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harts/chart1.xml" ContentType="application/vnd.openxmlformats-officedocument.drawingml.chart+xml"/>
  <Override PartName="/xl/drawings/drawing9.xml" ContentType="application/vnd.openxmlformats-officedocument.drawing+xml"/>
  <Override PartName="/xl/charts/chart2.xml" ContentType="application/vnd.openxmlformats-officedocument.drawingml.chart+xml"/>
  <Override PartName="/xl/drawings/drawing10.xml" ContentType="application/vnd.openxmlformats-officedocument.drawing+xml"/>
  <Override PartName="/xl/charts/chart3.xml" ContentType="application/vnd.openxmlformats-officedocument.drawingml.chart+xml"/>
  <Override PartName="/xl/drawings/drawing11.xml" ContentType="application/vnd.openxmlformats-officedocument.drawing+xml"/>
  <Override PartName="/xl/charts/chart4.xml" ContentType="application/vnd.openxmlformats-officedocument.drawingml.chart+xml"/>
  <Override PartName="/xl/drawings/drawing12.xml" ContentType="application/vnd.openxmlformats-officedocument.drawing+xml"/>
  <Override PartName="/xl/charts/chart5.xml" ContentType="application/vnd.openxmlformats-officedocument.drawingml.chart+xml"/>
  <Override PartName="/xl/drawings/drawing13.xml" ContentType="application/vnd.openxmlformats-officedocument.drawing+xml"/>
  <Override PartName="/xl/charts/chart6.xml" ContentType="application/vnd.openxmlformats-officedocument.drawingml.chart+xml"/>
  <Override PartName="/xl/drawings/drawing14.xml" ContentType="application/vnd.openxmlformats-officedocument.drawing+xml"/>
  <Override PartName="/xl/charts/chart7.xml" ContentType="application/vnd.openxmlformats-officedocument.drawingml.chart+xml"/>
  <Override PartName="/xl/drawings/drawing15.xml" ContentType="application/vnd.openxmlformats-officedocument.drawing+xml"/>
  <Override PartName="/xl/charts/chart8.xml" ContentType="application/vnd.openxmlformats-officedocument.drawingml.chart+xml"/>
  <Override PartName="/xl/drawings/drawing16.xml" ContentType="application/vnd.openxmlformats-officedocument.drawing+xml"/>
  <Override PartName="/xl/charts/chart9.xml" ContentType="application/vnd.openxmlformats-officedocument.drawingml.chart+xml"/>
  <Override PartName="/xl/drawings/drawing17.xml" ContentType="application/vnd.openxmlformats-officedocument.drawing+xml"/>
  <Override PartName="/xl/charts/chart10.xml" ContentType="application/vnd.openxmlformats-officedocument.drawingml.chart+xml"/>
  <Override PartName="/xl/drawings/drawing18.xml" ContentType="application/vnd.openxmlformats-officedocument.drawing+xml"/>
  <Override PartName="/xl/charts/chart11.xml" ContentType="application/vnd.openxmlformats-officedocument.drawingml.chart+xml"/>
  <Override PartName="/xl/drawings/drawing19.xml" ContentType="application/vnd.openxmlformats-officedocument.drawing+xml"/>
  <Override PartName="/xl/charts/chart12.xml" ContentType="application/vnd.openxmlformats-officedocument.drawingml.chart+xml"/>
  <Override PartName="/xl/drawings/drawing20.xml" ContentType="application/vnd.openxmlformats-officedocument.drawing+xml"/>
  <Override PartName="/xl/charts/chart13.xml" ContentType="application/vnd.openxmlformats-officedocument.drawingml.chart+xml"/>
  <Override PartName="/xl/drawings/drawing21.xml" ContentType="application/vnd.openxmlformats-officedocument.drawing+xml"/>
  <Override PartName="/xl/charts/chart14.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2.xml" ContentType="application/vnd.openxmlformats-officedocument.drawing+xml"/>
  <Override PartName="/xl/charts/chart15.xml" ContentType="application/vnd.openxmlformats-officedocument.drawingml.chart+xml"/>
  <Override PartName="/xl/drawings/drawing23.xml" ContentType="application/vnd.openxmlformats-officedocument.drawing+xml"/>
  <Override PartName="/xl/charts/chart16.xml" ContentType="application/vnd.openxmlformats-officedocument.drawingml.chart+xml"/>
  <Override PartName="/xl/drawings/drawing24.xml" ContentType="application/vnd.openxmlformats-officedocument.drawing+xml"/>
  <Override PartName="/xl/charts/chart17.xml" ContentType="application/vnd.openxmlformats-officedocument.drawingml.chart+xml"/>
  <Override PartName="/xl/drawings/drawing25.xml" ContentType="application/vnd.openxmlformats-officedocument.drawing+xml"/>
  <Override PartName="/xl/charts/chart18.xml" ContentType="application/vnd.openxmlformats-officedocument.drawingml.chart+xml"/>
  <Override PartName="/xl/drawings/drawing26.xml" ContentType="application/vnd.openxmlformats-officedocument.drawing+xml"/>
  <Override PartName="/xl/charts/chart19.xml" ContentType="application/vnd.openxmlformats-officedocument.drawingml.chart+xml"/>
  <Override PartName="/xl/drawings/drawing27.xml" ContentType="application/vnd.openxmlformats-officedocument.drawing+xml"/>
  <Override PartName="/xl/charts/chart20.xml" ContentType="application/vnd.openxmlformats-officedocument.drawingml.chart+xml"/>
  <Override PartName="/xl/drawings/drawing28.xml" ContentType="application/vnd.openxmlformats-officedocument.drawing+xml"/>
  <Override PartName="/xl/charts/chart21.xml" ContentType="application/vnd.openxmlformats-officedocument.drawingml.chart+xml"/>
  <Override PartName="/xl/drawings/drawing29.xml" ContentType="application/vnd.openxmlformats-officedocument.drawing+xml"/>
  <Override PartName="/xl/charts/chart22.xml" ContentType="application/vnd.openxmlformats-officedocument.drawingml.chart+xml"/>
  <Override PartName="/xl/drawings/drawing30.xml" ContentType="application/vnd.openxmlformats-officedocument.drawing+xml"/>
  <Override PartName="/xl/charts/chart23.xml" ContentType="application/vnd.openxmlformats-officedocument.drawingml.chart+xml"/>
  <Override PartName="/xl/drawings/drawing31.xml" ContentType="application/vnd.openxmlformats-officedocument.drawing+xml"/>
  <Override PartName="/xl/charts/chart24.xml" ContentType="application/vnd.openxmlformats-officedocument.drawingml.chart+xml"/>
  <Override PartName="/xl/drawings/drawing32.xml" ContentType="application/vnd.openxmlformats-officedocument.drawing+xml"/>
  <Override PartName="/xl/charts/chart25.xml" ContentType="application/vnd.openxmlformats-officedocument.drawingml.chart+xml"/>
  <Override PartName="/xl/drawings/drawing33.xml" ContentType="application/vnd.openxmlformats-officedocument.drawing+xml"/>
  <Override PartName="/xl/charts/chart26.xml" ContentType="application/vnd.openxmlformats-officedocument.drawingml.chart+xml"/>
  <Override PartName="/xl/drawings/drawing34.xml" ContentType="application/vnd.openxmlformats-officedocument.drawing+xml"/>
  <Override PartName="/xl/charts/chart27.xml" ContentType="application/vnd.openxmlformats-officedocument.drawingml.chart+xml"/>
  <Override PartName="/xl/drawings/drawing35.xml" ContentType="application/vnd.openxmlformats-officedocument.drawing+xml"/>
  <Override PartName="/xl/charts/chart28.xml" ContentType="application/vnd.openxmlformats-officedocument.drawingml.chart+xml"/>
  <Override PartName="/xl/drawings/drawing36.xml" ContentType="application/vnd.openxmlformats-officedocument.drawing+xml"/>
  <Override PartName="/xl/charts/chart29.xml" ContentType="application/vnd.openxmlformats-officedocument.drawingml.chart+xml"/>
  <Override PartName="/xl/drawings/drawing37.xml" ContentType="application/vnd.openxmlformats-officedocument.drawing+xml"/>
  <Override PartName="/xl/charts/chart30.xml" ContentType="application/vnd.openxmlformats-officedocument.drawingml.chart+xml"/>
  <Override PartName="/xl/drawings/drawing38.xml" ContentType="application/vnd.openxmlformats-officedocument.drawing+xml"/>
  <Override PartName="/xl/charts/chart31.xml" ContentType="application/vnd.openxmlformats-officedocument.drawingml.chart+xml"/>
  <Override PartName="/xl/drawings/drawing39.xml" ContentType="application/vnd.openxmlformats-officedocument.drawing+xml"/>
  <Override PartName="/xl/charts/chart32.xml" ContentType="application/vnd.openxmlformats-officedocument.drawingml.chart+xml"/>
  <Override PartName="/xl/drawings/drawing40.xml" ContentType="application/vnd.openxmlformats-officedocument.drawing+xml"/>
  <Override PartName="/xl/charts/chart33.xml" ContentType="application/vnd.openxmlformats-officedocument.drawingml.chart+xml"/>
  <Override PartName="/xl/drawings/drawing41.xml" ContentType="application/vnd.openxmlformats-officedocument.drawing+xml"/>
  <Override PartName="/xl/charts/chart34.xml" ContentType="application/vnd.openxmlformats-officedocument.drawingml.chart+xml"/>
  <Override PartName="/xl/drawings/drawing42.xml" ContentType="application/vnd.openxmlformats-officedocument.drawing+xml"/>
  <Override PartName="/xl/charts/chart35.xml" ContentType="application/vnd.openxmlformats-officedocument.drawingml.chart+xml"/>
  <Override PartName="/xl/drawings/drawing43.xml" ContentType="application/vnd.openxmlformats-officedocument.drawing+xml"/>
  <Override PartName="/xl/charts/chart36.xml" ContentType="application/vnd.openxmlformats-officedocument.drawingml.chart+xml"/>
  <Override PartName="/xl/drawings/drawing44.xml" ContentType="application/vnd.openxmlformats-officedocument.drawing+xml"/>
  <Override PartName="/xl/charts/chart37.xml" ContentType="application/vnd.openxmlformats-officedocument.drawingml.chart+xml"/>
  <Override PartName="/xl/drawings/drawing45.xml" ContentType="application/vnd.openxmlformats-officedocument.drawing+xml"/>
  <Override PartName="/xl/charts/chart38.xml" ContentType="application/vnd.openxmlformats-officedocument.drawingml.chart+xml"/>
  <Override PartName="/xl/drawings/drawing46.xml" ContentType="application/vnd.openxmlformats-officedocument.drawing+xml"/>
  <Override PartName="/xl/charts/chart39.xml" ContentType="application/vnd.openxmlformats-officedocument.drawingml.chart+xml"/>
  <Override PartName="/xl/drawings/drawing47.xml" ContentType="application/vnd.openxmlformats-officedocument.drawing+xml"/>
  <Override PartName="/xl/charts/chart40.xml" ContentType="application/vnd.openxmlformats-officedocument.drawingml.chart+xml"/>
  <Override PartName="/xl/drawings/drawing48.xml" ContentType="application/vnd.openxmlformats-officedocument.drawing+xml"/>
  <Override PartName="/xl/charts/chart41.xml" ContentType="application/vnd.openxmlformats-officedocument.drawingml.chart+xml"/>
  <Override PartName="/xl/drawings/drawing49.xml" ContentType="application/vnd.openxmlformats-officedocument.drawing+xml"/>
  <Override PartName="/xl/charts/chart42.xml" ContentType="application/vnd.openxmlformats-officedocument.drawingml.chart+xml"/>
  <Override PartName="/xl/drawings/drawing50.xml" ContentType="application/vnd.openxmlformats-officedocument.drawing+xml"/>
  <Override PartName="/xl/charts/chart43.xml" ContentType="application/vnd.openxmlformats-officedocument.drawingml.chart+xml"/>
  <Override PartName="/xl/drawings/drawing51.xml" ContentType="application/vnd.openxmlformats-officedocument.drawing+xml"/>
  <Override PartName="/xl/charts/chart44.xml" ContentType="application/vnd.openxmlformats-officedocument.drawingml.chart+xml"/>
  <Override PartName="/xl/drawings/drawing52.xml" ContentType="application/vnd.openxmlformats-officedocument.drawing+xml"/>
  <Override PartName="/xl/charts/chart45.xml" ContentType="application/vnd.openxmlformats-officedocument.drawingml.chart+xml"/>
  <Override PartName="/xl/drawings/drawing53.xml" ContentType="application/vnd.openxmlformats-officedocument.drawing+xml"/>
  <Override PartName="/xl/charts/chart46.xml" ContentType="application/vnd.openxmlformats-officedocument.drawingml.chart+xml"/>
  <Override PartName="/xl/drawings/drawing54.xml" ContentType="application/vnd.openxmlformats-officedocument.drawing+xml"/>
  <Override PartName="/xl/charts/chart47.xml" ContentType="application/vnd.openxmlformats-officedocument.drawingml.chart+xml"/>
  <Override PartName="/xl/drawings/drawing55.xml" ContentType="application/vnd.openxmlformats-officedocument.drawing+xml"/>
  <Override PartName="/xl/charts/chart48.xml" ContentType="application/vnd.openxmlformats-officedocument.drawingml.chart+xml"/>
  <Override PartName="/xl/drawings/drawing56.xml" ContentType="application/vnd.openxmlformats-officedocument.drawing+xml"/>
  <Override PartName="/xl/charts/chart49.xml" ContentType="application/vnd.openxmlformats-officedocument.drawingml.chart+xml"/>
  <Override PartName="/xl/drawings/drawing57.xml" ContentType="application/vnd.openxmlformats-officedocument.drawing+xml"/>
  <Override PartName="/xl/charts/chart50.xml" ContentType="application/vnd.openxmlformats-officedocument.drawingml.chart+xml"/>
  <Override PartName="/xl/drawings/drawing58.xml" ContentType="application/vnd.openxmlformats-officedocument.drawing+xml"/>
  <Override PartName="/xl/charts/chart51.xml" ContentType="application/vnd.openxmlformats-officedocument.drawingml.chart+xml"/>
  <Override PartName="/xl/drawings/drawing59.xml" ContentType="application/vnd.openxmlformats-officedocument.drawing+xml"/>
  <Override PartName="/xl/charts/chart52.xml" ContentType="application/vnd.openxmlformats-officedocument.drawingml.chart+xml"/>
  <Override PartName="/xl/drawings/drawing60.xml" ContentType="application/vnd.openxmlformats-officedocument.drawing+xml"/>
  <Override PartName="/xl/charts/chart53.xml" ContentType="application/vnd.openxmlformats-officedocument.drawingml.chart+xml"/>
  <Override PartName="/xl/drawings/drawing61.xml" ContentType="application/vnd.openxmlformats-officedocument.drawing+xml"/>
  <Override PartName="/xl/charts/chart54.xml" ContentType="application/vnd.openxmlformats-officedocument.drawingml.chart+xml"/>
  <Override PartName="/xl/drawings/drawing62.xml" ContentType="application/vnd.openxmlformats-officedocument.drawing+xml"/>
  <Override PartName="/xl/charts/chart55.xml" ContentType="application/vnd.openxmlformats-officedocument.drawingml.chart+xml"/>
  <Override PartName="/xl/drawings/drawing63.xml" ContentType="application/vnd.openxmlformats-officedocument.drawing+xml"/>
  <Override PartName="/xl/charts/chart56.xml" ContentType="application/vnd.openxmlformats-officedocument.drawingml.chart+xml"/>
  <Override PartName="/xl/drawings/drawing64.xml" ContentType="application/vnd.openxmlformats-officedocument.drawing+xml"/>
  <Override PartName="/xl/charts/chart57.xml" ContentType="application/vnd.openxmlformats-officedocument.drawingml.chart+xml"/>
  <Override PartName="/xl/drawings/drawing65.xml" ContentType="application/vnd.openxmlformats-officedocument.drawing+xml"/>
  <Override PartName="/xl/charts/chart58.xml" ContentType="application/vnd.openxmlformats-officedocument.drawingml.chart+xml"/>
  <Override PartName="/xl/drawings/drawing66.xml" ContentType="application/vnd.openxmlformats-officedocument.drawing+xml"/>
  <Override PartName="/xl/charts/chart59.xml" ContentType="application/vnd.openxmlformats-officedocument.drawingml.chart+xml"/>
  <Override PartName="/xl/drawings/drawing67.xml" ContentType="application/vnd.openxmlformats-officedocument.drawing+xml"/>
  <Override PartName="/xl/charts/chart60.xml" ContentType="application/vnd.openxmlformats-officedocument.drawingml.chart+xml"/>
  <Override PartName="/xl/drawings/drawing68.xml" ContentType="application/vnd.openxmlformats-officedocument.drawing+xml"/>
  <Override PartName="/xl/charts/chart61.xml" ContentType="application/vnd.openxmlformats-officedocument.drawingml.chart+xml"/>
  <Override PartName="/xl/drawings/drawing69.xml" ContentType="application/vnd.openxmlformats-officedocument.drawing+xml"/>
  <Override PartName="/xl/charts/chart62.xml" ContentType="application/vnd.openxmlformats-officedocument.drawingml.chart+xml"/>
  <Override PartName="/xl/drawings/drawing70.xml" ContentType="application/vnd.openxmlformats-officedocument.drawing+xml"/>
  <Override PartName="/xl/charts/chart63.xml" ContentType="application/vnd.openxmlformats-officedocument.drawingml.chart+xml"/>
  <Override PartName="/xl/drawings/drawing71.xml" ContentType="application/vnd.openxmlformats-officedocument.drawing+xml"/>
  <Override PartName="/xl/charts/chart64.xml" ContentType="application/vnd.openxmlformats-officedocument.drawingml.chart+xml"/>
  <Override PartName="/xl/drawings/drawing72.xml" ContentType="application/vnd.openxmlformats-officedocument.drawing+xml"/>
  <Override PartName="/xl/charts/chart65.xml" ContentType="application/vnd.openxmlformats-officedocument.drawingml.chart+xml"/>
  <Override PartName="/xl/drawings/drawing73.xml" ContentType="application/vnd.openxmlformats-officedocument.drawing+xml"/>
  <Override PartName="/xl/charts/chart66.xml" ContentType="application/vnd.openxmlformats-officedocument.drawingml.chart+xml"/>
  <Override PartName="/xl/drawings/drawing74.xml" ContentType="application/vnd.openxmlformats-officedocument.drawing+xml"/>
  <Override PartName="/xl/charts/chart67.xml" ContentType="application/vnd.openxmlformats-officedocument.drawingml.chart+xml"/>
  <Override PartName="/xl/drawings/drawing75.xml" ContentType="application/vnd.openxmlformats-officedocument.drawing+xml"/>
  <Override PartName="/xl/charts/chart68.xml" ContentType="application/vnd.openxmlformats-officedocument.drawingml.chart+xml"/>
  <Override PartName="/xl/drawings/drawing76.xml" ContentType="application/vnd.openxmlformats-officedocument.drawing+xml"/>
  <Override PartName="/xl/charts/chart69.xml" ContentType="application/vnd.openxmlformats-officedocument.drawingml.chart+xml"/>
  <Override PartName="/xl/drawings/drawing77.xml" ContentType="application/vnd.openxmlformats-officedocument.drawing+xml"/>
  <Override PartName="/xl/charts/chart70.xml" ContentType="application/vnd.openxmlformats-officedocument.drawingml.chart+xml"/>
  <Override PartName="/xl/drawings/drawing78.xml" ContentType="application/vnd.openxmlformats-officedocument.drawing+xml"/>
  <Override PartName="/xl/charts/chart71.xml" ContentType="application/vnd.openxmlformats-officedocument.drawingml.chart+xml"/>
  <Override PartName="/xl/drawings/drawing79.xml" ContentType="application/vnd.openxmlformats-officedocument.drawing+xml"/>
  <Override PartName="/xl/charts/chart72.xml" ContentType="application/vnd.openxmlformats-officedocument.drawingml.chart+xml"/>
  <Override PartName="/xl/drawings/drawing80.xml" ContentType="application/vnd.openxmlformats-officedocument.drawing+xml"/>
  <Override PartName="/xl/charts/chart73.xml" ContentType="application/vnd.openxmlformats-officedocument.drawingml.chart+xml"/>
  <Override PartName="/xl/drawings/drawing81.xml" ContentType="application/vnd.openxmlformats-officedocument.drawing+xml"/>
  <Override PartName="/xl/charts/chart74.xml" ContentType="application/vnd.openxmlformats-officedocument.drawingml.chart+xml"/>
  <Override PartName="/xl/drawings/drawing82.xml" ContentType="application/vnd.openxmlformats-officedocument.drawing+xml"/>
  <Override PartName="/xl/comments2.xml" ContentType="application/vnd.openxmlformats-officedocument.spreadsheetml.comments+xml"/>
  <Override PartName="/xl/charts/chart75.xml" ContentType="application/vnd.openxmlformats-officedocument.drawingml.chart+xml"/>
  <Override PartName="/xl/drawings/drawing83.xml" ContentType="application/vnd.openxmlformats-officedocument.drawing+xml"/>
  <Override PartName="/xl/charts/chart76.xml" ContentType="application/vnd.openxmlformats-officedocument.drawingml.chart+xml"/>
  <Override PartName="/xl/drawings/drawing84.xml" ContentType="application/vnd.openxmlformats-officedocument.drawing+xml"/>
  <Override PartName="/xl/charts/chart77.xml" ContentType="application/vnd.openxmlformats-officedocument.drawingml.chart+xml"/>
  <Override PartName="/xl/drawings/drawing85.xml" ContentType="application/vnd.openxmlformats-officedocument.drawing+xml"/>
  <Override PartName="/xl/charts/chart78.xml" ContentType="application/vnd.openxmlformats-officedocument.drawingml.chart+xml"/>
  <Override PartName="/xl/drawings/drawing86.xml" ContentType="application/vnd.openxmlformats-officedocument.drawing+xml"/>
  <Override PartName="/xl/charts/chart79.xml" ContentType="application/vnd.openxmlformats-officedocument.drawingml.chart+xml"/>
  <Override PartName="/xl/drawings/drawing87.xml" ContentType="application/vnd.openxmlformats-officedocument.drawing+xml"/>
  <Override PartName="/xl/charts/chart80.xml" ContentType="application/vnd.openxmlformats-officedocument.drawingml.chart+xml"/>
  <Override PartName="/xl/charts/style2.xml" ContentType="application/vnd.ms-office.chartstyle+xml"/>
  <Override PartName="/xl/charts/colors2.xml" ContentType="application/vnd.ms-office.chartcolorstyle+xml"/>
  <Override PartName="/xl/drawings/drawing88.xml" ContentType="application/vnd.openxmlformats-officedocument.drawing+xml"/>
  <Override PartName="/xl/charts/chart81.xml" ContentType="application/vnd.openxmlformats-officedocument.drawingml.chart+xml"/>
  <Override PartName="/xl/drawings/drawing89.xml" ContentType="application/vnd.openxmlformats-officedocument.drawing+xml"/>
  <Override PartName="/xl/charts/chart82.xml" ContentType="application/vnd.openxmlformats-officedocument.drawingml.chart+xml"/>
  <Override PartName="/xl/drawings/drawing90.xml" ContentType="application/vnd.openxmlformats-officedocument.drawing+xml"/>
  <Override PartName="/xl/charts/chart83.xml" ContentType="application/vnd.openxmlformats-officedocument.drawingml.chart+xml"/>
  <Override PartName="/xl/drawings/drawing91.xml" ContentType="application/vnd.openxmlformats-officedocument.drawing+xml"/>
  <Override PartName="/xl/charts/chart84.xml" ContentType="application/vnd.openxmlformats-officedocument.drawingml.chart+xml"/>
  <Override PartName="/xl/drawings/drawing92.xml" ContentType="application/vnd.openxmlformats-officedocument.drawing+xml"/>
  <Override PartName="/xl/charts/chart85.xml" ContentType="application/vnd.openxmlformats-officedocument.drawingml.chart+xml"/>
  <Override PartName="/xl/drawings/drawing93.xml" ContentType="application/vnd.openxmlformats-officedocument.drawing+xml"/>
  <Override PartName="/xl/charts/chart86.xml" ContentType="application/vnd.openxmlformats-officedocument.drawingml.chart+xml"/>
  <Override PartName="/xl/drawings/drawing94.xml" ContentType="application/vnd.openxmlformats-officedocument.drawing+xml"/>
  <Override PartName="/xl/charts/chart87.xml" ContentType="application/vnd.openxmlformats-officedocument.drawingml.chart+xml"/>
  <Override PartName="/xl/drawings/drawing95.xml" ContentType="application/vnd.openxmlformats-officedocument.drawing+xml"/>
  <Override PartName="/xl/charts/chart88.xml" ContentType="application/vnd.openxmlformats-officedocument.drawingml.chart+xml"/>
  <Override PartName="/xl/drawings/drawing96.xml" ContentType="application/vnd.openxmlformats-officedocument.drawing+xml"/>
  <Override PartName="/xl/charts/chart89.xml" ContentType="application/vnd.openxmlformats-officedocument.drawingml.chart+xml"/>
  <Override PartName="/xl/drawings/drawing97.xml" ContentType="application/vnd.openxmlformats-officedocument.drawing+xml"/>
  <Override PartName="/xl/charts/chart90.xml" ContentType="application/vnd.openxmlformats-officedocument.drawingml.chart+xml"/>
  <Override PartName="/xl/drawings/drawing98.xml" ContentType="application/vnd.openxmlformats-officedocument.drawing+xml"/>
  <Override PartName="/xl/charts/chart91.xml" ContentType="application/vnd.openxmlformats-officedocument.drawingml.chart+xml"/>
  <Override PartName="/xl/drawings/drawing99.xml" ContentType="application/vnd.openxmlformats-officedocument.drawing+xml"/>
  <Override PartName="/xl/charts/chart92.xml" ContentType="application/vnd.openxmlformats-officedocument.drawingml.chart+xml"/>
  <Override PartName="/xl/drawings/drawing100.xml" ContentType="application/vnd.openxmlformats-officedocument.drawing+xml"/>
  <Override PartName="/xl/charts/chart93.xml" ContentType="application/vnd.openxmlformats-officedocument.drawingml.chart+xml"/>
  <Override PartName="/xl/drawings/drawing101.xml" ContentType="application/vnd.openxmlformats-officedocument.drawing+xml"/>
  <Override PartName="/xl/charts/chart94.xml" ContentType="application/vnd.openxmlformats-officedocument.drawingml.chart+xml"/>
  <Override PartName="/xl/drawings/drawing102.xml" ContentType="application/vnd.openxmlformats-officedocument.drawing+xml"/>
  <Override PartName="/xl/charts/chart95.xml" ContentType="application/vnd.openxmlformats-officedocument.drawingml.chart+xml"/>
  <Override PartName="/xl/drawings/drawing103.xml" ContentType="application/vnd.openxmlformats-officedocument.drawing+xml"/>
  <Override PartName="/xl/charts/chart96.xml" ContentType="application/vnd.openxmlformats-officedocument.drawingml.chart+xml"/>
  <Override PartName="/xl/drawings/drawing104.xml" ContentType="application/vnd.openxmlformats-officedocument.drawing+xml"/>
  <Override PartName="/xl/charts/chart97.xml" ContentType="application/vnd.openxmlformats-officedocument.drawingml.chart+xml"/>
  <Override PartName="/xl/drawings/drawing105.xml" ContentType="application/vnd.openxmlformats-officedocument.drawing+xml"/>
  <Override PartName="/xl/charts/chart98.xml" ContentType="application/vnd.openxmlformats-officedocument.drawingml.chart+xml"/>
  <Override PartName="/xl/drawings/drawing106.xml" ContentType="application/vnd.openxmlformats-officedocument.drawing+xml"/>
  <Override PartName="/xl/charts/chart99.xml" ContentType="application/vnd.openxmlformats-officedocument.drawingml.chart+xml"/>
  <Override PartName="/xl/drawings/drawing107.xml" ContentType="application/vnd.openxmlformats-officedocument.drawing+xml"/>
  <Override PartName="/xl/charts/chart100.xml" ContentType="application/vnd.openxmlformats-officedocument.drawingml.chart+xml"/>
  <Override PartName="/xl/drawings/drawing108.xml" ContentType="application/vnd.openxmlformats-officedocument.drawing+xml"/>
  <Override PartName="/xl/charts/chart101.xml" ContentType="application/vnd.openxmlformats-officedocument.drawingml.chart+xml"/>
  <Override PartName="/xl/drawings/drawing109.xml" ContentType="application/vnd.openxmlformats-officedocument.drawing+xml"/>
  <Override PartName="/xl/charts/chart102.xml" ContentType="application/vnd.openxmlformats-officedocument.drawingml.chart+xml"/>
  <Override PartName="/xl/drawings/drawing110.xml" ContentType="application/vnd.openxmlformats-officedocument.drawing+xml"/>
  <Override PartName="/xl/charts/chart103.xml" ContentType="application/vnd.openxmlformats-officedocument.drawingml.chart+xml"/>
  <Override PartName="/xl/drawings/drawing111.xml" ContentType="application/vnd.openxmlformats-officedocument.drawing+xml"/>
  <Override PartName="/xl/charts/chart104.xml" ContentType="application/vnd.openxmlformats-officedocument.drawingml.chart+xml"/>
  <Override PartName="/xl/drawings/drawing112.xml" ContentType="application/vnd.openxmlformats-officedocument.drawing+xml"/>
  <Override PartName="/xl/charts/chart105.xml" ContentType="application/vnd.openxmlformats-officedocument.drawingml.chart+xml"/>
  <Override PartName="/xl/drawings/drawing113.xml" ContentType="application/vnd.openxmlformats-officedocument.drawing+xml"/>
  <Override PartName="/xl/charts/chart106.xml" ContentType="application/vnd.openxmlformats-officedocument.drawingml.chart+xml"/>
  <Override PartName="/xl/drawings/drawing114.xml" ContentType="application/vnd.openxmlformats-officedocument.drawing+xml"/>
  <Override PartName="/xl/charts/chart107.xml" ContentType="application/vnd.openxmlformats-officedocument.drawingml.chart+xml"/>
  <Override PartName="/xl/drawings/drawing115.xml" ContentType="application/vnd.openxmlformats-officedocument.drawing+xml"/>
  <Override PartName="/xl/charts/chart108.xml" ContentType="application/vnd.openxmlformats-officedocument.drawingml.chart+xml"/>
  <Override PartName="/xl/drawings/drawing116.xml" ContentType="application/vnd.openxmlformats-officedocument.drawing+xml"/>
  <Override PartName="/xl/charts/chart109.xml" ContentType="application/vnd.openxmlformats-officedocument.drawingml.chart+xml"/>
  <Override PartName="/xl/drawings/drawing117.xml" ContentType="application/vnd.openxmlformats-officedocument.drawing+xml"/>
  <Override PartName="/xl/charts/chart110.xml" ContentType="application/vnd.openxmlformats-officedocument.drawingml.chart+xml"/>
  <Override PartName="/xl/drawings/drawing118.xml" ContentType="application/vnd.openxmlformats-officedocument.drawing+xml"/>
  <Override PartName="/xl/charts/chart111.xml" ContentType="application/vnd.openxmlformats-officedocument.drawingml.chart+xml"/>
  <Override PartName="/xl/drawings/drawing119.xml" ContentType="application/vnd.openxmlformats-officedocument.drawing+xml"/>
  <Override PartName="/xl/charts/chart112.xml" ContentType="application/vnd.openxmlformats-officedocument.drawingml.chart+xml"/>
  <Override PartName="/xl/drawings/drawing120.xml" ContentType="application/vnd.openxmlformats-officedocument.drawing+xml"/>
  <Override PartName="/xl/charts/chart113.xml" ContentType="application/vnd.openxmlformats-officedocument.drawingml.chart+xml"/>
  <Override PartName="/xl/drawings/drawing121.xml" ContentType="application/vnd.openxmlformats-officedocument.drawing+xml"/>
  <Override PartName="/xl/charts/chart114.xml" ContentType="application/vnd.openxmlformats-officedocument.drawingml.chart+xml"/>
  <Override PartName="/xl/drawings/drawing122.xml" ContentType="application/vnd.openxmlformats-officedocument.drawing+xml"/>
  <Override PartName="/xl/charts/chart115.xml" ContentType="application/vnd.openxmlformats-officedocument.drawingml.chart+xml"/>
  <Override PartName="/xl/drawings/drawing123.xml" ContentType="application/vnd.openxmlformats-officedocument.drawing+xml"/>
  <Override PartName="/xl/charts/chart116.xml" ContentType="application/vnd.openxmlformats-officedocument.drawingml.chart+xml"/>
  <Override PartName="/xl/drawings/drawing124.xml" ContentType="application/vnd.openxmlformats-officedocument.drawing+xml"/>
  <Override PartName="/xl/charts/chart117.xml" ContentType="application/vnd.openxmlformats-officedocument.drawingml.chart+xml"/>
  <Override PartName="/xl/drawings/drawing125.xml" ContentType="application/vnd.openxmlformats-officedocument.drawing+xml"/>
  <Override PartName="/xl/charts/chart118.xml" ContentType="application/vnd.openxmlformats-officedocument.drawingml.chart+xml"/>
  <Override PartName="/xl/drawings/drawing126.xml" ContentType="application/vnd.openxmlformats-officedocument.drawing+xml"/>
  <Override PartName="/xl/charts/chart119.xml" ContentType="application/vnd.openxmlformats-officedocument.drawingml.chart+xml"/>
  <Override PartName="/xl/drawings/drawing127.xml" ContentType="application/vnd.openxmlformats-officedocument.drawing+xml"/>
  <Override PartName="/xl/charts/chart120.xml" ContentType="application/vnd.openxmlformats-officedocument.drawingml.chart+xml"/>
  <Override PartName="/xl/drawings/drawing128.xml" ContentType="application/vnd.openxmlformats-officedocument.drawing+xml"/>
  <Override PartName="/xl/charts/chart121.xml" ContentType="application/vnd.openxmlformats-officedocument.drawingml.chart+xml"/>
  <Override PartName="/xl/drawings/drawing129.xml" ContentType="application/vnd.openxmlformats-officedocument.drawing+xml"/>
  <Override PartName="/xl/charts/chart122.xml" ContentType="application/vnd.openxmlformats-officedocument.drawingml.chart+xml"/>
  <Override PartName="/xl/charts/style3.xml" ContentType="application/vnd.ms-office.chartstyle+xml"/>
  <Override PartName="/xl/charts/colors3.xml" ContentType="application/vnd.ms-office.chartcolorstyle+xml"/>
  <Override PartName="/xl/drawings/drawing130.xml" ContentType="application/vnd.openxmlformats-officedocument.drawing+xml"/>
  <Override PartName="/xl/charts/chart123.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31.xml" ContentType="application/vnd.openxmlformats-officedocument.drawing+xml"/>
  <Override PartName="/xl/charts/chart124.xml" ContentType="application/vnd.openxmlformats-officedocument.drawingml.chart+xml"/>
  <Override PartName="/xl/drawings/drawing132.xml" ContentType="application/vnd.openxmlformats-officedocument.drawing+xml"/>
  <Override PartName="/xl/comments3.xml" ContentType="application/vnd.openxmlformats-officedocument.spreadsheetml.comments+xml"/>
  <Override PartName="/xl/charts/chart125.xml" ContentType="application/vnd.openxmlformats-officedocument.drawingml.chart+xml"/>
  <Override PartName="/xl/drawings/drawing133.xml" ContentType="application/vnd.openxmlformats-officedocument.drawing+xml"/>
  <Override PartName="/xl/charts/chart126.xml" ContentType="application/vnd.openxmlformats-officedocument.drawingml.chart+xml"/>
  <Override PartName="/xl/drawings/drawing134.xml" ContentType="application/vnd.openxmlformats-officedocument.drawing+xml"/>
  <Override PartName="/xl/comments4.xml" ContentType="application/vnd.openxmlformats-officedocument.spreadsheetml.comments+xml"/>
  <Override PartName="/xl/charts/chart127.xml" ContentType="application/vnd.openxmlformats-officedocument.drawingml.chart+xml"/>
  <Override PartName="/xl/drawings/drawing135.xml" ContentType="application/vnd.openxmlformats-officedocument.drawing+xml"/>
  <Override PartName="/xl/charts/chart128.xml" ContentType="application/vnd.openxmlformats-officedocument.drawingml.chart+xml"/>
  <Override PartName="/xl/drawings/drawing136.xml" ContentType="application/vnd.openxmlformats-officedocument.drawing+xml"/>
  <Override PartName="/xl/comments5.xml" ContentType="application/vnd.openxmlformats-officedocument.spreadsheetml.comments+xml"/>
  <Override PartName="/xl/charts/chart129.xml" ContentType="application/vnd.openxmlformats-officedocument.drawingml.chart+xml"/>
  <Override PartName="/xl/drawings/drawing137.xml" ContentType="application/vnd.openxmlformats-officedocument.drawing+xml"/>
  <Override PartName="/xl/charts/chart130.xml" ContentType="application/vnd.openxmlformats-officedocument.drawingml.chart+xml"/>
  <Override PartName="/xl/drawings/drawing138.xml" ContentType="application/vnd.openxmlformats-officedocument.drawing+xml"/>
  <Override PartName="/xl/charts/chart131.xml" ContentType="application/vnd.openxmlformats-officedocument.drawingml.chart+xml"/>
  <Override PartName="/xl/drawings/drawing139.xml" ContentType="application/vnd.openxmlformats-officedocument.drawing+xml"/>
  <Override PartName="/xl/comments6.xml" ContentType="application/vnd.openxmlformats-officedocument.spreadsheetml.comments+xml"/>
  <Override PartName="/xl/charts/chart132.xml" ContentType="application/vnd.openxmlformats-officedocument.drawingml.chart+xml"/>
  <Override PartName="/xl/drawings/drawing140.xml" ContentType="application/vnd.openxmlformats-officedocument.drawing+xml"/>
  <Override PartName="/xl/charts/chart133.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41.xml" ContentType="application/vnd.openxmlformats-officedocument.drawing+xml"/>
  <Override PartName="/xl/charts/chart134.xml" ContentType="application/vnd.openxmlformats-officedocument.drawingml.chart+xml"/>
  <Override PartName="/xl/drawings/drawing142.xml" ContentType="application/vnd.openxmlformats-officedocument.drawing+xml"/>
  <Override PartName="/xl/charts/chart135.xml" ContentType="application/vnd.openxmlformats-officedocument.drawingml.chart+xml"/>
  <Override PartName="/xl/drawings/drawing143.xml" ContentType="application/vnd.openxmlformats-officedocument.drawing+xml"/>
  <Override PartName="/xl/charts/chart136.xml" ContentType="application/vnd.openxmlformats-officedocument.drawingml.chart+xml"/>
  <Override PartName="/xl/drawings/drawing144.xml" ContentType="application/vnd.openxmlformats-officedocument.drawing+xml"/>
  <Override PartName="/xl/charts/chart137.xml" ContentType="application/vnd.openxmlformats-officedocument.drawingml.chart+xml"/>
  <Override PartName="/xl/drawings/drawing145.xml" ContentType="application/vnd.openxmlformats-officedocument.drawing+xml"/>
  <Override PartName="/xl/charts/chart138.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workbookPr showInkAnnotation="0" codeName="ThisWorkbook"/>
  <mc:AlternateContent xmlns:mc="http://schemas.openxmlformats.org/markup-compatibility/2006">
    <mc:Choice Requires="x15">
      <x15ac:absPath xmlns:x15ac="http://schemas.microsoft.com/office/spreadsheetml/2010/11/ac" url="S:\TELECOMS\Interactive models\Valuation model\"/>
    </mc:Choice>
  </mc:AlternateContent>
  <xr:revisionPtr revIDLastSave="0" documentId="13_ncr:1_{20C954DF-FECD-4775-B52C-7D0D8CCC1688}" xr6:coauthVersionLast="47" xr6:coauthVersionMax="47" xr10:uidLastSave="{00000000-0000-0000-0000-000000000000}"/>
  <bookViews>
    <workbookView xWindow="-108" yWindow="-108" windowWidth="30936" windowHeight="16776" tabRatio="851" firstSheet="1" activeTab="1" xr2:uid="{00000000-000D-0000-FFFF-FFFF00000000}"/>
  </bookViews>
  <sheets>
    <sheet name="__FDSCACHE__" sheetId="357" state="veryHidden" r:id="rId1"/>
    <sheet name="Cover" sheetId="363" r:id="rId2"/>
    <sheet name="Prices" sheetId="5" r:id="rId3"/>
    <sheet name="DM Multiples" sheetId="209" r:id="rId4"/>
    <sheet name="EM Multiples" sheetId="246" r:id="rId5"/>
    <sheet name="Tower Multiples" sheetId="294" r:id="rId6"/>
    <sheet name="Sectors" sheetId="292" r:id="rId7"/>
    <sheet name="Disclaimer" sheetId="25" r:id="rId8"/>
    <sheet name="AAF" sheetId="359" r:id="rId9"/>
    <sheet name="ADVANCED" sheetId="194" r:id="rId10"/>
    <sheet name="AMT" sheetId="288" r:id="rId11"/>
    <sheet name="AMX" sheetId="156" r:id="rId12"/>
    <sheet name="ATCUS" sheetId="347" r:id="rId13"/>
    <sheet name="FYBR" sheetId="364" r:id="rId14"/>
    <sheet name="ATT" sheetId="214" r:id="rId15"/>
    <sheet name="AXI" sheetId="160" r:id="rId16"/>
    <sheet name="BHART" sheetId="126" r:id="rId17"/>
    <sheet name="BHIN" sheetId="293" r:id="rId18"/>
    <sheet name="BT" sheetId="16" r:id="rId19"/>
    <sheet name="CCI" sheetId="289" r:id="rId20"/>
    <sheet name="ChinaTow" sheetId="349" r:id="rId21"/>
    <sheet name="CHTR" sheetId="221" r:id="rId22"/>
    <sheet name="CHUNG" sheetId="202" r:id="rId23"/>
    <sheet name="CMCSA" sheetId="220" r:id="rId24"/>
    <sheet name="CLNX" sheetId="324" r:id="rId25"/>
    <sheet name="CNU" sheetId="355" r:id="rId26"/>
    <sheet name="_CM" sheetId="151" r:id="rId27"/>
    <sheet name="_CT" sheetId="165" r:id="rId28"/>
    <sheet name="_CU" sheetId="166" r:id="rId29"/>
    <sheet name="DIGI" sheetId="188" r:id="rId30"/>
    <sheet name="DRI" sheetId="338" r:id="rId31"/>
    <sheet name="DT" sheetId="15" r:id="rId32"/>
    <sheet name="ELISA" sheetId="123" r:id="rId33"/>
    <sheet name="ENTEL" sheetId="279" r:id="rId34"/>
    <sheet name="FAR" sheetId="204" r:id="rId35"/>
    <sheet name="HKBN" sheetId="315" r:id="rId36"/>
    <sheet name="IDEA" sheetId="141" r:id="rId37"/>
    <sheet name="IHS" sheetId="360" r:id="rId38"/>
    <sheet name="INWIT" sheetId="325" r:id="rId39"/>
    <sheet name="INDO" sheetId="137" r:id="rId40"/>
    <sheet name="KDDI" sheetId="219" r:id="rId41"/>
    <sheet name="KPN" sheetId="14" r:id="rId42"/>
    <sheet name="_KT" sheetId="187" r:id="rId43"/>
    <sheet name="_LG" sheetId="195" r:id="rId44"/>
    <sheet name="LBTY" sheetId="72" r:id="rId45"/>
    <sheet name="LiLAC" sheetId="313" r:id="rId46"/>
    <sheet name="MAQ" sheetId="356" r:id="rId47"/>
    <sheet name="MAXI" sheetId="189" r:id="rId48"/>
    <sheet name="MEGA" sheetId="307" r:id="rId49"/>
    <sheet name="MCG" sheetId="354" r:id="rId50"/>
    <sheet name="MILLI" sheetId="95" r:id="rId51"/>
    <sheet name="MITRA" sheetId="362" r:id="rId52"/>
    <sheet name="MTN" sheetId="99" r:id="rId53"/>
    <sheet name="OBEL" sheetId="154" r:id="rId54"/>
    <sheet name="MTS" sheetId="97" r:id="rId55"/>
    <sheet name="NOS" sheetId="196" r:id="rId56"/>
    <sheet name="NTT" sheetId="215" r:id="rId57"/>
    <sheet name="ORA" sheetId="4" r:id="rId58"/>
    <sheet name="OIBR" sheetId="192" r:id="rId59"/>
    <sheet name="OTE" sheetId="13" r:id="rId60"/>
    <sheet name="PROX" sheetId="125" r:id="rId61"/>
    <sheet name="PTT" sheetId="139" r:id="rId62"/>
    <sheet name="RAK" sheetId="353" r:id="rId63"/>
    <sheet name="SAF" sheetId="271" r:id="rId64"/>
    <sheet name="SATS" sheetId="241" r:id="rId65"/>
    <sheet name="SBAC" sheetId="290" r:id="rId66"/>
    <sheet name="SBKK" sheetId="178" r:id="rId67"/>
    <sheet name="SINGTEL" sheetId="162" r:id="rId68"/>
    <sheet name="SITES" sheetId="333" r:id="rId69"/>
    <sheet name="SKT" sheetId="146" r:id="rId70"/>
    <sheet name="SPK" sheetId="334" r:id="rId71"/>
    <sheet name="ST1" sheetId="344" r:id="rId72"/>
    <sheet name="SWISS" sheetId="11" r:id="rId73"/>
    <sheet name="TAIWAN" sheetId="203" r:id="rId74"/>
    <sheet name="TBIG" sheetId="296" r:id="rId75"/>
    <sheet name="TELE2" sheetId="79" r:id="rId76"/>
    <sheet name="TEF" sheetId="9" r:id="rId77"/>
    <sheet name="TELIA" sheetId="6" r:id="rId78"/>
    <sheet name="TI" sheetId="10" r:id="rId79"/>
    <sheet name="TIMP" sheetId="191" r:id="rId80"/>
    <sheet name="TKC" sheetId="118" r:id="rId81"/>
    <sheet name="TLS" sheetId="216" r:id="rId82"/>
    <sheet name="TKG" sheetId="91" r:id="rId83"/>
    <sheet name="TMUS" sheetId="105" r:id="rId84"/>
    <sheet name="TNOR" sheetId="7" r:id="rId85"/>
    <sheet name="TOWR" sheetId="295" r:id="rId86"/>
    <sheet name="TPG" sheetId="345" r:id="rId87"/>
    <sheet name="TRUECORP" sheetId="270" r:id="rId88"/>
    <sheet name="TVIS" sheetId="284" r:id="rId89"/>
    <sheet name="UTDI" sheetId="337" r:id="rId90"/>
    <sheet name="VIMP" sheetId="101" r:id="rId91"/>
    <sheet name="VIVO" sheetId="190" r:id="rId92"/>
    <sheet name="VODA" sheetId="176" r:id="rId93"/>
    <sheet name="VOD" sheetId="39" r:id="rId94"/>
    <sheet name="VZN" sheetId="213" r:id="rId95"/>
    <sheet name="XLAX" sheetId="183" r:id="rId96"/>
    <sheet name="PROPORTIONATES" sheetId="164" r:id="rId97"/>
    <sheet name="US TELCO" sheetId="247" r:id="rId98"/>
    <sheet name="US OTHER" sheetId="248" r:id="rId99"/>
    <sheet name="US TOWERS" sheetId="291" r:id="rId100"/>
    <sheet name="US AGG" sheetId="250" r:id="rId101"/>
    <sheet name="W.EUR INCUMB" sheetId="18" r:id="rId102"/>
    <sheet name="W.EUR OTHER" sheetId="44" r:id="rId103"/>
    <sheet name="W.EUR TOWER" sheetId="326" r:id="rId104"/>
    <sheet name="W.EUR AGG" sheetId="58" r:id="rId105"/>
    <sheet name="W.EUR AGG (ex Towers)" sheetId="330" r:id="rId106"/>
    <sheet name="DM ASIA INCUMB" sheetId="212" r:id="rId107"/>
    <sheet name="DM ASIA OTHER" sheetId="225" r:id="rId108"/>
    <sheet name="AGG DM ASIA" sheetId="228" r:id="rId109"/>
    <sheet name="LATAM INCUMB" sheetId="185" r:id="rId110"/>
    <sheet name="LATAM CELLULAR" sheetId="186" r:id="rId111"/>
    <sheet name="LATAM ALTNET &amp; CABLE" sheetId="308" r:id="rId112"/>
    <sheet name="LATAM AGG" sheetId="184" r:id="rId113"/>
    <sheet name="EMEA INCUMB" sheetId="103" r:id="rId114"/>
    <sheet name="EMEA CELLULAR" sheetId="104" r:id="rId115"/>
    <sheet name="EMEA AGG" sheetId="84" r:id="rId116"/>
    <sheet name="EM ASIA INCUMB" sheetId="223" r:id="rId117"/>
    <sheet name="EM ASIA CELLULAR" sheetId="226" r:id="rId118"/>
    <sheet name="AGG EM ASIA" sheetId="231" r:id="rId119"/>
    <sheet name="AGG ASIA INCUMB" sheetId="173" r:id="rId120"/>
    <sheet name="AGG ASIA CELLULAR" sheetId="170" r:id="rId121"/>
    <sheet name="AGG ASIA" sheetId="175" r:id="rId122"/>
    <sheet name="AGG DM INCUMB" sheetId="327" r:id="rId123"/>
    <sheet name="AGG DM CELLULAR" sheetId="328" r:id="rId124"/>
    <sheet name="AGG DM" sheetId="229" r:id="rId125"/>
    <sheet name="EM INCUMB" sheetId="171" r:id="rId126"/>
    <sheet name="EM CELLULAR" sheetId="172" r:id="rId127"/>
    <sheet name="EM ALTNET &amp; CABLE" sheetId="309" r:id="rId128"/>
    <sheet name="EM TOWERS" sheetId="361" r:id="rId129"/>
    <sheet name="AGG EM" sheetId="174" r:id="rId130"/>
    <sheet name="AXISOP" sheetId="161" r:id="rId131"/>
    <sheet name="BHARTSOP" sheetId="129" r:id="rId132"/>
    <sheet name="DTSOP" sheetId="27" r:id="rId133"/>
    <sheet name="ELISASOP" sheetId="124" r:id="rId134"/>
    <sheet name="IDEASOP" sheetId="142" r:id="rId135"/>
    <sheet name="KPNSOP" sheetId="29" r:id="rId136"/>
    <sheet name="MTNSOP" sheetId="100" r:id="rId137"/>
    <sheet name="OBELSOP" sheetId="155" r:id="rId138"/>
    <sheet name="ORASOP" sheetId="28" r:id="rId139"/>
    <sheet name="OTESOP" sheetId="30" r:id="rId140"/>
    <sheet name="PROXSOP" sheetId="70" r:id="rId141"/>
    <sheet name="SWISSSOP" sheetId="32" r:id="rId142"/>
    <sheet name="TEFSOP" sheetId="34" r:id="rId143"/>
    <sheet name="TELE2SOP" sheetId="80" r:id="rId144"/>
    <sheet name="TISOP" sheetId="33" r:id="rId145"/>
    <sheet name="TNORSOP" sheetId="36" r:id="rId146"/>
    <sheet name="TSONSOP" sheetId="37" r:id="rId147"/>
    <sheet name="UTDISOP" sheetId="340" r:id="rId148"/>
    <sheet name="VODSOP" sheetId="49" r:id="rId149"/>
  </sheets>
  <externalReferences>
    <externalReference r:id="rId150"/>
  </externalReferences>
  <definedNames>
    <definedName name="__FDS_HYPERLINK_TOGGLE_STATE__" hidden="1">"ON"</definedName>
    <definedName name="_CMm1">_CM!$D$9:$G$10</definedName>
    <definedName name="_CMm2">_CM!$D$12:$G$14</definedName>
    <definedName name="_CMm3">_CM!$D$16:$G$17</definedName>
    <definedName name="_CMm4">_CM!$L$25:$O$25</definedName>
    <definedName name="_CMm5">_CM!$C$23:$G$34</definedName>
    <definedName name="_CTm1">_CT!$D$9:$G$10</definedName>
    <definedName name="_CTm2">_CT!$D$12:$G$13</definedName>
    <definedName name="_CTm3">_CT!$D$16:$G$17</definedName>
    <definedName name="_CTm4">_CT!$L$25:$O$25</definedName>
    <definedName name="_CTm5">_CT!$C$23:$G$33</definedName>
    <definedName name="_CUm1">_CU!$D$9:$G$10</definedName>
    <definedName name="_CUm2">_CU!$D$12:$G$13</definedName>
    <definedName name="_CUm3">_CU!$D$16:$G$17</definedName>
    <definedName name="_CUm4">_CU!$L$25:$O$25</definedName>
    <definedName name="_CUm5">_CU!$C$23:$G$33</definedName>
    <definedName name="_xlnm._FilterDatabase" localSheetId="3" hidden="1">'DM Multiples'!$C$8:$C$785</definedName>
    <definedName name="_xlnm._FilterDatabase" localSheetId="4" hidden="1">'EM Multiples'!$I$8:$L$812</definedName>
    <definedName name="_Key1" localSheetId="123" hidden="1">#REF!</definedName>
    <definedName name="_Key1" localSheetId="122" hidden="1">#REF!</definedName>
    <definedName name="_Key1" localSheetId="10" hidden="1">#REF!</definedName>
    <definedName name="_Key1" localSheetId="12" hidden="1">#REF!</definedName>
    <definedName name="_Key1" localSheetId="17" hidden="1">#REF!</definedName>
    <definedName name="_Key1" localSheetId="19" hidden="1">#REF!</definedName>
    <definedName name="_Key1" localSheetId="20" hidden="1">#REF!</definedName>
    <definedName name="_Key1" localSheetId="24" hidden="1">#REF!</definedName>
    <definedName name="_Key1" localSheetId="25" hidden="1">#REF!</definedName>
    <definedName name="_Key1" localSheetId="30" hidden="1">#REF!</definedName>
    <definedName name="_Key1" localSheetId="127" hidden="1">#REF!</definedName>
    <definedName name="_Key1" localSheetId="128" hidden="1">#REF!</definedName>
    <definedName name="_Key1" localSheetId="33" hidden="1">#REF!</definedName>
    <definedName name="_Key1" localSheetId="13" hidden="1">#REF!</definedName>
    <definedName name="_Key1" localSheetId="35" hidden="1">#REF!</definedName>
    <definedName name="_Key1" localSheetId="37" hidden="1">#REF!</definedName>
    <definedName name="_Key1" localSheetId="38" hidden="1">#REF!</definedName>
    <definedName name="_Key1" localSheetId="111" hidden="1">#REF!</definedName>
    <definedName name="_Key1" localSheetId="45" hidden="1">#REF!</definedName>
    <definedName name="_Key1" localSheetId="46" hidden="1">#REF!</definedName>
    <definedName name="_Key1" localSheetId="49" hidden="1">#REF!</definedName>
    <definedName name="_Key1" localSheetId="48" hidden="1">#REF!</definedName>
    <definedName name="_Key1" localSheetId="51" hidden="1">#REF!</definedName>
    <definedName name="_Key1" localSheetId="62" hidden="1">#REF!</definedName>
    <definedName name="_Key1" localSheetId="65" hidden="1">#REF!</definedName>
    <definedName name="_Key1" localSheetId="68" hidden="1">#REF!</definedName>
    <definedName name="_Key1" localSheetId="70" hidden="1">#REF!</definedName>
    <definedName name="_Key1" localSheetId="71" hidden="1">#REF!</definedName>
    <definedName name="_Key1" localSheetId="74" hidden="1">#REF!</definedName>
    <definedName name="_Key1" localSheetId="85" hidden="1">#REF!</definedName>
    <definedName name="_Key1" localSheetId="86" hidden="1">#REF!</definedName>
    <definedName name="_Key1" localSheetId="88" hidden="1">#REF!</definedName>
    <definedName name="_Key1" localSheetId="99" hidden="1">#REF!</definedName>
    <definedName name="_Key1" localSheetId="89" hidden="1">#REF!</definedName>
    <definedName name="_Key1" localSheetId="105" hidden="1">#REF!</definedName>
    <definedName name="_Key1" localSheetId="103" hidden="1">#REF!</definedName>
    <definedName name="_Key1" hidden="1">#REF!</definedName>
    <definedName name="_KTm1">_KT!$D$9:$G$10</definedName>
    <definedName name="_KTm2">_KT!$D$12:$G$13</definedName>
    <definedName name="_KTm3">_KT!$D$16:$G$17</definedName>
    <definedName name="_KTm4">_KT!$L$25:$O$25</definedName>
    <definedName name="_KTm5">_KT!$C$23:$G$33</definedName>
    <definedName name="_LGm1">_LG!$D$9:$G$10</definedName>
    <definedName name="_LGm2">_LG!$D$12:$G$13</definedName>
    <definedName name="_LGm3">_LG!$D$16:$G$17</definedName>
    <definedName name="_LGm4">_LG!$L$25:$O$25</definedName>
    <definedName name="_LGm5">_LG!$C$23:$G$33</definedName>
    <definedName name="_Order1" hidden="1">255</definedName>
    <definedName name="_Sort" localSheetId="123" hidden="1">#REF!</definedName>
    <definedName name="_Sort" localSheetId="122" hidden="1">#REF!</definedName>
    <definedName name="_Sort" localSheetId="10" hidden="1">#REF!</definedName>
    <definedName name="_Sort" localSheetId="12" hidden="1">#REF!</definedName>
    <definedName name="_Sort" localSheetId="17" hidden="1">#REF!</definedName>
    <definedName name="_Sort" localSheetId="19" hidden="1">#REF!</definedName>
    <definedName name="_Sort" localSheetId="20" hidden="1">#REF!</definedName>
    <definedName name="_Sort" localSheetId="24" hidden="1">#REF!</definedName>
    <definedName name="_Sort" localSheetId="25" hidden="1">#REF!</definedName>
    <definedName name="_Sort" localSheetId="30" hidden="1">#REF!</definedName>
    <definedName name="_Sort" localSheetId="127" hidden="1">#REF!</definedName>
    <definedName name="_Sort" localSheetId="128" hidden="1">#REF!</definedName>
    <definedName name="_Sort" localSheetId="33" hidden="1">#REF!</definedName>
    <definedName name="_Sort" localSheetId="13" hidden="1">#REF!</definedName>
    <definedName name="_Sort" localSheetId="35" hidden="1">#REF!</definedName>
    <definedName name="_Sort" localSheetId="37" hidden="1">#REF!</definedName>
    <definedName name="_Sort" localSheetId="38" hidden="1">#REF!</definedName>
    <definedName name="_Sort" localSheetId="111" hidden="1">#REF!</definedName>
    <definedName name="_Sort" localSheetId="45" hidden="1">#REF!</definedName>
    <definedName name="_Sort" localSheetId="46" hidden="1">#REF!</definedName>
    <definedName name="_Sort" localSheetId="49" hidden="1">#REF!</definedName>
    <definedName name="_Sort" localSheetId="48" hidden="1">#REF!</definedName>
    <definedName name="_Sort" localSheetId="51" hidden="1">#REF!</definedName>
    <definedName name="_Sort" localSheetId="62" hidden="1">#REF!</definedName>
    <definedName name="_Sort" localSheetId="65" hidden="1">#REF!</definedName>
    <definedName name="_Sort" localSheetId="68" hidden="1">#REF!</definedName>
    <definedName name="_Sort" localSheetId="70" hidden="1">#REF!</definedName>
    <definedName name="_Sort" localSheetId="71" hidden="1">#REF!</definedName>
    <definedName name="_Sort" localSheetId="74" hidden="1">#REF!</definedName>
    <definedName name="_Sort" localSheetId="85" hidden="1">#REF!</definedName>
    <definedName name="_Sort" localSheetId="86" hidden="1">#REF!</definedName>
    <definedName name="_Sort" localSheetId="88" hidden="1">#REF!</definedName>
    <definedName name="_Sort" localSheetId="99" hidden="1">#REF!</definedName>
    <definedName name="_Sort" localSheetId="89" hidden="1">#REF!</definedName>
    <definedName name="_Sort" localSheetId="105" hidden="1">#REF!</definedName>
    <definedName name="_Sort" localSheetId="103" hidden="1">#REF!</definedName>
    <definedName name="_Sort" hidden="1">#REF!</definedName>
    <definedName name="AAFm1" localSheetId="8">AAF!$D$9:$G$10</definedName>
    <definedName name="AAFm2" localSheetId="8">AAF!$D$12:$G$13</definedName>
    <definedName name="AAFm3" localSheetId="8">AAF!$D$14:$G$17</definedName>
    <definedName name="AAFm4" localSheetId="8">AAF!$L$25:$O$25</definedName>
    <definedName name="AAFm5" localSheetId="8">AAF!$C$23:$G$33</definedName>
    <definedName name="ADVANCEDm1">ADVANCED!$D$9:$G$10</definedName>
    <definedName name="ADVANCEDm2">ADVANCED!$D$12:$G$13</definedName>
    <definedName name="ADVANCEDm3">ADVANCED!$D$16:$G$17</definedName>
    <definedName name="ADVANCEDm4">ADVANCED!$L$25:$O$25</definedName>
    <definedName name="ADVANCEDm5">ADVANCED!$C$23:$G$33</definedName>
    <definedName name="altnettarget">Prices!$E$22:$E$33</definedName>
    <definedName name="AMTm1" localSheetId="10">AMT!$D$9:$G$10</definedName>
    <definedName name="AMTm2" localSheetId="10">AMT!$D$12:$G$13</definedName>
    <definedName name="AMTm3" localSheetId="10">AMT!$D$16:$G$17</definedName>
    <definedName name="AMTm4" localSheetId="10">AMT!$L$25:$O$25</definedName>
    <definedName name="AMTm5" localSheetId="10">AMT!$C$23:$G$33</definedName>
    <definedName name="AMTm6">AMT!$D$14:$G$15</definedName>
    <definedName name="AMXm1">AMX!$D$9:$G$10</definedName>
    <definedName name="AMXm2">AMX!$D$12:$G$13</definedName>
    <definedName name="AMXm3">AMX!$D$16:$G$17</definedName>
    <definedName name="AMXm4">AMX!$L$25:$O$25</definedName>
    <definedName name="AMXm5">AMX!$C$23:$G$33</definedName>
    <definedName name="anscount" hidden="1">1</definedName>
    <definedName name="ATCUSm1">ATCUS!$D$9:$G$10</definedName>
    <definedName name="ATCUSm2">ATCUS!$D$12:$G$13</definedName>
    <definedName name="ATCUSm3">ATCUS!$D$16:$G$17</definedName>
    <definedName name="ATCUSm4">ATCUS!$L$25:$O$25</definedName>
    <definedName name="ATCUSm5">ATCUS!$C$23:$G$33</definedName>
    <definedName name="ATCUSm6">ATCUS!$D$14:$G$15</definedName>
    <definedName name="ATTM1">ATT!$D$9:$G$10</definedName>
    <definedName name="ATTM2">ATT!$D$12:$G$13</definedName>
    <definedName name="ATTM3">ATT!$D$16:$G$17</definedName>
    <definedName name="ATTM4">ATT!$L$25:$O$25</definedName>
    <definedName name="ATTM5">ATT!$C$23:$G$33</definedName>
    <definedName name="ATTm6">ATT!$D$14:$G$15</definedName>
    <definedName name="axim1">AXI!$D$9:$G$10</definedName>
    <definedName name="axim2">AXI!$D$12:$G$13</definedName>
    <definedName name="axim3">AXI!$D$16:$G$17</definedName>
    <definedName name="axim4">AXI!$L$25:$O$25</definedName>
    <definedName name="axim5">AXI!$C$23:$G$33</definedName>
    <definedName name="bhartm1">BHART!$D$9:$G$10</definedName>
    <definedName name="bhartm2">BHART!$D$12:$G$13</definedName>
    <definedName name="bhartm3">BHART!$D$16:$G$17</definedName>
    <definedName name="bhartm4">BHART!$L$25:$O$25</definedName>
    <definedName name="bhartm5">BHART!$C$23:$G$33</definedName>
    <definedName name="BHINm1" localSheetId="17">BHIN!$D$9:$G$10</definedName>
    <definedName name="BHINm2" localSheetId="17">BHIN!$D$12:$G$13</definedName>
    <definedName name="BHINm3" localSheetId="17">BHIN!$D$16:$G$17</definedName>
    <definedName name="BHINm4" localSheetId="17">BHIN!$L$25:$O$25</definedName>
    <definedName name="BHINm5" localSheetId="17">BHIN!$C$23:$G$33</definedName>
    <definedName name="BHINtwr1">BHIN!$L$31:$O$31</definedName>
    <definedName name="BHINtwr2">BHIN!$L$32:$O$32</definedName>
    <definedName name="BT_m1">BT!$D$9:$G$10</definedName>
    <definedName name="BT_m2">BT!$D$12:$G$13</definedName>
    <definedName name="BT_m3">BT!$D$16:$G$17</definedName>
    <definedName name="BT_m4">BT!$L$25:$O$25</definedName>
    <definedName name="BT_m5">BT!$C$23:$G$33</definedName>
    <definedName name="CATVtargets">Prices!$E$24:$E$33</definedName>
    <definedName name="CCIm1" localSheetId="19">CCI!$D$9:$G$10</definedName>
    <definedName name="CCIm2" localSheetId="19">CCI!$D$12:$G$13</definedName>
    <definedName name="CCIm3" localSheetId="19">CCI!$D$16:$G$17</definedName>
    <definedName name="CCIm4" localSheetId="19">CCI!$L$25:$O$25</definedName>
    <definedName name="CCIm5" localSheetId="19">CCI!$C$23:$G$33</definedName>
    <definedName name="CCIm6">CCI!$D$14:$G$15</definedName>
    <definedName name="ChinaTowm1">ChinaTow!$D$9:$G$10</definedName>
    <definedName name="ChinaTowm2">ChinaTow!$D$12:$G$13</definedName>
    <definedName name="ChinaTowm3">ChinaTow!$D$16:$G$17</definedName>
    <definedName name="ChinaTowm4">ChinaTow!$L$25:$O$25</definedName>
    <definedName name="ChinaTowm5">ChinaTow!$C$23:$G$33</definedName>
    <definedName name="ChinaTowtwr1">ChinaTow!$L$31:$O$31</definedName>
    <definedName name="ChinaTowtwr2">ChinaTow!$L$32:$O$32</definedName>
    <definedName name="chorusrecpt">Prices!$D$60:$E$60</definedName>
    <definedName name="CHTRM1">CHTR!$D$9:$G$10</definedName>
    <definedName name="CHTRM2">CHTR!$D$12:$G$13</definedName>
    <definedName name="CHTRM3">CHTR!$D$16:$G$17</definedName>
    <definedName name="CHTRM4">CHTR!$L$25:$O$25</definedName>
    <definedName name="CHTRM5">CHTR!$C$23:$G$33</definedName>
    <definedName name="CHTRm6">CHTR!$D$14:$G$15</definedName>
    <definedName name="CHUNGM1">CHUNG!$D$9:$G$10</definedName>
    <definedName name="CHUNGM2">CHUNG!$D$12:$G$13</definedName>
    <definedName name="CHUNGM3">CHUNG!$D$16:$G$17</definedName>
    <definedName name="CHUNGM4">CHUNG!$L$25:$O$25</definedName>
    <definedName name="CHUNGM5">CHUNG!$C$23:$G$33</definedName>
    <definedName name="CLNX_m1">CLNX!$D$9:$G$10</definedName>
    <definedName name="CLNX_m2">CLNX!$D$12:$G$13</definedName>
    <definedName name="CLNX_m3">CLNX!$D$16:$G$17</definedName>
    <definedName name="CLNX_m4">CLNX!$L$25:$O$25</definedName>
    <definedName name="CLNX_m5">CLNX!$C$23:$G$33</definedName>
    <definedName name="CMCSAM1">CMCSA!$D$9:$G$10</definedName>
    <definedName name="CMCSAM2">CMCSA!$D$12:$G$13</definedName>
    <definedName name="CMCSAM3">CMCSA!$D$16:$G$17</definedName>
    <definedName name="CMCSAM4">CMCSA!$L$25:$O$25</definedName>
    <definedName name="CMCSAM5">CMCSA!$C$23:$G$33</definedName>
    <definedName name="CMCSAm6">CMCSA!$D$14:$G$15</definedName>
    <definedName name="CNUm1">CNU!$D$9:$G$10</definedName>
    <definedName name="CNUm2">CNU!$D$12:$G$13</definedName>
    <definedName name="CNUm3">CNU!$D$14:$G$15</definedName>
    <definedName name="CNUm4">CNU!$D$16:$G$17</definedName>
    <definedName name="CNUm5">CNU!$L$25:$O$25</definedName>
    <definedName name="CNUm6">CNU!$C$23:$G$33</definedName>
    <definedName name="DIGIm1">DIGI!$D$9:$G$10</definedName>
    <definedName name="DIGIm2">DIGI!$D$12:$G$13</definedName>
    <definedName name="DIGIm3">DIGI!$D$16:$G$17</definedName>
    <definedName name="DIGIm4">DIGI!$L$25:$O$25</definedName>
    <definedName name="DIGIm5">DIGI!$C$23:$G$33</definedName>
    <definedName name="DM_Asia_Incumbp1">Prices!$C$56:$C$56</definedName>
    <definedName name="DM_Asia_Incumbp3">Prices!$C$58</definedName>
    <definedName name="DM_Asia_Incumbr1">Prices!$D$56:$D$56</definedName>
    <definedName name="DM_Asia_Incumbr3">Prices!$D$58</definedName>
    <definedName name="DM_Asia_Incumbt1">Prices!$E$56:$E$56</definedName>
    <definedName name="DM_Asia_Incumbt3">Prices!$E$58</definedName>
    <definedName name="DM_Asia_price">Prices!$C$63:$C$68</definedName>
    <definedName name="DM_Asia_rating">Prices!$D$63:$D$68</definedName>
    <definedName name="DM_Asia_Target">Prices!$E$63:$E$68</definedName>
    <definedName name="DM_Multiples1">'DM Multiples'!$C$4:$V$58</definedName>
    <definedName name="DM_Multiples10">'DM Multiples'!$C$667:$V$718</definedName>
    <definedName name="DM_Multiples11">'DM Multiples'!$C$727:$V$778</definedName>
    <definedName name="DM_Multiples2">'DM Multiples'!$C$67:$V$118</definedName>
    <definedName name="DM_Multiples3">'DM Multiples'!$C$127:$V$178</definedName>
    <definedName name="DM_Multiples4">'DM Multiples'!$C$187:$V$238</definedName>
    <definedName name="DM_Multiples5">'DM Multiples'!$C$247:$V$298</definedName>
    <definedName name="DM_Multiples6">'DM Multiples'!$C$307:$V$358</definedName>
    <definedName name="DM_Multiples7">'DM Multiples'!$C$367:$V$418</definedName>
    <definedName name="DM_Multiples8">'DM Multiples'!$C$427:$V$478</definedName>
    <definedName name="DM_Multiples9">'DM Multiples'!$C$487:$V$538</definedName>
    <definedName name="DMprice1">Prices!$C$56:$C$70</definedName>
    <definedName name="DMprice2">Prices!$C$63:$C$65</definedName>
    <definedName name="DMprice3">Prices!$C$68</definedName>
    <definedName name="DMrating1">Prices!$D$56:$D$70</definedName>
    <definedName name="DMrating2">Prices!$D$63:$D$65</definedName>
    <definedName name="DMrating3">Prices!$D$68</definedName>
    <definedName name="DMtarget1">Prices!$E$56:$E$70</definedName>
    <definedName name="DMtarget2">Prices!$E$63:$E$65</definedName>
    <definedName name="DMtarget3">Prices!$E$68</definedName>
    <definedName name="DRI_m1">DRI!$D$9:$G$10</definedName>
    <definedName name="DRI_m2">DRI!$D$12:$G$13</definedName>
    <definedName name="DRI_m3">DRI!$D$16:$G$17</definedName>
    <definedName name="DRI_m4">DRI!$L$25:$O$25</definedName>
    <definedName name="DRI_m5">DRI!$C$23:$G$33</definedName>
    <definedName name="DT_m1">DT!$D$9:$G$10</definedName>
    <definedName name="DT_m2">DT!$D$12:$G$13</definedName>
    <definedName name="DT_m3">DT!$D$16:$G$17</definedName>
    <definedName name="DT_m4">DT!$L$25:$O$25</definedName>
    <definedName name="DT_m5">DT!$C$23:$G$33</definedName>
    <definedName name="ELISA_m1">ELISA!$D$9:$G$10</definedName>
    <definedName name="ELISA_m2">ELISA!$D$12:$G$13</definedName>
    <definedName name="ELISA_m3">ELISA!$D$16:$G$17</definedName>
    <definedName name="ELISA_m4">ELISA!$L$25:$O$25</definedName>
    <definedName name="ELISA_m5">ELISA!$C$23:$G$33</definedName>
    <definedName name="EM_Asia_prices">Prices!$C$74:$C$101</definedName>
    <definedName name="EM_Asia_ratings">Prices!$D$74:$D$101</definedName>
    <definedName name="EM_Asia_targets">Prices!$E$74:$E$101</definedName>
    <definedName name="EM_Multiples1">'EM Multiples'!$C$6:$V$54</definedName>
    <definedName name="EM_Multiples10">'EM Multiples'!$C$689:$V$736</definedName>
    <definedName name="EM_Multiples11">'EM Multiples'!$C$751:$V$798</definedName>
    <definedName name="EM_Multiples2">'EM Multiples'!$C$69:$V$116</definedName>
    <definedName name="EM_Multiples3">'EM Multiples'!$C$131:$V$178</definedName>
    <definedName name="EM_Multiples4">'EM Multiples'!$C$193:$V$240</definedName>
    <definedName name="EM_Multiples5">'EM Multiples'!$C$255:$V$302</definedName>
    <definedName name="EM_Multiples6">'EM Multiples'!$C$317:$V$364</definedName>
    <definedName name="EM_Multiples7">'EM Multiples'!$C$379:$V$426</definedName>
    <definedName name="EM_Multiples8">'EM Multiples'!$C$441:$V$488</definedName>
    <definedName name="EM_Multiples9">'EM Multiples'!$C$503:$V$550</definedName>
    <definedName name="EMDTH_rating">Prices!$D$117</definedName>
    <definedName name="EMDTH_target">Prices!$E$117</definedName>
    <definedName name="EMEA_prices">Prices!$C$104:$C$114</definedName>
    <definedName name="EMEA_rating">Prices!$D$104:$D$114</definedName>
    <definedName name="EMEA_target">Prices!$E$104:$E$114</definedName>
    <definedName name="EMEAprice1">Prices!$C$104:$C$105</definedName>
    <definedName name="EMEAprice2">Prices!$C$109:$C$114</definedName>
    <definedName name="EMEArating1">Prices!$D$104:$D$105</definedName>
    <definedName name="EMEArating2">Prices!$D$109:$D$114</definedName>
    <definedName name="EMEAtarget1">Prices!$E$104:$E$105</definedName>
    <definedName name="EMEAtarget2">Prices!$E$109:$E$114</definedName>
    <definedName name="EMprice1">Prices!$C$74:$C$77</definedName>
    <definedName name="EMprice2">Prices!$C$80:$C$94</definedName>
    <definedName name="EMprice4">Prices!$C$97:$C$100</definedName>
    <definedName name="EMrating1">Prices!$D$74:$D$77</definedName>
    <definedName name="EMrating2">Prices!$D$80:$D$94</definedName>
    <definedName name="EMrating4">Prices!$D$97:$D$100</definedName>
    <definedName name="EMtarget1">Prices!$E$74:$E$77</definedName>
    <definedName name="EMtarget2">Prices!$E$80:$E$94</definedName>
    <definedName name="EMtarget4">Prices!$E$97:$E$100</definedName>
    <definedName name="ENTELm1" localSheetId="33">ENTEL!$D$9:$G$10</definedName>
    <definedName name="ENTELm2" localSheetId="33">ENTEL!$D$12:$G$13</definedName>
    <definedName name="ENTELm3" localSheetId="33">ENTEL!$D$16:$G$17</definedName>
    <definedName name="ENTELm4" localSheetId="33">ENTEL!$L$25:$O$25</definedName>
    <definedName name="ENTELm5" localSheetId="33">ENTEL!$C$23:$G$33</definedName>
    <definedName name="export_dm_ebitda_growth">'DM Multiples'!$C$308:$S$332</definedName>
    <definedName name="export_dm_mults">'DM Multiples'!$C$8:$S$32</definedName>
    <definedName name="export_dm_rev_growth">'DM Multiples'!$C$248:$S$272</definedName>
    <definedName name="FARm1">FAR!$D$9:$G$10</definedName>
    <definedName name="FARm2">FAR!$D$12:$G$13</definedName>
    <definedName name="FARm3">FAR!$D$16:$G$17</definedName>
    <definedName name="FARm4">FAR!$L$25:$O$25</definedName>
    <definedName name="FARm5">FAR!$C$23:$G$33</definedName>
    <definedName name="FYBRm1" localSheetId="13">FYBR!$D$9:$G$10</definedName>
    <definedName name="FYBRm2" localSheetId="13">FYBR!$D$12:$G$13</definedName>
    <definedName name="FYBRm3" localSheetId="13">FYBR!$D$16:$G$17</definedName>
    <definedName name="FYBRm4" localSheetId="13">FYBR!$L$25:$O$25</definedName>
    <definedName name="FYBRm5" localSheetId="13">FYBR!$C$23:$G$33</definedName>
    <definedName name="FYBRm6" localSheetId="13">FYBR!$D$14:$G$15</definedName>
    <definedName name="global1">Prices!$C$8:$E$19</definedName>
    <definedName name="global10">Prices!$C$56:$E$70</definedName>
    <definedName name="global11">Prices!$C$63:$E$65</definedName>
    <definedName name="global111">Prices!$C$63:$E$65</definedName>
    <definedName name="global12">Prices!$C$68:$E$68</definedName>
    <definedName name="global13">Prices!$C$74:$E$77</definedName>
    <definedName name="global14">Prices!$C$80:$E$94</definedName>
    <definedName name="global16">Prices!$C$97:$E$100</definedName>
    <definedName name="global17">Prices!$C$104:$E$105</definedName>
    <definedName name="global18">Prices!$C$109:$E$114</definedName>
    <definedName name="global19">Prices!$C$123:$E$127</definedName>
    <definedName name="global2">Prices!$C$23:$E$32</definedName>
    <definedName name="global20">Prices!$C$130:$E$132</definedName>
    <definedName name="global21">Prices!$C$135:$E$138</definedName>
    <definedName name="global22">Prices!$C$35:$E$36</definedName>
    <definedName name="global23">Prices!$C$141:$E$141</definedName>
    <definedName name="global3">Prices!$C$22:$E$33</definedName>
    <definedName name="global4">Prices!$C$24:$E$33</definedName>
    <definedName name="global6">Prices!$C$40:$E$41</definedName>
    <definedName name="global7">Prices!$C$45:$E$47</definedName>
    <definedName name="global8">Prices!$C$48:$E$48</definedName>
    <definedName name="global9">Prices!$C$51:$E$53</definedName>
    <definedName name="headings">AAF!$D$5:$H$5</definedName>
    <definedName name="HKBNm1">HKBN!$D$9:$G$10</definedName>
    <definedName name="HKBNm2">HKBN!$D$12:$G$13</definedName>
    <definedName name="HKBNm3">HKBN!$D$16:$G$17</definedName>
    <definedName name="HKBNm4">HKBN!$L$25:$O$25</definedName>
    <definedName name="HKBNm5">HKBN!$C$23:$G$33</definedName>
    <definedName name="ideam1">IDEA!$D$9:$G$10</definedName>
    <definedName name="ideam2">IDEA!$D$12:$G$13</definedName>
    <definedName name="ideam3">IDEA!$D$16:$G$17</definedName>
    <definedName name="ideam4">IDEA!$L$25:$O$25</definedName>
    <definedName name="ideam5">IDEA!$C$23:$G$33</definedName>
    <definedName name="IHS_rating">Prices!$D$120</definedName>
    <definedName name="IHS_target">Prices!$E$120</definedName>
    <definedName name="IHSm1">IHS!$D$9:$G$10</definedName>
    <definedName name="IHSm2">IHS!$D$12:$G$17</definedName>
    <definedName name="IHSm3">IHS!$D$14:$G$17</definedName>
    <definedName name="IHSm4">IHS!$L$25:$O$25</definedName>
    <definedName name="IHSm5">IHS!$C$23:$G$33</definedName>
    <definedName name="IHSm6">IHS!$L$31:$O$32</definedName>
    <definedName name="indom1">INDO!$D$9:$G$10</definedName>
    <definedName name="indom2">INDO!$D$12:$G$13</definedName>
    <definedName name="indom3">INDO!$D$16:$G$17</definedName>
    <definedName name="indom4">INDO!$L$25:$O$25</definedName>
    <definedName name="indom5">INDO!$C$23:$G$33</definedName>
    <definedName name="INWIT_m1">INWIT!$D$9:$G$10</definedName>
    <definedName name="INWIT_m2">INWIT!$D$12:$G$13</definedName>
    <definedName name="INWIT_m3">INWIT!$D$16:$G$17</definedName>
    <definedName name="INWIT_m4">INWIT!$L$25:$O$25</definedName>
    <definedName name="INWIT_m5">INWIT!$C$23:$G$33</definedName>
    <definedName name="KDDIM1">KDDI!$D$9:$G$10</definedName>
    <definedName name="KDDIM2">KDDI!$D$12:$G$13</definedName>
    <definedName name="KDDIM3">KDDI!$D$16:$G$17</definedName>
    <definedName name="KDDIM4">KDDI!$L$25:$O$25</definedName>
    <definedName name="KDDIM5">KDDI!$C$23:$G$33</definedName>
    <definedName name="KPN_m1">KPN!$D$9:$G$10</definedName>
    <definedName name="KPN_m2">KPN!$D$12:$G$13</definedName>
    <definedName name="KPN_m3">KPN!$D$16:$G$17</definedName>
    <definedName name="KPN_m4">KPN!$L$25:$O$25</definedName>
    <definedName name="KPN_m5">KPN!$C$23:$G$33</definedName>
    <definedName name="LatAm_prices">Prices!$C$123:$C$138</definedName>
    <definedName name="LatAm_rating">Prices!$D$123:$D$138</definedName>
    <definedName name="LatAm_target">Prices!$E$123:$E$138</definedName>
    <definedName name="LatAm_Trating">Prices!$D$141</definedName>
    <definedName name="LatAm_Ttarget">Prices!$E$141</definedName>
    <definedName name="Latprice1">Prices!$C$123:$C$127</definedName>
    <definedName name="latprice2">Prices!$C$130:$C$132</definedName>
    <definedName name="latprice3">Prices!$C$135:$C$138</definedName>
    <definedName name="Latrating1">Prices!$D$123:$D$127</definedName>
    <definedName name="latrating2">Prices!$D$130:$D$132</definedName>
    <definedName name="latrating3">Prices!$D$135:$D$138</definedName>
    <definedName name="Lattarget1">Prices!$E$123:$E$127</definedName>
    <definedName name="lattarget2">Prices!$E$130:$E$132</definedName>
    <definedName name="lattarget3">Prices!$E$135:$E$138</definedName>
    <definedName name="latTprice">Prices!$C$141</definedName>
    <definedName name="LBTY_m1">LBTY!$D$9:$G$10</definedName>
    <definedName name="LBTY_m2">LBTY!$D$12:$G$13</definedName>
    <definedName name="LBTY_m3">LBTY!$D$16:$G$17</definedName>
    <definedName name="LBTY_m4">LBTY!$L$25:$O$25</definedName>
    <definedName name="LBTY_m5">LBTY!$C$23:$G$33</definedName>
    <definedName name="LiLACm1">LiLAC!$D$10:$G$10</definedName>
    <definedName name="LiLACm2">LiLAC!$D$12:$G$14</definedName>
    <definedName name="LiLACm3" localSheetId="45">LiLAC!$D$16:$G$17</definedName>
    <definedName name="LiLACm4" localSheetId="45">LiLAC!$L$25:$O$25</definedName>
    <definedName name="LiLACm5" localSheetId="45">LiLAC!$C$23:$G$33</definedName>
    <definedName name="limcount" hidden="1">1</definedName>
    <definedName name="macquarierecpt">Prices!$D$71:$E$71</definedName>
    <definedName name="MAQm1">MAQ!$D$9:$G$10</definedName>
    <definedName name="MAQm2">MAQ!$D$12:$G$13</definedName>
    <definedName name="MAQm3">MAQ!$D$14:$G$15</definedName>
    <definedName name="MAQm4">MAQ!$D$16:$G$17</definedName>
    <definedName name="MAQm5">MAQ!$L$25:$O$25</definedName>
    <definedName name="MAQm6">MAQ!$C$23:$G$33</definedName>
    <definedName name="MAXIm1">MAXI!$D$9:$G$10</definedName>
    <definedName name="MAXIm2">MAXI!$D$12:$G$13</definedName>
    <definedName name="MAXIm3">MAXI!$D$16:$G$17</definedName>
    <definedName name="MAXIm4">MAXI!$L$25:$O$25</definedName>
    <definedName name="MAXIm5">MAXI!$C$23:$G$33</definedName>
    <definedName name="MAXISm1">[1]MAXIS!$D$11:$G$12</definedName>
    <definedName name="MAXISm2">[1]MAXIS!$D$14:$G$15</definedName>
    <definedName name="MAXISm3">[1]MAXIS!$D$18:$G$19</definedName>
    <definedName name="MAXISm4">[1]MAXIS!$L$24:$O$24</definedName>
    <definedName name="MAXISm5">[1]MAXIS!$C$24:$G$33</definedName>
    <definedName name="MAXISmnsr1">[1]MAXIS!$AF$12:$AI$13</definedName>
    <definedName name="MAXISmnsr2">[1]MAXIS!$AF$14:$AI$15</definedName>
    <definedName name="MAXISmnsr3">[1]MAXIS!$AF$16:$AI$17</definedName>
    <definedName name="MAXISmnsr4">[1]MAXIS!$AF$18:$AI$18</definedName>
    <definedName name="MAXISmnsr5">[1]MAXIS!$AE$19:$AI$29</definedName>
    <definedName name="MAXISmuser1">[1]MAXIS!$AM$12:$AP$13</definedName>
    <definedName name="MAXISmuser2">[1]MAXIS!$AM$14:$AP$15</definedName>
    <definedName name="MAXISmuser3">[1]MAXIS!$AM$16:$AP$17</definedName>
    <definedName name="MAXISmuser4">[1]MAXIS!$AM$18:$AP$18</definedName>
    <definedName name="MAXISmuser5">[1]MAXIS!$AL$19:$AP$29</definedName>
    <definedName name="MAXISnsrmult">[1]MAXIS!$AE$12:$AI$29</definedName>
    <definedName name="MAXISusermult">[1]MAXIS!$AL$12:$AP$29</definedName>
    <definedName name="MCGm1">MCG!$D$9:$G$10</definedName>
    <definedName name="MCGm2">MCG!$D$12:$G$13</definedName>
    <definedName name="MCGm3">MCG!$D$14:$G$17</definedName>
    <definedName name="MCGm4">MCG!$L$25:$O$25</definedName>
    <definedName name="MCGm5">MCG!$C$23:$G$33</definedName>
    <definedName name="MEGAm1" localSheetId="48">MEGA!$D$9:$G$10</definedName>
    <definedName name="MEGAm2" localSheetId="48">MEGA!$D$12:$G$13</definedName>
    <definedName name="MEGAm3" localSheetId="48">MEGA!$D$16:$G$17</definedName>
    <definedName name="MEGAm4" localSheetId="48">MEGA!$L$25:$O$25</definedName>
    <definedName name="MEGAm5" localSheetId="48">MEGA!$C$23:$G$33</definedName>
    <definedName name="MILLIm1" localSheetId="50">MILLI!$D$9:$G$10</definedName>
    <definedName name="MILLIm2" localSheetId="50">MILLI!$D$12:$G$13</definedName>
    <definedName name="MILLIm3" localSheetId="50">MILLI!$D$16:$G$17</definedName>
    <definedName name="MILLIm4" localSheetId="50">MILLI!$L$25:$O$25</definedName>
    <definedName name="MILLIm5" localSheetId="50">MILLI!$C$23:$G$33</definedName>
    <definedName name="MITRAm1" localSheetId="51">MITRA!$D$9:$G$10</definedName>
    <definedName name="MITRAm2" localSheetId="51">MITRA!$D$12:$G$13</definedName>
    <definedName name="MITRAm3" localSheetId="51">MITRA!$D$16:$G$17</definedName>
    <definedName name="MITRAm4" localSheetId="51">MITRA!$L$25:$O$25</definedName>
    <definedName name="MITRAm5" localSheetId="51">MITRA!$C$23:$G$33</definedName>
    <definedName name="MITRAtwr1" localSheetId="51">MITRA!$L$31:$O$31</definedName>
    <definedName name="MITRAtwr2" localSheetId="51">MITRA!$L$32:$O$32</definedName>
    <definedName name="MTNm1" localSheetId="52">MTN!$D$9:$G$10</definedName>
    <definedName name="MTNm2" localSheetId="52">MTN!$D$12:$G$13</definedName>
    <definedName name="MTNm3" localSheetId="52">MTN!$D$16:$G$17</definedName>
    <definedName name="MTNm4" localSheetId="52">MTN!$L$25:$O$25</definedName>
    <definedName name="MTNm5" localSheetId="52">MTN!$C$23:$G$33</definedName>
    <definedName name="MTSm1" localSheetId="54">MTS!$D$9:$G$10</definedName>
    <definedName name="MTSm2" localSheetId="54">MTS!$D$12:$G$13</definedName>
    <definedName name="MTSm3" localSheetId="54">MTS!$D$16:$G$17</definedName>
    <definedName name="MTSm4" localSheetId="54">MTS!$L$25:$O$25</definedName>
    <definedName name="MTSm5" localSheetId="54">MTS!$C$23:$G$33</definedName>
    <definedName name="mult1" localSheetId="3">'DM Multiples'!$B$4:$AC$101</definedName>
    <definedName name="mult1" localSheetId="4">'EM Multiples'!$B$6:$AC$112</definedName>
    <definedName name="mult2" localSheetId="3">'DM Multiples'!$B$102:$AC$201</definedName>
    <definedName name="mult2" localSheetId="4">'EM Multiples'!$B$114:$AC$260</definedName>
    <definedName name="mult3" localSheetId="3">'DM Multiples'!$B$206:$AC$315</definedName>
    <definedName name="mult3" localSheetId="4">'EM Multiples'!$B$264:$AC$412</definedName>
    <definedName name="mult4" localSheetId="3">'DM Multiples'!$B$319:$AC$353</definedName>
    <definedName name="mult4" localSheetId="4">'EM Multiples'!$B$418:$AC$463</definedName>
    <definedName name="mult5" localSheetId="3">'DM Multiples'!$B$357:$AC$441</definedName>
    <definedName name="mult5" localSheetId="4">'EM Multiples'!$B$464:$AC$709</definedName>
    <definedName name="mult6" localSheetId="3">'DM Multiples'!$B$442:$AC$520</definedName>
    <definedName name="mult6" localSheetId="4">'EM Multiples'!$B$711:$AC$812</definedName>
    <definedName name="mult7" localSheetId="3">'DM Multiples'!$B$520:$AC$718</definedName>
    <definedName name="NOS_m1">NOS!$D$9:$G$10</definedName>
    <definedName name="NOS_m2">NOS!$D$12:$G$13</definedName>
    <definedName name="NOS_m3">NOS!$D$16:$G$17</definedName>
    <definedName name="NOS_m4">NOS!$L$25:$O$25</definedName>
    <definedName name="NOS_m5">NOS!$C$23:$G$33</definedName>
    <definedName name="NTTM1">NTT!$D$9:$G$10</definedName>
    <definedName name="NTTM2">NTT!$D$12:$G$13</definedName>
    <definedName name="NTTM3">NTT!$D$16:$G$17</definedName>
    <definedName name="NTTM4">NTT!$L$25:$O$25</definedName>
    <definedName name="NTTM5">NTT!$C$23:$G$33</definedName>
    <definedName name="OBEL_m1">OBEL!$D$9:$G$10</definedName>
    <definedName name="OBEL_m2">OBEL!$D$12:$G$13</definedName>
    <definedName name="OBEL_m3">OBEL!$D$16:$G$17</definedName>
    <definedName name="OBEL_m4">OBEL!$L$25:$O$25</definedName>
    <definedName name="OBEL_m5">OBEL!$C$23:$G$33</definedName>
    <definedName name="OIBRm1">OIBR!$D$9:$G$10</definedName>
    <definedName name="OIBRm2">OIBR!$D$12:$G$13</definedName>
    <definedName name="OIBRm3">OIBR!$D$16:$G$17</definedName>
    <definedName name="OIBRm4">OIBR!$L$25:$O$25</definedName>
    <definedName name="OIBRm5">OIBR!$C$23:$G$33</definedName>
    <definedName name="ORA_m1">ORA!$D$9:$G$10</definedName>
    <definedName name="ORA_m2">ORA!$D$12:$G$13</definedName>
    <definedName name="ORA_m3">ORA!$D$16:$G$17</definedName>
    <definedName name="ORA_m4">ORA!$L$25:$O$25</definedName>
    <definedName name="ORA_m5">ORA!$C$23:$G$33</definedName>
    <definedName name="OTE_m1">OTE!$D$9:$G$10</definedName>
    <definedName name="OTE_m2">OTE!$D$12:$G$13</definedName>
    <definedName name="OTE_m3">OTE!$D$16:$G$17</definedName>
    <definedName name="OTE_m4">OTE!$L$25:$O$25</definedName>
    <definedName name="OTE_m5">OTE!$C$23:$G$34</definedName>
    <definedName name="poop" localSheetId="123" hidden="1">#REF!</definedName>
    <definedName name="poop" localSheetId="122" hidden="1">#REF!</definedName>
    <definedName name="poop" localSheetId="12" hidden="1">#REF!</definedName>
    <definedName name="poop" localSheetId="20" hidden="1">#REF!</definedName>
    <definedName name="poop" localSheetId="24" hidden="1">#REF!</definedName>
    <definedName name="poop" localSheetId="25" hidden="1">#REF!</definedName>
    <definedName name="poop" localSheetId="30" hidden="1">#REF!</definedName>
    <definedName name="poop" localSheetId="128" hidden="1">#REF!</definedName>
    <definedName name="poop" localSheetId="13" hidden="1">#REF!</definedName>
    <definedName name="poop" localSheetId="38" hidden="1">#REF!</definedName>
    <definedName name="poop" localSheetId="46" hidden="1">#REF!</definedName>
    <definedName name="poop" localSheetId="49" hidden="1">#REF!</definedName>
    <definedName name="poop" localSheetId="62" hidden="1">#REF!</definedName>
    <definedName name="poop" localSheetId="68" hidden="1">#REF!</definedName>
    <definedName name="poop" localSheetId="70" hidden="1">#REF!</definedName>
    <definedName name="poop" localSheetId="71" hidden="1">#REF!</definedName>
    <definedName name="poop" localSheetId="86" hidden="1">#REF!</definedName>
    <definedName name="poop" localSheetId="89" hidden="1">#REF!</definedName>
    <definedName name="poop" localSheetId="105" hidden="1">#REF!</definedName>
    <definedName name="poop" localSheetId="103" hidden="1">#REF!</definedName>
    <definedName name="poop" hidden="1">#REF!</definedName>
    <definedName name="price1">Prices!$C$23:$C$32</definedName>
    <definedName name="prices.fx_eur">Prices!$E$148:$F$187</definedName>
    <definedName name="prices.fx_usd">Prices!$B$148:$C$187</definedName>
    <definedName name="priceus1">Prices!$C$40:$C$41</definedName>
    <definedName name="priceus2">Prices!$C$45:$C$47</definedName>
    <definedName name="priceus3">Prices!$C$48:$C$48</definedName>
    <definedName name="priceus4">Prices!$C$51:$C$53</definedName>
    <definedName name="_xlnm.Print_Area" localSheetId="26">_CM!$A$2:$Q$47</definedName>
    <definedName name="_xlnm.Print_Area" localSheetId="27">_CT!$A$2:$Q$47</definedName>
    <definedName name="_xlnm.Print_Area" localSheetId="28">_CU!$A$2:$Q$47</definedName>
    <definedName name="_xlnm.Print_Area" localSheetId="42">_KT!$A$2:$Q$47</definedName>
    <definedName name="_xlnm.Print_Area" localSheetId="43">_LG!$A$2:$Q$47</definedName>
    <definedName name="_xlnm.Print_Area" localSheetId="8">AAF!$A$2:$Q$49</definedName>
    <definedName name="_xlnm.Print_Area" localSheetId="9">ADVANCED!$A$2:$Q$49</definedName>
    <definedName name="_xlnm.Print_Area" localSheetId="121">'AGG ASIA'!$A$3:$Q$46</definedName>
    <definedName name="_xlnm.Print_Area" localSheetId="120">'AGG ASIA CELLULAR'!$A$3:$Q$46</definedName>
    <definedName name="_xlnm.Print_Area" localSheetId="119">'AGG ASIA INCUMB'!$A$3:$Q$46</definedName>
    <definedName name="_xlnm.Print_Area" localSheetId="124">'AGG DM'!$A$3:$Q$46</definedName>
    <definedName name="_xlnm.Print_Area" localSheetId="108">'AGG DM ASIA'!$A$3:$Q$46</definedName>
    <definedName name="_xlnm.Print_Area" localSheetId="123">'AGG DM CELLULAR'!$A$3:$Q$46</definedName>
    <definedName name="_xlnm.Print_Area" localSheetId="122">'AGG DM INCUMB'!$A$3:$Q$46</definedName>
    <definedName name="_xlnm.Print_Area" localSheetId="129">'AGG EM'!$A$3:$Q$46</definedName>
    <definedName name="_xlnm.Print_Area" localSheetId="118">'AGG EM ASIA'!$A$3:$Q$46</definedName>
    <definedName name="_xlnm.Print_Area" localSheetId="10">AMT!$A$2:$Q$49</definedName>
    <definedName name="_xlnm.Print_Area" localSheetId="11">AMX!$A$2:$Q$49</definedName>
    <definedName name="_xlnm.Print_Area" localSheetId="12">ATCUS!$A$2:$Q$50</definedName>
    <definedName name="_xlnm.Print_Area" localSheetId="14">ATT!$A$2:$Q$47</definedName>
    <definedName name="_xlnm.Print_Area" localSheetId="15">AXI!$A$2:$Q$48</definedName>
    <definedName name="_xlnm.Print_Area" localSheetId="130">AXISOP!$A$1:$X$43</definedName>
    <definedName name="_xlnm.Print_Area" localSheetId="16">BHART!$A$2:$Q$47</definedName>
    <definedName name="_xlnm.Print_Area" localSheetId="131">BHARTSOP!$A$1:$X$43</definedName>
    <definedName name="_xlnm.Print_Area" localSheetId="17">BHIN!$A$2:$Q$47</definedName>
    <definedName name="_xlnm.Print_Area" localSheetId="18">BT!$A$2:$Q$47</definedName>
    <definedName name="_xlnm.Print_Area" localSheetId="19">CCI!$A$2:$Q$48</definedName>
    <definedName name="_xlnm.Print_Area" localSheetId="20">ChinaTow!$A$2:$Q$47</definedName>
    <definedName name="_xlnm.Print_Area" localSheetId="21">CHTR!$A$2:$Q$47</definedName>
    <definedName name="_xlnm.Print_Area" localSheetId="22">CHUNG!$A$2:$Q$47</definedName>
    <definedName name="_xlnm.Print_Area" localSheetId="24">CLNX!$A$2:$Q$47</definedName>
    <definedName name="_xlnm.Print_Area" localSheetId="23">CMCSA!$A$2:$Q$47</definedName>
    <definedName name="_xlnm.Print_Area" localSheetId="25">CNU!$A$2:$Q$47</definedName>
    <definedName name="_xlnm.Print_Area" localSheetId="1">Cover!$A$1:$O$39</definedName>
    <definedName name="_xlnm.Print_Area" localSheetId="29">DIGI!$A$2:$Q$47</definedName>
    <definedName name="_xlnm.Print_Area" localSheetId="7">Disclaimer!$A$6:$U$35</definedName>
    <definedName name="_xlnm.Print_Area" localSheetId="3">'DM Multiples'!$A$1:$W$785</definedName>
    <definedName name="_xlnm.Print_Area" localSheetId="30">DRI!$A$2:$R$50</definedName>
    <definedName name="_xlnm.Print_Area" localSheetId="31">DT!$A$2:$Q$50</definedName>
    <definedName name="_xlnm.Print_Area" localSheetId="132">DTSOP!$A$1:$X$56</definedName>
    <definedName name="_xlnm.Print_Area" localSheetId="32">ELISA!$A$2:$Q$49</definedName>
    <definedName name="_xlnm.Print_Area" localSheetId="133">ELISASOP!$A$1:$X$46</definedName>
    <definedName name="_xlnm.Print_Area" localSheetId="127">'EM ALTNET &amp; CABLE'!$A$3:$Q$46</definedName>
    <definedName name="_xlnm.Print_Area" localSheetId="116">'EM ASIA INCUMB'!$A$3:$Q$46</definedName>
    <definedName name="_xlnm.Print_Area" localSheetId="126">'EM CELLULAR'!$A$3:$Q$46</definedName>
    <definedName name="_xlnm.Print_Area" localSheetId="125">'EM INCUMB'!$A$3:$Q$46</definedName>
    <definedName name="_xlnm.Print_Area" localSheetId="4">'EM Multiples'!$A$1:$W$811</definedName>
    <definedName name="_xlnm.Print_Area" localSheetId="128">'EM TOWERS'!$A$3:$Q$46</definedName>
    <definedName name="_xlnm.Print_Area" localSheetId="115">'EMEA AGG'!$A$3:$Q$46</definedName>
    <definedName name="_xlnm.Print_Area" localSheetId="114">'EMEA CELLULAR'!$A$3:$Q$46</definedName>
    <definedName name="_xlnm.Print_Area" localSheetId="113">'EMEA INCUMB'!$A$3:$Q$46</definedName>
    <definedName name="_xlnm.Print_Area" localSheetId="33">ENTEL!$A$2:$Q$47</definedName>
    <definedName name="_xlnm.Print_Area" localSheetId="34">FAR!$A$2:$Q$47</definedName>
    <definedName name="_xlnm.Print_Area" localSheetId="13">FYBR!$A$2:$Q$50</definedName>
    <definedName name="_xlnm.Print_Area" localSheetId="35">HKBN!$A$2:$Q$47</definedName>
    <definedName name="_xlnm.Print_Area" localSheetId="36">IDEA!$A$2:$Q$47</definedName>
    <definedName name="_xlnm.Print_Area" localSheetId="134">IDEASOP!$A$1:$X$40</definedName>
    <definedName name="_xlnm.Print_Area" localSheetId="37">IHS!$A$2:$Q$47</definedName>
    <definedName name="_xlnm.Print_Area" localSheetId="39">INDO!$A$2:$Q$47</definedName>
    <definedName name="_xlnm.Print_Area" localSheetId="40">KDDI!$A$2:$Q$47</definedName>
    <definedName name="_xlnm.Print_Area" localSheetId="41">KPN!$A$2:$Q$49</definedName>
    <definedName name="_xlnm.Print_Area" localSheetId="135">KPNSOP!$A$1:$X$64</definedName>
    <definedName name="_xlnm.Print_Area" localSheetId="112">'LATAM AGG'!$A$3:$Q$46</definedName>
    <definedName name="_xlnm.Print_Area" localSheetId="111">'LATAM ALTNET &amp; CABLE'!$A$3:$Q$46</definedName>
    <definedName name="_xlnm.Print_Area" localSheetId="110">'LATAM CELLULAR'!$A$3:$Q$46</definedName>
    <definedName name="_xlnm.Print_Area" localSheetId="109">'LATAM INCUMB'!$A$3:$Q$46</definedName>
    <definedName name="_xlnm.Print_Area" localSheetId="44">LBTY!$A$2:$Q$47</definedName>
    <definedName name="_xlnm.Print_Area" localSheetId="45">LiLAC!$A$2:$Q$48</definedName>
    <definedName name="_xlnm.Print_Area" localSheetId="46">MAQ!$A$2:$Q$47</definedName>
    <definedName name="_xlnm.Print_Area" localSheetId="47">MAXI!$A$2:$Q$47</definedName>
    <definedName name="_xlnm.Print_Area" localSheetId="48">MEGA!$A$2:$Q$47</definedName>
    <definedName name="_xlnm.Print_Area" localSheetId="50">MILLI!$A$2:$Q$47</definedName>
    <definedName name="_xlnm.Print_Area" localSheetId="51">MITRA!$A$2:$Q$47</definedName>
    <definedName name="_xlnm.Print_Area" localSheetId="52">MTN!$A$2:$Q$47</definedName>
    <definedName name="_xlnm.Print_Area" localSheetId="136">MTNSOP!$A$1:$X$51</definedName>
    <definedName name="_xlnm.Print_Area" localSheetId="54">MTS!$A$2:$Q$47</definedName>
    <definedName name="_xlnm.Print_Area" localSheetId="55">NOS!$A$2:$Q$47</definedName>
    <definedName name="_xlnm.Print_Area" localSheetId="56">NTT!$A$2:$Q$47</definedName>
    <definedName name="_xlnm.Print_Area" localSheetId="53">OBEL!$A$2:$Q$49</definedName>
    <definedName name="_xlnm.Print_Area" localSheetId="137">OBELSOP!$A$1:$X$51</definedName>
    <definedName name="_xlnm.Print_Area" localSheetId="58">OIBR!$A$2:$Q$47</definedName>
    <definedName name="_xlnm.Print_Area" localSheetId="57">ORA!$A$2:$Q$49</definedName>
    <definedName name="_xlnm.Print_Area" localSheetId="138">ORASOP!$A$1:$X$56</definedName>
    <definedName name="_xlnm.Print_Area" localSheetId="59">OTE!$A$2:$Q$49</definedName>
    <definedName name="_xlnm.Print_Area" localSheetId="139">OTESOP!$A$1:$X$57</definedName>
    <definedName name="_xlnm.Print_Area" localSheetId="2">Prices!$A$1:$M$188</definedName>
    <definedName name="_xlnm.Print_Area" localSheetId="96">PROPORTIONATES!$A$1:$K$37</definedName>
    <definedName name="_xlnm.Print_Area" localSheetId="60">PROX!$A$2:$Q$48</definedName>
    <definedName name="_xlnm.Print_Area" localSheetId="140">PROXSOP!$A$1:$X$55</definedName>
    <definedName name="_xlnm.Print_Area" localSheetId="61">PTT!$A$2:$Q$47</definedName>
    <definedName name="_xlnm.Print_Area" localSheetId="62">RAK!$A$2:$Q$47</definedName>
    <definedName name="_xlnm.Print_Area" localSheetId="65">SBAC!$A$2:$Q$47</definedName>
    <definedName name="_xlnm.Print_Area" localSheetId="66">SBKK!$A$2:$Q$47</definedName>
    <definedName name="_xlnm.Print_Area" localSheetId="6">Sectors!$A$1:$W$43</definedName>
    <definedName name="_xlnm.Print_Area" localSheetId="67">SINGTEL!$A$2:$Q$47</definedName>
    <definedName name="_xlnm.Print_Area" localSheetId="68">SITES!$A$2:$Q$47</definedName>
    <definedName name="_xlnm.Print_Area" localSheetId="69">SKT!$A$2:$Q$47</definedName>
    <definedName name="_xlnm.Print_Area" localSheetId="70">SPK!$A$2:$Q$47</definedName>
    <definedName name="_xlnm.Print_Area" localSheetId="71">'ST1'!$A$2:$Q$47</definedName>
    <definedName name="_xlnm.Print_Area" localSheetId="72">SWISS!$A$2:$Q$47</definedName>
    <definedName name="_xlnm.Print_Area" localSheetId="141">SWISSSOP!$A$1:$X$46</definedName>
    <definedName name="_xlnm.Print_Area" localSheetId="73">TAIWAN!$A$2:$Q$47</definedName>
    <definedName name="_xlnm.Print_Area" localSheetId="76">TEF!$A$2:$Q$47</definedName>
    <definedName name="_xlnm.Print_Area" localSheetId="142">TEFSOP!$A$1:$X$55</definedName>
    <definedName name="_xlnm.Print_Area" localSheetId="75">TELE2!$A$2:$Q$50</definedName>
    <definedName name="_xlnm.Print_Area" localSheetId="143">TELE2SOP!$A$1:$X$44</definedName>
    <definedName name="_xlnm.Print_Area" localSheetId="77">TELIA!$A$2:$Q$49</definedName>
    <definedName name="_xlnm.Print_Area" localSheetId="78">TI!$A$2:$Q$47</definedName>
    <definedName name="_xlnm.Print_Area" localSheetId="79">TIMP!$A$2:$Q$47</definedName>
    <definedName name="_xlnm.Print_Area" localSheetId="144">TISOP!$A$1:$X$40</definedName>
    <definedName name="_xlnm.Print_Area" localSheetId="80">TKC!$A$2:$Q$47</definedName>
    <definedName name="_xlnm.Print_Area" localSheetId="82">TKG!$A$2:$Q$47</definedName>
    <definedName name="_xlnm.Print_Area" localSheetId="81">TLS!$A$2:$Q$47</definedName>
    <definedName name="_xlnm.Print_Area" localSheetId="83">TMUS!$A$2:$Q$47</definedName>
    <definedName name="_xlnm.Print_Area" localSheetId="84">TNOR!$A$2:$Q$49</definedName>
    <definedName name="_xlnm.Print_Area" localSheetId="145">TNORSOP!$A$1:$X$69</definedName>
    <definedName name="_xlnm.Print_Area" localSheetId="5">'Tower Multiples'!$A$1:$V$138</definedName>
    <definedName name="_xlnm.Print_Area" localSheetId="86">TPG!$A$2:$Q$47</definedName>
    <definedName name="_xlnm.Print_Area" localSheetId="87">TRUECORP!$A$2:$Q$47</definedName>
    <definedName name="_xlnm.Print_Area" localSheetId="146">TSONSOP!$A$1:$X$90</definedName>
    <definedName name="_xlnm.Print_Area" localSheetId="88">TVIS!$A$2:$Q$47</definedName>
    <definedName name="_xlnm.Print_Area" localSheetId="89">UTDI!$A$2:$Q$49</definedName>
    <definedName name="_xlnm.Print_Area" localSheetId="147">UTDISOP!$A$1:$X$58</definedName>
    <definedName name="_xlnm.Print_Area" localSheetId="90">VIMP!$A$2:$Q$47</definedName>
    <definedName name="_xlnm.Print_Area" localSheetId="91">VIVO!$A$2:$Q$47</definedName>
    <definedName name="_xlnm.Print_Area" localSheetId="93">VOD!$A$2:$Q$47</definedName>
    <definedName name="_xlnm.Print_Area" localSheetId="92">VODA!$A$2:$Q$47</definedName>
    <definedName name="_xlnm.Print_Area" localSheetId="148">VODSOP!$A$1:$X$46</definedName>
    <definedName name="_xlnm.Print_Area" localSheetId="94">VZN!$A$2:$Q$47</definedName>
    <definedName name="_xlnm.Print_Area" localSheetId="104">'W.EUR AGG'!$A$3:$Q$46</definedName>
    <definedName name="_xlnm.Print_Area" localSheetId="105">'W.EUR AGG (ex Towers)'!$A$3:$Q$46</definedName>
    <definedName name="_xlnm.Print_Area" localSheetId="101">'W.EUR INCUMB'!$A$3:$Q$46</definedName>
    <definedName name="_xlnm.Print_Area" localSheetId="102">'W.EUR OTHER'!$A$3:$Q$46</definedName>
    <definedName name="_xlnm.Print_Area" localSheetId="103">'W.EUR TOWER'!$A$3:$Q$46</definedName>
    <definedName name="_xlnm.Print_Area" localSheetId="95">XLAX!$A$2:$Q$47</definedName>
    <definedName name="_xlnm.Print_Titles" localSheetId="3">'DM Multiples'!$1:$5</definedName>
    <definedName name="_xlnm.Print_Titles" localSheetId="4">'EM Multiples'!$1:$5</definedName>
    <definedName name="_xlnm.Print_Titles" localSheetId="2">Prices!$1:$5</definedName>
    <definedName name="_xlnm.Print_Titles" localSheetId="6">Sectors!$1:$5</definedName>
    <definedName name="_xlnm.Print_Titles" localSheetId="5">'Tower Multiples'!$1:$5</definedName>
    <definedName name="PROX_m1" localSheetId="60">PROX!$D$9:$G$10</definedName>
    <definedName name="PROX_m2" localSheetId="60">PROX!$D$12:$G$13</definedName>
    <definedName name="PROX_m3" localSheetId="60">PROX!$D$16:$G$17</definedName>
    <definedName name="PROX_m4" localSheetId="60">PROX!$L$25:$O$25</definedName>
    <definedName name="PROX_m5" localSheetId="60">PROX!$C$23:$G$33</definedName>
    <definedName name="proxvalue">PROXSOP!$X$46:$X$48</definedName>
    <definedName name="pttm1">PTT!$D$9:$G$10</definedName>
    <definedName name="pttm2">PTT!$D$12:$G$13</definedName>
    <definedName name="pttm3">PTT!$D$16:$G$17</definedName>
    <definedName name="pttm4">PTT!$L$25:$O$25</definedName>
    <definedName name="pttm5">PTT!$C$23:$G$33</definedName>
    <definedName name="puff" localSheetId="123" hidden="1">#REF!</definedName>
    <definedName name="puff" localSheetId="122" hidden="1">#REF!</definedName>
    <definedName name="puff" localSheetId="12" hidden="1">#REF!</definedName>
    <definedName name="puff" localSheetId="20" hidden="1">#REF!</definedName>
    <definedName name="puff" localSheetId="24" hidden="1">#REF!</definedName>
    <definedName name="puff" localSheetId="25" hidden="1">#REF!</definedName>
    <definedName name="puff" localSheetId="30" hidden="1">#REF!</definedName>
    <definedName name="puff" localSheetId="128" hidden="1">#REF!</definedName>
    <definedName name="puff" localSheetId="13" hidden="1">#REF!</definedName>
    <definedName name="puff" localSheetId="38" hidden="1">#REF!</definedName>
    <definedName name="puff" localSheetId="46" hidden="1">#REF!</definedName>
    <definedName name="puff" localSheetId="49" hidden="1">#REF!</definedName>
    <definedName name="puff" localSheetId="62" hidden="1">#REF!</definedName>
    <definedName name="puff" localSheetId="68" hidden="1">#REF!</definedName>
    <definedName name="puff" localSheetId="70" hidden="1">#REF!</definedName>
    <definedName name="puff" localSheetId="71" hidden="1">#REF!</definedName>
    <definedName name="puff" localSheetId="86" hidden="1">#REF!</definedName>
    <definedName name="puff" localSheetId="89" hidden="1">#REF!</definedName>
    <definedName name="puff" localSheetId="105" hidden="1">#REF!</definedName>
    <definedName name="puff" localSheetId="103" hidden="1">#REF!</definedName>
    <definedName name="puff" hidden="1">#REF!</definedName>
    <definedName name="put" localSheetId="123" hidden="1">#REF!</definedName>
    <definedName name="put" localSheetId="122" hidden="1">#REF!</definedName>
    <definedName name="put" localSheetId="12" hidden="1">#REF!</definedName>
    <definedName name="put" localSheetId="20" hidden="1">#REF!</definedName>
    <definedName name="put" localSheetId="24" hidden="1">#REF!</definedName>
    <definedName name="put" localSheetId="25" hidden="1">#REF!</definedName>
    <definedName name="put" localSheetId="30" hidden="1">#REF!</definedName>
    <definedName name="put" localSheetId="128" hidden="1">#REF!</definedName>
    <definedName name="put" localSheetId="13" hidden="1">#REF!</definedName>
    <definedName name="put" localSheetId="38" hidden="1">#REF!</definedName>
    <definedName name="put" localSheetId="46" hidden="1">#REF!</definedName>
    <definedName name="put" localSheetId="49" hidden="1">#REF!</definedName>
    <definedName name="put" localSheetId="62" hidden="1">#REF!</definedName>
    <definedName name="put" localSheetId="68" hidden="1">#REF!</definedName>
    <definedName name="put" localSheetId="70" hidden="1">#REF!</definedName>
    <definedName name="put" localSheetId="71" hidden="1">#REF!</definedName>
    <definedName name="put" localSheetId="86" hidden="1">#REF!</definedName>
    <definedName name="put" localSheetId="89" hidden="1">#REF!</definedName>
    <definedName name="put" localSheetId="105" hidden="1">#REF!</definedName>
    <definedName name="put" localSheetId="103" hidden="1">#REF!</definedName>
    <definedName name="put" hidden="1">#REF!</definedName>
    <definedName name="RAKm1">RAK!$D$9:$G$10</definedName>
    <definedName name="RAKm2">RAK!$D$12:$G$13</definedName>
    <definedName name="RAKm3">RAK!$D$12:$G$15</definedName>
    <definedName name="RAKm4">RAK!$L$25:$O$25</definedName>
    <definedName name="RAKm5">RAK!$C$23:$G$33</definedName>
    <definedName name="ratings_eu_incumb">Prices!$D$8:$E$19</definedName>
    <definedName name="ratings_eu_other">Prices!$D$22:$E$32</definedName>
    <definedName name="ratings_eu_towers">Prices!$D$35:$E$36</definedName>
    <definedName name="SAFm1">SAF!$D$9:$G$10</definedName>
    <definedName name="SAFm2">SAF!$D$12:$G$13</definedName>
    <definedName name="SAFm3">SAF!$D$16:$G$17</definedName>
    <definedName name="SAFm4">SAF!$L$25:$O$25</definedName>
    <definedName name="SAFm5">SAF!$C$23:$G$33</definedName>
    <definedName name="SATSm1">SATS!$D$9:$G$10</definedName>
    <definedName name="SATSm2">SATS!$D$12:$G$13</definedName>
    <definedName name="SATSm3">SATS!$D$16:$G$17</definedName>
    <definedName name="SATSm4">SATS!$L$25:$O$25</definedName>
    <definedName name="SATSm5">SATS!$C$23:$G$33</definedName>
    <definedName name="SATSm6">SATS!$D$14:$G$15</definedName>
    <definedName name="SBACm1" localSheetId="65">SBAC!$D$9:$G$10</definedName>
    <definedName name="SBACm2" localSheetId="65">SBAC!$D$12:$G$13</definedName>
    <definedName name="SBACm3" localSheetId="65">SBAC!$D$16:$G$17</definedName>
    <definedName name="SBACm4" localSheetId="65">SBAC!$L$25:$O$25</definedName>
    <definedName name="SBACm5" localSheetId="65">SBAC!$C$23:$G$33</definedName>
    <definedName name="SBACm6">SBAC!$D$14:$G$15</definedName>
    <definedName name="sbkkm1" localSheetId="62">RAK!$D$9:$G$10</definedName>
    <definedName name="sbkkm1">SBKK!$D$9:$G$10</definedName>
    <definedName name="sbkkm2" localSheetId="62">RAK!$D$12:$G$13</definedName>
    <definedName name="sbkkm2">SBKK!$D$12:$G$13</definedName>
    <definedName name="sbkkm3" localSheetId="62">RAK!$D$16:$G$17</definedName>
    <definedName name="sbkkm3">SBKK!$D$16:$G$17</definedName>
    <definedName name="sbkkm4" localSheetId="62">RAK!$L$25:$O$25</definedName>
    <definedName name="sbkkm4">SBKK!$L$25:$O$25</definedName>
    <definedName name="sbkkm5" localSheetId="62">RAK!$C$23:$G$33</definedName>
    <definedName name="sbkkm5">SBKK!$C$23:$G$33</definedName>
    <definedName name="SecretArchiveNumber" hidden="1">1</definedName>
    <definedName name="sencount" hidden="1">1</definedName>
    <definedName name="SINGTELm1">SINGTEL!$D$9:$G$10</definedName>
    <definedName name="SINGTELm2">SINGTEL!$D$12:$G$13</definedName>
    <definedName name="SINGTELm3">SINGTEL!$D$16:$G$17</definedName>
    <definedName name="SINGTELm4">SINGTEL!$L$25:$O$25</definedName>
    <definedName name="SINGTELm5">SINGTEL!$C$23:$G$33</definedName>
    <definedName name="SINGTELMM6">PROPORTIONATES!$G$45:$J$46</definedName>
    <definedName name="SINGTELMM7">PROPORTIONATES!$G$48:$J$49</definedName>
    <definedName name="SINGTELMM8">PROPORTIONATES!$G$52:$J$53</definedName>
    <definedName name="SINGTELMM9">PROPORTIONATES!$F$60:$J$62</definedName>
    <definedName name="SITESm1">SITES!$D$9:$G$10</definedName>
    <definedName name="SITESm2">SITES!$D$12:$G$14</definedName>
    <definedName name="SITESm3">SITES!$D$16:$G$17</definedName>
    <definedName name="SITESm4">SITES!$L$25:$O$25</definedName>
    <definedName name="SITESm5">SITES!$C$23:$G$33</definedName>
    <definedName name="SITESm6">SITES!$L$31:$O$32</definedName>
    <definedName name="SITEStwr1">SITES!$L$31:$O$31</definedName>
    <definedName name="SITEStwr2">SITES!$L$32:$O$32</definedName>
    <definedName name="SKTm1">SKT!$D$9:$G$10</definedName>
    <definedName name="SKTm2">SKT!$D$12:$G$13</definedName>
    <definedName name="SKTm3">SKT!$D$16:$G$17</definedName>
    <definedName name="SKTm4">SKT!$L$25:$O$25</definedName>
    <definedName name="SKTm5">SKT!$C$23:$G$33</definedName>
    <definedName name="sop" localSheetId="130">AXISOP!$A$5:$D$7</definedName>
    <definedName name="sop" localSheetId="131">BHARTSOP!$A$5:$D$7</definedName>
    <definedName name="sop" localSheetId="132">DTSOP!$A$5:$D$7</definedName>
    <definedName name="sop" localSheetId="134">IDEASOP!$A$5:$D$7</definedName>
    <definedName name="sop" localSheetId="135">KPNSOP!$A$5:$D$7</definedName>
    <definedName name="sop" localSheetId="136">MTNSOP!$A$5:$D$7</definedName>
    <definedName name="sop" localSheetId="138">ORASOP!$A$5:$D$7</definedName>
    <definedName name="sop" localSheetId="139">OTESOP!$A$5:$D$7</definedName>
    <definedName name="sop" localSheetId="140">PROXSOP!$A$5:$D$7</definedName>
    <definedName name="sop" localSheetId="141">SWISSSOP!$A$5:$D$7</definedName>
    <definedName name="sop" localSheetId="142">TEFSOP!$A$5:$D$7</definedName>
    <definedName name="sop" localSheetId="143">TELE2SOP!$A$5:$D$8</definedName>
    <definedName name="sop" localSheetId="144">TISOP!$A$5:$D$7</definedName>
    <definedName name="sop" localSheetId="145">TNORSOP!$A$5:$D$7</definedName>
    <definedName name="sop" localSheetId="146">TSONSOP!$A$5:$D$7</definedName>
    <definedName name="sparkrecpt">Prices!$D$57:$E$57</definedName>
    <definedName name="spiritrecpt">Prices!$D$69:$E$69</definedName>
    <definedName name="SPKm1">SPK!$D$9:$G$10</definedName>
    <definedName name="SPKm2">SPK!$D$12:$G$13</definedName>
    <definedName name="SPKm3">SPK!$D$14:$G$15</definedName>
    <definedName name="SPKm4">SPK!$D$16:$G$17</definedName>
    <definedName name="SPKm5">SPK!$L$25:$O$25</definedName>
    <definedName name="SPKm6">SPK!$C$23:$G$33</definedName>
    <definedName name="ST1m1">'ST1'!$D$9:$G$10</definedName>
    <definedName name="ST1m2">'ST1'!$D$12:$G$13</definedName>
    <definedName name="ST1m3">'ST1'!$D$14:$G$15</definedName>
    <definedName name="ST1m4">'ST1'!$D$16:$G$17</definedName>
    <definedName name="ST1m5">'ST1'!$L$25:$O$25</definedName>
    <definedName name="ST1m6">'ST1'!$C$23:$G$33</definedName>
    <definedName name="SWISS_m1">SWISS!$D$9:$G$10</definedName>
    <definedName name="SWISS_m2">SWISS!$D$12:$G$13</definedName>
    <definedName name="SWISS_m3">SWISS!$D$16:$G$17</definedName>
    <definedName name="SWISS_m4">SWISS!$L$25:$O$25</definedName>
    <definedName name="SWISS_m5">SWISS!$C$23:$G$33</definedName>
    <definedName name="TAIWANM1">TAIWAN!$D$9:$G$10</definedName>
    <definedName name="TAIWANM2">TAIWAN!$D$12:$G$13</definedName>
    <definedName name="TAIWANM3">TAIWAN!$D$16:$G$17</definedName>
    <definedName name="TAIWANM4">TAIWAN!$L$25:$O$25</definedName>
    <definedName name="TAIWANM5">TAIWAN!$C$23:$G$33</definedName>
    <definedName name="target1">Prices!$E$23:$E$32</definedName>
    <definedName name="TBIGm1">TBIG!$D$9:$G$10</definedName>
    <definedName name="TBIGm2">TBIG!$D$12:$G$13</definedName>
    <definedName name="TBIGm3">TBIG!$D$16:$G$17</definedName>
    <definedName name="TBIGm4">TBIG!$L$25:$O$25</definedName>
    <definedName name="TBIGm5">TBIG!$C$23:$G$33</definedName>
    <definedName name="TBIGtwr1">TBIG!$L$31:$O$31</definedName>
    <definedName name="TBIGtwr2">TBIG!$L$32:$O$32</definedName>
    <definedName name="TEF_m1">TEF!$D$9:$G$10</definedName>
    <definedName name="TEF_m2">TEF!$D$12:$G$13</definedName>
    <definedName name="TEF_m3">TEF!$D$16:$G$17</definedName>
    <definedName name="TEF_m4">TEF!$L$25:$O$25</definedName>
    <definedName name="TEF_m5">TEF!$C$23:$G$33</definedName>
    <definedName name="TELE2_m1">TELE2!$D$9:$G$10</definedName>
    <definedName name="TELE2_m2">TELE2!$D$12:$G$13</definedName>
    <definedName name="TELE2_m3">TELE2!$D$16:$G$17</definedName>
    <definedName name="TELE2_m4">TELE2!$L$25:$O$25</definedName>
    <definedName name="TELE2_m5">TELE2!$C$23:$G$33</definedName>
    <definedName name="tele2target">Prices!$E$29:$E$30</definedName>
    <definedName name="TELIA_m1">TELIA!$D$9:$G$10</definedName>
    <definedName name="TELIA_m2">TELIA!$D$12:$G$13</definedName>
    <definedName name="TELIA_m3">TELIA!$D$16:$G$17</definedName>
    <definedName name="TELIA_m4">TELIA!$L$25:$O$25</definedName>
    <definedName name="TELIA_m5">TELIA!$C$23:$G$33</definedName>
    <definedName name="telstrarec">Prices!$D$59</definedName>
    <definedName name="telstrarecpt">Prices!$D$59:$E$59</definedName>
    <definedName name="telstratgt">Prices!$E$59</definedName>
    <definedName name="TI_m1">TI!$D$9:$G$10</definedName>
    <definedName name="TI_m2">TI!$D$12:$G$13</definedName>
    <definedName name="TI_m3">TI!$D$16:$G$17</definedName>
    <definedName name="TI_m4">TI!$L$25:$O$25</definedName>
    <definedName name="TI_m5">TI!$C$23:$G$33</definedName>
    <definedName name="TIMPm1">TIMP!$D$9:$G$10</definedName>
    <definedName name="TIMPm2">TIMP!$D$12:$G$13</definedName>
    <definedName name="TIMPm3">TIMP!$D$16:$G$17</definedName>
    <definedName name="TIMPm4">TIMP!$L$25:$O$25</definedName>
    <definedName name="TIMPm5">TIMP!$C$23:$G$33</definedName>
    <definedName name="TKCm1">TKC!$D$9:$G$10</definedName>
    <definedName name="TKCm2">TKC!$D$12:$G$13</definedName>
    <definedName name="TKCm3">TKC!$D$16:$G$17</definedName>
    <definedName name="TKCm4">TKC!$L$25:$O$25</definedName>
    <definedName name="TKCm5">TKC!$C$23:$G$33</definedName>
    <definedName name="TKGm1" localSheetId="82">TKG!$D$9:$G$10</definedName>
    <definedName name="TKGm2" localSheetId="82">TKG!$D$12:$G$13</definedName>
    <definedName name="TKGm3" localSheetId="82">TKG!$D$16:$G$17</definedName>
    <definedName name="TKGm4" localSheetId="82">TKG!$L$25:$O$25</definedName>
    <definedName name="TKGm5" localSheetId="82">TKG!$C$23:$G$33</definedName>
    <definedName name="TLSm1">TLS!$D$9:$G$10</definedName>
    <definedName name="TLSm2">TLS!$D$12:$G$13</definedName>
    <definedName name="TLSm3">TLS!$D$14:$G$15</definedName>
    <definedName name="TLSm4">TLS!$D$16:$G$17</definedName>
    <definedName name="TLSm5">TLS!$L$25:$O$25</definedName>
    <definedName name="TLSm6">TLS!$C$23:$G$33</definedName>
    <definedName name="TMUSm1">TMUS!$D$9:$G$10</definedName>
    <definedName name="TMUSm2">TMUS!$D$12:$G$13</definedName>
    <definedName name="TMUSm3">TMUS!$D$16:$G$17</definedName>
    <definedName name="TMUSm4">TMUS!$L$25:$O$25</definedName>
    <definedName name="TMUSm5">TMUS!$C$23:$G$33</definedName>
    <definedName name="TMUSm6">TMUS!$D$14:$G$15</definedName>
    <definedName name="TNOR_m1">TNOR!$D$9:$G$10</definedName>
    <definedName name="TNOR_m2">TNOR!$D$12:$G$13</definedName>
    <definedName name="TNOR_m3">TNOR!$D$16:$G$17</definedName>
    <definedName name="TNOR_m4">TNOR!$L$25:$O$25</definedName>
    <definedName name="TNOR_m5">TNOR!$C$23:$G$33</definedName>
    <definedName name="towercomp">Prices!$B$35:$B$36</definedName>
    <definedName name="towertarget">Prices!$E$35:$E$36</definedName>
    <definedName name="TOWRM1" localSheetId="85">TOWR!$D$9:$G$10</definedName>
    <definedName name="TOWRM2" localSheetId="85">TOWR!$D$12:$G$13</definedName>
    <definedName name="TOWRM3" localSheetId="85">TOWR!$D$16:$G$17</definedName>
    <definedName name="TOWRM4" localSheetId="85">TOWR!$L$25:$O$25</definedName>
    <definedName name="TOWRM5" localSheetId="85">TOWR!$C$23:$G$33</definedName>
    <definedName name="TOWRtwr1">TOWR!$L$31:$O$31</definedName>
    <definedName name="TOWRtwr2">TOWR!$L$32:$O$32</definedName>
    <definedName name="TPGm1">TPG!$D$9:$G$10</definedName>
    <definedName name="TPGm2">TPG!$D$12:$G$13</definedName>
    <definedName name="TPGm3">TPG!$D$14:$G$15</definedName>
    <definedName name="TPGm4">TPG!$D$16:$G$17</definedName>
    <definedName name="TPGm5">TPG!$L$25:$O$25</definedName>
    <definedName name="TPGm6">TPG!$C$23:$G$33</definedName>
    <definedName name="tpgrecpt">Prices!$D$70:$E$70</definedName>
    <definedName name="TRUECORPm1" localSheetId="87">TRUECORP!$D$9:$G$10</definedName>
    <definedName name="TRUECORPm2" localSheetId="87">TRUECORP!$D$12:$G$13</definedName>
    <definedName name="TRUECORPm3" localSheetId="87">TRUECORP!$D$16:$G$17</definedName>
    <definedName name="TRUECORPm4" localSheetId="87">TRUECORP!$L$25:$O$25</definedName>
    <definedName name="TRUECORPm5" localSheetId="87">TRUECORP!$C$23:$G$33</definedName>
    <definedName name="TVISm1" localSheetId="88">TVIS!$D$9:$G$10</definedName>
    <definedName name="TVISm2" localSheetId="88">TVIS!$D$12:$G$13</definedName>
    <definedName name="TVISm3" localSheetId="88">TVIS!$D$16:$G$17</definedName>
    <definedName name="TVISm4" localSheetId="88">TVIS!$L$25:$O$25</definedName>
    <definedName name="TVISm5" localSheetId="88">TVIS!$C$23:$G$33</definedName>
    <definedName name="US_P1">Prices!$D$39:$E$41</definedName>
    <definedName name="US_P2">Prices!$D$44:$E$48</definedName>
    <definedName name="US_P3">Prices!$D$51:$E$53</definedName>
    <definedName name="UTDI_m1">UTDI!$D$9:$G$10</definedName>
    <definedName name="UTDI_m2">UTDI!$D$12:$G$13</definedName>
    <definedName name="UTDI_m3">UTDI!$D$16:$G$17</definedName>
    <definedName name="UTDI_m4">UTDI!$L$25:$O$25</definedName>
    <definedName name="UTDI_m5">UTDI!$C$23:$G$33</definedName>
    <definedName name="VIMPm1" localSheetId="90">VIMP!$D$9:$G$10</definedName>
    <definedName name="VIMPm2" localSheetId="90">VIMP!$D$12:$G$13</definedName>
    <definedName name="VIMPm3" localSheetId="90">VIMP!$D$16:$G$17</definedName>
    <definedName name="VIMPm4" localSheetId="90">VIMP!$L$25:$O$25</definedName>
    <definedName name="VIMPm5" localSheetId="90">VIMP!$C$23:$G$33</definedName>
    <definedName name="VIVOm1">VIVO!$D$9:$G$10</definedName>
    <definedName name="VIVOm2">VIVO!$D$12:$G$13</definedName>
    <definedName name="VIVOm3">VIVO!$D$16:$G$17</definedName>
    <definedName name="VIVOm4">VIVO!$L$25:$O$25</definedName>
    <definedName name="VIVOm5">VIVO!$C$23:$G$33</definedName>
    <definedName name="VOD_m1">VOD!$D$9:$G$10</definedName>
    <definedName name="VOD_m2">VOD!$D$12:$G$13</definedName>
    <definedName name="VOD_m3">VOD!$D$16:$G$17</definedName>
    <definedName name="VOD_m4">VOD!$L$25:$O$25</definedName>
    <definedName name="VOD_m5">VOD!$C$23:$G$33</definedName>
    <definedName name="VODAm1">VODA!$D$9:$G$10</definedName>
    <definedName name="VODAm2">VODA!$D$12:$G$13</definedName>
    <definedName name="VODAm3">VODA!$D$16:$G$17</definedName>
    <definedName name="VODAm4">VODA!$L$25:$O$25</definedName>
    <definedName name="VODAm5">VODA!$C$23:$G$33</definedName>
    <definedName name="vodpm6">PROPORTIONATES!$G$11:$J$12</definedName>
    <definedName name="vodpm7">PROPORTIONATES!$G$14:$J$15</definedName>
    <definedName name="vodpm8">PROPORTIONATES!$G$18:$J$19</definedName>
    <definedName name="vodpm9">PROPORTIONATES!$F$26:$J$28</definedName>
    <definedName name="vodtarget">Prices!$E$32</definedName>
    <definedName name="VZNm1">VZN!$D$9:$G$10</definedName>
    <definedName name="VZNm2">VZN!$D$12:$G$13</definedName>
    <definedName name="VZNm3">VZN!$D$16:$G$17</definedName>
    <definedName name="VZNm4">VZN!$L$25:$O$25</definedName>
    <definedName name="VZNm5">VZN!$C$23:$G$33</definedName>
    <definedName name="VZNm6">VZN!$D$14:$G$15</definedName>
    <definedName name="WE_EQ_MULTIPLES" localSheetId="3">'DM Multiples'!$C$120:$Z$174</definedName>
    <definedName name="WE_EQ_MULTIPLES" localSheetId="4">'EM Multiples'!$C$258:$Z$380</definedName>
    <definedName name="WE_EV_MULTIPLES" localSheetId="3">'DM Multiples'!$C$4:$AB$110</definedName>
    <definedName name="WE_EV_MULTIPLES" localSheetId="4">'EM Multiples'!$C$6:$AB$126</definedName>
    <definedName name="WE_GEARING" localSheetId="3">'DM Multiples'!$C$444:$Z$499</definedName>
    <definedName name="WE_GROWTH" localSheetId="3">'DM Multiples'!$C$285:$Z$335</definedName>
    <definedName name="WE_GROWTH" localSheetId="4">'EM Multiples'!$C$758:$Z$812</definedName>
    <definedName name="WE_MARGINS" localSheetId="3">'DM Multiples'!$C$338:$Z$386</definedName>
    <definedName name="WE_PROFIT" localSheetId="3">'DM Multiples'!$C$234:$Z$282</definedName>
    <definedName name="WE_PROFIT" localSheetId="4">'EM Multiples'!$C$516:$Z$752</definedName>
    <definedName name="WE_SIZE" localSheetId="3">'DM Multiples'!$C$500:$Z$673</definedName>
    <definedName name="WEurRatings">Prices!$D$8:$D$37</definedName>
    <definedName name="WEurTargets">Prices!$E$8:$E$37</definedName>
    <definedName name="wrn.PandL." localSheetId="71" hidden="1">{"P&amp;L",#N/A,FALSE,"annual"}</definedName>
    <definedName name="wrn.PandL." hidden="1">{"P&amp;L",#N/A,FALSE,"annual"}</definedName>
    <definedName name="wrn.Vodafone._.printout." localSheetId="71" hidden="1">{"Groupannual",#N/A,FALSE,"Groupannual";"VodMann",#N/A,FALSE,"VodMann";"Data",#N/A,FALSE,"Data";"Group International",#N/A,FALSE,"Group International";"BellAir",#N/A,FALSE,"BellAir";"DCF sum of parts",#N/A,FALSE,"DCF sum of parts";"licences",#N/A,FALSE,"licences"}</definedName>
    <definedName name="wrn.Vodafone._.printout." hidden="1">{"Groupannual",#N/A,FALSE,"Groupannual";"VodMann",#N/A,FALSE,"VodMann";"Data",#N/A,FALSE,"Data";"Group International",#N/A,FALSE,"Group International";"BellAir",#N/A,FALSE,"BellAir";"DCF sum of parts",#N/A,FALSE,"DCF sum of parts";"licences",#N/A,FALSE,"licences"}</definedName>
    <definedName name="xft" localSheetId="12" hidden="1">#REF!</definedName>
    <definedName name="xft" localSheetId="20" hidden="1">#REF!</definedName>
    <definedName name="xft" localSheetId="25" hidden="1">#REF!</definedName>
    <definedName name="xft" localSheetId="13" hidden="1">#REF!</definedName>
    <definedName name="xft" localSheetId="46" hidden="1">#REF!</definedName>
    <definedName name="xft" localSheetId="49" hidden="1">#REF!</definedName>
    <definedName name="xft" localSheetId="62" hidden="1">#REF!</definedName>
    <definedName name="xft" localSheetId="86" hidden="1">#REF!</definedName>
    <definedName name="xft" hidden="1">#REF!</definedName>
    <definedName name="xfttt" localSheetId="12" hidden="1">#REF!</definedName>
    <definedName name="xfttt" localSheetId="20" hidden="1">#REF!</definedName>
    <definedName name="xfttt" localSheetId="25" hidden="1">#REF!</definedName>
    <definedName name="xfttt" localSheetId="13" hidden="1">#REF!</definedName>
    <definedName name="xfttt" localSheetId="46" hidden="1">#REF!</definedName>
    <definedName name="xfttt" localSheetId="49" hidden="1">#REF!</definedName>
    <definedName name="xfttt" localSheetId="62" hidden="1">#REF!</definedName>
    <definedName name="xfttt" localSheetId="86" hidden="1">#REF!</definedName>
    <definedName name="xfttt" hidden="1">#REF!</definedName>
    <definedName name="XLAXm1">XLAX!$D$9:$G$10</definedName>
    <definedName name="XLAXm2">XLAX!$D$12:$G$13</definedName>
    <definedName name="XLAXm3">XLAX!$D$16:$G$17</definedName>
    <definedName name="XLAXm4">XLAX!$L$25:$O$25</definedName>
    <definedName name="XLAXm5">XLAX!$C$23:$G$33</definedName>
    <definedName name="xx" localSheetId="12" hidden="1">#REF!</definedName>
    <definedName name="xx" localSheetId="20" hidden="1">#REF!</definedName>
    <definedName name="xx" localSheetId="25" hidden="1">#REF!</definedName>
    <definedName name="xx" localSheetId="13" hidden="1">#REF!</definedName>
    <definedName name="xx" localSheetId="46" hidden="1">#REF!</definedName>
    <definedName name="xx" localSheetId="49" hidden="1">#REF!</definedName>
    <definedName name="xx" localSheetId="62" hidden="1">#REF!</definedName>
    <definedName name="xx" localSheetId="86" hidden="1">#REF!</definedName>
    <definedName name="xx" hidden="1">#REF!</definedName>
    <definedName name="yum" localSheetId="12" hidden="1">#REF!</definedName>
    <definedName name="yum" localSheetId="20" hidden="1">#REF!</definedName>
    <definedName name="yum" localSheetId="25" hidden="1">#REF!</definedName>
    <definedName name="yum" localSheetId="13" hidden="1">#REF!</definedName>
    <definedName name="yum" localSheetId="46" hidden="1">#REF!</definedName>
    <definedName name="yum" localSheetId="49" hidden="1">#REF!</definedName>
    <definedName name="yum" localSheetId="62" hidden="1">#REF!</definedName>
    <definedName name="yum" localSheetId="86" hidden="1">#REF!</definedName>
    <definedName name="yum" hidden="1">#REF!</definedName>
    <definedName name="yumyum" localSheetId="12" hidden="1">#REF!</definedName>
    <definedName name="yumyum" localSheetId="20" hidden="1">#REF!</definedName>
    <definedName name="yumyum" localSheetId="25" hidden="1">#REF!</definedName>
    <definedName name="yumyum" localSheetId="13" hidden="1">#REF!</definedName>
    <definedName name="yumyum" localSheetId="46" hidden="1">#REF!</definedName>
    <definedName name="yumyum" localSheetId="49" hidden="1">#REF!</definedName>
    <definedName name="yumyum" localSheetId="62" hidden="1">#REF!</definedName>
    <definedName name="yumyum" localSheetId="86" hidden="1">#REF!</definedName>
    <definedName name="yumyum" hidden="1">#REF!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12" i="164" l="1"/>
  <c r="I12" i="164"/>
  <c r="H12" i="164"/>
  <c r="G12" i="164"/>
  <c r="L171" i="5" a="1"/>
  <c r="L120" i="5" a="1"/>
  <c r="L47" i="5" a="1"/>
  <c r="L14" i="5" a="1"/>
  <c r="L94" i="5" a="1"/>
  <c r="L105" i="5" a="1"/>
  <c r="L167" i="5" a="1"/>
  <c r="L153" i="5" a="1"/>
  <c r="L160" i="5" a="1"/>
  <c r="L149" i="5" a="1"/>
  <c r="L163" i="5" a="1"/>
  <c r="L117" i="5" a="1"/>
  <c r="L74" i="5" a="1"/>
  <c r="L26" i="5" a="1"/>
  <c r="L174" i="5" a="1"/>
  <c r="L136" i="5" a="1"/>
  <c r="L159" i="5" a="1"/>
  <c r="L111" i="5" a="1"/>
  <c r="L68" i="5" a="1"/>
  <c r="L22" i="5" a="1"/>
  <c r="L170" i="5" a="1"/>
  <c r="L130" i="5" a="1"/>
  <c r="L83" i="5" a="1"/>
  <c r="L35" i="5" a="1"/>
  <c r="L177" i="5" a="1"/>
  <c r="L141" i="5" a="1"/>
  <c r="L90" i="5" a="1"/>
  <c r="L46" i="5" a="1"/>
  <c r="L184" i="5" a="1"/>
  <c r="L152" i="5" a="1"/>
  <c r="L99" i="5" a="1"/>
  <c r="L57" i="5" a="1"/>
  <c r="L13" i="5" a="1"/>
  <c r="L11" i="5" a="1"/>
  <c r="L18" i="5" a="1"/>
  <c r="L75" i="5" a="1"/>
  <c r="L125" i="5" a="1"/>
  <c r="L91" i="5" a="1"/>
  <c r="L58" i="5" a="1"/>
  <c r="L23" i="5" a="1"/>
  <c r="L181" i="5" a="1"/>
  <c r="L52" i="5" a="1"/>
  <c r="L187" i="5" a="1"/>
  <c r="L155" i="5" a="1"/>
  <c r="L104" i="5" a="1"/>
  <c r="L60" i="5" a="1"/>
  <c r="L16" i="5" a="1"/>
  <c r="L166" i="5" a="1"/>
  <c r="L124" i="5" a="1"/>
  <c r="L77" i="5" a="1"/>
  <c r="L29" i="5" a="1"/>
  <c r="L173" i="5" a="1"/>
  <c r="L135" i="5" a="1"/>
  <c r="L86" i="5" a="1"/>
  <c r="L40" i="5" a="1"/>
  <c r="L180" i="5" a="1"/>
  <c r="L148" i="5" a="1"/>
  <c r="L93" i="5" a="1"/>
  <c r="L51" i="5" a="1"/>
  <c r="L9" i="5" a="1"/>
  <c r="L138" i="5" a="1"/>
  <c r="L45" i="5" a="1"/>
  <c r="L175" i="5" a="1"/>
  <c r="L186" i="5" a="1"/>
  <c r="L101" i="5" a="1"/>
  <c r="L161" i="5" a="1"/>
  <c r="L168" i="5" a="1"/>
  <c r="L131" i="5" a="1"/>
  <c r="L182" i="5" a="1"/>
  <c r="L64" i="5" a="1"/>
  <c r="L80" i="5" a="1"/>
  <c r="L144" i="5" a="1"/>
  <c r="L100" i="5" a="1"/>
  <c r="L112" i="5" a="1"/>
  <c r="L87" i="5" a="1"/>
  <c r="L183" i="5" a="1"/>
  <c r="L151" i="5" a="1"/>
  <c r="L98" i="5" a="1"/>
  <c r="L56" i="5" a="1"/>
  <c r="L12" i="5" a="1"/>
  <c r="L162" i="5" a="1"/>
  <c r="L114" i="5" a="1"/>
  <c r="L71" i="5" a="1"/>
  <c r="L25" i="5" a="1"/>
  <c r="L169" i="5" a="1"/>
  <c r="L127" i="5" a="1"/>
  <c r="L82" i="5" a="1"/>
  <c r="L32" i="5" a="1"/>
  <c r="L176" i="5" a="1"/>
  <c r="L89" i="5" a="1"/>
  <c r="L88" i="5" a="1"/>
  <c r="L154" i="5" a="1"/>
  <c r="L24" i="5" a="1"/>
  <c r="L84" i="5" a="1"/>
  <c r="L157" i="5" a="1"/>
  <c r="L164" i="5" a="1"/>
  <c r="L30" i="5" a="1"/>
  <c r="L69" i="5" a="1"/>
  <c r="L41" i="5" a="1"/>
  <c r="L156" i="5" a="1"/>
  <c r="L17" i="5" a="1"/>
  <c r="L179" i="5" a="1"/>
  <c r="L145" i="5" a="1"/>
  <c r="L92" i="5" a="1"/>
  <c r="L48" i="5" a="1"/>
  <c r="L8" i="5" a="1"/>
  <c r="L158" i="5" a="1"/>
  <c r="L110" i="5" a="1"/>
  <c r="L65" i="5" a="1"/>
  <c r="L19" i="5" a="1"/>
  <c r="L165" i="5" a="1"/>
  <c r="L123" i="5" a="1"/>
  <c r="L76" i="5" a="1"/>
  <c r="L28" i="5" a="1"/>
  <c r="L172" i="5" a="1"/>
  <c r="L132" i="5" a="1"/>
  <c r="L85" i="5" a="1"/>
  <c r="L39" i="5" a="1"/>
  <c r="L137" i="5" a="1"/>
  <c r="L44" i="5" a="1"/>
  <c r="L59" i="5" a="1"/>
  <c r="L15" i="5" a="1"/>
  <c r="L113" i="5" a="1"/>
  <c r="L70" i="5" a="1"/>
  <c r="L126" i="5" a="1"/>
  <c r="L81" i="5" a="1"/>
  <c r="L31" i="5" a="1"/>
  <c r="L36" i="5" a="1"/>
  <c r="L150" i="5" a="1"/>
  <c r="L97" i="5" a="1"/>
  <c r="L53" i="5" a="1"/>
  <c r="L108" i="5" a="1"/>
  <c r="L27" i="5" a="1"/>
  <c r="L178" i="5" a="1"/>
  <c r="L185" i="5" a="1"/>
  <c r="L10" i="5" a="1"/>
  <c r="L63" i="5" a="1"/>
  <c r="L9" i="5" l="1"/>
  <c r="L13" i="5"/>
  <c r="L17" i="5"/>
  <c r="L23" i="5"/>
  <c r="L27" i="5"/>
  <c r="L31" i="5"/>
  <c r="L39" i="5"/>
  <c r="L45" i="5"/>
  <c r="L51" i="5"/>
  <c r="L57" i="5"/>
  <c r="L63" i="5"/>
  <c r="L69" i="5"/>
  <c r="L75" i="5"/>
  <c r="L81" i="5"/>
  <c r="L85" i="5"/>
  <c r="L89" i="5"/>
  <c r="L93" i="5"/>
  <c r="L99" i="5"/>
  <c r="L105" i="5"/>
  <c r="L112" i="5"/>
  <c r="L120" i="5"/>
  <c r="L126" i="5"/>
  <c r="L132" i="5"/>
  <c r="L138" i="5"/>
  <c r="L148" i="5"/>
  <c r="L152" i="5"/>
  <c r="L156" i="5"/>
  <c r="L160" i="5"/>
  <c r="L164" i="5"/>
  <c r="L168" i="5"/>
  <c r="L172" i="5"/>
  <c r="L176" i="5"/>
  <c r="L180" i="5"/>
  <c r="L184" i="5"/>
  <c r="L10" i="5"/>
  <c r="L14" i="5"/>
  <c r="L18" i="5"/>
  <c r="L24" i="5"/>
  <c r="L28" i="5"/>
  <c r="L32" i="5"/>
  <c r="L40" i="5"/>
  <c r="L46" i="5"/>
  <c r="L52" i="5"/>
  <c r="L58" i="5"/>
  <c r="L64" i="5"/>
  <c r="L70" i="5"/>
  <c r="L76" i="5"/>
  <c r="L82" i="5"/>
  <c r="L86" i="5"/>
  <c r="L90" i="5"/>
  <c r="L94" i="5"/>
  <c r="L100" i="5"/>
  <c r="L108" i="5"/>
  <c r="L113" i="5"/>
  <c r="L123" i="5"/>
  <c r="L127" i="5"/>
  <c r="L135" i="5"/>
  <c r="L141" i="5"/>
  <c r="L149" i="5"/>
  <c r="L153" i="5"/>
  <c r="L157" i="5"/>
  <c r="L161" i="5"/>
  <c r="L165" i="5"/>
  <c r="L169" i="5"/>
  <c r="L173" i="5"/>
  <c r="L177" i="5"/>
  <c r="L181" i="5"/>
  <c r="L185" i="5"/>
  <c r="L11" i="5"/>
  <c r="L15" i="5"/>
  <c r="L19" i="5"/>
  <c r="L25" i="5"/>
  <c r="L29" i="5"/>
  <c r="L35" i="5"/>
  <c r="L41" i="5"/>
  <c r="L47" i="5"/>
  <c r="L53" i="5"/>
  <c r="L59" i="5"/>
  <c r="L65" i="5"/>
  <c r="L71" i="5"/>
  <c r="L77" i="5"/>
  <c r="L83" i="5"/>
  <c r="L87" i="5"/>
  <c r="L91" i="5"/>
  <c r="L97" i="5"/>
  <c r="L101" i="5"/>
  <c r="L110" i="5"/>
  <c r="L114" i="5"/>
  <c r="L124" i="5"/>
  <c r="L130" i="5"/>
  <c r="L136" i="5"/>
  <c r="L144" i="5"/>
  <c r="L150" i="5"/>
  <c r="L154" i="5"/>
  <c r="L158" i="5"/>
  <c r="L162" i="5"/>
  <c r="L166" i="5"/>
  <c r="L170" i="5"/>
  <c r="L174" i="5"/>
  <c r="L178" i="5"/>
  <c r="L182" i="5"/>
  <c r="L186" i="5"/>
  <c r="L8" i="5"/>
  <c r="L12" i="5"/>
  <c r="L16" i="5"/>
  <c r="L22" i="5"/>
  <c r="L26" i="5"/>
  <c r="L30" i="5"/>
  <c r="L36" i="5"/>
  <c r="L44" i="5"/>
  <c r="L48" i="5"/>
  <c r="L56" i="5"/>
  <c r="L60" i="5"/>
  <c r="L68" i="5"/>
  <c r="L74" i="5"/>
  <c r="L80" i="5"/>
  <c r="L84" i="5"/>
  <c r="L88" i="5"/>
  <c r="L92" i="5"/>
  <c r="L98" i="5"/>
  <c r="L104" i="5"/>
  <c r="L111" i="5"/>
  <c r="L117" i="5"/>
  <c r="L125" i="5"/>
  <c r="L131" i="5"/>
  <c r="L137" i="5"/>
  <c r="L145" i="5"/>
  <c r="L151" i="5"/>
  <c r="L155" i="5"/>
  <c r="L159" i="5"/>
  <c r="L163" i="5"/>
  <c r="L167" i="5"/>
  <c r="L171" i="5"/>
  <c r="L175" i="5"/>
  <c r="L179" i="5"/>
  <c r="L183" i="5"/>
  <c r="L187" i="5"/>
  <c r="E22" i="34"/>
  <c r="J25" i="28" l="1"/>
  <c r="N25" i="28" s="1"/>
  <c r="G33" i="248" l="1"/>
  <c r="F33" i="248"/>
  <c r="E33" i="248"/>
  <c r="D33" i="248"/>
  <c r="C33" i="248"/>
  <c r="G32" i="248"/>
  <c r="F32" i="248"/>
  <c r="E32" i="248"/>
  <c r="D32" i="248"/>
  <c r="C32" i="248"/>
  <c r="G31" i="248"/>
  <c r="F31" i="248"/>
  <c r="E31" i="248"/>
  <c r="D31" i="248"/>
  <c r="C31" i="248"/>
  <c r="G30" i="248"/>
  <c r="F30" i="248"/>
  <c r="E30" i="248"/>
  <c r="D30" i="248"/>
  <c r="C30" i="248"/>
  <c r="G29" i="248"/>
  <c r="F29" i="248"/>
  <c r="E29" i="248"/>
  <c r="D29" i="248"/>
  <c r="C29" i="248"/>
  <c r="G28" i="248"/>
  <c r="F28" i="248"/>
  <c r="E28" i="248"/>
  <c r="D28" i="248"/>
  <c r="C28" i="248"/>
  <c r="G27" i="248"/>
  <c r="F27" i="248"/>
  <c r="E27" i="248"/>
  <c r="D27" i="248"/>
  <c r="C27" i="248"/>
  <c r="G26" i="248"/>
  <c r="F26" i="248"/>
  <c r="E26" i="248"/>
  <c r="D26" i="248"/>
  <c r="C26" i="248"/>
  <c r="G25" i="248"/>
  <c r="F25" i="248"/>
  <c r="E25" i="248"/>
  <c r="D25" i="248"/>
  <c r="C25" i="248"/>
  <c r="G24" i="248"/>
  <c r="F24" i="248"/>
  <c r="E24" i="248"/>
  <c r="D24" i="248"/>
  <c r="C24" i="248"/>
  <c r="G23" i="248"/>
  <c r="F23" i="248"/>
  <c r="E23" i="248"/>
  <c r="D23" i="248"/>
  <c r="C23" i="248"/>
  <c r="G17" i="248"/>
  <c r="F17" i="248"/>
  <c r="E17" i="248"/>
  <c r="D17" i="248"/>
  <c r="G16" i="248"/>
  <c r="F16" i="248"/>
  <c r="E16" i="248"/>
  <c r="D16" i="248"/>
  <c r="G15" i="248"/>
  <c r="F15" i="248"/>
  <c r="E15" i="248"/>
  <c r="D15" i="248"/>
  <c r="G14" i="248"/>
  <c r="F14" i="248"/>
  <c r="E14" i="248"/>
  <c r="D14" i="248"/>
  <c r="G13" i="248"/>
  <c r="F13" i="248"/>
  <c r="E13" i="248"/>
  <c r="D13" i="248"/>
  <c r="G12" i="248"/>
  <c r="F12" i="248"/>
  <c r="E12" i="248"/>
  <c r="D12" i="248"/>
  <c r="C9" i="214"/>
  <c r="G415" i="209" l="1"/>
  <c r="E415" i="209"/>
  <c r="D415" i="209"/>
  <c r="U415" i="209" s="1"/>
  <c r="R415" i="209"/>
  <c r="Q415" i="209"/>
  <c r="P415" i="209"/>
  <c r="O415" i="209"/>
  <c r="L415" i="209"/>
  <c r="K415" i="209"/>
  <c r="J415" i="209"/>
  <c r="I415" i="209"/>
  <c r="V415" i="209"/>
  <c r="G475" i="209"/>
  <c r="E475" i="209"/>
  <c r="D475" i="209"/>
  <c r="U475" i="209" s="1"/>
  <c r="R475" i="209"/>
  <c r="Q475" i="209"/>
  <c r="P475" i="209"/>
  <c r="O475" i="209"/>
  <c r="L475" i="209"/>
  <c r="K475" i="209"/>
  <c r="J475" i="209"/>
  <c r="I475" i="209"/>
  <c r="V475" i="209"/>
  <c r="G535" i="209"/>
  <c r="E535" i="209"/>
  <c r="D535" i="209"/>
  <c r="U535" i="209" s="1"/>
  <c r="R535" i="209"/>
  <c r="Q535" i="209"/>
  <c r="P535" i="209"/>
  <c r="O535" i="209"/>
  <c r="L535" i="209"/>
  <c r="K535" i="209"/>
  <c r="J535" i="209"/>
  <c r="I535" i="209"/>
  <c r="V535" i="209"/>
  <c r="G595" i="209"/>
  <c r="E595" i="209"/>
  <c r="D595" i="209"/>
  <c r="U595" i="209" s="1"/>
  <c r="R595" i="209"/>
  <c r="Q595" i="209"/>
  <c r="P595" i="209"/>
  <c r="O595" i="209"/>
  <c r="L595" i="209"/>
  <c r="K595" i="209"/>
  <c r="J595" i="209"/>
  <c r="I595" i="209"/>
  <c r="V595" i="209"/>
  <c r="G655" i="209"/>
  <c r="E655" i="209"/>
  <c r="D655" i="209"/>
  <c r="U655" i="209" s="1"/>
  <c r="V655" i="209"/>
  <c r="G715" i="209"/>
  <c r="E715" i="209"/>
  <c r="D715" i="209"/>
  <c r="U715" i="209" s="1"/>
  <c r="R715" i="209"/>
  <c r="Q715" i="209"/>
  <c r="P715" i="209"/>
  <c r="O715" i="209"/>
  <c r="V715" i="209"/>
  <c r="G775" i="209"/>
  <c r="E775" i="209"/>
  <c r="D775" i="209"/>
  <c r="U775" i="209" s="1"/>
  <c r="V775" i="209"/>
  <c r="G355" i="209"/>
  <c r="E355" i="209"/>
  <c r="D355" i="209"/>
  <c r="U355" i="209" s="1"/>
  <c r="R355" i="209"/>
  <c r="Q355" i="209"/>
  <c r="P355" i="209"/>
  <c r="O355" i="209"/>
  <c r="L355" i="209"/>
  <c r="K355" i="209"/>
  <c r="J355" i="209"/>
  <c r="I355" i="209"/>
  <c r="V355" i="209"/>
  <c r="R295" i="209"/>
  <c r="Q295" i="209"/>
  <c r="P295" i="209"/>
  <c r="O295" i="209"/>
  <c r="G295" i="209"/>
  <c r="E295" i="209"/>
  <c r="D295" i="209"/>
  <c r="U295" i="209" s="1"/>
  <c r="V295" i="209"/>
  <c r="G235" i="209"/>
  <c r="E235" i="209"/>
  <c r="D235" i="209"/>
  <c r="U235" i="209" s="1"/>
  <c r="V235" i="209"/>
  <c r="C9" i="364"/>
  <c r="G175" i="209"/>
  <c r="E175" i="209"/>
  <c r="D175" i="209"/>
  <c r="U175" i="209" s="1"/>
  <c r="V175" i="209"/>
  <c r="V115" i="209"/>
  <c r="G115" i="209"/>
  <c r="E115" i="209"/>
  <c r="D115" i="209"/>
  <c r="U115" i="209" s="1"/>
  <c r="G55" i="209"/>
  <c r="E55" i="209"/>
  <c r="D55" i="209"/>
  <c r="U55" i="209" s="1"/>
  <c r="V55" i="209"/>
  <c r="C9" i="220"/>
  <c r="S415" i="209" l="1"/>
  <c r="M415" i="209"/>
  <c r="S595" i="209"/>
  <c r="M535" i="209"/>
  <c r="S535" i="209"/>
  <c r="S475" i="209"/>
  <c r="S715" i="209"/>
  <c r="M595" i="209"/>
  <c r="F47" i="5"/>
  <c r="F55" i="209" l="1"/>
  <c r="F115" i="209"/>
  <c r="F535" i="209"/>
  <c r="F715" i="209"/>
  <c r="F355" i="209"/>
  <c r="F595" i="209"/>
  <c r="F175" i="209"/>
  <c r="F295" i="209"/>
  <c r="F775" i="209"/>
  <c r="F475" i="209"/>
  <c r="F655" i="209"/>
  <c r="F235" i="209"/>
  <c r="F415" i="209"/>
  <c r="G48" i="364" l="1"/>
  <c r="F48" i="364"/>
  <c r="E48" i="364"/>
  <c r="D48" i="364"/>
  <c r="H46" i="364"/>
  <c r="S655" i="209" s="1"/>
  <c r="H33" i="364"/>
  <c r="H32" i="364"/>
  <c r="M655" i="209" s="1"/>
  <c r="H31" i="364"/>
  <c r="H45" i="364" s="1"/>
  <c r="M175" i="209" s="1"/>
  <c r="H30" i="364"/>
  <c r="H44" i="364" s="1"/>
  <c r="S115" i="209" s="1"/>
  <c r="H29" i="364"/>
  <c r="H43" i="364" s="1"/>
  <c r="H28" i="364"/>
  <c r="H42" i="364" s="1"/>
  <c r="H27" i="364"/>
  <c r="H41" i="364" s="1"/>
  <c r="M235" i="209" s="1"/>
  <c r="H26" i="364"/>
  <c r="H40" i="364" s="1"/>
  <c r="M115" i="209" s="1"/>
  <c r="P25" i="364"/>
  <c r="H25" i="364"/>
  <c r="H24" i="364"/>
  <c r="H38" i="364" s="1"/>
  <c r="M55" i="209" s="1"/>
  <c r="H23" i="364"/>
  <c r="P20" i="364"/>
  <c r="F11" i="364"/>
  <c r="E11" i="364"/>
  <c r="D11" i="364"/>
  <c r="G11" i="364"/>
  <c r="L5" i="364" a="1"/>
  <c r="M7" i="364" s="1"/>
  <c r="D5" i="364" a="1"/>
  <c r="H21" i="364" s="1"/>
  <c r="P23" i="364" s="1"/>
  <c r="J29" i="34"/>
  <c r="E35" i="364" l="1"/>
  <c r="E45" i="364"/>
  <c r="J175" i="209" s="1"/>
  <c r="P655" i="209"/>
  <c r="J715" i="209"/>
  <c r="J655" i="209"/>
  <c r="F45" i="364"/>
  <c r="K175" i="209" s="1"/>
  <c r="Q655" i="209"/>
  <c r="K715" i="209"/>
  <c r="K655" i="209"/>
  <c r="M475" i="209"/>
  <c r="M295" i="209"/>
  <c r="M355" i="209"/>
  <c r="H37" i="364"/>
  <c r="S235" i="209" s="1"/>
  <c r="S295" i="209"/>
  <c r="D5" i="364"/>
  <c r="D35" i="364" s="1"/>
  <c r="H39" i="364"/>
  <c r="S55" i="209" s="1"/>
  <c r="S355" i="209"/>
  <c r="R655" i="209"/>
  <c r="L715" i="209"/>
  <c r="L655" i="209"/>
  <c r="D18" i="364"/>
  <c r="I775" i="209" s="1"/>
  <c r="O655" i="209"/>
  <c r="I715" i="209"/>
  <c r="I655" i="209"/>
  <c r="E18" i="364"/>
  <c r="F18" i="364"/>
  <c r="O26" i="364"/>
  <c r="G45" i="364"/>
  <c r="L175" i="209" s="1"/>
  <c r="G46" i="364"/>
  <c r="G44" i="364"/>
  <c r="R115" i="209" s="1"/>
  <c r="G18" i="364"/>
  <c r="L775" i="209" s="1"/>
  <c r="O7" i="364"/>
  <c r="L26" i="364"/>
  <c r="O775" i="209" s="1"/>
  <c r="G35" i="364"/>
  <c r="E46" i="364"/>
  <c r="H47" i="364"/>
  <c r="S175" i="209" s="1"/>
  <c r="D44" i="364"/>
  <c r="O115" i="209" s="1"/>
  <c r="N7" i="364"/>
  <c r="F35" i="364"/>
  <c r="D46" i="364"/>
  <c r="E7" i="364"/>
  <c r="P7" i="364"/>
  <c r="E21" i="364"/>
  <c r="M23" i="364" s="1"/>
  <c r="M26" i="364"/>
  <c r="H35" i="364"/>
  <c r="F46" i="364"/>
  <c r="E44" i="364"/>
  <c r="P115" i="209" s="1"/>
  <c r="L5" i="364"/>
  <c r="L7" i="364" s="1"/>
  <c r="F44" i="364"/>
  <c r="Q115" i="209" s="1"/>
  <c r="F7" i="364"/>
  <c r="F21" i="364"/>
  <c r="N23" i="364" s="1"/>
  <c r="N26" i="364"/>
  <c r="D45" i="364"/>
  <c r="I175" i="209" s="1"/>
  <c r="G7" i="364"/>
  <c r="G21" i="364"/>
  <c r="O23" i="364" s="1"/>
  <c r="H7" i="364"/>
  <c r="F155" i="5"/>
  <c r="F187" i="5"/>
  <c r="F186" i="5"/>
  <c r="F185" i="5"/>
  <c r="F184" i="5"/>
  <c r="F183" i="5"/>
  <c r="F182" i="5"/>
  <c r="F181" i="5"/>
  <c r="F180" i="5"/>
  <c r="F179" i="5"/>
  <c r="F178" i="5"/>
  <c r="F177" i="5"/>
  <c r="F176" i="5"/>
  <c r="F175" i="5"/>
  <c r="F174" i="5"/>
  <c r="F173" i="5"/>
  <c r="F172" i="5"/>
  <c r="F171" i="5"/>
  <c r="F170" i="5"/>
  <c r="F169" i="5"/>
  <c r="F168" i="5"/>
  <c r="F167" i="5"/>
  <c r="F166" i="5"/>
  <c r="F165" i="5"/>
  <c r="F164" i="5"/>
  <c r="F163" i="5"/>
  <c r="F162" i="5"/>
  <c r="F161" i="5"/>
  <c r="F160" i="5"/>
  <c r="F159" i="5"/>
  <c r="F158" i="5"/>
  <c r="F157" i="5"/>
  <c r="F156" i="5"/>
  <c r="F154" i="5"/>
  <c r="F153" i="5"/>
  <c r="F152" i="5"/>
  <c r="F151" i="5"/>
  <c r="F150" i="5"/>
  <c r="F149" i="5"/>
  <c r="F148" i="5"/>
  <c r="G16" i="44" l="1"/>
  <c r="G17" i="44"/>
  <c r="G13" i="44"/>
  <c r="E13" i="44"/>
  <c r="D13" i="44"/>
  <c r="G12" i="44"/>
  <c r="F17" i="44"/>
  <c r="F13" i="44"/>
  <c r="F16" i="44"/>
  <c r="F12" i="44"/>
  <c r="E16" i="44"/>
  <c r="E12" i="44"/>
  <c r="D16" i="44"/>
  <c r="D12" i="44"/>
  <c r="E17" i="44"/>
  <c r="D17" i="44"/>
  <c r="G33" i="44"/>
  <c r="D32" i="44"/>
  <c r="F30" i="44"/>
  <c r="C29" i="44"/>
  <c r="E27" i="44"/>
  <c r="G25" i="44"/>
  <c r="D24" i="44"/>
  <c r="F33" i="44"/>
  <c r="C32" i="44"/>
  <c r="G28" i="44"/>
  <c r="F25" i="44"/>
  <c r="F24" i="44"/>
  <c r="E33" i="44"/>
  <c r="G31" i="44"/>
  <c r="D30" i="44"/>
  <c r="F28" i="44"/>
  <c r="C27" i="44"/>
  <c r="E25" i="44"/>
  <c r="G23" i="44"/>
  <c r="F23" i="44"/>
  <c r="F29" i="44"/>
  <c r="D23" i="44"/>
  <c r="C31" i="44"/>
  <c r="C23" i="44"/>
  <c r="D33" i="44"/>
  <c r="F31" i="44"/>
  <c r="C30" i="44"/>
  <c r="E28" i="44"/>
  <c r="G26" i="44"/>
  <c r="D25" i="44"/>
  <c r="D31" i="44"/>
  <c r="E26" i="44"/>
  <c r="M25" i="44"/>
  <c r="E29" i="44"/>
  <c r="O25" i="44"/>
  <c r="C33" i="44"/>
  <c r="E31" i="44"/>
  <c r="G29" i="44"/>
  <c r="D28" i="44"/>
  <c r="F26" i="44"/>
  <c r="C25" i="44"/>
  <c r="E23" i="44"/>
  <c r="N25" i="44"/>
  <c r="G32" i="44"/>
  <c r="C28" i="44"/>
  <c r="G24" i="44"/>
  <c r="F32" i="44"/>
  <c r="G27" i="44"/>
  <c r="L25" i="44"/>
  <c r="E32" i="44"/>
  <c r="G30" i="44"/>
  <c r="D29" i="44"/>
  <c r="F27" i="44"/>
  <c r="C26" i="44"/>
  <c r="E24" i="44"/>
  <c r="E30" i="44"/>
  <c r="D27" i="44"/>
  <c r="C24" i="44"/>
  <c r="D26" i="44"/>
  <c r="D39" i="364"/>
  <c r="O55" i="209" s="1"/>
  <c r="M775" i="209"/>
  <c r="D42" i="364"/>
  <c r="I295" i="209" s="1"/>
  <c r="D40" i="364"/>
  <c r="I115" i="209" s="1"/>
  <c r="D38" i="364"/>
  <c r="I55" i="209" s="1"/>
  <c r="D37" i="364"/>
  <c r="O235" i="209" s="1"/>
  <c r="F41" i="364"/>
  <c r="K235" i="209" s="1"/>
  <c r="K775" i="209"/>
  <c r="E42" i="364"/>
  <c r="J295" i="209" s="1"/>
  <c r="J775" i="209"/>
  <c r="D21" i="364"/>
  <c r="L23" i="364" s="1"/>
  <c r="F38" i="364"/>
  <c r="K55" i="209" s="1"/>
  <c r="D7" i="364"/>
  <c r="F43" i="364"/>
  <c r="F47" i="364" s="1"/>
  <c r="Q175" i="209" s="1"/>
  <c r="Q775" i="209"/>
  <c r="E43" i="364"/>
  <c r="E47" i="364" s="1"/>
  <c r="P175" i="209" s="1"/>
  <c r="P775" i="209"/>
  <c r="D41" i="364"/>
  <c r="I235" i="209" s="1"/>
  <c r="G43" i="364"/>
  <c r="G47" i="364" s="1"/>
  <c r="R175" i="209" s="1"/>
  <c r="R775" i="209"/>
  <c r="S775" i="209" s="1"/>
  <c r="M715" i="209"/>
  <c r="E41" i="364"/>
  <c r="J235" i="209" s="1"/>
  <c r="E40" i="364"/>
  <c r="J115" i="209" s="1"/>
  <c r="E37" i="364"/>
  <c r="P235" i="209" s="1"/>
  <c r="E38" i="364"/>
  <c r="J55" i="209" s="1"/>
  <c r="F40" i="364"/>
  <c r="K115" i="209" s="1"/>
  <c r="F39" i="364"/>
  <c r="Q55" i="209" s="1"/>
  <c r="E39" i="364"/>
  <c r="P55" i="209" s="1"/>
  <c r="F37" i="364"/>
  <c r="Q235" i="209" s="1"/>
  <c r="F42" i="364"/>
  <c r="K295" i="209" s="1"/>
  <c r="G40" i="364"/>
  <c r="L115" i="209" s="1"/>
  <c r="G39" i="364"/>
  <c r="R55" i="209" s="1"/>
  <c r="G38" i="364"/>
  <c r="L55" i="209" s="1"/>
  <c r="G41" i="364"/>
  <c r="L235" i="209" s="1"/>
  <c r="G42" i="364"/>
  <c r="L295" i="209" s="1"/>
  <c r="G37" i="364"/>
  <c r="R235" i="209" s="1"/>
  <c r="P26" i="364"/>
  <c r="D43" i="364"/>
  <c r="H18" i="364"/>
  <c r="L5" i="173" a="1"/>
  <c r="L5" i="173" s="1"/>
  <c r="L5" i="170" a="1"/>
  <c r="L5" i="170" s="1"/>
  <c r="L5" i="175" a="1"/>
  <c r="L5" i="175" s="1"/>
  <c r="L5" i="327" a="1"/>
  <c r="L5" i="327" s="1"/>
  <c r="L5" i="328" a="1"/>
  <c r="L5" i="328" s="1"/>
  <c r="L5" i="229" a="1"/>
  <c r="L5" i="229" s="1"/>
  <c r="L5" i="171" a="1"/>
  <c r="L5" i="171" s="1"/>
  <c r="L5" i="172" a="1"/>
  <c r="L5" i="172" s="1"/>
  <c r="L5" i="309" a="1"/>
  <c r="L5" i="309" s="1"/>
  <c r="L5" i="361" a="1"/>
  <c r="L5" i="361" s="1"/>
  <c r="L5" i="174" a="1"/>
  <c r="L5" i="174" s="1"/>
  <c r="L5" i="231" a="1"/>
  <c r="L5" i="231" s="1"/>
  <c r="D5" i="173" a="1"/>
  <c r="D5" i="173" s="1"/>
  <c r="D5" i="170" a="1"/>
  <c r="D5" i="170" s="1"/>
  <c r="D5" i="175" a="1"/>
  <c r="D5" i="175" s="1"/>
  <c r="D5" i="327" a="1"/>
  <c r="D5" i="327" s="1"/>
  <c r="D5" i="328" a="1"/>
  <c r="D5" i="328" s="1"/>
  <c r="D5" i="229" a="1"/>
  <c r="D5" i="229" s="1"/>
  <c r="D5" i="171" a="1"/>
  <c r="D5" i="171" s="1"/>
  <c r="D5" i="172" a="1"/>
  <c r="D5" i="172" s="1"/>
  <c r="D5" i="309" a="1"/>
  <c r="D5" i="309" s="1"/>
  <c r="D5" i="361" a="1"/>
  <c r="D5" i="361" s="1"/>
  <c r="D5" i="174" a="1"/>
  <c r="D5" i="174" s="1"/>
  <c r="D5" i="231" a="1"/>
  <c r="D5" i="231" s="1"/>
  <c r="L5" i="226" a="1"/>
  <c r="L5" i="226" s="1"/>
  <c r="D5" i="226" a="1"/>
  <c r="D5" i="226" s="1"/>
  <c r="L5" i="223" a="1"/>
  <c r="L5" i="223" s="1"/>
  <c r="D5" i="223" a="1"/>
  <c r="D5" i="223" s="1"/>
  <c r="L5" i="84" a="1"/>
  <c r="L5" i="84" s="1"/>
  <c r="D5" i="84" a="1"/>
  <c r="D5" i="84" s="1"/>
  <c r="L5" i="104" a="1"/>
  <c r="L5" i="104" s="1"/>
  <c r="D5" i="104" a="1"/>
  <c r="D5" i="104" s="1"/>
  <c r="L5" i="103" a="1"/>
  <c r="L5" i="103" s="1"/>
  <c r="D5" i="103" a="1"/>
  <c r="D5" i="103" s="1"/>
  <c r="L5" i="184" a="1"/>
  <c r="L5" i="184" s="1"/>
  <c r="D5" i="184" a="1"/>
  <c r="D5" i="184" s="1"/>
  <c r="L5" i="308" a="1"/>
  <c r="L5" i="308" s="1"/>
  <c r="D5" i="308" a="1"/>
  <c r="D5" i="308" s="1"/>
  <c r="L5" i="186" a="1"/>
  <c r="L5" i="186" s="1"/>
  <c r="D5" i="186" a="1"/>
  <c r="D5" i="186" s="1"/>
  <c r="L5" i="185" a="1"/>
  <c r="L5" i="185" s="1"/>
  <c r="D5" i="185" a="1"/>
  <c r="D5" i="185" s="1"/>
  <c r="L5" i="228" a="1"/>
  <c r="L5" i="228" s="1"/>
  <c r="D5" i="228" a="1"/>
  <c r="D5" i="228" s="1"/>
  <c r="L5" i="225" a="1"/>
  <c r="L5" i="225" s="1"/>
  <c r="D5" i="225" a="1"/>
  <c r="D5" i="225" s="1"/>
  <c r="L5" i="212" a="1"/>
  <c r="L5" i="212" s="1"/>
  <c r="D5" i="212" a="1"/>
  <c r="D5" i="212" s="1"/>
  <c r="L5" i="330" a="1"/>
  <c r="L5" i="330" s="1"/>
  <c r="D5" i="330" a="1"/>
  <c r="D5" i="330" s="1"/>
  <c r="L5" i="58" a="1"/>
  <c r="L5" i="58" s="1"/>
  <c r="D5" i="58" a="1"/>
  <c r="D5" i="58" s="1"/>
  <c r="L5" i="326" a="1"/>
  <c r="L5" i="326" s="1"/>
  <c r="D5" i="326" a="1"/>
  <c r="D5" i="326" s="1"/>
  <c r="L5" i="44" a="1"/>
  <c r="L5" i="44" s="1"/>
  <c r="D5" i="44" a="1"/>
  <c r="D5" i="44" s="1"/>
  <c r="L5" i="18" a="1"/>
  <c r="L5" i="18" s="1"/>
  <c r="D5" i="18" a="1"/>
  <c r="D5" i="18" s="1"/>
  <c r="L5" i="250" a="1"/>
  <c r="L5" i="250" s="1"/>
  <c r="D5" i="250" a="1"/>
  <c r="D5" i="250" s="1"/>
  <c r="D5" i="291" a="1"/>
  <c r="D5" i="291" s="1"/>
  <c r="L5" i="291" a="1"/>
  <c r="L5" i="291" s="1"/>
  <c r="L5" i="247" a="1"/>
  <c r="L5" i="247" s="1"/>
  <c r="L5" i="248" a="1"/>
  <c r="L5" i="248" s="1"/>
  <c r="D5" i="248" a="1"/>
  <c r="D5" i="248" s="1"/>
  <c r="D5" i="247" a="1"/>
  <c r="D5" i="247" s="1"/>
  <c r="G17" i="225"/>
  <c r="F17" i="225"/>
  <c r="E17" i="225"/>
  <c r="D17" i="225"/>
  <c r="G16" i="225"/>
  <c r="F16" i="225"/>
  <c r="E16" i="225"/>
  <c r="D16" i="225"/>
  <c r="D15" i="225"/>
  <c r="D14" i="225"/>
  <c r="G13" i="225"/>
  <c r="F13" i="225"/>
  <c r="E13" i="225"/>
  <c r="D13" i="225"/>
  <c r="G12" i="225"/>
  <c r="F12" i="225"/>
  <c r="E12" i="225"/>
  <c r="D12" i="225"/>
  <c r="O25" i="225"/>
  <c r="N25" i="225"/>
  <c r="M25" i="225"/>
  <c r="L25" i="225"/>
  <c r="G33" i="225"/>
  <c r="F33" i="225"/>
  <c r="E33" i="225"/>
  <c r="D33" i="225"/>
  <c r="C33" i="225"/>
  <c r="G32" i="225"/>
  <c r="F32" i="225"/>
  <c r="E32" i="225"/>
  <c r="D32" i="225"/>
  <c r="C32" i="225"/>
  <c r="G31" i="225"/>
  <c r="F31" i="225"/>
  <c r="E31" i="225"/>
  <c r="D31" i="225"/>
  <c r="C31" i="225"/>
  <c r="G30" i="225"/>
  <c r="F30" i="225"/>
  <c r="E30" i="225"/>
  <c r="D30" i="225"/>
  <c r="C30" i="225"/>
  <c r="G29" i="225"/>
  <c r="F29" i="225"/>
  <c r="E29" i="225"/>
  <c r="D29" i="225"/>
  <c r="C29" i="225"/>
  <c r="G28" i="225"/>
  <c r="F28" i="225"/>
  <c r="E28" i="225"/>
  <c r="D28" i="225"/>
  <c r="C28" i="225"/>
  <c r="G27" i="225"/>
  <c r="F27" i="225"/>
  <c r="E27" i="225"/>
  <c r="D27" i="225"/>
  <c r="C27" i="225"/>
  <c r="G26" i="225"/>
  <c r="F26" i="225"/>
  <c r="E26" i="225"/>
  <c r="D26" i="225"/>
  <c r="C26" i="225"/>
  <c r="G25" i="225"/>
  <c r="F25" i="225"/>
  <c r="E25" i="225"/>
  <c r="D25" i="225"/>
  <c r="C25" i="225"/>
  <c r="G24" i="225"/>
  <c r="F24" i="225"/>
  <c r="E24" i="225"/>
  <c r="D24" i="225"/>
  <c r="C24" i="225"/>
  <c r="G23" i="225"/>
  <c r="F23" i="225"/>
  <c r="E23" i="225"/>
  <c r="D23" i="225"/>
  <c r="C23" i="225"/>
  <c r="O25" i="212"/>
  <c r="N25" i="212"/>
  <c r="M25" i="212"/>
  <c r="L25" i="212"/>
  <c r="G33" i="212"/>
  <c r="F33" i="212"/>
  <c r="E33" i="212"/>
  <c r="D33" i="212"/>
  <c r="C33" i="212"/>
  <c r="G32" i="212"/>
  <c r="F32" i="212"/>
  <c r="E32" i="212"/>
  <c r="D32" i="212"/>
  <c r="C32" i="212"/>
  <c r="G31" i="212"/>
  <c r="F31" i="212"/>
  <c r="E31" i="212"/>
  <c r="D31" i="212"/>
  <c r="C31" i="212"/>
  <c r="G30" i="212"/>
  <c r="F30" i="212"/>
  <c r="E30" i="212"/>
  <c r="D30" i="212"/>
  <c r="C30" i="212"/>
  <c r="G29" i="212"/>
  <c r="F29" i="212"/>
  <c r="E29" i="212"/>
  <c r="D29" i="212"/>
  <c r="C29" i="212"/>
  <c r="G28" i="212"/>
  <c r="F28" i="212"/>
  <c r="E28" i="212"/>
  <c r="D28" i="212"/>
  <c r="C28" i="212"/>
  <c r="G27" i="212"/>
  <c r="F27" i="212"/>
  <c r="E27" i="212"/>
  <c r="D27" i="212"/>
  <c r="C27" i="212"/>
  <c r="G26" i="212"/>
  <c r="F26" i="212"/>
  <c r="E26" i="212"/>
  <c r="D26" i="212"/>
  <c r="C26" i="212"/>
  <c r="G25" i="212"/>
  <c r="F25" i="212"/>
  <c r="E25" i="212"/>
  <c r="D25" i="212"/>
  <c r="C25" i="212"/>
  <c r="G24" i="212"/>
  <c r="F24" i="212"/>
  <c r="E24" i="212"/>
  <c r="D24" i="212"/>
  <c r="C24" i="212"/>
  <c r="G23" i="212"/>
  <c r="F23" i="212"/>
  <c r="E23" i="212"/>
  <c r="D23" i="212"/>
  <c r="C23" i="212"/>
  <c r="G17" i="212"/>
  <c r="F17" i="212"/>
  <c r="E17" i="212"/>
  <c r="D17" i="212"/>
  <c r="G16" i="212"/>
  <c r="F16" i="212"/>
  <c r="E16" i="212"/>
  <c r="D16" i="212"/>
  <c r="D15" i="212"/>
  <c r="D14" i="212"/>
  <c r="G13" i="212"/>
  <c r="F13" i="212"/>
  <c r="E13" i="212"/>
  <c r="D13" i="212"/>
  <c r="G12" i="212"/>
  <c r="F12" i="212"/>
  <c r="E12" i="212"/>
  <c r="D12" i="212"/>
  <c r="D47" i="364" l="1"/>
  <c r="O175" i="209" s="1"/>
  <c r="J22" i="80"/>
  <c r="J20" i="124" l="1"/>
  <c r="J52" i="37" l="1"/>
  <c r="J46" i="36"/>
  <c r="J27" i="36"/>
  <c r="N27" i="36" s="1"/>
  <c r="R27" i="36" s="1"/>
  <c r="E27" i="36"/>
  <c r="J28" i="36"/>
  <c r="N28" i="36" s="1"/>
  <c r="R28" i="36" s="1"/>
  <c r="E28" i="36"/>
  <c r="J17" i="32" l="1"/>
  <c r="J26" i="70" l="1"/>
  <c r="J24" i="30" l="1"/>
  <c r="J20" i="155"/>
  <c r="J45" i="28" l="1"/>
  <c r="J32" i="29" l="1"/>
  <c r="D12" i="185" l="1"/>
  <c r="E12" i="185"/>
  <c r="F12" i="185"/>
  <c r="G12" i="185"/>
  <c r="D13" i="185"/>
  <c r="E13" i="185"/>
  <c r="F13" i="185"/>
  <c r="G13" i="185"/>
  <c r="D14" i="185"/>
  <c r="D15" i="185"/>
  <c r="D16" i="185"/>
  <c r="E16" i="185"/>
  <c r="F16" i="185"/>
  <c r="G16" i="185"/>
  <c r="D17" i="185"/>
  <c r="E17" i="185"/>
  <c r="F17" i="185"/>
  <c r="G17" i="185"/>
  <c r="C23" i="185"/>
  <c r="D23" i="185"/>
  <c r="E23" i="185"/>
  <c r="F23" i="185"/>
  <c r="G23" i="185"/>
  <c r="C24" i="185"/>
  <c r="D24" i="185"/>
  <c r="E24" i="185"/>
  <c r="F24" i="185"/>
  <c r="G24" i="185"/>
  <c r="C25" i="185"/>
  <c r="D25" i="185"/>
  <c r="E25" i="185"/>
  <c r="F25" i="185"/>
  <c r="G25" i="185"/>
  <c r="C26" i="185"/>
  <c r="D26" i="185"/>
  <c r="E26" i="185"/>
  <c r="F26" i="185"/>
  <c r="G26" i="185"/>
  <c r="C27" i="185"/>
  <c r="D27" i="185"/>
  <c r="E27" i="185"/>
  <c r="F27" i="185"/>
  <c r="G27" i="185"/>
  <c r="C28" i="185"/>
  <c r="D28" i="185"/>
  <c r="E28" i="185"/>
  <c r="F28" i="185"/>
  <c r="G28" i="185"/>
  <c r="C29" i="185"/>
  <c r="D29" i="185"/>
  <c r="E29" i="185"/>
  <c r="F29" i="185"/>
  <c r="G29" i="185"/>
  <c r="C30" i="185"/>
  <c r="D30" i="185"/>
  <c r="E30" i="185"/>
  <c r="F30" i="185"/>
  <c r="G30" i="185"/>
  <c r="C31" i="185"/>
  <c r="D31" i="185"/>
  <c r="E31" i="185"/>
  <c r="F31" i="185"/>
  <c r="G31" i="185"/>
  <c r="C32" i="185"/>
  <c r="D32" i="185"/>
  <c r="E32" i="185"/>
  <c r="F32" i="185"/>
  <c r="G32" i="185"/>
  <c r="C33" i="185"/>
  <c r="D33" i="185"/>
  <c r="E33" i="185"/>
  <c r="F33" i="185"/>
  <c r="G33" i="185"/>
  <c r="AA7" i="292" l="1"/>
  <c r="I7" i="292"/>
  <c r="V7" i="292"/>
  <c r="U7" i="292"/>
  <c r="T7" i="292"/>
  <c r="S7" i="292"/>
  <c r="R7" i="292"/>
  <c r="G7" i="292"/>
  <c r="F7" i="292"/>
  <c r="E7" i="292"/>
  <c r="D7" i="292"/>
  <c r="C7" i="292"/>
  <c r="U5" i="294"/>
  <c r="T5" i="294"/>
  <c r="S5" i="294"/>
  <c r="R5" i="294"/>
  <c r="P5" i="294"/>
  <c r="O5" i="294"/>
  <c r="N5" i="294"/>
  <c r="M5" i="294"/>
  <c r="K5" i="294"/>
  <c r="J5" i="294"/>
  <c r="I5" i="294"/>
  <c r="H5" i="294"/>
  <c r="O5" i="246" a="1"/>
  <c r="O5" i="246" s="1"/>
  <c r="I5" i="246" a="1"/>
  <c r="I5" i="246" s="1"/>
  <c r="O5" i="209" a="1"/>
  <c r="O5" i="209" s="1"/>
  <c r="I5" i="209" a="1"/>
  <c r="I5" i="209" s="1"/>
  <c r="C9" i="194"/>
  <c r="G11" i="194" s="1"/>
  <c r="R660" i="246" s="1"/>
  <c r="C9" i="160"/>
  <c r="C9" i="126"/>
  <c r="C9" i="151"/>
  <c r="G11" i="151" s="1"/>
  <c r="C9" i="188"/>
  <c r="E11" i="188" s="1"/>
  <c r="E45" i="188" s="1"/>
  <c r="J168" i="246" s="1"/>
  <c r="C9" i="204"/>
  <c r="G11" i="204" s="1"/>
  <c r="C9" i="141"/>
  <c r="G11" i="141" s="1"/>
  <c r="C9" i="137"/>
  <c r="F11" i="137" s="1"/>
  <c r="K667" i="246" s="1"/>
  <c r="C9" i="195"/>
  <c r="C9" i="189"/>
  <c r="G11" i="189" s="1"/>
  <c r="L731" i="246" s="1"/>
  <c r="C9" i="146"/>
  <c r="C9" i="203"/>
  <c r="G11" i="203" s="1"/>
  <c r="C9" i="183"/>
  <c r="D11" i="183" s="1"/>
  <c r="D44" i="183" s="1"/>
  <c r="O115" i="246" s="1"/>
  <c r="C9" i="270"/>
  <c r="G11" i="270" s="1"/>
  <c r="O25" i="226"/>
  <c r="N25" i="226"/>
  <c r="M25" i="226"/>
  <c r="L25" i="226"/>
  <c r="G33" i="226"/>
  <c r="F33" i="226"/>
  <c r="E33" i="226"/>
  <c r="D33" i="226"/>
  <c r="C33" i="226"/>
  <c r="G32" i="226"/>
  <c r="F32" i="226"/>
  <c r="E32" i="226"/>
  <c r="D32" i="226"/>
  <c r="H32" i="226" s="1"/>
  <c r="M674" i="246" s="1"/>
  <c r="C32" i="226"/>
  <c r="G31" i="226"/>
  <c r="F31" i="226"/>
  <c r="G36" i="292" s="1"/>
  <c r="E31" i="226"/>
  <c r="D31" i="226"/>
  <c r="C31" i="226"/>
  <c r="G30" i="226"/>
  <c r="F30" i="226"/>
  <c r="E36" i="292" s="1"/>
  <c r="E30" i="226"/>
  <c r="D30" i="226"/>
  <c r="C30" i="226"/>
  <c r="G29" i="226"/>
  <c r="F29" i="226"/>
  <c r="E29" i="226"/>
  <c r="D29" i="226"/>
  <c r="C29" i="226"/>
  <c r="G28" i="226"/>
  <c r="F28" i="226"/>
  <c r="E28" i="226"/>
  <c r="D28" i="226"/>
  <c r="C28" i="226"/>
  <c r="G27" i="226"/>
  <c r="F27" i="226"/>
  <c r="E27" i="226"/>
  <c r="D27" i="226"/>
  <c r="C27" i="226"/>
  <c r="G26" i="226"/>
  <c r="F26" i="226"/>
  <c r="F36" i="292" s="1"/>
  <c r="E26" i="226"/>
  <c r="D26" i="226"/>
  <c r="C26" i="226"/>
  <c r="G25" i="226"/>
  <c r="F25" i="226"/>
  <c r="E25" i="226"/>
  <c r="D25" i="226"/>
  <c r="C25" i="226"/>
  <c r="G24" i="226"/>
  <c r="F24" i="226"/>
  <c r="E24" i="226"/>
  <c r="D24" i="226"/>
  <c r="C24" i="226"/>
  <c r="G23" i="226"/>
  <c r="F23" i="226"/>
  <c r="C36" i="292" s="1"/>
  <c r="E23" i="226"/>
  <c r="D23" i="226"/>
  <c r="C23" i="226"/>
  <c r="E14" i="194"/>
  <c r="F14" i="194" s="1"/>
  <c r="E15" i="194"/>
  <c r="F15" i="194" s="1"/>
  <c r="E14" i="126"/>
  <c r="F14" i="126" s="1"/>
  <c r="N11" i="129"/>
  <c r="R11" i="129" s="1"/>
  <c r="N12" i="129"/>
  <c r="R12" i="129" s="1"/>
  <c r="N13" i="129"/>
  <c r="R13" i="129" s="1"/>
  <c r="N14" i="129"/>
  <c r="R14" i="129" s="1"/>
  <c r="T14" i="129" s="1"/>
  <c r="N15" i="129"/>
  <c r="R15" i="129" s="1"/>
  <c r="T15" i="129" s="1"/>
  <c r="N16" i="129"/>
  <c r="R16" i="129" s="1"/>
  <c r="N17" i="129"/>
  <c r="R17" i="129" s="1"/>
  <c r="N18" i="129"/>
  <c r="R18" i="129" s="1"/>
  <c r="T18" i="129" s="1"/>
  <c r="N19" i="129"/>
  <c r="R19" i="129" s="1"/>
  <c r="E15" i="151"/>
  <c r="F15" i="151" s="1"/>
  <c r="G15" i="151" s="1"/>
  <c r="E14" i="204"/>
  <c r="F14" i="204" s="1"/>
  <c r="G14" i="204" s="1"/>
  <c r="E15" i="204"/>
  <c r="F15" i="204" s="1"/>
  <c r="G15" i="204" s="1"/>
  <c r="D14" i="141"/>
  <c r="E14" i="141" s="1"/>
  <c r="D15" i="141"/>
  <c r="E15" i="141" s="1"/>
  <c r="F15" i="141" s="1"/>
  <c r="G15" i="141" s="1"/>
  <c r="E14" i="137"/>
  <c r="F14" i="137" s="1"/>
  <c r="G14" i="137" s="1"/>
  <c r="E15" i="137"/>
  <c r="F15" i="137" s="1"/>
  <c r="G15" i="137" s="1"/>
  <c r="E14" i="195"/>
  <c r="F14" i="195" s="1"/>
  <c r="G14" i="195" s="1"/>
  <c r="E15" i="195"/>
  <c r="F15" i="195" s="1"/>
  <c r="G15" i="195" s="1"/>
  <c r="E14" i="189"/>
  <c r="F14" i="189" s="1"/>
  <c r="G14" i="189" s="1"/>
  <c r="E15" i="189"/>
  <c r="F15" i="189" s="1"/>
  <c r="G15" i="189" s="1"/>
  <c r="E15" i="146"/>
  <c r="F15" i="146" s="1"/>
  <c r="G15" i="146" s="1"/>
  <c r="E14" i="203"/>
  <c r="F14" i="203" s="1"/>
  <c r="E15" i="203"/>
  <c r="F15" i="203" s="1"/>
  <c r="G15" i="203" s="1"/>
  <c r="E14" i="183"/>
  <c r="F14" i="183" s="1"/>
  <c r="G14" i="183" s="1"/>
  <c r="E15" i="183"/>
  <c r="F15" i="183" s="1"/>
  <c r="G15" i="183" s="1"/>
  <c r="E14" i="270"/>
  <c r="F14" i="270" s="1"/>
  <c r="G14" i="270" s="1"/>
  <c r="E15" i="270"/>
  <c r="F15" i="270" s="1"/>
  <c r="G15" i="270" s="1"/>
  <c r="G17" i="226"/>
  <c r="F17" i="226"/>
  <c r="E17" i="226"/>
  <c r="D17" i="226"/>
  <c r="G16" i="226"/>
  <c r="F16" i="226"/>
  <c r="E16" i="226"/>
  <c r="D16" i="226"/>
  <c r="G13" i="226"/>
  <c r="F13" i="226"/>
  <c r="E13" i="226"/>
  <c r="D13" i="226"/>
  <c r="G12" i="226"/>
  <c r="R736" i="246" s="1"/>
  <c r="F12" i="226"/>
  <c r="E12" i="226"/>
  <c r="P736" i="246" s="1"/>
  <c r="D12" i="226"/>
  <c r="O736" i="246" s="1"/>
  <c r="J40" i="49"/>
  <c r="H15" i="49"/>
  <c r="E15" i="49" s="1"/>
  <c r="H14" i="49"/>
  <c r="E14" i="49" s="1"/>
  <c r="H13" i="49"/>
  <c r="E13" i="49" s="1"/>
  <c r="H12" i="49"/>
  <c r="E12" i="49" s="1"/>
  <c r="H11" i="49"/>
  <c r="E11" i="49" s="1"/>
  <c r="L19" i="340"/>
  <c r="N17" i="340"/>
  <c r="R17" i="340" s="1"/>
  <c r="T17" i="340" s="1"/>
  <c r="J14" i="340"/>
  <c r="N14" i="340" s="1"/>
  <c r="J12" i="340"/>
  <c r="N12" i="340" s="1"/>
  <c r="J11" i="340"/>
  <c r="N11" i="340" s="1"/>
  <c r="R11" i="340" s="1"/>
  <c r="T11" i="340" s="1"/>
  <c r="L13" i="34"/>
  <c r="L12" i="34"/>
  <c r="N31" i="27"/>
  <c r="N30" i="27"/>
  <c r="E15" i="16"/>
  <c r="F15" i="16" s="1"/>
  <c r="G15" i="16" s="1"/>
  <c r="E14" i="16"/>
  <c r="F14" i="16" s="1"/>
  <c r="G14" i="16" s="1"/>
  <c r="O25" i="326"/>
  <c r="N25" i="326"/>
  <c r="M25" i="326"/>
  <c r="L25" i="326"/>
  <c r="G33" i="326"/>
  <c r="F33" i="326"/>
  <c r="E33" i="326"/>
  <c r="D33" i="326"/>
  <c r="C33" i="326"/>
  <c r="G32" i="326"/>
  <c r="F32" i="326"/>
  <c r="E32" i="326"/>
  <c r="D32" i="326"/>
  <c r="C32" i="326"/>
  <c r="G31" i="326"/>
  <c r="F31" i="326"/>
  <c r="G12" i="292" s="1"/>
  <c r="E31" i="326"/>
  <c r="D31" i="326"/>
  <c r="C31" i="326"/>
  <c r="G30" i="326"/>
  <c r="F30" i="326"/>
  <c r="E30" i="326"/>
  <c r="D30" i="326"/>
  <c r="C30" i="326"/>
  <c r="G29" i="326"/>
  <c r="F29" i="326"/>
  <c r="E29" i="326"/>
  <c r="D29" i="326"/>
  <c r="C29" i="326"/>
  <c r="G28" i="326"/>
  <c r="F28" i="326"/>
  <c r="E28" i="326"/>
  <c r="D28" i="326"/>
  <c r="C28" i="326"/>
  <c r="G27" i="326"/>
  <c r="F27" i="326"/>
  <c r="E27" i="326"/>
  <c r="D27" i="326"/>
  <c r="C27" i="326"/>
  <c r="G26" i="326"/>
  <c r="F26" i="326"/>
  <c r="F12" i="292" s="1"/>
  <c r="E26" i="326"/>
  <c r="D26" i="326"/>
  <c r="C26" i="326"/>
  <c r="G25" i="326"/>
  <c r="F25" i="326"/>
  <c r="E25" i="326"/>
  <c r="D25" i="326"/>
  <c r="C25" i="326"/>
  <c r="G24" i="326"/>
  <c r="F24" i="326"/>
  <c r="D12" i="292" s="1"/>
  <c r="E24" i="326"/>
  <c r="D24" i="326"/>
  <c r="C24" i="326"/>
  <c r="G23" i="326"/>
  <c r="F23" i="326"/>
  <c r="C12" i="292" s="1"/>
  <c r="E23" i="326"/>
  <c r="D23" i="326"/>
  <c r="C23" i="326"/>
  <c r="G17" i="326"/>
  <c r="F17" i="326"/>
  <c r="E17" i="326"/>
  <c r="D17" i="326"/>
  <c r="G16" i="326"/>
  <c r="F16" i="326"/>
  <c r="E16" i="326"/>
  <c r="D16" i="326"/>
  <c r="G15" i="326"/>
  <c r="F15" i="326"/>
  <c r="E15" i="326"/>
  <c r="D15" i="326"/>
  <c r="G14" i="326"/>
  <c r="F14" i="326"/>
  <c r="E14" i="326"/>
  <c r="D14" i="326"/>
  <c r="G13" i="326"/>
  <c r="F13" i="326"/>
  <c r="E13" i="326"/>
  <c r="D13" i="326"/>
  <c r="G12" i="326"/>
  <c r="F12" i="326"/>
  <c r="N12" i="292" s="1"/>
  <c r="E12" i="326"/>
  <c r="D12" i="326"/>
  <c r="E12" i="155"/>
  <c r="E13" i="155"/>
  <c r="E11" i="155"/>
  <c r="E14" i="80"/>
  <c r="E13" i="80"/>
  <c r="E12" i="80"/>
  <c r="E11" i="80"/>
  <c r="L16" i="124"/>
  <c r="J27" i="124"/>
  <c r="J33" i="30"/>
  <c r="L19" i="30"/>
  <c r="E12" i="30"/>
  <c r="E11" i="30"/>
  <c r="R15" i="70"/>
  <c r="R16" i="70"/>
  <c r="R17" i="70"/>
  <c r="R18" i="70"/>
  <c r="L13" i="70"/>
  <c r="L13" i="32"/>
  <c r="L36" i="36"/>
  <c r="E15" i="29"/>
  <c r="E14" i="29"/>
  <c r="E13" i="29"/>
  <c r="E12" i="29"/>
  <c r="E11" i="29"/>
  <c r="N18" i="34"/>
  <c r="R18" i="34" s="1"/>
  <c r="J38" i="70"/>
  <c r="N18" i="28"/>
  <c r="R18" i="28" s="1"/>
  <c r="N14" i="36"/>
  <c r="N13" i="36"/>
  <c r="T13" i="36" s="1"/>
  <c r="J43" i="29"/>
  <c r="J39" i="37"/>
  <c r="N39" i="37" s="1"/>
  <c r="R39" i="37" s="1"/>
  <c r="T39" i="37" s="1"/>
  <c r="F13" i="30"/>
  <c r="N26" i="34"/>
  <c r="R26" i="34" s="1"/>
  <c r="P20" i="295"/>
  <c r="P20" i="296"/>
  <c r="B21" i="363"/>
  <c r="D14" i="123"/>
  <c r="T44" i="33"/>
  <c r="T43" i="33"/>
  <c r="T42" i="33"/>
  <c r="T41" i="33"/>
  <c r="O25" i="185"/>
  <c r="N25" i="185"/>
  <c r="M25" i="185"/>
  <c r="L25" i="185"/>
  <c r="P697" i="246"/>
  <c r="O449" i="246"/>
  <c r="K133" i="294"/>
  <c r="J133" i="294"/>
  <c r="I133" i="294"/>
  <c r="H133" i="294"/>
  <c r="U114" i="294"/>
  <c r="T114" i="294"/>
  <c r="S114" i="294"/>
  <c r="R114" i="294"/>
  <c r="P114" i="294"/>
  <c r="O114" i="294"/>
  <c r="N114" i="294"/>
  <c r="M114" i="294"/>
  <c r="K114" i="294"/>
  <c r="J114" i="294"/>
  <c r="I114" i="294"/>
  <c r="H114" i="294"/>
  <c r="U95" i="294"/>
  <c r="T95" i="294"/>
  <c r="S95" i="294"/>
  <c r="R95" i="294"/>
  <c r="P95" i="294"/>
  <c r="O95" i="294"/>
  <c r="N95" i="294"/>
  <c r="M95" i="294"/>
  <c r="K95" i="294"/>
  <c r="J95" i="294"/>
  <c r="I95" i="294"/>
  <c r="H95" i="294"/>
  <c r="U76" i="294"/>
  <c r="T76" i="294"/>
  <c r="S76" i="294"/>
  <c r="R76" i="294"/>
  <c r="F19" i="294"/>
  <c r="F38" i="294" s="1"/>
  <c r="F57" i="294" s="1"/>
  <c r="F76" i="294" s="1"/>
  <c r="F95" i="294" s="1"/>
  <c r="F114" i="294" s="1"/>
  <c r="F133" i="294" s="1"/>
  <c r="D19" i="294"/>
  <c r="D38" i="294" s="1"/>
  <c r="D57" i="294" s="1"/>
  <c r="D76" i="294" s="1"/>
  <c r="D95" i="294" s="1"/>
  <c r="D114" i="294" s="1"/>
  <c r="D133" i="294" s="1"/>
  <c r="C19" i="294"/>
  <c r="C38" i="294" s="1"/>
  <c r="C57" i="294" s="1"/>
  <c r="C76" i="294" s="1"/>
  <c r="C95" i="294" s="1"/>
  <c r="C114" i="294" s="1"/>
  <c r="C133" i="294" s="1"/>
  <c r="O256" i="246"/>
  <c r="E12" i="70"/>
  <c r="E11" i="70"/>
  <c r="E12" i="32"/>
  <c r="E11" i="32"/>
  <c r="J24" i="32"/>
  <c r="E47" i="37"/>
  <c r="E41" i="37"/>
  <c r="E40" i="37"/>
  <c r="E35" i="37"/>
  <c r="E31" i="37"/>
  <c r="E28" i="37"/>
  <c r="E27" i="37"/>
  <c r="E24" i="37"/>
  <c r="E23" i="37"/>
  <c r="E20" i="37"/>
  <c r="E19" i="37"/>
  <c r="E16" i="37"/>
  <c r="E15" i="37"/>
  <c r="E12" i="37"/>
  <c r="E11" i="37"/>
  <c r="E39" i="36"/>
  <c r="E29" i="36"/>
  <c r="E23" i="36"/>
  <c r="E22" i="36"/>
  <c r="E20" i="36"/>
  <c r="E17" i="36"/>
  <c r="E16" i="36"/>
  <c r="E11" i="36"/>
  <c r="E10" i="36"/>
  <c r="E29" i="28"/>
  <c r="E26" i="28"/>
  <c r="E24" i="28"/>
  <c r="E22" i="28"/>
  <c r="E16" i="28"/>
  <c r="E15" i="28"/>
  <c r="E13" i="28"/>
  <c r="J31" i="28"/>
  <c r="N31" i="28" s="1"/>
  <c r="J45" i="34"/>
  <c r="N27" i="34"/>
  <c r="R27" i="34" s="1"/>
  <c r="N25" i="34"/>
  <c r="R25" i="34" s="1"/>
  <c r="N24" i="34"/>
  <c r="N23" i="34"/>
  <c r="R23" i="34" s="1"/>
  <c r="T23" i="34" s="1"/>
  <c r="N21" i="34"/>
  <c r="R21" i="34" s="1"/>
  <c r="E21" i="34"/>
  <c r="N14" i="34"/>
  <c r="R14" i="34" s="1"/>
  <c r="T14" i="34" s="1"/>
  <c r="E14" i="34"/>
  <c r="E15" i="34"/>
  <c r="E16" i="34"/>
  <c r="J12" i="155"/>
  <c r="N12" i="155" s="1"/>
  <c r="O25" i="103"/>
  <c r="N25" i="103"/>
  <c r="M25" i="103"/>
  <c r="L25" i="103"/>
  <c r="P25" i="103" s="1"/>
  <c r="G33" i="103"/>
  <c r="F33" i="103"/>
  <c r="E33" i="103"/>
  <c r="D33" i="103"/>
  <c r="C33" i="103"/>
  <c r="G32" i="103"/>
  <c r="F32" i="103"/>
  <c r="E32" i="103"/>
  <c r="D32" i="103"/>
  <c r="C32" i="103"/>
  <c r="G31" i="103"/>
  <c r="D31" i="103"/>
  <c r="F31" i="103"/>
  <c r="G26" i="292" s="1"/>
  <c r="E31" i="103"/>
  <c r="C31" i="103"/>
  <c r="G30" i="103"/>
  <c r="F30" i="103"/>
  <c r="E30" i="103"/>
  <c r="D30" i="103"/>
  <c r="C30" i="103"/>
  <c r="G29" i="103"/>
  <c r="F29" i="103"/>
  <c r="E29" i="103"/>
  <c r="D29" i="103"/>
  <c r="C29" i="103"/>
  <c r="G28" i="103"/>
  <c r="F28" i="103"/>
  <c r="E28" i="103"/>
  <c r="D28" i="103"/>
  <c r="C28" i="103"/>
  <c r="G27" i="103"/>
  <c r="F27" i="103"/>
  <c r="E27" i="103"/>
  <c r="D27" i="103"/>
  <c r="C27" i="103"/>
  <c r="G26" i="103"/>
  <c r="F26" i="103"/>
  <c r="F26" i="292" s="1"/>
  <c r="E26" i="103"/>
  <c r="D26" i="103"/>
  <c r="C26" i="103"/>
  <c r="G25" i="103"/>
  <c r="F25" i="103"/>
  <c r="E25" i="103"/>
  <c r="D25" i="103"/>
  <c r="C25" i="103"/>
  <c r="G24" i="103"/>
  <c r="F24" i="103"/>
  <c r="D26" i="292" s="1"/>
  <c r="E24" i="103"/>
  <c r="D24" i="103"/>
  <c r="C24" i="103"/>
  <c r="G23" i="103"/>
  <c r="D23" i="103"/>
  <c r="F23" i="103"/>
  <c r="C26" i="292" s="1"/>
  <c r="E23" i="103"/>
  <c r="C23" i="103"/>
  <c r="G17" i="103"/>
  <c r="F17" i="103"/>
  <c r="E17" i="103"/>
  <c r="D17" i="103"/>
  <c r="G16" i="103"/>
  <c r="F16" i="103"/>
  <c r="E16" i="103"/>
  <c r="D16" i="103"/>
  <c r="D15" i="103"/>
  <c r="D14" i="103"/>
  <c r="G13" i="103"/>
  <c r="F13" i="103"/>
  <c r="E13" i="103"/>
  <c r="D13" i="103"/>
  <c r="G12" i="103"/>
  <c r="F12" i="103"/>
  <c r="N26" i="292" s="1"/>
  <c r="E12" i="103"/>
  <c r="D12" i="103"/>
  <c r="C11" i="164"/>
  <c r="R32" i="27"/>
  <c r="J44" i="27" s="1"/>
  <c r="C33" i="223"/>
  <c r="C32" i="223"/>
  <c r="C31" i="223"/>
  <c r="C30" i="223"/>
  <c r="C29" i="223"/>
  <c r="C28" i="223"/>
  <c r="C27" i="223"/>
  <c r="C26" i="223"/>
  <c r="C25" i="223"/>
  <c r="C24" i="223"/>
  <c r="C23" i="223"/>
  <c r="L530" i="209"/>
  <c r="I530" i="209"/>
  <c r="R710" i="209"/>
  <c r="O710" i="209"/>
  <c r="D29" i="246"/>
  <c r="D91" i="246" s="1"/>
  <c r="D153" i="246" s="1"/>
  <c r="D215" i="246" s="1"/>
  <c r="D277" i="246" s="1"/>
  <c r="D339" i="246" s="1"/>
  <c r="D401" i="246" s="1"/>
  <c r="D463" i="246" s="1"/>
  <c r="D525" i="246" s="1"/>
  <c r="D587" i="246" s="1"/>
  <c r="D649" i="246" s="1"/>
  <c r="D711" i="246" s="1"/>
  <c r="D773" i="246" s="1"/>
  <c r="D69" i="36"/>
  <c r="J32" i="36" s="1"/>
  <c r="J61" i="37"/>
  <c r="J38" i="37"/>
  <c r="N38" i="37" s="1"/>
  <c r="R38" i="37" s="1"/>
  <c r="T38" i="37" s="1"/>
  <c r="C9" i="362"/>
  <c r="G11" i="362" s="1"/>
  <c r="G18" i="362" s="1"/>
  <c r="G40" i="362" s="1"/>
  <c r="K57" i="294" s="1"/>
  <c r="G48" i="362"/>
  <c r="F48" i="362"/>
  <c r="E48" i="362"/>
  <c r="D48" i="362"/>
  <c r="H46" i="362"/>
  <c r="H33" i="362"/>
  <c r="H32" i="362"/>
  <c r="H31" i="362"/>
  <c r="H45" i="362" s="1"/>
  <c r="H30" i="362"/>
  <c r="H44" i="362" s="1"/>
  <c r="H29" i="362"/>
  <c r="H43" i="362" s="1"/>
  <c r="H28" i="362"/>
  <c r="H42" i="362" s="1"/>
  <c r="H27" i="362"/>
  <c r="H41" i="362" s="1"/>
  <c r="H26" i="362"/>
  <c r="H40" i="362" s="1"/>
  <c r="P25" i="362"/>
  <c r="H25" i="362"/>
  <c r="H39" i="362" s="1"/>
  <c r="H24" i="362"/>
  <c r="H38" i="362" s="1"/>
  <c r="H23" i="362"/>
  <c r="H37" i="362" s="1"/>
  <c r="P20" i="362"/>
  <c r="I101" i="5"/>
  <c r="F101" i="5"/>
  <c r="E19" i="294" s="1"/>
  <c r="E38" i="294" s="1"/>
  <c r="E57" i="294" s="1"/>
  <c r="E76" i="294" s="1"/>
  <c r="E95" i="294" s="1"/>
  <c r="E114" i="294" s="1"/>
  <c r="E133" i="294" s="1"/>
  <c r="K135" i="294"/>
  <c r="J135" i="294"/>
  <c r="I135" i="294"/>
  <c r="H135" i="294"/>
  <c r="U116" i="294"/>
  <c r="T116" i="294"/>
  <c r="S116" i="294"/>
  <c r="R116" i="294"/>
  <c r="P116" i="294"/>
  <c r="O116" i="294"/>
  <c r="N116" i="294"/>
  <c r="M116" i="294"/>
  <c r="K116" i="294"/>
  <c r="J116" i="294"/>
  <c r="I116" i="294"/>
  <c r="H116" i="294"/>
  <c r="U97" i="294"/>
  <c r="T97" i="294"/>
  <c r="S97" i="294"/>
  <c r="R97" i="294"/>
  <c r="P97" i="294"/>
  <c r="O97" i="294"/>
  <c r="N97" i="294"/>
  <c r="M97" i="294"/>
  <c r="K97" i="294"/>
  <c r="J97" i="294"/>
  <c r="I97" i="294"/>
  <c r="H97" i="294"/>
  <c r="U78" i="294"/>
  <c r="T78" i="294"/>
  <c r="S78" i="294"/>
  <c r="R78" i="294"/>
  <c r="F21" i="294"/>
  <c r="F40" i="294" s="1"/>
  <c r="F59" i="294" s="1"/>
  <c r="F78" i="294" s="1"/>
  <c r="F97" i="294" s="1"/>
  <c r="F116" i="294" s="1"/>
  <c r="F135" i="294" s="1"/>
  <c r="D21" i="294"/>
  <c r="D40" i="294" s="1"/>
  <c r="D59" i="294" s="1"/>
  <c r="D78" i="294" s="1"/>
  <c r="D97" i="294" s="1"/>
  <c r="D116" i="294" s="1"/>
  <c r="D135" i="294" s="1"/>
  <c r="C21" i="294"/>
  <c r="C40" i="294" s="1"/>
  <c r="C59" i="294" s="1"/>
  <c r="C78" i="294" s="1"/>
  <c r="C97" i="294" s="1"/>
  <c r="C116" i="294" s="1"/>
  <c r="C135" i="294" s="1"/>
  <c r="P20" i="360"/>
  <c r="M25" i="361"/>
  <c r="N25" i="361"/>
  <c r="O25" i="361"/>
  <c r="L25" i="361"/>
  <c r="P25" i="361" s="1"/>
  <c r="P20" i="361"/>
  <c r="G33" i="361"/>
  <c r="F33" i="361"/>
  <c r="E33" i="361"/>
  <c r="D33" i="361"/>
  <c r="G32" i="361"/>
  <c r="F32" i="361"/>
  <c r="E32" i="361"/>
  <c r="D32" i="361"/>
  <c r="G31" i="361"/>
  <c r="F31" i="361"/>
  <c r="E31" i="361"/>
  <c r="D31" i="361"/>
  <c r="G30" i="361"/>
  <c r="F30" i="361"/>
  <c r="E30" i="361"/>
  <c r="D30" i="361"/>
  <c r="G29" i="361"/>
  <c r="F29" i="361"/>
  <c r="E29" i="361"/>
  <c r="D29" i="361"/>
  <c r="G28" i="361"/>
  <c r="F28" i="361"/>
  <c r="E28" i="361"/>
  <c r="D28" i="361"/>
  <c r="G27" i="361"/>
  <c r="F27" i="361"/>
  <c r="E27" i="361"/>
  <c r="D27" i="361"/>
  <c r="G26" i="361"/>
  <c r="F26" i="361"/>
  <c r="E26" i="361"/>
  <c r="D26" i="361"/>
  <c r="G25" i="361"/>
  <c r="F25" i="361"/>
  <c r="E25" i="361"/>
  <c r="D25" i="361"/>
  <c r="G24" i="361"/>
  <c r="F24" i="361"/>
  <c r="E24" i="361"/>
  <c r="D24" i="361"/>
  <c r="G23" i="361"/>
  <c r="F23" i="361"/>
  <c r="E23" i="361"/>
  <c r="D23" i="361"/>
  <c r="E12" i="361"/>
  <c r="F12" i="361"/>
  <c r="G12" i="361"/>
  <c r="E13" i="361"/>
  <c r="F13" i="361"/>
  <c r="G13" i="361"/>
  <c r="E14" i="361"/>
  <c r="F14" i="361"/>
  <c r="G14" i="361"/>
  <c r="E15" i="361"/>
  <c r="F15" i="361"/>
  <c r="G15" i="361"/>
  <c r="E16" i="361"/>
  <c r="F16" i="361"/>
  <c r="G16" i="361"/>
  <c r="E17" i="361"/>
  <c r="F17" i="361"/>
  <c r="G17" i="361"/>
  <c r="D17" i="361"/>
  <c r="D16" i="361"/>
  <c r="D15" i="361"/>
  <c r="D14" i="361"/>
  <c r="D13" i="361"/>
  <c r="D12" i="361"/>
  <c r="C33" i="361"/>
  <c r="C32" i="361"/>
  <c r="C31" i="361"/>
  <c r="C30" i="361"/>
  <c r="C29" i="361"/>
  <c r="C28" i="361"/>
  <c r="C27" i="361"/>
  <c r="C26" i="361"/>
  <c r="C25" i="361"/>
  <c r="C24" i="361"/>
  <c r="C23" i="361"/>
  <c r="C9" i="360"/>
  <c r="D11" i="360" s="1"/>
  <c r="D18" i="360" s="1"/>
  <c r="R135" i="294" s="1"/>
  <c r="G48" i="360"/>
  <c r="F48" i="360"/>
  <c r="E48" i="360"/>
  <c r="D48" i="360"/>
  <c r="H46" i="360"/>
  <c r="H33" i="360"/>
  <c r="H32" i="360"/>
  <c r="H31" i="360"/>
  <c r="H45" i="360" s="1"/>
  <c r="H30" i="360"/>
  <c r="H44" i="360" s="1"/>
  <c r="H29" i="360"/>
  <c r="H43" i="360" s="1"/>
  <c r="H28" i="360"/>
  <c r="H42" i="360" s="1"/>
  <c r="H27" i="360"/>
  <c r="H41" i="360" s="1"/>
  <c r="H26" i="360"/>
  <c r="H40" i="360" s="1"/>
  <c r="P25" i="360"/>
  <c r="H25" i="360"/>
  <c r="H39" i="360" s="1"/>
  <c r="H24" i="360"/>
  <c r="H38" i="360" s="1"/>
  <c r="H23" i="360"/>
  <c r="H37" i="360" s="1"/>
  <c r="I120" i="5"/>
  <c r="F120" i="5"/>
  <c r="E21" i="294" s="1"/>
  <c r="E40" i="294" s="1"/>
  <c r="E59" i="294" s="1"/>
  <c r="E78" i="294" s="1"/>
  <c r="E97" i="294" s="1"/>
  <c r="E116" i="294" s="1"/>
  <c r="E135" i="294" s="1"/>
  <c r="C101" i="209"/>
  <c r="C161" i="209" s="1"/>
  <c r="C221" i="209" s="1"/>
  <c r="C281" i="209" s="1"/>
  <c r="C341" i="209" s="1"/>
  <c r="C401" i="209" s="1"/>
  <c r="C461" i="209" s="1"/>
  <c r="C521" i="209" s="1"/>
  <c r="C581" i="209" s="1"/>
  <c r="C641" i="209" s="1"/>
  <c r="C701" i="209" s="1"/>
  <c r="C761" i="209" s="1"/>
  <c r="C104" i="209"/>
  <c r="C164" i="209" s="1"/>
  <c r="C224" i="209" s="1"/>
  <c r="V224" i="209" s="1"/>
  <c r="V284" i="209" s="1"/>
  <c r="V344" i="209" s="1"/>
  <c r="V404" i="209" s="1"/>
  <c r="V464" i="209" s="1"/>
  <c r="V524" i="209" s="1"/>
  <c r="V584" i="209" s="1"/>
  <c r="V644" i="209" s="1"/>
  <c r="V704" i="209" s="1"/>
  <c r="V764" i="209" s="1"/>
  <c r="C464" i="209"/>
  <c r="C524" i="209" s="1"/>
  <c r="C584" i="209" s="1"/>
  <c r="C644" i="209" s="1"/>
  <c r="C704" i="209" s="1"/>
  <c r="C764" i="209" s="1"/>
  <c r="P20" i="345"/>
  <c r="P20" i="356"/>
  <c r="P20" i="337"/>
  <c r="P20" i="79"/>
  <c r="P20" i="338"/>
  <c r="P20" i="105"/>
  <c r="P20" i="290"/>
  <c r="P20" i="196"/>
  <c r="P20" i="72"/>
  <c r="P20" i="289"/>
  <c r="P20" i="288"/>
  <c r="J16" i="30"/>
  <c r="E15" i="124"/>
  <c r="E12" i="124"/>
  <c r="E11" i="124"/>
  <c r="R708" i="246"/>
  <c r="Q708" i="246"/>
  <c r="P708" i="246"/>
  <c r="O708" i="246"/>
  <c r="I584" i="246"/>
  <c r="R584" i="246"/>
  <c r="Q584" i="246"/>
  <c r="P584" i="246"/>
  <c r="O584" i="246"/>
  <c r="L584" i="246"/>
  <c r="K584" i="246"/>
  <c r="J584" i="246"/>
  <c r="I522" i="246"/>
  <c r="R522" i="246"/>
  <c r="Q522" i="246"/>
  <c r="P522" i="246"/>
  <c r="O522" i="246"/>
  <c r="L522" i="246"/>
  <c r="K522" i="246"/>
  <c r="J522" i="246"/>
  <c r="I460" i="246"/>
  <c r="R460" i="246"/>
  <c r="Q460" i="246"/>
  <c r="P460" i="246"/>
  <c r="O460" i="246"/>
  <c r="L460" i="246"/>
  <c r="K460" i="246"/>
  <c r="J460" i="246"/>
  <c r="I398" i="246"/>
  <c r="R398" i="246"/>
  <c r="Q398" i="246"/>
  <c r="P398" i="246"/>
  <c r="O398" i="246"/>
  <c r="L398" i="246"/>
  <c r="K398" i="246"/>
  <c r="J398" i="246"/>
  <c r="I336" i="246"/>
  <c r="R336" i="246"/>
  <c r="Q336" i="246"/>
  <c r="P336" i="246"/>
  <c r="O336" i="246"/>
  <c r="L336" i="246"/>
  <c r="K336" i="246"/>
  <c r="J336" i="246"/>
  <c r="R274" i="246"/>
  <c r="Q274" i="246"/>
  <c r="P274" i="246"/>
  <c r="O274" i="246"/>
  <c r="V88" i="246"/>
  <c r="V150" i="246" s="1"/>
  <c r="V212" i="246" s="1"/>
  <c r="V274" i="246" s="1"/>
  <c r="V336" i="246" s="1"/>
  <c r="V398" i="246" s="1"/>
  <c r="V460" i="246" s="1"/>
  <c r="V522" i="246" s="1"/>
  <c r="V584" i="246" s="1"/>
  <c r="V646" i="246" s="1"/>
  <c r="V708" i="246" s="1"/>
  <c r="C88" i="246"/>
  <c r="C150" i="246" s="1"/>
  <c r="C212" i="246" s="1"/>
  <c r="C274" i="246" s="1"/>
  <c r="C336" i="246" s="1"/>
  <c r="C398" i="246" s="1"/>
  <c r="C460" i="246" s="1"/>
  <c r="C522" i="246" s="1"/>
  <c r="C584" i="246" s="1"/>
  <c r="C646" i="246" s="1"/>
  <c r="C708" i="246" s="1"/>
  <c r="C770" i="246" s="1"/>
  <c r="G26" i="246"/>
  <c r="G88" i="246" s="1"/>
  <c r="G150" i="246" s="1"/>
  <c r="G212" i="246" s="1"/>
  <c r="G274" i="246" s="1"/>
  <c r="G336" i="246" s="1"/>
  <c r="G398" i="246" s="1"/>
  <c r="G460" i="246" s="1"/>
  <c r="G522" i="246" s="1"/>
  <c r="G584" i="246" s="1"/>
  <c r="G646" i="246" s="1"/>
  <c r="G708" i="246" s="1"/>
  <c r="G770" i="246" s="1"/>
  <c r="E26" i="246"/>
  <c r="E88" i="246" s="1"/>
  <c r="E150" i="246" s="1"/>
  <c r="E212" i="246" s="1"/>
  <c r="E274" i="246" s="1"/>
  <c r="E336" i="246" s="1"/>
  <c r="E398" i="246" s="1"/>
  <c r="E460" i="246" s="1"/>
  <c r="E522" i="246" s="1"/>
  <c r="E584" i="246" s="1"/>
  <c r="E646" i="246" s="1"/>
  <c r="E708" i="246" s="1"/>
  <c r="E770" i="246" s="1"/>
  <c r="D26" i="246"/>
  <c r="U26" i="246" s="1"/>
  <c r="U88" i="246" s="1"/>
  <c r="U150" i="246" s="1"/>
  <c r="U212" i="246" s="1"/>
  <c r="U274" i="246" s="1"/>
  <c r="U336" i="246" s="1"/>
  <c r="U398" i="246" s="1"/>
  <c r="U460" i="246" s="1"/>
  <c r="U522" i="246" s="1"/>
  <c r="U584" i="246" s="1"/>
  <c r="U646" i="246" s="1"/>
  <c r="U708" i="246" s="1"/>
  <c r="C33" i="104"/>
  <c r="C32" i="104"/>
  <c r="C31" i="104"/>
  <c r="C30" i="104"/>
  <c r="C29" i="104"/>
  <c r="C28" i="104"/>
  <c r="C27" i="104"/>
  <c r="C26" i="104"/>
  <c r="C25" i="104"/>
  <c r="C24" i="104"/>
  <c r="C23" i="104"/>
  <c r="G33" i="104"/>
  <c r="F33" i="104"/>
  <c r="E33" i="104"/>
  <c r="D33" i="104"/>
  <c r="G32" i="104"/>
  <c r="F32" i="104"/>
  <c r="E32" i="104"/>
  <c r="D32" i="104"/>
  <c r="G31" i="104"/>
  <c r="F31" i="104"/>
  <c r="E31" i="104"/>
  <c r="D31" i="104"/>
  <c r="G30" i="104"/>
  <c r="F30" i="104"/>
  <c r="E27" i="292" s="1"/>
  <c r="E30" i="104"/>
  <c r="D30" i="104"/>
  <c r="G29" i="104"/>
  <c r="F29" i="104"/>
  <c r="E29" i="104"/>
  <c r="D29" i="104"/>
  <c r="G28" i="104"/>
  <c r="F28" i="104"/>
  <c r="E28" i="104"/>
  <c r="D28" i="104"/>
  <c r="G27" i="104"/>
  <c r="F27" i="104"/>
  <c r="E27" i="104"/>
  <c r="D27" i="104"/>
  <c r="G26" i="104"/>
  <c r="F26" i="104"/>
  <c r="E26" i="104"/>
  <c r="D26" i="104"/>
  <c r="G25" i="104"/>
  <c r="F25" i="104"/>
  <c r="E25" i="104"/>
  <c r="D25" i="104"/>
  <c r="G24" i="104"/>
  <c r="F24" i="104"/>
  <c r="E24" i="104"/>
  <c r="D24" i="104"/>
  <c r="G23" i="104"/>
  <c r="F23" i="104"/>
  <c r="E23" i="104"/>
  <c r="D23" i="104"/>
  <c r="G17" i="104"/>
  <c r="F17" i="104"/>
  <c r="E17" i="104"/>
  <c r="D17" i="104"/>
  <c r="G16" i="104"/>
  <c r="F16" i="104"/>
  <c r="E16" i="104"/>
  <c r="D16" i="104"/>
  <c r="G13" i="104"/>
  <c r="F13" i="104"/>
  <c r="E13" i="104"/>
  <c r="D13" i="104"/>
  <c r="G12" i="104"/>
  <c r="F12" i="104"/>
  <c r="N27" i="292" s="1"/>
  <c r="E12" i="104"/>
  <c r="D12" i="104"/>
  <c r="O715" i="246" s="1"/>
  <c r="C9" i="359"/>
  <c r="F11" i="359" s="1"/>
  <c r="F46" i="359" s="1"/>
  <c r="I108" i="5"/>
  <c r="F108" i="5"/>
  <c r="F26" i="246" s="1"/>
  <c r="F88" i="246" s="1"/>
  <c r="F150" i="246" s="1"/>
  <c r="F212" i="246" s="1"/>
  <c r="F274" i="246" s="1"/>
  <c r="F336" i="246" s="1"/>
  <c r="F398" i="246" s="1"/>
  <c r="F460" i="246" s="1"/>
  <c r="F522" i="246" s="1"/>
  <c r="F584" i="246" s="1"/>
  <c r="F646" i="246" s="1"/>
  <c r="F708" i="246" s="1"/>
  <c r="F770" i="246" s="1"/>
  <c r="G48" i="359"/>
  <c r="F48" i="359"/>
  <c r="E48" i="359"/>
  <c r="D48" i="359"/>
  <c r="H46" i="359"/>
  <c r="S646" i="246" s="1"/>
  <c r="H33" i="359"/>
  <c r="H32" i="359"/>
  <c r="M646" i="246" s="1"/>
  <c r="H31" i="359"/>
  <c r="H45" i="359" s="1"/>
  <c r="M150" i="246" s="1"/>
  <c r="H30" i="359"/>
  <c r="H44" i="359" s="1"/>
  <c r="S88" i="246" s="1"/>
  <c r="H29" i="359"/>
  <c r="H28" i="359"/>
  <c r="H42" i="359" s="1"/>
  <c r="M274" i="246" s="1"/>
  <c r="H27" i="359"/>
  <c r="H41" i="359" s="1"/>
  <c r="M212" i="246" s="1"/>
  <c r="H26" i="359"/>
  <c r="H40" i="359" s="1"/>
  <c r="M88" i="246" s="1"/>
  <c r="P25" i="359"/>
  <c r="H25" i="359"/>
  <c r="H39" i="359" s="1"/>
  <c r="S26" i="246" s="1"/>
  <c r="H24" i="359"/>
  <c r="H38" i="359" s="1"/>
  <c r="M26" i="246" s="1"/>
  <c r="H23" i="359"/>
  <c r="H37" i="359" s="1"/>
  <c r="S212" i="246" s="1"/>
  <c r="P20" i="359"/>
  <c r="N18" i="49"/>
  <c r="R40" i="28"/>
  <c r="R19" i="70"/>
  <c r="T19" i="70" s="1"/>
  <c r="J35" i="70" s="1"/>
  <c r="J15" i="124"/>
  <c r="O25" i="247"/>
  <c r="N25" i="247"/>
  <c r="M25" i="247"/>
  <c r="L25" i="247"/>
  <c r="C33" i="247"/>
  <c r="C32" i="247"/>
  <c r="C31" i="247"/>
  <c r="C30" i="247"/>
  <c r="C29" i="247"/>
  <c r="C28" i="247"/>
  <c r="C27" i="247"/>
  <c r="C26" i="247"/>
  <c r="C25" i="247"/>
  <c r="C24" i="247"/>
  <c r="C23" i="247"/>
  <c r="D52" i="29"/>
  <c r="G13" i="246"/>
  <c r="G75" i="246" s="1"/>
  <c r="G137" i="246" s="1"/>
  <c r="G199" i="246" s="1"/>
  <c r="G261" i="246" s="1"/>
  <c r="G323" i="246" s="1"/>
  <c r="G385" i="246" s="1"/>
  <c r="G447" i="246" s="1"/>
  <c r="G509" i="246" s="1"/>
  <c r="G571" i="246" s="1"/>
  <c r="G633" i="246" s="1"/>
  <c r="G695" i="246" s="1"/>
  <c r="G757" i="246" s="1"/>
  <c r="E13" i="246"/>
  <c r="E75" i="246" s="1"/>
  <c r="E137" i="246" s="1"/>
  <c r="E199" i="246" s="1"/>
  <c r="E261" i="246" s="1"/>
  <c r="E323" i="246" s="1"/>
  <c r="E385" i="246" s="1"/>
  <c r="E447" i="246" s="1"/>
  <c r="E509" i="246" s="1"/>
  <c r="E571" i="246" s="1"/>
  <c r="E633" i="246" s="1"/>
  <c r="E695" i="246" s="1"/>
  <c r="E757" i="246" s="1"/>
  <c r="D13" i="246"/>
  <c r="U13" i="246" s="1"/>
  <c r="U75" i="246" s="1"/>
  <c r="U137" i="246" s="1"/>
  <c r="U199" i="246" s="1"/>
  <c r="U261" i="246" s="1"/>
  <c r="U323" i="246" s="1"/>
  <c r="U385" i="246" s="1"/>
  <c r="U447" i="246" s="1"/>
  <c r="U509" i="246" s="1"/>
  <c r="U571" i="246" s="1"/>
  <c r="U633" i="246" s="1"/>
  <c r="U695" i="246" s="1"/>
  <c r="G44" i="209"/>
  <c r="G104" i="209" s="1"/>
  <c r="G164" i="209" s="1"/>
  <c r="G224" i="209" s="1"/>
  <c r="G284" i="209" s="1"/>
  <c r="G344" i="209" s="1"/>
  <c r="G404" i="209" s="1"/>
  <c r="G464" i="209" s="1"/>
  <c r="G524" i="209" s="1"/>
  <c r="G584" i="209" s="1"/>
  <c r="G644" i="209" s="1"/>
  <c r="G704" i="209" s="1"/>
  <c r="G764" i="209" s="1"/>
  <c r="D47" i="33"/>
  <c r="D68" i="28"/>
  <c r="D45" i="33"/>
  <c r="D67" i="28"/>
  <c r="D46" i="33"/>
  <c r="R677" i="209"/>
  <c r="R701" i="209"/>
  <c r="I145" i="5"/>
  <c r="I144" i="5"/>
  <c r="I168" i="5"/>
  <c r="I187" i="5"/>
  <c r="I186" i="5"/>
  <c r="I185" i="5"/>
  <c r="I184" i="5"/>
  <c r="I183" i="5"/>
  <c r="I182" i="5"/>
  <c r="I181" i="5"/>
  <c r="I180" i="5"/>
  <c r="I179" i="5"/>
  <c r="I178" i="5"/>
  <c r="I177" i="5"/>
  <c r="I176" i="5"/>
  <c r="I175" i="5"/>
  <c r="I174" i="5"/>
  <c r="I173" i="5"/>
  <c r="I172" i="5"/>
  <c r="I171" i="5"/>
  <c r="I170" i="5"/>
  <c r="I169" i="5"/>
  <c r="I167" i="5"/>
  <c r="I166" i="5"/>
  <c r="I165" i="5"/>
  <c r="I164" i="5"/>
  <c r="I163" i="5"/>
  <c r="I162" i="5"/>
  <c r="I161" i="5"/>
  <c r="I160" i="5"/>
  <c r="I159" i="5"/>
  <c r="I158" i="5"/>
  <c r="I157" i="5"/>
  <c r="I156" i="5"/>
  <c r="I155" i="5"/>
  <c r="I154" i="5"/>
  <c r="I153" i="5"/>
  <c r="I152" i="5"/>
  <c r="I151" i="5"/>
  <c r="I150" i="5"/>
  <c r="I149" i="5"/>
  <c r="I148" i="5"/>
  <c r="I141" i="5"/>
  <c r="I138" i="5"/>
  <c r="I137" i="5"/>
  <c r="I136" i="5"/>
  <c r="I135" i="5"/>
  <c r="I132" i="5"/>
  <c r="I131" i="5"/>
  <c r="I130" i="5"/>
  <c r="I127" i="5"/>
  <c r="I126" i="5"/>
  <c r="I125" i="5"/>
  <c r="I124" i="5"/>
  <c r="I123" i="5"/>
  <c r="I117" i="5"/>
  <c r="I114" i="5"/>
  <c r="I113" i="5"/>
  <c r="I112" i="5"/>
  <c r="I111" i="5"/>
  <c r="I110" i="5"/>
  <c r="I109" i="5"/>
  <c r="I105" i="5"/>
  <c r="I104" i="5"/>
  <c r="I100" i="5"/>
  <c r="I99" i="5"/>
  <c r="I98" i="5"/>
  <c r="I97" i="5"/>
  <c r="I94" i="5"/>
  <c r="I93" i="5"/>
  <c r="I92" i="5"/>
  <c r="I91" i="5"/>
  <c r="I90" i="5"/>
  <c r="I89" i="5"/>
  <c r="I88" i="5"/>
  <c r="I87" i="5"/>
  <c r="I86" i="5"/>
  <c r="I85" i="5"/>
  <c r="I84" i="5"/>
  <c r="I83" i="5"/>
  <c r="I82" i="5"/>
  <c r="I81" i="5"/>
  <c r="I80" i="5"/>
  <c r="I77" i="5"/>
  <c r="I76" i="5"/>
  <c r="I75" i="5"/>
  <c r="I74" i="5"/>
  <c r="I71" i="5"/>
  <c r="I70" i="5"/>
  <c r="I69" i="5"/>
  <c r="I68" i="5"/>
  <c r="I65" i="5"/>
  <c r="I64" i="5"/>
  <c r="I63" i="5"/>
  <c r="I60" i="5"/>
  <c r="I59" i="5"/>
  <c r="I58" i="5"/>
  <c r="I57" i="5"/>
  <c r="I56" i="5"/>
  <c r="I53" i="5"/>
  <c r="I52" i="5"/>
  <c r="I51" i="5"/>
  <c r="I44" i="5"/>
  <c r="I46" i="5"/>
  <c r="I45" i="5"/>
  <c r="I39" i="5"/>
  <c r="I41" i="5"/>
  <c r="I40" i="5"/>
  <c r="I36" i="5"/>
  <c r="I35" i="5"/>
  <c r="I27" i="5"/>
  <c r="I26" i="5"/>
  <c r="I25" i="5"/>
  <c r="I24" i="5"/>
  <c r="I31" i="5"/>
  <c r="I22" i="5"/>
  <c r="I32" i="5"/>
  <c r="I28" i="5"/>
  <c r="I30" i="5"/>
  <c r="I29" i="5"/>
  <c r="I23" i="5"/>
  <c r="I19" i="5"/>
  <c r="I18" i="5"/>
  <c r="I17" i="5"/>
  <c r="I16" i="5"/>
  <c r="I15" i="5"/>
  <c r="I14" i="5"/>
  <c r="I13" i="5"/>
  <c r="I12" i="5"/>
  <c r="I11" i="5"/>
  <c r="I10" i="5"/>
  <c r="I9" i="5"/>
  <c r="I8" i="5"/>
  <c r="J43" i="49"/>
  <c r="J20" i="49"/>
  <c r="N20" i="49" s="1"/>
  <c r="E20" i="49"/>
  <c r="J19" i="49"/>
  <c r="N19" i="49" s="1"/>
  <c r="E19" i="49"/>
  <c r="N13" i="49"/>
  <c r="R13" i="49" s="1"/>
  <c r="T13" i="49" s="1"/>
  <c r="N12" i="49"/>
  <c r="R12" i="49" s="1"/>
  <c r="J36" i="340"/>
  <c r="J21" i="340"/>
  <c r="N21" i="340" s="1"/>
  <c r="J15" i="340"/>
  <c r="N15" i="340" s="1"/>
  <c r="R15" i="340" s="1"/>
  <c r="D78" i="37"/>
  <c r="J65" i="37"/>
  <c r="L42" i="37"/>
  <c r="J47" i="37"/>
  <c r="N47" i="37" s="1"/>
  <c r="R47" i="37" s="1"/>
  <c r="R48" i="37" s="1"/>
  <c r="J41" i="37"/>
  <c r="N41" i="37" s="1"/>
  <c r="J40" i="37"/>
  <c r="J35" i="37"/>
  <c r="N35" i="37" s="1"/>
  <c r="R35" i="37" s="1"/>
  <c r="T35" i="37" s="1"/>
  <c r="N32" i="37"/>
  <c r="R32" i="37" s="1"/>
  <c r="J31" i="37"/>
  <c r="L28" i="37"/>
  <c r="J28" i="37"/>
  <c r="J27" i="37"/>
  <c r="J24" i="37"/>
  <c r="N24" i="37" s="1"/>
  <c r="J23" i="37"/>
  <c r="J20" i="37"/>
  <c r="J19" i="37"/>
  <c r="N19" i="37" s="1"/>
  <c r="R19" i="37" s="1"/>
  <c r="J16" i="37"/>
  <c r="J15" i="37"/>
  <c r="J12" i="37"/>
  <c r="N12" i="37" s="1"/>
  <c r="J11" i="37"/>
  <c r="N11" i="37" s="1"/>
  <c r="R11" i="37" s="1"/>
  <c r="D68" i="36"/>
  <c r="D67" i="36"/>
  <c r="D66" i="36"/>
  <c r="D64" i="36"/>
  <c r="J42" i="36" s="1"/>
  <c r="N42" i="36" s="1"/>
  <c r="R42" i="36" s="1"/>
  <c r="J60" i="36"/>
  <c r="J56" i="36"/>
  <c r="J39" i="36"/>
  <c r="N39" i="36" s="1"/>
  <c r="R39" i="36" s="1"/>
  <c r="J29" i="36"/>
  <c r="N29" i="36" s="1"/>
  <c r="R29" i="36" s="1"/>
  <c r="J23" i="36"/>
  <c r="J22" i="36"/>
  <c r="J20" i="36"/>
  <c r="N20" i="36" s="1"/>
  <c r="J17" i="36"/>
  <c r="J16" i="36"/>
  <c r="J11" i="36"/>
  <c r="N11" i="36" s="1"/>
  <c r="R11" i="36" s="1"/>
  <c r="J10" i="36"/>
  <c r="N10" i="36" s="1"/>
  <c r="J38" i="33"/>
  <c r="J37" i="33"/>
  <c r="L14" i="33"/>
  <c r="J14" i="33"/>
  <c r="J17" i="33" s="1"/>
  <c r="J27" i="33" s="1"/>
  <c r="N13" i="33"/>
  <c r="N12" i="33"/>
  <c r="N11" i="33"/>
  <c r="R11" i="33" s="1"/>
  <c r="F11" i="33"/>
  <c r="E11" i="33"/>
  <c r="T48" i="80"/>
  <c r="T47" i="80"/>
  <c r="T46" i="80"/>
  <c r="T45" i="80"/>
  <c r="J34" i="80"/>
  <c r="J29" i="80"/>
  <c r="J14" i="80"/>
  <c r="N14" i="80" s="1"/>
  <c r="R14" i="80" s="1"/>
  <c r="J13" i="80"/>
  <c r="N13" i="80" s="1"/>
  <c r="R13" i="80" s="1"/>
  <c r="J12" i="80"/>
  <c r="J11" i="80"/>
  <c r="J49" i="34"/>
  <c r="L31" i="34"/>
  <c r="N28" i="34"/>
  <c r="N15" i="34"/>
  <c r="R15" i="34" s="1"/>
  <c r="T15" i="34" s="1"/>
  <c r="R13" i="34"/>
  <c r="J17" i="34"/>
  <c r="J31" i="34" s="1"/>
  <c r="J34" i="34" s="1"/>
  <c r="N16" i="34"/>
  <c r="R12" i="34"/>
  <c r="N11" i="34"/>
  <c r="R11" i="34" s="1"/>
  <c r="T11" i="34" s="1"/>
  <c r="E11" i="34"/>
  <c r="J28" i="32"/>
  <c r="J22" i="32"/>
  <c r="J12" i="32"/>
  <c r="N12" i="32" s="1"/>
  <c r="R12" i="32" s="1"/>
  <c r="J11" i="32"/>
  <c r="N11" i="32" s="1"/>
  <c r="J43" i="70"/>
  <c r="H22" i="70" s="1"/>
  <c r="N22" i="70" s="1"/>
  <c r="R22" i="70" s="1"/>
  <c r="R23" i="70" s="1"/>
  <c r="D14" i="125" s="1"/>
  <c r="E14" i="125" s="1"/>
  <c r="F14" i="125" s="1"/>
  <c r="G14" i="125" s="1"/>
  <c r="J12" i="70"/>
  <c r="J11" i="70"/>
  <c r="J39" i="30"/>
  <c r="N18" i="30"/>
  <c r="N15" i="30"/>
  <c r="J12" i="30"/>
  <c r="J11" i="30"/>
  <c r="N11" i="30" s="1"/>
  <c r="R11" i="30" s="1"/>
  <c r="T11" i="30" s="1"/>
  <c r="J64" i="28"/>
  <c r="J59" i="28"/>
  <c r="J29" i="28"/>
  <c r="N29" i="28" s="1"/>
  <c r="R29" i="28" s="1"/>
  <c r="J26" i="28"/>
  <c r="N26" i="28" s="1"/>
  <c r="R25" i="28"/>
  <c r="T25" i="28" s="1"/>
  <c r="J24" i="28"/>
  <c r="J22" i="28"/>
  <c r="N21" i="28"/>
  <c r="R21" i="28" s="1"/>
  <c r="N20" i="28"/>
  <c r="J16" i="28"/>
  <c r="J15" i="28"/>
  <c r="N15" i="28" s="1"/>
  <c r="R15" i="28" s="1"/>
  <c r="T15" i="28" s="1"/>
  <c r="J13" i="28"/>
  <c r="N12" i="28"/>
  <c r="R12" i="28" s="1"/>
  <c r="N11" i="28"/>
  <c r="J32" i="155"/>
  <c r="T41" i="155"/>
  <c r="T40" i="155"/>
  <c r="J27" i="155"/>
  <c r="L14" i="155"/>
  <c r="J13" i="155"/>
  <c r="N13" i="155" s="1"/>
  <c r="R13" i="155" s="1"/>
  <c r="T13" i="155" s="1"/>
  <c r="J11" i="155"/>
  <c r="N11" i="155" s="1"/>
  <c r="J38" i="100"/>
  <c r="J22" i="100"/>
  <c r="L18" i="100" s="1"/>
  <c r="J17" i="100"/>
  <c r="N17" i="100" s="1"/>
  <c r="R17" i="100" s="1"/>
  <c r="E17" i="100"/>
  <c r="J16" i="100"/>
  <c r="N16" i="100" s="1"/>
  <c r="R16" i="100" s="1"/>
  <c r="E16" i="100"/>
  <c r="J15" i="100"/>
  <c r="N15" i="100" s="1"/>
  <c r="R15" i="100" s="1"/>
  <c r="E15" i="100"/>
  <c r="J14" i="100"/>
  <c r="E14" i="100"/>
  <c r="J13" i="100"/>
  <c r="N13" i="100" s="1"/>
  <c r="R13" i="100" s="1"/>
  <c r="T13" i="100" s="1"/>
  <c r="E13" i="100"/>
  <c r="J12" i="100"/>
  <c r="E12" i="100"/>
  <c r="J11" i="100"/>
  <c r="N11" i="100" s="1"/>
  <c r="E11" i="100"/>
  <c r="J48" i="29"/>
  <c r="L22" i="29"/>
  <c r="R28" i="29"/>
  <c r="J26" i="29"/>
  <c r="N26" i="29" s="1"/>
  <c r="R26" i="29" s="1"/>
  <c r="J21" i="29"/>
  <c r="N21" i="29" s="1"/>
  <c r="E21" i="29"/>
  <c r="R20" i="29"/>
  <c r="N20" i="29"/>
  <c r="J20" i="29"/>
  <c r="J15" i="29"/>
  <c r="N15" i="29" s="1"/>
  <c r="R15" i="29" s="1"/>
  <c r="J14" i="29"/>
  <c r="N14" i="29" s="1"/>
  <c r="R14" i="29" s="1"/>
  <c r="J13" i="29"/>
  <c r="N13" i="29" s="1"/>
  <c r="R13" i="29" s="1"/>
  <c r="J12" i="29"/>
  <c r="J11" i="29"/>
  <c r="N11" i="29" s="1"/>
  <c r="R11" i="29" s="1"/>
  <c r="J29" i="142"/>
  <c r="J24" i="142"/>
  <c r="J22" i="142"/>
  <c r="J20" i="142"/>
  <c r="L13" i="142" s="1"/>
  <c r="J12" i="142"/>
  <c r="E12" i="142"/>
  <c r="J11" i="142"/>
  <c r="E11" i="142"/>
  <c r="J31" i="124"/>
  <c r="J12" i="124"/>
  <c r="N12" i="124" s="1"/>
  <c r="J11" i="124"/>
  <c r="D54" i="27"/>
  <c r="J50" i="27"/>
  <c r="J46" i="27"/>
  <c r="J26" i="27"/>
  <c r="N26" i="27" s="1"/>
  <c r="R26" i="27" s="1"/>
  <c r="E26" i="27"/>
  <c r="J25" i="27"/>
  <c r="N25" i="27" s="1"/>
  <c r="E25" i="27"/>
  <c r="J24" i="27"/>
  <c r="N24" i="27" s="1"/>
  <c r="R24" i="27" s="1"/>
  <c r="T24" i="27" s="1"/>
  <c r="E24" i="27"/>
  <c r="N23" i="27"/>
  <c r="J20" i="27"/>
  <c r="E20" i="27"/>
  <c r="J19" i="27"/>
  <c r="N19" i="27" s="1"/>
  <c r="R19" i="27" s="1"/>
  <c r="E19" i="27"/>
  <c r="J18" i="27"/>
  <c r="E18" i="27"/>
  <c r="J17" i="27"/>
  <c r="N17" i="27" s="1"/>
  <c r="R17" i="27" s="1"/>
  <c r="E17" i="27"/>
  <c r="J16" i="27"/>
  <c r="E16" i="27"/>
  <c r="J15" i="27"/>
  <c r="N15" i="27" s="1"/>
  <c r="R15" i="27" s="1"/>
  <c r="T15" i="27" s="1"/>
  <c r="E15" i="27"/>
  <c r="J14" i="27"/>
  <c r="E14" i="27"/>
  <c r="J13" i="27"/>
  <c r="N13" i="27" s="1"/>
  <c r="J11" i="27"/>
  <c r="N11" i="27" s="1"/>
  <c r="R11" i="27" s="1"/>
  <c r="T11" i="27" s="1"/>
  <c r="E11" i="27"/>
  <c r="T50" i="129"/>
  <c r="T49" i="129"/>
  <c r="T48" i="129"/>
  <c r="T47" i="129"/>
  <c r="T46" i="129"/>
  <c r="T45" i="129"/>
  <c r="T44" i="129"/>
  <c r="T43" i="129"/>
  <c r="T42" i="129"/>
  <c r="J34" i="129"/>
  <c r="J29" i="129"/>
  <c r="V19" i="129" s="1"/>
  <c r="J24" i="129"/>
  <c r="L20" i="129" s="1"/>
  <c r="J20" i="129"/>
  <c r="J23" i="129" s="1"/>
  <c r="H17" i="129"/>
  <c r="E17" i="129" s="1"/>
  <c r="H16" i="129"/>
  <c r="E16" i="129" s="1"/>
  <c r="H15" i="129"/>
  <c r="E15" i="129" s="1"/>
  <c r="H14" i="129"/>
  <c r="E14" i="129" s="1"/>
  <c r="H13" i="129"/>
  <c r="E13" i="129" s="1"/>
  <c r="H12" i="129"/>
  <c r="E12" i="129" s="1"/>
  <c r="H11" i="129"/>
  <c r="E11" i="129" s="1"/>
  <c r="T56" i="161"/>
  <c r="T55" i="161"/>
  <c r="D44" i="161"/>
  <c r="T54" i="161"/>
  <c r="D43" i="161"/>
  <c r="T53" i="161"/>
  <c r="T52" i="161"/>
  <c r="T51" i="161"/>
  <c r="T50" i="161"/>
  <c r="T49" i="161"/>
  <c r="J38" i="161"/>
  <c r="T48" i="161"/>
  <c r="J33" i="161"/>
  <c r="J28" i="161"/>
  <c r="L19" i="161" s="1"/>
  <c r="N24" i="161"/>
  <c r="R24" i="161" s="1"/>
  <c r="E24" i="161"/>
  <c r="N23" i="161"/>
  <c r="R23" i="161" s="1"/>
  <c r="E23" i="161"/>
  <c r="J19" i="161"/>
  <c r="J27" i="161" s="1"/>
  <c r="N18" i="161"/>
  <c r="N17" i="161"/>
  <c r="H17" i="161"/>
  <c r="E17" i="161" s="1"/>
  <c r="N16" i="161"/>
  <c r="R16" i="161" s="1"/>
  <c r="H16" i="161"/>
  <c r="E16" i="161" s="1"/>
  <c r="N15" i="161"/>
  <c r="R15" i="161" s="1"/>
  <c r="H15" i="161"/>
  <c r="E15" i="161" s="1"/>
  <c r="N14" i="161"/>
  <c r="R14" i="161" s="1"/>
  <c r="H14" i="161"/>
  <c r="E14" i="161" s="1"/>
  <c r="N13" i="161"/>
  <c r="H13" i="161"/>
  <c r="E13" i="161" s="1"/>
  <c r="N12" i="161"/>
  <c r="R12" i="161" s="1"/>
  <c r="H12" i="161"/>
  <c r="E12" i="161" s="1"/>
  <c r="N11" i="161"/>
  <c r="H11" i="161"/>
  <c r="E11" i="161" s="1"/>
  <c r="P20" i="174"/>
  <c r="P20" i="309"/>
  <c r="P20" i="172"/>
  <c r="P20" i="171"/>
  <c r="P20" i="229"/>
  <c r="P20" i="328"/>
  <c r="P20" i="327"/>
  <c r="P20" i="175"/>
  <c r="P20" i="170"/>
  <c r="P20" i="173"/>
  <c r="P20" i="231"/>
  <c r="P20" i="226"/>
  <c r="G33" i="223"/>
  <c r="F33" i="223"/>
  <c r="E33" i="223"/>
  <c r="D33" i="223"/>
  <c r="G32" i="223"/>
  <c r="F32" i="223"/>
  <c r="E32" i="223"/>
  <c r="D32" i="223"/>
  <c r="G31" i="223"/>
  <c r="F31" i="223"/>
  <c r="G35" i="292" s="1"/>
  <c r="E31" i="223"/>
  <c r="D31" i="223"/>
  <c r="G30" i="223"/>
  <c r="G30" i="173" s="1"/>
  <c r="F30" i="223"/>
  <c r="E35" i="292" s="1"/>
  <c r="E30" i="223"/>
  <c r="E30" i="173" s="1"/>
  <c r="D30" i="223"/>
  <c r="G29" i="223"/>
  <c r="F29" i="223"/>
  <c r="E29" i="223"/>
  <c r="D29" i="223"/>
  <c r="G28" i="223"/>
  <c r="F28" i="223"/>
  <c r="E28" i="223"/>
  <c r="D28" i="223"/>
  <c r="G27" i="223"/>
  <c r="F27" i="223"/>
  <c r="E27" i="223"/>
  <c r="D27" i="223"/>
  <c r="G26" i="223"/>
  <c r="F26" i="223"/>
  <c r="E26" i="223"/>
  <c r="D26" i="223"/>
  <c r="O25" i="223"/>
  <c r="N25" i="223"/>
  <c r="M25" i="223"/>
  <c r="L25" i="223"/>
  <c r="G25" i="223"/>
  <c r="F25" i="223"/>
  <c r="E25" i="223"/>
  <c r="D25" i="223"/>
  <c r="G24" i="223"/>
  <c r="F24" i="223"/>
  <c r="E24" i="223"/>
  <c r="D24" i="223"/>
  <c r="G23" i="223"/>
  <c r="F23" i="223"/>
  <c r="E23" i="223"/>
  <c r="D23" i="223"/>
  <c r="P20" i="223"/>
  <c r="G17" i="223"/>
  <c r="F17" i="223"/>
  <c r="E17" i="223"/>
  <c r="D17" i="223"/>
  <c r="G16" i="223"/>
  <c r="F16" i="223"/>
  <c r="E16" i="223"/>
  <c r="D16" i="223"/>
  <c r="G13" i="223"/>
  <c r="F13" i="223"/>
  <c r="F13" i="173" s="1"/>
  <c r="E13" i="223"/>
  <c r="D13" i="223"/>
  <c r="G12" i="223"/>
  <c r="F12" i="223"/>
  <c r="E12" i="223"/>
  <c r="P704" i="246" s="1"/>
  <c r="D12" i="223"/>
  <c r="O704" i="246" s="1"/>
  <c r="P20" i="84"/>
  <c r="O25" i="104"/>
  <c r="N25" i="104"/>
  <c r="M25" i="104"/>
  <c r="L25" i="104"/>
  <c r="P25" i="104" s="1"/>
  <c r="P20" i="104"/>
  <c r="P20" i="103"/>
  <c r="P20" i="184"/>
  <c r="G33" i="308"/>
  <c r="G33" i="309" s="1"/>
  <c r="F33" i="308"/>
  <c r="E33" i="308"/>
  <c r="D33" i="308"/>
  <c r="C33" i="308"/>
  <c r="C33" i="309" s="1"/>
  <c r="G32" i="308"/>
  <c r="G32" i="309" s="1"/>
  <c r="F32" i="308"/>
  <c r="F32" i="309" s="1"/>
  <c r="E32" i="308"/>
  <c r="E32" i="309" s="1"/>
  <c r="D32" i="308"/>
  <c r="D32" i="309" s="1"/>
  <c r="C32" i="308"/>
  <c r="G31" i="308"/>
  <c r="G29" i="308"/>
  <c r="G29" i="309" s="1"/>
  <c r="F31" i="308"/>
  <c r="G32" i="292" s="1"/>
  <c r="E31" i="308"/>
  <c r="D31" i="308"/>
  <c r="C31" i="308"/>
  <c r="C31" i="309" s="1"/>
  <c r="G30" i="308"/>
  <c r="G30" i="309" s="1"/>
  <c r="F30" i="308"/>
  <c r="E32" i="292" s="1"/>
  <c r="E30" i="308"/>
  <c r="E30" i="309" s="1"/>
  <c r="D30" i="308"/>
  <c r="C30" i="308"/>
  <c r="C30" i="309" s="1"/>
  <c r="F29" i="308"/>
  <c r="F29" i="309" s="1"/>
  <c r="E29" i="308"/>
  <c r="E29" i="309" s="1"/>
  <c r="D29" i="308"/>
  <c r="D29" i="309" s="1"/>
  <c r="C29" i="308"/>
  <c r="C29" i="309" s="1"/>
  <c r="G28" i="308"/>
  <c r="F28" i="308"/>
  <c r="E28" i="308"/>
  <c r="D28" i="308"/>
  <c r="D28" i="309" s="1"/>
  <c r="C28" i="308"/>
  <c r="C28" i="309" s="1"/>
  <c r="G27" i="308"/>
  <c r="G27" i="309" s="1"/>
  <c r="F27" i="308"/>
  <c r="F27" i="309" s="1"/>
  <c r="E27" i="308"/>
  <c r="E27" i="309" s="1"/>
  <c r="D27" i="308"/>
  <c r="C27" i="308"/>
  <c r="G26" i="308"/>
  <c r="F26" i="308"/>
  <c r="F26" i="309" s="1"/>
  <c r="E26" i="308"/>
  <c r="E26" i="309" s="1"/>
  <c r="D26" i="308"/>
  <c r="D26" i="309" s="1"/>
  <c r="C26" i="308"/>
  <c r="C26" i="309" s="1"/>
  <c r="O25" i="308"/>
  <c r="O25" i="309" s="1"/>
  <c r="N25" i="308"/>
  <c r="M25" i="308"/>
  <c r="M25" i="309" s="1"/>
  <c r="L25" i="308"/>
  <c r="G25" i="308"/>
  <c r="F25" i="308"/>
  <c r="E25" i="308"/>
  <c r="D25" i="308"/>
  <c r="D25" i="309" s="1"/>
  <c r="C25" i="308"/>
  <c r="G24" i="308"/>
  <c r="F24" i="308"/>
  <c r="E24" i="308"/>
  <c r="D24" i="308"/>
  <c r="D24" i="309" s="1"/>
  <c r="C24" i="308"/>
  <c r="C24" i="309" s="1"/>
  <c r="G23" i="308"/>
  <c r="G23" i="309" s="1"/>
  <c r="F23" i="308"/>
  <c r="C32" i="292" s="1"/>
  <c r="E23" i="308"/>
  <c r="D23" i="308"/>
  <c r="D23" i="309" s="1"/>
  <c r="C23" i="308"/>
  <c r="C23" i="309" s="1"/>
  <c r="P20" i="308"/>
  <c r="G17" i="308"/>
  <c r="G17" i="309" s="1"/>
  <c r="F17" i="308"/>
  <c r="F17" i="309" s="1"/>
  <c r="E17" i="308"/>
  <c r="E17" i="309" s="1"/>
  <c r="D17" i="308"/>
  <c r="D17" i="309" s="1"/>
  <c r="G16" i="308"/>
  <c r="G16" i="309" s="1"/>
  <c r="F16" i="308"/>
  <c r="E16" i="308"/>
  <c r="E16" i="309" s="1"/>
  <c r="D16" i="308"/>
  <c r="D16" i="309" s="1"/>
  <c r="D15" i="308"/>
  <c r="D15" i="309" s="1"/>
  <c r="G14" i="308"/>
  <c r="G14" i="309" s="1"/>
  <c r="F14" i="308"/>
  <c r="F14" i="309" s="1"/>
  <c r="E14" i="308"/>
  <c r="E14" i="309" s="1"/>
  <c r="D14" i="308"/>
  <c r="D14" i="309" s="1"/>
  <c r="G13" i="308"/>
  <c r="F13" i="308"/>
  <c r="F13" i="309" s="1"/>
  <c r="E13" i="308"/>
  <c r="E13" i="309" s="1"/>
  <c r="D13" i="308"/>
  <c r="D13" i="309" s="1"/>
  <c r="G12" i="308"/>
  <c r="G12" i="309" s="1"/>
  <c r="F12" i="308"/>
  <c r="N32" i="292" s="1"/>
  <c r="E12" i="308"/>
  <c r="P742" i="246" s="1"/>
  <c r="D12" i="308"/>
  <c r="O742" i="246" s="1"/>
  <c r="G33" i="186"/>
  <c r="F33" i="186"/>
  <c r="E33" i="186"/>
  <c r="D33" i="186"/>
  <c r="C33" i="186"/>
  <c r="G32" i="186"/>
  <c r="F32" i="186"/>
  <c r="E32" i="186"/>
  <c r="D32" i="186"/>
  <c r="C32" i="186"/>
  <c r="G31" i="186"/>
  <c r="F31" i="186"/>
  <c r="G31" i="292" s="1"/>
  <c r="E31" i="186"/>
  <c r="D31" i="186"/>
  <c r="D31" i="184" s="1"/>
  <c r="C31" i="186"/>
  <c r="G30" i="186"/>
  <c r="F30" i="186"/>
  <c r="E30" i="186"/>
  <c r="E30" i="184" s="1"/>
  <c r="D30" i="186"/>
  <c r="C30" i="186"/>
  <c r="C30" i="184" s="1"/>
  <c r="G29" i="186"/>
  <c r="F29" i="186"/>
  <c r="E29" i="186"/>
  <c r="D29" i="186"/>
  <c r="C29" i="186"/>
  <c r="G28" i="186"/>
  <c r="F28" i="186"/>
  <c r="E28" i="186"/>
  <c r="D28" i="186"/>
  <c r="C28" i="186"/>
  <c r="G27" i="186"/>
  <c r="F27" i="186"/>
  <c r="E27" i="186"/>
  <c r="D27" i="186"/>
  <c r="C27" i="186"/>
  <c r="G26" i="186"/>
  <c r="F26" i="186"/>
  <c r="F31" i="292" s="1"/>
  <c r="E26" i="186"/>
  <c r="D26" i="186"/>
  <c r="C26" i="186"/>
  <c r="O25" i="186"/>
  <c r="N25" i="186"/>
  <c r="M25" i="186"/>
  <c r="L25" i="186"/>
  <c r="G25" i="186"/>
  <c r="F25" i="186"/>
  <c r="E25" i="186"/>
  <c r="D25" i="186"/>
  <c r="C25" i="186"/>
  <c r="G24" i="186"/>
  <c r="F24" i="186"/>
  <c r="E24" i="186"/>
  <c r="D24" i="186"/>
  <c r="C24" i="186"/>
  <c r="G23" i="186"/>
  <c r="F23" i="186"/>
  <c r="C31" i="292" s="1"/>
  <c r="E23" i="186"/>
  <c r="D23" i="186"/>
  <c r="C23" i="186"/>
  <c r="P20" i="186"/>
  <c r="G17" i="186"/>
  <c r="F17" i="186"/>
  <c r="E17" i="186"/>
  <c r="D17" i="186"/>
  <c r="G16" i="186"/>
  <c r="F16" i="186"/>
  <c r="E16" i="186"/>
  <c r="D16" i="186"/>
  <c r="D15" i="186"/>
  <c r="D14" i="186"/>
  <c r="G13" i="186"/>
  <c r="F13" i="186"/>
  <c r="E13" i="186"/>
  <c r="D13" i="186"/>
  <c r="G12" i="186"/>
  <c r="F12" i="186"/>
  <c r="Q720" i="246" s="1"/>
  <c r="E12" i="186"/>
  <c r="D12" i="186"/>
  <c r="E30" i="292"/>
  <c r="D30" i="292"/>
  <c r="P20" i="185"/>
  <c r="P20" i="228"/>
  <c r="P20" i="225"/>
  <c r="G20" i="292"/>
  <c r="E20" i="292"/>
  <c r="P25" i="212"/>
  <c r="P20" i="212"/>
  <c r="P20" i="330"/>
  <c r="P20" i="58"/>
  <c r="P20" i="326"/>
  <c r="P20" i="44"/>
  <c r="P20" i="18"/>
  <c r="P20" i="250"/>
  <c r="G33" i="291"/>
  <c r="F33" i="291"/>
  <c r="E33" i="291"/>
  <c r="D33" i="291"/>
  <c r="C33" i="291"/>
  <c r="G32" i="291"/>
  <c r="F32" i="291"/>
  <c r="E32" i="291"/>
  <c r="D32" i="291"/>
  <c r="C32" i="291"/>
  <c r="G31" i="291"/>
  <c r="F31" i="291"/>
  <c r="G17" i="292" s="1"/>
  <c r="E31" i="291"/>
  <c r="D31" i="291"/>
  <c r="C31" i="291"/>
  <c r="G30" i="291"/>
  <c r="F30" i="291"/>
  <c r="E17" i="292" s="1"/>
  <c r="E30" i="291"/>
  <c r="AA17" i="292" s="1"/>
  <c r="D30" i="291"/>
  <c r="C30" i="291"/>
  <c r="G29" i="291"/>
  <c r="F29" i="291"/>
  <c r="E29" i="291"/>
  <c r="D29" i="291"/>
  <c r="C29" i="291"/>
  <c r="G28" i="291"/>
  <c r="F28" i="291"/>
  <c r="E28" i="291"/>
  <c r="D28" i="291"/>
  <c r="C28" i="291"/>
  <c r="G27" i="291"/>
  <c r="F27" i="291"/>
  <c r="E27" i="291"/>
  <c r="D27" i="291"/>
  <c r="C27" i="291"/>
  <c r="G26" i="291"/>
  <c r="F26" i="291"/>
  <c r="F17" i="292" s="1"/>
  <c r="E26" i="291"/>
  <c r="D26" i="291"/>
  <c r="C26" i="291"/>
  <c r="O25" i="291"/>
  <c r="N25" i="291"/>
  <c r="M25" i="291"/>
  <c r="L25" i="291"/>
  <c r="P25" i="291" s="1"/>
  <c r="G25" i="291"/>
  <c r="F25" i="291"/>
  <c r="E25" i="291"/>
  <c r="D25" i="291"/>
  <c r="C25" i="291"/>
  <c r="G24" i="291"/>
  <c r="D24" i="291"/>
  <c r="F24" i="291"/>
  <c r="D17" i="292" s="1"/>
  <c r="E24" i="291"/>
  <c r="C24" i="291"/>
  <c r="G23" i="291"/>
  <c r="F23" i="291"/>
  <c r="C17" i="292" s="1"/>
  <c r="E23" i="291"/>
  <c r="D23" i="291"/>
  <c r="C23" i="291"/>
  <c r="P20" i="291"/>
  <c r="G17" i="291"/>
  <c r="F17" i="291"/>
  <c r="E17" i="291"/>
  <c r="D17" i="291"/>
  <c r="G16" i="291"/>
  <c r="F16" i="291"/>
  <c r="E16" i="291"/>
  <c r="D16" i="291"/>
  <c r="G15" i="291"/>
  <c r="F15" i="291"/>
  <c r="E15" i="291"/>
  <c r="D15" i="291"/>
  <c r="G14" i="291"/>
  <c r="F14" i="291"/>
  <c r="E14" i="291"/>
  <c r="D14" i="291"/>
  <c r="G13" i="291"/>
  <c r="F13" i="291"/>
  <c r="E13" i="291"/>
  <c r="D13" i="291"/>
  <c r="G12" i="291"/>
  <c r="F12" i="291"/>
  <c r="N17" i="292" s="1"/>
  <c r="E12" i="291"/>
  <c r="D12" i="291"/>
  <c r="E16" i="292"/>
  <c r="K597" i="209"/>
  <c r="F16" i="292"/>
  <c r="O25" i="248"/>
  <c r="N25" i="248"/>
  <c r="M25" i="248"/>
  <c r="L25" i="248"/>
  <c r="P25" i="248" s="1"/>
  <c r="L357" i="209"/>
  <c r="D16" i="292"/>
  <c r="J357" i="209"/>
  <c r="K417" i="209"/>
  <c r="P20" i="248"/>
  <c r="N16" i="292"/>
  <c r="P717" i="209"/>
  <c r="O717" i="209"/>
  <c r="G33" i="247"/>
  <c r="F33" i="247"/>
  <c r="E33" i="247"/>
  <c r="D33" i="247"/>
  <c r="G32" i="247"/>
  <c r="F32" i="247"/>
  <c r="E32" i="247"/>
  <c r="D32" i="247"/>
  <c r="G31" i="247"/>
  <c r="F31" i="247"/>
  <c r="G15" i="292" s="1"/>
  <c r="E31" i="247"/>
  <c r="D31" i="247"/>
  <c r="G30" i="247"/>
  <c r="R564" i="209" s="1"/>
  <c r="F30" i="247"/>
  <c r="E30" i="247"/>
  <c r="D30" i="247"/>
  <c r="G29" i="247"/>
  <c r="F29" i="247"/>
  <c r="E29" i="247"/>
  <c r="D29" i="247"/>
  <c r="G28" i="247"/>
  <c r="F28" i="247"/>
  <c r="E28" i="247"/>
  <c r="D28" i="247"/>
  <c r="G27" i="247"/>
  <c r="F27" i="247"/>
  <c r="E27" i="247"/>
  <c r="D27" i="247"/>
  <c r="G26" i="247"/>
  <c r="F26" i="247"/>
  <c r="E26" i="247"/>
  <c r="D26" i="247"/>
  <c r="G25" i="247"/>
  <c r="F25" i="247"/>
  <c r="K504" i="209" s="1"/>
  <c r="E25" i="247"/>
  <c r="D25" i="247"/>
  <c r="E23" i="247"/>
  <c r="G24" i="247"/>
  <c r="F24" i="247"/>
  <c r="D15" i="292" s="1"/>
  <c r="E24" i="247"/>
  <c r="D24" i="247"/>
  <c r="G23" i="247"/>
  <c r="F23" i="247"/>
  <c r="D23" i="247"/>
  <c r="P20" i="247"/>
  <c r="G17" i="247"/>
  <c r="F17" i="247"/>
  <c r="E17" i="247"/>
  <c r="D17" i="247"/>
  <c r="G16" i="247"/>
  <c r="F16" i="247"/>
  <c r="E16" i="247"/>
  <c r="D16" i="247"/>
  <c r="G15" i="247"/>
  <c r="F15" i="247"/>
  <c r="E15" i="247"/>
  <c r="D15" i="247"/>
  <c r="G14" i="247"/>
  <c r="F14" i="247"/>
  <c r="E14" i="247"/>
  <c r="D14" i="247"/>
  <c r="G13" i="247"/>
  <c r="F13" i="247"/>
  <c r="E13" i="247"/>
  <c r="D13" i="247"/>
  <c r="G12" i="247"/>
  <c r="F12" i="247"/>
  <c r="E12" i="247"/>
  <c r="D12" i="247"/>
  <c r="K62" i="164"/>
  <c r="K69" i="164" s="1"/>
  <c r="K28" i="164"/>
  <c r="K35" i="164" s="1"/>
  <c r="K61" i="164"/>
  <c r="K68" i="164" s="1"/>
  <c r="K27" i="164"/>
  <c r="K34" i="164" s="1"/>
  <c r="K60" i="164"/>
  <c r="K67" i="164" s="1"/>
  <c r="K26" i="164"/>
  <c r="K33" i="164" s="1"/>
  <c r="C45" i="164"/>
  <c r="G47" i="164" s="1"/>
  <c r="G54" i="164" s="1"/>
  <c r="G69" i="164" s="1"/>
  <c r="G48" i="183"/>
  <c r="F48" i="183"/>
  <c r="E48" i="183"/>
  <c r="D48" i="183"/>
  <c r="H46" i="183"/>
  <c r="S673" i="246" s="1"/>
  <c r="H33" i="183"/>
  <c r="H32" i="183"/>
  <c r="M673" i="246" s="1"/>
  <c r="H31" i="183"/>
  <c r="H45" i="183" s="1"/>
  <c r="M177" i="246" s="1"/>
  <c r="H30" i="183"/>
  <c r="H44" i="183" s="1"/>
  <c r="S115" i="246" s="1"/>
  <c r="H29" i="183"/>
  <c r="H47" i="183" s="1"/>
  <c r="S177" i="246" s="1"/>
  <c r="H28" i="183"/>
  <c r="H42" i="183" s="1"/>
  <c r="M301" i="246" s="1"/>
  <c r="H27" i="183"/>
  <c r="H41" i="183" s="1"/>
  <c r="M239" i="246" s="1"/>
  <c r="H26" i="183"/>
  <c r="H40" i="183" s="1"/>
  <c r="M115" i="246" s="1"/>
  <c r="P25" i="183"/>
  <c r="H25" i="183"/>
  <c r="H39" i="183" s="1"/>
  <c r="S53" i="246" s="1"/>
  <c r="H24" i="183"/>
  <c r="H23" i="183"/>
  <c r="H37" i="183" s="1"/>
  <c r="S239" i="246" s="1"/>
  <c r="P20" i="183"/>
  <c r="G48" i="213"/>
  <c r="F48" i="213"/>
  <c r="E48" i="213"/>
  <c r="D48" i="213"/>
  <c r="H46" i="213"/>
  <c r="S623" i="209" s="1"/>
  <c r="H33" i="213"/>
  <c r="H32" i="213"/>
  <c r="M623" i="209" s="1"/>
  <c r="H31" i="213"/>
  <c r="H45" i="213" s="1"/>
  <c r="M143" i="209" s="1"/>
  <c r="H30" i="213"/>
  <c r="H44" i="213" s="1"/>
  <c r="S83" i="209" s="1"/>
  <c r="H29" i="213"/>
  <c r="H43" i="213" s="1"/>
  <c r="H28" i="213"/>
  <c r="H42" i="213" s="1"/>
  <c r="M263" i="209" s="1"/>
  <c r="H27" i="213"/>
  <c r="H41" i="213" s="1"/>
  <c r="M203" i="209" s="1"/>
  <c r="H26" i="213"/>
  <c r="H40" i="213" s="1"/>
  <c r="M83" i="209" s="1"/>
  <c r="P25" i="213"/>
  <c r="H25" i="213"/>
  <c r="H39" i="213" s="1"/>
  <c r="S23" i="209" s="1"/>
  <c r="H24" i="213"/>
  <c r="H38" i="213" s="1"/>
  <c r="M23" i="209" s="1"/>
  <c r="H23" i="213"/>
  <c r="H37" i="213" s="1"/>
  <c r="S203" i="209" s="1"/>
  <c r="P20" i="213"/>
  <c r="G11" i="213"/>
  <c r="O26" i="213" s="1"/>
  <c r="F11" i="213"/>
  <c r="F45" i="213" s="1"/>
  <c r="K143" i="209" s="1"/>
  <c r="E11" i="213"/>
  <c r="E46" i="213" s="1"/>
  <c r="D11" i="213"/>
  <c r="G48" i="39"/>
  <c r="F48" i="39"/>
  <c r="E48" i="39"/>
  <c r="D48" i="39"/>
  <c r="H46" i="39"/>
  <c r="S641" i="209" s="1"/>
  <c r="H33" i="39"/>
  <c r="H32" i="39"/>
  <c r="M641" i="209" s="1"/>
  <c r="H31" i="39"/>
  <c r="H45" i="39" s="1"/>
  <c r="M161" i="209" s="1"/>
  <c r="H30" i="39"/>
  <c r="H44" i="39" s="1"/>
  <c r="S101" i="209" s="1"/>
  <c r="H29" i="39"/>
  <c r="H47" i="39" s="1"/>
  <c r="S161" i="209" s="1"/>
  <c r="H28" i="39"/>
  <c r="H42" i="39" s="1"/>
  <c r="M281" i="209" s="1"/>
  <c r="H27" i="39"/>
  <c r="H41" i="39" s="1"/>
  <c r="M221" i="209" s="1"/>
  <c r="H26" i="39"/>
  <c r="H40" i="39" s="1"/>
  <c r="M101" i="209" s="1"/>
  <c r="P25" i="39"/>
  <c r="H25" i="39"/>
  <c r="H39" i="39" s="1"/>
  <c r="S41" i="209" s="1"/>
  <c r="H24" i="39"/>
  <c r="H23" i="39"/>
  <c r="H37" i="39" s="1"/>
  <c r="S221" i="209" s="1"/>
  <c r="P20" i="39"/>
  <c r="C9" i="39"/>
  <c r="G11" i="39" s="1"/>
  <c r="G48" i="176"/>
  <c r="F48" i="176"/>
  <c r="E48" i="176"/>
  <c r="D48" i="176"/>
  <c r="H46" i="176"/>
  <c r="S652" i="246" s="1"/>
  <c r="H33" i="176"/>
  <c r="H32" i="176"/>
  <c r="M652" i="246" s="1"/>
  <c r="H31" i="176"/>
  <c r="H45" i="176" s="1"/>
  <c r="M156" i="246" s="1"/>
  <c r="H30" i="176"/>
  <c r="H44" i="176" s="1"/>
  <c r="S94" i="246" s="1"/>
  <c r="H29" i="176"/>
  <c r="H47" i="176" s="1"/>
  <c r="S156" i="246" s="1"/>
  <c r="H28" i="176"/>
  <c r="H42" i="176" s="1"/>
  <c r="M280" i="246" s="1"/>
  <c r="H27" i="176"/>
  <c r="H41" i="176" s="1"/>
  <c r="M218" i="246" s="1"/>
  <c r="H26" i="176"/>
  <c r="H40" i="176" s="1"/>
  <c r="M94" i="246" s="1"/>
  <c r="P25" i="176"/>
  <c r="H25" i="176"/>
  <c r="H39" i="176" s="1"/>
  <c r="S32" i="246" s="1"/>
  <c r="H24" i="176"/>
  <c r="H38" i="176" s="1"/>
  <c r="M32" i="246" s="1"/>
  <c r="H23" i="176"/>
  <c r="S280" i="246" s="1"/>
  <c r="P20" i="176"/>
  <c r="E15" i="176"/>
  <c r="F15" i="176" s="1"/>
  <c r="E14" i="176"/>
  <c r="F14" i="176" s="1"/>
  <c r="G14" i="176" s="1"/>
  <c r="C9" i="176"/>
  <c r="G48" i="190"/>
  <c r="F48" i="190"/>
  <c r="E48" i="190"/>
  <c r="D48" i="190"/>
  <c r="H46" i="190"/>
  <c r="S633" i="246" s="1"/>
  <c r="H33" i="190"/>
  <c r="H32" i="190"/>
  <c r="M633" i="246" s="1"/>
  <c r="H31" i="190"/>
  <c r="H45" i="190" s="1"/>
  <c r="M137" i="246" s="1"/>
  <c r="H30" i="190"/>
  <c r="H44" i="190" s="1"/>
  <c r="S75" i="246" s="1"/>
  <c r="H29" i="190"/>
  <c r="H47" i="190" s="1"/>
  <c r="S137" i="246" s="1"/>
  <c r="H28" i="190"/>
  <c r="H42" i="190" s="1"/>
  <c r="M261" i="246" s="1"/>
  <c r="H27" i="190"/>
  <c r="H41" i="190" s="1"/>
  <c r="M199" i="246" s="1"/>
  <c r="H26" i="190"/>
  <c r="H40" i="190" s="1"/>
  <c r="M75" i="246" s="1"/>
  <c r="P25" i="190"/>
  <c r="H25" i="190"/>
  <c r="H39" i="190" s="1"/>
  <c r="S13" i="246" s="1"/>
  <c r="H24" i="190"/>
  <c r="H23" i="190"/>
  <c r="H37" i="190" s="1"/>
  <c r="S199" i="246" s="1"/>
  <c r="P20" i="190"/>
  <c r="E15" i="190"/>
  <c r="F15" i="190" s="1"/>
  <c r="G15" i="190" s="1"/>
  <c r="E14" i="190"/>
  <c r="F14" i="190" s="1"/>
  <c r="G14" i="190" s="1"/>
  <c r="C9" i="190"/>
  <c r="E11" i="190" s="1"/>
  <c r="E46" i="190" s="1"/>
  <c r="G48" i="101"/>
  <c r="F48" i="101"/>
  <c r="E48" i="101"/>
  <c r="D48" i="101"/>
  <c r="H46" i="101"/>
  <c r="S651" i="246" s="1"/>
  <c r="H33" i="101"/>
  <c r="H32" i="101"/>
  <c r="M651" i="246" s="1"/>
  <c r="H31" i="101"/>
  <c r="H45" i="101" s="1"/>
  <c r="M155" i="246" s="1"/>
  <c r="H30" i="101"/>
  <c r="H44" i="101" s="1"/>
  <c r="S93" i="246" s="1"/>
  <c r="H29" i="101"/>
  <c r="H28" i="101"/>
  <c r="H42" i="101" s="1"/>
  <c r="M279" i="246" s="1"/>
  <c r="H27" i="101"/>
  <c r="H41" i="101" s="1"/>
  <c r="M217" i="246" s="1"/>
  <c r="H26" i="101"/>
  <c r="H40" i="101" s="1"/>
  <c r="M93" i="246" s="1"/>
  <c r="P25" i="101"/>
  <c r="H25" i="101"/>
  <c r="H39" i="101" s="1"/>
  <c r="S31" i="246" s="1"/>
  <c r="H24" i="101"/>
  <c r="H38" i="101" s="1"/>
  <c r="M31" i="246" s="1"/>
  <c r="H23" i="101"/>
  <c r="H37" i="101" s="1"/>
  <c r="S217" i="246" s="1"/>
  <c r="P20" i="101"/>
  <c r="C9" i="101"/>
  <c r="F11" i="101" s="1"/>
  <c r="Q651" i="246" s="1"/>
  <c r="G48" i="337"/>
  <c r="F48" i="337"/>
  <c r="E48" i="337"/>
  <c r="D48" i="337"/>
  <c r="H46" i="337"/>
  <c r="S640" i="209" s="1"/>
  <c r="H33" i="337"/>
  <c r="H32" i="337"/>
  <c r="M640" i="209" s="1"/>
  <c r="H31" i="337"/>
  <c r="H45" i="337" s="1"/>
  <c r="M160" i="209" s="1"/>
  <c r="H30" i="337"/>
  <c r="H44" i="337" s="1"/>
  <c r="S100" i="209" s="1"/>
  <c r="H29" i="337"/>
  <c r="H47" i="337" s="1"/>
  <c r="S160" i="209" s="1"/>
  <c r="H28" i="337"/>
  <c r="H42" i="337" s="1"/>
  <c r="M280" i="209" s="1"/>
  <c r="H27" i="337"/>
  <c r="H41" i="337" s="1"/>
  <c r="M220" i="209" s="1"/>
  <c r="H26" i="337"/>
  <c r="H40" i="337" s="1"/>
  <c r="M100" i="209" s="1"/>
  <c r="P25" i="337"/>
  <c r="H25" i="337"/>
  <c r="H24" i="337"/>
  <c r="H38" i="337" s="1"/>
  <c r="M40" i="209" s="1"/>
  <c r="H23" i="337"/>
  <c r="S280" i="209" s="1"/>
  <c r="C9" i="337"/>
  <c r="E11" i="337" s="1"/>
  <c r="G48" i="284"/>
  <c r="F48" i="284"/>
  <c r="E48" i="284"/>
  <c r="D48" i="284"/>
  <c r="H46" i="284"/>
  <c r="S634" i="246" s="1"/>
  <c r="H33" i="284"/>
  <c r="H32" i="284"/>
  <c r="M634" i="246" s="1"/>
  <c r="H31" i="284"/>
  <c r="H45" i="284" s="1"/>
  <c r="M138" i="246" s="1"/>
  <c r="H30" i="284"/>
  <c r="H44" i="284" s="1"/>
  <c r="S76" i="246" s="1"/>
  <c r="H29" i="284"/>
  <c r="H47" i="284" s="1"/>
  <c r="S138" i="246" s="1"/>
  <c r="H28" i="284"/>
  <c r="H42" i="284" s="1"/>
  <c r="M262" i="246" s="1"/>
  <c r="H27" i="284"/>
  <c r="H41" i="284" s="1"/>
  <c r="M200" i="246" s="1"/>
  <c r="H26" i="284"/>
  <c r="H40" i="284" s="1"/>
  <c r="M76" i="246" s="1"/>
  <c r="P25" i="284"/>
  <c r="H25" i="284"/>
  <c r="H39" i="284" s="1"/>
  <c r="S14" i="246" s="1"/>
  <c r="H24" i="284"/>
  <c r="H38" i="284" s="1"/>
  <c r="M14" i="246" s="1"/>
  <c r="H23" i="284"/>
  <c r="H37" i="284" s="1"/>
  <c r="S200" i="246" s="1"/>
  <c r="P20" i="284"/>
  <c r="C9" i="284"/>
  <c r="G48" i="6"/>
  <c r="F48" i="6"/>
  <c r="E48" i="6"/>
  <c r="D48" i="6"/>
  <c r="H46" i="6"/>
  <c r="S618" i="209" s="1"/>
  <c r="H33" i="6"/>
  <c r="H32" i="6"/>
  <c r="M618" i="209" s="1"/>
  <c r="H31" i="6"/>
  <c r="H45" i="6" s="1"/>
  <c r="M138" i="209" s="1"/>
  <c r="H30" i="6"/>
  <c r="H44" i="6" s="1"/>
  <c r="S78" i="209" s="1"/>
  <c r="H29" i="6"/>
  <c r="H43" i="6" s="1"/>
  <c r="H28" i="6"/>
  <c r="H42" i="6" s="1"/>
  <c r="M258" i="209" s="1"/>
  <c r="H27" i="6"/>
  <c r="H41" i="6" s="1"/>
  <c r="M198" i="209" s="1"/>
  <c r="H26" i="6"/>
  <c r="H40" i="6" s="1"/>
  <c r="M78" i="209" s="1"/>
  <c r="P25" i="6"/>
  <c r="H25" i="6"/>
  <c r="S318" i="209" s="1"/>
  <c r="H24" i="6"/>
  <c r="H38" i="6" s="1"/>
  <c r="M18" i="209" s="1"/>
  <c r="H23" i="6"/>
  <c r="P20" i="6"/>
  <c r="C9" i="6"/>
  <c r="G11" i="6" s="1"/>
  <c r="G48" i="270"/>
  <c r="F48" i="270"/>
  <c r="E48" i="270"/>
  <c r="D48" i="270"/>
  <c r="H46" i="270"/>
  <c r="S672" i="246" s="1"/>
  <c r="H33" i="270"/>
  <c r="H32" i="270"/>
  <c r="M672" i="246" s="1"/>
  <c r="H31" i="270"/>
  <c r="H45" i="270" s="1"/>
  <c r="M176" i="246" s="1"/>
  <c r="H30" i="270"/>
  <c r="H44" i="270" s="1"/>
  <c r="S114" i="246" s="1"/>
  <c r="H29" i="270"/>
  <c r="H47" i="270" s="1"/>
  <c r="S176" i="246" s="1"/>
  <c r="H28" i="270"/>
  <c r="H42" i="270" s="1"/>
  <c r="M300" i="246" s="1"/>
  <c r="H27" i="270"/>
  <c r="H41" i="270" s="1"/>
  <c r="M238" i="246" s="1"/>
  <c r="H26" i="270"/>
  <c r="H40" i="270" s="1"/>
  <c r="M114" i="246" s="1"/>
  <c r="P25" i="270"/>
  <c r="H25" i="270"/>
  <c r="H39" i="270" s="1"/>
  <c r="S52" i="246" s="1"/>
  <c r="H24" i="270"/>
  <c r="H23" i="270"/>
  <c r="H37" i="270" s="1"/>
  <c r="S238" i="246" s="1"/>
  <c r="G48" i="345"/>
  <c r="F48" i="345"/>
  <c r="E48" i="345"/>
  <c r="D48" i="345"/>
  <c r="H46" i="345"/>
  <c r="S649" i="209" s="1"/>
  <c r="H33" i="345"/>
  <c r="H32" i="345"/>
  <c r="M649" i="209" s="1"/>
  <c r="H31" i="345"/>
  <c r="H45" i="345" s="1"/>
  <c r="M169" i="209" s="1"/>
  <c r="H30" i="345"/>
  <c r="H44" i="345" s="1"/>
  <c r="S109" i="209" s="1"/>
  <c r="H29" i="345"/>
  <c r="H43" i="345" s="1"/>
  <c r="H28" i="345"/>
  <c r="H42" i="345" s="1"/>
  <c r="M289" i="209" s="1"/>
  <c r="H27" i="345"/>
  <c r="H41" i="345" s="1"/>
  <c r="M229" i="209" s="1"/>
  <c r="H26" i="345"/>
  <c r="H40" i="345" s="1"/>
  <c r="M109" i="209" s="1"/>
  <c r="P25" i="345"/>
  <c r="H25" i="345"/>
  <c r="H39" i="345" s="1"/>
  <c r="S49" i="209" s="1"/>
  <c r="H24" i="345"/>
  <c r="H38" i="345" s="1"/>
  <c r="H23" i="345"/>
  <c r="S289" i="209" s="1"/>
  <c r="C9" i="345"/>
  <c r="E11" i="345" s="1"/>
  <c r="G48" i="295"/>
  <c r="F48" i="295"/>
  <c r="E48" i="295"/>
  <c r="D48" i="295"/>
  <c r="H46" i="295"/>
  <c r="H33" i="295"/>
  <c r="H32" i="295"/>
  <c r="H31" i="295"/>
  <c r="H45" i="295" s="1"/>
  <c r="H30" i="295"/>
  <c r="H44" i="295" s="1"/>
  <c r="H29" i="295"/>
  <c r="H47" i="295" s="1"/>
  <c r="H28" i="295"/>
  <c r="H42" i="295" s="1"/>
  <c r="H27" i="295"/>
  <c r="H41" i="295" s="1"/>
  <c r="H26" i="295"/>
  <c r="H40" i="295" s="1"/>
  <c r="P25" i="295"/>
  <c r="H25" i="295"/>
  <c r="H39" i="295" s="1"/>
  <c r="H24" i="295"/>
  <c r="H38" i="295" s="1"/>
  <c r="H23" i="295"/>
  <c r="H37" i="295" s="1"/>
  <c r="C9" i="295"/>
  <c r="F11" i="295" s="1"/>
  <c r="O131" i="294" s="1"/>
  <c r="G48" i="7"/>
  <c r="F48" i="7"/>
  <c r="E48" i="7"/>
  <c r="D48" i="7"/>
  <c r="H46" i="7"/>
  <c r="S617" i="209" s="1"/>
  <c r="H33" i="7"/>
  <c r="H32" i="7"/>
  <c r="M617" i="209" s="1"/>
  <c r="H31" i="7"/>
  <c r="H45" i="7" s="1"/>
  <c r="M137" i="209" s="1"/>
  <c r="H30" i="7"/>
  <c r="H44" i="7" s="1"/>
  <c r="S77" i="209" s="1"/>
  <c r="H29" i="7"/>
  <c r="H47" i="7" s="1"/>
  <c r="S137" i="209" s="1"/>
  <c r="H28" i="7"/>
  <c r="H42" i="7" s="1"/>
  <c r="M257" i="209" s="1"/>
  <c r="H27" i="7"/>
  <c r="H41" i="7" s="1"/>
  <c r="M197" i="209" s="1"/>
  <c r="H26" i="7"/>
  <c r="H40" i="7" s="1"/>
  <c r="M77" i="209" s="1"/>
  <c r="P25" i="7"/>
  <c r="H25" i="7"/>
  <c r="S317" i="209" s="1"/>
  <c r="H24" i="7"/>
  <c r="H38" i="7" s="1"/>
  <c r="M17" i="209" s="1"/>
  <c r="H23" i="7"/>
  <c r="P20" i="7"/>
  <c r="C9" i="7"/>
  <c r="G48" i="105"/>
  <c r="F48" i="105"/>
  <c r="E48" i="105"/>
  <c r="D48" i="105"/>
  <c r="H33" i="105"/>
  <c r="H32" i="105"/>
  <c r="H46" i="105" s="1"/>
  <c r="S622" i="209" s="1"/>
  <c r="H31" i="105"/>
  <c r="H45" i="105" s="1"/>
  <c r="M142" i="209" s="1"/>
  <c r="H30" i="105"/>
  <c r="H44" i="105" s="1"/>
  <c r="S82" i="209" s="1"/>
  <c r="H29" i="105"/>
  <c r="H28" i="105"/>
  <c r="H42" i="105" s="1"/>
  <c r="M262" i="209" s="1"/>
  <c r="H27" i="105"/>
  <c r="H41" i="105" s="1"/>
  <c r="M202" i="209" s="1"/>
  <c r="H26" i="105"/>
  <c r="H40" i="105" s="1"/>
  <c r="M82" i="209" s="1"/>
  <c r="P25" i="105"/>
  <c r="H25" i="105"/>
  <c r="H39" i="105" s="1"/>
  <c r="S22" i="209" s="1"/>
  <c r="H24" i="105"/>
  <c r="M322" i="209" s="1"/>
  <c r="H23" i="105"/>
  <c r="H37" i="105" s="1"/>
  <c r="S202" i="209" s="1"/>
  <c r="C9" i="105"/>
  <c r="G48" i="91"/>
  <c r="F48" i="91"/>
  <c r="E48" i="91"/>
  <c r="D48" i="91"/>
  <c r="H46" i="91"/>
  <c r="S628" i="246" s="1"/>
  <c r="H33" i="91"/>
  <c r="H32" i="91"/>
  <c r="M628" i="246" s="1"/>
  <c r="H31" i="91"/>
  <c r="H45" i="91" s="1"/>
  <c r="M132" i="246" s="1"/>
  <c r="H30" i="91"/>
  <c r="H44" i="91" s="1"/>
  <c r="S70" i="246" s="1"/>
  <c r="H29" i="91"/>
  <c r="H47" i="91" s="1"/>
  <c r="S132" i="246" s="1"/>
  <c r="H28" i="91"/>
  <c r="H42" i="91" s="1"/>
  <c r="M256" i="246" s="1"/>
  <c r="H27" i="91"/>
  <c r="H41" i="91" s="1"/>
  <c r="M194" i="246" s="1"/>
  <c r="H26" i="91"/>
  <c r="H40" i="91" s="1"/>
  <c r="M70" i="246" s="1"/>
  <c r="P25" i="91"/>
  <c r="H25" i="91"/>
  <c r="H24" i="91"/>
  <c r="H38" i="91" s="1"/>
  <c r="M8" i="246" s="1"/>
  <c r="H23" i="91"/>
  <c r="H37" i="91" s="1"/>
  <c r="S194" i="246" s="1"/>
  <c r="E15" i="91"/>
  <c r="F15" i="91" s="1"/>
  <c r="G15" i="91" s="1"/>
  <c r="G15" i="103" s="1"/>
  <c r="E14" i="91"/>
  <c r="E14" i="103" s="1"/>
  <c r="C9" i="91"/>
  <c r="D11" i="91" s="1"/>
  <c r="G48" i="216"/>
  <c r="F48" i="216"/>
  <c r="E48" i="216"/>
  <c r="D48" i="216"/>
  <c r="H46" i="216"/>
  <c r="S629" i="209" s="1"/>
  <c r="H33" i="216"/>
  <c r="H32" i="216"/>
  <c r="M629" i="209" s="1"/>
  <c r="H31" i="216"/>
  <c r="H45" i="216" s="1"/>
  <c r="M149" i="209" s="1"/>
  <c r="H30" i="216"/>
  <c r="H44" i="216" s="1"/>
  <c r="S89" i="209" s="1"/>
  <c r="H29" i="216"/>
  <c r="H43" i="216" s="1"/>
  <c r="H28" i="216"/>
  <c r="H42" i="216" s="1"/>
  <c r="M269" i="209" s="1"/>
  <c r="H27" i="216"/>
  <c r="H41" i="216" s="1"/>
  <c r="H26" i="216"/>
  <c r="H40" i="216" s="1"/>
  <c r="M89" i="209" s="1"/>
  <c r="P25" i="216"/>
  <c r="H25" i="216"/>
  <c r="H39" i="216" s="1"/>
  <c r="S29" i="209" s="1"/>
  <c r="H24" i="216"/>
  <c r="H38" i="216" s="1"/>
  <c r="M29" i="209" s="1"/>
  <c r="H23" i="216"/>
  <c r="H37" i="216" s="1"/>
  <c r="S209" i="209" s="1"/>
  <c r="P20" i="216"/>
  <c r="C9" i="216"/>
  <c r="G48" i="118"/>
  <c r="F48" i="118"/>
  <c r="E48" i="118"/>
  <c r="D48" i="118"/>
  <c r="H46" i="118"/>
  <c r="S650" i="246" s="1"/>
  <c r="H33" i="118"/>
  <c r="H32" i="118"/>
  <c r="M650" i="246" s="1"/>
  <c r="H31" i="118"/>
  <c r="H45" i="118" s="1"/>
  <c r="M154" i="246" s="1"/>
  <c r="H30" i="118"/>
  <c r="H44" i="118" s="1"/>
  <c r="S92" i="246" s="1"/>
  <c r="H29" i="118"/>
  <c r="H47" i="118" s="1"/>
  <c r="S154" i="246" s="1"/>
  <c r="H28" i="118"/>
  <c r="H42" i="118" s="1"/>
  <c r="M278" i="246" s="1"/>
  <c r="H27" i="118"/>
  <c r="H41" i="118" s="1"/>
  <c r="M216" i="246" s="1"/>
  <c r="H26" i="118"/>
  <c r="H40" i="118" s="1"/>
  <c r="M92" i="246" s="1"/>
  <c r="P25" i="118"/>
  <c r="H25" i="118"/>
  <c r="H39" i="118" s="1"/>
  <c r="S30" i="246" s="1"/>
  <c r="H24" i="118"/>
  <c r="H38" i="118" s="1"/>
  <c r="M30" i="246" s="1"/>
  <c r="H23" i="118"/>
  <c r="H37" i="118" s="1"/>
  <c r="S216" i="246" s="1"/>
  <c r="P20" i="118"/>
  <c r="D14" i="104"/>
  <c r="C9" i="118"/>
  <c r="F11" i="118" s="1"/>
  <c r="N26" i="118" s="1"/>
  <c r="F43" i="118" s="1"/>
  <c r="F47" i="118" s="1"/>
  <c r="Q154" i="246" s="1"/>
  <c r="G48" i="191"/>
  <c r="F48" i="191"/>
  <c r="E48" i="191"/>
  <c r="D48" i="191"/>
  <c r="H46" i="191"/>
  <c r="S657" i="246" s="1"/>
  <c r="H33" i="191"/>
  <c r="H32" i="191"/>
  <c r="M657" i="246" s="1"/>
  <c r="H31" i="191"/>
  <c r="H45" i="191" s="1"/>
  <c r="M161" i="246" s="1"/>
  <c r="H30" i="191"/>
  <c r="H44" i="191" s="1"/>
  <c r="S99" i="246" s="1"/>
  <c r="H29" i="191"/>
  <c r="H47" i="191" s="1"/>
  <c r="S161" i="246" s="1"/>
  <c r="H28" i="191"/>
  <c r="H42" i="191" s="1"/>
  <c r="M285" i="246" s="1"/>
  <c r="H27" i="191"/>
  <c r="H41" i="191" s="1"/>
  <c r="M223" i="246" s="1"/>
  <c r="H26" i="191"/>
  <c r="H40" i="191" s="1"/>
  <c r="M99" i="246" s="1"/>
  <c r="P25" i="191"/>
  <c r="H25" i="191"/>
  <c r="H39" i="191" s="1"/>
  <c r="S37" i="246" s="1"/>
  <c r="H24" i="191"/>
  <c r="H38" i="191" s="1"/>
  <c r="M37" i="246" s="1"/>
  <c r="H23" i="191"/>
  <c r="H37" i="191" s="1"/>
  <c r="S223" i="246" s="1"/>
  <c r="P20" i="191"/>
  <c r="E15" i="191"/>
  <c r="F15" i="191" s="1"/>
  <c r="G15" i="191" s="1"/>
  <c r="E14" i="191"/>
  <c r="G11" i="191"/>
  <c r="G45" i="191" s="1"/>
  <c r="L161" i="246" s="1"/>
  <c r="F11" i="191"/>
  <c r="F46" i="191" s="1"/>
  <c r="E11" i="191"/>
  <c r="M26" i="191" s="1"/>
  <c r="E43" i="191" s="1"/>
  <c r="E47" i="191" s="1"/>
  <c r="P161" i="246" s="1"/>
  <c r="D11" i="191"/>
  <c r="D44" i="191" s="1"/>
  <c r="O99" i="246" s="1"/>
  <c r="G48" i="10"/>
  <c r="F48" i="10"/>
  <c r="E48" i="10"/>
  <c r="D48" i="10"/>
  <c r="H33" i="10"/>
  <c r="H32" i="10"/>
  <c r="H46" i="10" s="1"/>
  <c r="S615" i="209" s="1"/>
  <c r="H31" i="10"/>
  <c r="H45" i="10" s="1"/>
  <c r="M135" i="209" s="1"/>
  <c r="H30" i="10"/>
  <c r="H44" i="10" s="1"/>
  <c r="S75" i="209" s="1"/>
  <c r="H29" i="10"/>
  <c r="H47" i="10" s="1"/>
  <c r="S135" i="209" s="1"/>
  <c r="H28" i="10"/>
  <c r="H42" i="10" s="1"/>
  <c r="M255" i="209" s="1"/>
  <c r="H27" i="10"/>
  <c r="H41" i="10" s="1"/>
  <c r="M195" i="209" s="1"/>
  <c r="H26" i="10"/>
  <c r="H40" i="10" s="1"/>
  <c r="M75" i="209" s="1"/>
  <c r="P25" i="10"/>
  <c r="H25" i="10"/>
  <c r="H39" i="10" s="1"/>
  <c r="S15" i="209" s="1"/>
  <c r="H24" i="10"/>
  <c r="H38" i="10" s="1"/>
  <c r="M15" i="209" s="1"/>
  <c r="H23" i="10"/>
  <c r="H37" i="10" s="1"/>
  <c r="S195" i="209" s="1"/>
  <c r="P20" i="10"/>
  <c r="C10" i="10"/>
  <c r="C9" i="10"/>
  <c r="G48" i="9"/>
  <c r="F48" i="9"/>
  <c r="E48" i="9"/>
  <c r="D48" i="9"/>
  <c r="H46" i="9"/>
  <c r="S616" i="209" s="1"/>
  <c r="H33" i="9"/>
  <c r="H32" i="9"/>
  <c r="M616" i="209" s="1"/>
  <c r="H31" i="9"/>
  <c r="H45" i="9" s="1"/>
  <c r="M136" i="209" s="1"/>
  <c r="H30" i="9"/>
  <c r="H44" i="9" s="1"/>
  <c r="S76" i="209" s="1"/>
  <c r="H29" i="9"/>
  <c r="H47" i="9" s="1"/>
  <c r="S136" i="209" s="1"/>
  <c r="H28" i="9"/>
  <c r="H42" i="9" s="1"/>
  <c r="M256" i="209" s="1"/>
  <c r="H27" i="9"/>
  <c r="H41" i="9" s="1"/>
  <c r="M196" i="209" s="1"/>
  <c r="H26" i="9"/>
  <c r="H40" i="9" s="1"/>
  <c r="M76" i="209" s="1"/>
  <c r="P25" i="9"/>
  <c r="H25" i="9"/>
  <c r="H39" i="9" s="1"/>
  <c r="S16" i="209" s="1"/>
  <c r="H24" i="9"/>
  <c r="H38" i="9" s="1"/>
  <c r="M16" i="209" s="1"/>
  <c r="H23" i="9"/>
  <c r="P20" i="9"/>
  <c r="C9" i="9"/>
  <c r="F11" i="9" s="1"/>
  <c r="G48" i="79"/>
  <c r="F48" i="79"/>
  <c r="E48" i="79"/>
  <c r="D48" i="79"/>
  <c r="H46" i="79"/>
  <c r="S639" i="209" s="1"/>
  <c r="H33" i="79"/>
  <c r="H32" i="79"/>
  <c r="M639" i="209" s="1"/>
  <c r="H31" i="79"/>
  <c r="H45" i="79" s="1"/>
  <c r="M159" i="209" s="1"/>
  <c r="H30" i="79"/>
  <c r="H44" i="79" s="1"/>
  <c r="S99" i="209" s="1"/>
  <c r="H29" i="79"/>
  <c r="H47" i="79" s="1"/>
  <c r="S159" i="209" s="1"/>
  <c r="H28" i="79"/>
  <c r="H42" i="79" s="1"/>
  <c r="M279" i="209" s="1"/>
  <c r="H27" i="79"/>
  <c r="H41" i="79" s="1"/>
  <c r="M219" i="209" s="1"/>
  <c r="H26" i="79"/>
  <c r="H40" i="79" s="1"/>
  <c r="M99" i="209" s="1"/>
  <c r="P25" i="79"/>
  <c r="H25" i="79"/>
  <c r="H39" i="79" s="1"/>
  <c r="S39" i="209" s="1"/>
  <c r="H24" i="79"/>
  <c r="H38" i="79" s="1"/>
  <c r="M39" i="209" s="1"/>
  <c r="H23" i="79"/>
  <c r="H37" i="79" s="1"/>
  <c r="S219" i="209" s="1"/>
  <c r="C10" i="79"/>
  <c r="C9" i="79"/>
  <c r="G48" i="296"/>
  <c r="F48" i="296"/>
  <c r="E48" i="296"/>
  <c r="D48" i="296"/>
  <c r="H46" i="296"/>
  <c r="H33" i="296"/>
  <c r="H32" i="296"/>
  <c r="H31" i="296"/>
  <c r="H45" i="296" s="1"/>
  <c r="H30" i="296"/>
  <c r="H44" i="296" s="1"/>
  <c r="H29" i="296"/>
  <c r="H47" i="296" s="1"/>
  <c r="H28" i="296"/>
  <c r="H42" i="296" s="1"/>
  <c r="H27" i="296"/>
  <c r="H41" i="296" s="1"/>
  <c r="H26" i="296"/>
  <c r="H40" i="296" s="1"/>
  <c r="P25" i="296"/>
  <c r="H25" i="296"/>
  <c r="H39" i="296" s="1"/>
  <c r="H24" i="296"/>
  <c r="H38" i="296" s="1"/>
  <c r="H23" i="296"/>
  <c r="H37" i="296" s="1"/>
  <c r="C9" i="296"/>
  <c r="G48" i="203"/>
  <c r="F48" i="203"/>
  <c r="E48" i="203"/>
  <c r="D48" i="203"/>
  <c r="H46" i="203"/>
  <c r="S671" i="246" s="1"/>
  <c r="H33" i="203"/>
  <c r="H32" i="203"/>
  <c r="M671" i="246" s="1"/>
  <c r="H31" i="203"/>
  <c r="H45" i="203" s="1"/>
  <c r="M175" i="246" s="1"/>
  <c r="H30" i="203"/>
  <c r="H44" i="203" s="1"/>
  <c r="S113" i="246" s="1"/>
  <c r="H29" i="203"/>
  <c r="H47" i="203" s="1"/>
  <c r="S175" i="246" s="1"/>
  <c r="H28" i="203"/>
  <c r="H42" i="203" s="1"/>
  <c r="M299" i="246" s="1"/>
  <c r="H27" i="203"/>
  <c r="H41" i="203" s="1"/>
  <c r="M237" i="246" s="1"/>
  <c r="H26" i="203"/>
  <c r="H40" i="203" s="1"/>
  <c r="M113" i="246" s="1"/>
  <c r="P25" i="203"/>
  <c r="H25" i="203"/>
  <c r="H24" i="203"/>
  <c r="H38" i="203" s="1"/>
  <c r="M51" i="246" s="1"/>
  <c r="H23" i="203"/>
  <c r="H37" i="203" s="1"/>
  <c r="S237" i="246" s="1"/>
  <c r="P20" i="203"/>
  <c r="G48" i="11"/>
  <c r="F48" i="11"/>
  <c r="E48" i="11"/>
  <c r="D48" i="11"/>
  <c r="H46" i="11"/>
  <c r="S614" i="209" s="1"/>
  <c r="H33" i="11"/>
  <c r="H32" i="11"/>
  <c r="M614" i="209" s="1"/>
  <c r="H31" i="11"/>
  <c r="H45" i="11" s="1"/>
  <c r="M134" i="209" s="1"/>
  <c r="H30" i="11"/>
  <c r="H44" i="11" s="1"/>
  <c r="S74" i="209" s="1"/>
  <c r="H29" i="11"/>
  <c r="H47" i="11" s="1"/>
  <c r="S134" i="209" s="1"/>
  <c r="H28" i="11"/>
  <c r="H42" i="11" s="1"/>
  <c r="M254" i="209" s="1"/>
  <c r="H27" i="11"/>
  <c r="H41" i="11" s="1"/>
  <c r="M194" i="209" s="1"/>
  <c r="H26" i="11"/>
  <c r="H40" i="11" s="1"/>
  <c r="M74" i="209" s="1"/>
  <c r="P25" i="11"/>
  <c r="H25" i="11"/>
  <c r="H39" i="11" s="1"/>
  <c r="S14" i="209" s="1"/>
  <c r="H24" i="11"/>
  <c r="H38" i="11" s="1"/>
  <c r="M14" i="209" s="1"/>
  <c r="H23" i="11"/>
  <c r="S254" i="209" s="1"/>
  <c r="P20" i="11"/>
  <c r="D14" i="11"/>
  <c r="E14" i="11" s="1"/>
  <c r="F14" i="11" s="1"/>
  <c r="G14" i="11" s="1"/>
  <c r="C9" i="11"/>
  <c r="G48" i="344"/>
  <c r="F48" i="344"/>
  <c r="E48" i="344"/>
  <c r="D48" i="344"/>
  <c r="H46" i="344"/>
  <c r="H33" i="344"/>
  <c r="H32" i="344"/>
  <c r="H31" i="344"/>
  <c r="H45" i="344" s="1"/>
  <c r="H30" i="344"/>
  <c r="H44" i="344" s="1"/>
  <c r="H29" i="344"/>
  <c r="H47" i="344" s="1"/>
  <c r="H28" i="344"/>
  <c r="H42" i="344" s="1"/>
  <c r="H27" i="344"/>
  <c r="H41" i="344" s="1"/>
  <c r="H26" i="344"/>
  <c r="H40" i="344" s="1"/>
  <c r="P25" i="344"/>
  <c r="H25" i="344"/>
  <c r="H39" i="344" s="1"/>
  <c r="H24" i="344"/>
  <c r="H38" i="344" s="1"/>
  <c r="H23" i="344"/>
  <c r="H37" i="344" s="1"/>
  <c r="C9" i="344"/>
  <c r="G11" i="344" s="1"/>
  <c r="G18" i="344" s="1"/>
  <c r="G48" i="334"/>
  <c r="F48" i="334"/>
  <c r="E48" i="334"/>
  <c r="D48" i="334"/>
  <c r="H46" i="334"/>
  <c r="S627" i="209" s="1"/>
  <c r="H33" i="334"/>
  <c r="H32" i="334"/>
  <c r="M627" i="209" s="1"/>
  <c r="H31" i="334"/>
  <c r="H45" i="334" s="1"/>
  <c r="M147" i="209" s="1"/>
  <c r="H30" i="334"/>
  <c r="H44" i="334" s="1"/>
  <c r="S87" i="209" s="1"/>
  <c r="H29" i="334"/>
  <c r="H47" i="334" s="1"/>
  <c r="S147" i="209" s="1"/>
  <c r="H28" i="334"/>
  <c r="H42" i="334" s="1"/>
  <c r="M267" i="209" s="1"/>
  <c r="H27" i="334"/>
  <c r="H41" i="334" s="1"/>
  <c r="M207" i="209" s="1"/>
  <c r="H26" i="334"/>
  <c r="H40" i="334" s="1"/>
  <c r="M87" i="209" s="1"/>
  <c r="P25" i="334"/>
  <c r="H25" i="334"/>
  <c r="H39" i="334" s="1"/>
  <c r="S27" i="209" s="1"/>
  <c r="H24" i="334"/>
  <c r="H23" i="334"/>
  <c r="P20" i="334"/>
  <c r="C9" i="334"/>
  <c r="F11" i="334" s="1"/>
  <c r="F46" i="334" s="1"/>
  <c r="G48" i="146"/>
  <c r="F48" i="146"/>
  <c r="E48" i="146"/>
  <c r="D48" i="146"/>
  <c r="H46" i="146"/>
  <c r="S670" i="246" s="1"/>
  <c r="H33" i="146"/>
  <c r="H32" i="146"/>
  <c r="M670" i="246" s="1"/>
  <c r="H31" i="146"/>
  <c r="H45" i="146" s="1"/>
  <c r="M174" i="246" s="1"/>
  <c r="H30" i="146"/>
  <c r="H44" i="146" s="1"/>
  <c r="S112" i="246" s="1"/>
  <c r="H29" i="146"/>
  <c r="H43" i="146" s="1"/>
  <c r="H28" i="146"/>
  <c r="H42" i="146" s="1"/>
  <c r="M298" i="246" s="1"/>
  <c r="H27" i="146"/>
  <c r="H41" i="146" s="1"/>
  <c r="M236" i="246" s="1"/>
  <c r="H26" i="146"/>
  <c r="H40" i="146" s="1"/>
  <c r="M112" i="246" s="1"/>
  <c r="P25" i="146"/>
  <c r="H25" i="146"/>
  <c r="H39" i="146" s="1"/>
  <c r="S50" i="246" s="1"/>
  <c r="H24" i="146"/>
  <c r="H38" i="146" s="1"/>
  <c r="M50" i="246" s="1"/>
  <c r="H23" i="146"/>
  <c r="H37" i="146" s="1"/>
  <c r="S236" i="246" s="1"/>
  <c r="P20" i="146"/>
  <c r="G48" i="333"/>
  <c r="F48" i="333"/>
  <c r="E48" i="333"/>
  <c r="D48" i="333"/>
  <c r="H46" i="333"/>
  <c r="H33" i="333"/>
  <c r="H32" i="333"/>
  <c r="H31" i="333"/>
  <c r="H45" i="333" s="1"/>
  <c r="H30" i="333"/>
  <c r="H44" i="333" s="1"/>
  <c r="H29" i="333"/>
  <c r="H43" i="333" s="1"/>
  <c r="H28" i="333"/>
  <c r="H42" i="333" s="1"/>
  <c r="H27" i="333"/>
  <c r="H41" i="333" s="1"/>
  <c r="H26" i="333"/>
  <c r="H40" i="333" s="1"/>
  <c r="P25" i="333"/>
  <c r="H25" i="333"/>
  <c r="H39" i="333" s="1"/>
  <c r="H24" i="333"/>
  <c r="H38" i="333" s="1"/>
  <c r="H23" i="333"/>
  <c r="H37" i="333" s="1"/>
  <c r="C9" i="333"/>
  <c r="D11" i="333" s="1"/>
  <c r="G48" i="162"/>
  <c r="F48" i="162"/>
  <c r="E48" i="162"/>
  <c r="D48" i="162"/>
  <c r="H46" i="162"/>
  <c r="S628" i="209" s="1"/>
  <c r="H33" i="162"/>
  <c r="H32" i="162"/>
  <c r="M628" i="209" s="1"/>
  <c r="H31" i="162"/>
  <c r="H45" i="162" s="1"/>
  <c r="M148" i="209" s="1"/>
  <c r="H30" i="162"/>
  <c r="H44" i="162" s="1"/>
  <c r="S88" i="209" s="1"/>
  <c r="H29" i="162"/>
  <c r="H47" i="162" s="1"/>
  <c r="S148" i="209" s="1"/>
  <c r="H28" i="162"/>
  <c r="H42" i="162" s="1"/>
  <c r="M268" i="209" s="1"/>
  <c r="H27" i="162"/>
  <c r="H41" i="162" s="1"/>
  <c r="M208" i="209" s="1"/>
  <c r="H26" i="162"/>
  <c r="H40" i="162" s="1"/>
  <c r="M88" i="209" s="1"/>
  <c r="P25" i="162"/>
  <c r="H25" i="162"/>
  <c r="S328" i="209" s="1"/>
  <c r="H24" i="162"/>
  <c r="M328" i="209" s="1"/>
  <c r="H23" i="162"/>
  <c r="P20" i="162"/>
  <c r="E14" i="162"/>
  <c r="C9" i="162"/>
  <c r="G11" i="162" s="1"/>
  <c r="G48" i="178"/>
  <c r="F48" i="178"/>
  <c r="E48" i="178"/>
  <c r="D48" i="178"/>
  <c r="H46" i="178"/>
  <c r="S648" i="209" s="1"/>
  <c r="H33" i="178"/>
  <c r="H32" i="178"/>
  <c r="M648" i="209" s="1"/>
  <c r="H31" i="178"/>
  <c r="H45" i="178" s="1"/>
  <c r="M168" i="209" s="1"/>
  <c r="H30" i="178"/>
  <c r="H44" i="178" s="1"/>
  <c r="S108" i="209" s="1"/>
  <c r="H29" i="178"/>
  <c r="H47" i="178" s="1"/>
  <c r="S168" i="209" s="1"/>
  <c r="H28" i="178"/>
  <c r="H42" i="178" s="1"/>
  <c r="M288" i="209" s="1"/>
  <c r="H27" i="178"/>
  <c r="H41" i="178" s="1"/>
  <c r="M228" i="209" s="1"/>
  <c r="H26" i="178"/>
  <c r="H40" i="178" s="1"/>
  <c r="M108" i="209" s="1"/>
  <c r="P25" i="178"/>
  <c r="H25" i="178"/>
  <c r="H39" i="178" s="1"/>
  <c r="S48" i="209" s="1"/>
  <c r="H24" i="178"/>
  <c r="H38" i="178" s="1"/>
  <c r="M48" i="209" s="1"/>
  <c r="H23" i="178"/>
  <c r="H37" i="178" s="1"/>
  <c r="S228" i="209" s="1"/>
  <c r="P20" i="178"/>
  <c r="E15" i="178"/>
  <c r="E15" i="225" s="1"/>
  <c r="E14" i="178"/>
  <c r="E14" i="225" s="1"/>
  <c r="C9" i="178"/>
  <c r="F11" i="178" s="1"/>
  <c r="G48" i="290"/>
  <c r="F48" i="290"/>
  <c r="E48" i="290"/>
  <c r="D48" i="290"/>
  <c r="H33" i="290"/>
  <c r="H32" i="290"/>
  <c r="H31" i="290"/>
  <c r="H45" i="290" s="1"/>
  <c r="H30" i="290"/>
  <c r="H44" i="290" s="1"/>
  <c r="H29" i="290"/>
  <c r="H43" i="290" s="1"/>
  <c r="H28" i="290"/>
  <c r="H42" i="290" s="1"/>
  <c r="H27" i="290"/>
  <c r="H41" i="290" s="1"/>
  <c r="H26" i="290"/>
  <c r="H40" i="290" s="1"/>
  <c r="P25" i="290"/>
  <c r="H25" i="290"/>
  <c r="H39" i="290" s="1"/>
  <c r="H24" i="290"/>
  <c r="H38" i="290" s="1"/>
  <c r="H23" i="290"/>
  <c r="H37" i="290" s="1"/>
  <c r="C9" i="290"/>
  <c r="E11" i="290" s="1"/>
  <c r="E45" i="290" s="1"/>
  <c r="N51" i="294" s="1"/>
  <c r="G48" i="271"/>
  <c r="F48" i="271"/>
  <c r="E48" i="271"/>
  <c r="D48" i="271"/>
  <c r="H46" i="271"/>
  <c r="S649" i="246" s="1"/>
  <c r="H33" i="271"/>
  <c r="H32" i="271"/>
  <c r="M649" i="246" s="1"/>
  <c r="H31" i="271"/>
  <c r="H45" i="271" s="1"/>
  <c r="M153" i="246" s="1"/>
  <c r="H30" i="271"/>
  <c r="H44" i="271" s="1"/>
  <c r="S91" i="246" s="1"/>
  <c r="H29" i="271"/>
  <c r="H47" i="271" s="1"/>
  <c r="S153" i="246" s="1"/>
  <c r="H28" i="271"/>
  <c r="H42" i="271" s="1"/>
  <c r="M277" i="246" s="1"/>
  <c r="H27" i="271"/>
  <c r="H41" i="271" s="1"/>
  <c r="M215" i="246" s="1"/>
  <c r="H26" i="271"/>
  <c r="H40" i="271" s="1"/>
  <c r="M91" i="246" s="1"/>
  <c r="P25" i="271"/>
  <c r="H25" i="271"/>
  <c r="H39" i="271" s="1"/>
  <c r="S29" i="246" s="1"/>
  <c r="H24" i="271"/>
  <c r="H23" i="271"/>
  <c r="H37" i="271" s="1"/>
  <c r="S215" i="246" s="1"/>
  <c r="P20" i="271"/>
  <c r="C9" i="271"/>
  <c r="F11" i="271" s="1"/>
  <c r="F18" i="271" s="1"/>
  <c r="F38" i="271" s="1"/>
  <c r="K29" i="246" s="1"/>
  <c r="G52" i="353"/>
  <c r="F52" i="353"/>
  <c r="E52" i="353"/>
  <c r="D52" i="353"/>
  <c r="G48" i="353"/>
  <c r="F48" i="353"/>
  <c r="E48" i="353"/>
  <c r="D48" i="353"/>
  <c r="H46" i="353"/>
  <c r="S647" i="209" s="1"/>
  <c r="H33" i="353"/>
  <c r="H32" i="353"/>
  <c r="M647" i="209" s="1"/>
  <c r="H31" i="353"/>
  <c r="H45" i="353" s="1"/>
  <c r="M167" i="209" s="1"/>
  <c r="H30" i="353"/>
  <c r="H44" i="353" s="1"/>
  <c r="S107" i="209" s="1"/>
  <c r="H29" i="353"/>
  <c r="H43" i="353" s="1"/>
  <c r="H28" i="353"/>
  <c r="H42" i="353" s="1"/>
  <c r="M287" i="209" s="1"/>
  <c r="H27" i="353"/>
  <c r="H41" i="353" s="1"/>
  <c r="M227" i="209" s="1"/>
  <c r="H26" i="353"/>
  <c r="H40" i="353" s="1"/>
  <c r="M107" i="209" s="1"/>
  <c r="P25" i="353"/>
  <c r="H25" i="353"/>
  <c r="H39" i="353" s="1"/>
  <c r="S47" i="209" s="1"/>
  <c r="H24" i="353"/>
  <c r="H23" i="353"/>
  <c r="H37" i="353" s="1"/>
  <c r="S227" i="209" s="1"/>
  <c r="P20" i="353"/>
  <c r="C9" i="353"/>
  <c r="E11" i="353" s="1"/>
  <c r="E46" i="353" s="1"/>
  <c r="G48" i="139"/>
  <c r="F48" i="139"/>
  <c r="E48" i="139"/>
  <c r="D48" i="139"/>
  <c r="H46" i="139"/>
  <c r="S641" i="246" s="1"/>
  <c r="H33" i="139"/>
  <c r="H32" i="139"/>
  <c r="M641" i="246" s="1"/>
  <c r="H31" i="139"/>
  <c r="H45" i="139" s="1"/>
  <c r="M145" i="246" s="1"/>
  <c r="H30" i="139"/>
  <c r="H44" i="139" s="1"/>
  <c r="S83" i="246" s="1"/>
  <c r="H29" i="139"/>
  <c r="H47" i="139" s="1"/>
  <c r="S145" i="246" s="1"/>
  <c r="H28" i="139"/>
  <c r="H42" i="139" s="1"/>
  <c r="M269" i="246" s="1"/>
  <c r="H27" i="139"/>
  <c r="H41" i="139" s="1"/>
  <c r="M207" i="246" s="1"/>
  <c r="H26" i="139"/>
  <c r="H40" i="139" s="1"/>
  <c r="M83" i="246" s="1"/>
  <c r="P25" i="139"/>
  <c r="H25" i="139"/>
  <c r="H39" i="139" s="1"/>
  <c r="S21" i="246" s="1"/>
  <c r="H24" i="139"/>
  <c r="H38" i="139" s="1"/>
  <c r="M21" i="246" s="1"/>
  <c r="H23" i="139"/>
  <c r="S269" i="246" s="1"/>
  <c r="P20" i="139"/>
  <c r="D14" i="223"/>
  <c r="C9" i="139"/>
  <c r="G11" i="139" s="1"/>
  <c r="L641" i="246" s="1"/>
  <c r="G48" i="125"/>
  <c r="F48" i="125"/>
  <c r="E48" i="125"/>
  <c r="D48" i="125"/>
  <c r="H46" i="125"/>
  <c r="S613" i="209" s="1"/>
  <c r="H33" i="125"/>
  <c r="H32" i="125"/>
  <c r="M613" i="209" s="1"/>
  <c r="H31" i="125"/>
  <c r="H45" i="125" s="1"/>
  <c r="M133" i="209" s="1"/>
  <c r="H30" i="125"/>
  <c r="H44" i="125" s="1"/>
  <c r="S73" i="209" s="1"/>
  <c r="H29" i="125"/>
  <c r="H43" i="125" s="1"/>
  <c r="H28" i="125"/>
  <c r="H42" i="125" s="1"/>
  <c r="M253" i="209" s="1"/>
  <c r="H27" i="125"/>
  <c r="H41" i="125" s="1"/>
  <c r="M193" i="209" s="1"/>
  <c r="H26" i="125"/>
  <c r="H40" i="125" s="1"/>
  <c r="M73" i="209" s="1"/>
  <c r="P25" i="125"/>
  <c r="H25" i="125"/>
  <c r="H39" i="125" s="1"/>
  <c r="S13" i="209" s="1"/>
  <c r="H24" i="125"/>
  <c r="H38" i="125" s="1"/>
  <c r="M13" i="209" s="1"/>
  <c r="H23" i="125"/>
  <c r="H37" i="125" s="1"/>
  <c r="S193" i="209" s="1"/>
  <c r="P20" i="125"/>
  <c r="C9" i="125"/>
  <c r="F11" i="125" s="1"/>
  <c r="K613" i="209" s="1"/>
  <c r="G48" i="13"/>
  <c r="F48" i="13"/>
  <c r="E48" i="13"/>
  <c r="D48" i="13"/>
  <c r="H46" i="13"/>
  <c r="S612" i="209" s="1"/>
  <c r="H33" i="13"/>
  <c r="H32" i="13"/>
  <c r="M612" i="209" s="1"/>
  <c r="H31" i="13"/>
  <c r="H45" i="13" s="1"/>
  <c r="M132" i="209" s="1"/>
  <c r="H30" i="13"/>
  <c r="H44" i="13" s="1"/>
  <c r="S72" i="209" s="1"/>
  <c r="H29" i="13"/>
  <c r="H47" i="13" s="1"/>
  <c r="S132" i="209" s="1"/>
  <c r="H28" i="13"/>
  <c r="H42" i="13" s="1"/>
  <c r="M252" i="209" s="1"/>
  <c r="H27" i="13"/>
  <c r="H41" i="13" s="1"/>
  <c r="M192" i="209" s="1"/>
  <c r="H26" i="13"/>
  <c r="H40" i="13" s="1"/>
  <c r="M72" i="209" s="1"/>
  <c r="P25" i="13"/>
  <c r="H25" i="13"/>
  <c r="H39" i="13" s="1"/>
  <c r="S12" i="209" s="1"/>
  <c r="H24" i="13"/>
  <c r="H38" i="13" s="1"/>
  <c r="M12" i="209" s="1"/>
  <c r="H23" i="13"/>
  <c r="H37" i="13" s="1"/>
  <c r="S192" i="209" s="1"/>
  <c r="P20" i="13"/>
  <c r="E14" i="13"/>
  <c r="F14" i="13" s="1"/>
  <c r="G14" i="13" s="1"/>
  <c r="C9" i="13"/>
  <c r="F11" i="13" s="1"/>
  <c r="F45" i="13" s="1"/>
  <c r="K132" i="209" s="1"/>
  <c r="G48" i="192"/>
  <c r="F48" i="192"/>
  <c r="E48" i="192"/>
  <c r="D48" i="192"/>
  <c r="H46" i="192"/>
  <c r="S632" i="246" s="1"/>
  <c r="H33" i="192"/>
  <c r="H32" i="192"/>
  <c r="M632" i="246" s="1"/>
  <c r="H31" i="192"/>
  <c r="H45" i="192" s="1"/>
  <c r="M136" i="246" s="1"/>
  <c r="H30" i="192"/>
  <c r="H44" i="192" s="1"/>
  <c r="S74" i="246" s="1"/>
  <c r="H29" i="192"/>
  <c r="H43" i="192" s="1"/>
  <c r="H28" i="192"/>
  <c r="H42" i="192" s="1"/>
  <c r="M260" i="246" s="1"/>
  <c r="H27" i="192"/>
  <c r="H41" i="192" s="1"/>
  <c r="M198" i="246" s="1"/>
  <c r="H26" i="192"/>
  <c r="H40" i="192" s="1"/>
  <c r="M74" i="246" s="1"/>
  <c r="P25" i="192"/>
  <c r="H25" i="192"/>
  <c r="H39" i="192" s="1"/>
  <c r="S12" i="246" s="1"/>
  <c r="H24" i="192"/>
  <c r="H38" i="192" s="1"/>
  <c r="M12" i="246" s="1"/>
  <c r="H23" i="192"/>
  <c r="H37" i="192" s="1"/>
  <c r="S198" i="246" s="1"/>
  <c r="P20" i="192"/>
  <c r="C10" i="192"/>
  <c r="C9" i="192"/>
  <c r="G48" i="215"/>
  <c r="F48" i="215"/>
  <c r="E48" i="215"/>
  <c r="D48" i="215"/>
  <c r="H46" i="215"/>
  <c r="S626" i="209" s="1"/>
  <c r="H33" i="215"/>
  <c r="H32" i="215"/>
  <c r="M626" i="209" s="1"/>
  <c r="H31" i="215"/>
  <c r="H45" i="215" s="1"/>
  <c r="M146" i="209" s="1"/>
  <c r="H30" i="215"/>
  <c r="H44" i="215" s="1"/>
  <c r="S86" i="209" s="1"/>
  <c r="H29" i="215"/>
  <c r="H47" i="215" s="1"/>
  <c r="S146" i="209" s="1"/>
  <c r="H28" i="215"/>
  <c r="H42" i="215" s="1"/>
  <c r="M266" i="209" s="1"/>
  <c r="H27" i="215"/>
  <c r="H41" i="215" s="1"/>
  <c r="M206" i="209" s="1"/>
  <c r="H26" i="215"/>
  <c r="H40" i="215" s="1"/>
  <c r="M86" i="209" s="1"/>
  <c r="P25" i="215"/>
  <c r="H25" i="215"/>
  <c r="H39" i="215" s="1"/>
  <c r="S26" i="209" s="1"/>
  <c r="H24" i="215"/>
  <c r="M326" i="209" s="1"/>
  <c r="H23" i="215"/>
  <c r="H37" i="215" s="1"/>
  <c r="S206" i="209" s="1"/>
  <c r="P20" i="215"/>
  <c r="C9" i="215"/>
  <c r="G48" i="196"/>
  <c r="F48" i="196"/>
  <c r="E48" i="196"/>
  <c r="D48" i="196"/>
  <c r="H46" i="196"/>
  <c r="S637" i="209" s="1"/>
  <c r="H33" i="196"/>
  <c r="H32" i="196"/>
  <c r="M637" i="209" s="1"/>
  <c r="H31" i="196"/>
  <c r="H45" i="196" s="1"/>
  <c r="M157" i="209" s="1"/>
  <c r="H30" i="196"/>
  <c r="H44" i="196" s="1"/>
  <c r="S97" i="209" s="1"/>
  <c r="H29" i="196"/>
  <c r="H47" i="196" s="1"/>
  <c r="S157" i="209" s="1"/>
  <c r="H28" i="196"/>
  <c r="H42" i="196" s="1"/>
  <c r="M277" i="209" s="1"/>
  <c r="H27" i="196"/>
  <c r="H41" i="196" s="1"/>
  <c r="M217" i="209" s="1"/>
  <c r="H26" i="196"/>
  <c r="H40" i="196" s="1"/>
  <c r="M97" i="209" s="1"/>
  <c r="P25" i="196"/>
  <c r="H25" i="196"/>
  <c r="S337" i="209" s="1"/>
  <c r="H24" i="196"/>
  <c r="H23" i="196"/>
  <c r="H37" i="196" s="1"/>
  <c r="S217" i="209" s="1"/>
  <c r="E15" i="196"/>
  <c r="F15" i="196" s="1"/>
  <c r="G15" i="196" s="1"/>
  <c r="E14" i="196"/>
  <c r="F14" i="196" s="1"/>
  <c r="G14" i="196" s="1"/>
  <c r="C9" i="196"/>
  <c r="F11" i="196" s="1"/>
  <c r="F46" i="196" s="1"/>
  <c r="G48" i="97"/>
  <c r="F48" i="97"/>
  <c r="E48" i="97"/>
  <c r="D48" i="97"/>
  <c r="H46" i="97"/>
  <c r="S647" i="246" s="1"/>
  <c r="H33" i="97"/>
  <c r="H32" i="97"/>
  <c r="M647" i="246" s="1"/>
  <c r="H31" i="97"/>
  <c r="H45" i="97" s="1"/>
  <c r="M151" i="246" s="1"/>
  <c r="H30" i="97"/>
  <c r="H44" i="97" s="1"/>
  <c r="S89" i="246" s="1"/>
  <c r="H29" i="97"/>
  <c r="H43" i="97" s="1"/>
  <c r="H28" i="97"/>
  <c r="H42" i="97" s="1"/>
  <c r="M275" i="246" s="1"/>
  <c r="H27" i="97"/>
  <c r="H41" i="97" s="1"/>
  <c r="M213" i="246" s="1"/>
  <c r="H26" i="97"/>
  <c r="H40" i="97" s="1"/>
  <c r="M89" i="246" s="1"/>
  <c r="P25" i="97"/>
  <c r="H25" i="97"/>
  <c r="S337" i="246" s="1"/>
  <c r="H24" i="97"/>
  <c r="M337" i="246" s="1"/>
  <c r="H23" i="97"/>
  <c r="H37" i="97" s="1"/>
  <c r="S213" i="246" s="1"/>
  <c r="P20" i="97"/>
  <c r="C9" i="97"/>
  <c r="D11" i="97" s="1"/>
  <c r="D46" i="97" s="1"/>
  <c r="G48" i="154"/>
  <c r="F48" i="154"/>
  <c r="E48" i="154"/>
  <c r="D48" i="154"/>
  <c r="H33" i="154"/>
  <c r="H32" i="154"/>
  <c r="H46" i="154" s="1"/>
  <c r="S638" i="209" s="1"/>
  <c r="H31" i="154"/>
  <c r="H45" i="154" s="1"/>
  <c r="M158" i="209" s="1"/>
  <c r="H30" i="154"/>
  <c r="H44" i="154" s="1"/>
  <c r="S98" i="209" s="1"/>
  <c r="H29" i="154"/>
  <c r="H28" i="154"/>
  <c r="H42" i="154" s="1"/>
  <c r="M278" i="209" s="1"/>
  <c r="H27" i="154"/>
  <c r="H41" i="154" s="1"/>
  <c r="M218" i="209" s="1"/>
  <c r="H26" i="154"/>
  <c r="H40" i="154" s="1"/>
  <c r="M98" i="209" s="1"/>
  <c r="P25" i="154"/>
  <c r="H25" i="154"/>
  <c r="H39" i="154" s="1"/>
  <c r="S38" i="209" s="1"/>
  <c r="H24" i="154"/>
  <c r="H38" i="154" s="1"/>
  <c r="M38" i="209" s="1"/>
  <c r="H23" i="154"/>
  <c r="H37" i="154" s="1"/>
  <c r="S218" i="209" s="1"/>
  <c r="P20" i="154"/>
  <c r="D14" i="154"/>
  <c r="E14" i="154" s="1"/>
  <c r="F14" i="154" s="1"/>
  <c r="G14" i="154" s="1"/>
  <c r="C9" i="154"/>
  <c r="G48" i="99"/>
  <c r="F48" i="99"/>
  <c r="E48" i="99"/>
  <c r="D48" i="99"/>
  <c r="H46" i="99"/>
  <c r="S648" i="246" s="1"/>
  <c r="H33" i="99"/>
  <c r="H32" i="99"/>
  <c r="M648" i="246" s="1"/>
  <c r="H31" i="99"/>
  <c r="H45" i="99" s="1"/>
  <c r="M152" i="246" s="1"/>
  <c r="H30" i="99"/>
  <c r="H44" i="99" s="1"/>
  <c r="S90" i="246" s="1"/>
  <c r="H29" i="99"/>
  <c r="H47" i="99" s="1"/>
  <c r="S152" i="246" s="1"/>
  <c r="H28" i="99"/>
  <c r="H42" i="99" s="1"/>
  <c r="M276" i="246" s="1"/>
  <c r="H27" i="99"/>
  <c r="H41" i="99" s="1"/>
  <c r="M214" i="246" s="1"/>
  <c r="H26" i="99"/>
  <c r="H40" i="99" s="1"/>
  <c r="M90" i="246" s="1"/>
  <c r="P25" i="99"/>
  <c r="H25" i="99"/>
  <c r="H24" i="99"/>
  <c r="H38" i="99" s="1"/>
  <c r="M28" i="246" s="1"/>
  <c r="H23" i="99"/>
  <c r="H37" i="99" s="1"/>
  <c r="S214" i="246" s="1"/>
  <c r="P20" i="99"/>
  <c r="C9" i="99"/>
  <c r="G48" i="95"/>
  <c r="F48" i="95"/>
  <c r="E48" i="95"/>
  <c r="D48" i="95"/>
  <c r="H46" i="95"/>
  <c r="S656" i="246" s="1"/>
  <c r="H33" i="95"/>
  <c r="H32" i="95"/>
  <c r="M656" i="246" s="1"/>
  <c r="H31" i="95"/>
  <c r="H45" i="95" s="1"/>
  <c r="M160" i="246" s="1"/>
  <c r="H30" i="95"/>
  <c r="H44" i="95" s="1"/>
  <c r="S98" i="246" s="1"/>
  <c r="H29" i="95"/>
  <c r="H47" i="95" s="1"/>
  <c r="S160" i="246" s="1"/>
  <c r="H28" i="95"/>
  <c r="H42" i="95" s="1"/>
  <c r="M284" i="246" s="1"/>
  <c r="H27" i="95"/>
  <c r="H41" i="95" s="1"/>
  <c r="M222" i="246" s="1"/>
  <c r="H26" i="95"/>
  <c r="H40" i="95" s="1"/>
  <c r="M98" i="246" s="1"/>
  <c r="P25" i="95"/>
  <c r="H25" i="95"/>
  <c r="S346" i="246" s="1"/>
  <c r="H24" i="95"/>
  <c r="H38" i="95" s="1"/>
  <c r="M36" i="246" s="1"/>
  <c r="H23" i="95"/>
  <c r="H37" i="95" s="1"/>
  <c r="S222" i="246" s="1"/>
  <c r="P20" i="95"/>
  <c r="E15" i="95"/>
  <c r="E14" i="95"/>
  <c r="C9" i="95"/>
  <c r="G48" i="354"/>
  <c r="F48" i="354"/>
  <c r="E48" i="354"/>
  <c r="D48" i="354"/>
  <c r="H46" i="354"/>
  <c r="H33" i="354"/>
  <c r="H32" i="354"/>
  <c r="H31" i="354"/>
  <c r="H45" i="354" s="1"/>
  <c r="H30" i="354"/>
  <c r="H44" i="354" s="1"/>
  <c r="H29" i="354"/>
  <c r="H47" i="354" s="1"/>
  <c r="H28" i="354"/>
  <c r="H42" i="354" s="1"/>
  <c r="H27" i="354"/>
  <c r="H41" i="354" s="1"/>
  <c r="H26" i="354"/>
  <c r="H40" i="354" s="1"/>
  <c r="P25" i="354"/>
  <c r="H25" i="354"/>
  <c r="H39" i="354" s="1"/>
  <c r="H24" i="354"/>
  <c r="H38" i="354" s="1"/>
  <c r="H23" i="354"/>
  <c r="H37" i="354" s="1"/>
  <c r="P20" i="354"/>
  <c r="C9" i="354"/>
  <c r="D11" i="354" s="1"/>
  <c r="L26" i="354" s="1"/>
  <c r="D43" i="354" s="1"/>
  <c r="D47" i="354" s="1"/>
  <c r="G48" i="307"/>
  <c r="F48" i="307"/>
  <c r="E48" i="307"/>
  <c r="D48" i="307"/>
  <c r="H46" i="307"/>
  <c r="S678" i="246" s="1"/>
  <c r="H33" i="307"/>
  <c r="H32" i="307"/>
  <c r="M678" i="246" s="1"/>
  <c r="H31" i="307"/>
  <c r="H45" i="307" s="1"/>
  <c r="M182" i="246" s="1"/>
  <c r="H30" i="307"/>
  <c r="H44" i="307" s="1"/>
  <c r="S120" i="246" s="1"/>
  <c r="H29" i="307"/>
  <c r="H47" i="307" s="1"/>
  <c r="S182" i="246" s="1"/>
  <c r="H28" i="307"/>
  <c r="H42" i="307" s="1"/>
  <c r="M306" i="246" s="1"/>
  <c r="H27" i="307"/>
  <c r="H41" i="307" s="1"/>
  <c r="M244" i="246" s="1"/>
  <c r="H26" i="307"/>
  <c r="H40" i="307" s="1"/>
  <c r="M120" i="246" s="1"/>
  <c r="P25" i="307"/>
  <c r="H25" i="307"/>
  <c r="H39" i="307" s="1"/>
  <c r="S58" i="246" s="1"/>
  <c r="H24" i="307"/>
  <c r="H38" i="307" s="1"/>
  <c r="M58" i="246" s="1"/>
  <c r="H23" i="307"/>
  <c r="H37" i="307" s="1"/>
  <c r="S244" i="246" s="1"/>
  <c r="P20" i="307"/>
  <c r="C9" i="307"/>
  <c r="G48" i="189"/>
  <c r="F48" i="189"/>
  <c r="E48" i="189"/>
  <c r="D48" i="189"/>
  <c r="H46" i="189"/>
  <c r="S669" i="246" s="1"/>
  <c r="H33" i="189"/>
  <c r="H32" i="189"/>
  <c r="M669" i="246" s="1"/>
  <c r="H31" i="189"/>
  <c r="H45" i="189" s="1"/>
  <c r="M173" i="246" s="1"/>
  <c r="H30" i="189"/>
  <c r="H44" i="189" s="1"/>
  <c r="S111" i="246" s="1"/>
  <c r="H29" i="189"/>
  <c r="H47" i="189" s="1"/>
  <c r="S173" i="246" s="1"/>
  <c r="H28" i="189"/>
  <c r="H42" i="189" s="1"/>
  <c r="M297" i="246" s="1"/>
  <c r="H27" i="189"/>
  <c r="H41" i="189" s="1"/>
  <c r="M235" i="246" s="1"/>
  <c r="H26" i="189"/>
  <c r="H40" i="189" s="1"/>
  <c r="M111" i="246" s="1"/>
  <c r="P25" i="189"/>
  <c r="H25" i="189"/>
  <c r="H24" i="189"/>
  <c r="H38" i="189" s="1"/>
  <c r="M49" i="246" s="1"/>
  <c r="H23" i="189"/>
  <c r="S297" i="246" s="1"/>
  <c r="P20" i="189"/>
  <c r="G48" i="356"/>
  <c r="F48" i="356"/>
  <c r="E48" i="356"/>
  <c r="D48" i="356"/>
  <c r="H46" i="356"/>
  <c r="S646" i="209" s="1"/>
  <c r="H33" i="356"/>
  <c r="H32" i="356"/>
  <c r="M646" i="209" s="1"/>
  <c r="H31" i="356"/>
  <c r="H45" i="356" s="1"/>
  <c r="M166" i="209" s="1"/>
  <c r="H30" i="356"/>
  <c r="H44" i="356" s="1"/>
  <c r="S106" i="209" s="1"/>
  <c r="H29" i="356"/>
  <c r="H47" i="356" s="1"/>
  <c r="S166" i="209" s="1"/>
  <c r="H28" i="356"/>
  <c r="H42" i="356" s="1"/>
  <c r="M286" i="209" s="1"/>
  <c r="H27" i="356"/>
  <c r="H41" i="356" s="1"/>
  <c r="M226" i="209" s="1"/>
  <c r="H26" i="356"/>
  <c r="H40" i="356" s="1"/>
  <c r="M106" i="209" s="1"/>
  <c r="P25" i="356"/>
  <c r="H25" i="356"/>
  <c r="H39" i="356" s="1"/>
  <c r="S46" i="209" s="1"/>
  <c r="H24" i="356"/>
  <c r="H38" i="356" s="1"/>
  <c r="M46" i="209" s="1"/>
  <c r="H23" i="356"/>
  <c r="S286" i="209" s="1"/>
  <c r="C9" i="356"/>
  <c r="D11" i="356" s="1"/>
  <c r="I706" i="209" s="1"/>
  <c r="G48" i="313"/>
  <c r="F48" i="313"/>
  <c r="E48" i="313"/>
  <c r="D48" i="313"/>
  <c r="H46" i="313"/>
  <c r="S679" i="246" s="1"/>
  <c r="M679" i="246"/>
  <c r="H31" i="313"/>
  <c r="H45" i="313" s="1"/>
  <c r="M183" i="246" s="1"/>
  <c r="H30" i="313"/>
  <c r="H44" i="313" s="1"/>
  <c r="S121" i="246" s="1"/>
  <c r="H29" i="313"/>
  <c r="H47" i="313" s="1"/>
  <c r="S183" i="246" s="1"/>
  <c r="H28" i="313"/>
  <c r="H42" i="313" s="1"/>
  <c r="M307" i="246" s="1"/>
  <c r="H27" i="313"/>
  <c r="H41" i="313" s="1"/>
  <c r="M245" i="246" s="1"/>
  <c r="H26" i="313"/>
  <c r="H40" i="313" s="1"/>
  <c r="M121" i="246" s="1"/>
  <c r="H25" i="313"/>
  <c r="H39" i="313" s="1"/>
  <c r="S59" i="246" s="1"/>
  <c r="P25" i="313"/>
  <c r="H24" i="313"/>
  <c r="H38" i="313" s="1"/>
  <c r="M59" i="246" s="1"/>
  <c r="H23" i="313"/>
  <c r="H37" i="313" s="1"/>
  <c r="S245" i="246" s="1"/>
  <c r="E15" i="313"/>
  <c r="E15" i="308" s="1"/>
  <c r="E15" i="309" s="1"/>
  <c r="C9" i="313"/>
  <c r="F11" i="313" s="1"/>
  <c r="Q679" i="246" s="1"/>
  <c r="G48" i="72"/>
  <c r="F48" i="72"/>
  <c r="E48" i="72"/>
  <c r="D48" i="72"/>
  <c r="H46" i="72"/>
  <c r="S636" i="209" s="1"/>
  <c r="H33" i="72"/>
  <c r="H32" i="72"/>
  <c r="M636" i="209" s="1"/>
  <c r="H31" i="72"/>
  <c r="H45" i="72" s="1"/>
  <c r="M156" i="209" s="1"/>
  <c r="H30" i="72"/>
  <c r="H44" i="72" s="1"/>
  <c r="S96" i="209" s="1"/>
  <c r="H29" i="72"/>
  <c r="H47" i="72" s="1"/>
  <c r="S156" i="209" s="1"/>
  <c r="H28" i="72"/>
  <c r="H42" i="72" s="1"/>
  <c r="M276" i="209" s="1"/>
  <c r="H27" i="72"/>
  <c r="H41" i="72" s="1"/>
  <c r="M216" i="209" s="1"/>
  <c r="H26" i="72"/>
  <c r="H40" i="72" s="1"/>
  <c r="M96" i="209" s="1"/>
  <c r="P25" i="72"/>
  <c r="H25" i="72"/>
  <c r="H39" i="72" s="1"/>
  <c r="S36" i="209" s="1"/>
  <c r="H24" i="72"/>
  <c r="H38" i="72" s="1"/>
  <c r="M36" i="209" s="1"/>
  <c r="H23" i="72"/>
  <c r="C10" i="72"/>
  <c r="C9" i="72"/>
  <c r="G48" i="195"/>
  <c r="F48" i="195"/>
  <c r="E48" i="195"/>
  <c r="D48" i="195"/>
  <c r="H46" i="195"/>
  <c r="S668" i="246" s="1"/>
  <c r="H33" i="195"/>
  <c r="H32" i="195"/>
  <c r="M668" i="246" s="1"/>
  <c r="H31" i="195"/>
  <c r="H45" i="195" s="1"/>
  <c r="M172" i="246" s="1"/>
  <c r="H30" i="195"/>
  <c r="H44" i="195" s="1"/>
  <c r="S110" i="246" s="1"/>
  <c r="H29" i="195"/>
  <c r="H47" i="195" s="1"/>
  <c r="S172" i="246" s="1"/>
  <c r="H28" i="195"/>
  <c r="H42" i="195" s="1"/>
  <c r="M296" i="246" s="1"/>
  <c r="H27" i="195"/>
  <c r="H41" i="195" s="1"/>
  <c r="M234" i="246" s="1"/>
  <c r="H26" i="195"/>
  <c r="H40" i="195" s="1"/>
  <c r="M110" i="246" s="1"/>
  <c r="P25" i="195"/>
  <c r="H25" i="195"/>
  <c r="H39" i="195" s="1"/>
  <c r="S48" i="246" s="1"/>
  <c r="H24" i="195"/>
  <c r="M358" i="246" s="1"/>
  <c r="H23" i="195"/>
  <c r="S296" i="246" s="1"/>
  <c r="P20" i="195"/>
  <c r="G48" i="187"/>
  <c r="F48" i="187"/>
  <c r="E48" i="187"/>
  <c r="D48" i="187"/>
  <c r="H46" i="187"/>
  <c r="S640" i="246" s="1"/>
  <c r="H33" i="187"/>
  <c r="H32" i="187"/>
  <c r="M640" i="246" s="1"/>
  <c r="H31" i="187"/>
  <c r="H45" i="187" s="1"/>
  <c r="M144" i="246" s="1"/>
  <c r="H30" i="187"/>
  <c r="H44" i="187" s="1"/>
  <c r="S82" i="246" s="1"/>
  <c r="H29" i="187"/>
  <c r="H47" i="187" s="1"/>
  <c r="S144" i="246" s="1"/>
  <c r="H28" i="187"/>
  <c r="H42" i="187" s="1"/>
  <c r="M268" i="246" s="1"/>
  <c r="H27" i="187"/>
  <c r="H41" i="187" s="1"/>
  <c r="M206" i="246" s="1"/>
  <c r="H26" i="187"/>
  <c r="H40" i="187" s="1"/>
  <c r="M82" i="246" s="1"/>
  <c r="P25" i="187"/>
  <c r="H25" i="187"/>
  <c r="H39" i="187" s="1"/>
  <c r="S20" i="246" s="1"/>
  <c r="H24" i="187"/>
  <c r="H38" i="187" s="1"/>
  <c r="M20" i="246" s="1"/>
  <c r="H23" i="187"/>
  <c r="H37" i="187" s="1"/>
  <c r="S206" i="246" s="1"/>
  <c r="P20" i="187"/>
  <c r="C9" i="187"/>
  <c r="G48" i="14"/>
  <c r="F48" i="14"/>
  <c r="E48" i="14"/>
  <c r="D48" i="14"/>
  <c r="H33" i="14"/>
  <c r="H32" i="14"/>
  <c r="H46" i="14" s="1"/>
  <c r="S610" i="209" s="1"/>
  <c r="H31" i="14"/>
  <c r="H45" i="14" s="1"/>
  <c r="M130" i="209" s="1"/>
  <c r="H30" i="14"/>
  <c r="H44" i="14" s="1"/>
  <c r="S70" i="209" s="1"/>
  <c r="H29" i="14"/>
  <c r="H47" i="14" s="1"/>
  <c r="S130" i="209" s="1"/>
  <c r="H28" i="14"/>
  <c r="H42" i="14" s="1"/>
  <c r="M250" i="209" s="1"/>
  <c r="H27" i="14"/>
  <c r="H41" i="14" s="1"/>
  <c r="M190" i="209" s="1"/>
  <c r="H26" i="14"/>
  <c r="H40" i="14" s="1"/>
  <c r="M70" i="209" s="1"/>
  <c r="P25" i="14"/>
  <c r="H25" i="14"/>
  <c r="H39" i="14" s="1"/>
  <c r="S10" i="209" s="1"/>
  <c r="H24" i="14"/>
  <c r="H38" i="14" s="1"/>
  <c r="M10" i="209" s="1"/>
  <c r="H23" i="14"/>
  <c r="H37" i="14" s="1"/>
  <c r="S190" i="209" s="1"/>
  <c r="P20" i="14"/>
  <c r="C9" i="14"/>
  <c r="G48" i="219"/>
  <c r="F48" i="219"/>
  <c r="E48" i="219"/>
  <c r="D48" i="219"/>
  <c r="H46" i="219"/>
  <c r="S645" i="209" s="1"/>
  <c r="H33" i="219"/>
  <c r="H32" i="219"/>
  <c r="M645" i="209" s="1"/>
  <c r="H31" i="219"/>
  <c r="H45" i="219" s="1"/>
  <c r="M165" i="209" s="1"/>
  <c r="H30" i="219"/>
  <c r="H44" i="219" s="1"/>
  <c r="S105" i="209" s="1"/>
  <c r="H29" i="219"/>
  <c r="H47" i="219" s="1"/>
  <c r="S165" i="209" s="1"/>
  <c r="H28" i="219"/>
  <c r="H42" i="219" s="1"/>
  <c r="M285" i="209" s="1"/>
  <c r="H27" i="219"/>
  <c r="H41" i="219" s="1"/>
  <c r="M225" i="209" s="1"/>
  <c r="H26" i="219"/>
  <c r="H40" i="219" s="1"/>
  <c r="M105" i="209" s="1"/>
  <c r="P25" i="219"/>
  <c r="H25" i="219"/>
  <c r="H39" i="219" s="1"/>
  <c r="S45" i="209" s="1"/>
  <c r="H24" i="219"/>
  <c r="H38" i="219" s="1"/>
  <c r="M45" i="209" s="1"/>
  <c r="H23" i="219"/>
  <c r="H37" i="219" s="1"/>
  <c r="S225" i="209" s="1"/>
  <c r="P20" i="219"/>
  <c r="C9" i="219"/>
  <c r="D11" i="219" s="1"/>
  <c r="G48" i="137"/>
  <c r="F48" i="137"/>
  <c r="E48" i="137"/>
  <c r="D48" i="137"/>
  <c r="H46" i="137"/>
  <c r="S667" i="246" s="1"/>
  <c r="H33" i="137"/>
  <c r="H32" i="137"/>
  <c r="M667" i="246" s="1"/>
  <c r="H31" i="137"/>
  <c r="H45" i="137" s="1"/>
  <c r="M171" i="246" s="1"/>
  <c r="H30" i="137"/>
  <c r="H44" i="137" s="1"/>
  <c r="S109" i="246" s="1"/>
  <c r="H29" i="137"/>
  <c r="H28" i="137"/>
  <c r="H42" i="137" s="1"/>
  <c r="M295" i="246" s="1"/>
  <c r="H27" i="137"/>
  <c r="H41" i="137" s="1"/>
  <c r="M233" i="246" s="1"/>
  <c r="H26" i="137"/>
  <c r="H40" i="137" s="1"/>
  <c r="M109" i="246" s="1"/>
  <c r="P25" i="137"/>
  <c r="H25" i="137"/>
  <c r="H39" i="137" s="1"/>
  <c r="S47" i="246" s="1"/>
  <c r="H24" i="137"/>
  <c r="H38" i="137" s="1"/>
  <c r="M47" i="246" s="1"/>
  <c r="H23" i="137"/>
  <c r="H37" i="137" s="1"/>
  <c r="S233" i="246" s="1"/>
  <c r="P20" i="137"/>
  <c r="G48" i="325"/>
  <c r="F48" i="325"/>
  <c r="E48" i="325"/>
  <c r="D48" i="325"/>
  <c r="H46" i="325"/>
  <c r="H33" i="325"/>
  <c r="H32" i="325"/>
  <c r="H31" i="325"/>
  <c r="H45" i="325" s="1"/>
  <c r="H30" i="325"/>
  <c r="H44" i="325" s="1"/>
  <c r="H29" i="325"/>
  <c r="H43" i="325" s="1"/>
  <c r="H28" i="325"/>
  <c r="H42" i="325" s="1"/>
  <c r="H27" i="325"/>
  <c r="H41" i="325" s="1"/>
  <c r="H26" i="325"/>
  <c r="H40" i="325" s="1"/>
  <c r="P25" i="325"/>
  <c r="H25" i="325"/>
  <c r="H39" i="325" s="1"/>
  <c r="H24" i="325"/>
  <c r="H38" i="325" s="1"/>
  <c r="H23" i="325"/>
  <c r="H37" i="325" s="1"/>
  <c r="P20" i="325"/>
  <c r="C9" i="325"/>
  <c r="E11" i="325" s="1"/>
  <c r="E44" i="325" s="1"/>
  <c r="S28" i="294" s="1"/>
  <c r="G48" i="141"/>
  <c r="F48" i="141"/>
  <c r="E48" i="141"/>
  <c r="D48" i="141"/>
  <c r="H46" i="141"/>
  <c r="S666" i="246" s="1"/>
  <c r="H33" i="141"/>
  <c r="H32" i="141"/>
  <c r="M666" i="246" s="1"/>
  <c r="H31" i="141"/>
  <c r="H45" i="141" s="1"/>
  <c r="M170" i="246" s="1"/>
  <c r="H30" i="141"/>
  <c r="H44" i="141" s="1"/>
  <c r="S108" i="246" s="1"/>
  <c r="H29" i="141"/>
  <c r="H47" i="141" s="1"/>
  <c r="S170" i="246" s="1"/>
  <c r="H28" i="141"/>
  <c r="H42" i="141" s="1"/>
  <c r="M294" i="246" s="1"/>
  <c r="H27" i="141"/>
  <c r="H41" i="141" s="1"/>
  <c r="M232" i="246" s="1"/>
  <c r="H26" i="141"/>
  <c r="H40" i="141" s="1"/>
  <c r="M108" i="246" s="1"/>
  <c r="P25" i="141"/>
  <c r="H25" i="141"/>
  <c r="H39" i="141" s="1"/>
  <c r="S46" i="246" s="1"/>
  <c r="H24" i="141"/>
  <c r="H38" i="141" s="1"/>
  <c r="M46" i="246" s="1"/>
  <c r="H23" i="141"/>
  <c r="H37" i="141" s="1"/>
  <c r="S232" i="246" s="1"/>
  <c r="P20" i="141"/>
  <c r="G48" i="315"/>
  <c r="F48" i="315"/>
  <c r="E48" i="315"/>
  <c r="D48" i="315"/>
  <c r="H46" i="315"/>
  <c r="S644" i="209" s="1"/>
  <c r="H33" i="315"/>
  <c r="H32" i="315"/>
  <c r="M644" i="209" s="1"/>
  <c r="H31" i="315"/>
  <c r="H45" i="315" s="1"/>
  <c r="M164" i="209" s="1"/>
  <c r="H30" i="315"/>
  <c r="H44" i="315" s="1"/>
  <c r="S104" i="209" s="1"/>
  <c r="H29" i="315"/>
  <c r="H47" i="315" s="1"/>
  <c r="S164" i="209" s="1"/>
  <c r="H28" i="315"/>
  <c r="H42" i="315" s="1"/>
  <c r="M284" i="209" s="1"/>
  <c r="H27" i="315"/>
  <c r="H41" i="315" s="1"/>
  <c r="M224" i="209" s="1"/>
  <c r="H26" i="315"/>
  <c r="H40" i="315" s="1"/>
  <c r="M104" i="209" s="1"/>
  <c r="P25" i="315"/>
  <c r="H25" i="315"/>
  <c r="H39" i="315" s="1"/>
  <c r="S44" i="209" s="1"/>
  <c r="H24" i="315"/>
  <c r="H38" i="315" s="1"/>
  <c r="M44" i="209" s="1"/>
  <c r="H23" i="315"/>
  <c r="C9" i="315"/>
  <c r="G11" i="315" s="1"/>
  <c r="L644" i="209" s="1"/>
  <c r="G48" i="4"/>
  <c r="F48" i="4"/>
  <c r="E48" i="4"/>
  <c r="D48" i="4"/>
  <c r="H46" i="4"/>
  <c r="S611" i="209" s="1"/>
  <c r="H33" i="4"/>
  <c r="H32" i="4"/>
  <c r="M611" i="209" s="1"/>
  <c r="H31" i="4"/>
  <c r="H45" i="4" s="1"/>
  <c r="M131" i="209" s="1"/>
  <c r="H30" i="4"/>
  <c r="H44" i="4" s="1"/>
  <c r="S71" i="209" s="1"/>
  <c r="H29" i="4"/>
  <c r="H47" i="4" s="1"/>
  <c r="S131" i="209" s="1"/>
  <c r="H28" i="4"/>
  <c r="H42" i="4" s="1"/>
  <c r="M251" i="209" s="1"/>
  <c r="H27" i="4"/>
  <c r="H41" i="4" s="1"/>
  <c r="M191" i="209" s="1"/>
  <c r="H26" i="4"/>
  <c r="H40" i="4" s="1"/>
  <c r="M71" i="209" s="1"/>
  <c r="P25" i="4"/>
  <c r="H25" i="4"/>
  <c r="H39" i="4" s="1"/>
  <c r="S11" i="209" s="1"/>
  <c r="H24" i="4"/>
  <c r="H38" i="4" s="1"/>
  <c r="M11" i="209" s="1"/>
  <c r="H23" i="4"/>
  <c r="H37" i="4" s="1"/>
  <c r="S191" i="209" s="1"/>
  <c r="P20" i="4"/>
  <c r="C9" i="4"/>
  <c r="D11" i="4" s="1"/>
  <c r="D44" i="4" s="1"/>
  <c r="O71" i="209" s="1"/>
  <c r="G48" i="204"/>
  <c r="F48" i="204"/>
  <c r="E48" i="204"/>
  <c r="D48" i="204"/>
  <c r="H46" i="204"/>
  <c r="S665" i="246" s="1"/>
  <c r="H33" i="204"/>
  <c r="H32" i="204"/>
  <c r="M665" i="246" s="1"/>
  <c r="H31" i="204"/>
  <c r="H45" i="204" s="1"/>
  <c r="M169" i="246" s="1"/>
  <c r="H30" i="204"/>
  <c r="H44" i="204" s="1"/>
  <c r="S107" i="246" s="1"/>
  <c r="H29" i="204"/>
  <c r="H47" i="204" s="1"/>
  <c r="S169" i="246" s="1"/>
  <c r="H28" i="204"/>
  <c r="H42" i="204" s="1"/>
  <c r="M293" i="246" s="1"/>
  <c r="H27" i="204"/>
  <c r="H41" i="204" s="1"/>
  <c r="M231" i="246" s="1"/>
  <c r="H26" i="204"/>
  <c r="H40" i="204" s="1"/>
  <c r="M107" i="246" s="1"/>
  <c r="P25" i="204"/>
  <c r="H25" i="204"/>
  <c r="H39" i="204" s="1"/>
  <c r="S45" i="246" s="1"/>
  <c r="H24" i="204"/>
  <c r="H38" i="204" s="1"/>
  <c r="M45" i="246" s="1"/>
  <c r="H23" i="204"/>
  <c r="H37" i="204" s="1"/>
  <c r="S231" i="246" s="1"/>
  <c r="P20" i="204"/>
  <c r="G48" i="279"/>
  <c r="F48" i="279"/>
  <c r="E48" i="279"/>
  <c r="D48" i="279"/>
  <c r="H46" i="279"/>
  <c r="S655" i="246" s="1"/>
  <c r="H33" i="279"/>
  <c r="H32" i="279"/>
  <c r="M655" i="246" s="1"/>
  <c r="H31" i="279"/>
  <c r="H45" i="279" s="1"/>
  <c r="M159" i="246" s="1"/>
  <c r="H30" i="279"/>
  <c r="H44" i="279" s="1"/>
  <c r="S97" i="246" s="1"/>
  <c r="H29" i="279"/>
  <c r="H47" i="279" s="1"/>
  <c r="S159" i="246" s="1"/>
  <c r="H28" i="279"/>
  <c r="H42" i="279" s="1"/>
  <c r="M283" i="246" s="1"/>
  <c r="H27" i="279"/>
  <c r="H41" i="279" s="1"/>
  <c r="M221" i="246" s="1"/>
  <c r="H26" i="279"/>
  <c r="H40" i="279" s="1"/>
  <c r="M97" i="246" s="1"/>
  <c r="P25" i="279"/>
  <c r="H25" i="279"/>
  <c r="H39" i="279" s="1"/>
  <c r="S35" i="246" s="1"/>
  <c r="H24" i="279"/>
  <c r="H38" i="279" s="1"/>
  <c r="M35" i="246" s="1"/>
  <c r="H23" i="279"/>
  <c r="H37" i="279" s="1"/>
  <c r="S221" i="246" s="1"/>
  <c r="P20" i="279"/>
  <c r="C9" i="279"/>
  <c r="E11" i="279" s="1"/>
  <c r="E44" i="279" s="1"/>
  <c r="P97" i="246" s="1"/>
  <c r="G48" i="123"/>
  <c r="F48" i="123"/>
  <c r="E48" i="123"/>
  <c r="D48" i="123"/>
  <c r="H46" i="123"/>
  <c r="S635" i="209" s="1"/>
  <c r="H33" i="123"/>
  <c r="H32" i="123"/>
  <c r="M635" i="209" s="1"/>
  <c r="H31" i="123"/>
  <c r="H45" i="123" s="1"/>
  <c r="M155" i="209" s="1"/>
  <c r="H30" i="123"/>
  <c r="H44" i="123" s="1"/>
  <c r="S95" i="209" s="1"/>
  <c r="H29" i="123"/>
  <c r="H47" i="123" s="1"/>
  <c r="S155" i="209" s="1"/>
  <c r="H28" i="123"/>
  <c r="H42" i="123" s="1"/>
  <c r="M275" i="209" s="1"/>
  <c r="H27" i="123"/>
  <c r="H41" i="123" s="1"/>
  <c r="M215" i="209" s="1"/>
  <c r="H26" i="123"/>
  <c r="H40" i="123" s="1"/>
  <c r="M95" i="209" s="1"/>
  <c r="P25" i="123"/>
  <c r="H25" i="123"/>
  <c r="H24" i="123"/>
  <c r="H38" i="123" s="1"/>
  <c r="M35" i="209" s="1"/>
  <c r="H23" i="123"/>
  <c r="H37" i="123" s="1"/>
  <c r="S215" i="209" s="1"/>
  <c r="P20" i="123"/>
  <c r="C9" i="123"/>
  <c r="F11" i="123" s="1"/>
  <c r="K635" i="209" s="1"/>
  <c r="G48" i="15"/>
  <c r="F48" i="15"/>
  <c r="E48" i="15"/>
  <c r="D48" i="15"/>
  <c r="H46" i="15"/>
  <c r="S609" i="209" s="1"/>
  <c r="H33" i="15"/>
  <c r="H32" i="15"/>
  <c r="M609" i="209" s="1"/>
  <c r="H31" i="15"/>
  <c r="H45" i="15" s="1"/>
  <c r="M129" i="209" s="1"/>
  <c r="H30" i="15"/>
  <c r="H44" i="15" s="1"/>
  <c r="S69" i="209" s="1"/>
  <c r="H29" i="15"/>
  <c r="H47" i="15" s="1"/>
  <c r="S129" i="209" s="1"/>
  <c r="H28" i="15"/>
  <c r="H42" i="15" s="1"/>
  <c r="M249" i="209" s="1"/>
  <c r="H27" i="15"/>
  <c r="H41" i="15" s="1"/>
  <c r="M189" i="209" s="1"/>
  <c r="H26" i="15"/>
  <c r="H40" i="15" s="1"/>
  <c r="M69" i="209" s="1"/>
  <c r="P25" i="15"/>
  <c r="H25" i="15"/>
  <c r="H39" i="15" s="1"/>
  <c r="S9" i="209" s="1"/>
  <c r="H24" i="15"/>
  <c r="M309" i="209" s="1"/>
  <c r="H23" i="15"/>
  <c r="H37" i="15" s="1"/>
  <c r="S189" i="209" s="1"/>
  <c r="P20" i="15"/>
  <c r="C9" i="15"/>
  <c r="G48" i="338"/>
  <c r="F48" i="338"/>
  <c r="E48" i="338"/>
  <c r="D48" i="338"/>
  <c r="H46" i="338"/>
  <c r="S634" i="209" s="1"/>
  <c r="H33" i="338"/>
  <c r="H32" i="338"/>
  <c r="M634" i="209" s="1"/>
  <c r="H31" i="338"/>
  <c r="H45" i="338" s="1"/>
  <c r="M154" i="209" s="1"/>
  <c r="H30" i="338"/>
  <c r="H44" i="338" s="1"/>
  <c r="S94" i="209" s="1"/>
  <c r="H29" i="338"/>
  <c r="H47" i="338" s="1"/>
  <c r="S154" i="209" s="1"/>
  <c r="H28" i="338"/>
  <c r="H42" i="338" s="1"/>
  <c r="M274" i="209" s="1"/>
  <c r="H27" i="338"/>
  <c r="H41" i="338" s="1"/>
  <c r="M214" i="209" s="1"/>
  <c r="H26" i="338"/>
  <c r="H40" i="338" s="1"/>
  <c r="M94" i="209" s="1"/>
  <c r="P25" i="338"/>
  <c r="H25" i="338"/>
  <c r="H39" i="338" s="1"/>
  <c r="S34" i="209" s="1"/>
  <c r="H24" i="338"/>
  <c r="H38" i="338" s="1"/>
  <c r="M34" i="209" s="1"/>
  <c r="H23" i="338"/>
  <c r="H37" i="338" s="1"/>
  <c r="S214" i="209" s="1"/>
  <c r="C9" i="338"/>
  <c r="F11" i="338" s="1"/>
  <c r="G48" i="241"/>
  <c r="F48" i="241"/>
  <c r="E48" i="241"/>
  <c r="D48" i="241"/>
  <c r="H33" i="241"/>
  <c r="H32" i="241"/>
  <c r="H31" i="241"/>
  <c r="H45" i="241" s="1"/>
  <c r="M176" i="209" s="1"/>
  <c r="H30" i="241"/>
  <c r="H44" i="241" s="1"/>
  <c r="S116" i="209" s="1"/>
  <c r="H29" i="241"/>
  <c r="H43" i="241" s="1"/>
  <c r="H28" i="241"/>
  <c r="H42" i="241" s="1"/>
  <c r="M356" i="209" s="1"/>
  <c r="H27" i="241"/>
  <c r="H41" i="241" s="1"/>
  <c r="M236" i="209" s="1"/>
  <c r="H26" i="241"/>
  <c r="H40" i="241" s="1"/>
  <c r="M116" i="209" s="1"/>
  <c r="P25" i="241"/>
  <c r="H25" i="241"/>
  <c r="H24" i="241"/>
  <c r="H38" i="241" s="1"/>
  <c r="M56" i="209" s="1"/>
  <c r="H23" i="241"/>
  <c r="H37" i="241" s="1"/>
  <c r="S236" i="209" s="1"/>
  <c r="P20" i="241"/>
  <c r="C9" i="241"/>
  <c r="E11" i="241" s="1"/>
  <c r="G48" i="188"/>
  <c r="F48" i="188"/>
  <c r="E48" i="188"/>
  <c r="D48" i="188"/>
  <c r="H46" i="188"/>
  <c r="S664" i="246" s="1"/>
  <c r="H33" i="188"/>
  <c r="H32" i="188"/>
  <c r="M664" i="246" s="1"/>
  <c r="H31" i="188"/>
  <c r="H45" i="188" s="1"/>
  <c r="M168" i="246" s="1"/>
  <c r="H30" i="188"/>
  <c r="H44" i="188" s="1"/>
  <c r="S106" i="246" s="1"/>
  <c r="H29" i="188"/>
  <c r="H47" i="188" s="1"/>
  <c r="S168" i="246" s="1"/>
  <c r="H28" i="188"/>
  <c r="H42" i="188" s="1"/>
  <c r="M292" i="246" s="1"/>
  <c r="H27" i="188"/>
  <c r="H41" i="188" s="1"/>
  <c r="M230" i="246" s="1"/>
  <c r="H26" i="188"/>
  <c r="H40" i="188" s="1"/>
  <c r="M106" i="246" s="1"/>
  <c r="P25" i="188"/>
  <c r="H25" i="188"/>
  <c r="H39" i="188" s="1"/>
  <c r="S44" i="246" s="1"/>
  <c r="H24" i="188"/>
  <c r="H38" i="188" s="1"/>
  <c r="M44" i="246" s="1"/>
  <c r="H23" i="188"/>
  <c r="H37" i="188" s="1"/>
  <c r="S230" i="246" s="1"/>
  <c r="P20" i="188"/>
  <c r="G48" i="166"/>
  <c r="F48" i="166"/>
  <c r="E48" i="166"/>
  <c r="D48" i="166"/>
  <c r="H46" i="166"/>
  <c r="S638" i="246" s="1"/>
  <c r="H33" i="166"/>
  <c r="H32" i="166"/>
  <c r="M638" i="246" s="1"/>
  <c r="H31" i="166"/>
  <c r="H45" i="166" s="1"/>
  <c r="M142" i="246" s="1"/>
  <c r="H30" i="166"/>
  <c r="H44" i="166" s="1"/>
  <c r="S80" i="246" s="1"/>
  <c r="H29" i="166"/>
  <c r="H47" i="166" s="1"/>
  <c r="S142" i="246" s="1"/>
  <c r="H28" i="166"/>
  <c r="H42" i="166" s="1"/>
  <c r="M266" i="246" s="1"/>
  <c r="H27" i="166"/>
  <c r="H41" i="166" s="1"/>
  <c r="M204" i="246" s="1"/>
  <c r="H26" i="166"/>
  <c r="H40" i="166" s="1"/>
  <c r="M80" i="246" s="1"/>
  <c r="P25" i="166"/>
  <c r="H25" i="166"/>
  <c r="H39" i="166" s="1"/>
  <c r="S18" i="246" s="1"/>
  <c r="H24" i="166"/>
  <c r="H38" i="166" s="1"/>
  <c r="M18" i="246" s="1"/>
  <c r="H23" i="166"/>
  <c r="H37" i="166" s="1"/>
  <c r="S204" i="246" s="1"/>
  <c r="P20" i="166"/>
  <c r="E15" i="166"/>
  <c r="F15" i="166" s="1"/>
  <c r="G15" i="166" s="1"/>
  <c r="C9" i="166"/>
  <c r="D11" i="166" s="1"/>
  <c r="I638" i="246" s="1"/>
  <c r="G48" i="165"/>
  <c r="F48" i="165"/>
  <c r="E48" i="165"/>
  <c r="D48" i="165"/>
  <c r="H46" i="165"/>
  <c r="S637" i="246" s="1"/>
  <c r="H33" i="165"/>
  <c r="H32" i="165"/>
  <c r="M637" i="246" s="1"/>
  <c r="H31" i="165"/>
  <c r="H45" i="165" s="1"/>
  <c r="M141" i="246" s="1"/>
  <c r="H30" i="165"/>
  <c r="H44" i="165" s="1"/>
  <c r="S79" i="246" s="1"/>
  <c r="H29" i="165"/>
  <c r="H47" i="165" s="1"/>
  <c r="S141" i="246" s="1"/>
  <c r="H28" i="165"/>
  <c r="H42" i="165" s="1"/>
  <c r="M265" i="246" s="1"/>
  <c r="H27" i="165"/>
  <c r="H41" i="165" s="1"/>
  <c r="M203" i="246" s="1"/>
  <c r="H26" i="165"/>
  <c r="H40" i="165" s="1"/>
  <c r="M79" i="246" s="1"/>
  <c r="P25" i="165"/>
  <c r="H25" i="165"/>
  <c r="H39" i="165" s="1"/>
  <c r="S17" i="246" s="1"/>
  <c r="H24" i="165"/>
  <c r="H38" i="165" s="1"/>
  <c r="M17" i="246" s="1"/>
  <c r="H23" i="165"/>
  <c r="H37" i="165" s="1"/>
  <c r="S203" i="246" s="1"/>
  <c r="P20" i="165"/>
  <c r="C9" i="165"/>
  <c r="E11" i="165" s="1"/>
  <c r="G48" i="151"/>
  <c r="F48" i="151"/>
  <c r="E48" i="151"/>
  <c r="D48" i="151"/>
  <c r="H46" i="151"/>
  <c r="S663" i="246" s="1"/>
  <c r="H33" i="151"/>
  <c r="H32" i="151"/>
  <c r="M663" i="246" s="1"/>
  <c r="H31" i="151"/>
  <c r="H45" i="151" s="1"/>
  <c r="M167" i="246" s="1"/>
  <c r="H30" i="151"/>
  <c r="H44" i="151" s="1"/>
  <c r="S105" i="246" s="1"/>
  <c r="H29" i="151"/>
  <c r="H47" i="151" s="1"/>
  <c r="S167" i="246" s="1"/>
  <c r="H28" i="151"/>
  <c r="H42" i="151" s="1"/>
  <c r="M291" i="246" s="1"/>
  <c r="H27" i="151"/>
  <c r="H41" i="151" s="1"/>
  <c r="M229" i="246" s="1"/>
  <c r="H26" i="151"/>
  <c r="H40" i="151" s="1"/>
  <c r="M105" i="246" s="1"/>
  <c r="P25" i="151"/>
  <c r="H25" i="151"/>
  <c r="H39" i="151" s="1"/>
  <c r="S43" i="246" s="1"/>
  <c r="H24" i="151"/>
  <c r="H38" i="151" s="1"/>
  <c r="M43" i="246" s="1"/>
  <c r="H23" i="151"/>
  <c r="H37" i="151" s="1"/>
  <c r="S229" i="246" s="1"/>
  <c r="P20" i="151"/>
  <c r="G48" i="355"/>
  <c r="F48" i="355"/>
  <c r="E48" i="355"/>
  <c r="D48" i="355"/>
  <c r="H46" i="355"/>
  <c r="H33" i="355"/>
  <c r="H32" i="355"/>
  <c r="H31" i="355"/>
  <c r="H45" i="355" s="1"/>
  <c r="H30" i="355"/>
  <c r="H44" i="355" s="1"/>
  <c r="H29" i="355"/>
  <c r="H47" i="355" s="1"/>
  <c r="H28" i="355"/>
  <c r="H42" i="355" s="1"/>
  <c r="H27" i="355"/>
  <c r="H41" i="355" s="1"/>
  <c r="H26" i="355"/>
  <c r="H40" i="355" s="1"/>
  <c r="P25" i="355"/>
  <c r="H25" i="355"/>
  <c r="H39" i="355" s="1"/>
  <c r="H24" i="355"/>
  <c r="H38" i="355" s="1"/>
  <c r="H23" i="355"/>
  <c r="H37" i="355" s="1"/>
  <c r="P20" i="355"/>
  <c r="C9" i="355"/>
  <c r="G48" i="324"/>
  <c r="F48" i="324"/>
  <c r="E48" i="324"/>
  <c r="D48" i="324"/>
  <c r="H46" i="324"/>
  <c r="H33" i="324"/>
  <c r="H32" i="324"/>
  <c r="H48" i="324" s="1"/>
  <c r="H31" i="324"/>
  <c r="H45" i="324" s="1"/>
  <c r="H30" i="324"/>
  <c r="H44" i="324" s="1"/>
  <c r="H29" i="324"/>
  <c r="H43" i="324" s="1"/>
  <c r="H28" i="324"/>
  <c r="H42" i="324" s="1"/>
  <c r="H27" i="324"/>
  <c r="H41" i="324" s="1"/>
  <c r="H26" i="324"/>
  <c r="H40" i="324" s="1"/>
  <c r="P25" i="324"/>
  <c r="H25" i="324"/>
  <c r="H39" i="324" s="1"/>
  <c r="H24" i="324"/>
  <c r="H38" i="324" s="1"/>
  <c r="H23" i="324"/>
  <c r="H37" i="324" s="1"/>
  <c r="P20" i="324"/>
  <c r="C9" i="324"/>
  <c r="F11" i="324" s="1"/>
  <c r="F18" i="324" s="1"/>
  <c r="T122" i="294" s="1"/>
  <c r="G48" i="220"/>
  <c r="F48" i="220"/>
  <c r="E48" i="220"/>
  <c r="D48" i="220"/>
  <c r="H46" i="220"/>
  <c r="S654" i="209" s="1"/>
  <c r="H33" i="220"/>
  <c r="H32" i="220"/>
  <c r="M654" i="209" s="1"/>
  <c r="H31" i="220"/>
  <c r="H45" i="220" s="1"/>
  <c r="M174" i="209" s="1"/>
  <c r="H30" i="220"/>
  <c r="H44" i="220" s="1"/>
  <c r="S114" i="209" s="1"/>
  <c r="H29" i="220"/>
  <c r="H47" i="220" s="1"/>
  <c r="S174" i="209" s="1"/>
  <c r="H28" i="220"/>
  <c r="H42" i="220" s="1"/>
  <c r="M294" i="209" s="1"/>
  <c r="H27" i="220"/>
  <c r="H41" i="220" s="1"/>
  <c r="M234" i="209" s="1"/>
  <c r="H26" i="220"/>
  <c r="H40" i="220" s="1"/>
  <c r="M114" i="209" s="1"/>
  <c r="P25" i="220"/>
  <c r="H25" i="220"/>
  <c r="S354" i="209" s="1"/>
  <c r="H24" i="220"/>
  <c r="H38" i="220" s="1"/>
  <c r="M54" i="209" s="1"/>
  <c r="H23" i="220"/>
  <c r="P20" i="220"/>
  <c r="E11" i="220"/>
  <c r="G48" i="202"/>
  <c r="F48" i="202"/>
  <c r="E48" i="202"/>
  <c r="D48" i="202"/>
  <c r="H46" i="202"/>
  <c r="S639" i="246" s="1"/>
  <c r="H33" i="202"/>
  <c r="H32" i="202"/>
  <c r="M639" i="246" s="1"/>
  <c r="H31" i="202"/>
  <c r="H45" i="202" s="1"/>
  <c r="M143" i="246" s="1"/>
  <c r="H30" i="202"/>
  <c r="H44" i="202" s="1"/>
  <c r="S81" i="246" s="1"/>
  <c r="H29" i="202"/>
  <c r="H43" i="202" s="1"/>
  <c r="H28" i="202"/>
  <c r="H42" i="202" s="1"/>
  <c r="M267" i="246" s="1"/>
  <c r="H27" i="202"/>
  <c r="H41" i="202" s="1"/>
  <c r="M205" i="246" s="1"/>
  <c r="H26" i="202"/>
  <c r="H40" i="202" s="1"/>
  <c r="M81" i="246" s="1"/>
  <c r="P25" i="202"/>
  <c r="H25" i="202"/>
  <c r="H39" i="202" s="1"/>
  <c r="S19" i="246" s="1"/>
  <c r="H24" i="202"/>
  <c r="H38" i="202" s="1"/>
  <c r="M19" i="246" s="1"/>
  <c r="H23" i="202"/>
  <c r="H37" i="202" s="1"/>
  <c r="S205" i="246" s="1"/>
  <c r="P20" i="202"/>
  <c r="E15" i="202"/>
  <c r="F15" i="202" s="1"/>
  <c r="G15" i="202" s="1"/>
  <c r="E14" i="202"/>
  <c r="F14" i="202" s="1"/>
  <c r="G14" i="202" s="1"/>
  <c r="C9" i="202"/>
  <c r="F11" i="202" s="1"/>
  <c r="F44" i="202" s="1"/>
  <c r="Q81" i="246" s="1"/>
  <c r="G48" i="221"/>
  <c r="F48" i="221"/>
  <c r="E48" i="221"/>
  <c r="D48" i="221"/>
  <c r="H46" i="221"/>
  <c r="S653" i="209" s="1"/>
  <c r="H33" i="221"/>
  <c r="H32" i="221"/>
  <c r="M653" i="209" s="1"/>
  <c r="H31" i="221"/>
  <c r="H45" i="221" s="1"/>
  <c r="M173" i="209" s="1"/>
  <c r="H30" i="221"/>
  <c r="H44" i="221" s="1"/>
  <c r="S113" i="209" s="1"/>
  <c r="H29" i="221"/>
  <c r="H47" i="221" s="1"/>
  <c r="S173" i="209" s="1"/>
  <c r="H28" i="221"/>
  <c r="H42" i="221" s="1"/>
  <c r="M293" i="209" s="1"/>
  <c r="H27" i="221"/>
  <c r="H41" i="221" s="1"/>
  <c r="M233" i="209" s="1"/>
  <c r="H26" i="221"/>
  <c r="H40" i="221" s="1"/>
  <c r="M113" i="209" s="1"/>
  <c r="P25" i="221"/>
  <c r="H25" i="221"/>
  <c r="H39" i="221" s="1"/>
  <c r="S53" i="209" s="1"/>
  <c r="H24" i="221"/>
  <c r="H23" i="221"/>
  <c r="H37" i="221" s="1"/>
  <c r="S233" i="209" s="1"/>
  <c r="P20" i="221"/>
  <c r="C9" i="221"/>
  <c r="G48" i="349"/>
  <c r="F48" i="349"/>
  <c r="E48" i="349"/>
  <c r="D48" i="349"/>
  <c r="H46" i="349"/>
  <c r="H33" i="349"/>
  <c r="H32" i="349"/>
  <c r="H31" i="349"/>
  <c r="H45" i="349" s="1"/>
  <c r="H30" i="349"/>
  <c r="H44" i="349" s="1"/>
  <c r="H29" i="349"/>
  <c r="H47" i="349" s="1"/>
  <c r="H28" i="349"/>
  <c r="H42" i="349" s="1"/>
  <c r="H27" i="349"/>
  <c r="H41" i="349" s="1"/>
  <c r="H26" i="349"/>
  <c r="H40" i="349" s="1"/>
  <c r="P25" i="349"/>
  <c r="H25" i="349"/>
  <c r="H39" i="349" s="1"/>
  <c r="H24" i="349"/>
  <c r="H38" i="349" s="1"/>
  <c r="H23" i="349"/>
  <c r="H37" i="349" s="1"/>
  <c r="P20" i="349"/>
  <c r="C9" i="349"/>
  <c r="G48" i="289"/>
  <c r="F48" i="289"/>
  <c r="E48" i="289"/>
  <c r="D48" i="289"/>
  <c r="H46" i="289"/>
  <c r="H33" i="289"/>
  <c r="H32" i="289"/>
  <c r="H31" i="289"/>
  <c r="H45" i="289" s="1"/>
  <c r="H30" i="289"/>
  <c r="H44" i="289" s="1"/>
  <c r="H29" i="289"/>
  <c r="H47" i="289" s="1"/>
  <c r="H28" i="289"/>
  <c r="H42" i="289" s="1"/>
  <c r="H27" i="289"/>
  <c r="H41" i="289" s="1"/>
  <c r="H26" i="289"/>
  <c r="H40" i="289" s="1"/>
  <c r="P25" i="289"/>
  <c r="H25" i="289"/>
  <c r="H39" i="289" s="1"/>
  <c r="H24" i="289"/>
  <c r="H38" i="289" s="1"/>
  <c r="H23" i="289"/>
  <c r="H37" i="289" s="1"/>
  <c r="C9" i="289"/>
  <c r="G11" i="289" s="1"/>
  <c r="G44" i="289" s="1"/>
  <c r="U31" i="294" s="1"/>
  <c r="G48" i="16"/>
  <c r="F48" i="16"/>
  <c r="E48" i="16"/>
  <c r="D48" i="16"/>
  <c r="H46" i="16"/>
  <c r="S608" i="209" s="1"/>
  <c r="H33" i="16"/>
  <c r="H32" i="16"/>
  <c r="M608" i="209" s="1"/>
  <c r="H31" i="16"/>
  <c r="H45" i="16" s="1"/>
  <c r="M128" i="209" s="1"/>
  <c r="H30" i="16"/>
  <c r="H44" i="16" s="1"/>
  <c r="S68" i="209" s="1"/>
  <c r="H29" i="16"/>
  <c r="H47" i="16" s="1"/>
  <c r="S128" i="209" s="1"/>
  <c r="H28" i="16"/>
  <c r="H42" i="16" s="1"/>
  <c r="M248" i="209" s="1"/>
  <c r="H27" i="16"/>
  <c r="H41" i="16" s="1"/>
  <c r="M188" i="209" s="1"/>
  <c r="H26" i="16"/>
  <c r="H40" i="16" s="1"/>
  <c r="M68" i="209" s="1"/>
  <c r="P25" i="16"/>
  <c r="H25" i="16"/>
  <c r="H39" i="16" s="1"/>
  <c r="S8" i="209" s="1"/>
  <c r="H24" i="16"/>
  <c r="H38" i="16" s="1"/>
  <c r="M8" i="209" s="1"/>
  <c r="H23" i="16"/>
  <c r="H37" i="16" s="1"/>
  <c r="S188" i="209" s="1"/>
  <c r="P20" i="16"/>
  <c r="C9" i="16"/>
  <c r="D11" i="16" s="1"/>
  <c r="G48" i="293"/>
  <c r="F48" i="293"/>
  <c r="E48" i="293"/>
  <c r="D48" i="293"/>
  <c r="H46" i="293"/>
  <c r="H33" i="293"/>
  <c r="H32" i="293"/>
  <c r="H31" i="293"/>
  <c r="H45" i="293" s="1"/>
  <c r="H30" i="293"/>
  <c r="H44" i="293" s="1"/>
  <c r="H29" i="293"/>
  <c r="H47" i="293" s="1"/>
  <c r="H28" i="293"/>
  <c r="H42" i="293" s="1"/>
  <c r="H27" i="293"/>
  <c r="H41" i="293" s="1"/>
  <c r="H26" i="293"/>
  <c r="H40" i="293" s="1"/>
  <c r="P25" i="293"/>
  <c r="H25" i="293"/>
  <c r="H39" i="293" s="1"/>
  <c r="H24" i="293"/>
  <c r="H38" i="293" s="1"/>
  <c r="H23" i="293"/>
  <c r="H37" i="293" s="1"/>
  <c r="P20" i="293"/>
  <c r="C9" i="293"/>
  <c r="F11" i="293" s="1"/>
  <c r="F45" i="293" s="1"/>
  <c r="O53" i="294" s="1"/>
  <c r="G48" i="126"/>
  <c r="F48" i="126"/>
  <c r="E48" i="126"/>
  <c r="D48" i="126"/>
  <c r="H46" i="126"/>
  <c r="S662" i="246" s="1"/>
  <c r="H33" i="126"/>
  <c r="H32" i="126"/>
  <c r="M662" i="246" s="1"/>
  <c r="H31" i="126"/>
  <c r="H45" i="126" s="1"/>
  <c r="M166" i="246" s="1"/>
  <c r="H30" i="126"/>
  <c r="H44" i="126" s="1"/>
  <c r="S104" i="246" s="1"/>
  <c r="H29" i="126"/>
  <c r="H28" i="126"/>
  <c r="H42" i="126" s="1"/>
  <c r="M290" i="246" s="1"/>
  <c r="H27" i="126"/>
  <c r="H41" i="126" s="1"/>
  <c r="M228" i="246" s="1"/>
  <c r="H26" i="126"/>
  <c r="H40" i="126" s="1"/>
  <c r="M104" i="246" s="1"/>
  <c r="P25" i="126"/>
  <c r="H25" i="126"/>
  <c r="S352" i="246" s="1"/>
  <c r="H24" i="126"/>
  <c r="H38" i="126" s="1"/>
  <c r="M42" i="246" s="1"/>
  <c r="H23" i="126"/>
  <c r="H37" i="126" s="1"/>
  <c r="S228" i="246" s="1"/>
  <c r="P20" i="126"/>
  <c r="G48" i="160"/>
  <c r="F48" i="160"/>
  <c r="E48" i="160"/>
  <c r="D48" i="160"/>
  <c r="H46" i="160"/>
  <c r="S661" i="246" s="1"/>
  <c r="H33" i="160"/>
  <c r="H32" i="160"/>
  <c r="M661" i="246" s="1"/>
  <c r="H31" i="160"/>
  <c r="H45" i="160" s="1"/>
  <c r="M165" i="246" s="1"/>
  <c r="H30" i="160"/>
  <c r="H44" i="160" s="1"/>
  <c r="S103" i="246" s="1"/>
  <c r="H29" i="160"/>
  <c r="H47" i="160" s="1"/>
  <c r="S165" i="246" s="1"/>
  <c r="H28" i="160"/>
  <c r="H42" i="160" s="1"/>
  <c r="M289" i="246" s="1"/>
  <c r="H27" i="160"/>
  <c r="H41" i="160" s="1"/>
  <c r="M227" i="246" s="1"/>
  <c r="H26" i="160"/>
  <c r="H40" i="160" s="1"/>
  <c r="M103" i="246" s="1"/>
  <c r="P25" i="160"/>
  <c r="H25" i="160"/>
  <c r="H39" i="160" s="1"/>
  <c r="S41" i="246" s="1"/>
  <c r="H24" i="160"/>
  <c r="H23" i="160"/>
  <c r="H37" i="160" s="1"/>
  <c r="S227" i="246" s="1"/>
  <c r="P20" i="160"/>
  <c r="G48" i="214"/>
  <c r="F48" i="214"/>
  <c r="E48" i="214"/>
  <c r="D48" i="214"/>
  <c r="H46" i="214"/>
  <c r="S621" i="209" s="1"/>
  <c r="H33" i="214"/>
  <c r="H32" i="214"/>
  <c r="M621" i="209" s="1"/>
  <c r="H31" i="214"/>
  <c r="H45" i="214" s="1"/>
  <c r="M141" i="209" s="1"/>
  <c r="H30" i="214"/>
  <c r="H44" i="214" s="1"/>
  <c r="S81" i="209" s="1"/>
  <c r="H29" i="214"/>
  <c r="H47" i="214" s="1"/>
  <c r="S141" i="209" s="1"/>
  <c r="H28" i="214"/>
  <c r="H42" i="214" s="1"/>
  <c r="M261" i="209" s="1"/>
  <c r="H27" i="214"/>
  <c r="H41" i="214" s="1"/>
  <c r="M201" i="209" s="1"/>
  <c r="H26" i="214"/>
  <c r="H40" i="214" s="1"/>
  <c r="M81" i="209" s="1"/>
  <c r="P25" i="214"/>
  <c r="H25" i="214"/>
  <c r="S321" i="209" s="1"/>
  <c r="H24" i="214"/>
  <c r="H38" i="214" s="1"/>
  <c r="M21" i="209" s="1"/>
  <c r="H23" i="214"/>
  <c r="H37" i="214" s="1"/>
  <c r="S201" i="209" s="1"/>
  <c r="P20" i="214"/>
  <c r="G48" i="347"/>
  <c r="F48" i="347"/>
  <c r="E48" i="347"/>
  <c r="D48" i="347"/>
  <c r="H46" i="347"/>
  <c r="S652" i="209" s="1"/>
  <c r="H33" i="347"/>
  <c r="H32" i="347"/>
  <c r="M652" i="209" s="1"/>
  <c r="H31" i="347"/>
  <c r="H45" i="347" s="1"/>
  <c r="M172" i="209" s="1"/>
  <c r="H30" i="347"/>
  <c r="H44" i="347" s="1"/>
  <c r="S112" i="209" s="1"/>
  <c r="H29" i="347"/>
  <c r="H47" i="347" s="1"/>
  <c r="S172" i="209" s="1"/>
  <c r="H28" i="347"/>
  <c r="H42" i="347" s="1"/>
  <c r="M292" i="209" s="1"/>
  <c r="H27" i="347"/>
  <c r="H41" i="347" s="1"/>
  <c r="M232" i="209" s="1"/>
  <c r="H26" i="347"/>
  <c r="H40" i="347" s="1"/>
  <c r="M112" i="209" s="1"/>
  <c r="P25" i="347"/>
  <c r="H25" i="347"/>
  <c r="H39" i="347" s="1"/>
  <c r="S52" i="209" s="1"/>
  <c r="H24" i="347"/>
  <c r="H38" i="347" s="1"/>
  <c r="M52" i="209" s="1"/>
  <c r="H23" i="347"/>
  <c r="P20" i="347"/>
  <c r="C9" i="347"/>
  <c r="D11" i="347" s="1"/>
  <c r="G48" i="156"/>
  <c r="F48" i="156"/>
  <c r="E48" i="156"/>
  <c r="D48" i="156"/>
  <c r="H46" i="156"/>
  <c r="S631" i="246" s="1"/>
  <c r="H33" i="156"/>
  <c r="H32" i="156"/>
  <c r="M631" i="246" s="1"/>
  <c r="H31" i="156"/>
  <c r="H45" i="156" s="1"/>
  <c r="M135" i="246" s="1"/>
  <c r="H30" i="156"/>
  <c r="H44" i="156" s="1"/>
  <c r="S73" i="246" s="1"/>
  <c r="H29" i="156"/>
  <c r="H47" i="156" s="1"/>
  <c r="S135" i="246" s="1"/>
  <c r="H28" i="156"/>
  <c r="H42" i="156" s="1"/>
  <c r="M259" i="246" s="1"/>
  <c r="H27" i="156"/>
  <c r="H41" i="156" s="1"/>
  <c r="M197" i="246" s="1"/>
  <c r="H26" i="156"/>
  <c r="H40" i="156" s="1"/>
  <c r="M73" i="246" s="1"/>
  <c r="P25" i="156"/>
  <c r="H25" i="156"/>
  <c r="H39" i="156" s="1"/>
  <c r="S11" i="246" s="1"/>
  <c r="H24" i="156"/>
  <c r="M321" i="246" s="1"/>
  <c r="H23" i="156"/>
  <c r="H37" i="156" s="1"/>
  <c r="S197" i="246" s="1"/>
  <c r="P20" i="156"/>
  <c r="C9" i="156"/>
  <c r="G48" i="288"/>
  <c r="F48" i="288"/>
  <c r="E48" i="288"/>
  <c r="D48" i="288"/>
  <c r="H46" i="288"/>
  <c r="H33" i="288"/>
  <c r="H32" i="288"/>
  <c r="H31" i="288"/>
  <c r="H45" i="288" s="1"/>
  <c r="H30" i="288"/>
  <c r="H44" i="288" s="1"/>
  <c r="H29" i="288"/>
  <c r="H47" i="288" s="1"/>
  <c r="H28" i="288"/>
  <c r="H42" i="288" s="1"/>
  <c r="H27" i="288"/>
  <c r="H41" i="288" s="1"/>
  <c r="H26" i="288"/>
  <c r="H40" i="288" s="1"/>
  <c r="P25" i="288"/>
  <c r="H25" i="288"/>
  <c r="H39" i="288" s="1"/>
  <c r="H24" i="288"/>
  <c r="H38" i="288" s="1"/>
  <c r="H23" i="288"/>
  <c r="H37" i="288" s="1"/>
  <c r="C9" i="288"/>
  <c r="F11" i="288" s="1"/>
  <c r="F18" i="288" s="1"/>
  <c r="F39" i="288" s="1"/>
  <c r="O30" i="294" s="1"/>
  <c r="G48" i="194"/>
  <c r="F48" i="194"/>
  <c r="E48" i="194"/>
  <c r="D48" i="194"/>
  <c r="H46" i="194"/>
  <c r="S660" i="246" s="1"/>
  <c r="H33" i="194"/>
  <c r="H32" i="194"/>
  <c r="M660" i="246" s="1"/>
  <c r="H31" i="194"/>
  <c r="H45" i="194" s="1"/>
  <c r="M164" i="246" s="1"/>
  <c r="H30" i="194"/>
  <c r="H44" i="194" s="1"/>
  <c r="S102" i="246" s="1"/>
  <c r="H29" i="194"/>
  <c r="H47" i="194" s="1"/>
  <c r="S164" i="246" s="1"/>
  <c r="H28" i="194"/>
  <c r="H42" i="194" s="1"/>
  <c r="M288" i="246" s="1"/>
  <c r="H27" i="194"/>
  <c r="H41" i="194" s="1"/>
  <c r="M226" i="246" s="1"/>
  <c r="H26" i="194"/>
  <c r="H40" i="194" s="1"/>
  <c r="M102" i="246" s="1"/>
  <c r="P25" i="194"/>
  <c r="H25" i="194"/>
  <c r="H39" i="194" s="1"/>
  <c r="S40" i="246" s="1"/>
  <c r="H24" i="194"/>
  <c r="H38" i="194" s="1"/>
  <c r="M40" i="246" s="1"/>
  <c r="H23" i="194"/>
  <c r="S288" i="246" s="1"/>
  <c r="P20" i="194"/>
  <c r="E12" i="292"/>
  <c r="K137" i="294"/>
  <c r="J137" i="294"/>
  <c r="I137" i="294"/>
  <c r="H137" i="294"/>
  <c r="K132" i="294"/>
  <c r="J132" i="294"/>
  <c r="I132" i="294"/>
  <c r="H132" i="294"/>
  <c r="K131" i="294"/>
  <c r="J131" i="294"/>
  <c r="I131" i="294"/>
  <c r="H131" i="294"/>
  <c r="K130" i="294"/>
  <c r="J130" i="294"/>
  <c r="I130" i="294"/>
  <c r="H130" i="294"/>
  <c r="K129" i="294"/>
  <c r="J129" i="294"/>
  <c r="I129" i="294"/>
  <c r="H129" i="294"/>
  <c r="K127" i="294"/>
  <c r="J127" i="294"/>
  <c r="I127" i="294"/>
  <c r="H127" i="294"/>
  <c r="K126" i="294"/>
  <c r="J126" i="294"/>
  <c r="I126" i="294"/>
  <c r="H126" i="294"/>
  <c r="K125" i="294"/>
  <c r="J125" i="294"/>
  <c r="I125" i="294"/>
  <c r="H125" i="294"/>
  <c r="K123" i="294"/>
  <c r="J123" i="294"/>
  <c r="I123" i="294"/>
  <c r="H123" i="294"/>
  <c r="K122" i="294"/>
  <c r="J122" i="294"/>
  <c r="I122" i="294"/>
  <c r="H122" i="294"/>
  <c r="U118" i="294"/>
  <c r="T118" i="294"/>
  <c r="S118" i="294"/>
  <c r="R118" i="294"/>
  <c r="P118" i="294"/>
  <c r="O118" i="294"/>
  <c r="N118" i="294"/>
  <c r="M118" i="294"/>
  <c r="K118" i="294"/>
  <c r="J118" i="294"/>
  <c r="I118" i="294"/>
  <c r="H118" i="294"/>
  <c r="U113" i="294"/>
  <c r="T113" i="294"/>
  <c r="S113" i="294"/>
  <c r="R113" i="294"/>
  <c r="P113" i="294"/>
  <c r="O113" i="294"/>
  <c r="N113" i="294"/>
  <c r="M113" i="294"/>
  <c r="K113" i="294"/>
  <c r="J113" i="294"/>
  <c r="I113" i="294"/>
  <c r="H113" i="294"/>
  <c r="U112" i="294"/>
  <c r="T112" i="294"/>
  <c r="S112" i="294"/>
  <c r="R112" i="294"/>
  <c r="P112" i="294"/>
  <c r="O112" i="294"/>
  <c r="N112" i="294"/>
  <c r="M112" i="294"/>
  <c r="K112" i="294"/>
  <c r="J112" i="294"/>
  <c r="I112" i="294"/>
  <c r="H112" i="294"/>
  <c r="U111" i="294"/>
  <c r="T111" i="294"/>
  <c r="S111" i="294"/>
  <c r="R111" i="294"/>
  <c r="P111" i="294"/>
  <c r="O111" i="294"/>
  <c r="N111" i="294"/>
  <c r="M111" i="294"/>
  <c r="K111" i="294"/>
  <c r="J111" i="294"/>
  <c r="I111" i="294"/>
  <c r="H111" i="294"/>
  <c r="U110" i="294"/>
  <c r="T110" i="294"/>
  <c r="S110" i="294"/>
  <c r="R110" i="294"/>
  <c r="P110" i="294"/>
  <c r="O110" i="294"/>
  <c r="N110" i="294"/>
  <c r="M110" i="294"/>
  <c r="K110" i="294"/>
  <c r="J110" i="294"/>
  <c r="I110" i="294"/>
  <c r="H110" i="294"/>
  <c r="U108" i="294"/>
  <c r="T108" i="294"/>
  <c r="S108" i="294"/>
  <c r="R108" i="294"/>
  <c r="P108" i="294"/>
  <c r="O108" i="294"/>
  <c r="N108" i="294"/>
  <c r="M108" i="294"/>
  <c r="K108" i="294"/>
  <c r="J108" i="294"/>
  <c r="I108" i="294"/>
  <c r="H108" i="294"/>
  <c r="U107" i="294"/>
  <c r="T107" i="294"/>
  <c r="S107" i="294"/>
  <c r="R107" i="294"/>
  <c r="P107" i="294"/>
  <c r="O107" i="294"/>
  <c r="N107" i="294"/>
  <c r="M107" i="294"/>
  <c r="K107" i="294"/>
  <c r="J107" i="294"/>
  <c r="I107" i="294"/>
  <c r="H107" i="294"/>
  <c r="U106" i="294"/>
  <c r="T106" i="294"/>
  <c r="S106" i="294"/>
  <c r="R106" i="294"/>
  <c r="P106" i="294"/>
  <c r="O106" i="294"/>
  <c r="N106" i="294"/>
  <c r="M106" i="294"/>
  <c r="K106" i="294"/>
  <c r="J106" i="294"/>
  <c r="I106" i="294"/>
  <c r="H106" i="294"/>
  <c r="U104" i="294"/>
  <c r="T104" i="294"/>
  <c r="S104" i="294"/>
  <c r="R104" i="294"/>
  <c r="P104" i="294"/>
  <c r="O104" i="294"/>
  <c r="N104" i="294"/>
  <c r="M104" i="294"/>
  <c r="K104" i="294"/>
  <c r="J104" i="294"/>
  <c r="I104" i="294"/>
  <c r="H104" i="294"/>
  <c r="U103" i="294"/>
  <c r="T103" i="294"/>
  <c r="S103" i="294"/>
  <c r="R103" i="294"/>
  <c r="P103" i="294"/>
  <c r="O103" i="294"/>
  <c r="N103" i="294"/>
  <c r="M103" i="294"/>
  <c r="K103" i="294"/>
  <c r="J103" i="294"/>
  <c r="I103" i="294"/>
  <c r="H103" i="294"/>
  <c r="U99" i="294"/>
  <c r="T99" i="294"/>
  <c r="S99" i="294"/>
  <c r="R99" i="294"/>
  <c r="P99" i="294"/>
  <c r="O99" i="294"/>
  <c r="N99" i="294"/>
  <c r="M99" i="294"/>
  <c r="K99" i="294"/>
  <c r="J99" i="294"/>
  <c r="I99" i="294"/>
  <c r="H99" i="294"/>
  <c r="U94" i="294"/>
  <c r="T94" i="294"/>
  <c r="S94" i="294"/>
  <c r="R94" i="294"/>
  <c r="P94" i="294"/>
  <c r="O94" i="294"/>
  <c r="N94" i="294"/>
  <c r="M94" i="294"/>
  <c r="K94" i="294"/>
  <c r="J94" i="294"/>
  <c r="I94" i="294"/>
  <c r="H94" i="294"/>
  <c r="U93" i="294"/>
  <c r="T93" i="294"/>
  <c r="S93" i="294"/>
  <c r="R93" i="294"/>
  <c r="P93" i="294"/>
  <c r="O93" i="294"/>
  <c r="N93" i="294"/>
  <c r="M93" i="294"/>
  <c r="K93" i="294"/>
  <c r="J93" i="294"/>
  <c r="I93" i="294"/>
  <c r="H93" i="294"/>
  <c r="U92" i="294"/>
  <c r="T92" i="294"/>
  <c r="S92" i="294"/>
  <c r="R92" i="294"/>
  <c r="P92" i="294"/>
  <c r="O92" i="294"/>
  <c r="N92" i="294"/>
  <c r="M92" i="294"/>
  <c r="K92" i="294"/>
  <c r="J92" i="294"/>
  <c r="I92" i="294"/>
  <c r="H92" i="294"/>
  <c r="U91" i="294"/>
  <c r="T91" i="294"/>
  <c r="S91" i="294"/>
  <c r="R91" i="294"/>
  <c r="P91" i="294"/>
  <c r="O91" i="294"/>
  <c r="N91" i="294"/>
  <c r="M91" i="294"/>
  <c r="K91" i="294"/>
  <c r="J91" i="294"/>
  <c r="I91" i="294"/>
  <c r="H91" i="294"/>
  <c r="U89" i="294"/>
  <c r="T89" i="294"/>
  <c r="S89" i="294"/>
  <c r="R89" i="294"/>
  <c r="P89" i="294"/>
  <c r="O89" i="294"/>
  <c r="N89" i="294"/>
  <c r="M89" i="294"/>
  <c r="K89" i="294"/>
  <c r="J89" i="294"/>
  <c r="I89" i="294"/>
  <c r="H89" i="294"/>
  <c r="U88" i="294"/>
  <c r="T88" i="294"/>
  <c r="S88" i="294"/>
  <c r="R88" i="294"/>
  <c r="P88" i="294"/>
  <c r="O88" i="294"/>
  <c r="N88" i="294"/>
  <c r="M88" i="294"/>
  <c r="K88" i="294"/>
  <c r="J88" i="294"/>
  <c r="I88" i="294"/>
  <c r="H88" i="294"/>
  <c r="U87" i="294"/>
  <c r="T87" i="294"/>
  <c r="S87" i="294"/>
  <c r="R87" i="294"/>
  <c r="P87" i="294"/>
  <c r="O87" i="294"/>
  <c r="N87" i="294"/>
  <c r="M87" i="294"/>
  <c r="K87" i="294"/>
  <c r="J87" i="294"/>
  <c r="I87" i="294"/>
  <c r="H87" i="294"/>
  <c r="U85" i="294"/>
  <c r="T85" i="294"/>
  <c r="S85" i="294"/>
  <c r="R85" i="294"/>
  <c r="P85" i="294"/>
  <c r="O85" i="294"/>
  <c r="N85" i="294"/>
  <c r="M85" i="294"/>
  <c r="K85" i="294"/>
  <c r="J85" i="294"/>
  <c r="I85" i="294"/>
  <c r="H85" i="294"/>
  <c r="U84" i="294"/>
  <c r="T84" i="294"/>
  <c r="S84" i="294"/>
  <c r="R84" i="294"/>
  <c r="P84" i="294"/>
  <c r="O84" i="294"/>
  <c r="N84" i="294"/>
  <c r="M84" i="294"/>
  <c r="K84" i="294"/>
  <c r="J84" i="294"/>
  <c r="I84" i="294"/>
  <c r="H84" i="294"/>
  <c r="U80" i="294"/>
  <c r="T80" i="294"/>
  <c r="S80" i="294"/>
  <c r="R80" i="294"/>
  <c r="U75" i="294"/>
  <c r="T75" i="294"/>
  <c r="S75" i="294"/>
  <c r="R75" i="294"/>
  <c r="U74" i="294"/>
  <c r="T74" i="294"/>
  <c r="S74" i="294"/>
  <c r="R74" i="294"/>
  <c r="U73" i="294"/>
  <c r="T73" i="294"/>
  <c r="S73" i="294"/>
  <c r="R73" i="294"/>
  <c r="U72" i="294"/>
  <c r="T72" i="294"/>
  <c r="S72" i="294"/>
  <c r="R72" i="294"/>
  <c r="U70" i="294"/>
  <c r="T70" i="294"/>
  <c r="S70" i="294"/>
  <c r="R70" i="294"/>
  <c r="U69" i="294"/>
  <c r="T69" i="294"/>
  <c r="S69" i="294"/>
  <c r="R69" i="294"/>
  <c r="U68" i="294"/>
  <c r="T68" i="294"/>
  <c r="S68" i="294"/>
  <c r="R68" i="294"/>
  <c r="U66" i="294"/>
  <c r="T66" i="294"/>
  <c r="S66" i="294"/>
  <c r="R66" i="294"/>
  <c r="U65" i="294"/>
  <c r="T65" i="294"/>
  <c r="S65" i="294"/>
  <c r="R65" i="294"/>
  <c r="B61" i="294"/>
  <c r="B80" i="294" s="1"/>
  <c r="B99" i="294" s="1"/>
  <c r="B118" i="294" s="1"/>
  <c r="B137" i="294" s="1"/>
  <c r="B56" i="294"/>
  <c r="B75" i="294" s="1"/>
  <c r="B94" i="294" s="1"/>
  <c r="B113" i="294" s="1"/>
  <c r="B132" i="294" s="1"/>
  <c r="B55" i="294"/>
  <c r="B74" i="294" s="1"/>
  <c r="B93" i="294" s="1"/>
  <c r="B112" i="294" s="1"/>
  <c r="B131" i="294" s="1"/>
  <c r="B54" i="294"/>
  <c r="B73" i="294" s="1"/>
  <c r="B92" i="294" s="1"/>
  <c r="B111" i="294" s="1"/>
  <c r="B130" i="294" s="1"/>
  <c r="B53" i="294"/>
  <c r="B72" i="294" s="1"/>
  <c r="B91" i="294" s="1"/>
  <c r="B110" i="294" s="1"/>
  <c r="B129" i="294" s="1"/>
  <c r="B51" i="294"/>
  <c r="B70" i="294" s="1"/>
  <c r="B89" i="294" s="1"/>
  <c r="B108" i="294" s="1"/>
  <c r="B127" i="294" s="1"/>
  <c r="B50" i="294"/>
  <c r="B69" i="294" s="1"/>
  <c r="B88" i="294" s="1"/>
  <c r="B107" i="294" s="1"/>
  <c r="B126" i="294" s="1"/>
  <c r="B49" i="294"/>
  <c r="B68" i="294" s="1"/>
  <c r="B87" i="294" s="1"/>
  <c r="B106" i="294" s="1"/>
  <c r="B125" i="294" s="1"/>
  <c r="B47" i="294"/>
  <c r="B66" i="294" s="1"/>
  <c r="B85" i="294" s="1"/>
  <c r="B104" i="294" s="1"/>
  <c r="B123" i="294" s="1"/>
  <c r="B46" i="294"/>
  <c r="B65" i="294" s="1"/>
  <c r="B84" i="294" s="1"/>
  <c r="B103" i="294" s="1"/>
  <c r="B122" i="294" s="1"/>
  <c r="B40" i="294"/>
  <c r="B59" i="294" s="1"/>
  <c r="B78" i="294" s="1"/>
  <c r="B97" i="294" s="1"/>
  <c r="B116" i="294" s="1"/>
  <c r="B135" i="294" s="1"/>
  <c r="F23" i="294"/>
  <c r="F42" i="294" s="1"/>
  <c r="F61" i="294" s="1"/>
  <c r="F80" i="294" s="1"/>
  <c r="F99" i="294" s="1"/>
  <c r="F118" i="294" s="1"/>
  <c r="F137" i="294" s="1"/>
  <c r="D23" i="294"/>
  <c r="D42" i="294" s="1"/>
  <c r="D61" i="294" s="1"/>
  <c r="D80" i="294" s="1"/>
  <c r="D99" i="294" s="1"/>
  <c r="D118" i="294" s="1"/>
  <c r="D137" i="294" s="1"/>
  <c r="C23" i="294"/>
  <c r="C42" i="294" s="1"/>
  <c r="C61" i="294" s="1"/>
  <c r="C80" i="294" s="1"/>
  <c r="C99" i="294" s="1"/>
  <c r="C118" i="294" s="1"/>
  <c r="C137" i="294" s="1"/>
  <c r="F18" i="294"/>
  <c r="F37" i="294" s="1"/>
  <c r="F56" i="294" s="1"/>
  <c r="F75" i="294" s="1"/>
  <c r="F94" i="294" s="1"/>
  <c r="F113" i="294" s="1"/>
  <c r="F132" i="294" s="1"/>
  <c r="D18" i="294"/>
  <c r="D37" i="294" s="1"/>
  <c r="D56" i="294" s="1"/>
  <c r="D75" i="294" s="1"/>
  <c r="D94" i="294" s="1"/>
  <c r="D113" i="294" s="1"/>
  <c r="D132" i="294" s="1"/>
  <c r="C18" i="294"/>
  <c r="C37" i="294" s="1"/>
  <c r="C56" i="294" s="1"/>
  <c r="C75" i="294" s="1"/>
  <c r="C94" i="294" s="1"/>
  <c r="C113" i="294" s="1"/>
  <c r="C132" i="294" s="1"/>
  <c r="F17" i="294"/>
  <c r="F36" i="294" s="1"/>
  <c r="F55" i="294" s="1"/>
  <c r="F74" i="294" s="1"/>
  <c r="F93" i="294" s="1"/>
  <c r="F112" i="294" s="1"/>
  <c r="F131" i="294" s="1"/>
  <c r="D17" i="294"/>
  <c r="D36" i="294" s="1"/>
  <c r="D55" i="294" s="1"/>
  <c r="D74" i="294" s="1"/>
  <c r="D93" i="294" s="1"/>
  <c r="D112" i="294" s="1"/>
  <c r="D131" i="294" s="1"/>
  <c r="C17" i="294"/>
  <c r="C36" i="294" s="1"/>
  <c r="C55" i="294" s="1"/>
  <c r="C74" i="294" s="1"/>
  <c r="C93" i="294" s="1"/>
  <c r="C112" i="294" s="1"/>
  <c r="C131" i="294" s="1"/>
  <c r="F16" i="294"/>
  <c r="F35" i="294" s="1"/>
  <c r="F54" i="294" s="1"/>
  <c r="F73" i="294" s="1"/>
  <c r="F92" i="294" s="1"/>
  <c r="F111" i="294" s="1"/>
  <c r="F130" i="294" s="1"/>
  <c r="D16" i="294"/>
  <c r="D35" i="294" s="1"/>
  <c r="D54" i="294" s="1"/>
  <c r="D73" i="294" s="1"/>
  <c r="D92" i="294" s="1"/>
  <c r="D111" i="294" s="1"/>
  <c r="D130" i="294" s="1"/>
  <c r="C16" i="294"/>
  <c r="C35" i="294" s="1"/>
  <c r="C54" i="294" s="1"/>
  <c r="C73" i="294" s="1"/>
  <c r="C92" i="294" s="1"/>
  <c r="C111" i="294" s="1"/>
  <c r="C130" i="294" s="1"/>
  <c r="F15" i="294"/>
  <c r="F34" i="294" s="1"/>
  <c r="F53" i="294" s="1"/>
  <c r="F72" i="294" s="1"/>
  <c r="F91" i="294" s="1"/>
  <c r="F110" i="294" s="1"/>
  <c r="F129" i="294" s="1"/>
  <c r="D15" i="294"/>
  <c r="D34" i="294" s="1"/>
  <c r="D53" i="294" s="1"/>
  <c r="D72" i="294" s="1"/>
  <c r="D91" i="294" s="1"/>
  <c r="D110" i="294" s="1"/>
  <c r="D129" i="294" s="1"/>
  <c r="C15" i="294"/>
  <c r="C34" i="294" s="1"/>
  <c r="C53" i="294" s="1"/>
  <c r="C72" i="294" s="1"/>
  <c r="C91" i="294" s="1"/>
  <c r="C110" i="294" s="1"/>
  <c r="C129" i="294" s="1"/>
  <c r="F13" i="294"/>
  <c r="F32" i="294" s="1"/>
  <c r="F51" i="294" s="1"/>
  <c r="F70" i="294" s="1"/>
  <c r="F89" i="294" s="1"/>
  <c r="F108" i="294" s="1"/>
  <c r="F127" i="294" s="1"/>
  <c r="D13" i="294"/>
  <c r="D32" i="294" s="1"/>
  <c r="D51" i="294" s="1"/>
  <c r="D70" i="294" s="1"/>
  <c r="D89" i="294" s="1"/>
  <c r="D108" i="294" s="1"/>
  <c r="D127" i="294" s="1"/>
  <c r="C13" i="294"/>
  <c r="C32" i="294" s="1"/>
  <c r="C51" i="294" s="1"/>
  <c r="C70" i="294" s="1"/>
  <c r="C89" i="294" s="1"/>
  <c r="C108" i="294" s="1"/>
  <c r="C127" i="294" s="1"/>
  <c r="F12" i="294"/>
  <c r="F31" i="294" s="1"/>
  <c r="F50" i="294" s="1"/>
  <c r="F69" i="294" s="1"/>
  <c r="F88" i="294" s="1"/>
  <c r="F107" i="294" s="1"/>
  <c r="F126" i="294" s="1"/>
  <c r="D12" i="294"/>
  <c r="D31" i="294" s="1"/>
  <c r="D50" i="294" s="1"/>
  <c r="D69" i="294" s="1"/>
  <c r="D88" i="294" s="1"/>
  <c r="D107" i="294" s="1"/>
  <c r="D126" i="294" s="1"/>
  <c r="C12" i="294"/>
  <c r="C31" i="294" s="1"/>
  <c r="C50" i="294" s="1"/>
  <c r="C69" i="294" s="1"/>
  <c r="C88" i="294" s="1"/>
  <c r="C107" i="294" s="1"/>
  <c r="C126" i="294" s="1"/>
  <c r="F11" i="294"/>
  <c r="F30" i="294" s="1"/>
  <c r="F49" i="294" s="1"/>
  <c r="F68" i="294" s="1"/>
  <c r="F87" i="294" s="1"/>
  <c r="F106" i="294" s="1"/>
  <c r="F125" i="294" s="1"/>
  <c r="D11" i="294"/>
  <c r="D30" i="294" s="1"/>
  <c r="D49" i="294" s="1"/>
  <c r="D68" i="294" s="1"/>
  <c r="D87" i="294" s="1"/>
  <c r="D106" i="294" s="1"/>
  <c r="D125" i="294" s="1"/>
  <c r="C11" i="294"/>
  <c r="C30" i="294" s="1"/>
  <c r="C49" i="294" s="1"/>
  <c r="C68" i="294" s="1"/>
  <c r="C87" i="294" s="1"/>
  <c r="C106" i="294" s="1"/>
  <c r="C125" i="294" s="1"/>
  <c r="F9" i="294"/>
  <c r="F28" i="294" s="1"/>
  <c r="F47" i="294" s="1"/>
  <c r="F66" i="294" s="1"/>
  <c r="F85" i="294" s="1"/>
  <c r="F104" i="294" s="1"/>
  <c r="F123" i="294" s="1"/>
  <c r="D9" i="294"/>
  <c r="D28" i="294" s="1"/>
  <c r="D47" i="294" s="1"/>
  <c r="D66" i="294" s="1"/>
  <c r="D85" i="294" s="1"/>
  <c r="D104" i="294" s="1"/>
  <c r="D123" i="294" s="1"/>
  <c r="C9" i="294"/>
  <c r="C28" i="294" s="1"/>
  <c r="C47" i="294" s="1"/>
  <c r="C66" i="294" s="1"/>
  <c r="C85" i="294" s="1"/>
  <c r="C104" i="294" s="1"/>
  <c r="C123" i="294" s="1"/>
  <c r="F8" i="294"/>
  <c r="F27" i="294" s="1"/>
  <c r="F46" i="294" s="1"/>
  <c r="F65" i="294" s="1"/>
  <c r="F84" i="294" s="1"/>
  <c r="F103" i="294" s="1"/>
  <c r="F122" i="294" s="1"/>
  <c r="D8" i="294"/>
  <c r="D27" i="294" s="1"/>
  <c r="D46" i="294" s="1"/>
  <c r="D65" i="294" s="1"/>
  <c r="D84" i="294" s="1"/>
  <c r="D103" i="294" s="1"/>
  <c r="D122" i="294" s="1"/>
  <c r="C8" i="294"/>
  <c r="C27" i="294" s="1"/>
  <c r="C46" i="294" s="1"/>
  <c r="C65" i="294" s="1"/>
  <c r="C84" i="294" s="1"/>
  <c r="C103" i="294" s="1"/>
  <c r="C122" i="294" s="1"/>
  <c r="G803" i="246"/>
  <c r="E803" i="246"/>
  <c r="D803" i="246"/>
  <c r="G802" i="246"/>
  <c r="E802" i="246"/>
  <c r="D802" i="246"/>
  <c r="V742" i="246"/>
  <c r="V741" i="246"/>
  <c r="R741" i="246"/>
  <c r="Q741" i="246"/>
  <c r="P741" i="246"/>
  <c r="O741" i="246"/>
  <c r="G741" i="246"/>
  <c r="E741" i="246"/>
  <c r="D741" i="246"/>
  <c r="U741" i="246" s="1"/>
  <c r="V740" i="246"/>
  <c r="R740" i="246"/>
  <c r="Q740" i="246"/>
  <c r="P740" i="246"/>
  <c r="O740" i="246"/>
  <c r="G740" i="246"/>
  <c r="E740" i="246"/>
  <c r="D740" i="246"/>
  <c r="U740" i="246" s="1"/>
  <c r="R735" i="246"/>
  <c r="Q735" i="246"/>
  <c r="P735" i="246"/>
  <c r="O735" i="246"/>
  <c r="R734" i="246"/>
  <c r="Q734" i="246"/>
  <c r="P734" i="246"/>
  <c r="O734" i="246"/>
  <c r="R733" i="246"/>
  <c r="Q733" i="246"/>
  <c r="P733" i="246"/>
  <c r="O733" i="246"/>
  <c r="R732" i="246"/>
  <c r="Q732" i="246"/>
  <c r="P732" i="246"/>
  <c r="O732" i="246"/>
  <c r="R731" i="246"/>
  <c r="Q731" i="246"/>
  <c r="P731" i="246"/>
  <c r="O731" i="246"/>
  <c r="R730" i="246"/>
  <c r="Q730" i="246"/>
  <c r="P730" i="246"/>
  <c r="O730" i="246"/>
  <c r="R729" i="246"/>
  <c r="Q729" i="246"/>
  <c r="P729" i="246"/>
  <c r="O729" i="246"/>
  <c r="R728" i="246"/>
  <c r="Q728" i="246"/>
  <c r="P728" i="246"/>
  <c r="O728" i="246"/>
  <c r="R727" i="246"/>
  <c r="Q727" i="246"/>
  <c r="P727" i="246"/>
  <c r="O727" i="246"/>
  <c r="R726" i="246"/>
  <c r="Q726" i="246"/>
  <c r="P726" i="246"/>
  <c r="O726" i="246"/>
  <c r="R725" i="246"/>
  <c r="Q725" i="246"/>
  <c r="P725" i="246"/>
  <c r="O725" i="246"/>
  <c r="R724" i="246"/>
  <c r="Q724" i="246"/>
  <c r="P724" i="246"/>
  <c r="O724" i="246"/>
  <c r="R723" i="246"/>
  <c r="Q723" i="246"/>
  <c r="P723" i="246"/>
  <c r="O723" i="246"/>
  <c r="R722" i="246"/>
  <c r="Q722" i="246"/>
  <c r="P722" i="246"/>
  <c r="O722" i="246"/>
  <c r="R719" i="246"/>
  <c r="Q719" i="246"/>
  <c r="P719" i="246"/>
  <c r="O719" i="246"/>
  <c r="R718" i="246"/>
  <c r="Q718" i="246"/>
  <c r="P718" i="246"/>
  <c r="O718" i="246"/>
  <c r="R717" i="246"/>
  <c r="Q717" i="246"/>
  <c r="P717" i="246"/>
  <c r="O717" i="246"/>
  <c r="R714" i="246"/>
  <c r="Q714" i="246"/>
  <c r="P714" i="246"/>
  <c r="O714" i="246"/>
  <c r="R713" i="246"/>
  <c r="Q713" i="246"/>
  <c r="P713" i="246"/>
  <c r="O713" i="246"/>
  <c r="R712" i="246"/>
  <c r="Q712" i="246"/>
  <c r="P712" i="246"/>
  <c r="O712" i="246"/>
  <c r="R711" i="246"/>
  <c r="Q711" i="246"/>
  <c r="P711" i="246"/>
  <c r="O711" i="246"/>
  <c r="R710" i="246"/>
  <c r="Q710" i="246"/>
  <c r="P710" i="246"/>
  <c r="O710" i="246"/>
  <c r="R709" i="246"/>
  <c r="Q709" i="246"/>
  <c r="P709" i="246"/>
  <c r="O709" i="246"/>
  <c r="R703" i="246"/>
  <c r="Q703" i="246"/>
  <c r="P703" i="246"/>
  <c r="O703" i="246"/>
  <c r="R702" i="246"/>
  <c r="Q702" i="246"/>
  <c r="P702" i="246"/>
  <c r="O702" i="246"/>
  <c r="R701" i="246"/>
  <c r="Q701" i="246"/>
  <c r="P701" i="246"/>
  <c r="O701" i="246"/>
  <c r="R700" i="246"/>
  <c r="Q700" i="246"/>
  <c r="P700" i="246"/>
  <c r="O700" i="246"/>
  <c r="R699" i="246"/>
  <c r="Q699" i="246"/>
  <c r="P699" i="246"/>
  <c r="O699" i="246"/>
  <c r="R696" i="246"/>
  <c r="Q696" i="246"/>
  <c r="P696" i="246"/>
  <c r="O696" i="246"/>
  <c r="R695" i="246"/>
  <c r="Q695" i="246"/>
  <c r="P695" i="246"/>
  <c r="O695" i="246"/>
  <c r="R694" i="246"/>
  <c r="Q694" i="246"/>
  <c r="P694" i="246"/>
  <c r="O694" i="246"/>
  <c r="R693" i="246"/>
  <c r="Q693" i="246"/>
  <c r="P693" i="246"/>
  <c r="O693" i="246"/>
  <c r="R690" i="246"/>
  <c r="Q690" i="246"/>
  <c r="P690" i="246"/>
  <c r="O690" i="246"/>
  <c r="V680" i="246"/>
  <c r="M680" i="246"/>
  <c r="V679" i="246"/>
  <c r="G679" i="246"/>
  <c r="E679" i="246"/>
  <c r="D679" i="246"/>
  <c r="U679" i="246" s="1"/>
  <c r="V678" i="246"/>
  <c r="G678" i="246"/>
  <c r="E678" i="246"/>
  <c r="D678" i="246"/>
  <c r="U678" i="246" s="1"/>
  <c r="V618" i="246"/>
  <c r="V617" i="246"/>
  <c r="R617" i="246"/>
  <c r="Q617" i="246"/>
  <c r="P617" i="246"/>
  <c r="O617" i="246"/>
  <c r="L617" i="246"/>
  <c r="K617" i="246"/>
  <c r="J617" i="246"/>
  <c r="I617" i="246"/>
  <c r="G617" i="246"/>
  <c r="E617" i="246"/>
  <c r="D617" i="246"/>
  <c r="U617" i="246" s="1"/>
  <c r="V616" i="246"/>
  <c r="R616" i="246"/>
  <c r="Q616" i="246"/>
  <c r="P616" i="246"/>
  <c r="O616" i="246"/>
  <c r="L616" i="246"/>
  <c r="K616" i="246"/>
  <c r="J616" i="246"/>
  <c r="I616" i="246"/>
  <c r="G616" i="246"/>
  <c r="E616" i="246"/>
  <c r="D616" i="246"/>
  <c r="U616" i="246" s="1"/>
  <c r="R611" i="246"/>
  <c r="Q611" i="246"/>
  <c r="P611" i="246"/>
  <c r="O611" i="246"/>
  <c r="L611" i="246"/>
  <c r="K611" i="246"/>
  <c r="J611" i="246"/>
  <c r="I611" i="246"/>
  <c r="R610" i="246"/>
  <c r="Q610" i="246"/>
  <c r="P610" i="246"/>
  <c r="O610" i="246"/>
  <c r="L610" i="246"/>
  <c r="K610" i="246"/>
  <c r="J610" i="246"/>
  <c r="I610" i="246"/>
  <c r="R609" i="246"/>
  <c r="O609" i="246"/>
  <c r="Q609" i="246"/>
  <c r="P609" i="246"/>
  <c r="L609" i="246"/>
  <c r="K609" i="246"/>
  <c r="J609" i="246"/>
  <c r="I609" i="246"/>
  <c r="R608" i="246"/>
  <c r="Q608" i="246"/>
  <c r="P608" i="246"/>
  <c r="O608" i="246"/>
  <c r="L608" i="246"/>
  <c r="K608" i="246"/>
  <c r="J608" i="246"/>
  <c r="I608" i="246"/>
  <c r="R607" i="246"/>
  <c r="Q607" i="246"/>
  <c r="P607" i="246"/>
  <c r="O607" i="246"/>
  <c r="L607" i="246"/>
  <c r="K607" i="246"/>
  <c r="J607" i="246"/>
  <c r="I607" i="246"/>
  <c r="R606" i="246"/>
  <c r="Q606" i="246"/>
  <c r="P606" i="246"/>
  <c r="O606" i="246"/>
  <c r="L606" i="246"/>
  <c r="K606" i="246"/>
  <c r="J606" i="246"/>
  <c r="I606" i="246"/>
  <c r="R605" i="246"/>
  <c r="Q605" i="246"/>
  <c r="P605" i="246"/>
  <c r="O605" i="246"/>
  <c r="L605" i="246"/>
  <c r="K605" i="246"/>
  <c r="J605" i="246"/>
  <c r="I605" i="246"/>
  <c r="R604" i="246"/>
  <c r="Q604" i="246"/>
  <c r="P604" i="246"/>
  <c r="O604" i="246"/>
  <c r="L604" i="246"/>
  <c r="K604" i="246"/>
  <c r="J604" i="246"/>
  <c r="I604" i="246"/>
  <c r="R603" i="246"/>
  <c r="Q603" i="246"/>
  <c r="P603" i="246"/>
  <c r="O603" i="246"/>
  <c r="L603" i="246"/>
  <c r="K603" i="246"/>
  <c r="J603" i="246"/>
  <c r="I603" i="246"/>
  <c r="R602" i="246"/>
  <c r="Q602" i="246"/>
  <c r="P602" i="246"/>
  <c r="O602" i="246"/>
  <c r="L602" i="246"/>
  <c r="K602" i="246"/>
  <c r="J602" i="246"/>
  <c r="I602" i="246"/>
  <c r="R601" i="246"/>
  <c r="Q601" i="246"/>
  <c r="P601" i="246"/>
  <c r="O601" i="246"/>
  <c r="L601" i="246"/>
  <c r="K601" i="246"/>
  <c r="J601" i="246"/>
  <c r="I601" i="246"/>
  <c r="R600" i="246"/>
  <c r="Q600" i="246"/>
  <c r="P600" i="246"/>
  <c r="O600" i="246"/>
  <c r="L600" i="246"/>
  <c r="K600" i="246"/>
  <c r="J600" i="246"/>
  <c r="I600" i="246"/>
  <c r="R599" i="246"/>
  <c r="Q599" i="246"/>
  <c r="P599" i="246"/>
  <c r="O599" i="246"/>
  <c r="L599" i="246"/>
  <c r="K599" i="246"/>
  <c r="J599" i="246"/>
  <c r="I599" i="246"/>
  <c r="R598" i="246"/>
  <c r="Q598" i="246"/>
  <c r="P598" i="246"/>
  <c r="O598" i="246"/>
  <c r="L598" i="246"/>
  <c r="K598" i="246"/>
  <c r="J598" i="246"/>
  <c r="I598" i="246"/>
  <c r="R595" i="246"/>
  <c r="Q595" i="246"/>
  <c r="P595" i="246"/>
  <c r="O595" i="246"/>
  <c r="L595" i="246"/>
  <c r="K595" i="246"/>
  <c r="J595" i="246"/>
  <c r="I595" i="246"/>
  <c r="R594" i="246"/>
  <c r="Q594" i="246"/>
  <c r="P594" i="246"/>
  <c r="O594" i="246"/>
  <c r="L594" i="246"/>
  <c r="K594" i="246"/>
  <c r="J594" i="246"/>
  <c r="I594" i="246"/>
  <c r="R593" i="246"/>
  <c r="Q593" i="246"/>
  <c r="P593" i="246"/>
  <c r="O593" i="246"/>
  <c r="L593" i="246"/>
  <c r="K593" i="246"/>
  <c r="J593" i="246"/>
  <c r="I593" i="246"/>
  <c r="R590" i="246"/>
  <c r="Q590" i="246"/>
  <c r="P590" i="246"/>
  <c r="O590" i="246"/>
  <c r="L590" i="246"/>
  <c r="K590" i="246"/>
  <c r="J590" i="246"/>
  <c r="I590" i="246"/>
  <c r="R589" i="246"/>
  <c r="Q589" i="246"/>
  <c r="P589" i="246"/>
  <c r="O589" i="246"/>
  <c r="L589" i="246"/>
  <c r="K589" i="246"/>
  <c r="J589" i="246"/>
  <c r="I589" i="246"/>
  <c r="R588" i="246"/>
  <c r="Q588" i="246"/>
  <c r="P588" i="246"/>
  <c r="O588" i="246"/>
  <c r="L588" i="246"/>
  <c r="K588" i="246"/>
  <c r="J588" i="246"/>
  <c r="I588" i="246"/>
  <c r="R587" i="246"/>
  <c r="Q587" i="246"/>
  <c r="P587" i="246"/>
  <c r="O587" i="246"/>
  <c r="L587" i="246"/>
  <c r="K587" i="246"/>
  <c r="J587" i="246"/>
  <c r="I587" i="246"/>
  <c r="R586" i="246"/>
  <c r="Q586" i="246"/>
  <c r="P586" i="246"/>
  <c r="O586" i="246"/>
  <c r="L586" i="246"/>
  <c r="K586" i="246"/>
  <c r="J586" i="246"/>
  <c r="I586" i="246"/>
  <c r="R585" i="246"/>
  <c r="O585" i="246"/>
  <c r="Q585" i="246"/>
  <c r="P585" i="246"/>
  <c r="L585" i="246"/>
  <c r="K585" i="246"/>
  <c r="J585" i="246"/>
  <c r="I585" i="246"/>
  <c r="R579" i="246"/>
  <c r="Q579" i="246"/>
  <c r="P579" i="246"/>
  <c r="O579" i="246"/>
  <c r="L579" i="246"/>
  <c r="K579" i="246"/>
  <c r="J579" i="246"/>
  <c r="I579" i="246"/>
  <c r="R578" i="246"/>
  <c r="O578" i="246"/>
  <c r="Q578" i="246"/>
  <c r="P578" i="246"/>
  <c r="L578" i="246"/>
  <c r="K578" i="246"/>
  <c r="J578" i="246"/>
  <c r="I578" i="246"/>
  <c r="R577" i="246"/>
  <c r="Q577" i="246"/>
  <c r="P577" i="246"/>
  <c r="O577" i="246"/>
  <c r="L577" i="246"/>
  <c r="K577" i="246"/>
  <c r="J577" i="246"/>
  <c r="I577" i="246"/>
  <c r="R576" i="246"/>
  <c r="Q576" i="246"/>
  <c r="P576" i="246"/>
  <c r="O576" i="246"/>
  <c r="L576" i="246"/>
  <c r="K576" i="246"/>
  <c r="J576" i="246"/>
  <c r="I576" i="246"/>
  <c r="R575" i="246"/>
  <c r="Q575" i="246"/>
  <c r="P575" i="246"/>
  <c r="O575" i="246"/>
  <c r="L575" i="246"/>
  <c r="K575" i="246"/>
  <c r="J575" i="246"/>
  <c r="I575" i="246"/>
  <c r="R572" i="246"/>
  <c r="Q572" i="246"/>
  <c r="P572" i="246"/>
  <c r="O572" i="246"/>
  <c r="L572" i="246"/>
  <c r="K572" i="246"/>
  <c r="J572" i="246"/>
  <c r="I572" i="246"/>
  <c r="R571" i="246"/>
  <c r="Q571" i="246"/>
  <c r="P571" i="246"/>
  <c r="O571" i="246"/>
  <c r="L571" i="246"/>
  <c r="K571" i="246"/>
  <c r="J571" i="246"/>
  <c r="I571" i="246"/>
  <c r="R570" i="246"/>
  <c r="Q570" i="246"/>
  <c r="P570" i="246"/>
  <c r="O570" i="246"/>
  <c r="L570" i="246"/>
  <c r="K570" i="246"/>
  <c r="J570" i="246"/>
  <c r="I570" i="246"/>
  <c r="R569" i="246"/>
  <c r="O569" i="246"/>
  <c r="Q569" i="246"/>
  <c r="P569" i="246"/>
  <c r="L569" i="246"/>
  <c r="K569" i="246"/>
  <c r="J569" i="246"/>
  <c r="I569" i="246"/>
  <c r="R566" i="246"/>
  <c r="O566" i="246"/>
  <c r="Q566" i="246"/>
  <c r="P566" i="246"/>
  <c r="L566" i="246"/>
  <c r="K566" i="246"/>
  <c r="J566" i="246"/>
  <c r="I566" i="246"/>
  <c r="V556" i="246"/>
  <c r="V555" i="246"/>
  <c r="R555" i="246"/>
  <c r="Q555" i="246"/>
  <c r="P555" i="246"/>
  <c r="O555" i="246"/>
  <c r="L555" i="246"/>
  <c r="K555" i="246"/>
  <c r="J555" i="246"/>
  <c r="I555" i="246"/>
  <c r="G555" i="246"/>
  <c r="E555" i="246"/>
  <c r="D555" i="246"/>
  <c r="U555" i="246" s="1"/>
  <c r="V554" i="246"/>
  <c r="R554" i="246"/>
  <c r="Q554" i="246"/>
  <c r="P554" i="246"/>
  <c r="O554" i="246"/>
  <c r="L554" i="246"/>
  <c r="K554" i="246"/>
  <c r="J554" i="246"/>
  <c r="I554" i="246"/>
  <c r="G554" i="246"/>
  <c r="E554" i="246"/>
  <c r="D554" i="246"/>
  <c r="U554" i="246" s="1"/>
  <c r="R549" i="246"/>
  <c r="Q549" i="246"/>
  <c r="P549" i="246"/>
  <c r="O549" i="246"/>
  <c r="L549" i="246"/>
  <c r="K549" i="246"/>
  <c r="J549" i="246"/>
  <c r="I549" i="246"/>
  <c r="R548" i="246"/>
  <c r="Q548" i="246"/>
  <c r="P548" i="246"/>
  <c r="O548" i="246"/>
  <c r="L548" i="246"/>
  <c r="K548" i="246"/>
  <c r="J548" i="246"/>
  <c r="I548" i="246"/>
  <c r="R547" i="246"/>
  <c r="Q547" i="246"/>
  <c r="P547" i="246"/>
  <c r="O547" i="246"/>
  <c r="L547" i="246"/>
  <c r="K547" i="246"/>
  <c r="J547" i="246"/>
  <c r="I547" i="246"/>
  <c r="R546" i="246"/>
  <c r="Q546" i="246"/>
  <c r="P546" i="246"/>
  <c r="O546" i="246"/>
  <c r="L546" i="246"/>
  <c r="K546" i="246"/>
  <c r="J546" i="246"/>
  <c r="I546" i="246"/>
  <c r="R545" i="246"/>
  <c r="Q545" i="246"/>
  <c r="P545" i="246"/>
  <c r="O545" i="246"/>
  <c r="L545" i="246"/>
  <c r="K545" i="246"/>
  <c r="J545" i="246"/>
  <c r="I545" i="246"/>
  <c r="R544" i="246"/>
  <c r="Q544" i="246"/>
  <c r="P544" i="246"/>
  <c r="O544" i="246"/>
  <c r="L544" i="246"/>
  <c r="K544" i="246"/>
  <c r="J544" i="246"/>
  <c r="I544" i="246"/>
  <c r="R543" i="246"/>
  <c r="Q543" i="246"/>
  <c r="P543" i="246"/>
  <c r="O543" i="246"/>
  <c r="L543" i="246"/>
  <c r="K543" i="246"/>
  <c r="J543" i="246"/>
  <c r="I543" i="246"/>
  <c r="R542" i="246"/>
  <c r="Q542" i="246"/>
  <c r="P542" i="246"/>
  <c r="O542" i="246"/>
  <c r="L542" i="246"/>
  <c r="K542" i="246"/>
  <c r="J542" i="246"/>
  <c r="I542" i="246"/>
  <c r="R541" i="246"/>
  <c r="Q541" i="246"/>
  <c r="P541" i="246"/>
  <c r="O541" i="246"/>
  <c r="L541" i="246"/>
  <c r="K541" i="246"/>
  <c r="J541" i="246"/>
  <c r="I541" i="246"/>
  <c r="R540" i="246"/>
  <c r="Q540" i="246"/>
  <c r="P540" i="246"/>
  <c r="O540" i="246"/>
  <c r="L540" i="246"/>
  <c r="K540" i="246"/>
  <c r="J540" i="246"/>
  <c r="I540" i="246"/>
  <c r="R539" i="246"/>
  <c r="Q539" i="246"/>
  <c r="P539" i="246"/>
  <c r="O539" i="246"/>
  <c r="L539" i="246"/>
  <c r="K539" i="246"/>
  <c r="J539" i="246"/>
  <c r="I539" i="246"/>
  <c r="R538" i="246"/>
  <c r="Q538" i="246"/>
  <c r="P538" i="246"/>
  <c r="O538" i="246"/>
  <c r="L538" i="246"/>
  <c r="K538" i="246"/>
  <c r="J538" i="246"/>
  <c r="I538" i="246"/>
  <c r="R537" i="246"/>
  <c r="Q537" i="246"/>
  <c r="P537" i="246"/>
  <c r="O537" i="246"/>
  <c r="L537" i="246"/>
  <c r="K537" i="246"/>
  <c r="J537" i="246"/>
  <c r="I537" i="246"/>
  <c r="R536" i="246"/>
  <c r="Q536" i="246"/>
  <c r="P536" i="246"/>
  <c r="O536" i="246"/>
  <c r="L536" i="246"/>
  <c r="K536" i="246"/>
  <c r="J536" i="246"/>
  <c r="I536" i="246"/>
  <c r="R533" i="246"/>
  <c r="Q533" i="246"/>
  <c r="P533" i="246"/>
  <c r="O533" i="246"/>
  <c r="L533" i="246"/>
  <c r="K533" i="246"/>
  <c r="J533" i="246"/>
  <c r="I533" i="246"/>
  <c r="R532" i="246"/>
  <c r="Q532" i="246"/>
  <c r="P532" i="246"/>
  <c r="O532" i="246"/>
  <c r="L532" i="246"/>
  <c r="K532" i="246"/>
  <c r="J532" i="246"/>
  <c r="I532" i="246"/>
  <c r="R531" i="246"/>
  <c r="Q531" i="246"/>
  <c r="P531" i="246"/>
  <c r="O531" i="246"/>
  <c r="L531" i="246"/>
  <c r="K531" i="246"/>
  <c r="J531" i="246"/>
  <c r="I531" i="246"/>
  <c r="R528" i="246"/>
  <c r="Q528" i="246"/>
  <c r="P528" i="246"/>
  <c r="O528" i="246"/>
  <c r="L528" i="246"/>
  <c r="K528" i="246"/>
  <c r="J528" i="246"/>
  <c r="I528" i="246"/>
  <c r="R527" i="246"/>
  <c r="Q527" i="246"/>
  <c r="P527" i="246"/>
  <c r="O527" i="246"/>
  <c r="L527" i="246"/>
  <c r="K527" i="246"/>
  <c r="J527" i="246"/>
  <c r="I527" i="246"/>
  <c r="R526" i="246"/>
  <c r="Q526" i="246"/>
  <c r="P526" i="246"/>
  <c r="O526" i="246"/>
  <c r="L526" i="246"/>
  <c r="K526" i="246"/>
  <c r="J526" i="246"/>
  <c r="I526" i="246"/>
  <c r="R525" i="246"/>
  <c r="Q525" i="246"/>
  <c r="P525" i="246"/>
  <c r="O525" i="246"/>
  <c r="L525" i="246"/>
  <c r="K525" i="246"/>
  <c r="J525" i="246"/>
  <c r="I525" i="246"/>
  <c r="R524" i="246"/>
  <c r="Q524" i="246"/>
  <c r="P524" i="246"/>
  <c r="O524" i="246"/>
  <c r="L524" i="246"/>
  <c r="K524" i="246"/>
  <c r="J524" i="246"/>
  <c r="I524" i="246"/>
  <c r="R523" i="246"/>
  <c r="Q523" i="246"/>
  <c r="P523" i="246"/>
  <c r="O523" i="246"/>
  <c r="L523" i="246"/>
  <c r="K523" i="246"/>
  <c r="J523" i="246"/>
  <c r="I523" i="246"/>
  <c r="R517" i="246"/>
  <c r="Q517" i="246"/>
  <c r="P517" i="246"/>
  <c r="O517" i="246"/>
  <c r="L517" i="246"/>
  <c r="K517" i="246"/>
  <c r="J517" i="246"/>
  <c r="I517" i="246"/>
  <c r="R516" i="246"/>
  <c r="Q516" i="246"/>
  <c r="P516" i="246"/>
  <c r="O516" i="246"/>
  <c r="L516" i="246"/>
  <c r="K516" i="246"/>
  <c r="J516" i="246"/>
  <c r="I516" i="246"/>
  <c r="R515" i="246"/>
  <c r="Q515" i="246"/>
  <c r="P515" i="246"/>
  <c r="O515" i="246"/>
  <c r="L515" i="246"/>
  <c r="K515" i="246"/>
  <c r="J515" i="246"/>
  <c r="I515" i="246"/>
  <c r="R514" i="246"/>
  <c r="Q514" i="246"/>
  <c r="P514" i="246"/>
  <c r="O514" i="246"/>
  <c r="L514" i="246"/>
  <c r="K514" i="246"/>
  <c r="J514" i="246"/>
  <c r="I514" i="246"/>
  <c r="R513" i="246"/>
  <c r="Q513" i="246"/>
  <c r="P513" i="246"/>
  <c r="O513" i="246"/>
  <c r="L513" i="246"/>
  <c r="K513" i="246"/>
  <c r="J513" i="246"/>
  <c r="I513" i="246"/>
  <c r="R510" i="246"/>
  <c r="Q510" i="246"/>
  <c r="P510" i="246"/>
  <c r="O510" i="246"/>
  <c r="L510" i="246"/>
  <c r="K510" i="246"/>
  <c r="J510" i="246"/>
  <c r="I510" i="246"/>
  <c r="C510" i="246"/>
  <c r="C572" i="246" s="1"/>
  <c r="C634" i="246" s="1"/>
  <c r="C696" i="246" s="1"/>
  <c r="C758" i="246" s="1"/>
  <c r="R509" i="246"/>
  <c r="Q509" i="246"/>
  <c r="P509" i="246"/>
  <c r="O509" i="246"/>
  <c r="L509" i="246"/>
  <c r="K509" i="246"/>
  <c r="J509" i="246"/>
  <c r="I509" i="246"/>
  <c r="R508" i="246"/>
  <c r="Q508" i="246"/>
  <c r="P508" i="246"/>
  <c r="O508" i="246"/>
  <c r="L508" i="246"/>
  <c r="K508" i="246"/>
  <c r="J508" i="246"/>
  <c r="I508" i="246"/>
  <c r="R507" i="246"/>
  <c r="Q507" i="246"/>
  <c r="P507" i="246"/>
  <c r="O507" i="246"/>
  <c r="L507" i="246"/>
  <c r="K507" i="246"/>
  <c r="J507" i="246"/>
  <c r="I507" i="246"/>
  <c r="R504" i="246"/>
  <c r="Q504" i="246"/>
  <c r="P504" i="246"/>
  <c r="O504" i="246"/>
  <c r="L504" i="246"/>
  <c r="K504" i="246"/>
  <c r="J504" i="246"/>
  <c r="I504" i="246"/>
  <c r="V494" i="246"/>
  <c r="V493" i="246"/>
  <c r="R493" i="246"/>
  <c r="Q493" i="246"/>
  <c r="P493" i="246"/>
  <c r="O493" i="246"/>
  <c r="L493" i="246"/>
  <c r="K493" i="246"/>
  <c r="J493" i="246"/>
  <c r="I493" i="246"/>
  <c r="G493" i="246"/>
  <c r="E493" i="246"/>
  <c r="D493" i="246"/>
  <c r="U493" i="246" s="1"/>
  <c r="V492" i="246"/>
  <c r="R492" i="246"/>
  <c r="Q492" i="246"/>
  <c r="P492" i="246"/>
  <c r="O492" i="246"/>
  <c r="L492" i="246"/>
  <c r="K492" i="246"/>
  <c r="J492" i="246"/>
  <c r="I492" i="246"/>
  <c r="G492" i="246"/>
  <c r="E492" i="246"/>
  <c r="D492" i="246"/>
  <c r="U492" i="246" s="1"/>
  <c r="R487" i="246"/>
  <c r="Q487" i="246"/>
  <c r="P487" i="246"/>
  <c r="O487" i="246"/>
  <c r="L487" i="246"/>
  <c r="K487" i="246"/>
  <c r="J487" i="246"/>
  <c r="I487" i="246"/>
  <c r="R486" i="246"/>
  <c r="Q486" i="246"/>
  <c r="P486" i="246"/>
  <c r="O486" i="246"/>
  <c r="L486" i="246"/>
  <c r="K486" i="246"/>
  <c r="J486" i="246"/>
  <c r="I486" i="246"/>
  <c r="R485" i="246"/>
  <c r="Q485" i="246"/>
  <c r="P485" i="246"/>
  <c r="O485" i="246"/>
  <c r="L485" i="246"/>
  <c r="K485" i="246"/>
  <c r="J485" i="246"/>
  <c r="I485" i="246"/>
  <c r="R484" i="246"/>
  <c r="Q484" i="246"/>
  <c r="P484" i="246"/>
  <c r="O484" i="246"/>
  <c r="L484" i="246"/>
  <c r="K484" i="246"/>
  <c r="J484" i="246"/>
  <c r="I484" i="246"/>
  <c r="R483" i="246"/>
  <c r="Q483" i="246"/>
  <c r="P483" i="246"/>
  <c r="O483" i="246"/>
  <c r="L483" i="246"/>
  <c r="K483" i="246"/>
  <c r="J483" i="246"/>
  <c r="I483" i="246"/>
  <c r="R482" i="246"/>
  <c r="Q482" i="246"/>
  <c r="P482" i="246"/>
  <c r="O482" i="246"/>
  <c r="L482" i="246"/>
  <c r="K482" i="246"/>
  <c r="J482" i="246"/>
  <c r="I482" i="246"/>
  <c r="R481" i="246"/>
  <c r="Q481" i="246"/>
  <c r="P481" i="246"/>
  <c r="O481" i="246"/>
  <c r="L481" i="246"/>
  <c r="K481" i="246"/>
  <c r="J481" i="246"/>
  <c r="I481" i="246"/>
  <c r="R480" i="246"/>
  <c r="Q480" i="246"/>
  <c r="P480" i="246"/>
  <c r="O480" i="246"/>
  <c r="L480" i="246"/>
  <c r="K480" i="246"/>
  <c r="J480" i="246"/>
  <c r="I480" i="246"/>
  <c r="R479" i="246"/>
  <c r="Q479" i="246"/>
  <c r="P479" i="246"/>
  <c r="O479" i="246"/>
  <c r="L479" i="246"/>
  <c r="K479" i="246"/>
  <c r="J479" i="246"/>
  <c r="I479" i="246"/>
  <c r="R478" i="246"/>
  <c r="Q478" i="246"/>
  <c r="P478" i="246"/>
  <c r="O478" i="246"/>
  <c r="L478" i="246"/>
  <c r="K478" i="246"/>
  <c r="J478" i="246"/>
  <c r="I478" i="246"/>
  <c r="R477" i="246"/>
  <c r="Q477" i="246"/>
  <c r="P477" i="246"/>
  <c r="O477" i="246"/>
  <c r="L477" i="246"/>
  <c r="K477" i="246"/>
  <c r="J477" i="246"/>
  <c r="I477" i="246"/>
  <c r="R476" i="246"/>
  <c r="Q476" i="246"/>
  <c r="P476" i="246"/>
  <c r="O476" i="246"/>
  <c r="L476" i="246"/>
  <c r="K476" i="246"/>
  <c r="J476" i="246"/>
  <c r="I476" i="246"/>
  <c r="R475" i="246"/>
  <c r="Q475" i="246"/>
  <c r="P475" i="246"/>
  <c r="O475" i="246"/>
  <c r="L475" i="246"/>
  <c r="K475" i="246"/>
  <c r="J475" i="246"/>
  <c r="I475" i="246"/>
  <c r="R474" i="246"/>
  <c r="Q474" i="246"/>
  <c r="P474" i="246"/>
  <c r="O474" i="246"/>
  <c r="L474" i="246"/>
  <c r="K474" i="246"/>
  <c r="J474" i="246"/>
  <c r="I474" i="246"/>
  <c r="R471" i="246"/>
  <c r="Q471" i="246"/>
  <c r="P471" i="246"/>
  <c r="O471" i="246"/>
  <c r="L471" i="246"/>
  <c r="K471" i="246"/>
  <c r="J471" i="246"/>
  <c r="I471" i="246"/>
  <c r="R470" i="246"/>
  <c r="Q470" i="246"/>
  <c r="P470" i="246"/>
  <c r="O470" i="246"/>
  <c r="L470" i="246"/>
  <c r="K470" i="246"/>
  <c r="J470" i="246"/>
  <c r="I470" i="246"/>
  <c r="R469" i="246"/>
  <c r="Q469" i="246"/>
  <c r="P469" i="246"/>
  <c r="O469" i="246"/>
  <c r="L469" i="246"/>
  <c r="K469" i="246"/>
  <c r="J469" i="246"/>
  <c r="I469" i="246"/>
  <c r="R466" i="246"/>
  <c r="Q466" i="246"/>
  <c r="P466" i="246"/>
  <c r="O466" i="246"/>
  <c r="L466" i="246"/>
  <c r="K466" i="246"/>
  <c r="J466" i="246"/>
  <c r="I466" i="246"/>
  <c r="R465" i="246"/>
  <c r="Q465" i="246"/>
  <c r="P465" i="246"/>
  <c r="O465" i="246"/>
  <c r="L465" i="246"/>
  <c r="K465" i="246"/>
  <c r="J465" i="246"/>
  <c r="I465" i="246"/>
  <c r="R464" i="246"/>
  <c r="Q464" i="246"/>
  <c r="P464" i="246"/>
  <c r="O464" i="246"/>
  <c r="L464" i="246"/>
  <c r="K464" i="246"/>
  <c r="J464" i="246"/>
  <c r="I464" i="246"/>
  <c r="R463" i="246"/>
  <c r="Q463" i="246"/>
  <c r="P463" i="246"/>
  <c r="O463" i="246"/>
  <c r="L463" i="246"/>
  <c r="K463" i="246"/>
  <c r="J463" i="246"/>
  <c r="I463" i="246"/>
  <c r="R462" i="246"/>
  <c r="Q462" i="246"/>
  <c r="P462" i="246"/>
  <c r="O462" i="246"/>
  <c r="L462" i="246"/>
  <c r="K462" i="246"/>
  <c r="J462" i="246"/>
  <c r="I462" i="246"/>
  <c r="R461" i="246"/>
  <c r="Q461" i="246"/>
  <c r="P461" i="246"/>
  <c r="O461" i="246"/>
  <c r="L461" i="246"/>
  <c r="K461" i="246"/>
  <c r="J461" i="246"/>
  <c r="I461" i="246"/>
  <c r="R455" i="246"/>
  <c r="Q455" i="246"/>
  <c r="P455" i="246"/>
  <c r="O455" i="246"/>
  <c r="L455" i="246"/>
  <c r="K455" i="246"/>
  <c r="J455" i="246"/>
  <c r="I455" i="246"/>
  <c r="R454" i="246"/>
  <c r="Q454" i="246"/>
  <c r="P454" i="246"/>
  <c r="O454" i="246"/>
  <c r="L454" i="246"/>
  <c r="K454" i="246"/>
  <c r="J454" i="246"/>
  <c r="I454" i="246"/>
  <c r="R453" i="246"/>
  <c r="Q453" i="246"/>
  <c r="P453" i="246"/>
  <c r="O453" i="246"/>
  <c r="L453" i="246"/>
  <c r="K453" i="246"/>
  <c r="J453" i="246"/>
  <c r="I453" i="246"/>
  <c r="R452" i="246"/>
  <c r="Q452" i="246"/>
  <c r="P452" i="246"/>
  <c r="O452" i="246"/>
  <c r="L452" i="246"/>
  <c r="K452" i="246"/>
  <c r="J452" i="246"/>
  <c r="I452" i="246"/>
  <c r="R451" i="246"/>
  <c r="Q451" i="246"/>
  <c r="P451" i="246"/>
  <c r="O451" i="246"/>
  <c r="L451" i="246"/>
  <c r="K451" i="246"/>
  <c r="J451" i="246"/>
  <c r="I451" i="246"/>
  <c r="R448" i="246"/>
  <c r="Q448" i="246"/>
  <c r="P448" i="246"/>
  <c r="O448" i="246"/>
  <c r="L448" i="246"/>
  <c r="K448" i="246"/>
  <c r="J448" i="246"/>
  <c r="I448" i="246"/>
  <c r="R447" i="246"/>
  <c r="Q447" i="246"/>
  <c r="P447" i="246"/>
  <c r="O447" i="246"/>
  <c r="L447" i="246"/>
  <c r="K447" i="246"/>
  <c r="J447" i="246"/>
  <c r="I447" i="246"/>
  <c r="R446" i="246"/>
  <c r="Q446" i="246"/>
  <c r="P446" i="246"/>
  <c r="O446" i="246"/>
  <c r="L446" i="246"/>
  <c r="K446" i="246"/>
  <c r="J446" i="246"/>
  <c r="I446" i="246"/>
  <c r="R445" i="246"/>
  <c r="Q445" i="246"/>
  <c r="P445" i="246"/>
  <c r="O445" i="246"/>
  <c r="L445" i="246"/>
  <c r="K445" i="246"/>
  <c r="J445" i="246"/>
  <c r="I445" i="246"/>
  <c r="R442" i="246"/>
  <c r="Q442" i="246"/>
  <c r="P442" i="246"/>
  <c r="O442" i="246"/>
  <c r="L442" i="246"/>
  <c r="K442" i="246"/>
  <c r="J442" i="246"/>
  <c r="I442" i="246"/>
  <c r="V432" i="246"/>
  <c r="V431" i="246"/>
  <c r="R431" i="246"/>
  <c r="Q431" i="246"/>
  <c r="P431" i="246"/>
  <c r="O431" i="246"/>
  <c r="L431" i="246"/>
  <c r="K431" i="246"/>
  <c r="J431" i="246"/>
  <c r="I431" i="246"/>
  <c r="G431" i="246"/>
  <c r="E431" i="246"/>
  <c r="D431" i="246"/>
  <c r="U431" i="246" s="1"/>
  <c r="V430" i="246"/>
  <c r="R430" i="246"/>
  <c r="Q430" i="246"/>
  <c r="P430" i="246"/>
  <c r="O430" i="246"/>
  <c r="L430" i="246"/>
  <c r="K430" i="246"/>
  <c r="J430" i="246"/>
  <c r="I430" i="246"/>
  <c r="G430" i="246"/>
  <c r="E430" i="246"/>
  <c r="D430" i="246"/>
  <c r="U430" i="246" s="1"/>
  <c r="R425" i="246"/>
  <c r="Q425" i="246"/>
  <c r="P425" i="246"/>
  <c r="O425" i="246"/>
  <c r="L425" i="246"/>
  <c r="K425" i="246"/>
  <c r="J425" i="246"/>
  <c r="I425" i="246"/>
  <c r="R424" i="246"/>
  <c r="Q424" i="246"/>
  <c r="P424" i="246"/>
  <c r="O424" i="246"/>
  <c r="L424" i="246"/>
  <c r="K424" i="246"/>
  <c r="J424" i="246"/>
  <c r="I424" i="246"/>
  <c r="R423" i="246"/>
  <c r="Q423" i="246"/>
  <c r="P423" i="246"/>
  <c r="O423" i="246"/>
  <c r="L423" i="246"/>
  <c r="K423" i="246"/>
  <c r="J423" i="246"/>
  <c r="I423" i="246"/>
  <c r="R422" i="246"/>
  <c r="Q422" i="246"/>
  <c r="P422" i="246"/>
  <c r="O422" i="246"/>
  <c r="L422" i="246"/>
  <c r="K422" i="246"/>
  <c r="J422" i="246"/>
  <c r="I422" i="246"/>
  <c r="R421" i="246"/>
  <c r="Q421" i="246"/>
  <c r="P421" i="246"/>
  <c r="O421" i="246"/>
  <c r="L421" i="246"/>
  <c r="K421" i="246"/>
  <c r="J421" i="246"/>
  <c r="I421" i="246"/>
  <c r="R420" i="246"/>
  <c r="Q420" i="246"/>
  <c r="P420" i="246"/>
  <c r="O420" i="246"/>
  <c r="L420" i="246"/>
  <c r="K420" i="246"/>
  <c r="J420" i="246"/>
  <c r="I420" i="246"/>
  <c r="R419" i="246"/>
  <c r="Q419" i="246"/>
  <c r="P419" i="246"/>
  <c r="O419" i="246"/>
  <c r="L419" i="246"/>
  <c r="K419" i="246"/>
  <c r="J419" i="246"/>
  <c r="I419" i="246"/>
  <c r="R418" i="246"/>
  <c r="Q418" i="246"/>
  <c r="P418" i="246"/>
  <c r="O418" i="246"/>
  <c r="L418" i="246"/>
  <c r="K418" i="246"/>
  <c r="J418" i="246"/>
  <c r="I418" i="246"/>
  <c r="R417" i="246"/>
  <c r="Q417" i="246"/>
  <c r="P417" i="246"/>
  <c r="O417" i="246"/>
  <c r="L417" i="246"/>
  <c r="K417" i="246"/>
  <c r="J417" i="246"/>
  <c r="I417" i="246"/>
  <c r="R416" i="246"/>
  <c r="Q416" i="246"/>
  <c r="P416" i="246"/>
  <c r="O416" i="246"/>
  <c r="L416" i="246"/>
  <c r="K416" i="246"/>
  <c r="J416" i="246"/>
  <c r="I416" i="246"/>
  <c r="R415" i="246"/>
  <c r="Q415" i="246"/>
  <c r="P415" i="246"/>
  <c r="O415" i="246"/>
  <c r="L415" i="246"/>
  <c r="K415" i="246"/>
  <c r="J415" i="246"/>
  <c r="I415" i="246"/>
  <c r="R414" i="246"/>
  <c r="Q414" i="246"/>
  <c r="P414" i="246"/>
  <c r="O414" i="246"/>
  <c r="L414" i="246"/>
  <c r="K414" i="246"/>
  <c r="J414" i="246"/>
  <c r="I414" i="246"/>
  <c r="R413" i="246"/>
  <c r="Q413" i="246"/>
  <c r="P413" i="246"/>
  <c r="O413" i="246"/>
  <c r="L413" i="246"/>
  <c r="K413" i="246"/>
  <c r="J413" i="246"/>
  <c r="I413" i="246"/>
  <c r="R412" i="246"/>
  <c r="Q412" i="246"/>
  <c r="P412" i="246"/>
  <c r="O412" i="246"/>
  <c r="L412" i="246"/>
  <c r="K412" i="246"/>
  <c r="J412" i="246"/>
  <c r="I412" i="246"/>
  <c r="R409" i="246"/>
  <c r="Q409" i="246"/>
  <c r="P409" i="246"/>
  <c r="O409" i="246"/>
  <c r="L409" i="246"/>
  <c r="K409" i="246"/>
  <c r="J409" i="246"/>
  <c r="I409" i="246"/>
  <c r="R408" i="246"/>
  <c r="Q408" i="246"/>
  <c r="P408" i="246"/>
  <c r="O408" i="246"/>
  <c r="L408" i="246"/>
  <c r="K408" i="246"/>
  <c r="J408" i="246"/>
  <c r="I408" i="246"/>
  <c r="R407" i="246"/>
  <c r="Q407" i="246"/>
  <c r="P407" i="246"/>
  <c r="O407" i="246"/>
  <c r="L407" i="246"/>
  <c r="K407" i="246"/>
  <c r="J407" i="246"/>
  <c r="I407" i="246"/>
  <c r="R404" i="246"/>
  <c r="Q404" i="246"/>
  <c r="P404" i="246"/>
  <c r="O404" i="246"/>
  <c r="L404" i="246"/>
  <c r="K404" i="246"/>
  <c r="J404" i="246"/>
  <c r="I404" i="246"/>
  <c r="R403" i="246"/>
  <c r="Q403" i="246"/>
  <c r="P403" i="246"/>
  <c r="O403" i="246"/>
  <c r="L403" i="246"/>
  <c r="K403" i="246"/>
  <c r="J403" i="246"/>
  <c r="I403" i="246"/>
  <c r="R402" i="246"/>
  <c r="Q402" i="246"/>
  <c r="P402" i="246"/>
  <c r="O402" i="246"/>
  <c r="L402" i="246"/>
  <c r="K402" i="246"/>
  <c r="J402" i="246"/>
  <c r="I402" i="246"/>
  <c r="R401" i="246"/>
  <c r="Q401" i="246"/>
  <c r="P401" i="246"/>
  <c r="O401" i="246"/>
  <c r="L401" i="246"/>
  <c r="K401" i="246"/>
  <c r="J401" i="246"/>
  <c r="I401" i="246"/>
  <c r="R400" i="246"/>
  <c r="Q400" i="246"/>
  <c r="P400" i="246"/>
  <c r="O400" i="246"/>
  <c r="L400" i="246"/>
  <c r="K400" i="246"/>
  <c r="J400" i="246"/>
  <c r="I400" i="246"/>
  <c r="R399" i="246"/>
  <c r="Q399" i="246"/>
  <c r="P399" i="246"/>
  <c r="O399" i="246"/>
  <c r="L399" i="246"/>
  <c r="K399" i="246"/>
  <c r="J399" i="246"/>
  <c r="I399" i="246"/>
  <c r="R393" i="246"/>
  <c r="Q393" i="246"/>
  <c r="P393" i="246"/>
  <c r="O393" i="246"/>
  <c r="L393" i="246"/>
  <c r="K393" i="246"/>
  <c r="J393" i="246"/>
  <c r="I393" i="246"/>
  <c r="R392" i="246"/>
  <c r="Q392" i="246"/>
  <c r="P392" i="246"/>
  <c r="O392" i="246"/>
  <c r="L392" i="246"/>
  <c r="I392" i="246"/>
  <c r="K392" i="246"/>
  <c r="J392" i="246"/>
  <c r="R391" i="246"/>
  <c r="Q391" i="246"/>
  <c r="P391" i="246"/>
  <c r="O391" i="246"/>
  <c r="L391" i="246"/>
  <c r="K391" i="246"/>
  <c r="J391" i="246"/>
  <c r="I391" i="246"/>
  <c r="R390" i="246"/>
  <c r="Q390" i="246"/>
  <c r="P390" i="246"/>
  <c r="O390" i="246"/>
  <c r="L390" i="246"/>
  <c r="K390" i="246"/>
  <c r="J390" i="246"/>
  <c r="I390" i="246"/>
  <c r="R389" i="246"/>
  <c r="Q389" i="246"/>
  <c r="P389" i="246"/>
  <c r="O389" i="246"/>
  <c r="L389" i="246"/>
  <c r="K389" i="246"/>
  <c r="J389" i="246"/>
  <c r="I389" i="246"/>
  <c r="R386" i="246"/>
  <c r="Q386" i="246"/>
  <c r="P386" i="246"/>
  <c r="O386" i="246"/>
  <c r="L386" i="246"/>
  <c r="K386" i="246"/>
  <c r="J386" i="246"/>
  <c r="I386" i="246"/>
  <c r="R385" i="246"/>
  <c r="Q385" i="246"/>
  <c r="P385" i="246"/>
  <c r="O385" i="246"/>
  <c r="L385" i="246"/>
  <c r="K385" i="246"/>
  <c r="J385" i="246"/>
  <c r="I385" i="246"/>
  <c r="R384" i="246"/>
  <c r="Q384" i="246"/>
  <c r="P384" i="246"/>
  <c r="O384" i="246"/>
  <c r="L384" i="246"/>
  <c r="K384" i="246"/>
  <c r="J384" i="246"/>
  <c r="I384" i="246"/>
  <c r="R383" i="246"/>
  <c r="Q383" i="246"/>
  <c r="P383" i="246"/>
  <c r="O383" i="246"/>
  <c r="L383" i="246"/>
  <c r="K383" i="246"/>
  <c r="J383" i="246"/>
  <c r="I383" i="246"/>
  <c r="R380" i="246"/>
  <c r="Q380" i="246"/>
  <c r="P380" i="246"/>
  <c r="O380" i="246"/>
  <c r="L380" i="246"/>
  <c r="K380" i="246"/>
  <c r="J380" i="246"/>
  <c r="I380" i="246"/>
  <c r="V370" i="246"/>
  <c r="V369" i="246"/>
  <c r="R369" i="246"/>
  <c r="Q369" i="246"/>
  <c r="P369" i="246"/>
  <c r="O369" i="246"/>
  <c r="L369" i="246"/>
  <c r="K369" i="246"/>
  <c r="J369" i="246"/>
  <c r="I369" i="246"/>
  <c r="G369" i="246"/>
  <c r="E369" i="246"/>
  <c r="D369" i="246"/>
  <c r="U369" i="246" s="1"/>
  <c r="V368" i="246"/>
  <c r="R368" i="246"/>
  <c r="Q368" i="246"/>
  <c r="P368" i="246"/>
  <c r="O368" i="246"/>
  <c r="L368" i="246"/>
  <c r="K368" i="246"/>
  <c r="J368" i="246"/>
  <c r="I368" i="246"/>
  <c r="G368" i="246"/>
  <c r="E368" i="246"/>
  <c r="D368" i="246"/>
  <c r="U368" i="246" s="1"/>
  <c r="R363" i="246"/>
  <c r="Q363" i="246"/>
  <c r="P363" i="246"/>
  <c r="O363" i="246"/>
  <c r="L363" i="246"/>
  <c r="K363" i="246"/>
  <c r="J363" i="246"/>
  <c r="I363" i="246"/>
  <c r="R362" i="246"/>
  <c r="Q362" i="246"/>
  <c r="P362" i="246"/>
  <c r="O362" i="246"/>
  <c r="L362" i="246"/>
  <c r="K362" i="246"/>
  <c r="J362" i="246"/>
  <c r="I362" i="246"/>
  <c r="R361" i="246"/>
  <c r="Q361" i="246"/>
  <c r="P361" i="246"/>
  <c r="O361" i="246"/>
  <c r="L361" i="246"/>
  <c r="K361" i="246"/>
  <c r="J361" i="246"/>
  <c r="I361" i="246"/>
  <c r="R360" i="246"/>
  <c r="Q360" i="246"/>
  <c r="P360" i="246"/>
  <c r="O360" i="246"/>
  <c r="L360" i="246"/>
  <c r="K360" i="246"/>
  <c r="J360" i="246"/>
  <c r="I360" i="246"/>
  <c r="R359" i="246"/>
  <c r="Q359" i="246"/>
  <c r="P359" i="246"/>
  <c r="O359" i="246"/>
  <c r="L359" i="246"/>
  <c r="K359" i="246"/>
  <c r="J359" i="246"/>
  <c r="I359" i="246"/>
  <c r="R358" i="246"/>
  <c r="Q358" i="246"/>
  <c r="P358" i="246"/>
  <c r="O358" i="246"/>
  <c r="L358" i="246"/>
  <c r="K358" i="246"/>
  <c r="J358" i="246"/>
  <c r="I358" i="246"/>
  <c r="R357" i="246"/>
  <c r="Q357" i="246"/>
  <c r="P357" i="246"/>
  <c r="O357" i="246"/>
  <c r="L357" i="246"/>
  <c r="K357" i="246"/>
  <c r="J357" i="246"/>
  <c r="I357" i="246"/>
  <c r="R356" i="246"/>
  <c r="Q356" i="246"/>
  <c r="P356" i="246"/>
  <c r="O356" i="246"/>
  <c r="L356" i="246"/>
  <c r="K356" i="246"/>
  <c r="J356" i="246"/>
  <c r="I356" i="246"/>
  <c r="R355" i="246"/>
  <c r="Q355" i="246"/>
  <c r="P355" i="246"/>
  <c r="O355" i="246"/>
  <c r="L355" i="246"/>
  <c r="K355" i="246"/>
  <c r="J355" i="246"/>
  <c r="I355" i="246"/>
  <c r="R354" i="246"/>
  <c r="Q354" i="246"/>
  <c r="P354" i="246"/>
  <c r="O354" i="246"/>
  <c r="L354" i="246"/>
  <c r="K354" i="246"/>
  <c r="J354" i="246"/>
  <c r="I354" i="246"/>
  <c r="R353" i="246"/>
  <c r="Q353" i="246"/>
  <c r="P353" i="246"/>
  <c r="O353" i="246"/>
  <c r="L353" i="246"/>
  <c r="K353" i="246"/>
  <c r="J353" i="246"/>
  <c r="I353" i="246"/>
  <c r="R352" i="246"/>
  <c r="Q352" i="246"/>
  <c r="P352" i="246"/>
  <c r="O352" i="246"/>
  <c r="L352" i="246"/>
  <c r="K352" i="246"/>
  <c r="J352" i="246"/>
  <c r="I352" i="246"/>
  <c r="R351" i="246"/>
  <c r="Q351" i="246"/>
  <c r="P351" i="246"/>
  <c r="O351" i="246"/>
  <c r="L351" i="246"/>
  <c r="K351" i="246"/>
  <c r="J351" i="246"/>
  <c r="I351" i="246"/>
  <c r="R350" i="246"/>
  <c r="Q350" i="246"/>
  <c r="P350" i="246"/>
  <c r="O350" i="246"/>
  <c r="L350" i="246"/>
  <c r="K350" i="246"/>
  <c r="J350" i="246"/>
  <c r="I350" i="246"/>
  <c r="R347" i="246"/>
  <c r="Q347" i="246"/>
  <c r="P347" i="246"/>
  <c r="O347" i="246"/>
  <c r="L347" i="246"/>
  <c r="K347" i="246"/>
  <c r="J347" i="246"/>
  <c r="I347" i="246"/>
  <c r="R346" i="246"/>
  <c r="Q346" i="246"/>
  <c r="P346" i="246"/>
  <c r="O346" i="246"/>
  <c r="L346" i="246"/>
  <c r="K346" i="246"/>
  <c r="J346" i="246"/>
  <c r="I346" i="246"/>
  <c r="R345" i="246"/>
  <c r="Q345" i="246"/>
  <c r="P345" i="246"/>
  <c r="O345" i="246"/>
  <c r="L345" i="246"/>
  <c r="K345" i="246"/>
  <c r="J345" i="246"/>
  <c r="I345" i="246"/>
  <c r="R342" i="246"/>
  <c r="Q342" i="246"/>
  <c r="P342" i="246"/>
  <c r="O342" i="246"/>
  <c r="L342" i="246"/>
  <c r="K342" i="246"/>
  <c r="J342" i="246"/>
  <c r="I342" i="246"/>
  <c r="R341" i="246"/>
  <c r="Q341" i="246"/>
  <c r="P341" i="246"/>
  <c r="O341" i="246"/>
  <c r="L341" i="246"/>
  <c r="K341" i="246"/>
  <c r="J341" i="246"/>
  <c r="I341" i="246"/>
  <c r="R340" i="246"/>
  <c r="Q340" i="246"/>
  <c r="P340" i="246"/>
  <c r="O340" i="246"/>
  <c r="L340" i="246"/>
  <c r="K340" i="246"/>
  <c r="J340" i="246"/>
  <c r="I340" i="246"/>
  <c r="R339" i="246"/>
  <c r="Q339" i="246"/>
  <c r="P339" i="246"/>
  <c r="O339" i="246"/>
  <c r="L339" i="246"/>
  <c r="K339" i="246"/>
  <c r="J339" i="246"/>
  <c r="I339" i="246"/>
  <c r="R338" i="246"/>
  <c r="Q338" i="246"/>
  <c r="P338" i="246"/>
  <c r="O338" i="246"/>
  <c r="L338" i="246"/>
  <c r="K338" i="246"/>
  <c r="J338" i="246"/>
  <c r="I338" i="246"/>
  <c r="R337" i="246"/>
  <c r="Q337" i="246"/>
  <c r="P337" i="246"/>
  <c r="O337" i="246"/>
  <c r="L337" i="246"/>
  <c r="K337" i="246"/>
  <c r="J337" i="246"/>
  <c r="I337" i="246"/>
  <c r="R331" i="246"/>
  <c r="Q331" i="246"/>
  <c r="P331" i="246"/>
  <c r="O331" i="246"/>
  <c r="L331" i="246"/>
  <c r="K331" i="246"/>
  <c r="J331" i="246"/>
  <c r="I331" i="246"/>
  <c r="R330" i="246"/>
  <c r="Q330" i="246"/>
  <c r="P330" i="246"/>
  <c r="O330" i="246"/>
  <c r="L330" i="246"/>
  <c r="K330" i="246"/>
  <c r="J330" i="246"/>
  <c r="I330" i="246"/>
  <c r="R329" i="246"/>
  <c r="Q329" i="246"/>
  <c r="P329" i="246"/>
  <c r="O329" i="246"/>
  <c r="L329" i="246"/>
  <c r="K329" i="246"/>
  <c r="J329" i="246"/>
  <c r="I329" i="246"/>
  <c r="R328" i="246"/>
  <c r="Q328" i="246"/>
  <c r="P328" i="246"/>
  <c r="O328" i="246"/>
  <c r="L328" i="246"/>
  <c r="K328" i="246"/>
  <c r="J328" i="246"/>
  <c r="I328" i="246"/>
  <c r="R327" i="246"/>
  <c r="Q327" i="246"/>
  <c r="P327" i="246"/>
  <c r="O327" i="246"/>
  <c r="L327" i="246"/>
  <c r="K327" i="246"/>
  <c r="J327" i="246"/>
  <c r="I327" i="246"/>
  <c r="R324" i="246"/>
  <c r="Q324" i="246"/>
  <c r="P324" i="246"/>
  <c r="O324" i="246"/>
  <c r="L324" i="246"/>
  <c r="K324" i="246"/>
  <c r="J324" i="246"/>
  <c r="I324" i="246"/>
  <c r="R323" i="246"/>
  <c r="Q323" i="246"/>
  <c r="P323" i="246"/>
  <c r="O323" i="246"/>
  <c r="L323" i="246"/>
  <c r="K323" i="246"/>
  <c r="J323" i="246"/>
  <c r="I323" i="246"/>
  <c r="R322" i="246"/>
  <c r="Q322" i="246"/>
  <c r="P322" i="246"/>
  <c r="O322" i="246"/>
  <c r="L322" i="246"/>
  <c r="K322" i="246"/>
  <c r="J322" i="246"/>
  <c r="I322" i="246"/>
  <c r="R321" i="246"/>
  <c r="Q321" i="246"/>
  <c r="P321" i="246"/>
  <c r="O321" i="246"/>
  <c r="L321" i="246"/>
  <c r="K321" i="246"/>
  <c r="J321" i="246"/>
  <c r="I321" i="246"/>
  <c r="R318" i="246"/>
  <c r="Q318" i="246"/>
  <c r="P318" i="246"/>
  <c r="O318" i="246"/>
  <c r="L318" i="246"/>
  <c r="K318" i="246"/>
  <c r="J318" i="246"/>
  <c r="I318" i="246"/>
  <c r="V308" i="246"/>
  <c r="V307" i="246"/>
  <c r="R307" i="246"/>
  <c r="Q307" i="246"/>
  <c r="P307" i="246"/>
  <c r="O307" i="246"/>
  <c r="G307" i="246"/>
  <c r="E307" i="246"/>
  <c r="D307" i="246"/>
  <c r="U307" i="246" s="1"/>
  <c r="V306" i="246"/>
  <c r="R306" i="246"/>
  <c r="Q306" i="246"/>
  <c r="P306" i="246"/>
  <c r="O306" i="246"/>
  <c r="G306" i="246"/>
  <c r="E306" i="246"/>
  <c r="D306" i="246"/>
  <c r="U306" i="246" s="1"/>
  <c r="R301" i="246"/>
  <c r="Q301" i="246"/>
  <c r="P301" i="246"/>
  <c r="O301" i="246"/>
  <c r="R300" i="246"/>
  <c r="Q300" i="246"/>
  <c r="P300" i="246"/>
  <c r="O300" i="246"/>
  <c r="R299" i="246"/>
  <c r="Q299" i="246"/>
  <c r="P299" i="246"/>
  <c r="O299" i="246"/>
  <c r="R298" i="246"/>
  <c r="Q298" i="246"/>
  <c r="P298" i="246"/>
  <c r="O298" i="246"/>
  <c r="R297" i="246"/>
  <c r="Q297" i="246"/>
  <c r="P297" i="246"/>
  <c r="O297" i="246"/>
  <c r="R296" i="246"/>
  <c r="Q296" i="246"/>
  <c r="P296" i="246"/>
  <c r="O296" i="246"/>
  <c r="R295" i="246"/>
  <c r="Q295" i="246"/>
  <c r="P295" i="246"/>
  <c r="O295" i="246"/>
  <c r="R294" i="246"/>
  <c r="Q294" i="246"/>
  <c r="P294" i="246"/>
  <c r="O294" i="246"/>
  <c r="R293" i="246"/>
  <c r="Q293" i="246"/>
  <c r="P293" i="246"/>
  <c r="O293" i="246"/>
  <c r="R292" i="246"/>
  <c r="Q292" i="246"/>
  <c r="P292" i="246"/>
  <c r="O292" i="246"/>
  <c r="R291" i="246"/>
  <c r="Q291" i="246"/>
  <c r="P291" i="246"/>
  <c r="O291" i="246"/>
  <c r="R290" i="246"/>
  <c r="Q290" i="246"/>
  <c r="P290" i="246"/>
  <c r="O290" i="246"/>
  <c r="R289" i="246"/>
  <c r="Q289" i="246"/>
  <c r="P289" i="246"/>
  <c r="O289" i="246"/>
  <c r="R288" i="246"/>
  <c r="Q288" i="246"/>
  <c r="P288" i="246"/>
  <c r="O288" i="246"/>
  <c r="R285" i="246"/>
  <c r="Q285" i="246"/>
  <c r="P285" i="246"/>
  <c r="O285" i="246"/>
  <c r="R284" i="246"/>
  <c r="Q284" i="246"/>
  <c r="P284" i="246"/>
  <c r="O284" i="246"/>
  <c r="R283" i="246"/>
  <c r="Q283" i="246"/>
  <c r="P283" i="246"/>
  <c r="O283" i="246"/>
  <c r="R280" i="246"/>
  <c r="Q280" i="246"/>
  <c r="P280" i="246"/>
  <c r="O280" i="246"/>
  <c r="R279" i="246"/>
  <c r="Q279" i="246"/>
  <c r="P279" i="246"/>
  <c r="O279" i="246"/>
  <c r="R278" i="246"/>
  <c r="Q278" i="246"/>
  <c r="P278" i="246"/>
  <c r="O278" i="246"/>
  <c r="R277" i="246"/>
  <c r="Q277" i="246"/>
  <c r="P277" i="246"/>
  <c r="O277" i="246"/>
  <c r="R276" i="246"/>
  <c r="Q276" i="246"/>
  <c r="P276" i="246"/>
  <c r="O276" i="246"/>
  <c r="R275" i="246"/>
  <c r="Q275" i="246"/>
  <c r="P275" i="246"/>
  <c r="O275" i="246"/>
  <c r="R269" i="246"/>
  <c r="Q269" i="246"/>
  <c r="P269" i="246"/>
  <c r="O269" i="246"/>
  <c r="R268" i="246"/>
  <c r="Q268" i="246"/>
  <c r="P268" i="246"/>
  <c r="O268" i="246"/>
  <c r="R267" i="246"/>
  <c r="Q267" i="246"/>
  <c r="P267" i="246"/>
  <c r="O267" i="246"/>
  <c r="R266" i="246"/>
  <c r="Q266" i="246"/>
  <c r="P266" i="246"/>
  <c r="O266" i="246"/>
  <c r="R265" i="246"/>
  <c r="Q265" i="246"/>
  <c r="P265" i="246"/>
  <c r="O265" i="246"/>
  <c r="R262" i="246"/>
  <c r="Q262" i="246"/>
  <c r="P262" i="246"/>
  <c r="O262" i="246"/>
  <c r="R261" i="246"/>
  <c r="Q261" i="246"/>
  <c r="P261" i="246"/>
  <c r="O261" i="246"/>
  <c r="R260" i="246"/>
  <c r="Q260" i="246"/>
  <c r="P260" i="246"/>
  <c r="O260" i="246"/>
  <c r="R259" i="246"/>
  <c r="Q259" i="246"/>
  <c r="P259" i="246"/>
  <c r="O259" i="246"/>
  <c r="R256" i="246"/>
  <c r="Q256" i="246"/>
  <c r="P256" i="246"/>
  <c r="V246" i="246"/>
  <c r="V245" i="246"/>
  <c r="G245" i="246"/>
  <c r="E245" i="246"/>
  <c r="D245" i="246"/>
  <c r="U245" i="246" s="1"/>
  <c r="V244" i="246"/>
  <c r="G244" i="246"/>
  <c r="E244" i="246"/>
  <c r="D244" i="246"/>
  <c r="U244" i="246" s="1"/>
  <c r="V184" i="246"/>
  <c r="V183" i="246"/>
  <c r="G183" i="246"/>
  <c r="E183" i="246"/>
  <c r="D183" i="246"/>
  <c r="U183" i="246" s="1"/>
  <c r="V182" i="246"/>
  <c r="G182" i="246"/>
  <c r="E182" i="246"/>
  <c r="D182" i="246"/>
  <c r="U182" i="246" s="1"/>
  <c r="C153" i="246"/>
  <c r="C215" i="246" s="1"/>
  <c r="C277" i="246" s="1"/>
  <c r="C339" i="246" s="1"/>
  <c r="C401" i="246" s="1"/>
  <c r="C463" i="246" s="1"/>
  <c r="C525" i="246" s="1"/>
  <c r="C587" i="246" s="1"/>
  <c r="C649" i="246" s="1"/>
  <c r="C711" i="246" s="1"/>
  <c r="C773" i="246" s="1"/>
  <c r="V128" i="246"/>
  <c r="V190" i="246" s="1"/>
  <c r="V252" i="246" s="1"/>
  <c r="V314" i="246" s="1"/>
  <c r="V376" i="246" s="1"/>
  <c r="V438" i="246" s="1"/>
  <c r="V500" i="246" s="1"/>
  <c r="V562" i="246" s="1"/>
  <c r="V624" i="246" s="1"/>
  <c r="V686" i="246" s="1"/>
  <c r="V748" i="246" s="1"/>
  <c r="C128" i="246"/>
  <c r="C190" i="246" s="1"/>
  <c r="C252" i="246" s="1"/>
  <c r="C314" i="246" s="1"/>
  <c r="C376" i="246" s="1"/>
  <c r="C438" i="246" s="1"/>
  <c r="C500" i="246" s="1"/>
  <c r="C562" i="246" s="1"/>
  <c r="C624" i="246" s="1"/>
  <c r="C686" i="246" s="1"/>
  <c r="C748" i="246" s="1"/>
  <c r="C810" i="246" s="1"/>
  <c r="V126" i="246"/>
  <c r="V188" i="246" s="1"/>
  <c r="V250" i="246" s="1"/>
  <c r="V312" i="246" s="1"/>
  <c r="V374" i="246" s="1"/>
  <c r="V436" i="246" s="1"/>
  <c r="V498" i="246" s="1"/>
  <c r="V560" i="246" s="1"/>
  <c r="V622" i="246" s="1"/>
  <c r="V684" i="246" s="1"/>
  <c r="V746" i="246" s="1"/>
  <c r="C126" i="246"/>
  <c r="C188" i="246" s="1"/>
  <c r="C250" i="246" s="1"/>
  <c r="C312" i="246" s="1"/>
  <c r="C374" i="246" s="1"/>
  <c r="C436" i="246" s="1"/>
  <c r="C498" i="246" s="1"/>
  <c r="C560" i="246" s="1"/>
  <c r="C622" i="246" s="1"/>
  <c r="C684" i="246" s="1"/>
  <c r="C746" i="246" s="1"/>
  <c r="C808" i="246" s="1"/>
  <c r="V125" i="246"/>
  <c r="V187" i="246" s="1"/>
  <c r="V249" i="246" s="1"/>
  <c r="V311" i="246" s="1"/>
  <c r="V373" i="246" s="1"/>
  <c r="V435" i="246" s="1"/>
  <c r="V497" i="246" s="1"/>
  <c r="V559" i="246" s="1"/>
  <c r="V621" i="246" s="1"/>
  <c r="V683" i="246" s="1"/>
  <c r="V745" i="246" s="1"/>
  <c r="C125" i="246"/>
  <c r="C187" i="246" s="1"/>
  <c r="C249" i="246" s="1"/>
  <c r="C311" i="246" s="1"/>
  <c r="C373" i="246" s="1"/>
  <c r="C435" i="246" s="1"/>
  <c r="C497" i="246" s="1"/>
  <c r="C559" i="246" s="1"/>
  <c r="C621" i="246" s="1"/>
  <c r="C683" i="246" s="1"/>
  <c r="C745" i="246" s="1"/>
  <c r="C807" i="246" s="1"/>
  <c r="V124" i="246"/>
  <c r="V186" i="246" s="1"/>
  <c r="V248" i="246" s="1"/>
  <c r="V310" i="246" s="1"/>
  <c r="V372" i="246" s="1"/>
  <c r="V434" i="246" s="1"/>
  <c r="V496" i="246" s="1"/>
  <c r="V558" i="246" s="1"/>
  <c r="V620" i="246" s="1"/>
  <c r="V682" i="246" s="1"/>
  <c r="V744" i="246" s="1"/>
  <c r="C124" i="246"/>
  <c r="C186" i="246" s="1"/>
  <c r="C248" i="246" s="1"/>
  <c r="C310" i="246" s="1"/>
  <c r="C372" i="246" s="1"/>
  <c r="C434" i="246" s="1"/>
  <c r="C496" i="246" s="1"/>
  <c r="C558" i="246" s="1"/>
  <c r="C620" i="246" s="1"/>
  <c r="C682" i="246" s="1"/>
  <c r="C744" i="246" s="1"/>
  <c r="C806" i="246" s="1"/>
  <c r="V122" i="246"/>
  <c r="V121" i="246"/>
  <c r="G121" i="246"/>
  <c r="E121" i="246"/>
  <c r="D121" i="246"/>
  <c r="U121" i="246" s="1"/>
  <c r="V120" i="246"/>
  <c r="G120" i="246"/>
  <c r="E120" i="246"/>
  <c r="D120" i="246"/>
  <c r="U120" i="246" s="1"/>
  <c r="C118" i="246"/>
  <c r="C180" i="246" s="1"/>
  <c r="C242" i="246" s="1"/>
  <c r="C304" i="246" s="1"/>
  <c r="C366" i="246" s="1"/>
  <c r="C428" i="246" s="1"/>
  <c r="C490" i="246" s="1"/>
  <c r="C552" i="246" s="1"/>
  <c r="C614" i="246" s="1"/>
  <c r="C676" i="246" s="1"/>
  <c r="C738" i="246" s="1"/>
  <c r="C800" i="246" s="1"/>
  <c r="V116" i="246"/>
  <c r="V178" i="246" s="1"/>
  <c r="V240" i="246" s="1"/>
  <c r="V302" i="246" s="1"/>
  <c r="V364" i="246" s="1"/>
  <c r="V426" i="246" s="1"/>
  <c r="V488" i="246" s="1"/>
  <c r="V550" i="246" s="1"/>
  <c r="V612" i="246" s="1"/>
  <c r="V674" i="246" s="1"/>
  <c r="V736" i="246" s="1"/>
  <c r="C116" i="246"/>
  <c r="C178" i="246" s="1"/>
  <c r="C240" i="246" s="1"/>
  <c r="C302" i="246" s="1"/>
  <c r="C364" i="246" s="1"/>
  <c r="C426" i="246" s="1"/>
  <c r="C488" i="246" s="1"/>
  <c r="C550" i="246" s="1"/>
  <c r="C612" i="246" s="1"/>
  <c r="C674" i="246" s="1"/>
  <c r="C736" i="246" s="1"/>
  <c r="C798" i="246" s="1"/>
  <c r="V115" i="246"/>
  <c r="V177" i="246" s="1"/>
  <c r="V239" i="246" s="1"/>
  <c r="V301" i="246" s="1"/>
  <c r="V363" i="246" s="1"/>
  <c r="V425" i="246" s="1"/>
  <c r="V487" i="246" s="1"/>
  <c r="V549" i="246" s="1"/>
  <c r="V611" i="246" s="1"/>
  <c r="V673" i="246" s="1"/>
  <c r="V735" i="246" s="1"/>
  <c r="C115" i="246"/>
  <c r="C177" i="246" s="1"/>
  <c r="C239" i="246" s="1"/>
  <c r="C301" i="246" s="1"/>
  <c r="C363" i="246" s="1"/>
  <c r="C425" i="246" s="1"/>
  <c r="C487" i="246" s="1"/>
  <c r="C549" i="246" s="1"/>
  <c r="C611" i="246" s="1"/>
  <c r="C673" i="246" s="1"/>
  <c r="C735" i="246" s="1"/>
  <c r="C797" i="246" s="1"/>
  <c r="V114" i="246"/>
  <c r="V176" i="246" s="1"/>
  <c r="V238" i="246" s="1"/>
  <c r="V300" i="246" s="1"/>
  <c r="V362" i="246" s="1"/>
  <c r="V424" i="246" s="1"/>
  <c r="V486" i="246" s="1"/>
  <c r="V548" i="246" s="1"/>
  <c r="V610" i="246" s="1"/>
  <c r="V672" i="246" s="1"/>
  <c r="V734" i="246" s="1"/>
  <c r="C114" i="246"/>
  <c r="C176" i="246" s="1"/>
  <c r="C238" i="246" s="1"/>
  <c r="C300" i="246" s="1"/>
  <c r="C362" i="246" s="1"/>
  <c r="C424" i="246" s="1"/>
  <c r="C486" i="246" s="1"/>
  <c r="C548" i="246" s="1"/>
  <c r="C610" i="246" s="1"/>
  <c r="C672" i="246" s="1"/>
  <c r="C734" i="246" s="1"/>
  <c r="C796" i="246" s="1"/>
  <c r="V113" i="246"/>
  <c r="V175" i="246" s="1"/>
  <c r="V237" i="246" s="1"/>
  <c r="V299" i="246" s="1"/>
  <c r="V361" i="246" s="1"/>
  <c r="V423" i="246" s="1"/>
  <c r="V485" i="246" s="1"/>
  <c r="V547" i="246" s="1"/>
  <c r="V609" i="246" s="1"/>
  <c r="V671" i="246" s="1"/>
  <c r="V733" i="246" s="1"/>
  <c r="C113" i="246"/>
  <c r="C175" i="246" s="1"/>
  <c r="C237" i="246" s="1"/>
  <c r="C299" i="246" s="1"/>
  <c r="C361" i="246" s="1"/>
  <c r="C423" i="246" s="1"/>
  <c r="C485" i="246" s="1"/>
  <c r="C547" i="246" s="1"/>
  <c r="C609" i="246" s="1"/>
  <c r="C671" i="246" s="1"/>
  <c r="C733" i="246" s="1"/>
  <c r="C795" i="246" s="1"/>
  <c r="V112" i="246"/>
  <c r="V174" i="246" s="1"/>
  <c r="V236" i="246" s="1"/>
  <c r="V298" i="246" s="1"/>
  <c r="V360" i="246" s="1"/>
  <c r="V422" i="246" s="1"/>
  <c r="V484" i="246" s="1"/>
  <c r="V546" i="246" s="1"/>
  <c r="V608" i="246" s="1"/>
  <c r="V670" i="246" s="1"/>
  <c r="V732" i="246" s="1"/>
  <c r="C112" i="246"/>
  <c r="C174" i="246" s="1"/>
  <c r="C236" i="246" s="1"/>
  <c r="C298" i="246" s="1"/>
  <c r="C360" i="246" s="1"/>
  <c r="C422" i="246" s="1"/>
  <c r="C484" i="246" s="1"/>
  <c r="C546" i="246" s="1"/>
  <c r="C608" i="246" s="1"/>
  <c r="C670" i="246" s="1"/>
  <c r="C732" i="246" s="1"/>
  <c r="C794" i="246" s="1"/>
  <c r="V111" i="246"/>
  <c r="V173" i="246" s="1"/>
  <c r="V235" i="246" s="1"/>
  <c r="V297" i="246" s="1"/>
  <c r="V359" i="246" s="1"/>
  <c r="V421" i="246" s="1"/>
  <c r="V483" i="246" s="1"/>
  <c r="V545" i="246" s="1"/>
  <c r="V607" i="246" s="1"/>
  <c r="V669" i="246" s="1"/>
  <c r="V731" i="246" s="1"/>
  <c r="C111" i="246"/>
  <c r="C173" i="246" s="1"/>
  <c r="C235" i="246" s="1"/>
  <c r="C297" i="246" s="1"/>
  <c r="C359" i="246" s="1"/>
  <c r="C421" i="246" s="1"/>
  <c r="C483" i="246" s="1"/>
  <c r="C545" i="246" s="1"/>
  <c r="C607" i="246" s="1"/>
  <c r="C669" i="246" s="1"/>
  <c r="C731" i="246" s="1"/>
  <c r="C793" i="246" s="1"/>
  <c r="V110" i="246"/>
  <c r="V172" i="246" s="1"/>
  <c r="V234" i="246" s="1"/>
  <c r="V296" i="246" s="1"/>
  <c r="V358" i="246" s="1"/>
  <c r="V420" i="246" s="1"/>
  <c r="V482" i="246" s="1"/>
  <c r="V544" i="246" s="1"/>
  <c r="V606" i="246" s="1"/>
  <c r="V668" i="246" s="1"/>
  <c r="V730" i="246" s="1"/>
  <c r="C110" i="246"/>
  <c r="C172" i="246" s="1"/>
  <c r="C234" i="246" s="1"/>
  <c r="C296" i="246" s="1"/>
  <c r="C358" i="246" s="1"/>
  <c r="C420" i="246" s="1"/>
  <c r="C482" i="246" s="1"/>
  <c r="C544" i="246" s="1"/>
  <c r="C606" i="246" s="1"/>
  <c r="C668" i="246" s="1"/>
  <c r="C730" i="246" s="1"/>
  <c r="C792" i="246" s="1"/>
  <c r="V109" i="246"/>
  <c r="V171" i="246" s="1"/>
  <c r="V233" i="246" s="1"/>
  <c r="V295" i="246" s="1"/>
  <c r="V357" i="246" s="1"/>
  <c r="V419" i="246" s="1"/>
  <c r="V481" i="246" s="1"/>
  <c r="V543" i="246" s="1"/>
  <c r="V605" i="246" s="1"/>
  <c r="V667" i="246" s="1"/>
  <c r="V729" i="246" s="1"/>
  <c r="C109" i="246"/>
  <c r="C171" i="246" s="1"/>
  <c r="C233" i="246" s="1"/>
  <c r="C295" i="246" s="1"/>
  <c r="C357" i="246" s="1"/>
  <c r="C419" i="246" s="1"/>
  <c r="C481" i="246" s="1"/>
  <c r="C543" i="246" s="1"/>
  <c r="C605" i="246" s="1"/>
  <c r="C667" i="246" s="1"/>
  <c r="C729" i="246" s="1"/>
  <c r="C791" i="246" s="1"/>
  <c r="V108" i="246"/>
  <c r="V170" i="246" s="1"/>
  <c r="V232" i="246" s="1"/>
  <c r="V294" i="246" s="1"/>
  <c r="V356" i="246" s="1"/>
  <c r="V418" i="246" s="1"/>
  <c r="V480" i="246" s="1"/>
  <c r="V542" i="246" s="1"/>
  <c r="V604" i="246" s="1"/>
  <c r="V666" i="246" s="1"/>
  <c r="V728" i="246" s="1"/>
  <c r="C108" i="246"/>
  <c r="C170" i="246" s="1"/>
  <c r="C232" i="246" s="1"/>
  <c r="C294" i="246" s="1"/>
  <c r="C356" i="246" s="1"/>
  <c r="C418" i="246" s="1"/>
  <c r="C480" i="246" s="1"/>
  <c r="C542" i="246" s="1"/>
  <c r="C604" i="246" s="1"/>
  <c r="C666" i="246" s="1"/>
  <c r="C728" i="246" s="1"/>
  <c r="C790" i="246" s="1"/>
  <c r="V107" i="246"/>
  <c r="V169" i="246" s="1"/>
  <c r="V231" i="246" s="1"/>
  <c r="V293" i="246" s="1"/>
  <c r="V355" i="246" s="1"/>
  <c r="V417" i="246" s="1"/>
  <c r="V479" i="246" s="1"/>
  <c r="V541" i="246" s="1"/>
  <c r="V603" i="246" s="1"/>
  <c r="V665" i="246" s="1"/>
  <c r="V727" i="246" s="1"/>
  <c r="C107" i="246"/>
  <c r="C169" i="246" s="1"/>
  <c r="C231" i="246" s="1"/>
  <c r="C293" i="246" s="1"/>
  <c r="C355" i="246" s="1"/>
  <c r="C417" i="246" s="1"/>
  <c r="C479" i="246" s="1"/>
  <c r="C541" i="246" s="1"/>
  <c r="C603" i="246" s="1"/>
  <c r="C665" i="246" s="1"/>
  <c r="C727" i="246" s="1"/>
  <c r="C789" i="246" s="1"/>
  <c r="V106" i="246"/>
  <c r="V168" i="246" s="1"/>
  <c r="V230" i="246" s="1"/>
  <c r="V292" i="246" s="1"/>
  <c r="V354" i="246" s="1"/>
  <c r="V416" i="246" s="1"/>
  <c r="V478" i="246" s="1"/>
  <c r="V540" i="246" s="1"/>
  <c r="V602" i="246" s="1"/>
  <c r="V664" i="246" s="1"/>
  <c r="V726" i="246" s="1"/>
  <c r="C106" i="246"/>
  <c r="C168" i="246" s="1"/>
  <c r="C230" i="246" s="1"/>
  <c r="C292" i="246" s="1"/>
  <c r="C354" i="246" s="1"/>
  <c r="C416" i="246" s="1"/>
  <c r="C478" i="246" s="1"/>
  <c r="C540" i="246" s="1"/>
  <c r="C602" i="246" s="1"/>
  <c r="C664" i="246" s="1"/>
  <c r="C726" i="246" s="1"/>
  <c r="C788" i="246" s="1"/>
  <c r="V105" i="246"/>
  <c r="V167" i="246" s="1"/>
  <c r="V229" i="246" s="1"/>
  <c r="V291" i="246" s="1"/>
  <c r="V353" i="246" s="1"/>
  <c r="V415" i="246" s="1"/>
  <c r="V477" i="246" s="1"/>
  <c r="V539" i="246" s="1"/>
  <c r="V601" i="246" s="1"/>
  <c r="V663" i="246" s="1"/>
  <c r="V725" i="246" s="1"/>
  <c r="C105" i="246"/>
  <c r="C167" i="246" s="1"/>
  <c r="C229" i="246" s="1"/>
  <c r="C291" i="246" s="1"/>
  <c r="C353" i="246" s="1"/>
  <c r="C415" i="246" s="1"/>
  <c r="C477" i="246" s="1"/>
  <c r="C539" i="246" s="1"/>
  <c r="C601" i="246" s="1"/>
  <c r="C663" i="246" s="1"/>
  <c r="C725" i="246" s="1"/>
  <c r="C787" i="246" s="1"/>
  <c r="V104" i="246"/>
  <c r="V166" i="246" s="1"/>
  <c r="V228" i="246" s="1"/>
  <c r="V290" i="246" s="1"/>
  <c r="V352" i="246" s="1"/>
  <c r="V414" i="246" s="1"/>
  <c r="V476" i="246" s="1"/>
  <c r="V538" i="246" s="1"/>
  <c r="V600" i="246" s="1"/>
  <c r="V662" i="246" s="1"/>
  <c r="V724" i="246" s="1"/>
  <c r="C104" i="246"/>
  <c r="C166" i="246" s="1"/>
  <c r="C228" i="246" s="1"/>
  <c r="C290" i="246" s="1"/>
  <c r="C352" i="246" s="1"/>
  <c r="C414" i="246" s="1"/>
  <c r="C476" i="246" s="1"/>
  <c r="C538" i="246" s="1"/>
  <c r="C600" i="246" s="1"/>
  <c r="C662" i="246" s="1"/>
  <c r="C724" i="246" s="1"/>
  <c r="C786" i="246" s="1"/>
  <c r="V103" i="246"/>
  <c r="V165" i="246" s="1"/>
  <c r="V227" i="246" s="1"/>
  <c r="V289" i="246" s="1"/>
  <c r="V351" i="246" s="1"/>
  <c r="V413" i="246" s="1"/>
  <c r="V475" i="246" s="1"/>
  <c r="V537" i="246" s="1"/>
  <c r="V599" i="246" s="1"/>
  <c r="V661" i="246" s="1"/>
  <c r="V723" i="246" s="1"/>
  <c r="C103" i="246"/>
  <c r="C165" i="246" s="1"/>
  <c r="C227" i="246" s="1"/>
  <c r="C289" i="246" s="1"/>
  <c r="C351" i="246" s="1"/>
  <c r="C413" i="246" s="1"/>
  <c r="C475" i="246" s="1"/>
  <c r="C537" i="246" s="1"/>
  <c r="C599" i="246" s="1"/>
  <c r="C661" i="246" s="1"/>
  <c r="C723" i="246" s="1"/>
  <c r="C785" i="246" s="1"/>
  <c r="V102" i="246"/>
  <c r="V164" i="246" s="1"/>
  <c r="V226" i="246" s="1"/>
  <c r="V288" i="246" s="1"/>
  <c r="V350" i="246" s="1"/>
  <c r="V412" i="246" s="1"/>
  <c r="V474" i="246" s="1"/>
  <c r="V536" i="246" s="1"/>
  <c r="V598" i="246" s="1"/>
  <c r="V660" i="246" s="1"/>
  <c r="V722" i="246" s="1"/>
  <c r="C102" i="246"/>
  <c r="C164" i="246" s="1"/>
  <c r="C226" i="246" s="1"/>
  <c r="C288" i="246" s="1"/>
  <c r="C350" i="246" s="1"/>
  <c r="C412" i="246" s="1"/>
  <c r="C474" i="246" s="1"/>
  <c r="C536" i="246" s="1"/>
  <c r="C598" i="246" s="1"/>
  <c r="C660" i="246" s="1"/>
  <c r="C722" i="246" s="1"/>
  <c r="C784" i="246" s="1"/>
  <c r="V100" i="246"/>
  <c r="V162" i="246" s="1"/>
  <c r="V224" i="246" s="1"/>
  <c r="V286" i="246" s="1"/>
  <c r="V348" i="246" s="1"/>
  <c r="V410" i="246" s="1"/>
  <c r="V472" i="246" s="1"/>
  <c r="V534" i="246" s="1"/>
  <c r="V596" i="246" s="1"/>
  <c r="V658" i="246" s="1"/>
  <c r="V720" i="246" s="1"/>
  <c r="C100" i="246"/>
  <c r="C162" i="246" s="1"/>
  <c r="C224" i="246" s="1"/>
  <c r="C286" i="246" s="1"/>
  <c r="C348" i="246" s="1"/>
  <c r="C410" i="246" s="1"/>
  <c r="C472" i="246" s="1"/>
  <c r="C534" i="246" s="1"/>
  <c r="C596" i="246" s="1"/>
  <c r="C658" i="246" s="1"/>
  <c r="C720" i="246" s="1"/>
  <c r="C782" i="246" s="1"/>
  <c r="V99" i="246"/>
  <c r="V161" i="246" s="1"/>
  <c r="V223" i="246" s="1"/>
  <c r="V285" i="246" s="1"/>
  <c r="V347" i="246" s="1"/>
  <c r="V409" i="246" s="1"/>
  <c r="V471" i="246" s="1"/>
  <c r="V533" i="246" s="1"/>
  <c r="V595" i="246" s="1"/>
  <c r="V657" i="246" s="1"/>
  <c r="V719" i="246" s="1"/>
  <c r="C99" i="246"/>
  <c r="C161" i="246" s="1"/>
  <c r="C223" i="246" s="1"/>
  <c r="C285" i="246" s="1"/>
  <c r="C347" i="246" s="1"/>
  <c r="C409" i="246" s="1"/>
  <c r="C471" i="246" s="1"/>
  <c r="C533" i="246" s="1"/>
  <c r="C595" i="246" s="1"/>
  <c r="C657" i="246" s="1"/>
  <c r="C719" i="246" s="1"/>
  <c r="C781" i="246" s="1"/>
  <c r="V98" i="246"/>
  <c r="V160" i="246" s="1"/>
  <c r="V222" i="246" s="1"/>
  <c r="V284" i="246" s="1"/>
  <c r="V346" i="246" s="1"/>
  <c r="V408" i="246" s="1"/>
  <c r="V470" i="246" s="1"/>
  <c r="V532" i="246" s="1"/>
  <c r="V594" i="246" s="1"/>
  <c r="V656" i="246" s="1"/>
  <c r="V718" i="246" s="1"/>
  <c r="C98" i="246"/>
  <c r="C160" i="246" s="1"/>
  <c r="C222" i="246" s="1"/>
  <c r="C284" i="246" s="1"/>
  <c r="C346" i="246" s="1"/>
  <c r="C408" i="246" s="1"/>
  <c r="C470" i="246" s="1"/>
  <c r="C532" i="246" s="1"/>
  <c r="C594" i="246" s="1"/>
  <c r="C656" i="246" s="1"/>
  <c r="C718" i="246" s="1"/>
  <c r="C780" i="246" s="1"/>
  <c r="V97" i="246"/>
  <c r="V159" i="246" s="1"/>
  <c r="V221" i="246" s="1"/>
  <c r="V283" i="246" s="1"/>
  <c r="V345" i="246" s="1"/>
  <c r="V407" i="246" s="1"/>
  <c r="V469" i="246" s="1"/>
  <c r="V531" i="246" s="1"/>
  <c r="V593" i="246" s="1"/>
  <c r="V655" i="246" s="1"/>
  <c r="V717" i="246" s="1"/>
  <c r="C97" i="246"/>
  <c r="C159" i="246" s="1"/>
  <c r="C221" i="246" s="1"/>
  <c r="C283" i="246" s="1"/>
  <c r="C345" i="246" s="1"/>
  <c r="C407" i="246" s="1"/>
  <c r="C469" i="246" s="1"/>
  <c r="C531" i="246" s="1"/>
  <c r="C593" i="246" s="1"/>
  <c r="C655" i="246" s="1"/>
  <c r="C717" i="246" s="1"/>
  <c r="C779" i="246" s="1"/>
  <c r="V95" i="246"/>
  <c r="V157" i="246" s="1"/>
  <c r="V219" i="246" s="1"/>
  <c r="V281" i="246" s="1"/>
  <c r="V343" i="246" s="1"/>
  <c r="V405" i="246" s="1"/>
  <c r="V467" i="246" s="1"/>
  <c r="V529" i="246" s="1"/>
  <c r="V591" i="246" s="1"/>
  <c r="V653" i="246" s="1"/>
  <c r="V715" i="246" s="1"/>
  <c r="C95" i="246"/>
  <c r="C157" i="246" s="1"/>
  <c r="C219" i="246" s="1"/>
  <c r="C281" i="246" s="1"/>
  <c r="C343" i="246" s="1"/>
  <c r="C405" i="246" s="1"/>
  <c r="C467" i="246" s="1"/>
  <c r="C529" i="246" s="1"/>
  <c r="C591" i="246" s="1"/>
  <c r="C653" i="246" s="1"/>
  <c r="C715" i="246" s="1"/>
  <c r="C777" i="246" s="1"/>
  <c r="V94" i="246"/>
  <c r="V156" i="246" s="1"/>
  <c r="V218" i="246" s="1"/>
  <c r="V280" i="246" s="1"/>
  <c r="V342" i="246" s="1"/>
  <c r="V404" i="246" s="1"/>
  <c r="V466" i="246" s="1"/>
  <c r="V528" i="246" s="1"/>
  <c r="V590" i="246" s="1"/>
  <c r="V652" i="246" s="1"/>
  <c r="V714" i="246" s="1"/>
  <c r="C94" i="246"/>
  <c r="C156" i="246" s="1"/>
  <c r="C218" i="246" s="1"/>
  <c r="C280" i="246" s="1"/>
  <c r="C342" i="246" s="1"/>
  <c r="C404" i="246" s="1"/>
  <c r="C466" i="246" s="1"/>
  <c r="C528" i="246" s="1"/>
  <c r="C590" i="246" s="1"/>
  <c r="C652" i="246" s="1"/>
  <c r="C714" i="246" s="1"/>
  <c r="C776" i="246" s="1"/>
  <c r="V93" i="246"/>
  <c r="V155" i="246" s="1"/>
  <c r="V217" i="246" s="1"/>
  <c r="V279" i="246" s="1"/>
  <c r="V341" i="246" s="1"/>
  <c r="V403" i="246" s="1"/>
  <c r="V465" i="246" s="1"/>
  <c r="V527" i="246" s="1"/>
  <c r="V589" i="246" s="1"/>
  <c r="V651" i="246" s="1"/>
  <c r="V713" i="246" s="1"/>
  <c r="C93" i="246"/>
  <c r="C155" i="246" s="1"/>
  <c r="C217" i="246" s="1"/>
  <c r="C279" i="246" s="1"/>
  <c r="C341" i="246" s="1"/>
  <c r="C403" i="246" s="1"/>
  <c r="C465" i="246" s="1"/>
  <c r="C527" i="246" s="1"/>
  <c r="C589" i="246" s="1"/>
  <c r="C651" i="246" s="1"/>
  <c r="C713" i="246" s="1"/>
  <c r="C775" i="246" s="1"/>
  <c r="V92" i="246"/>
  <c r="V154" i="246" s="1"/>
  <c r="V216" i="246" s="1"/>
  <c r="V278" i="246" s="1"/>
  <c r="V340" i="246" s="1"/>
  <c r="V402" i="246" s="1"/>
  <c r="V464" i="246" s="1"/>
  <c r="V526" i="246" s="1"/>
  <c r="V588" i="246" s="1"/>
  <c r="V650" i="246" s="1"/>
  <c r="V712" i="246" s="1"/>
  <c r="C92" i="246"/>
  <c r="C154" i="246" s="1"/>
  <c r="C216" i="246" s="1"/>
  <c r="C278" i="246" s="1"/>
  <c r="C340" i="246" s="1"/>
  <c r="C402" i="246" s="1"/>
  <c r="C464" i="246" s="1"/>
  <c r="C526" i="246" s="1"/>
  <c r="C588" i="246" s="1"/>
  <c r="C650" i="246" s="1"/>
  <c r="C712" i="246" s="1"/>
  <c r="C774" i="246" s="1"/>
  <c r="V90" i="246"/>
  <c r="V152" i="246" s="1"/>
  <c r="V214" i="246" s="1"/>
  <c r="V276" i="246" s="1"/>
  <c r="V338" i="246" s="1"/>
  <c r="V400" i="246" s="1"/>
  <c r="V462" i="246" s="1"/>
  <c r="V524" i="246" s="1"/>
  <c r="V586" i="246" s="1"/>
  <c r="V648" i="246" s="1"/>
  <c r="V710" i="246" s="1"/>
  <c r="C90" i="246"/>
  <c r="C152" i="246" s="1"/>
  <c r="C214" i="246" s="1"/>
  <c r="C276" i="246" s="1"/>
  <c r="C338" i="246" s="1"/>
  <c r="C400" i="246" s="1"/>
  <c r="C462" i="246" s="1"/>
  <c r="C524" i="246" s="1"/>
  <c r="C586" i="246" s="1"/>
  <c r="C648" i="246" s="1"/>
  <c r="C710" i="246" s="1"/>
  <c r="C772" i="246" s="1"/>
  <c r="V89" i="246"/>
  <c r="V151" i="246" s="1"/>
  <c r="V213" i="246" s="1"/>
  <c r="V275" i="246" s="1"/>
  <c r="V337" i="246" s="1"/>
  <c r="V399" i="246" s="1"/>
  <c r="V461" i="246" s="1"/>
  <c r="V523" i="246" s="1"/>
  <c r="V585" i="246" s="1"/>
  <c r="V647" i="246" s="1"/>
  <c r="V709" i="246" s="1"/>
  <c r="C89" i="246"/>
  <c r="C151" i="246" s="1"/>
  <c r="C213" i="246" s="1"/>
  <c r="C275" i="246" s="1"/>
  <c r="C337" i="246" s="1"/>
  <c r="C399" i="246" s="1"/>
  <c r="C461" i="246" s="1"/>
  <c r="C523" i="246" s="1"/>
  <c r="C585" i="246" s="1"/>
  <c r="C647" i="246" s="1"/>
  <c r="C709" i="246" s="1"/>
  <c r="C771" i="246" s="1"/>
  <c r="C86" i="246"/>
  <c r="C148" i="246" s="1"/>
  <c r="C210" i="246" s="1"/>
  <c r="C272" i="246" s="1"/>
  <c r="C334" i="246" s="1"/>
  <c r="C396" i="246" s="1"/>
  <c r="C458" i="246" s="1"/>
  <c r="C520" i="246" s="1"/>
  <c r="C582" i="246" s="1"/>
  <c r="C644" i="246" s="1"/>
  <c r="C706" i="246" s="1"/>
  <c r="C768" i="246" s="1"/>
  <c r="V84" i="246"/>
  <c r="V146" i="246" s="1"/>
  <c r="V208" i="246" s="1"/>
  <c r="V270" i="246" s="1"/>
  <c r="V332" i="246" s="1"/>
  <c r="V394" i="246" s="1"/>
  <c r="V456" i="246" s="1"/>
  <c r="V518" i="246" s="1"/>
  <c r="V580" i="246" s="1"/>
  <c r="V642" i="246" s="1"/>
  <c r="V704" i="246" s="1"/>
  <c r="C84" i="246"/>
  <c r="C146" i="246" s="1"/>
  <c r="C208" i="246" s="1"/>
  <c r="C270" i="246" s="1"/>
  <c r="C332" i="246" s="1"/>
  <c r="C394" i="246" s="1"/>
  <c r="C456" i="246" s="1"/>
  <c r="C518" i="246" s="1"/>
  <c r="C580" i="246" s="1"/>
  <c r="C642" i="246" s="1"/>
  <c r="C704" i="246" s="1"/>
  <c r="C766" i="246" s="1"/>
  <c r="V83" i="246"/>
  <c r="V145" i="246" s="1"/>
  <c r="V207" i="246" s="1"/>
  <c r="V269" i="246" s="1"/>
  <c r="V331" i="246" s="1"/>
  <c r="V393" i="246" s="1"/>
  <c r="V455" i="246" s="1"/>
  <c r="V517" i="246" s="1"/>
  <c r="V579" i="246" s="1"/>
  <c r="V641" i="246" s="1"/>
  <c r="V703" i="246" s="1"/>
  <c r="C83" i="246"/>
  <c r="C145" i="246" s="1"/>
  <c r="C207" i="246" s="1"/>
  <c r="C269" i="246" s="1"/>
  <c r="C331" i="246" s="1"/>
  <c r="C393" i="246" s="1"/>
  <c r="C455" i="246" s="1"/>
  <c r="C517" i="246" s="1"/>
  <c r="C579" i="246" s="1"/>
  <c r="C641" i="246" s="1"/>
  <c r="C703" i="246" s="1"/>
  <c r="C765" i="246" s="1"/>
  <c r="V82" i="246"/>
  <c r="V144" i="246" s="1"/>
  <c r="V206" i="246" s="1"/>
  <c r="V268" i="246" s="1"/>
  <c r="V330" i="246" s="1"/>
  <c r="V392" i="246" s="1"/>
  <c r="V454" i="246" s="1"/>
  <c r="V516" i="246" s="1"/>
  <c r="V578" i="246" s="1"/>
  <c r="V640" i="246" s="1"/>
  <c r="V702" i="246" s="1"/>
  <c r="C82" i="246"/>
  <c r="C144" i="246" s="1"/>
  <c r="C206" i="246" s="1"/>
  <c r="C268" i="246" s="1"/>
  <c r="C330" i="246" s="1"/>
  <c r="C392" i="246" s="1"/>
  <c r="C454" i="246" s="1"/>
  <c r="C516" i="246" s="1"/>
  <c r="C578" i="246" s="1"/>
  <c r="C640" i="246" s="1"/>
  <c r="C702" i="246" s="1"/>
  <c r="C764" i="246" s="1"/>
  <c r="V81" i="246"/>
  <c r="V143" i="246" s="1"/>
  <c r="V205" i="246" s="1"/>
  <c r="V267" i="246" s="1"/>
  <c r="V329" i="246" s="1"/>
  <c r="V391" i="246" s="1"/>
  <c r="V453" i="246" s="1"/>
  <c r="V515" i="246" s="1"/>
  <c r="V577" i="246" s="1"/>
  <c r="V639" i="246" s="1"/>
  <c r="V701" i="246" s="1"/>
  <c r="C81" i="246"/>
  <c r="C143" i="246" s="1"/>
  <c r="C205" i="246" s="1"/>
  <c r="C267" i="246" s="1"/>
  <c r="C329" i="246" s="1"/>
  <c r="C391" i="246" s="1"/>
  <c r="C453" i="246" s="1"/>
  <c r="C515" i="246" s="1"/>
  <c r="C577" i="246" s="1"/>
  <c r="C639" i="246" s="1"/>
  <c r="C701" i="246" s="1"/>
  <c r="C763" i="246" s="1"/>
  <c r="V80" i="246"/>
  <c r="V142" i="246" s="1"/>
  <c r="V204" i="246" s="1"/>
  <c r="V266" i="246" s="1"/>
  <c r="V328" i="246" s="1"/>
  <c r="V390" i="246" s="1"/>
  <c r="V452" i="246" s="1"/>
  <c r="V514" i="246" s="1"/>
  <c r="V576" i="246" s="1"/>
  <c r="V638" i="246" s="1"/>
  <c r="V700" i="246" s="1"/>
  <c r="C80" i="246"/>
  <c r="C142" i="246" s="1"/>
  <c r="C204" i="246" s="1"/>
  <c r="C266" i="246" s="1"/>
  <c r="C328" i="246" s="1"/>
  <c r="C390" i="246" s="1"/>
  <c r="C452" i="246" s="1"/>
  <c r="C514" i="246" s="1"/>
  <c r="C576" i="246" s="1"/>
  <c r="C638" i="246" s="1"/>
  <c r="C700" i="246" s="1"/>
  <c r="C762" i="246" s="1"/>
  <c r="V79" i="246"/>
  <c r="V141" i="246" s="1"/>
  <c r="V203" i="246" s="1"/>
  <c r="V265" i="246" s="1"/>
  <c r="V327" i="246" s="1"/>
  <c r="V389" i="246" s="1"/>
  <c r="V451" i="246" s="1"/>
  <c r="V513" i="246" s="1"/>
  <c r="V575" i="246" s="1"/>
  <c r="V637" i="246" s="1"/>
  <c r="V699" i="246" s="1"/>
  <c r="C79" i="246"/>
  <c r="C141" i="246" s="1"/>
  <c r="C203" i="246" s="1"/>
  <c r="C265" i="246" s="1"/>
  <c r="C327" i="246" s="1"/>
  <c r="C389" i="246" s="1"/>
  <c r="C451" i="246" s="1"/>
  <c r="C513" i="246" s="1"/>
  <c r="C575" i="246" s="1"/>
  <c r="C637" i="246" s="1"/>
  <c r="C699" i="246" s="1"/>
  <c r="C761" i="246" s="1"/>
  <c r="V77" i="246"/>
  <c r="V139" i="246" s="1"/>
  <c r="V201" i="246" s="1"/>
  <c r="V263" i="246" s="1"/>
  <c r="V325" i="246" s="1"/>
  <c r="V387" i="246" s="1"/>
  <c r="V449" i="246" s="1"/>
  <c r="V511" i="246" s="1"/>
  <c r="V573" i="246" s="1"/>
  <c r="V635" i="246" s="1"/>
  <c r="V697" i="246" s="1"/>
  <c r="C77" i="246"/>
  <c r="C139" i="246" s="1"/>
  <c r="C201" i="246" s="1"/>
  <c r="C263" i="246" s="1"/>
  <c r="C325" i="246" s="1"/>
  <c r="C387" i="246" s="1"/>
  <c r="C449" i="246" s="1"/>
  <c r="C511" i="246" s="1"/>
  <c r="C573" i="246" s="1"/>
  <c r="C635" i="246" s="1"/>
  <c r="C697" i="246" s="1"/>
  <c r="C759" i="246" s="1"/>
  <c r="V76" i="246"/>
  <c r="V138" i="246" s="1"/>
  <c r="V75" i="246"/>
  <c r="V137" i="246" s="1"/>
  <c r="V199" i="246" s="1"/>
  <c r="V261" i="246" s="1"/>
  <c r="V323" i="246" s="1"/>
  <c r="V385" i="246" s="1"/>
  <c r="V447" i="246" s="1"/>
  <c r="V509" i="246" s="1"/>
  <c r="V571" i="246" s="1"/>
  <c r="V633" i="246" s="1"/>
  <c r="V695" i="246" s="1"/>
  <c r="C75" i="246"/>
  <c r="C137" i="246" s="1"/>
  <c r="C199" i="246" s="1"/>
  <c r="C261" i="246" s="1"/>
  <c r="C323" i="246" s="1"/>
  <c r="C385" i="246" s="1"/>
  <c r="C447" i="246" s="1"/>
  <c r="C509" i="246" s="1"/>
  <c r="C571" i="246" s="1"/>
  <c r="C633" i="246" s="1"/>
  <c r="C695" i="246" s="1"/>
  <c r="C757" i="246" s="1"/>
  <c r="V74" i="246"/>
  <c r="V136" i="246" s="1"/>
  <c r="V198" i="246" s="1"/>
  <c r="V260" i="246" s="1"/>
  <c r="V322" i="246" s="1"/>
  <c r="V384" i="246" s="1"/>
  <c r="V446" i="246" s="1"/>
  <c r="V508" i="246" s="1"/>
  <c r="V570" i="246" s="1"/>
  <c r="V632" i="246" s="1"/>
  <c r="V694" i="246" s="1"/>
  <c r="C74" i="246"/>
  <c r="C136" i="246" s="1"/>
  <c r="C198" i="246" s="1"/>
  <c r="C260" i="246" s="1"/>
  <c r="C322" i="246" s="1"/>
  <c r="C384" i="246" s="1"/>
  <c r="C446" i="246" s="1"/>
  <c r="C508" i="246" s="1"/>
  <c r="C570" i="246" s="1"/>
  <c r="C632" i="246" s="1"/>
  <c r="C694" i="246" s="1"/>
  <c r="C756" i="246" s="1"/>
  <c r="V73" i="246"/>
  <c r="V135" i="246" s="1"/>
  <c r="V197" i="246" s="1"/>
  <c r="V259" i="246" s="1"/>
  <c r="V321" i="246" s="1"/>
  <c r="V383" i="246" s="1"/>
  <c r="V445" i="246" s="1"/>
  <c r="V507" i="246" s="1"/>
  <c r="V569" i="246" s="1"/>
  <c r="V631" i="246" s="1"/>
  <c r="V693" i="246" s="1"/>
  <c r="C73" i="246"/>
  <c r="C135" i="246" s="1"/>
  <c r="C197" i="246" s="1"/>
  <c r="C259" i="246" s="1"/>
  <c r="C321" i="246" s="1"/>
  <c r="C383" i="246" s="1"/>
  <c r="C445" i="246" s="1"/>
  <c r="C507" i="246" s="1"/>
  <c r="C569" i="246" s="1"/>
  <c r="C631" i="246" s="1"/>
  <c r="C693" i="246" s="1"/>
  <c r="C755" i="246" s="1"/>
  <c r="V71" i="246"/>
  <c r="V133" i="246" s="1"/>
  <c r="V195" i="246" s="1"/>
  <c r="V257" i="246" s="1"/>
  <c r="V319" i="246" s="1"/>
  <c r="V381" i="246" s="1"/>
  <c r="V443" i="246" s="1"/>
  <c r="V505" i="246" s="1"/>
  <c r="V567" i="246" s="1"/>
  <c r="V629" i="246" s="1"/>
  <c r="V691" i="246" s="1"/>
  <c r="C71" i="246"/>
  <c r="C133" i="246" s="1"/>
  <c r="C195" i="246" s="1"/>
  <c r="C257" i="246" s="1"/>
  <c r="C319" i="246" s="1"/>
  <c r="C381" i="246" s="1"/>
  <c r="C443" i="246" s="1"/>
  <c r="C505" i="246" s="1"/>
  <c r="C567" i="246" s="1"/>
  <c r="C629" i="246" s="1"/>
  <c r="C691" i="246" s="1"/>
  <c r="C753" i="246" s="1"/>
  <c r="V70" i="246"/>
  <c r="V132" i="246" s="1"/>
  <c r="V194" i="246" s="1"/>
  <c r="V256" i="246" s="1"/>
  <c r="V318" i="246" s="1"/>
  <c r="V380" i="246" s="1"/>
  <c r="V442" i="246" s="1"/>
  <c r="V504" i="246" s="1"/>
  <c r="V566" i="246" s="1"/>
  <c r="V628" i="246" s="1"/>
  <c r="V690" i="246" s="1"/>
  <c r="C70" i="246"/>
  <c r="C132" i="246" s="1"/>
  <c r="C194" i="246" s="1"/>
  <c r="C256" i="246" s="1"/>
  <c r="C318" i="246" s="1"/>
  <c r="C380" i="246" s="1"/>
  <c r="C442" i="246" s="1"/>
  <c r="C504" i="246" s="1"/>
  <c r="C566" i="246" s="1"/>
  <c r="C628" i="246" s="1"/>
  <c r="C690" i="246" s="1"/>
  <c r="C752" i="246" s="1"/>
  <c r="V60" i="246"/>
  <c r="V59" i="246"/>
  <c r="G59" i="246"/>
  <c r="E59" i="246"/>
  <c r="D59" i="246"/>
  <c r="U59" i="246" s="1"/>
  <c r="V58" i="246"/>
  <c r="G58" i="246"/>
  <c r="E58" i="246"/>
  <c r="D58" i="246"/>
  <c r="U58" i="246" s="1"/>
  <c r="V56" i="246"/>
  <c r="V118" i="246" s="1"/>
  <c r="V180" i="246" s="1"/>
  <c r="V242" i="246" s="1"/>
  <c r="V304" i="246" s="1"/>
  <c r="V366" i="246" s="1"/>
  <c r="V428" i="246" s="1"/>
  <c r="V490" i="246" s="1"/>
  <c r="V552" i="246" s="1"/>
  <c r="V614" i="246" s="1"/>
  <c r="V676" i="246" s="1"/>
  <c r="V738" i="246" s="1"/>
  <c r="G53" i="246"/>
  <c r="G115" i="246" s="1"/>
  <c r="G177" i="246" s="1"/>
  <c r="G239" i="246" s="1"/>
  <c r="G301" i="246" s="1"/>
  <c r="G363" i="246" s="1"/>
  <c r="G425" i="246" s="1"/>
  <c r="G487" i="246" s="1"/>
  <c r="G549" i="246" s="1"/>
  <c r="G611" i="246" s="1"/>
  <c r="G673" i="246" s="1"/>
  <c r="G735" i="246" s="1"/>
  <c r="G797" i="246" s="1"/>
  <c r="E53" i="246"/>
  <c r="E115" i="246" s="1"/>
  <c r="E177" i="246" s="1"/>
  <c r="E239" i="246" s="1"/>
  <c r="E301" i="246" s="1"/>
  <c r="E363" i="246" s="1"/>
  <c r="E425" i="246" s="1"/>
  <c r="E487" i="246" s="1"/>
  <c r="E549" i="246" s="1"/>
  <c r="E611" i="246" s="1"/>
  <c r="E673" i="246" s="1"/>
  <c r="E735" i="246" s="1"/>
  <c r="E797" i="246" s="1"/>
  <c r="D53" i="246"/>
  <c r="U53" i="246" s="1"/>
  <c r="U115" i="246" s="1"/>
  <c r="U177" i="246" s="1"/>
  <c r="U239" i="246" s="1"/>
  <c r="U301" i="246" s="1"/>
  <c r="U363" i="246" s="1"/>
  <c r="U425" i="246" s="1"/>
  <c r="U487" i="246" s="1"/>
  <c r="U549" i="246" s="1"/>
  <c r="U611" i="246" s="1"/>
  <c r="U673" i="246" s="1"/>
  <c r="U735" i="246" s="1"/>
  <c r="G52" i="246"/>
  <c r="G114" i="246" s="1"/>
  <c r="G176" i="246" s="1"/>
  <c r="G238" i="246" s="1"/>
  <c r="G300" i="246" s="1"/>
  <c r="G362" i="246" s="1"/>
  <c r="G424" i="246" s="1"/>
  <c r="G486" i="246" s="1"/>
  <c r="G548" i="246" s="1"/>
  <c r="G610" i="246" s="1"/>
  <c r="G672" i="246" s="1"/>
  <c r="G734" i="246" s="1"/>
  <c r="G796" i="246" s="1"/>
  <c r="E52" i="246"/>
  <c r="E114" i="246" s="1"/>
  <c r="E176" i="246" s="1"/>
  <c r="E238" i="246" s="1"/>
  <c r="E300" i="246" s="1"/>
  <c r="E362" i="246" s="1"/>
  <c r="E424" i="246" s="1"/>
  <c r="E486" i="246" s="1"/>
  <c r="E548" i="246" s="1"/>
  <c r="E610" i="246" s="1"/>
  <c r="E672" i="246" s="1"/>
  <c r="E734" i="246" s="1"/>
  <c r="E796" i="246" s="1"/>
  <c r="D52" i="246"/>
  <c r="G51" i="246"/>
  <c r="G113" i="246" s="1"/>
  <c r="G175" i="246" s="1"/>
  <c r="G237" i="246" s="1"/>
  <c r="G299" i="246" s="1"/>
  <c r="G361" i="246" s="1"/>
  <c r="G423" i="246" s="1"/>
  <c r="G485" i="246" s="1"/>
  <c r="G547" i="246" s="1"/>
  <c r="G609" i="246" s="1"/>
  <c r="G671" i="246" s="1"/>
  <c r="G733" i="246" s="1"/>
  <c r="G795" i="246" s="1"/>
  <c r="E51" i="246"/>
  <c r="E113" i="246" s="1"/>
  <c r="E175" i="246" s="1"/>
  <c r="E237" i="246" s="1"/>
  <c r="E299" i="246" s="1"/>
  <c r="E361" i="246" s="1"/>
  <c r="E423" i="246" s="1"/>
  <c r="E485" i="246" s="1"/>
  <c r="E547" i="246" s="1"/>
  <c r="E609" i="246" s="1"/>
  <c r="E671" i="246" s="1"/>
  <c r="E733" i="246" s="1"/>
  <c r="E795" i="246" s="1"/>
  <c r="D51" i="246"/>
  <c r="U51" i="246" s="1"/>
  <c r="U113" i="246" s="1"/>
  <c r="U175" i="246" s="1"/>
  <c r="U237" i="246" s="1"/>
  <c r="U299" i="246" s="1"/>
  <c r="U361" i="246" s="1"/>
  <c r="U423" i="246" s="1"/>
  <c r="U485" i="246" s="1"/>
  <c r="U547" i="246" s="1"/>
  <c r="U609" i="246" s="1"/>
  <c r="U671" i="246" s="1"/>
  <c r="U733" i="246" s="1"/>
  <c r="G50" i="246"/>
  <c r="G112" i="246" s="1"/>
  <c r="G174" i="246" s="1"/>
  <c r="G236" i="246" s="1"/>
  <c r="G298" i="246" s="1"/>
  <c r="G360" i="246" s="1"/>
  <c r="G422" i="246" s="1"/>
  <c r="G484" i="246" s="1"/>
  <c r="G546" i="246" s="1"/>
  <c r="G608" i="246" s="1"/>
  <c r="G670" i="246" s="1"/>
  <c r="G732" i="246" s="1"/>
  <c r="G794" i="246" s="1"/>
  <c r="E50" i="246"/>
  <c r="E112" i="246" s="1"/>
  <c r="E174" i="246" s="1"/>
  <c r="E236" i="246" s="1"/>
  <c r="E298" i="246" s="1"/>
  <c r="E360" i="246" s="1"/>
  <c r="E422" i="246" s="1"/>
  <c r="E484" i="246" s="1"/>
  <c r="E546" i="246" s="1"/>
  <c r="E608" i="246" s="1"/>
  <c r="E670" i="246" s="1"/>
  <c r="E732" i="246" s="1"/>
  <c r="E794" i="246" s="1"/>
  <c r="D50" i="246"/>
  <c r="G49" i="246"/>
  <c r="G111" i="246" s="1"/>
  <c r="G173" i="246" s="1"/>
  <c r="G235" i="246" s="1"/>
  <c r="G297" i="246" s="1"/>
  <c r="G359" i="246" s="1"/>
  <c r="G421" i="246" s="1"/>
  <c r="G483" i="246" s="1"/>
  <c r="G545" i="246" s="1"/>
  <c r="G607" i="246" s="1"/>
  <c r="G669" i="246" s="1"/>
  <c r="G731" i="246" s="1"/>
  <c r="G793" i="246" s="1"/>
  <c r="E49" i="246"/>
  <c r="E111" i="246" s="1"/>
  <c r="E173" i="246" s="1"/>
  <c r="E235" i="246" s="1"/>
  <c r="E297" i="246" s="1"/>
  <c r="E359" i="246" s="1"/>
  <c r="E421" i="246" s="1"/>
  <c r="E483" i="246" s="1"/>
  <c r="E545" i="246" s="1"/>
  <c r="E607" i="246" s="1"/>
  <c r="E669" i="246" s="1"/>
  <c r="E731" i="246" s="1"/>
  <c r="E793" i="246" s="1"/>
  <c r="D49" i="246"/>
  <c r="D111" i="246" s="1"/>
  <c r="D173" i="246" s="1"/>
  <c r="D235" i="246" s="1"/>
  <c r="D297" i="246" s="1"/>
  <c r="D359" i="246" s="1"/>
  <c r="D421" i="246" s="1"/>
  <c r="D483" i="246" s="1"/>
  <c r="D545" i="246" s="1"/>
  <c r="D607" i="246" s="1"/>
  <c r="D669" i="246" s="1"/>
  <c r="D731" i="246" s="1"/>
  <c r="D793" i="246" s="1"/>
  <c r="G48" i="246"/>
  <c r="G110" i="246" s="1"/>
  <c r="G172" i="246" s="1"/>
  <c r="G234" i="246" s="1"/>
  <c r="G296" i="246" s="1"/>
  <c r="G358" i="246" s="1"/>
  <c r="G420" i="246" s="1"/>
  <c r="G482" i="246" s="1"/>
  <c r="G544" i="246" s="1"/>
  <c r="G606" i="246" s="1"/>
  <c r="G668" i="246" s="1"/>
  <c r="G730" i="246" s="1"/>
  <c r="G792" i="246" s="1"/>
  <c r="E48" i="246"/>
  <c r="E110" i="246" s="1"/>
  <c r="E172" i="246" s="1"/>
  <c r="E234" i="246" s="1"/>
  <c r="E296" i="246" s="1"/>
  <c r="E358" i="246" s="1"/>
  <c r="E420" i="246" s="1"/>
  <c r="E482" i="246" s="1"/>
  <c r="E544" i="246" s="1"/>
  <c r="E606" i="246" s="1"/>
  <c r="E668" i="246" s="1"/>
  <c r="E730" i="246" s="1"/>
  <c r="E792" i="246" s="1"/>
  <c r="D48" i="246"/>
  <c r="U48" i="246" s="1"/>
  <c r="U110" i="246" s="1"/>
  <c r="U172" i="246" s="1"/>
  <c r="U234" i="246" s="1"/>
  <c r="U296" i="246" s="1"/>
  <c r="U358" i="246" s="1"/>
  <c r="U420" i="246" s="1"/>
  <c r="U482" i="246" s="1"/>
  <c r="U544" i="246" s="1"/>
  <c r="U606" i="246" s="1"/>
  <c r="U668" i="246" s="1"/>
  <c r="U730" i="246" s="1"/>
  <c r="G47" i="246"/>
  <c r="G109" i="246" s="1"/>
  <c r="G171" i="246" s="1"/>
  <c r="G233" i="246" s="1"/>
  <c r="G295" i="246" s="1"/>
  <c r="G357" i="246" s="1"/>
  <c r="G419" i="246" s="1"/>
  <c r="G481" i="246" s="1"/>
  <c r="G543" i="246" s="1"/>
  <c r="G605" i="246" s="1"/>
  <c r="G667" i="246" s="1"/>
  <c r="G729" i="246" s="1"/>
  <c r="G791" i="246" s="1"/>
  <c r="E47" i="246"/>
  <c r="E109" i="246" s="1"/>
  <c r="E171" i="246" s="1"/>
  <c r="E233" i="246" s="1"/>
  <c r="E295" i="246" s="1"/>
  <c r="E357" i="246" s="1"/>
  <c r="E419" i="246" s="1"/>
  <c r="E481" i="246" s="1"/>
  <c r="E543" i="246" s="1"/>
  <c r="E605" i="246" s="1"/>
  <c r="E667" i="246" s="1"/>
  <c r="E729" i="246" s="1"/>
  <c r="E791" i="246" s="1"/>
  <c r="D47" i="246"/>
  <c r="U47" i="246" s="1"/>
  <c r="U109" i="246" s="1"/>
  <c r="U171" i="246" s="1"/>
  <c r="U233" i="246" s="1"/>
  <c r="U295" i="246" s="1"/>
  <c r="U357" i="246" s="1"/>
  <c r="U419" i="246" s="1"/>
  <c r="U481" i="246" s="1"/>
  <c r="U543" i="246" s="1"/>
  <c r="U605" i="246" s="1"/>
  <c r="U667" i="246" s="1"/>
  <c r="U729" i="246" s="1"/>
  <c r="G46" i="246"/>
  <c r="G108" i="246" s="1"/>
  <c r="G170" i="246" s="1"/>
  <c r="G232" i="246" s="1"/>
  <c r="G294" i="246" s="1"/>
  <c r="G356" i="246" s="1"/>
  <c r="G418" i="246" s="1"/>
  <c r="G480" i="246" s="1"/>
  <c r="G542" i="246" s="1"/>
  <c r="G604" i="246" s="1"/>
  <c r="G666" i="246" s="1"/>
  <c r="G728" i="246" s="1"/>
  <c r="G790" i="246" s="1"/>
  <c r="E46" i="246"/>
  <c r="E108" i="246" s="1"/>
  <c r="E170" i="246" s="1"/>
  <c r="E232" i="246" s="1"/>
  <c r="E294" i="246" s="1"/>
  <c r="E356" i="246" s="1"/>
  <c r="E418" i="246" s="1"/>
  <c r="E480" i="246" s="1"/>
  <c r="E542" i="246" s="1"/>
  <c r="E604" i="246" s="1"/>
  <c r="E666" i="246" s="1"/>
  <c r="E728" i="246" s="1"/>
  <c r="E790" i="246" s="1"/>
  <c r="D46" i="246"/>
  <c r="D108" i="246" s="1"/>
  <c r="D170" i="246" s="1"/>
  <c r="D232" i="246" s="1"/>
  <c r="D294" i="246" s="1"/>
  <c r="D356" i="246" s="1"/>
  <c r="D418" i="246" s="1"/>
  <c r="D480" i="246" s="1"/>
  <c r="D542" i="246" s="1"/>
  <c r="D604" i="246" s="1"/>
  <c r="D666" i="246" s="1"/>
  <c r="D728" i="246" s="1"/>
  <c r="D790" i="246" s="1"/>
  <c r="G45" i="246"/>
  <c r="G107" i="246" s="1"/>
  <c r="G169" i="246" s="1"/>
  <c r="G231" i="246" s="1"/>
  <c r="G293" i="246" s="1"/>
  <c r="G355" i="246" s="1"/>
  <c r="G417" i="246" s="1"/>
  <c r="G479" i="246" s="1"/>
  <c r="G541" i="246" s="1"/>
  <c r="G603" i="246" s="1"/>
  <c r="G665" i="246" s="1"/>
  <c r="G727" i="246" s="1"/>
  <c r="G789" i="246" s="1"/>
  <c r="E45" i="246"/>
  <c r="E107" i="246" s="1"/>
  <c r="E169" i="246" s="1"/>
  <c r="E231" i="246" s="1"/>
  <c r="E293" i="246" s="1"/>
  <c r="E355" i="246" s="1"/>
  <c r="E417" i="246" s="1"/>
  <c r="E479" i="246" s="1"/>
  <c r="E541" i="246" s="1"/>
  <c r="E603" i="246" s="1"/>
  <c r="E665" i="246" s="1"/>
  <c r="E727" i="246" s="1"/>
  <c r="E789" i="246" s="1"/>
  <c r="D45" i="246"/>
  <c r="G44" i="246"/>
  <c r="G106" i="246" s="1"/>
  <c r="G168" i="246" s="1"/>
  <c r="G230" i="246" s="1"/>
  <c r="G292" i="246" s="1"/>
  <c r="G354" i="246" s="1"/>
  <c r="G416" i="246" s="1"/>
  <c r="G478" i="246" s="1"/>
  <c r="G540" i="246" s="1"/>
  <c r="G602" i="246" s="1"/>
  <c r="G664" i="246" s="1"/>
  <c r="G726" i="246" s="1"/>
  <c r="G788" i="246" s="1"/>
  <c r="E44" i="246"/>
  <c r="E106" i="246" s="1"/>
  <c r="E168" i="246" s="1"/>
  <c r="E230" i="246" s="1"/>
  <c r="E292" i="246" s="1"/>
  <c r="E354" i="246" s="1"/>
  <c r="E416" i="246" s="1"/>
  <c r="E478" i="246" s="1"/>
  <c r="E540" i="246" s="1"/>
  <c r="E602" i="246" s="1"/>
  <c r="E664" i="246" s="1"/>
  <c r="E726" i="246" s="1"/>
  <c r="E788" i="246" s="1"/>
  <c r="D44" i="246"/>
  <c r="U44" i="246" s="1"/>
  <c r="U106" i="246" s="1"/>
  <c r="U168" i="246" s="1"/>
  <c r="U230" i="246" s="1"/>
  <c r="U292" i="246" s="1"/>
  <c r="U354" i="246" s="1"/>
  <c r="U416" i="246" s="1"/>
  <c r="U478" i="246" s="1"/>
  <c r="U540" i="246" s="1"/>
  <c r="U602" i="246" s="1"/>
  <c r="U664" i="246" s="1"/>
  <c r="U726" i="246" s="1"/>
  <c r="G43" i="246"/>
  <c r="G105" i="246" s="1"/>
  <c r="G167" i="246" s="1"/>
  <c r="G229" i="246" s="1"/>
  <c r="G291" i="246" s="1"/>
  <c r="G353" i="246" s="1"/>
  <c r="G415" i="246" s="1"/>
  <c r="G477" i="246" s="1"/>
  <c r="G539" i="246" s="1"/>
  <c r="G601" i="246" s="1"/>
  <c r="G663" i="246" s="1"/>
  <c r="G725" i="246" s="1"/>
  <c r="G787" i="246" s="1"/>
  <c r="E43" i="246"/>
  <c r="E105" i="246" s="1"/>
  <c r="E167" i="246" s="1"/>
  <c r="E229" i="246" s="1"/>
  <c r="E291" i="246" s="1"/>
  <c r="E353" i="246" s="1"/>
  <c r="E415" i="246" s="1"/>
  <c r="E477" i="246" s="1"/>
  <c r="E539" i="246" s="1"/>
  <c r="E601" i="246" s="1"/>
  <c r="E663" i="246" s="1"/>
  <c r="E725" i="246" s="1"/>
  <c r="E787" i="246" s="1"/>
  <c r="D43" i="246"/>
  <c r="D105" i="246" s="1"/>
  <c r="D167" i="246" s="1"/>
  <c r="D229" i="246" s="1"/>
  <c r="D291" i="246" s="1"/>
  <c r="D353" i="246" s="1"/>
  <c r="D415" i="246" s="1"/>
  <c r="D477" i="246" s="1"/>
  <c r="D539" i="246" s="1"/>
  <c r="D601" i="246" s="1"/>
  <c r="D663" i="246" s="1"/>
  <c r="D725" i="246" s="1"/>
  <c r="D787" i="246" s="1"/>
  <c r="G42" i="246"/>
  <c r="G104" i="246" s="1"/>
  <c r="G166" i="246" s="1"/>
  <c r="G228" i="246" s="1"/>
  <c r="G290" i="246" s="1"/>
  <c r="G352" i="246" s="1"/>
  <c r="G414" i="246" s="1"/>
  <c r="G476" i="246" s="1"/>
  <c r="G538" i="246" s="1"/>
  <c r="G600" i="246" s="1"/>
  <c r="G662" i="246" s="1"/>
  <c r="G724" i="246" s="1"/>
  <c r="G786" i="246" s="1"/>
  <c r="E42" i="246"/>
  <c r="E104" i="246" s="1"/>
  <c r="E166" i="246" s="1"/>
  <c r="E228" i="246" s="1"/>
  <c r="E290" i="246" s="1"/>
  <c r="E352" i="246" s="1"/>
  <c r="E414" i="246" s="1"/>
  <c r="E476" i="246" s="1"/>
  <c r="E538" i="246" s="1"/>
  <c r="E600" i="246" s="1"/>
  <c r="E662" i="246" s="1"/>
  <c r="E724" i="246" s="1"/>
  <c r="E786" i="246" s="1"/>
  <c r="D42" i="246"/>
  <c r="G41" i="246"/>
  <c r="G103" i="246" s="1"/>
  <c r="G165" i="246" s="1"/>
  <c r="G227" i="246" s="1"/>
  <c r="G289" i="246" s="1"/>
  <c r="G351" i="246" s="1"/>
  <c r="G413" i="246" s="1"/>
  <c r="G475" i="246" s="1"/>
  <c r="G537" i="246" s="1"/>
  <c r="G599" i="246" s="1"/>
  <c r="G661" i="246" s="1"/>
  <c r="G723" i="246" s="1"/>
  <c r="G785" i="246" s="1"/>
  <c r="E41" i="246"/>
  <c r="E103" i="246" s="1"/>
  <c r="E165" i="246" s="1"/>
  <c r="E227" i="246" s="1"/>
  <c r="E289" i="246" s="1"/>
  <c r="E351" i="246" s="1"/>
  <c r="E413" i="246" s="1"/>
  <c r="E475" i="246" s="1"/>
  <c r="E537" i="246" s="1"/>
  <c r="E599" i="246" s="1"/>
  <c r="E661" i="246" s="1"/>
  <c r="E723" i="246" s="1"/>
  <c r="E785" i="246" s="1"/>
  <c r="D41" i="246"/>
  <c r="U41" i="246" s="1"/>
  <c r="U103" i="246" s="1"/>
  <c r="U165" i="246" s="1"/>
  <c r="U227" i="246" s="1"/>
  <c r="U289" i="246" s="1"/>
  <c r="U351" i="246" s="1"/>
  <c r="U413" i="246" s="1"/>
  <c r="U475" i="246" s="1"/>
  <c r="U537" i="246" s="1"/>
  <c r="U599" i="246" s="1"/>
  <c r="U661" i="246" s="1"/>
  <c r="U723" i="246" s="1"/>
  <c r="G40" i="246"/>
  <c r="G102" i="246" s="1"/>
  <c r="G164" i="246" s="1"/>
  <c r="G226" i="246" s="1"/>
  <c r="G288" i="246" s="1"/>
  <c r="G350" i="246" s="1"/>
  <c r="G412" i="246" s="1"/>
  <c r="G474" i="246" s="1"/>
  <c r="G536" i="246" s="1"/>
  <c r="G598" i="246" s="1"/>
  <c r="G660" i="246" s="1"/>
  <c r="G722" i="246" s="1"/>
  <c r="G784" i="246" s="1"/>
  <c r="E40" i="246"/>
  <c r="E102" i="246" s="1"/>
  <c r="E164" i="246" s="1"/>
  <c r="E226" i="246" s="1"/>
  <c r="E288" i="246" s="1"/>
  <c r="E350" i="246" s="1"/>
  <c r="E412" i="246" s="1"/>
  <c r="E474" i="246" s="1"/>
  <c r="E536" i="246" s="1"/>
  <c r="E598" i="246" s="1"/>
  <c r="E660" i="246" s="1"/>
  <c r="E722" i="246" s="1"/>
  <c r="E784" i="246" s="1"/>
  <c r="D40" i="246"/>
  <c r="U40" i="246" s="1"/>
  <c r="U102" i="246" s="1"/>
  <c r="U164" i="246" s="1"/>
  <c r="U226" i="246" s="1"/>
  <c r="U288" i="246" s="1"/>
  <c r="U350" i="246" s="1"/>
  <c r="U412" i="246" s="1"/>
  <c r="U474" i="246" s="1"/>
  <c r="U536" i="246" s="1"/>
  <c r="U598" i="246" s="1"/>
  <c r="U660" i="246" s="1"/>
  <c r="U722" i="246" s="1"/>
  <c r="G37" i="246"/>
  <c r="G99" i="246" s="1"/>
  <c r="G161" i="246" s="1"/>
  <c r="G223" i="246" s="1"/>
  <c r="G285" i="246" s="1"/>
  <c r="G347" i="246" s="1"/>
  <c r="G409" i="246" s="1"/>
  <c r="G471" i="246" s="1"/>
  <c r="G533" i="246" s="1"/>
  <c r="G595" i="246" s="1"/>
  <c r="G657" i="246" s="1"/>
  <c r="G719" i="246" s="1"/>
  <c r="G781" i="246" s="1"/>
  <c r="E37" i="246"/>
  <c r="E99" i="246" s="1"/>
  <c r="E161" i="246" s="1"/>
  <c r="E223" i="246" s="1"/>
  <c r="E285" i="246" s="1"/>
  <c r="E347" i="246" s="1"/>
  <c r="E409" i="246" s="1"/>
  <c r="E471" i="246" s="1"/>
  <c r="E533" i="246" s="1"/>
  <c r="E595" i="246" s="1"/>
  <c r="E657" i="246" s="1"/>
  <c r="E719" i="246" s="1"/>
  <c r="E781" i="246" s="1"/>
  <c r="D37" i="246"/>
  <c r="D99" i="246" s="1"/>
  <c r="D161" i="246" s="1"/>
  <c r="D223" i="246" s="1"/>
  <c r="D285" i="246" s="1"/>
  <c r="D347" i="246" s="1"/>
  <c r="D409" i="246" s="1"/>
  <c r="D471" i="246" s="1"/>
  <c r="D533" i="246" s="1"/>
  <c r="D595" i="246" s="1"/>
  <c r="D657" i="246" s="1"/>
  <c r="D719" i="246" s="1"/>
  <c r="D781" i="246" s="1"/>
  <c r="G36" i="246"/>
  <c r="G98" i="246" s="1"/>
  <c r="G160" i="246" s="1"/>
  <c r="G222" i="246" s="1"/>
  <c r="G284" i="246" s="1"/>
  <c r="G346" i="246" s="1"/>
  <c r="G408" i="246" s="1"/>
  <c r="G470" i="246" s="1"/>
  <c r="G532" i="246" s="1"/>
  <c r="G594" i="246" s="1"/>
  <c r="G656" i="246" s="1"/>
  <c r="G718" i="246" s="1"/>
  <c r="G780" i="246" s="1"/>
  <c r="E36" i="246"/>
  <c r="E98" i="246" s="1"/>
  <c r="E160" i="246" s="1"/>
  <c r="E222" i="246" s="1"/>
  <c r="E284" i="246" s="1"/>
  <c r="E346" i="246" s="1"/>
  <c r="E408" i="246" s="1"/>
  <c r="E470" i="246" s="1"/>
  <c r="E532" i="246" s="1"/>
  <c r="E594" i="246" s="1"/>
  <c r="E656" i="246" s="1"/>
  <c r="E718" i="246" s="1"/>
  <c r="E780" i="246" s="1"/>
  <c r="D36" i="246"/>
  <c r="D98" i="246" s="1"/>
  <c r="D160" i="246" s="1"/>
  <c r="D222" i="246" s="1"/>
  <c r="D284" i="246" s="1"/>
  <c r="D346" i="246" s="1"/>
  <c r="D408" i="246" s="1"/>
  <c r="D470" i="246" s="1"/>
  <c r="D532" i="246" s="1"/>
  <c r="D594" i="246" s="1"/>
  <c r="D656" i="246" s="1"/>
  <c r="D718" i="246" s="1"/>
  <c r="D780" i="246" s="1"/>
  <c r="G35" i="246"/>
  <c r="G97" i="246" s="1"/>
  <c r="G159" i="246" s="1"/>
  <c r="G221" i="246" s="1"/>
  <c r="G283" i="246" s="1"/>
  <c r="G345" i="246" s="1"/>
  <c r="G407" i="246" s="1"/>
  <c r="G469" i="246" s="1"/>
  <c r="G531" i="246" s="1"/>
  <c r="G593" i="246" s="1"/>
  <c r="G655" i="246" s="1"/>
  <c r="G717" i="246" s="1"/>
  <c r="G779" i="246" s="1"/>
  <c r="E35" i="246"/>
  <c r="E97" i="246" s="1"/>
  <c r="E159" i="246" s="1"/>
  <c r="E221" i="246" s="1"/>
  <c r="E283" i="246" s="1"/>
  <c r="E345" i="246" s="1"/>
  <c r="E407" i="246" s="1"/>
  <c r="E469" i="246" s="1"/>
  <c r="E531" i="246" s="1"/>
  <c r="E593" i="246" s="1"/>
  <c r="E655" i="246" s="1"/>
  <c r="E717" i="246" s="1"/>
  <c r="E779" i="246" s="1"/>
  <c r="D35" i="246"/>
  <c r="G32" i="246"/>
  <c r="G94" i="246" s="1"/>
  <c r="G156" i="246" s="1"/>
  <c r="G218" i="246" s="1"/>
  <c r="G280" i="246" s="1"/>
  <c r="G342" i="246" s="1"/>
  <c r="G404" i="246" s="1"/>
  <c r="G466" i="246" s="1"/>
  <c r="G528" i="246" s="1"/>
  <c r="G590" i="246" s="1"/>
  <c r="G652" i="246" s="1"/>
  <c r="G714" i="246" s="1"/>
  <c r="G776" i="246" s="1"/>
  <c r="E32" i="246"/>
  <c r="E94" i="246" s="1"/>
  <c r="E156" i="246" s="1"/>
  <c r="E218" i="246" s="1"/>
  <c r="E280" i="246" s="1"/>
  <c r="E342" i="246" s="1"/>
  <c r="E404" i="246" s="1"/>
  <c r="E466" i="246" s="1"/>
  <c r="E528" i="246" s="1"/>
  <c r="E590" i="246" s="1"/>
  <c r="E652" i="246" s="1"/>
  <c r="E714" i="246" s="1"/>
  <c r="E776" i="246" s="1"/>
  <c r="D32" i="246"/>
  <c r="U32" i="246" s="1"/>
  <c r="U94" i="246" s="1"/>
  <c r="U156" i="246" s="1"/>
  <c r="U218" i="246" s="1"/>
  <c r="U280" i="246" s="1"/>
  <c r="U342" i="246" s="1"/>
  <c r="U404" i="246" s="1"/>
  <c r="U466" i="246" s="1"/>
  <c r="U528" i="246" s="1"/>
  <c r="U590" i="246" s="1"/>
  <c r="U652" i="246" s="1"/>
  <c r="U714" i="246" s="1"/>
  <c r="G31" i="246"/>
  <c r="G93" i="246" s="1"/>
  <c r="G155" i="246" s="1"/>
  <c r="G217" i="246" s="1"/>
  <c r="G279" i="246" s="1"/>
  <c r="G341" i="246" s="1"/>
  <c r="G403" i="246" s="1"/>
  <c r="G465" i="246" s="1"/>
  <c r="G527" i="246" s="1"/>
  <c r="G589" i="246" s="1"/>
  <c r="G651" i="246" s="1"/>
  <c r="G713" i="246" s="1"/>
  <c r="G775" i="246" s="1"/>
  <c r="E31" i="246"/>
  <c r="E93" i="246" s="1"/>
  <c r="E155" i="246" s="1"/>
  <c r="E217" i="246" s="1"/>
  <c r="E279" i="246" s="1"/>
  <c r="E341" i="246" s="1"/>
  <c r="E403" i="246" s="1"/>
  <c r="E465" i="246" s="1"/>
  <c r="E527" i="246" s="1"/>
  <c r="E589" i="246" s="1"/>
  <c r="E651" i="246" s="1"/>
  <c r="E713" i="246" s="1"/>
  <c r="E775" i="246" s="1"/>
  <c r="D31" i="246"/>
  <c r="D93" i="246" s="1"/>
  <c r="D155" i="246" s="1"/>
  <c r="D217" i="246" s="1"/>
  <c r="D279" i="246" s="1"/>
  <c r="D341" i="246" s="1"/>
  <c r="D403" i="246" s="1"/>
  <c r="D465" i="246" s="1"/>
  <c r="D527" i="246" s="1"/>
  <c r="D589" i="246" s="1"/>
  <c r="D651" i="246" s="1"/>
  <c r="D713" i="246" s="1"/>
  <c r="D775" i="246" s="1"/>
  <c r="G30" i="246"/>
  <c r="G92" i="246" s="1"/>
  <c r="G154" i="246" s="1"/>
  <c r="G216" i="246" s="1"/>
  <c r="G278" i="246" s="1"/>
  <c r="G340" i="246" s="1"/>
  <c r="G402" i="246" s="1"/>
  <c r="G464" i="246" s="1"/>
  <c r="G526" i="246" s="1"/>
  <c r="G588" i="246" s="1"/>
  <c r="G650" i="246" s="1"/>
  <c r="G712" i="246" s="1"/>
  <c r="G774" i="246" s="1"/>
  <c r="E30" i="246"/>
  <c r="E92" i="246" s="1"/>
  <c r="E154" i="246" s="1"/>
  <c r="E216" i="246" s="1"/>
  <c r="E278" i="246" s="1"/>
  <c r="E340" i="246" s="1"/>
  <c r="E402" i="246" s="1"/>
  <c r="E464" i="246" s="1"/>
  <c r="E526" i="246" s="1"/>
  <c r="E588" i="246" s="1"/>
  <c r="E650" i="246" s="1"/>
  <c r="E712" i="246" s="1"/>
  <c r="E774" i="246" s="1"/>
  <c r="D30" i="246"/>
  <c r="V29" i="246"/>
  <c r="V91" i="246" s="1"/>
  <c r="V153" i="246" s="1"/>
  <c r="V215" i="246" s="1"/>
  <c r="V277" i="246" s="1"/>
  <c r="V339" i="246" s="1"/>
  <c r="V401" i="246" s="1"/>
  <c r="V463" i="246" s="1"/>
  <c r="V525" i="246" s="1"/>
  <c r="V587" i="246" s="1"/>
  <c r="V649" i="246" s="1"/>
  <c r="V711" i="246" s="1"/>
  <c r="G29" i="246"/>
  <c r="G91" i="246" s="1"/>
  <c r="G153" i="246" s="1"/>
  <c r="G215" i="246" s="1"/>
  <c r="G277" i="246" s="1"/>
  <c r="G339" i="246" s="1"/>
  <c r="G401" i="246" s="1"/>
  <c r="G463" i="246" s="1"/>
  <c r="G525" i="246" s="1"/>
  <c r="G587" i="246" s="1"/>
  <c r="G649" i="246" s="1"/>
  <c r="G711" i="246" s="1"/>
  <c r="G773" i="246" s="1"/>
  <c r="E29" i="246"/>
  <c r="E91" i="246" s="1"/>
  <c r="E153" i="246" s="1"/>
  <c r="E215" i="246" s="1"/>
  <c r="E277" i="246" s="1"/>
  <c r="E339" i="246" s="1"/>
  <c r="E401" i="246" s="1"/>
  <c r="E463" i="246" s="1"/>
  <c r="E525" i="246" s="1"/>
  <c r="E587" i="246" s="1"/>
  <c r="E649" i="246" s="1"/>
  <c r="E711" i="246" s="1"/>
  <c r="E773" i="246" s="1"/>
  <c r="G28" i="246"/>
  <c r="G90" i="246" s="1"/>
  <c r="G152" i="246" s="1"/>
  <c r="G214" i="246" s="1"/>
  <c r="G276" i="246" s="1"/>
  <c r="G338" i="246" s="1"/>
  <c r="G400" i="246" s="1"/>
  <c r="G462" i="246" s="1"/>
  <c r="G524" i="246" s="1"/>
  <c r="G586" i="246" s="1"/>
  <c r="G648" i="246" s="1"/>
  <c r="G710" i="246" s="1"/>
  <c r="G772" i="246" s="1"/>
  <c r="E28" i="246"/>
  <c r="E90" i="246" s="1"/>
  <c r="E152" i="246" s="1"/>
  <c r="E214" i="246" s="1"/>
  <c r="E276" i="246" s="1"/>
  <c r="E338" i="246" s="1"/>
  <c r="E400" i="246" s="1"/>
  <c r="E462" i="246" s="1"/>
  <c r="E524" i="246" s="1"/>
  <c r="E586" i="246" s="1"/>
  <c r="E648" i="246" s="1"/>
  <c r="E710" i="246" s="1"/>
  <c r="E772" i="246" s="1"/>
  <c r="D28" i="246"/>
  <c r="U28" i="246" s="1"/>
  <c r="U90" i="246" s="1"/>
  <c r="U152" i="246" s="1"/>
  <c r="U214" i="246" s="1"/>
  <c r="U276" i="246" s="1"/>
  <c r="U338" i="246" s="1"/>
  <c r="U400" i="246" s="1"/>
  <c r="U462" i="246" s="1"/>
  <c r="U524" i="246" s="1"/>
  <c r="U586" i="246" s="1"/>
  <c r="U648" i="246" s="1"/>
  <c r="U710" i="246" s="1"/>
  <c r="G27" i="246"/>
  <c r="G89" i="246" s="1"/>
  <c r="G151" i="246" s="1"/>
  <c r="G213" i="246" s="1"/>
  <c r="G275" i="246" s="1"/>
  <c r="G337" i="246" s="1"/>
  <c r="G399" i="246" s="1"/>
  <c r="G461" i="246" s="1"/>
  <c r="G523" i="246" s="1"/>
  <c r="G585" i="246" s="1"/>
  <c r="G647" i="246" s="1"/>
  <c r="G709" i="246" s="1"/>
  <c r="G771" i="246" s="1"/>
  <c r="E27" i="246"/>
  <c r="E89" i="246" s="1"/>
  <c r="E151" i="246" s="1"/>
  <c r="E213" i="246" s="1"/>
  <c r="E275" i="246" s="1"/>
  <c r="E337" i="246" s="1"/>
  <c r="E399" i="246" s="1"/>
  <c r="E461" i="246" s="1"/>
  <c r="E523" i="246" s="1"/>
  <c r="E585" i="246" s="1"/>
  <c r="E647" i="246" s="1"/>
  <c r="E709" i="246" s="1"/>
  <c r="E771" i="246" s="1"/>
  <c r="D27" i="246"/>
  <c r="V24" i="246"/>
  <c r="V86" i="246" s="1"/>
  <c r="V148" i="246" s="1"/>
  <c r="V210" i="246" s="1"/>
  <c r="V272" i="246" s="1"/>
  <c r="V334" i="246" s="1"/>
  <c r="V396" i="246" s="1"/>
  <c r="V458" i="246" s="1"/>
  <c r="V520" i="246" s="1"/>
  <c r="V582" i="246" s="1"/>
  <c r="V644" i="246" s="1"/>
  <c r="V706" i="246" s="1"/>
  <c r="G21" i="246"/>
  <c r="G83" i="246" s="1"/>
  <c r="G145" i="246" s="1"/>
  <c r="G207" i="246" s="1"/>
  <c r="G269" i="246" s="1"/>
  <c r="G331" i="246" s="1"/>
  <c r="G393" i="246" s="1"/>
  <c r="G455" i="246" s="1"/>
  <c r="G517" i="246" s="1"/>
  <c r="G579" i="246" s="1"/>
  <c r="G641" i="246" s="1"/>
  <c r="G703" i="246" s="1"/>
  <c r="G765" i="246" s="1"/>
  <c r="E21" i="246"/>
  <c r="E83" i="246" s="1"/>
  <c r="E145" i="246" s="1"/>
  <c r="E207" i="246" s="1"/>
  <c r="E269" i="246" s="1"/>
  <c r="E331" i="246" s="1"/>
  <c r="E393" i="246" s="1"/>
  <c r="E455" i="246" s="1"/>
  <c r="E517" i="246" s="1"/>
  <c r="E579" i="246" s="1"/>
  <c r="E641" i="246" s="1"/>
  <c r="E703" i="246" s="1"/>
  <c r="E765" i="246" s="1"/>
  <c r="D21" i="246"/>
  <c r="D83" i="246" s="1"/>
  <c r="D145" i="246" s="1"/>
  <c r="D207" i="246" s="1"/>
  <c r="D269" i="246" s="1"/>
  <c r="D331" i="246" s="1"/>
  <c r="D393" i="246" s="1"/>
  <c r="D455" i="246" s="1"/>
  <c r="D517" i="246" s="1"/>
  <c r="D579" i="246" s="1"/>
  <c r="D641" i="246" s="1"/>
  <c r="D703" i="246" s="1"/>
  <c r="D765" i="246" s="1"/>
  <c r="G20" i="246"/>
  <c r="G82" i="246" s="1"/>
  <c r="G144" i="246" s="1"/>
  <c r="G206" i="246" s="1"/>
  <c r="G268" i="246" s="1"/>
  <c r="G330" i="246" s="1"/>
  <c r="G392" i="246" s="1"/>
  <c r="G454" i="246" s="1"/>
  <c r="G516" i="246" s="1"/>
  <c r="G578" i="246" s="1"/>
  <c r="G640" i="246" s="1"/>
  <c r="G702" i="246" s="1"/>
  <c r="G764" i="246" s="1"/>
  <c r="E20" i="246"/>
  <c r="E82" i="246" s="1"/>
  <c r="E144" i="246" s="1"/>
  <c r="E206" i="246" s="1"/>
  <c r="E268" i="246" s="1"/>
  <c r="E330" i="246" s="1"/>
  <c r="E392" i="246" s="1"/>
  <c r="E454" i="246" s="1"/>
  <c r="E516" i="246" s="1"/>
  <c r="E578" i="246" s="1"/>
  <c r="E640" i="246" s="1"/>
  <c r="E702" i="246" s="1"/>
  <c r="E764" i="246" s="1"/>
  <c r="D20" i="246"/>
  <c r="D82" i="246" s="1"/>
  <c r="D144" i="246" s="1"/>
  <c r="D206" i="246" s="1"/>
  <c r="D268" i="246" s="1"/>
  <c r="D330" i="246" s="1"/>
  <c r="D392" i="246" s="1"/>
  <c r="D454" i="246" s="1"/>
  <c r="D516" i="246" s="1"/>
  <c r="D578" i="246" s="1"/>
  <c r="D640" i="246" s="1"/>
  <c r="D702" i="246" s="1"/>
  <c r="D764" i="246" s="1"/>
  <c r="G19" i="246"/>
  <c r="G81" i="246" s="1"/>
  <c r="G143" i="246" s="1"/>
  <c r="G205" i="246" s="1"/>
  <c r="G267" i="246" s="1"/>
  <c r="G329" i="246" s="1"/>
  <c r="G391" i="246" s="1"/>
  <c r="G453" i="246" s="1"/>
  <c r="G515" i="246" s="1"/>
  <c r="G577" i="246" s="1"/>
  <c r="G639" i="246" s="1"/>
  <c r="G701" i="246" s="1"/>
  <c r="G763" i="246" s="1"/>
  <c r="E19" i="246"/>
  <c r="E81" i="246" s="1"/>
  <c r="E143" i="246" s="1"/>
  <c r="E205" i="246" s="1"/>
  <c r="E267" i="246" s="1"/>
  <c r="E329" i="246" s="1"/>
  <c r="E391" i="246" s="1"/>
  <c r="E453" i="246" s="1"/>
  <c r="E515" i="246" s="1"/>
  <c r="E577" i="246" s="1"/>
  <c r="E639" i="246" s="1"/>
  <c r="E701" i="246" s="1"/>
  <c r="E763" i="246" s="1"/>
  <c r="D19" i="246"/>
  <c r="G18" i="246"/>
  <c r="G80" i="246" s="1"/>
  <c r="G142" i="246" s="1"/>
  <c r="G204" i="246" s="1"/>
  <c r="G266" i="246" s="1"/>
  <c r="G328" i="246" s="1"/>
  <c r="G390" i="246" s="1"/>
  <c r="G452" i="246" s="1"/>
  <c r="G514" i="246" s="1"/>
  <c r="G576" i="246" s="1"/>
  <c r="G638" i="246" s="1"/>
  <c r="G700" i="246" s="1"/>
  <c r="G762" i="246" s="1"/>
  <c r="E18" i="246"/>
  <c r="E80" i="246" s="1"/>
  <c r="E142" i="246" s="1"/>
  <c r="E204" i="246" s="1"/>
  <c r="E266" i="246" s="1"/>
  <c r="E328" i="246" s="1"/>
  <c r="E390" i="246" s="1"/>
  <c r="E452" i="246" s="1"/>
  <c r="E514" i="246" s="1"/>
  <c r="E576" i="246" s="1"/>
  <c r="E638" i="246" s="1"/>
  <c r="E700" i="246" s="1"/>
  <c r="E762" i="246" s="1"/>
  <c r="D18" i="246"/>
  <c r="U18" i="246" s="1"/>
  <c r="U80" i="246" s="1"/>
  <c r="U142" i="246" s="1"/>
  <c r="U204" i="246" s="1"/>
  <c r="U266" i="246" s="1"/>
  <c r="U328" i="246" s="1"/>
  <c r="U390" i="246" s="1"/>
  <c r="U452" i="246" s="1"/>
  <c r="U514" i="246" s="1"/>
  <c r="U576" i="246" s="1"/>
  <c r="U638" i="246" s="1"/>
  <c r="U700" i="246" s="1"/>
  <c r="G17" i="246"/>
  <c r="G79" i="246" s="1"/>
  <c r="G141" i="246" s="1"/>
  <c r="G203" i="246" s="1"/>
  <c r="G265" i="246" s="1"/>
  <c r="G327" i="246" s="1"/>
  <c r="G389" i="246" s="1"/>
  <c r="G451" i="246" s="1"/>
  <c r="G513" i="246" s="1"/>
  <c r="G575" i="246" s="1"/>
  <c r="G637" i="246" s="1"/>
  <c r="G699" i="246" s="1"/>
  <c r="G761" i="246" s="1"/>
  <c r="E17" i="246"/>
  <c r="E79" i="246" s="1"/>
  <c r="E141" i="246" s="1"/>
  <c r="E203" i="246" s="1"/>
  <c r="E265" i="246" s="1"/>
  <c r="E327" i="246" s="1"/>
  <c r="E389" i="246" s="1"/>
  <c r="E451" i="246" s="1"/>
  <c r="E513" i="246" s="1"/>
  <c r="E575" i="246" s="1"/>
  <c r="E637" i="246" s="1"/>
  <c r="E699" i="246" s="1"/>
  <c r="E761" i="246" s="1"/>
  <c r="D17" i="246"/>
  <c r="D79" i="246" s="1"/>
  <c r="D141" i="246" s="1"/>
  <c r="D203" i="246" s="1"/>
  <c r="D265" i="246" s="1"/>
  <c r="D327" i="246" s="1"/>
  <c r="D389" i="246" s="1"/>
  <c r="D451" i="246" s="1"/>
  <c r="D513" i="246" s="1"/>
  <c r="D575" i="246" s="1"/>
  <c r="D637" i="246" s="1"/>
  <c r="D699" i="246" s="1"/>
  <c r="D761" i="246" s="1"/>
  <c r="G14" i="246"/>
  <c r="G76" i="246" s="1"/>
  <c r="G138" i="246" s="1"/>
  <c r="G200" i="246" s="1"/>
  <c r="G262" i="246" s="1"/>
  <c r="G324" i="246" s="1"/>
  <c r="G386" i="246" s="1"/>
  <c r="G448" i="246" s="1"/>
  <c r="G510" i="246" s="1"/>
  <c r="G572" i="246" s="1"/>
  <c r="G634" i="246" s="1"/>
  <c r="G696" i="246" s="1"/>
  <c r="G758" i="246" s="1"/>
  <c r="E14" i="246"/>
  <c r="E76" i="246" s="1"/>
  <c r="E138" i="246" s="1"/>
  <c r="E200" i="246" s="1"/>
  <c r="E262" i="246" s="1"/>
  <c r="E324" i="246" s="1"/>
  <c r="E386" i="246" s="1"/>
  <c r="E448" i="246" s="1"/>
  <c r="E510" i="246" s="1"/>
  <c r="E572" i="246" s="1"/>
  <c r="E634" i="246" s="1"/>
  <c r="E696" i="246" s="1"/>
  <c r="E758" i="246" s="1"/>
  <c r="D14" i="246"/>
  <c r="G12" i="246"/>
  <c r="G74" i="246" s="1"/>
  <c r="G136" i="246" s="1"/>
  <c r="G198" i="246" s="1"/>
  <c r="G260" i="246" s="1"/>
  <c r="G322" i="246" s="1"/>
  <c r="G384" i="246" s="1"/>
  <c r="G446" i="246" s="1"/>
  <c r="G508" i="246" s="1"/>
  <c r="G570" i="246" s="1"/>
  <c r="G632" i="246" s="1"/>
  <c r="G694" i="246" s="1"/>
  <c r="G756" i="246" s="1"/>
  <c r="E12" i="246"/>
  <c r="E74" i="246" s="1"/>
  <c r="E136" i="246" s="1"/>
  <c r="E198" i="246" s="1"/>
  <c r="E260" i="246" s="1"/>
  <c r="E322" i="246" s="1"/>
  <c r="E384" i="246" s="1"/>
  <c r="E446" i="246" s="1"/>
  <c r="E508" i="246" s="1"/>
  <c r="E570" i="246" s="1"/>
  <c r="E632" i="246" s="1"/>
  <c r="E694" i="246" s="1"/>
  <c r="E756" i="246" s="1"/>
  <c r="D12" i="246"/>
  <c r="D74" i="246" s="1"/>
  <c r="D136" i="246" s="1"/>
  <c r="D198" i="246" s="1"/>
  <c r="D260" i="246" s="1"/>
  <c r="D322" i="246" s="1"/>
  <c r="D384" i="246" s="1"/>
  <c r="D446" i="246" s="1"/>
  <c r="D508" i="246" s="1"/>
  <c r="D570" i="246" s="1"/>
  <c r="D632" i="246" s="1"/>
  <c r="D694" i="246" s="1"/>
  <c r="D756" i="246" s="1"/>
  <c r="G11" i="246"/>
  <c r="G73" i="246" s="1"/>
  <c r="G135" i="246" s="1"/>
  <c r="G197" i="246" s="1"/>
  <c r="G259" i="246" s="1"/>
  <c r="G321" i="246" s="1"/>
  <c r="G383" i="246" s="1"/>
  <c r="G445" i="246" s="1"/>
  <c r="G507" i="246" s="1"/>
  <c r="G569" i="246" s="1"/>
  <c r="G631" i="246" s="1"/>
  <c r="G693" i="246" s="1"/>
  <c r="G755" i="246" s="1"/>
  <c r="E11" i="246"/>
  <c r="E73" i="246" s="1"/>
  <c r="E135" i="246" s="1"/>
  <c r="E197" i="246" s="1"/>
  <c r="E259" i="246" s="1"/>
  <c r="E321" i="246" s="1"/>
  <c r="E383" i="246" s="1"/>
  <c r="E445" i="246" s="1"/>
  <c r="E507" i="246" s="1"/>
  <c r="E569" i="246" s="1"/>
  <c r="E631" i="246" s="1"/>
  <c r="E693" i="246" s="1"/>
  <c r="E755" i="246" s="1"/>
  <c r="D11" i="246"/>
  <c r="D73" i="246" s="1"/>
  <c r="D135" i="246" s="1"/>
  <c r="D197" i="246" s="1"/>
  <c r="D259" i="246" s="1"/>
  <c r="D321" i="246" s="1"/>
  <c r="D383" i="246" s="1"/>
  <c r="D445" i="246" s="1"/>
  <c r="D507" i="246" s="1"/>
  <c r="D569" i="246" s="1"/>
  <c r="D631" i="246" s="1"/>
  <c r="D693" i="246" s="1"/>
  <c r="D755" i="246" s="1"/>
  <c r="G8" i="246"/>
  <c r="G70" i="246" s="1"/>
  <c r="G132" i="246" s="1"/>
  <c r="G194" i="246" s="1"/>
  <c r="G256" i="246" s="1"/>
  <c r="G318" i="246" s="1"/>
  <c r="G380" i="246" s="1"/>
  <c r="G442" i="246" s="1"/>
  <c r="G504" i="246" s="1"/>
  <c r="G566" i="246" s="1"/>
  <c r="G628" i="246" s="1"/>
  <c r="G690" i="246" s="1"/>
  <c r="G752" i="246" s="1"/>
  <c r="E8" i="246"/>
  <c r="E70" i="246" s="1"/>
  <c r="E132" i="246" s="1"/>
  <c r="E194" i="246" s="1"/>
  <c r="E256" i="246" s="1"/>
  <c r="E318" i="246" s="1"/>
  <c r="E380" i="246" s="1"/>
  <c r="E442" i="246" s="1"/>
  <c r="E504" i="246" s="1"/>
  <c r="E566" i="246" s="1"/>
  <c r="E628" i="246" s="1"/>
  <c r="E690" i="246" s="1"/>
  <c r="E752" i="246" s="1"/>
  <c r="D8" i="246"/>
  <c r="U8" i="246" s="1"/>
  <c r="U70" i="246" s="1"/>
  <c r="U132" i="246" s="1"/>
  <c r="U194" i="246" s="1"/>
  <c r="U256" i="246" s="1"/>
  <c r="U318" i="246" s="1"/>
  <c r="U380" i="246" s="1"/>
  <c r="U442" i="246" s="1"/>
  <c r="U504" i="246" s="1"/>
  <c r="U566" i="246" s="1"/>
  <c r="U628" i="246" s="1"/>
  <c r="U690" i="246" s="1"/>
  <c r="V776" i="209"/>
  <c r="G776" i="209"/>
  <c r="E776" i="209"/>
  <c r="D776" i="209"/>
  <c r="U776" i="209" s="1"/>
  <c r="V774" i="209"/>
  <c r="G774" i="209"/>
  <c r="E774" i="209"/>
  <c r="D774" i="209"/>
  <c r="U774" i="209" s="1"/>
  <c r="V773" i="209"/>
  <c r="G773" i="209"/>
  <c r="E773" i="209"/>
  <c r="D773" i="209"/>
  <c r="U773" i="209" s="1"/>
  <c r="V752" i="209"/>
  <c r="V744" i="209"/>
  <c r="V743" i="209"/>
  <c r="G743" i="209"/>
  <c r="E743" i="209"/>
  <c r="D743" i="209"/>
  <c r="U743" i="209" s="1"/>
  <c r="V742" i="209"/>
  <c r="G742" i="209"/>
  <c r="E742" i="209"/>
  <c r="D742" i="209"/>
  <c r="U742" i="209" s="1"/>
  <c r="V741" i="209"/>
  <c r="G741" i="209"/>
  <c r="E741" i="209"/>
  <c r="D741" i="209"/>
  <c r="U741" i="209" s="1"/>
  <c r="V716" i="209"/>
  <c r="R716" i="209"/>
  <c r="Q716" i="209"/>
  <c r="P716" i="209"/>
  <c r="O716" i="209"/>
  <c r="G716" i="209"/>
  <c r="E716" i="209"/>
  <c r="D716" i="209"/>
  <c r="U716" i="209" s="1"/>
  <c r="V714" i="209"/>
  <c r="R714" i="209"/>
  <c r="Q714" i="209"/>
  <c r="P714" i="209"/>
  <c r="O714" i="209"/>
  <c r="G714" i="209"/>
  <c r="E714" i="209"/>
  <c r="D714" i="209"/>
  <c r="U714" i="209" s="1"/>
  <c r="V713" i="209"/>
  <c r="R713" i="209"/>
  <c r="Q713" i="209"/>
  <c r="P713" i="209"/>
  <c r="O713" i="209"/>
  <c r="G713" i="209"/>
  <c r="E713" i="209"/>
  <c r="D713" i="209"/>
  <c r="U713" i="209" s="1"/>
  <c r="R712" i="209"/>
  <c r="Q712" i="209"/>
  <c r="P712" i="209"/>
  <c r="O712" i="209"/>
  <c r="R697" i="209"/>
  <c r="Q697" i="209"/>
  <c r="P697" i="209"/>
  <c r="O697" i="209"/>
  <c r="R696" i="209"/>
  <c r="Q696" i="209"/>
  <c r="P696" i="209"/>
  <c r="O696" i="209"/>
  <c r="R706" i="209"/>
  <c r="Q706" i="209"/>
  <c r="P706" i="209"/>
  <c r="O706" i="209"/>
  <c r="R709" i="209"/>
  <c r="Q709" i="209"/>
  <c r="P709" i="209"/>
  <c r="O709" i="209"/>
  <c r="R704" i="209"/>
  <c r="Q704" i="209"/>
  <c r="P704" i="209"/>
  <c r="O704" i="209"/>
  <c r="R700" i="209"/>
  <c r="Q700" i="209"/>
  <c r="P700" i="209"/>
  <c r="O700" i="209"/>
  <c r="R694" i="209"/>
  <c r="Q694" i="209"/>
  <c r="P694" i="209"/>
  <c r="O694" i="209"/>
  <c r="R707" i="209"/>
  <c r="Q707" i="209"/>
  <c r="P707" i="209"/>
  <c r="O707" i="209"/>
  <c r="R708" i="209"/>
  <c r="Q708" i="209"/>
  <c r="P708" i="209"/>
  <c r="O708" i="209"/>
  <c r="R705" i="209"/>
  <c r="Q705" i="209"/>
  <c r="P705" i="209"/>
  <c r="O705" i="209"/>
  <c r="R698" i="209"/>
  <c r="Q698" i="209"/>
  <c r="P698" i="209"/>
  <c r="O698" i="209"/>
  <c r="R695" i="209"/>
  <c r="Q695" i="209"/>
  <c r="P695" i="209"/>
  <c r="O695" i="209"/>
  <c r="V692" i="209"/>
  <c r="R689" i="209"/>
  <c r="Q689" i="209"/>
  <c r="P689" i="209"/>
  <c r="O689" i="209"/>
  <c r="R688" i="209"/>
  <c r="Q688" i="209"/>
  <c r="P688" i="209"/>
  <c r="O688" i="209"/>
  <c r="R687" i="209"/>
  <c r="Q687" i="209"/>
  <c r="P687" i="209"/>
  <c r="O687" i="209"/>
  <c r="R686" i="209"/>
  <c r="Q686" i="209"/>
  <c r="P686" i="209"/>
  <c r="O686" i="209"/>
  <c r="V684" i="209"/>
  <c r="V683" i="209"/>
  <c r="R683" i="209"/>
  <c r="Q683" i="209"/>
  <c r="P683" i="209"/>
  <c r="O683" i="209"/>
  <c r="G683" i="209"/>
  <c r="E683" i="209"/>
  <c r="D683" i="209"/>
  <c r="U683" i="209" s="1"/>
  <c r="V682" i="209"/>
  <c r="R682" i="209"/>
  <c r="Q682" i="209"/>
  <c r="P682" i="209"/>
  <c r="O682" i="209"/>
  <c r="G682" i="209"/>
  <c r="E682" i="209"/>
  <c r="D682" i="209"/>
  <c r="U682" i="209" s="1"/>
  <c r="V681" i="209"/>
  <c r="R681" i="209"/>
  <c r="Q681" i="209"/>
  <c r="P681" i="209"/>
  <c r="O681" i="209"/>
  <c r="G681" i="209"/>
  <c r="E681" i="209"/>
  <c r="D681" i="209"/>
  <c r="U681" i="209" s="1"/>
  <c r="R676" i="209"/>
  <c r="Q676" i="209"/>
  <c r="P676" i="209"/>
  <c r="O676" i="209"/>
  <c r="R675" i="209"/>
  <c r="Q675" i="209"/>
  <c r="P675" i="209"/>
  <c r="O675" i="209"/>
  <c r="R673" i="209"/>
  <c r="Q673" i="209"/>
  <c r="P673" i="209"/>
  <c r="O673" i="209"/>
  <c r="R672" i="209"/>
  <c r="Q672" i="209"/>
  <c r="P672" i="209"/>
  <c r="O672" i="209"/>
  <c r="R671" i="209"/>
  <c r="Q671" i="209"/>
  <c r="P671" i="209"/>
  <c r="O671" i="209"/>
  <c r="R670" i="209"/>
  <c r="Q670" i="209"/>
  <c r="P670" i="209"/>
  <c r="O670" i="209"/>
  <c r="R669" i="209"/>
  <c r="Q669" i="209"/>
  <c r="P669" i="209"/>
  <c r="O669" i="209"/>
  <c r="V656" i="209"/>
  <c r="G656" i="209"/>
  <c r="E656" i="209"/>
  <c r="D656" i="209"/>
  <c r="U656" i="209" s="1"/>
  <c r="V654" i="209"/>
  <c r="G654" i="209"/>
  <c r="E654" i="209"/>
  <c r="D654" i="209"/>
  <c r="U654" i="209" s="1"/>
  <c r="V653" i="209"/>
  <c r="G653" i="209"/>
  <c r="E653" i="209"/>
  <c r="D653" i="209"/>
  <c r="U653" i="209" s="1"/>
  <c r="V632" i="209"/>
  <c r="S632" i="209"/>
  <c r="S630" i="209"/>
  <c r="V624" i="209"/>
  <c r="V623" i="209"/>
  <c r="G623" i="209"/>
  <c r="E623" i="209"/>
  <c r="D623" i="209"/>
  <c r="U623" i="209" s="1"/>
  <c r="V622" i="209"/>
  <c r="G622" i="209"/>
  <c r="E622" i="209"/>
  <c r="D622" i="209"/>
  <c r="U622" i="209" s="1"/>
  <c r="V621" i="209"/>
  <c r="G621" i="209"/>
  <c r="E621" i="209"/>
  <c r="D621" i="209"/>
  <c r="U621" i="209" s="1"/>
  <c r="V596" i="209"/>
  <c r="R596" i="209"/>
  <c r="Q596" i="209"/>
  <c r="P596" i="209"/>
  <c r="O596" i="209"/>
  <c r="L596" i="209"/>
  <c r="K596" i="209"/>
  <c r="J596" i="209"/>
  <c r="I596" i="209"/>
  <c r="G596" i="209"/>
  <c r="E596" i="209"/>
  <c r="D596" i="209"/>
  <c r="U596" i="209" s="1"/>
  <c r="V594" i="209"/>
  <c r="R594" i="209"/>
  <c r="Q594" i="209"/>
  <c r="P594" i="209"/>
  <c r="O594" i="209"/>
  <c r="L594" i="209"/>
  <c r="K594" i="209"/>
  <c r="J594" i="209"/>
  <c r="I594" i="209"/>
  <c r="G594" i="209"/>
  <c r="E594" i="209"/>
  <c r="D594" i="209"/>
  <c r="U594" i="209" s="1"/>
  <c r="V593" i="209"/>
  <c r="R593" i="209"/>
  <c r="Q593" i="209"/>
  <c r="P593" i="209"/>
  <c r="O593" i="209"/>
  <c r="L593" i="209"/>
  <c r="K593" i="209"/>
  <c r="J593" i="209"/>
  <c r="I593" i="209"/>
  <c r="G593" i="209"/>
  <c r="E593" i="209"/>
  <c r="D593" i="209"/>
  <c r="U593" i="209" s="1"/>
  <c r="R592" i="209"/>
  <c r="Q592" i="209"/>
  <c r="P592" i="209"/>
  <c r="O592" i="209"/>
  <c r="L592" i="209"/>
  <c r="K592" i="209"/>
  <c r="J592" i="209"/>
  <c r="I592" i="209"/>
  <c r="R577" i="209"/>
  <c r="Q577" i="209"/>
  <c r="P577" i="209"/>
  <c r="O577" i="209"/>
  <c r="L577" i="209"/>
  <c r="K577" i="209"/>
  <c r="J577" i="209"/>
  <c r="I577" i="209"/>
  <c r="R576" i="209"/>
  <c r="Q576" i="209"/>
  <c r="P576" i="209"/>
  <c r="O576" i="209"/>
  <c r="L576" i="209"/>
  <c r="K576" i="209"/>
  <c r="J576" i="209"/>
  <c r="I576" i="209"/>
  <c r="R586" i="209"/>
  <c r="Q586" i="209"/>
  <c r="P586" i="209"/>
  <c r="O586" i="209"/>
  <c r="L586" i="209"/>
  <c r="K586" i="209"/>
  <c r="J586" i="209"/>
  <c r="I586" i="209"/>
  <c r="R589" i="209"/>
  <c r="Q589" i="209"/>
  <c r="P589" i="209"/>
  <c r="O589" i="209"/>
  <c r="L589" i="209"/>
  <c r="K589" i="209"/>
  <c r="J589" i="209"/>
  <c r="I589" i="209"/>
  <c r="R584" i="209"/>
  <c r="Q584" i="209"/>
  <c r="P584" i="209"/>
  <c r="O584" i="209"/>
  <c r="L584" i="209"/>
  <c r="K584" i="209"/>
  <c r="J584" i="209"/>
  <c r="I584" i="209"/>
  <c r="R580" i="209"/>
  <c r="Q580" i="209"/>
  <c r="P580" i="209"/>
  <c r="O580" i="209"/>
  <c r="L580" i="209"/>
  <c r="K580" i="209"/>
  <c r="J580" i="209"/>
  <c r="I580" i="209"/>
  <c r="R574" i="209"/>
  <c r="Q574" i="209"/>
  <c r="P574" i="209"/>
  <c r="O574" i="209"/>
  <c r="L574" i="209"/>
  <c r="K574" i="209"/>
  <c r="J574" i="209"/>
  <c r="I574" i="209"/>
  <c r="R587" i="209"/>
  <c r="Q587" i="209"/>
  <c r="P587" i="209"/>
  <c r="O587" i="209"/>
  <c r="L587" i="209"/>
  <c r="K587" i="209"/>
  <c r="J587" i="209"/>
  <c r="I587" i="209"/>
  <c r="R588" i="209"/>
  <c r="Q588" i="209"/>
  <c r="P588" i="209"/>
  <c r="O588" i="209"/>
  <c r="L588" i="209"/>
  <c r="K588" i="209"/>
  <c r="J588" i="209"/>
  <c r="I588" i="209"/>
  <c r="R585" i="209"/>
  <c r="Q585" i="209"/>
  <c r="P585" i="209"/>
  <c r="O585" i="209"/>
  <c r="L585" i="209"/>
  <c r="K585" i="209"/>
  <c r="J585" i="209"/>
  <c r="I585" i="209"/>
  <c r="R581" i="209"/>
  <c r="Q581" i="209"/>
  <c r="P581" i="209"/>
  <c r="O581" i="209"/>
  <c r="L581" i="209"/>
  <c r="K581" i="209"/>
  <c r="R579" i="209"/>
  <c r="Q579" i="209"/>
  <c r="P579" i="209"/>
  <c r="O579" i="209"/>
  <c r="L579" i="209"/>
  <c r="K579" i="209"/>
  <c r="J579" i="209"/>
  <c r="I579" i="209"/>
  <c r="R578" i="209"/>
  <c r="Q578" i="209"/>
  <c r="P578" i="209"/>
  <c r="O578" i="209"/>
  <c r="L578" i="209"/>
  <c r="K578" i="209"/>
  <c r="J578" i="209"/>
  <c r="I578" i="209"/>
  <c r="R575" i="209"/>
  <c r="Q575" i="209"/>
  <c r="P575" i="209"/>
  <c r="O575" i="209"/>
  <c r="L575" i="209"/>
  <c r="K575" i="209"/>
  <c r="J575" i="209"/>
  <c r="I575" i="209"/>
  <c r="V572" i="209"/>
  <c r="R569" i="209"/>
  <c r="Q569" i="209"/>
  <c r="P569" i="209"/>
  <c r="O569" i="209"/>
  <c r="L569" i="209"/>
  <c r="K569" i="209"/>
  <c r="J569" i="209"/>
  <c r="I569" i="209"/>
  <c r="R568" i="209"/>
  <c r="Q568" i="209"/>
  <c r="P568" i="209"/>
  <c r="O568" i="209"/>
  <c r="L568" i="209"/>
  <c r="K568" i="209"/>
  <c r="J568" i="209"/>
  <c r="I568" i="209"/>
  <c r="R567" i="209"/>
  <c r="Q567" i="209"/>
  <c r="P567" i="209"/>
  <c r="O567" i="209"/>
  <c r="L567" i="209"/>
  <c r="K567" i="209"/>
  <c r="J567" i="209"/>
  <c r="I567" i="209"/>
  <c r="R566" i="209"/>
  <c r="Q566" i="209"/>
  <c r="P566" i="209"/>
  <c r="O566" i="209"/>
  <c r="L566" i="209"/>
  <c r="K566" i="209"/>
  <c r="J566" i="209"/>
  <c r="I566" i="209"/>
  <c r="V564" i="209"/>
  <c r="V563" i="209"/>
  <c r="R563" i="209"/>
  <c r="Q563" i="209"/>
  <c r="P563" i="209"/>
  <c r="O563" i="209"/>
  <c r="L563" i="209"/>
  <c r="K563" i="209"/>
  <c r="J563" i="209"/>
  <c r="I563" i="209"/>
  <c r="G563" i="209"/>
  <c r="E563" i="209"/>
  <c r="D563" i="209"/>
  <c r="U563" i="209" s="1"/>
  <c r="V562" i="209"/>
  <c r="R562" i="209"/>
  <c r="Q562" i="209"/>
  <c r="P562" i="209"/>
  <c r="O562" i="209"/>
  <c r="L562" i="209"/>
  <c r="M562" i="209" s="1"/>
  <c r="K562" i="209"/>
  <c r="J562" i="209"/>
  <c r="G562" i="209"/>
  <c r="E562" i="209"/>
  <c r="D562" i="209"/>
  <c r="U562" i="209" s="1"/>
  <c r="V561" i="209"/>
  <c r="R561" i="209"/>
  <c r="Q561" i="209"/>
  <c r="P561" i="209"/>
  <c r="O561" i="209"/>
  <c r="L561" i="209"/>
  <c r="K561" i="209"/>
  <c r="J561" i="209"/>
  <c r="I561" i="209"/>
  <c r="G561" i="209"/>
  <c r="E561" i="209"/>
  <c r="D561" i="209"/>
  <c r="U561" i="209" s="1"/>
  <c r="R558" i="209"/>
  <c r="Q558" i="209"/>
  <c r="P558" i="209"/>
  <c r="O558" i="209"/>
  <c r="L558" i="209"/>
  <c r="K558" i="209"/>
  <c r="J558" i="209"/>
  <c r="I558" i="209"/>
  <c r="R557" i="209"/>
  <c r="Q557" i="209"/>
  <c r="P557" i="209"/>
  <c r="O557" i="209"/>
  <c r="L557" i="209"/>
  <c r="K557" i="209"/>
  <c r="J557" i="209"/>
  <c r="I557" i="209"/>
  <c r="R556" i="209"/>
  <c r="Q556" i="209"/>
  <c r="P556" i="209"/>
  <c r="O556" i="209"/>
  <c r="L556" i="209"/>
  <c r="K556" i="209"/>
  <c r="J556" i="209"/>
  <c r="I556" i="209"/>
  <c r="R555" i="209"/>
  <c r="Q555" i="209"/>
  <c r="P555" i="209"/>
  <c r="O555" i="209"/>
  <c r="L555" i="209"/>
  <c r="K555" i="209"/>
  <c r="J555" i="209"/>
  <c r="I555" i="209"/>
  <c r="R554" i="209"/>
  <c r="Q554" i="209"/>
  <c r="P554" i="209"/>
  <c r="O554" i="209"/>
  <c r="L554" i="209"/>
  <c r="K554" i="209"/>
  <c r="J554" i="209"/>
  <c r="I554" i="209"/>
  <c r="R553" i="209"/>
  <c r="Q553" i="209"/>
  <c r="P553" i="209"/>
  <c r="O553" i="209"/>
  <c r="L553" i="209"/>
  <c r="K553" i="209"/>
  <c r="J553" i="209"/>
  <c r="I553" i="209"/>
  <c r="R552" i="209"/>
  <c r="Q552" i="209"/>
  <c r="P552" i="209"/>
  <c r="O552" i="209"/>
  <c r="L552" i="209"/>
  <c r="K552" i="209"/>
  <c r="J552" i="209"/>
  <c r="I552" i="209"/>
  <c r="R551" i="209"/>
  <c r="Q551" i="209"/>
  <c r="P551" i="209"/>
  <c r="O551" i="209"/>
  <c r="L551" i="209"/>
  <c r="K551" i="209"/>
  <c r="J551" i="209"/>
  <c r="I551" i="209"/>
  <c r="R550" i="209"/>
  <c r="Q550" i="209"/>
  <c r="P550" i="209"/>
  <c r="L550" i="209"/>
  <c r="K550" i="209"/>
  <c r="J550" i="209"/>
  <c r="I550" i="209"/>
  <c r="R549" i="209"/>
  <c r="Q549" i="209"/>
  <c r="P549" i="209"/>
  <c r="O549" i="209"/>
  <c r="L549" i="209"/>
  <c r="K549" i="209"/>
  <c r="J549" i="209"/>
  <c r="I549" i="209"/>
  <c r="R548" i="209"/>
  <c r="Q548" i="209"/>
  <c r="P548" i="209"/>
  <c r="O548" i="209"/>
  <c r="L548" i="209"/>
  <c r="K548" i="209"/>
  <c r="J548" i="209"/>
  <c r="I548" i="209"/>
  <c r="V536" i="209"/>
  <c r="R536" i="209"/>
  <c r="Q536" i="209"/>
  <c r="P536" i="209"/>
  <c r="O536" i="209"/>
  <c r="L536" i="209"/>
  <c r="K536" i="209"/>
  <c r="J536" i="209"/>
  <c r="I536" i="209"/>
  <c r="G536" i="209"/>
  <c r="E536" i="209"/>
  <c r="D536" i="209"/>
  <c r="U536" i="209" s="1"/>
  <c r="V534" i="209"/>
  <c r="R534" i="209"/>
  <c r="Q534" i="209"/>
  <c r="P534" i="209"/>
  <c r="O534" i="209"/>
  <c r="L534" i="209"/>
  <c r="K534" i="209"/>
  <c r="J534" i="209"/>
  <c r="I534" i="209"/>
  <c r="G534" i="209"/>
  <c r="E534" i="209"/>
  <c r="D534" i="209"/>
  <c r="U534" i="209" s="1"/>
  <c r="V533" i="209"/>
  <c r="R533" i="209"/>
  <c r="Q533" i="209"/>
  <c r="P533" i="209"/>
  <c r="O533" i="209"/>
  <c r="L533" i="209"/>
  <c r="K533" i="209"/>
  <c r="J533" i="209"/>
  <c r="I533" i="209"/>
  <c r="G533" i="209"/>
  <c r="E533" i="209"/>
  <c r="D533" i="209"/>
  <c r="U533" i="209" s="1"/>
  <c r="R532" i="209"/>
  <c r="O532" i="209"/>
  <c r="Q532" i="209"/>
  <c r="P532" i="209"/>
  <c r="L532" i="209"/>
  <c r="K532" i="209"/>
  <c r="J532" i="209"/>
  <c r="I532" i="209"/>
  <c r="R517" i="209"/>
  <c r="Q517" i="209"/>
  <c r="P517" i="209"/>
  <c r="O517" i="209"/>
  <c r="L517" i="209"/>
  <c r="K517" i="209"/>
  <c r="J517" i="209"/>
  <c r="I517" i="209"/>
  <c r="R516" i="209"/>
  <c r="O516" i="209"/>
  <c r="Q516" i="209"/>
  <c r="P516" i="209"/>
  <c r="L516" i="209"/>
  <c r="K516" i="209"/>
  <c r="J516" i="209"/>
  <c r="I516" i="209"/>
  <c r="R526" i="209"/>
  <c r="O526" i="209"/>
  <c r="Q526" i="209"/>
  <c r="P526" i="209"/>
  <c r="L526" i="209"/>
  <c r="K526" i="209"/>
  <c r="J526" i="209"/>
  <c r="I526" i="209"/>
  <c r="R529" i="209"/>
  <c r="Q529" i="209"/>
  <c r="P529" i="209"/>
  <c r="O529" i="209"/>
  <c r="L529" i="209"/>
  <c r="K529" i="209"/>
  <c r="J529" i="209"/>
  <c r="I529" i="209"/>
  <c r="R524" i="209"/>
  <c r="O524" i="209"/>
  <c r="Q524" i="209"/>
  <c r="P524" i="209"/>
  <c r="L524" i="209"/>
  <c r="K524" i="209"/>
  <c r="J524" i="209"/>
  <c r="I524" i="209"/>
  <c r="R520" i="209"/>
  <c r="Q520" i="209"/>
  <c r="P520" i="209"/>
  <c r="O520" i="209"/>
  <c r="L520" i="209"/>
  <c r="K520" i="209"/>
  <c r="J520" i="209"/>
  <c r="I520" i="209"/>
  <c r="R514" i="209"/>
  <c r="Q514" i="209"/>
  <c r="P514" i="209"/>
  <c r="O514" i="209"/>
  <c r="L514" i="209"/>
  <c r="K514" i="209"/>
  <c r="J514" i="209"/>
  <c r="I514" i="209"/>
  <c r="R527" i="209"/>
  <c r="O527" i="209"/>
  <c r="Q527" i="209"/>
  <c r="P527" i="209"/>
  <c r="L527" i="209"/>
  <c r="K527" i="209"/>
  <c r="J527" i="209"/>
  <c r="I527" i="209"/>
  <c r="R528" i="209"/>
  <c r="Q528" i="209"/>
  <c r="P528" i="209"/>
  <c r="O528" i="209"/>
  <c r="L528" i="209"/>
  <c r="K528" i="209"/>
  <c r="J528" i="209"/>
  <c r="I528" i="209"/>
  <c r="R525" i="209"/>
  <c r="Q525" i="209"/>
  <c r="P525" i="209"/>
  <c r="O525" i="209"/>
  <c r="L525" i="209"/>
  <c r="K525" i="209"/>
  <c r="J525" i="209"/>
  <c r="I525" i="209"/>
  <c r="R521" i="209"/>
  <c r="Q521" i="209"/>
  <c r="P521" i="209"/>
  <c r="O521" i="209"/>
  <c r="L521" i="209"/>
  <c r="K521" i="209"/>
  <c r="J521" i="209"/>
  <c r="I521" i="209"/>
  <c r="R519" i="209"/>
  <c r="Q519" i="209"/>
  <c r="P519" i="209"/>
  <c r="O519" i="209"/>
  <c r="L519" i="209"/>
  <c r="K519" i="209"/>
  <c r="J519" i="209"/>
  <c r="I519" i="209"/>
  <c r="R518" i="209"/>
  <c r="Q518" i="209"/>
  <c r="P518" i="209"/>
  <c r="O518" i="209"/>
  <c r="L518" i="209"/>
  <c r="K518" i="209"/>
  <c r="J518" i="209"/>
  <c r="I518" i="209"/>
  <c r="R515" i="209"/>
  <c r="O515" i="209"/>
  <c r="Q515" i="209"/>
  <c r="P515" i="209"/>
  <c r="L515" i="209"/>
  <c r="K515" i="209"/>
  <c r="J515" i="209"/>
  <c r="I515" i="209"/>
  <c r="V512" i="209"/>
  <c r="R509" i="209"/>
  <c r="Q509" i="209"/>
  <c r="P509" i="209"/>
  <c r="O509" i="209"/>
  <c r="L509" i="209"/>
  <c r="K509" i="209"/>
  <c r="J509" i="209"/>
  <c r="I509" i="209"/>
  <c r="R508" i="209"/>
  <c r="Q508" i="209"/>
  <c r="P508" i="209"/>
  <c r="O508" i="209"/>
  <c r="L508" i="209"/>
  <c r="K508" i="209"/>
  <c r="J508" i="209"/>
  <c r="I508" i="209"/>
  <c r="R507" i="209"/>
  <c r="Q507" i="209"/>
  <c r="P507" i="209"/>
  <c r="O507" i="209"/>
  <c r="L507" i="209"/>
  <c r="K507" i="209"/>
  <c r="J507" i="209"/>
  <c r="I507" i="209"/>
  <c r="R506" i="209"/>
  <c r="Q506" i="209"/>
  <c r="P506" i="209"/>
  <c r="O506" i="209"/>
  <c r="L506" i="209"/>
  <c r="K506" i="209"/>
  <c r="J506" i="209"/>
  <c r="I506" i="209"/>
  <c r="V504" i="209"/>
  <c r="V503" i="209"/>
  <c r="R503" i="209"/>
  <c r="Q503" i="209"/>
  <c r="P503" i="209"/>
  <c r="O503" i="209"/>
  <c r="L503" i="209"/>
  <c r="K503" i="209"/>
  <c r="J503" i="209"/>
  <c r="I503" i="209"/>
  <c r="G503" i="209"/>
  <c r="E503" i="209"/>
  <c r="D503" i="209"/>
  <c r="U503" i="209" s="1"/>
  <c r="V502" i="209"/>
  <c r="R502" i="209"/>
  <c r="Q502" i="209"/>
  <c r="P502" i="209"/>
  <c r="O502" i="209"/>
  <c r="L502" i="209"/>
  <c r="K502" i="209"/>
  <c r="J502" i="209"/>
  <c r="I502" i="209"/>
  <c r="G502" i="209"/>
  <c r="E502" i="209"/>
  <c r="D502" i="209"/>
  <c r="U502" i="209" s="1"/>
  <c r="V501" i="209"/>
  <c r="R501" i="209"/>
  <c r="Q501" i="209"/>
  <c r="P501" i="209"/>
  <c r="O501" i="209"/>
  <c r="L501" i="209"/>
  <c r="K501" i="209"/>
  <c r="J501" i="209"/>
  <c r="I501" i="209"/>
  <c r="G501" i="209"/>
  <c r="E501" i="209"/>
  <c r="D501" i="209"/>
  <c r="U501" i="209" s="1"/>
  <c r="R498" i="209"/>
  <c r="Q498" i="209"/>
  <c r="P498" i="209"/>
  <c r="O498" i="209"/>
  <c r="L498" i="209"/>
  <c r="K498" i="209"/>
  <c r="J498" i="209"/>
  <c r="I498" i="209"/>
  <c r="R497" i="209"/>
  <c r="Q497" i="209"/>
  <c r="P497" i="209"/>
  <c r="O497" i="209"/>
  <c r="L497" i="209"/>
  <c r="K497" i="209"/>
  <c r="J497" i="209"/>
  <c r="I497" i="209"/>
  <c r="R496" i="209"/>
  <c r="Q496" i="209"/>
  <c r="P496" i="209"/>
  <c r="O496" i="209"/>
  <c r="L496" i="209"/>
  <c r="K496" i="209"/>
  <c r="J496" i="209"/>
  <c r="I496" i="209"/>
  <c r="R495" i="209"/>
  <c r="Q495" i="209"/>
  <c r="P495" i="209"/>
  <c r="O495" i="209"/>
  <c r="L495" i="209"/>
  <c r="K495" i="209"/>
  <c r="J495" i="209"/>
  <c r="I495" i="209"/>
  <c r="R494" i="209"/>
  <c r="Q494" i="209"/>
  <c r="P494" i="209"/>
  <c r="O494" i="209"/>
  <c r="L494" i="209"/>
  <c r="K494" i="209"/>
  <c r="J494" i="209"/>
  <c r="I494" i="209"/>
  <c r="R493" i="209"/>
  <c r="Q493" i="209"/>
  <c r="P493" i="209"/>
  <c r="O493" i="209"/>
  <c r="L493" i="209"/>
  <c r="K493" i="209"/>
  <c r="J493" i="209"/>
  <c r="I493" i="209"/>
  <c r="R492" i="209"/>
  <c r="Q492" i="209"/>
  <c r="P492" i="209"/>
  <c r="O492" i="209"/>
  <c r="L492" i="209"/>
  <c r="K492" i="209"/>
  <c r="J492" i="209"/>
  <c r="I492" i="209"/>
  <c r="R491" i="209"/>
  <c r="Q491" i="209"/>
  <c r="P491" i="209"/>
  <c r="O491" i="209"/>
  <c r="L491" i="209"/>
  <c r="K491" i="209"/>
  <c r="J491" i="209"/>
  <c r="I491" i="209"/>
  <c r="R490" i="209"/>
  <c r="Q490" i="209"/>
  <c r="P490" i="209"/>
  <c r="O490" i="209"/>
  <c r="L490" i="209"/>
  <c r="K490" i="209"/>
  <c r="J490" i="209"/>
  <c r="I490" i="209"/>
  <c r="R489" i="209"/>
  <c r="Q489" i="209"/>
  <c r="P489" i="209"/>
  <c r="O489" i="209"/>
  <c r="L489" i="209"/>
  <c r="K489" i="209"/>
  <c r="J489" i="209"/>
  <c r="I489" i="209"/>
  <c r="R488" i="209"/>
  <c r="Q488" i="209"/>
  <c r="P488" i="209"/>
  <c r="O488" i="209"/>
  <c r="L488" i="209"/>
  <c r="K488" i="209"/>
  <c r="J488" i="209"/>
  <c r="I488" i="209"/>
  <c r="V476" i="209"/>
  <c r="R476" i="209"/>
  <c r="O476" i="209"/>
  <c r="Q476" i="209"/>
  <c r="P476" i="209"/>
  <c r="L476" i="209"/>
  <c r="K476" i="209"/>
  <c r="J476" i="209"/>
  <c r="I476" i="209"/>
  <c r="G476" i="209"/>
  <c r="E476" i="209"/>
  <c r="D476" i="209"/>
  <c r="U476" i="209" s="1"/>
  <c r="V474" i="209"/>
  <c r="R474" i="209"/>
  <c r="Q474" i="209"/>
  <c r="P474" i="209"/>
  <c r="O474" i="209"/>
  <c r="L474" i="209"/>
  <c r="K474" i="209"/>
  <c r="J474" i="209"/>
  <c r="I474" i="209"/>
  <c r="G474" i="209"/>
  <c r="E474" i="209"/>
  <c r="D474" i="209"/>
  <c r="U474" i="209" s="1"/>
  <c r="V473" i="209"/>
  <c r="R473" i="209"/>
  <c r="O473" i="209"/>
  <c r="Q473" i="209"/>
  <c r="P473" i="209"/>
  <c r="L473" i="209"/>
  <c r="K473" i="209"/>
  <c r="J473" i="209"/>
  <c r="I473" i="209"/>
  <c r="G473" i="209"/>
  <c r="E473" i="209"/>
  <c r="D473" i="209"/>
  <c r="U473" i="209" s="1"/>
  <c r="R472" i="209"/>
  <c r="Q472" i="209"/>
  <c r="P472" i="209"/>
  <c r="O472" i="209"/>
  <c r="L472" i="209"/>
  <c r="K472" i="209"/>
  <c r="J472" i="209"/>
  <c r="I472" i="209"/>
  <c r="R457" i="209"/>
  <c r="Q457" i="209"/>
  <c r="P457" i="209"/>
  <c r="O457" i="209"/>
  <c r="L457" i="209"/>
  <c r="K457" i="209"/>
  <c r="J457" i="209"/>
  <c r="I457" i="209"/>
  <c r="R456" i="209"/>
  <c r="Q456" i="209"/>
  <c r="P456" i="209"/>
  <c r="O456" i="209"/>
  <c r="L456" i="209"/>
  <c r="K456" i="209"/>
  <c r="J456" i="209"/>
  <c r="I456" i="209"/>
  <c r="R466" i="209"/>
  <c r="Q466" i="209"/>
  <c r="P466" i="209"/>
  <c r="O466" i="209"/>
  <c r="L466" i="209"/>
  <c r="K466" i="209"/>
  <c r="J466" i="209"/>
  <c r="I466" i="209"/>
  <c r="R469" i="209"/>
  <c r="Q469" i="209"/>
  <c r="P469" i="209"/>
  <c r="O469" i="209"/>
  <c r="L469" i="209"/>
  <c r="K469" i="209"/>
  <c r="J469" i="209"/>
  <c r="I469" i="209"/>
  <c r="R464" i="209"/>
  <c r="Q464" i="209"/>
  <c r="P464" i="209"/>
  <c r="O464" i="209"/>
  <c r="L464" i="209"/>
  <c r="K464" i="209"/>
  <c r="J464" i="209"/>
  <c r="I464" i="209"/>
  <c r="R460" i="209"/>
  <c r="Q460" i="209"/>
  <c r="P460" i="209"/>
  <c r="O460" i="209"/>
  <c r="L460" i="209"/>
  <c r="K460" i="209"/>
  <c r="J460" i="209"/>
  <c r="I460" i="209"/>
  <c r="R454" i="209"/>
  <c r="Q454" i="209"/>
  <c r="P454" i="209"/>
  <c r="O454" i="209"/>
  <c r="L454" i="209"/>
  <c r="K454" i="209"/>
  <c r="J454" i="209"/>
  <c r="I454" i="209"/>
  <c r="R467" i="209"/>
  <c r="Q467" i="209"/>
  <c r="P467" i="209"/>
  <c r="O467" i="209"/>
  <c r="L467" i="209"/>
  <c r="K467" i="209"/>
  <c r="J467" i="209"/>
  <c r="I467" i="209"/>
  <c r="R468" i="209"/>
  <c r="Q468" i="209"/>
  <c r="P468" i="209"/>
  <c r="O468" i="209"/>
  <c r="L468" i="209"/>
  <c r="K468" i="209"/>
  <c r="J468" i="209"/>
  <c r="I468" i="209"/>
  <c r="R465" i="209"/>
  <c r="Q465" i="209"/>
  <c r="P465" i="209"/>
  <c r="O465" i="209"/>
  <c r="L465" i="209"/>
  <c r="K465" i="209"/>
  <c r="J465" i="209"/>
  <c r="I465" i="209"/>
  <c r="R461" i="209"/>
  <c r="Q461" i="209"/>
  <c r="P461" i="209"/>
  <c r="O461" i="209"/>
  <c r="L461" i="209"/>
  <c r="K461" i="209"/>
  <c r="J461" i="209"/>
  <c r="I461" i="209"/>
  <c r="R459" i="209"/>
  <c r="Q459" i="209"/>
  <c r="P459" i="209"/>
  <c r="O459" i="209"/>
  <c r="L459" i="209"/>
  <c r="K459" i="209"/>
  <c r="J459" i="209"/>
  <c r="I459" i="209"/>
  <c r="R458" i="209"/>
  <c r="Q458" i="209"/>
  <c r="P458" i="209"/>
  <c r="O458" i="209"/>
  <c r="L458" i="209"/>
  <c r="K458" i="209"/>
  <c r="J458" i="209"/>
  <c r="I458" i="209"/>
  <c r="R455" i="209"/>
  <c r="Q455" i="209"/>
  <c r="P455" i="209"/>
  <c r="O455" i="209"/>
  <c r="L455" i="209"/>
  <c r="K455" i="209"/>
  <c r="J455" i="209"/>
  <c r="I455" i="209"/>
  <c r="V452" i="209"/>
  <c r="R449" i="209"/>
  <c r="O449" i="209"/>
  <c r="Q449" i="209"/>
  <c r="P449" i="209"/>
  <c r="L449" i="209"/>
  <c r="K449" i="209"/>
  <c r="J449" i="209"/>
  <c r="I449" i="209"/>
  <c r="R448" i="209"/>
  <c r="Q448" i="209"/>
  <c r="P448" i="209"/>
  <c r="O448" i="209"/>
  <c r="L448" i="209"/>
  <c r="K448" i="209"/>
  <c r="J448" i="209"/>
  <c r="I448" i="209"/>
  <c r="R447" i="209"/>
  <c r="O447" i="209"/>
  <c r="Q447" i="209"/>
  <c r="P447" i="209"/>
  <c r="L447" i="209"/>
  <c r="K447" i="209"/>
  <c r="J447" i="209"/>
  <c r="I447" i="209"/>
  <c r="R446" i="209"/>
  <c r="O446" i="209"/>
  <c r="Q446" i="209"/>
  <c r="P446" i="209"/>
  <c r="L446" i="209"/>
  <c r="K446" i="209"/>
  <c r="J446" i="209"/>
  <c r="I446" i="209"/>
  <c r="V444" i="209"/>
  <c r="V443" i="209"/>
  <c r="R443" i="209"/>
  <c r="Q443" i="209"/>
  <c r="P443" i="209"/>
  <c r="O443" i="209"/>
  <c r="L443" i="209"/>
  <c r="K443" i="209"/>
  <c r="J443" i="209"/>
  <c r="I443" i="209"/>
  <c r="G443" i="209"/>
  <c r="E443" i="209"/>
  <c r="D443" i="209"/>
  <c r="U443" i="209" s="1"/>
  <c r="V442" i="209"/>
  <c r="R442" i="209"/>
  <c r="Q442" i="209"/>
  <c r="P442" i="209"/>
  <c r="O442" i="209"/>
  <c r="L442" i="209"/>
  <c r="K442" i="209"/>
  <c r="J442" i="209"/>
  <c r="I442" i="209"/>
  <c r="G442" i="209"/>
  <c r="E442" i="209"/>
  <c r="D442" i="209"/>
  <c r="U442" i="209" s="1"/>
  <c r="V441" i="209"/>
  <c r="R441" i="209"/>
  <c r="Q441" i="209"/>
  <c r="P441" i="209"/>
  <c r="O441" i="209"/>
  <c r="L441" i="209"/>
  <c r="K441" i="209"/>
  <c r="J441" i="209"/>
  <c r="I441" i="209"/>
  <c r="G441" i="209"/>
  <c r="E441" i="209"/>
  <c r="D441" i="209"/>
  <c r="U441" i="209" s="1"/>
  <c r="V438" i="209"/>
  <c r="V498" i="209" s="1"/>
  <c r="V558" i="209" s="1"/>
  <c r="V618" i="209" s="1"/>
  <c r="V678" i="209" s="1"/>
  <c r="V738" i="209" s="1"/>
  <c r="R438" i="209"/>
  <c r="Q438" i="209"/>
  <c r="P438" i="209"/>
  <c r="O438" i="209"/>
  <c r="L438" i="209"/>
  <c r="K438" i="209"/>
  <c r="J438" i="209"/>
  <c r="I438" i="209"/>
  <c r="V437" i="209"/>
  <c r="V497" i="209" s="1"/>
  <c r="V557" i="209" s="1"/>
  <c r="V617" i="209" s="1"/>
  <c r="V677" i="209" s="1"/>
  <c r="V737" i="209" s="1"/>
  <c r="R437" i="209"/>
  <c r="Q437" i="209"/>
  <c r="P437" i="209"/>
  <c r="O437" i="209"/>
  <c r="L437" i="209"/>
  <c r="K437" i="209"/>
  <c r="J437" i="209"/>
  <c r="I437" i="209"/>
  <c r="V436" i="209"/>
  <c r="V496" i="209" s="1"/>
  <c r="V556" i="209" s="1"/>
  <c r="V616" i="209" s="1"/>
  <c r="V676" i="209" s="1"/>
  <c r="V736" i="209" s="1"/>
  <c r="R436" i="209"/>
  <c r="O436" i="209"/>
  <c r="Q436" i="209"/>
  <c r="P436" i="209"/>
  <c r="L436" i="209"/>
  <c r="K436" i="209"/>
  <c r="J436" i="209"/>
  <c r="I436" i="209"/>
  <c r="V435" i="209"/>
  <c r="V495" i="209" s="1"/>
  <c r="V555" i="209" s="1"/>
  <c r="V615" i="209" s="1"/>
  <c r="V675" i="209" s="1"/>
  <c r="V735" i="209" s="1"/>
  <c r="R435" i="209"/>
  <c r="Q435" i="209"/>
  <c r="P435" i="209"/>
  <c r="O435" i="209"/>
  <c r="L435" i="209"/>
  <c r="K435" i="209"/>
  <c r="J435" i="209"/>
  <c r="I435" i="209"/>
  <c r="V434" i="209"/>
  <c r="V494" i="209" s="1"/>
  <c r="V554" i="209" s="1"/>
  <c r="V614" i="209" s="1"/>
  <c r="V674" i="209" s="1"/>
  <c r="V734" i="209" s="1"/>
  <c r="R434" i="209"/>
  <c r="Q434" i="209"/>
  <c r="P434" i="209"/>
  <c r="O434" i="209"/>
  <c r="L434" i="209"/>
  <c r="K434" i="209"/>
  <c r="J434" i="209"/>
  <c r="I434" i="209"/>
  <c r="R433" i="209"/>
  <c r="Q433" i="209"/>
  <c r="P433" i="209"/>
  <c r="O433" i="209"/>
  <c r="L433" i="209"/>
  <c r="K433" i="209"/>
  <c r="J433" i="209"/>
  <c r="I433" i="209"/>
  <c r="V432" i="209"/>
  <c r="V492" i="209" s="1"/>
  <c r="V552" i="209" s="1"/>
  <c r="V612" i="209" s="1"/>
  <c r="V672" i="209" s="1"/>
  <c r="V732" i="209" s="1"/>
  <c r="R432" i="209"/>
  <c r="Q432" i="209"/>
  <c r="P432" i="209"/>
  <c r="O432" i="209"/>
  <c r="L432" i="209"/>
  <c r="K432" i="209"/>
  <c r="J432" i="209"/>
  <c r="I432" i="209"/>
  <c r="V431" i="209"/>
  <c r="V491" i="209" s="1"/>
  <c r="V551" i="209" s="1"/>
  <c r="V611" i="209" s="1"/>
  <c r="V671" i="209" s="1"/>
  <c r="V731" i="209" s="1"/>
  <c r="R431" i="209"/>
  <c r="Q431" i="209"/>
  <c r="P431" i="209"/>
  <c r="O431" i="209"/>
  <c r="L431" i="209"/>
  <c r="K431" i="209"/>
  <c r="J431" i="209"/>
  <c r="I431" i="209"/>
  <c r="V430" i="209"/>
  <c r="V490" i="209" s="1"/>
  <c r="V550" i="209" s="1"/>
  <c r="V610" i="209" s="1"/>
  <c r="V670" i="209" s="1"/>
  <c r="V730" i="209" s="1"/>
  <c r="R430" i="209"/>
  <c r="Q430" i="209"/>
  <c r="P430" i="209"/>
  <c r="O430" i="209"/>
  <c r="L430" i="209"/>
  <c r="K430" i="209"/>
  <c r="J430" i="209"/>
  <c r="I430" i="209"/>
  <c r="V429" i="209"/>
  <c r="V489" i="209" s="1"/>
  <c r="V549" i="209" s="1"/>
  <c r="V609" i="209" s="1"/>
  <c r="V669" i="209" s="1"/>
  <c r="V729" i="209" s="1"/>
  <c r="R429" i="209"/>
  <c r="Q429" i="209"/>
  <c r="P429" i="209"/>
  <c r="O429" i="209"/>
  <c r="L429" i="209"/>
  <c r="K429" i="209"/>
  <c r="J429" i="209"/>
  <c r="I429" i="209"/>
  <c r="V428" i="209"/>
  <c r="V488" i="209" s="1"/>
  <c r="V548" i="209" s="1"/>
  <c r="V608" i="209" s="1"/>
  <c r="V668" i="209" s="1"/>
  <c r="V728" i="209" s="1"/>
  <c r="R428" i="209"/>
  <c r="Q428" i="209"/>
  <c r="P428" i="209"/>
  <c r="O428" i="209"/>
  <c r="L428" i="209"/>
  <c r="K428" i="209"/>
  <c r="J428" i="209"/>
  <c r="I428" i="209"/>
  <c r="V416" i="209"/>
  <c r="R416" i="209"/>
  <c r="Q416" i="209"/>
  <c r="P416" i="209"/>
  <c r="O416" i="209"/>
  <c r="L416" i="209"/>
  <c r="I416" i="209"/>
  <c r="K416" i="209"/>
  <c r="J416" i="209"/>
  <c r="G416" i="209"/>
  <c r="E416" i="209"/>
  <c r="D416" i="209"/>
  <c r="U416" i="209" s="1"/>
  <c r="V414" i="209"/>
  <c r="R414" i="209"/>
  <c r="O414" i="209"/>
  <c r="Q414" i="209"/>
  <c r="P414" i="209"/>
  <c r="L414" i="209"/>
  <c r="K414" i="209"/>
  <c r="J414" i="209"/>
  <c r="I414" i="209"/>
  <c r="G414" i="209"/>
  <c r="E414" i="209"/>
  <c r="D414" i="209"/>
  <c r="U414" i="209" s="1"/>
  <c r="V413" i="209"/>
  <c r="R413" i="209"/>
  <c r="Q413" i="209"/>
  <c r="P413" i="209"/>
  <c r="O413" i="209"/>
  <c r="L413" i="209"/>
  <c r="I413" i="209"/>
  <c r="K413" i="209"/>
  <c r="J413" i="209"/>
  <c r="G413" i="209"/>
  <c r="E413" i="209"/>
  <c r="D413" i="209"/>
  <c r="U413" i="209" s="1"/>
  <c r="R412" i="209"/>
  <c r="Q412" i="209"/>
  <c r="P412" i="209"/>
  <c r="O412" i="209"/>
  <c r="L412" i="209"/>
  <c r="K412" i="209"/>
  <c r="J412" i="209"/>
  <c r="I412" i="209"/>
  <c r="R397" i="209"/>
  <c r="Q397" i="209"/>
  <c r="P397" i="209"/>
  <c r="O397" i="209"/>
  <c r="L397" i="209"/>
  <c r="K397" i="209"/>
  <c r="J397" i="209"/>
  <c r="I397" i="209"/>
  <c r="R396" i="209"/>
  <c r="Q396" i="209"/>
  <c r="P396" i="209"/>
  <c r="O396" i="209"/>
  <c r="L396" i="209"/>
  <c r="K396" i="209"/>
  <c r="J396" i="209"/>
  <c r="I396" i="209"/>
  <c r="R406" i="209"/>
  <c r="Q406" i="209"/>
  <c r="P406" i="209"/>
  <c r="O406" i="209"/>
  <c r="L406" i="209"/>
  <c r="K406" i="209"/>
  <c r="J406" i="209"/>
  <c r="I406" i="209"/>
  <c r="R409" i="209"/>
  <c r="Q409" i="209"/>
  <c r="P409" i="209"/>
  <c r="O409" i="209"/>
  <c r="L409" i="209"/>
  <c r="K409" i="209"/>
  <c r="J409" i="209"/>
  <c r="I409" i="209"/>
  <c r="R404" i="209"/>
  <c r="Q404" i="209"/>
  <c r="P404" i="209"/>
  <c r="O404" i="209"/>
  <c r="L404" i="209"/>
  <c r="K404" i="209"/>
  <c r="J404" i="209"/>
  <c r="I404" i="209"/>
  <c r="R400" i="209"/>
  <c r="Q400" i="209"/>
  <c r="P400" i="209"/>
  <c r="O400" i="209"/>
  <c r="L400" i="209"/>
  <c r="K400" i="209"/>
  <c r="J400" i="209"/>
  <c r="I400" i="209"/>
  <c r="R394" i="209"/>
  <c r="Q394" i="209"/>
  <c r="P394" i="209"/>
  <c r="O394" i="209"/>
  <c r="L394" i="209"/>
  <c r="K394" i="209"/>
  <c r="J394" i="209"/>
  <c r="I394" i="209"/>
  <c r="R407" i="209"/>
  <c r="Q407" i="209"/>
  <c r="P407" i="209"/>
  <c r="O407" i="209"/>
  <c r="L407" i="209"/>
  <c r="K407" i="209"/>
  <c r="J407" i="209"/>
  <c r="I407" i="209"/>
  <c r="R408" i="209"/>
  <c r="Q408" i="209"/>
  <c r="P408" i="209"/>
  <c r="O408" i="209"/>
  <c r="L408" i="209"/>
  <c r="K408" i="209"/>
  <c r="J408" i="209"/>
  <c r="I408" i="209"/>
  <c r="R405" i="209"/>
  <c r="Q405" i="209"/>
  <c r="P405" i="209"/>
  <c r="O405" i="209"/>
  <c r="L405" i="209"/>
  <c r="K405" i="209"/>
  <c r="J405" i="209"/>
  <c r="I405" i="209"/>
  <c r="R401" i="209"/>
  <c r="Q401" i="209"/>
  <c r="P401" i="209"/>
  <c r="O401" i="209"/>
  <c r="L401" i="209"/>
  <c r="K401" i="209"/>
  <c r="J401" i="209"/>
  <c r="I401" i="209"/>
  <c r="R399" i="209"/>
  <c r="Q399" i="209"/>
  <c r="P399" i="209"/>
  <c r="O399" i="209"/>
  <c r="L399" i="209"/>
  <c r="K399" i="209"/>
  <c r="J399" i="209"/>
  <c r="I399" i="209"/>
  <c r="R398" i="209"/>
  <c r="Q398" i="209"/>
  <c r="P398" i="209"/>
  <c r="O398" i="209"/>
  <c r="L398" i="209"/>
  <c r="K398" i="209"/>
  <c r="J398" i="209"/>
  <c r="I398" i="209"/>
  <c r="R395" i="209"/>
  <c r="Q395" i="209"/>
  <c r="P395" i="209"/>
  <c r="O395" i="209"/>
  <c r="L395" i="209"/>
  <c r="K395" i="209"/>
  <c r="J395" i="209"/>
  <c r="I395" i="209"/>
  <c r="V392" i="209"/>
  <c r="R389" i="209"/>
  <c r="O389" i="209"/>
  <c r="Q389" i="209"/>
  <c r="P389" i="209"/>
  <c r="L389" i="209"/>
  <c r="K389" i="209"/>
  <c r="J389" i="209"/>
  <c r="I389" i="209"/>
  <c r="R388" i="209"/>
  <c r="Q388" i="209"/>
  <c r="P388" i="209"/>
  <c r="O388" i="209"/>
  <c r="L388" i="209"/>
  <c r="K388" i="209"/>
  <c r="J388" i="209"/>
  <c r="I388" i="209"/>
  <c r="R387" i="209"/>
  <c r="O387" i="209"/>
  <c r="Q387" i="209"/>
  <c r="P387" i="209"/>
  <c r="L387" i="209"/>
  <c r="K387" i="209"/>
  <c r="J387" i="209"/>
  <c r="I387" i="209"/>
  <c r="R386" i="209"/>
  <c r="O386" i="209"/>
  <c r="Q386" i="209"/>
  <c r="P386" i="209"/>
  <c r="L386" i="209"/>
  <c r="K386" i="209"/>
  <c r="J386" i="209"/>
  <c r="I386" i="209"/>
  <c r="V384" i="209"/>
  <c r="V383" i="209"/>
  <c r="R383" i="209"/>
  <c r="Q383" i="209"/>
  <c r="P383" i="209"/>
  <c r="O383" i="209"/>
  <c r="L383" i="209"/>
  <c r="K383" i="209"/>
  <c r="J383" i="209"/>
  <c r="I383" i="209"/>
  <c r="G383" i="209"/>
  <c r="E383" i="209"/>
  <c r="D383" i="209"/>
  <c r="U383" i="209" s="1"/>
  <c r="V382" i="209"/>
  <c r="R382" i="209"/>
  <c r="Q382" i="209"/>
  <c r="P382" i="209"/>
  <c r="O382" i="209"/>
  <c r="L382" i="209"/>
  <c r="K382" i="209"/>
  <c r="J382" i="209"/>
  <c r="I382" i="209"/>
  <c r="G382" i="209"/>
  <c r="E382" i="209"/>
  <c r="D382" i="209"/>
  <c r="U382" i="209" s="1"/>
  <c r="V381" i="209"/>
  <c r="R381" i="209"/>
  <c r="Q381" i="209"/>
  <c r="P381" i="209"/>
  <c r="O381" i="209"/>
  <c r="L381" i="209"/>
  <c r="K381" i="209"/>
  <c r="J381" i="209"/>
  <c r="I381" i="209"/>
  <c r="G381" i="209"/>
  <c r="E381" i="209"/>
  <c r="D381" i="209"/>
  <c r="U381" i="209" s="1"/>
  <c r="R378" i="209"/>
  <c r="Q378" i="209"/>
  <c r="P378" i="209"/>
  <c r="O378" i="209"/>
  <c r="L378" i="209"/>
  <c r="K378" i="209"/>
  <c r="J378" i="209"/>
  <c r="I378" i="209"/>
  <c r="R377" i="209"/>
  <c r="Q377" i="209"/>
  <c r="P377" i="209"/>
  <c r="O377" i="209"/>
  <c r="L377" i="209"/>
  <c r="K377" i="209"/>
  <c r="J377" i="209"/>
  <c r="I377" i="209"/>
  <c r="R376" i="209"/>
  <c r="Q376" i="209"/>
  <c r="P376" i="209"/>
  <c r="O376" i="209"/>
  <c r="L376" i="209"/>
  <c r="K376" i="209"/>
  <c r="J376" i="209"/>
  <c r="I376" i="209"/>
  <c r="R375" i="209"/>
  <c r="Q375" i="209"/>
  <c r="P375" i="209"/>
  <c r="O375" i="209"/>
  <c r="L375" i="209"/>
  <c r="K375" i="209"/>
  <c r="J375" i="209"/>
  <c r="I375" i="209"/>
  <c r="R374" i="209"/>
  <c r="Q374" i="209"/>
  <c r="P374" i="209"/>
  <c r="O374" i="209"/>
  <c r="L374" i="209"/>
  <c r="K374" i="209"/>
  <c r="J374" i="209"/>
  <c r="I374" i="209"/>
  <c r="R373" i="209"/>
  <c r="Q373" i="209"/>
  <c r="P373" i="209"/>
  <c r="O373" i="209"/>
  <c r="L373" i="209"/>
  <c r="K373" i="209"/>
  <c r="J373" i="209"/>
  <c r="I373" i="209"/>
  <c r="R372" i="209"/>
  <c r="Q372" i="209"/>
  <c r="P372" i="209"/>
  <c r="O372" i="209"/>
  <c r="L372" i="209"/>
  <c r="K372" i="209"/>
  <c r="J372" i="209"/>
  <c r="I372" i="209"/>
  <c r="R371" i="209"/>
  <c r="Q371" i="209"/>
  <c r="P371" i="209"/>
  <c r="O371" i="209"/>
  <c r="L371" i="209"/>
  <c r="K371" i="209"/>
  <c r="J371" i="209"/>
  <c r="I371" i="209"/>
  <c r="R370" i="209"/>
  <c r="Q370" i="209"/>
  <c r="P370" i="209"/>
  <c r="O370" i="209"/>
  <c r="L370" i="209"/>
  <c r="K370" i="209"/>
  <c r="J370" i="209"/>
  <c r="I370" i="209"/>
  <c r="R369" i="209"/>
  <c r="Q369" i="209"/>
  <c r="P369" i="209"/>
  <c r="O369" i="209"/>
  <c r="L369" i="209"/>
  <c r="K369" i="209"/>
  <c r="J369" i="209"/>
  <c r="I369" i="209"/>
  <c r="R368" i="209"/>
  <c r="Q368" i="209"/>
  <c r="P368" i="209"/>
  <c r="O368" i="209"/>
  <c r="L368" i="209"/>
  <c r="K368" i="209"/>
  <c r="J368" i="209"/>
  <c r="I368" i="209"/>
  <c r="V356" i="209"/>
  <c r="R356" i="209"/>
  <c r="Q356" i="209"/>
  <c r="P356" i="209"/>
  <c r="O356" i="209"/>
  <c r="L356" i="209"/>
  <c r="K356" i="209"/>
  <c r="J356" i="209"/>
  <c r="I356" i="209"/>
  <c r="G356" i="209"/>
  <c r="E356" i="209"/>
  <c r="D356" i="209"/>
  <c r="U356" i="209" s="1"/>
  <c r="V354" i="209"/>
  <c r="R354" i="209"/>
  <c r="Q354" i="209"/>
  <c r="P354" i="209"/>
  <c r="O354" i="209"/>
  <c r="L354" i="209"/>
  <c r="K354" i="209"/>
  <c r="J354" i="209"/>
  <c r="I354" i="209"/>
  <c r="G354" i="209"/>
  <c r="E354" i="209"/>
  <c r="D354" i="209"/>
  <c r="U354" i="209" s="1"/>
  <c r="V353" i="209"/>
  <c r="R353" i="209"/>
  <c r="Q353" i="209"/>
  <c r="P353" i="209"/>
  <c r="O353" i="209"/>
  <c r="L353" i="209"/>
  <c r="K353" i="209"/>
  <c r="J353" i="209"/>
  <c r="I353" i="209"/>
  <c r="G353" i="209"/>
  <c r="E353" i="209"/>
  <c r="D353" i="209"/>
  <c r="U353" i="209" s="1"/>
  <c r="R352" i="209"/>
  <c r="Q352" i="209"/>
  <c r="P352" i="209"/>
  <c r="O352" i="209"/>
  <c r="L352" i="209"/>
  <c r="K352" i="209"/>
  <c r="J352" i="209"/>
  <c r="I352" i="209"/>
  <c r="R337" i="209"/>
  <c r="Q337" i="209"/>
  <c r="P337" i="209"/>
  <c r="O337" i="209"/>
  <c r="L337" i="209"/>
  <c r="K337" i="209"/>
  <c r="J337" i="209"/>
  <c r="I337" i="209"/>
  <c r="R336" i="209"/>
  <c r="Q336" i="209"/>
  <c r="P336" i="209"/>
  <c r="O336" i="209"/>
  <c r="L336" i="209"/>
  <c r="K336" i="209"/>
  <c r="J336" i="209"/>
  <c r="I336" i="209"/>
  <c r="R346" i="209"/>
  <c r="Q346" i="209"/>
  <c r="P346" i="209"/>
  <c r="O346" i="209"/>
  <c r="L346" i="209"/>
  <c r="K346" i="209"/>
  <c r="J346" i="209"/>
  <c r="I346" i="209"/>
  <c r="R349" i="209"/>
  <c r="Q349" i="209"/>
  <c r="P349" i="209"/>
  <c r="O349" i="209"/>
  <c r="M349" i="209"/>
  <c r="L349" i="209"/>
  <c r="K349" i="209"/>
  <c r="J349" i="209"/>
  <c r="I349" i="209"/>
  <c r="R344" i="209"/>
  <c r="Q344" i="209"/>
  <c r="P344" i="209"/>
  <c r="O344" i="209"/>
  <c r="L344" i="209"/>
  <c r="K344" i="209"/>
  <c r="J344" i="209"/>
  <c r="I344" i="209"/>
  <c r="R340" i="209"/>
  <c r="Q340" i="209"/>
  <c r="P340" i="209"/>
  <c r="O340" i="209"/>
  <c r="L340" i="209"/>
  <c r="K340" i="209"/>
  <c r="J340" i="209"/>
  <c r="I340" i="209"/>
  <c r="R334" i="209"/>
  <c r="Q334" i="209"/>
  <c r="P334" i="209"/>
  <c r="O334" i="209"/>
  <c r="L334" i="209"/>
  <c r="K334" i="209"/>
  <c r="J334" i="209"/>
  <c r="I334" i="209"/>
  <c r="R347" i="209"/>
  <c r="Q347" i="209"/>
  <c r="P347" i="209"/>
  <c r="O347" i="209"/>
  <c r="L347" i="209"/>
  <c r="K347" i="209"/>
  <c r="J347" i="209"/>
  <c r="I347" i="209"/>
  <c r="R348" i="209"/>
  <c r="Q348" i="209"/>
  <c r="P348" i="209"/>
  <c r="O348" i="209"/>
  <c r="L348" i="209"/>
  <c r="K348" i="209"/>
  <c r="J348" i="209"/>
  <c r="I348" i="209"/>
  <c r="R345" i="209"/>
  <c r="Q345" i="209"/>
  <c r="P345" i="209"/>
  <c r="O345" i="209"/>
  <c r="L345" i="209"/>
  <c r="K345" i="209"/>
  <c r="J345" i="209"/>
  <c r="I345" i="209"/>
  <c r="R341" i="209"/>
  <c r="Q341" i="209"/>
  <c r="P341" i="209"/>
  <c r="O341" i="209"/>
  <c r="L341" i="209"/>
  <c r="K341" i="209"/>
  <c r="J341" i="209"/>
  <c r="I341" i="209"/>
  <c r="R339" i="209"/>
  <c r="Q339" i="209"/>
  <c r="P339" i="209"/>
  <c r="O339" i="209"/>
  <c r="L339" i="209"/>
  <c r="K339" i="209"/>
  <c r="J339" i="209"/>
  <c r="I339" i="209"/>
  <c r="R338" i="209"/>
  <c r="Q338" i="209"/>
  <c r="P338" i="209"/>
  <c r="O338" i="209"/>
  <c r="L338" i="209"/>
  <c r="K338" i="209"/>
  <c r="J338" i="209"/>
  <c r="I338" i="209"/>
  <c r="R335" i="209"/>
  <c r="Q335" i="209"/>
  <c r="P335" i="209"/>
  <c r="O335" i="209"/>
  <c r="L335" i="209"/>
  <c r="K335" i="209"/>
  <c r="J335" i="209"/>
  <c r="I335" i="209"/>
  <c r="V332" i="209"/>
  <c r="R329" i="209"/>
  <c r="Q329" i="209"/>
  <c r="P329" i="209"/>
  <c r="O329" i="209"/>
  <c r="M329" i="209"/>
  <c r="L329" i="209"/>
  <c r="K329" i="209"/>
  <c r="J329" i="209"/>
  <c r="I329" i="209"/>
  <c r="R328" i="209"/>
  <c r="Q328" i="209"/>
  <c r="P328" i="209"/>
  <c r="O328" i="209"/>
  <c r="L328" i="209"/>
  <c r="K328" i="209"/>
  <c r="J328" i="209"/>
  <c r="I328" i="209"/>
  <c r="R327" i="209"/>
  <c r="Q327" i="209"/>
  <c r="P327" i="209"/>
  <c r="O327" i="209"/>
  <c r="L327" i="209"/>
  <c r="K327" i="209"/>
  <c r="J327" i="209"/>
  <c r="I327" i="209"/>
  <c r="R326" i="209"/>
  <c r="Q326" i="209"/>
  <c r="P326" i="209"/>
  <c r="O326" i="209"/>
  <c r="L326" i="209"/>
  <c r="K326" i="209"/>
  <c r="J326" i="209"/>
  <c r="I326" i="209"/>
  <c r="V323" i="209"/>
  <c r="R323" i="209"/>
  <c r="Q323" i="209"/>
  <c r="P323" i="209"/>
  <c r="O323" i="209"/>
  <c r="L323" i="209"/>
  <c r="K323" i="209"/>
  <c r="J323" i="209"/>
  <c r="I323" i="209"/>
  <c r="G323" i="209"/>
  <c r="E323" i="209"/>
  <c r="D323" i="209"/>
  <c r="U323" i="209" s="1"/>
  <c r="V322" i="209"/>
  <c r="R322" i="209"/>
  <c r="Q322" i="209"/>
  <c r="P322" i="209"/>
  <c r="O322" i="209"/>
  <c r="L322" i="209"/>
  <c r="K322" i="209"/>
  <c r="J322" i="209"/>
  <c r="I322" i="209"/>
  <c r="G322" i="209"/>
  <c r="E322" i="209"/>
  <c r="D322" i="209"/>
  <c r="U322" i="209" s="1"/>
  <c r="V321" i="209"/>
  <c r="R321" i="209"/>
  <c r="Q321" i="209"/>
  <c r="P321" i="209"/>
  <c r="O321" i="209"/>
  <c r="L321" i="209"/>
  <c r="K321" i="209"/>
  <c r="J321" i="209"/>
  <c r="I321" i="209"/>
  <c r="G321" i="209"/>
  <c r="E321" i="209"/>
  <c r="D321" i="209"/>
  <c r="U321" i="209" s="1"/>
  <c r="R318" i="209"/>
  <c r="Q318" i="209"/>
  <c r="P318" i="209"/>
  <c r="O318" i="209"/>
  <c r="L318" i="209"/>
  <c r="K318" i="209"/>
  <c r="J318" i="209"/>
  <c r="I318" i="209"/>
  <c r="R317" i="209"/>
  <c r="Q317" i="209"/>
  <c r="P317" i="209"/>
  <c r="O317" i="209"/>
  <c r="L317" i="209"/>
  <c r="K317" i="209"/>
  <c r="J317" i="209"/>
  <c r="I317" i="209"/>
  <c r="R316" i="209"/>
  <c r="Q316" i="209"/>
  <c r="P316" i="209"/>
  <c r="O316" i="209"/>
  <c r="L316" i="209"/>
  <c r="K316" i="209"/>
  <c r="J316" i="209"/>
  <c r="I316" i="209"/>
  <c r="R315" i="209"/>
  <c r="Q315" i="209"/>
  <c r="P315" i="209"/>
  <c r="O315" i="209"/>
  <c r="L315" i="209"/>
  <c r="K315" i="209"/>
  <c r="J315" i="209"/>
  <c r="I315" i="209"/>
  <c r="R314" i="209"/>
  <c r="Q314" i="209"/>
  <c r="P314" i="209"/>
  <c r="O314" i="209"/>
  <c r="L314" i="209"/>
  <c r="K314" i="209"/>
  <c r="J314" i="209"/>
  <c r="I314" i="209"/>
  <c r="R313" i="209"/>
  <c r="Q313" i="209"/>
  <c r="P313" i="209"/>
  <c r="O313" i="209"/>
  <c r="L313" i="209"/>
  <c r="K313" i="209"/>
  <c r="J313" i="209"/>
  <c r="I313" i="209"/>
  <c r="R312" i="209"/>
  <c r="Q312" i="209"/>
  <c r="P312" i="209"/>
  <c r="O312" i="209"/>
  <c r="L312" i="209"/>
  <c r="K312" i="209"/>
  <c r="J312" i="209"/>
  <c r="I312" i="209"/>
  <c r="R311" i="209"/>
  <c r="Q311" i="209"/>
  <c r="P311" i="209"/>
  <c r="O311" i="209"/>
  <c r="L311" i="209"/>
  <c r="K311" i="209"/>
  <c r="J311" i="209"/>
  <c r="I311" i="209"/>
  <c r="R310" i="209"/>
  <c r="Q310" i="209"/>
  <c r="P310" i="209"/>
  <c r="O310" i="209"/>
  <c r="L310" i="209"/>
  <c r="K310" i="209"/>
  <c r="J310" i="209"/>
  <c r="I310" i="209"/>
  <c r="R309" i="209"/>
  <c r="Q309" i="209"/>
  <c r="P309" i="209"/>
  <c r="O309" i="209"/>
  <c r="L309" i="209"/>
  <c r="K309" i="209"/>
  <c r="J309" i="209"/>
  <c r="I309" i="209"/>
  <c r="R308" i="209"/>
  <c r="Q308" i="209"/>
  <c r="P308" i="209"/>
  <c r="O308" i="209"/>
  <c r="L308" i="209"/>
  <c r="K308" i="209"/>
  <c r="J308" i="209"/>
  <c r="I308" i="209"/>
  <c r="V296" i="209"/>
  <c r="R296" i="209"/>
  <c r="Q296" i="209"/>
  <c r="P296" i="209"/>
  <c r="O296" i="209"/>
  <c r="G296" i="209"/>
  <c r="E296" i="209"/>
  <c r="D296" i="209"/>
  <c r="U296" i="209" s="1"/>
  <c r="R294" i="209"/>
  <c r="Q294" i="209"/>
  <c r="P294" i="209"/>
  <c r="O294" i="209"/>
  <c r="G294" i="209"/>
  <c r="E294" i="209"/>
  <c r="D294" i="209"/>
  <c r="U294" i="209" s="1"/>
  <c r="R293" i="209"/>
  <c r="Q293" i="209"/>
  <c r="P293" i="209"/>
  <c r="O293" i="209"/>
  <c r="G293" i="209"/>
  <c r="E293" i="209"/>
  <c r="D293" i="209"/>
  <c r="U293" i="209" s="1"/>
  <c r="R292" i="209"/>
  <c r="Q292" i="209"/>
  <c r="P292" i="209"/>
  <c r="O292" i="209"/>
  <c r="R277" i="209"/>
  <c r="Q277" i="209"/>
  <c r="P277" i="209"/>
  <c r="O277" i="209"/>
  <c r="R276" i="209"/>
  <c r="Q276" i="209"/>
  <c r="P276" i="209"/>
  <c r="O276" i="209"/>
  <c r="R286" i="209"/>
  <c r="Q286" i="209"/>
  <c r="P286" i="209"/>
  <c r="O286" i="209"/>
  <c r="R289" i="209"/>
  <c r="Q289" i="209"/>
  <c r="P289" i="209"/>
  <c r="O289" i="209"/>
  <c r="R284" i="209"/>
  <c r="Q284" i="209"/>
  <c r="P284" i="209"/>
  <c r="O284" i="209"/>
  <c r="R280" i="209"/>
  <c r="Q280" i="209"/>
  <c r="P280" i="209"/>
  <c r="O280" i="209"/>
  <c r="R274" i="209"/>
  <c r="Q274" i="209"/>
  <c r="P274" i="209"/>
  <c r="O274" i="209"/>
  <c r="R287" i="209"/>
  <c r="Q287" i="209"/>
  <c r="P287" i="209"/>
  <c r="O287" i="209"/>
  <c r="R288" i="209"/>
  <c r="Q288" i="209"/>
  <c r="P288" i="209"/>
  <c r="O288" i="209"/>
  <c r="R285" i="209"/>
  <c r="Q285" i="209"/>
  <c r="P285" i="209"/>
  <c r="O285" i="209"/>
  <c r="R281" i="209"/>
  <c r="Q281" i="209"/>
  <c r="P281" i="209"/>
  <c r="O281" i="209"/>
  <c r="R279" i="209"/>
  <c r="Q279" i="209"/>
  <c r="P279" i="209"/>
  <c r="O279" i="209"/>
  <c r="R278" i="209"/>
  <c r="Q278" i="209"/>
  <c r="P278" i="209"/>
  <c r="O278" i="209"/>
  <c r="R275" i="209"/>
  <c r="Q275" i="209"/>
  <c r="P275" i="209"/>
  <c r="O275" i="209"/>
  <c r="V272" i="209"/>
  <c r="R269" i="209"/>
  <c r="Q269" i="209"/>
  <c r="P269" i="209"/>
  <c r="O269" i="209"/>
  <c r="R268" i="209"/>
  <c r="Q268" i="209"/>
  <c r="P268" i="209"/>
  <c r="O268" i="209"/>
  <c r="C268" i="209"/>
  <c r="C328" i="209" s="1"/>
  <c r="C388" i="209" s="1"/>
  <c r="C448" i="209" s="1"/>
  <c r="C508" i="209" s="1"/>
  <c r="C568" i="209" s="1"/>
  <c r="C628" i="209" s="1"/>
  <c r="C688" i="209" s="1"/>
  <c r="C748" i="209" s="1"/>
  <c r="R267" i="209"/>
  <c r="Q267" i="209"/>
  <c r="P267" i="209"/>
  <c r="O267" i="209"/>
  <c r="R266" i="209"/>
  <c r="Q266" i="209"/>
  <c r="P266" i="209"/>
  <c r="O266" i="209"/>
  <c r="R263" i="209"/>
  <c r="Q263" i="209"/>
  <c r="P263" i="209"/>
  <c r="O263" i="209"/>
  <c r="G263" i="209"/>
  <c r="E263" i="209"/>
  <c r="D263" i="209"/>
  <c r="R262" i="209"/>
  <c r="Q262" i="209"/>
  <c r="P262" i="209"/>
  <c r="O262" i="209"/>
  <c r="G262" i="209"/>
  <c r="E262" i="209"/>
  <c r="D262" i="209"/>
  <c r="R261" i="209"/>
  <c r="Q261" i="209"/>
  <c r="P261" i="209"/>
  <c r="O261" i="209"/>
  <c r="G261" i="209"/>
  <c r="E261" i="209"/>
  <c r="D261" i="209"/>
  <c r="R258" i="209"/>
  <c r="Q258" i="209"/>
  <c r="P258" i="209"/>
  <c r="O258" i="209"/>
  <c r="R257" i="209"/>
  <c r="Q257" i="209"/>
  <c r="P257" i="209"/>
  <c r="O257" i="209"/>
  <c r="R256" i="209"/>
  <c r="Q256" i="209"/>
  <c r="P256" i="209"/>
  <c r="O256" i="209"/>
  <c r="R255" i="209"/>
  <c r="Q255" i="209"/>
  <c r="P255" i="209"/>
  <c r="O255" i="209"/>
  <c r="R254" i="209"/>
  <c r="Q254" i="209"/>
  <c r="P254" i="209"/>
  <c r="O254" i="209"/>
  <c r="R253" i="209"/>
  <c r="Q253" i="209"/>
  <c r="P253" i="209"/>
  <c r="O253" i="209"/>
  <c r="R252" i="209"/>
  <c r="Q252" i="209"/>
  <c r="P252" i="209"/>
  <c r="O252" i="209"/>
  <c r="R251" i="209"/>
  <c r="Q251" i="209"/>
  <c r="P251" i="209"/>
  <c r="O251" i="209"/>
  <c r="R250" i="209"/>
  <c r="Q250" i="209"/>
  <c r="P250" i="209"/>
  <c r="O250" i="209"/>
  <c r="R249" i="209"/>
  <c r="Q249" i="209"/>
  <c r="P249" i="209"/>
  <c r="O249" i="209"/>
  <c r="R248" i="209"/>
  <c r="Q248" i="209"/>
  <c r="P248" i="209"/>
  <c r="O248" i="209"/>
  <c r="V236" i="209"/>
  <c r="G236" i="209"/>
  <c r="E236" i="209"/>
  <c r="D236" i="209"/>
  <c r="U236" i="209" s="1"/>
  <c r="G234" i="209"/>
  <c r="E234" i="209"/>
  <c r="D234" i="209"/>
  <c r="G233" i="209"/>
  <c r="E233" i="209"/>
  <c r="D233" i="209"/>
  <c r="V212" i="209"/>
  <c r="M209" i="209"/>
  <c r="V208" i="209"/>
  <c r="V268" i="209" s="1"/>
  <c r="V328" i="209" s="1"/>
  <c r="V388" i="209" s="1"/>
  <c r="V448" i="209" s="1"/>
  <c r="V508" i="209" s="1"/>
  <c r="V568" i="209" s="1"/>
  <c r="V628" i="209" s="1"/>
  <c r="V688" i="209" s="1"/>
  <c r="V748" i="209" s="1"/>
  <c r="G203" i="209"/>
  <c r="E203" i="209"/>
  <c r="D203" i="209"/>
  <c r="G202" i="209"/>
  <c r="E202" i="209"/>
  <c r="D202" i="209"/>
  <c r="G201" i="209"/>
  <c r="E201" i="209"/>
  <c r="D201" i="209"/>
  <c r="V176" i="209"/>
  <c r="G176" i="209"/>
  <c r="E176" i="209"/>
  <c r="D176" i="209"/>
  <c r="U176" i="209" s="1"/>
  <c r="G174" i="209"/>
  <c r="E174" i="209"/>
  <c r="D174" i="209"/>
  <c r="G173" i="209"/>
  <c r="E173" i="209"/>
  <c r="D173" i="209"/>
  <c r="C172" i="209"/>
  <c r="C232" i="209" s="1"/>
  <c r="C292" i="209" s="1"/>
  <c r="C352" i="209" s="1"/>
  <c r="V152" i="209"/>
  <c r="C147" i="209"/>
  <c r="C207" i="209" s="1"/>
  <c r="C267" i="209" s="1"/>
  <c r="C327" i="209" s="1"/>
  <c r="C387" i="209" s="1"/>
  <c r="C447" i="209" s="1"/>
  <c r="C507" i="209" s="1"/>
  <c r="C567" i="209" s="1"/>
  <c r="C627" i="209" s="1"/>
  <c r="C687" i="209" s="1"/>
  <c r="C747" i="209" s="1"/>
  <c r="V143" i="209"/>
  <c r="V203" i="209" s="1"/>
  <c r="V263" i="209" s="1"/>
  <c r="G143" i="209"/>
  <c r="E143" i="209"/>
  <c r="D143" i="209"/>
  <c r="G142" i="209"/>
  <c r="E142" i="209"/>
  <c r="D142" i="209"/>
  <c r="G141" i="209"/>
  <c r="E141" i="209"/>
  <c r="D141" i="209"/>
  <c r="V124" i="209"/>
  <c r="V184" i="209" s="1"/>
  <c r="V244" i="209" s="1"/>
  <c r="V304" i="209" s="1"/>
  <c r="V364" i="209" s="1"/>
  <c r="V424" i="209" s="1"/>
  <c r="V484" i="209" s="1"/>
  <c r="V544" i="209" s="1"/>
  <c r="V604" i="209" s="1"/>
  <c r="V664" i="209" s="1"/>
  <c r="V724" i="209" s="1"/>
  <c r="V784" i="209" s="1"/>
  <c r="C124" i="209"/>
  <c r="C184" i="209" s="1"/>
  <c r="C244" i="209" s="1"/>
  <c r="C304" i="209" s="1"/>
  <c r="C364" i="209" s="1"/>
  <c r="C424" i="209" s="1"/>
  <c r="C484" i="209" s="1"/>
  <c r="C544" i="209" s="1"/>
  <c r="C604" i="209" s="1"/>
  <c r="C664" i="209" s="1"/>
  <c r="C724" i="209" s="1"/>
  <c r="C784" i="209" s="1"/>
  <c r="C122" i="209"/>
  <c r="C182" i="209" s="1"/>
  <c r="C242" i="209" s="1"/>
  <c r="C302" i="209" s="1"/>
  <c r="C362" i="209" s="1"/>
  <c r="C422" i="209" s="1"/>
  <c r="C482" i="209" s="1"/>
  <c r="C542" i="209" s="1"/>
  <c r="C602" i="209" s="1"/>
  <c r="C662" i="209" s="1"/>
  <c r="C722" i="209" s="1"/>
  <c r="C782" i="209" s="1"/>
  <c r="V120" i="209"/>
  <c r="V180" i="209" s="1"/>
  <c r="V240" i="209" s="1"/>
  <c r="V300" i="209" s="1"/>
  <c r="V360" i="209" s="1"/>
  <c r="V420" i="209" s="1"/>
  <c r="V480" i="209" s="1"/>
  <c r="V540" i="209" s="1"/>
  <c r="V600" i="209" s="1"/>
  <c r="V660" i="209" s="1"/>
  <c r="V720" i="209" s="1"/>
  <c r="V780" i="209" s="1"/>
  <c r="C120" i="209"/>
  <c r="C180" i="209" s="1"/>
  <c r="C240" i="209" s="1"/>
  <c r="C300" i="209" s="1"/>
  <c r="C360" i="209" s="1"/>
  <c r="C420" i="209" s="1"/>
  <c r="C480" i="209" s="1"/>
  <c r="C540" i="209" s="1"/>
  <c r="C600" i="209" s="1"/>
  <c r="C660" i="209" s="1"/>
  <c r="C720" i="209" s="1"/>
  <c r="C780" i="209" s="1"/>
  <c r="V116" i="209"/>
  <c r="G116" i="209"/>
  <c r="E116" i="209"/>
  <c r="D116" i="209"/>
  <c r="U116" i="209" s="1"/>
  <c r="V117" i="209"/>
  <c r="V177" i="209" s="1"/>
  <c r="V237" i="209" s="1"/>
  <c r="V297" i="209" s="1"/>
  <c r="V357" i="209" s="1"/>
  <c r="V417" i="209" s="1"/>
  <c r="C117" i="209"/>
  <c r="C177" i="209" s="1"/>
  <c r="C237" i="209" s="1"/>
  <c r="C297" i="209" s="1"/>
  <c r="C357" i="209" s="1"/>
  <c r="C417" i="209" s="1"/>
  <c r="C477" i="209" s="1"/>
  <c r="C537" i="209" s="1"/>
  <c r="C597" i="209" s="1"/>
  <c r="C657" i="209" s="1"/>
  <c r="G114" i="209"/>
  <c r="E114" i="209"/>
  <c r="D114" i="209"/>
  <c r="G113" i="209"/>
  <c r="E113" i="209"/>
  <c r="D113" i="209"/>
  <c r="G112" i="209"/>
  <c r="G172" i="209" s="1"/>
  <c r="G232" i="209" s="1"/>
  <c r="G292" i="209" s="1"/>
  <c r="G352" i="209" s="1"/>
  <c r="G412" i="209" s="1"/>
  <c r="G472" i="209" s="1"/>
  <c r="G532" i="209" s="1"/>
  <c r="G592" i="209" s="1"/>
  <c r="G652" i="209" s="1"/>
  <c r="G712" i="209" s="1"/>
  <c r="G772" i="209" s="1"/>
  <c r="E112" i="209"/>
  <c r="E172" i="209" s="1"/>
  <c r="E232" i="209" s="1"/>
  <c r="E292" i="209" s="1"/>
  <c r="E352" i="209" s="1"/>
  <c r="E412" i="209" s="1"/>
  <c r="E472" i="209" s="1"/>
  <c r="E532" i="209" s="1"/>
  <c r="E592" i="209" s="1"/>
  <c r="E652" i="209" s="1"/>
  <c r="E712" i="209" s="1"/>
  <c r="E772" i="209" s="1"/>
  <c r="D112" i="209"/>
  <c r="D172" i="209" s="1"/>
  <c r="D232" i="209" s="1"/>
  <c r="D292" i="209" s="1"/>
  <c r="V97" i="209"/>
  <c r="V157" i="209" s="1"/>
  <c r="V217" i="209" s="1"/>
  <c r="V277" i="209" s="1"/>
  <c r="V337" i="209" s="1"/>
  <c r="V397" i="209" s="1"/>
  <c r="V457" i="209" s="1"/>
  <c r="V517" i="209" s="1"/>
  <c r="V577" i="209" s="1"/>
  <c r="V637" i="209" s="1"/>
  <c r="V697" i="209" s="1"/>
  <c r="V757" i="209" s="1"/>
  <c r="C97" i="209"/>
  <c r="C157" i="209" s="1"/>
  <c r="C217" i="209" s="1"/>
  <c r="C277" i="209" s="1"/>
  <c r="C337" i="209" s="1"/>
  <c r="C397" i="209" s="1"/>
  <c r="C457" i="209" s="1"/>
  <c r="C517" i="209" s="1"/>
  <c r="C577" i="209" s="1"/>
  <c r="C637" i="209" s="1"/>
  <c r="C697" i="209" s="1"/>
  <c r="C757" i="209" s="1"/>
  <c r="V96" i="209"/>
  <c r="V156" i="209" s="1"/>
  <c r="V216" i="209" s="1"/>
  <c r="V276" i="209" s="1"/>
  <c r="V336" i="209" s="1"/>
  <c r="V396" i="209" s="1"/>
  <c r="V456" i="209" s="1"/>
  <c r="V516" i="209" s="1"/>
  <c r="V576" i="209" s="1"/>
  <c r="V636" i="209" s="1"/>
  <c r="V696" i="209" s="1"/>
  <c r="V756" i="209" s="1"/>
  <c r="C96" i="209"/>
  <c r="C156" i="209" s="1"/>
  <c r="C216" i="209" s="1"/>
  <c r="C276" i="209" s="1"/>
  <c r="C336" i="209" s="1"/>
  <c r="C396" i="209" s="1"/>
  <c r="C456" i="209" s="1"/>
  <c r="C516" i="209" s="1"/>
  <c r="C576" i="209" s="1"/>
  <c r="C636" i="209" s="1"/>
  <c r="C696" i="209" s="1"/>
  <c r="C756" i="209" s="1"/>
  <c r="C106" i="209"/>
  <c r="C166" i="209" s="1"/>
  <c r="C226" i="209" s="1"/>
  <c r="C286" i="209" s="1"/>
  <c r="C346" i="209" s="1"/>
  <c r="C406" i="209" s="1"/>
  <c r="C466" i="209" s="1"/>
  <c r="C526" i="209" s="1"/>
  <c r="C586" i="209" s="1"/>
  <c r="C646" i="209" s="1"/>
  <c r="C706" i="209" s="1"/>
  <c r="C766" i="209" s="1"/>
  <c r="V109" i="209"/>
  <c r="V169" i="209" s="1"/>
  <c r="V229" i="209" s="1"/>
  <c r="V289" i="209" s="1"/>
  <c r="V349" i="209" s="1"/>
  <c r="V409" i="209" s="1"/>
  <c r="V469" i="209" s="1"/>
  <c r="V529" i="209" s="1"/>
  <c r="V589" i="209" s="1"/>
  <c r="V649" i="209" s="1"/>
  <c r="V709" i="209" s="1"/>
  <c r="V769" i="209" s="1"/>
  <c r="C109" i="209"/>
  <c r="C169" i="209" s="1"/>
  <c r="C229" i="209" s="1"/>
  <c r="C289" i="209" s="1"/>
  <c r="C349" i="209" s="1"/>
  <c r="C409" i="209" s="1"/>
  <c r="C469" i="209" s="1"/>
  <c r="C529" i="209" s="1"/>
  <c r="C589" i="209" s="1"/>
  <c r="C649" i="209" s="1"/>
  <c r="C709" i="209" s="1"/>
  <c r="C769" i="209" s="1"/>
  <c r="C100" i="209"/>
  <c r="C160" i="209" s="1"/>
  <c r="C220" i="209" s="1"/>
  <c r="C280" i="209" s="1"/>
  <c r="C340" i="209" s="1"/>
  <c r="C400" i="209" s="1"/>
  <c r="C460" i="209" s="1"/>
  <c r="C520" i="209" s="1"/>
  <c r="C580" i="209" s="1"/>
  <c r="C640" i="209" s="1"/>
  <c r="C700" i="209" s="1"/>
  <c r="C760" i="209" s="1"/>
  <c r="C94" i="209"/>
  <c r="C154" i="209" s="1"/>
  <c r="C214" i="209" s="1"/>
  <c r="C274" i="209" s="1"/>
  <c r="C334" i="209" s="1"/>
  <c r="C394" i="209" s="1"/>
  <c r="C454" i="209" s="1"/>
  <c r="C514" i="209" s="1"/>
  <c r="C574" i="209" s="1"/>
  <c r="C634" i="209" s="1"/>
  <c r="C694" i="209" s="1"/>
  <c r="C754" i="209" s="1"/>
  <c r="V110" i="209"/>
  <c r="V170" i="209" s="1"/>
  <c r="V230" i="209" s="1"/>
  <c r="V290" i="209" s="1"/>
  <c r="V350" i="209" s="1"/>
  <c r="V410" i="209" s="1"/>
  <c r="V470" i="209" s="1"/>
  <c r="V530" i="209" s="1"/>
  <c r="V590" i="209" s="1"/>
  <c r="V650" i="209" s="1"/>
  <c r="V710" i="209" s="1"/>
  <c r="V770" i="209" s="1"/>
  <c r="C110" i="209"/>
  <c r="C170" i="209" s="1"/>
  <c r="C230" i="209" s="1"/>
  <c r="C290" i="209" s="1"/>
  <c r="C350" i="209" s="1"/>
  <c r="C410" i="209" s="1"/>
  <c r="C470" i="209" s="1"/>
  <c r="C530" i="209" s="1"/>
  <c r="C590" i="209" s="1"/>
  <c r="C650" i="209" s="1"/>
  <c r="C710" i="209" s="1"/>
  <c r="C770" i="209" s="1"/>
  <c r="C107" i="209"/>
  <c r="C167" i="209" s="1"/>
  <c r="C227" i="209" s="1"/>
  <c r="C287" i="209" s="1"/>
  <c r="C347" i="209" s="1"/>
  <c r="C407" i="209" s="1"/>
  <c r="C467" i="209" s="1"/>
  <c r="C527" i="209" s="1"/>
  <c r="C587" i="209" s="1"/>
  <c r="C647" i="209" s="1"/>
  <c r="C707" i="209" s="1"/>
  <c r="C767" i="209" s="1"/>
  <c r="V108" i="209"/>
  <c r="V168" i="209" s="1"/>
  <c r="V228" i="209" s="1"/>
  <c r="V288" i="209" s="1"/>
  <c r="V348" i="209" s="1"/>
  <c r="V408" i="209" s="1"/>
  <c r="V468" i="209" s="1"/>
  <c r="V528" i="209" s="1"/>
  <c r="V588" i="209" s="1"/>
  <c r="V648" i="209" s="1"/>
  <c r="V708" i="209" s="1"/>
  <c r="V768" i="209" s="1"/>
  <c r="C108" i="209"/>
  <c r="C168" i="209" s="1"/>
  <c r="C228" i="209" s="1"/>
  <c r="C288" i="209" s="1"/>
  <c r="C348" i="209" s="1"/>
  <c r="C408" i="209" s="1"/>
  <c r="C468" i="209" s="1"/>
  <c r="C528" i="209" s="1"/>
  <c r="C588" i="209" s="1"/>
  <c r="C648" i="209" s="1"/>
  <c r="C708" i="209" s="1"/>
  <c r="C768" i="209" s="1"/>
  <c r="V105" i="209"/>
  <c r="V165" i="209" s="1"/>
  <c r="V225" i="209" s="1"/>
  <c r="V285" i="209" s="1"/>
  <c r="V345" i="209" s="1"/>
  <c r="V405" i="209" s="1"/>
  <c r="V465" i="209" s="1"/>
  <c r="V525" i="209" s="1"/>
  <c r="V585" i="209" s="1"/>
  <c r="V645" i="209" s="1"/>
  <c r="V705" i="209" s="1"/>
  <c r="V765" i="209" s="1"/>
  <c r="C105" i="209"/>
  <c r="C165" i="209" s="1"/>
  <c r="C225" i="209" s="1"/>
  <c r="C285" i="209" s="1"/>
  <c r="C345" i="209" s="1"/>
  <c r="C405" i="209" s="1"/>
  <c r="C465" i="209" s="1"/>
  <c r="C525" i="209" s="1"/>
  <c r="C585" i="209" s="1"/>
  <c r="C645" i="209" s="1"/>
  <c r="C705" i="209" s="1"/>
  <c r="C765" i="209" s="1"/>
  <c r="C102" i="209"/>
  <c r="V102" i="209" s="1"/>
  <c r="V99" i="209"/>
  <c r="V159" i="209" s="1"/>
  <c r="V219" i="209" s="1"/>
  <c r="V279" i="209" s="1"/>
  <c r="V339" i="209" s="1"/>
  <c r="V399" i="209" s="1"/>
  <c r="V459" i="209" s="1"/>
  <c r="V519" i="209" s="1"/>
  <c r="V579" i="209" s="1"/>
  <c r="V639" i="209" s="1"/>
  <c r="V699" i="209" s="1"/>
  <c r="V759" i="209" s="1"/>
  <c r="C99" i="209"/>
  <c r="C159" i="209" s="1"/>
  <c r="C219" i="209" s="1"/>
  <c r="C279" i="209" s="1"/>
  <c r="C339" i="209" s="1"/>
  <c r="C399" i="209" s="1"/>
  <c r="C459" i="209" s="1"/>
  <c r="C519" i="209" s="1"/>
  <c r="C579" i="209" s="1"/>
  <c r="C639" i="209" s="1"/>
  <c r="C699" i="209" s="1"/>
  <c r="C759" i="209" s="1"/>
  <c r="V98" i="209"/>
  <c r="V158" i="209" s="1"/>
  <c r="V218" i="209" s="1"/>
  <c r="V278" i="209" s="1"/>
  <c r="V338" i="209" s="1"/>
  <c r="V398" i="209" s="1"/>
  <c r="V458" i="209" s="1"/>
  <c r="V518" i="209" s="1"/>
  <c r="V578" i="209" s="1"/>
  <c r="V638" i="209" s="1"/>
  <c r="V698" i="209" s="1"/>
  <c r="V758" i="209" s="1"/>
  <c r="C98" i="209"/>
  <c r="C158" i="209" s="1"/>
  <c r="C218" i="209" s="1"/>
  <c r="C278" i="209" s="1"/>
  <c r="C338" i="209" s="1"/>
  <c r="C398" i="209" s="1"/>
  <c r="C458" i="209" s="1"/>
  <c r="C518" i="209" s="1"/>
  <c r="C578" i="209" s="1"/>
  <c r="C638" i="209" s="1"/>
  <c r="C698" i="209" s="1"/>
  <c r="C758" i="209" s="1"/>
  <c r="V95" i="209"/>
  <c r="V155" i="209" s="1"/>
  <c r="V215" i="209" s="1"/>
  <c r="V275" i="209" s="1"/>
  <c r="V335" i="209" s="1"/>
  <c r="V395" i="209" s="1"/>
  <c r="V455" i="209" s="1"/>
  <c r="V515" i="209" s="1"/>
  <c r="V575" i="209" s="1"/>
  <c r="V635" i="209" s="1"/>
  <c r="V695" i="209" s="1"/>
  <c r="V755" i="209" s="1"/>
  <c r="C95" i="209"/>
  <c r="C155" i="209" s="1"/>
  <c r="C215" i="209" s="1"/>
  <c r="C275" i="209" s="1"/>
  <c r="C335" i="209" s="1"/>
  <c r="C395" i="209" s="1"/>
  <c r="C455" i="209" s="1"/>
  <c r="C515" i="209" s="1"/>
  <c r="C575" i="209" s="1"/>
  <c r="C635" i="209" s="1"/>
  <c r="C695" i="209" s="1"/>
  <c r="C755" i="209" s="1"/>
  <c r="V92" i="209"/>
  <c r="V90" i="209"/>
  <c r="V150" i="209" s="1"/>
  <c r="V210" i="209" s="1"/>
  <c r="V270" i="209" s="1"/>
  <c r="V330" i="209" s="1"/>
  <c r="V390" i="209" s="1"/>
  <c r="V450" i="209" s="1"/>
  <c r="V510" i="209" s="1"/>
  <c r="V570" i="209" s="1"/>
  <c r="V630" i="209" s="1"/>
  <c r="V690" i="209" s="1"/>
  <c r="V750" i="209" s="1"/>
  <c r="C90" i="209"/>
  <c r="C150" i="209" s="1"/>
  <c r="C210" i="209" s="1"/>
  <c r="C270" i="209" s="1"/>
  <c r="C330" i="209" s="1"/>
  <c r="C390" i="209" s="1"/>
  <c r="C450" i="209" s="1"/>
  <c r="C510" i="209" s="1"/>
  <c r="C570" i="209" s="1"/>
  <c r="C630" i="209" s="1"/>
  <c r="C690" i="209" s="1"/>
  <c r="C750" i="209" s="1"/>
  <c r="V89" i="209"/>
  <c r="V149" i="209" s="1"/>
  <c r="V209" i="209" s="1"/>
  <c r="V269" i="209" s="1"/>
  <c r="V329" i="209" s="1"/>
  <c r="V389" i="209" s="1"/>
  <c r="V449" i="209" s="1"/>
  <c r="V509" i="209" s="1"/>
  <c r="V569" i="209" s="1"/>
  <c r="V629" i="209" s="1"/>
  <c r="V689" i="209" s="1"/>
  <c r="V749" i="209" s="1"/>
  <c r="C89" i="209"/>
  <c r="C149" i="209" s="1"/>
  <c r="C209" i="209" s="1"/>
  <c r="C269" i="209" s="1"/>
  <c r="C329" i="209" s="1"/>
  <c r="C389" i="209" s="1"/>
  <c r="C449" i="209" s="1"/>
  <c r="C509" i="209" s="1"/>
  <c r="C569" i="209" s="1"/>
  <c r="C629" i="209" s="1"/>
  <c r="C689" i="209" s="1"/>
  <c r="C749" i="209" s="1"/>
  <c r="C88" i="209"/>
  <c r="V87" i="209"/>
  <c r="V147" i="209" s="1"/>
  <c r="V207" i="209" s="1"/>
  <c r="V267" i="209" s="1"/>
  <c r="V327" i="209" s="1"/>
  <c r="V387" i="209" s="1"/>
  <c r="V447" i="209" s="1"/>
  <c r="V507" i="209" s="1"/>
  <c r="V567" i="209" s="1"/>
  <c r="V627" i="209" s="1"/>
  <c r="V687" i="209" s="1"/>
  <c r="V747" i="209" s="1"/>
  <c r="V86" i="209"/>
  <c r="V146" i="209" s="1"/>
  <c r="V206" i="209" s="1"/>
  <c r="V266" i="209" s="1"/>
  <c r="V326" i="209" s="1"/>
  <c r="V386" i="209" s="1"/>
  <c r="V446" i="209" s="1"/>
  <c r="V506" i="209" s="1"/>
  <c r="V566" i="209" s="1"/>
  <c r="V626" i="209" s="1"/>
  <c r="V686" i="209" s="1"/>
  <c r="V746" i="209" s="1"/>
  <c r="C86" i="209"/>
  <c r="C146" i="209" s="1"/>
  <c r="C206" i="209" s="1"/>
  <c r="C266" i="209" s="1"/>
  <c r="C326" i="209" s="1"/>
  <c r="C386" i="209" s="1"/>
  <c r="C446" i="209" s="1"/>
  <c r="C506" i="209" s="1"/>
  <c r="C566" i="209" s="1"/>
  <c r="C626" i="209" s="1"/>
  <c r="C686" i="209" s="1"/>
  <c r="C746" i="209" s="1"/>
  <c r="V84" i="209"/>
  <c r="V144" i="209" s="1"/>
  <c r="V204" i="209" s="1"/>
  <c r="V264" i="209" s="1"/>
  <c r="V324" i="209" s="1"/>
  <c r="G83" i="209"/>
  <c r="E83" i="209"/>
  <c r="D83" i="209"/>
  <c r="V82" i="209"/>
  <c r="V142" i="209" s="1"/>
  <c r="V202" i="209" s="1"/>
  <c r="V262" i="209" s="1"/>
  <c r="G82" i="209"/>
  <c r="E82" i="209"/>
  <c r="D82" i="209"/>
  <c r="V81" i="209"/>
  <c r="V141" i="209" s="1"/>
  <c r="V201" i="209" s="1"/>
  <c r="V261" i="209" s="1"/>
  <c r="G81" i="209"/>
  <c r="E81" i="209"/>
  <c r="D81" i="209"/>
  <c r="V79" i="209"/>
  <c r="V139" i="209" s="1"/>
  <c r="V199" i="209" s="1"/>
  <c r="V259" i="209" s="1"/>
  <c r="V319" i="209" s="1"/>
  <c r="V379" i="209" s="1"/>
  <c r="V439" i="209" s="1"/>
  <c r="V499" i="209" s="1"/>
  <c r="V559" i="209" s="1"/>
  <c r="V619" i="209" s="1"/>
  <c r="V679" i="209" s="1"/>
  <c r="V739" i="209" s="1"/>
  <c r="C79" i="209"/>
  <c r="C139" i="209" s="1"/>
  <c r="C199" i="209" s="1"/>
  <c r="C259" i="209" s="1"/>
  <c r="C319" i="209" s="1"/>
  <c r="C379" i="209" s="1"/>
  <c r="C439" i="209" s="1"/>
  <c r="C499" i="209" s="1"/>
  <c r="C559" i="209" s="1"/>
  <c r="C619" i="209" s="1"/>
  <c r="C679" i="209" s="1"/>
  <c r="C739" i="209" s="1"/>
  <c r="V78" i="209"/>
  <c r="V138" i="209" s="1"/>
  <c r="V198" i="209" s="1"/>
  <c r="V258" i="209" s="1"/>
  <c r="V318" i="209" s="1"/>
  <c r="V378" i="209" s="1"/>
  <c r="V77" i="209"/>
  <c r="V137" i="209" s="1"/>
  <c r="V197" i="209" s="1"/>
  <c r="V257" i="209" s="1"/>
  <c r="V317" i="209" s="1"/>
  <c r="V377" i="209" s="1"/>
  <c r="V76" i="209"/>
  <c r="V136" i="209" s="1"/>
  <c r="V196" i="209" s="1"/>
  <c r="V256" i="209" s="1"/>
  <c r="V316" i="209" s="1"/>
  <c r="V376" i="209" s="1"/>
  <c r="V75" i="209"/>
  <c r="V135" i="209" s="1"/>
  <c r="V195" i="209" s="1"/>
  <c r="V255" i="209" s="1"/>
  <c r="V315" i="209" s="1"/>
  <c r="V375" i="209" s="1"/>
  <c r="V74" i="209"/>
  <c r="V134" i="209" s="1"/>
  <c r="V194" i="209" s="1"/>
  <c r="V254" i="209" s="1"/>
  <c r="V314" i="209" s="1"/>
  <c r="V374" i="209" s="1"/>
  <c r="V72" i="209"/>
  <c r="V132" i="209" s="1"/>
  <c r="V192" i="209" s="1"/>
  <c r="V252" i="209" s="1"/>
  <c r="V312" i="209" s="1"/>
  <c r="V372" i="209" s="1"/>
  <c r="V71" i="209"/>
  <c r="V131" i="209" s="1"/>
  <c r="V191" i="209" s="1"/>
  <c r="V251" i="209" s="1"/>
  <c r="V311" i="209" s="1"/>
  <c r="V371" i="209" s="1"/>
  <c r="V70" i="209"/>
  <c r="V130" i="209" s="1"/>
  <c r="V190" i="209" s="1"/>
  <c r="V250" i="209" s="1"/>
  <c r="V310" i="209" s="1"/>
  <c r="V370" i="209" s="1"/>
  <c r="V69" i="209"/>
  <c r="V129" i="209" s="1"/>
  <c r="V189" i="209" s="1"/>
  <c r="V249" i="209" s="1"/>
  <c r="V309" i="209" s="1"/>
  <c r="V369" i="209" s="1"/>
  <c r="V68" i="209"/>
  <c r="V128" i="209" s="1"/>
  <c r="V188" i="209" s="1"/>
  <c r="V248" i="209" s="1"/>
  <c r="V308" i="209" s="1"/>
  <c r="V368" i="209" s="1"/>
  <c r="V62" i="209"/>
  <c r="V122" i="209" s="1"/>
  <c r="V182" i="209" s="1"/>
  <c r="V242" i="209" s="1"/>
  <c r="V302" i="209" s="1"/>
  <c r="V362" i="209" s="1"/>
  <c r="V422" i="209" s="1"/>
  <c r="V482" i="209" s="1"/>
  <c r="V542" i="209" s="1"/>
  <c r="V602" i="209" s="1"/>
  <c r="V662" i="209" s="1"/>
  <c r="V722" i="209" s="1"/>
  <c r="V782" i="209" s="1"/>
  <c r="V61" i="209"/>
  <c r="V121" i="209" s="1"/>
  <c r="V181" i="209" s="1"/>
  <c r="V241" i="209" s="1"/>
  <c r="V301" i="209" s="1"/>
  <c r="V361" i="209" s="1"/>
  <c r="V421" i="209" s="1"/>
  <c r="V481" i="209" s="1"/>
  <c r="V541" i="209" s="1"/>
  <c r="V601" i="209" s="1"/>
  <c r="V661" i="209" s="1"/>
  <c r="V721" i="209" s="1"/>
  <c r="V781" i="209" s="1"/>
  <c r="V56" i="209"/>
  <c r="G56" i="209"/>
  <c r="E56" i="209"/>
  <c r="D56" i="209"/>
  <c r="U56" i="209" s="1"/>
  <c r="V54" i="209"/>
  <c r="V114" i="209" s="1"/>
  <c r="V174" i="209" s="1"/>
  <c r="V234" i="209" s="1"/>
  <c r="G54" i="209"/>
  <c r="E54" i="209"/>
  <c r="D54" i="209"/>
  <c r="U54" i="209" s="1"/>
  <c r="U114" i="209" s="1"/>
  <c r="U174" i="209" s="1"/>
  <c r="U234" i="209" s="1"/>
  <c r="V53" i="209"/>
  <c r="V113" i="209" s="1"/>
  <c r="V173" i="209" s="1"/>
  <c r="V233" i="209" s="1"/>
  <c r="G53" i="209"/>
  <c r="E53" i="209"/>
  <c r="D53" i="209"/>
  <c r="U53" i="209" s="1"/>
  <c r="U113" i="209" s="1"/>
  <c r="U173" i="209" s="1"/>
  <c r="U233" i="209" s="1"/>
  <c r="V52" i="209"/>
  <c r="V112" i="209" s="1"/>
  <c r="V172" i="209" s="1"/>
  <c r="V232" i="209" s="1"/>
  <c r="G52" i="209"/>
  <c r="E52" i="209"/>
  <c r="D52" i="209"/>
  <c r="U52" i="209" s="1"/>
  <c r="U112" i="209" s="1"/>
  <c r="U172" i="209" s="1"/>
  <c r="U232" i="209" s="1"/>
  <c r="G37" i="209"/>
  <c r="G97" i="209" s="1"/>
  <c r="G157" i="209" s="1"/>
  <c r="G217" i="209" s="1"/>
  <c r="G277" i="209" s="1"/>
  <c r="G337" i="209" s="1"/>
  <c r="G397" i="209" s="1"/>
  <c r="G457" i="209" s="1"/>
  <c r="G517" i="209" s="1"/>
  <c r="G577" i="209" s="1"/>
  <c r="G637" i="209" s="1"/>
  <c r="G697" i="209" s="1"/>
  <c r="G757" i="209" s="1"/>
  <c r="E37" i="209"/>
  <c r="E97" i="209" s="1"/>
  <c r="E157" i="209" s="1"/>
  <c r="E217" i="209" s="1"/>
  <c r="E277" i="209" s="1"/>
  <c r="E337" i="209" s="1"/>
  <c r="E397" i="209" s="1"/>
  <c r="E457" i="209" s="1"/>
  <c r="E517" i="209" s="1"/>
  <c r="E577" i="209" s="1"/>
  <c r="E637" i="209" s="1"/>
  <c r="E697" i="209" s="1"/>
  <c r="E757" i="209" s="1"/>
  <c r="D37" i="209"/>
  <c r="G36" i="209"/>
  <c r="G96" i="209" s="1"/>
  <c r="G156" i="209" s="1"/>
  <c r="G216" i="209" s="1"/>
  <c r="G276" i="209" s="1"/>
  <c r="G336" i="209" s="1"/>
  <c r="G396" i="209" s="1"/>
  <c r="G456" i="209" s="1"/>
  <c r="G516" i="209" s="1"/>
  <c r="G576" i="209" s="1"/>
  <c r="G636" i="209" s="1"/>
  <c r="G696" i="209" s="1"/>
  <c r="G756" i="209" s="1"/>
  <c r="E36" i="209"/>
  <c r="E96" i="209" s="1"/>
  <c r="E156" i="209" s="1"/>
  <c r="E216" i="209" s="1"/>
  <c r="E276" i="209" s="1"/>
  <c r="E336" i="209" s="1"/>
  <c r="E396" i="209" s="1"/>
  <c r="E456" i="209" s="1"/>
  <c r="E516" i="209" s="1"/>
  <c r="E576" i="209" s="1"/>
  <c r="E636" i="209" s="1"/>
  <c r="E696" i="209" s="1"/>
  <c r="E756" i="209" s="1"/>
  <c r="D36" i="209"/>
  <c r="D96" i="209" s="1"/>
  <c r="D156" i="209" s="1"/>
  <c r="D216" i="209" s="1"/>
  <c r="D276" i="209" s="1"/>
  <c r="D336" i="209" s="1"/>
  <c r="D396" i="209" s="1"/>
  <c r="D456" i="209" s="1"/>
  <c r="D516" i="209" s="1"/>
  <c r="D576" i="209" s="1"/>
  <c r="D636" i="209" s="1"/>
  <c r="D696" i="209" s="1"/>
  <c r="D756" i="209" s="1"/>
  <c r="V46" i="209"/>
  <c r="V106" i="209" s="1"/>
  <c r="V166" i="209" s="1"/>
  <c r="V226" i="209" s="1"/>
  <c r="V286" i="209" s="1"/>
  <c r="V346" i="209" s="1"/>
  <c r="V406" i="209" s="1"/>
  <c r="V466" i="209" s="1"/>
  <c r="V526" i="209" s="1"/>
  <c r="V586" i="209" s="1"/>
  <c r="V646" i="209" s="1"/>
  <c r="V706" i="209" s="1"/>
  <c r="V766" i="209" s="1"/>
  <c r="G46" i="209"/>
  <c r="G106" i="209" s="1"/>
  <c r="G166" i="209" s="1"/>
  <c r="G226" i="209" s="1"/>
  <c r="G286" i="209" s="1"/>
  <c r="G346" i="209" s="1"/>
  <c r="G406" i="209" s="1"/>
  <c r="G466" i="209" s="1"/>
  <c r="G526" i="209" s="1"/>
  <c r="G586" i="209" s="1"/>
  <c r="G646" i="209" s="1"/>
  <c r="G706" i="209" s="1"/>
  <c r="G766" i="209" s="1"/>
  <c r="E46" i="209"/>
  <c r="E106" i="209" s="1"/>
  <c r="E166" i="209" s="1"/>
  <c r="E226" i="209" s="1"/>
  <c r="E286" i="209" s="1"/>
  <c r="E346" i="209" s="1"/>
  <c r="E406" i="209" s="1"/>
  <c r="E466" i="209" s="1"/>
  <c r="E526" i="209" s="1"/>
  <c r="E586" i="209" s="1"/>
  <c r="E646" i="209" s="1"/>
  <c r="E706" i="209" s="1"/>
  <c r="E766" i="209" s="1"/>
  <c r="D46" i="209"/>
  <c r="M49" i="209"/>
  <c r="G49" i="209"/>
  <c r="G109" i="209" s="1"/>
  <c r="G169" i="209" s="1"/>
  <c r="G229" i="209" s="1"/>
  <c r="G289" i="209" s="1"/>
  <c r="G349" i="209" s="1"/>
  <c r="G409" i="209" s="1"/>
  <c r="G469" i="209" s="1"/>
  <c r="G529" i="209" s="1"/>
  <c r="G589" i="209" s="1"/>
  <c r="G649" i="209" s="1"/>
  <c r="G709" i="209" s="1"/>
  <c r="G769" i="209" s="1"/>
  <c r="E49" i="209"/>
  <c r="E109" i="209" s="1"/>
  <c r="E169" i="209" s="1"/>
  <c r="E229" i="209" s="1"/>
  <c r="E289" i="209" s="1"/>
  <c r="E349" i="209" s="1"/>
  <c r="E409" i="209" s="1"/>
  <c r="E469" i="209" s="1"/>
  <c r="E529" i="209" s="1"/>
  <c r="E589" i="209" s="1"/>
  <c r="E649" i="209" s="1"/>
  <c r="E709" i="209" s="1"/>
  <c r="E769" i="209" s="1"/>
  <c r="D49" i="209"/>
  <c r="V44" i="209"/>
  <c r="E44" i="209"/>
  <c r="E104" i="209" s="1"/>
  <c r="E164" i="209" s="1"/>
  <c r="E224" i="209" s="1"/>
  <c r="E284" i="209" s="1"/>
  <c r="E344" i="209" s="1"/>
  <c r="E404" i="209" s="1"/>
  <c r="E464" i="209" s="1"/>
  <c r="E524" i="209" s="1"/>
  <c r="E584" i="209" s="1"/>
  <c r="E644" i="209" s="1"/>
  <c r="E704" i="209" s="1"/>
  <c r="E764" i="209" s="1"/>
  <c r="D44" i="209"/>
  <c r="V40" i="209"/>
  <c r="V100" i="209" s="1"/>
  <c r="V160" i="209" s="1"/>
  <c r="V220" i="209" s="1"/>
  <c r="V280" i="209" s="1"/>
  <c r="V340" i="209" s="1"/>
  <c r="V400" i="209" s="1"/>
  <c r="V460" i="209" s="1"/>
  <c r="V520" i="209" s="1"/>
  <c r="V580" i="209" s="1"/>
  <c r="V640" i="209" s="1"/>
  <c r="V700" i="209" s="1"/>
  <c r="V760" i="209" s="1"/>
  <c r="G40" i="209"/>
  <c r="G100" i="209" s="1"/>
  <c r="G160" i="209" s="1"/>
  <c r="G220" i="209" s="1"/>
  <c r="G280" i="209" s="1"/>
  <c r="G340" i="209" s="1"/>
  <c r="G400" i="209" s="1"/>
  <c r="G460" i="209" s="1"/>
  <c r="G520" i="209" s="1"/>
  <c r="G580" i="209" s="1"/>
  <c r="G640" i="209" s="1"/>
  <c r="G700" i="209" s="1"/>
  <c r="G760" i="209" s="1"/>
  <c r="E40" i="209"/>
  <c r="E100" i="209" s="1"/>
  <c r="E160" i="209" s="1"/>
  <c r="E220" i="209" s="1"/>
  <c r="E280" i="209" s="1"/>
  <c r="E340" i="209" s="1"/>
  <c r="E400" i="209" s="1"/>
  <c r="E460" i="209" s="1"/>
  <c r="E520" i="209" s="1"/>
  <c r="E580" i="209" s="1"/>
  <c r="E640" i="209" s="1"/>
  <c r="E700" i="209" s="1"/>
  <c r="E760" i="209" s="1"/>
  <c r="D40" i="209"/>
  <c r="D100" i="209" s="1"/>
  <c r="D160" i="209" s="1"/>
  <c r="D220" i="209" s="1"/>
  <c r="D280" i="209" s="1"/>
  <c r="D340" i="209" s="1"/>
  <c r="D400" i="209" s="1"/>
  <c r="D460" i="209" s="1"/>
  <c r="D520" i="209" s="1"/>
  <c r="D580" i="209" s="1"/>
  <c r="D640" i="209" s="1"/>
  <c r="D700" i="209" s="1"/>
  <c r="D760" i="209" s="1"/>
  <c r="V94" i="209"/>
  <c r="V154" i="209" s="1"/>
  <c r="V214" i="209" s="1"/>
  <c r="V274" i="209" s="1"/>
  <c r="V334" i="209" s="1"/>
  <c r="V394" i="209" s="1"/>
  <c r="V454" i="209" s="1"/>
  <c r="V514" i="209" s="1"/>
  <c r="V574" i="209" s="1"/>
  <c r="V634" i="209" s="1"/>
  <c r="V694" i="209" s="1"/>
  <c r="V754" i="209" s="1"/>
  <c r="G34" i="209"/>
  <c r="G94" i="209" s="1"/>
  <c r="G154" i="209" s="1"/>
  <c r="G214" i="209" s="1"/>
  <c r="G274" i="209" s="1"/>
  <c r="G334" i="209" s="1"/>
  <c r="G394" i="209" s="1"/>
  <c r="G454" i="209" s="1"/>
  <c r="G514" i="209" s="1"/>
  <c r="G574" i="209" s="1"/>
  <c r="G634" i="209" s="1"/>
  <c r="G694" i="209" s="1"/>
  <c r="G754" i="209" s="1"/>
  <c r="E34" i="209"/>
  <c r="E94" i="209" s="1"/>
  <c r="E154" i="209" s="1"/>
  <c r="E214" i="209" s="1"/>
  <c r="E274" i="209" s="1"/>
  <c r="E334" i="209" s="1"/>
  <c r="E394" i="209" s="1"/>
  <c r="E454" i="209" s="1"/>
  <c r="E514" i="209" s="1"/>
  <c r="E574" i="209" s="1"/>
  <c r="E634" i="209" s="1"/>
  <c r="E694" i="209" s="1"/>
  <c r="E754" i="209" s="1"/>
  <c r="D34" i="209"/>
  <c r="U34" i="209" s="1"/>
  <c r="U94" i="209" s="1"/>
  <c r="U154" i="209" s="1"/>
  <c r="U214" i="209" s="1"/>
  <c r="U274" i="209" s="1"/>
  <c r="U334" i="209" s="1"/>
  <c r="U394" i="209" s="1"/>
  <c r="U454" i="209" s="1"/>
  <c r="U514" i="209" s="1"/>
  <c r="U574" i="209" s="1"/>
  <c r="U634" i="209" s="1"/>
  <c r="U694" i="209" s="1"/>
  <c r="U754" i="209" s="1"/>
  <c r="V47" i="209"/>
  <c r="V107" i="209" s="1"/>
  <c r="V167" i="209" s="1"/>
  <c r="V227" i="209" s="1"/>
  <c r="V287" i="209" s="1"/>
  <c r="V347" i="209" s="1"/>
  <c r="V407" i="209" s="1"/>
  <c r="V467" i="209" s="1"/>
  <c r="V527" i="209" s="1"/>
  <c r="V587" i="209" s="1"/>
  <c r="V647" i="209" s="1"/>
  <c r="V707" i="209" s="1"/>
  <c r="V767" i="209" s="1"/>
  <c r="G47" i="209"/>
  <c r="G107" i="209" s="1"/>
  <c r="G167" i="209" s="1"/>
  <c r="G227" i="209" s="1"/>
  <c r="G287" i="209" s="1"/>
  <c r="G347" i="209" s="1"/>
  <c r="G407" i="209" s="1"/>
  <c r="G467" i="209" s="1"/>
  <c r="G527" i="209" s="1"/>
  <c r="G587" i="209" s="1"/>
  <c r="G647" i="209" s="1"/>
  <c r="G707" i="209" s="1"/>
  <c r="G767" i="209" s="1"/>
  <c r="E47" i="209"/>
  <c r="E107" i="209" s="1"/>
  <c r="E167" i="209" s="1"/>
  <c r="E227" i="209" s="1"/>
  <c r="E287" i="209" s="1"/>
  <c r="E347" i="209" s="1"/>
  <c r="E407" i="209" s="1"/>
  <c r="E467" i="209" s="1"/>
  <c r="E527" i="209" s="1"/>
  <c r="E587" i="209" s="1"/>
  <c r="E647" i="209" s="1"/>
  <c r="E707" i="209" s="1"/>
  <c r="E767" i="209" s="1"/>
  <c r="D47" i="209"/>
  <c r="U47" i="209" s="1"/>
  <c r="U107" i="209" s="1"/>
  <c r="U167" i="209" s="1"/>
  <c r="U227" i="209" s="1"/>
  <c r="U287" i="209" s="1"/>
  <c r="U347" i="209" s="1"/>
  <c r="U407" i="209" s="1"/>
  <c r="U467" i="209" s="1"/>
  <c r="U527" i="209" s="1"/>
  <c r="U587" i="209" s="1"/>
  <c r="U647" i="209" s="1"/>
  <c r="U707" i="209" s="1"/>
  <c r="U767" i="209" s="1"/>
  <c r="G48" i="209"/>
  <c r="G108" i="209" s="1"/>
  <c r="G168" i="209" s="1"/>
  <c r="G228" i="209" s="1"/>
  <c r="G288" i="209" s="1"/>
  <c r="G348" i="209" s="1"/>
  <c r="G408" i="209" s="1"/>
  <c r="G468" i="209" s="1"/>
  <c r="G528" i="209" s="1"/>
  <c r="G588" i="209" s="1"/>
  <c r="G648" i="209" s="1"/>
  <c r="G708" i="209" s="1"/>
  <c r="G768" i="209" s="1"/>
  <c r="E48" i="209"/>
  <c r="E108" i="209" s="1"/>
  <c r="E168" i="209" s="1"/>
  <c r="E228" i="209" s="1"/>
  <c r="E288" i="209" s="1"/>
  <c r="E348" i="209" s="1"/>
  <c r="E408" i="209" s="1"/>
  <c r="E468" i="209" s="1"/>
  <c r="E528" i="209" s="1"/>
  <c r="E588" i="209" s="1"/>
  <c r="E648" i="209" s="1"/>
  <c r="E708" i="209" s="1"/>
  <c r="E768" i="209" s="1"/>
  <c r="D48" i="209"/>
  <c r="G45" i="209"/>
  <c r="G105" i="209" s="1"/>
  <c r="G165" i="209" s="1"/>
  <c r="G225" i="209" s="1"/>
  <c r="G285" i="209" s="1"/>
  <c r="G345" i="209" s="1"/>
  <c r="G405" i="209" s="1"/>
  <c r="G465" i="209" s="1"/>
  <c r="G525" i="209" s="1"/>
  <c r="G585" i="209" s="1"/>
  <c r="G645" i="209" s="1"/>
  <c r="G705" i="209" s="1"/>
  <c r="G765" i="209" s="1"/>
  <c r="E45" i="209"/>
  <c r="E105" i="209" s="1"/>
  <c r="E165" i="209" s="1"/>
  <c r="E225" i="209" s="1"/>
  <c r="E285" i="209" s="1"/>
  <c r="E345" i="209" s="1"/>
  <c r="E405" i="209" s="1"/>
  <c r="E465" i="209" s="1"/>
  <c r="E525" i="209" s="1"/>
  <c r="E585" i="209" s="1"/>
  <c r="E645" i="209" s="1"/>
  <c r="E705" i="209" s="1"/>
  <c r="E765" i="209" s="1"/>
  <c r="D45" i="209"/>
  <c r="V42" i="209"/>
  <c r="G41" i="209"/>
  <c r="G101" i="209" s="1"/>
  <c r="G161" i="209" s="1"/>
  <c r="G221" i="209" s="1"/>
  <c r="G281" i="209" s="1"/>
  <c r="G341" i="209" s="1"/>
  <c r="G401" i="209" s="1"/>
  <c r="G461" i="209" s="1"/>
  <c r="G521" i="209" s="1"/>
  <c r="G581" i="209" s="1"/>
  <c r="G641" i="209" s="1"/>
  <c r="G701" i="209" s="1"/>
  <c r="G761" i="209" s="1"/>
  <c r="E41" i="209"/>
  <c r="E101" i="209" s="1"/>
  <c r="E161" i="209" s="1"/>
  <c r="E221" i="209" s="1"/>
  <c r="E281" i="209" s="1"/>
  <c r="E341" i="209" s="1"/>
  <c r="E401" i="209" s="1"/>
  <c r="E461" i="209" s="1"/>
  <c r="E521" i="209" s="1"/>
  <c r="E581" i="209" s="1"/>
  <c r="E641" i="209" s="1"/>
  <c r="E701" i="209" s="1"/>
  <c r="E761" i="209" s="1"/>
  <c r="D41" i="209"/>
  <c r="G39" i="209"/>
  <c r="G99" i="209" s="1"/>
  <c r="G159" i="209" s="1"/>
  <c r="G219" i="209" s="1"/>
  <c r="G279" i="209" s="1"/>
  <c r="G339" i="209" s="1"/>
  <c r="G399" i="209" s="1"/>
  <c r="G459" i="209" s="1"/>
  <c r="G519" i="209" s="1"/>
  <c r="G579" i="209" s="1"/>
  <c r="G639" i="209" s="1"/>
  <c r="G699" i="209" s="1"/>
  <c r="G759" i="209" s="1"/>
  <c r="E39" i="209"/>
  <c r="E99" i="209" s="1"/>
  <c r="E159" i="209" s="1"/>
  <c r="E219" i="209" s="1"/>
  <c r="E279" i="209" s="1"/>
  <c r="E339" i="209" s="1"/>
  <c r="E399" i="209" s="1"/>
  <c r="E459" i="209" s="1"/>
  <c r="E519" i="209" s="1"/>
  <c r="E579" i="209" s="1"/>
  <c r="E639" i="209" s="1"/>
  <c r="E699" i="209" s="1"/>
  <c r="E759" i="209" s="1"/>
  <c r="D39" i="209"/>
  <c r="D99" i="209" s="1"/>
  <c r="D159" i="209" s="1"/>
  <c r="D219" i="209" s="1"/>
  <c r="D279" i="209" s="1"/>
  <c r="D339" i="209" s="1"/>
  <c r="D399" i="209" s="1"/>
  <c r="D459" i="209" s="1"/>
  <c r="D519" i="209" s="1"/>
  <c r="D579" i="209" s="1"/>
  <c r="D639" i="209" s="1"/>
  <c r="D699" i="209" s="1"/>
  <c r="D759" i="209" s="1"/>
  <c r="G38" i="209"/>
  <c r="G98" i="209" s="1"/>
  <c r="G158" i="209" s="1"/>
  <c r="G218" i="209" s="1"/>
  <c r="G278" i="209" s="1"/>
  <c r="G338" i="209" s="1"/>
  <c r="G398" i="209" s="1"/>
  <c r="G458" i="209" s="1"/>
  <c r="G518" i="209" s="1"/>
  <c r="G578" i="209" s="1"/>
  <c r="G638" i="209" s="1"/>
  <c r="G698" i="209" s="1"/>
  <c r="G758" i="209" s="1"/>
  <c r="E38" i="209"/>
  <c r="E98" i="209" s="1"/>
  <c r="E158" i="209" s="1"/>
  <c r="E218" i="209" s="1"/>
  <c r="E278" i="209" s="1"/>
  <c r="E338" i="209" s="1"/>
  <c r="E398" i="209" s="1"/>
  <c r="E458" i="209" s="1"/>
  <c r="E518" i="209" s="1"/>
  <c r="E578" i="209" s="1"/>
  <c r="E638" i="209" s="1"/>
  <c r="E698" i="209" s="1"/>
  <c r="E758" i="209" s="1"/>
  <c r="D38" i="209"/>
  <c r="U38" i="209" s="1"/>
  <c r="U98" i="209" s="1"/>
  <c r="U158" i="209" s="1"/>
  <c r="U218" i="209" s="1"/>
  <c r="U278" i="209" s="1"/>
  <c r="U338" i="209" s="1"/>
  <c r="U398" i="209" s="1"/>
  <c r="U458" i="209" s="1"/>
  <c r="U518" i="209" s="1"/>
  <c r="U578" i="209" s="1"/>
  <c r="U638" i="209" s="1"/>
  <c r="U698" i="209" s="1"/>
  <c r="U758" i="209" s="1"/>
  <c r="G35" i="209"/>
  <c r="G95" i="209" s="1"/>
  <c r="G155" i="209" s="1"/>
  <c r="G215" i="209" s="1"/>
  <c r="G275" i="209" s="1"/>
  <c r="G335" i="209" s="1"/>
  <c r="G395" i="209" s="1"/>
  <c r="G455" i="209" s="1"/>
  <c r="G515" i="209" s="1"/>
  <c r="G575" i="209" s="1"/>
  <c r="G635" i="209" s="1"/>
  <c r="G695" i="209" s="1"/>
  <c r="G755" i="209" s="1"/>
  <c r="E35" i="209"/>
  <c r="E95" i="209" s="1"/>
  <c r="E155" i="209" s="1"/>
  <c r="E215" i="209" s="1"/>
  <c r="E275" i="209" s="1"/>
  <c r="E335" i="209" s="1"/>
  <c r="E395" i="209" s="1"/>
  <c r="E455" i="209" s="1"/>
  <c r="E515" i="209" s="1"/>
  <c r="E575" i="209" s="1"/>
  <c r="E635" i="209" s="1"/>
  <c r="E695" i="209" s="1"/>
  <c r="E755" i="209" s="1"/>
  <c r="D35" i="209"/>
  <c r="V32" i="209"/>
  <c r="G29" i="209"/>
  <c r="G89" i="209" s="1"/>
  <c r="G149" i="209" s="1"/>
  <c r="G209" i="209" s="1"/>
  <c r="G269" i="209" s="1"/>
  <c r="G329" i="209" s="1"/>
  <c r="G389" i="209" s="1"/>
  <c r="G449" i="209" s="1"/>
  <c r="G509" i="209" s="1"/>
  <c r="G569" i="209" s="1"/>
  <c r="G629" i="209" s="1"/>
  <c r="G689" i="209" s="1"/>
  <c r="G749" i="209" s="1"/>
  <c r="E29" i="209"/>
  <c r="E89" i="209" s="1"/>
  <c r="E149" i="209" s="1"/>
  <c r="E209" i="209" s="1"/>
  <c r="E269" i="209" s="1"/>
  <c r="E329" i="209" s="1"/>
  <c r="E389" i="209" s="1"/>
  <c r="E449" i="209" s="1"/>
  <c r="E509" i="209" s="1"/>
  <c r="E569" i="209" s="1"/>
  <c r="E629" i="209" s="1"/>
  <c r="E689" i="209" s="1"/>
  <c r="E749" i="209" s="1"/>
  <c r="D29" i="209"/>
  <c r="D89" i="209" s="1"/>
  <c r="D149" i="209" s="1"/>
  <c r="D209" i="209" s="1"/>
  <c r="D269" i="209" s="1"/>
  <c r="D329" i="209" s="1"/>
  <c r="D389" i="209" s="1"/>
  <c r="D449" i="209" s="1"/>
  <c r="D509" i="209" s="1"/>
  <c r="D569" i="209" s="1"/>
  <c r="D629" i="209" s="1"/>
  <c r="D689" i="209" s="1"/>
  <c r="D749" i="209" s="1"/>
  <c r="G28" i="209"/>
  <c r="G88" i="209" s="1"/>
  <c r="G148" i="209" s="1"/>
  <c r="G208" i="209" s="1"/>
  <c r="G268" i="209" s="1"/>
  <c r="G328" i="209" s="1"/>
  <c r="G388" i="209" s="1"/>
  <c r="G448" i="209" s="1"/>
  <c r="G508" i="209" s="1"/>
  <c r="G568" i="209" s="1"/>
  <c r="G628" i="209" s="1"/>
  <c r="G688" i="209" s="1"/>
  <c r="G748" i="209" s="1"/>
  <c r="E28" i="209"/>
  <c r="E88" i="209" s="1"/>
  <c r="E148" i="209" s="1"/>
  <c r="E208" i="209" s="1"/>
  <c r="E268" i="209" s="1"/>
  <c r="E328" i="209" s="1"/>
  <c r="E388" i="209" s="1"/>
  <c r="E448" i="209" s="1"/>
  <c r="E508" i="209" s="1"/>
  <c r="E568" i="209" s="1"/>
  <c r="E628" i="209" s="1"/>
  <c r="E688" i="209" s="1"/>
  <c r="E748" i="209" s="1"/>
  <c r="D28" i="209"/>
  <c r="G27" i="209"/>
  <c r="G87" i="209" s="1"/>
  <c r="G147" i="209" s="1"/>
  <c r="G207" i="209" s="1"/>
  <c r="G267" i="209" s="1"/>
  <c r="G327" i="209" s="1"/>
  <c r="G387" i="209" s="1"/>
  <c r="G447" i="209" s="1"/>
  <c r="G507" i="209" s="1"/>
  <c r="G567" i="209" s="1"/>
  <c r="G627" i="209" s="1"/>
  <c r="G687" i="209" s="1"/>
  <c r="G747" i="209" s="1"/>
  <c r="E27" i="209"/>
  <c r="E87" i="209" s="1"/>
  <c r="E147" i="209" s="1"/>
  <c r="E207" i="209" s="1"/>
  <c r="E267" i="209" s="1"/>
  <c r="E327" i="209" s="1"/>
  <c r="E387" i="209" s="1"/>
  <c r="E447" i="209" s="1"/>
  <c r="E507" i="209" s="1"/>
  <c r="E567" i="209" s="1"/>
  <c r="E627" i="209" s="1"/>
  <c r="E687" i="209" s="1"/>
  <c r="E747" i="209" s="1"/>
  <c r="D27" i="209"/>
  <c r="D87" i="209" s="1"/>
  <c r="D147" i="209" s="1"/>
  <c r="D207" i="209" s="1"/>
  <c r="D267" i="209" s="1"/>
  <c r="D327" i="209" s="1"/>
  <c r="D387" i="209" s="1"/>
  <c r="D447" i="209" s="1"/>
  <c r="D507" i="209" s="1"/>
  <c r="D567" i="209" s="1"/>
  <c r="D627" i="209" s="1"/>
  <c r="D687" i="209" s="1"/>
  <c r="D747" i="209" s="1"/>
  <c r="G26" i="209"/>
  <c r="G86" i="209" s="1"/>
  <c r="G146" i="209" s="1"/>
  <c r="G206" i="209" s="1"/>
  <c r="G266" i="209" s="1"/>
  <c r="G326" i="209" s="1"/>
  <c r="G386" i="209" s="1"/>
  <c r="G446" i="209" s="1"/>
  <c r="G506" i="209" s="1"/>
  <c r="G566" i="209" s="1"/>
  <c r="G626" i="209" s="1"/>
  <c r="G686" i="209" s="1"/>
  <c r="G746" i="209" s="1"/>
  <c r="E26" i="209"/>
  <c r="E86" i="209" s="1"/>
  <c r="E146" i="209" s="1"/>
  <c r="E206" i="209" s="1"/>
  <c r="E266" i="209" s="1"/>
  <c r="E326" i="209" s="1"/>
  <c r="E386" i="209" s="1"/>
  <c r="E446" i="209" s="1"/>
  <c r="E506" i="209" s="1"/>
  <c r="E566" i="209" s="1"/>
  <c r="E626" i="209" s="1"/>
  <c r="E686" i="209" s="1"/>
  <c r="E746" i="209" s="1"/>
  <c r="D26" i="209"/>
  <c r="V23" i="209"/>
  <c r="G23" i="209"/>
  <c r="E23" i="209"/>
  <c r="D23" i="209"/>
  <c r="U23" i="209" s="1"/>
  <c r="U83" i="209" s="1"/>
  <c r="U143" i="209" s="1"/>
  <c r="U203" i="209" s="1"/>
  <c r="U263" i="209" s="1"/>
  <c r="G22" i="209"/>
  <c r="E22" i="209"/>
  <c r="D22" i="209"/>
  <c r="U22" i="209" s="1"/>
  <c r="U82" i="209" s="1"/>
  <c r="U142" i="209" s="1"/>
  <c r="U202" i="209" s="1"/>
  <c r="U262" i="209" s="1"/>
  <c r="G21" i="209"/>
  <c r="E21" i="209"/>
  <c r="D21" i="209"/>
  <c r="U21" i="209" s="1"/>
  <c r="U81" i="209" s="1"/>
  <c r="U141" i="209" s="1"/>
  <c r="U201" i="209" s="1"/>
  <c r="U261" i="209" s="1"/>
  <c r="G18" i="209"/>
  <c r="G78" i="209" s="1"/>
  <c r="G138" i="209" s="1"/>
  <c r="G198" i="209" s="1"/>
  <c r="G258" i="209" s="1"/>
  <c r="G318" i="209" s="1"/>
  <c r="G378" i="209" s="1"/>
  <c r="G438" i="209" s="1"/>
  <c r="G498" i="209" s="1"/>
  <c r="G558" i="209" s="1"/>
  <c r="G618" i="209" s="1"/>
  <c r="G678" i="209" s="1"/>
  <c r="G738" i="209" s="1"/>
  <c r="E18" i="209"/>
  <c r="E78" i="209" s="1"/>
  <c r="E138" i="209" s="1"/>
  <c r="E198" i="209" s="1"/>
  <c r="E258" i="209" s="1"/>
  <c r="E318" i="209" s="1"/>
  <c r="E378" i="209" s="1"/>
  <c r="E438" i="209" s="1"/>
  <c r="E498" i="209" s="1"/>
  <c r="E558" i="209" s="1"/>
  <c r="E618" i="209" s="1"/>
  <c r="E678" i="209" s="1"/>
  <c r="E738" i="209" s="1"/>
  <c r="D18" i="209"/>
  <c r="G17" i="209"/>
  <c r="G77" i="209" s="1"/>
  <c r="G137" i="209" s="1"/>
  <c r="G197" i="209" s="1"/>
  <c r="G257" i="209" s="1"/>
  <c r="G317" i="209" s="1"/>
  <c r="G377" i="209" s="1"/>
  <c r="G437" i="209" s="1"/>
  <c r="G497" i="209" s="1"/>
  <c r="G557" i="209" s="1"/>
  <c r="G617" i="209" s="1"/>
  <c r="G677" i="209" s="1"/>
  <c r="G737" i="209" s="1"/>
  <c r="E17" i="209"/>
  <c r="E77" i="209" s="1"/>
  <c r="E137" i="209" s="1"/>
  <c r="E197" i="209" s="1"/>
  <c r="E257" i="209" s="1"/>
  <c r="E317" i="209" s="1"/>
  <c r="E377" i="209" s="1"/>
  <c r="E437" i="209" s="1"/>
  <c r="E497" i="209" s="1"/>
  <c r="E557" i="209" s="1"/>
  <c r="E617" i="209" s="1"/>
  <c r="E677" i="209" s="1"/>
  <c r="E737" i="209" s="1"/>
  <c r="D17" i="209"/>
  <c r="G16" i="209"/>
  <c r="G76" i="209" s="1"/>
  <c r="G136" i="209" s="1"/>
  <c r="G196" i="209" s="1"/>
  <c r="G256" i="209" s="1"/>
  <c r="G316" i="209" s="1"/>
  <c r="G376" i="209" s="1"/>
  <c r="G436" i="209" s="1"/>
  <c r="G496" i="209" s="1"/>
  <c r="G556" i="209" s="1"/>
  <c r="G616" i="209" s="1"/>
  <c r="G676" i="209" s="1"/>
  <c r="G736" i="209" s="1"/>
  <c r="E16" i="209"/>
  <c r="E76" i="209" s="1"/>
  <c r="E136" i="209" s="1"/>
  <c r="E196" i="209" s="1"/>
  <c r="E256" i="209" s="1"/>
  <c r="E316" i="209" s="1"/>
  <c r="E376" i="209" s="1"/>
  <c r="E436" i="209" s="1"/>
  <c r="E496" i="209" s="1"/>
  <c r="E556" i="209" s="1"/>
  <c r="E616" i="209" s="1"/>
  <c r="E676" i="209" s="1"/>
  <c r="E736" i="209" s="1"/>
  <c r="D16" i="209"/>
  <c r="D76" i="209" s="1"/>
  <c r="D136" i="209" s="1"/>
  <c r="D196" i="209" s="1"/>
  <c r="D256" i="209" s="1"/>
  <c r="D316" i="209" s="1"/>
  <c r="D376" i="209" s="1"/>
  <c r="D436" i="209" s="1"/>
  <c r="D496" i="209" s="1"/>
  <c r="D556" i="209" s="1"/>
  <c r="D616" i="209" s="1"/>
  <c r="D676" i="209" s="1"/>
  <c r="D736" i="209" s="1"/>
  <c r="G15" i="209"/>
  <c r="G75" i="209" s="1"/>
  <c r="G135" i="209" s="1"/>
  <c r="G195" i="209" s="1"/>
  <c r="G255" i="209" s="1"/>
  <c r="G315" i="209" s="1"/>
  <c r="G375" i="209" s="1"/>
  <c r="G435" i="209" s="1"/>
  <c r="G495" i="209" s="1"/>
  <c r="G555" i="209" s="1"/>
  <c r="G615" i="209" s="1"/>
  <c r="G675" i="209" s="1"/>
  <c r="G735" i="209" s="1"/>
  <c r="E15" i="209"/>
  <c r="E75" i="209" s="1"/>
  <c r="E135" i="209" s="1"/>
  <c r="E195" i="209" s="1"/>
  <c r="E255" i="209" s="1"/>
  <c r="E315" i="209" s="1"/>
  <c r="E375" i="209" s="1"/>
  <c r="E435" i="209" s="1"/>
  <c r="E495" i="209" s="1"/>
  <c r="E555" i="209" s="1"/>
  <c r="E615" i="209" s="1"/>
  <c r="E675" i="209" s="1"/>
  <c r="E735" i="209" s="1"/>
  <c r="D15" i="209"/>
  <c r="G14" i="209"/>
  <c r="G74" i="209" s="1"/>
  <c r="G134" i="209" s="1"/>
  <c r="G194" i="209" s="1"/>
  <c r="G254" i="209" s="1"/>
  <c r="G314" i="209" s="1"/>
  <c r="G374" i="209" s="1"/>
  <c r="G434" i="209" s="1"/>
  <c r="G494" i="209" s="1"/>
  <c r="G554" i="209" s="1"/>
  <c r="G614" i="209" s="1"/>
  <c r="G674" i="209" s="1"/>
  <c r="G734" i="209" s="1"/>
  <c r="E14" i="209"/>
  <c r="E74" i="209" s="1"/>
  <c r="E134" i="209" s="1"/>
  <c r="E194" i="209" s="1"/>
  <c r="E254" i="209" s="1"/>
  <c r="E314" i="209" s="1"/>
  <c r="E374" i="209" s="1"/>
  <c r="E434" i="209" s="1"/>
  <c r="E494" i="209" s="1"/>
  <c r="E554" i="209" s="1"/>
  <c r="E614" i="209" s="1"/>
  <c r="E674" i="209" s="1"/>
  <c r="E734" i="209" s="1"/>
  <c r="D14" i="209"/>
  <c r="U14" i="209" s="1"/>
  <c r="U74" i="209" s="1"/>
  <c r="U134" i="209" s="1"/>
  <c r="U194" i="209" s="1"/>
  <c r="U254" i="209" s="1"/>
  <c r="U314" i="209" s="1"/>
  <c r="U374" i="209" s="1"/>
  <c r="U434" i="209" s="1"/>
  <c r="U494" i="209" s="1"/>
  <c r="U554" i="209" s="1"/>
  <c r="U614" i="209" s="1"/>
  <c r="U674" i="209" s="1"/>
  <c r="U734" i="209" s="1"/>
  <c r="G13" i="209"/>
  <c r="G73" i="209" s="1"/>
  <c r="G133" i="209" s="1"/>
  <c r="G193" i="209" s="1"/>
  <c r="G253" i="209" s="1"/>
  <c r="G313" i="209" s="1"/>
  <c r="G373" i="209" s="1"/>
  <c r="G433" i="209" s="1"/>
  <c r="G493" i="209" s="1"/>
  <c r="G553" i="209" s="1"/>
  <c r="G613" i="209" s="1"/>
  <c r="G673" i="209" s="1"/>
  <c r="G733" i="209" s="1"/>
  <c r="E13" i="209"/>
  <c r="E73" i="209" s="1"/>
  <c r="E133" i="209" s="1"/>
  <c r="E193" i="209" s="1"/>
  <c r="E253" i="209" s="1"/>
  <c r="E313" i="209" s="1"/>
  <c r="E373" i="209" s="1"/>
  <c r="E433" i="209" s="1"/>
  <c r="E493" i="209" s="1"/>
  <c r="E553" i="209" s="1"/>
  <c r="E613" i="209" s="1"/>
  <c r="E673" i="209" s="1"/>
  <c r="E733" i="209" s="1"/>
  <c r="D13" i="209"/>
  <c r="G12" i="209"/>
  <c r="G72" i="209" s="1"/>
  <c r="G132" i="209" s="1"/>
  <c r="G192" i="209" s="1"/>
  <c r="G252" i="209" s="1"/>
  <c r="G312" i="209" s="1"/>
  <c r="G372" i="209" s="1"/>
  <c r="G432" i="209" s="1"/>
  <c r="G492" i="209" s="1"/>
  <c r="G552" i="209" s="1"/>
  <c r="G612" i="209" s="1"/>
  <c r="G672" i="209" s="1"/>
  <c r="G732" i="209" s="1"/>
  <c r="E12" i="209"/>
  <c r="E72" i="209" s="1"/>
  <c r="E132" i="209" s="1"/>
  <c r="E192" i="209" s="1"/>
  <c r="E252" i="209" s="1"/>
  <c r="E312" i="209" s="1"/>
  <c r="E372" i="209" s="1"/>
  <c r="E432" i="209" s="1"/>
  <c r="E492" i="209" s="1"/>
  <c r="E552" i="209" s="1"/>
  <c r="E612" i="209" s="1"/>
  <c r="E672" i="209" s="1"/>
  <c r="E732" i="209" s="1"/>
  <c r="D12" i="209"/>
  <c r="G11" i="209"/>
  <c r="G71" i="209" s="1"/>
  <c r="G131" i="209" s="1"/>
  <c r="G191" i="209" s="1"/>
  <c r="G251" i="209" s="1"/>
  <c r="G311" i="209" s="1"/>
  <c r="G371" i="209" s="1"/>
  <c r="G431" i="209" s="1"/>
  <c r="G491" i="209" s="1"/>
  <c r="G551" i="209" s="1"/>
  <c r="G611" i="209" s="1"/>
  <c r="G671" i="209" s="1"/>
  <c r="G731" i="209" s="1"/>
  <c r="E11" i="209"/>
  <c r="E71" i="209" s="1"/>
  <c r="E131" i="209" s="1"/>
  <c r="E191" i="209" s="1"/>
  <c r="E251" i="209" s="1"/>
  <c r="E311" i="209" s="1"/>
  <c r="E371" i="209" s="1"/>
  <c r="E431" i="209" s="1"/>
  <c r="E491" i="209" s="1"/>
  <c r="E551" i="209" s="1"/>
  <c r="E611" i="209" s="1"/>
  <c r="E671" i="209" s="1"/>
  <c r="E731" i="209" s="1"/>
  <c r="D11" i="209"/>
  <c r="U11" i="209" s="1"/>
  <c r="U71" i="209" s="1"/>
  <c r="U131" i="209" s="1"/>
  <c r="U191" i="209" s="1"/>
  <c r="U251" i="209" s="1"/>
  <c r="U311" i="209" s="1"/>
  <c r="U371" i="209" s="1"/>
  <c r="U431" i="209" s="1"/>
  <c r="U491" i="209" s="1"/>
  <c r="U551" i="209" s="1"/>
  <c r="U611" i="209" s="1"/>
  <c r="U671" i="209" s="1"/>
  <c r="U731" i="209" s="1"/>
  <c r="G10" i="209"/>
  <c r="G70" i="209" s="1"/>
  <c r="G130" i="209" s="1"/>
  <c r="G190" i="209" s="1"/>
  <c r="G250" i="209" s="1"/>
  <c r="G310" i="209" s="1"/>
  <c r="G370" i="209" s="1"/>
  <c r="G430" i="209" s="1"/>
  <c r="G490" i="209" s="1"/>
  <c r="G550" i="209" s="1"/>
  <c r="G610" i="209" s="1"/>
  <c r="G670" i="209" s="1"/>
  <c r="G730" i="209" s="1"/>
  <c r="E10" i="209"/>
  <c r="E70" i="209" s="1"/>
  <c r="E130" i="209" s="1"/>
  <c r="E190" i="209" s="1"/>
  <c r="E250" i="209" s="1"/>
  <c r="E310" i="209" s="1"/>
  <c r="E370" i="209" s="1"/>
  <c r="E430" i="209" s="1"/>
  <c r="E490" i="209" s="1"/>
  <c r="E550" i="209" s="1"/>
  <c r="E610" i="209" s="1"/>
  <c r="E670" i="209" s="1"/>
  <c r="E730" i="209" s="1"/>
  <c r="D10" i="209"/>
  <c r="G9" i="209"/>
  <c r="G69" i="209" s="1"/>
  <c r="G129" i="209" s="1"/>
  <c r="G189" i="209" s="1"/>
  <c r="G249" i="209" s="1"/>
  <c r="G309" i="209" s="1"/>
  <c r="G369" i="209" s="1"/>
  <c r="G429" i="209" s="1"/>
  <c r="G489" i="209" s="1"/>
  <c r="G549" i="209" s="1"/>
  <c r="G609" i="209" s="1"/>
  <c r="G669" i="209" s="1"/>
  <c r="G729" i="209" s="1"/>
  <c r="E9" i="209"/>
  <c r="E69" i="209" s="1"/>
  <c r="E129" i="209" s="1"/>
  <c r="E189" i="209" s="1"/>
  <c r="E249" i="209" s="1"/>
  <c r="E309" i="209" s="1"/>
  <c r="E369" i="209" s="1"/>
  <c r="E429" i="209" s="1"/>
  <c r="E489" i="209" s="1"/>
  <c r="E549" i="209" s="1"/>
  <c r="E609" i="209" s="1"/>
  <c r="E669" i="209" s="1"/>
  <c r="E729" i="209" s="1"/>
  <c r="D9" i="209"/>
  <c r="G8" i="209"/>
  <c r="G68" i="209" s="1"/>
  <c r="G128" i="209" s="1"/>
  <c r="G188" i="209" s="1"/>
  <c r="G248" i="209" s="1"/>
  <c r="G308" i="209" s="1"/>
  <c r="G368" i="209" s="1"/>
  <c r="G428" i="209" s="1"/>
  <c r="G488" i="209" s="1"/>
  <c r="G548" i="209" s="1"/>
  <c r="G608" i="209" s="1"/>
  <c r="G668" i="209" s="1"/>
  <c r="G728" i="209" s="1"/>
  <c r="E8" i="209"/>
  <c r="E68" i="209" s="1"/>
  <c r="E128" i="209" s="1"/>
  <c r="E188" i="209" s="1"/>
  <c r="E248" i="209" s="1"/>
  <c r="E308" i="209" s="1"/>
  <c r="E368" i="209" s="1"/>
  <c r="E428" i="209" s="1"/>
  <c r="E488" i="209" s="1"/>
  <c r="E548" i="209" s="1"/>
  <c r="E608" i="209" s="1"/>
  <c r="E668" i="209" s="1"/>
  <c r="E728" i="209" s="1"/>
  <c r="D8" i="209"/>
  <c r="U8" i="209" s="1"/>
  <c r="U68" i="209" s="1"/>
  <c r="U128" i="209" s="1"/>
  <c r="U188" i="209" s="1"/>
  <c r="U248" i="209" s="1"/>
  <c r="U308" i="209" s="1"/>
  <c r="U368" i="209" s="1"/>
  <c r="U428" i="209" s="1"/>
  <c r="U488" i="209" s="1"/>
  <c r="U548" i="209" s="1"/>
  <c r="U608" i="209" s="1"/>
  <c r="U668" i="209" s="1"/>
  <c r="U728" i="209" s="1"/>
  <c r="N12" i="70"/>
  <c r="R12" i="70" s="1"/>
  <c r="S349" i="209"/>
  <c r="S346" i="209"/>
  <c r="T11" i="33"/>
  <c r="K357" i="209"/>
  <c r="O597" i="209"/>
  <c r="R28" i="34"/>
  <c r="T28" i="34" s="1"/>
  <c r="S331" i="246"/>
  <c r="S301" i="246"/>
  <c r="S266" i="246"/>
  <c r="P477" i="209"/>
  <c r="G16" i="292"/>
  <c r="O477" i="209"/>
  <c r="E14" i="156"/>
  <c r="M318" i="246"/>
  <c r="N20" i="27"/>
  <c r="N27" i="37"/>
  <c r="R27" i="37" s="1"/>
  <c r="T27" i="37" s="1"/>
  <c r="N31" i="37"/>
  <c r="R31" i="37" s="1"/>
  <c r="T31" i="37" s="1"/>
  <c r="J33" i="37"/>
  <c r="S262" i="209"/>
  <c r="J511" i="246"/>
  <c r="H32" i="248"/>
  <c r="M657" i="209" s="1"/>
  <c r="R11" i="161"/>
  <c r="N18" i="27"/>
  <c r="R18" i="27" s="1"/>
  <c r="E14" i="139"/>
  <c r="N16" i="27"/>
  <c r="R16" i="27" s="1"/>
  <c r="R13" i="161"/>
  <c r="T13" i="161" s="1"/>
  <c r="N14" i="27"/>
  <c r="R14" i="27" s="1"/>
  <c r="N15" i="37"/>
  <c r="R15" i="37" s="1"/>
  <c r="T15" i="37" s="1"/>
  <c r="H31" i="326"/>
  <c r="H45" i="326" s="1"/>
  <c r="P17" i="324" s="1"/>
  <c r="J27" i="80"/>
  <c r="D14" i="79" s="1"/>
  <c r="R19" i="80"/>
  <c r="K511" i="246"/>
  <c r="K449" i="246"/>
  <c r="H32" i="326"/>
  <c r="L511" i="246"/>
  <c r="I325" i="246"/>
  <c r="P13" i="241"/>
  <c r="L537" i="209"/>
  <c r="H33" i="248"/>
  <c r="H47" i="213"/>
  <c r="S143" i="209" s="1"/>
  <c r="H43" i="187"/>
  <c r="H43" i="141"/>
  <c r="F14" i="95"/>
  <c r="G14" i="95" s="1"/>
  <c r="E14" i="215"/>
  <c r="F14" i="215"/>
  <c r="F14" i="162"/>
  <c r="H43" i="356"/>
  <c r="G14" i="215"/>
  <c r="H43" i="334"/>
  <c r="E14" i="118"/>
  <c r="H43" i="295"/>
  <c r="O20" i="241"/>
  <c r="F48" i="248"/>
  <c r="G48" i="247"/>
  <c r="O20" i="214" s="1"/>
  <c r="R18" i="161"/>
  <c r="T18" i="161" s="1"/>
  <c r="N11" i="142"/>
  <c r="R11" i="142" s="1"/>
  <c r="N16" i="28"/>
  <c r="R16" i="28" s="1"/>
  <c r="N12" i="100"/>
  <c r="R12" i="100" s="1"/>
  <c r="T12" i="100" s="1"/>
  <c r="R15" i="30"/>
  <c r="T15" i="30" s="1"/>
  <c r="R12" i="33"/>
  <c r="T12" i="33" s="1"/>
  <c r="N16" i="36"/>
  <c r="R16" i="36" s="1"/>
  <c r="T16" i="36" s="1"/>
  <c r="N33" i="36"/>
  <c r="R33" i="36" s="1"/>
  <c r="N40" i="37"/>
  <c r="R40" i="37" s="1"/>
  <c r="T40" i="37" s="1"/>
  <c r="N22" i="36"/>
  <c r="R22" i="36" s="1"/>
  <c r="J17" i="37"/>
  <c r="N16" i="37"/>
  <c r="R16" i="37" s="1"/>
  <c r="N23" i="37"/>
  <c r="N11" i="80"/>
  <c r="R11" i="80" s="1"/>
  <c r="N15" i="49"/>
  <c r="R15" i="49" s="1"/>
  <c r="N11" i="49"/>
  <c r="R11" i="49" s="1"/>
  <c r="N14" i="49"/>
  <c r="R14" i="49" s="1"/>
  <c r="F141" i="5"/>
  <c r="E23" i="294" s="1"/>
  <c r="E42" i="294" s="1"/>
  <c r="E61" i="294" s="1"/>
  <c r="E80" i="294" s="1"/>
  <c r="E99" i="294" s="1"/>
  <c r="E118" i="294" s="1"/>
  <c r="E137" i="294" s="1"/>
  <c r="T16" i="100"/>
  <c r="F138" i="5"/>
  <c r="F59" i="246" s="1"/>
  <c r="F137" i="5"/>
  <c r="F136" i="5"/>
  <c r="D15" i="104"/>
  <c r="D15" i="223"/>
  <c r="E15" i="139"/>
  <c r="E15" i="162"/>
  <c r="F15" i="215"/>
  <c r="E15" i="215"/>
  <c r="G15" i="215"/>
  <c r="F135" i="5"/>
  <c r="E15" i="118"/>
  <c r="E15" i="156"/>
  <c r="F132" i="5"/>
  <c r="F37" i="246" s="1"/>
  <c r="F99" i="246" s="1"/>
  <c r="F161" i="246" s="1"/>
  <c r="F223" i="246" s="1"/>
  <c r="F285" i="246" s="1"/>
  <c r="F347" i="246" s="1"/>
  <c r="F409" i="246" s="1"/>
  <c r="F471" i="246" s="1"/>
  <c r="F533" i="246" s="1"/>
  <c r="F595" i="246" s="1"/>
  <c r="F657" i="246" s="1"/>
  <c r="F719" i="246" s="1"/>
  <c r="F781" i="246" s="1"/>
  <c r="F131" i="5"/>
  <c r="F36" i="246" s="1"/>
  <c r="F98" i="246" s="1"/>
  <c r="F160" i="246" s="1"/>
  <c r="F222" i="246" s="1"/>
  <c r="F284" i="246" s="1"/>
  <c r="F346" i="246" s="1"/>
  <c r="F408" i="246" s="1"/>
  <c r="F470" i="246" s="1"/>
  <c r="F532" i="246" s="1"/>
  <c r="F594" i="246" s="1"/>
  <c r="F656" i="246" s="1"/>
  <c r="F718" i="246" s="1"/>
  <c r="F780" i="246" s="1"/>
  <c r="F130" i="5"/>
  <c r="F35" i="246" s="1"/>
  <c r="F97" i="246" s="1"/>
  <c r="F159" i="246" s="1"/>
  <c r="F221" i="246" s="1"/>
  <c r="F283" i="246" s="1"/>
  <c r="F345" i="246" s="1"/>
  <c r="F407" i="246" s="1"/>
  <c r="F469" i="246" s="1"/>
  <c r="F531" i="246" s="1"/>
  <c r="F593" i="246" s="1"/>
  <c r="F655" i="246" s="1"/>
  <c r="F717" i="246" s="1"/>
  <c r="F779" i="246" s="1"/>
  <c r="F127" i="5"/>
  <c r="F12" i="246" s="1"/>
  <c r="F74" i="246" s="1"/>
  <c r="F136" i="246" s="1"/>
  <c r="F198" i="246" s="1"/>
  <c r="F260" i="246" s="1"/>
  <c r="F322" i="246" s="1"/>
  <c r="F384" i="246" s="1"/>
  <c r="F446" i="246" s="1"/>
  <c r="F508" i="246" s="1"/>
  <c r="F570" i="246" s="1"/>
  <c r="F632" i="246" s="1"/>
  <c r="F694" i="246" s="1"/>
  <c r="F756" i="246" s="1"/>
  <c r="F126" i="5"/>
  <c r="F125" i="5"/>
  <c r="F13" i="246" s="1"/>
  <c r="F75" i="246" s="1"/>
  <c r="F137" i="246" s="1"/>
  <c r="F199" i="246" s="1"/>
  <c r="F261" i="246" s="1"/>
  <c r="F323" i="246" s="1"/>
  <c r="F385" i="246" s="1"/>
  <c r="F447" i="246" s="1"/>
  <c r="F509" i="246" s="1"/>
  <c r="F571" i="246" s="1"/>
  <c r="F633" i="246" s="1"/>
  <c r="F695" i="246" s="1"/>
  <c r="F757" i="246" s="1"/>
  <c r="F124" i="5"/>
  <c r="F14" i="246" s="1"/>
  <c r="F76" i="246" s="1"/>
  <c r="F138" i="246" s="1"/>
  <c r="F200" i="246" s="1"/>
  <c r="F262" i="246" s="1"/>
  <c r="F324" i="246" s="1"/>
  <c r="F386" i="246" s="1"/>
  <c r="F448" i="246" s="1"/>
  <c r="F510" i="246" s="1"/>
  <c r="F572" i="246" s="1"/>
  <c r="F634" i="246" s="1"/>
  <c r="F696" i="246" s="1"/>
  <c r="F758" i="246" s="1"/>
  <c r="F123" i="5"/>
  <c r="F11" i="246" s="1"/>
  <c r="F73" i="246" s="1"/>
  <c r="F135" i="246" s="1"/>
  <c r="F197" i="246" s="1"/>
  <c r="F259" i="246" s="1"/>
  <c r="F321" i="246" s="1"/>
  <c r="F383" i="246" s="1"/>
  <c r="F445" i="246" s="1"/>
  <c r="F507" i="246" s="1"/>
  <c r="F569" i="246" s="1"/>
  <c r="F631" i="246" s="1"/>
  <c r="F693" i="246" s="1"/>
  <c r="F755" i="246" s="1"/>
  <c r="F117" i="5"/>
  <c r="F114" i="5"/>
  <c r="F32" i="246" s="1"/>
  <c r="F94" i="246" s="1"/>
  <c r="F156" i="246" s="1"/>
  <c r="F218" i="246" s="1"/>
  <c r="F280" i="246" s="1"/>
  <c r="F342" i="246" s="1"/>
  <c r="F404" i="246" s="1"/>
  <c r="F466" i="246" s="1"/>
  <c r="F528" i="246" s="1"/>
  <c r="F590" i="246" s="1"/>
  <c r="F652" i="246" s="1"/>
  <c r="F714" i="246" s="1"/>
  <c r="F776" i="246" s="1"/>
  <c r="F113" i="5"/>
  <c r="F31" i="246" s="1"/>
  <c r="F93" i="246" s="1"/>
  <c r="F155" i="246" s="1"/>
  <c r="F217" i="246" s="1"/>
  <c r="F279" i="246" s="1"/>
  <c r="F341" i="246" s="1"/>
  <c r="F403" i="246" s="1"/>
  <c r="F465" i="246" s="1"/>
  <c r="F527" i="246" s="1"/>
  <c r="F589" i="246" s="1"/>
  <c r="F651" i="246" s="1"/>
  <c r="F713" i="246" s="1"/>
  <c r="F775" i="246" s="1"/>
  <c r="F112" i="5"/>
  <c r="F30" i="246" s="1"/>
  <c r="F92" i="246" s="1"/>
  <c r="F154" i="246" s="1"/>
  <c r="F216" i="246" s="1"/>
  <c r="F278" i="246" s="1"/>
  <c r="F340" i="246" s="1"/>
  <c r="F402" i="246" s="1"/>
  <c r="F464" i="246" s="1"/>
  <c r="F526" i="246" s="1"/>
  <c r="F588" i="246" s="1"/>
  <c r="F650" i="246" s="1"/>
  <c r="F712" i="246" s="1"/>
  <c r="F774" i="246" s="1"/>
  <c r="F111" i="5"/>
  <c r="F29" i="246" s="1"/>
  <c r="F91" i="246" s="1"/>
  <c r="F153" i="246" s="1"/>
  <c r="F215" i="246" s="1"/>
  <c r="F277" i="246" s="1"/>
  <c r="F339" i="246" s="1"/>
  <c r="F401" i="246" s="1"/>
  <c r="F463" i="246" s="1"/>
  <c r="F525" i="246" s="1"/>
  <c r="F587" i="246" s="1"/>
  <c r="F649" i="246" s="1"/>
  <c r="F711" i="246" s="1"/>
  <c r="F773" i="246" s="1"/>
  <c r="F110" i="5"/>
  <c r="F28" i="246" s="1"/>
  <c r="F90" i="246" s="1"/>
  <c r="F152" i="246" s="1"/>
  <c r="F214" i="246" s="1"/>
  <c r="F276" i="246" s="1"/>
  <c r="F338" i="246" s="1"/>
  <c r="F400" i="246" s="1"/>
  <c r="F462" i="246" s="1"/>
  <c r="F524" i="246" s="1"/>
  <c r="F586" i="246" s="1"/>
  <c r="F648" i="246" s="1"/>
  <c r="F710" i="246" s="1"/>
  <c r="F772" i="246" s="1"/>
  <c r="F109" i="5"/>
  <c r="F27" i="246" s="1"/>
  <c r="F89" i="246" s="1"/>
  <c r="F151" i="246" s="1"/>
  <c r="F213" i="246" s="1"/>
  <c r="F275" i="246" s="1"/>
  <c r="F337" i="246" s="1"/>
  <c r="F399" i="246" s="1"/>
  <c r="F461" i="246" s="1"/>
  <c r="F523" i="246" s="1"/>
  <c r="F585" i="246" s="1"/>
  <c r="F647" i="246" s="1"/>
  <c r="F709" i="246" s="1"/>
  <c r="F771" i="246" s="1"/>
  <c r="F105" i="5"/>
  <c r="F104" i="5"/>
  <c r="F8" i="246" s="1"/>
  <c r="F70" i="246" s="1"/>
  <c r="F132" i="246" s="1"/>
  <c r="F194" i="246" s="1"/>
  <c r="F256" i="246" s="1"/>
  <c r="F318" i="246" s="1"/>
  <c r="F380" i="246" s="1"/>
  <c r="F442" i="246" s="1"/>
  <c r="F504" i="246" s="1"/>
  <c r="F566" i="246" s="1"/>
  <c r="F628" i="246" s="1"/>
  <c r="F690" i="246" s="1"/>
  <c r="F752" i="246" s="1"/>
  <c r="F100" i="5"/>
  <c r="E18" i="294" s="1"/>
  <c r="E37" i="294" s="1"/>
  <c r="E56" i="294" s="1"/>
  <c r="E75" i="294" s="1"/>
  <c r="E94" i="294" s="1"/>
  <c r="E113" i="294" s="1"/>
  <c r="E132" i="294" s="1"/>
  <c r="F99" i="5"/>
  <c r="E17" i="294" s="1"/>
  <c r="E36" i="294" s="1"/>
  <c r="E55" i="294" s="1"/>
  <c r="E74" i="294" s="1"/>
  <c r="E93" i="294" s="1"/>
  <c r="E112" i="294" s="1"/>
  <c r="E131" i="294" s="1"/>
  <c r="F98" i="5"/>
  <c r="E16" i="294" s="1"/>
  <c r="E35" i="294" s="1"/>
  <c r="E54" i="294" s="1"/>
  <c r="E73" i="294" s="1"/>
  <c r="E92" i="294" s="1"/>
  <c r="E111" i="294" s="1"/>
  <c r="E130" i="294" s="1"/>
  <c r="F97" i="5"/>
  <c r="E15" i="294" s="1"/>
  <c r="E34" i="294" s="1"/>
  <c r="E53" i="294" s="1"/>
  <c r="E72" i="294" s="1"/>
  <c r="E91" i="294" s="1"/>
  <c r="E110" i="294" s="1"/>
  <c r="E129" i="294" s="1"/>
  <c r="F94" i="5"/>
  <c r="F53" i="246" s="1"/>
  <c r="F115" i="246" s="1"/>
  <c r="F177" i="246" s="1"/>
  <c r="F239" i="246" s="1"/>
  <c r="F301" i="246" s="1"/>
  <c r="F363" i="246" s="1"/>
  <c r="F425" i="246" s="1"/>
  <c r="F487" i="246" s="1"/>
  <c r="F549" i="246" s="1"/>
  <c r="F611" i="246" s="1"/>
  <c r="F673" i="246" s="1"/>
  <c r="F735" i="246" s="1"/>
  <c r="F797" i="246" s="1"/>
  <c r="F93" i="5"/>
  <c r="F52" i="246" s="1"/>
  <c r="F114" i="246" s="1"/>
  <c r="F176" i="246" s="1"/>
  <c r="F238" i="246" s="1"/>
  <c r="F300" i="246" s="1"/>
  <c r="F362" i="246" s="1"/>
  <c r="F424" i="246" s="1"/>
  <c r="F486" i="246" s="1"/>
  <c r="F548" i="246" s="1"/>
  <c r="F610" i="246" s="1"/>
  <c r="F672" i="246" s="1"/>
  <c r="F734" i="246" s="1"/>
  <c r="F796" i="246" s="1"/>
  <c r="F92" i="5"/>
  <c r="F51" i="246" s="1"/>
  <c r="F113" i="246" s="1"/>
  <c r="F175" i="246" s="1"/>
  <c r="F237" i="246" s="1"/>
  <c r="F299" i="246" s="1"/>
  <c r="F361" i="246" s="1"/>
  <c r="F423" i="246" s="1"/>
  <c r="F485" i="246" s="1"/>
  <c r="F547" i="246" s="1"/>
  <c r="F609" i="246" s="1"/>
  <c r="F671" i="246" s="1"/>
  <c r="F733" i="246" s="1"/>
  <c r="F795" i="246" s="1"/>
  <c r="F91" i="5"/>
  <c r="F50" i="246" s="1"/>
  <c r="F112" i="246" s="1"/>
  <c r="F174" i="246" s="1"/>
  <c r="F236" i="246" s="1"/>
  <c r="F298" i="246" s="1"/>
  <c r="F360" i="246" s="1"/>
  <c r="F422" i="246" s="1"/>
  <c r="F484" i="246" s="1"/>
  <c r="F546" i="246" s="1"/>
  <c r="F608" i="246" s="1"/>
  <c r="F670" i="246" s="1"/>
  <c r="F732" i="246" s="1"/>
  <c r="F794" i="246" s="1"/>
  <c r="F90" i="5"/>
  <c r="F49" i="246" s="1"/>
  <c r="F111" i="246" s="1"/>
  <c r="F173" i="246" s="1"/>
  <c r="F235" i="246" s="1"/>
  <c r="F297" i="246" s="1"/>
  <c r="F359" i="246" s="1"/>
  <c r="F421" i="246" s="1"/>
  <c r="F483" i="246" s="1"/>
  <c r="F545" i="246" s="1"/>
  <c r="F607" i="246" s="1"/>
  <c r="F669" i="246" s="1"/>
  <c r="F731" i="246" s="1"/>
  <c r="F793" i="246" s="1"/>
  <c r="F89" i="5"/>
  <c r="F48" i="246" s="1"/>
  <c r="F110" i="246" s="1"/>
  <c r="F172" i="246" s="1"/>
  <c r="F234" i="246" s="1"/>
  <c r="F296" i="246" s="1"/>
  <c r="F358" i="246" s="1"/>
  <c r="F420" i="246" s="1"/>
  <c r="F482" i="246" s="1"/>
  <c r="F544" i="246" s="1"/>
  <c r="F606" i="246" s="1"/>
  <c r="F668" i="246" s="1"/>
  <c r="F730" i="246" s="1"/>
  <c r="F792" i="246" s="1"/>
  <c r="F88" i="5"/>
  <c r="F20" i="246" s="1"/>
  <c r="F82" i="246" s="1"/>
  <c r="F144" i="246" s="1"/>
  <c r="F206" i="246" s="1"/>
  <c r="F268" i="246" s="1"/>
  <c r="F330" i="246" s="1"/>
  <c r="F392" i="246" s="1"/>
  <c r="F454" i="246" s="1"/>
  <c r="F516" i="246" s="1"/>
  <c r="F578" i="246" s="1"/>
  <c r="F640" i="246" s="1"/>
  <c r="F702" i="246" s="1"/>
  <c r="F764" i="246" s="1"/>
  <c r="F87" i="5"/>
  <c r="F47" i="246" s="1"/>
  <c r="F109" i="246" s="1"/>
  <c r="F171" i="246" s="1"/>
  <c r="F233" i="246" s="1"/>
  <c r="F295" i="246" s="1"/>
  <c r="F357" i="246" s="1"/>
  <c r="F419" i="246" s="1"/>
  <c r="F481" i="246" s="1"/>
  <c r="F543" i="246" s="1"/>
  <c r="F605" i="246" s="1"/>
  <c r="F667" i="246" s="1"/>
  <c r="F729" i="246" s="1"/>
  <c r="F791" i="246" s="1"/>
  <c r="F86" i="5"/>
  <c r="F46" i="246" s="1"/>
  <c r="F108" i="246" s="1"/>
  <c r="F170" i="246" s="1"/>
  <c r="F232" i="246" s="1"/>
  <c r="F294" i="246" s="1"/>
  <c r="F356" i="246" s="1"/>
  <c r="F418" i="246" s="1"/>
  <c r="F480" i="246" s="1"/>
  <c r="F542" i="246" s="1"/>
  <c r="F604" i="246" s="1"/>
  <c r="F666" i="246" s="1"/>
  <c r="F728" i="246" s="1"/>
  <c r="F790" i="246" s="1"/>
  <c r="F85" i="5"/>
  <c r="F45" i="246" s="1"/>
  <c r="F107" i="246" s="1"/>
  <c r="F169" i="246" s="1"/>
  <c r="F231" i="246" s="1"/>
  <c r="F293" i="246" s="1"/>
  <c r="F355" i="246" s="1"/>
  <c r="F417" i="246" s="1"/>
  <c r="F479" i="246" s="1"/>
  <c r="F541" i="246" s="1"/>
  <c r="F603" i="246" s="1"/>
  <c r="F665" i="246" s="1"/>
  <c r="F727" i="246" s="1"/>
  <c r="F789" i="246" s="1"/>
  <c r="F84" i="5"/>
  <c r="F44" i="246" s="1"/>
  <c r="F106" i="246" s="1"/>
  <c r="F168" i="246" s="1"/>
  <c r="F230" i="246" s="1"/>
  <c r="F292" i="246" s="1"/>
  <c r="F354" i="246" s="1"/>
  <c r="F416" i="246" s="1"/>
  <c r="F478" i="246" s="1"/>
  <c r="F540" i="246" s="1"/>
  <c r="F602" i="246" s="1"/>
  <c r="F664" i="246" s="1"/>
  <c r="F726" i="246" s="1"/>
  <c r="F788" i="246" s="1"/>
  <c r="F83" i="5"/>
  <c r="F43" i="246" s="1"/>
  <c r="F105" i="246" s="1"/>
  <c r="F167" i="246" s="1"/>
  <c r="F229" i="246" s="1"/>
  <c r="F291" i="246" s="1"/>
  <c r="F353" i="246" s="1"/>
  <c r="F415" i="246" s="1"/>
  <c r="F477" i="246" s="1"/>
  <c r="F539" i="246" s="1"/>
  <c r="F601" i="246" s="1"/>
  <c r="F663" i="246" s="1"/>
  <c r="F725" i="246" s="1"/>
  <c r="F787" i="246" s="1"/>
  <c r="F82" i="5"/>
  <c r="F42" i="246" s="1"/>
  <c r="F104" i="246" s="1"/>
  <c r="F166" i="246" s="1"/>
  <c r="F228" i="246" s="1"/>
  <c r="F290" i="246" s="1"/>
  <c r="F352" i="246" s="1"/>
  <c r="F414" i="246" s="1"/>
  <c r="F476" i="246" s="1"/>
  <c r="F538" i="246" s="1"/>
  <c r="F600" i="246" s="1"/>
  <c r="F662" i="246" s="1"/>
  <c r="F724" i="246" s="1"/>
  <c r="F786" i="246" s="1"/>
  <c r="F81" i="5"/>
  <c r="F41" i="246" s="1"/>
  <c r="F103" i="246" s="1"/>
  <c r="F165" i="246" s="1"/>
  <c r="F227" i="246" s="1"/>
  <c r="F289" i="246" s="1"/>
  <c r="F351" i="246" s="1"/>
  <c r="F413" i="246" s="1"/>
  <c r="F475" i="246" s="1"/>
  <c r="F537" i="246" s="1"/>
  <c r="F599" i="246" s="1"/>
  <c r="F661" i="246" s="1"/>
  <c r="F723" i="246" s="1"/>
  <c r="F785" i="246" s="1"/>
  <c r="F80" i="5"/>
  <c r="F40" i="246" s="1"/>
  <c r="F102" i="246" s="1"/>
  <c r="F164" i="246" s="1"/>
  <c r="F226" i="246" s="1"/>
  <c r="F288" i="246" s="1"/>
  <c r="F350" i="246" s="1"/>
  <c r="F412" i="246" s="1"/>
  <c r="F474" i="246" s="1"/>
  <c r="F536" i="246" s="1"/>
  <c r="F598" i="246" s="1"/>
  <c r="F660" i="246" s="1"/>
  <c r="F722" i="246" s="1"/>
  <c r="F784" i="246" s="1"/>
  <c r="F77" i="5"/>
  <c r="F21" i="246" s="1"/>
  <c r="F83" i="246" s="1"/>
  <c r="F145" i="246" s="1"/>
  <c r="F207" i="246" s="1"/>
  <c r="F269" i="246" s="1"/>
  <c r="F331" i="246" s="1"/>
  <c r="F393" i="246" s="1"/>
  <c r="F455" i="246" s="1"/>
  <c r="F517" i="246" s="1"/>
  <c r="F579" i="246" s="1"/>
  <c r="F641" i="246" s="1"/>
  <c r="F703" i="246" s="1"/>
  <c r="F765" i="246" s="1"/>
  <c r="F76" i="5"/>
  <c r="F19" i="246" s="1"/>
  <c r="F81" i="246" s="1"/>
  <c r="F143" i="246" s="1"/>
  <c r="F205" i="246" s="1"/>
  <c r="F267" i="246" s="1"/>
  <c r="F329" i="246" s="1"/>
  <c r="F391" i="246" s="1"/>
  <c r="F453" i="246" s="1"/>
  <c r="F515" i="246" s="1"/>
  <c r="F577" i="246" s="1"/>
  <c r="F639" i="246" s="1"/>
  <c r="F701" i="246" s="1"/>
  <c r="F763" i="246" s="1"/>
  <c r="F75" i="5"/>
  <c r="F18" i="246" s="1"/>
  <c r="F80" i="246" s="1"/>
  <c r="F142" i="246" s="1"/>
  <c r="F204" i="246" s="1"/>
  <c r="F266" i="246" s="1"/>
  <c r="F328" i="246" s="1"/>
  <c r="F390" i="246" s="1"/>
  <c r="F452" i="246" s="1"/>
  <c r="F514" i="246" s="1"/>
  <c r="F576" i="246" s="1"/>
  <c r="F638" i="246" s="1"/>
  <c r="F700" i="246" s="1"/>
  <c r="F762" i="246" s="1"/>
  <c r="F74" i="5"/>
  <c r="F17" i="246" s="1"/>
  <c r="F79" i="246" s="1"/>
  <c r="F141" i="246" s="1"/>
  <c r="F203" i="246" s="1"/>
  <c r="F265" i="246" s="1"/>
  <c r="F327" i="246" s="1"/>
  <c r="F389" i="246" s="1"/>
  <c r="F451" i="246" s="1"/>
  <c r="F513" i="246" s="1"/>
  <c r="F575" i="246" s="1"/>
  <c r="F637" i="246" s="1"/>
  <c r="F699" i="246" s="1"/>
  <c r="F761" i="246" s="1"/>
  <c r="F71" i="5"/>
  <c r="F46" i="209" s="1"/>
  <c r="F106" i="209" s="1"/>
  <c r="F166" i="209" s="1"/>
  <c r="F226" i="209" s="1"/>
  <c r="F286" i="209" s="1"/>
  <c r="F346" i="209" s="1"/>
  <c r="F406" i="209" s="1"/>
  <c r="F466" i="209" s="1"/>
  <c r="F526" i="209" s="1"/>
  <c r="F586" i="209" s="1"/>
  <c r="F646" i="209" s="1"/>
  <c r="F706" i="209" s="1"/>
  <c r="F766" i="209" s="1"/>
  <c r="F70" i="5"/>
  <c r="F49" i="209" s="1"/>
  <c r="F109" i="209" s="1"/>
  <c r="F169" i="209" s="1"/>
  <c r="F229" i="209" s="1"/>
  <c r="F289" i="209" s="1"/>
  <c r="F349" i="209" s="1"/>
  <c r="F409" i="209" s="1"/>
  <c r="F469" i="209" s="1"/>
  <c r="F529" i="209" s="1"/>
  <c r="F589" i="209" s="1"/>
  <c r="F649" i="209" s="1"/>
  <c r="F709" i="209" s="1"/>
  <c r="F769" i="209" s="1"/>
  <c r="F69" i="5"/>
  <c r="F68" i="5"/>
  <c r="F44" i="209" s="1"/>
  <c r="F104" i="209" s="1"/>
  <c r="F164" i="209" s="1"/>
  <c r="F224" i="209" s="1"/>
  <c r="F284" i="209" s="1"/>
  <c r="F344" i="209" s="1"/>
  <c r="F404" i="209" s="1"/>
  <c r="F464" i="209" s="1"/>
  <c r="F524" i="209" s="1"/>
  <c r="F584" i="209" s="1"/>
  <c r="F644" i="209" s="1"/>
  <c r="F704" i="209" s="1"/>
  <c r="F764" i="209" s="1"/>
  <c r="F65" i="5"/>
  <c r="F48" i="209" s="1"/>
  <c r="F108" i="209" s="1"/>
  <c r="F168" i="209" s="1"/>
  <c r="F228" i="209" s="1"/>
  <c r="F288" i="209" s="1"/>
  <c r="F348" i="209" s="1"/>
  <c r="F408" i="209" s="1"/>
  <c r="F468" i="209" s="1"/>
  <c r="F528" i="209" s="1"/>
  <c r="F588" i="209" s="1"/>
  <c r="F648" i="209" s="1"/>
  <c r="F708" i="209" s="1"/>
  <c r="F768" i="209" s="1"/>
  <c r="F64" i="5"/>
  <c r="F47" i="209" s="1"/>
  <c r="F107" i="209" s="1"/>
  <c r="F167" i="209" s="1"/>
  <c r="F227" i="209" s="1"/>
  <c r="F287" i="209" s="1"/>
  <c r="F347" i="209" s="1"/>
  <c r="F407" i="209" s="1"/>
  <c r="F467" i="209" s="1"/>
  <c r="F527" i="209" s="1"/>
  <c r="F587" i="209" s="1"/>
  <c r="F647" i="209" s="1"/>
  <c r="F707" i="209" s="1"/>
  <c r="F767" i="209" s="1"/>
  <c r="F63" i="5"/>
  <c r="F45" i="209" s="1"/>
  <c r="F105" i="209" s="1"/>
  <c r="F165" i="209" s="1"/>
  <c r="F225" i="209" s="1"/>
  <c r="F285" i="209" s="1"/>
  <c r="F345" i="209" s="1"/>
  <c r="F405" i="209" s="1"/>
  <c r="F465" i="209" s="1"/>
  <c r="F525" i="209" s="1"/>
  <c r="F585" i="209" s="1"/>
  <c r="F645" i="209" s="1"/>
  <c r="F705" i="209" s="1"/>
  <c r="F765" i="209" s="1"/>
  <c r="F60" i="5"/>
  <c r="F59" i="5"/>
  <c r="F29" i="209" s="1"/>
  <c r="F89" i="209" s="1"/>
  <c r="F149" i="209" s="1"/>
  <c r="F209" i="209" s="1"/>
  <c r="F269" i="209" s="1"/>
  <c r="F329" i="209" s="1"/>
  <c r="F389" i="209" s="1"/>
  <c r="F449" i="209" s="1"/>
  <c r="F509" i="209" s="1"/>
  <c r="F569" i="209" s="1"/>
  <c r="F629" i="209" s="1"/>
  <c r="F689" i="209" s="1"/>
  <c r="F749" i="209" s="1"/>
  <c r="F58" i="5"/>
  <c r="F28" i="209" s="1"/>
  <c r="F88" i="209" s="1"/>
  <c r="F148" i="209" s="1"/>
  <c r="F208" i="209" s="1"/>
  <c r="F268" i="209" s="1"/>
  <c r="F328" i="209" s="1"/>
  <c r="F388" i="209" s="1"/>
  <c r="F448" i="209" s="1"/>
  <c r="F508" i="209" s="1"/>
  <c r="F568" i="209" s="1"/>
  <c r="F628" i="209" s="1"/>
  <c r="F688" i="209" s="1"/>
  <c r="F748" i="209" s="1"/>
  <c r="F57" i="5"/>
  <c r="F27" i="209" s="1"/>
  <c r="F87" i="209" s="1"/>
  <c r="F147" i="209" s="1"/>
  <c r="F207" i="209" s="1"/>
  <c r="F267" i="209" s="1"/>
  <c r="F327" i="209" s="1"/>
  <c r="F387" i="209" s="1"/>
  <c r="F447" i="209" s="1"/>
  <c r="F507" i="209" s="1"/>
  <c r="F567" i="209" s="1"/>
  <c r="F627" i="209" s="1"/>
  <c r="F687" i="209" s="1"/>
  <c r="F747" i="209" s="1"/>
  <c r="F56" i="5"/>
  <c r="F26" i="209" s="1"/>
  <c r="F86" i="209" s="1"/>
  <c r="F146" i="209" s="1"/>
  <c r="F206" i="209" s="1"/>
  <c r="F266" i="209" s="1"/>
  <c r="F326" i="209" s="1"/>
  <c r="F386" i="209" s="1"/>
  <c r="F446" i="209" s="1"/>
  <c r="F506" i="209" s="1"/>
  <c r="F566" i="209" s="1"/>
  <c r="F626" i="209" s="1"/>
  <c r="F686" i="209" s="1"/>
  <c r="F746" i="209" s="1"/>
  <c r="F53" i="5"/>
  <c r="E13" i="294" s="1"/>
  <c r="E32" i="294" s="1"/>
  <c r="E51" i="294" s="1"/>
  <c r="E70" i="294" s="1"/>
  <c r="E89" i="294" s="1"/>
  <c r="E108" i="294" s="1"/>
  <c r="E127" i="294" s="1"/>
  <c r="F52" i="5"/>
  <c r="E12" i="294" s="1"/>
  <c r="E31" i="294" s="1"/>
  <c r="E50" i="294" s="1"/>
  <c r="E69" i="294" s="1"/>
  <c r="E88" i="294" s="1"/>
  <c r="E107" i="294" s="1"/>
  <c r="E126" i="294" s="1"/>
  <c r="F51" i="5"/>
  <c r="E11" i="294" s="1"/>
  <c r="E30" i="294" s="1"/>
  <c r="E49" i="294" s="1"/>
  <c r="E68" i="294" s="1"/>
  <c r="E87" i="294" s="1"/>
  <c r="E106" i="294" s="1"/>
  <c r="E125" i="294" s="1"/>
  <c r="F48" i="5"/>
  <c r="F116" i="209" s="1"/>
  <c r="F44" i="5"/>
  <c r="F52" i="209" s="1"/>
  <c r="F46" i="5"/>
  <c r="F45" i="5"/>
  <c r="F53" i="209" s="1"/>
  <c r="F39" i="5"/>
  <c r="F623" i="209" s="1"/>
  <c r="F41" i="5"/>
  <c r="F22" i="209" s="1"/>
  <c r="F40" i="5"/>
  <c r="F36" i="5"/>
  <c r="E9" i="294" s="1"/>
  <c r="E28" i="294" s="1"/>
  <c r="E47" i="294" s="1"/>
  <c r="E66" i="294" s="1"/>
  <c r="E85" i="294" s="1"/>
  <c r="E104" i="294" s="1"/>
  <c r="E123" i="294" s="1"/>
  <c r="F35" i="5"/>
  <c r="E8" i="294" s="1"/>
  <c r="E27" i="294" s="1"/>
  <c r="E46" i="294" s="1"/>
  <c r="E65" i="294" s="1"/>
  <c r="E84" i="294" s="1"/>
  <c r="E103" i="294" s="1"/>
  <c r="E122" i="294" s="1"/>
  <c r="F27" i="5"/>
  <c r="F37" i="209" s="1"/>
  <c r="F97" i="209" s="1"/>
  <c r="F157" i="209" s="1"/>
  <c r="F217" i="209" s="1"/>
  <c r="F277" i="209" s="1"/>
  <c r="F337" i="209" s="1"/>
  <c r="F397" i="209" s="1"/>
  <c r="F457" i="209" s="1"/>
  <c r="F517" i="209" s="1"/>
  <c r="F577" i="209" s="1"/>
  <c r="F637" i="209" s="1"/>
  <c r="F697" i="209" s="1"/>
  <c r="F757" i="209" s="1"/>
  <c r="F26" i="5"/>
  <c r="F25" i="5"/>
  <c r="F24" i="5"/>
  <c r="F36" i="209" s="1"/>
  <c r="F96" i="209" s="1"/>
  <c r="F156" i="209" s="1"/>
  <c r="F216" i="209" s="1"/>
  <c r="F276" i="209" s="1"/>
  <c r="F336" i="209" s="1"/>
  <c r="F396" i="209" s="1"/>
  <c r="F456" i="209" s="1"/>
  <c r="F516" i="209" s="1"/>
  <c r="F576" i="209" s="1"/>
  <c r="F636" i="209" s="1"/>
  <c r="F696" i="209" s="1"/>
  <c r="F756" i="209" s="1"/>
  <c r="F31" i="5"/>
  <c r="F40" i="209" s="1"/>
  <c r="F100" i="209" s="1"/>
  <c r="F160" i="209" s="1"/>
  <c r="F220" i="209" s="1"/>
  <c r="F280" i="209" s="1"/>
  <c r="F340" i="209" s="1"/>
  <c r="F400" i="209" s="1"/>
  <c r="F460" i="209" s="1"/>
  <c r="F520" i="209" s="1"/>
  <c r="F580" i="209" s="1"/>
  <c r="F640" i="209" s="1"/>
  <c r="F700" i="209" s="1"/>
  <c r="F760" i="209" s="1"/>
  <c r="F22" i="5"/>
  <c r="F34" i="209" s="1"/>
  <c r="F94" i="209" s="1"/>
  <c r="F154" i="209" s="1"/>
  <c r="F214" i="209" s="1"/>
  <c r="F274" i="209" s="1"/>
  <c r="F334" i="209" s="1"/>
  <c r="F394" i="209" s="1"/>
  <c r="F454" i="209" s="1"/>
  <c r="F514" i="209" s="1"/>
  <c r="F574" i="209" s="1"/>
  <c r="F634" i="209" s="1"/>
  <c r="F694" i="209" s="1"/>
  <c r="F754" i="209" s="1"/>
  <c r="F32" i="5"/>
  <c r="F41" i="209" s="1"/>
  <c r="F101" i="209" s="1"/>
  <c r="F161" i="209" s="1"/>
  <c r="F221" i="209" s="1"/>
  <c r="F281" i="209" s="1"/>
  <c r="F341" i="209" s="1"/>
  <c r="F401" i="209" s="1"/>
  <c r="F461" i="209" s="1"/>
  <c r="F521" i="209" s="1"/>
  <c r="F581" i="209" s="1"/>
  <c r="F641" i="209" s="1"/>
  <c r="F701" i="209" s="1"/>
  <c r="F761" i="209" s="1"/>
  <c r="F28" i="5"/>
  <c r="F38" i="209" s="1"/>
  <c r="F98" i="209" s="1"/>
  <c r="F158" i="209" s="1"/>
  <c r="F218" i="209" s="1"/>
  <c r="F278" i="209" s="1"/>
  <c r="F338" i="209" s="1"/>
  <c r="F398" i="209" s="1"/>
  <c r="F458" i="209" s="1"/>
  <c r="F518" i="209" s="1"/>
  <c r="F578" i="209" s="1"/>
  <c r="F638" i="209" s="1"/>
  <c r="F698" i="209" s="1"/>
  <c r="F758" i="209" s="1"/>
  <c r="F30" i="5"/>
  <c r="F39" i="209" s="1"/>
  <c r="F99" i="209" s="1"/>
  <c r="F159" i="209" s="1"/>
  <c r="F219" i="209" s="1"/>
  <c r="F279" i="209" s="1"/>
  <c r="F339" i="209" s="1"/>
  <c r="F399" i="209" s="1"/>
  <c r="F459" i="209" s="1"/>
  <c r="F519" i="209" s="1"/>
  <c r="F579" i="209" s="1"/>
  <c r="F639" i="209" s="1"/>
  <c r="F699" i="209" s="1"/>
  <c r="F759" i="209" s="1"/>
  <c r="F29" i="5"/>
  <c r="F23" i="5"/>
  <c r="F35" i="209" s="1"/>
  <c r="F95" i="209" s="1"/>
  <c r="F155" i="209" s="1"/>
  <c r="F215" i="209" s="1"/>
  <c r="F275" i="209" s="1"/>
  <c r="F335" i="209" s="1"/>
  <c r="F395" i="209" s="1"/>
  <c r="F455" i="209" s="1"/>
  <c r="F515" i="209" s="1"/>
  <c r="F575" i="209" s="1"/>
  <c r="F635" i="209" s="1"/>
  <c r="F695" i="209" s="1"/>
  <c r="F755" i="209" s="1"/>
  <c r="F19" i="5"/>
  <c r="F18" i="209" s="1"/>
  <c r="F78" i="209" s="1"/>
  <c r="F138" i="209" s="1"/>
  <c r="F198" i="209" s="1"/>
  <c r="F258" i="209" s="1"/>
  <c r="F318" i="209" s="1"/>
  <c r="F378" i="209" s="1"/>
  <c r="F438" i="209" s="1"/>
  <c r="F498" i="209" s="1"/>
  <c r="F558" i="209" s="1"/>
  <c r="F618" i="209" s="1"/>
  <c r="F678" i="209" s="1"/>
  <c r="F738" i="209" s="1"/>
  <c r="F18" i="5"/>
  <c r="F17" i="209" s="1"/>
  <c r="F77" i="209" s="1"/>
  <c r="F137" i="209" s="1"/>
  <c r="F197" i="209" s="1"/>
  <c r="F257" i="209" s="1"/>
  <c r="F317" i="209" s="1"/>
  <c r="F377" i="209" s="1"/>
  <c r="F437" i="209" s="1"/>
  <c r="F497" i="209" s="1"/>
  <c r="F557" i="209" s="1"/>
  <c r="F617" i="209" s="1"/>
  <c r="F677" i="209" s="1"/>
  <c r="F737" i="209" s="1"/>
  <c r="F17" i="5"/>
  <c r="F16" i="209" s="1"/>
  <c r="F76" i="209" s="1"/>
  <c r="F136" i="209" s="1"/>
  <c r="F196" i="209" s="1"/>
  <c r="F256" i="209" s="1"/>
  <c r="F316" i="209" s="1"/>
  <c r="F376" i="209" s="1"/>
  <c r="F436" i="209" s="1"/>
  <c r="F496" i="209" s="1"/>
  <c r="F556" i="209" s="1"/>
  <c r="F616" i="209" s="1"/>
  <c r="F676" i="209" s="1"/>
  <c r="F736" i="209" s="1"/>
  <c r="F16" i="5"/>
  <c r="F15" i="5"/>
  <c r="F15" i="209" s="1"/>
  <c r="F75" i="209" s="1"/>
  <c r="F135" i="209" s="1"/>
  <c r="F195" i="209" s="1"/>
  <c r="F255" i="209" s="1"/>
  <c r="F315" i="209" s="1"/>
  <c r="F375" i="209" s="1"/>
  <c r="F435" i="209" s="1"/>
  <c r="F495" i="209" s="1"/>
  <c r="F555" i="209" s="1"/>
  <c r="F615" i="209" s="1"/>
  <c r="F675" i="209" s="1"/>
  <c r="F735" i="209" s="1"/>
  <c r="F14" i="5"/>
  <c r="F14" i="209" s="1"/>
  <c r="F74" i="209" s="1"/>
  <c r="F134" i="209" s="1"/>
  <c r="F194" i="209" s="1"/>
  <c r="F254" i="209" s="1"/>
  <c r="F314" i="209" s="1"/>
  <c r="F374" i="209" s="1"/>
  <c r="F434" i="209" s="1"/>
  <c r="F494" i="209" s="1"/>
  <c r="F554" i="209" s="1"/>
  <c r="F614" i="209" s="1"/>
  <c r="F674" i="209" s="1"/>
  <c r="F734" i="209" s="1"/>
  <c r="F13" i="5"/>
  <c r="F13" i="209" s="1"/>
  <c r="F73" i="209" s="1"/>
  <c r="F133" i="209" s="1"/>
  <c r="F193" i="209" s="1"/>
  <c r="F253" i="209" s="1"/>
  <c r="F313" i="209" s="1"/>
  <c r="F373" i="209" s="1"/>
  <c r="F433" i="209" s="1"/>
  <c r="F493" i="209" s="1"/>
  <c r="F553" i="209" s="1"/>
  <c r="F613" i="209" s="1"/>
  <c r="F673" i="209" s="1"/>
  <c r="F733" i="209" s="1"/>
  <c r="F12" i="5"/>
  <c r="F12" i="209" s="1"/>
  <c r="F72" i="209" s="1"/>
  <c r="F132" i="209" s="1"/>
  <c r="F192" i="209" s="1"/>
  <c r="F252" i="209" s="1"/>
  <c r="F312" i="209" s="1"/>
  <c r="F372" i="209" s="1"/>
  <c r="F432" i="209" s="1"/>
  <c r="F492" i="209" s="1"/>
  <c r="F552" i="209" s="1"/>
  <c r="F612" i="209" s="1"/>
  <c r="F672" i="209" s="1"/>
  <c r="F732" i="209" s="1"/>
  <c r="F11" i="5"/>
  <c r="F11" i="209" s="1"/>
  <c r="F71" i="209" s="1"/>
  <c r="F131" i="209" s="1"/>
  <c r="F191" i="209" s="1"/>
  <c r="F251" i="209" s="1"/>
  <c r="F311" i="209" s="1"/>
  <c r="F371" i="209" s="1"/>
  <c r="F431" i="209" s="1"/>
  <c r="F491" i="209" s="1"/>
  <c r="F551" i="209" s="1"/>
  <c r="F611" i="209" s="1"/>
  <c r="F671" i="209" s="1"/>
  <c r="F731" i="209" s="1"/>
  <c r="F10" i="5"/>
  <c r="F10" i="209" s="1"/>
  <c r="F70" i="209" s="1"/>
  <c r="F130" i="209" s="1"/>
  <c r="F190" i="209" s="1"/>
  <c r="F250" i="209" s="1"/>
  <c r="F310" i="209" s="1"/>
  <c r="F370" i="209" s="1"/>
  <c r="F430" i="209" s="1"/>
  <c r="F490" i="209" s="1"/>
  <c r="F550" i="209" s="1"/>
  <c r="F610" i="209" s="1"/>
  <c r="F670" i="209" s="1"/>
  <c r="F730" i="209" s="1"/>
  <c r="F9" i="5"/>
  <c r="F9" i="209" s="1"/>
  <c r="F69" i="209" s="1"/>
  <c r="F129" i="209" s="1"/>
  <c r="F189" i="209" s="1"/>
  <c r="F249" i="209" s="1"/>
  <c r="F309" i="209" s="1"/>
  <c r="F369" i="209" s="1"/>
  <c r="F429" i="209" s="1"/>
  <c r="F489" i="209" s="1"/>
  <c r="F549" i="209" s="1"/>
  <c r="F609" i="209" s="1"/>
  <c r="F669" i="209" s="1"/>
  <c r="F729" i="209" s="1"/>
  <c r="F8" i="5"/>
  <c r="F8" i="209" s="1"/>
  <c r="F68" i="209" s="1"/>
  <c r="F128" i="209" s="1"/>
  <c r="F188" i="209" s="1"/>
  <c r="F248" i="209" s="1"/>
  <c r="F308" i="209" s="1"/>
  <c r="F368" i="209" s="1"/>
  <c r="F428" i="209" s="1"/>
  <c r="F488" i="209" s="1"/>
  <c r="F548" i="209" s="1"/>
  <c r="F608" i="209" s="1"/>
  <c r="F668" i="209" s="1"/>
  <c r="F728" i="209" s="1"/>
  <c r="S285" i="246"/>
  <c r="P14" i="241"/>
  <c r="Q325" i="246"/>
  <c r="Q387" i="246"/>
  <c r="R18" i="49"/>
  <c r="T18" i="49" s="1"/>
  <c r="J16" i="49"/>
  <c r="L623" i="209"/>
  <c r="H43" i="176"/>
  <c r="L20" i="241"/>
  <c r="G46" i="213"/>
  <c r="G45" i="270"/>
  <c r="L176" i="246" s="1"/>
  <c r="G44" i="270"/>
  <c r="R114" i="246" s="1"/>
  <c r="P18" i="241"/>
  <c r="N19" i="30"/>
  <c r="AA30" i="292"/>
  <c r="T12" i="34"/>
  <c r="T13" i="34"/>
  <c r="R41" i="37"/>
  <c r="T41" i="37" s="1"/>
  <c r="J25" i="37"/>
  <c r="G46" i="191"/>
  <c r="R657" i="246"/>
  <c r="S299" i="246"/>
  <c r="P17" i="241"/>
  <c r="L657" i="246"/>
  <c r="H31" i="185"/>
  <c r="H45" i="185" s="1"/>
  <c r="L719" i="246"/>
  <c r="G44" i="191"/>
  <c r="R99" i="246" s="1"/>
  <c r="O26" i="191"/>
  <c r="G43" i="191" s="1"/>
  <c r="G47" i="191" s="1"/>
  <c r="R161" i="246" s="1"/>
  <c r="H38" i="271"/>
  <c r="M29" i="246" s="1"/>
  <c r="M339" i="246"/>
  <c r="M318" i="209"/>
  <c r="H39" i="99"/>
  <c r="S28" i="246" s="1"/>
  <c r="S338" i="246"/>
  <c r="S329" i="246"/>
  <c r="S284" i="246"/>
  <c r="H37" i="334"/>
  <c r="S207" i="209" s="1"/>
  <c r="S267" i="209"/>
  <c r="M346" i="209"/>
  <c r="J13" i="70"/>
  <c r="J25" i="70" s="1"/>
  <c r="X46" i="70" s="1"/>
  <c r="J324" i="209"/>
  <c r="H30" i="291"/>
  <c r="K17" i="292" s="1"/>
  <c r="L504" i="209"/>
  <c r="J387" i="246"/>
  <c r="O573" i="246"/>
  <c r="L728" i="246"/>
  <c r="R449" i="246"/>
  <c r="R697" i="246"/>
  <c r="H24" i="185"/>
  <c r="H38" i="185" s="1"/>
  <c r="H32" i="185"/>
  <c r="M635" i="246" s="1"/>
  <c r="P761" i="209"/>
  <c r="H23" i="185"/>
  <c r="I30" i="292" s="1"/>
  <c r="H46" i="185"/>
  <c r="P18" i="284" s="1"/>
  <c r="J449" i="246"/>
  <c r="R19" i="49"/>
  <c r="T19" i="49" s="1"/>
  <c r="R11" i="155"/>
  <c r="T11" i="155" s="1"/>
  <c r="G43" i="213"/>
  <c r="G47" i="213" s="1"/>
  <c r="R143" i="209" s="1"/>
  <c r="R743" i="209"/>
  <c r="H37" i="189"/>
  <c r="S235" i="246" s="1"/>
  <c r="R623" i="209"/>
  <c r="L683" i="209"/>
  <c r="G44" i="213"/>
  <c r="R83" i="209" s="1"/>
  <c r="G18" i="213"/>
  <c r="G40" i="213" s="1"/>
  <c r="L83" i="209" s="1"/>
  <c r="G45" i="213"/>
  <c r="L143" i="209" s="1"/>
  <c r="S381" i="209"/>
  <c r="N12" i="29"/>
  <c r="H37" i="195"/>
  <c r="S234" i="246" s="1"/>
  <c r="H38" i="270"/>
  <c r="M52" i="246" s="1"/>
  <c r="M362" i="246"/>
  <c r="R20" i="28"/>
  <c r="H38" i="195"/>
  <c r="M48" i="246" s="1"/>
  <c r="R417" i="209"/>
  <c r="F15" i="178"/>
  <c r="L564" i="209"/>
  <c r="R357" i="209"/>
  <c r="M322" i="246"/>
  <c r="T26" i="27"/>
  <c r="L734" i="246"/>
  <c r="L672" i="246"/>
  <c r="R672" i="246"/>
  <c r="G46" i="270"/>
  <c r="O697" i="246"/>
  <c r="R325" i="246"/>
  <c r="R511" i="246"/>
  <c r="R24" i="37"/>
  <c r="R387" i="246"/>
  <c r="T15" i="161"/>
  <c r="R18" i="30"/>
  <c r="T18" i="30" s="1"/>
  <c r="P511" i="246"/>
  <c r="P263" i="246"/>
  <c r="F30" i="292"/>
  <c r="K387" i="246"/>
  <c r="H28" i="185"/>
  <c r="H42" i="185" s="1"/>
  <c r="O387" i="246"/>
  <c r="L573" i="246"/>
  <c r="G48" i="185"/>
  <c r="J573" i="246"/>
  <c r="P573" i="246"/>
  <c r="C30" i="292"/>
  <c r="Q263" i="246"/>
  <c r="Q511" i="246"/>
  <c r="R263" i="246"/>
  <c r="P325" i="246"/>
  <c r="O325" i="246"/>
  <c r="I511" i="246"/>
  <c r="O511" i="246"/>
  <c r="H25" i="185"/>
  <c r="H39" i="185" s="1"/>
  <c r="S15" i="246" s="1"/>
  <c r="L387" i="246"/>
  <c r="P387" i="246"/>
  <c r="K573" i="246"/>
  <c r="Q573" i="246"/>
  <c r="F48" i="185"/>
  <c r="G30" i="292"/>
  <c r="I449" i="246"/>
  <c r="H33" i="185"/>
  <c r="L666" i="246"/>
  <c r="R666" i="246"/>
  <c r="G46" i="141"/>
  <c r="G45" i="141"/>
  <c r="L170" i="246" s="1"/>
  <c r="G44" i="141"/>
  <c r="R108" i="246" s="1"/>
  <c r="L449" i="246"/>
  <c r="T13" i="29"/>
  <c r="R24" i="34"/>
  <c r="T24" i="34" s="1"/>
  <c r="H39" i="6"/>
  <c r="S18" i="209" s="1"/>
  <c r="H29" i="185"/>
  <c r="H47" i="185" s="1"/>
  <c r="R573" i="246"/>
  <c r="H30" i="185"/>
  <c r="P449" i="246"/>
  <c r="J325" i="246"/>
  <c r="I573" i="246"/>
  <c r="D48" i="185"/>
  <c r="L20" i="192" s="1"/>
  <c r="G45" i="204"/>
  <c r="L169" i="246" s="1"/>
  <c r="G46" i="204"/>
  <c r="L727" i="246"/>
  <c r="L665" i="246"/>
  <c r="G44" i="204"/>
  <c r="R107" i="246" s="1"/>
  <c r="R665" i="246"/>
  <c r="D5" i="151" a="1"/>
  <c r="H7" i="151" s="1"/>
  <c r="L5" i="151" a="1"/>
  <c r="P7" i="151" s="1"/>
  <c r="D5" i="165" a="1"/>
  <c r="D5" i="165" s="1"/>
  <c r="L5" i="165" a="1"/>
  <c r="D5" i="166" a="1"/>
  <c r="G35" i="166" s="1"/>
  <c r="L5" i="166" a="1"/>
  <c r="M7" i="166" s="1"/>
  <c r="D5" i="187" a="1"/>
  <c r="F7" i="187" s="1"/>
  <c r="L5" i="187" a="1"/>
  <c r="D5" i="195" a="1"/>
  <c r="H7" i="195" s="1"/>
  <c r="L5" i="195" a="1"/>
  <c r="P7" i="195" s="1"/>
  <c r="L5" i="359" a="1"/>
  <c r="O7" i="359" s="1"/>
  <c r="D7" i="359"/>
  <c r="E7" i="359"/>
  <c r="F7" i="359"/>
  <c r="G7" i="359"/>
  <c r="H7" i="359"/>
  <c r="D21" i="359"/>
  <c r="L23" i="359" s="1"/>
  <c r="E21" i="359"/>
  <c r="M23" i="359" s="1"/>
  <c r="F21" i="359"/>
  <c r="N23" i="359" s="1"/>
  <c r="G21" i="359"/>
  <c r="O23" i="359" s="1"/>
  <c r="H21" i="359"/>
  <c r="P23" i="359" s="1"/>
  <c r="D35" i="359"/>
  <c r="E35" i="359"/>
  <c r="F35" i="359"/>
  <c r="G35" i="359"/>
  <c r="H35" i="359"/>
  <c r="D5" i="194" a="1"/>
  <c r="L5" i="194" a="1"/>
  <c r="N23" i="361" s="1"/>
  <c r="D5" i="288" a="1"/>
  <c r="D5" i="288" s="1"/>
  <c r="L5" i="288" a="1"/>
  <c r="M29" i="288" s="1"/>
  <c r="D5" i="156" a="1"/>
  <c r="L5" i="156" a="1"/>
  <c r="L5" i="156" s="1"/>
  <c r="L7" i="156" s="1"/>
  <c r="D5" i="347" a="1"/>
  <c r="F7" i="347" s="1"/>
  <c r="L5" i="347" a="1"/>
  <c r="O7" i="347" s="1"/>
  <c r="D5" i="214" a="1"/>
  <c r="L5" i="214" a="1"/>
  <c r="L5" i="214" s="1"/>
  <c r="L7" i="214" s="1"/>
  <c r="D5" i="160" a="1"/>
  <c r="D5" i="160" s="1"/>
  <c r="L5" i="160" a="1"/>
  <c r="L5" i="160" s="1"/>
  <c r="L7" i="160" s="1"/>
  <c r="D5" i="126" a="1"/>
  <c r="G7" i="126" s="1"/>
  <c r="L5" i="126" a="1"/>
  <c r="P7" i="126" s="1"/>
  <c r="D5" i="293" a="1"/>
  <c r="F7" i="293" s="1"/>
  <c r="L5" i="293" a="1"/>
  <c r="P7" i="293" s="1"/>
  <c r="D5" i="16" a="1"/>
  <c r="G35" i="16" s="1"/>
  <c r="L5" i="16" a="1"/>
  <c r="L5" i="16" s="1"/>
  <c r="L7" i="16" s="1"/>
  <c r="D5" i="289" a="1"/>
  <c r="L5" i="289" a="1"/>
  <c r="L5" i="289" s="1"/>
  <c r="D5" i="349" a="1"/>
  <c r="E7" i="349" s="1"/>
  <c r="L5" i="349" a="1"/>
  <c r="P7" i="349" s="1"/>
  <c r="D5" i="221" a="1"/>
  <c r="G35" i="221" s="1"/>
  <c r="L5" i="221" a="1"/>
  <c r="D5" i="202" a="1"/>
  <c r="F7" i="202" s="1"/>
  <c r="L5" i="202" a="1"/>
  <c r="L5" i="202" s="1"/>
  <c r="L7" i="202" s="1"/>
  <c r="D5" i="220" a="1"/>
  <c r="H7" i="220" s="1"/>
  <c r="L5" i="220" a="1"/>
  <c r="P7" i="220" s="1"/>
  <c r="D5" i="324" a="1"/>
  <c r="H7" i="324" s="1"/>
  <c r="L5" i="324" a="1"/>
  <c r="P29" i="324" s="1"/>
  <c r="D5" i="355" a="1"/>
  <c r="E21" i="355" s="1"/>
  <c r="M23" i="355" s="1"/>
  <c r="L5" i="355" a="1"/>
  <c r="P7" i="355" s="1"/>
  <c r="D5" i="188" a="1"/>
  <c r="H7" i="188" s="1"/>
  <c r="L5" i="188" a="1"/>
  <c r="D5" i="241" a="1"/>
  <c r="L5" i="241" a="1"/>
  <c r="L5" i="241" s="1"/>
  <c r="L7" i="241" s="1"/>
  <c r="E21" i="225"/>
  <c r="D5" i="338" a="1"/>
  <c r="E7" i="338" s="1"/>
  <c r="L5" i="338" a="1"/>
  <c r="D5" i="15" a="1"/>
  <c r="F7" i="15" s="1"/>
  <c r="L5" i="15" a="1"/>
  <c r="O7" i="15" s="1"/>
  <c r="D5" i="123" a="1"/>
  <c r="H7" i="123" s="1"/>
  <c r="L5" i="123" a="1"/>
  <c r="G35" i="84"/>
  <c r="D5" i="279" a="1"/>
  <c r="F35" i="279" s="1"/>
  <c r="L5" i="279" a="1"/>
  <c r="M7" i="279" s="1"/>
  <c r="D5" i="204" a="1"/>
  <c r="L5" i="204" a="1"/>
  <c r="O7" i="204" s="1"/>
  <c r="D5" i="315" a="1"/>
  <c r="H21" i="315" s="1"/>
  <c r="P23" i="315" s="1"/>
  <c r="L5" i="315" a="1"/>
  <c r="L5" i="315" s="1"/>
  <c r="L7" i="315" s="1"/>
  <c r="D5" i="141" a="1"/>
  <c r="L5" i="141" a="1"/>
  <c r="O7" i="141" s="1"/>
  <c r="D5" i="360" a="1"/>
  <c r="H21" i="360" s="1"/>
  <c r="P23" i="360" s="1"/>
  <c r="L5" i="360" a="1"/>
  <c r="N7" i="360" s="1"/>
  <c r="D5" i="137" a="1"/>
  <c r="F7" i="137" s="1"/>
  <c r="L5" i="137" a="1"/>
  <c r="M7" i="137" s="1"/>
  <c r="D5" i="325" a="1"/>
  <c r="L5" i="325" a="1"/>
  <c r="O7" i="325" s="1"/>
  <c r="D5" i="219" a="1"/>
  <c r="L5" i="219" a="1"/>
  <c r="P7" i="219" s="1"/>
  <c r="D5" i="14" a="1"/>
  <c r="H21" i="14" s="1"/>
  <c r="P23" i="14" s="1"/>
  <c r="L5" i="14" a="1"/>
  <c r="N7" i="14" s="1"/>
  <c r="H35" i="184"/>
  <c r="D5" i="72" a="1"/>
  <c r="G7" i="72" s="1"/>
  <c r="L5" i="72" a="1"/>
  <c r="M7" i="72" s="1"/>
  <c r="D5" i="313" a="1"/>
  <c r="L5" i="313" a="1"/>
  <c r="M7" i="313" s="1"/>
  <c r="D5" i="356" a="1"/>
  <c r="L5" i="356" a="1"/>
  <c r="O7" i="356" s="1"/>
  <c r="D5" i="189" a="1"/>
  <c r="H21" i="189" s="1"/>
  <c r="P23" i="189" s="1"/>
  <c r="L5" i="189" a="1"/>
  <c r="D5" i="354" a="1"/>
  <c r="L5" i="354" a="1"/>
  <c r="N7" i="354" s="1"/>
  <c r="D5" i="307" a="1"/>
  <c r="L5" i="307" a="1"/>
  <c r="M7" i="307" s="1"/>
  <c r="D5" i="95" a="1"/>
  <c r="G21" i="95" s="1"/>
  <c r="O23" i="95" s="1"/>
  <c r="L5" i="95" a="1"/>
  <c r="D5" i="362" a="1"/>
  <c r="D5" i="362" s="1"/>
  <c r="L5" i="362" a="1"/>
  <c r="D5" i="99" a="1"/>
  <c r="H7" i="99" s="1"/>
  <c r="L5" i="99" a="1"/>
  <c r="O7" i="99" s="1"/>
  <c r="D5" i="97" a="1"/>
  <c r="E7" i="97" s="1"/>
  <c r="L5" i="97" a="1"/>
  <c r="O7" i="97" s="1"/>
  <c r="D5" i="196" a="1"/>
  <c r="L5" i="196" a="1"/>
  <c r="L5" i="196" s="1"/>
  <c r="L7" i="196" s="1"/>
  <c r="D5" i="215" a="1"/>
  <c r="L5" i="215" a="1"/>
  <c r="D5" i="154" a="1"/>
  <c r="H7" i="154" s="1"/>
  <c r="L5" i="154" a="1"/>
  <c r="N7" i="154" s="1"/>
  <c r="D5" i="192" a="1"/>
  <c r="F35" i="192" s="1"/>
  <c r="L5" i="192" a="1"/>
  <c r="D5" i="4" a="1"/>
  <c r="G21" i="4" s="1"/>
  <c r="O23" i="4" s="1"/>
  <c r="L5" i="4" a="1"/>
  <c r="L5" i="4" s="1"/>
  <c r="L7" i="4" s="1"/>
  <c r="D5" i="13" a="1"/>
  <c r="H35" i="13" s="1"/>
  <c r="L5" i="13" a="1"/>
  <c r="L5" i="13" s="1"/>
  <c r="L7" i="13" s="1"/>
  <c r="D5" i="125" a="1"/>
  <c r="F21" i="125" s="1"/>
  <c r="N23" i="125" s="1"/>
  <c r="L5" i="125" a="1"/>
  <c r="P7" i="125" s="1"/>
  <c r="D5" i="139" a="1"/>
  <c r="H7" i="139" s="1"/>
  <c r="L5" i="139" a="1"/>
  <c r="M7" i="139" s="1"/>
  <c r="D5" i="353" a="1"/>
  <c r="D5" i="353" s="1"/>
  <c r="L5" i="353" a="1"/>
  <c r="L5" i="353" s="1"/>
  <c r="L7" i="353" s="1"/>
  <c r="D5" i="271" a="1"/>
  <c r="G7" i="271" s="1"/>
  <c r="L5" i="271" a="1"/>
  <c r="D5" i="290" a="1"/>
  <c r="F7" i="290" s="1"/>
  <c r="L5" i="290" a="1"/>
  <c r="L5" i="290" s="1"/>
  <c r="D5" i="178" a="1"/>
  <c r="D5" i="178" s="1"/>
  <c r="L5" i="178" a="1"/>
  <c r="O7" i="178" s="1"/>
  <c r="D5" i="162" a="1"/>
  <c r="G7" i="162" s="1"/>
  <c r="L5" i="162" a="1"/>
  <c r="L5" i="162" s="1"/>
  <c r="L7" i="162" s="1"/>
  <c r="D5" i="333" a="1"/>
  <c r="H21" i="333" s="1"/>
  <c r="P23" i="333" s="1"/>
  <c r="L5" i="333" a="1"/>
  <c r="L5" i="333" s="1"/>
  <c r="L29" i="333" s="1"/>
  <c r="D5" i="146" a="1"/>
  <c r="D5" i="146" s="1"/>
  <c r="L5" i="146" a="1"/>
  <c r="L5" i="146" s="1"/>
  <c r="L7" i="146" s="1"/>
  <c r="D5" i="334" a="1"/>
  <c r="F7" i="334" s="1"/>
  <c r="L5" i="334" a="1"/>
  <c r="L5" i="334" s="1"/>
  <c r="L7" i="334" s="1"/>
  <c r="D5" i="344" a="1"/>
  <c r="H7" i="344" s="1"/>
  <c r="L5" i="344" a="1"/>
  <c r="O7" i="344" s="1"/>
  <c r="D5" i="11" a="1"/>
  <c r="D5" i="11" s="1"/>
  <c r="L5" i="11" a="1"/>
  <c r="O7" i="11" s="1"/>
  <c r="D5" i="203" a="1"/>
  <c r="L5" i="203" a="1"/>
  <c r="L5" i="203" s="1"/>
  <c r="L7" i="203" s="1"/>
  <c r="D5" i="296" a="1"/>
  <c r="H21" i="296" s="1"/>
  <c r="P23" i="296" s="1"/>
  <c r="L5" i="296" a="1"/>
  <c r="P7" i="296" s="1"/>
  <c r="D5" i="9" a="1"/>
  <c r="D5" i="9" s="1"/>
  <c r="L5" i="9" a="1"/>
  <c r="L5" i="9" s="1"/>
  <c r="L7" i="9" s="1"/>
  <c r="D5" i="79" a="1"/>
  <c r="G7" i="79" s="1"/>
  <c r="L5" i="79" a="1"/>
  <c r="D5" i="10" a="1"/>
  <c r="F7" i="10" s="1"/>
  <c r="L5" i="10" a="1"/>
  <c r="L5" i="10" s="1"/>
  <c r="L7" i="10" s="1"/>
  <c r="D5" i="191" a="1"/>
  <c r="H7" i="191" s="1"/>
  <c r="L5" i="191" a="1"/>
  <c r="O7" i="191" s="1"/>
  <c r="D5" i="118" a="1"/>
  <c r="G7" i="118" s="1"/>
  <c r="L5" i="118" a="1"/>
  <c r="O7" i="118" s="1"/>
  <c r="D5" i="91" a="1"/>
  <c r="G7" i="91" s="1"/>
  <c r="L5" i="91" a="1"/>
  <c r="L5" i="91" s="1"/>
  <c r="L7" i="91" s="1"/>
  <c r="D5" i="216" a="1"/>
  <c r="H21" i="216" s="1"/>
  <c r="P23" i="216" s="1"/>
  <c r="L5" i="216" a="1"/>
  <c r="P7" i="216" s="1"/>
  <c r="D5" i="105" a="1"/>
  <c r="D5" i="105" s="1"/>
  <c r="L5" i="105" a="1"/>
  <c r="L5" i="105" s="1"/>
  <c r="L7" i="105" s="1"/>
  <c r="D5" i="7" a="1"/>
  <c r="G7" i="7" s="1"/>
  <c r="L5" i="7" a="1"/>
  <c r="M7" i="7" s="1"/>
  <c r="D5" i="295" a="1"/>
  <c r="H7" i="295" s="1"/>
  <c r="L5" i="295" a="1"/>
  <c r="M29" i="295" s="1"/>
  <c r="D5" i="345" a="1"/>
  <c r="G7" i="345" s="1"/>
  <c r="L5" i="345" a="1"/>
  <c r="L5" i="345" s="1"/>
  <c r="L7" i="345" s="1"/>
  <c r="D5" i="270" a="1"/>
  <c r="E7" i="270" s="1"/>
  <c r="L5" i="270" a="1"/>
  <c r="P7" i="270" s="1"/>
  <c r="D5" i="6" a="1"/>
  <c r="D5" i="6" s="1"/>
  <c r="D7" i="6" s="1"/>
  <c r="L5" i="6" a="1"/>
  <c r="N7" i="6" s="1"/>
  <c r="D5" i="284" a="1"/>
  <c r="D5" i="284" s="1"/>
  <c r="L5" i="284" a="1"/>
  <c r="L5" i="284" s="1"/>
  <c r="L7" i="284" s="1"/>
  <c r="D5" i="337" a="1"/>
  <c r="F7" i="337" s="1"/>
  <c r="L5" i="337" a="1"/>
  <c r="L5" i="337" s="1"/>
  <c r="L7" i="337" s="1"/>
  <c r="D5" i="101" a="1"/>
  <c r="L5" i="101" a="1"/>
  <c r="O7" i="101" s="1"/>
  <c r="D5" i="190" a="1"/>
  <c r="G7" i="190" s="1"/>
  <c r="L5" i="190" a="1"/>
  <c r="O7" i="190" s="1"/>
  <c r="D5" i="39" a="1"/>
  <c r="G7" i="39" s="1"/>
  <c r="L5" i="39" a="1"/>
  <c r="L5" i="39" s="1"/>
  <c r="L7" i="39" s="1"/>
  <c r="D5" i="176" a="1"/>
  <c r="E7" i="176" s="1"/>
  <c r="L5" i="176" a="1"/>
  <c r="P7" i="176" s="1"/>
  <c r="D5" i="213" a="1"/>
  <c r="D5" i="213" s="1"/>
  <c r="D7" i="213" s="1"/>
  <c r="L5" i="213" a="1"/>
  <c r="L5" i="213" s="1"/>
  <c r="L7" i="213" s="1"/>
  <c r="G21" i="330"/>
  <c r="E21" i="44"/>
  <c r="H35" i="326"/>
  <c r="D5" i="183" a="1"/>
  <c r="G7" i="183" s="1"/>
  <c r="L5" i="183" a="1"/>
  <c r="S383" i="209" l="1"/>
  <c r="S323" i="209"/>
  <c r="S261" i="246"/>
  <c r="N14" i="33"/>
  <c r="S330" i="246"/>
  <c r="V11" i="33"/>
  <c r="H37" i="11"/>
  <c r="S194" i="209" s="1"/>
  <c r="F18" i="334"/>
  <c r="F39" i="334" s="1"/>
  <c r="Q27" i="209" s="1"/>
  <c r="S336" i="246"/>
  <c r="H47" i="97"/>
  <c r="S151" i="246" s="1"/>
  <c r="H43" i="118"/>
  <c r="J21" i="27"/>
  <c r="S306" i="246"/>
  <c r="H37" i="345"/>
  <c r="S229" i="209" s="1"/>
  <c r="S342" i="246"/>
  <c r="S353" i="209"/>
  <c r="M360" i="246"/>
  <c r="H43" i="203"/>
  <c r="H47" i="345"/>
  <c r="S169" i="209" s="1"/>
  <c r="J14" i="155"/>
  <c r="J19" i="155" s="1"/>
  <c r="D14" i="44"/>
  <c r="H43" i="196"/>
  <c r="R29" i="29"/>
  <c r="F14" i="14" s="1"/>
  <c r="E14" i="14" s="1"/>
  <c r="D14" i="14" s="1"/>
  <c r="H37" i="356"/>
  <c r="S226" i="209" s="1"/>
  <c r="M357" i="246"/>
  <c r="F11" i="72"/>
  <c r="D11" i="72"/>
  <c r="E11" i="72"/>
  <c r="G11" i="72"/>
  <c r="R22" i="28"/>
  <c r="H47" i="216"/>
  <c r="S149" i="209" s="1"/>
  <c r="E18" i="213"/>
  <c r="E37" i="213" s="1"/>
  <c r="P203" i="209" s="1"/>
  <c r="H43" i="344"/>
  <c r="J623" i="209"/>
  <c r="G48" i="326"/>
  <c r="P17" i="292"/>
  <c r="J18" i="36"/>
  <c r="H39" i="126"/>
  <c r="S42" i="246" s="1"/>
  <c r="H43" i="349"/>
  <c r="E15" i="185"/>
  <c r="H43" i="91"/>
  <c r="H43" i="338"/>
  <c r="N17" i="36"/>
  <c r="R17" i="36" s="1"/>
  <c r="T17" i="36" s="1"/>
  <c r="E15" i="103"/>
  <c r="T16" i="161"/>
  <c r="F11" i="162"/>
  <c r="N26" i="162" s="1"/>
  <c r="F43" i="162" s="1"/>
  <c r="F47" i="162" s="1"/>
  <c r="Q148" i="209" s="1"/>
  <c r="H47" i="202"/>
  <c r="S143" i="246" s="1"/>
  <c r="H43" i="271"/>
  <c r="S324" i="246"/>
  <c r="M348" i="209"/>
  <c r="J21" i="49"/>
  <c r="J23" i="49" s="1"/>
  <c r="J25" i="49" s="1"/>
  <c r="H43" i="214"/>
  <c r="S309" i="209"/>
  <c r="I324" i="209"/>
  <c r="G32" i="250"/>
  <c r="N26" i="213"/>
  <c r="F46" i="213"/>
  <c r="Q623" i="209"/>
  <c r="F18" i="213"/>
  <c r="F40" i="213" s="1"/>
  <c r="K83" i="209" s="1"/>
  <c r="K564" i="209"/>
  <c r="F44" i="213"/>
  <c r="Q83" i="209" s="1"/>
  <c r="K683" i="209"/>
  <c r="S536" i="246"/>
  <c r="H39" i="196"/>
  <c r="S37" i="209" s="1"/>
  <c r="M321" i="209"/>
  <c r="D14" i="15"/>
  <c r="E14" i="15" s="1"/>
  <c r="F14" i="15" s="1"/>
  <c r="G14" i="15" s="1"/>
  <c r="H43" i="10"/>
  <c r="M336" i="209"/>
  <c r="H39" i="214"/>
  <c r="S21" i="209" s="1"/>
  <c r="S293" i="209"/>
  <c r="G24" i="250"/>
  <c r="D32" i="250"/>
  <c r="F32" i="250"/>
  <c r="F24" i="250"/>
  <c r="D18" i="292" s="1"/>
  <c r="E28" i="250"/>
  <c r="E32" i="250"/>
  <c r="F28" i="250"/>
  <c r="G48" i="291"/>
  <c r="O20" i="290" s="1"/>
  <c r="S296" i="209"/>
  <c r="R14" i="340"/>
  <c r="T14" i="340" s="1"/>
  <c r="J384" i="209"/>
  <c r="H30" i="247"/>
  <c r="K15" i="292" s="1"/>
  <c r="F13" i="250"/>
  <c r="S327" i="246"/>
  <c r="F11" i="354"/>
  <c r="N26" i="354" s="1"/>
  <c r="F43" i="354" s="1"/>
  <c r="F47" i="354" s="1"/>
  <c r="H43" i="355"/>
  <c r="F14" i="91"/>
  <c r="F14" i="103" s="1"/>
  <c r="H47" i="146"/>
  <c r="S174" i="246" s="1"/>
  <c r="S338" i="209"/>
  <c r="S329" i="209"/>
  <c r="H37" i="176"/>
  <c r="S218" i="246" s="1"/>
  <c r="H39" i="7"/>
  <c r="S17" i="209" s="1"/>
  <c r="S310" i="209"/>
  <c r="H43" i="288"/>
  <c r="M336" i="246"/>
  <c r="H38" i="156"/>
  <c r="M11" i="246" s="1"/>
  <c r="H43" i="165"/>
  <c r="D24" i="250"/>
  <c r="D30" i="250"/>
  <c r="E30" i="250"/>
  <c r="D12" i="250"/>
  <c r="D14" i="250"/>
  <c r="D16" i="250"/>
  <c r="G26" i="250"/>
  <c r="D33" i="250"/>
  <c r="P25" i="247"/>
  <c r="L25" i="250"/>
  <c r="P25" i="250" s="1"/>
  <c r="E24" i="250"/>
  <c r="D28" i="250"/>
  <c r="M25" i="250"/>
  <c r="N25" i="250"/>
  <c r="G13" i="250"/>
  <c r="G15" i="250"/>
  <c r="G17" i="250"/>
  <c r="O25" i="250"/>
  <c r="G28" i="250"/>
  <c r="G30" i="250"/>
  <c r="S255" i="209"/>
  <c r="S259" i="246"/>
  <c r="S350" i="246"/>
  <c r="H43" i="166"/>
  <c r="H38" i="215"/>
  <c r="M26" i="209" s="1"/>
  <c r="S267" i="246"/>
  <c r="S341" i="246"/>
  <c r="M347" i="246"/>
  <c r="F14" i="250"/>
  <c r="F16" i="250"/>
  <c r="F23" i="250"/>
  <c r="C18" i="292" s="1"/>
  <c r="F27" i="250"/>
  <c r="F33" i="250"/>
  <c r="D13" i="250"/>
  <c r="D15" i="250"/>
  <c r="D17" i="250"/>
  <c r="G11" i="354"/>
  <c r="G45" i="354" s="1"/>
  <c r="M352" i="209"/>
  <c r="E14" i="250"/>
  <c r="E16" i="250"/>
  <c r="D23" i="250"/>
  <c r="D25" i="250"/>
  <c r="D27" i="250"/>
  <c r="D29" i="250"/>
  <c r="E27" i="250"/>
  <c r="E31" i="250"/>
  <c r="G14" i="250"/>
  <c r="G16" i="250"/>
  <c r="G25" i="250"/>
  <c r="G29" i="250"/>
  <c r="G31" i="250"/>
  <c r="G33" i="250"/>
  <c r="E23" i="250"/>
  <c r="O652" i="209"/>
  <c r="N15" i="292"/>
  <c r="P15" i="292" s="1"/>
  <c r="F12" i="250"/>
  <c r="N18" i="292" s="1"/>
  <c r="J504" i="209"/>
  <c r="E25" i="250"/>
  <c r="E29" i="250"/>
  <c r="E33" i="250"/>
  <c r="C24" i="250"/>
  <c r="C32" i="250"/>
  <c r="R684" i="209"/>
  <c r="G12" i="250"/>
  <c r="R721" i="209" s="1"/>
  <c r="G23" i="250"/>
  <c r="R324" i="209"/>
  <c r="F25" i="250"/>
  <c r="F29" i="250"/>
  <c r="F48" i="247"/>
  <c r="N20" i="213" s="1"/>
  <c r="F31" i="250"/>
  <c r="G18" i="292" s="1"/>
  <c r="C25" i="250"/>
  <c r="C33" i="250"/>
  <c r="G27" i="250"/>
  <c r="C26" i="250"/>
  <c r="E13" i="250"/>
  <c r="E15" i="250"/>
  <c r="E17" i="250"/>
  <c r="D26" i="250"/>
  <c r="C27" i="250"/>
  <c r="F15" i="250"/>
  <c r="F17" i="250"/>
  <c r="E26" i="250"/>
  <c r="C28" i="250"/>
  <c r="F15" i="292"/>
  <c r="F26" i="250"/>
  <c r="F18" i="292" s="1"/>
  <c r="E15" i="292"/>
  <c r="F30" i="250"/>
  <c r="C29" i="250"/>
  <c r="C30" i="250"/>
  <c r="P684" i="209"/>
  <c r="E12" i="250"/>
  <c r="P721" i="209" s="1"/>
  <c r="D31" i="250"/>
  <c r="D48" i="250" s="1"/>
  <c r="H28" i="291"/>
  <c r="H42" i="291" s="1"/>
  <c r="P14" i="290" s="1"/>
  <c r="C23" i="250"/>
  <c r="C31" i="250"/>
  <c r="H43" i="11"/>
  <c r="H43" i="293"/>
  <c r="H39" i="162"/>
  <c r="S28" i="209" s="1"/>
  <c r="K623" i="209"/>
  <c r="H23" i="248"/>
  <c r="I16" i="292" s="1"/>
  <c r="H30" i="248"/>
  <c r="K16" i="292" s="1"/>
  <c r="H23" i="291"/>
  <c r="H37" i="291" s="1"/>
  <c r="E15" i="104"/>
  <c r="H43" i="16"/>
  <c r="M345" i="246"/>
  <c r="M338" i="246"/>
  <c r="H28" i="248"/>
  <c r="H42" i="248" s="1"/>
  <c r="P14" i="221" s="1"/>
  <c r="H33" i="291"/>
  <c r="I384" i="209"/>
  <c r="H27" i="247"/>
  <c r="H41" i="247" s="1"/>
  <c r="M204" i="209" s="1"/>
  <c r="F45" i="334"/>
  <c r="K147" i="209" s="1"/>
  <c r="K687" i="209"/>
  <c r="K627" i="209"/>
  <c r="D11" i="353"/>
  <c r="O647" i="209" s="1"/>
  <c r="G11" i="9"/>
  <c r="L616" i="209" s="1"/>
  <c r="E11" i="334"/>
  <c r="J627" i="209" s="1"/>
  <c r="N26" i="334"/>
  <c r="F43" i="334" s="1"/>
  <c r="F47" i="334" s="1"/>
  <c r="Q147" i="209" s="1"/>
  <c r="Q627" i="209"/>
  <c r="G11" i="353"/>
  <c r="G46" i="353" s="1"/>
  <c r="F11" i="353"/>
  <c r="K647" i="209" s="1"/>
  <c r="D11" i="9"/>
  <c r="D44" i="9" s="1"/>
  <c r="O76" i="209" s="1"/>
  <c r="N20" i="241"/>
  <c r="R384" i="209"/>
  <c r="R537" i="209"/>
  <c r="I417" i="209"/>
  <c r="R504" i="209"/>
  <c r="M20" i="241"/>
  <c r="K537" i="209"/>
  <c r="Q477" i="209"/>
  <c r="Q717" i="209"/>
  <c r="H24" i="248"/>
  <c r="J16" i="292" s="1"/>
  <c r="I477" i="209"/>
  <c r="O537" i="209"/>
  <c r="H43" i="221"/>
  <c r="I597" i="209"/>
  <c r="Q564" i="209"/>
  <c r="L384" i="209"/>
  <c r="L324" i="209"/>
  <c r="M323" i="209"/>
  <c r="H24" i="247"/>
  <c r="J15" i="292" s="1"/>
  <c r="AA16" i="292"/>
  <c r="H31" i="247"/>
  <c r="H45" i="247" s="1"/>
  <c r="P17" i="105" s="1"/>
  <c r="H33" i="247"/>
  <c r="H47" i="290"/>
  <c r="H26" i="291"/>
  <c r="H40" i="291" s="1"/>
  <c r="P12" i="288" s="1"/>
  <c r="Q417" i="209"/>
  <c r="L477" i="209"/>
  <c r="D48" i="248"/>
  <c r="L20" i="364" s="1"/>
  <c r="H25" i="248"/>
  <c r="S357" i="209" s="1"/>
  <c r="O417" i="209"/>
  <c r="S417" i="209" s="1"/>
  <c r="R297" i="209"/>
  <c r="K477" i="209"/>
  <c r="C16" i="292"/>
  <c r="Q537" i="209"/>
  <c r="N20" i="220"/>
  <c r="N20" i="364"/>
  <c r="D48" i="247"/>
  <c r="L20" i="213" s="1"/>
  <c r="Q504" i="209"/>
  <c r="J564" i="209"/>
  <c r="K444" i="209"/>
  <c r="E48" i="247"/>
  <c r="M20" i="105" s="1"/>
  <c r="K384" i="209"/>
  <c r="R444" i="209"/>
  <c r="I504" i="209"/>
  <c r="M504" i="209" s="1"/>
  <c r="I444" i="209"/>
  <c r="O564" i="209"/>
  <c r="S564" i="209" s="1"/>
  <c r="O384" i="209"/>
  <c r="Q384" i="209"/>
  <c r="O264" i="209"/>
  <c r="O324" i="209"/>
  <c r="O504" i="209"/>
  <c r="H25" i="247"/>
  <c r="H39" i="247" s="1"/>
  <c r="P11" i="213" s="1"/>
  <c r="I564" i="209"/>
  <c r="M564" i="209" s="1"/>
  <c r="S274" i="209"/>
  <c r="M342" i="246"/>
  <c r="S261" i="209"/>
  <c r="M329" i="246"/>
  <c r="E44" i="188"/>
  <c r="P106" i="246" s="1"/>
  <c r="P564" i="209"/>
  <c r="H39" i="95"/>
  <c r="S36" i="246" s="1"/>
  <c r="M327" i="246"/>
  <c r="R264" i="209"/>
  <c r="Q357" i="209"/>
  <c r="H26" i="248"/>
  <c r="H40" i="248" s="1"/>
  <c r="P12" i="220" s="1"/>
  <c r="J597" i="209"/>
  <c r="F48" i="291"/>
  <c r="N20" i="288" s="1"/>
  <c r="J13" i="142"/>
  <c r="X36" i="142" s="1"/>
  <c r="S252" i="209"/>
  <c r="S262" i="246"/>
  <c r="S708" i="246"/>
  <c r="S275" i="209"/>
  <c r="H43" i="13"/>
  <c r="M341" i="246"/>
  <c r="E16" i="231"/>
  <c r="P25" i="223"/>
  <c r="E46" i="191"/>
  <c r="P657" i="246"/>
  <c r="E44" i="191"/>
  <c r="P99" i="246" s="1"/>
  <c r="J719" i="246"/>
  <c r="E45" i="191"/>
  <c r="J161" i="246" s="1"/>
  <c r="J657" i="246"/>
  <c r="H39" i="97"/>
  <c r="S27" i="246" s="1"/>
  <c r="D46" i="183"/>
  <c r="I735" i="246"/>
  <c r="H46" i="291"/>
  <c r="P18" i="289" s="1"/>
  <c r="T11" i="37"/>
  <c r="N22" i="28"/>
  <c r="S341" i="209"/>
  <c r="D48" i="291"/>
  <c r="L20" i="290" s="1"/>
  <c r="N12" i="142"/>
  <c r="R12" i="142" s="1"/>
  <c r="R13" i="142" s="1"/>
  <c r="E14" i="223"/>
  <c r="T21" i="28"/>
  <c r="P324" i="209"/>
  <c r="J27" i="27"/>
  <c r="J37" i="27" s="1"/>
  <c r="T14" i="161"/>
  <c r="H32" i="291"/>
  <c r="M361" i="246"/>
  <c r="C15" i="292"/>
  <c r="P357" i="209"/>
  <c r="N29" i="34"/>
  <c r="M26" i="213"/>
  <c r="E43" i="213" s="1"/>
  <c r="E47" i="213" s="1"/>
  <c r="P143" i="209" s="1"/>
  <c r="J683" i="209"/>
  <c r="N20" i="129"/>
  <c r="H31" i="291"/>
  <c r="H45" i="291" s="1"/>
  <c r="P17" i="289" s="1"/>
  <c r="Q684" i="209"/>
  <c r="S340" i="246"/>
  <c r="H38" i="105"/>
  <c r="M22" i="209" s="1"/>
  <c r="P623" i="209"/>
  <c r="E45" i="213"/>
  <c r="J143" i="209" s="1"/>
  <c r="Q444" i="209"/>
  <c r="Q324" i="209"/>
  <c r="P537" i="209"/>
  <c r="E44" i="213"/>
  <c r="P83" i="209" s="1"/>
  <c r="E48" i="248"/>
  <c r="H43" i="7"/>
  <c r="M359" i="246"/>
  <c r="H43" i="195"/>
  <c r="S253" i="209"/>
  <c r="K649" i="246"/>
  <c r="D11" i="271"/>
  <c r="I649" i="246" s="1"/>
  <c r="S363" i="246"/>
  <c r="S362" i="246"/>
  <c r="H47" i="360"/>
  <c r="H43" i="354"/>
  <c r="S298" i="246"/>
  <c r="Q667" i="246"/>
  <c r="E11" i="271"/>
  <c r="E45" i="271" s="1"/>
  <c r="J153" i="246" s="1"/>
  <c r="E11" i="39"/>
  <c r="F45" i="137"/>
  <c r="K171" i="246" s="1"/>
  <c r="K729" i="246"/>
  <c r="G11" i="271"/>
  <c r="G45" i="271" s="1"/>
  <c r="L153" i="246" s="1"/>
  <c r="F11" i="39"/>
  <c r="S323" i="246"/>
  <c r="S279" i="246"/>
  <c r="H43" i="99"/>
  <c r="H38" i="97"/>
  <c r="M27" i="246" s="1"/>
  <c r="S328" i="246"/>
  <c r="H43" i="14"/>
  <c r="F14" i="139"/>
  <c r="F14" i="223" s="1"/>
  <c r="E11" i="354"/>
  <c r="E46" i="354" s="1"/>
  <c r="M354" i="209"/>
  <c r="H43" i="289"/>
  <c r="S382" i="209"/>
  <c r="S250" i="209"/>
  <c r="S327" i="209"/>
  <c r="G29" i="171"/>
  <c r="H38" i="162"/>
  <c r="M28" i="209" s="1"/>
  <c r="E15" i="223"/>
  <c r="M622" i="209"/>
  <c r="M352" i="246"/>
  <c r="F14" i="178"/>
  <c r="F14" i="225" s="1"/>
  <c r="S322" i="209"/>
  <c r="S269" i="209"/>
  <c r="S316" i="209"/>
  <c r="S251" i="209"/>
  <c r="R29" i="34"/>
  <c r="D14" i="9" s="1"/>
  <c r="E14" i="9" s="1"/>
  <c r="F14" i="9" s="1"/>
  <c r="G14" i="9" s="1"/>
  <c r="T21" i="34"/>
  <c r="H43" i="347"/>
  <c r="H38" i="15"/>
  <c r="M9" i="209" s="1"/>
  <c r="S353" i="246"/>
  <c r="S321" i="246"/>
  <c r="M296" i="209"/>
  <c r="H39" i="220"/>
  <c r="S54" i="209" s="1"/>
  <c r="S351" i="246"/>
  <c r="M476" i="209"/>
  <c r="H47" i="325"/>
  <c r="E48" i="326"/>
  <c r="M20" i="324" s="1"/>
  <c r="M507" i="246"/>
  <c r="G13" i="171"/>
  <c r="F33" i="171"/>
  <c r="H47" i="125"/>
  <c r="S133" i="209" s="1"/>
  <c r="M340" i="209"/>
  <c r="G46" i="194"/>
  <c r="H43" i="337"/>
  <c r="N26" i="196"/>
  <c r="F43" i="196" s="1"/>
  <c r="F47" i="196" s="1"/>
  <c r="Q157" i="209" s="1"/>
  <c r="S339" i="209"/>
  <c r="N26" i="101"/>
  <c r="F43" i="101" s="1"/>
  <c r="F47" i="101" s="1"/>
  <c r="Q155" i="246" s="1"/>
  <c r="H37" i="337"/>
  <c r="S220" i="209" s="1"/>
  <c r="M328" i="246"/>
  <c r="S344" i="209"/>
  <c r="D17" i="171"/>
  <c r="E11" i="324"/>
  <c r="N122" i="294" s="1"/>
  <c r="D75" i="246"/>
  <c r="D137" i="246" s="1"/>
  <c r="D199" i="246" s="1"/>
  <c r="D261" i="246" s="1"/>
  <c r="D323" i="246" s="1"/>
  <c r="D385" i="246" s="1"/>
  <c r="D447" i="246" s="1"/>
  <c r="D509" i="246" s="1"/>
  <c r="D571" i="246" s="1"/>
  <c r="D633" i="246" s="1"/>
  <c r="D695" i="246" s="1"/>
  <c r="D757" i="246" s="1"/>
  <c r="D12" i="309"/>
  <c r="G11" i="324"/>
  <c r="G44" i="324" s="1"/>
  <c r="U27" i="294" s="1"/>
  <c r="S607" i="246"/>
  <c r="E14" i="123"/>
  <c r="H43" i="189"/>
  <c r="S268" i="246"/>
  <c r="S294" i="246"/>
  <c r="H37" i="139"/>
  <c r="S207" i="246" s="1"/>
  <c r="H47" i="353"/>
  <c r="S167" i="209" s="1"/>
  <c r="M615" i="209"/>
  <c r="H43" i="9"/>
  <c r="H43" i="39"/>
  <c r="S249" i="209"/>
  <c r="S315" i="209"/>
  <c r="S281" i="209"/>
  <c r="H43" i="15"/>
  <c r="M314" i="209"/>
  <c r="R257" i="246"/>
  <c r="D70" i="246"/>
  <c r="D132" i="246" s="1"/>
  <c r="D194" i="246" s="1"/>
  <c r="D256" i="246" s="1"/>
  <c r="D318" i="246" s="1"/>
  <c r="D380" i="246" s="1"/>
  <c r="D442" i="246" s="1"/>
  <c r="D504" i="246" s="1"/>
  <c r="D566" i="246" s="1"/>
  <c r="D628" i="246" s="1"/>
  <c r="D690" i="246" s="1"/>
  <c r="D752" i="246" s="1"/>
  <c r="F46" i="288"/>
  <c r="D11" i="324"/>
  <c r="D18" i="324" s="1"/>
  <c r="R122" i="294" s="1"/>
  <c r="E11" i="202"/>
  <c r="E45" i="202" s="1"/>
  <c r="J143" i="246" s="1"/>
  <c r="G11" i="202"/>
  <c r="O26" i="202" s="1"/>
  <c r="G43" i="202" s="1"/>
  <c r="G47" i="202" s="1"/>
  <c r="R143" i="246" s="1"/>
  <c r="E33" i="171"/>
  <c r="E33" i="84"/>
  <c r="E11" i="359"/>
  <c r="J646" i="246" s="1"/>
  <c r="N26" i="202"/>
  <c r="F43" i="202" s="1"/>
  <c r="F47" i="202" s="1"/>
  <c r="Q143" i="246" s="1"/>
  <c r="F45" i="202"/>
  <c r="K143" i="246" s="1"/>
  <c r="D11" i="202"/>
  <c r="I701" i="246" s="1"/>
  <c r="S263" i="209"/>
  <c r="E14" i="212"/>
  <c r="E14" i="228" s="1"/>
  <c r="G14" i="162"/>
  <c r="G14" i="212" s="1"/>
  <c r="F14" i="212"/>
  <c r="G15" i="178"/>
  <c r="G15" i="225" s="1"/>
  <c r="F15" i="225"/>
  <c r="U12" i="246"/>
  <c r="U74" i="246" s="1"/>
  <c r="U136" i="246" s="1"/>
  <c r="U198" i="246" s="1"/>
  <c r="U260" i="246" s="1"/>
  <c r="U322" i="246" s="1"/>
  <c r="U384" i="246" s="1"/>
  <c r="U446" i="246" s="1"/>
  <c r="U508" i="246" s="1"/>
  <c r="U570" i="246" s="1"/>
  <c r="U632" i="246" s="1"/>
  <c r="U694" i="246" s="1"/>
  <c r="H25" i="326"/>
  <c r="H39" i="326" s="1"/>
  <c r="P11" i="324" s="1"/>
  <c r="F15" i="162"/>
  <c r="E15" i="212"/>
  <c r="E16" i="173"/>
  <c r="S293" i="246"/>
  <c r="M354" i="246"/>
  <c r="H43" i="194"/>
  <c r="F202" i="209"/>
  <c r="M515" i="209"/>
  <c r="M529" i="209"/>
  <c r="M532" i="209"/>
  <c r="S698" i="209"/>
  <c r="M375" i="209"/>
  <c r="M594" i="209"/>
  <c r="M567" i="209"/>
  <c r="S549" i="209"/>
  <c r="M553" i="209"/>
  <c r="M558" i="209"/>
  <c r="S438" i="209"/>
  <c r="V104" i="209"/>
  <c r="V164" i="209"/>
  <c r="U40" i="209"/>
  <c r="U100" i="209" s="1"/>
  <c r="U160" i="209" s="1"/>
  <c r="U220" i="209" s="1"/>
  <c r="U280" i="209" s="1"/>
  <c r="U340" i="209" s="1"/>
  <c r="U400" i="209" s="1"/>
  <c r="U460" i="209" s="1"/>
  <c r="U520" i="209" s="1"/>
  <c r="U580" i="209" s="1"/>
  <c r="U640" i="209" s="1"/>
  <c r="U700" i="209" s="1"/>
  <c r="U760" i="209" s="1"/>
  <c r="M464" i="209"/>
  <c r="M579" i="209"/>
  <c r="M489" i="209"/>
  <c r="J41" i="29"/>
  <c r="J19" i="340"/>
  <c r="J26" i="340" s="1"/>
  <c r="L743" i="209"/>
  <c r="M509" i="246"/>
  <c r="I65" i="164"/>
  <c r="M547" i="246"/>
  <c r="M356" i="246"/>
  <c r="M331" i="246"/>
  <c r="H47" i="333"/>
  <c r="M369" i="246"/>
  <c r="D18" i="191"/>
  <c r="D42" i="191" s="1"/>
  <c r="I285" i="246" s="1"/>
  <c r="M312" i="209"/>
  <c r="H47" i="6"/>
  <c r="S138" i="209" s="1"/>
  <c r="M315" i="209"/>
  <c r="S314" i="209"/>
  <c r="S369" i="246"/>
  <c r="H43" i="156"/>
  <c r="F28" i="171"/>
  <c r="G31" i="171"/>
  <c r="C27" i="84"/>
  <c r="J13" i="164"/>
  <c r="J20" i="164" s="1"/>
  <c r="J33" i="164" s="1"/>
  <c r="L36" i="209" s="1"/>
  <c r="M539" i="246"/>
  <c r="H29" i="326"/>
  <c r="H47" i="326" s="1"/>
  <c r="M584" i="246"/>
  <c r="M370" i="209"/>
  <c r="M378" i="209"/>
  <c r="S429" i="209"/>
  <c r="M441" i="209"/>
  <c r="S442" i="209"/>
  <c r="M443" i="209"/>
  <c r="S507" i="209"/>
  <c r="S509" i="209"/>
  <c r="M533" i="209"/>
  <c r="S534" i="209"/>
  <c r="M536" i="209"/>
  <c r="M552" i="209"/>
  <c r="M555" i="209"/>
  <c r="H26" i="326"/>
  <c r="H40" i="326" s="1"/>
  <c r="P12" i="325" s="1"/>
  <c r="M526" i="209"/>
  <c r="C30" i="228"/>
  <c r="J17" i="28"/>
  <c r="M514" i="209"/>
  <c r="M518" i="209"/>
  <c r="S279" i="209"/>
  <c r="I719" i="246"/>
  <c r="M719" i="246" s="1"/>
  <c r="D46" i="191"/>
  <c r="D45" i="191"/>
  <c r="I161" i="246" s="1"/>
  <c r="O657" i="246"/>
  <c r="L26" i="191"/>
  <c r="D43" i="191" s="1"/>
  <c r="D47" i="191" s="1"/>
  <c r="O161" i="246" s="1"/>
  <c r="I657" i="246"/>
  <c r="Q650" i="246"/>
  <c r="E48" i="361"/>
  <c r="M20" i="296" s="1"/>
  <c r="F11" i="362"/>
  <c r="F18" i="362" s="1"/>
  <c r="F39" i="362" s="1"/>
  <c r="O38" i="294" s="1"/>
  <c r="D11" i="362"/>
  <c r="M133" i="294" s="1"/>
  <c r="E11" i="362"/>
  <c r="E44" i="362" s="1"/>
  <c r="S38" i="294" s="1"/>
  <c r="J717" i="246"/>
  <c r="M414" i="209"/>
  <c r="M473" i="209"/>
  <c r="S474" i="209"/>
  <c r="M502" i="209"/>
  <c r="E48" i="103"/>
  <c r="M20" i="91" s="1"/>
  <c r="M460" i="209"/>
  <c r="M466" i="209"/>
  <c r="M472" i="209"/>
  <c r="S495" i="209"/>
  <c r="M561" i="209"/>
  <c r="S593" i="209"/>
  <c r="S596" i="209"/>
  <c r="J58" i="37"/>
  <c r="D14" i="6"/>
  <c r="E14" i="6" s="1"/>
  <c r="F14" i="6" s="1"/>
  <c r="G14" i="6" s="1"/>
  <c r="J29" i="37"/>
  <c r="N23" i="326"/>
  <c r="M474" i="209"/>
  <c r="H33" i="326"/>
  <c r="S472" i="209"/>
  <c r="M490" i="209"/>
  <c r="M492" i="209"/>
  <c r="T20" i="28"/>
  <c r="J12" i="36"/>
  <c r="N28" i="37"/>
  <c r="R28" i="37" s="1"/>
  <c r="R29" i="37" s="1"/>
  <c r="J13" i="37"/>
  <c r="J16" i="29"/>
  <c r="N16" i="29" s="1"/>
  <c r="N22" i="29" s="1"/>
  <c r="K550" i="246"/>
  <c r="F11" i="347"/>
  <c r="F45" i="196"/>
  <c r="K157" i="209" s="1"/>
  <c r="D44" i="347"/>
  <c r="O112" i="209" s="1"/>
  <c r="G11" i="356"/>
  <c r="O26" i="356" s="1"/>
  <c r="R766" i="209" s="1"/>
  <c r="O646" i="209"/>
  <c r="D11" i="289"/>
  <c r="L26" i="289" s="1"/>
  <c r="D43" i="289" s="1"/>
  <c r="D47" i="289" s="1"/>
  <c r="R50" i="294" s="1"/>
  <c r="F11" i="356"/>
  <c r="F46" i="356" s="1"/>
  <c r="E11" i="356"/>
  <c r="J646" i="209" s="1"/>
  <c r="L26" i="356"/>
  <c r="D43" i="356" s="1"/>
  <c r="D47" i="356" s="1"/>
  <c r="O166" i="209" s="1"/>
  <c r="D46" i="356"/>
  <c r="D45" i="356"/>
  <c r="I166" i="209" s="1"/>
  <c r="D18" i="356"/>
  <c r="D39" i="356" s="1"/>
  <c r="O46" i="209" s="1"/>
  <c r="D44" i="356"/>
  <c r="O106" i="209" s="1"/>
  <c r="I646" i="209"/>
  <c r="P23" i="44"/>
  <c r="M23" i="291"/>
  <c r="H30" i="326"/>
  <c r="K12" i="292" s="1"/>
  <c r="N23" i="330"/>
  <c r="H35" i="190"/>
  <c r="G21" i="247"/>
  <c r="J31" i="164"/>
  <c r="O23" i="172"/>
  <c r="F21" i="160"/>
  <c r="N23" i="160" s="1"/>
  <c r="N42" i="37"/>
  <c r="H7" i="97"/>
  <c r="P23" i="248"/>
  <c r="H21" i="248"/>
  <c r="F13" i="84"/>
  <c r="G48" i="103"/>
  <c r="O20" i="91" s="1"/>
  <c r="X48" i="70"/>
  <c r="K324" i="209"/>
  <c r="M334" i="209"/>
  <c r="S394" i="209"/>
  <c r="H47" i="324"/>
  <c r="H43" i="190"/>
  <c r="E11" i="4"/>
  <c r="M26" i="4" s="1"/>
  <c r="E43" i="4" s="1"/>
  <c r="E47" i="4" s="1"/>
  <c r="P131" i="209" s="1"/>
  <c r="E11" i="9"/>
  <c r="M26" i="9" s="1"/>
  <c r="P736" i="209" s="1"/>
  <c r="M25" i="228"/>
  <c r="D28" i="171"/>
  <c r="G11" i="359"/>
  <c r="G18" i="359" s="1"/>
  <c r="G39" i="359" s="1"/>
  <c r="R26" i="246" s="1"/>
  <c r="D11" i="359"/>
  <c r="I708" i="246" s="1"/>
  <c r="F44" i="137"/>
  <c r="Q109" i="246" s="1"/>
  <c r="Q701" i="209"/>
  <c r="F26" i="171"/>
  <c r="F46" i="137"/>
  <c r="D88" i="246"/>
  <c r="D150" i="246" s="1"/>
  <c r="D212" i="246" s="1"/>
  <c r="D274" i="246" s="1"/>
  <c r="D336" i="246" s="1"/>
  <c r="D398" i="246" s="1"/>
  <c r="D460" i="246" s="1"/>
  <c r="D522" i="246" s="1"/>
  <c r="D584" i="246" s="1"/>
  <c r="D646" i="246" s="1"/>
  <c r="D708" i="246" s="1"/>
  <c r="D770" i="246" s="1"/>
  <c r="N26" i="359"/>
  <c r="F43" i="359" s="1"/>
  <c r="F47" i="359" s="1"/>
  <c r="Q150" i="246" s="1"/>
  <c r="P668" i="209"/>
  <c r="E11" i="97"/>
  <c r="P647" i="246" s="1"/>
  <c r="F23" i="84"/>
  <c r="C28" i="292" s="1"/>
  <c r="G42" i="213"/>
  <c r="L263" i="209" s="1"/>
  <c r="N23" i="248"/>
  <c r="F21" i="333"/>
  <c r="N23" i="333" s="1"/>
  <c r="G39" i="213"/>
  <c r="R23" i="209" s="1"/>
  <c r="T18" i="27"/>
  <c r="S283" i="246"/>
  <c r="M344" i="209"/>
  <c r="M491" i="209"/>
  <c r="E33" i="228"/>
  <c r="G37" i="213"/>
  <c r="R203" i="209" s="1"/>
  <c r="N23" i="44"/>
  <c r="G38" i="213"/>
  <c r="L23" i="209" s="1"/>
  <c r="D45" i="347"/>
  <c r="I172" i="209" s="1"/>
  <c r="H43" i="220"/>
  <c r="S336" i="209"/>
  <c r="F7" i="353"/>
  <c r="O23" i="291"/>
  <c r="M7" i="6"/>
  <c r="I24" i="164"/>
  <c r="E21" i="171"/>
  <c r="P23" i="226"/>
  <c r="G41" i="213"/>
  <c r="L203" i="209" s="1"/>
  <c r="F15" i="313"/>
  <c r="F18" i="313" s="1"/>
  <c r="H43" i="151"/>
  <c r="S334" i="209"/>
  <c r="M610" i="209"/>
  <c r="G16" i="184"/>
  <c r="M540" i="246"/>
  <c r="H43" i="160"/>
  <c r="M350" i="246"/>
  <c r="D31" i="231"/>
  <c r="S278" i="209"/>
  <c r="M372" i="209"/>
  <c r="S432" i="209"/>
  <c r="M371" i="209"/>
  <c r="K646" i="246"/>
  <c r="H43" i="307"/>
  <c r="H29" i="308"/>
  <c r="H43" i="308" s="1"/>
  <c r="P15" i="307" s="1"/>
  <c r="H43" i="95"/>
  <c r="H47" i="192"/>
  <c r="S136" i="246" s="1"/>
  <c r="S260" i="246"/>
  <c r="S277" i="246"/>
  <c r="M525" i="246"/>
  <c r="S525" i="246"/>
  <c r="S276" i="246"/>
  <c r="U27" i="209"/>
  <c r="U87" i="209" s="1"/>
  <c r="U147" i="209" s="1"/>
  <c r="U207" i="209" s="1"/>
  <c r="U267" i="209" s="1"/>
  <c r="U327" i="209" s="1"/>
  <c r="U387" i="209" s="1"/>
  <c r="U447" i="209" s="1"/>
  <c r="U507" i="209" s="1"/>
  <c r="U567" i="209" s="1"/>
  <c r="U627" i="209" s="1"/>
  <c r="U687" i="209" s="1"/>
  <c r="U747" i="209" s="1"/>
  <c r="F45" i="288"/>
  <c r="O49" i="294" s="1"/>
  <c r="F44" i="288"/>
  <c r="T30" i="294" s="1"/>
  <c r="D107" i="209"/>
  <c r="D167" i="209" s="1"/>
  <c r="D227" i="209" s="1"/>
  <c r="D287" i="209" s="1"/>
  <c r="D347" i="209" s="1"/>
  <c r="D407" i="209" s="1"/>
  <c r="D467" i="209" s="1"/>
  <c r="D527" i="209" s="1"/>
  <c r="D587" i="209" s="1"/>
  <c r="D647" i="209" s="1"/>
  <c r="D707" i="209" s="1"/>
  <c r="D767" i="209" s="1"/>
  <c r="E12" i="309"/>
  <c r="D11" i="337"/>
  <c r="L26" i="337" s="1"/>
  <c r="D43" i="337" s="1"/>
  <c r="D47" i="337" s="1"/>
  <c r="O160" i="209" s="1"/>
  <c r="O125" i="294"/>
  <c r="E11" i="288"/>
  <c r="E45" i="288" s="1"/>
  <c r="N49" i="294" s="1"/>
  <c r="F442" i="209"/>
  <c r="F46" i="123"/>
  <c r="G11" i="288"/>
  <c r="G45" i="288" s="1"/>
  <c r="P49" i="294" s="1"/>
  <c r="D11" i="288"/>
  <c r="L26" i="288" s="1"/>
  <c r="Q635" i="209"/>
  <c r="F83" i="209"/>
  <c r="P343" i="246"/>
  <c r="F683" i="209"/>
  <c r="N26" i="288"/>
  <c r="F43" i="288" s="1"/>
  <c r="F47" i="288" s="1"/>
  <c r="T49" i="294" s="1"/>
  <c r="F11" i="337"/>
  <c r="F44" i="337" s="1"/>
  <c r="Q100" i="209" s="1"/>
  <c r="D17" i="184"/>
  <c r="E21" i="248"/>
  <c r="H21" i="361"/>
  <c r="O23" i="18"/>
  <c r="E35" i="58"/>
  <c r="H21" i="291"/>
  <c r="H21" i="250"/>
  <c r="I58" i="164"/>
  <c r="J24" i="164"/>
  <c r="G21" i="361"/>
  <c r="E35" i="226"/>
  <c r="E7" i="187"/>
  <c r="J37" i="70"/>
  <c r="J39" i="70" s="1"/>
  <c r="J42" i="70" s="1"/>
  <c r="J31" i="33"/>
  <c r="J32" i="33" s="1"/>
  <c r="J36" i="33" s="1"/>
  <c r="J40" i="33" s="1"/>
  <c r="N31" i="34"/>
  <c r="K24" i="164"/>
  <c r="F21" i="326"/>
  <c r="G35" i="291"/>
  <c r="K43" i="164"/>
  <c r="F21" i="172"/>
  <c r="C29" i="328"/>
  <c r="H21" i="309"/>
  <c r="E21" i="326"/>
  <c r="E21" i="18"/>
  <c r="F21" i="291"/>
  <c r="E35" i="250"/>
  <c r="J43" i="164"/>
  <c r="H24" i="164"/>
  <c r="M23" i="185"/>
  <c r="E35" i="361"/>
  <c r="G21" i="223"/>
  <c r="G35" i="309"/>
  <c r="U39" i="209"/>
  <c r="U99" i="209" s="1"/>
  <c r="U159" i="209" s="1"/>
  <c r="U219" i="209" s="1"/>
  <c r="U279" i="209" s="1"/>
  <c r="U339" i="209" s="1"/>
  <c r="U399" i="209" s="1"/>
  <c r="U459" i="209" s="1"/>
  <c r="U519" i="209" s="1"/>
  <c r="U579" i="209" s="1"/>
  <c r="U639" i="209" s="1"/>
  <c r="U699" i="209" s="1"/>
  <c r="U759" i="209" s="1"/>
  <c r="D17" i="84"/>
  <c r="G21" i="58"/>
  <c r="J58" i="164"/>
  <c r="G21" i="186"/>
  <c r="G21" i="226"/>
  <c r="G35" i="18"/>
  <c r="H21" i="308"/>
  <c r="E21" i="291"/>
  <c r="F21" i="223"/>
  <c r="H21" i="225"/>
  <c r="N13" i="70"/>
  <c r="T16" i="27"/>
  <c r="H35" i="104"/>
  <c r="K65" i="164"/>
  <c r="I43" i="164"/>
  <c r="K9" i="164"/>
  <c r="H21" i="185"/>
  <c r="F35" i="104"/>
  <c r="H21" i="330"/>
  <c r="H35" i="247"/>
  <c r="J65" i="164"/>
  <c r="H43" i="164"/>
  <c r="I9" i="164"/>
  <c r="G21" i="185"/>
  <c r="E21" i="308"/>
  <c r="H35" i="84"/>
  <c r="F35" i="171"/>
  <c r="E35" i="309"/>
  <c r="M434" i="209"/>
  <c r="S506" i="209"/>
  <c r="M566" i="209"/>
  <c r="F28" i="84"/>
  <c r="G21" i="44"/>
  <c r="E21" i="330"/>
  <c r="F21" i="247"/>
  <c r="G21" i="248"/>
  <c r="K58" i="164"/>
  <c r="I31" i="164"/>
  <c r="H21" i="186"/>
  <c r="G35" i="184"/>
  <c r="F35" i="103"/>
  <c r="E21" i="84"/>
  <c r="H21" i="226"/>
  <c r="H21" i="212"/>
  <c r="F562" i="209"/>
  <c r="M382" i="209"/>
  <c r="M406" i="209"/>
  <c r="M447" i="209"/>
  <c r="M449" i="209"/>
  <c r="S469" i="209"/>
  <c r="S466" i="209"/>
  <c r="M498" i="209"/>
  <c r="M503" i="209"/>
  <c r="M596" i="209"/>
  <c r="Q597" i="209"/>
  <c r="P16" i="241"/>
  <c r="H21" i="172"/>
  <c r="F45" i="359"/>
  <c r="K150" i="246" s="1"/>
  <c r="F18" i="359"/>
  <c r="F40" i="359" s="1"/>
  <c r="K88" i="246" s="1"/>
  <c r="Q646" i="246"/>
  <c r="K708" i="246"/>
  <c r="F44" i="359"/>
  <c r="Q88" i="246" s="1"/>
  <c r="H25" i="308"/>
  <c r="H39" i="308" s="1"/>
  <c r="S60" i="246" s="1"/>
  <c r="H43" i="191"/>
  <c r="S345" i="246"/>
  <c r="I591" i="246"/>
  <c r="I529" i="246"/>
  <c r="D48" i="104"/>
  <c r="L20" i="359" s="1"/>
  <c r="O405" i="246"/>
  <c r="S278" i="246"/>
  <c r="S339" i="246"/>
  <c r="K711" i="246"/>
  <c r="S275" i="246"/>
  <c r="O25" i="84"/>
  <c r="F16" i="84"/>
  <c r="D13" i="84"/>
  <c r="H43" i="72"/>
  <c r="M548" i="246"/>
  <c r="F33" i="173"/>
  <c r="S448" i="209"/>
  <c r="S508" i="209"/>
  <c r="G11" i="79"/>
  <c r="L639" i="209" s="1"/>
  <c r="J655" i="246"/>
  <c r="C24" i="328"/>
  <c r="D11" i="315"/>
  <c r="D45" i="315" s="1"/>
  <c r="W33" i="315" s="1"/>
  <c r="H23" i="223"/>
  <c r="H37" i="223" s="1"/>
  <c r="S208" i="246" s="1"/>
  <c r="C28" i="328"/>
  <c r="D11" i="279"/>
  <c r="D44" i="279" s="1"/>
  <c r="O97" i="246" s="1"/>
  <c r="G11" i="10"/>
  <c r="L675" i="209" s="1"/>
  <c r="H27" i="326"/>
  <c r="H41" i="326" s="1"/>
  <c r="P13" i="325" s="1"/>
  <c r="M578" i="209"/>
  <c r="M338" i="209"/>
  <c r="M458" i="209"/>
  <c r="M339" i="209"/>
  <c r="S700" i="209"/>
  <c r="M556" i="209"/>
  <c r="S375" i="209"/>
  <c r="H47" i="362"/>
  <c r="I673" i="246"/>
  <c r="D45" i="183"/>
  <c r="I177" i="246" s="1"/>
  <c r="O673" i="246"/>
  <c r="H43" i="270"/>
  <c r="S358" i="246"/>
  <c r="S357" i="246"/>
  <c r="S356" i="246"/>
  <c r="J726" i="246"/>
  <c r="E46" i="188"/>
  <c r="P664" i="246"/>
  <c r="J664" i="246"/>
  <c r="G44" i="194"/>
  <c r="R102" i="246" s="1"/>
  <c r="H43" i="139"/>
  <c r="L456" i="246"/>
  <c r="R394" i="246"/>
  <c r="L580" i="246"/>
  <c r="R580" i="246"/>
  <c r="G48" i="223"/>
  <c r="D12" i="231"/>
  <c r="O746" i="246" s="1"/>
  <c r="H43" i="315"/>
  <c r="M408" i="209"/>
  <c r="S468" i="209"/>
  <c r="M527" i="209"/>
  <c r="J707" i="209"/>
  <c r="M26" i="353"/>
  <c r="E43" i="353" s="1"/>
  <c r="E47" i="353" s="1"/>
  <c r="P167" i="209" s="1"/>
  <c r="S345" i="209"/>
  <c r="F28" i="228"/>
  <c r="E31" i="228"/>
  <c r="H29" i="225"/>
  <c r="H47" i="225" s="1"/>
  <c r="P19" i="356" s="1"/>
  <c r="K350" i="209"/>
  <c r="F16" i="228"/>
  <c r="H43" i="162"/>
  <c r="C30" i="173"/>
  <c r="G30" i="228"/>
  <c r="H43" i="215"/>
  <c r="S266" i="209"/>
  <c r="D11" i="118"/>
  <c r="D46" i="118" s="1"/>
  <c r="G11" i="97"/>
  <c r="G44" i="97" s="1"/>
  <c r="R89" i="246" s="1"/>
  <c r="D16" i="173"/>
  <c r="Q343" i="246"/>
  <c r="L26" i="347"/>
  <c r="D43" i="347" s="1"/>
  <c r="D47" i="347" s="1"/>
  <c r="O172" i="209" s="1"/>
  <c r="F44" i="118"/>
  <c r="Q92" i="246" s="1"/>
  <c r="D11" i="101"/>
  <c r="O651" i="246" s="1"/>
  <c r="I712" i="209"/>
  <c r="G11" i="347"/>
  <c r="F11" i="97"/>
  <c r="F45" i="97" s="1"/>
  <c r="K151" i="246" s="1"/>
  <c r="D11" i="6"/>
  <c r="D45" i="6" s="1"/>
  <c r="I138" i="209" s="1"/>
  <c r="G11" i="333"/>
  <c r="G44" i="333" s="1"/>
  <c r="U42" i="294" s="1"/>
  <c r="R641" i="246"/>
  <c r="D46" i="347"/>
  <c r="F11" i="333"/>
  <c r="N26" i="333" s="1"/>
  <c r="F43" i="333" s="1"/>
  <c r="F47" i="333" s="1"/>
  <c r="T61" i="294" s="1"/>
  <c r="E11" i="347"/>
  <c r="D30" i="184"/>
  <c r="O621" i="246" s="1"/>
  <c r="P18" i="190"/>
  <c r="Q472" i="246"/>
  <c r="D18" i="347"/>
  <c r="I652" i="209"/>
  <c r="E11" i="118"/>
  <c r="J712" i="246" s="1"/>
  <c r="E11" i="333"/>
  <c r="E44" i="333" s="1"/>
  <c r="S42" i="294" s="1"/>
  <c r="U20" i="246"/>
  <c r="U82" i="246" s="1"/>
  <c r="U144" i="246" s="1"/>
  <c r="U206" i="246" s="1"/>
  <c r="U268" i="246" s="1"/>
  <c r="U330" i="246" s="1"/>
  <c r="U392" i="246" s="1"/>
  <c r="U454" i="246" s="1"/>
  <c r="U516" i="246" s="1"/>
  <c r="U578" i="246" s="1"/>
  <c r="U640" i="246" s="1"/>
  <c r="U702" i="246" s="1"/>
  <c r="G11" i="118"/>
  <c r="L712" i="246" s="1"/>
  <c r="M396" i="209"/>
  <c r="M374" i="209"/>
  <c r="S369" i="209"/>
  <c r="M432" i="209"/>
  <c r="M495" i="209"/>
  <c r="M369" i="209"/>
  <c r="F23" i="309"/>
  <c r="H43" i="313"/>
  <c r="C26" i="184"/>
  <c r="S573" i="246"/>
  <c r="F17" i="170"/>
  <c r="D16" i="231"/>
  <c r="S291" i="246"/>
  <c r="M405" i="209"/>
  <c r="P450" i="209"/>
  <c r="H26" i="212"/>
  <c r="H40" i="212" s="1"/>
  <c r="M90" i="209" s="1"/>
  <c r="E46" i="165"/>
  <c r="P637" i="246"/>
  <c r="M26" i="165"/>
  <c r="E43" i="165" s="1"/>
  <c r="E47" i="165" s="1"/>
  <c r="P141" i="246" s="1"/>
  <c r="J699" i="246"/>
  <c r="I357" i="209"/>
  <c r="G28" i="173"/>
  <c r="G29" i="184"/>
  <c r="P23" i="186"/>
  <c r="T15" i="340"/>
  <c r="G45" i="289"/>
  <c r="P50" i="294" s="1"/>
  <c r="F18" i="202"/>
  <c r="F37" i="202" s="1"/>
  <c r="Q205" i="246" s="1"/>
  <c r="F46" i="202"/>
  <c r="S290" i="246"/>
  <c r="G18" i="289"/>
  <c r="G37" i="289" s="1"/>
  <c r="K31" i="294" s="1"/>
  <c r="Q639" i="246"/>
  <c r="H26" i="225"/>
  <c r="H40" i="225" s="1"/>
  <c r="P12" i="345" s="1"/>
  <c r="X47" i="70"/>
  <c r="V12" i="33"/>
  <c r="F15" i="103"/>
  <c r="M446" i="209"/>
  <c r="M448" i="209"/>
  <c r="S717" i="246"/>
  <c r="D48" i="212"/>
  <c r="E48" i="223"/>
  <c r="C27" i="171"/>
  <c r="G24" i="171"/>
  <c r="M23" i="18"/>
  <c r="M23" i="58"/>
  <c r="F21" i="39"/>
  <c r="N23" i="39" s="1"/>
  <c r="O23" i="247"/>
  <c r="P23" i="250"/>
  <c r="F82" i="209"/>
  <c r="T14" i="29"/>
  <c r="K639" i="246"/>
  <c r="H37" i="194"/>
  <c r="S226" i="246" s="1"/>
  <c r="E35" i="44"/>
  <c r="H35" i="18"/>
  <c r="H35" i="58"/>
  <c r="M23" i="247"/>
  <c r="N23" i="250"/>
  <c r="H65" i="164"/>
  <c r="K31" i="164"/>
  <c r="J9" i="164"/>
  <c r="F35" i="186"/>
  <c r="F21" i="184"/>
  <c r="H21" i="103"/>
  <c r="E21" i="104"/>
  <c r="N23" i="171"/>
  <c r="H21" i="223"/>
  <c r="N23" i="309"/>
  <c r="H21" i="324"/>
  <c r="K701" i="246"/>
  <c r="R21" i="340"/>
  <c r="R23" i="340" s="1"/>
  <c r="J30" i="340" s="1"/>
  <c r="M345" i="209"/>
  <c r="S352" i="209"/>
  <c r="P23" i="290"/>
  <c r="G35" i="95"/>
  <c r="G35" i="360"/>
  <c r="H43" i="4"/>
  <c r="M353" i="246"/>
  <c r="S326" i="209"/>
  <c r="S348" i="209"/>
  <c r="O357" i="209"/>
  <c r="D113" i="246"/>
  <c r="D175" i="246" s="1"/>
  <c r="D237" i="246" s="1"/>
  <c r="D299" i="246" s="1"/>
  <c r="D361" i="246" s="1"/>
  <c r="D423" i="246" s="1"/>
  <c r="D485" i="246" s="1"/>
  <c r="D547" i="246" s="1"/>
  <c r="D609" i="246" s="1"/>
  <c r="D671" i="246" s="1"/>
  <c r="D733" i="246" s="1"/>
  <c r="D795" i="246" s="1"/>
  <c r="M638" i="209"/>
  <c r="S354" i="246"/>
  <c r="P444" i="209"/>
  <c r="O26" i="39"/>
  <c r="G45" i="39"/>
  <c r="L161" i="209" s="1"/>
  <c r="L701" i="209"/>
  <c r="D98" i="209"/>
  <c r="D158" i="209" s="1"/>
  <c r="D218" i="209" s="1"/>
  <c r="D278" i="209" s="1"/>
  <c r="D338" i="209" s="1"/>
  <c r="D398" i="209" s="1"/>
  <c r="D458" i="209" s="1"/>
  <c r="D518" i="209" s="1"/>
  <c r="D578" i="209" s="1"/>
  <c r="D638" i="209" s="1"/>
  <c r="D698" i="209" s="1"/>
  <c r="D758" i="209" s="1"/>
  <c r="P126" i="294"/>
  <c r="S263" i="246"/>
  <c r="O122" i="294"/>
  <c r="G46" i="289"/>
  <c r="G46" i="189"/>
  <c r="L660" i="246"/>
  <c r="D74" i="209"/>
  <c r="D134" i="209" s="1"/>
  <c r="D194" i="209" s="1"/>
  <c r="D254" i="209" s="1"/>
  <c r="D314" i="209" s="1"/>
  <c r="D374" i="209" s="1"/>
  <c r="D434" i="209" s="1"/>
  <c r="D494" i="209" s="1"/>
  <c r="D554" i="209" s="1"/>
  <c r="D614" i="209" s="1"/>
  <c r="D674" i="209" s="1"/>
  <c r="D734" i="209" s="1"/>
  <c r="G11" i="325"/>
  <c r="G18" i="325" s="1"/>
  <c r="D13" i="228"/>
  <c r="C31" i="84"/>
  <c r="F45" i="324"/>
  <c r="O46" i="294" s="1"/>
  <c r="G45" i="194"/>
  <c r="L164" i="246" s="1"/>
  <c r="D11" i="39"/>
  <c r="G11" i="337"/>
  <c r="G44" i="337" s="1"/>
  <c r="R100" i="209" s="1"/>
  <c r="F46" i="324"/>
  <c r="L722" i="246"/>
  <c r="Q613" i="209"/>
  <c r="U29" i="209"/>
  <c r="U89" i="209" s="1"/>
  <c r="U149" i="209" s="1"/>
  <c r="U209" i="209" s="1"/>
  <c r="U269" i="209" s="1"/>
  <c r="U329" i="209" s="1"/>
  <c r="U389" i="209" s="1"/>
  <c r="U449" i="209" s="1"/>
  <c r="U509" i="209" s="1"/>
  <c r="U569" i="209" s="1"/>
  <c r="U629" i="209" s="1"/>
  <c r="U689" i="209" s="1"/>
  <c r="U749" i="209" s="1"/>
  <c r="N26" i="324"/>
  <c r="F43" i="324" s="1"/>
  <c r="F47" i="324" s="1"/>
  <c r="T46" i="294" s="1"/>
  <c r="E16" i="84"/>
  <c r="F44" i="324"/>
  <c r="T27" i="294" s="1"/>
  <c r="F11" i="345"/>
  <c r="F46" i="345" s="1"/>
  <c r="F29" i="84"/>
  <c r="F7" i="16"/>
  <c r="U28" i="209"/>
  <c r="U88" i="209" s="1"/>
  <c r="U148" i="209" s="1"/>
  <c r="U208" i="209" s="1"/>
  <c r="U268" i="209" s="1"/>
  <c r="U328" i="209" s="1"/>
  <c r="U388" i="209" s="1"/>
  <c r="U448" i="209" s="1"/>
  <c r="U508" i="209" s="1"/>
  <c r="U568" i="209" s="1"/>
  <c r="U628" i="209" s="1"/>
  <c r="U688" i="209" s="1"/>
  <c r="U748" i="209" s="1"/>
  <c r="D88" i="209"/>
  <c r="D148" i="209" s="1"/>
  <c r="D208" i="209" s="1"/>
  <c r="D268" i="209" s="1"/>
  <c r="D328" i="209" s="1"/>
  <c r="D388" i="209" s="1"/>
  <c r="D448" i="209" s="1"/>
  <c r="D508" i="209" s="1"/>
  <c r="D568" i="209" s="1"/>
  <c r="D628" i="209" s="1"/>
  <c r="D688" i="209" s="1"/>
  <c r="D748" i="209" s="1"/>
  <c r="F21" i="362"/>
  <c r="N23" i="362" s="1"/>
  <c r="F353" i="209"/>
  <c r="M23" i="326"/>
  <c r="O23" i="44"/>
  <c r="N23" i="18"/>
  <c r="M23" i="330"/>
  <c r="P23" i="247"/>
  <c r="O23" i="248"/>
  <c r="O23" i="250"/>
  <c r="O7" i="6"/>
  <c r="O29" i="296"/>
  <c r="N23" i="186"/>
  <c r="G21" i="338"/>
  <c r="O23" i="338" s="1"/>
  <c r="G35" i="324"/>
  <c r="H7" i="160"/>
  <c r="G18" i="39"/>
  <c r="F15" i="139"/>
  <c r="F15" i="223" s="1"/>
  <c r="D5" i="192"/>
  <c r="D7" i="192" s="1"/>
  <c r="G35" i="192"/>
  <c r="M23" i="44"/>
  <c r="N23" i="291"/>
  <c r="N23" i="247"/>
  <c r="M23" i="248"/>
  <c r="M23" i="250"/>
  <c r="P23" i="185"/>
  <c r="G44" i="39"/>
  <c r="R101" i="209" s="1"/>
  <c r="F714" i="209"/>
  <c r="F294" i="209"/>
  <c r="F354" i="209"/>
  <c r="L20" i="156"/>
  <c r="L20" i="284"/>
  <c r="O23" i="212"/>
  <c r="O23" i="104"/>
  <c r="M23" i="308"/>
  <c r="P23" i="291"/>
  <c r="O23" i="326"/>
  <c r="F430" i="246"/>
  <c r="F306" i="246"/>
  <c r="P23" i="58"/>
  <c r="G7" i="203"/>
  <c r="F7" i="203"/>
  <c r="P7" i="4"/>
  <c r="P23" i="103"/>
  <c r="E7" i="214"/>
  <c r="F21" i="214"/>
  <c r="N23" i="214" s="1"/>
  <c r="E21" i="173"/>
  <c r="F35" i="225"/>
  <c r="F35" i="226"/>
  <c r="E21" i="172"/>
  <c r="E21" i="184"/>
  <c r="F21" i="185"/>
  <c r="H9" i="164"/>
  <c r="H31" i="164"/>
  <c r="H58" i="164"/>
  <c r="G35" i="250"/>
  <c r="F35" i="248"/>
  <c r="F21" i="58"/>
  <c r="F21" i="330"/>
  <c r="F35" i="18"/>
  <c r="F35" i="44"/>
  <c r="G46" i="39"/>
  <c r="G7" i="289"/>
  <c r="G35" i="289"/>
  <c r="F21" i="195"/>
  <c r="N23" i="195" s="1"/>
  <c r="L641" i="209"/>
  <c r="F15" i="156"/>
  <c r="F15" i="185" s="1"/>
  <c r="H21" i="326"/>
  <c r="P23" i="330"/>
  <c r="O23" i="58"/>
  <c r="P23" i="326"/>
  <c r="P23" i="18"/>
  <c r="O23" i="330"/>
  <c r="N23" i="58"/>
  <c r="E21" i="250"/>
  <c r="H7" i="16"/>
  <c r="F35" i="160"/>
  <c r="G14" i="14"/>
  <c r="R641" i="209"/>
  <c r="O26" i="289"/>
  <c r="G43" i="289" s="1"/>
  <c r="G47" i="289" s="1"/>
  <c r="U50" i="294" s="1"/>
  <c r="M381" i="209"/>
  <c r="M383" i="209"/>
  <c r="M386" i="209"/>
  <c r="M387" i="209"/>
  <c r="M389" i="209"/>
  <c r="S408" i="209"/>
  <c r="S404" i="209"/>
  <c r="S409" i="209"/>
  <c r="S406" i="209"/>
  <c r="S413" i="209"/>
  <c r="S416" i="209"/>
  <c r="C25" i="171"/>
  <c r="C33" i="171"/>
  <c r="H44" i="291"/>
  <c r="P16" i="290" s="1"/>
  <c r="S465" i="209"/>
  <c r="S454" i="209"/>
  <c r="S460" i="209"/>
  <c r="F48" i="326"/>
  <c r="N20" i="325" s="1"/>
  <c r="M504" i="246"/>
  <c r="S575" i="209"/>
  <c r="S578" i="209"/>
  <c r="S579" i="209"/>
  <c r="S713" i="246"/>
  <c r="G16" i="170"/>
  <c r="D16" i="170"/>
  <c r="S537" i="246"/>
  <c r="S464" i="209"/>
  <c r="M557" i="209"/>
  <c r="S548" i="209"/>
  <c r="S256" i="246"/>
  <c r="E23" i="84"/>
  <c r="H28" i="103"/>
  <c r="H42" i="103" s="1"/>
  <c r="P14" i="270" s="1"/>
  <c r="S360" i="246"/>
  <c r="N25" i="231"/>
  <c r="G24" i="231"/>
  <c r="C28" i="231"/>
  <c r="F29" i="231"/>
  <c r="E13" i="173"/>
  <c r="M388" i="209"/>
  <c r="G11" i="360"/>
  <c r="G45" i="360" s="1"/>
  <c r="P59" i="294" s="1"/>
  <c r="F113" i="209"/>
  <c r="L25" i="173"/>
  <c r="E18" i="190"/>
  <c r="E42" i="190" s="1"/>
  <c r="J261" i="246" s="1"/>
  <c r="D27" i="328"/>
  <c r="D11" i="125"/>
  <c r="AA27" i="292"/>
  <c r="M26" i="190"/>
  <c r="E43" i="190" s="1"/>
  <c r="E47" i="190" s="1"/>
  <c r="P137" i="246" s="1"/>
  <c r="G23" i="328"/>
  <c r="E11" i="125"/>
  <c r="P613" i="209" s="1"/>
  <c r="F33" i="328"/>
  <c r="E23" i="328"/>
  <c r="F45" i="125"/>
  <c r="K133" i="209" s="1"/>
  <c r="P699" i="209"/>
  <c r="E28" i="328"/>
  <c r="F46" i="125"/>
  <c r="F13" i="328"/>
  <c r="R702" i="209"/>
  <c r="K673" i="209"/>
  <c r="G11" i="125"/>
  <c r="G46" i="125" s="1"/>
  <c r="E44" i="337"/>
  <c r="P100" i="209" s="1"/>
  <c r="M26" i="337"/>
  <c r="E18" i="337"/>
  <c r="E40" i="337" s="1"/>
  <c r="J100" i="209" s="1"/>
  <c r="P640" i="209"/>
  <c r="J640" i="209"/>
  <c r="J700" i="209"/>
  <c r="E46" i="337"/>
  <c r="E45" i="337"/>
  <c r="J160" i="209" s="1"/>
  <c r="R12" i="37"/>
  <c r="R13" i="37" s="1"/>
  <c r="M29" i="296"/>
  <c r="F35" i="178"/>
  <c r="F7" i="192"/>
  <c r="P7" i="99"/>
  <c r="F7" i="95"/>
  <c r="L5" i="141"/>
  <c r="L7" i="141" s="1"/>
  <c r="F35" i="15"/>
  <c r="H35" i="16"/>
  <c r="F21" i="293"/>
  <c r="N23" i="293" s="1"/>
  <c r="G35" i="160"/>
  <c r="F21" i="170"/>
  <c r="M501" i="209"/>
  <c r="S502" i="209"/>
  <c r="H28" i="247"/>
  <c r="H42" i="247" s="1"/>
  <c r="P14" i="213" s="1"/>
  <c r="H24" i="291"/>
  <c r="J17" i="292" s="1"/>
  <c r="N21" i="49"/>
  <c r="G7" i="178"/>
  <c r="E7" i="192"/>
  <c r="M7" i="99"/>
  <c r="H7" i="72"/>
  <c r="O7" i="220"/>
  <c r="F35" i="349"/>
  <c r="G21" i="16"/>
  <c r="O23" i="16" s="1"/>
  <c r="N7" i="293"/>
  <c r="S368" i="209"/>
  <c r="S374" i="209"/>
  <c r="S377" i="209"/>
  <c r="M395" i="209"/>
  <c r="M407" i="209"/>
  <c r="M394" i="209"/>
  <c r="M397" i="209"/>
  <c r="M457" i="209"/>
  <c r="S488" i="209"/>
  <c r="S492" i="209"/>
  <c r="S493" i="209"/>
  <c r="S494" i="209"/>
  <c r="S713" i="209"/>
  <c r="S714" i="209"/>
  <c r="H29" i="247"/>
  <c r="H29" i="248"/>
  <c r="H30" i="212"/>
  <c r="K20" i="292" s="1"/>
  <c r="D14" i="184"/>
  <c r="J13" i="32"/>
  <c r="J16" i="32" s="1"/>
  <c r="H24" i="104"/>
  <c r="J27" i="292" s="1"/>
  <c r="J590" i="209"/>
  <c r="G31" i="228"/>
  <c r="G35" i="44"/>
  <c r="F35" i="291"/>
  <c r="F35" i="6"/>
  <c r="F21" i="334"/>
  <c r="N23" i="334" s="1"/>
  <c r="H21" i="353"/>
  <c r="P23" i="353" s="1"/>
  <c r="H35" i="192"/>
  <c r="P7" i="356"/>
  <c r="H35" i="212"/>
  <c r="M7" i="220"/>
  <c r="F21" i="16"/>
  <c r="N23" i="16" s="1"/>
  <c r="M7" i="293"/>
  <c r="R17" i="37"/>
  <c r="H24" i="326"/>
  <c r="J12" i="292" s="1"/>
  <c r="G35" i="330"/>
  <c r="P7" i="213"/>
  <c r="N7" i="295"/>
  <c r="M7" i="334"/>
  <c r="O7" i="307"/>
  <c r="N7" i="356"/>
  <c r="Q570" i="209"/>
  <c r="O7" i="290"/>
  <c r="H21" i="192"/>
  <c r="P23" i="192" s="1"/>
  <c r="L5" i="219"/>
  <c r="L7" i="219" s="1"/>
  <c r="N29" i="360"/>
  <c r="H21" i="289"/>
  <c r="P23" i="289" s="1"/>
  <c r="F7" i="126"/>
  <c r="P29" i="288"/>
  <c r="M373" i="209"/>
  <c r="M488" i="209"/>
  <c r="M496" i="209"/>
  <c r="M593" i="209"/>
  <c r="S594" i="209"/>
  <c r="H25" i="291"/>
  <c r="H39" i="291" s="1"/>
  <c r="O25" i="170"/>
  <c r="M7" i="191"/>
  <c r="F21" i="192"/>
  <c r="N23" i="192" s="1"/>
  <c r="P7" i="313"/>
  <c r="H21" i="184"/>
  <c r="D5" i="16"/>
  <c r="D7" i="16" s="1"/>
  <c r="D11" i="188"/>
  <c r="D46" i="188" s="1"/>
  <c r="E21" i="192"/>
  <c r="M23" i="192" s="1"/>
  <c r="G21" i="99"/>
  <c r="O23" i="99" s="1"/>
  <c r="F21" i="103"/>
  <c r="S387" i="209"/>
  <c r="S388" i="209"/>
  <c r="S389" i="209"/>
  <c r="M429" i="209"/>
  <c r="M435" i="209"/>
  <c r="M438" i="209"/>
  <c r="S441" i="209"/>
  <c r="M509" i="209"/>
  <c r="S528" i="209"/>
  <c r="S529" i="209"/>
  <c r="M534" i="209"/>
  <c r="S567" i="209"/>
  <c r="S568" i="209"/>
  <c r="M588" i="209"/>
  <c r="M580" i="209"/>
  <c r="M584" i="209"/>
  <c r="M589" i="209"/>
  <c r="M586" i="209"/>
  <c r="M576" i="209"/>
  <c r="M592" i="209"/>
  <c r="S681" i="209"/>
  <c r="S682" i="209"/>
  <c r="S712" i="209"/>
  <c r="M447" i="246"/>
  <c r="M452" i="246"/>
  <c r="M463" i="246"/>
  <c r="S741" i="246"/>
  <c r="O297" i="209"/>
  <c r="D48" i="326"/>
  <c r="L20" i="324" s="1"/>
  <c r="S457" i="209"/>
  <c r="M313" i="209"/>
  <c r="M497" i="209"/>
  <c r="S248" i="209"/>
  <c r="M428" i="209"/>
  <c r="M398" i="246"/>
  <c r="M460" i="246"/>
  <c r="P370" i="246"/>
  <c r="D48" i="308"/>
  <c r="L20" i="307" s="1"/>
  <c r="D16" i="172"/>
  <c r="F39" i="271"/>
  <c r="Q29" i="246" s="1"/>
  <c r="K773" i="246"/>
  <c r="F41" i="271"/>
  <c r="K215" i="246" s="1"/>
  <c r="E24" i="84"/>
  <c r="F27" i="84"/>
  <c r="E32" i="84"/>
  <c r="P529" i="246"/>
  <c r="D16" i="84"/>
  <c r="F25" i="172"/>
  <c r="C28" i="170"/>
  <c r="E26" i="231"/>
  <c r="O25" i="231"/>
  <c r="C26" i="171"/>
  <c r="D29" i="171"/>
  <c r="G30" i="171"/>
  <c r="S265" i="246"/>
  <c r="D27" i="171"/>
  <c r="O25" i="171"/>
  <c r="E17" i="231"/>
  <c r="O25" i="228"/>
  <c r="S347" i="209"/>
  <c r="M585" i="209"/>
  <c r="G26" i="228"/>
  <c r="F29" i="228"/>
  <c r="K694" i="209"/>
  <c r="N26" i="338"/>
  <c r="Q754" i="209" s="1"/>
  <c r="F18" i="338"/>
  <c r="F41" i="338" s="1"/>
  <c r="K214" i="209" s="1"/>
  <c r="F45" i="338"/>
  <c r="K154" i="209" s="1"/>
  <c r="F44" i="338"/>
  <c r="Q94" i="209" s="1"/>
  <c r="F24" i="228"/>
  <c r="D22" i="292" s="1"/>
  <c r="D20" i="292"/>
  <c r="H46" i="212"/>
  <c r="G31" i="173"/>
  <c r="H31" i="212"/>
  <c r="H45" i="212" s="1"/>
  <c r="M150" i="209" s="1"/>
  <c r="E12" i="171"/>
  <c r="P706" i="246" s="1"/>
  <c r="L671" i="246"/>
  <c r="G45" i="203"/>
  <c r="L175" i="246" s="1"/>
  <c r="L733" i="246"/>
  <c r="G44" i="203"/>
  <c r="R113" i="246" s="1"/>
  <c r="D11" i="296"/>
  <c r="L26" i="296" s="1"/>
  <c r="D43" i="296" s="1"/>
  <c r="D47" i="296" s="1"/>
  <c r="R56" i="294" s="1"/>
  <c r="F11" i="296"/>
  <c r="O132" i="294" s="1"/>
  <c r="F12" i="228"/>
  <c r="E18" i="220"/>
  <c r="E45" i="220"/>
  <c r="J174" i="209" s="1"/>
  <c r="D115" i="246"/>
  <c r="D177" i="246" s="1"/>
  <c r="D239" i="246" s="1"/>
  <c r="D301" i="246" s="1"/>
  <c r="D363" i="246" s="1"/>
  <c r="D425" i="246" s="1"/>
  <c r="D487" i="246" s="1"/>
  <c r="D549" i="246" s="1"/>
  <c r="D611" i="246" s="1"/>
  <c r="D673" i="246" s="1"/>
  <c r="D735" i="246" s="1"/>
  <c r="D797" i="246" s="1"/>
  <c r="D11" i="220"/>
  <c r="F11" i="220"/>
  <c r="G11" i="220"/>
  <c r="G18" i="220" s="1"/>
  <c r="G40" i="220" s="1"/>
  <c r="L114" i="209" s="1"/>
  <c r="E46" i="279"/>
  <c r="E45" i="279"/>
  <c r="J159" i="246" s="1"/>
  <c r="P655" i="246"/>
  <c r="M26" i="279"/>
  <c r="E43" i="279" s="1"/>
  <c r="E47" i="279" s="1"/>
  <c r="P159" i="246" s="1"/>
  <c r="E18" i="279"/>
  <c r="E42" i="279" s="1"/>
  <c r="J283" i="246" s="1"/>
  <c r="E11" i="315"/>
  <c r="J704" i="209" s="1"/>
  <c r="F11" i="315"/>
  <c r="F46" i="315" s="1"/>
  <c r="O720" i="246"/>
  <c r="D12" i="172"/>
  <c r="O738" i="246" s="1"/>
  <c r="I394" i="246"/>
  <c r="D23" i="231"/>
  <c r="G45" i="362"/>
  <c r="P57" i="294" s="1"/>
  <c r="D97" i="246"/>
  <c r="D159" i="246" s="1"/>
  <c r="D221" i="246" s="1"/>
  <c r="D283" i="246" s="1"/>
  <c r="D345" i="246" s="1"/>
  <c r="D407" i="246" s="1"/>
  <c r="D469" i="246" s="1"/>
  <c r="D531" i="246" s="1"/>
  <c r="D593" i="246" s="1"/>
  <c r="D655" i="246" s="1"/>
  <c r="D717" i="246" s="1"/>
  <c r="D779" i="246" s="1"/>
  <c r="U35" i="246"/>
  <c r="U97" i="246" s="1"/>
  <c r="U159" i="246" s="1"/>
  <c r="U221" i="246" s="1"/>
  <c r="U283" i="246" s="1"/>
  <c r="U345" i="246" s="1"/>
  <c r="U407" i="246" s="1"/>
  <c r="U469" i="246" s="1"/>
  <c r="U531" i="246" s="1"/>
  <c r="U593" i="246" s="1"/>
  <c r="U655" i="246" s="1"/>
  <c r="U717" i="246" s="1"/>
  <c r="F11" i="355"/>
  <c r="N26" i="355" s="1"/>
  <c r="F43" i="355" s="1"/>
  <c r="F47" i="355" s="1"/>
  <c r="E11" i="355"/>
  <c r="E45" i="355" s="1"/>
  <c r="D11" i="355"/>
  <c r="G11" i="355"/>
  <c r="C32" i="228"/>
  <c r="P26" i="292"/>
  <c r="L688" i="209"/>
  <c r="G46" i="162"/>
  <c r="G44" i="162"/>
  <c r="R88" i="209" s="1"/>
  <c r="G45" i="162"/>
  <c r="L148" i="209" s="1"/>
  <c r="O26" i="162"/>
  <c r="G44" i="344"/>
  <c r="O26" i="344"/>
  <c r="G43" i="344" s="1"/>
  <c r="G47" i="344" s="1"/>
  <c r="D44" i="16"/>
  <c r="O68" i="209" s="1"/>
  <c r="D18" i="16"/>
  <c r="D40" i="16" s="1"/>
  <c r="I68" i="209" s="1"/>
  <c r="P690" i="209"/>
  <c r="E12" i="173"/>
  <c r="F11" i="16"/>
  <c r="F46" i="16" s="1"/>
  <c r="G11" i="16"/>
  <c r="G18" i="16" s="1"/>
  <c r="R628" i="209"/>
  <c r="F46" i="295"/>
  <c r="D31" i="309"/>
  <c r="D48" i="309" s="1"/>
  <c r="L20" i="308" s="1"/>
  <c r="J510" i="209"/>
  <c r="K343" i="246"/>
  <c r="F29" i="170"/>
  <c r="E45" i="190"/>
  <c r="J137" i="246" s="1"/>
  <c r="E44" i="190"/>
  <c r="P75" i="246" s="1"/>
  <c r="J695" i="246"/>
  <c r="J633" i="246"/>
  <c r="P633" i="246"/>
  <c r="H30" i="103"/>
  <c r="F533" i="209"/>
  <c r="F473" i="209"/>
  <c r="F713" i="209"/>
  <c r="F413" i="209"/>
  <c r="F653" i="209"/>
  <c r="F173" i="209"/>
  <c r="F293" i="209"/>
  <c r="F773" i="209"/>
  <c r="P133" i="294"/>
  <c r="O26" i="362"/>
  <c r="G43" i="362" s="1"/>
  <c r="G47" i="362" s="1"/>
  <c r="U57" i="294" s="1"/>
  <c r="G46" i="362"/>
  <c r="G44" i="362"/>
  <c r="U38" i="294" s="1"/>
  <c r="F11" i="176"/>
  <c r="F18" i="176" s="1"/>
  <c r="D11" i="176"/>
  <c r="D46" i="176" s="1"/>
  <c r="Q742" i="246"/>
  <c r="F12" i="309"/>
  <c r="O518" i="246"/>
  <c r="I518" i="246"/>
  <c r="O394" i="246"/>
  <c r="D25" i="173"/>
  <c r="D352" i="209"/>
  <c r="U292" i="209"/>
  <c r="L330" i="209"/>
  <c r="L628" i="209"/>
  <c r="D68" i="209"/>
  <c r="D128" i="209" s="1"/>
  <c r="D188" i="209" s="1"/>
  <c r="D248" i="209" s="1"/>
  <c r="D308" i="209" s="1"/>
  <c r="D368" i="209" s="1"/>
  <c r="D428" i="209" s="1"/>
  <c r="D488" i="209" s="1"/>
  <c r="D548" i="209" s="1"/>
  <c r="D608" i="209" s="1"/>
  <c r="D668" i="209" s="1"/>
  <c r="D728" i="209" s="1"/>
  <c r="K330" i="209"/>
  <c r="E24" i="228"/>
  <c r="H29" i="103"/>
  <c r="U29" i="246"/>
  <c r="U91" i="246" s="1"/>
  <c r="U153" i="246" s="1"/>
  <c r="U215" i="246" s="1"/>
  <c r="U277" i="246" s="1"/>
  <c r="U339" i="246" s="1"/>
  <c r="U401" i="246" s="1"/>
  <c r="U463" i="246" s="1"/>
  <c r="U525" i="246" s="1"/>
  <c r="U587" i="246" s="1"/>
  <c r="U649" i="246" s="1"/>
  <c r="U711" i="246" s="1"/>
  <c r="Q616" i="209"/>
  <c r="F46" i="9"/>
  <c r="F45" i="9"/>
  <c r="K136" i="209" s="1"/>
  <c r="G45" i="344"/>
  <c r="G46" i="344"/>
  <c r="F44" i="9"/>
  <c r="Q76" i="209" s="1"/>
  <c r="G46" i="203"/>
  <c r="Q510" i="209"/>
  <c r="J410" i="209"/>
  <c r="D11" i="7"/>
  <c r="E11" i="7"/>
  <c r="E44" i="7" s="1"/>
  <c r="P77" i="209" s="1"/>
  <c r="E11" i="6"/>
  <c r="J618" i="209" s="1"/>
  <c r="F11" i="6"/>
  <c r="K678" i="209" s="1"/>
  <c r="I534" i="246"/>
  <c r="D25" i="184"/>
  <c r="C25" i="309"/>
  <c r="O370" i="246"/>
  <c r="F27" i="231"/>
  <c r="J41" i="36"/>
  <c r="N41" i="36" s="1"/>
  <c r="R41" i="36" s="1"/>
  <c r="J40" i="36"/>
  <c r="N40" i="36" s="1"/>
  <c r="R40" i="36" s="1"/>
  <c r="C27" i="292"/>
  <c r="K405" i="246"/>
  <c r="K529" i="246"/>
  <c r="Q405" i="246"/>
  <c r="F31" i="84"/>
  <c r="G28" i="292" s="1"/>
  <c r="F48" i="104"/>
  <c r="N20" i="118" s="1"/>
  <c r="G27" i="292"/>
  <c r="K591" i="246"/>
  <c r="E17" i="84"/>
  <c r="C24" i="84"/>
  <c r="F25" i="84"/>
  <c r="E30" i="84"/>
  <c r="D29" i="84"/>
  <c r="D11" i="338"/>
  <c r="E11" i="338"/>
  <c r="G11" i="338"/>
  <c r="G45" i="338" s="1"/>
  <c r="L154" i="209" s="1"/>
  <c r="E11" i="344"/>
  <c r="D11" i="344"/>
  <c r="D45" i="344" s="1"/>
  <c r="E32" i="171"/>
  <c r="R671" i="246"/>
  <c r="D23" i="171"/>
  <c r="O570" i="209"/>
  <c r="D12" i="170"/>
  <c r="E11" i="16"/>
  <c r="F11" i="344"/>
  <c r="F45" i="344" s="1"/>
  <c r="M17" i="241"/>
  <c r="E44" i="241"/>
  <c r="P116" i="209" s="1"/>
  <c r="K695" i="209"/>
  <c r="F45" i="123"/>
  <c r="K155" i="209" s="1"/>
  <c r="N26" i="123"/>
  <c r="F43" i="123" s="1"/>
  <c r="F47" i="123" s="1"/>
  <c r="Q155" i="209" s="1"/>
  <c r="F44" i="123"/>
  <c r="Q95" i="209" s="1"/>
  <c r="F11" i="4"/>
  <c r="G11" i="4"/>
  <c r="Q637" i="209"/>
  <c r="F44" i="196"/>
  <c r="Q97" i="209" s="1"/>
  <c r="K697" i="209"/>
  <c r="F44" i="271"/>
  <c r="Q91" i="246" s="1"/>
  <c r="F46" i="271"/>
  <c r="F45" i="271"/>
  <c r="K153" i="246" s="1"/>
  <c r="N26" i="271"/>
  <c r="F43" i="271" s="1"/>
  <c r="F47" i="271" s="1"/>
  <c r="Q153" i="246" s="1"/>
  <c r="Q649" i="246"/>
  <c r="K518" i="246"/>
  <c r="D15" i="84"/>
  <c r="D17" i="228"/>
  <c r="F27" i="173"/>
  <c r="E32" i="228"/>
  <c r="M25" i="84"/>
  <c r="G17" i="84"/>
  <c r="G30" i="84"/>
  <c r="C26" i="84"/>
  <c r="F17" i="228"/>
  <c r="E29" i="84"/>
  <c r="R590" i="209"/>
  <c r="E12" i="228"/>
  <c r="P722" i="209" s="1"/>
  <c r="F35" i="183"/>
  <c r="G21" i="250"/>
  <c r="G21" i="91"/>
  <c r="O23" i="91" s="1"/>
  <c r="E35" i="9"/>
  <c r="H7" i="11"/>
  <c r="M29" i="324"/>
  <c r="F35" i="347"/>
  <c r="H35" i="288"/>
  <c r="M7" i="359"/>
  <c r="P647" i="209"/>
  <c r="O684" i="209"/>
  <c r="O444" i="209"/>
  <c r="P384" i="209"/>
  <c r="P264" i="209"/>
  <c r="P504" i="209"/>
  <c r="J444" i="209"/>
  <c r="Q264" i="209"/>
  <c r="H26" i="247"/>
  <c r="H40" i="247" s="1"/>
  <c r="L444" i="209"/>
  <c r="AA15" i="292"/>
  <c r="H46" i="247"/>
  <c r="P18" i="213" s="1"/>
  <c r="H32" i="247"/>
  <c r="M624" i="209" s="1"/>
  <c r="R717" i="209"/>
  <c r="S717" i="209" s="1"/>
  <c r="R477" i="209"/>
  <c r="S477" i="209" s="1"/>
  <c r="P417" i="209"/>
  <c r="P297" i="209"/>
  <c r="J417" i="209"/>
  <c r="Q297" i="209"/>
  <c r="N20" i="37"/>
  <c r="R20" i="37" s="1"/>
  <c r="T20" i="37" s="1"/>
  <c r="J21" i="37"/>
  <c r="R12" i="340"/>
  <c r="T12" i="340" s="1"/>
  <c r="N19" i="340"/>
  <c r="T12" i="49"/>
  <c r="R16" i="49"/>
  <c r="Q678" i="209"/>
  <c r="D24" i="328"/>
  <c r="G17" i="328"/>
  <c r="P678" i="209"/>
  <c r="C33" i="328"/>
  <c r="F25" i="328"/>
  <c r="F11" i="292"/>
  <c r="O699" i="209"/>
  <c r="D30" i="18"/>
  <c r="D30" i="327" s="1"/>
  <c r="G11" i="292"/>
  <c r="E26" i="328"/>
  <c r="D25" i="328"/>
  <c r="O678" i="209"/>
  <c r="C27" i="328"/>
  <c r="R699" i="209"/>
  <c r="G27" i="328"/>
  <c r="G28" i="328"/>
  <c r="R678" i="209"/>
  <c r="K342" i="209"/>
  <c r="D33" i="328"/>
  <c r="Q699" i="209"/>
  <c r="H43" i="359"/>
  <c r="H47" i="359"/>
  <c r="S150" i="246" s="1"/>
  <c r="G21" i="292"/>
  <c r="F48" i="225"/>
  <c r="N20" i="345" s="1"/>
  <c r="F21" i="11"/>
  <c r="N23" i="11" s="1"/>
  <c r="N7" i="359"/>
  <c r="E7" i="190"/>
  <c r="H35" i="291"/>
  <c r="L5" i="6"/>
  <c r="L7" i="6" s="1"/>
  <c r="P7" i="91"/>
  <c r="H21" i="9"/>
  <c r="P23" i="9" s="1"/>
  <c r="G21" i="296"/>
  <c r="O23" i="296" s="1"/>
  <c r="G7" i="11"/>
  <c r="F35" i="162"/>
  <c r="H21" i="347"/>
  <c r="P23" i="347" s="1"/>
  <c r="J647" i="209"/>
  <c r="D45" i="4"/>
  <c r="I131" i="209" s="1"/>
  <c r="E38" i="213"/>
  <c r="J23" i="209" s="1"/>
  <c r="E42" i="213"/>
  <c r="J263" i="209" s="1"/>
  <c r="E40" i="213"/>
  <c r="J83" i="209" s="1"/>
  <c r="E41" i="213"/>
  <c r="J203" i="209" s="1"/>
  <c r="E39" i="213"/>
  <c r="P23" i="209" s="1"/>
  <c r="J743" i="209"/>
  <c r="H37" i="7"/>
  <c r="S197" i="209" s="1"/>
  <c r="S257" i="209"/>
  <c r="H37" i="6"/>
  <c r="S198" i="209" s="1"/>
  <c r="S258" i="209"/>
  <c r="H39" i="337"/>
  <c r="S40" i="209" s="1"/>
  <c r="S340" i="209"/>
  <c r="H47" i="101"/>
  <c r="S155" i="246" s="1"/>
  <c r="H43" i="101"/>
  <c r="H38" i="190"/>
  <c r="M13" i="246" s="1"/>
  <c r="M323" i="246"/>
  <c r="H38" i="39"/>
  <c r="M41" i="209" s="1"/>
  <c r="M341" i="209"/>
  <c r="D46" i="213"/>
  <c r="I683" i="209"/>
  <c r="M683" i="209" s="1"/>
  <c r="O623" i="209"/>
  <c r="D18" i="213"/>
  <c r="D39" i="213" s="1"/>
  <c r="O23" i="209" s="1"/>
  <c r="I623" i="209"/>
  <c r="L26" i="213"/>
  <c r="D44" i="213"/>
  <c r="O83" i="209" s="1"/>
  <c r="D45" i="213"/>
  <c r="I143" i="209" s="1"/>
  <c r="H38" i="183"/>
  <c r="M53" i="246" s="1"/>
  <c r="M363" i="246"/>
  <c r="G67" i="164"/>
  <c r="G68" i="164"/>
  <c r="N11" i="124"/>
  <c r="R11" i="124" s="1"/>
  <c r="T11" i="124" s="1"/>
  <c r="J13" i="124"/>
  <c r="J16" i="124" s="1"/>
  <c r="J19" i="124" s="1"/>
  <c r="N14" i="100"/>
  <c r="N18" i="100" s="1"/>
  <c r="J18" i="100"/>
  <c r="J21" i="100" s="1"/>
  <c r="R11" i="28"/>
  <c r="R13" i="28" s="1"/>
  <c r="R17" i="28" s="1"/>
  <c r="N13" i="28"/>
  <c r="N24" i="28"/>
  <c r="J27" i="28"/>
  <c r="J13" i="30"/>
  <c r="N12" i="30"/>
  <c r="R16" i="34"/>
  <c r="R17" i="34" s="1"/>
  <c r="N17" i="34"/>
  <c r="N12" i="80"/>
  <c r="R12" i="80" s="1"/>
  <c r="T12" i="80" s="1"/>
  <c r="J15" i="80"/>
  <c r="J21" i="80" s="1"/>
  <c r="N23" i="36"/>
  <c r="R23" i="36" s="1"/>
  <c r="T23" i="36" s="1"/>
  <c r="J24" i="36"/>
  <c r="H35" i="347"/>
  <c r="E35" i="284"/>
  <c r="M7" i="91"/>
  <c r="F21" i="9"/>
  <c r="N23" i="9" s="1"/>
  <c r="M7" i="296"/>
  <c r="H35" i="11"/>
  <c r="F7" i="11"/>
  <c r="G21" i="162"/>
  <c r="O23" i="162" s="1"/>
  <c r="P7" i="139"/>
  <c r="G35" i="13"/>
  <c r="H21" i="95"/>
  <c r="P23" i="95" s="1"/>
  <c r="O7" i="354"/>
  <c r="E35" i="308"/>
  <c r="P35" i="325"/>
  <c r="E21" i="338"/>
  <c r="M23" i="338" s="1"/>
  <c r="E21" i="324"/>
  <c r="F21" i="349"/>
  <c r="N23" i="349" s="1"/>
  <c r="G35" i="126"/>
  <c r="E35" i="160"/>
  <c r="P7" i="214"/>
  <c r="M7" i="347"/>
  <c r="N7" i="288"/>
  <c r="G35" i="165"/>
  <c r="I611" i="209"/>
  <c r="E18" i="353"/>
  <c r="E42" i="353" s="1"/>
  <c r="J287" i="209" s="1"/>
  <c r="F183" i="246"/>
  <c r="E14" i="185"/>
  <c r="F14" i="156"/>
  <c r="H39" i="203"/>
  <c r="S51" i="246" s="1"/>
  <c r="S361" i="246"/>
  <c r="H37" i="9"/>
  <c r="S196" i="209" s="1"/>
  <c r="S256" i="209"/>
  <c r="F14" i="191"/>
  <c r="G14" i="191" s="1"/>
  <c r="G18" i="191" s="1"/>
  <c r="G42" i="191" s="1"/>
  <c r="L285" i="246" s="1"/>
  <c r="E18" i="191"/>
  <c r="E41" i="191" s="1"/>
  <c r="J223" i="246" s="1"/>
  <c r="H39" i="91"/>
  <c r="S8" i="246" s="1"/>
  <c r="S318" i="246"/>
  <c r="H47" i="105"/>
  <c r="S142" i="209" s="1"/>
  <c r="H43" i="105"/>
  <c r="R17" i="161"/>
  <c r="T17" i="161" s="1"/>
  <c r="N19" i="161"/>
  <c r="D46" i="4"/>
  <c r="I671" i="209"/>
  <c r="G21" i="18"/>
  <c r="N7" i="105"/>
  <c r="E7" i="91"/>
  <c r="E7" i="10"/>
  <c r="H7" i="9"/>
  <c r="G35" i="11"/>
  <c r="E7" i="11"/>
  <c r="H35" i="333"/>
  <c r="F21" i="162"/>
  <c r="N23" i="162" s="1"/>
  <c r="F21" i="97"/>
  <c r="N23" i="97" s="1"/>
  <c r="D5" i="72"/>
  <c r="D7" i="72" s="1"/>
  <c r="P23" i="325"/>
  <c r="G35" i="361"/>
  <c r="F21" i="355"/>
  <c r="N23" i="355" s="1"/>
  <c r="F7" i="324"/>
  <c r="F21" i="202"/>
  <c r="N23" i="202" s="1"/>
  <c r="H21" i="16"/>
  <c r="P23" i="16" s="1"/>
  <c r="P29" i="293"/>
  <c r="F21" i="126"/>
  <c r="N23" i="126" s="1"/>
  <c r="H21" i="160"/>
  <c r="P23" i="160" s="1"/>
  <c r="M7" i="214"/>
  <c r="G7" i="347"/>
  <c r="H7" i="288"/>
  <c r="G35" i="187"/>
  <c r="E21" i="165"/>
  <c r="M23" i="165" s="1"/>
  <c r="L26" i="4"/>
  <c r="O731" i="209" s="1"/>
  <c r="E44" i="353"/>
  <c r="P107" i="209" s="1"/>
  <c r="O611" i="209"/>
  <c r="R11" i="32"/>
  <c r="N13" i="32"/>
  <c r="H39" i="241"/>
  <c r="S56" i="209" s="1"/>
  <c r="S356" i="209"/>
  <c r="H46" i="241"/>
  <c r="S656" i="209" s="1"/>
  <c r="M656" i="209"/>
  <c r="D11" i="15"/>
  <c r="D44" i="15" s="1"/>
  <c r="O69" i="209" s="1"/>
  <c r="F11" i="15"/>
  <c r="F46" i="15" s="1"/>
  <c r="H39" i="123"/>
  <c r="S35" i="209" s="1"/>
  <c r="S335" i="209"/>
  <c r="H37" i="315"/>
  <c r="S224" i="209" s="1"/>
  <c r="S284" i="209"/>
  <c r="H47" i="137"/>
  <c r="S171" i="246" s="1"/>
  <c r="H43" i="137"/>
  <c r="H37" i="72"/>
  <c r="S216" i="209" s="1"/>
  <c r="S276" i="209"/>
  <c r="H39" i="189"/>
  <c r="S49" i="246" s="1"/>
  <c r="S359" i="246"/>
  <c r="E15" i="186"/>
  <c r="E15" i="184" s="1"/>
  <c r="F15" i="95"/>
  <c r="H47" i="154"/>
  <c r="S158" i="209" s="1"/>
  <c r="H43" i="154"/>
  <c r="H38" i="196"/>
  <c r="M37" i="209" s="1"/>
  <c r="M337" i="209"/>
  <c r="H38" i="353"/>
  <c r="M47" i="209" s="1"/>
  <c r="M347" i="209"/>
  <c r="H37" i="162"/>
  <c r="S208" i="209" s="1"/>
  <c r="S268" i="209"/>
  <c r="H38" i="334"/>
  <c r="M27" i="209" s="1"/>
  <c r="M327" i="209"/>
  <c r="H27" i="291"/>
  <c r="H41" i="291" s="1"/>
  <c r="E48" i="291"/>
  <c r="M20" i="289" s="1"/>
  <c r="G12" i="228"/>
  <c r="R722" i="209" s="1"/>
  <c r="R690" i="209"/>
  <c r="E23" i="228"/>
  <c r="J390" i="209"/>
  <c r="C25" i="173"/>
  <c r="C25" i="228"/>
  <c r="G33" i="173"/>
  <c r="G33" i="228"/>
  <c r="H33" i="212"/>
  <c r="C35" i="292"/>
  <c r="K394" i="246"/>
  <c r="D5" i="296"/>
  <c r="D35" i="296" s="1"/>
  <c r="F35" i="11"/>
  <c r="G21" i="333"/>
  <c r="O23" i="333" s="1"/>
  <c r="H7" i="162"/>
  <c r="N29" i="290"/>
  <c r="E35" i="353"/>
  <c r="E35" i="362"/>
  <c r="E21" i="361"/>
  <c r="E7" i="355"/>
  <c r="E7" i="324"/>
  <c r="O29" i="293"/>
  <c r="G21" i="160"/>
  <c r="O23" i="160" s="1"/>
  <c r="H7" i="214"/>
  <c r="H7" i="187"/>
  <c r="E45" i="353"/>
  <c r="J167" i="209" s="1"/>
  <c r="F46" i="338"/>
  <c r="Q634" i="209"/>
  <c r="K634" i="209"/>
  <c r="P654" i="209"/>
  <c r="E44" i="220"/>
  <c r="P114" i="209" s="1"/>
  <c r="J654" i="209"/>
  <c r="J714" i="209"/>
  <c r="M26" i="220"/>
  <c r="E46" i="220"/>
  <c r="N20" i="221"/>
  <c r="N20" i="347"/>
  <c r="H38" i="160"/>
  <c r="M41" i="246" s="1"/>
  <c r="M351" i="246"/>
  <c r="H43" i="126"/>
  <c r="H47" i="126"/>
  <c r="S166" i="246" s="1"/>
  <c r="F11" i="289"/>
  <c r="E11" i="289"/>
  <c r="E46" i="289" s="1"/>
  <c r="H38" i="221"/>
  <c r="M53" i="209" s="1"/>
  <c r="M353" i="209"/>
  <c r="H37" i="220"/>
  <c r="S234" i="209" s="1"/>
  <c r="S294" i="209"/>
  <c r="K672" i="209"/>
  <c r="Q612" i="209"/>
  <c r="H37" i="347"/>
  <c r="S232" i="209" s="1"/>
  <c r="S292" i="209"/>
  <c r="P11" i="241"/>
  <c r="E35" i="11"/>
  <c r="F21" i="337"/>
  <c r="N23" i="337" s="1"/>
  <c r="P7" i="6"/>
  <c r="G35" i="296"/>
  <c r="G21" i="203"/>
  <c r="O23" i="203" s="1"/>
  <c r="H21" i="11"/>
  <c r="P23" i="11" s="1"/>
  <c r="N7" i="344"/>
  <c r="M7" i="333"/>
  <c r="D5" i="162"/>
  <c r="D35" i="162" s="1"/>
  <c r="N23" i="290"/>
  <c r="E21" i="353"/>
  <c r="M23" i="353" s="1"/>
  <c r="F7" i="4"/>
  <c r="H7" i="362"/>
  <c r="F35" i="189"/>
  <c r="L5" i="313"/>
  <c r="L7" i="313" s="1"/>
  <c r="M7" i="315"/>
  <c r="H21" i="104"/>
  <c r="G21" i="84"/>
  <c r="G7" i="15"/>
  <c r="N7" i="241"/>
  <c r="F7" i="221"/>
  <c r="N29" i="289"/>
  <c r="P23" i="229"/>
  <c r="P7" i="359"/>
  <c r="L5" i="359"/>
  <c r="L7" i="359" s="1"/>
  <c r="O8" i="294"/>
  <c r="H46" i="248"/>
  <c r="P18" i="364" s="1"/>
  <c r="L597" i="209"/>
  <c r="G48" i="248"/>
  <c r="O20" i="364" s="1"/>
  <c r="H31" i="248"/>
  <c r="H45" i="248" s="1"/>
  <c r="J537" i="209"/>
  <c r="P9" i="241"/>
  <c r="F42" i="324"/>
  <c r="O65" i="294" s="1"/>
  <c r="F261" i="209"/>
  <c r="F141" i="209"/>
  <c r="F245" i="246"/>
  <c r="F617" i="246"/>
  <c r="F741" i="246"/>
  <c r="F369" i="246"/>
  <c r="F555" i="246"/>
  <c r="F679" i="246"/>
  <c r="F121" i="246"/>
  <c r="F803" i="246"/>
  <c r="F493" i="246"/>
  <c r="F431" i="246"/>
  <c r="F307" i="246"/>
  <c r="U18" i="209"/>
  <c r="U78" i="209" s="1"/>
  <c r="U138" i="209" s="1"/>
  <c r="U198" i="209" s="1"/>
  <c r="U258" i="209" s="1"/>
  <c r="U318" i="209" s="1"/>
  <c r="U378" i="209" s="1"/>
  <c r="U438" i="209" s="1"/>
  <c r="U498" i="209" s="1"/>
  <c r="U558" i="209" s="1"/>
  <c r="U618" i="209" s="1"/>
  <c r="U678" i="209" s="1"/>
  <c r="U738" i="209" s="1"/>
  <c r="D78" i="209"/>
  <c r="D138" i="209" s="1"/>
  <c r="D198" i="209" s="1"/>
  <c r="D258" i="209" s="1"/>
  <c r="D318" i="209" s="1"/>
  <c r="D378" i="209" s="1"/>
  <c r="D438" i="209" s="1"/>
  <c r="D498" i="209" s="1"/>
  <c r="D558" i="209" s="1"/>
  <c r="D618" i="209" s="1"/>
  <c r="D678" i="209" s="1"/>
  <c r="D738" i="209" s="1"/>
  <c r="D86" i="209"/>
  <c r="D146" i="209" s="1"/>
  <c r="D206" i="209" s="1"/>
  <c r="D266" i="209" s="1"/>
  <c r="D326" i="209" s="1"/>
  <c r="D386" i="209" s="1"/>
  <c r="D446" i="209" s="1"/>
  <c r="D506" i="209" s="1"/>
  <c r="D566" i="209" s="1"/>
  <c r="D626" i="209" s="1"/>
  <c r="D686" i="209" s="1"/>
  <c r="D746" i="209" s="1"/>
  <c r="U26" i="209"/>
  <c r="U86" i="209" s="1"/>
  <c r="U146" i="209" s="1"/>
  <c r="U206" i="209" s="1"/>
  <c r="U266" i="209" s="1"/>
  <c r="U326" i="209" s="1"/>
  <c r="U386" i="209" s="1"/>
  <c r="U446" i="209" s="1"/>
  <c r="U506" i="209" s="1"/>
  <c r="U566" i="209" s="1"/>
  <c r="U626" i="209" s="1"/>
  <c r="U686" i="209" s="1"/>
  <c r="U746" i="209" s="1"/>
  <c r="U37" i="209"/>
  <c r="U97" i="209" s="1"/>
  <c r="U157" i="209" s="1"/>
  <c r="U217" i="209" s="1"/>
  <c r="U277" i="209" s="1"/>
  <c r="U337" i="209" s="1"/>
  <c r="U397" i="209" s="1"/>
  <c r="U457" i="209" s="1"/>
  <c r="U517" i="209" s="1"/>
  <c r="U577" i="209" s="1"/>
  <c r="U637" i="209" s="1"/>
  <c r="U697" i="209" s="1"/>
  <c r="U757" i="209" s="1"/>
  <c r="D97" i="209"/>
  <c r="D157" i="209" s="1"/>
  <c r="D217" i="209" s="1"/>
  <c r="D277" i="209" s="1"/>
  <c r="D337" i="209" s="1"/>
  <c r="D397" i="209" s="1"/>
  <c r="D457" i="209" s="1"/>
  <c r="D517" i="209" s="1"/>
  <c r="D577" i="209" s="1"/>
  <c r="D637" i="209" s="1"/>
  <c r="D697" i="209" s="1"/>
  <c r="D757" i="209" s="1"/>
  <c r="P597" i="209"/>
  <c r="J477" i="209"/>
  <c r="M437" i="209"/>
  <c r="M469" i="209"/>
  <c r="S501" i="209"/>
  <c r="S503" i="209"/>
  <c r="M442" i="209"/>
  <c r="S443" i="209"/>
  <c r="S533" i="209"/>
  <c r="S536" i="209"/>
  <c r="S552" i="209"/>
  <c r="S556" i="209"/>
  <c r="S557" i="209"/>
  <c r="S558" i="209"/>
  <c r="S561" i="209"/>
  <c r="S563" i="209"/>
  <c r="M574" i="209"/>
  <c r="H23" i="247"/>
  <c r="R597" i="209"/>
  <c r="S597" i="209" s="1"/>
  <c r="D31" i="173"/>
  <c r="H23" i="326"/>
  <c r="H37" i="326" s="1"/>
  <c r="H46" i="326"/>
  <c r="P18" i="324" s="1"/>
  <c r="E27" i="170"/>
  <c r="M433" i="209"/>
  <c r="S435" i="209"/>
  <c r="S449" i="209"/>
  <c r="S585" i="209"/>
  <c r="S588" i="209"/>
  <c r="S584" i="209"/>
  <c r="S589" i="209"/>
  <c r="S586" i="209"/>
  <c r="S576" i="209"/>
  <c r="S592" i="209"/>
  <c r="S554" i="246"/>
  <c r="M368" i="209"/>
  <c r="M376" i="209"/>
  <c r="S401" i="209"/>
  <c r="S405" i="209"/>
  <c r="S400" i="209"/>
  <c r="S397" i="209"/>
  <c r="M549" i="209"/>
  <c r="M550" i="209"/>
  <c r="S431" i="246"/>
  <c r="S732" i="246"/>
  <c r="O302" i="246"/>
  <c r="L364" i="246"/>
  <c r="M436" i="209"/>
  <c r="S562" i="209"/>
  <c r="M563" i="209"/>
  <c r="M380" i="246"/>
  <c r="M386" i="246"/>
  <c r="M390" i="246"/>
  <c r="M393" i="246"/>
  <c r="M399" i="246"/>
  <c r="M402" i="246"/>
  <c r="M403" i="246"/>
  <c r="M408" i="246"/>
  <c r="M409" i="246"/>
  <c r="M416" i="246"/>
  <c r="M418" i="246"/>
  <c r="M423" i="246"/>
  <c r="M424" i="246"/>
  <c r="S492" i="246"/>
  <c r="M493" i="246"/>
  <c r="S570" i="246"/>
  <c r="S572" i="246"/>
  <c r="S576" i="246"/>
  <c r="S579" i="246"/>
  <c r="S588" i="246"/>
  <c r="S589" i="246"/>
  <c r="S590" i="246"/>
  <c r="S593" i="246"/>
  <c r="S594" i="246"/>
  <c r="S595" i="246"/>
  <c r="S598" i="246"/>
  <c r="S604" i="246"/>
  <c r="S610" i="246"/>
  <c r="E14" i="186"/>
  <c r="E23" i="18"/>
  <c r="E23" i="327" s="1"/>
  <c r="H28" i="326"/>
  <c r="H42" i="326" s="1"/>
  <c r="P14" i="324" s="1"/>
  <c r="E23" i="170"/>
  <c r="C25" i="170"/>
  <c r="D28" i="170"/>
  <c r="E31" i="170"/>
  <c r="C33" i="170"/>
  <c r="S524" i="246"/>
  <c r="R488" i="246"/>
  <c r="S574" i="209"/>
  <c r="S580" i="209"/>
  <c r="P17" i="325"/>
  <c r="S399" i="209"/>
  <c r="S433" i="209"/>
  <c r="S553" i="209"/>
  <c r="M377" i="209"/>
  <c r="S555" i="209"/>
  <c r="S371" i="209"/>
  <c r="S311" i="209"/>
  <c r="S551" i="209"/>
  <c r="M308" i="209"/>
  <c r="M522" i="246"/>
  <c r="P618" i="246"/>
  <c r="S368" i="246"/>
  <c r="M383" i="246"/>
  <c r="E26" i="84"/>
  <c r="H33" i="104"/>
  <c r="P405" i="246"/>
  <c r="O488" i="246"/>
  <c r="E31" i="231"/>
  <c r="G29" i="231"/>
  <c r="G33" i="231"/>
  <c r="E12" i="231"/>
  <c r="P746" i="246" s="1"/>
  <c r="M417" i="246"/>
  <c r="S603" i="246"/>
  <c r="G33" i="170"/>
  <c r="F26" i="231"/>
  <c r="F37" i="292" s="1"/>
  <c r="H43" i="204"/>
  <c r="C29" i="231"/>
  <c r="J612" i="246"/>
  <c r="P302" i="246"/>
  <c r="G29" i="170"/>
  <c r="H26" i="223"/>
  <c r="H40" i="223" s="1"/>
  <c r="M84" i="246" s="1"/>
  <c r="E27" i="231"/>
  <c r="D25" i="171"/>
  <c r="C30" i="171"/>
  <c r="G27" i="231"/>
  <c r="F32" i="231"/>
  <c r="E16" i="171"/>
  <c r="E13" i="171"/>
  <c r="D26" i="170"/>
  <c r="C23" i="228"/>
  <c r="C27" i="173"/>
  <c r="M506" i="209"/>
  <c r="E28" i="173"/>
  <c r="E28" i="228"/>
  <c r="C29" i="228"/>
  <c r="D11" i="216"/>
  <c r="E11" i="216"/>
  <c r="E44" i="216" s="1"/>
  <c r="P89" i="209" s="1"/>
  <c r="R350" i="209"/>
  <c r="F25" i="228"/>
  <c r="G11" i="216"/>
  <c r="O26" i="216" s="1"/>
  <c r="D31" i="18"/>
  <c r="R669" i="246"/>
  <c r="C29" i="170"/>
  <c r="F656" i="209"/>
  <c r="R450" i="209"/>
  <c r="F17" i="18"/>
  <c r="O674" i="209"/>
  <c r="P25" i="225"/>
  <c r="L25" i="228"/>
  <c r="H13" i="164"/>
  <c r="H20" i="164" s="1"/>
  <c r="I13" i="164"/>
  <c r="I20" i="164" s="1"/>
  <c r="I35" i="164" s="1"/>
  <c r="K96" i="209" s="1"/>
  <c r="G13" i="164"/>
  <c r="G20" i="164" s="1"/>
  <c r="P257" i="246"/>
  <c r="Q257" i="246"/>
  <c r="C28" i="171"/>
  <c r="C28" i="84"/>
  <c r="F29" i="171"/>
  <c r="F48" i="103"/>
  <c r="E31" i="84"/>
  <c r="E13" i="231"/>
  <c r="E13" i="170"/>
  <c r="H24" i="226"/>
  <c r="M364" i="246" s="1"/>
  <c r="I426" i="246"/>
  <c r="D24" i="231"/>
  <c r="G25" i="170"/>
  <c r="L550" i="246"/>
  <c r="D46" i="354"/>
  <c r="D18" i="354"/>
  <c r="D39" i="354" s="1"/>
  <c r="D45" i="354"/>
  <c r="F11" i="215"/>
  <c r="F18" i="215" s="1"/>
  <c r="D11" i="215"/>
  <c r="G11" i="215"/>
  <c r="L686" i="209" s="1"/>
  <c r="E11" i="215"/>
  <c r="J626" i="209" s="1"/>
  <c r="K648" i="209"/>
  <c r="F45" i="178"/>
  <c r="K168" i="209" s="1"/>
  <c r="P720" i="246"/>
  <c r="E12" i="184"/>
  <c r="P745" i="246" s="1"/>
  <c r="F25" i="309"/>
  <c r="Q432" i="246"/>
  <c r="E48" i="308"/>
  <c r="M20" i="307" s="1"/>
  <c r="E31" i="309"/>
  <c r="E48" i="309" s="1"/>
  <c r="M20" i="308" s="1"/>
  <c r="P715" i="246"/>
  <c r="E12" i="84"/>
  <c r="P744" i="246" s="1"/>
  <c r="H25" i="225"/>
  <c r="H39" i="225" s="1"/>
  <c r="P11" i="356" s="1"/>
  <c r="P467" i="246"/>
  <c r="F45" i="101"/>
  <c r="K155" i="246" s="1"/>
  <c r="O11" i="294"/>
  <c r="J11" i="294"/>
  <c r="F41" i="288"/>
  <c r="J68" i="294" s="1"/>
  <c r="F37" i="288"/>
  <c r="J30" i="294" s="1"/>
  <c r="F40" i="288"/>
  <c r="J49" i="294" s="1"/>
  <c r="G45" i="189"/>
  <c r="L173" i="246" s="1"/>
  <c r="K637" i="209"/>
  <c r="F38" i="288"/>
  <c r="T11" i="294" s="1"/>
  <c r="F44" i="101"/>
  <c r="Q93" i="246" s="1"/>
  <c r="F25" i="184"/>
  <c r="E48" i="226"/>
  <c r="J34" i="36"/>
  <c r="N32" i="36"/>
  <c r="F802" i="246"/>
  <c r="F182" i="246"/>
  <c r="F616" i="246"/>
  <c r="F740" i="246"/>
  <c r="F120" i="246"/>
  <c r="F58" i="246"/>
  <c r="F554" i="246"/>
  <c r="F11" i="216"/>
  <c r="F18" i="216" s="1"/>
  <c r="N20" i="292"/>
  <c r="Q690" i="209"/>
  <c r="Q674" i="209"/>
  <c r="P674" i="209"/>
  <c r="R674" i="209"/>
  <c r="E17" i="18"/>
  <c r="E17" i="327" s="1"/>
  <c r="E16" i="18"/>
  <c r="E16" i="327" s="1"/>
  <c r="D12" i="18"/>
  <c r="D12" i="327" s="1"/>
  <c r="O692" i="209" s="1"/>
  <c r="C27" i="18"/>
  <c r="C27" i="327" s="1"/>
  <c r="F23" i="18"/>
  <c r="C10" i="292" s="1"/>
  <c r="E27" i="18"/>
  <c r="E27" i="327" s="1"/>
  <c r="D23" i="18"/>
  <c r="G30" i="18"/>
  <c r="G30" i="327" s="1"/>
  <c r="C24" i="18"/>
  <c r="F24" i="18"/>
  <c r="F24" i="327" s="1"/>
  <c r="E33" i="18"/>
  <c r="J405" i="246"/>
  <c r="Q281" i="246"/>
  <c r="J467" i="246"/>
  <c r="P281" i="246"/>
  <c r="J591" i="246"/>
  <c r="P591" i="246"/>
  <c r="E28" i="171"/>
  <c r="E28" i="84"/>
  <c r="G44" i="139"/>
  <c r="R83" i="246" s="1"/>
  <c r="F176" i="209"/>
  <c r="F716" i="209"/>
  <c r="F416" i="209"/>
  <c r="G45" i="139"/>
  <c r="L145" i="246" s="1"/>
  <c r="O350" i="209"/>
  <c r="R742" i="246"/>
  <c r="S742" i="246" s="1"/>
  <c r="K676" i="209"/>
  <c r="N26" i="9"/>
  <c r="K616" i="209"/>
  <c r="E48" i="104"/>
  <c r="M20" i="354" s="1"/>
  <c r="E24" i="18"/>
  <c r="D11" i="293"/>
  <c r="E11" i="293"/>
  <c r="G11" i="293"/>
  <c r="G11" i="349"/>
  <c r="G45" i="349" s="1"/>
  <c r="P54" i="294" s="1"/>
  <c r="F11" i="349"/>
  <c r="F45" i="349" s="1"/>
  <c r="O54" i="294" s="1"/>
  <c r="D11" i="349"/>
  <c r="E11" i="349"/>
  <c r="G11" i="219"/>
  <c r="E11" i="219"/>
  <c r="F11" i="219"/>
  <c r="D11" i="79"/>
  <c r="D44" i="79" s="1"/>
  <c r="O99" i="209" s="1"/>
  <c r="E11" i="79"/>
  <c r="P639" i="209" s="1"/>
  <c r="F11" i="79"/>
  <c r="D11" i="295"/>
  <c r="G11" i="295"/>
  <c r="G46" i="295" s="1"/>
  <c r="E11" i="295"/>
  <c r="K450" i="209"/>
  <c r="K390" i="209"/>
  <c r="D25" i="228"/>
  <c r="I570" i="209"/>
  <c r="D29" i="228"/>
  <c r="D29" i="173"/>
  <c r="AA20" i="292"/>
  <c r="R570" i="209"/>
  <c r="M25" i="172"/>
  <c r="D33" i="184"/>
  <c r="I556" i="246"/>
  <c r="L394" i="246"/>
  <c r="G23" i="171"/>
  <c r="H25" i="223"/>
  <c r="G25" i="231"/>
  <c r="L518" i="246"/>
  <c r="AA35" i="292"/>
  <c r="G32" i="231"/>
  <c r="G32" i="173"/>
  <c r="G27" i="84"/>
  <c r="H27" i="104"/>
  <c r="H41" i="104" s="1"/>
  <c r="P13" i="271" s="1"/>
  <c r="E11" i="360"/>
  <c r="F11" i="360"/>
  <c r="P470" i="209"/>
  <c r="E12" i="170"/>
  <c r="P710" i="209"/>
  <c r="C21" i="292"/>
  <c r="Q290" i="209"/>
  <c r="F11" i="307"/>
  <c r="N26" i="307" s="1"/>
  <c r="G11" i="307"/>
  <c r="D11" i="307"/>
  <c r="L26" i="307" s="1"/>
  <c r="E11" i="307"/>
  <c r="P678" i="246" s="1"/>
  <c r="F11" i="105"/>
  <c r="F46" i="105" s="1"/>
  <c r="D11" i="105"/>
  <c r="I622" i="209" s="1"/>
  <c r="E31" i="184"/>
  <c r="P621" i="246" s="1"/>
  <c r="E31" i="172"/>
  <c r="D33" i="171"/>
  <c r="D33" i="84"/>
  <c r="D44" i="354"/>
  <c r="N26" i="295"/>
  <c r="F43" i="295" s="1"/>
  <c r="F47" i="295" s="1"/>
  <c r="T55" i="294" s="1"/>
  <c r="F18" i="295"/>
  <c r="G11" i="101"/>
  <c r="R651" i="246" s="1"/>
  <c r="F45" i="295"/>
  <c r="O55" i="294" s="1"/>
  <c r="K530" i="209"/>
  <c r="D26" i="231"/>
  <c r="J450" i="209"/>
  <c r="K713" i="246"/>
  <c r="E18" i="165"/>
  <c r="J761" i="246" s="1"/>
  <c r="E44" i="165"/>
  <c r="P79" i="246" s="1"/>
  <c r="E45" i="165"/>
  <c r="J141" i="246" s="1"/>
  <c r="J637" i="246"/>
  <c r="D92" i="246"/>
  <c r="D154" i="246" s="1"/>
  <c r="D216" i="246" s="1"/>
  <c r="D278" i="246" s="1"/>
  <c r="D340" i="246" s="1"/>
  <c r="D402" i="246" s="1"/>
  <c r="D464" i="246" s="1"/>
  <c r="D526" i="246" s="1"/>
  <c r="D588" i="246" s="1"/>
  <c r="D650" i="246" s="1"/>
  <c r="D712" i="246" s="1"/>
  <c r="D774" i="246" s="1"/>
  <c r="U30" i="246"/>
  <c r="U92" i="246" s="1"/>
  <c r="U154" i="246" s="1"/>
  <c r="U216" i="246" s="1"/>
  <c r="U278" i="246" s="1"/>
  <c r="U340" i="246" s="1"/>
  <c r="U402" i="246" s="1"/>
  <c r="U464" i="246" s="1"/>
  <c r="U526" i="246" s="1"/>
  <c r="U588" i="246" s="1"/>
  <c r="U650" i="246" s="1"/>
  <c r="U712" i="246" s="1"/>
  <c r="D104" i="246"/>
  <c r="D166" i="246" s="1"/>
  <c r="D228" i="246" s="1"/>
  <c r="D290" i="246" s="1"/>
  <c r="D352" i="246" s="1"/>
  <c r="D414" i="246" s="1"/>
  <c r="D476" i="246" s="1"/>
  <c r="D538" i="246" s="1"/>
  <c r="D600" i="246" s="1"/>
  <c r="D662" i="246" s="1"/>
  <c r="D724" i="246" s="1"/>
  <c r="D786" i="246" s="1"/>
  <c r="U42" i="246"/>
  <c r="U104" i="246" s="1"/>
  <c r="U166" i="246" s="1"/>
  <c r="U228" i="246" s="1"/>
  <c r="U290" i="246" s="1"/>
  <c r="U352" i="246" s="1"/>
  <c r="U414" i="246" s="1"/>
  <c r="U476" i="246" s="1"/>
  <c r="U538" i="246" s="1"/>
  <c r="U600" i="246" s="1"/>
  <c r="U662" i="246" s="1"/>
  <c r="U724" i="246" s="1"/>
  <c r="D11" i="165"/>
  <c r="L26" i="165" s="1"/>
  <c r="D43" i="165" s="1"/>
  <c r="D47" i="165" s="1"/>
  <c r="O141" i="246" s="1"/>
  <c r="F11" i="165"/>
  <c r="G11" i="165"/>
  <c r="G45" i="165" s="1"/>
  <c r="L141" i="246" s="1"/>
  <c r="O677" i="209"/>
  <c r="S677" i="209" s="1"/>
  <c r="D65" i="36"/>
  <c r="P677" i="209"/>
  <c r="Q677" i="209"/>
  <c r="H30" i="225"/>
  <c r="H44" i="225" s="1"/>
  <c r="S110" i="209" s="1"/>
  <c r="L470" i="209"/>
  <c r="D23" i="84"/>
  <c r="O257" i="246"/>
  <c r="L669" i="246"/>
  <c r="F44" i="295"/>
  <c r="T36" i="294" s="1"/>
  <c r="F42" i="288"/>
  <c r="O68" i="294" s="1"/>
  <c r="Q410" i="209"/>
  <c r="F236" i="209"/>
  <c r="D36" i="292"/>
  <c r="P596" i="246"/>
  <c r="G24" i="173"/>
  <c r="E32" i="18"/>
  <c r="E32" i="327" s="1"/>
  <c r="D11" i="139"/>
  <c r="L26" i="139" s="1"/>
  <c r="D43" i="139" s="1"/>
  <c r="D47" i="139" s="1"/>
  <c r="O145" i="246" s="1"/>
  <c r="E11" i="139"/>
  <c r="F11" i="139"/>
  <c r="K641" i="246" s="1"/>
  <c r="F46" i="101"/>
  <c r="K651" i="246"/>
  <c r="F18" i="101"/>
  <c r="I450" i="209"/>
  <c r="O270" i="209"/>
  <c r="D23" i="173"/>
  <c r="K510" i="209"/>
  <c r="F33" i="228"/>
  <c r="H24" i="186"/>
  <c r="J348" i="246"/>
  <c r="J529" i="246"/>
  <c r="E25" i="84"/>
  <c r="F48" i="361"/>
  <c r="N20" i="296" s="1"/>
  <c r="H33" i="225"/>
  <c r="D33" i="228"/>
  <c r="G44" i="189"/>
  <c r="R111" i="246" s="1"/>
  <c r="E12" i="172"/>
  <c r="P738" i="246" s="1"/>
  <c r="Q450" i="209"/>
  <c r="T125" i="294"/>
  <c r="F536" i="209"/>
  <c r="P270" i="209"/>
  <c r="E11" i="101"/>
  <c r="M26" i="101" s="1"/>
  <c r="E43" i="101" s="1"/>
  <c r="E47" i="101" s="1"/>
  <c r="P155" i="246" s="1"/>
  <c r="D69" i="209"/>
  <c r="D129" i="209" s="1"/>
  <c r="D189" i="209" s="1"/>
  <c r="D249" i="209" s="1"/>
  <c r="D309" i="209" s="1"/>
  <c r="D369" i="209" s="1"/>
  <c r="D429" i="209" s="1"/>
  <c r="D489" i="209" s="1"/>
  <c r="D549" i="209" s="1"/>
  <c r="D609" i="209" s="1"/>
  <c r="D669" i="209" s="1"/>
  <c r="D729" i="209" s="1"/>
  <c r="U9" i="209"/>
  <c r="U69" i="209" s="1"/>
  <c r="U129" i="209" s="1"/>
  <c r="U189" i="209" s="1"/>
  <c r="U249" i="209" s="1"/>
  <c r="U309" i="209" s="1"/>
  <c r="U369" i="209" s="1"/>
  <c r="U429" i="209" s="1"/>
  <c r="U489" i="209" s="1"/>
  <c r="U549" i="209" s="1"/>
  <c r="U609" i="209" s="1"/>
  <c r="U669" i="209" s="1"/>
  <c r="U729" i="209" s="1"/>
  <c r="D109" i="209"/>
  <c r="D169" i="209" s="1"/>
  <c r="D229" i="209" s="1"/>
  <c r="D289" i="209" s="1"/>
  <c r="D349" i="209" s="1"/>
  <c r="D409" i="209" s="1"/>
  <c r="D469" i="209" s="1"/>
  <c r="D529" i="209" s="1"/>
  <c r="D589" i="209" s="1"/>
  <c r="D649" i="209" s="1"/>
  <c r="D709" i="209" s="1"/>
  <c r="D769" i="209" s="1"/>
  <c r="U49" i="209"/>
  <c r="U109" i="209" s="1"/>
  <c r="U169" i="209" s="1"/>
  <c r="U229" i="209" s="1"/>
  <c r="U289" i="209" s="1"/>
  <c r="U349" i="209" s="1"/>
  <c r="U409" i="209" s="1"/>
  <c r="U469" i="209" s="1"/>
  <c r="U529" i="209" s="1"/>
  <c r="U589" i="209" s="1"/>
  <c r="U649" i="209" s="1"/>
  <c r="U709" i="209" s="1"/>
  <c r="U769" i="209" s="1"/>
  <c r="D16" i="184"/>
  <c r="O494" i="246"/>
  <c r="D48" i="226"/>
  <c r="H28" i="186"/>
  <c r="H42" i="186" s="1"/>
  <c r="P14" i="191" s="1"/>
  <c r="E17" i="170"/>
  <c r="F54" i="209"/>
  <c r="U16" i="209"/>
  <c r="U76" i="209" s="1"/>
  <c r="U136" i="209" s="1"/>
  <c r="U196" i="209" s="1"/>
  <c r="U256" i="209" s="1"/>
  <c r="U316" i="209" s="1"/>
  <c r="U376" i="209" s="1"/>
  <c r="U436" i="209" s="1"/>
  <c r="U496" i="209" s="1"/>
  <c r="U556" i="209" s="1"/>
  <c r="U616" i="209" s="1"/>
  <c r="U676" i="209" s="1"/>
  <c r="U736" i="209" s="1"/>
  <c r="S705" i="209"/>
  <c r="J330" i="209"/>
  <c r="H28" i="212"/>
  <c r="H42" i="212" s="1"/>
  <c r="M270" i="209" s="1"/>
  <c r="J432" i="246"/>
  <c r="F32" i="170"/>
  <c r="E17" i="172"/>
  <c r="J596" i="246"/>
  <c r="D11" i="192"/>
  <c r="D18" i="192" s="1"/>
  <c r="R348" i="246"/>
  <c r="D32" i="231"/>
  <c r="H32" i="231" s="1"/>
  <c r="M684" i="246" s="1"/>
  <c r="D32" i="170"/>
  <c r="N20" i="284"/>
  <c r="N20" i="192"/>
  <c r="D5" i="183"/>
  <c r="D21" i="183" s="1"/>
  <c r="L23" i="183" s="1"/>
  <c r="H35" i="330"/>
  <c r="F21" i="213"/>
  <c r="N23" i="213" s="1"/>
  <c r="F35" i="176"/>
  <c r="G21" i="39"/>
  <c r="O23" i="39" s="1"/>
  <c r="G35" i="190"/>
  <c r="E21" i="6"/>
  <c r="M23" i="6" s="1"/>
  <c r="P7" i="345"/>
  <c r="G35" i="7"/>
  <c r="D5" i="7"/>
  <c r="D21" i="7" s="1"/>
  <c r="L23" i="7" s="1"/>
  <c r="H35" i="216"/>
  <c r="D5" i="216"/>
  <c r="D7" i="216" s="1"/>
  <c r="F7" i="91"/>
  <c r="F7" i="9"/>
  <c r="F21" i="296"/>
  <c r="N23" i="296" s="1"/>
  <c r="O7" i="334"/>
  <c r="G35" i="333"/>
  <c r="L7" i="333"/>
  <c r="P7" i="162"/>
  <c r="E21" i="178"/>
  <c r="M23" i="178" s="1"/>
  <c r="O23" i="290"/>
  <c r="G21" i="353"/>
  <c r="O23" i="353" s="1"/>
  <c r="E21" i="139"/>
  <c r="M23" i="139" s="1"/>
  <c r="D5" i="95"/>
  <c r="D35" i="95" s="1"/>
  <c r="G7" i="95"/>
  <c r="H7" i="95"/>
  <c r="E21" i="95"/>
  <c r="M23" i="95" s="1"/>
  <c r="E7" i="95"/>
  <c r="F35" i="95"/>
  <c r="P7" i="354"/>
  <c r="L5" i="354"/>
  <c r="L7" i="354" s="1"/>
  <c r="M7" i="354"/>
  <c r="E7" i="219"/>
  <c r="F21" i="219"/>
  <c r="N23" i="219" s="1"/>
  <c r="F21" i="141"/>
  <c r="N23" i="141" s="1"/>
  <c r="E35" i="141"/>
  <c r="D5" i="279"/>
  <c r="D7" i="279" s="1"/>
  <c r="F7" i="279"/>
  <c r="E21" i="279"/>
  <c r="M23" i="279" s="1"/>
  <c r="G21" i="279"/>
  <c r="O23" i="279" s="1"/>
  <c r="G35" i="279"/>
  <c r="D44" i="333"/>
  <c r="R42" i="294" s="1"/>
  <c r="D45" i="333"/>
  <c r="M61" i="294" s="1"/>
  <c r="G35" i="196"/>
  <c r="F7" i="196"/>
  <c r="E44" i="290"/>
  <c r="M26" i="290"/>
  <c r="E43" i="290" s="1"/>
  <c r="E47" i="290" s="1"/>
  <c r="S51" i="294" s="1"/>
  <c r="E18" i="290"/>
  <c r="N127" i="294"/>
  <c r="E46" i="290"/>
  <c r="G46" i="6"/>
  <c r="R618" i="209"/>
  <c r="G45" i="6"/>
  <c r="L138" i="209" s="1"/>
  <c r="L618" i="209"/>
  <c r="L678" i="209"/>
  <c r="O26" i="6"/>
  <c r="R738" i="209" s="1"/>
  <c r="G44" i="6"/>
  <c r="R78" i="209" s="1"/>
  <c r="T17" i="129"/>
  <c r="R20" i="129"/>
  <c r="H21" i="176"/>
  <c r="P23" i="176" s="1"/>
  <c r="O29" i="333"/>
  <c r="G7" i="354"/>
  <c r="F7" i="354"/>
  <c r="D5" i="354"/>
  <c r="D35" i="354" s="1"/>
  <c r="E35" i="223"/>
  <c r="E21" i="223"/>
  <c r="G21" i="183"/>
  <c r="O23" i="183" s="1"/>
  <c r="F35" i="326"/>
  <c r="N7" i="213"/>
  <c r="O7" i="176"/>
  <c r="M7" i="39"/>
  <c r="E35" i="190"/>
  <c r="N7" i="101"/>
  <c r="H21" i="284"/>
  <c r="P23" i="284" s="1"/>
  <c r="H35" i="270"/>
  <c r="H21" i="7"/>
  <c r="P23" i="7" s="1"/>
  <c r="E35" i="216"/>
  <c r="E35" i="91"/>
  <c r="H7" i="296"/>
  <c r="E21" i="11"/>
  <c r="M23" i="11" s="1"/>
  <c r="M7" i="344"/>
  <c r="H7" i="334"/>
  <c r="N29" i="333"/>
  <c r="D5" i="333"/>
  <c r="D21" i="333" s="1"/>
  <c r="L23" i="333" s="1"/>
  <c r="F7" i="162"/>
  <c r="F7" i="178"/>
  <c r="M23" i="290"/>
  <c r="G35" i="353"/>
  <c r="H7" i="353"/>
  <c r="O7" i="139"/>
  <c r="D5" i="241"/>
  <c r="D35" i="241" s="1"/>
  <c r="E7" i="241"/>
  <c r="H7" i="241"/>
  <c r="G35" i="241"/>
  <c r="D71" i="209"/>
  <c r="D131" i="209" s="1"/>
  <c r="D191" i="209" s="1"/>
  <c r="D251" i="209" s="1"/>
  <c r="D311" i="209" s="1"/>
  <c r="D371" i="209" s="1"/>
  <c r="D431" i="209" s="1"/>
  <c r="D491" i="209" s="1"/>
  <c r="D551" i="209" s="1"/>
  <c r="D611" i="209" s="1"/>
  <c r="D671" i="209" s="1"/>
  <c r="D731" i="209" s="1"/>
  <c r="F35" i="7"/>
  <c r="D5" i="137"/>
  <c r="D7" i="137" s="1"/>
  <c r="G7" i="137"/>
  <c r="E21" i="137"/>
  <c r="M23" i="137" s="1"/>
  <c r="H35" i="137"/>
  <c r="G7" i="156"/>
  <c r="H21" i="156"/>
  <c r="P23" i="156" s="1"/>
  <c r="E35" i="156"/>
  <c r="F35" i="156"/>
  <c r="D5" i="156"/>
  <c r="D7" i="156" s="1"/>
  <c r="F21" i="183"/>
  <c r="N23" i="183" s="1"/>
  <c r="E35" i="326"/>
  <c r="M7" i="213"/>
  <c r="M7" i="176"/>
  <c r="H7" i="39"/>
  <c r="H21" i="190"/>
  <c r="P23" i="190" s="1"/>
  <c r="M7" i="101"/>
  <c r="F21" i="248"/>
  <c r="E21" i="284"/>
  <c r="M23" i="284" s="1"/>
  <c r="E35" i="270"/>
  <c r="O29" i="295"/>
  <c r="G21" i="7"/>
  <c r="O23" i="7" s="1"/>
  <c r="O7" i="105"/>
  <c r="G21" i="216"/>
  <c r="O23" i="216" s="1"/>
  <c r="D5" i="91"/>
  <c r="D35" i="91" s="1"/>
  <c r="H35" i="296"/>
  <c r="L5" i="344"/>
  <c r="L7" i="344" s="1"/>
  <c r="E7" i="334"/>
  <c r="P7" i="290"/>
  <c r="F35" i="353"/>
  <c r="G7" i="353"/>
  <c r="L5" i="139"/>
  <c r="L7" i="139" s="1"/>
  <c r="E35" i="95"/>
  <c r="G21" i="172"/>
  <c r="G35" i="172"/>
  <c r="H21" i="183"/>
  <c r="P23" i="183" s="1"/>
  <c r="P7" i="13"/>
  <c r="M7" i="13"/>
  <c r="N7" i="221"/>
  <c r="M7" i="221"/>
  <c r="O7" i="221"/>
  <c r="P7" i="221"/>
  <c r="G21" i="270"/>
  <c r="O23" i="270" s="1"/>
  <c r="F21" i="7"/>
  <c r="N23" i="7" s="1"/>
  <c r="F21" i="216"/>
  <c r="N23" i="216" s="1"/>
  <c r="O7" i="10"/>
  <c r="H21" i="99"/>
  <c r="P23" i="99" s="1"/>
  <c r="D5" i="99"/>
  <c r="D7" i="99" s="1"/>
  <c r="E35" i="99"/>
  <c r="G35" i="99"/>
  <c r="F21" i="99"/>
  <c r="N23" i="99" s="1"/>
  <c r="G35" i="354"/>
  <c r="F35" i="308"/>
  <c r="F21" i="308"/>
  <c r="O7" i="14"/>
  <c r="L5" i="14"/>
  <c r="L7" i="14" s="1"/>
  <c r="H21" i="325"/>
  <c r="E7" i="325"/>
  <c r="F7" i="204"/>
  <c r="E21" i="204"/>
  <c r="M23" i="204" s="1"/>
  <c r="H21" i="204"/>
  <c r="P23" i="204" s="1"/>
  <c r="F35" i="204"/>
  <c r="F381" i="209"/>
  <c r="F621" i="209"/>
  <c r="F561" i="209"/>
  <c r="F21" i="209"/>
  <c r="F681" i="209"/>
  <c r="F321" i="209"/>
  <c r="F501" i="209"/>
  <c r="F81" i="209"/>
  <c r="F741" i="209"/>
  <c r="F441" i="209"/>
  <c r="F201" i="209"/>
  <c r="F35" i="190"/>
  <c r="G35" i="216"/>
  <c r="H7" i="183"/>
  <c r="F7" i="213"/>
  <c r="F21" i="190"/>
  <c r="N23" i="190" s="1"/>
  <c r="H35" i="183"/>
  <c r="E7" i="183"/>
  <c r="L5" i="176"/>
  <c r="L7" i="176" s="1"/>
  <c r="D5" i="39"/>
  <c r="D35" i="39" s="1"/>
  <c r="E21" i="190"/>
  <c r="M23" i="190" s="1"/>
  <c r="G35" i="247"/>
  <c r="H7" i="6"/>
  <c r="H7" i="270"/>
  <c r="L5" i="295"/>
  <c r="L7" i="295" s="1"/>
  <c r="F7" i="7"/>
  <c r="M7" i="105"/>
  <c r="M7" i="216"/>
  <c r="F21" i="91"/>
  <c r="N23" i="91" s="1"/>
  <c r="M7" i="118"/>
  <c r="N7" i="10"/>
  <c r="P7" i="333"/>
  <c r="O29" i="290"/>
  <c r="E7" i="290"/>
  <c r="O7" i="13"/>
  <c r="G21" i="354"/>
  <c r="O23" i="354" s="1"/>
  <c r="H35" i="189"/>
  <c r="H7" i="189"/>
  <c r="F21" i="189"/>
  <c r="N23" i="189" s="1"/>
  <c r="G21" i="189"/>
  <c r="O23" i="189" s="1"/>
  <c r="D5" i="189"/>
  <c r="D21" i="189" s="1"/>
  <c r="L23" i="189" s="1"/>
  <c r="N7" i="313"/>
  <c r="O7" i="313"/>
  <c r="F35" i="137"/>
  <c r="N7" i="338"/>
  <c r="O7" i="338"/>
  <c r="T14" i="27"/>
  <c r="L5" i="192"/>
  <c r="L7" i="192" s="1"/>
  <c r="P7" i="192"/>
  <c r="G35" i="183"/>
  <c r="F7" i="190"/>
  <c r="H35" i="6"/>
  <c r="E7" i="6"/>
  <c r="E7" i="7"/>
  <c r="H7" i="216"/>
  <c r="L5" i="118"/>
  <c r="L7" i="118" s="1"/>
  <c r="M7" i="9"/>
  <c r="O7" i="333"/>
  <c r="H35" i="178"/>
  <c r="N7" i="13"/>
  <c r="H21" i="137"/>
  <c r="P23" i="137" s="1"/>
  <c r="G21" i="171"/>
  <c r="G35" i="171"/>
  <c r="F21" i="212"/>
  <c r="F35" i="212"/>
  <c r="R10" i="36"/>
  <c r="T10" i="36" s="1"/>
  <c r="R12" i="29"/>
  <c r="R16" i="29" s="1"/>
  <c r="I17" i="292"/>
  <c r="G35" i="362"/>
  <c r="M7" i="141"/>
  <c r="F21" i="171"/>
  <c r="G21" i="309"/>
  <c r="E21" i="15"/>
  <c r="M23" i="15" s="1"/>
  <c r="H21" i="338"/>
  <c r="P23" i="338" s="1"/>
  <c r="F7" i="338"/>
  <c r="G7" i="324"/>
  <c r="N7" i="220"/>
  <c r="E7" i="221"/>
  <c r="E35" i="16"/>
  <c r="G7" i="16"/>
  <c r="N29" i="293"/>
  <c r="G35" i="347"/>
  <c r="H7" i="347"/>
  <c r="M7" i="288"/>
  <c r="F21" i="187"/>
  <c r="N23" i="187" s="1"/>
  <c r="F21" i="165"/>
  <c r="N23" i="165" s="1"/>
  <c r="F37" i="271"/>
  <c r="Q215" i="246" s="1"/>
  <c r="E21" i="226"/>
  <c r="G35" i="15"/>
  <c r="F21" i="338"/>
  <c r="N23" i="338" s="1"/>
  <c r="D5" i="338"/>
  <c r="D35" i="338" s="1"/>
  <c r="N29" i="324"/>
  <c r="L5" i="220"/>
  <c r="L7" i="220" s="1"/>
  <c r="L5" i="288"/>
  <c r="L7" i="288" s="1"/>
  <c r="F563" i="209"/>
  <c r="F503" i="209"/>
  <c r="L5" i="99"/>
  <c r="L7" i="99" s="1"/>
  <c r="E7" i="362"/>
  <c r="L5" i="356"/>
  <c r="L7" i="356" s="1"/>
  <c r="G21" i="184"/>
  <c r="P7" i="325"/>
  <c r="E7" i="360"/>
  <c r="H35" i="338"/>
  <c r="E35" i="225"/>
  <c r="N29" i="349"/>
  <c r="H7" i="293"/>
  <c r="E7" i="126"/>
  <c r="E21" i="347"/>
  <c r="M23" i="347" s="1"/>
  <c r="O29" i="288"/>
  <c r="H35" i="151"/>
  <c r="F40" i="271"/>
  <c r="K91" i="246" s="1"/>
  <c r="F233" i="209"/>
  <c r="F593" i="209"/>
  <c r="T11" i="161"/>
  <c r="F35" i="72"/>
  <c r="N23" i="223"/>
  <c r="G35" i="338"/>
  <c r="M7" i="241"/>
  <c r="G21" i="324"/>
  <c r="F35" i="220"/>
  <c r="E35" i="202"/>
  <c r="D5" i="289"/>
  <c r="D7" i="289" s="1"/>
  <c r="P7" i="16"/>
  <c r="G35" i="293"/>
  <c r="N7" i="160"/>
  <c r="P7" i="347"/>
  <c r="N29" i="288"/>
  <c r="H21" i="231"/>
  <c r="M7" i="151"/>
  <c r="F42" i="271"/>
  <c r="K277" i="246" s="1"/>
  <c r="H21" i="72"/>
  <c r="P23" i="72" s="1"/>
  <c r="M7" i="219"/>
  <c r="M7" i="204"/>
  <c r="H21" i="15"/>
  <c r="P23" i="15" s="1"/>
  <c r="F35" i="338"/>
  <c r="H7" i="338"/>
  <c r="P23" i="225"/>
  <c r="F21" i="324"/>
  <c r="E35" i="220"/>
  <c r="G21" i="202"/>
  <c r="O23" i="202" s="1"/>
  <c r="H7" i="221"/>
  <c r="M7" i="349"/>
  <c r="M7" i="16"/>
  <c r="N7" i="347"/>
  <c r="O7" i="288"/>
  <c r="P23" i="327"/>
  <c r="C162" i="209"/>
  <c r="C222" i="209" s="1"/>
  <c r="N26" i="125"/>
  <c r="F44" i="125"/>
  <c r="Q73" i="209" s="1"/>
  <c r="F21" i="15"/>
  <c r="N23" i="15" s="1"/>
  <c r="G7" i="338"/>
  <c r="H43" i="123"/>
  <c r="S370" i="209"/>
  <c r="S373" i="209"/>
  <c r="S378" i="209"/>
  <c r="M416" i="209"/>
  <c r="S473" i="209"/>
  <c r="M507" i="209"/>
  <c r="M508" i="209"/>
  <c r="S518" i="209"/>
  <c r="S527" i="209"/>
  <c r="S520" i="209"/>
  <c r="S516" i="209"/>
  <c r="S517" i="209"/>
  <c r="S513" i="246"/>
  <c r="S516" i="246"/>
  <c r="S517" i="246"/>
  <c r="S523" i="246"/>
  <c r="S527" i="246"/>
  <c r="S528" i="246"/>
  <c r="S531" i="246"/>
  <c r="S532" i="246"/>
  <c r="S533" i="246"/>
  <c r="S539" i="246"/>
  <c r="S540" i="246"/>
  <c r="S541" i="246"/>
  <c r="S542" i="246"/>
  <c r="S543" i="246"/>
  <c r="S544" i="246"/>
  <c r="S547" i="246"/>
  <c r="S548" i="246"/>
  <c r="S690" i="246"/>
  <c r="S702" i="246"/>
  <c r="S709" i="246"/>
  <c r="S719" i="246"/>
  <c r="S723" i="246"/>
  <c r="S725" i="246"/>
  <c r="S729" i="246"/>
  <c r="S731" i="246"/>
  <c r="S733" i="246"/>
  <c r="I537" i="209"/>
  <c r="M537" i="209" s="1"/>
  <c r="N25" i="171"/>
  <c r="G24" i="84"/>
  <c r="G32" i="84"/>
  <c r="C26" i="170"/>
  <c r="G30" i="170"/>
  <c r="G30" i="175" s="1"/>
  <c r="E32" i="170"/>
  <c r="L25" i="231"/>
  <c r="S407" i="209"/>
  <c r="H47" i="241"/>
  <c r="S176" i="209" s="1"/>
  <c r="M25" i="170"/>
  <c r="M520" i="209"/>
  <c r="M516" i="209"/>
  <c r="M517" i="209"/>
  <c r="S683" i="209"/>
  <c r="S687" i="209"/>
  <c r="S689" i="209"/>
  <c r="S695" i="209"/>
  <c r="S697" i="209"/>
  <c r="S716" i="209"/>
  <c r="M569" i="209"/>
  <c r="S669" i="209"/>
  <c r="S673" i="209"/>
  <c r="S708" i="209"/>
  <c r="S707" i="209"/>
  <c r="S709" i="209"/>
  <c r="S696" i="209"/>
  <c r="G25" i="184"/>
  <c r="G12" i="171"/>
  <c r="G16" i="173"/>
  <c r="G12" i="84"/>
  <c r="R744" i="246" s="1"/>
  <c r="R591" i="246"/>
  <c r="D27" i="228"/>
  <c r="G28" i="228"/>
  <c r="C29" i="173"/>
  <c r="S355" i="246"/>
  <c r="M346" i="246"/>
  <c r="M409" i="209"/>
  <c r="M412" i="209"/>
  <c r="M467" i="209"/>
  <c r="M454" i="209"/>
  <c r="S497" i="209"/>
  <c r="M508" i="246"/>
  <c r="M555" i="246"/>
  <c r="H29" i="291"/>
  <c r="E16" i="172"/>
  <c r="G32" i="171"/>
  <c r="R25" i="161"/>
  <c r="X50" i="161" s="1"/>
  <c r="M515" i="246"/>
  <c r="M526" i="246"/>
  <c r="S616" i="246"/>
  <c r="M617" i="246"/>
  <c r="P12" i="241"/>
  <c r="D26" i="173"/>
  <c r="N25" i="84"/>
  <c r="G11" i="188"/>
  <c r="G18" i="188" s="1"/>
  <c r="S514" i="209"/>
  <c r="M400" i="209"/>
  <c r="P25" i="326"/>
  <c r="S577" i="209"/>
  <c r="S277" i="209"/>
  <c r="M459" i="209"/>
  <c r="S521" i="209"/>
  <c r="M317" i="209"/>
  <c r="S676" i="209"/>
  <c r="S671" i="209"/>
  <c r="S308" i="209"/>
  <c r="M461" i="209"/>
  <c r="S581" i="209"/>
  <c r="M493" i="209"/>
  <c r="F46" i="13"/>
  <c r="K612" i="209"/>
  <c r="F44" i="13"/>
  <c r="Q72" i="209" s="1"/>
  <c r="N26" i="13"/>
  <c r="S437" i="209"/>
  <c r="M551" i="209"/>
  <c r="S431" i="209"/>
  <c r="M548" i="209"/>
  <c r="I608" i="209"/>
  <c r="O608" i="209"/>
  <c r="D46" i="16"/>
  <c r="L26" i="16"/>
  <c r="D43" i="16" s="1"/>
  <c r="D47" i="16" s="1"/>
  <c r="O128" i="209" s="1"/>
  <c r="D45" i="16"/>
  <c r="I128" i="209" s="1"/>
  <c r="D48" i="361"/>
  <c r="L20" i="333" s="1"/>
  <c r="D41" i="360"/>
  <c r="H78" i="294" s="1"/>
  <c r="M135" i="294"/>
  <c r="D42" i="360"/>
  <c r="M78" i="294" s="1"/>
  <c r="S274" i="246"/>
  <c r="K618" i="246"/>
  <c r="D28" i="184"/>
  <c r="H32" i="309"/>
  <c r="I370" i="246"/>
  <c r="D24" i="184"/>
  <c r="Q308" i="246"/>
  <c r="L556" i="246"/>
  <c r="F32" i="292"/>
  <c r="S307" i="246"/>
  <c r="F31" i="309"/>
  <c r="F48" i="309" s="1"/>
  <c r="N20" i="308" s="1"/>
  <c r="C24" i="184"/>
  <c r="E26" i="184"/>
  <c r="C28" i="184"/>
  <c r="G32" i="184"/>
  <c r="E23" i="309"/>
  <c r="C33" i="184"/>
  <c r="F26" i="184"/>
  <c r="F33" i="292" s="1"/>
  <c r="R370" i="246"/>
  <c r="F48" i="308"/>
  <c r="N20" i="307" s="1"/>
  <c r="G25" i="309"/>
  <c r="H25" i="309" s="1"/>
  <c r="H39" i="309" s="1"/>
  <c r="E23" i="184"/>
  <c r="G33" i="184"/>
  <c r="H25" i="186"/>
  <c r="H39" i="186" s="1"/>
  <c r="P11" i="95" s="1"/>
  <c r="P472" i="246"/>
  <c r="O596" i="246"/>
  <c r="E24" i="184"/>
  <c r="F31" i="184"/>
  <c r="G33" i="292" s="1"/>
  <c r="H43" i="279"/>
  <c r="L25" i="184"/>
  <c r="N31" i="292"/>
  <c r="H37" i="185"/>
  <c r="P9" i="190" s="1"/>
  <c r="M384" i="246"/>
  <c r="M385" i="246"/>
  <c r="S571" i="246"/>
  <c r="M324" i="246"/>
  <c r="S510" i="246"/>
  <c r="P25" i="185"/>
  <c r="S696" i="246"/>
  <c r="H25" i="104"/>
  <c r="H39" i="104" s="1"/>
  <c r="H31" i="104"/>
  <c r="H45" i="104" s="1"/>
  <c r="P17" i="354" s="1"/>
  <c r="D25" i="84"/>
  <c r="C32" i="84"/>
  <c r="F33" i="84"/>
  <c r="L25" i="84"/>
  <c r="P25" i="84" s="1"/>
  <c r="G17" i="172"/>
  <c r="G13" i="172"/>
  <c r="G13" i="84"/>
  <c r="H46" i="103"/>
  <c r="G39" i="362"/>
  <c r="P38" i="294" s="1"/>
  <c r="H30" i="361"/>
  <c r="H44" i="361" s="1"/>
  <c r="P16" i="296" s="1"/>
  <c r="S549" i="246"/>
  <c r="H43" i="183"/>
  <c r="M425" i="246"/>
  <c r="S611" i="246"/>
  <c r="L25" i="170"/>
  <c r="P25" i="170" s="1"/>
  <c r="P25" i="226"/>
  <c r="L25" i="172"/>
  <c r="G12" i="170"/>
  <c r="S546" i="246"/>
  <c r="K364" i="246"/>
  <c r="M422" i="246"/>
  <c r="S608" i="246"/>
  <c r="M420" i="246"/>
  <c r="S606" i="246"/>
  <c r="C26" i="231"/>
  <c r="Q518" i="246"/>
  <c r="Q394" i="246"/>
  <c r="D29" i="231"/>
  <c r="G30" i="231"/>
  <c r="M330" i="246"/>
  <c r="G16" i="231"/>
  <c r="G17" i="231"/>
  <c r="J426" i="246"/>
  <c r="H29" i="226"/>
  <c r="H43" i="226" s="1"/>
  <c r="E24" i="170"/>
  <c r="D29" i="170"/>
  <c r="J364" i="246"/>
  <c r="E32" i="231"/>
  <c r="M419" i="246"/>
  <c r="P488" i="246"/>
  <c r="I612" i="246"/>
  <c r="S295" i="246"/>
  <c r="E24" i="172"/>
  <c r="E24" i="231"/>
  <c r="S727" i="246"/>
  <c r="M415" i="246"/>
  <c r="S601" i="246"/>
  <c r="M414" i="246"/>
  <c r="S600" i="246"/>
  <c r="S538" i="246"/>
  <c r="X19" i="129"/>
  <c r="S289" i="246"/>
  <c r="M413" i="246"/>
  <c r="S599" i="246"/>
  <c r="M412" i="246"/>
  <c r="D23" i="170"/>
  <c r="E26" i="170"/>
  <c r="C23" i="170"/>
  <c r="C31" i="170"/>
  <c r="E29" i="231"/>
  <c r="F27" i="171"/>
  <c r="K456" i="246"/>
  <c r="D35" i="292"/>
  <c r="F31" i="171"/>
  <c r="F23" i="171"/>
  <c r="F23" i="173"/>
  <c r="C25" i="231"/>
  <c r="F35" i="292"/>
  <c r="C33" i="231"/>
  <c r="F31" i="173"/>
  <c r="F48" i="223"/>
  <c r="O332" i="246"/>
  <c r="C29" i="171"/>
  <c r="F30" i="173"/>
  <c r="F24" i="231"/>
  <c r="D37" i="292" s="1"/>
  <c r="F28" i="173"/>
  <c r="F24" i="173"/>
  <c r="R332" i="246"/>
  <c r="L332" i="246"/>
  <c r="Q580" i="246"/>
  <c r="K580" i="246"/>
  <c r="F30" i="231"/>
  <c r="E37" i="292" s="1"/>
  <c r="R270" i="246"/>
  <c r="N25" i="173"/>
  <c r="G46" i="139"/>
  <c r="O26" i="139"/>
  <c r="L703" i="246"/>
  <c r="M514" i="246"/>
  <c r="E32" i="173"/>
  <c r="M389" i="246"/>
  <c r="S575" i="246"/>
  <c r="G16" i="171"/>
  <c r="G13" i="231"/>
  <c r="G12" i="231"/>
  <c r="R746" i="246" s="1"/>
  <c r="R456" i="246"/>
  <c r="R704" i="246"/>
  <c r="S704" i="246" s="1"/>
  <c r="G12" i="173"/>
  <c r="S524" i="209"/>
  <c r="M404" i="209"/>
  <c r="G16" i="228"/>
  <c r="H28" i="225"/>
  <c r="H42" i="225" s="1"/>
  <c r="P14" i="356" s="1"/>
  <c r="Q530" i="209"/>
  <c r="C31" i="228"/>
  <c r="K590" i="209"/>
  <c r="F31" i="228"/>
  <c r="G22" i="292" s="1"/>
  <c r="S587" i="209"/>
  <c r="E26" i="228"/>
  <c r="I707" i="209"/>
  <c r="S285" i="209"/>
  <c r="S525" i="209"/>
  <c r="M568" i="209"/>
  <c r="H32" i="212"/>
  <c r="M630" i="209" s="1"/>
  <c r="S386" i="209"/>
  <c r="G26" i="173"/>
  <c r="S446" i="209"/>
  <c r="D30" i="228"/>
  <c r="E27" i="228"/>
  <c r="O25" i="173"/>
  <c r="S686" i="209"/>
  <c r="F11" i="156"/>
  <c r="E11" i="156"/>
  <c r="E18" i="156" s="1"/>
  <c r="D11" i="156"/>
  <c r="G11" i="156"/>
  <c r="F11" i="187"/>
  <c r="K702" i="246" s="1"/>
  <c r="D11" i="187"/>
  <c r="L26" i="187" s="1"/>
  <c r="E11" i="187"/>
  <c r="G11" i="187"/>
  <c r="O26" i="187" s="1"/>
  <c r="G43" i="187" s="1"/>
  <c r="G47" i="187" s="1"/>
  <c r="R144" i="246" s="1"/>
  <c r="E11" i="154"/>
  <c r="D11" i="154"/>
  <c r="G11" i="154"/>
  <c r="L638" i="209" s="1"/>
  <c r="F11" i="154"/>
  <c r="G45" i="315"/>
  <c r="L164" i="209" s="1"/>
  <c r="O26" i="315"/>
  <c r="R764" i="209" s="1"/>
  <c r="G44" i="315"/>
  <c r="R104" i="209" s="1"/>
  <c r="G46" i="315"/>
  <c r="L704" i="209"/>
  <c r="G18" i="315"/>
  <c r="R644" i="209"/>
  <c r="G46" i="151"/>
  <c r="L663" i="246"/>
  <c r="F11" i="95"/>
  <c r="G11" i="95"/>
  <c r="R656" i="246" s="1"/>
  <c r="E11" i="95"/>
  <c r="D11" i="95"/>
  <c r="G11" i="146"/>
  <c r="G18" i="146" s="1"/>
  <c r="F11" i="146"/>
  <c r="F18" i="146" s="1"/>
  <c r="E11" i="146"/>
  <c r="D11" i="146"/>
  <c r="I670" i="246" s="1"/>
  <c r="E11" i="214"/>
  <c r="G11" i="214"/>
  <c r="F11" i="214"/>
  <c r="D11" i="214"/>
  <c r="G41" i="362"/>
  <c r="K76" i="294" s="1"/>
  <c r="U133" i="294"/>
  <c r="G42" i="362"/>
  <c r="P76" i="294" s="1"/>
  <c r="K19" i="294"/>
  <c r="G37" i="362"/>
  <c r="K38" i="294" s="1"/>
  <c r="P19" i="294"/>
  <c r="G38" i="362"/>
  <c r="U19" i="294" s="1"/>
  <c r="O20" i="156"/>
  <c r="O20" i="284"/>
  <c r="O20" i="190"/>
  <c r="G11" i="195"/>
  <c r="G45" i="195" s="1"/>
  <c r="L172" i="246" s="1"/>
  <c r="D11" i="195"/>
  <c r="L26" i="195" s="1"/>
  <c r="I88" i="209"/>
  <c r="D40" i="162"/>
  <c r="F143" i="209"/>
  <c r="F743" i="209"/>
  <c r="F383" i="209"/>
  <c r="F443" i="209"/>
  <c r="F323" i="209"/>
  <c r="F203" i="209"/>
  <c r="F263" i="209"/>
  <c r="F23" i="209"/>
  <c r="F414" i="209"/>
  <c r="F234" i="209"/>
  <c r="F654" i="209"/>
  <c r="F534" i="209"/>
  <c r="F594" i="209"/>
  <c r="F474" i="209"/>
  <c r="F774" i="209"/>
  <c r="F174" i="209"/>
  <c r="U41" i="209"/>
  <c r="U101" i="209" s="1"/>
  <c r="U161" i="209" s="1"/>
  <c r="U221" i="209" s="1"/>
  <c r="U281" i="209" s="1"/>
  <c r="U341" i="209" s="1"/>
  <c r="U401" i="209" s="1"/>
  <c r="U461" i="209" s="1"/>
  <c r="U521" i="209" s="1"/>
  <c r="U581" i="209" s="1"/>
  <c r="U641" i="209" s="1"/>
  <c r="U701" i="209" s="1"/>
  <c r="U761" i="209" s="1"/>
  <c r="D101" i="209"/>
  <c r="D161" i="209" s="1"/>
  <c r="D221" i="209" s="1"/>
  <c r="D281" i="209" s="1"/>
  <c r="D341" i="209" s="1"/>
  <c r="D401" i="209" s="1"/>
  <c r="D461" i="209" s="1"/>
  <c r="D521" i="209" s="1"/>
  <c r="D581" i="209" s="1"/>
  <c r="D641" i="209" s="1"/>
  <c r="D701" i="209" s="1"/>
  <c r="D761" i="209" s="1"/>
  <c r="N25" i="228"/>
  <c r="N25" i="170"/>
  <c r="G26" i="171"/>
  <c r="H26" i="103"/>
  <c r="H40" i="103" s="1"/>
  <c r="P12" i="91" s="1"/>
  <c r="G11" i="345"/>
  <c r="D11" i="345"/>
  <c r="D11" i="284"/>
  <c r="D46" i="284" s="1"/>
  <c r="E11" i="284"/>
  <c r="F11" i="284"/>
  <c r="K634" i="246" s="1"/>
  <c r="G11" i="284"/>
  <c r="L696" i="246" s="1"/>
  <c r="E11" i="176"/>
  <c r="E46" i="176" s="1"/>
  <c r="G11" i="176"/>
  <c r="F23" i="228"/>
  <c r="C20" i="292"/>
  <c r="Q270" i="209"/>
  <c r="O330" i="209"/>
  <c r="H25" i="212"/>
  <c r="I510" i="209"/>
  <c r="O390" i="209"/>
  <c r="C26" i="228"/>
  <c r="C26" i="173"/>
  <c r="G12" i="184"/>
  <c r="R720" i="246"/>
  <c r="D31" i="292"/>
  <c r="K348" i="246"/>
  <c r="F24" i="172"/>
  <c r="L596" i="246"/>
  <c r="G48" i="186"/>
  <c r="E24" i="309"/>
  <c r="P494" i="246"/>
  <c r="J370" i="246"/>
  <c r="L25" i="309"/>
  <c r="P25" i="309" s="1"/>
  <c r="P25" i="308"/>
  <c r="G26" i="309"/>
  <c r="H26" i="309" s="1"/>
  <c r="H40" i="309" s="1"/>
  <c r="H26" i="308"/>
  <c r="H40" i="308" s="1"/>
  <c r="M122" i="246" s="1"/>
  <c r="G26" i="184"/>
  <c r="E28" i="309"/>
  <c r="E28" i="184"/>
  <c r="D30" i="309"/>
  <c r="H30" i="309" s="1"/>
  <c r="H44" i="309" s="1"/>
  <c r="H30" i="308"/>
  <c r="D33" i="309"/>
  <c r="H33" i="309" s="1"/>
  <c r="H33" i="308"/>
  <c r="R518" i="246"/>
  <c r="D30" i="84"/>
  <c r="I467" i="246"/>
  <c r="Q470" i="209"/>
  <c r="N21" i="292"/>
  <c r="Q710" i="209"/>
  <c r="R290" i="209"/>
  <c r="R410" i="209"/>
  <c r="F26" i="170"/>
  <c r="F21" i="292"/>
  <c r="E29" i="170"/>
  <c r="E48" i="225"/>
  <c r="G48" i="225"/>
  <c r="O20" i="345" s="1"/>
  <c r="L590" i="209"/>
  <c r="U35" i="209"/>
  <c r="U95" i="209" s="1"/>
  <c r="U155" i="209" s="1"/>
  <c r="U215" i="209" s="1"/>
  <c r="U275" i="209" s="1"/>
  <c r="U335" i="209" s="1"/>
  <c r="U395" i="209" s="1"/>
  <c r="U455" i="209" s="1"/>
  <c r="U515" i="209" s="1"/>
  <c r="U575" i="209" s="1"/>
  <c r="U635" i="209" s="1"/>
  <c r="U695" i="209" s="1"/>
  <c r="U755" i="209" s="1"/>
  <c r="D95" i="209"/>
  <c r="D155" i="209" s="1"/>
  <c r="D215" i="209" s="1"/>
  <c r="D275" i="209" s="1"/>
  <c r="D335" i="209" s="1"/>
  <c r="D395" i="209" s="1"/>
  <c r="D455" i="209" s="1"/>
  <c r="D515" i="209" s="1"/>
  <c r="D575" i="209" s="1"/>
  <c r="D635" i="209" s="1"/>
  <c r="D695" i="209" s="1"/>
  <c r="D755" i="209" s="1"/>
  <c r="D108" i="209"/>
  <c r="D168" i="209" s="1"/>
  <c r="D228" i="209" s="1"/>
  <c r="D288" i="209" s="1"/>
  <c r="D348" i="209" s="1"/>
  <c r="D408" i="209" s="1"/>
  <c r="D468" i="209" s="1"/>
  <c r="D528" i="209" s="1"/>
  <c r="D588" i="209" s="1"/>
  <c r="D648" i="209" s="1"/>
  <c r="D708" i="209" s="1"/>
  <c r="D768" i="209" s="1"/>
  <c r="U48" i="209"/>
  <c r="U108" i="209" s="1"/>
  <c r="U168" i="209" s="1"/>
  <c r="U228" i="209" s="1"/>
  <c r="U288" i="209" s="1"/>
  <c r="U348" i="209" s="1"/>
  <c r="U408" i="209" s="1"/>
  <c r="U468" i="209" s="1"/>
  <c r="U528" i="209" s="1"/>
  <c r="U588" i="209" s="1"/>
  <c r="U648" i="209" s="1"/>
  <c r="U708" i="209" s="1"/>
  <c r="U768" i="209" s="1"/>
  <c r="E30" i="171"/>
  <c r="AA26" i="292"/>
  <c r="G11" i="279"/>
  <c r="F11" i="279"/>
  <c r="F18" i="279" s="1"/>
  <c r="D11" i="325"/>
  <c r="M123" i="294" s="1"/>
  <c r="F11" i="325"/>
  <c r="G11" i="14"/>
  <c r="F11" i="14"/>
  <c r="D11" i="14"/>
  <c r="D18" i="14" s="1"/>
  <c r="E11" i="14"/>
  <c r="G11" i="13"/>
  <c r="L672" i="209" s="1"/>
  <c r="D11" i="13"/>
  <c r="E11" i="13"/>
  <c r="K650" i="246"/>
  <c r="K712" i="246"/>
  <c r="F46" i="118"/>
  <c r="F45" i="118"/>
  <c r="K154" i="246" s="1"/>
  <c r="E11" i="105"/>
  <c r="G11" i="105"/>
  <c r="G44" i="105" s="1"/>
  <c r="R82" i="209" s="1"/>
  <c r="F11" i="7"/>
  <c r="G11" i="7"/>
  <c r="G11" i="190"/>
  <c r="F11" i="190"/>
  <c r="Q633" i="246" s="1"/>
  <c r="D11" i="190"/>
  <c r="Q390" i="209"/>
  <c r="E13" i="184"/>
  <c r="C25" i="172"/>
  <c r="C25" i="184"/>
  <c r="P25" i="186"/>
  <c r="O25" i="184"/>
  <c r="E27" i="184"/>
  <c r="E27" i="172"/>
  <c r="Q596" i="246"/>
  <c r="F30" i="172"/>
  <c r="F13" i="171"/>
  <c r="F13" i="231"/>
  <c r="O761" i="209"/>
  <c r="N25" i="18"/>
  <c r="C31" i="18"/>
  <c r="F31" i="18"/>
  <c r="F31" i="327" s="1"/>
  <c r="D29" i="18"/>
  <c r="O668" i="209"/>
  <c r="F32" i="18"/>
  <c r="F32" i="327" s="1"/>
  <c r="C33" i="18"/>
  <c r="C33" i="327" s="1"/>
  <c r="D25" i="18"/>
  <c r="E12" i="18"/>
  <c r="R761" i="209"/>
  <c r="D17" i="18"/>
  <c r="D17" i="327" s="1"/>
  <c r="E31" i="18"/>
  <c r="E31" i="327" s="1"/>
  <c r="C25" i="18"/>
  <c r="C25" i="327" s="1"/>
  <c r="F33" i="18"/>
  <c r="F33" i="327" s="1"/>
  <c r="G29" i="328"/>
  <c r="D32" i="328"/>
  <c r="E31" i="328"/>
  <c r="E29" i="18"/>
  <c r="E29" i="327" s="1"/>
  <c r="E13" i="18"/>
  <c r="E13" i="327" s="1"/>
  <c r="F27" i="18"/>
  <c r="F27" i="327" s="1"/>
  <c r="E26" i="18"/>
  <c r="O25" i="18"/>
  <c r="O25" i="327" s="1"/>
  <c r="C29" i="18"/>
  <c r="G27" i="18"/>
  <c r="C26" i="18"/>
  <c r="C26" i="327" s="1"/>
  <c r="Q761" i="209"/>
  <c r="C32" i="18"/>
  <c r="C32" i="327" s="1"/>
  <c r="M25" i="18"/>
  <c r="M25" i="327" s="1"/>
  <c r="F30" i="18"/>
  <c r="F30" i="327" s="1"/>
  <c r="Q668" i="209"/>
  <c r="F26" i="18"/>
  <c r="E27" i="328"/>
  <c r="G25" i="328"/>
  <c r="G33" i="328"/>
  <c r="E32" i="328"/>
  <c r="E33" i="328"/>
  <c r="F25" i="18"/>
  <c r="R668" i="209"/>
  <c r="D69" i="28"/>
  <c r="J39" i="28" s="1"/>
  <c r="N39" i="28" s="1"/>
  <c r="R39" i="28" s="1"/>
  <c r="R41" i="28" s="1"/>
  <c r="G17" i="18"/>
  <c r="F13" i="18"/>
  <c r="F13" i="327" s="1"/>
  <c r="G24" i="18"/>
  <c r="G24" i="327" s="1"/>
  <c r="G23" i="18"/>
  <c r="G23" i="327" s="1"/>
  <c r="D24" i="18"/>
  <c r="D26" i="18"/>
  <c r="G29" i="18"/>
  <c r="G29" i="327" s="1"/>
  <c r="C23" i="18"/>
  <c r="C23" i="327" s="1"/>
  <c r="D16" i="18"/>
  <c r="D16" i="327" s="1"/>
  <c r="F29" i="328"/>
  <c r="P701" i="209"/>
  <c r="N25" i="328"/>
  <c r="G30" i="328"/>
  <c r="C31" i="328"/>
  <c r="F16" i="328"/>
  <c r="D13" i="18"/>
  <c r="D13" i="327" s="1"/>
  <c r="G32" i="18"/>
  <c r="G32" i="327" s="1"/>
  <c r="E25" i="18"/>
  <c r="D33" i="18"/>
  <c r="F12" i="18"/>
  <c r="E30" i="18"/>
  <c r="E30" i="327" s="1"/>
  <c r="G12" i="18"/>
  <c r="G33" i="18"/>
  <c r="G33" i="327" s="1"/>
  <c r="C23" i="328"/>
  <c r="F17" i="328"/>
  <c r="G32" i="328"/>
  <c r="G16" i="328"/>
  <c r="D27" i="18"/>
  <c r="D27" i="327" s="1"/>
  <c r="G25" i="18"/>
  <c r="G25" i="327" s="1"/>
  <c r="E28" i="18"/>
  <c r="E28" i="327" s="1"/>
  <c r="D28" i="18"/>
  <c r="D28" i="327" s="1"/>
  <c r="D55" i="27"/>
  <c r="C30" i="18"/>
  <c r="C30" i="327" s="1"/>
  <c r="F16" i="18"/>
  <c r="F16" i="327" s="1"/>
  <c r="G26" i="18"/>
  <c r="G26" i="327" s="1"/>
  <c r="C32" i="328"/>
  <c r="O701" i="209"/>
  <c r="S701" i="209" s="1"/>
  <c r="Q702" i="209"/>
  <c r="C28" i="18"/>
  <c r="D32" i="18"/>
  <c r="D32" i="327" s="1"/>
  <c r="F29" i="18"/>
  <c r="F29" i="327" s="1"/>
  <c r="G28" i="18"/>
  <c r="G13" i="18"/>
  <c r="G13" i="327" s="1"/>
  <c r="F28" i="18"/>
  <c r="G16" i="18"/>
  <c r="G16" i="327" s="1"/>
  <c r="G31" i="18"/>
  <c r="G31" i="327" s="1"/>
  <c r="L25" i="18"/>
  <c r="L25" i="327" s="1"/>
  <c r="G26" i="328"/>
  <c r="F32" i="328"/>
  <c r="J462" i="209"/>
  <c r="D27" i="292"/>
  <c r="P27" i="292" s="1"/>
  <c r="F24" i="84"/>
  <c r="D28" i="292" s="1"/>
  <c r="Q529" i="246"/>
  <c r="F27" i="292"/>
  <c r="F26" i="172"/>
  <c r="F26" i="84"/>
  <c r="F28" i="292" s="1"/>
  <c r="K467" i="246"/>
  <c r="Q591" i="246"/>
  <c r="F32" i="172"/>
  <c r="F32" i="84"/>
  <c r="C25" i="84"/>
  <c r="O343" i="246"/>
  <c r="C33" i="84"/>
  <c r="C33" i="172"/>
  <c r="G17" i="170"/>
  <c r="D21" i="292"/>
  <c r="F24" i="170"/>
  <c r="K410" i="209"/>
  <c r="F114" i="209"/>
  <c r="E11" i="221"/>
  <c r="G11" i="221"/>
  <c r="D11" i="221"/>
  <c r="F11" i="221"/>
  <c r="E11" i="15"/>
  <c r="G11" i="15"/>
  <c r="O26" i="15" s="1"/>
  <c r="F11" i="290"/>
  <c r="N26" i="290" s="1"/>
  <c r="F43" i="290" s="1"/>
  <c r="F47" i="290" s="1"/>
  <c r="T51" i="294" s="1"/>
  <c r="G11" i="290"/>
  <c r="D11" i="290"/>
  <c r="E11" i="162"/>
  <c r="D11" i="162"/>
  <c r="G11" i="11"/>
  <c r="D11" i="11"/>
  <c r="E11" i="11"/>
  <c r="F11" i="11"/>
  <c r="G11" i="296"/>
  <c r="E11" i="296"/>
  <c r="S710" i="209"/>
  <c r="S704" i="209"/>
  <c r="S706" i="209"/>
  <c r="E13" i="228"/>
  <c r="E17" i="228"/>
  <c r="G23" i="173"/>
  <c r="O286" i="246"/>
  <c r="R472" i="246"/>
  <c r="Q556" i="246"/>
  <c r="G48" i="308"/>
  <c r="O20" i="307" s="1"/>
  <c r="D28" i="228"/>
  <c r="G26" i="84"/>
  <c r="C32" i="171"/>
  <c r="D31" i="84"/>
  <c r="G13" i="170"/>
  <c r="F17" i="172"/>
  <c r="E16" i="170"/>
  <c r="H23" i="361"/>
  <c r="H37" i="361" s="1"/>
  <c r="P9" i="360" s="1"/>
  <c r="H25" i="361"/>
  <c r="H39" i="361" s="1"/>
  <c r="P11" i="295" s="1"/>
  <c r="H27" i="361"/>
  <c r="H41" i="361" s="1"/>
  <c r="P13" i="295" s="1"/>
  <c r="H29" i="361"/>
  <c r="H43" i="361" s="1"/>
  <c r="H33" i="361"/>
  <c r="C30" i="84"/>
  <c r="H21" i="79"/>
  <c r="P23" i="79" s="1"/>
  <c r="E21" i="356"/>
  <c r="M23" i="356" s="1"/>
  <c r="F21" i="356"/>
  <c r="N23" i="356" s="1"/>
  <c r="G7" i="356"/>
  <c r="N21" i="27"/>
  <c r="N27" i="27" s="1"/>
  <c r="R20" i="27"/>
  <c r="T20" i="27" s="1"/>
  <c r="D75" i="209"/>
  <c r="D135" i="209" s="1"/>
  <c r="D195" i="209" s="1"/>
  <c r="D255" i="209" s="1"/>
  <c r="D315" i="209" s="1"/>
  <c r="D375" i="209" s="1"/>
  <c r="D435" i="209" s="1"/>
  <c r="D495" i="209" s="1"/>
  <c r="D555" i="209" s="1"/>
  <c r="D615" i="209" s="1"/>
  <c r="D675" i="209" s="1"/>
  <c r="D735" i="209" s="1"/>
  <c r="U15" i="209"/>
  <c r="U75" i="209" s="1"/>
  <c r="U135" i="209" s="1"/>
  <c r="U195" i="209" s="1"/>
  <c r="U255" i="209" s="1"/>
  <c r="U315" i="209" s="1"/>
  <c r="U375" i="209" s="1"/>
  <c r="U435" i="209" s="1"/>
  <c r="U495" i="209" s="1"/>
  <c r="U555" i="209" s="1"/>
  <c r="U615" i="209" s="1"/>
  <c r="U675" i="209" s="1"/>
  <c r="U735" i="209" s="1"/>
  <c r="U19" i="246"/>
  <c r="U81" i="246" s="1"/>
  <c r="U143" i="246" s="1"/>
  <c r="U205" i="246" s="1"/>
  <c r="U267" i="246" s="1"/>
  <c r="U329" i="246" s="1"/>
  <c r="U391" i="246" s="1"/>
  <c r="U453" i="246" s="1"/>
  <c r="U515" i="246" s="1"/>
  <c r="U577" i="246" s="1"/>
  <c r="U639" i="246" s="1"/>
  <c r="U701" i="246" s="1"/>
  <c r="D81" i="246"/>
  <c r="D143" i="246" s="1"/>
  <c r="D205" i="246" s="1"/>
  <c r="D267" i="246" s="1"/>
  <c r="D329" i="246" s="1"/>
  <c r="D391" i="246" s="1"/>
  <c r="D453" i="246" s="1"/>
  <c r="D515" i="246" s="1"/>
  <c r="D577" i="246" s="1"/>
  <c r="D639" i="246" s="1"/>
  <c r="D701" i="246" s="1"/>
  <c r="D763" i="246" s="1"/>
  <c r="N14" i="155"/>
  <c r="R12" i="155"/>
  <c r="R14" i="155" s="1"/>
  <c r="E21" i="58"/>
  <c r="E21" i="213"/>
  <c r="M23" i="213" s="1"/>
  <c r="E7" i="213"/>
  <c r="E35" i="176"/>
  <c r="H7" i="176"/>
  <c r="L5" i="190"/>
  <c r="L7" i="190" s="1"/>
  <c r="H21" i="247"/>
  <c r="H21" i="270"/>
  <c r="P23" i="270" s="1"/>
  <c r="L5" i="270"/>
  <c r="L7" i="270" s="1"/>
  <c r="G35" i="295"/>
  <c r="G35" i="105"/>
  <c r="H21" i="118"/>
  <c r="P23" i="118" s="1"/>
  <c r="G21" i="79"/>
  <c r="O23" i="79" s="1"/>
  <c r="F35" i="9"/>
  <c r="G7" i="9"/>
  <c r="N29" i="296"/>
  <c r="E7" i="203"/>
  <c r="N7" i="334"/>
  <c r="F21" i="146"/>
  <c r="N23" i="146" s="1"/>
  <c r="N7" i="178"/>
  <c r="G21" i="271"/>
  <c r="O23" i="271" s="1"/>
  <c r="M7" i="353"/>
  <c r="F21" i="139"/>
  <c r="N23" i="139" s="1"/>
  <c r="D5" i="125"/>
  <c r="D21" i="125" s="1"/>
  <c r="L23" i="125" s="1"/>
  <c r="G35" i="356"/>
  <c r="F35" i="184"/>
  <c r="G35" i="325"/>
  <c r="G7" i="123"/>
  <c r="H21" i="123"/>
  <c r="P23" i="123" s="1"/>
  <c r="E35" i="123"/>
  <c r="F35" i="123"/>
  <c r="D5" i="123"/>
  <c r="D35" i="123" s="1"/>
  <c r="F21" i="123"/>
  <c r="N23" i="123" s="1"/>
  <c r="M23" i="225"/>
  <c r="M23" i="173"/>
  <c r="G7" i="215"/>
  <c r="E35" i="215"/>
  <c r="E7" i="215"/>
  <c r="F35" i="215"/>
  <c r="H7" i="215"/>
  <c r="H35" i="215"/>
  <c r="D5" i="215"/>
  <c r="D35" i="215" s="1"/>
  <c r="H21" i="215"/>
  <c r="P23" i="215" s="1"/>
  <c r="H7" i="105"/>
  <c r="F21" i="10"/>
  <c r="N23" i="10" s="1"/>
  <c r="F21" i="79"/>
  <c r="N23" i="79" s="1"/>
  <c r="G35" i="290"/>
  <c r="F21" i="271"/>
  <c r="N23" i="271" s="1"/>
  <c r="H35" i="196"/>
  <c r="D5" i="196"/>
  <c r="E21" i="196"/>
  <c r="M23" i="196" s="1"/>
  <c r="F35" i="196"/>
  <c r="G7" i="196"/>
  <c r="H21" i="196"/>
  <c r="P23" i="196" s="1"/>
  <c r="F21" i="84"/>
  <c r="F35" i="84"/>
  <c r="H21" i="171"/>
  <c r="H35" i="171"/>
  <c r="G15" i="176"/>
  <c r="R12" i="124"/>
  <c r="G35" i="58"/>
  <c r="H35" i="213"/>
  <c r="O7" i="213"/>
  <c r="G21" i="176"/>
  <c r="O23" i="176" s="1"/>
  <c r="P7" i="39"/>
  <c r="P7" i="190"/>
  <c r="P7" i="337"/>
  <c r="F21" i="284"/>
  <c r="N23" i="284" s="1"/>
  <c r="G35" i="6"/>
  <c r="F21" i="270"/>
  <c r="N23" i="270" s="1"/>
  <c r="D5" i="270"/>
  <c r="D7" i="270" s="1"/>
  <c r="M7" i="345"/>
  <c r="N29" i="295"/>
  <c r="H35" i="7"/>
  <c r="H7" i="7"/>
  <c r="G7" i="105"/>
  <c r="L5" i="216"/>
  <c r="L7" i="216" s="1"/>
  <c r="N7" i="118"/>
  <c r="N7" i="191"/>
  <c r="P7" i="10"/>
  <c r="H35" i="79"/>
  <c r="H7" i="79"/>
  <c r="L5" i="296"/>
  <c r="F21" i="203"/>
  <c r="N23" i="203" s="1"/>
  <c r="D5" i="203"/>
  <c r="D7" i="203" s="1"/>
  <c r="M7" i="146"/>
  <c r="P29" i="333"/>
  <c r="N7" i="333"/>
  <c r="E35" i="162"/>
  <c r="M7" i="162"/>
  <c r="G35" i="178"/>
  <c r="H7" i="178"/>
  <c r="P29" i="290"/>
  <c r="F21" i="290"/>
  <c r="H35" i="271"/>
  <c r="H7" i="271"/>
  <c r="G7" i="4"/>
  <c r="H7" i="4"/>
  <c r="F21" i="4"/>
  <c r="N23" i="4" s="1"/>
  <c r="E35" i="4"/>
  <c r="M7" i="192"/>
  <c r="P7" i="307"/>
  <c r="L5" i="307"/>
  <c r="L7" i="307" s="1"/>
  <c r="N7" i="307"/>
  <c r="O23" i="308"/>
  <c r="P7" i="137"/>
  <c r="N7" i="137"/>
  <c r="O7" i="137"/>
  <c r="L5" i="137"/>
  <c r="L7" i="137" s="1"/>
  <c r="M23" i="103"/>
  <c r="F21" i="104"/>
  <c r="G35" i="225"/>
  <c r="G21" i="225"/>
  <c r="O7" i="165"/>
  <c r="L5" i="165"/>
  <c r="L7" i="165" s="1"/>
  <c r="M7" i="165"/>
  <c r="P7" i="165"/>
  <c r="N7" i="165"/>
  <c r="H35" i="105"/>
  <c r="H21" i="146"/>
  <c r="P23" i="146" s="1"/>
  <c r="F21" i="44"/>
  <c r="G35" i="213"/>
  <c r="F21" i="176"/>
  <c r="N23" i="176" s="1"/>
  <c r="D5" i="176"/>
  <c r="D21" i="176" s="1"/>
  <c r="L23" i="176" s="1"/>
  <c r="N7" i="190"/>
  <c r="O7" i="337"/>
  <c r="O7" i="270"/>
  <c r="H7" i="345"/>
  <c r="F21" i="105"/>
  <c r="N23" i="105" s="1"/>
  <c r="F7" i="105"/>
  <c r="H35" i="118"/>
  <c r="G35" i="79"/>
  <c r="F7" i="79"/>
  <c r="L5" i="11"/>
  <c r="L7" i="11" s="1"/>
  <c r="H7" i="146"/>
  <c r="G35" i="271"/>
  <c r="F7" i="271"/>
  <c r="G21" i="215"/>
  <c r="O23" i="215" s="1"/>
  <c r="G21" i="196"/>
  <c r="O23" i="196" s="1"/>
  <c r="H7" i="356"/>
  <c r="F35" i="14"/>
  <c r="H35" i="361"/>
  <c r="F21" i="361"/>
  <c r="F35" i="361"/>
  <c r="M7" i="355"/>
  <c r="N7" i="355"/>
  <c r="O7" i="355"/>
  <c r="L5" i="355"/>
  <c r="L7" i="355" s="1"/>
  <c r="O7" i="194"/>
  <c r="N7" i="194"/>
  <c r="N23" i="173"/>
  <c r="O23" i="173"/>
  <c r="M23" i="223"/>
  <c r="M23" i="175"/>
  <c r="M23" i="170"/>
  <c r="P23" i="173"/>
  <c r="M23" i="228"/>
  <c r="M23" i="174"/>
  <c r="M23" i="231"/>
  <c r="N23" i="175"/>
  <c r="N23" i="170"/>
  <c r="N23" i="228"/>
  <c r="N23" i="174"/>
  <c r="N23" i="231"/>
  <c r="O23" i="175"/>
  <c r="O23" i="170"/>
  <c r="M23" i="229"/>
  <c r="O23" i="228"/>
  <c r="M23" i="328"/>
  <c r="M23" i="327"/>
  <c r="O23" i="174"/>
  <c r="O23" i="231"/>
  <c r="N23" i="212"/>
  <c r="M23" i="309"/>
  <c r="N23" i="226"/>
  <c r="P23" i="223"/>
  <c r="L5" i="194"/>
  <c r="O23" i="229"/>
  <c r="O23" i="328"/>
  <c r="O23" i="327"/>
  <c r="M7" i="194"/>
  <c r="P23" i="228"/>
  <c r="P23" i="174"/>
  <c r="N23" i="225"/>
  <c r="O23" i="309"/>
  <c r="O23" i="223"/>
  <c r="O23" i="184"/>
  <c r="P23" i="308"/>
  <c r="P23" i="175"/>
  <c r="M23" i="212"/>
  <c r="O23" i="225"/>
  <c r="P23" i="309"/>
  <c r="M23" i="171"/>
  <c r="M23" i="361"/>
  <c r="P23" i="184"/>
  <c r="N23" i="328"/>
  <c r="P23" i="231"/>
  <c r="P23" i="212"/>
  <c r="M23" i="226"/>
  <c r="M23" i="172"/>
  <c r="O23" i="171"/>
  <c r="O23" i="361"/>
  <c r="M23" i="84"/>
  <c r="M23" i="104"/>
  <c r="N23" i="103"/>
  <c r="N23" i="185"/>
  <c r="P23" i="328"/>
  <c r="O23" i="226"/>
  <c r="N23" i="172"/>
  <c r="P23" i="171"/>
  <c r="P23" i="361"/>
  <c r="N23" i="84"/>
  <c r="N23" i="104"/>
  <c r="O23" i="103"/>
  <c r="M23" i="186"/>
  <c r="O23" i="185"/>
  <c r="N23" i="229"/>
  <c r="N23" i="327"/>
  <c r="P23" i="172"/>
  <c r="P23" i="84"/>
  <c r="P23" i="104"/>
  <c r="M23" i="184"/>
  <c r="N23" i="308"/>
  <c r="O23" i="186"/>
  <c r="O7" i="187"/>
  <c r="M7" i="187"/>
  <c r="N7" i="187"/>
  <c r="P7" i="187"/>
  <c r="L5" i="187"/>
  <c r="L7" i="187" s="1"/>
  <c r="F21" i="345"/>
  <c r="N23" i="345" s="1"/>
  <c r="L5" i="125"/>
  <c r="L7" i="125" s="1"/>
  <c r="M7" i="125"/>
  <c r="H21" i="125"/>
  <c r="P23" i="125" s="1"/>
  <c r="G21" i="125"/>
  <c r="O23" i="125" s="1"/>
  <c r="H7" i="125"/>
  <c r="E35" i="125"/>
  <c r="G35" i="215"/>
  <c r="H7" i="325"/>
  <c r="H35" i="325"/>
  <c r="D5" i="325"/>
  <c r="E21" i="325"/>
  <c r="F7" i="325"/>
  <c r="G21" i="325"/>
  <c r="F35" i="325"/>
  <c r="Q743" i="209"/>
  <c r="M7" i="190"/>
  <c r="M7" i="337"/>
  <c r="E35" i="345"/>
  <c r="H7" i="118"/>
  <c r="E7" i="271"/>
  <c r="O7" i="125"/>
  <c r="H21" i="13"/>
  <c r="P23" i="13" s="1"/>
  <c r="D5" i="13"/>
  <c r="D21" i="13" s="1"/>
  <c r="L23" i="13" s="1"/>
  <c r="F21" i="13"/>
  <c r="N23" i="13" s="1"/>
  <c r="H7" i="13"/>
  <c r="E35" i="13"/>
  <c r="F21" i="215"/>
  <c r="N23" i="215" s="1"/>
  <c r="F21" i="196"/>
  <c r="N23" i="196" s="1"/>
  <c r="F7" i="356"/>
  <c r="F21" i="325"/>
  <c r="H35" i="141"/>
  <c r="D5" i="141"/>
  <c r="D35" i="141" s="1"/>
  <c r="G21" i="141"/>
  <c r="O23" i="141" s="1"/>
  <c r="H21" i="141"/>
  <c r="P23" i="141" s="1"/>
  <c r="F7" i="141"/>
  <c r="F35" i="141"/>
  <c r="H7" i="141"/>
  <c r="G35" i="141"/>
  <c r="G35" i="103"/>
  <c r="G21" i="103"/>
  <c r="G35" i="212"/>
  <c r="G21" i="212"/>
  <c r="H21" i="271"/>
  <c r="P23" i="271" s="1"/>
  <c r="R13" i="70"/>
  <c r="T12" i="70"/>
  <c r="T13" i="70" s="1"/>
  <c r="D15" i="125" s="1"/>
  <c r="F35" i="105"/>
  <c r="F21" i="118"/>
  <c r="N23" i="118" s="1"/>
  <c r="E21" i="146"/>
  <c r="M23" i="146" s="1"/>
  <c r="E7" i="139"/>
  <c r="H35" i="139"/>
  <c r="O7" i="362"/>
  <c r="M7" i="362"/>
  <c r="N29" i="362"/>
  <c r="N7" i="362"/>
  <c r="O29" i="362"/>
  <c r="L5" i="362"/>
  <c r="L29" i="362" s="1"/>
  <c r="H35" i="14"/>
  <c r="H7" i="14"/>
  <c r="G35" i="14"/>
  <c r="D5" i="14"/>
  <c r="D35" i="14" s="1"/>
  <c r="F21" i="14"/>
  <c r="N23" i="14" s="1"/>
  <c r="G21" i="14"/>
  <c r="O23" i="14" s="1"/>
  <c r="E7" i="14"/>
  <c r="E35" i="14"/>
  <c r="E35" i="325"/>
  <c r="T19" i="37"/>
  <c r="U13" i="209"/>
  <c r="U73" i="209" s="1"/>
  <c r="U133" i="209" s="1"/>
  <c r="U193" i="209" s="1"/>
  <c r="U253" i="209" s="1"/>
  <c r="U313" i="209" s="1"/>
  <c r="U373" i="209" s="1"/>
  <c r="U433" i="209" s="1"/>
  <c r="U493" i="209" s="1"/>
  <c r="U553" i="209" s="1"/>
  <c r="U613" i="209" s="1"/>
  <c r="U673" i="209" s="1"/>
  <c r="U733" i="209" s="1"/>
  <c r="D73" i="209"/>
  <c r="D133" i="209" s="1"/>
  <c r="D193" i="209" s="1"/>
  <c r="D253" i="209" s="1"/>
  <c r="D313" i="209" s="1"/>
  <c r="D373" i="209" s="1"/>
  <c r="D433" i="209" s="1"/>
  <c r="D493" i="209" s="1"/>
  <c r="D553" i="209" s="1"/>
  <c r="D613" i="209" s="1"/>
  <c r="D673" i="209" s="1"/>
  <c r="D733" i="209" s="1"/>
  <c r="H21" i="18"/>
  <c r="F35" i="213"/>
  <c r="M7" i="284"/>
  <c r="F7" i="345"/>
  <c r="E21" i="105"/>
  <c r="M23" i="105" s="1"/>
  <c r="E7" i="105"/>
  <c r="G35" i="118"/>
  <c r="F35" i="79"/>
  <c r="E7" i="79"/>
  <c r="P7" i="203"/>
  <c r="G7" i="146"/>
  <c r="F35" i="271"/>
  <c r="E35" i="183"/>
  <c r="F7" i="183"/>
  <c r="H7" i="213"/>
  <c r="H35" i="176"/>
  <c r="N7" i="176"/>
  <c r="E35" i="39"/>
  <c r="F7" i="39"/>
  <c r="H7" i="190"/>
  <c r="L5" i="101"/>
  <c r="L7" i="101" s="1"/>
  <c r="H7" i="337"/>
  <c r="H7" i="284"/>
  <c r="G7" i="6"/>
  <c r="G35" i="270"/>
  <c r="M7" i="270"/>
  <c r="M7" i="295"/>
  <c r="E35" i="7"/>
  <c r="P7" i="105"/>
  <c r="O7" i="216"/>
  <c r="H7" i="91"/>
  <c r="F35" i="118"/>
  <c r="F7" i="118"/>
  <c r="L5" i="191"/>
  <c r="L7" i="191" s="1"/>
  <c r="M7" i="10"/>
  <c r="E35" i="79"/>
  <c r="E21" i="9"/>
  <c r="M23" i="9" s="1"/>
  <c r="O7" i="296"/>
  <c r="M7" i="203"/>
  <c r="N7" i="11"/>
  <c r="F35" i="146"/>
  <c r="F7" i="146"/>
  <c r="M29" i="333"/>
  <c r="H7" i="333"/>
  <c r="H21" i="162"/>
  <c r="P23" i="162" s="1"/>
  <c r="E7" i="162"/>
  <c r="H21" i="178"/>
  <c r="P23" i="178" s="1"/>
  <c r="E7" i="178"/>
  <c r="M29" i="290"/>
  <c r="M7" i="290"/>
  <c r="E35" i="271"/>
  <c r="G7" i="139"/>
  <c r="N7" i="125"/>
  <c r="G21" i="13"/>
  <c r="O23" i="13" s="1"/>
  <c r="F7" i="215"/>
  <c r="L5" i="97"/>
  <c r="L7" i="97" s="1"/>
  <c r="M7" i="97"/>
  <c r="N7" i="97"/>
  <c r="P7" i="97"/>
  <c r="E35" i="185"/>
  <c r="E21" i="185"/>
  <c r="E35" i="186"/>
  <c r="E21" i="186"/>
  <c r="G35" i="308"/>
  <c r="G21" i="308"/>
  <c r="N23" i="184"/>
  <c r="L5" i="360"/>
  <c r="O7" i="360"/>
  <c r="P7" i="360"/>
  <c r="M29" i="360"/>
  <c r="O29" i="360"/>
  <c r="P29" i="360"/>
  <c r="M7" i="360"/>
  <c r="G7" i="315"/>
  <c r="E35" i="315"/>
  <c r="F35" i="315"/>
  <c r="H7" i="315"/>
  <c r="F21" i="315"/>
  <c r="N23" i="315" s="1"/>
  <c r="D5" i="204"/>
  <c r="D7" i="204" s="1"/>
  <c r="F21" i="204"/>
  <c r="N23" i="204" s="1"/>
  <c r="G35" i="204"/>
  <c r="E7" i="204"/>
  <c r="G21" i="204"/>
  <c r="O23" i="204" s="1"/>
  <c r="H35" i="204"/>
  <c r="G7" i="204"/>
  <c r="H7" i="204"/>
  <c r="E35" i="204"/>
  <c r="P7" i="279"/>
  <c r="N7" i="279"/>
  <c r="O7" i="279"/>
  <c r="L5" i="279"/>
  <c r="L7" i="279" s="1"/>
  <c r="O23" i="84"/>
  <c r="H35" i="223"/>
  <c r="F21" i="226"/>
  <c r="G21" i="123"/>
  <c r="O23" i="123" s="1"/>
  <c r="M7" i="178"/>
  <c r="O7" i="154"/>
  <c r="L5" i="154"/>
  <c r="L7" i="154" s="1"/>
  <c r="M7" i="154"/>
  <c r="E35" i="196"/>
  <c r="N7" i="270"/>
  <c r="G7" i="213"/>
  <c r="G35" i="176"/>
  <c r="E7" i="337"/>
  <c r="F35" i="284"/>
  <c r="G7" i="284"/>
  <c r="F21" i="6"/>
  <c r="N23" i="6" s="1"/>
  <c r="F7" i="6"/>
  <c r="F35" i="270"/>
  <c r="G21" i="345"/>
  <c r="O23" i="345" s="1"/>
  <c r="D5" i="345"/>
  <c r="D7" i="345" s="1"/>
  <c r="N7" i="216"/>
  <c r="E35" i="118"/>
  <c r="E7" i="118"/>
  <c r="H7" i="10"/>
  <c r="D5" i="79"/>
  <c r="D7" i="79" s="1"/>
  <c r="P29" i="296"/>
  <c r="N7" i="296"/>
  <c r="E35" i="203"/>
  <c r="H7" i="203"/>
  <c r="M7" i="11"/>
  <c r="P7" i="334"/>
  <c r="F21" i="178"/>
  <c r="N23" i="178" s="1"/>
  <c r="L5" i="178"/>
  <c r="L7" i="178" s="1"/>
  <c r="H7" i="290"/>
  <c r="D5" i="271"/>
  <c r="D7" i="271" s="1"/>
  <c r="G35" i="139"/>
  <c r="F7" i="139"/>
  <c r="O7" i="192"/>
  <c r="N7" i="192"/>
  <c r="H7" i="196"/>
  <c r="P7" i="362"/>
  <c r="L5" i="95"/>
  <c r="L7" i="95" s="1"/>
  <c r="M7" i="95"/>
  <c r="O7" i="95"/>
  <c r="H21" i="313"/>
  <c r="P23" i="313" s="1"/>
  <c r="E7" i="313"/>
  <c r="G35" i="313"/>
  <c r="H7" i="313"/>
  <c r="H35" i="313"/>
  <c r="F21" i="313"/>
  <c r="N23" i="313" s="1"/>
  <c r="F7" i="14"/>
  <c r="G7" i="325"/>
  <c r="G7" i="360"/>
  <c r="H35" i="360"/>
  <c r="F7" i="360"/>
  <c r="F21" i="360"/>
  <c r="N23" i="360" s="1"/>
  <c r="H7" i="360"/>
  <c r="G21" i="360"/>
  <c r="O23" i="360" s="1"/>
  <c r="D5" i="360"/>
  <c r="E35" i="360"/>
  <c r="E35" i="103"/>
  <c r="E21" i="103"/>
  <c r="E35" i="212"/>
  <c r="E21" i="212"/>
  <c r="P7" i="188"/>
  <c r="N7" i="188"/>
  <c r="M7" i="188"/>
  <c r="F35" i="362"/>
  <c r="E21" i="362"/>
  <c r="M23" i="362" s="1"/>
  <c r="E35" i="354"/>
  <c r="E35" i="184"/>
  <c r="H7" i="219"/>
  <c r="E35" i="137"/>
  <c r="H7" i="137"/>
  <c r="N7" i="141"/>
  <c r="P7" i="204"/>
  <c r="H35" i="279"/>
  <c r="F21" i="279"/>
  <c r="N23" i="279" s="1"/>
  <c r="M7" i="126"/>
  <c r="N7" i="126"/>
  <c r="O7" i="126"/>
  <c r="L5" i="126"/>
  <c r="L7" i="126" s="1"/>
  <c r="L5" i="123"/>
  <c r="L7" i="123" s="1"/>
  <c r="M7" i="123"/>
  <c r="O7" i="324"/>
  <c r="M23" i="324"/>
  <c r="M7" i="324"/>
  <c r="N23" i="324"/>
  <c r="P7" i="324"/>
  <c r="O23" i="324"/>
  <c r="P23" i="324"/>
  <c r="H35" i="95"/>
  <c r="F21" i="95"/>
  <c r="N23" i="95" s="1"/>
  <c r="H7" i="354"/>
  <c r="G35" i="189"/>
  <c r="E35" i="72"/>
  <c r="N29" i="325"/>
  <c r="F21" i="137"/>
  <c r="N23" i="137" s="1"/>
  <c r="E35" i="279"/>
  <c r="H35" i="172"/>
  <c r="F35" i="309"/>
  <c r="F21" i="309"/>
  <c r="D5" i="15"/>
  <c r="E35" i="15"/>
  <c r="E7" i="15"/>
  <c r="G21" i="15"/>
  <c r="O23" i="15" s="1"/>
  <c r="H35" i="15"/>
  <c r="P7" i="338"/>
  <c r="M7" i="338"/>
  <c r="L5" i="338"/>
  <c r="L7" i="338" s="1"/>
  <c r="O7" i="202"/>
  <c r="M7" i="202"/>
  <c r="N7" i="202"/>
  <c r="N7" i="139"/>
  <c r="M7" i="4"/>
  <c r="E35" i="192"/>
  <c r="H7" i="192"/>
  <c r="N7" i="196"/>
  <c r="H35" i="97"/>
  <c r="F7" i="97"/>
  <c r="G7" i="362"/>
  <c r="F21" i="354"/>
  <c r="N23" i="354" s="1"/>
  <c r="E7" i="354"/>
  <c r="E35" i="189"/>
  <c r="F7" i="189"/>
  <c r="G21" i="72"/>
  <c r="O23" i="72" s="1"/>
  <c r="M7" i="14"/>
  <c r="O35" i="325"/>
  <c r="O23" i="325"/>
  <c r="M7" i="325"/>
  <c r="H7" i="279"/>
  <c r="M7" i="15"/>
  <c r="E7" i="188"/>
  <c r="F21" i="188"/>
  <c r="N23" i="188" s="1"/>
  <c r="H21" i="355"/>
  <c r="P23" i="355" s="1"/>
  <c r="H7" i="355"/>
  <c r="F35" i="355"/>
  <c r="G35" i="355"/>
  <c r="H35" i="355"/>
  <c r="E7" i="151"/>
  <c r="F21" i="151"/>
  <c r="N23" i="151" s="1"/>
  <c r="H21" i="151"/>
  <c r="P23" i="151" s="1"/>
  <c r="F35" i="151"/>
  <c r="F21" i="353"/>
  <c r="N23" i="353" s="1"/>
  <c r="G7" i="192"/>
  <c r="M7" i="196"/>
  <c r="G35" i="97"/>
  <c r="N7" i="99"/>
  <c r="H35" i="362"/>
  <c r="H21" i="362"/>
  <c r="P23" i="362" s="1"/>
  <c r="F7" i="362"/>
  <c r="H35" i="354"/>
  <c r="M7" i="356"/>
  <c r="F21" i="72"/>
  <c r="N23" i="72" s="1"/>
  <c r="N7" i="219"/>
  <c r="N23" i="325"/>
  <c r="G35" i="137"/>
  <c r="H21" i="279"/>
  <c r="P23" i="279" s="1"/>
  <c r="G7" i="279"/>
  <c r="H21" i="84"/>
  <c r="H7" i="15"/>
  <c r="D5" i="220"/>
  <c r="D7" i="220" s="1"/>
  <c r="E21" i="220"/>
  <c r="M23" i="220" s="1"/>
  <c r="G35" i="220"/>
  <c r="F21" i="220"/>
  <c r="N23" i="220" s="1"/>
  <c r="H35" i="220"/>
  <c r="E7" i="220"/>
  <c r="G21" i="220"/>
  <c r="O23" i="220" s="1"/>
  <c r="F7" i="220"/>
  <c r="H21" i="220"/>
  <c r="P23" i="220" s="1"/>
  <c r="M29" i="289"/>
  <c r="E35" i="338"/>
  <c r="F35" i="241"/>
  <c r="H35" i="324"/>
  <c r="D5" i="324"/>
  <c r="F21" i="221"/>
  <c r="N23" i="221" s="1"/>
  <c r="L5" i="221"/>
  <c r="L7" i="221" s="1"/>
  <c r="H7" i="349"/>
  <c r="G21" i="289"/>
  <c r="O23" i="289" s="1"/>
  <c r="F35" i="16"/>
  <c r="E21" i="16"/>
  <c r="M23" i="16" s="1"/>
  <c r="E7" i="16"/>
  <c r="M29" i="293"/>
  <c r="L5" i="293"/>
  <c r="M7" i="160"/>
  <c r="F21" i="347"/>
  <c r="N23" i="347" s="1"/>
  <c r="E7" i="347"/>
  <c r="G21" i="156"/>
  <c r="O23" i="156" s="1"/>
  <c r="G35" i="288"/>
  <c r="H21" i="288"/>
  <c r="P23" i="288" s="1"/>
  <c r="G7" i="288"/>
  <c r="O7" i="195"/>
  <c r="F35" i="165"/>
  <c r="F21" i="289"/>
  <c r="N23" i="289" s="1"/>
  <c r="L5" i="347"/>
  <c r="L7" i="347" s="1"/>
  <c r="F21" i="156"/>
  <c r="N23" i="156" s="1"/>
  <c r="F35" i="288"/>
  <c r="G21" i="288"/>
  <c r="O23" i="288" s="1"/>
  <c r="F7" i="288"/>
  <c r="N7" i="195"/>
  <c r="F35" i="166"/>
  <c r="H7" i="165"/>
  <c r="I645" i="209"/>
  <c r="L26" i="219"/>
  <c r="D46" i="219"/>
  <c r="D45" i="219"/>
  <c r="I165" i="209" s="1"/>
  <c r="I705" i="209"/>
  <c r="D18" i="219"/>
  <c r="O645" i="209"/>
  <c r="D44" i="219"/>
  <c r="O105" i="209" s="1"/>
  <c r="D46" i="333"/>
  <c r="M137" i="294"/>
  <c r="D18" i="333"/>
  <c r="L26" i="333"/>
  <c r="H21" i="241"/>
  <c r="P23" i="241" s="1"/>
  <c r="F35" i="324"/>
  <c r="M7" i="289"/>
  <c r="M7" i="156"/>
  <c r="E35" i="288"/>
  <c r="F21" i="288"/>
  <c r="N23" i="288" s="1"/>
  <c r="M7" i="195"/>
  <c r="H21" i="166"/>
  <c r="P23" i="166" s="1"/>
  <c r="G7" i="165"/>
  <c r="F21" i="241"/>
  <c r="N23" i="241" s="1"/>
  <c r="E35" i="324"/>
  <c r="H7" i="202"/>
  <c r="G35" i="349"/>
  <c r="H35" i="289"/>
  <c r="H7" i="289"/>
  <c r="O7" i="16"/>
  <c r="O7" i="293"/>
  <c r="H35" i="126"/>
  <c r="H7" i="126"/>
  <c r="H7" i="156"/>
  <c r="E21" i="288"/>
  <c r="M23" i="288" s="1"/>
  <c r="E21" i="328"/>
  <c r="L5" i="195"/>
  <c r="L7" i="195" s="1"/>
  <c r="F21" i="166"/>
  <c r="N23" i="166" s="1"/>
  <c r="H21" i="165"/>
  <c r="P23" i="165" s="1"/>
  <c r="E7" i="165"/>
  <c r="O7" i="151"/>
  <c r="H7" i="166"/>
  <c r="P15" i="241"/>
  <c r="P19" i="241"/>
  <c r="E14" i="79"/>
  <c r="F14" i="79" s="1"/>
  <c r="G14" i="79" s="1"/>
  <c r="T11" i="36"/>
  <c r="T24" i="37"/>
  <c r="G38" i="344"/>
  <c r="G37" i="344"/>
  <c r="G39" i="344"/>
  <c r="G40" i="344"/>
  <c r="G42" i="344"/>
  <c r="G41" i="344"/>
  <c r="J716" i="209"/>
  <c r="J656" i="209"/>
  <c r="M26" i="241"/>
  <c r="E46" i="241"/>
  <c r="E45" i="241"/>
  <c r="J176" i="209" s="1"/>
  <c r="P656" i="209"/>
  <c r="E18" i="241"/>
  <c r="G14" i="178"/>
  <c r="G14" i="225" s="1"/>
  <c r="E14" i="104"/>
  <c r="E14" i="84" s="1"/>
  <c r="F14" i="118"/>
  <c r="V14" i="33"/>
  <c r="V13" i="33"/>
  <c r="F356" i="209"/>
  <c r="F776" i="209"/>
  <c r="F476" i="209"/>
  <c r="F56" i="209"/>
  <c r="F296" i="209"/>
  <c r="F596" i="209"/>
  <c r="O20" i="213"/>
  <c r="O20" i="105"/>
  <c r="R11" i="100"/>
  <c r="T11" i="100" s="1"/>
  <c r="O20" i="324"/>
  <c r="O20" i="325"/>
  <c r="F142" i="209"/>
  <c r="F622" i="209"/>
  <c r="F382" i="209"/>
  <c r="F682" i="209"/>
  <c r="F742" i="209"/>
  <c r="F502" i="209"/>
  <c r="F262" i="209"/>
  <c r="F322" i="209"/>
  <c r="D94" i="209"/>
  <c r="D154" i="209" s="1"/>
  <c r="D214" i="209" s="1"/>
  <c r="D274" i="209" s="1"/>
  <c r="D334" i="209" s="1"/>
  <c r="D394" i="209" s="1"/>
  <c r="D454" i="209" s="1"/>
  <c r="D514" i="209" s="1"/>
  <c r="D574" i="209" s="1"/>
  <c r="D634" i="209" s="1"/>
  <c r="D694" i="209" s="1"/>
  <c r="D754" i="209" s="1"/>
  <c r="R23" i="37"/>
  <c r="R25" i="37" s="1"/>
  <c r="T32" i="37"/>
  <c r="R33" i="37"/>
  <c r="D105" i="209"/>
  <c r="D165" i="209" s="1"/>
  <c r="D225" i="209" s="1"/>
  <c r="D285" i="209" s="1"/>
  <c r="D345" i="209" s="1"/>
  <c r="D405" i="209" s="1"/>
  <c r="D465" i="209" s="1"/>
  <c r="D525" i="209" s="1"/>
  <c r="D585" i="209" s="1"/>
  <c r="D645" i="209" s="1"/>
  <c r="D705" i="209" s="1"/>
  <c r="D765" i="209" s="1"/>
  <c r="U45" i="209"/>
  <c r="U105" i="209" s="1"/>
  <c r="U165" i="209" s="1"/>
  <c r="U225" i="209" s="1"/>
  <c r="U285" i="209" s="1"/>
  <c r="U345" i="209" s="1"/>
  <c r="U405" i="209" s="1"/>
  <c r="U465" i="209" s="1"/>
  <c r="U525" i="209" s="1"/>
  <c r="U585" i="209" s="1"/>
  <c r="U645" i="209" s="1"/>
  <c r="U705" i="209" s="1"/>
  <c r="U765" i="209" s="1"/>
  <c r="S476" i="209"/>
  <c r="S515" i="209"/>
  <c r="S526" i="209"/>
  <c r="F368" i="246"/>
  <c r="F112" i="209"/>
  <c r="F172" i="209" s="1"/>
  <c r="F232" i="209" s="1"/>
  <c r="F292" i="209" s="1"/>
  <c r="F352" i="209" s="1"/>
  <c r="F412" i="209" s="1"/>
  <c r="F472" i="209" s="1"/>
  <c r="F532" i="209" s="1"/>
  <c r="F592" i="209" s="1"/>
  <c r="F652" i="209" s="1"/>
  <c r="F712" i="209" s="1"/>
  <c r="F772" i="209" s="1"/>
  <c r="F244" i="246"/>
  <c r="S447" i="209"/>
  <c r="D18" i="97"/>
  <c r="U36" i="209"/>
  <c r="U96" i="209" s="1"/>
  <c r="U156" i="209" s="1"/>
  <c r="U216" i="209" s="1"/>
  <c r="U276" i="209" s="1"/>
  <c r="U336" i="209" s="1"/>
  <c r="U396" i="209" s="1"/>
  <c r="U456" i="209" s="1"/>
  <c r="U516" i="209" s="1"/>
  <c r="U576" i="209" s="1"/>
  <c r="U636" i="209" s="1"/>
  <c r="U696" i="209" s="1"/>
  <c r="U756" i="209" s="1"/>
  <c r="T16" i="37"/>
  <c r="F18" i="196"/>
  <c r="F678" i="246"/>
  <c r="F492" i="246"/>
  <c r="F15" i="118"/>
  <c r="T11" i="80"/>
  <c r="R13" i="27"/>
  <c r="T13" i="27" s="1"/>
  <c r="T15" i="29"/>
  <c r="S455" i="209"/>
  <c r="S458" i="209"/>
  <c r="S467" i="209"/>
  <c r="R21" i="29"/>
  <c r="S496" i="209"/>
  <c r="M26" i="188"/>
  <c r="E43" i="188" s="1"/>
  <c r="E47" i="188" s="1"/>
  <c r="P168" i="246" s="1"/>
  <c r="E18" i="188"/>
  <c r="L417" i="209"/>
  <c r="D13" i="184"/>
  <c r="F11" i="203"/>
  <c r="F18" i="203" s="1"/>
  <c r="D14" i="173"/>
  <c r="H24" i="361"/>
  <c r="H38" i="361" s="1"/>
  <c r="P10" i="360" s="1"/>
  <c r="H26" i="361"/>
  <c r="H40" i="361" s="1"/>
  <c r="P12" i="360" s="1"/>
  <c r="H28" i="361"/>
  <c r="H42" i="361" s="1"/>
  <c r="P14" i="360" s="1"/>
  <c r="H32" i="361"/>
  <c r="T11" i="129"/>
  <c r="D11" i="270"/>
  <c r="I734" i="246" s="1"/>
  <c r="M734" i="246" s="1"/>
  <c r="F11" i="141"/>
  <c r="D15" i="173"/>
  <c r="S395" i="209"/>
  <c r="M413" i="209"/>
  <c r="S414" i="209"/>
  <c r="S430" i="209"/>
  <c r="M431" i="209"/>
  <c r="S456" i="209"/>
  <c r="M525" i="209"/>
  <c r="M528" i="209"/>
  <c r="S554" i="209"/>
  <c r="S566" i="246"/>
  <c r="S578" i="246"/>
  <c r="S734" i="246"/>
  <c r="H26" i="186"/>
  <c r="H40" i="186" s="1"/>
  <c r="F11" i="188"/>
  <c r="N26" i="188" s="1"/>
  <c r="F43" i="188" s="1"/>
  <c r="F47" i="188" s="1"/>
  <c r="Q168" i="246" s="1"/>
  <c r="T17" i="27"/>
  <c r="M399" i="209"/>
  <c r="S412" i="209"/>
  <c r="M587" i="209"/>
  <c r="M577" i="209"/>
  <c r="S670" i="209"/>
  <c r="S672" i="209"/>
  <c r="S675" i="209"/>
  <c r="S383" i="246"/>
  <c r="S422" i="246"/>
  <c r="M442" i="246"/>
  <c r="M445" i="246"/>
  <c r="M446" i="246"/>
  <c r="M448" i="246"/>
  <c r="M454" i="246"/>
  <c r="M455" i="246"/>
  <c r="M461" i="246"/>
  <c r="M464" i="246"/>
  <c r="M465" i="246"/>
  <c r="K596" i="246"/>
  <c r="R308" i="246"/>
  <c r="J556" i="246"/>
  <c r="O618" i="246"/>
  <c r="T12" i="161"/>
  <c r="T27" i="34"/>
  <c r="T29" i="34" s="1"/>
  <c r="M455" i="209"/>
  <c r="M465" i="209"/>
  <c r="M468" i="209"/>
  <c r="S489" i="209"/>
  <c r="M494" i="209"/>
  <c r="S694" i="209"/>
  <c r="D15" i="228"/>
  <c r="P12" i="292"/>
  <c r="T19" i="129"/>
  <c r="M430" i="209"/>
  <c r="M554" i="209"/>
  <c r="T13" i="129"/>
  <c r="S545" i="246"/>
  <c r="M421" i="246"/>
  <c r="Q456" i="246"/>
  <c r="H29" i="223"/>
  <c r="AA36" i="292"/>
  <c r="Q302" i="246"/>
  <c r="M517" i="246"/>
  <c r="M453" i="246"/>
  <c r="M513" i="246"/>
  <c r="F25" i="171"/>
  <c r="M451" i="246"/>
  <c r="I332" i="246"/>
  <c r="D16" i="171"/>
  <c r="M524" i="209"/>
  <c r="I590" i="209"/>
  <c r="AA21" i="292"/>
  <c r="L350" i="209"/>
  <c r="G28" i="170"/>
  <c r="C32" i="170"/>
  <c r="F33" i="170"/>
  <c r="H27" i="212"/>
  <c r="H41" i="212" s="1"/>
  <c r="M210" i="209" s="1"/>
  <c r="S566" i="209"/>
  <c r="C31" i="173"/>
  <c r="F27" i="228"/>
  <c r="C27" i="228"/>
  <c r="F17" i="173"/>
  <c r="AA12" i="292"/>
  <c r="M398" i="209"/>
  <c r="S398" i="209"/>
  <c r="H43" i="79"/>
  <c r="M519" i="209"/>
  <c r="S519" i="209"/>
  <c r="E45" i="325"/>
  <c r="N47" i="294" s="1"/>
  <c r="E18" i="325"/>
  <c r="M26" i="325"/>
  <c r="E43" i="325" s="1"/>
  <c r="E47" i="325" s="1"/>
  <c r="S47" i="294" s="1"/>
  <c r="E46" i="325"/>
  <c r="N123" i="294"/>
  <c r="J8" i="294"/>
  <c r="F41" i="324"/>
  <c r="J65" i="294" s="1"/>
  <c r="F37" i="324"/>
  <c r="J27" i="294" s="1"/>
  <c r="F38" i="324"/>
  <c r="T8" i="294" s="1"/>
  <c r="F39" i="324"/>
  <c r="O27" i="294" s="1"/>
  <c r="F40" i="324"/>
  <c r="J46" i="294" s="1"/>
  <c r="M335" i="209"/>
  <c r="M575" i="209"/>
  <c r="S459" i="209"/>
  <c r="M521" i="209"/>
  <c r="M401" i="209"/>
  <c r="S461" i="209"/>
  <c r="S372" i="209"/>
  <c r="M316" i="209"/>
  <c r="S376" i="209"/>
  <c r="S436" i="209"/>
  <c r="S434" i="209"/>
  <c r="M310" i="209"/>
  <c r="S490" i="209"/>
  <c r="M311" i="209"/>
  <c r="S491" i="209"/>
  <c r="S428" i="209"/>
  <c r="I668" i="209"/>
  <c r="D40" i="360"/>
  <c r="H59" i="294" s="1"/>
  <c r="D38" i="360"/>
  <c r="R21" i="294" s="1"/>
  <c r="D37" i="360"/>
  <c r="H40" i="294" s="1"/>
  <c r="H21" i="294"/>
  <c r="M21" i="294"/>
  <c r="D39" i="360"/>
  <c r="M40" i="294" s="1"/>
  <c r="D45" i="360"/>
  <c r="M59" i="294" s="1"/>
  <c r="D46" i="360"/>
  <c r="D44" i="360"/>
  <c r="R40" i="294" s="1"/>
  <c r="L26" i="360"/>
  <c r="H29" i="309"/>
  <c r="H43" i="309" s="1"/>
  <c r="P432" i="246"/>
  <c r="AA32" i="292"/>
  <c r="E25" i="309"/>
  <c r="J494" i="246"/>
  <c r="L494" i="246"/>
  <c r="M368" i="246"/>
  <c r="J618" i="246"/>
  <c r="I618" i="246"/>
  <c r="H46" i="308"/>
  <c r="Q370" i="246"/>
  <c r="P556" i="246"/>
  <c r="R432" i="246"/>
  <c r="H23" i="309"/>
  <c r="H37" i="309" s="1"/>
  <c r="G23" i="184"/>
  <c r="E16" i="184"/>
  <c r="G32" i="172"/>
  <c r="I348" i="246"/>
  <c r="F29" i="172"/>
  <c r="K534" i="246"/>
  <c r="L348" i="246"/>
  <c r="I472" i="246"/>
  <c r="H31" i="186"/>
  <c r="H45" i="186" s="1"/>
  <c r="E26" i="172"/>
  <c r="O410" i="246"/>
  <c r="D31" i="172"/>
  <c r="F29" i="184"/>
  <c r="C28" i="172"/>
  <c r="O534" i="246"/>
  <c r="D23" i="172"/>
  <c r="I410" i="246"/>
  <c r="F48" i="186"/>
  <c r="N20" i="95" s="1"/>
  <c r="J472" i="246"/>
  <c r="S347" i="246"/>
  <c r="O472" i="246"/>
  <c r="M407" i="246"/>
  <c r="G29" i="172"/>
  <c r="M531" i="246"/>
  <c r="O348" i="246"/>
  <c r="O25" i="172"/>
  <c r="S322" i="246"/>
  <c r="S694" i="246"/>
  <c r="L20" i="190"/>
  <c r="O20" i="192"/>
  <c r="P19" i="156"/>
  <c r="P19" i="359"/>
  <c r="P19" i="284"/>
  <c r="P19" i="192"/>
  <c r="H43" i="185"/>
  <c r="M325" i="246"/>
  <c r="H43" i="284"/>
  <c r="M510" i="246"/>
  <c r="S139" i="246"/>
  <c r="N20" i="190"/>
  <c r="P18" i="156"/>
  <c r="P18" i="359"/>
  <c r="P19" i="190"/>
  <c r="N20" i="156"/>
  <c r="P18" i="192"/>
  <c r="S635" i="246"/>
  <c r="M528" i="246"/>
  <c r="M404" i="246"/>
  <c r="M527" i="246"/>
  <c r="L467" i="246"/>
  <c r="H29" i="104"/>
  <c r="H43" i="104" s="1"/>
  <c r="P15" i="118" s="1"/>
  <c r="S526" i="246"/>
  <c r="G24" i="172"/>
  <c r="G29" i="84"/>
  <c r="M340" i="246"/>
  <c r="G25" i="172"/>
  <c r="L343" i="246"/>
  <c r="M401" i="246"/>
  <c r="S587" i="246"/>
  <c r="S711" i="246"/>
  <c r="M400" i="246"/>
  <c r="S586" i="246"/>
  <c r="C26" i="172"/>
  <c r="M524" i="246"/>
  <c r="N25" i="172"/>
  <c r="M523" i="246"/>
  <c r="E33" i="172"/>
  <c r="E27" i="84"/>
  <c r="C29" i="84"/>
  <c r="C24" i="172"/>
  <c r="D27" i="172"/>
  <c r="F17" i="84"/>
  <c r="D12" i="84"/>
  <c r="O744" i="246" s="1"/>
  <c r="P10" i="284"/>
  <c r="M15" i="246"/>
  <c r="P10" i="192"/>
  <c r="P10" i="190"/>
  <c r="P10" i="156"/>
  <c r="P10" i="359"/>
  <c r="S325" i="246"/>
  <c r="J30" i="292"/>
  <c r="S471" i="246"/>
  <c r="S476" i="246"/>
  <c r="S480" i="246"/>
  <c r="S482" i="246"/>
  <c r="S483" i="246"/>
  <c r="S486" i="246"/>
  <c r="S577" i="246"/>
  <c r="S398" i="246"/>
  <c r="S460" i="246"/>
  <c r="S522" i="246"/>
  <c r="S584" i="246"/>
  <c r="M466" i="246"/>
  <c r="M469" i="246"/>
  <c r="M470" i="246"/>
  <c r="D109" i="246"/>
  <c r="D171" i="246" s="1"/>
  <c r="D233" i="246" s="1"/>
  <c r="D295" i="246" s="1"/>
  <c r="D357" i="246" s="1"/>
  <c r="D419" i="246" s="1"/>
  <c r="D481" i="246" s="1"/>
  <c r="D543" i="246" s="1"/>
  <c r="D605" i="246" s="1"/>
  <c r="D667" i="246" s="1"/>
  <c r="D729" i="246" s="1"/>
  <c r="D791" i="246" s="1"/>
  <c r="S385" i="246"/>
  <c r="S400" i="246"/>
  <c r="S412" i="246"/>
  <c r="M610" i="246"/>
  <c r="S470" i="246"/>
  <c r="S487" i="246"/>
  <c r="S740" i="246"/>
  <c r="U36" i="246"/>
  <c r="U98" i="246" s="1"/>
  <c r="U160" i="246" s="1"/>
  <c r="U222" i="246" s="1"/>
  <c r="U284" i="246" s="1"/>
  <c r="U346" i="246" s="1"/>
  <c r="U408" i="246" s="1"/>
  <c r="U470" i="246" s="1"/>
  <c r="U532" i="246" s="1"/>
  <c r="U594" i="246" s="1"/>
  <c r="U656" i="246" s="1"/>
  <c r="U718" i="246" s="1"/>
  <c r="S380" i="246"/>
  <c r="S384" i="246"/>
  <c r="S386" i="246"/>
  <c r="S389" i="246"/>
  <c r="S390" i="246"/>
  <c r="S391" i="246"/>
  <c r="S392" i="246"/>
  <c r="S393" i="246"/>
  <c r="S399" i="246"/>
  <c r="S401" i="246"/>
  <c r="S402" i="246"/>
  <c r="S403" i="246"/>
  <c r="S404" i="246"/>
  <c r="S407" i="246"/>
  <c r="S408" i="246"/>
  <c r="S409" i="246"/>
  <c r="S413" i="246"/>
  <c r="S414" i="246"/>
  <c r="M571" i="246"/>
  <c r="M587" i="246"/>
  <c r="M600" i="246"/>
  <c r="M462" i="246"/>
  <c r="M474" i="246"/>
  <c r="M475" i="246"/>
  <c r="S415" i="246"/>
  <c r="U37" i="246"/>
  <c r="U99" i="246" s="1"/>
  <c r="U161" i="246" s="1"/>
  <c r="U223" i="246" s="1"/>
  <c r="U285" i="246" s="1"/>
  <c r="U347" i="246" s="1"/>
  <c r="U409" i="246" s="1"/>
  <c r="U471" i="246" s="1"/>
  <c r="U533" i="246" s="1"/>
  <c r="U595" i="246" s="1"/>
  <c r="U657" i="246" s="1"/>
  <c r="U719" i="246" s="1"/>
  <c r="S416" i="246"/>
  <c r="S442" i="246"/>
  <c r="S446" i="246"/>
  <c r="M430" i="246"/>
  <c r="M536" i="246"/>
  <c r="M537" i="246"/>
  <c r="M538" i="246"/>
  <c r="M541" i="246"/>
  <c r="M542" i="246"/>
  <c r="M554" i="246"/>
  <c r="S693" i="246"/>
  <c r="S703" i="246"/>
  <c r="S710" i="246"/>
  <c r="S712" i="246"/>
  <c r="S718" i="246"/>
  <c r="S447" i="246"/>
  <c r="S448" i="246"/>
  <c r="S451" i="246"/>
  <c r="D80" i="246"/>
  <c r="D142" i="246" s="1"/>
  <c r="D204" i="246" s="1"/>
  <c r="D266" i="246" s="1"/>
  <c r="D328" i="246" s="1"/>
  <c r="D390" i="246" s="1"/>
  <c r="D452" i="246" s="1"/>
  <c r="D514" i="246" s="1"/>
  <c r="D576" i="246" s="1"/>
  <c r="D638" i="246" s="1"/>
  <c r="D700" i="246" s="1"/>
  <c r="D762" i="246" s="1"/>
  <c r="D110" i="246"/>
  <c r="D172" i="246" s="1"/>
  <c r="D234" i="246" s="1"/>
  <c r="D296" i="246" s="1"/>
  <c r="D358" i="246" s="1"/>
  <c r="D420" i="246" s="1"/>
  <c r="D482" i="246" s="1"/>
  <c r="D544" i="246" s="1"/>
  <c r="D606" i="246" s="1"/>
  <c r="D668" i="246" s="1"/>
  <c r="D730" i="246" s="1"/>
  <c r="D792" i="246" s="1"/>
  <c r="M544" i="246"/>
  <c r="M545" i="246"/>
  <c r="M546" i="246"/>
  <c r="M549" i="246"/>
  <c r="S722" i="246"/>
  <c r="S417" i="246"/>
  <c r="M449" i="246"/>
  <c r="S418" i="246"/>
  <c r="S419" i="246"/>
  <c r="M616" i="246"/>
  <c r="S617" i="246"/>
  <c r="S461" i="246"/>
  <c r="S463" i="246"/>
  <c r="S504" i="246"/>
  <c r="S507" i="246"/>
  <c r="S508" i="246"/>
  <c r="S509" i="246"/>
  <c r="S555" i="246"/>
  <c r="U46" i="246"/>
  <c r="U108" i="246" s="1"/>
  <c r="U170" i="246" s="1"/>
  <c r="U232" i="246" s="1"/>
  <c r="U294" i="246" s="1"/>
  <c r="U356" i="246" s="1"/>
  <c r="U418" i="246" s="1"/>
  <c r="U480" i="246" s="1"/>
  <c r="U542" i="246" s="1"/>
  <c r="U604" i="246" s="1"/>
  <c r="U666" i="246" s="1"/>
  <c r="U728" i="246" s="1"/>
  <c r="S445" i="246"/>
  <c r="S455" i="246"/>
  <c r="S464" i="246"/>
  <c r="S465" i="246"/>
  <c r="S469" i="246"/>
  <c r="M492" i="246"/>
  <c r="S493" i="246"/>
  <c r="M566" i="246"/>
  <c r="M569" i="246"/>
  <c r="M570" i="246"/>
  <c r="M572" i="246"/>
  <c r="M575" i="246"/>
  <c r="M576" i="246"/>
  <c r="M577" i="246"/>
  <c r="M578" i="246"/>
  <c r="M579" i="246"/>
  <c r="M585" i="246"/>
  <c r="M586" i="246"/>
  <c r="M588" i="246"/>
  <c r="M589" i="246"/>
  <c r="M590" i="246"/>
  <c r="M594" i="246"/>
  <c r="M595" i="246"/>
  <c r="M598" i="246"/>
  <c r="M599" i="246"/>
  <c r="M601" i="246"/>
  <c r="M602" i="246"/>
  <c r="M603" i="246"/>
  <c r="M604" i="246"/>
  <c r="M605" i="246"/>
  <c r="M607" i="246"/>
  <c r="M608" i="246"/>
  <c r="M609" i="246"/>
  <c r="M611" i="246"/>
  <c r="D103" i="246"/>
  <c r="D165" i="246" s="1"/>
  <c r="D227" i="246" s="1"/>
  <c r="D289" i="246" s="1"/>
  <c r="D351" i="246" s="1"/>
  <c r="D413" i="246" s="1"/>
  <c r="D475" i="246" s="1"/>
  <c r="D537" i="246" s="1"/>
  <c r="D599" i="246" s="1"/>
  <c r="D661" i="246" s="1"/>
  <c r="D723" i="246" s="1"/>
  <c r="D785" i="246" s="1"/>
  <c r="S420" i="246"/>
  <c r="S421" i="246"/>
  <c r="S423" i="246"/>
  <c r="U49" i="246"/>
  <c r="U111" i="246" s="1"/>
  <c r="U173" i="246" s="1"/>
  <c r="U235" i="246" s="1"/>
  <c r="U297" i="246" s="1"/>
  <c r="U359" i="246" s="1"/>
  <c r="U421" i="246" s="1"/>
  <c r="U483" i="246" s="1"/>
  <c r="U545" i="246" s="1"/>
  <c r="U607" i="246" s="1"/>
  <c r="U669" i="246" s="1"/>
  <c r="U731" i="246" s="1"/>
  <c r="M573" i="246"/>
  <c r="D94" i="246"/>
  <c r="D156" i="246" s="1"/>
  <c r="D218" i="246" s="1"/>
  <c r="D280" i="246" s="1"/>
  <c r="D342" i="246" s="1"/>
  <c r="D404" i="246" s="1"/>
  <c r="D466" i="246" s="1"/>
  <c r="D528" i="246" s="1"/>
  <c r="D590" i="246" s="1"/>
  <c r="D652" i="246" s="1"/>
  <c r="D714" i="246" s="1"/>
  <c r="D776" i="246" s="1"/>
  <c r="S605" i="246"/>
  <c r="M471" i="246"/>
  <c r="M476" i="246"/>
  <c r="M477" i="246"/>
  <c r="M478" i="246"/>
  <c r="M479" i="246"/>
  <c r="M480" i="246"/>
  <c r="M481" i="246"/>
  <c r="M483" i="246"/>
  <c r="M484" i="246"/>
  <c r="M485" i="246"/>
  <c r="M486" i="246"/>
  <c r="M487" i="246"/>
  <c r="U17" i="246"/>
  <c r="U79" i="246" s="1"/>
  <c r="U141" i="246" s="1"/>
  <c r="U203" i="246" s="1"/>
  <c r="U265" i="246" s="1"/>
  <c r="U327" i="246" s="1"/>
  <c r="U389" i="246" s="1"/>
  <c r="U451" i="246" s="1"/>
  <c r="U513" i="246" s="1"/>
  <c r="U575" i="246" s="1"/>
  <c r="U637" i="246" s="1"/>
  <c r="U699" i="246" s="1"/>
  <c r="S425" i="246"/>
  <c r="S430" i="246"/>
  <c r="M431" i="246"/>
  <c r="D106" i="246"/>
  <c r="D168" i="246" s="1"/>
  <c r="D230" i="246" s="1"/>
  <c r="D292" i="246" s="1"/>
  <c r="D354" i="246" s="1"/>
  <c r="D416" i="246" s="1"/>
  <c r="D478" i="246" s="1"/>
  <c r="D540" i="246" s="1"/>
  <c r="D602" i="246" s="1"/>
  <c r="D664" i="246" s="1"/>
  <c r="D726" i="246" s="1"/>
  <c r="D788" i="246" s="1"/>
  <c r="S475" i="246"/>
  <c r="D90" i="246"/>
  <c r="D152" i="246" s="1"/>
  <c r="D214" i="246" s="1"/>
  <c r="D276" i="246" s="1"/>
  <c r="D338" i="246" s="1"/>
  <c r="D400" i="246" s="1"/>
  <c r="D462" i="246" s="1"/>
  <c r="D524" i="246" s="1"/>
  <c r="D586" i="246" s="1"/>
  <c r="D648" i="246" s="1"/>
  <c r="D710" i="246" s="1"/>
  <c r="D772" i="246" s="1"/>
  <c r="M391" i="246"/>
  <c r="M516" i="246"/>
  <c r="M532" i="246"/>
  <c r="M533" i="246"/>
  <c r="M593" i="246"/>
  <c r="M606" i="246"/>
  <c r="M392" i="246"/>
  <c r="S477" i="246"/>
  <c r="S478" i="246"/>
  <c r="S479" i="246"/>
  <c r="S484" i="246"/>
  <c r="S485" i="246"/>
  <c r="S602" i="246"/>
  <c r="M482" i="246"/>
  <c r="S454" i="246"/>
  <c r="S569" i="246"/>
  <c r="S585" i="246"/>
  <c r="S609" i="246"/>
  <c r="D102" i="246"/>
  <c r="D164" i="246" s="1"/>
  <c r="D226" i="246" s="1"/>
  <c r="D288" i="246" s="1"/>
  <c r="D350" i="246" s="1"/>
  <c r="D412" i="246" s="1"/>
  <c r="D474" i="246" s="1"/>
  <c r="D536" i="246" s="1"/>
  <c r="D598" i="246" s="1"/>
  <c r="D660" i="246" s="1"/>
  <c r="D722" i="246" s="1"/>
  <c r="D784" i="246" s="1"/>
  <c r="S452" i="246"/>
  <c r="S453" i="246"/>
  <c r="S514" i="246"/>
  <c r="S515" i="246"/>
  <c r="S474" i="246"/>
  <c r="U43" i="246"/>
  <c r="U105" i="246" s="1"/>
  <c r="U167" i="246" s="1"/>
  <c r="U229" i="246" s="1"/>
  <c r="U291" i="246" s="1"/>
  <c r="U353" i="246" s="1"/>
  <c r="U415" i="246" s="1"/>
  <c r="U477" i="246" s="1"/>
  <c r="U539" i="246" s="1"/>
  <c r="U601" i="246" s="1"/>
  <c r="U663" i="246" s="1"/>
  <c r="U725" i="246" s="1"/>
  <c r="S462" i="246"/>
  <c r="S481" i="246"/>
  <c r="M543" i="246"/>
  <c r="U11" i="246"/>
  <c r="U73" i="246" s="1"/>
  <c r="U135" i="246" s="1"/>
  <c r="U197" i="246" s="1"/>
  <c r="U259" i="246" s="1"/>
  <c r="U321" i="246" s="1"/>
  <c r="U383" i="246" s="1"/>
  <c r="U445" i="246" s="1"/>
  <c r="U507" i="246" s="1"/>
  <c r="U569" i="246" s="1"/>
  <c r="U631" i="246" s="1"/>
  <c r="U693" i="246" s="1"/>
  <c r="S466" i="246"/>
  <c r="S511" i="246"/>
  <c r="S424" i="246"/>
  <c r="U21" i="246"/>
  <c r="U83" i="246" s="1"/>
  <c r="U145" i="246" s="1"/>
  <c r="U207" i="246" s="1"/>
  <c r="U269" i="246" s="1"/>
  <c r="U331" i="246" s="1"/>
  <c r="U393" i="246" s="1"/>
  <c r="U455" i="246" s="1"/>
  <c r="U517" i="246" s="1"/>
  <c r="U579" i="246" s="1"/>
  <c r="U641" i="246" s="1"/>
  <c r="U703" i="246" s="1"/>
  <c r="U31" i="246"/>
  <c r="U93" i="246" s="1"/>
  <c r="U155" i="246" s="1"/>
  <c r="U217" i="246" s="1"/>
  <c r="U279" i="246" s="1"/>
  <c r="U341" i="246" s="1"/>
  <c r="U403" i="246" s="1"/>
  <c r="U465" i="246" s="1"/>
  <c r="U527" i="246" s="1"/>
  <c r="U589" i="246" s="1"/>
  <c r="U651" i="246" s="1"/>
  <c r="U713" i="246" s="1"/>
  <c r="S695" i="246"/>
  <c r="S699" i="246"/>
  <c r="S701" i="246"/>
  <c r="S714" i="246"/>
  <c r="S724" i="246"/>
  <c r="S726" i="246"/>
  <c r="S728" i="246"/>
  <c r="S730" i="246"/>
  <c r="S735" i="246"/>
  <c r="L488" i="246"/>
  <c r="R426" i="246"/>
  <c r="L426" i="246"/>
  <c r="H23" i="226"/>
  <c r="I36" i="292" s="1"/>
  <c r="R550" i="246"/>
  <c r="G23" i="231"/>
  <c r="G23" i="170"/>
  <c r="H30" i="226"/>
  <c r="K36" i="292" s="1"/>
  <c r="I488" i="246"/>
  <c r="D30" i="170"/>
  <c r="O612" i="246"/>
  <c r="D30" i="172"/>
  <c r="P426" i="246"/>
  <c r="P550" i="246"/>
  <c r="J550" i="246"/>
  <c r="G31" i="172"/>
  <c r="L612" i="246"/>
  <c r="G31" i="231"/>
  <c r="G31" i="170"/>
  <c r="G48" i="226"/>
  <c r="H31" i="226"/>
  <c r="H45" i="226" s="1"/>
  <c r="M178" i="246" s="1"/>
  <c r="H46" i="226"/>
  <c r="S674" i="246" s="1"/>
  <c r="R612" i="246"/>
  <c r="C27" i="172"/>
  <c r="C27" i="231"/>
  <c r="F28" i="170"/>
  <c r="F28" i="172"/>
  <c r="F28" i="231"/>
  <c r="H44" i="185"/>
  <c r="K30" i="292"/>
  <c r="O129" i="294"/>
  <c r="F44" i="293"/>
  <c r="T34" i="294" s="1"/>
  <c r="F18" i="293"/>
  <c r="F46" i="293"/>
  <c r="N26" i="293"/>
  <c r="F43" i="293" s="1"/>
  <c r="F47" i="293" s="1"/>
  <c r="T53" i="294" s="1"/>
  <c r="I700" i="246"/>
  <c r="O638" i="246"/>
  <c r="D45" i="166"/>
  <c r="I142" i="246" s="1"/>
  <c r="L26" i="166"/>
  <c r="D43" i="166" s="1"/>
  <c r="D47" i="166" s="1"/>
  <c r="O142" i="246" s="1"/>
  <c r="D18" i="166"/>
  <c r="D46" i="166"/>
  <c r="D44" i="166"/>
  <c r="O80" i="246" s="1"/>
  <c r="D104" i="209"/>
  <c r="D164" i="209" s="1"/>
  <c r="D224" i="209" s="1"/>
  <c r="D284" i="209" s="1"/>
  <c r="D344" i="209" s="1"/>
  <c r="D404" i="209" s="1"/>
  <c r="D464" i="209" s="1"/>
  <c r="D524" i="209" s="1"/>
  <c r="D584" i="209" s="1"/>
  <c r="D644" i="209" s="1"/>
  <c r="D704" i="209" s="1"/>
  <c r="D764" i="209" s="1"/>
  <c r="U44" i="209"/>
  <c r="U104" i="209" s="1"/>
  <c r="U164" i="209" s="1"/>
  <c r="U224" i="209" s="1"/>
  <c r="U284" i="209" s="1"/>
  <c r="U344" i="209" s="1"/>
  <c r="U404" i="209" s="1"/>
  <c r="U464" i="209" s="1"/>
  <c r="U524" i="209" s="1"/>
  <c r="U584" i="209" s="1"/>
  <c r="U644" i="209" s="1"/>
  <c r="U704" i="209" s="1"/>
  <c r="U764" i="209" s="1"/>
  <c r="E11" i="126"/>
  <c r="M26" i="126" s="1"/>
  <c r="E43" i="126" s="1"/>
  <c r="E47" i="126" s="1"/>
  <c r="P166" i="246" s="1"/>
  <c r="D11" i="126"/>
  <c r="F11" i="126"/>
  <c r="K679" i="246"/>
  <c r="K741" i="246"/>
  <c r="F45" i="313"/>
  <c r="K183" i="246" s="1"/>
  <c r="N26" i="313"/>
  <c r="F43" i="313" s="1"/>
  <c r="F47" i="313" s="1"/>
  <c r="Q183" i="246" s="1"/>
  <c r="F46" i="313"/>
  <c r="F44" i="313"/>
  <c r="Q121" i="246" s="1"/>
  <c r="F46" i="178"/>
  <c r="F44" i="178"/>
  <c r="Q108" i="209" s="1"/>
  <c r="N26" i="178"/>
  <c r="F18" i="178"/>
  <c r="Q648" i="209"/>
  <c r="K708" i="209"/>
  <c r="D76" i="246"/>
  <c r="D138" i="246" s="1"/>
  <c r="D200" i="246" s="1"/>
  <c r="D262" i="246" s="1"/>
  <c r="D324" i="246" s="1"/>
  <c r="D386" i="246" s="1"/>
  <c r="D448" i="246" s="1"/>
  <c r="D510" i="246" s="1"/>
  <c r="D572" i="246" s="1"/>
  <c r="D634" i="246" s="1"/>
  <c r="D696" i="246" s="1"/>
  <c r="D758" i="246" s="1"/>
  <c r="U14" i="246"/>
  <c r="U76" i="246" s="1"/>
  <c r="U138" i="246" s="1"/>
  <c r="U200" i="246" s="1"/>
  <c r="U262" i="246" s="1"/>
  <c r="U324" i="246" s="1"/>
  <c r="U386" i="246" s="1"/>
  <c r="U448" i="246" s="1"/>
  <c r="U510" i="246" s="1"/>
  <c r="U572" i="246" s="1"/>
  <c r="U634" i="246" s="1"/>
  <c r="U696" i="246" s="1"/>
  <c r="U45" i="246"/>
  <c r="U107" i="246" s="1"/>
  <c r="U169" i="246" s="1"/>
  <c r="U231" i="246" s="1"/>
  <c r="U293" i="246" s="1"/>
  <c r="U355" i="246" s="1"/>
  <c r="U417" i="246" s="1"/>
  <c r="U479" i="246" s="1"/>
  <c r="U541" i="246" s="1"/>
  <c r="U603" i="246" s="1"/>
  <c r="U665" i="246" s="1"/>
  <c r="U727" i="246" s="1"/>
  <c r="D107" i="246"/>
  <c r="D169" i="246" s="1"/>
  <c r="D231" i="246" s="1"/>
  <c r="D293" i="246" s="1"/>
  <c r="D355" i="246" s="1"/>
  <c r="D417" i="246" s="1"/>
  <c r="D479" i="246" s="1"/>
  <c r="D541" i="246" s="1"/>
  <c r="D603" i="246" s="1"/>
  <c r="D665" i="246" s="1"/>
  <c r="D727" i="246" s="1"/>
  <c r="D789" i="246" s="1"/>
  <c r="U50" i="246"/>
  <c r="U112" i="246" s="1"/>
  <c r="U174" i="246" s="1"/>
  <c r="U236" i="246" s="1"/>
  <c r="U298" i="246" s="1"/>
  <c r="U360" i="246" s="1"/>
  <c r="U422" i="246" s="1"/>
  <c r="U484" i="246" s="1"/>
  <c r="U546" i="246" s="1"/>
  <c r="U608" i="246" s="1"/>
  <c r="U670" i="246" s="1"/>
  <c r="U732" i="246" s="1"/>
  <c r="D112" i="246"/>
  <c r="D174" i="246" s="1"/>
  <c r="D236" i="246" s="1"/>
  <c r="D298" i="246" s="1"/>
  <c r="D360" i="246" s="1"/>
  <c r="D422" i="246" s="1"/>
  <c r="D484" i="246" s="1"/>
  <c r="D546" i="246" s="1"/>
  <c r="D608" i="246" s="1"/>
  <c r="D670" i="246" s="1"/>
  <c r="D732" i="246" s="1"/>
  <c r="D794" i="246" s="1"/>
  <c r="D32" i="172"/>
  <c r="D32" i="184"/>
  <c r="H46" i="186"/>
  <c r="H32" i="186"/>
  <c r="M658" i="246" s="1"/>
  <c r="H33" i="186"/>
  <c r="G33" i="172"/>
  <c r="L534" i="246"/>
  <c r="G13" i="309"/>
  <c r="G13" i="184"/>
  <c r="F16" i="309"/>
  <c r="F16" i="184"/>
  <c r="P308" i="246"/>
  <c r="D23" i="184"/>
  <c r="H23" i="308"/>
  <c r="O308" i="246"/>
  <c r="I432" i="246"/>
  <c r="O432" i="246"/>
  <c r="I494" i="246"/>
  <c r="O556" i="246"/>
  <c r="G24" i="184"/>
  <c r="H24" i="308"/>
  <c r="L432" i="246"/>
  <c r="R556" i="246"/>
  <c r="R494" i="246"/>
  <c r="G24" i="309"/>
  <c r="H24" i="309" s="1"/>
  <c r="H38" i="309" s="1"/>
  <c r="L370" i="246"/>
  <c r="N25" i="309"/>
  <c r="N25" i="184"/>
  <c r="D27" i="309"/>
  <c r="H27" i="309" s="1"/>
  <c r="H41" i="309" s="1"/>
  <c r="D27" i="184"/>
  <c r="H27" i="308"/>
  <c r="H41" i="308" s="1"/>
  <c r="G28" i="309"/>
  <c r="H28" i="309" s="1"/>
  <c r="H42" i="309" s="1"/>
  <c r="H28" i="308"/>
  <c r="H42" i="308" s="1"/>
  <c r="M308" i="246" s="1"/>
  <c r="G28" i="184"/>
  <c r="Q618" i="246"/>
  <c r="F30" i="309"/>
  <c r="K494" i="246"/>
  <c r="C32" i="309"/>
  <c r="C32" i="184"/>
  <c r="F33" i="309"/>
  <c r="K556" i="246"/>
  <c r="K332" i="246"/>
  <c r="J332" i="246"/>
  <c r="E24" i="173"/>
  <c r="P456" i="246"/>
  <c r="E24" i="171"/>
  <c r="M25" i="231"/>
  <c r="M25" i="173"/>
  <c r="E27" i="171"/>
  <c r="E27" i="173"/>
  <c r="J580" i="246"/>
  <c r="P580" i="246"/>
  <c r="E31" i="171"/>
  <c r="E33" i="231"/>
  <c r="E33" i="173"/>
  <c r="O467" i="246"/>
  <c r="J343" i="246"/>
  <c r="I405" i="246"/>
  <c r="O529" i="246"/>
  <c r="D24" i="172"/>
  <c r="I343" i="246"/>
  <c r="D26" i="84"/>
  <c r="H26" i="104"/>
  <c r="H40" i="104" s="1"/>
  <c r="H28" i="104"/>
  <c r="H42" i="104" s="1"/>
  <c r="D28" i="84"/>
  <c r="D28" i="172"/>
  <c r="H30" i="104"/>
  <c r="O591" i="246"/>
  <c r="D32" i="84"/>
  <c r="H32" i="104"/>
  <c r="M653" i="246" s="1"/>
  <c r="C23" i="84"/>
  <c r="O281" i="246"/>
  <c r="C23" i="172"/>
  <c r="G48" i="361"/>
  <c r="H31" i="361"/>
  <c r="H45" i="361" s="1"/>
  <c r="H46" i="361"/>
  <c r="E25" i="170"/>
  <c r="P350" i="209"/>
  <c r="G27" i="228"/>
  <c r="G27" i="170"/>
  <c r="E33" i="170"/>
  <c r="D14" i="84"/>
  <c r="D14" i="171"/>
  <c r="D24" i="84"/>
  <c r="H24" i="103"/>
  <c r="D24" i="171"/>
  <c r="G25" i="84"/>
  <c r="H25" i="103"/>
  <c r="H39" i="103" s="1"/>
  <c r="G25" i="171"/>
  <c r="E26" i="292"/>
  <c r="F30" i="171"/>
  <c r="F30" i="84"/>
  <c r="H32" i="103"/>
  <c r="G33" i="84"/>
  <c r="G33" i="171"/>
  <c r="H33" i="103"/>
  <c r="N30" i="292"/>
  <c r="P30" i="292" s="1"/>
  <c r="F12" i="184"/>
  <c r="N33" i="292" s="1"/>
  <c r="O263" i="246"/>
  <c r="C23" i="184"/>
  <c r="K325" i="246"/>
  <c r="L325" i="246"/>
  <c r="F24" i="171"/>
  <c r="F24" i="184"/>
  <c r="I387" i="246"/>
  <c r="M387" i="246" s="1"/>
  <c r="H26" i="185"/>
  <c r="H40" i="185" s="1"/>
  <c r="D26" i="171"/>
  <c r="H27" i="185"/>
  <c r="H41" i="185" s="1"/>
  <c r="G27" i="171"/>
  <c r="E29" i="171"/>
  <c r="E48" i="185"/>
  <c r="F32" i="171"/>
  <c r="F32" i="184"/>
  <c r="M25" i="184"/>
  <c r="M25" i="171"/>
  <c r="D13" i="172"/>
  <c r="D17" i="172"/>
  <c r="D17" i="170"/>
  <c r="F11" i="99"/>
  <c r="E11" i="99"/>
  <c r="G11" i="99"/>
  <c r="D11" i="99"/>
  <c r="E11" i="196"/>
  <c r="D11" i="196"/>
  <c r="G11" i="196"/>
  <c r="G11" i="178"/>
  <c r="D11" i="178"/>
  <c r="E11" i="178"/>
  <c r="G46" i="10"/>
  <c r="F46" i="10"/>
  <c r="D46" i="10"/>
  <c r="D45" i="10"/>
  <c r="I135" i="209" s="1"/>
  <c r="E45" i="10"/>
  <c r="J135" i="209" s="1"/>
  <c r="F45" i="10"/>
  <c r="K135" i="209" s="1"/>
  <c r="E46" i="10"/>
  <c r="G45" i="10"/>
  <c r="L135" i="209" s="1"/>
  <c r="E11" i="10"/>
  <c r="F11" i="10"/>
  <c r="D11" i="10"/>
  <c r="G13" i="228"/>
  <c r="G17" i="173"/>
  <c r="G17" i="228"/>
  <c r="H24" i="212"/>
  <c r="D24" i="173"/>
  <c r="I390" i="209"/>
  <c r="O510" i="209"/>
  <c r="I330" i="209"/>
  <c r="G25" i="228"/>
  <c r="G25" i="173"/>
  <c r="R330" i="209"/>
  <c r="L510" i="209"/>
  <c r="F20" i="292"/>
  <c r="F26" i="228"/>
  <c r="F22" i="292" s="1"/>
  <c r="F26" i="173"/>
  <c r="G29" i="228"/>
  <c r="G48" i="212"/>
  <c r="G29" i="173"/>
  <c r="H29" i="212"/>
  <c r="L570" i="209"/>
  <c r="P570" i="209"/>
  <c r="E31" i="173"/>
  <c r="C33" i="173"/>
  <c r="C33" i="228"/>
  <c r="F13" i="184"/>
  <c r="F13" i="172"/>
  <c r="K410" i="246"/>
  <c r="Q534" i="246"/>
  <c r="Q286" i="246"/>
  <c r="F23" i="184"/>
  <c r="Q410" i="246"/>
  <c r="F27" i="184"/>
  <c r="F27" i="172"/>
  <c r="D48" i="186"/>
  <c r="I596" i="246"/>
  <c r="D29" i="184"/>
  <c r="H29" i="186"/>
  <c r="H47" i="186" s="1"/>
  <c r="P19" i="95" s="1"/>
  <c r="D29" i="172"/>
  <c r="AA31" i="292"/>
  <c r="R596" i="246"/>
  <c r="H30" i="186"/>
  <c r="G30" i="172"/>
  <c r="G30" i="184"/>
  <c r="D106" i="209"/>
  <c r="D166" i="209" s="1"/>
  <c r="D226" i="209" s="1"/>
  <c r="D286" i="209" s="1"/>
  <c r="D346" i="209" s="1"/>
  <c r="D406" i="209" s="1"/>
  <c r="D466" i="209" s="1"/>
  <c r="D526" i="209" s="1"/>
  <c r="D586" i="209" s="1"/>
  <c r="D646" i="209" s="1"/>
  <c r="D706" i="209" s="1"/>
  <c r="D766" i="209" s="1"/>
  <c r="U46" i="209"/>
  <c r="U106" i="209" s="1"/>
  <c r="U166" i="209" s="1"/>
  <c r="U226" i="209" s="1"/>
  <c r="U286" i="209" s="1"/>
  <c r="U346" i="209" s="1"/>
  <c r="U406" i="209" s="1"/>
  <c r="U466" i="209" s="1"/>
  <c r="U526" i="209" s="1"/>
  <c r="U586" i="209" s="1"/>
  <c r="U646" i="209" s="1"/>
  <c r="U706" i="209" s="1"/>
  <c r="U766" i="209" s="1"/>
  <c r="U27" i="246"/>
  <c r="U89" i="246" s="1"/>
  <c r="U151" i="246" s="1"/>
  <c r="U213" i="246" s="1"/>
  <c r="U275" i="246" s="1"/>
  <c r="U337" i="246" s="1"/>
  <c r="U399" i="246" s="1"/>
  <c r="U461" i="246" s="1"/>
  <c r="U523" i="246" s="1"/>
  <c r="U585" i="246" s="1"/>
  <c r="U647" i="246" s="1"/>
  <c r="U709" i="246" s="1"/>
  <c r="D89" i="246"/>
  <c r="D151" i="246" s="1"/>
  <c r="D213" i="246" s="1"/>
  <c r="D275" i="246" s="1"/>
  <c r="D337" i="246" s="1"/>
  <c r="D399" i="246" s="1"/>
  <c r="D461" i="246" s="1"/>
  <c r="D523" i="246" s="1"/>
  <c r="D585" i="246" s="1"/>
  <c r="D647" i="246" s="1"/>
  <c r="D709" i="246" s="1"/>
  <c r="D771" i="246" s="1"/>
  <c r="D114" i="246"/>
  <c r="D176" i="246" s="1"/>
  <c r="D238" i="246" s="1"/>
  <c r="D300" i="246" s="1"/>
  <c r="D362" i="246" s="1"/>
  <c r="D424" i="246" s="1"/>
  <c r="D486" i="246" s="1"/>
  <c r="D548" i="246" s="1"/>
  <c r="D610" i="246" s="1"/>
  <c r="D672" i="246" s="1"/>
  <c r="D734" i="246" s="1"/>
  <c r="D796" i="246" s="1"/>
  <c r="U52" i="246"/>
  <c r="U114" i="246" s="1"/>
  <c r="U176" i="246" s="1"/>
  <c r="U238" i="246" s="1"/>
  <c r="U300" i="246" s="1"/>
  <c r="U362" i="246" s="1"/>
  <c r="U424" i="246" s="1"/>
  <c r="U486" i="246" s="1"/>
  <c r="U548" i="246" s="1"/>
  <c r="U610" i="246" s="1"/>
  <c r="U672" i="246" s="1"/>
  <c r="U734" i="246" s="1"/>
  <c r="G11" i="334"/>
  <c r="D11" i="334"/>
  <c r="F11" i="91"/>
  <c r="G11" i="91"/>
  <c r="E11" i="91"/>
  <c r="I47" i="164"/>
  <c r="I54" i="164" s="1"/>
  <c r="J47" i="164"/>
  <c r="J54" i="164" s="1"/>
  <c r="H47" i="164"/>
  <c r="H54" i="164" s="1"/>
  <c r="C24" i="228"/>
  <c r="C24" i="173"/>
  <c r="F25" i="173"/>
  <c r="C28" i="173"/>
  <c r="C28" i="228"/>
  <c r="F48" i="212"/>
  <c r="F29" i="173"/>
  <c r="K570" i="209"/>
  <c r="J410" i="246"/>
  <c r="E23" i="172"/>
  <c r="P286" i="246"/>
  <c r="C29" i="184"/>
  <c r="C29" i="172"/>
  <c r="E31" i="292"/>
  <c r="K472" i="246"/>
  <c r="F30" i="184"/>
  <c r="E33" i="292" s="1"/>
  <c r="F33" i="172"/>
  <c r="F33" i="184"/>
  <c r="F24" i="309"/>
  <c r="K432" i="246"/>
  <c r="D32" i="292"/>
  <c r="P32" i="292" s="1"/>
  <c r="Q494" i="246"/>
  <c r="K370" i="246"/>
  <c r="C27" i="309"/>
  <c r="C27" i="184"/>
  <c r="F28" i="309"/>
  <c r="F28" i="184"/>
  <c r="G31" i="309"/>
  <c r="G48" i="309" s="1"/>
  <c r="O20" i="308" s="1"/>
  <c r="G31" i="184"/>
  <c r="H31" i="184" s="1"/>
  <c r="H45" i="184" s="1"/>
  <c r="M187" i="246" s="1"/>
  <c r="H31" i="308"/>
  <c r="H45" i="308" s="1"/>
  <c r="R618" i="246"/>
  <c r="E33" i="309"/>
  <c r="E33" i="184"/>
  <c r="O456" i="246"/>
  <c r="H24" i="223"/>
  <c r="H27" i="223"/>
  <c r="H41" i="223" s="1"/>
  <c r="M208" i="246" s="1"/>
  <c r="D27" i="173"/>
  <c r="D48" i="223"/>
  <c r="H31" i="223"/>
  <c r="H45" i="223" s="1"/>
  <c r="M146" i="246" s="1"/>
  <c r="D31" i="171"/>
  <c r="I580" i="246"/>
  <c r="H33" i="223"/>
  <c r="D33" i="173"/>
  <c r="G23" i="84"/>
  <c r="L405" i="246"/>
  <c r="R281" i="246"/>
  <c r="H23" i="104"/>
  <c r="L529" i="246"/>
  <c r="R405" i="246"/>
  <c r="R343" i="246"/>
  <c r="R529" i="246"/>
  <c r="L591" i="246"/>
  <c r="G31" i="84"/>
  <c r="H46" i="104"/>
  <c r="G48" i="104"/>
  <c r="D14" i="228"/>
  <c r="F13" i="228"/>
  <c r="G32" i="228"/>
  <c r="E17" i="171"/>
  <c r="C24" i="171"/>
  <c r="D27" i="84"/>
  <c r="H27" i="103"/>
  <c r="H41" i="103" s="1"/>
  <c r="G28" i="171"/>
  <c r="G28" i="84"/>
  <c r="D15" i="171"/>
  <c r="D15" i="184"/>
  <c r="G17" i="184"/>
  <c r="G17" i="171"/>
  <c r="L25" i="171"/>
  <c r="G11" i="160"/>
  <c r="G18" i="160" s="1"/>
  <c r="D11" i="160"/>
  <c r="D18" i="160" s="1"/>
  <c r="E11" i="160"/>
  <c r="E18" i="160" s="1"/>
  <c r="F11" i="160"/>
  <c r="F18" i="160" s="1"/>
  <c r="D72" i="209"/>
  <c r="D132" i="209" s="1"/>
  <c r="D192" i="209" s="1"/>
  <c r="D252" i="209" s="1"/>
  <c r="D312" i="209" s="1"/>
  <c r="D372" i="209" s="1"/>
  <c r="D432" i="209" s="1"/>
  <c r="D492" i="209" s="1"/>
  <c r="D552" i="209" s="1"/>
  <c r="D612" i="209" s="1"/>
  <c r="D672" i="209" s="1"/>
  <c r="D732" i="209" s="1"/>
  <c r="U12" i="209"/>
  <c r="U72" i="209" s="1"/>
  <c r="U132" i="209" s="1"/>
  <c r="U192" i="209" s="1"/>
  <c r="U252" i="209" s="1"/>
  <c r="U312" i="209" s="1"/>
  <c r="U372" i="209" s="1"/>
  <c r="U432" i="209" s="1"/>
  <c r="U492" i="209" s="1"/>
  <c r="U552" i="209" s="1"/>
  <c r="U612" i="209" s="1"/>
  <c r="U672" i="209" s="1"/>
  <c r="U732" i="209" s="1"/>
  <c r="U17" i="209"/>
  <c r="U77" i="209" s="1"/>
  <c r="U137" i="209" s="1"/>
  <c r="U197" i="209" s="1"/>
  <c r="U257" i="209" s="1"/>
  <c r="U317" i="209" s="1"/>
  <c r="U377" i="209" s="1"/>
  <c r="U437" i="209" s="1"/>
  <c r="U497" i="209" s="1"/>
  <c r="U557" i="209" s="1"/>
  <c r="U617" i="209" s="1"/>
  <c r="U677" i="209" s="1"/>
  <c r="U737" i="209" s="1"/>
  <c r="D77" i="209"/>
  <c r="D137" i="209" s="1"/>
  <c r="D197" i="209" s="1"/>
  <c r="D257" i="209" s="1"/>
  <c r="D317" i="209" s="1"/>
  <c r="D377" i="209" s="1"/>
  <c r="D437" i="209" s="1"/>
  <c r="D497" i="209" s="1"/>
  <c r="D557" i="209" s="1"/>
  <c r="D617" i="209" s="1"/>
  <c r="D677" i="209" s="1"/>
  <c r="D737" i="209" s="1"/>
  <c r="G11" i="313"/>
  <c r="D11" i="313"/>
  <c r="E11" i="313"/>
  <c r="E11" i="192"/>
  <c r="F11" i="192"/>
  <c r="G11" i="192"/>
  <c r="E11" i="195"/>
  <c r="E18" i="195" s="1"/>
  <c r="D70" i="209"/>
  <c r="D130" i="209" s="1"/>
  <c r="D190" i="209" s="1"/>
  <c r="D250" i="209" s="1"/>
  <c r="D310" i="209" s="1"/>
  <c r="D370" i="209" s="1"/>
  <c r="D430" i="209" s="1"/>
  <c r="D490" i="209" s="1"/>
  <c r="D550" i="209" s="1"/>
  <c r="D610" i="209" s="1"/>
  <c r="D670" i="209" s="1"/>
  <c r="D730" i="209" s="1"/>
  <c r="U10" i="209"/>
  <c r="U70" i="209" s="1"/>
  <c r="U130" i="209" s="1"/>
  <c r="U190" i="209" s="1"/>
  <c r="U250" i="209" s="1"/>
  <c r="U310" i="209" s="1"/>
  <c r="U370" i="209" s="1"/>
  <c r="U430" i="209" s="1"/>
  <c r="U490" i="209" s="1"/>
  <c r="U550" i="209" s="1"/>
  <c r="U610" i="209" s="1"/>
  <c r="U670" i="209" s="1"/>
  <c r="U730" i="209" s="1"/>
  <c r="F11" i="166"/>
  <c r="G11" i="166"/>
  <c r="G44" i="166" s="1"/>
  <c r="R80" i="246" s="1"/>
  <c r="E11" i="166"/>
  <c r="G11" i="241"/>
  <c r="D11" i="241"/>
  <c r="F11" i="241"/>
  <c r="D11" i="103"/>
  <c r="D45" i="91"/>
  <c r="I132" i="246" s="1"/>
  <c r="D11" i="123"/>
  <c r="E11" i="123"/>
  <c r="G11" i="123"/>
  <c r="O450" i="209"/>
  <c r="E25" i="172"/>
  <c r="G27" i="172"/>
  <c r="C31" i="172"/>
  <c r="D48" i="103"/>
  <c r="D11" i="204"/>
  <c r="D18" i="204" s="1"/>
  <c r="C32" i="173"/>
  <c r="D30" i="231"/>
  <c r="S700" i="246"/>
  <c r="F16" i="173"/>
  <c r="E23" i="173"/>
  <c r="S688" i="209"/>
  <c r="E29" i="173"/>
  <c r="L618" i="246"/>
  <c r="D17" i="231"/>
  <c r="H31" i="103"/>
  <c r="H45" i="103" s="1"/>
  <c r="F12" i="172"/>
  <c r="Q738" i="246" s="1"/>
  <c r="F16" i="172"/>
  <c r="P364" i="246"/>
  <c r="E28" i="170"/>
  <c r="C30" i="172"/>
  <c r="D33" i="172"/>
  <c r="F11" i="204"/>
  <c r="F18" i="204" s="1"/>
  <c r="F17" i="231"/>
  <c r="H43" i="296"/>
  <c r="S300" i="246"/>
  <c r="S736" i="246"/>
  <c r="Q736" i="246"/>
  <c r="D27" i="170"/>
  <c r="C32" i="231"/>
  <c r="C24" i="170"/>
  <c r="F33" i="231"/>
  <c r="E30" i="172"/>
  <c r="C32" i="172"/>
  <c r="H27" i="226"/>
  <c r="H41" i="226" s="1"/>
  <c r="M240" i="246" s="1"/>
  <c r="P612" i="246"/>
  <c r="C24" i="231"/>
  <c r="R364" i="246"/>
  <c r="I364" i="246"/>
  <c r="F25" i="231"/>
  <c r="J488" i="246"/>
  <c r="E30" i="231"/>
  <c r="G28" i="172"/>
  <c r="F25" i="170"/>
  <c r="D27" i="231"/>
  <c r="H28" i="226"/>
  <c r="H42" i="226" s="1"/>
  <c r="M302" i="246" s="1"/>
  <c r="Q364" i="246"/>
  <c r="G28" i="231"/>
  <c r="G26" i="231"/>
  <c r="Q704" i="246"/>
  <c r="E28" i="231"/>
  <c r="Q612" i="246"/>
  <c r="K426" i="246"/>
  <c r="O364" i="246"/>
  <c r="M355" i="246"/>
  <c r="F31" i="172"/>
  <c r="O426" i="246"/>
  <c r="H26" i="226"/>
  <c r="H40" i="226" s="1"/>
  <c r="M116" i="246" s="1"/>
  <c r="F31" i="231"/>
  <c r="E28" i="172"/>
  <c r="G26" i="172"/>
  <c r="F31" i="170"/>
  <c r="H25" i="226"/>
  <c r="F48" i="226"/>
  <c r="C30" i="231"/>
  <c r="F23" i="172"/>
  <c r="R302" i="246"/>
  <c r="D25" i="231"/>
  <c r="H43" i="188"/>
  <c r="O550" i="246"/>
  <c r="D25" i="172"/>
  <c r="K488" i="246"/>
  <c r="D33" i="231"/>
  <c r="D33" i="170"/>
  <c r="Q426" i="246"/>
  <c r="K612" i="246"/>
  <c r="G26" i="170"/>
  <c r="C30" i="170"/>
  <c r="F23" i="170"/>
  <c r="H33" i="226"/>
  <c r="I550" i="246"/>
  <c r="D25" i="170"/>
  <c r="F23" i="231"/>
  <c r="Q550" i="246"/>
  <c r="S292" i="246"/>
  <c r="Q488" i="246"/>
  <c r="F12" i="170"/>
  <c r="N36" i="292"/>
  <c r="G45" i="151"/>
  <c r="L167" i="246" s="1"/>
  <c r="L725" i="246"/>
  <c r="R663" i="246"/>
  <c r="G44" i="151"/>
  <c r="R105" i="246" s="1"/>
  <c r="F16" i="170"/>
  <c r="D13" i="231"/>
  <c r="D13" i="170"/>
  <c r="O270" i="246"/>
  <c r="F12" i="173"/>
  <c r="F12" i="231"/>
  <c r="N37" i="292" s="1"/>
  <c r="N35" i="292"/>
  <c r="E26" i="173"/>
  <c r="P394" i="246"/>
  <c r="D32" i="171"/>
  <c r="H32" i="223"/>
  <c r="M642" i="246" s="1"/>
  <c r="H30" i="223"/>
  <c r="C31" i="231"/>
  <c r="E26" i="171"/>
  <c r="C23" i="173"/>
  <c r="H46" i="223"/>
  <c r="S642" i="246" s="1"/>
  <c r="E23" i="171"/>
  <c r="E25" i="171"/>
  <c r="C23" i="171"/>
  <c r="E25" i="173"/>
  <c r="H28" i="223"/>
  <c r="H42" i="223" s="1"/>
  <c r="M270" i="246" s="1"/>
  <c r="D32" i="173"/>
  <c r="C23" i="231"/>
  <c r="J518" i="246"/>
  <c r="D28" i="231"/>
  <c r="D28" i="173"/>
  <c r="P332" i="246"/>
  <c r="D30" i="171"/>
  <c r="E23" i="231"/>
  <c r="Q332" i="246"/>
  <c r="J456" i="246"/>
  <c r="P518" i="246"/>
  <c r="C31" i="171"/>
  <c r="O580" i="246"/>
  <c r="E25" i="231"/>
  <c r="I456" i="246"/>
  <c r="J394" i="246"/>
  <c r="P270" i="246"/>
  <c r="D30" i="173"/>
  <c r="Q270" i="246"/>
  <c r="F16" i="231"/>
  <c r="F16" i="171"/>
  <c r="D13" i="173"/>
  <c r="D13" i="171"/>
  <c r="D17" i="173"/>
  <c r="H43" i="178"/>
  <c r="P590" i="209"/>
  <c r="S288" i="209"/>
  <c r="E30" i="170"/>
  <c r="E30" i="175" s="1"/>
  <c r="E30" i="228"/>
  <c r="G24" i="228"/>
  <c r="H31" i="225"/>
  <c r="H45" i="225" s="1"/>
  <c r="P17" i="345" s="1"/>
  <c r="R530" i="209"/>
  <c r="P290" i="209"/>
  <c r="H32" i="225"/>
  <c r="M650" i="209" s="1"/>
  <c r="I470" i="209"/>
  <c r="D31" i="170"/>
  <c r="H23" i="225"/>
  <c r="D23" i="228"/>
  <c r="O290" i="209"/>
  <c r="G24" i="170"/>
  <c r="F27" i="170"/>
  <c r="J470" i="209"/>
  <c r="O590" i="209"/>
  <c r="O410" i="209"/>
  <c r="R470" i="209"/>
  <c r="D48" i="225"/>
  <c r="L410" i="209"/>
  <c r="H24" i="225"/>
  <c r="H38" i="225" s="1"/>
  <c r="M50" i="209" s="1"/>
  <c r="S287" i="209"/>
  <c r="D31" i="228"/>
  <c r="F13" i="170"/>
  <c r="F13" i="175" s="1"/>
  <c r="O470" i="209"/>
  <c r="P530" i="209"/>
  <c r="H46" i="225"/>
  <c r="D32" i="228"/>
  <c r="I410" i="209"/>
  <c r="H27" i="225"/>
  <c r="H41" i="225" s="1"/>
  <c r="Q590" i="209"/>
  <c r="I350" i="209"/>
  <c r="C27" i="170"/>
  <c r="K470" i="209"/>
  <c r="D24" i="170"/>
  <c r="O530" i="209"/>
  <c r="F30" i="170"/>
  <c r="E21" i="292"/>
  <c r="D24" i="228"/>
  <c r="Q350" i="209"/>
  <c r="J350" i="209"/>
  <c r="F30" i="228"/>
  <c r="J530" i="209"/>
  <c r="M530" i="209"/>
  <c r="P410" i="209"/>
  <c r="H43" i="219"/>
  <c r="G32" i="170"/>
  <c r="E16" i="228"/>
  <c r="D16" i="228"/>
  <c r="D12" i="228"/>
  <c r="O722" i="209" s="1"/>
  <c r="O690" i="209"/>
  <c r="G13" i="173"/>
  <c r="D12" i="173"/>
  <c r="G23" i="228"/>
  <c r="Q330" i="209"/>
  <c r="R510" i="209"/>
  <c r="G27" i="173"/>
  <c r="H23" i="212"/>
  <c r="E29" i="228"/>
  <c r="P330" i="209"/>
  <c r="R390" i="209"/>
  <c r="R270" i="209"/>
  <c r="L450" i="209"/>
  <c r="P390" i="209"/>
  <c r="E48" i="212"/>
  <c r="L390" i="209"/>
  <c r="F32" i="173"/>
  <c r="E25" i="228"/>
  <c r="P510" i="209"/>
  <c r="F32" i="228"/>
  <c r="D26" i="228"/>
  <c r="J570" i="209"/>
  <c r="E17" i="173"/>
  <c r="Q715" i="246"/>
  <c r="Q467" i="246"/>
  <c r="F12" i="84"/>
  <c r="F17" i="184"/>
  <c r="N26" i="191"/>
  <c r="F44" i="191"/>
  <c r="Q99" i="246" s="1"/>
  <c r="F45" i="191"/>
  <c r="K161" i="246" s="1"/>
  <c r="Q657" i="246"/>
  <c r="K719" i="246"/>
  <c r="K657" i="246"/>
  <c r="E29" i="184"/>
  <c r="P410" i="246"/>
  <c r="G16" i="172"/>
  <c r="E29" i="172"/>
  <c r="J534" i="246"/>
  <c r="P348" i="246"/>
  <c r="E32" i="172"/>
  <c r="E25" i="184"/>
  <c r="E48" i="186"/>
  <c r="G23" i="172"/>
  <c r="G27" i="184"/>
  <c r="Q348" i="246"/>
  <c r="H27" i="186"/>
  <c r="H41" i="186" s="1"/>
  <c r="H23" i="186"/>
  <c r="C31" i="184"/>
  <c r="E32" i="184"/>
  <c r="L410" i="246"/>
  <c r="L472" i="246"/>
  <c r="R286" i="246"/>
  <c r="R410" i="246"/>
  <c r="D26" i="172"/>
  <c r="R534" i="246"/>
  <c r="D26" i="184"/>
  <c r="P534" i="246"/>
  <c r="E17" i="184"/>
  <c r="E13" i="172"/>
  <c r="F17" i="171"/>
  <c r="S387" i="246"/>
  <c r="S697" i="246"/>
  <c r="M511" i="246"/>
  <c r="D12" i="184"/>
  <c r="O745" i="246" s="1"/>
  <c r="D12" i="171"/>
  <c r="P17" i="190"/>
  <c r="P17" i="192"/>
  <c r="M139" i="246"/>
  <c r="P17" i="284"/>
  <c r="P17" i="359"/>
  <c r="P17" i="156"/>
  <c r="P14" i="192"/>
  <c r="M263" i="246"/>
  <c r="P14" i="359"/>
  <c r="P14" i="190"/>
  <c r="P14" i="284"/>
  <c r="P14" i="156"/>
  <c r="S449" i="246"/>
  <c r="Q449" i="246"/>
  <c r="F12" i="171"/>
  <c r="Q697" i="246"/>
  <c r="G16" i="84"/>
  <c r="E13" i="84"/>
  <c r="R715" i="246"/>
  <c r="S715" i="246" s="1"/>
  <c r="R467" i="246"/>
  <c r="G12" i="172"/>
  <c r="H23" i="103"/>
  <c r="S313" i="209"/>
  <c r="S312" i="209"/>
  <c r="D5" i="101"/>
  <c r="G21" i="101"/>
  <c r="O23" i="101" s="1"/>
  <c r="E35" i="101"/>
  <c r="H21" i="101"/>
  <c r="P23" i="101" s="1"/>
  <c r="F35" i="101"/>
  <c r="G35" i="101"/>
  <c r="H35" i="101"/>
  <c r="E7" i="101"/>
  <c r="F7" i="101"/>
  <c r="G7" i="101"/>
  <c r="E21" i="101"/>
  <c r="M23" i="101" s="1"/>
  <c r="D21" i="105"/>
  <c r="L23" i="105" s="1"/>
  <c r="D35" i="105"/>
  <c r="D35" i="9"/>
  <c r="D7" i="9"/>
  <c r="D21" i="9"/>
  <c r="L23" i="9" s="1"/>
  <c r="L5" i="271"/>
  <c r="L7" i="271" s="1"/>
  <c r="N7" i="271"/>
  <c r="O7" i="271"/>
  <c r="P7" i="271"/>
  <c r="O7" i="189"/>
  <c r="P7" i="189"/>
  <c r="L5" i="189"/>
  <c r="L7" i="189" s="1"/>
  <c r="M7" i="189"/>
  <c r="N7" i="189"/>
  <c r="L29" i="289"/>
  <c r="L7" i="289"/>
  <c r="D7" i="288"/>
  <c r="D35" i="288"/>
  <c r="D21" i="288"/>
  <c r="L23" i="288" s="1"/>
  <c r="D21" i="213"/>
  <c r="L23" i="213" s="1"/>
  <c r="D35" i="213"/>
  <c r="D7" i="296"/>
  <c r="D7" i="178"/>
  <c r="D21" i="178"/>
  <c r="L23" i="178" s="1"/>
  <c r="D35" i="178"/>
  <c r="D35" i="353"/>
  <c r="D7" i="353"/>
  <c r="D21" i="353"/>
  <c r="L23" i="353" s="1"/>
  <c r="F21" i="101"/>
  <c r="N23" i="101" s="1"/>
  <c r="L5" i="79"/>
  <c r="L7" i="79" s="1"/>
  <c r="N7" i="79"/>
  <c r="O7" i="79"/>
  <c r="P7" i="79"/>
  <c r="L29" i="290"/>
  <c r="L7" i="290"/>
  <c r="L23" i="290"/>
  <c r="D7" i="362"/>
  <c r="D35" i="362"/>
  <c r="D21" i="362"/>
  <c r="L23" i="362" s="1"/>
  <c r="D35" i="284"/>
  <c r="D7" i="284"/>
  <c r="D21" i="284"/>
  <c r="L23" i="284" s="1"/>
  <c r="D5" i="191"/>
  <c r="G21" i="191"/>
  <c r="O23" i="191" s="1"/>
  <c r="E35" i="191"/>
  <c r="H21" i="191"/>
  <c r="P23" i="191" s="1"/>
  <c r="F35" i="191"/>
  <c r="G35" i="191"/>
  <c r="H35" i="191"/>
  <c r="E7" i="191"/>
  <c r="F7" i="191"/>
  <c r="G7" i="191"/>
  <c r="E21" i="191"/>
  <c r="M23" i="191" s="1"/>
  <c r="D7" i="11"/>
  <c r="D21" i="11"/>
  <c r="L23" i="11" s="1"/>
  <c r="D35" i="11"/>
  <c r="D5" i="344"/>
  <c r="G21" i="344"/>
  <c r="O23" i="344" s="1"/>
  <c r="E35" i="344"/>
  <c r="H21" i="344"/>
  <c r="P23" i="344" s="1"/>
  <c r="F35" i="344"/>
  <c r="G35" i="344"/>
  <c r="H35" i="344"/>
  <c r="E7" i="344"/>
  <c r="F7" i="344"/>
  <c r="G7" i="344"/>
  <c r="E21" i="344"/>
  <c r="M23" i="344" s="1"/>
  <c r="L5" i="183"/>
  <c r="L7" i="183" s="1"/>
  <c r="N7" i="183"/>
  <c r="O7" i="183"/>
  <c r="P7" i="183"/>
  <c r="M7" i="271"/>
  <c r="D5" i="154"/>
  <c r="G21" i="154"/>
  <c r="O23" i="154" s="1"/>
  <c r="E35" i="154"/>
  <c r="H21" i="154"/>
  <c r="P23" i="154" s="1"/>
  <c r="F35" i="154"/>
  <c r="G35" i="154"/>
  <c r="H35" i="154"/>
  <c r="E7" i="154"/>
  <c r="F7" i="154"/>
  <c r="G7" i="154"/>
  <c r="E21" i="154"/>
  <c r="M23" i="154" s="1"/>
  <c r="L5" i="215"/>
  <c r="L7" i="215" s="1"/>
  <c r="N7" i="215"/>
  <c r="O7" i="215"/>
  <c r="P7" i="215"/>
  <c r="G21" i="326"/>
  <c r="G35" i="326"/>
  <c r="H7" i="101"/>
  <c r="D5" i="295"/>
  <c r="G21" i="295"/>
  <c r="O23" i="295" s="1"/>
  <c r="H35" i="295"/>
  <c r="H21" i="295"/>
  <c r="P23" i="295" s="1"/>
  <c r="E7" i="295"/>
  <c r="F7" i="295"/>
  <c r="E35" i="295"/>
  <c r="G7" i="295"/>
  <c r="E21" i="295"/>
  <c r="M23" i="295" s="1"/>
  <c r="F35" i="295"/>
  <c r="D7" i="105"/>
  <c r="F21" i="191"/>
  <c r="N23" i="191" s="1"/>
  <c r="F21" i="344"/>
  <c r="N23" i="344" s="1"/>
  <c r="D21" i="6"/>
  <c r="L23" i="6" s="1"/>
  <c r="D35" i="6"/>
  <c r="L5" i="7"/>
  <c r="L7" i="7" s="1"/>
  <c r="N7" i="7"/>
  <c r="O7" i="7"/>
  <c r="P7" i="7"/>
  <c r="M7" i="79"/>
  <c r="F21" i="154"/>
  <c r="N23" i="154" s="1"/>
  <c r="H21" i="307"/>
  <c r="P23" i="307" s="1"/>
  <c r="F35" i="307"/>
  <c r="E7" i="307"/>
  <c r="D5" i="307"/>
  <c r="F7" i="307"/>
  <c r="E21" i="307"/>
  <c r="M23" i="307" s="1"/>
  <c r="E35" i="307"/>
  <c r="G7" i="307"/>
  <c r="F21" i="307"/>
  <c r="N23" i="307" s="1"/>
  <c r="G35" i="307"/>
  <c r="H7" i="307"/>
  <c r="G21" i="307"/>
  <c r="O23" i="307" s="1"/>
  <c r="H35" i="307"/>
  <c r="M7" i="183"/>
  <c r="H21" i="44"/>
  <c r="H35" i="44"/>
  <c r="F21" i="250"/>
  <c r="F35" i="250"/>
  <c r="F21" i="295"/>
  <c r="N23" i="295" s="1"/>
  <c r="D35" i="146"/>
  <c r="D7" i="146"/>
  <c r="D21" i="146"/>
  <c r="L23" i="146" s="1"/>
  <c r="M7" i="215"/>
  <c r="F35" i="58"/>
  <c r="E7" i="39"/>
  <c r="H35" i="337"/>
  <c r="E35" i="291"/>
  <c r="F35" i="247"/>
  <c r="H35" i="248"/>
  <c r="F7" i="284"/>
  <c r="E7" i="345"/>
  <c r="H35" i="10"/>
  <c r="H35" i="334"/>
  <c r="E7" i="4"/>
  <c r="H21" i="213"/>
  <c r="P23" i="213" s="1"/>
  <c r="E21" i="176"/>
  <c r="M23" i="176" s="1"/>
  <c r="G7" i="176"/>
  <c r="H35" i="39"/>
  <c r="O7" i="39"/>
  <c r="G21" i="190"/>
  <c r="O23" i="190" s="1"/>
  <c r="D5" i="190"/>
  <c r="G35" i="337"/>
  <c r="N7" i="337"/>
  <c r="G35" i="248"/>
  <c r="H35" i="250"/>
  <c r="P7" i="284"/>
  <c r="E7" i="284"/>
  <c r="H21" i="6"/>
  <c r="P23" i="6" s="1"/>
  <c r="E21" i="270"/>
  <c r="M23" i="270" s="1"/>
  <c r="G7" i="270"/>
  <c r="H35" i="345"/>
  <c r="O7" i="345"/>
  <c r="H21" i="105"/>
  <c r="P23" i="105" s="1"/>
  <c r="E21" i="216"/>
  <c r="M23" i="216" s="1"/>
  <c r="G7" i="216"/>
  <c r="H35" i="91"/>
  <c r="O7" i="91"/>
  <c r="G21" i="118"/>
  <c r="O23" i="118" s="1"/>
  <c r="D5" i="118"/>
  <c r="G35" i="10"/>
  <c r="P7" i="9"/>
  <c r="E7" i="9"/>
  <c r="F35" i="296"/>
  <c r="E21" i="296"/>
  <c r="M23" i="296" s="1"/>
  <c r="G7" i="296"/>
  <c r="H35" i="203"/>
  <c r="O7" i="203"/>
  <c r="G21" i="11"/>
  <c r="O23" i="11" s="1"/>
  <c r="G35" i="334"/>
  <c r="P7" i="146"/>
  <c r="E7" i="146"/>
  <c r="F35" i="333"/>
  <c r="E21" i="333"/>
  <c r="M23" i="333" s="1"/>
  <c r="G7" i="333"/>
  <c r="H35" i="162"/>
  <c r="O7" i="162"/>
  <c r="D7" i="162"/>
  <c r="E35" i="178"/>
  <c r="G21" i="178"/>
  <c r="O23" i="178" s="1"/>
  <c r="N7" i="290"/>
  <c r="P7" i="353"/>
  <c r="E7" i="353"/>
  <c r="F35" i="139"/>
  <c r="H21" i="139"/>
  <c r="P23" i="139" s="1"/>
  <c r="E21" i="125"/>
  <c r="M23" i="125" s="1"/>
  <c r="G7" i="125"/>
  <c r="E21" i="13"/>
  <c r="M23" i="13" s="1"/>
  <c r="G7" i="13"/>
  <c r="H35" i="4"/>
  <c r="O7" i="4"/>
  <c r="G21" i="192"/>
  <c r="O23" i="192" s="1"/>
  <c r="P7" i="196"/>
  <c r="E7" i="196"/>
  <c r="F35" i="97"/>
  <c r="H21" i="97"/>
  <c r="P23" i="97" s="1"/>
  <c r="E21" i="99"/>
  <c r="M23" i="99" s="1"/>
  <c r="G7" i="99"/>
  <c r="M29" i="362"/>
  <c r="G21" i="362"/>
  <c r="O23" i="362" s="1"/>
  <c r="E21" i="183"/>
  <c r="M23" i="183" s="1"/>
  <c r="E35" i="213"/>
  <c r="G21" i="213"/>
  <c r="O23" i="213" s="1"/>
  <c r="F7" i="176"/>
  <c r="G35" i="39"/>
  <c r="N7" i="39"/>
  <c r="P7" i="101"/>
  <c r="F35" i="337"/>
  <c r="H21" i="337"/>
  <c r="P23" i="337" s="1"/>
  <c r="H35" i="284"/>
  <c r="O7" i="284"/>
  <c r="E35" i="6"/>
  <c r="G21" i="6"/>
  <c r="O23" i="6" s="1"/>
  <c r="F7" i="270"/>
  <c r="G35" i="345"/>
  <c r="N7" i="345"/>
  <c r="P7" i="295"/>
  <c r="E21" i="7"/>
  <c r="M23" i="7" s="1"/>
  <c r="E35" i="105"/>
  <c r="G21" i="105"/>
  <c r="O23" i="105" s="1"/>
  <c r="F7" i="216"/>
  <c r="G35" i="91"/>
  <c r="N7" i="91"/>
  <c r="P7" i="191"/>
  <c r="F35" i="10"/>
  <c r="H21" i="10"/>
  <c r="P23" i="10" s="1"/>
  <c r="E21" i="79"/>
  <c r="M23" i="79" s="1"/>
  <c r="H35" i="9"/>
  <c r="O7" i="9"/>
  <c r="E35" i="296"/>
  <c r="F7" i="296"/>
  <c r="G35" i="203"/>
  <c r="N7" i="203"/>
  <c r="P7" i="344"/>
  <c r="F35" i="334"/>
  <c r="H21" i="334"/>
  <c r="P23" i="334" s="1"/>
  <c r="H35" i="146"/>
  <c r="O7" i="146"/>
  <c r="E35" i="333"/>
  <c r="F7" i="333"/>
  <c r="G35" i="162"/>
  <c r="N7" i="162"/>
  <c r="H21" i="290"/>
  <c r="E21" i="271"/>
  <c r="M23" i="271" s="1"/>
  <c r="H35" i="353"/>
  <c r="O7" i="353"/>
  <c r="E35" i="139"/>
  <c r="G21" i="139"/>
  <c r="O23" i="139" s="1"/>
  <c r="D5" i="139"/>
  <c r="F7" i="125"/>
  <c r="F7" i="13"/>
  <c r="G35" i="4"/>
  <c r="N7" i="4"/>
  <c r="P7" i="154"/>
  <c r="E21" i="215"/>
  <c r="M23" i="215" s="1"/>
  <c r="O7" i="196"/>
  <c r="E35" i="97"/>
  <c r="G21" i="97"/>
  <c r="O23" i="97" s="1"/>
  <c r="D5" i="97"/>
  <c r="F7" i="99"/>
  <c r="P7" i="95"/>
  <c r="E7" i="356"/>
  <c r="D5" i="356"/>
  <c r="G21" i="356"/>
  <c r="O23" i="356" s="1"/>
  <c r="E35" i="356"/>
  <c r="H21" i="356"/>
  <c r="P23" i="356" s="1"/>
  <c r="F35" i="356"/>
  <c r="H35" i="356"/>
  <c r="F35" i="39"/>
  <c r="H21" i="39"/>
  <c r="P23" i="39" s="1"/>
  <c r="E35" i="337"/>
  <c r="G21" i="337"/>
  <c r="O23" i="337" s="1"/>
  <c r="D5" i="337"/>
  <c r="G35" i="284"/>
  <c r="N7" i="284"/>
  <c r="F35" i="345"/>
  <c r="H21" i="345"/>
  <c r="P23" i="345" s="1"/>
  <c r="P29" i="295"/>
  <c r="O7" i="295"/>
  <c r="E7" i="216"/>
  <c r="F35" i="91"/>
  <c r="H21" i="91"/>
  <c r="P23" i="91" s="1"/>
  <c r="E21" i="118"/>
  <c r="M23" i="118" s="1"/>
  <c r="E35" i="10"/>
  <c r="G21" i="10"/>
  <c r="O23" i="10" s="1"/>
  <c r="D5" i="10"/>
  <c r="G35" i="9"/>
  <c r="N7" i="9"/>
  <c r="E7" i="296"/>
  <c r="F35" i="203"/>
  <c r="H21" i="203"/>
  <c r="P23" i="203" s="1"/>
  <c r="E35" i="334"/>
  <c r="G21" i="334"/>
  <c r="O23" i="334" s="1"/>
  <c r="D5" i="334"/>
  <c r="G35" i="146"/>
  <c r="N7" i="146"/>
  <c r="E7" i="333"/>
  <c r="H35" i="290"/>
  <c r="G21" i="290"/>
  <c r="D5" i="290"/>
  <c r="N7" i="353"/>
  <c r="E7" i="125"/>
  <c r="E7" i="13"/>
  <c r="F35" i="4"/>
  <c r="H21" i="4"/>
  <c r="P23" i="4" s="1"/>
  <c r="E7" i="99"/>
  <c r="L5" i="72"/>
  <c r="L7" i="72" s="1"/>
  <c r="N7" i="72"/>
  <c r="O7" i="72"/>
  <c r="P7" i="72"/>
  <c r="H35" i="125"/>
  <c r="D5" i="4"/>
  <c r="E21" i="97"/>
  <c r="M23" i="97" s="1"/>
  <c r="G7" i="97"/>
  <c r="H35" i="99"/>
  <c r="N7" i="95"/>
  <c r="E21" i="337"/>
  <c r="M23" i="337" s="1"/>
  <c r="G7" i="337"/>
  <c r="G21" i="284"/>
  <c r="O23" i="284" s="1"/>
  <c r="P7" i="118"/>
  <c r="E21" i="10"/>
  <c r="M23" i="10" s="1"/>
  <c r="G7" i="10"/>
  <c r="G21" i="9"/>
  <c r="O23" i="9" s="1"/>
  <c r="P7" i="11"/>
  <c r="E21" i="334"/>
  <c r="M23" i="334" s="1"/>
  <c r="G7" i="334"/>
  <c r="E35" i="146"/>
  <c r="G21" i="146"/>
  <c r="O23" i="146" s="1"/>
  <c r="P7" i="178"/>
  <c r="F35" i="290"/>
  <c r="E21" i="290"/>
  <c r="G7" i="290"/>
  <c r="G35" i="125"/>
  <c r="E21" i="39"/>
  <c r="M23" i="39" s="1"/>
  <c r="E21" i="345"/>
  <c r="M23" i="345" s="1"/>
  <c r="F35" i="216"/>
  <c r="E21" i="91"/>
  <c r="M23" i="91" s="1"/>
  <c r="E21" i="203"/>
  <c r="M23" i="203" s="1"/>
  <c r="E21" i="162"/>
  <c r="M23" i="162" s="1"/>
  <c r="E35" i="290"/>
  <c r="F35" i="125"/>
  <c r="F35" i="13"/>
  <c r="E21" i="4"/>
  <c r="M23" i="4" s="1"/>
  <c r="F35" i="99"/>
  <c r="P29" i="362"/>
  <c r="D35" i="160"/>
  <c r="D7" i="160"/>
  <c r="D21" i="160"/>
  <c r="L23" i="160" s="1"/>
  <c r="F35" i="354"/>
  <c r="H21" i="354"/>
  <c r="P23" i="354" s="1"/>
  <c r="E21" i="189"/>
  <c r="M23" i="189" s="1"/>
  <c r="G7" i="189"/>
  <c r="E35" i="313"/>
  <c r="G21" i="313"/>
  <c r="O23" i="313" s="1"/>
  <c r="D5" i="313"/>
  <c r="F7" i="72"/>
  <c r="H35" i="186"/>
  <c r="E21" i="14"/>
  <c r="M23" i="14" s="1"/>
  <c r="G7" i="14"/>
  <c r="H35" i="219"/>
  <c r="O7" i="219"/>
  <c r="M35" i="325"/>
  <c r="O29" i="325"/>
  <c r="N7" i="325"/>
  <c r="L5" i="325"/>
  <c r="E21" i="141"/>
  <c r="M23" i="141" s="1"/>
  <c r="G7" i="141"/>
  <c r="F7" i="315"/>
  <c r="N7" i="204"/>
  <c r="L5" i="204"/>
  <c r="L7" i="204" s="1"/>
  <c r="E35" i="171"/>
  <c r="F35" i="172"/>
  <c r="G35" i="223"/>
  <c r="H35" i="226"/>
  <c r="F7" i="123"/>
  <c r="N7" i="15"/>
  <c r="L5" i="15"/>
  <c r="L7" i="15" s="1"/>
  <c r="E21" i="241"/>
  <c r="M23" i="241" s="1"/>
  <c r="G7" i="241"/>
  <c r="H35" i="188"/>
  <c r="O7" i="188"/>
  <c r="E35" i="355"/>
  <c r="G21" i="355"/>
  <c r="O23" i="355" s="1"/>
  <c r="D5" i="355"/>
  <c r="O29" i="324"/>
  <c r="N7" i="324"/>
  <c r="L5" i="324"/>
  <c r="P7" i="202"/>
  <c r="E7" i="202"/>
  <c r="F35" i="221"/>
  <c r="H21" i="221"/>
  <c r="P23" i="221" s="1"/>
  <c r="P29" i="349"/>
  <c r="O7" i="349"/>
  <c r="E35" i="289"/>
  <c r="F7" i="289"/>
  <c r="N7" i="16"/>
  <c r="E7" i="293"/>
  <c r="F35" i="126"/>
  <c r="H21" i="126"/>
  <c r="P23" i="126" s="1"/>
  <c r="E21" i="160"/>
  <c r="M23" i="160" s="1"/>
  <c r="G7" i="160"/>
  <c r="H35" i="214"/>
  <c r="O7" i="214"/>
  <c r="E35" i="347"/>
  <c r="G21" i="347"/>
  <c r="O23" i="347" s="1"/>
  <c r="D5" i="347"/>
  <c r="F7" i="156"/>
  <c r="E7" i="72"/>
  <c r="F35" i="185"/>
  <c r="G35" i="186"/>
  <c r="H35" i="308"/>
  <c r="G35" i="219"/>
  <c r="P7" i="315"/>
  <c r="E7" i="315"/>
  <c r="H35" i="103"/>
  <c r="E35" i="172"/>
  <c r="F35" i="223"/>
  <c r="G35" i="226"/>
  <c r="H35" i="309"/>
  <c r="P7" i="123"/>
  <c r="E7" i="123"/>
  <c r="H35" i="225"/>
  <c r="F7" i="241"/>
  <c r="G35" i="188"/>
  <c r="L5" i="188"/>
  <c r="L7" i="188" s="1"/>
  <c r="G7" i="220"/>
  <c r="H35" i="202"/>
  <c r="E35" i="221"/>
  <c r="G21" i="221"/>
  <c r="O23" i="221" s="1"/>
  <c r="D5" i="221"/>
  <c r="O29" i="349"/>
  <c r="N7" i="349"/>
  <c r="L5" i="349"/>
  <c r="P7" i="289"/>
  <c r="E7" i="289"/>
  <c r="E35" i="126"/>
  <c r="G21" i="126"/>
  <c r="O23" i="126" s="1"/>
  <c r="D5" i="126"/>
  <c r="F7" i="160"/>
  <c r="G35" i="214"/>
  <c r="N7" i="214"/>
  <c r="P7" i="156"/>
  <c r="E7" i="156"/>
  <c r="H35" i="231"/>
  <c r="E7" i="189"/>
  <c r="E21" i="313"/>
  <c r="M23" i="313" s="1"/>
  <c r="G7" i="313"/>
  <c r="H35" i="72"/>
  <c r="P7" i="14"/>
  <c r="F35" i="219"/>
  <c r="H21" i="219"/>
  <c r="P23" i="219" s="1"/>
  <c r="M29" i="325"/>
  <c r="P7" i="141"/>
  <c r="E7" i="141"/>
  <c r="H35" i="315"/>
  <c r="O7" i="315"/>
  <c r="H35" i="123"/>
  <c r="O7" i="123"/>
  <c r="P7" i="241"/>
  <c r="F35" i="188"/>
  <c r="H21" i="188"/>
  <c r="P23" i="188" s="1"/>
  <c r="G7" i="355"/>
  <c r="G35" i="202"/>
  <c r="H21" i="349"/>
  <c r="P23" i="349" s="1"/>
  <c r="P29" i="289"/>
  <c r="O7" i="289"/>
  <c r="P7" i="160"/>
  <c r="E7" i="160"/>
  <c r="F35" i="214"/>
  <c r="H21" i="214"/>
  <c r="P23" i="214" s="1"/>
  <c r="H35" i="156"/>
  <c r="O7" i="156"/>
  <c r="H7" i="194"/>
  <c r="E21" i="354"/>
  <c r="M23" i="354" s="1"/>
  <c r="F7" i="313"/>
  <c r="G35" i="72"/>
  <c r="E35" i="219"/>
  <c r="G21" i="219"/>
  <c r="O23" i="219" s="1"/>
  <c r="D5" i="219"/>
  <c r="E7" i="137"/>
  <c r="F35" i="360"/>
  <c r="E21" i="360"/>
  <c r="M23" i="360" s="1"/>
  <c r="G35" i="315"/>
  <c r="N7" i="315"/>
  <c r="E7" i="279"/>
  <c r="G35" i="123"/>
  <c r="N7" i="123"/>
  <c r="H35" i="241"/>
  <c r="O7" i="241"/>
  <c r="E35" i="188"/>
  <c r="G21" i="188"/>
  <c r="O23" i="188" s="1"/>
  <c r="D5" i="188"/>
  <c r="F7" i="355"/>
  <c r="F35" i="202"/>
  <c r="H21" i="202"/>
  <c r="P23" i="202" s="1"/>
  <c r="E21" i="221"/>
  <c r="M23" i="221" s="1"/>
  <c r="G7" i="221"/>
  <c r="H35" i="349"/>
  <c r="M29" i="349"/>
  <c r="G21" i="349"/>
  <c r="O23" i="349" s="1"/>
  <c r="D5" i="349"/>
  <c r="O29" i="289"/>
  <c r="N7" i="289"/>
  <c r="H21" i="293"/>
  <c r="P23" i="293" s="1"/>
  <c r="E21" i="126"/>
  <c r="M23" i="126" s="1"/>
  <c r="H35" i="160"/>
  <c r="O7" i="160"/>
  <c r="E35" i="214"/>
  <c r="G21" i="214"/>
  <c r="O23" i="214" s="1"/>
  <c r="D5" i="214"/>
  <c r="G35" i="156"/>
  <c r="N7" i="156"/>
  <c r="P7" i="288"/>
  <c r="E7" i="288"/>
  <c r="D5" i="202"/>
  <c r="H35" i="293"/>
  <c r="G21" i="293"/>
  <c r="O23" i="293" s="1"/>
  <c r="D5" i="293"/>
  <c r="D5" i="195"/>
  <c r="G21" i="195"/>
  <c r="O23" i="195" s="1"/>
  <c r="E35" i="195"/>
  <c r="H21" i="195"/>
  <c r="P23" i="195" s="1"/>
  <c r="F35" i="195"/>
  <c r="G35" i="195"/>
  <c r="H35" i="195"/>
  <c r="E7" i="195"/>
  <c r="F7" i="195"/>
  <c r="G7" i="195"/>
  <c r="E21" i="195"/>
  <c r="M23" i="195" s="1"/>
  <c r="E21" i="219"/>
  <c r="M23" i="219" s="1"/>
  <c r="G7" i="219"/>
  <c r="G21" i="315"/>
  <c r="O23" i="315" s="1"/>
  <c r="D5" i="315"/>
  <c r="E21" i="188"/>
  <c r="M23" i="188" s="1"/>
  <c r="G7" i="188"/>
  <c r="E21" i="349"/>
  <c r="M23" i="349" s="1"/>
  <c r="G7" i="349"/>
  <c r="E21" i="214"/>
  <c r="M23" i="214" s="1"/>
  <c r="G7" i="214"/>
  <c r="F35" i="170"/>
  <c r="G21" i="175"/>
  <c r="G35" i="175"/>
  <c r="D5" i="194"/>
  <c r="G21" i="194"/>
  <c r="O23" i="194" s="1"/>
  <c r="E35" i="194"/>
  <c r="H21" i="194"/>
  <c r="P23" i="194" s="1"/>
  <c r="F35" i="194"/>
  <c r="G35" i="194"/>
  <c r="H35" i="194"/>
  <c r="E7" i="194"/>
  <c r="F7" i="194"/>
  <c r="G7" i="194"/>
  <c r="E21" i="194"/>
  <c r="M23" i="194" s="1"/>
  <c r="L5" i="166"/>
  <c r="L7" i="166" s="1"/>
  <c r="N7" i="166"/>
  <c r="O7" i="166"/>
  <c r="P7" i="166"/>
  <c r="F7" i="219"/>
  <c r="P7" i="15"/>
  <c r="E35" i="241"/>
  <c r="G21" i="241"/>
  <c r="O23" i="241" s="1"/>
  <c r="F7" i="188"/>
  <c r="E21" i="202"/>
  <c r="M23" i="202" s="1"/>
  <c r="G7" i="202"/>
  <c r="H35" i="221"/>
  <c r="E35" i="349"/>
  <c r="F7" i="349"/>
  <c r="F35" i="293"/>
  <c r="E21" i="293"/>
  <c r="M23" i="293" s="1"/>
  <c r="G7" i="293"/>
  <c r="F7" i="214"/>
  <c r="D35" i="165"/>
  <c r="D7" i="165"/>
  <c r="D21" i="165"/>
  <c r="L23" i="165" s="1"/>
  <c r="F35" i="313"/>
  <c r="E21" i="72"/>
  <c r="M23" i="72" s="1"/>
  <c r="N35" i="325"/>
  <c r="P29" i="325"/>
  <c r="M23" i="325"/>
  <c r="G21" i="137"/>
  <c r="O23" i="137" s="1"/>
  <c r="E21" i="315"/>
  <c r="M23" i="315" s="1"/>
  <c r="E21" i="123"/>
  <c r="M23" i="123" s="1"/>
  <c r="F35" i="289"/>
  <c r="E21" i="289"/>
  <c r="M23" i="289" s="1"/>
  <c r="E35" i="293"/>
  <c r="E21" i="156"/>
  <c r="M23" i="156" s="1"/>
  <c r="F21" i="194"/>
  <c r="N23" i="194" s="1"/>
  <c r="P23" i="170"/>
  <c r="H35" i="187"/>
  <c r="E35" i="166"/>
  <c r="G21" i="166"/>
  <c r="O23" i="166" s="1"/>
  <c r="D5" i="166"/>
  <c r="F7" i="165"/>
  <c r="G35" i="151"/>
  <c r="N7" i="151"/>
  <c r="L5" i="151"/>
  <c r="L7" i="151" s="1"/>
  <c r="P7" i="194"/>
  <c r="F35" i="187"/>
  <c r="H21" i="187"/>
  <c r="P23" i="187" s="1"/>
  <c r="E21" i="166"/>
  <c r="M23" i="166" s="1"/>
  <c r="G7" i="166"/>
  <c r="H35" i="165"/>
  <c r="E35" i="151"/>
  <c r="G21" i="151"/>
  <c r="O23" i="151" s="1"/>
  <c r="D5" i="151"/>
  <c r="L23" i="173"/>
  <c r="E35" i="187"/>
  <c r="G21" i="187"/>
  <c r="O23" i="187" s="1"/>
  <c r="D5" i="187"/>
  <c r="F7" i="166"/>
  <c r="E7" i="166"/>
  <c r="E21" i="151"/>
  <c r="M23" i="151" s="1"/>
  <c r="G7" i="151"/>
  <c r="L23" i="175"/>
  <c r="E21" i="187"/>
  <c r="M23" i="187" s="1"/>
  <c r="G7" i="187"/>
  <c r="H35" i="166"/>
  <c r="E35" i="165"/>
  <c r="G21" i="165"/>
  <c r="O23" i="165" s="1"/>
  <c r="F7" i="151"/>
  <c r="C717" i="209"/>
  <c r="V657" i="209"/>
  <c r="O628" i="246"/>
  <c r="V597" i="209"/>
  <c r="F43" i="213"/>
  <c r="F47" i="213" s="1"/>
  <c r="Q143" i="209" s="1"/>
  <c r="I647" i="246"/>
  <c r="I690" i="246"/>
  <c r="T17" i="100"/>
  <c r="I709" i="246"/>
  <c r="H44" i="247"/>
  <c r="L26" i="91"/>
  <c r="D18" i="91"/>
  <c r="N15" i="80"/>
  <c r="T15" i="49"/>
  <c r="T33" i="36"/>
  <c r="T16" i="28"/>
  <c r="T29" i="28"/>
  <c r="C412" i="209"/>
  <c r="V352" i="209"/>
  <c r="F44" i="334"/>
  <c r="Q87" i="209" s="1"/>
  <c r="L20" i="289"/>
  <c r="N16" i="49"/>
  <c r="D44" i="97"/>
  <c r="D46" i="91"/>
  <c r="V477" i="209"/>
  <c r="D44" i="91"/>
  <c r="O70" i="246" s="1"/>
  <c r="T22" i="36"/>
  <c r="T14" i="49"/>
  <c r="T13" i="80"/>
  <c r="T19" i="27"/>
  <c r="I628" i="246"/>
  <c r="V537" i="209"/>
  <c r="S396" i="209"/>
  <c r="S532" i="209"/>
  <c r="S498" i="209"/>
  <c r="T11" i="29"/>
  <c r="M456" i="209"/>
  <c r="S569" i="209"/>
  <c r="H27" i="248"/>
  <c r="H41" i="248" s="1"/>
  <c r="P13" i="364" s="1"/>
  <c r="R20" i="49"/>
  <c r="R21" i="49" s="1"/>
  <c r="R26" i="28"/>
  <c r="T12" i="32"/>
  <c r="R13" i="33"/>
  <c r="T13" i="33" s="1"/>
  <c r="T14" i="33" s="1"/>
  <c r="G14" i="203"/>
  <c r="G18" i="203" s="1"/>
  <c r="G14" i="126"/>
  <c r="R25" i="27"/>
  <c r="T25" i="27" s="1"/>
  <c r="G14" i="194"/>
  <c r="O26" i="141"/>
  <c r="G43" i="141" s="1"/>
  <c r="G47" i="141" s="1"/>
  <c r="R170" i="246" s="1"/>
  <c r="P16" i="292"/>
  <c r="T14" i="80"/>
  <c r="L26" i="183"/>
  <c r="D43" i="183" s="1"/>
  <c r="D47" i="183" s="1"/>
  <c r="O177" i="246" s="1"/>
  <c r="D18" i="183"/>
  <c r="R23" i="27"/>
  <c r="T23" i="27" s="1"/>
  <c r="T15" i="100"/>
  <c r="F14" i="141"/>
  <c r="G14" i="141" s="1"/>
  <c r="G18" i="141" s="1"/>
  <c r="E14" i="226"/>
  <c r="T18" i="28"/>
  <c r="T16" i="129"/>
  <c r="D11" i="194"/>
  <c r="L26" i="194" s="1"/>
  <c r="E11" i="194"/>
  <c r="D14" i="226"/>
  <c r="D11" i="189"/>
  <c r="D18" i="189" s="1"/>
  <c r="E11" i="141"/>
  <c r="F11" i="270"/>
  <c r="N26" i="270" s="1"/>
  <c r="F43" i="270" s="1"/>
  <c r="F47" i="270" s="1"/>
  <c r="Q176" i="246" s="1"/>
  <c r="F11" i="151"/>
  <c r="E11" i="183"/>
  <c r="F11" i="183"/>
  <c r="T25" i="34"/>
  <c r="D11" i="141"/>
  <c r="G11" i="126"/>
  <c r="T26" i="34"/>
  <c r="T18" i="34"/>
  <c r="T12" i="129"/>
  <c r="G15" i="194"/>
  <c r="E11" i="189"/>
  <c r="F11" i="189"/>
  <c r="F18" i="189" s="1"/>
  <c r="G11" i="183"/>
  <c r="O26" i="183" s="1"/>
  <c r="P649" i="209"/>
  <c r="E46" i="345"/>
  <c r="J709" i="209"/>
  <c r="J649" i="209"/>
  <c r="E18" i="345"/>
  <c r="M26" i="345"/>
  <c r="E45" i="345"/>
  <c r="J169" i="209" s="1"/>
  <c r="E44" i="345"/>
  <c r="P109" i="209" s="1"/>
  <c r="P11" i="359"/>
  <c r="P11" i="190"/>
  <c r="P11" i="284"/>
  <c r="P11" i="192"/>
  <c r="P11" i="156"/>
  <c r="D45" i="97"/>
  <c r="L26" i="97"/>
  <c r="O647" i="246"/>
  <c r="G18" i="189"/>
  <c r="O26" i="189"/>
  <c r="O26" i="151"/>
  <c r="G43" i="151" s="1"/>
  <c r="G47" i="151" s="1"/>
  <c r="R167" i="246" s="1"/>
  <c r="G18" i="151"/>
  <c r="O26" i="270"/>
  <c r="G18" i="270"/>
  <c r="N26" i="137"/>
  <c r="F43" i="137" s="1"/>
  <c r="F47" i="137" s="1"/>
  <c r="Q171" i="246" s="1"/>
  <c r="F18" i="137"/>
  <c r="O26" i="194"/>
  <c r="O26" i="203"/>
  <c r="G43" i="203" s="1"/>
  <c r="G47" i="203" s="1"/>
  <c r="R175" i="246" s="1"/>
  <c r="O26" i="204"/>
  <c r="G18" i="204"/>
  <c r="E11" i="203"/>
  <c r="E11" i="137"/>
  <c r="E11" i="151"/>
  <c r="G11" i="137"/>
  <c r="D11" i="203"/>
  <c r="D11" i="137"/>
  <c r="D11" i="151"/>
  <c r="F11" i="195"/>
  <c r="F11" i="194"/>
  <c r="E11" i="270"/>
  <c r="E11" i="204"/>
  <c r="O26" i="353" l="1"/>
  <c r="G43" i="353" s="1"/>
  <c r="G47" i="353" s="1"/>
  <c r="R167" i="209" s="1"/>
  <c r="F40" i="334"/>
  <c r="K87" i="209" s="1"/>
  <c r="F41" i="334"/>
  <c r="K207" i="209" s="1"/>
  <c r="K747" i="209"/>
  <c r="F38" i="334"/>
  <c r="K27" i="209" s="1"/>
  <c r="F37" i="334"/>
  <c r="Q207" i="209" s="1"/>
  <c r="F42" i="334"/>
  <c r="K267" i="209" s="1"/>
  <c r="P18" i="105"/>
  <c r="D18" i="353"/>
  <c r="D38" i="353" s="1"/>
  <c r="I47" i="209" s="1"/>
  <c r="F44" i="162"/>
  <c r="Q88" i="209" s="1"/>
  <c r="K688" i="209"/>
  <c r="F45" i="162"/>
  <c r="K148" i="209" s="1"/>
  <c r="K628" i="209"/>
  <c r="P14" i="289"/>
  <c r="O20" i="289"/>
  <c r="O20" i="288"/>
  <c r="G11" i="44"/>
  <c r="P14" i="347"/>
  <c r="M297" i="209"/>
  <c r="E45" i="39"/>
  <c r="J161" i="209" s="1"/>
  <c r="E11" i="44"/>
  <c r="D11" i="44"/>
  <c r="F11" i="44"/>
  <c r="F46" i="44" s="1"/>
  <c r="F14" i="123"/>
  <c r="F14" i="44" s="1"/>
  <c r="F14" i="328" s="1"/>
  <c r="E14" i="44"/>
  <c r="D35" i="192"/>
  <c r="D21" i="192"/>
  <c r="L23" i="192" s="1"/>
  <c r="E15" i="84"/>
  <c r="R616" i="209"/>
  <c r="F18" i="91"/>
  <c r="F38" i="91" s="1"/>
  <c r="K8" i="246" s="1"/>
  <c r="G43" i="39"/>
  <c r="G47" i="39" s="1"/>
  <c r="R161" i="209" s="1"/>
  <c r="K701" i="209"/>
  <c r="S684" i="209"/>
  <c r="M417" i="209"/>
  <c r="J35" i="28"/>
  <c r="J44" i="28" s="1"/>
  <c r="F18" i="162"/>
  <c r="F18" i="212" s="1"/>
  <c r="L26" i="7"/>
  <c r="D43" i="7" s="1"/>
  <c r="D47" i="7" s="1"/>
  <c r="O137" i="209" s="1"/>
  <c r="J25" i="36"/>
  <c r="J30" i="36" s="1"/>
  <c r="D45" i="271"/>
  <c r="I153" i="246" s="1"/>
  <c r="F46" i="162"/>
  <c r="E15" i="171"/>
  <c r="D21" i="241"/>
  <c r="L23" i="241" s="1"/>
  <c r="Q628" i="209"/>
  <c r="G14" i="91"/>
  <c r="G14" i="103" s="1"/>
  <c r="F37" i="213"/>
  <c r="Q203" i="209" s="1"/>
  <c r="K743" i="209"/>
  <c r="F42" i="213"/>
  <c r="K263" i="209" s="1"/>
  <c r="F41" i="213"/>
  <c r="K203" i="209" s="1"/>
  <c r="F39" i="213"/>
  <c r="Q23" i="209" s="1"/>
  <c r="F38" i="213"/>
  <c r="K23" i="209" s="1"/>
  <c r="D7" i="241"/>
  <c r="E44" i="39"/>
  <c r="P101" i="209" s="1"/>
  <c r="O613" i="209"/>
  <c r="D18" i="125"/>
  <c r="S504" i="209"/>
  <c r="H24" i="250"/>
  <c r="M361" i="209" s="1"/>
  <c r="P14" i="220"/>
  <c r="H37" i="248"/>
  <c r="S237" i="209" s="1"/>
  <c r="F46" i="354"/>
  <c r="F18" i="354"/>
  <c r="F41" i="354" s="1"/>
  <c r="F44" i="354"/>
  <c r="S297" i="209"/>
  <c r="F45" i="354"/>
  <c r="M26" i="334"/>
  <c r="P747" i="209" s="1"/>
  <c r="G14" i="139"/>
  <c r="G14" i="223" s="1"/>
  <c r="D39" i="324"/>
  <c r="M27" i="294" s="1"/>
  <c r="R361" i="209"/>
  <c r="H29" i="250"/>
  <c r="H47" i="250" s="1"/>
  <c r="S181" i="209" s="1"/>
  <c r="G48" i="250"/>
  <c r="P743" i="209"/>
  <c r="L541" i="209"/>
  <c r="J361" i="209"/>
  <c r="O616" i="209"/>
  <c r="L26" i="9"/>
  <c r="O736" i="209" s="1"/>
  <c r="I361" i="209"/>
  <c r="D45" i="9"/>
  <c r="I136" i="209" s="1"/>
  <c r="I616" i="209"/>
  <c r="L20" i="221"/>
  <c r="G46" i="354"/>
  <c r="P14" i="288"/>
  <c r="O26" i="354"/>
  <c r="G43" i="354" s="1"/>
  <c r="G47" i="354" s="1"/>
  <c r="H44" i="248"/>
  <c r="P16" i="364" s="1"/>
  <c r="N20" i="214"/>
  <c r="T12" i="142"/>
  <c r="T13" i="142" s="1"/>
  <c r="J21" i="142" s="1"/>
  <c r="L20" i="220"/>
  <c r="G44" i="354"/>
  <c r="N20" i="105"/>
  <c r="L20" i="347"/>
  <c r="Q747" i="209"/>
  <c r="H38" i="247"/>
  <c r="G18" i="354"/>
  <c r="G38" i="354" s="1"/>
  <c r="D35" i="7"/>
  <c r="O301" i="209"/>
  <c r="N27" i="28"/>
  <c r="G18" i="353"/>
  <c r="G42" i="353" s="1"/>
  <c r="L287" i="209" s="1"/>
  <c r="R647" i="209"/>
  <c r="L647" i="209"/>
  <c r="L707" i="209"/>
  <c r="M707" i="209" s="1"/>
  <c r="G45" i="353"/>
  <c r="L167" i="209" s="1"/>
  <c r="G44" i="353"/>
  <c r="R107" i="209" s="1"/>
  <c r="D45" i="353"/>
  <c r="I167" i="209" s="1"/>
  <c r="L26" i="353"/>
  <c r="D46" i="353"/>
  <c r="I647" i="209"/>
  <c r="D44" i="353"/>
  <c r="O107" i="209" s="1"/>
  <c r="L20" i="105"/>
  <c r="G18" i="271"/>
  <c r="G40" i="271" s="1"/>
  <c r="L91" i="246" s="1"/>
  <c r="F44" i="353"/>
  <c r="Q107" i="209" s="1"/>
  <c r="N26" i="353"/>
  <c r="F43" i="353" s="1"/>
  <c r="F47" i="353" s="1"/>
  <c r="Q167" i="209" s="1"/>
  <c r="D7" i="91"/>
  <c r="Q647" i="209"/>
  <c r="F18" i="353"/>
  <c r="F40" i="353" s="1"/>
  <c r="K107" i="209" s="1"/>
  <c r="F45" i="353"/>
  <c r="K167" i="209" s="1"/>
  <c r="F46" i="353"/>
  <c r="P17" i="213"/>
  <c r="D35" i="99"/>
  <c r="D21" i="99"/>
  <c r="L23" i="99" s="1"/>
  <c r="R23" i="49"/>
  <c r="K707" i="209"/>
  <c r="X49" i="161"/>
  <c r="Q601" i="209"/>
  <c r="G45" i="9"/>
  <c r="L136" i="209" s="1"/>
  <c r="D46" i="9"/>
  <c r="G44" i="9"/>
  <c r="R76" i="209" s="1"/>
  <c r="O26" i="9"/>
  <c r="G43" i="9" s="1"/>
  <c r="G47" i="9" s="1"/>
  <c r="R136" i="209" s="1"/>
  <c r="I676" i="209"/>
  <c r="L676" i="209"/>
  <c r="G46" i="9"/>
  <c r="K601" i="209"/>
  <c r="P14" i="364"/>
  <c r="D11" i="248"/>
  <c r="T22" i="28"/>
  <c r="O26" i="347"/>
  <c r="R772" i="209" s="1"/>
  <c r="G11" i="248"/>
  <c r="G46" i="248" s="1"/>
  <c r="J652" i="209"/>
  <c r="E11" i="248"/>
  <c r="D40" i="347"/>
  <c r="I112" i="209" s="1"/>
  <c r="K712" i="209"/>
  <c r="F11" i="248"/>
  <c r="P13" i="213"/>
  <c r="P13" i="105"/>
  <c r="M357" i="209"/>
  <c r="P13" i="214"/>
  <c r="D38" i="191"/>
  <c r="I37" i="246" s="1"/>
  <c r="L20" i="214"/>
  <c r="P25" i="231"/>
  <c r="H38" i="248"/>
  <c r="P10" i="347" s="1"/>
  <c r="M384" i="209"/>
  <c r="S537" i="209"/>
  <c r="M597" i="209"/>
  <c r="M477" i="209"/>
  <c r="E44" i="334"/>
  <c r="P87" i="209" s="1"/>
  <c r="P627" i="209"/>
  <c r="E18" i="334"/>
  <c r="E41" i="334" s="1"/>
  <c r="J207" i="209" s="1"/>
  <c r="J687" i="209"/>
  <c r="E46" i="334"/>
  <c r="E45" i="334"/>
  <c r="J147" i="209" s="1"/>
  <c r="R541" i="209"/>
  <c r="M20" i="214"/>
  <c r="M20" i="213"/>
  <c r="L361" i="209"/>
  <c r="N20" i="289"/>
  <c r="O421" i="209"/>
  <c r="M20" i="288"/>
  <c r="N20" i="290"/>
  <c r="I421" i="209"/>
  <c r="P17" i="214"/>
  <c r="P12" i="289"/>
  <c r="P12" i="290"/>
  <c r="P17" i="290"/>
  <c r="E18" i="292"/>
  <c r="P17" i="288"/>
  <c r="R601" i="209"/>
  <c r="M117" i="209"/>
  <c r="P12" i="221"/>
  <c r="H39" i="248"/>
  <c r="P11" i="364" s="1"/>
  <c r="H26" i="250"/>
  <c r="H40" i="250" s="1"/>
  <c r="M121" i="209" s="1"/>
  <c r="K361" i="209"/>
  <c r="S444" i="209"/>
  <c r="M144" i="209"/>
  <c r="P481" i="209"/>
  <c r="P17" i="221"/>
  <c r="P17" i="364"/>
  <c r="P12" i="347"/>
  <c r="P12" i="364"/>
  <c r="M20" i="347"/>
  <c r="M20" i="364"/>
  <c r="R481" i="209"/>
  <c r="D35" i="216"/>
  <c r="P16" i="289"/>
  <c r="P16" i="288"/>
  <c r="E48" i="250"/>
  <c r="P18" i="290"/>
  <c r="P421" i="209"/>
  <c r="S384" i="209"/>
  <c r="M444" i="209"/>
  <c r="S324" i="209"/>
  <c r="S24" i="209"/>
  <c r="P11" i="105"/>
  <c r="P11" i="214"/>
  <c r="K481" i="209"/>
  <c r="L601" i="209"/>
  <c r="F48" i="250"/>
  <c r="K421" i="209"/>
  <c r="D21" i="216"/>
  <c r="L23" i="216" s="1"/>
  <c r="J19" i="142"/>
  <c r="P25" i="228"/>
  <c r="J711" i="246"/>
  <c r="E44" i="271"/>
  <c r="P91" i="246" s="1"/>
  <c r="M26" i="271"/>
  <c r="E43" i="271" s="1"/>
  <c r="E47" i="271" s="1"/>
  <c r="P153" i="246" s="1"/>
  <c r="L668" i="246"/>
  <c r="N13" i="142"/>
  <c r="I601" i="209"/>
  <c r="O601" i="209"/>
  <c r="J649" i="246"/>
  <c r="P649" i="246"/>
  <c r="H31" i="250"/>
  <c r="H45" i="250" s="1"/>
  <c r="M181" i="209" s="1"/>
  <c r="E18" i="271"/>
  <c r="E38" i="271" s="1"/>
  <c r="J29" i="246" s="1"/>
  <c r="E46" i="271"/>
  <c r="I35" i="292"/>
  <c r="J541" i="209"/>
  <c r="H46" i="250"/>
  <c r="X37" i="142"/>
  <c r="D35" i="125"/>
  <c r="P18" i="288"/>
  <c r="D37" i="324"/>
  <c r="H27" i="294" s="1"/>
  <c r="L26" i="271"/>
  <c r="D43" i="271" s="1"/>
  <c r="D47" i="271" s="1"/>
  <c r="O153" i="246" s="1"/>
  <c r="D18" i="271"/>
  <c r="I773" i="246" s="1"/>
  <c r="D40" i="324"/>
  <c r="H46" i="294" s="1"/>
  <c r="D38" i="324"/>
  <c r="R8" i="294" s="1"/>
  <c r="D18" i="202"/>
  <c r="I763" i="246" s="1"/>
  <c r="D45" i="324"/>
  <c r="M46" i="294" s="1"/>
  <c r="I711" i="246"/>
  <c r="D45" i="202"/>
  <c r="I143" i="246" s="1"/>
  <c r="H8" i="294"/>
  <c r="I639" i="246"/>
  <c r="L26" i="202"/>
  <c r="D43" i="202" s="1"/>
  <c r="D47" i="202" s="1"/>
  <c r="O143" i="246" s="1"/>
  <c r="M8" i="294"/>
  <c r="D41" i="324"/>
  <c r="H65" i="294" s="1"/>
  <c r="D44" i="202"/>
  <c r="O81" i="246" s="1"/>
  <c r="D46" i="202"/>
  <c r="D42" i="324"/>
  <c r="M65" i="294" s="1"/>
  <c r="O639" i="246"/>
  <c r="D44" i="271"/>
  <c r="O91" i="246" s="1"/>
  <c r="M20" i="220"/>
  <c r="M20" i="221"/>
  <c r="H29" i="171"/>
  <c r="H47" i="171" s="1"/>
  <c r="P18" i="292"/>
  <c r="F15" i="308"/>
  <c r="F15" i="309" s="1"/>
  <c r="G15" i="313"/>
  <c r="G15" i="308" s="1"/>
  <c r="G15" i="309" s="1"/>
  <c r="L20" i="288"/>
  <c r="D35" i="333"/>
  <c r="H38" i="291"/>
  <c r="P10" i="288" s="1"/>
  <c r="Q481" i="209"/>
  <c r="D21" i="296"/>
  <c r="L23" i="296" s="1"/>
  <c r="N16" i="124"/>
  <c r="Q721" i="209"/>
  <c r="E46" i="9"/>
  <c r="P25" i="173"/>
  <c r="M20" i="325"/>
  <c r="E46" i="39"/>
  <c r="P641" i="209"/>
  <c r="E18" i="39"/>
  <c r="J701" i="209"/>
  <c r="M26" i="39"/>
  <c r="D39" i="191"/>
  <c r="O37" i="246" s="1"/>
  <c r="D37" i="191"/>
  <c r="O223" i="246" s="1"/>
  <c r="D41" i="191"/>
  <c r="I223" i="246" s="1"/>
  <c r="P26" i="191"/>
  <c r="D40" i="191"/>
  <c r="I99" i="246" s="1"/>
  <c r="I781" i="246"/>
  <c r="O649" i="246"/>
  <c r="D46" i="271"/>
  <c r="G44" i="271"/>
  <c r="R91" i="246" s="1"/>
  <c r="L711" i="246"/>
  <c r="O26" i="271"/>
  <c r="G43" i="271" s="1"/>
  <c r="G47" i="271" s="1"/>
  <c r="R153" i="246" s="1"/>
  <c r="L649" i="246"/>
  <c r="R649" i="246"/>
  <c r="G46" i="271"/>
  <c r="F14" i="173"/>
  <c r="D7" i="125"/>
  <c r="Q641" i="209"/>
  <c r="F46" i="39"/>
  <c r="O766" i="209"/>
  <c r="S766" i="209" s="1"/>
  <c r="E15" i="173"/>
  <c r="E18" i="354"/>
  <c r="E42" i="354" s="1"/>
  <c r="P11" i="325"/>
  <c r="J641" i="209"/>
  <c r="F45" i="347"/>
  <c r="K172" i="209" s="1"/>
  <c r="N133" i="294"/>
  <c r="Q652" i="209"/>
  <c r="P301" i="209"/>
  <c r="M122" i="294"/>
  <c r="D46" i="324"/>
  <c r="Q757" i="209"/>
  <c r="D46" i="279"/>
  <c r="O655" i="246"/>
  <c r="F45" i="39"/>
  <c r="K161" i="209" s="1"/>
  <c r="E44" i="354"/>
  <c r="N26" i="39"/>
  <c r="E45" i="354"/>
  <c r="M26" i="354"/>
  <c r="E43" i="354" s="1"/>
  <c r="E47" i="354" s="1"/>
  <c r="F18" i="39"/>
  <c r="F44" i="39"/>
  <c r="Q101" i="209" s="1"/>
  <c r="K641" i="209"/>
  <c r="F44" i="355"/>
  <c r="H44" i="326"/>
  <c r="P16" i="324" s="1"/>
  <c r="K520" i="246"/>
  <c r="P646" i="246"/>
  <c r="F45" i="337"/>
  <c r="K160" i="209" s="1"/>
  <c r="J677" i="209"/>
  <c r="D45" i="279"/>
  <c r="I159" i="246" s="1"/>
  <c r="P13" i="324"/>
  <c r="D44" i="324"/>
  <c r="R27" i="294" s="1"/>
  <c r="L26" i="324"/>
  <c r="D43" i="324" s="1"/>
  <c r="D47" i="324" s="1"/>
  <c r="R46" i="294" s="1"/>
  <c r="D17" i="174"/>
  <c r="X51" i="161"/>
  <c r="G48" i="171"/>
  <c r="O20" i="223" s="1"/>
  <c r="D7" i="14"/>
  <c r="R22" i="29"/>
  <c r="E38" i="190"/>
  <c r="J13" i="246" s="1"/>
  <c r="D21" i="338"/>
  <c r="L23" i="338" s="1"/>
  <c r="D7" i="354"/>
  <c r="L29" i="295"/>
  <c r="D21" i="91"/>
  <c r="L23" i="91" s="1"/>
  <c r="I704" i="209"/>
  <c r="M704" i="209" s="1"/>
  <c r="G44" i="359"/>
  <c r="R88" i="246" s="1"/>
  <c r="D7" i="189"/>
  <c r="I164" i="209"/>
  <c r="D21" i="354"/>
  <c r="L23" i="354" s="1"/>
  <c r="Q421" i="209"/>
  <c r="M26" i="324"/>
  <c r="E43" i="324" s="1"/>
  <c r="E47" i="324" s="1"/>
  <c r="S46" i="294" s="1"/>
  <c r="D21" i="79"/>
  <c r="L23" i="79" s="1"/>
  <c r="D35" i="189"/>
  <c r="D7" i="95"/>
  <c r="L26" i="315"/>
  <c r="D43" i="315" s="1"/>
  <c r="W31" i="315" s="1"/>
  <c r="Q541" i="209"/>
  <c r="T28" i="37"/>
  <c r="D35" i="79"/>
  <c r="D35" i="270"/>
  <c r="D21" i="95"/>
  <c r="L23" i="95" s="1"/>
  <c r="D46" i="315"/>
  <c r="I644" i="209"/>
  <c r="E44" i="324"/>
  <c r="S27" i="294" s="1"/>
  <c r="D21" i="270"/>
  <c r="L23" i="270" s="1"/>
  <c r="F18" i="191"/>
  <c r="F37" i="191" s="1"/>
  <c r="Q223" i="246" s="1"/>
  <c r="F14" i="186"/>
  <c r="D18" i="315"/>
  <c r="D37" i="315" s="1"/>
  <c r="W25" i="315" s="1"/>
  <c r="O644" i="209"/>
  <c r="D35" i="176"/>
  <c r="M20" i="290"/>
  <c r="D7" i="176"/>
  <c r="T19" i="340"/>
  <c r="J29" i="340" s="1"/>
  <c r="J31" i="340" s="1"/>
  <c r="V11" i="340" s="1"/>
  <c r="X47" i="340" s="1"/>
  <c r="D7" i="7"/>
  <c r="P639" i="246"/>
  <c r="E44" i="202"/>
  <c r="P81" i="246" s="1"/>
  <c r="M26" i="202"/>
  <c r="E43" i="202" s="1"/>
  <c r="E47" i="202" s="1"/>
  <c r="P143" i="246" s="1"/>
  <c r="M20" i="295"/>
  <c r="G46" i="288"/>
  <c r="E44" i="9"/>
  <c r="P76" i="209" s="1"/>
  <c r="E45" i="9"/>
  <c r="J136" i="209" s="1"/>
  <c r="J676" i="209"/>
  <c r="J616" i="209"/>
  <c r="P616" i="209"/>
  <c r="J558" i="246"/>
  <c r="O772" i="209"/>
  <c r="E46" i="356"/>
  <c r="D18" i="188"/>
  <c r="D41" i="188" s="1"/>
  <c r="I230" i="246" s="1"/>
  <c r="E45" i="356"/>
  <c r="J166" i="209" s="1"/>
  <c r="E18" i="356"/>
  <c r="E40" i="356" s="1"/>
  <c r="J106" i="209" s="1"/>
  <c r="F46" i="362"/>
  <c r="D44" i="362"/>
  <c r="R38" i="294" s="1"/>
  <c r="K640" i="209"/>
  <c r="H38" i="326"/>
  <c r="P10" i="324" s="1"/>
  <c r="E45" i="324"/>
  <c r="N46" i="294" s="1"/>
  <c r="E11" i="326"/>
  <c r="E44" i="326" s="1"/>
  <c r="M16" i="324" s="1"/>
  <c r="E46" i="324"/>
  <c r="E18" i="324"/>
  <c r="E39" i="324" s="1"/>
  <c r="N27" i="294" s="1"/>
  <c r="F44" i="356"/>
  <c r="Q106" i="209" s="1"/>
  <c r="E46" i="355"/>
  <c r="D21" i="72"/>
  <c r="L23" i="72" s="1"/>
  <c r="I664" i="246"/>
  <c r="F38" i="362"/>
  <c r="T19" i="294" s="1"/>
  <c r="F44" i="362"/>
  <c r="T38" i="294" s="1"/>
  <c r="O664" i="246"/>
  <c r="G18" i="202"/>
  <c r="G41" i="202" s="1"/>
  <c r="L205" i="246" s="1"/>
  <c r="F37" i="362"/>
  <c r="J38" i="294" s="1"/>
  <c r="D35" i="72"/>
  <c r="T16" i="29"/>
  <c r="D44" i="188"/>
  <c r="O106" i="246" s="1"/>
  <c r="R639" i="246"/>
  <c r="M21" i="313"/>
  <c r="E14" i="173"/>
  <c r="G46" i="202"/>
  <c r="P12" i="324"/>
  <c r="N20" i="324"/>
  <c r="D18" i="105"/>
  <c r="D40" i="105" s="1"/>
  <c r="I82" i="209" s="1"/>
  <c r="D45" i="188"/>
  <c r="I168" i="246" s="1"/>
  <c r="G45" i="324"/>
  <c r="P46" i="294" s="1"/>
  <c r="L639" i="246"/>
  <c r="I726" i="246"/>
  <c r="L701" i="246"/>
  <c r="M701" i="246" s="1"/>
  <c r="N26" i="362"/>
  <c r="F43" i="362" s="1"/>
  <c r="F47" i="362" s="1"/>
  <c r="T57" i="294" s="1"/>
  <c r="J22" i="29"/>
  <c r="X58" i="29" s="1"/>
  <c r="L26" i="188"/>
  <c r="D43" i="188" s="1"/>
  <c r="D47" i="188" s="1"/>
  <c r="O168" i="246" s="1"/>
  <c r="G45" i="202"/>
  <c r="L143" i="246" s="1"/>
  <c r="O541" i="209"/>
  <c r="T133" i="294"/>
  <c r="G18" i="324"/>
  <c r="G40" i="324" s="1"/>
  <c r="K46" i="294" s="1"/>
  <c r="G46" i="324"/>
  <c r="O26" i="324"/>
  <c r="G43" i="324" s="1"/>
  <c r="G47" i="324" s="1"/>
  <c r="U46" i="294" s="1"/>
  <c r="P122" i="294"/>
  <c r="F45" i="6"/>
  <c r="K138" i="209" s="1"/>
  <c r="F46" i="337"/>
  <c r="J708" i="246"/>
  <c r="F46" i="6"/>
  <c r="N26" i="337"/>
  <c r="Q760" i="209" s="1"/>
  <c r="J701" i="246"/>
  <c r="M26" i="362"/>
  <c r="E43" i="362" s="1"/>
  <c r="E47" i="362" s="1"/>
  <c r="S57" i="294" s="1"/>
  <c r="E45" i="359"/>
  <c r="J150" i="246" s="1"/>
  <c r="E44" i="359"/>
  <c r="P88" i="246" s="1"/>
  <c r="F18" i="337"/>
  <c r="F42" i="337" s="1"/>
  <c r="K280" i="209" s="1"/>
  <c r="F46" i="347"/>
  <c r="E46" i="202"/>
  <c r="E18" i="202"/>
  <c r="E42" i="202" s="1"/>
  <c r="J267" i="246" s="1"/>
  <c r="E18" i="359"/>
  <c r="E40" i="359" s="1"/>
  <c r="J88" i="246" s="1"/>
  <c r="E46" i="359"/>
  <c r="N26" i="347"/>
  <c r="F43" i="347" s="1"/>
  <c r="F47" i="347" s="1"/>
  <c r="Q172" i="209" s="1"/>
  <c r="E45" i="362"/>
  <c r="N57" i="294" s="1"/>
  <c r="M26" i="359"/>
  <c r="E43" i="359" s="1"/>
  <c r="E47" i="359" s="1"/>
  <c r="P150" i="246" s="1"/>
  <c r="K700" i="209"/>
  <c r="E18" i="362"/>
  <c r="S133" i="294" s="1"/>
  <c r="Q640" i="209"/>
  <c r="F44" i="347"/>
  <c r="Q112" i="209" s="1"/>
  <c r="J639" i="246"/>
  <c r="D11" i="225"/>
  <c r="L20" i="97"/>
  <c r="K652" i="209"/>
  <c r="E46" i="362"/>
  <c r="O133" i="294"/>
  <c r="G44" i="202"/>
  <c r="R81" i="246" s="1"/>
  <c r="F45" i="362"/>
  <c r="O57" i="294" s="1"/>
  <c r="C26" i="330"/>
  <c r="F41" i="362"/>
  <c r="J76" i="294" s="1"/>
  <c r="J19" i="294"/>
  <c r="O19" i="294"/>
  <c r="F40" i="362"/>
  <c r="J57" i="294" s="1"/>
  <c r="F42" i="362"/>
  <c r="O76" i="294" s="1"/>
  <c r="S270" i="246"/>
  <c r="G40" i="39"/>
  <c r="L101" i="209" s="1"/>
  <c r="D18" i="39"/>
  <c r="O641" i="246"/>
  <c r="L709" i="246"/>
  <c r="M709" i="246" s="1"/>
  <c r="D44" i="315"/>
  <c r="W32" i="315" s="1"/>
  <c r="I701" i="209"/>
  <c r="M701" i="209" s="1"/>
  <c r="G45" i="97"/>
  <c r="L151" i="246" s="1"/>
  <c r="R647" i="246"/>
  <c r="G42" i="359"/>
  <c r="L274" i="246" s="1"/>
  <c r="L706" i="209"/>
  <c r="M706" i="209" s="1"/>
  <c r="L646" i="246"/>
  <c r="M456" i="246"/>
  <c r="E16" i="175"/>
  <c r="D45" i="362"/>
  <c r="M57" i="294" s="1"/>
  <c r="E11" i="212"/>
  <c r="E46" i="212" s="1"/>
  <c r="F26" i="174"/>
  <c r="F39" i="292" s="1"/>
  <c r="R646" i="246"/>
  <c r="M26" i="356"/>
  <c r="E43" i="356" s="1"/>
  <c r="E47" i="356" s="1"/>
  <c r="P166" i="209" s="1"/>
  <c r="E45" i="176"/>
  <c r="J156" i="246" s="1"/>
  <c r="L708" i="246"/>
  <c r="M708" i="246" s="1"/>
  <c r="L26" i="362"/>
  <c r="P26" i="362" s="1"/>
  <c r="E44" i="4"/>
  <c r="P71" i="209" s="1"/>
  <c r="F44" i="345"/>
  <c r="Q109" i="209" s="1"/>
  <c r="G43" i="356"/>
  <c r="G47" i="356" s="1"/>
  <c r="R166" i="209" s="1"/>
  <c r="D18" i="279"/>
  <c r="I779" i="246" s="1"/>
  <c r="I655" i="246"/>
  <c r="F11" i="308"/>
  <c r="F44" i="308" s="1"/>
  <c r="F46" i="344"/>
  <c r="P646" i="209"/>
  <c r="J706" i="209"/>
  <c r="L26" i="279"/>
  <c r="D43" i="279" s="1"/>
  <c r="D47" i="279" s="1"/>
  <c r="O159" i="246" s="1"/>
  <c r="I717" i="246"/>
  <c r="D46" i="362"/>
  <c r="E44" i="356"/>
  <c r="P106" i="209" s="1"/>
  <c r="D37" i="356"/>
  <c r="O226" i="209" s="1"/>
  <c r="D18" i="362"/>
  <c r="H19" i="294" s="1"/>
  <c r="G46" i="359"/>
  <c r="R582" i="246"/>
  <c r="L20" i="325"/>
  <c r="H32" i="250"/>
  <c r="M661" i="209" s="1"/>
  <c r="E46" i="125"/>
  <c r="J35" i="164"/>
  <c r="L96" i="209" s="1"/>
  <c r="L7" i="362"/>
  <c r="M26" i="125"/>
  <c r="P733" i="209" s="1"/>
  <c r="M26" i="6"/>
  <c r="P738" i="209" s="1"/>
  <c r="J34" i="164"/>
  <c r="R36" i="209" s="1"/>
  <c r="R21" i="37"/>
  <c r="R42" i="37" s="1"/>
  <c r="E44" i="6"/>
  <c r="P78" i="209" s="1"/>
  <c r="O361" i="209"/>
  <c r="I632" i="246"/>
  <c r="E46" i="97"/>
  <c r="D7" i="141"/>
  <c r="D21" i="141"/>
  <c r="L23" i="141" s="1"/>
  <c r="M518" i="246"/>
  <c r="J42" i="37"/>
  <c r="J51" i="37" s="1"/>
  <c r="D44" i="359"/>
  <c r="O88" i="246" s="1"/>
  <c r="G15" i="162"/>
  <c r="F15" i="212"/>
  <c r="F15" i="173" s="1"/>
  <c r="D45" i="125"/>
  <c r="I133" i="209" s="1"/>
  <c r="S370" i="246"/>
  <c r="Q678" i="246"/>
  <c r="O21" i="313"/>
  <c r="G11" i="225"/>
  <c r="G46" i="225" s="1"/>
  <c r="O18" i="345" s="1"/>
  <c r="E11" i="225"/>
  <c r="J767" i="209"/>
  <c r="Q645" i="209"/>
  <c r="F11" i="225"/>
  <c r="O137" i="294"/>
  <c r="O646" i="246"/>
  <c r="P125" i="294"/>
  <c r="J709" i="246"/>
  <c r="D11" i="212"/>
  <c r="F11" i="212"/>
  <c r="G11" i="212"/>
  <c r="Q748" i="209"/>
  <c r="L609" i="209"/>
  <c r="F18" i="15"/>
  <c r="F42" i="15" s="1"/>
  <c r="K249" i="209" s="1"/>
  <c r="K560" i="246"/>
  <c r="J31" i="161"/>
  <c r="X55" i="161"/>
  <c r="X54" i="161"/>
  <c r="P14" i="214"/>
  <c r="E37" i="190"/>
  <c r="P199" i="246" s="1"/>
  <c r="P12" i="356"/>
  <c r="P12" i="307"/>
  <c r="L582" i="246"/>
  <c r="P19" i="325"/>
  <c r="P19" i="324"/>
  <c r="H43" i="326"/>
  <c r="P15" i="325" s="1"/>
  <c r="V13" i="70"/>
  <c r="X13" i="70" s="1"/>
  <c r="I618" i="209"/>
  <c r="L770" i="246"/>
  <c r="G41" i="359"/>
  <c r="L212" i="246" s="1"/>
  <c r="G37" i="359"/>
  <c r="R212" i="246" s="1"/>
  <c r="G40" i="359"/>
  <c r="L88" i="246" s="1"/>
  <c r="G38" i="359"/>
  <c r="L26" i="246" s="1"/>
  <c r="O26" i="359"/>
  <c r="G43" i="359" s="1"/>
  <c r="G47" i="359" s="1"/>
  <c r="R150" i="246" s="1"/>
  <c r="G45" i="359"/>
  <c r="L150" i="246" s="1"/>
  <c r="M529" i="246"/>
  <c r="E45" i="97"/>
  <c r="J151" i="246" s="1"/>
  <c r="N26" i="97"/>
  <c r="F43" i="97" s="1"/>
  <c r="F47" i="97" s="1"/>
  <c r="Q151" i="246" s="1"/>
  <c r="E44" i="97"/>
  <c r="P89" i="246" s="1"/>
  <c r="K709" i="246"/>
  <c r="E18" i="97"/>
  <c r="E37" i="97" s="1"/>
  <c r="P213" i="246" s="1"/>
  <c r="J647" i="246"/>
  <c r="K647" i="246"/>
  <c r="M26" i="97"/>
  <c r="E43" i="97" s="1"/>
  <c r="E47" i="97" s="1"/>
  <c r="P151" i="246" s="1"/>
  <c r="F18" i="97"/>
  <c r="F40" i="97" s="1"/>
  <c r="K89" i="246" s="1"/>
  <c r="X48" i="161"/>
  <c r="X53" i="161"/>
  <c r="P402" i="209"/>
  <c r="L26" i="125"/>
  <c r="D43" i="125" s="1"/>
  <c r="D47" i="125" s="1"/>
  <c r="O133" i="209" s="1"/>
  <c r="M20" i="333"/>
  <c r="M20" i="360"/>
  <c r="J781" i="246"/>
  <c r="E39" i="191"/>
  <c r="P37" i="246" s="1"/>
  <c r="E37" i="191"/>
  <c r="P223" i="246" s="1"/>
  <c r="E40" i="191"/>
  <c r="J99" i="246" s="1"/>
  <c r="E38" i="191"/>
  <c r="J37" i="246" s="1"/>
  <c r="E42" i="191"/>
  <c r="J285" i="246" s="1"/>
  <c r="O632" i="246"/>
  <c r="E18" i="118"/>
  <c r="J774" i="246" s="1"/>
  <c r="Q434" i="246"/>
  <c r="F28" i="175"/>
  <c r="D11" i="326"/>
  <c r="D44" i="326" s="1"/>
  <c r="P611" i="209"/>
  <c r="P26" i="356"/>
  <c r="L646" i="209"/>
  <c r="E46" i="4"/>
  <c r="R646" i="209"/>
  <c r="D45" i="337"/>
  <c r="I160" i="209" s="1"/>
  <c r="J671" i="209"/>
  <c r="G18" i="356"/>
  <c r="G37" i="356" s="1"/>
  <c r="R226" i="209" s="1"/>
  <c r="O26" i="195"/>
  <c r="G43" i="195" s="1"/>
  <c r="G47" i="195" s="1"/>
  <c r="R172" i="246" s="1"/>
  <c r="E45" i="4"/>
  <c r="J131" i="209" s="1"/>
  <c r="D38" i="356"/>
  <c r="I46" i="209" s="1"/>
  <c r="G45" i="356"/>
  <c r="L166" i="209" s="1"/>
  <c r="J611" i="209"/>
  <c r="I766" i="209"/>
  <c r="G44" i="356"/>
  <c r="R106" i="209" s="1"/>
  <c r="N26" i="315"/>
  <c r="Q764" i="209" s="1"/>
  <c r="O640" i="209"/>
  <c r="D46" i="337"/>
  <c r="D40" i="356"/>
  <c r="I106" i="209" s="1"/>
  <c r="D18" i="337"/>
  <c r="I760" i="209" s="1"/>
  <c r="I700" i="209"/>
  <c r="D42" i="356"/>
  <c r="I286" i="209" s="1"/>
  <c r="G46" i="356"/>
  <c r="O760" i="209"/>
  <c r="I640" i="209"/>
  <c r="D44" i="337"/>
  <c r="O100" i="209" s="1"/>
  <c r="X56" i="161"/>
  <c r="F18" i="347"/>
  <c r="X52" i="161"/>
  <c r="D41" i="356"/>
  <c r="I226" i="209" s="1"/>
  <c r="E44" i="118"/>
  <c r="P92" i="246" s="1"/>
  <c r="N25" i="36"/>
  <c r="N30" i="36" s="1"/>
  <c r="R25" i="36"/>
  <c r="R30" i="36" s="1"/>
  <c r="T13" i="28"/>
  <c r="T17" i="28" s="1"/>
  <c r="O26" i="125"/>
  <c r="R733" i="209" s="1"/>
  <c r="G44" i="338"/>
  <c r="R94" i="209" s="1"/>
  <c r="J673" i="209"/>
  <c r="K649" i="209"/>
  <c r="L650" i="246"/>
  <c r="H47" i="308"/>
  <c r="P19" i="307" s="1"/>
  <c r="F18" i="356"/>
  <c r="F37" i="356" s="1"/>
  <c r="Q226" i="209" s="1"/>
  <c r="D45" i="289"/>
  <c r="M50" i="294" s="1"/>
  <c r="G46" i="118"/>
  <c r="F45" i="296"/>
  <c r="O56" i="294" s="1"/>
  <c r="D28" i="174"/>
  <c r="L634" i="209"/>
  <c r="N26" i="345"/>
  <c r="F43" i="345" s="1"/>
  <c r="F47" i="345" s="1"/>
  <c r="Q169" i="209" s="1"/>
  <c r="R650" i="246"/>
  <c r="F45" i="356"/>
  <c r="K166" i="209" s="1"/>
  <c r="E46" i="288"/>
  <c r="K704" i="209"/>
  <c r="M126" i="294"/>
  <c r="O26" i="333"/>
  <c r="G43" i="333" s="1"/>
  <c r="G47" i="333" s="1"/>
  <c r="U61" i="294" s="1"/>
  <c r="K669" i="209"/>
  <c r="K706" i="209"/>
  <c r="H28" i="171"/>
  <c r="H42" i="171" s="1"/>
  <c r="M272" i="246" s="1"/>
  <c r="J613" i="209"/>
  <c r="G45" i="118"/>
  <c r="L154" i="246" s="1"/>
  <c r="K646" i="209"/>
  <c r="N125" i="294"/>
  <c r="D18" i="289"/>
  <c r="H18" i="289" s="1"/>
  <c r="D44" i="289"/>
  <c r="R31" i="294" s="1"/>
  <c r="E44" i="125"/>
  <c r="P73" i="209" s="1"/>
  <c r="K709" i="209"/>
  <c r="F18" i="345"/>
  <c r="K769" i="209" s="1"/>
  <c r="I772" i="209"/>
  <c r="F45" i="16"/>
  <c r="K128" i="209" s="1"/>
  <c r="D46" i="289"/>
  <c r="Q649" i="209"/>
  <c r="G44" i="118"/>
  <c r="R92" i="246" s="1"/>
  <c r="F44" i="284"/>
  <c r="Q76" i="246" s="1"/>
  <c r="E45" i="125"/>
  <c r="J133" i="209" s="1"/>
  <c r="F45" i="345"/>
  <c r="K169" i="209" s="1"/>
  <c r="Q646" i="209"/>
  <c r="M591" i="246"/>
  <c r="N26" i="356"/>
  <c r="Q766" i="209" s="1"/>
  <c r="Q644" i="209"/>
  <c r="O26" i="118"/>
  <c r="G43" i="118" s="1"/>
  <c r="G47" i="118" s="1"/>
  <c r="R154" i="246" s="1"/>
  <c r="R19" i="340"/>
  <c r="K644" i="209"/>
  <c r="S699" i="209"/>
  <c r="E21" i="309"/>
  <c r="G46" i="79"/>
  <c r="D25" i="58"/>
  <c r="D25" i="229" s="1"/>
  <c r="O26" i="79"/>
  <c r="G43" i="79" s="1"/>
  <c r="G47" i="79" s="1"/>
  <c r="R159" i="209" s="1"/>
  <c r="L699" i="209"/>
  <c r="G44" i="79"/>
  <c r="R99" i="209" s="1"/>
  <c r="G45" i="79"/>
  <c r="L159" i="209" s="1"/>
  <c r="R639" i="209"/>
  <c r="P12" i="313"/>
  <c r="G46" i="187"/>
  <c r="L26" i="192"/>
  <c r="D43" i="192" s="1"/>
  <c r="D47" i="192" s="1"/>
  <c r="O136" i="246" s="1"/>
  <c r="P618" i="209"/>
  <c r="O26" i="288"/>
  <c r="G43" i="288" s="1"/>
  <c r="G47" i="288" s="1"/>
  <c r="U49" i="294" s="1"/>
  <c r="D45" i="359"/>
  <c r="I150" i="246" s="1"/>
  <c r="L26" i="359"/>
  <c r="D43" i="359" s="1"/>
  <c r="D47" i="359" s="1"/>
  <c r="O150" i="246" s="1"/>
  <c r="D46" i="359"/>
  <c r="M26" i="79"/>
  <c r="P759" i="209" s="1"/>
  <c r="G44" i="360"/>
  <c r="U40" i="294" s="1"/>
  <c r="G46" i="347"/>
  <c r="P19" i="345"/>
  <c r="G18" i="347"/>
  <c r="G44" i="288"/>
  <c r="U30" i="294" s="1"/>
  <c r="E18" i="347"/>
  <c r="D18" i="359"/>
  <c r="D42" i="359" s="1"/>
  <c r="I274" i="246" s="1"/>
  <c r="K12" i="294"/>
  <c r="I646" i="246"/>
  <c r="M26" i="347"/>
  <c r="E43" i="347" s="1"/>
  <c r="E47" i="347" s="1"/>
  <c r="P172" i="209" s="1"/>
  <c r="E46" i="118"/>
  <c r="J678" i="209"/>
  <c r="C24" i="58"/>
  <c r="C24" i="229" s="1"/>
  <c r="E46" i="347"/>
  <c r="P650" i="246"/>
  <c r="N26" i="204"/>
  <c r="F43" i="204" s="1"/>
  <c r="F47" i="204" s="1"/>
  <c r="Q169" i="246" s="1"/>
  <c r="G18" i="284"/>
  <c r="G37" i="284" s="1"/>
  <c r="R200" i="246" s="1"/>
  <c r="G46" i="165"/>
  <c r="G18" i="288"/>
  <c r="G39" i="288" s="1"/>
  <c r="P30" i="294" s="1"/>
  <c r="E45" i="215"/>
  <c r="J146" i="209" s="1"/>
  <c r="P626" i="209"/>
  <c r="D35" i="16"/>
  <c r="G35" i="185"/>
  <c r="G21" i="291"/>
  <c r="R19" i="161"/>
  <c r="D44" i="288"/>
  <c r="R30" i="294" s="1"/>
  <c r="F21" i="225"/>
  <c r="G18" i="360"/>
  <c r="G42" i="360" s="1"/>
  <c r="P78" i="294" s="1"/>
  <c r="G41" i="289"/>
  <c r="K69" i="294" s="1"/>
  <c r="D35" i="13"/>
  <c r="E18" i="215"/>
  <c r="E41" i="215" s="1"/>
  <c r="J206" i="209" s="1"/>
  <c r="J714" i="246"/>
  <c r="D18" i="288"/>
  <c r="D42" i="288" s="1"/>
  <c r="M68" i="294" s="1"/>
  <c r="I481" i="209"/>
  <c r="G46" i="360"/>
  <c r="E46" i="333"/>
  <c r="G38" i="289"/>
  <c r="U12" i="294" s="1"/>
  <c r="D38" i="213"/>
  <c r="I23" i="209" s="1"/>
  <c r="D46" i="288"/>
  <c r="P135" i="294"/>
  <c r="J44" i="70"/>
  <c r="D21" i="156"/>
  <c r="L23" i="156" s="1"/>
  <c r="I728" i="209"/>
  <c r="D35" i="137"/>
  <c r="D7" i="13"/>
  <c r="J686" i="209"/>
  <c r="P17" i="347"/>
  <c r="M125" i="294"/>
  <c r="V12" i="70"/>
  <c r="X12" i="70" s="1"/>
  <c r="E35" i="84"/>
  <c r="H35" i="185"/>
  <c r="D21" i="137"/>
  <c r="L23" i="137" s="1"/>
  <c r="G43" i="6"/>
  <c r="G47" i="6" s="1"/>
  <c r="R138" i="209" s="1"/>
  <c r="E44" i="215"/>
  <c r="P86" i="209" s="1"/>
  <c r="V162" i="209"/>
  <c r="E35" i="104"/>
  <c r="E35" i="18"/>
  <c r="D21" i="16"/>
  <c r="L23" i="16" s="1"/>
  <c r="D45" i="288"/>
  <c r="M49" i="294" s="1"/>
  <c r="E35" i="330"/>
  <c r="E35" i="248"/>
  <c r="D35" i="156"/>
  <c r="P17" i="220"/>
  <c r="M177" i="209"/>
  <c r="O26" i="360"/>
  <c r="G43" i="360" s="1"/>
  <c r="G47" i="360" s="1"/>
  <c r="U59" i="294" s="1"/>
  <c r="H33" i="228"/>
  <c r="F41" i="359"/>
  <c r="K212" i="246" s="1"/>
  <c r="F42" i="359"/>
  <c r="K274" i="246" s="1"/>
  <c r="K770" i="246"/>
  <c r="F39" i="359"/>
  <c r="Q26" i="246" s="1"/>
  <c r="F37" i="359"/>
  <c r="Q212" i="246" s="1"/>
  <c r="F38" i="359"/>
  <c r="K26" i="246" s="1"/>
  <c r="F18" i="333"/>
  <c r="F39" i="333" s="1"/>
  <c r="O42" i="294" s="1"/>
  <c r="H18" i="191"/>
  <c r="H30" i="184"/>
  <c r="H44" i="184" s="1"/>
  <c r="S125" i="246" s="1"/>
  <c r="I497" i="246"/>
  <c r="D45" i="101"/>
  <c r="I155" i="246" s="1"/>
  <c r="D44" i="101"/>
  <c r="O93" i="246" s="1"/>
  <c r="L20" i="99"/>
  <c r="L20" i="101"/>
  <c r="L20" i="271"/>
  <c r="L20" i="354"/>
  <c r="L20" i="176"/>
  <c r="L20" i="118"/>
  <c r="E40" i="279"/>
  <c r="J97" i="246" s="1"/>
  <c r="I694" i="246"/>
  <c r="G43" i="10"/>
  <c r="G47" i="10" s="1"/>
  <c r="R135" i="209" s="1"/>
  <c r="D45" i="176"/>
  <c r="I156" i="246" s="1"/>
  <c r="M26" i="289"/>
  <c r="E43" i="289" s="1"/>
  <c r="E47" i="289" s="1"/>
  <c r="S50" i="294" s="1"/>
  <c r="D46" i="139"/>
  <c r="D46" i="101"/>
  <c r="G46" i="333"/>
  <c r="G18" i="333"/>
  <c r="G40" i="333" s="1"/>
  <c r="K61" i="294" s="1"/>
  <c r="I713" i="246"/>
  <c r="G45" i="187"/>
  <c r="L144" i="246" s="1"/>
  <c r="J779" i="246"/>
  <c r="O26" i="10"/>
  <c r="G44" i="10" s="1"/>
  <c r="R75" i="209" s="1"/>
  <c r="F33" i="175"/>
  <c r="G45" i="15"/>
  <c r="L129" i="209" s="1"/>
  <c r="F45" i="290"/>
  <c r="O51" i="294" s="1"/>
  <c r="E18" i="288"/>
  <c r="E42" i="288" s="1"/>
  <c r="N68" i="294" s="1"/>
  <c r="I651" i="246"/>
  <c r="L26" i="101"/>
  <c r="D43" i="101" s="1"/>
  <c r="D47" i="101" s="1"/>
  <c r="O155" i="246" s="1"/>
  <c r="G18" i="10"/>
  <c r="S394" i="246"/>
  <c r="M132" i="294"/>
  <c r="D18" i="101"/>
  <c r="D37" i="101" s="1"/>
  <c r="O217" i="246" s="1"/>
  <c r="G44" i="187"/>
  <c r="R82" i="246" s="1"/>
  <c r="R615" i="209"/>
  <c r="L26" i="325"/>
  <c r="D43" i="325" s="1"/>
  <c r="D47" i="325" s="1"/>
  <c r="R47" i="294" s="1"/>
  <c r="L669" i="209"/>
  <c r="E44" i="288"/>
  <c r="S30" i="294" s="1"/>
  <c r="M394" i="246"/>
  <c r="I714" i="246"/>
  <c r="D46" i="192"/>
  <c r="L615" i="209"/>
  <c r="F18" i="188"/>
  <c r="F41" i="188" s="1"/>
  <c r="K230" i="246" s="1"/>
  <c r="M26" i="288"/>
  <c r="E43" i="288" s="1"/>
  <c r="E47" i="288" s="1"/>
  <c r="S49" i="294" s="1"/>
  <c r="E15" i="228"/>
  <c r="G42" i="289"/>
  <c r="P69" i="294" s="1"/>
  <c r="G40" i="289"/>
  <c r="K50" i="294" s="1"/>
  <c r="T12" i="29"/>
  <c r="R609" i="209"/>
  <c r="I641" i="246"/>
  <c r="F21" i="18"/>
  <c r="G46" i="15"/>
  <c r="D7" i="338"/>
  <c r="X70" i="28"/>
  <c r="D45" i="139"/>
  <c r="I145" i="246" s="1"/>
  <c r="O130" i="294"/>
  <c r="F45" i="333"/>
  <c r="O61" i="294" s="1"/>
  <c r="F46" i="333"/>
  <c r="J35" i="33"/>
  <c r="X13" i="33" s="1"/>
  <c r="G44" i="15"/>
  <c r="R69" i="209" s="1"/>
  <c r="P31" i="292"/>
  <c r="G35" i="104"/>
  <c r="G21" i="104"/>
  <c r="S405" i="246"/>
  <c r="E45" i="333"/>
  <c r="N61" i="294" s="1"/>
  <c r="N137" i="294"/>
  <c r="F44" i="333"/>
  <c r="T42" i="294" s="1"/>
  <c r="K559" i="246"/>
  <c r="M286" i="246"/>
  <c r="S720" i="246"/>
  <c r="K696" i="246"/>
  <c r="Q634" i="246"/>
  <c r="F18" i="284"/>
  <c r="F40" i="284" s="1"/>
  <c r="K76" i="246" s="1"/>
  <c r="F46" i="284"/>
  <c r="G41" i="354"/>
  <c r="D18" i="118"/>
  <c r="D41" i="118" s="1"/>
  <c r="I216" i="246" s="1"/>
  <c r="F44" i="97"/>
  <c r="Q89" i="246" s="1"/>
  <c r="G46" i="97"/>
  <c r="O26" i="97"/>
  <c r="G43" i="97" s="1"/>
  <c r="G47" i="97" s="1"/>
  <c r="R151" i="246" s="1"/>
  <c r="L647" i="246"/>
  <c r="F46" i="97"/>
  <c r="G18" i="97"/>
  <c r="L771" i="246" s="1"/>
  <c r="Q647" i="246"/>
  <c r="O26" i="295"/>
  <c r="G43" i="295" s="1"/>
  <c r="G47" i="295" s="1"/>
  <c r="U55" i="294" s="1"/>
  <c r="G45" i="295"/>
  <c r="P55" i="294" s="1"/>
  <c r="D37" i="347"/>
  <c r="O232" i="209" s="1"/>
  <c r="D44" i="118"/>
  <c r="O92" i="246" s="1"/>
  <c r="P767" i="209"/>
  <c r="O499" i="209"/>
  <c r="D42" i="347"/>
  <c r="I292" i="209" s="1"/>
  <c r="D38" i="347"/>
  <c r="I52" i="209" s="1"/>
  <c r="O650" i="246"/>
  <c r="O26" i="166"/>
  <c r="G43" i="166" s="1"/>
  <c r="G47" i="166" s="1"/>
  <c r="R142" i="246" s="1"/>
  <c r="D39" i="347"/>
  <c r="O52" i="209" s="1"/>
  <c r="I712" i="246"/>
  <c r="M712" i="246" s="1"/>
  <c r="P137" i="294"/>
  <c r="C28" i="330"/>
  <c r="D41" i="347"/>
  <c r="I232" i="209" s="1"/>
  <c r="J689" i="209"/>
  <c r="G42" i="220"/>
  <c r="L294" i="209" s="1"/>
  <c r="M556" i="246"/>
  <c r="C25" i="174"/>
  <c r="N26" i="176"/>
  <c r="F43" i="176" s="1"/>
  <c r="F47" i="176" s="1"/>
  <c r="Q156" i="246" s="1"/>
  <c r="D45" i="325"/>
  <c r="M47" i="294" s="1"/>
  <c r="D18" i="325"/>
  <c r="D40" i="325" s="1"/>
  <c r="H47" i="294" s="1"/>
  <c r="H27" i="44"/>
  <c r="H41" i="44" s="1"/>
  <c r="P13" i="72" s="1"/>
  <c r="P342" i="209"/>
  <c r="F26" i="328"/>
  <c r="O402" i="209"/>
  <c r="G12" i="328"/>
  <c r="I342" i="209"/>
  <c r="H28" i="44"/>
  <c r="H42" i="44" s="1"/>
  <c r="M282" i="209" s="1"/>
  <c r="G28" i="58"/>
  <c r="G28" i="229" s="1"/>
  <c r="G18" i="15"/>
  <c r="G42" i="15" s="1"/>
  <c r="L249" i="209" s="1"/>
  <c r="P17" i="101"/>
  <c r="R366" i="246"/>
  <c r="S591" i="246"/>
  <c r="F18" i="296"/>
  <c r="F39" i="296" s="1"/>
  <c r="O37" i="294" s="1"/>
  <c r="L20" i="295"/>
  <c r="N26" i="349"/>
  <c r="F43" i="349" s="1"/>
  <c r="F47" i="349" s="1"/>
  <c r="T54" i="294" s="1"/>
  <c r="P16" i="360"/>
  <c r="S746" i="246"/>
  <c r="E48" i="231"/>
  <c r="P622" i="246"/>
  <c r="M580" i="246"/>
  <c r="S580" i="246"/>
  <c r="F41" i="202"/>
  <c r="K205" i="246" s="1"/>
  <c r="K763" i="246"/>
  <c r="F40" i="202"/>
  <c r="K81" i="246" s="1"/>
  <c r="F42" i="202"/>
  <c r="K267" i="246" s="1"/>
  <c r="F39" i="202"/>
  <c r="Q19" i="246" s="1"/>
  <c r="F38" i="202"/>
  <c r="K19" i="246" s="1"/>
  <c r="R458" i="246"/>
  <c r="E32" i="174"/>
  <c r="L334" i="246"/>
  <c r="R706" i="246"/>
  <c r="E13" i="175"/>
  <c r="O520" i="246"/>
  <c r="O396" i="246"/>
  <c r="E40" i="165"/>
  <c r="J79" i="246" s="1"/>
  <c r="P16" i="345"/>
  <c r="S350" i="209"/>
  <c r="H25" i="328"/>
  <c r="H39" i="328" s="1"/>
  <c r="S170" i="209"/>
  <c r="H43" i="225"/>
  <c r="P15" i="356" s="1"/>
  <c r="C33" i="175"/>
  <c r="H30" i="228"/>
  <c r="K22" i="292" s="1"/>
  <c r="K542" i="209"/>
  <c r="O362" i="209"/>
  <c r="F17" i="175"/>
  <c r="G28" i="175"/>
  <c r="H28" i="173"/>
  <c r="H42" i="173" s="1"/>
  <c r="P14" i="139" s="1"/>
  <c r="C30" i="175"/>
  <c r="N25" i="175"/>
  <c r="H32" i="173"/>
  <c r="D23" i="175"/>
  <c r="H25" i="228"/>
  <c r="H39" i="228" s="1"/>
  <c r="S62" i="209" s="1"/>
  <c r="D16" i="175"/>
  <c r="S690" i="209"/>
  <c r="P14" i="279"/>
  <c r="O272" i="246"/>
  <c r="L20" i="360"/>
  <c r="N26" i="344"/>
  <c r="F43" i="344" s="1"/>
  <c r="F47" i="344" s="1"/>
  <c r="G37" i="220"/>
  <c r="R234" i="209" s="1"/>
  <c r="G12" i="58"/>
  <c r="R720" i="209" s="1"/>
  <c r="D44" i="344"/>
  <c r="L613" i="209"/>
  <c r="E12" i="175"/>
  <c r="E45" i="347"/>
  <c r="J172" i="209" s="1"/>
  <c r="E44" i="347"/>
  <c r="P112" i="209" s="1"/>
  <c r="E14" i="4"/>
  <c r="D14" i="4" s="1"/>
  <c r="D44" i="6"/>
  <c r="O78" i="209" s="1"/>
  <c r="G46" i="195"/>
  <c r="G44" i="215"/>
  <c r="R86" i="209" s="1"/>
  <c r="H29" i="184"/>
  <c r="H47" i="184" s="1"/>
  <c r="S187" i="246" s="1"/>
  <c r="D23" i="174"/>
  <c r="I522" i="209"/>
  <c r="P282" i="209"/>
  <c r="O334" i="246"/>
  <c r="R613" i="209"/>
  <c r="P652" i="209"/>
  <c r="M26" i="333"/>
  <c r="E43" i="333" s="1"/>
  <c r="E47" i="333" s="1"/>
  <c r="S61" i="294" s="1"/>
  <c r="E18" i="333"/>
  <c r="D46" i="6"/>
  <c r="O522" i="209"/>
  <c r="L714" i="209"/>
  <c r="J712" i="209"/>
  <c r="G45" i="333"/>
  <c r="P61" i="294" s="1"/>
  <c r="U126" i="294"/>
  <c r="E45" i="118"/>
  <c r="J154" i="246" s="1"/>
  <c r="J650" i="246"/>
  <c r="M26" i="118"/>
  <c r="E43" i="118" s="1"/>
  <c r="E47" i="118" s="1"/>
  <c r="P154" i="246" s="1"/>
  <c r="P14" i="95"/>
  <c r="R652" i="209"/>
  <c r="G45" i="347"/>
  <c r="L172" i="209" s="1"/>
  <c r="G44" i="347"/>
  <c r="R112" i="209" s="1"/>
  <c r="I678" i="209"/>
  <c r="M678" i="209" s="1"/>
  <c r="H23" i="44"/>
  <c r="S282" i="209" s="1"/>
  <c r="L654" i="209"/>
  <c r="G18" i="176"/>
  <c r="G41" i="176" s="1"/>
  <c r="L218" i="246" s="1"/>
  <c r="M110" i="209"/>
  <c r="H23" i="171"/>
  <c r="H37" i="171" s="1"/>
  <c r="I520" i="246"/>
  <c r="L26" i="6"/>
  <c r="P26" i="6" s="1"/>
  <c r="D23" i="328"/>
  <c r="H23" i="328" s="1"/>
  <c r="H37" i="328" s="1"/>
  <c r="I402" i="209"/>
  <c r="F18" i="344"/>
  <c r="F40" i="344" s="1"/>
  <c r="P12" i="270"/>
  <c r="E26" i="330"/>
  <c r="D23" i="330"/>
  <c r="L712" i="209"/>
  <c r="M712" i="209" s="1"/>
  <c r="D45" i="118"/>
  <c r="I154" i="246" s="1"/>
  <c r="L26" i="118"/>
  <c r="D43" i="118" s="1"/>
  <c r="D47" i="118" s="1"/>
  <c r="O154" i="246" s="1"/>
  <c r="I650" i="246"/>
  <c r="O618" i="209"/>
  <c r="L20" i="296"/>
  <c r="F44" i="344"/>
  <c r="L652" i="209"/>
  <c r="O342" i="209"/>
  <c r="P259" i="209"/>
  <c r="R402" i="209"/>
  <c r="G13" i="330"/>
  <c r="G48" i="44"/>
  <c r="O20" i="123" s="1"/>
  <c r="S618" i="246"/>
  <c r="O373" i="246"/>
  <c r="C26" i="174"/>
  <c r="L435" i="246"/>
  <c r="C33" i="174"/>
  <c r="H27" i="171"/>
  <c r="H41" i="171" s="1"/>
  <c r="P13" i="223" s="1"/>
  <c r="H26" i="84"/>
  <c r="H40" i="84" s="1"/>
  <c r="M124" i="246" s="1"/>
  <c r="P372" i="246"/>
  <c r="M219" i="246"/>
  <c r="H32" i="84"/>
  <c r="M682" i="246" s="1"/>
  <c r="E31" i="175"/>
  <c r="L436" i="246"/>
  <c r="C28" i="175"/>
  <c r="G25" i="175"/>
  <c r="C29" i="175"/>
  <c r="D48" i="173"/>
  <c r="L20" i="202" s="1"/>
  <c r="I542" i="209"/>
  <c r="D21" i="289"/>
  <c r="L23" i="289" s="1"/>
  <c r="D7" i="333"/>
  <c r="C25" i="328"/>
  <c r="G45" i="105"/>
  <c r="L142" i="209" s="1"/>
  <c r="H38" i="104"/>
  <c r="P10" i="354" s="1"/>
  <c r="N17" i="28"/>
  <c r="N35" i="28" s="1"/>
  <c r="G18" i="101"/>
  <c r="G38" i="101" s="1"/>
  <c r="L31" i="246" s="1"/>
  <c r="G18" i="165"/>
  <c r="L761" i="246" s="1"/>
  <c r="M343" i="246"/>
  <c r="I767" i="209"/>
  <c r="F21" i="186"/>
  <c r="F17" i="58"/>
  <c r="F17" i="229" s="1"/>
  <c r="R421" i="209"/>
  <c r="P558" i="246"/>
  <c r="G16" i="175"/>
  <c r="D35" i="289"/>
  <c r="L29" i="288"/>
  <c r="E35" i="173"/>
  <c r="L713" i="246"/>
  <c r="I559" i="209"/>
  <c r="H31" i="173"/>
  <c r="H45" i="173" s="1"/>
  <c r="P17" i="139" s="1"/>
  <c r="N20" i="360"/>
  <c r="G46" i="95"/>
  <c r="D21" i="14"/>
  <c r="L23" i="14" s="1"/>
  <c r="G44" i="101"/>
  <c r="R93" i="246" s="1"/>
  <c r="O26" i="349"/>
  <c r="G43" i="349" s="1"/>
  <c r="G47" i="349" s="1"/>
  <c r="U54" i="294" s="1"/>
  <c r="G45" i="101"/>
  <c r="L155" i="246" s="1"/>
  <c r="G46" i="337"/>
  <c r="P15" i="313"/>
  <c r="E45" i="79"/>
  <c r="J159" i="209" s="1"/>
  <c r="L651" i="246"/>
  <c r="G18" i="349"/>
  <c r="U130" i="294" s="1"/>
  <c r="O26" i="101"/>
  <c r="G43" i="101" s="1"/>
  <c r="G47" i="101" s="1"/>
  <c r="R155" i="246" s="1"/>
  <c r="D21" i="162"/>
  <c r="L23" i="162" s="1"/>
  <c r="J601" i="209"/>
  <c r="H23" i="250"/>
  <c r="S301" i="209" s="1"/>
  <c r="E48" i="84"/>
  <c r="H21" i="58"/>
  <c r="D35" i="204"/>
  <c r="J639" i="209"/>
  <c r="P14" i="325"/>
  <c r="G43" i="315"/>
  <c r="G47" i="315" s="1"/>
  <c r="R164" i="209" s="1"/>
  <c r="G46" i="101"/>
  <c r="G44" i="349"/>
  <c r="U35" i="294" s="1"/>
  <c r="E35" i="328"/>
  <c r="D21" i="204"/>
  <c r="L23" i="204" s="1"/>
  <c r="J699" i="209"/>
  <c r="G15" i="156"/>
  <c r="G15" i="185" s="1"/>
  <c r="S570" i="209"/>
  <c r="G39" i="289"/>
  <c r="P31" i="294" s="1"/>
  <c r="P12" i="294"/>
  <c r="N20" i="279"/>
  <c r="D25" i="175"/>
  <c r="F35" i="330"/>
  <c r="G46" i="325"/>
  <c r="R15" i="80"/>
  <c r="H29" i="44"/>
  <c r="H47" i="44" s="1"/>
  <c r="T21" i="340"/>
  <c r="P11" i="345"/>
  <c r="L689" i="209"/>
  <c r="P26" i="289"/>
  <c r="F17" i="330"/>
  <c r="D37" i="354"/>
  <c r="E25" i="328"/>
  <c r="H27" i="228"/>
  <c r="H41" i="228" s="1"/>
  <c r="M242" i="209" s="1"/>
  <c r="M534" i="246"/>
  <c r="F39" i="354"/>
  <c r="P434" i="246"/>
  <c r="K621" i="246"/>
  <c r="E45" i="307"/>
  <c r="J182" i="246" s="1"/>
  <c r="G41" i="39"/>
  <c r="L221" i="209" s="1"/>
  <c r="J522" i="209"/>
  <c r="J496" i="246"/>
  <c r="M16" i="241"/>
  <c r="O26" i="220"/>
  <c r="G43" i="220" s="1"/>
  <c r="G47" i="220" s="1"/>
  <c r="R174" i="209" s="1"/>
  <c r="E18" i="289"/>
  <c r="E42" i="289" s="1"/>
  <c r="N69" i="294" s="1"/>
  <c r="G18" i="337"/>
  <c r="G38" i="337" s="1"/>
  <c r="L40" i="209" s="1"/>
  <c r="G46" i="216"/>
  <c r="G44" i="325"/>
  <c r="U28" i="294" s="1"/>
  <c r="D45" i="39"/>
  <c r="I161" i="209" s="1"/>
  <c r="P14" i="91"/>
  <c r="D29" i="328"/>
  <c r="H29" i="328" s="1"/>
  <c r="H43" i="328" s="1"/>
  <c r="S410" i="246"/>
  <c r="H25" i="44"/>
  <c r="H39" i="44" s="1"/>
  <c r="D40" i="354"/>
  <c r="D45" i="270"/>
  <c r="I176" i="246" s="1"/>
  <c r="M20" i="118"/>
  <c r="J651" i="246"/>
  <c r="J740" i="246"/>
  <c r="P522" i="209"/>
  <c r="M18" i="241"/>
  <c r="G45" i="220"/>
  <c r="L174" i="209" s="1"/>
  <c r="N126" i="294"/>
  <c r="L774" i="209"/>
  <c r="L342" i="209"/>
  <c r="E39" i="353"/>
  <c r="P47" i="209" s="1"/>
  <c r="L700" i="209"/>
  <c r="F44" i="6"/>
  <c r="Q78" i="209" s="1"/>
  <c r="G18" i="216"/>
  <c r="G40" i="216" s="1"/>
  <c r="L89" i="209" s="1"/>
  <c r="G11" i="326"/>
  <c r="G46" i="326" s="1"/>
  <c r="E24" i="330"/>
  <c r="G42" i="39"/>
  <c r="L281" i="209" s="1"/>
  <c r="M257" i="246"/>
  <c r="D12" i="175"/>
  <c r="S590" i="209"/>
  <c r="D33" i="174"/>
  <c r="G30" i="174"/>
  <c r="G48" i="173"/>
  <c r="O20" i="139" s="1"/>
  <c r="M20" i="271"/>
  <c r="E18" i="307"/>
  <c r="E39" i="307" s="1"/>
  <c r="P58" i="246" s="1"/>
  <c r="G45" i="325"/>
  <c r="P47" i="294" s="1"/>
  <c r="S50" i="209"/>
  <c r="R654" i="209"/>
  <c r="G41" i="220"/>
  <c r="L234" i="209" s="1"/>
  <c r="D48" i="84"/>
  <c r="E37" i="353"/>
  <c r="P227" i="209" s="1"/>
  <c r="R640" i="209"/>
  <c r="K618" i="209"/>
  <c r="F44" i="16"/>
  <c r="Q68" i="209" s="1"/>
  <c r="E38" i="353"/>
  <c r="J47" i="209" s="1"/>
  <c r="O641" i="209"/>
  <c r="L26" i="39"/>
  <c r="D41" i="354"/>
  <c r="H29" i="84"/>
  <c r="H47" i="84" s="1"/>
  <c r="S186" i="246" s="1"/>
  <c r="E40" i="353"/>
  <c r="J107" i="209" s="1"/>
  <c r="J342" i="209"/>
  <c r="C28" i="327"/>
  <c r="M20" i="97"/>
  <c r="E44" i="307"/>
  <c r="P120" i="246" s="1"/>
  <c r="G38" i="39"/>
  <c r="L41" i="209" s="1"/>
  <c r="P123" i="294"/>
  <c r="O26" i="325"/>
  <c r="G43" i="325" s="1"/>
  <c r="G47" i="325" s="1"/>
  <c r="U47" i="294" s="1"/>
  <c r="G46" i="220"/>
  <c r="G39" i="220"/>
  <c r="R54" i="209" s="1"/>
  <c r="S518" i="246"/>
  <c r="E41" i="353"/>
  <c r="J227" i="209" s="1"/>
  <c r="L640" i="209"/>
  <c r="F31" i="328"/>
  <c r="F48" i="328" s="1"/>
  <c r="F45" i="139"/>
  <c r="K145" i="246" s="1"/>
  <c r="G45" i="216"/>
  <c r="L149" i="209" s="1"/>
  <c r="N26" i="16"/>
  <c r="Q728" i="209" s="1"/>
  <c r="I641" i="209"/>
  <c r="R43" i="36"/>
  <c r="J47" i="36" s="1"/>
  <c r="G39" i="39"/>
  <c r="R41" i="209" s="1"/>
  <c r="J402" i="209"/>
  <c r="D42" i="354"/>
  <c r="P35" i="292"/>
  <c r="F17" i="327"/>
  <c r="F45" i="216"/>
  <c r="K149" i="209" s="1"/>
  <c r="M20" i="176"/>
  <c r="J434" i="246"/>
  <c r="E46" i="307"/>
  <c r="G37" i="39"/>
  <c r="R221" i="209" s="1"/>
  <c r="D16" i="174"/>
  <c r="E45" i="289"/>
  <c r="N50" i="294" s="1"/>
  <c r="G38" i="220"/>
  <c r="L54" i="209" s="1"/>
  <c r="G45" i="337"/>
  <c r="L160" i="209" s="1"/>
  <c r="H29" i="170"/>
  <c r="H43" i="170" s="1"/>
  <c r="P15" i="188" s="1"/>
  <c r="E24" i="328"/>
  <c r="P310" i="246"/>
  <c r="D44" i="39"/>
  <c r="O101" i="209" s="1"/>
  <c r="O26" i="337"/>
  <c r="G43" i="337" s="1"/>
  <c r="G47" i="337" s="1"/>
  <c r="R160" i="209" s="1"/>
  <c r="K608" i="209"/>
  <c r="D38" i="354"/>
  <c r="Q310" i="246"/>
  <c r="L761" i="209"/>
  <c r="G44" i="220"/>
  <c r="R114" i="209" s="1"/>
  <c r="E44" i="289"/>
  <c r="S31" i="294" s="1"/>
  <c r="E25" i="58"/>
  <c r="E11" i="291"/>
  <c r="J422" i="209"/>
  <c r="D46" i="39"/>
  <c r="T16" i="34"/>
  <c r="T17" i="34" s="1"/>
  <c r="T31" i="34" s="1"/>
  <c r="G15" i="139"/>
  <c r="G18" i="166"/>
  <c r="G41" i="166" s="1"/>
  <c r="L204" i="246" s="1"/>
  <c r="P26" i="139"/>
  <c r="E35" i="247"/>
  <c r="E21" i="247"/>
  <c r="Q361" i="209"/>
  <c r="K541" i="209"/>
  <c r="P12" i="295"/>
  <c r="O312" i="246"/>
  <c r="H26" i="170"/>
  <c r="H40" i="170" s="1"/>
  <c r="P12" i="219" s="1"/>
  <c r="E27" i="175"/>
  <c r="I436" i="246"/>
  <c r="E39" i="165"/>
  <c r="P17" i="246" s="1"/>
  <c r="E37" i="165"/>
  <c r="P203" i="246" s="1"/>
  <c r="F39" i="338"/>
  <c r="Q34" i="209" s="1"/>
  <c r="C31" i="58"/>
  <c r="C31" i="229" s="1"/>
  <c r="L582" i="209"/>
  <c r="R559" i="209"/>
  <c r="D23" i="327"/>
  <c r="O272" i="209" s="1"/>
  <c r="D23" i="58"/>
  <c r="C27" i="58"/>
  <c r="C27" i="229" s="1"/>
  <c r="R572" i="209"/>
  <c r="AA10" i="292"/>
  <c r="L452" i="209"/>
  <c r="C27" i="330"/>
  <c r="C25" i="58"/>
  <c r="C25" i="229" s="1"/>
  <c r="H30" i="327"/>
  <c r="H44" i="327" s="1"/>
  <c r="S92" i="209" s="1"/>
  <c r="C30" i="58"/>
  <c r="C30" i="229" s="1"/>
  <c r="C24" i="327"/>
  <c r="G25" i="330"/>
  <c r="G25" i="58"/>
  <c r="F27" i="58"/>
  <c r="F27" i="229" s="1"/>
  <c r="F33" i="58"/>
  <c r="F33" i="229" s="1"/>
  <c r="F28" i="58"/>
  <c r="F28" i="229" s="1"/>
  <c r="Q608" i="209"/>
  <c r="F18" i="16"/>
  <c r="F40" i="16" s="1"/>
  <c r="K68" i="209" s="1"/>
  <c r="K668" i="209"/>
  <c r="H30" i="84"/>
  <c r="H44" i="84" s="1"/>
  <c r="S124" i="246" s="1"/>
  <c r="P131" i="294"/>
  <c r="G11" i="361"/>
  <c r="G45" i="361" s="1"/>
  <c r="O17" i="296" s="1"/>
  <c r="P14" i="296"/>
  <c r="P14" i="295"/>
  <c r="M25" i="174"/>
  <c r="Q366" i="246"/>
  <c r="K552" i="246"/>
  <c r="J36" i="292"/>
  <c r="C25" i="175"/>
  <c r="G13" i="175"/>
  <c r="L560" i="246"/>
  <c r="M25" i="175"/>
  <c r="O25" i="175"/>
  <c r="C27" i="175"/>
  <c r="F27" i="175"/>
  <c r="H26" i="228"/>
  <c r="H40" i="228" s="1"/>
  <c r="M122" i="209" s="1"/>
  <c r="G48" i="228"/>
  <c r="O20" i="225" s="1"/>
  <c r="R602" i="209"/>
  <c r="Q482" i="209"/>
  <c r="J57" i="28"/>
  <c r="O622" i="209"/>
  <c r="P13" i="118"/>
  <c r="P13" i="99"/>
  <c r="K522" i="209"/>
  <c r="G31" i="328"/>
  <c r="G48" i="328" s="1"/>
  <c r="L396" i="246"/>
  <c r="O498" i="246"/>
  <c r="N26" i="296"/>
  <c r="F43" i="296" s="1"/>
  <c r="F47" i="296" s="1"/>
  <c r="T56" i="294" s="1"/>
  <c r="O639" i="209"/>
  <c r="G45" i="215"/>
  <c r="L146" i="209" s="1"/>
  <c r="M426" i="246"/>
  <c r="N20" i="101"/>
  <c r="I652" i="246"/>
  <c r="F24" i="330"/>
  <c r="E38" i="337"/>
  <c r="J40" i="209" s="1"/>
  <c r="D10" i="292"/>
  <c r="E43" i="9"/>
  <c r="E47" i="9" s="1"/>
  <c r="P136" i="209" s="1"/>
  <c r="F46" i="290"/>
  <c r="D45" i="105"/>
  <c r="I142" i="209" s="1"/>
  <c r="H31" i="44"/>
  <c r="H45" i="44" s="1"/>
  <c r="P17" i="154" s="1"/>
  <c r="K422" i="209"/>
  <c r="P13" i="101"/>
  <c r="N22" i="292"/>
  <c r="P22" i="292" s="1"/>
  <c r="D37" i="16"/>
  <c r="O188" i="209" s="1"/>
  <c r="C26" i="328"/>
  <c r="G45" i="293"/>
  <c r="P53" i="294" s="1"/>
  <c r="P13" i="354"/>
  <c r="Q628" i="246"/>
  <c r="F24" i="58"/>
  <c r="F24" i="229" s="1"/>
  <c r="D24" i="292" s="1"/>
  <c r="E27" i="330"/>
  <c r="E37" i="279"/>
  <c r="P221" i="246" s="1"/>
  <c r="K362" i="209"/>
  <c r="Q302" i="209"/>
  <c r="I374" i="246"/>
  <c r="D27" i="175"/>
  <c r="F11" i="361"/>
  <c r="F46" i="361" s="1"/>
  <c r="O26" i="215"/>
  <c r="R746" i="209" s="1"/>
  <c r="R520" i="246"/>
  <c r="P13" i="296"/>
  <c r="N25" i="174"/>
  <c r="C28" i="174"/>
  <c r="G30" i="330"/>
  <c r="J760" i="209"/>
  <c r="P629" i="209"/>
  <c r="O127" i="294"/>
  <c r="M26" i="7"/>
  <c r="P737" i="209" s="1"/>
  <c r="D11" i="247"/>
  <c r="E41" i="279"/>
  <c r="J221" i="246" s="1"/>
  <c r="Q722" i="209"/>
  <c r="D46" i="7"/>
  <c r="G45" i="125"/>
  <c r="L133" i="209" s="1"/>
  <c r="L673" i="209"/>
  <c r="G44" i="125"/>
  <c r="R73" i="209" s="1"/>
  <c r="H24" i="231"/>
  <c r="H38" i="231" s="1"/>
  <c r="M64" i="246" s="1"/>
  <c r="E46" i="7"/>
  <c r="L626" i="209"/>
  <c r="L458" i="246"/>
  <c r="F46" i="187"/>
  <c r="X71" i="28"/>
  <c r="D41" i="16"/>
  <c r="I188" i="209" s="1"/>
  <c r="O259" i="209"/>
  <c r="C26" i="58"/>
  <c r="C26" i="229" s="1"/>
  <c r="R342" i="209"/>
  <c r="J482" i="209"/>
  <c r="K21" i="292"/>
  <c r="H33" i="231"/>
  <c r="F44" i="296"/>
  <c r="T37" i="294" s="1"/>
  <c r="I498" i="246"/>
  <c r="G46" i="215"/>
  <c r="P13" i="360"/>
  <c r="G43" i="139"/>
  <c r="G47" i="139" s="1"/>
  <c r="R145" i="246" s="1"/>
  <c r="M612" i="246"/>
  <c r="AA28" i="292"/>
  <c r="L26" i="176"/>
  <c r="D43" i="176" s="1"/>
  <c r="D47" i="176" s="1"/>
  <c r="O156" i="246" s="1"/>
  <c r="F44" i="307"/>
  <c r="Q120" i="246" s="1"/>
  <c r="F38" i="338"/>
  <c r="K34" i="209" s="1"/>
  <c r="E45" i="216"/>
  <c r="J149" i="209" s="1"/>
  <c r="F44" i="290"/>
  <c r="T32" i="294" s="1"/>
  <c r="E45" i="7"/>
  <c r="J137" i="209" s="1"/>
  <c r="L26" i="105"/>
  <c r="D43" i="105" s="1"/>
  <c r="D18" i="344"/>
  <c r="H18" i="344" s="1"/>
  <c r="F48" i="327"/>
  <c r="Q572" i="209"/>
  <c r="E39" i="279"/>
  <c r="P35" i="246" s="1"/>
  <c r="D44" i="7"/>
  <c r="O77" i="209" s="1"/>
  <c r="D45" i="7"/>
  <c r="I137" i="209" s="1"/>
  <c r="I673" i="209"/>
  <c r="D46" i="125"/>
  <c r="D44" i="125"/>
  <c r="O73" i="209" s="1"/>
  <c r="I613" i="209"/>
  <c r="D46" i="105"/>
  <c r="Q640" i="246"/>
  <c r="X69" i="28"/>
  <c r="D39" i="16"/>
  <c r="O8" i="209" s="1"/>
  <c r="G10" i="292"/>
  <c r="G16" i="58"/>
  <c r="G16" i="229" s="1"/>
  <c r="P16" i="356"/>
  <c r="P36" i="292"/>
  <c r="F46" i="296"/>
  <c r="M618" i="246"/>
  <c r="J617" i="209"/>
  <c r="F29" i="175"/>
  <c r="G18" i="215"/>
  <c r="G42" i="215" s="1"/>
  <c r="L266" i="209" s="1"/>
  <c r="S343" i="246"/>
  <c r="Q402" i="209"/>
  <c r="R582" i="209"/>
  <c r="L462" i="209"/>
  <c r="K754" i="209"/>
  <c r="E46" i="216"/>
  <c r="F11" i="291"/>
  <c r="M17" i="292" s="1"/>
  <c r="I682" i="209"/>
  <c r="D46" i="344"/>
  <c r="P13" i="97"/>
  <c r="K609" i="209"/>
  <c r="O617" i="209"/>
  <c r="F31" i="58"/>
  <c r="F31" i="229" s="1"/>
  <c r="X67" i="28"/>
  <c r="D38" i="16"/>
  <c r="I8" i="209" s="1"/>
  <c r="F31" i="330"/>
  <c r="E18" i="315"/>
  <c r="E40" i="315" s="1"/>
  <c r="J104" i="209" s="1"/>
  <c r="N26" i="187"/>
  <c r="F43" i="187" s="1"/>
  <c r="F47" i="187" s="1"/>
  <c r="Q144" i="246" s="1"/>
  <c r="P617" i="209"/>
  <c r="I699" i="246"/>
  <c r="R626" i="209"/>
  <c r="F28" i="328"/>
  <c r="H23" i="170"/>
  <c r="H37" i="170" s="1"/>
  <c r="P9" i="334" s="1"/>
  <c r="N20" i="354"/>
  <c r="N20" i="359"/>
  <c r="N20" i="271"/>
  <c r="G30" i="58"/>
  <c r="G30" i="229" s="1"/>
  <c r="F40" i="338"/>
  <c r="K94" i="209" s="1"/>
  <c r="M26" i="216"/>
  <c r="P749" i="209" s="1"/>
  <c r="F18" i="290"/>
  <c r="F39" i="290" s="1"/>
  <c r="O32" i="294" s="1"/>
  <c r="D44" i="105"/>
  <c r="O82" i="209" s="1"/>
  <c r="H33" i="328"/>
  <c r="L26" i="344"/>
  <c r="P26" i="344" s="1"/>
  <c r="Q609" i="209"/>
  <c r="I617" i="209"/>
  <c r="P20" i="292"/>
  <c r="X68" i="28"/>
  <c r="D42" i="16"/>
  <c r="I248" i="209" s="1"/>
  <c r="E27" i="58"/>
  <c r="E27" i="229" s="1"/>
  <c r="E38" i="279"/>
  <c r="J35" i="246" s="1"/>
  <c r="H26" i="231"/>
  <c r="H40" i="231" s="1"/>
  <c r="M126" i="246" s="1"/>
  <c r="F44" i="187"/>
  <c r="Q82" i="246" s="1"/>
  <c r="P17" i="97"/>
  <c r="K678" i="246"/>
  <c r="Q342" i="209"/>
  <c r="H44" i="212"/>
  <c r="S90" i="209" s="1"/>
  <c r="P13" i="176"/>
  <c r="I677" i="209"/>
  <c r="E40" i="190"/>
  <c r="J75" i="246" s="1"/>
  <c r="E39" i="190"/>
  <c r="P13" i="246" s="1"/>
  <c r="E41" i="190"/>
  <c r="J199" i="246" s="1"/>
  <c r="J757" i="246"/>
  <c r="G14" i="186"/>
  <c r="P14" i="105"/>
  <c r="M264" i="209"/>
  <c r="I373" i="246"/>
  <c r="S674" i="209"/>
  <c r="P11" i="289"/>
  <c r="P11" i="290"/>
  <c r="P11" i="288"/>
  <c r="X36" i="32"/>
  <c r="X37" i="32"/>
  <c r="K402" i="209"/>
  <c r="E42" i="337"/>
  <c r="J280" i="209" s="1"/>
  <c r="E39" i="337"/>
  <c r="P40" i="209" s="1"/>
  <c r="E41" i="337"/>
  <c r="J220" i="209" s="1"/>
  <c r="E37" i="337"/>
  <c r="P220" i="209" s="1"/>
  <c r="H43" i="248"/>
  <c r="P15" i="364" s="1"/>
  <c r="H47" i="248"/>
  <c r="P19" i="364" s="1"/>
  <c r="T12" i="37"/>
  <c r="E43" i="337"/>
  <c r="E47" i="337" s="1"/>
  <c r="P160" i="209" s="1"/>
  <c r="P760" i="209"/>
  <c r="H47" i="247"/>
  <c r="H43" i="247"/>
  <c r="P18" i="325"/>
  <c r="E33" i="58"/>
  <c r="E33" i="229" s="1"/>
  <c r="G12" i="330"/>
  <c r="H25" i="184"/>
  <c r="H39" i="184" s="1"/>
  <c r="S63" i="246" s="1"/>
  <c r="L372" i="246"/>
  <c r="E48" i="170"/>
  <c r="M20" i="194" s="1"/>
  <c r="J374" i="246"/>
  <c r="S488" i="246"/>
  <c r="H29" i="231"/>
  <c r="H47" i="231" s="1"/>
  <c r="S188" i="246" s="1"/>
  <c r="F32" i="175"/>
  <c r="E32" i="175"/>
  <c r="H27" i="231"/>
  <c r="H41" i="231" s="1"/>
  <c r="M250" i="246" s="1"/>
  <c r="H38" i="226"/>
  <c r="M54" i="246" s="1"/>
  <c r="C30" i="174"/>
  <c r="F29" i="174"/>
  <c r="R272" i="246"/>
  <c r="F48" i="171"/>
  <c r="N20" i="185" s="1"/>
  <c r="J622" i="246"/>
  <c r="E16" i="174"/>
  <c r="G33" i="175"/>
  <c r="E17" i="175"/>
  <c r="G40" i="16"/>
  <c r="L68" i="209" s="1"/>
  <c r="H18" i="16"/>
  <c r="L728" i="209"/>
  <c r="G38" i="16"/>
  <c r="L8" i="209" s="1"/>
  <c r="G42" i="16"/>
  <c r="L248" i="209" s="1"/>
  <c r="G39" i="16"/>
  <c r="R8" i="209" s="1"/>
  <c r="K776" i="246"/>
  <c r="F37" i="176"/>
  <c r="Q218" i="246" s="1"/>
  <c r="F41" i="176"/>
  <c r="K218" i="246" s="1"/>
  <c r="F42" i="176"/>
  <c r="K280" i="246" s="1"/>
  <c r="C25" i="330"/>
  <c r="P482" i="209"/>
  <c r="J436" i="246"/>
  <c r="E23" i="175"/>
  <c r="H27" i="84"/>
  <c r="H41" i="84" s="1"/>
  <c r="M248" i="246" s="1"/>
  <c r="M570" i="209"/>
  <c r="K705" i="209"/>
  <c r="Q372" i="246"/>
  <c r="H30" i="18"/>
  <c r="K10" i="292" s="1"/>
  <c r="D11" i="361"/>
  <c r="D46" i="361" s="1"/>
  <c r="L18" i="333" s="1"/>
  <c r="E18" i="176"/>
  <c r="E41" i="176" s="1"/>
  <c r="J218" i="246" s="1"/>
  <c r="G46" i="338"/>
  <c r="Q755" i="209"/>
  <c r="L25" i="330"/>
  <c r="G17" i="330"/>
  <c r="F45" i="105"/>
  <c r="K142" i="209" s="1"/>
  <c r="D41" i="353"/>
  <c r="I227" i="209" s="1"/>
  <c r="D18" i="296"/>
  <c r="D40" i="296" s="1"/>
  <c r="H56" i="294" s="1"/>
  <c r="D46" i="15"/>
  <c r="D40" i="353"/>
  <c r="I107" i="209" s="1"/>
  <c r="L608" i="209"/>
  <c r="H47" i="103"/>
  <c r="H43" i="103"/>
  <c r="R622" i="246"/>
  <c r="F45" i="355"/>
  <c r="F46" i="355"/>
  <c r="F18" i="355"/>
  <c r="D18" i="270"/>
  <c r="H18" i="270" s="1"/>
  <c r="F23" i="58"/>
  <c r="S510" i="209"/>
  <c r="D44" i="270"/>
  <c r="O114" i="246" s="1"/>
  <c r="M596" i="246"/>
  <c r="O496" i="246"/>
  <c r="P458" i="246"/>
  <c r="N26" i="219"/>
  <c r="P651" i="246"/>
  <c r="E23" i="330"/>
  <c r="E28" i="330"/>
  <c r="Q282" i="209"/>
  <c r="J620" i="246"/>
  <c r="M26" i="176"/>
  <c r="E43" i="176" s="1"/>
  <c r="E47" i="176" s="1"/>
  <c r="P156" i="246" s="1"/>
  <c r="R634" i="209"/>
  <c r="S201" i="246"/>
  <c r="Q622" i="209"/>
  <c r="K558" i="246"/>
  <c r="D42" i="353"/>
  <c r="I287" i="209" s="1"/>
  <c r="Q618" i="209"/>
  <c r="N26" i="6"/>
  <c r="C33" i="58"/>
  <c r="C33" i="229" s="1"/>
  <c r="P11" i="307"/>
  <c r="F18" i="105"/>
  <c r="F41" i="105" s="1"/>
  <c r="K202" i="209" s="1"/>
  <c r="L26" i="15"/>
  <c r="P26" i="15" s="1"/>
  <c r="S678" i="209"/>
  <c r="O26" i="16"/>
  <c r="P26" i="16" s="1"/>
  <c r="R608" i="209"/>
  <c r="G44" i="16"/>
  <c r="R68" i="209" s="1"/>
  <c r="C28" i="58"/>
  <c r="C28" i="229" s="1"/>
  <c r="E13" i="174"/>
  <c r="S722" i="209"/>
  <c r="C22" i="292"/>
  <c r="G45" i="166"/>
  <c r="L142" i="246" s="1"/>
  <c r="D46" i="270"/>
  <c r="H33" i="173"/>
  <c r="F18" i="219"/>
  <c r="P497" i="246"/>
  <c r="R373" i="246"/>
  <c r="I439" i="209"/>
  <c r="D27" i="330"/>
  <c r="G23" i="330"/>
  <c r="R282" i="209"/>
  <c r="P652" i="246"/>
  <c r="S668" i="209"/>
  <c r="K622" i="209"/>
  <c r="K682" i="209"/>
  <c r="D18" i="15"/>
  <c r="D37" i="353"/>
  <c r="O227" i="209" s="1"/>
  <c r="F48" i="84"/>
  <c r="L668" i="209"/>
  <c r="M668" i="209" s="1"/>
  <c r="L671" i="209"/>
  <c r="M671" i="209" s="1"/>
  <c r="O26" i="4"/>
  <c r="G45" i="4"/>
  <c r="L131" i="209" s="1"/>
  <c r="G46" i="4"/>
  <c r="L611" i="209"/>
  <c r="R611" i="209"/>
  <c r="G44" i="4"/>
  <c r="R71" i="209" s="1"/>
  <c r="P608" i="209"/>
  <c r="J668" i="209"/>
  <c r="J608" i="209"/>
  <c r="E44" i="16"/>
  <c r="P68" i="209" s="1"/>
  <c r="M26" i="16"/>
  <c r="E45" i="16"/>
  <c r="J128" i="209" s="1"/>
  <c r="E46" i="16"/>
  <c r="E18" i="16"/>
  <c r="E46" i="6"/>
  <c r="E45" i="6"/>
  <c r="J138" i="209" s="1"/>
  <c r="F44" i="315"/>
  <c r="Q104" i="209" s="1"/>
  <c r="F18" i="315"/>
  <c r="F45" i="315"/>
  <c r="K164" i="209" s="1"/>
  <c r="F45" i="220"/>
  <c r="K174" i="209" s="1"/>
  <c r="K714" i="209"/>
  <c r="K654" i="209"/>
  <c r="F46" i="220"/>
  <c r="F44" i="220"/>
  <c r="Q114" i="209" s="1"/>
  <c r="N26" i="220"/>
  <c r="Q654" i="209"/>
  <c r="F18" i="220"/>
  <c r="D44" i="338"/>
  <c r="O94" i="209" s="1"/>
  <c r="D46" i="338"/>
  <c r="O634" i="209"/>
  <c r="I694" i="209"/>
  <c r="D45" i="338"/>
  <c r="I154" i="209" s="1"/>
  <c r="L26" i="338"/>
  <c r="I634" i="209"/>
  <c r="D18" i="338"/>
  <c r="G11" i="223"/>
  <c r="R642" i="246" s="1"/>
  <c r="G11" i="186"/>
  <c r="L720" i="246" s="1"/>
  <c r="H27" i="18"/>
  <c r="H41" i="18" s="1"/>
  <c r="P13" i="13" s="1"/>
  <c r="R638" i="246"/>
  <c r="O374" i="246"/>
  <c r="E28" i="174"/>
  <c r="O672" i="246"/>
  <c r="O490" i="246"/>
  <c r="K645" i="209"/>
  <c r="J452" i="209"/>
  <c r="J439" i="209"/>
  <c r="E44" i="176"/>
  <c r="P94" i="246" s="1"/>
  <c r="O26" i="338"/>
  <c r="R754" i="209" s="1"/>
  <c r="F26" i="330"/>
  <c r="P490" i="246"/>
  <c r="N26" i="105"/>
  <c r="F43" i="105" s="1"/>
  <c r="F47" i="105" s="1"/>
  <c r="Q142" i="209" s="1"/>
  <c r="D45" i="15"/>
  <c r="I129" i="209" s="1"/>
  <c r="D43" i="4"/>
  <c r="D47" i="4" s="1"/>
  <c r="O131" i="209" s="1"/>
  <c r="D39" i="353"/>
  <c r="O47" i="209" s="1"/>
  <c r="K620" i="246"/>
  <c r="G46" i="16"/>
  <c r="Q611" i="209"/>
  <c r="F45" i="4"/>
  <c r="K131" i="209" s="1"/>
  <c r="N26" i="4"/>
  <c r="F44" i="4"/>
  <c r="Q71" i="209" s="1"/>
  <c r="F46" i="4"/>
  <c r="K671" i="209"/>
  <c r="K611" i="209"/>
  <c r="E45" i="315"/>
  <c r="J164" i="209" s="1"/>
  <c r="E44" i="315"/>
  <c r="P104" i="209" s="1"/>
  <c r="E46" i="315"/>
  <c r="M26" i="315"/>
  <c r="P644" i="209"/>
  <c r="J644" i="209"/>
  <c r="D46" i="220"/>
  <c r="O654" i="209"/>
  <c r="I654" i="209"/>
  <c r="D18" i="220"/>
  <c r="D44" i="220"/>
  <c r="O114" i="209" s="1"/>
  <c r="L26" i="220"/>
  <c r="I714" i="209"/>
  <c r="D45" i="220"/>
  <c r="I174" i="209" s="1"/>
  <c r="F43" i="338"/>
  <c r="F47" i="338" s="1"/>
  <c r="Q154" i="209" s="1"/>
  <c r="G18" i="195"/>
  <c r="G42" i="195" s="1"/>
  <c r="L296" i="246" s="1"/>
  <c r="Q559" i="209"/>
  <c r="N20" i="191"/>
  <c r="S390" i="209"/>
  <c r="L700" i="246"/>
  <c r="M700" i="246" s="1"/>
  <c r="D29" i="175"/>
  <c r="K436" i="246"/>
  <c r="P731" i="209"/>
  <c r="G23" i="58"/>
  <c r="E23" i="58"/>
  <c r="E23" i="229" s="1"/>
  <c r="Q522" i="209"/>
  <c r="E26" i="58"/>
  <c r="E26" i="229" s="1"/>
  <c r="N20" i="356"/>
  <c r="F44" i="105"/>
  <c r="Q82" i="209" s="1"/>
  <c r="J652" i="246"/>
  <c r="G18" i="338"/>
  <c r="G41" i="338" s="1"/>
  <c r="L214" i="209" s="1"/>
  <c r="F23" i="328"/>
  <c r="G45" i="16"/>
  <c r="L128" i="209" s="1"/>
  <c r="E46" i="344"/>
  <c r="E44" i="344"/>
  <c r="E18" i="344"/>
  <c r="M26" i="344"/>
  <c r="E43" i="344" s="1"/>
  <c r="E47" i="344" s="1"/>
  <c r="E45" i="344"/>
  <c r="N20" i="176"/>
  <c r="N20" i="97"/>
  <c r="N20" i="99"/>
  <c r="D44" i="176"/>
  <c r="O94" i="246" s="1"/>
  <c r="D18" i="176"/>
  <c r="O652" i="246"/>
  <c r="R748" i="209"/>
  <c r="G43" i="162"/>
  <c r="G47" i="162" s="1"/>
  <c r="R148" i="209" s="1"/>
  <c r="G44" i="355"/>
  <c r="G46" i="355"/>
  <c r="G45" i="355"/>
  <c r="O26" i="355"/>
  <c r="G43" i="355" s="1"/>
  <c r="G47" i="355" s="1"/>
  <c r="G18" i="355"/>
  <c r="F42" i="338"/>
  <c r="K274" i="209" s="1"/>
  <c r="F37" i="338"/>
  <c r="Q214" i="209" s="1"/>
  <c r="D412" i="209"/>
  <c r="U352" i="209"/>
  <c r="K714" i="246"/>
  <c r="K652" i="246"/>
  <c r="F45" i="176"/>
  <c r="K156" i="246" s="1"/>
  <c r="F44" i="176"/>
  <c r="Q94" i="246" s="1"/>
  <c r="D44" i="355"/>
  <c r="L26" i="355"/>
  <c r="D45" i="355"/>
  <c r="D18" i="355"/>
  <c r="D46" i="355"/>
  <c r="D44" i="296"/>
  <c r="R37" i="294" s="1"/>
  <c r="D46" i="296"/>
  <c r="K319" i="209"/>
  <c r="O679" i="209"/>
  <c r="M472" i="246"/>
  <c r="E28" i="175"/>
  <c r="G48" i="170"/>
  <c r="O20" i="146" s="1"/>
  <c r="Q652" i="246"/>
  <c r="F46" i="176"/>
  <c r="C11" i="292"/>
  <c r="L694" i="209"/>
  <c r="D30" i="58"/>
  <c r="D30" i="229" s="1"/>
  <c r="K462" i="209"/>
  <c r="D45" i="296"/>
  <c r="M56" i="294" s="1"/>
  <c r="E46" i="338"/>
  <c r="J634" i="209"/>
  <c r="J694" i="209"/>
  <c r="E44" i="338"/>
  <c r="P94" i="209" s="1"/>
  <c r="M26" i="338"/>
  <c r="P634" i="209"/>
  <c r="E45" i="338"/>
  <c r="J154" i="209" s="1"/>
  <c r="E18" i="338"/>
  <c r="H44" i="103"/>
  <c r="H48" i="103"/>
  <c r="K26" i="292"/>
  <c r="E44" i="355"/>
  <c r="M26" i="355"/>
  <c r="E43" i="355" s="1"/>
  <c r="E47" i="355" s="1"/>
  <c r="E18" i="355"/>
  <c r="E39" i="220"/>
  <c r="P54" i="209" s="1"/>
  <c r="E42" i="220"/>
  <c r="J294" i="209" s="1"/>
  <c r="E38" i="220"/>
  <c r="J54" i="209" s="1"/>
  <c r="E41" i="220"/>
  <c r="J234" i="209" s="1"/>
  <c r="E37" i="220"/>
  <c r="P234" i="209" s="1"/>
  <c r="E40" i="220"/>
  <c r="J114" i="209" s="1"/>
  <c r="J774" i="209"/>
  <c r="J36" i="36"/>
  <c r="J45" i="36" s="1"/>
  <c r="F44" i="289"/>
  <c r="T31" i="294" s="1"/>
  <c r="O126" i="294"/>
  <c r="F46" i="289"/>
  <c r="N26" i="289"/>
  <c r="F45" i="289"/>
  <c r="O50" i="294" s="1"/>
  <c r="F18" i="289"/>
  <c r="R12" i="30"/>
  <c r="R19" i="30" s="1"/>
  <c r="R14" i="100"/>
  <c r="R18" i="100" s="1"/>
  <c r="X47" i="100" s="1"/>
  <c r="O721" i="209"/>
  <c r="S721" i="209" s="1"/>
  <c r="O481" i="209"/>
  <c r="T12" i="155"/>
  <c r="T14" i="155" s="1"/>
  <c r="D15" i="154" s="1"/>
  <c r="P601" i="209"/>
  <c r="J481" i="209"/>
  <c r="J19" i="30"/>
  <c r="J23" i="30" s="1"/>
  <c r="H13" i="30"/>
  <c r="E13" i="30" s="1"/>
  <c r="M84" i="209"/>
  <c r="P12" i="213"/>
  <c r="P12" i="105"/>
  <c r="P12" i="214"/>
  <c r="E43" i="220"/>
  <c r="E47" i="220" s="1"/>
  <c r="P174" i="209" s="1"/>
  <c r="P774" i="209"/>
  <c r="F44" i="15"/>
  <c r="Q69" i="209" s="1"/>
  <c r="N26" i="15"/>
  <c r="F45" i="15"/>
  <c r="K129" i="209" s="1"/>
  <c r="X45" i="80"/>
  <c r="X47" i="80"/>
  <c r="X48" i="80"/>
  <c r="P18" i="214"/>
  <c r="S624" i="209"/>
  <c r="J582" i="209"/>
  <c r="G12" i="175"/>
  <c r="I12" i="292"/>
  <c r="H25" i="250"/>
  <c r="H39" i="250" s="1"/>
  <c r="P361" i="209"/>
  <c r="I609" i="209"/>
  <c r="I669" i="209"/>
  <c r="O609" i="209"/>
  <c r="T11" i="32"/>
  <c r="T13" i="32" s="1"/>
  <c r="R13" i="32"/>
  <c r="X46" i="80"/>
  <c r="R24" i="28"/>
  <c r="R27" i="28" s="1"/>
  <c r="R35" i="28" s="1"/>
  <c r="D43" i="213"/>
  <c r="D47" i="213" s="1"/>
  <c r="O143" i="209" s="1"/>
  <c r="P26" i="213"/>
  <c r="O743" i="209"/>
  <c r="S743" i="209" s="1"/>
  <c r="H37" i="247"/>
  <c r="S264" i="209"/>
  <c r="I15" i="292"/>
  <c r="O20" i="221"/>
  <c r="O20" i="220"/>
  <c r="O20" i="347"/>
  <c r="G15" i="95"/>
  <c r="F15" i="186"/>
  <c r="T11" i="28"/>
  <c r="L481" i="209"/>
  <c r="AA18" i="292"/>
  <c r="H30" i="250"/>
  <c r="Q301" i="209"/>
  <c r="J421" i="209"/>
  <c r="P541" i="209"/>
  <c r="O28" i="209"/>
  <c r="D39" i="162"/>
  <c r="I743" i="209"/>
  <c r="M743" i="209" s="1"/>
  <c r="H18" i="213"/>
  <c r="D37" i="213"/>
  <c r="O203" i="209" s="1"/>
  <c r="D42" i="213"/>
  <c r="I263" i="209" s="1"/>
  <c r="D41" i="213"/>
  <c r="I203" i="209" s="1"/>
  <c r="D40" i="213"/>
  <c r="I83" i="209" s="1"/>
  <c r="S657" i="209"/>
  <c r="P18" i="221"/>
  <c r="P18" i="347"/>
  <c r="P18" i="220"/>
  <c r="F14" i="185"/>
  <c r="F14" i="171" s="1"/>
  <c r="G14" i="156"/>
  <c r="G14" i="185" s="1"/>
  <c r="D38" i="162"/>
  <c r="I28" i="209"/>
  <c r="F48" i="173"/>
  <c r="N20" i="334" s="1"/>
  <c r="L559" i="246"/>
  <c r="R301" i="209"/>
  <c r="L421" i="209"/>
  <c r="P13" i="289"/>
  <c r="P13" i="288"/>
  <c r="P13" i="290"/>
  <c r="G41" i="191"/>
  <c r="L223" i="246" s="1"/>
  <c r="G37" i="191"/>
  <c r="R223" i="246" s="1"/>
  <c r="G40" i="191"/>
  <c r="L99" i="246" s="1"/>
  <c r="G38" i="191"/>
  <c r="L37" i="246" s="1"/>
  <c r="L781" i="246"/>
  <c r="G39" i="191"/>
  <c r="R37" i="246" s="1"/>
  <c r="E14" i="184"/>
  <c r="E14" i="171"/>
  <c r="D11" i="292"/>
  <c r="F24" i="328"/>
  <c r="P9" i="324"/>
  <c r="P9" i="325"/>
  <c r="E30" i="330"/>
  <c r="L522" i="209"/>
  <c r="F27" i="328"/>
  <c r="F12" i="328"/>
  <c r="G33" i="330"/>
  <c r="G33" i="58"/>
  <c r="G33" i="229" s="1"/>
  <c r="H33" i="44"/>
  <c r="K582" i="209"/>
  <c r="F48" i="44"/>
  <c r="L26" i="79"/>
  <c r="O759" i="209" s="1"/>
  <c r="D45" i="79"/>
  <c r="I159" i="209" s="1"/>
  <c r="D46" i="79"/>
  <c r="I462" i="209"/>
  <c r="E33" i="330"/>
  <c r="F32" i="58"/>
  <c r="F32" i="229" s="1"/>
  <c r="D11" i="18"/>
  <c r="I679" i="209" s="1"/>
  <c r="H31" i="18"/>
  <c r="H45" i="18" s="1"/>
  <c r="P17" i="10" s="1"/>
  <c r="F23" i="327"/>
  <c r="K392" i="209" s="1"/>
  <c r="O559" i="209"/>
  <c r="C24" i="330"/>
  <c r="E25" i="330"/>
  <c r="F23" i="330"/>
  <c r="D48" i="18"/>
  <c r="L20" i="16" s="1"/>
  <c r="G28" i="330"/>
  <c r="D31" i="327"/>
  <c r="H46" i="327" s="1"/>
  <c r="Q259" i="209"/>
  <c r="G37" i="16"/>
  <c r="R188" i="209" s="1"/>
  <c r="G41" i="16"/>
  <c r="L188" i="209" s="1"/>
  <c r="J435" i="246"/>
  <c r="J373" i="246"/>
  <c r="G32" i="174"/>
  <c r="H33" i="184"/>
  <c r="I559" i="246"/>
  <c r="J497" i="246"/>
  <c r="H26" i="184"/>
  <c r="H40" i="184" s="1"/>
  <c r="M125" i="246" s="1"/>
  <c r="P435" i="246"/>
  <c r="C32" i="174"/>
  <c r="E48" i="184"/>
  <c r="H32" i="171"/>
  <c r="M644" i="246" s="1"/>
  <c r="R435" i="246"/>
  <c r="E17" i="174"/>
  <c r="Q614" i="246"/>
  <c r="Q558" i="246"/>
  <c r="K434" i="246"/>
  <c r="H47" i="104"/>
  <c r="S157" i="246" s="1"/>
  <c r="P614" i="246"/>
  <c r="K372" i="246"/>
  <c r="L25" i="174"/>
  <c r="M71" i="246"/>
  <c r="P10" i="295"/>
  <c r="N20" i="295"/>
  <c r="P12" i="296"/>
  <c r="N20" i="333"/>
  <c r="C31" i="175"/>
  <c r="S302" i="246"/>
  <c r="S456" i="246"/>
  <c r="L702" i="246"/>
  <c r="R640" i="246"/>
  <c r="L640" i="246"/>
  <c r="G18" i="187"/>
  <c r="L764" i="246" s="1"/>
  <c r="L552" i="246"/>
  <c r="I622" i="246"/>
  <c r="D11" i="223"/>
  <c r="I704" i="246" s="1"/>
  <c r="G23" i="175"/>
  <c r="Q542" i="209"/>
  <c r="M450" i="209"/>
  <c r="Q422" i="209"/>
  <c r="K602" i="209"/>
  <c r="G24" i="175"/>
  <c r="H24" i="173"/>
  <c r="H38" i="173" s="1"/>
  <c r="P10" i="139" s="1"/>
  <c r="H29" i="228"/>
  <c r="H43" i="228" s="1"/>
  <c r="C26" i="175"/>
  <c r="L332" i="209"/>
  <c r="F48" i="228"/>
  <c r="N20" i="225" s="1"/>
  <c r="H32" i="327"/>
  <c r="M632" i="209" s="1"/>
  <c r="R392" i="209"/>
  <c r="H26" i="173"/>
  <c r="H40" i="173" s="1"/>
  <c r="P12" i="139" s="1"/>
  <c r="R512" i="209"/>
  <c r="C23" i="58"/>
  <c r="F29" i="330"/>
  <c r="R560" i="246"/>
  <c r="E28" i="58"/>
  <c r="E28" i="229" s="1"/>
  <c r="I702" i="246"/>
  <c r="K379" i="209"/>
  <c r="R499" i="209"/>
  <c r="D26" i="175"/>
  <c r="R362" i="209"/>
  <c r="G24" i="328"/>
  <c r="H24" i="328" s="1"/>
  <c r="H38" i="328" s="1"/>
  <c r="C23" i="175"/>
  <c r="E26" i="175"/>
  <c r="H28" i="170"/>
  <c r="H42" i="170" s="1"/>
  <c r="P14" i="151" s="1"/>
  <c r="L498" i="246"/>
  <c r="E26" i="327"/>
  <c r="G18" i="105"/>
  <c r="O310" i="246"/>
  <c r="L439" i="209"/>
  <c r="C32" i="330"/>
  <c r="O282" i="209"/>
  <c r="H33" i="18"/>
  <c r="K499" i="209"/>
  <c r="P25" i="184"/>
  <c r="K366" i="246"/>
  <c r="H47" i="226"/>
  <c r="S178" i="246" s="1"/>
  <c r="F18" i="139"/>
  <c r="F41" i="139" s="1"/>
  <c r="K207" i="246" s="1"/>
  <c r="E18" i="101"/>
  <c r="E44" i="101"/>
  <c r="P93" i="246" s="1"/>
  <c r="E45" i="101"/>
  <c r="J155" i="246" s="1"/>
  <c r="E46" i="101"/>
  <c r="J713" i="246"/>
  <c r="F39" i="101"/>
  <c r="Q31" i="246" s="1"/>
  <c r="K775" i="246"/>
  <c r="F40" i="101"/>
  <c r="K93" i="246" s="1"/>
  <c r="F38" i="101"/>
  <c r="K31" i="246" s="1"/>
  <c r="F42" i="101"/>
  <c r="K279" i="246" s="1"/>
  <c r="F37" i="101"/>
  <c r="Q217" i="246" s="1"/>
  <c r="F41" i="101"/>
  <c r="K217" i="246" s="1"/>
  <c r="F44" i="219"/>
  <c r="Q105" i="209" s="1"/>
  <c r="F45" i="219"/>
  <c r="K165" i="209" s="1"/>
  <c r="F46" i="219"/>
  <c r="E45" i="293"/>
  <c r="N53" i="294" s="1"/>
  <c r="E44" i="293"/>
  <c r="S34" i="294" s="1"/>
  <c r="E18" i="293"/>
  <c r="E46" i="293"/>
  <c r="N129" i="294"/>
  <c r="M26" i="293"/>
  <c r="E43" i="293" s="1"/>
  <c r="E47" i="293" s="1"/>
  <c r="S53" i="294" s="1"/>
  <c r="F18" i="165"/>
  <c r="K699" i="246"/>
  <c r="K637" i="246"/>
  <c r="F44" i="165"/>
  <c r="Q79" i="246" s="1"/>
  <c r="F46" i="165"/>
  <c r="Q637" i="246"/>
  <c r="F45" i="165"/>
  <c r="K141" i="246" s="1"/>
  <c r="N26" i="165"/>
  <c r="F43" i="165" s="1"/>
  <c r="F47" i="165" s="1"/>
  <c r="Q141" i="246" s="1"/>
  <c r="O26" i="219"/>
  <c r="L705" i="209"/>
  <c r="M705" i="209" s="1"/>
  <c r="G45" i="219"/>
  <c r="L165" i="209" s="1"/>
  <c r="G44" i="219"/>
  <c r="R105" i="209" s="1"/>
  <c r="G46" i="219"/>
  <c r="L645" i="209"/>
  <c r="G18" i="219"/>
  <c r="R645" i="209"/>
  <c r="C23" i="330"/>
  <c r="O637" i="246"/>
  <c r="D45" i="165"/>
  <c r="I141" i="246" s="1"/>
  <c r="K640" i="246"/>
  <c r="E24" i="327"/>
  <c r="J392" i="209" s="1"/>
  <c r="F27" i="330"/>
  <c r="R462" i="209"/>
  <c r="E12" i="174"/>
  <c r="P748" i="246" s="1"/>
  <c r="F30" i="175"/>
  <c r="D48" i="231"/>
  <c r="O26" i="105"/>
  <c r="F45" i="187"/>
  <c r="K144" i="246" s="1"/>
  <c r="C29" i="174"/>
  <c r="P620" i="246"/>
  <c r="H23" i="18"/>
  <c r="I10" i="292" s="1"/>
  <c r="G32" i="58"/>
  <c r="G32" i="229" s="1"/>
  <c r="L699" i="246"/>
  <c r="R637" i="246"/>
  <c r="O26" i="165"/>
  <c r="G43" i="165" s="1"/>
  <c r="G47" i="165" s="1"/>
  <c r="R141" i="246" s="1"/>
  <c r="G44" i="165"/>
  <c r="R79" i="246" s="1"/>
  <c r="L637" i="246"/>
  <c r="E46" i="219"/>
  <c r="J645" i="209"/>
  <c r="E18" i="219"/>
  <c r="P645" i="209"/>
  <c r="E45" i="219"/>
  <c r="J165" i="209" s="1"/>
  <c r="M26" i="219"/>
  <c r="J705" i="209"/>
  <c r="E44" i="219"/>
  <c r="P105" i="209" s="1"/>
  <c r="M129" i="294"/>
  <c r="D18" i="293"/>
  <c r="D45" i="293"/>
  <c r="M53" i="294" s="1"/>
  <c r="L26" i="293"/>
  <c r="D44" i="293"/>
  <c r="R34" i="294" s="1"/>
  <c r="D46" i="293"/>
  <c r="K20" i="164"/>
  <c r="G35" i="164"/>
  <c r="I96" i="209" s="1"/>
  <c r="G33" i="164"/>
  <c r="I36" i="209" s="1"/>
  <c r="G34" i="164"/>
  <c r="O36" i="209" s="1"/>
  <c r="J629" i="209"/>
  <c r="E18" i="216"/>
  <c r="R259" i="209"/>
  <c r="H29" i="173"/>
  <c r="H47" i="173" s="1"/>
  <c r="P19" i="166" s="1"/>
  <c r="R379" i="209"/>
  <c r="N130" i="294"/>
  <c r="E46" i="349"/>
  <c r="M26" i="349"/>
  <c r="E43" i="349" s="1"/>
  <c r="E47" i="349" s="1"/>
  <c r="S54" i="294" s="1"/>
  <c r="E44" i="349"/>
  <c r="S35" i="294" s="1"/>
  <c r="E45" i="349"/>
  <c r="N54" i="294" s="1"/>
  <c r="E18" i="349"/>
  <c r="F11" i="223"/>
  <c r="M35" i="292" s="1"/>
  <c r="F33" i="330"/>
  <c r="F44" i="91"/>
  <c r="Q70" i="246" s="1"/>
  <c r="E32" i="330"/>
  <c r="F29" i="58"/>
  <c r="F29" i="229" s="1"/>
  <c r="K572" i="209"/>
  <c r="L319" i="209"/>
  <c r="L392" i="209"/>
  <c r="G26" i="58"/>
  <c r="G26" i="229" s="1"/>
  <c r="R496" i="246"/>
  <c r="P11" i="279"/>
  <c r="M290" i="209"/>
  <c r="D44" i="187"/>
  <c r="O82" i="246" s="1"/>
  <c r="J428" i="246"/>
  <c r="D44" i="165"/>
  <c r="O79" i="246" s="1"/>
  <c r="I496" i="246"/>
  <c r="G32" i="330"/>
  <c r="E10" i="292"/>
  <c r="F32" i="330"/>
  <c r="I33" i="164"/>
  <c r="K36" i="209" s="1"/>
  <c r="K703" i="246"/>
  <c r="E46" i="139"/>
  <c r="E45" i="139"/>
  <c r="J145" i="246" s="1"/>
  <c r="J641" i="246"/>
  <c r="P641" i="246"/>
  <c r="J703" i="246"/>
  <c r="E44" i="139"/>
  <c r="P83" i="246" s="1"/>
  <c r="E18" i="139"/>
  <c r="M26" i="139"/>
  <c r="E43" i="139" s="1"/>
  <c r="E47" i="139" s="1"/>
  <c r="P145" i="246" s="1"/>
  <c r="M26" i="307"/>
  <c r="J678" i="246"/>
  <c r="E45" i="295"/>
  <c r="N55" i="294" s="1"/>
  <c r="M26" i="295"/>
  <c r="E43" i="295" s="1"/>
  <c r="E47" i="295" s="1"/>
  <c r="S55" i="294" s="1"/>
  <c r="E44" i="295"/>
  <c r="S36" i="294" s="1"/>
  <c r="E18" i="295"/>
  <c r="N131" i="294"/>
  <c r="E46" i="295"/>
  <c r="M130" i="294"/>
  <c r="D46" i="349"/>
  <c r="D45" i="349"/>
  <c r="M54" i="294" s="1"/>
  <c r="L26" i="349"/>
  <c r="D43" i="349" s="1"/>
  <c r="D47" i="349" s="1"/>
  <c r="R54" i="294" s="1"/>
  <c r="D44" i="349"/>
  <c r="R35" i="294" s="1"/>
  <c r="D18" i="349"/>
  <c r="M26" i="215"/>
  <c r="E46" i="215"/>
  <c r="J31" i="292"/>
  <c r="M348" i="246"/>
  <c r="H32" i="18"/>
  <c r="M619" i="209" s="1"/>
  <c r="N26" i="139"/>
  <c r="F43" i="139" s="1"/>
  <c r="F47" i="139" s="1"/>
  <c r="Q145" i="246" s="1"/>
  <c r="Q641" i="246"/>
  <c r="F18" i="187"/>
  <c r="F39" i="187" s="1"/>
  <c r="Q20" i="246" s="1"/>
  <c r="J379" i="209"/>
  <c r="K559" i="209"/>
  <c r="F48" i="18"/>
  <c r="N20" i="10" s="1"/>
  <c r="E33" i="327"/>
  <c r="P11" i="191"/>
  <c r="H23" i="173"/>
  <c r="H37" i="173" s="1"/>
  <c r="P14" i="345"/>
  <c r="O20" i="356"/>
  <c r="G29" i="175"/>
  <c r="M550" i="246"/>
  <c r="O640" i="246"/>
  <c r="L622" i="209"/>
  <c r="D46" i="165"/>
  <c r="H32" i="184"/>
  <c r="M683" i="246" s="1"/>
  <c r="F30" i="330"/>
  <c r="D18" i="139"/>
  <c r="D44" i="139"/>
  <c r="O83" i="246" s="1"/>
  <c r="I703" i="246"/>
  <c r="M703" i="246" s="1"/>
  <c r="E42" i="165"/>
  <c r="J265" i="246" s="1"/>
  <c r="E41" i="165"/>
  <c r="J203" i="246" s="1"/>
  <c r="E38" i="165"/>
  <c r="J17" i="246" s="1"/>
  <c r="D45" i="307"/>
  <c r="I182" i="246" s="1"/>
  <c r="O678" i="246"/>
  <c r="D46" i="307"/>
  <c r="I740" i="246"/>
  <c r="D44" i="307"/>
  <c r="O120" i="246" s="1"/>
  <c r="D18" i="307"/>
  <c r="I678" i="246"/>
  <c r="N26" i="360"/>
  <c r="F43" i="360" s="1"/>
  <c r="F47" i="360" s="1"/>
  <c r="T59" i="294" s="1"/>
  <c r="F45" i="360"/>
  <c r="O59" i="294" s="1"/>
  <c r="F46" i="360"/>
  <c r="F44" i="360"/>
  <c r="T40" i="294" s="1"/>
  <c r="F18" i="360"/>
  <c r="O135" i="294"/>
  <c r="G44" i="295"/>
  <c r="U36" i="294" s="1"/>
  <c r="G18" i="295"/>
  <c r="Q639" i="209"/>
  <c r="F46" i="79"/>
  <c r="K639" i="209"/>
  <c r="F45" i="79"/>
  <c r="K159" i="209" s="1"/>
  <c r="N26" i="79"/>
  <c r="F44" i="79"/>
  <c r="Q99" i="209" s="1"/>
  <c r="K699" i="209"/>
  <c r="F46" i="349"/>
  <c r="F18" i="349"/>
  <c r="F44" i="349"/>
  <c r="T35" i="294" s="1"/>
  <c r="F43" i="9"/>
  <c r="F47" i="9" s="1"/>
  <c r="Q136" i="209" s="1"/>
  <c r="Q736" i="209"/>
  <c r="R629" i="209"/>
  <c r="L629" i="209"/>
  <c r="G44" i="216"/>
  <c r="R89" i="209" s="1"/>
  <c r="D45" i="216"/>
  <c r="I149" i="209" s="1"/>
  <c r="D18" i="216"/>
  <c r="D44" i="216"/>
  <c r="O89" i="209" s="1"/>
  <c r="L26" i="216"/>
  <c r="D46" i="216"/>
  <c r="O629" i="209"/>
  <c r="I629" i="209"/>
  <c r="I689" i="209"/>
  <c r="E24" i="58"/>
  <c r="E24" i="229" s="1"/>
  <c r="H25" i="173"/>
  <c r="H39" i="173" s="1"/>
  <c r="P11" i="139" s="1"/>
  <c r="E24" i="175"/>
  <c r="H35" i="164"/>
  <c r="J96" i="209" s="1"/>
  <c r="H34" i="164"/>
  <c r="P36" i="209" s="1"/>
  <c r="H33" i="164"/>
  <c r="J36" i="209" s="1"/>
  <c r="E32" i="58"/>
  <c r="E32" i="229" s="1"/>
  <c r="K439" i="209"/>
  <c r="L499" i="209"/>
  <c r="G24" i="330"/>
  <c r="S348" i="246"/>
  <c r="S38" i="246"/>
  <c r="L542" i="209"/>
  <c r="I640" i="246"/>
  <c r="R622" i="209"/>
  <c r="D18" i="165"/>
  <c r="D41" i="165" s="1"/>
  <c r="I203" i="246" s="1"/>
  <c r="D30" i="330"/>
  <c r="H30" i="170"/>
  <c r="H44" i="170" s="1"/>
  <c r="P16" i="178" s="1"/>
  <c r="M590" i="209"/>
  <c r="G46" i="13"/>
  <c r="F44" i="139"/>
  <c r="Q83" i="246" s="1"/>
  <c r="R678" i="246"/>
  <c r="L740" i="246"/>
  <c r="L678" i="246"/>
  <c r="G46" i="307"/>
  <c r="O26" i="307"/>
  <c r="G45" i="307"/>
  <c r="L182" i="246" s="1"/>
  <c r="G44" i="307"/>
  <c r="R120" i="246" s="1"/>
  <c r="G18" i="307"/>
  <c r="M26" i="360"/>
  <c r="E43" i="360" s="1"/>
  <c r="E47" i="360" s="1"/>
  <c r="S59" i="294" s="1"/>
  <c r="E45" i="360"/>
  <c r="N59" i="294" s="1"/>
  <c r="N135" i="294"/>
  <c r="E44" i="360"/>
  <c r="S40" i="294" s="1"/>
  <c r="E18" i="360"/>
  <c r="E46" i="360"/>
  <c r="S332" i="246"/>
  <c r="H39" i="223"/>
  <c r="S22" i="246" s="1"/>
  <c r="L26" i="295"/>
  <c r="D43" i="295" s="1"/>
  <c r="D47" i="295" s="1"/>
  <c r="R55" i="294" s="1"/>
  <c r="D44" i="295"/>
  <c r="R36" i="294" s="1"/>
  <c r="D45" i="295"/>
  <c r="M55" i="294" s="1"/>
  <c r="D46" i="295"/>
  <c r="M131" i="294"/>
  <c r="D18" i="295"/>
  <c r="E44" i="79"/>
  <c r="P99" i="209" s="1"/>
  <c r="E46" i="79"/>
  <c r="G46" i="349"/>
  <c r="P130" i="294"/>
  <c r="D18" i="215"/>
  <c r="D45" i="215"/>
  <c r="I146" i="209" s="1"/>
  <c r="I626" i="209"/>
  <c r="I686" i="209"/>
  <c r="M686" i="209" s="1"/>
  <c r="O626" i="209"/>
  <c r="D46" i="215"/>
  <c r="L26" i="215"/>
  <c r="D44" i="215"/>
  <c r="O86" i="209" s="1"/>
  <c r="D45" i="187"/>
  <c r="I144" i="246" s="1"/>
  <c r="I34" i="164"/>
  <c r="Q36" i="209" s="1"/>
  <c r="M20" i="99"/>
  <c r="M20" i="101"/>
  <c r="M20" i="359"/>
  <c r="N20" i="91"/>
  <c r="N21" i="313"/>
  <c r="O439" i="209"/>
  <c r="L379" i="209"/>
  <c r="M470" i="209"/>
  <c r="F23" i="175"/>
  <c r="S450" i="209"/>
  <c r="I637" i="246"/>
  <c r="H33" i="84"/>
  <c r="S494" i="246"/>
  <c r="P496" i="246"/>
  <c r="H38" i="186"/>
  <c r="M38" i="246" s="1"/>
  <c r="C33" i="330"/>
  <c r="P26" i="353"/>
  <c r="F46" i="139"/>
  <c r="F24" i="175"/>
  <c r="H28" i="228"/>
  <c r="H42" i="228" s="1"/>
  <c r="M302" i="209" s="1"/>
  <c r="D44" i="192"/>
  <c r="O74" i="246" s="1"/>
  <c r="D45" i="192"/>
  <c r="I136" i="246" s="1"/>
  <c r="F40" i="295"/>
  <c r="J55" i="294" s="1"/>
  <c r="F41" i="295"/>
  <c r="F42" i="295"/>
  <c r="F39" i="295"/>
  <c r="O36" i="294" s="1"/>
  <c r="T131" i="294"/>
  <c r="F37" i="295"/>
  <c r="J36" i="294" s="1"/>
  <c r="F38" i="295"/>
  <c r="T17" i="294" s="1"/>
  <c r="O17" i="294"/>
  <c r="J17" i="294"/>
  <c r="F45" i="307"/>
  <c r="K182" i="246" s="1"/>
  <c r="F18" i="307"/>
  <c r="F46" i="307"/>
  <c r="K740" i="246"/>
  <c r="I699" i="209"/>
  <c r="I639" i="209"/>
  <c r="O26" i="293"/>
  <c r="G43" i="293" s="1"/>
  <c r="G47" i="293" s="1"/>
  <c r="U53" i="294" s="1"/>
  <c r="P129" i="294"/>
  <c r="G18" i="293"/>
  <c r="G44" i="293"/>
  <c r="U34" i="294" s="1"/>
  <c r="G46" i="293"/>
  <c r="K689" i="209"/>
  <c r="F46" i="216"/>
  <c r="Q629" i="209"/>
  <c r="K629" i="209"/>
  <c r="N26" i="216"/>
  <c r="F44" i="216"/>
  <c r="Q89" i="209" s="1"/>
  <c r="N34" i="36"/>
  <c r="R32" i="36"/>
  <c r="R34" i="36" s="1"/>
  <c r="K626" i="209"/>
  <c r="F46" i="215"/>
  <c r="K686" i="209"/>
  <c r="F45" i="215"/>
  <c r="K146" i="209" s="1"/>
  <c r="N26" i="215"/>
  <c r="F44" i="215"/>
  <c r="Q86" i="209" s="1"/>
  <c r="Q626" i="209"/>
  <c r="R498" i="246"/>
  <c r="H28" i="184"/>
  <c r="H42" i="184" s="1"/>
  <c r="M311" i="246" s="1"/>
  <c r="M494" i="246"/>
  <c r="T21" i="29"/>
  <c r="T22" i="29" s="1"/>
  <c r="J40" i="29" s="1"/>
  <c r="P9" i="359"/>
  <c r="S761" i="209"/>
  <c r="V222" i="209"/>
  <c r="C282" i="209"/>
  <c r="I668" i="246"/>
  <c r="G44" i="284"/>
  <c r="R76" i="246" s="1"/>
  <c r="P9" i="156"/>
  <c r="D21" i="39"/>
  <c r="L23" i="39" s="1"/>
  <c r="P9" i="284"/>
  <c r="O26" i="188"/>
  <c r="G43" i="188" s="1"/>
  <c r="G47" i="188" s="1"/>
  <c r="R168" i="246" s="1"/>
  <c r="R664" i="246"/>
  <c r="L726" i="246"/>
  <c r="L664" i="246"/>
  <c r="G46" i="188"/>
  <c r="G45" i="188"/>
  <c r="L168" i="246" s="1"/>
  <c r="G44" i="188"/>
  <c r="R106" i="246" s="1"/>
  <c r="H35" i="328"/>
  <c r="H21" i="328"/>
  <c r="X46" i="129"/>
  <c r="X44" i="129"/>
  <c r="X47" i="129"/>
  <c r="X50" i="129"/>
  <c r="X43" i="129"/>
  <c r="X42" i="129"/>
  <c r="X45" i="129"/>
  <c r="X49" i="129"/>
  <c r="X48" i="129"/>
  <c r="D7" i="39"/>
  <c r="D18" i="195"/>
  <c r="D42" i="195" s="1"/>
  <c r="I296" i="246" s="1"/>
  <c r="M510" i="209"/>
  <c r="P9" i="192"/>
  <c r="D7" i="123"/>
  <c r="P9" i="288"/>
  <c r="P9" i="290"/>
  <c r="P9" i="289"/>
  <c r="D43" i="288"/>
  <c r="D47" i="288" s="1"/>
  <c r="R49" i="294" s="1"/>
  <c r="D35" i="279"/>
  <c r="K428" i="246"/>
  <c r="H47" i="291"/>
  <c r="H43" i="291"/>
  <c r="F43" i="125"/>
  <c r="F47" i="125" s="1"/>
  <c r="Q133" i="209" s="1"/>
  <c r="Q733" i="209"/>
  <c r="D21" i="279"/>
  <c r="L23" i="279" s="1"/>
  <c r="F27" i="174"/>
  <c r="O728" i="209"/>
  <c r="F18" i="141"/>
  <c r="F41" i="141" s="1"/>
  <c r="K232" i="246" s="1"/>
  <c r="E39" i="290"/>
  <c r="N32" i="294" s="1"/>
  <c r="S127" i="294"/>
  <c r="E42" i="290"/>
  <c r="N70" i="294" s="1"/>
  <c r="E38" i="290"/>
  <c r="S13" i="294" s="1"/>
  <c r="N13" i="294"/>
  <c r="E41" i="290"/>
  <c r="I70" i="294" s="1"/>
  <c r="I13" i="294"/>
  <c r="E40" i="290"/>
  <c r="I51" i="294" s="1"/>
  <c r="E37" i="290"/>
  <c r="I32" i="294" s="1"/>
  <c r="D21" i="123"/>
  <c r="L23" i="123" s="1"/>
  <c r="L25" i="175"/>
  <c r="R767" i="209"/>
  <c r="S410" i="209"/>
  <c r="E48" i="173"/>
  <c r="M20" i="334" s="1"/>
  <c r="S596" i="246"/>
  <c r="T19" i="161"/>
  <c r="J30" i="161" s="1"/>
  <c r="G43" i="216"/>
  <c r="G47" i="216" s="1"/>
  <c r="R149" i="209" s="1"/>
  <c r="R749" i="209"/>
  <c r="D35" i="183"/>
  <c r="D7" i="183"/>
  <c r="H26" i="44"/>
  <c r="H40" i="44" s="1"/>
  <c r="Q462" i="209"/>
  <c r="N11" i="292"/>
  <c r="G24" i="58"/>
  <c r="D30" i="328"/>
  <c r="H30" i="328" s="1"/>
  <c r="H44" i="328" s="1"/>
  <c r="F30" i="58"/>
  <c r="E13" i="292" s="1"/>
  <c r="H24" i="44"/>
  <c r="H38" i="44" s="1"/>
  <c r="Q582" i="209"/>
  <c r="L402" i="209"/>
  <c r="E11" i="292"/>
  <c r="C32" i="58"/>
  <c r="C32" i="229" s="1"/>
  <c r="R522" i="209"/>
  <c r="H30" i="44"/>
  <c r="K11" i="292" s="1"/>
  <c r="H46" i="44"/>
  <c r="P18" i="39" s="1"/>
  <c r="F30" i="328"/>
  <c r="F16" i="58"/>
  <c r="F16" i="229" s="1"/>
  <c r="G16" i="330"/>
  <c r="F16" i="330"/>
  <c r="F13" i="58"/>
  <c r="F13" i="229" s="1"/>
  <c r="F13" i="330"/>
  <c r="G28" i="327"/>
  <c r="H28" i="327" s="1"/>
  <c r="H42" i="327" s="1"/>
  <c r="M272" i="209" s="1"/>
  <c r="D28" i="58"/>
  <c r="I319" i="209"/>
  <c r="D24" i="330"/>
  <c r="O319" i="209"/>
  <c r="D25" i="327"/>
  <c r="O332" i="209" s="1"/>
  <c r="H28" i="18"/>
  <c r="H42" i="18" s="1"/>
  <c r="P14" i="10" s="1"/>
  <c r="H46" i="18"/>
  <c r="P18" i="13" s="1"/>
  <c r="D29" i="58"/>
  <c r="D29" i="229" s="1"/>
  <c r="G26" i="330"/>
  <c r="D24" i="327"/>
  <c r="E31" i="330"/>
  <c r="L572" i="209"/>
  <c r="P379" i="209"/>
  <c r="H24" i="18"/>
  <c r="M319" i="209" s="1"/>
  <c r="L25" i="58"/>
  <c r="L25" i="229" s="1"/>
  <c r="F12" i="330"/>
  <c r="Q732" i="209"/>
  <c r="F43" i="13"/>
  <c r="F47" i="13" s="1"/>
  <c r="Q132" i="209" s="1"/>
  <c r="L612" i="209"/>
  <c r="G17" i="58"/>
  <c r="G17" i="229" s="1"/>
  <c r="G17" i="327"/>
  <c r="J559" i="209"/>
  <c r="P25" i="18"/>
  <c r="P499" i="209"/>
  <c r="J319" i="209"/>
  <c r="G31" i="58"/>
  <c r="J499" i="209"/>
  <c r="G31" i="330"/>
  <c r="D24" i="58"/>
  <c r="E31" i="58"/>
  <c r="E31" i="229" s="1"/>
  <c r="I499" i="209"/>
  <c r="P559" i="209"/>
  <c r="D25" i="330"/>
  <c r="I379" i="209"/>
  <c r="O379" i="209"/>
  <c r="D29" i="330"/>
  <c r="H25" i="18"/>
  <c r="S319" i="209" s="1"/>
  <c r="G12" i="327"/>
  <c r="R692" i="209" s="1"/>
  <c r="S692" i="209" s="1"/>
  <c r="R439" i="209"/>
  <c r="R679" i="209"/>
  <c r="P16" i="295"/>
  <c r="I620" i="246"/>
  <c r="P17" i="118"/>
  <c r="M157" i="246"/>
  <c r="P17" i="271"/>
  <c r="P17" i="99"/>
  <c r="M467" i="246"/>
  <c r="P17" i="176"/>
  <c r="H47" i="361"/>
  <c r="P19" i="296" s="1"/>
  <c r="D27" i="174"/>
  <c r="E33" i="174"/>
  <c r="C27" i="174"/>
  <c r="G13" i="174"/>
  <c r="L373" i="246"/>
  <c r="M410" i="246"/>
  <c r="G48" i="184"/>
  <c r="H24" i="184"/>
  <c r="H38" i="184" s="1"/>
  <c r="M63" i="246" s="1"/>
  <c r="E26" i="174"/>
  <c r="F48" i="184"/>
  <c r="Q559" i="246"/>
  <c r="Q582" i="246"/>
  <c r="R559" i="246"/>
  <c r="J458" i="246"/>
  <c r="K582" i="246"/>
  <c r="P582" i="246"/>
  <c r="G16" i="174"/>
  <c r="F13" i="174"/>
  <c r="H26" i="171"/>
  <c r="H40" i="171" s="1"/>
  <c r="P12" i="228" s="1"/>
  <c r="F25" i="174"/>
  <c r="H46" i="184"/>
  <c r="S683" i="246" s="1"/>
  <c r="G26" i="174"/>
  <c r="G45" i="284"/>
  <c r="L138" i="246" s="1"/>
  <c r="O26" i="284"/>
  <c r="G43" i="284" s="1"/>
  <c r="G47" i="284" s="1"/>
  <c r="R138" i="246" s="1"/>
  <c r="L634" i="246"/>
  <c r="G46" i="284"/>
  <c r="R634" i="246"/>
  <c r="O372" i="246"/>
  <c r="P25" i="172"/>
  <c r="O25" i="174"/>
  <c r="I558" i="246"/>
  <c r="F32" i="174"/>
  <c r="O434" i="246"/>
  <c r="L366" i="246"/>
  <c r="G17" i="174"/>
  <c r="P19" i="313"/>
  <c r="P18" i="270"/>
  <c r="P18" i="91"/>
  <c r="P498" i="246"/>
  <c r="O304" i="246"/>
  <c r="E27" i="174"/>
  <c r="K374" i="246"/>
  <c r="H23" i="231"/>
  <c r="H37" i="231" s="1"/>
  <c r="S250" i="246" s="1"/>
  <c r="R436" i="246"/>
  <c r="D31" i="174"/>
  <c r="D48" i="172"/>
  <c r="L20" i="226" s="1"/>
  <c r="P37" i="292"/>
  <c r="L374" i="246"/>
  <c r="Q490" i="246"/>
  <c r="F26" i="175"/>
  <c r="E30" i="174"/>
  <c r="H44" i="226"/>
  <c r="S116" i="246" s="1"/>
  <c r="H37" i="226"/>
  <c r="S240" i="246" s="1"/>
  <c r="H32" i="172"/>
  <c r="M676" i="246" s="1"/>
  <c r="I582" i="246"/>
  <c r="D48" i="171"/>
  <c r="L20" i="223" s="1"/>
  <c r="C23" i="174"/>
  <c r="O767" i="209"/>
  <c r="D43" i="353"/>
  <c r="D47" i="353" s="1"/>
  <c r="O167" i="209" s="1"/>
  <c r="L602" i="209"/>
  <c r="P21" i="292"/>
  <c r="H24" i="228"/>
  <c r="M362" i="209" s="1"/>
  <c r="P25" i="327"/>
  <c r="G17" i="175"/>
  <c r="E37" i="156"/>
  <c r="P197" i="246" s="1"/>
  <c r="E39" i="156"/>
  <c r="P11" i="246" s="1"/>
  <c r="J755" i="246"/>
  <c r="E38" i="156"/>
  <c r="J11" i="246" s="1"/>
  <c r="E40" i="156"/>
  <c r="J73" i="246" s="1"/>
  <c r="E42" i="156"/>
  <c r="J259" i="246" s="1"/>
  <c r="E41" i="156"/>
  <c r="J197" i="246" s="1"/>
  <c r="G48" i="231"/>
  <c r="H31" i="231"/>
  <c r="H45" i="231" s="1"/>
  <c r="M188" i="246" s="1"/>
  <c r="H46" i="231"/>
  <c r="S684" i="246" s="1"/>
  <c r="D43" i="360"/>
  <c r="D47" i="360" s="1"/>
  <c r="R59" i="294" s="1"/>
  <c r="G44" i="11"/>
  <c r="R74" i="209" s="1"/>
  <c r="R614" i="209"/>
  <c r="L614" i="209"/>
  <c r="O26" i="11"/>
  <c r="G45" i="11"/>
  <c r="L134" i="209" s="1"/>
  <c r="G46" i="11"/>
  <c r="L674" i="209"/>
  <c r="D28" i="328"/>
  <c r="H28" i="328" s="1"/>
  <c r="H42" i="328" s="1"/>
  <c r="D28" i="330"/>
  <c r="F28" i="327"/>
  <c r="F28" i="330"/>
  <c r="C30" i="328"/>
  <c r="C30" i="330"/>
  <c r="E29" i="58"/>
  <c r="E29" i="229" s="1"/>
  <c r="E29" i="330"/>
  <c r="E29" i="328"/>
  <c r="E48" i="328" s="1"/>
  <c r="E48" i="44"/>
  <c r="M20" i="337" s="1"/>
  <c r="N10" i="292"/>
  <c r="F12" i="327"/>
  <c r="Q679" i="209"/>
  <c r="F12" i="58"/>
  <c r="F12" i="229" s="1"/>
  <c r="N24" i="292" s="1"/>
  <c r="Q439" i="209"/>
  <c r="D26" i="328"/>
  <c r="H26" i="328" s="1"/>
  <c r="H40" i="328" s="1"/>
  <c r="D26" i="330"/>
  <c r="D26" i="58"/>
  <c r="D26" i="229" s="1"/>
  <c r="G48" i="18"/>
  <c r="O20" i="6" s="1"/>
  <c r="G29" i="330"/>
  <c r="G29" i="58"/>
  <c r="G29" i="229" s="1"/>
  <c r="L559" i="209"/>
  <c r="G27" i="330"/>
  <c r="G27" i="327"/>
  <c r="H27" i="327" s="1"/>
  <c r="H41" i="327" s="1"/>
  <c r="M212" i="209" s="1"/>
  <c r="G27" i="58"/>
  <c r="G27" i="229" s="1"/>
  <c r="D32" i="330"/>
  <c r="H32" i="44"/>
  <c r="M642" i="209" s="1"/>
  <c r="D32" i="58"/>
  <c r="D32" i="229" s="1"/>
  <c r="C31" i="327"/>
  <c r="C31" i="330"/>
  <c r="F46" i="190"/>
  <c r="N26" i="190"/>
  <c r="F43" i="190" s="1"/>
  <c r="F47" i="190" s="1"/>
  <c r="Q137" i="246" s="1"/>
  <c r="K695" i="246"/>
  <c r="F45" i="190"/>
  <c r="K137" i="246" s="1"/>
  <c r="F44" i="190"/>
  <c r="Q75" i="246" s="1"/>
  <c r="F18" i="190"/>
  <c r="F38" i="190" s="1"/>
  <c r="K13" i="246" s="1"/>
  <c r="K633" i="246"/>
  <c r="L610" i="209"/>
  <c r="G45" i="14"/>
  <c r="L130" i="209" s="1"/>
  <c r="G44" i="14"/>
  <c r="R70" i="209" s="1"/>
  <c r="G46" i="14"/>
  <c r="R610" i="209"/>
  <c r="L670" i="209"/>
  <c r="O26" i="14"/>
  <c r="G11" i="18"/>
  <c r="G18" i="14"/>
  <c r="L26" i="146"/>
  <c r="D44" i="146"/>
  <c r="O112" i="246" s="1"/>
  <c r="D46" i="146"/>
  <c r="D18" i="146"/>
  <c r="D37" i="146" s="1"/>
  <c r="O236" i="246" s="1"/>
  <c r="D45" i="146"/>
  <c r="I174" i="246" s="1"/>
  <c r="O670" i="246"/>
  <c r="I732" i="246"/>
  <c r="J718" i="246"/>
  <c r="E18" i="95"/>
  <c r="E11" i="186"/>
  <c r="M26" i="95"/>
  <c r="J656" i="246"/>
  <c r="E46" i="95"/>
  <c r="E44" i="95"/>
  <c r="P98" i="246" s="1"/>
  <c r="P656" i="246"/>
  <c r="E45" i="95"/>
  <c r="J160" i="246" s="1"/>
  <c r="M20" i="345"/>
  <c r="M20" i="356"/>
  <c r="R745" i="246"/>
  <c r="S745" i="246" s="1"/>
  <c r="R497" i="246"/>
  <c r="S472" i="246"/>
  <c r="L26" i="162"/>
  <c r="I628" i="209"/>
  <c r="I688" i="209"/>
  <c r="M688" i="209" s="1"/>
  <c r="D45" i="162"/>
  <c r="I148" i="209" s="1"/>
  <c r="D44" i="162"/>
  <c r="O88" i="209" s="1"/>
  <c r="D46" i="162"/>
  <c r="D18" i="162"/>
  <c r="O628" i="209"/>
  <c r="AA11" i="292"/>
  <c r="E30" i="328"/>
  <c r="P582" i="209"/>
  <c r="E30" i="58"/>
  <c r="D31" i="330"/>
  <c r="D31" i="328"/>
  <c r="D48" i="44"/>
  <c r="L20" i="79" s="1"/>
  <c r="D31" i="58"/>
  <c r="D31" i="229" s="1"/>
  <c r="O582" i="209"/>
  <c r="I582" i="209"/>
  <c r="G13" i="328"/>
  <c r="G13" i="58"/>
  <c r="G13" i="229" s="1"/>
  <c r="D33" i="327"/>
  <c r="D33" i="330"/>
  <c r="D33" i="58"/>
  <c r="D33" i="229" s="1"/>
  <c r="D26" i="327"/>
  <c r="H26" i="327" s="1"/>
  <c r="H40" i="327" s="1"/>
  <c r="M92" i="209" s="1"/>
  <c r="H26" i="18"/>
  <c r="H40" i="18" s="1"/>
  <c r="F25" i="330"/>
  <c r="F25" i="58"/>
  <c r="F25" i="229" s="1"/>
  <c r="F25" i="327"/>
  <c r="K512" i="209" s="1"/>
  <c r="Q379" i="209"/>
  <c r="R319" i="209"/>
  <c r="Q319" i="209"/>
  <c r="Q499" i="209"/>
  <c r="F26" i="327"/>
  <c r="F26" i="58"/>
  <c r="F13" i="292" s="1"/>
  <c r="F10" i="292"/>
  <c r="C29" i="327"/>
  <c r="C29" i="330"/>
  <c r="C29" i="58"/>
  <c r="C29" i="229" s="1"/>
  <c r="M25" i="328"/>
  <c r="M25" i="58"/>
  <c r="M25" i="229" s="1"/>
  <c r="M25" i="330"/>
  <c r="P679" i="209"/>
  <c r="P439" i="209"/>
  <c r="E12" i="327"/>
  <c r="P692" i="209" s="1"/>
  <c r="N25" i="327"/>
  <c r="N25" i="58"/>
  <c r="N25" i="229" s="1"/>
  <c r="N25" i="330"/>
  <c r="G46" i="190"/>
  <c r="G45" i="190"/>
  <c r="L137" i="246" s="1"/>
  <c r="G18" i="190"/>
  <c r="O26" i="190"/>
  <c r="G43" i="190" s="1"/>
  <c r="G47" i="190" s="1"/>
  <c r="R137" i="246" s="1"/>
  <c r="R633" i="246"/>
  <c r="L633" i="246"/>
  <c r="L695" i="246"/>
  <c r="G44" i="190"/>
  <c r="R75" i="246" s="1"/>
  <c r="F18" i="325"/>
  <c r="O123" i="294"/>
  <c r="F44" i="325"/>
  <c r="T28" i="294" s="1"/>
  <c r="F46" i="325"/>
  <c r="F45" i="325"/>
  <c r="O47" i="294" s="1"/>
  <c r="N26" i="325"/>
  <c r="F11" i="326"/>
  <c r="Q655" i="246"/>
  <c r="F44" i="279"/>
  <c r="Q97" i="246" s="1"/>
  <c r="K717" i="246"/>
  <c r="N26" i="279"/>
  <c r="F43" i="279" s="1"/>
  <c r="F47" i="279" s="1"/>
  <c r="Q159" i="246" s="1"/>
  <c r="F46" i="279"/>
  <c r="F45" i="279"/>
  <c r="K159" i="246" s="1"/>
  <c r="K655" i="246"/>
  <c r="F11" i="186"/>
  <c r="K658" i="246" s="1"/>
  <c r="M26" i="146"/>
  <c r="E43" i="146" s="1"/>
  <c r="E47" i="146" s="1"/>
  <c r="P174" i="246" s="1"/>
  <c r="E45" i="146"/>
  <c r="J174" i="246" s="1"/>
  <c r="E44" i="146"/>
  <c r="P112" i="246" s="1"/>
  <c r="P670" i="246"/>
  <c r="J732" i="246"/>
  <c r="J670" i="246"/>
  <c r="E46" i="146"/>
  <c r="E18" i="146"/>
  <c r="E37" i="146" s="1"/>
  <c r="P236" i="246" s="1"/>
  <c r="O26" i="95"/>
  <c r="G43" i="95" s="1"/>
  <c r="G47" i="95" s="1"/>
  <c r="R160" i="246" s="1"/>
  <c r="L718" i="246"/>
  <c r="L656" i="246"/>
  <c r="G45" i="95"/>
  <c r="L160" i="246" s="1"/>
  <c r="G44" i="95"/>
  <c r="R98" i="246" s="1"/>
  <c r="F40" i="279"/>
  <c r="K97" i="246" s="1"/>
  <c r="F42" i="279"/>
  <c r="K283" i="246" s="1"/>
  <c r="F41" i="279"/>
  <c r="K221" i="246" s="1"/>
  <c r="F39" i="279"/>
  <c r="Q35" i="246" s="1"/>
  <c r="F38" i="279"/>
  <c r="K35" i="246" s="1"/>
  <c r="F37" i="279"/>
  <c r="Q221" i="246" s="1"/>
  <c r="K779" i="246"/>
  <c r="I638" i="209"/>
  <c r="D46" i="154"/>
  <c r="I698" i="209"/>
  <c r="O638" i="209"/>
  <c r="D45" i="154"/>
  <c r="I158" i="209" s="1"/>
  <c r="L26" i="154"/>
  <c r="D44" i="154"/>
  <c r="O98" i="209" s="1"/>
  <c r="N26" i="91"/>
  <c r="F43" i="91" s="1"/>
  <c r="F47" i="91" s="1"/>
  <c r="Q132" i="246" s="1"/>
  <c r="F11" i="103"/>
  <c r="M26" i="292" s="1"/>
  <c r="F45" i="91"/>
  <c r="K132" i="246" s="1"/>
  <c r="F46" i="91"/>
  <c r="K690" i="246"/>
  <c r="K628" i="246"/>
  <c r="S432" i="246"/>
  <c r="P17" i="191"/>
  <c r="P17" i="95"/>
  <c r="P17" i="279"/>
  <c r="M162" i="246"/>
  <c r="D38" i="14"/>
  <c r="I10" i="209" s="1"/>
  <c r="D42" i="14"/>
  <c r="I250" i="209" s="1"/>
  <c r="D39" i="14"/>
  <c r="O10" i="209" s="1"/>
  <c r="D40" i="14"/>
  <c r="I70" i="209" s="1"/>
  <c r="D41" i="14"/>
  <c r="I190" i="209" s="1"/>
  <c r="D37" i="14"/>
  <c r="O190" i="209" s="1"/>
  <c r="I730" i="209"/>
  <c r="F45" i="156"/>
  <c r="K135" i="246" s="1"/>
  <c r="Q631" i="246"/>
  <c r="F46" i="156"/>
  <c r="N26" i="156"/>
  <c r="F43" i="156" s="1"/>
  <c r="F47" i="156" s="1"/>
  <c r="Q135" i="246" s="1"/>
  <c r="F44" i="156"/>
  <c r="Q73" i="246" s="1"/>
  <c r="K631" i="246"/>
  <c r="K693" i="246"/>
  <c r="F18" i="156"/>
  <c r="F40" i="156" s="1"/>
  <c r="K73" i="246" s="1"/>
  <c r="M100" i="246"/>
  <c r="P12" i="191"/>
  <c r="P12" i="279"/>
  <c r="P12" i="95"/>
  <c r="D44" i="284"/>
  <c r="O76" i="246" s="1"/>
  <c r="D18" i="284"/>
  <c r="I634" i="246"/>
  <c r="O634" i="246"/>
  <c r="I696" i="246"/>
  <c r="M696" i="246" s="1"/>
  <c r="L26" i="284"/>
  <c r="D43" i="284" s="1"/>
  <c r="D47" i="284" s="1"/>
  <c r="O138" i="246" s="1"/>
  <c r="D11" i="185"/>
  <c r="I697" i="246" s="1"/>
  <c r="D45" i="284"/>
  <c r="I138" i="246" s="1"/>
  <c r="E46" i="156"/>
  <c r="P631" i="246"/>
  <c r="J693" i="246"/>
  <c r="J631" i="246"/>
  <c r="M26" i="156"/>
  <c r="E43" i="156" s="1"/>
  <c r="E47" i="156" s="1"/>
  <c r="P135" i="246" s="1"/>
  <c r="E44" i="156"/>
  <c r="P73" i="246" s="1"/>
  <c r="E45" i="156"/>
  <c r="J135" i="246" s="1"/>
  <c r="O366" i="246"/>
  <c r="O428" i="246"/>
  <c r="L614" i="246"/>
  <c r="G29" i="174"/>
  <c r="J638" i="209"/>
  <c r="P638" i="209"/>
  <c r="E45" i="154"/>
  <c r="J158" i="209" s="1"/>
  <c r="E46" i="154"/>
  <c r="J698" i="209"/>
  <c r="M26" i="154"/>
  <c r="E44" i="154"/>
  <c r="P98" i="209" s="1"/>
  <c r="P634" i="246"/>
  <c r="J634" i="246"/>
  <c r="J696" i="246"/>
  <c r="E44" i="284"/>
  <c r="P76" i="246" s="1"/>
  <c r="E45" i="284"/>
  <c r="J138" i="246" s="1"/>
  <c r="E46" i="284"/>
  <c r="M26" i="284"/>
  <c r="E43" i="284" s="1"/>
  <c r="E47" i="284" s="1"/>
  <c r="P138" i="246" s="1"/>
  <c r="E18" i="284"/>
  <c r="G11" i="185"/>
  <c r="L697" i="246" s="1"/>
  <c r="E44" i="162"/>
  <c r="P88" i="209" s="1"/>
  <c r="E46" i="162"/>
  <c r="M26" i="162"/>
  <c r="E45" i="162"/>
  <c r="J148" i="209" s="1"/>
  <c r="J688" i="209"/>
  <c r="E18" i="162"/>
  <c r="J628" i="209"/>
  <c r="P628" i="209"/>
  <c r="P319" i="209"/>
  <c r="E25" i="327"/>
  <c r="O25" i="330"/>
  <c r="O25" i="328"/>
  <c r="O25" i="58"/>
  <c r="O25" i="229" s="1"/>
  <c r="L617" i="209"/>
  <c r="R617" i="209"/>
  <c r="G44" i="7"/>
  <c r="R77" i="209" s="1"/>
  <c r="L677" i="209"/>
  <c r="G46" i="7"/>
  <c r="O26" i="7"/>
  <c r="G45" i="7"/>
  <c r="L137" i="209" s="1"/>
  <c r="J612" i="209"/>
  <c r="E46" i="13"/>
  <c r="E45" i="13"/>
  <c r="J132" i="209" s="1"/>
  <c r="P612" i="209"/>
  <c r="M26" i="13"/>
  <c r="E44" i="13"/>
  <c r="P72" i="209" s="1"/>
  <c r="D46" i="325"/>
  <c r="D44" i="325"/>
  <c r="R28" i="294" s="1"/>
  <c r="G45" i="279"/>
  <c r="L159" i="246" s="1"/>
  <c r="G44" i="279"/>
  <c r="R97" i="246" s="1"/>
  <c r="L655" i="246"/>
  <c r="O26" i="279"/>
  <c r="G18" i="279"/>
  <c r="L717" i="246"/>
  <c r="G46" i="279"/>
  <c r="R655" i="246"/>
  <c r="D18" i="345"/>
  <c r="O649" i="209"/>
  <c r="I649" i="209"/>
  <c r="D46" i="345"/>
  <c r="D45" i="345"/>
  <c r="I169" i="209" s="1"/>
  <c r="I709" i="209"/>
  <c r="D44" i="345"/>
  <c r="O109" i="209" s="1"/>
  <c r="L26" i="345"/>
  <c r="N26" i="146"/>
  <c r="F43" i="146" s="1"/>
  <c r="F47" i="146" s="1"/>
  <c r="Q174" i="246" s="1"/>
  <c r="F45" i="146"/>
  <c r="K174" i="246" s="1"/>
  <c r="F44" i="146"/>
  <c r="Q112" i="246" s="1"/>
  <c r="Q670" i="246"/>
  <c r="K732" i="246"/>
  <c r="F46" i="146"/>
  <c r="K670" i="246"/>
  <c r="Q656" i="246"/>
  <c r="F44" i="95"/>
  <c r="Q98" i="246" s="1"/>
  <c r="N26" i="95"/>
  <c r="F43" i="95" s="1"/>
  <c r="F47" i="95" s="1"/>
  <c r="Q160" i="246" s="1"/>
  <c r="K718" i="246"/>
  <c r="F18" i="95"/>
  <c r="K656" i="246"/>
  <c r="F45" i="95"/>
  <c r="K160" i="246" s="1"/>
  <c r="F46" i="95"/>
  <c r="D13" i="174"/>
  <c r="F11" i="185"/>
  <c r="G48" i="172"/>
  <c r="O20" i="226" s="1"/>
  <c r="E44" i="296"/>
  <c r="S37" i="294" s="1"/>
  <c r="E46" i="296"/>
  <c r="E11" i="361"/>
  <c r="M26" i="296"/>
  <c r="E18" i="296"/>
  <c r="N132" i="294"/>
  <c r="E45" i="296"/>
  <c r="N56" i="294" s="1"/>
  <c r="D44" i="290"/>
  <c r="R32" i="294" s="1"/>
  <c r="M127" i="294"/>
  <c r="L26" i="290"/>
  <c r="D46" i="290"/>
  <c r="D11" i="291"/>
  <c r="D45" i="290"/>
  <c r="M51" i="294" s="1"/>
  <c r="D18" i="290"/>
  <c r="K653" i="209"/>
  <c r="F44" i="221"/>
  <c r="Q113" i="209" s="1"/>
  <c r="N26" i="221"/>
  <c r="F45" i="221"/>
  <c r="K173" i="209" s="1"/>
  <c r="Q653" i="209"/>
  <c r="K713" i="209"/>
  <c r="F46" i="221"/>
  <c r="F18" i="221"/>
  <c r="F44" i="7"/>
  <c r="Q77" i="209" s="1"/>
  <c r="Q617" i="209"/>
  <c r="K677" i="209"/>
  <c r="F46" i="7"/>
  <c r="F45" i="7"/>
  <c r="K137" i="209" s="1"/>
  <c r="N26" i="7"/>
  <c r="K617" i="209"/>
  <c r="D44" i="13"/>
  <c r="O72" i="209" s="1"/>
  <c r="J672" i="209"/>
  <c r="D45" i="13"/>
  <c r="I132" i="209" s="1"/>
  <c r="L26" i="13"/>
  <c r="D46" i="13"/>
  <c r="I672" i="209"/>
  <c r="M672" i="209" s="1"/>
  <c r="O612" i="209"/>
  <c r="I612" i="209"/>
  <c r="O620" i="246"/>
  <c r="O20" i="95"/>
  <c r="O20" i="279"/>
  <c r="O20" i="191"/>
  <c r="G44" i="345"/>
  <c r="R109" i="209" s="1"/>
  <c r="G18" i="345"/>
  <c r="R649" i="209"/>
  <c r="O26" i="345"/>
  <c r="G46" i="345"/>
  <c r="G45" i="345"/>
  <c r="L169" i="209" s="1"/>
  <c r="L649" i="209"/>
  <c r="L709" i="209"/>
  <c r="O26" i="146"/>
  <c r="G43" i="146" s="1"/>
  <c r="G47" i="146" s="1"/>
  <c r="R174" i="246" s="1"/>
  <c r="G45" i="146"/>
  <c r="L174" i="246" s="1"/>
  <c r="L670" i="246"/>
  <c r="L732" i="246"/>
  <c r="R670" i="246"/>
  <c r="G44" i="146"/>
  <c r="R112" i="246" s="1"/>
  <c r="G46" i="146"/>
  <c r="D46" i="72"/>
  <c r="O636" i="209"/>
  <c r="D45" i="72"/>
  <c r="I156" i="209" s="1"/>
  <c r="I636" i="209"/>
  <c r="L26" i="72"/>
  <c r="I696" i="209"/>
  <c r="D18" i="72"/>
  <c r="D44" i="72"/>
  <c r="O96" i="209" s="1"/>
  <c r="J640" i="246"/>
  <c r="P640" i="246"/>
  <c r="E45" i="187"/>
  <c r="J144" i="246" s="1"/>
  <c r="M26" i="187"/>
  <c r="E43" i="187" s="1"/>
  <c r="E47" i="187" s="1"/>
  <c r="P144" i="246" s="1"/>
  <c r="E18" i="187"/>
  <c r="E46" i="187"/>
  <c r="J702" i="246"/>
  <c r="E44" i="187"/>
  <c r="P82" i="246" s="1"/>
  <c r="E11" i="185"/>
  <c r="G18" i="296"/>
  <c r="P132" i="294"/>
  <c r="G44" i="296"/>
  <c r="U37" i="294" s="1"/>
  <c r="O26" i="296"/>
  <c r="G45" i="296"/>
  <c r="P56" i="294" s="1"/>
  <c r="G46" i="296"/>
  <c r="O26" i="290"/>
  <c r="G11" i="291"/>
  <c r="G44" i="290"/>
  <c r="U32" i="294" s="1"/>
  <c r="G46" i="290"/>
  <c r="G45" i="290"/>
  <c r="P51" i="294" s="1"/>
  <c r="G18" i="290"/>
  <c r="P127" i="294"/>
  <c r="D46" i="221"/>
  <c r="D18" i="221"/>
  <c r="D44" i="221"/>
  <c r="O113" i="209" s="1"/>
  <c r="L26" i="221"/>
  <c r="I653" i="209"/>
  <c r="O653" i="209"/>
  <c r="I713" i="209"/>
  <c r="D45" i="221"/>
  <c r="I173" i="209" s="1"/>
  <c r="L682" i="209"/>
  <c r="G46" i="105"/>
  <c r="R612" i="209"/>
  <c r="G45" i="13"/>
  <c r="L132" i="209" s="1"/>
  <c r="O26" i="13"/>
  <c r="G44" i="13"/>
  <c r="R72" i="209" s="1"/>
  <c r="L652" i="246"/>
  <c r="G45" i="176"/>
  <c r="L156" i="246" s="1"/>
  <c r="G44" i="176"/>
  <c r="R94" i="246" s="1"/>
  <c r="G46" i="176"/>
  <c r="R652" i="246"/>
  <c r="O26" i="176"/>
  <c r="L714" i="246"/>
  <c r="I730" i="246"/>
  <c r="D45" i="195"/>
  <c r="I172" i="246" s="1"/>
  <c r="D44" i="195"/>
  <c r="O110" i="246" s="1"/>
  <c r="O668" i="246"/>
  <c r="D46" i="195"/>
  <c r="D44" i="214"/>
  <c r="O81" i="209" s="1"/>
  <c r="D18" i="214"/>
  <c r="D45" i="214"/>
  <c r="I141" i="209" s="1"/>
  <c r="I681" i="209"/>
  <c r="D46" i="214"/>
  <c r="I621" i="209"/>
  <c r="O621" i="209"/>
  <c r="L26" i="214"/>
  <c r="E18" i="72"/>
  <c r="J636" i="209"/>
  <c r="J696" i="209"/>
  <c r="E46" i="72"/>
  <c r="E44" i="72"/>
  <c r="P96" i="209" s="1"/>
  <c r="M26" i="72"/>
  <c r="E45" i="72"/>
  <c r="J156" i="209" s="1"/>
  <c r="P636" i="209"/>
  <c r="D46" i="187"/>
  <c r="D18" i="187"/>
  <c r="F16" i="174"/>
  <c r="E25" i="175"/>
  <c r="C24" i="175"/>
  <c r="C32" i="175"/>
  <c r="J552" i="246"/>
  <c r="Q614" i="209"/>
  <c r="K614" i="209"/>
  <c r="K674" i="209"/>
  <c r="F46" i="11"/>
  <c r="F45" i="11"/>
  <c r="K134" i="209" s="1"/>
  <c r="F44" i="11"/>
  <c r="Q74" i="209" s="1"/>
  <c r="N26" i="11"/>
  <c r="G46" i="221"/>
  <c r="G45" i="221"/>
  <c r="L173" i="209" s="1"/>
  <c r="G44" i="221"/>
  <c r="R113" i="209" s="1"/>
  <c r="O26" i="221"/>
  <c r="R653" i="209"/>
  <c r="L713" i="209"/>
  <c r="G18" i="221"/>
  <c r="L653" i="209"/>
  <c r="P622" i="209"/>
  <c r="E46" i="105"/>
  <c r="J622" i="209"/>
  <c r="E45" i="105"/>
  <c r="J142" i="209" s="1"/>
  <c r="E18" i="105"/>
  <c r="J682" i="209"/>
  <c r="E44" i="105"/>
  <c r="P82" i="209" s="1"/>
  <c r="M26" i="105"/>
  <c r="E45" i="14"/>
  <c r="J130" i="209" s="1"/>
  <c r="M26" i="14"/>
  <c r="J610" i="209"/>
  <c r="P610" i="209"/>
  <c r="E44" i="14"/>
  <c r="P70" i="209" s="1"/>
  <c r="J670" i="209"/>
  <c r="E46" i="14"/>
  <c r="E18" i="14"/>
  <c r="D27" i="58"/>
  <c r="R668" i="246"/>
  <c r="G44" i="195"/>
  <c r="R110" i="246" s="1"/>
  <c r="L730" i="246"/>
  <c r="K621" i="209"/>
  <c r="N26" i="214"/>
  <c r="F44" i="214"/>
  <c r="Q81" i="209" s="1"/>
  <c r="Q621" i="209"/>
  <c r="F45" i="214"/>
  <c r="K141" i="209" s="1"/>
  <c r="K681" i="209"/>
  <c r="F11" i="247"/>
  <c r="F46" i="214"/>
  <c r="F18" i="214"/>
  <c r="N26" i="72"/>
  <c r="F44" i="72"/>
  <c r="Q96" i="209" s="1"/>
  <c r="K636" i="209"/>
  <c r="Q636" i="209"/>
  <c r="F45" i="72"/>
  <c r="K156" i="209" s="1"/>
  <c r="F46" i="72"/>
  <c r="K696" i="209"/>
  <c r="F18" i="72"/>
  <c r="F17" i="174"/>
  <c r="S426" i="246"/>
  <c r="F25" i="175"/>
  <c r="P11" i="360"/>
  <c r="P11" i="296"/>
  <c r="E45" i="11"/>
  <c r="J134" i="209" s="1"/>
  <c r="P614" i="209"/>
  <c r="J614" i="209"/>
  <c r="E46" i="11"/>
  <c r="E44" i="11"/>
  <c r="P74" i="209" s="1"/>
  <c r="M26" i="11"/>
  <c r="J674" i="209"/>
  <c r="J713" i="209"/>
  <c r="E46" i="221"/>
  <c r="M26" i="221"/>
  <c r="E44" i="221"/>
  <c r="P113" i="209" s="1"/>
  <c r="E45" i="221"/>
  <c r="J173" i="209" s="1"/>
  <c r="E18" i="221"/>
  <c r="P653" i="209"/>
  <c r="J653" i="209"/>
  <c r="L25" i="328"/>
  <c r="P25" i="44"/>
  <c r="E48" i="18"/>
  <c r="D29" i="327"/>
  <c r="H29" i="327" s="1"/>
  <c r="H29" i="18"/>
  <c r="D45" i="14"/>
  <c r="I130" i="209" s="1"/>
  <c r="I670" i="209"/>
  <c r="I610" i="209"/>
  <c r="D46" i="14"/>
  <c r="O610" i="209"/>
  <c r="D44" i="14"/>
  <c r="O70" i="209" s="1"/>
  <c r="L26" i="14"/>
  <c r="H39" i="212"/>
  <c r="S30" i="209" s="1"/>
  <c r="S330" i="209"/>
  <c r="F41" i="162"/>
  <c r="K208" i="209" s="1"/>
  <c r="K748" i="209"/>
  <c r="F42" i="162"/>
  <c r="K268" i="209" s="1"/>
  <c r="F37" i="162"/>
  <c r="Q208" i="209" s="1"/>
  <c r="G45" i="214"/>
  <c r="L141" i="209" s="1"/>
  <c r="O26" i="214"/>
  <c r="L621" i="209"/>
  <c r="G18" i="214"/>
  <c r="L681" i="209"/>
  <c r="R621" i="209"/>
  <c r="G11" i="247"/>
  <c r="G44" i="214"/>
  <c r="R81" i="209" s="1"/>
  <c r="G46" i="214"/>
  <c r="L636" i="209"/>
  <c r="G45" i="72"/>
  <c r="L156" i="209" s="1"/>
  <c r="G44" i="72"/>
  <c r="R96" i="209" s="1"/>
  <c r="R636" i="209"/>
  <c r="G18" i="72"/>
  <c r="G46" i="72"/>
  <c r="O26" i="72"/>
  <c r="L696" i="209"/>
  <c r="K698" i="209"/>
  <c r="Q638" i="209"/>
  <c r="K638" i="209"/>
  <c r="F45" i="154"/>
  <c r="K158" i="209" s="1"/>
  <c r="F46" i="154"/>
  <c r="F44" i="154"/>
  <c r="Q98" i="209" s="1"/>
  <c r="N26" i="154"/>
  <c r="L631" i="246"/>
  <c r="O26" i="156"/>
  <c r="G43" i="156" s="1"/>
  <c r="G47" i="156" s="1"/>
  <c r="R135" i="246" s="1"/>
  <c r="G45" i="156"/>
  <c r="L135" i="246" s="1"/>
  <c r="R631" i="246"/>
  <c r="G44" i="156"/>
  <c r="R73" i="246" s="1"/>
  <c r="G46" i="156"/>
  <c r="L693" i="246"/>
  <c r="P15" i="176"/>
  <c r="P9" i="296"/>
  <c r="P9" i="295"/>
  <c r="O614" i="209"/>
  <c r="D45" i="11"/>
  <c r="I134" i="209" s="1"/>
  <c r="D46" i="11"/>
  <c r="I614" i="209"/>
  <c r="I674" i="209"/>
  <c r="L26" i="11"/>
  <c r="D44" i="11"/>
  <c r="O74" i="209" s="1"/>
  <c r="E45" i="15"/>
  <c r="J129" i="209" s="1"/>
  <c r="E44" i="15"/>
  <c r="P69" i="209" s="1"/>
  <c r="M26" i="15"/>
  <c r="E46" i="15"/>
  <c r="E18" i="15"/>
  <c r="J609" i="209"/>
  <c r="P609" i="209"/>
  <c r="J669" i="209"/>
  <c r="I633" i="246"/>
  <c r="L26" i="190"/>
  <c r="D46" i="190"/>
  <c r="D18" i="190"/>
  <c r="O633" i="246"/>
  <c r="D44" i="190"/>
  <c r="O75" i="246" s="1"/>
  <c r="I695" i="246"/>
  <c r="D45" i="190"/>
  <c r="I137" i="246" s="1"/>
  <c r="F46" i="14"/>
  <c r="K670" i="209"/>
  <c r="F45" i="14"/>
  <c r="K130" i="209" s="1"/>
  <c r="Q610" i="209"/>
  <c r="K610" i="209"/>
  <c r="N26" i="14"/>
  <c r="F44" i="14"/>
  <c r="Q70" i="209" s="1"/>
  <c r="F18" i="14"/>
  <c r="H44" i="308"/>
  <c r="K32" i="292"/>
  <c r="F45" i="284"/>
  <c r="K138" i="246" s="1"/>
  <c r="N26" i="284"/>
  <c r="F43" i="284" s="1"/>
  <c r="F47" i="284" s="1"/>
  <c r="Q138" i="246" s="1"/>
  <c r="E11" i="247"/>
  <c r="E45" i="214"/>
  <c r="J141" i="209" s="1"/>
  <c r="E44" i="214"/>
  <c r="P81" i="209" s="1"/>
  <c r="J681" i="209"/>
  <c r="M26" i="214"/>
  <c r="P621" i="209"/>
  <c r="J621" i="209"/>
  <c r="E18" i="214"/>
  <c r="E46" i="214"/>
  <c r="D45" i="95"/>
  <c r="I160" i="246" s="1"/>
  <c r="L26" i="95"/>
  <c r="D11" i="186"/>
  <c r="O656" i="246"/>
  <c r="D44" i="95"/>
  <c r="O98" i="246" s="1"/>
  <c r="D18" i="95"/>
  <c r="I718" i="246"/>
  <c r="I656" i="246"/>
  <c r="D46" i="95"/>
  <c r="G41" i="315"/>
  <c r="L224" i="209" s="1"/>
  <c r="G42" i="315"/>
  <c r="L284" i="209" s="1"/>
  <c r="L764" i="209"/>
  <c r="G40" i="315"/>
  <c r="L104" i="209" s="1"/>
  <c r="G39" i="315"/>
  <c r="R44" i="209" s="1"/>
  <c r="G37" i="315"/>
  <c r="R224" i="209" s="1"/>
  <c r="G38" i="315"/>
  <c r="L44" i="209" s="1"/>
  <c r="G44" i="154"/>
  <c r="R98" i="209" s="1"/>
  <c r="G46" i="154"/>
  <c r="O26" i="154"/>
  <c r="L698" i="209"/>
  <c r="G45" i="154"/>
  <c r="L158" i="209" s="1"/>
  <c r="R638" i="209"/>
  <c r="D44" i="156"/>
  <c r="O73" i="246" s="1"/>
  <c r="L26" i="156"/>
  <c r="D46" i="156"/>
  <c r="I693" i="246"/>
  <c r="O631" i="246"/>
  <c r="I631" i="246"/>
  <c r="D18" i="156"/>
  <c r="D45" i="156"/>
  <c r="I135" i="246" s="1"/>
  <c r="T15" i="80"/>
  <c r="J26" i="80" s="1"/>
  <c r="J28" i="80" s="1"/>
  <c r="D21" i="271"/>
  <c r="L23" i="271" s="1"/>
  <c r="P10" i="241"/>
  <c r="D43" i="333"/>
  <c r="D47" i="333" s="1"/>
  <c r="R61" i="294" s="1"/>
  <c r="I765" i="209"/>
  <c r="D40" i="219"/>
  <c r="I105" i="209" s="1"/>
  <c r="D39" i="219"/>
  <c r="O45" i="209" s="1"/>
  <c r="D42" i="219"/>
  <c r="I285" i="209" s="1"/>
  <c r="D41" i="219"/>
  <c r="I225" i="209" s="1"/>
  <c r="D38" i="219"/>
  <c r="I45" i="209" s="1"/>
  <c r="D37" i="219"/>
  <c r="O225" i="209" s="1"/>
  <c r="D35" i="15"/>
  <c r="D21" i="15"/>
  <c r="L23" i="15" s="1"/>
  <c r="D7" i="15"/>
  <c r="L7" i="194"/>
  <c r="L23" i="170"/>
  <c r="L23" i="228"/>
  <c r="L23" i="174"/>
  <c r="L23" i="231"/>
  <c r="L23" i="212"/>
  <c r="L23" i="229"/>
  <c r="L23" i="328"/>
  <c r="L23" i="327"/>
  <c r="L23" i="225"/>
  <c r="L23" i="171"/>
  <c r="L23" i="361"/>
  <c r="L23" i="103"/>
  <c r="L23" i="185"/>
  <c r="L23" i="186"/>
  <c r="L23" i="308"/>
  <c r="L23" i="309"/>
  <c r="L23" i="223"/>
  <c r="L23" i="84"/>
  <c r="L23" i="184"/>
  <c r="L23" i="247"/>
  <c r="L23" i="291"/>
  <c r="L23" i="58"/>
  <c r="L23" i="330"/>
  <c r="L23" i="250"/>
  <c r="L23" i="44"/>
  <c r="L23" i="104"/>
  <c r="L23" i="18"/>
  <c r="L23" i="248"/>
  <c r="L23" i="326"/>
  <c r="L23" i="226"/>
  <c r="L23" i="172"/>
  <c r="D35" i="203"/>
  <c r="D21" i="203"/>
  <c r="L23" i="203" s="1"/>
  <c r="R16" i="124"/>
  <c r="N26" i="141"/>
  <c r="F43" i="141" s="1"/>
  <c r="F47" i="141" s="1"/>
  <c r="Q170" i="246" s="1"/>
  <c r="K666" i="246"/>
  <c r="F44" i="141"/>
  <c r="Q108" i="246" s="1"/>
  <c r="F45" i="141"/>
  <c r="K170" i="246" s="1"/>
  <c r="Q666" i="246"/>
  <c r="K728" i="246"/>
  <c r="F46" i="141"/>
  <c r="I541" i="209"/>
  <c r="H33" i="250"/>
  <c r="F42" i="215"/>
  <c r="K266" i="209" s="1"/>
  <c r="K746" i="209"/>
  <c r="F38" i="215"/>
  <c r="K26" i="209" s="1"/>
  <c r="F37" i="215"/>
  <c r="Q206" i="209" s="1"/>
  <c r="F39" i="215"/>
  <c r="Q26" i="209" s="1"/>
  <c r="F40" i="215"/>
  <c r="K86" i="209" s="1"/>
  <c r="F41" i="215"/>
  <c r="K206" i="209" s="1"/>
  <c r="M23" i="294"/>
  <c r="D40" i="333"/>
  <c r="H61" i="294" s="1"/>
  <c r="D37" i="333"/>
  <c r="H42" i="294" s="1"/>
  <c r="D41" i="333"/>
  <c r="H80" i="294" s="1"/>
  <c r="D42" i="333"/>
  <c r="M80" i="294" s="1"/>
  <c r="H23" i="294"/>
  <c r="D38" i="333"/>
  <c r="R23" i="294" s="1"/>
  <c r="D39" i="333"/>
  <c r="M42" i="294" s="1"/>
  <c r="R137" i="294"/>
  <c r="L29" i="360"/>
  <c r="L7" i="360"/>
  <c r="F39" i="176"/>
  <c r="Q32" i="246" s="1"/>
  <c r="F38" i="176"/>
  <c r="K32" i="246" s="1"/>
  <c r="F40" i="176"/>
  <c r="K94" i="246" s="1"/>
  <c r="K664" i="246"/>
  <c r="F45" i="188"/>
  <c r="K168" i="246" s="1"/>
  <c r="F46" i="188"/>
  <c r="E43" i="241"/>
  <c r="E47" i="241" s="1"/>
  <c r="P176" i="209" s="1"/>
  <c r="P776" i="209"/>
  <c r="D35" i="220"/>
  <c r="S162" i="246"/>
  <c r="E29" i="175"/>
  <c r="L26" i="270"/>
  <c r="D43" i="270" s="1"/>
  <c r="D47" i="270" s="1"/>
  <c r="O176" i="246" s="1"/>
  <c r="I672" i="246"/>
  <c r="I771" i="246"/>
  <c r="D42" i="97"/>
  <c r="I275" i="246" s="1"/>
  <c r="D39" i="97"/>
  <c r="O27" i="246" s="1"/>
  <c r="D38" i="97"/>
  <c r="I27" i="246" s="1"/>
  <c r="D37" i="97"/>
  <c r="O213" i="246" s="1"/>
  <c r="D40" i="97"/>
  <c r="I89" i="246" s="1"/>
  <c r="D41" i="97"/>
  <c r="I213" i="246" s="1"/>
  <c r="T23" i="37"/>
  <c r="G14" i="118"/>
  <c r="F18" i="118"/>
  <c r="F14" i="104"/>
  <c r="F14" i="84" s="1"/>
  <c r="L29" i="296"/>
  <c r="L7" i="296"/>
  <c r="X41" i="155"/>
  <c r="X40" i="155"/>
  <c r="D21" i="220"/>
  <c r="L23" i="220" s="1"/>
  <c r="P19" i="191"/>
  <c r="F41" i="196"/>
  <c r="K217" i="209" s="1"/>
  <c r="F37" i="196"/>
  <c r="Q217" i="209" s="1"/>
  <c r="F39" i="196"/>
  <c r="Q37" i="209" s="1"/>
  <c r="F42" i="196"/>
  <c r="K277" i="209" s="1"/>
  <c r="K757" i="209"/>
  <c r="F38" i="196"/>
  <c r="K37" i="209" s="1"/>
  <c r="F40" i="196"/>
  <c r="K97" i="209" s="1"/>
  <c r="E40" i="241"/>
  <c r="J116" i="209" s="1"/>
  <c r="E41" i="241"/>
  <c r="J236" i="209" s="1"/>
  <c r="E37" i="241"/>
  <c r="P236" i="209" s="1"/>
  <c r="E38" i="241"/>
  <c r="J56" i="209" s="1"/>
  <c r="J776" i="209"/>
  <c r="E42" i="241"/>
  <c r="J296" i="209" s="1"/>
  <c r="E39" i="241"/>
  <c r="P56" i="209" s="1"/>
  <c r="D7" i="196"/>
  <c r="D35" i="196"/>
  <c r="D21" i="196"/>
  <c r="L23" i="196" s="1"/>
  <c r="D35" i="345"/>
  <c r="D21" i="345"/>
  <c r="L23" i="345" s="1"/>
  <c r="T20" i="129"/>
  <c r="D15" i="126" s="1"/>
  <c r="H24" i="171"/>
  <c r="M334" i="246" s="1"/>
  <c r="S534" i="246"/>
  <c r="Q664" i="246"/>
  <c r="H47" i="309"/>
  <c r="N26" i="203"/>
  <c r="F43" i="203" s="1"/>
  <c r="F47" i="203" s="1"/>
  <c r="Q175" i="246" s="1"/>
  <c r="F46" i="203"/>
  <c r="K671" i="246"/>
  <c r="F44" i="203"/>
  <c r="Q113" i="246" s="1"/>
  <c r="F45" i="203"/>
  <c r="K175" i="246" s="1"/>
  <c r="K733" i="246"/>
  <c r="Q671" i="246"/>
  <c r="R31" i="34"/>
  <c r="X56" i="34"/>
  <c r="X57" i="34" s="1"/>
  <c r="J37" i="34"/>
  <c r="L26" i="308"/>
  <c r="D43" i="307"/>
  <c r="D47" i="307" s="1"/>
  <c r="O182" i="246" s="1"/>
  <c r="D43" i="219"/>
  <c r="D47" i="219" s="1"/>
  <c r="O165" i="209" s="1"/>
  <c r="O765" i="209"/>
  <c r="D7" i="325"/>
  <c r="D21" i="325"/>
  <c r="D35" i="325"/>
  <c r="D21" i="215"/>
  <c r="L23" i="215" s="1"/>
  <c r="D7" i="215"/>
  <c r="J788" i="246"/>
  <c r="E37" i="188"/>
  <c r="P230" i="246" s="1"/>
  <c r="E39" i="188"/>
  <c r="E42" i="188"/>
  <c r="J292" i="246" s="1"/>
  <c r="E41" i="188"/>
  <c r="J230" i="246" s="1"/>
  <c r="E38" i="188"/>
  <c r="J44" i="246" s="1"/>
  <c r="E40" i="188"/>
  <c r="J106" i="246" s="1"/>
  <c r="D35" i="271"/>
  <c r="D17" i="175"/>
  <c r="K726" i="246"/>
  <c r="P10" i="296"/>
  <c r="L29" i="293"/>
  <c r="L7" i="293"/>
  <c r="D7" i="360"/>
  <c r="D35" i="360"/>
  <c r="D21" i="360"/>
  <c r="L23" i="360" s="1"/>
  <c r="E15" i="125"/>
  <c r="F15" i="104"/>
  <c r="F15" i="84" s="1"/>
  <c r="G15" i="118"/>
  <c r="G15" i="104" s="1"/>
  <c r="G15" i="84" s="1"/>
  <c r="F40" i="354"/>
  <c r="F42" i="354"/>
  <c r="F37" i="354"/>
  <c r="T21" i="27"/>
  <c r="T27" i="27" s="1"/>
  <c r="J43" i="27" s="1"/>
  <c r="J45" i="27" s="1"/>
  <c r="H46" i="173"/>
  <c r="P18" i="202" s="1"/>
  <c r="D32" i="175"/>
  <c r="M410" i="209"/>
  <c r="F16" i="175"/>
  <c r="F44" i="188"/>
  <c r="Q106" i="246" s="1"/>
  <c r="F38" i="354"/>
  <c r="F15" i="171"/>
  <c r="D7" i="324"/>
  <c r="D21" i="324"/>
  <c r="D35" i="324"/>
  <c r="T12" i="124"/>
  <c r="T16" i="124" s="1"/>
  <c r="F14" i="228"/>
  <c r="R21" i="27"/>
  <c r="R27" i="27" s="1"/>
  <c r="H47" i="223"/>
  <c r="S146" i="246" s="1"/>
  <c r="H43" i="223"/>
  <c r="H33" i="172"/>
  <c r="L622" i="246"/>
  <c r="C24" i="174"/>
  <c r="I366" i="246"/>
  <c r="G26" i="175"/>
  <c r="P304" i="246"/>
  <c r="Q552" i="246"/>
  <c r="Q396" i="246"/>
  <c r="G31" i="175"/>
  <c r="J21" i="292"/>
  <c r="M350" i="209"/>
  <c r="H27" i="170"/>
  <c r="H41" i="170" s="1"/>
  <c r="P13" i="362" s="1"/>
  <c r="P10" i="356"/>
  <c r="E39" i="325"/>
  <c r="N28" i="294" s="1"/>
  <c r="S123" i="294"/>
  <c r="N9" i="294"/>
  <c r="E38" i="325"/>
  <c r="S9" i="294" s="1"/>
  <c r="E40" i="325"/>
  <c r="I47" i="294" s="1"/>
  <c r="I9" i="294"/>
  <c r="E37" i="325"/>
  <c r="I28" i="294" s="1"/>
  <c r="E42" i="325"/>
  <c r="N66" i="294" s="1"/>
  <c r="E41" i="325"/>
  <c r="I66" i="294" s="1"/>
  <c r="G37" i="325"/>
  <c r="K28" i="294" s="1"/>
  <c r="G42" i="325"/>
  <c r="P66" i="294" s="1"/>
  <c r="G40" i="325"/>
  <c r="K47" i="294" s="1"/>
  <c r="G38" i="325"/>
  <c r="U9" i="294" s="1"/>
  <c r="G41" i="325"/>
  <c r="K66" i="294" s="1"/>
  <c r="K9" i="294"/>
  <c r="G39" i="325"/>
  <c r="P28" i="294" s="1"/>
  <c r="P9" i="294"/>
  <c r="U123" i="294"/>
  <c r="H27" i="328"/>
  <c r="H41" i="328" s="1"/>
  <c r="E48" i="327"/>
  <c r="G48" i="327"/>
  <c r="P572" i="209"/>
  <c r="J572" i="209"/>
  <c r="R729" i="209"/>
  <c r="G43" i="15"/>
  <c r="G47" i="15" s="1"/>
  <c r="R129" i="209" s="1"/>
  <c r="L512" i="209"/>
  <c r="J621" i="246"/>
  <c r="P18" i="307"/>
  <c r="S680" i="246"/>
  <c r="F43" i="307"/>
  <c r="F47" i="307" s="1"/>
  <c r="Q182" i="246" s="1"/>
  <c r="N26" i="308"/>
  <c r="Q621" i="246"/>
  <c r="H23" i="184"/>
  <c r="I33" i="292" s="1"/>
  <c r="P311" i="246"/>
  <c r="H31" i="171"/>
  <c r="H45" i="171" s="1"/>
  <c r="M148" i="246" s="1"/>
  <c r="P25" i="171"/>
  <c r="P15" i="359"/>
  <c r="P15" i="190"/>
  <c r="P15" i="156"/>
  <c r="P15" i="284"/>
  <c r="P15" i="192"/>
  <c r="D30" i="174"/>
  <c r="Q745" i="246"/>
  <c r="O614" i="246"/>
  <c r="H24" i="172"/>
  <c r="H38" i="172" s="1"/>
  <c r="I490" i="246"/>
  <c r="H29" i="172"/>
  <c r="H43" i="172" s="1"/>
  <c r="J366" i="246"/>
  <c r="I614" i="246"/>
  <c r="I372" i="246"/>
  <c r="R552" i="246"/>
  <c r="E25" i="174"/>
  <c r="I428" i="246"/>
  <c r="P15" i="354"/>
  <c r="P15" i="97"/>
  <c r="P15" i="271"/>
  <c r="P15" i="101"/>
  <c r="P15" i="99"/>
  <c r="P428" i="246"/>
  <c r="H28" i="172"/>
  <c r="H42" i="172" s="1"/>
  <c r="M304" i="246" s="1"/>
  <c r="H27" i="172"/>
  <c r="H41" i="172" s="1"/>
  <c r="P13" i="104" s="1"/>
  <c r="P552" i="246"/>
  <c r="H31" i="172"/>
  <c r="H45" i="172" s="1"/>
  <c r="P17" i="186" s="1"/>
  <c r="R614" i="246"/>
  <c r="G33" i="174"/>
  <c r="J490" i="246"/>
  <c r="G27" i="174"/>
  <c r="H46" i="171"/>
  <c r="P18" i="173" s="1"/>
  <c r="E31" i="174"/>
  <c r="H27" i="184"/>
  <c r="H41" i="184" s="1"/>
  <c r="M249" i="246" s="1"/>
  <c r="AA33" i="292"/>
  <c r="L497" i="246"/>
  <c r="O497" i="246"/>
  <c r="S550" i="246"/>
  <c r="S556" i="246"/>
  <c r="S744" i="246"/>
  <c r="M405" i="246"/>
  <c r="S529" i="246"/>
  <c r="M488" i="246"/>
  <c r="S612" i="246"/>
  <c r="R310" i="246"/>
  <c r="H23" i="84"/>
  <c r="R627" i="209"/>
  <c r="L687" i="209"/>
  <c r="G18" i="334"/>
  <c r="O26" i="334"/>
  <c r="L627" i="209"/>
  <c r="G45" i="334"/>
  <c r="L147" i="209" s="1"/>
  <c r="G46" i="334"/>
  <c r="G44" i="334"/>
  <c r="R87" i="209" s="1"/>
  <c r="K710" i="246"/>
  <c r="K648" i="246"/>
  <c r="F45" i="99"/>
  <c r="K152" i="246" s="1"/>
  <c r="F44" i="99"/>
  <c r="Q90" i="246" s="1"/>
  <c r="Q648" i="246"/>
  <c r="F46" i="99"/>
  <c r="F18" i="99"/>
  <c r="N26" i="99"/>
  <c r="F11" i="104"/>
  <c r="D38" i="166"/>
  <c r="I18" i="246" s="1"/>
  <c r="D37" i="166"/>
  <c r="O204" i="246" s="1"/>
  <c r="D41" i="166"/>
  <c r="I204" i="246" s="1"/>
  <c r="D39" i="166"/>
  <c r="O18" i="246" s="1"/>
  <c r="D42" i="166"/>
  <c r="I266" i="246" s="1"/>
  <c r="D40" i="166"/>
  <c r="I80" i="246" s="1"/>
  <c r="I762" i="246"/>
  <c r="G28" i="174"/>
  <c r="P19" i="279"/>
  <c r="H28" i="231"/>
  <c r="H42" i="231" s="1"/>
  <c r="M312" i="246" s="1"/>
  <c r="F45" i="204"/>
  <c r="K169" i="246" s="1"/>
  <c r="F44" i="204"/>
  <c r="Q107" i="246" s="1"/>
  <c r="Q665" i="246"/>
  <c r="F46" i="204"/>
  <c r="K727" i="246"/>
  <c r="K665" i="246"/>
  <c r="D44" i="103"/>
  <c r="D45" i="103"/>
  <c r="R656" i="209"/>
  <c r="L716" i="209"/>
  <c r="G44" i="241"/>
  <c r="R116" i="209" s="1"/>
  <c r="G18" i="241"/>
  <c r="L656" i="209"/>
  <c r="G45" i="241"/>
  <c r="L176" i="209" s="1"/>
  <c r="G46" i="241"/>
  <c r="O26" i="241"/>
  <c r="M26" i="195"/>
  <c r="E43" i="195" s="1"/>
  <c r="E47" i="195" s="1"/>
  <c r="P172" i="246" s="1"/>
  <c r="E44" i="195"/>
  <c r="P110" i="246" s="1"/>
  <c r="P668" i="246"/>
  <c r="E46" i="195"/>
  <c r="J668" i="246"/>
  <c r="J730" i="246"/>
  <c r="E45" i="195"/>
  <c r="J172" i="246" s="1"/>
  <c r="P679" i="246"/>
  <c r="E18" i="313"/>
  <c r="J679" i="246"/>
  <c r="M26" i="313"/>
  <c r="E43" i="313" s="1"/>
  <c r="E47" i="313" s="1"/>
  <c r="P183" i="246" s="1"/>
  <c r="E45" i="313"/>
  <c r="J183" i="246" s="1"/>
  <c r="J741" i="246"/>
  <c r="E46" i="313"/>
  <c r="E44" i="313"/>
  <c r="P121" i="246" s="1"/>
  <c r="E11" i="308"/>
  <c r="G24" i="174"/>
  <c r="D48" i="184"/>
  <c r="I621" i="246"/>
  <c r="H38" i="212"/>
  <c r="M30" i="209" s="1"/>
  <c r="M330" i="209"/>
  <c r="J20" i="292"/>
  <c r="I648" i="209"/>
  <c r="D46" i="178"/>
  <c r="L26" i="178"/>
  <c r="L26" i="225" s="1"/>
  <c r="D18" i="178"/>
  <c r="D45" i="178"/>
  <c r="I168" i="209" s="1"/>
  <c r="O648" i="209"/>
  <c r="I708" i="209"/>
  <c r="D44" i="178"/>
  <c r="O108" i="209" s="1"/>
  <c r="G45" i="196"/>
  <c r="L157" i="209" s="1"/>
  <c r="G46" i="196"/>
  <c r="O26" i="196"/>
  <c r="L637" i="209"/>
  <c r="L697" i="209"/>
  <c r="R637" i="209"/>
  <c r="G44" i="196"/>
  <c r="R97" i="209" s="1"/>
  <c r="G18" i="196"/>
  <c r="L558" i="246"/>
  <c r="H25" i="84"/>
  <c r="R434" i="246"/>
  <c r="R372" i="246"/>
  <c r="R558" i="246"/>
  <c r="O20" i="360"/>
  <c r="O20" i="295"/>
  <c r="O20" i="296"/>
  <c r="O20" i="333"/>
  <c r="P20" i="333" s="1"/>
  <c r="E24" i="174"/>
  <c r="J334" i="246"/>
  <c r="P13" i="307"/>
  <c r="M246" i="246"/>
  <c r="F42" i="178"/>
  <c r="K288" i="209" s="1"/>
  <c r="F38" i="178"/>
  <c r="K48" i="209" s="1"/>
  <c r="K768" i="209"/>
  <c r="F37" i="178"/>
  <c r="Q228" i="209" s="1"/>
  <c r="F41" i="178"/>
  <c r="K228" i="209" s="1"/>
  <c r="F40" i="178"/>
  <c r="K108" i="209" s="1"/>
  <c r="F39" i="178"/>
  <c r="Q48" i="209" s="1"/>
  <c r="D33" i="292"/>
  <c r="P33" i="292" s="1"/>
  <c r="K373" i="246"/>
  <c r="P14" i="354"/>
  <c r="M281" i="246"/>
  <c r="P14" i="118"/>
  <c r="P14" i="97"/>
  <c r="P14" i="271"/>
  <c r="P14" i="176"/>
  <c r="P14" i="99"/>
  <c r="P14" i="101"/>
  <c r="J708" i="209"/>
  <c r="E18" i="178"/>
  <c r="E46" i="178"/>
  <c r="M26" i="178"/>
  <c r="P648" i="209"/>
  <c r="E45" i="178"/>
  <c r="J168" i="209" s="1"/>
  <c r="J648" i="209"/>
  <c r="E44" i="178"/>
  <c r="P108" i="209" s="1"/>
  <c r="Q520" i="246"/>
  <c r="K396" i="246"/>
  <c r="K334" i="246"/>
  <c r="G11" i="226"/>
  <c r="G45" i="226" s="1"/>
  <c r="L178" i="246" s="1"/>
  <c r="O26" i="160"/>
  <c r="G43" i="160" s="1"/>
  <c r="G47" i="160" s="1"/>
  <c r="R165" i="246" s="1"/>
  <c r="C33" i="292"/>
  <c r="G25" i="174"/>
  <c r="R311" i="246"/>
  <c r="F31" i="174"/>
  <c r="G39" i="292" s="1"/>
  <c r="P14" i="307"/>
  <c r="O622" i="246"/>
  <c r="L434" i="246"/>
  <c r="F42" i="216"/>
  <c r="K269" i="209" s="1"/>
  <c r="F40" i="216"/>
  <c r="K89" i="209" s="1"/>
  <c r="F38" i="216"/>
  <c r="K29" i="209" s="1"/>
  <c r="F37" i="216"/>
  <c r="Q209" i="209" s="1"/>
  <c r="K749" i="209"/>
  <c r="F41" i="216"/>
  <c r="K209" i="209" s="1"/>
  <c r="F39" i="216"/>
  <c r="Q29" i="209" s="1"/>
  <c r="J700" i="246"/>
  <c r="J638" i="246"/>
  <c r="E46" i="166"/>
  <c r="P638" i="246"/>
  <c r="E11" i="223"/>
  <c r="E44" i="166"/>
  <c r="P80" i="246" s="1"/>
  <c r="E18" i="166"/>
  <c r="E45" i="166"/>
  <c r="J142" i="246" s="1"/>
  <c r="M26" i="166"/>
  <c r="D44" i="313"/>
  <c r="O121" i="246" s="1"/>
  <c r="I741" i="246"/>
  <c r="I679" i="246"/>
  <c r="L26" i="313"/>
  <c r="D46" i="313"/>
  <c r="O679" i="246"/>
  <c r="D18" i="313"/>
  <c r="D45" i="313"/>
  <c r="I183" i="246" s="1"/>
  <c r="D11" i="308"/>
  <c r="D29" i="174"/>
  <c r="F33" i="174"/>
  <c r="R621" i="246"/>
  <c r="S621" i="246" s="1"/>
  <c r="H47" i="212"/>
  <c r="S150" i="209" s="1"/>
  <c r="H43" i="212"/>
  <c r="L708" i="209"/>
  <c r="G44" i="178"/>
  <c r="R108" i="209" s="1"/>
  <c r="G46" i="178"/>
  <c r="R648" i="209"/>
  <c r="L648" i="209"/>
  <c r="O26" i="178"/>
  <c r="G45" i="178"/>
  <c r="L168" i="209" s="1"/>
  <c r="G18" i="178"/>
  <c r="D46" i="196"/>
  <c r="I637" i="209"/>
  <c r="D44" i="196"/>
  <c r="O97" i="209" s="1"/>
  <c r="D45" i="196"/>
  <c r="I157" i="209" s="1"/>
  <c r="D18" i="196"/>
  <c r="I697" i="209"/>
  <c r="L26" i="196"/>
  <c r="O637" i="209"/>
  <c r="D46" i="103"/>
  <c r="I334" i="246"/>
  <c r="D24" i="174"/>
  <c r="I396" i="246"/>
  <c r="E33" i="175"/>
  <c r="P15" i="296"/>
  <c r="P15" i="360"/>
  <c r="P15" i="295"/>
  <c r="J582" i="246"/>
  <c r="E48" i="171"/>
  <c r="M432" i="246"/>
  <c r="I32" i="292"/>
  <c r="S308" i="246"/>
  <c r="H37" i="308"/>
  <c r="Q768" i="209"/>
  <c r="F43" i="178"/>
  <c r="F47" i="178" s="1"/>
  <c r="Q168" i="209" s="1"/>
  <c r="N26" i="126"/>
  <c r="F43" i="126" s="1"/>
  <c r="F47" i="126" s="1"/>
  <c r="Q166" i="246" s="1"/>
  <c r="F45" i="126"/>
  <c r="K166" i="246" s="1"/>
  <c r="F46" i="126"/>
  <c r="K724" i="246"/>
  <c r="K662" i="246"/>
  <c r="F44" i="126"/>
  <c r="Q104" i="246" s="1"/>
  <c r="Q662" i="246"/>
  <c r="T129" i="294"/>
  <c r="F39" i="293"/>
  <c r="O34" i="294" s="1"/>
  <c r="F41" i="293"/>
  <c r="J72" i="294" s="1"/>
  <c r="F38" i="293"/>
  <c r="T15" i="294" s="1"/>
  <c r="F37" i="293"/>
  <c r="J34" i="294" s="1"/>
  <c r="F42" i="293"/>
  <c r="O72" i="294" s="1"/>
  <c r="F40" i="293"/>
  <c r="J53" i="294" s="1"/>
  <c r="O15" i="294"/>
  <c r="J15" i="294"/>
  <c r="F28" i="174"/>
  <c r="L21" i="313"/>
  <c r="L20" i="91"/>
  <c r="I695" i="209"/>
  <c r="I635" i="209"/>
  <c r="D46" i="123"/>
  <c r="L26" i="123"/>
  <c r="D45" i="123"/>
  <c r="I155" i="209" s="1"/>
  <c r="D44" i="123"/>
  <c r="O95" i="209" s="1"/>
  <c r="O635" i="209"/>
  <c r="F18" i="241"/>
  <c r="K716" i="209"/>
  <c r="N26" i="241"/>
  <c r="F45" i="241"/>
  <c r="K176" i="209" s="1"/>
  <c r="Q656" i="209"/>
  <c r="F46" i="241"/>
  <c r="K656" i="209"/>
  <c r="F44" i="241"/>
  <c r="Q116" i="209" s="1"/>
  <c r="E11" i="103"/>
  <c r="E46" i="91"/>
  <c r="E18" i="91"/>
  <c r="P628" i="246"/>
  <c r="M26" i="91"/>
  <c r="E44" i="91"/>
  <c r="P70" i="246" s="1"/>
  <c r="J628" i="246"/>
  <c r="J690" i="246"/>
  <c r="E45" i="91"/>
  <c r="J132" i="246" s="1"/>
  <c r="P18" i="295"/>
  <c r="P18" i="360"/>
  <c r="P18" i="296"/>
  <c r="J35" i="292"/>
  <c r="H38" i="223"/>
  <c r="M22" i="246" s="1"/>
  <c r="M332" i="246"/>
  <c r="P11" i="270"/>
  <c r="P11" i="313"/>
  <c r="S9" i="246"/>
  <c r="P11" i="91"/>
  <c r="F42" i="313"/>
  <c r="K307" i="246" s="1"/>
  <c r="F37" i="313"/>
  <c r="Q245" i="246" s="1"/>
  <c r="K803" i="246"/>
  <c r="F38" i="313"/>
  <c r="K59" i="246" s="1"/>
  <c r="F41" i="313"/>
  <c r="K245" i="246" s="1"/>
  <c r="F40" i="313"/>
  <c r="K121" i="246" s="1"/>
  <c r="F39" i="313"/>
  <c r="Q59" i="246" s="1"/>
  <c r="R334" i="246"/>
  <c r="H43" i="186"/>
  <c r="P15" i="95" s="1"/>
  <c r="K497" i="246"/>
  <c r="F48" i="172"/>
  <c r="N20" i="104" s="1"/>
  <c r="K614" i="246"/>
  <c r="G31" i="174"/>
  <c r="M390" i="209"/>
  <c r="H30" i="231"/>
  <c r="H44" i="231" s="1"/>
  <c r="S126" i="246" s="1"/>
  <c r="R396" i="246"/>
  <c r="L638" i="246"/>
  <c r="G46" i="166"/>
  <c r="G45" i="313"/>
  <c r="L183" i="246" s="1"/>
  <c r="O26" i="313"/>
  <c r="G43" i="313" s="1"/>
  <c r="G47" i="313" s="1"/>
  <c r="R183" i="246" s="1"/>
  <c r="G44" i="313"/>
  <c r="R121" i="246" s="1"/>
  <c r="R679" i="246"/>
  <c r="L679" i="246"/>
  <c r="G46" i="313"/>
  <c r="L741" i="246"/>
  <c r="G11" i="308"/>
  <c r="L621" i="246"/>
  <c r="L20" i="95"/>
  <c r="L20" i="191"/>
  <c r="L20" i="279"/>
  <c r="E45" i="196"/>
  <c r="J157" i="209" s="1"/>
  <c r="E18" i="196"/>
  <c r="J697" i="209"/>
  <c r="M26" i="196"/>
  <c r="E46" i="196"/>
  <c r="J637" i="209"/>
  <c r="P637" i="209"/>
  <c r="E44" i="196"/>
  <c r="P97" i="209" s="1"/>
  <c r="P13" i="359"/>
  <c r="P13" i="284"/>
  <c r="P13" i="192"/>
  <c r="M201" i="246"/>
  <c r="P13" i="190"/>
  <c r="P13" i="156"/>
  <c r="H38" i="103"/>
  <c r="J26" i="292"/>
  <c r="H38" i="308"/>
  <c r="J32" i="292"/>
  <c r="M370" i="246"/>
  <c r="O311" i="246"/>
  <c r="I435" i="246"/>
  <c r="O435" i="246"/>
  <c r="O559" i="246"/>
  <c r="L26" i="126"/>
  <c r="D43" i="126" s="1"/>
  <c r="D47" i="126" s="1"/>
  <c r="O166" i="246" s="1"/>
  <c r="D45" i="126"/>
  <c r="I166" i="246" s="1"/>
  <c r="D46" i="126"/>
  <c r="I662" i="246"/>
  <c r="O662" i="246"/>
  <c r="D44" i="126"/>
  <c r="O104" i="246" s="1"/>
  <c r="I724" i="246"/>
  <c r="P11" i="118"/>
  <c r="P11" i="101"/>
  <c r="P11" i="271"/>
  <c r="P11" i="354"/>
  <c r="P11" i="97"/>
  <c r="S33" i="246"/>
  <c r="P11" i="99"/>
  <c r="P11" i="176"/>
  <c r="P16" i="190"/>
  <c r="P16" i="284"/>
  <c r="P16" i="192"/>
  <c r="P16" i="359"/>
  <c r="P16" i="156"/>
  <c r="S77" i="246"/>
  <c r="H46" i="309"/>
  <c r="L496" i="246"/>
  <c r="Q311" i="246"/>
  <c r="D32" i="174"/>
  <c r="N26" i="166"/>
  <c r="K638" i="246"/>
  <c r="K700" i="246"/>
  <c r="F44" i="166"/>
  <c r="Q80" i="246" s="1"/>
  <c r="F46" i="166"/>
  <c r="Q638" i="246"/>
  <c r="F45" i="166"/>
  <c r="K142" i="246" s="1"/>
  <c r="F18" i="166"/>
  <c r="N26" i="160"/>
  <c r="F43" i="160" s="1"/>
  <c r="F47" i="160" s="1"/>
  <c r="Q165" i="246" s="1"/>
  <c r="K723" i="246"/>
  <c r="K661" i="246"/>
  <c r="F46" i="160"/>
  <c r="F44" i="160"/>
  <c r="Q103" i="246" s="1"/>
  <c r="Q661" i="246"/>
  <c r="F45" i="160"/>
  <c r="K165" i="246" s="1"/>
  <c r="O20" i="118"/>
  <c r="O20" i="271"/>
  <c r="O20" i="176"/>
  <c r="O20" i="359"/>
  <c r="O20" i="101"/>
  <c r="O20" i="354"/>
  <c r="O20" i="97"/>
  <c r="O20" i="99"/>
  <c r="H37" i="104"/>
  <c r="S281" i="246"/>
  <c r="I27" i="292"/>
  <c r="H68" i="164"/>
  <c r="H67" i="164"/>
  <c r="H69" i="164"/>
  <c r="F24" i="174"/>
  <c r="H44" i="186"/>
  <c r="K31" i="292"/>
  <c r="D42" i="192"/>
  <c r="I260" i="246" s="1"/>
  <c r="D41" i="192"/>
  <c r="I198" i="246" s="1"/>
  <c r="D38" i="192"/>
  <c r="I12" i="246" s="1"/>
  <c r="D40" i="192"/>
  <c r="I74" i="246" s="1"/>
  <c r="D37" i="192"/>
  <c r="O198" i="246" s="1"/>
  <c r="D39" i="192"/>
  <c r="O12" i="246" s="1"/>
  <c r="I756" i="246"/>
  <c r="D46" i="99"/>
  <c r="L26" i="99"/>
  <c r="D45" i="99"/>
  <c r="I152" i="246" s="1"/>
  <c r="D44" i="99"/>
  <c r="O90" i="246" s="1"/>
  <c r="I710" i="246"/>
  <c r="I648" i="246"/>
  <c r="D18" i="99"/>
  <c r="D11" i="104"/>
  <c r="O648" i="246"/>
  <c r="E28" i="292"/>
  <c r="K496" i="246"/>
  <c r="Q620" i="246"/>
  <c r="I434" i="246"/>
  <c r="O558" i="246"/>
  <c r="H24" i="84"/>
  <c r="J372" i="246"/>
  <c r="K27" i="292"/>
  <c r="H44" i="104"/>
  <c r="E45" i="126"/>
  <c r="J166" i="246" s="1"/>
  <c r="J662" i="246"/>
  <c r="P662" i="246"/>
  <c r="E44" i="126"/>
  <c r="P104" i="246" s="1"/>
  <c r="J724" i="246"/>
  <c r="E46" i="126"/>
  <c r="N26" i="192"/>
  <c r="F46" i="192"/>
  <c r="F18" i="192"/>
  <c r="Q632" i="246"/>
  <c r="F44" i="192"/>
  <c r="Q74" i="246" s="1"/>
  <c r="K632" i="246"/>
  <c r="K694" i="246"/>
  <c r="F45" i="192"/>
  <c r="K136" i="246" s="1"/>
  <c r="O656" i="209"/>
  <c r="I656" i="209"/>
  <c r="I716" i="209"/>
  <c r="D46" i="241"/>
  <c r="L26" i="241"/>
  <c r="D44" i="241"/>
  <c r="O116" i="209" s="1"/>
  <c r="D45" i="241"/>
  <c r="I176" i="209" s="1"/>
  <c r="D18" i="241"/>
  <c r="M95" i="246"/>
  <c r="P12" i="176"/>
  <c r="P12" i="101"/>
  <c r="P12" i="271"/>
  <c r="P12" i="354"/>
  <c r="P12" i="118"/>
  <c r="P12" i="97"/>
  <c r="P12" i="99"/>
  <c r="L520" i="246"/>
  <c r="H25" i="171"/>
  <c r="H39" i="171" s="1"/>
  <c r="H46" i="172"/>
  <c r="P18" i="225" s="1"/>
  <c r="Q435" i="246"/>
  <c r="D33" i="175"/>
  <c r="L695" i="209"/>
  <c r="G45" i="123"/>
  <c r="L155" i="209" s="1"/>
  <c r="G44" i="123"/>
  <c r="R95" i="209" s="1"/>
  <c r="R635" i="209"/>
  <c r="O26" i="123"/>
  <c r="L635" i="209"/>
  <c r="G46" i="123"/>
  <c r="M26" i="160"/>
  <c r="E43" i="160" s="1"/>
  <c r="E47" i="160" s="1"/>
  <c r="P165" i="246" s="1"/>
  <c r="J723" i="246"/>
  <c r="P661" i="246"/>
  <c r="E44" i="160"/>
  <c r="P103" i="246" s="1"/>
  <c r="E46" i="160"/>
  <c r="J661" i="246"/>
  <c r="E45" i="160"/>
  <c r="J165" i="246" s="1"/>
  <c r="M195" i="246"/>
  <c r="P13" i="313"/>
  <c r="P13" i="91"/>
  <c r="P13" i="270"/>
  <c r="P18" i="99"/>
  <c r="P18" i="354"/>
  <c r="P18" i="271"/>
  <c r="P18" i="101"/>
  <c r="S653" i="246"/>
  <c r="P18" i="118"/>
  <c r="P18" i="176"/>
  <c r="P18" i="97"/>
  <c r="P17" i="307"/>
  <c r="M184" i="246"/>
  <c r="J68" i="164"/>
  <c r="J69" i="164"/>
  <c r="J67" i="164"/>
  <c r="K54" i="164"/>
  <c r="L26" i="10"/>
  <c r="D43" i="10"/>
  <c r="D47" i="10" s="1"/>
  <c r="O135" i="209" s="1"/>
  <c r="D18" i="10"/>
  <c r="I615" i="209"/>
  <c r="I675" i="209"/>
  <c r="M675" i="209" s="1"/>
  <c r="O615" i="209"/>
  <c r="G45" i="99"/>
  <c r="L152" i="246" s="1"/>
  <c r="R648" i="246"/>
  <c r="L710" i="246"/>
  <c r="G44" i="99"/>
  <c r="R90" i="246" s="1"/>
  <c r="G46" i="99"/>
  <c r="O26" i="99"/>
  <c r="G11" i="104"/>
  <c r="L648" i="246"/>
  <c r="G18" i="99"/>
  <c r="P12" i="359"/>
  <c r="M77" i="246"/>
  <c r="P12" i="156"/>
  <c r="P12" i="190"/>
  <c r="P12" i="284"/>
  <c r="P12" i="192"/>
  <c r="F30" i="174"/>
  <c r="E39" i="292" s="1"/>
  <c r="K458" i="246"/>
  <c r="P18" i="279"/>
  <c r="S658" i="246"/>
  <c r="P18" i="191"/>
  <c r="P18" i="95"/>
  <c r="L723" i="246"/>
  <c r="L661" i="246"/>
  <c r="R661" i="246"/>
  <c r="G44" i="160"/>
  <c r="R103" i="246" s="1"/>
  <c r="G46" i="160"/>
  <c r="G45" i="160"/>
  <c r="L165" i="246" s="1"/>
  <c r="M26" i="10"/>
  <c r="E18" i="10"/>
  <c r="P615" i="209"/>
  <c r="E43" i="10"/>
  <c r="E47" i="10" s="1"/>
  <c r="P135" i="209" s="1"/>
  <c r="E11" i="18"/>
  <c r="J675" i="209"/>
  <c r="J615" i="209"/>
  <c r="K435" i="246"/>
  <c r="P17" i="270"/>
  <c r="P18" i="313"/>
  <c r="P17" i="91"/>
  <c r="M133" i="246"/>
  <c r="E45" i="192"/>
  <c r="J136" i="246" s="1"/>
  <c r="P632" i="246"/>
  <c r="J632" i="246"/>
  <c r="M26" i="192"/>
  <c r="E18" i="192"/>
  <c r="E44" i="192"/>
  <c r="P74" i="246" s="1"/>
  <c r="J694" i="246"/>
  <c r="E46" i="192"/>
  <c r="L628" i="246"/>
  <c r="G11" i="103"/>
  <c r="L690" i="246"/>
  <c r="M690" i="246" s="1"/>
  <c r="R628" i="246"/>
  <c r="O26" i="91"/>
  <c r="P26" i="91" s="1"/>
  <c r="G44" i="91"/>
  <c r="R70" i="246" s="1"/>
  <c r="G18" i="91"/>
  <c r="G46" i="91"/>
  <c r="G45" i="91"/>
  <c r="L132" i="246" s="1"/>
  <c r="M20" i="156"/>
  <c r="M20" i="190"/>
  <c r="M20" i="284"/>
  <c r="M20" i="192"/>
  <c r="P17" i="360"/>
  <c r="P17" i="295"/>
  <c r="P17" i="296"/>
  <c r="S467" i="246"/>
  <c r="Q497" i="246"/>
  <c r="C31" i="174"/>
  <c r="L26" i="204"/>
  <c r="D43" i="204" s="1"/>
  <c r="D47" i="204" s="1"/>
  <c r="O169" i="246" s="1"/>
  <c r="I665" i="246"/>
  <c r="D45" i="204"/>
  <c r="I169" i="246" s="1"/>
  <c r="D46" i="204"/>
  <c r="D44" i="204"/>
  <c r="O107" i="246" s="1"/>
  <c r="O665" i="246"/>
  <c r="I727" i="246"/>
  <c r="M727" i="246" s="1"/>
  <c r="P635" i="209"/>
  <c r="E44" i="123"/>
  <c r="P95" i="209" s="1"/>
  <c r="E45" i="123"/>
  <c r="J155" i="209" s="1"/>
  <c r="J635" i="209"/>
  <c r="J695" i="209"/>
  <c r="E46" i="123"/>
  <c r="M26" i="123"/>
  <c r="H33" i="171"/>
  <c r="G46" i="192"/>
  <c r="G44" i="192"/>
  <c r="R74" i="246" s="1"/>
  <c r="G18" i="192"/>
  <c r="G45" i="192"/>
  <c r="L136" i="246" s="1"/>
  <c r="L632" i="246"/>
  <c r="O26" i="192"/>
  <c r="L694" i="246"/>
  <c r="R632" i="246"/>
  <c r="L26" i="160"/>
  <c r="D43" i="160" s="1"/>
  <c r="D47" i="160" s="1"/>
  <c r="O165" i="246" s="1"/>
  <c r="D45" i="160"/>
  <c r="I165" i="246" s="1"/>
  <c r="I661" i="246"/>
  <c r="D44" i="160"/>
  <c r="O103" i="246" s="1"/>
  <c r="D46" i="160"/>
  <c r="O661" i="246"/>
  <c r="I723" i="246"/>
  <c r="H31" i="84"/>
  <c r="H45" i="84" s="1"/>
  <c r="M186" i="246" s="1"/>
  <c r="H46" i="84"/>
  <c r="S682" i="246" s="1"/>
  <c r="R620" i="246"/>
  <c r="G48" i="84"/>
  <c r="L620" i="246"/>
  <c r="I67" i="164"/>
  <c r="I69" i="164"/>
  <c r="I68" i="164"/>
  <c r="D45" i="334"/>
  <c r="I147" i="209" s="1"/>
  <c r="I687" i="209"/>
  <c r="D18" i="334"/>
  <c r="L26" i="334"/>
  <c r="I627" i="209"/>
  <c r="O627" i="209"/>
  <c r="D44" i="334"/>
  <c r="O87" i="209" s="1"/>
  <c r="D46" i="334"/>
  <c r="F43" i="10"/>
  <c r="F47" i="10" s="1"/>
  <c r="Q135" i="209" s="1"/>
  <c r="Q615" i="209"/>
  <c r="N26" i="10"/>
  <c r="F18" i="10"/>
  <c r="K675" i="209"/>
  <c r="K615" i="209"/>
  <c r="F11" i="18"/>
  <c r="P648" i="246"/>
  <c r="E11" i="104"/>
  <c r="E46" i="99"/>
  <c r="J648" i="246"/>
  <c r="E44" i="99"/>
  <c r="P90" i="246" s="1"/>
  <c r="E18" i="99"/>
  <c r="M26" i="99"/>
  <c r="E45" i="99"/>
  <c r="J152" i="246" s="1"/>
  <c r="J710" i="246"/>
  <c r="H28" i="84"/>
  <c r="H42" i="84" s="1"/>
  <c r="M310" i="246" s="1"/>
  <c r="H31" i="309"/>
  <c r="H45" i="309" s="1"/>
  <c r="H30" i="172"/>
  <c r="H44" i="172" s="1"/>
  <c r="R374" i="246"/>
  <c r="AA37" i="292"/>
  <c r="H25" i="170"/>
  <c r="H39" i="170" s="1"/>
  <c r="P11" i="178" s="1"/>
  <c r="F23" i="174"/>
  <c r="Q304" i="246"/>
  <c r="F12" i="175"/>
  <c r="D13" i="175"/>
  <c r="O552" i="246"/>
  <c r="D25" i="174"/>
  <c r="H25" i="172"/>
  <c r="P366" i="246"/>
  <c r="I552" i="246"/>
  <c r="F31" i="175"/>
  <c r="F48" i="170"/>
  <c r="K490" i="246"/>
  <c r="Q428" i="246"/>
  <c r="K622" i="246"/>
  <c r="F48" i="231"/>
  <c r="G37" i="292"/>
  <c r="Q622" i="246"/>
  <c r="I560" i="246"/>
  <c r="O560" i="246"/>
  <c r="H25" i="231"/>
  <c r="O436" i="246"/>
  <c r="H33" i="170"/>
  <c r="C37" i="292"/>
  <c r="R312" i="246"/>
  <c r="Q560" i="246"/>
  <c r="K498" i="246"/>
  <c r="Q436" i="246"/>
  <c r="H39" i="226"/>
  <c r="S54" i="246" s="1"/>
  <c r="S364" i="246"/>
  <c r="H46" i="170"/>
  <c r="P18" i="187" s="1"/>
  <c r="D28" i="175"/>
  <c r="Q746" i="246"/>
  <c r="Q498" i="246"/>
  <c r="P312" i="246"/>
  <c r="Q312" i="246"/>
  <c r="H44" i="223"/>
  <c r="S84" i="246" s="1"/>
  <c r="K35" i="292"/>
  <c r="H30" i="171"/>
  <c r="H44" i="171" s="1"/>
  <c r="O582" i="246"/>
  <c r="I458" i="246"/>
  <c r="J520" i="246"/>
  <c r="P396" i="246"/>
  <c r="Q334" i="246"/>
  <c r="P334" i="246"/>
  <c r="P520" i="246"/>
  <c r="J498" i="246"/>
  <c r="E23" i="174"/>
  <c r="P272" i="246"/>
  <c r="J396" i="246"/>
  <c r="Q272" i="246"/>
  <c r="D30" i="175"/>
  <c r="H30" i="175" s="1"/>
  <c r="H44" i="175" s="1"/>
  <c r="H30" i="173"/>
  <c r="H44" i="173" s="1"/>
  <c r="P374" i="246"/>
  <c r="J560" i="246"/>
  <c r="P560" i="246"/>
  <c r="Q374" i="246"/>
  <c r="P436" i="246"/>
  <c r="AA22" i="292"/>
  <c r="S470" i="209"/>
  <c r="P17" i="356"/>
  <c r="M170" i="209"/>
  <c r="H32" i="328"/>
  <c r="P602" i="209"/>
  <c r="O482" i="209"/>
  <c r="I422" i="209"/>
  <c r="D48" i="228"/>
  <c r="L20" i="225" s="1"/>
  <c r="H31" i="228"/>
  <c r="H45" i="228" s="1"/>
  <c r="M182" i="209" s="1"/>
  <c r="R482" i="209"/>
  <c r="L362" i="209"/>
  <c r="P10" i="345"/>
  <c r="L20" i="356"/>
  <c r="L20" i="345"/>
  <c r="O542" i="209"/>
  <c r="I362" i="209"/>
  <c r="P302" i="209"/>
  <c r="O422" i="209"/>
  <c r="O302" i="209"/>
  <c r="I482" i="209"/>
  <c r="J362" i="209"/>
  <c r="G32" i="175"/>
  <c r="H37" i="225"/>
  <c r="I21" i="292"/>
  <c r="S290" i="209"/>
  <c r="I602" i="209"/>
  <c r="O602" i="209"/>
  <c r="H31" i="170"/>
  <c r="H45" i="170" s="1"/>
  <c r="D31" i="175"/>
  <c r="D48" i="170"/>
  <c r="S530" i="209"/>
  <c r="M230" i="209"/>
  <c r="P13" i="345"/>
  <c r="P13" i="356"/>
  <c r="E22" i="292"/>
  <c r="K482" i="209"/>
  <c r="Q602" i="209"/>
  <c r="H32" i="228"/>
  <c r="M662" i="209" s="1"/>
  <c r="H46" i="228"/>
  <c r="S662" i="209" s="1"/>
  <c r="S650" i="209"/>
  <c r="P18" i="345"/>
  <c r="P18" i="356"/>
  <c r="D24" i="175"/>
  <c r="H24" i="170"/>
  <c r="H38" i="170" s="1"/>
  <c r="H32" i="170"/>
  <c r="P422" i="209"/>
  <c r="Q362" i="209"/>
  <c r="P362" i="209"/>
  <c r="J542" i="209"/>
  <c r="E48" i="228"/>
  <c r="M20" i="225" s="1"/>
  <c r="J602" i="209"/>
  <c r="H37" i="212"/>
  <c r="S210" i="209" s="1"/>
  <c r="S270" i="209"/>
  <c r="I20" i="292"/>
  <c r="L422" i="209"/>
  <c r="R542" i="209"/>
  <c r="R422" i="209"/>
  <c r="R302" i="209"/>
  <c r="H23" i="228"/>
  <c r="L482" i="209"/>
  <c r="P542" i="209"/>
  <c r="H27" i="173"/>
  <c r="H41" i="173" s="1"/>
  <c r="G27" i="175"/>
  <c r="N28" i="292"/>
  <c r="P28" i="292" s="1"/>
  <c r="Q496" i="246"/>
  <c r="Q744" i="246"/>
  <c r="F43" i="191"/>
  <c r="F47" i="191" s="1"/>
  <c r="Q161" i="246" s="1"/>
  <c r="P559" i="246"/>
  <c r="R304" i="246"/>
  <c r="G23" i="174"/>
  <c r="L490" i="246"/>
  <c r="L428" i="246"/>
  <c r="H23" i="172"/>
  <c r="R428" i="246"/>
  <c r="M20" i="279"/>
  <c r="M20" i="95"/>
  <c r="M20" i="191"/>
  <c r="H37" i="186"/>
  <c r="S286" i="246"/>
  <c r="I31" i="292"/>
  <c r="J559" i="246"/>
  <c r="P373" i="246"/>
  <c r="Q373" i="246"/>
  <c r="H26" i="172"/>
  <c r="H40" i="172" s="1"/>
  <c r="D26" i="174"/>
  <c r="P13" i="95"/>
  <c r="P13" i="279"/>
  <c r="P13" i="191"/>
  <c r="M224" i="246"/>
  <c r="E48" i="172"/>
  <c r="J614" i="246"/>
  <c r="E29" i="174"/>
  <c r="O706" i="246"/>
  <c r="O458" i="246"/>
  <c r="D12" i="174"/>
  <c r="F12" i="174"/>
  <c r="Q706" i="246"/>
  <c r="Q458" i="246"/>
  <c r="R738" i="246"/>
  <c r="S738" i="246" s="1"/>
  <c r="R490" i="246"/>
  <c r="G12" i="174"/>
  <c r="S257" i="246"/>
  <c r="I26" i="292"/>
  <c r="H37" i="103"/>
  <c r="F39" i="91"/>
  <c r="Q8" i="246" s="1"/>
  <c r="G37" i="141"/>
  <c r="R232" i="246" s="1"/>
  <c r="G39" i="141"/>
  <c r="R46" i="246" s="1"/>
  <c r="L790" i="246"/>
  <c r="G42" i="141"/>
  <c r="L294" i="246" s="1"/>
  <c r="G38" i="141"/>
  <c r="L46" i="246" s="1"/>
  <c r="G41" i="141"/>
  <c r="L232" i="246" s="1"/>
  <c r="G40" i="141"/>
  <c r="L108" i="246" s="1"/>
  <c r="E21" i="228"/>
  <c r="E35" i="228"/>
  <c r="L29" i="324"/>
  <c r="L7" i="324"/>
  <c r="L23" i="324"/>
  <c r="P16" i="214"/>
  <c r="S84" i="209"/>
  <c r="P16" i="213"/>
  <c r="P16" i="105"/>
  <c r="H21" i="327"/>
  <c r="H35" i="327"/>
  <c r="H21" i="175"/>
  <c r="H35" i="175"/>
  <c r="D35" i="315"/>
  <c r="D7" i="315"/>
  <c r="D21" i="315"/>
  <c r="L23" i="315" s="1"/>
  <c r="D7" i="195"/>
  <c r="D21" i="195"/>
  <c r="L23" i="195" s="1"/>
  <c r="D35" i="195"/>
  <c r="E21" i="174"/>
  <c r="E35" i="174"/>
  <c r="D7" i="221"/>
  <c r="D21" i="221"/>
  <c r="L23" i="221" s="1"/>
  <c r="D35" i="221"/>
  <c r="D21" i="337"/>
  <c r="L23" i="337" s="1"/>
  <c r="D35" i="337"/>
  <c r="D7" i="337"/>
  <c r="D7" i="118"/>
  <c r="D21" i="118"/>
  <c r="L23" i="118" s="1"/>
  <c r="D35" i="118"/>
  <c r="D7" i="191"/>
  <c r="D21" i="191"/>
  <c r="L23" i="191" s="1"/>
  <c r="D35" i="191"/>
  <c r="L26" i="141"/>
  <c r="D18" i="141"/>
  <c r="D44" i="141"/>
  <c r="O108" i="246" s="1"/>
  <c r="D46" i="141"/>
  <c r="O666" i="246"/>
  <c r="I728" i="246"/>
  <c r="M728" i="246" s="1"/>
  <c r="I666" i="246"/>
  <c r="D45" i="141"/>
  <c r="I170" i="246" s="1"/>
  <c r="H35" i="228"/>
  <c r="H21" i="228"/>
  <c r="F21" i="175"/>
  <c r="F35" i="175"/>
  <c r="L26" i="189"/>
  <c r="D43" i="189" s="1"/>
  <c r="D47" i="189" s="1"/>
  <c r="O173" i="246" s="1"/>
  <c r="I669" i="246"/>
  <c r="D46" i="189"/>
  <c r="D44" i="189"/>
  <c r="O111" i="246" s="1"/>
  <c r="O669" i="246"/>
  <c r="I731" i="246"/>
  <c r="M731" i="246" s="1"/>
  <c r="D45" i="189"/>
  <c r="I173" i="246" s="1"/>
  <c r="E35" i="327"/>
  <c r="E21" i="327"/>
  <c r="D21" i="293"/>
  <c r="L23" i="293" s="1"/>
  <c r="D7" i="293"/>
  <c r="D35" i="293"/>
  <c r="H21" i="173"/>
  <c r="H35" i="173"/>
  <c r="F41" i="204"/>
  <c r="K231" i="246" s="1"/>
  <c r="F42" i="204"/>
  <c r="K293" i="246" s="1"/>
  <c r="F38" i="204"/>
  <c r="K45" i="246" s="1"/>
  <c r="F40" i="204"/>
  <c r="K107" i="246" s="1"/>
  <c r="F39" i="204"/>
  <c r="Q45" i="246" s="1"/>
  <c r="K789" i="246"/>
  <c r="F37" i="204"/>
  <c r="Q231" i="246" s="1"/>
  <c r="D39" i="204"/>
  <c r="O45" i="246" s="1"/>
  <c r="D40" i="204"/>
  <c r="I107" i="246" s="1"/>
  <c r="D42" i="204"/>
  <c r="I293" i="246" s="1"/>
  <c r="I789" i="246"/>
  <c r="D38" i="204"/>
  <c r="I45" i="246" s="1"/>
  <c r="D41" i="204"/>
  <c r="I231" i="246" s="1"/>
  <c r="D37" i="204"/>
  <c r="O231" i="246" s="1"/>
  <c r="T16" i="49"/>
  <c r="C777" i="209"/>
  <c r="V777" i="209" s="1"/>
  <c r="V717" i="209"/>
  <c r="G21" i="231"/>
  <c r="G35" i="231"/>
  <c r="F21" i="328"/>
  <c r="F35" i="328"/>
  <c r="H21" i="170"/>
  <c r="H35" i="170"/>
  <c r="F21" i="228"/>
  <c r="F35" i="228"/>
  <c r="D21" i="188"/>
  <c r="L23" i="188" s="1"/>
  <c r="D35" i="188"/>
  <c r="D7" i="188"/>
  <c r="D7" i="355"/>
  <c r="D21" i="355"/>
  <c r="L23" i="355" s="1"/>
  <c r="D35" i="355"/>
  <c r="L29" i="325"/>
  <c r="L7" i="325"/>
  <c r="L35" i="325"/>
  <c r="L23" i="325"/>
  <c r="D21" i="139"/>
  <c r="L23" i="139" s="1"/>
  <c r="D35" i="139"/>
  <c r="D7" i="139"/>
  <c r="D7" i="344"/>
  <c r="D21" i="344"/>
  <c r="L23" i="344" s="1"/>
  <c r="D35" i="344"/>
  <c r="D7" i="356"/>
  <c r="D35" i="356"/>
  <c r="D21" i="356"/>
  <c r="L23" i="356" s="1"/>
  <c r="F42" i="146"/>
  <c r="K298" i="246" s="1"/>
  <c r="K794" i="246"/>
  <c r="F38" i="146"/>
  <c r="K50" i="246" s="1"/>
  <c r="F41" i="146"/>
  <c r="K236" i="246" s="1"/>
  <c r="F37" i="146"/>
  <c r="Q236" i="246" s="1"/>
  <c r="F40" i="146"/>
  <c r="K112" i="246" s="1"/>
  <c r="F39" i="146"/>
  <c r="Q50" i="246" s="1"/>
  <c r="H27" i="250"/>
  <c r="H41" i="250" s="1"/>
  <c r="M241" i="209" s="1"/>
  <c r="F21" i="229"/>
  <c r="F35" i="229"/>
  <c r="E14" i="170"/>
  <c r="E14" i="172"/>
  <c r="E40" i="160"/>
  <c r="J103" i="246" s="1"/>
  <c r="E42" i="160"/>
  <c r="J289" i="246" s="1"/>
  <c r="E38" i="160"/>
  <c r="J41" i="246" s="1"/>
  <c r="E39" i="160"/>
  <c r="P41" i="246" s="1"/>
  <c r="J785" i="246"/>
  <c r="E41" i="160"/>
  <c r="J227" i="246" s="1"/>
  <c r="E37" i="160"/>
  <c r="P227" i="246" s="1"/>
  <c r="H28" i="250"/>
  <c r="H42" i="250" s="1"/>
  <c r="M301" i="209" s="1"/>
  <c r="G21" i="229"/>
  <c r="G35" i="229"/>
  <c r="E35" i="175"/>
  <c r="E21" i="175"/>
  <c r="G35" i="228"/>
  <c r="G21" i="228"/>
  <c r="D7" i="194"/>
  <c r="D21" i="194"/>
  <c r="L23" i="194" s="1"/>
  <c r="D35" i="194"/>
  <c r="G9" i="164"/>
  <c r="G65" i="164"/>
  <c r="G31" i="164"/>
  <c r="G58" i="164"/>
  <c r="G24" i="164"/>
  <c r="G43" i="164"/>
  <c r="D7" i="347"/>
  <c r="D21" i="347"/>
  <c r="L23" i="347" s="1"/>
  <c r="D35" i="347"/>
  <c r="D21" i="97"/>
  <c r="L23" i="97" s="1"/>
  <c r="D35" i="97"/>
  <c r="D7" i="97"/>
  <c r="D7" i="307"/>
  <c r="D21" i="307"/>
  <c r="L23" i="307" s="1"/>
  <c r="D35" i="307"/>
  <c r="E21" i="170"/>
  <c r="E35" i="170"/>
  <c r="D7" i="295"/>
  <c r="D35" i="295"/>
  <c r="D21" i="295"/>
  <c r="L23" i="295" s="1"/>
  <c r="E42" i="195"/>
  <c r="J296" i="246" s="1"/>
  <c r="E37" i="195"/>
  <c r="P234" i="246" s="1"/>
  <c r="E38" i="195"/>
  <c r="J48" i="246" s="1"/>
  <c r="E40" i="195"/>
  <c r="J110" i="246" s="1"/>
  <c r="J792" i="246"/>
  <c r="E41" i="195"/>
  <c r="J234" i="246" s="1"/>
  <c r="E39" i="195"/>
  <c r="P48" i="246" s="1"/>
  <c r="D21" i="187"/>
  <c r="L23" i="187" s="1"/>
  <c r="D35" i="187"/>
  <c r="D7" i="187"/>
  <c r="D35" i="349"/>
  <c r="D21" i="349"/>
  <c r="L23" i="349" s="1"/>
  <c r="D7" i="349"/>
  <c r="N26" i="183"/>
  <c r="F43" i="183" s="1"/>
  <c r="F47" i="183" s="1"/>
  <c r="Q177" i="246" s="1"/>
  <c r="F18" i="183"/>
  <c r="F44" i="183"/>
  <c r="Q115" i="246" s="1"/>
  <c r="F46" i="183"/>
  <c r="K673" i="246"/>
  <c r="K735" i="246"/>
  <c r="Q673" i="246"/>
  <c r="F45" i="183"/>
  <c r="K177" i="246" s="1"/>
  <c r="D14" i="231"/>
  <c r="D14" i="170"/>
  <c r="D14" i="175" s="1"/>
  <c r="D14" i="172"/>
  <c r="D14" i="174" s="1"/>
  <c r="G14" i="226"/>
  <c r="T26" i="28"/>
  <c r="D18" i="103"/>
  <c r="D39" i="91"/>
  <c r="D42" i="91"/>
  <c r="I256" i="246" s="1"/>
  <c r="I752" i="246"/>
  <c r="D40" i="91"/>
  <c r="D38" i="91"/>
  <c r="D41" i="91"/>
  <c r="D37" i="91"/>
  <c r="D7" i="166"/>
  <c r="D21" i="166"/>
  <c r="L23" i="166" s="1"/>
  <c r="D35" i="166"/>
  <c r="G21" i="327"/>
  <c r="G35" i="327"/>
  <c r="H35" i="229"/>
  <c r="H21" i="229"/>
  <c r="D21" i="202"/>
  <c r="L23" i="202" s="1"/>
  <c r="D35" i="202"/>
  <c r="D7" i="202"/>
  <c r="D21" i="219"/>
  <c r="L23" i="219" s="1"/>
  <c r="D35" i="219"/>
  <c r="D7" i="219"/>
  <c r="D21" i="313"/>
  <c r="L23" i="313" s="1"/>
  <c r="D35" i="313"/>
  <c r="D7" i="313"/>
  <c r="D35" i="4"/>
  <c r="D7" i="4"/>
  <c r="D21" i="4"/>
  <c r="L23" i="4" s="1"/>
  <c r="D7" i="154"/>
  <c r="D21" i="154"/>
  <c r="L23" i="154" s="1"/>
  <c r="D35" i="154"/>
  <c r="N23" i="49"/>
  <c r="G21" i="170"/>
  <c r="G35" i="170"/>
  <c r="E21" i="231"/>
  <c r="E35" i="231"/>
  <c r="E18" i="141"/>
  <c r="M26" i="141"/>
  <c r="E43" i="141" s="1"/>
  <c r="E47" i="141" s="1"/>
  <c r="P170" i="246" s="1"/>
  <c r="J728" i="246"/>
  <c r="P666" i="246"/>
  <c r="J666" i="246"/>
  <c r="E44" i="141"/>
  <c r="P108" i="246" s="1"/>
  <c r="E46" i="141"/>
  <c r="E45" i="141"/>
  <c r="J170" i="246" s="1"/>
  <c r="G18" i="194"/>
  <c r="G40" i="194" s="1"/>
  <c r="L102" i="246" s="1"/>
  <c r="G41" i="188"/>
  <c r="L230" i="246" s="1"/>
  <c r="L788" i="246"/>
  <c r="G37" i="188"/>
  <c r="R230" i="246" s="1"/>
  <c r="G39" i="188"/>
  <c r="R44" i="246" s="1"/>
  <c r="G40" i="188"/>
  <c r="L106" i="246" s="1"/>
  <c r="G42" i="188"/>
  <c r="L292" i="246" s="1"/>
  <c r="G38" i="188"/>
  <c r="L44" i="246" s="1"/>
  <c r="R14" i="33"/>
  <c r="H21" i="174"/>
  <c r="H35" i="174"/>
  <c r="G21" i="173"/>
  <c r="G35" i="173"/>
  <c r="D7" i="190"/>
  <c r="D21" i="190"/>
  <c r="L23" i="190" s="1"/>
  <c r="D35" i="190"/>
  <c r="G18" i="183"/>
  <c r="H18" i="183" s="1"/>
  <c r="G46" i="183"/>
  <c r="L673" i="246"/>
  <c r="G45" i="183"/>
  <c r="L177" i="246" s="1"/>
  <c r="G44" i="183"/>
  <c r="R115" i="246" s="1"/>
  <c r="R673" i="246"/>
  <c r="L735" i="246"/>
  <c r="M735" i="246" s="1"/>
  <c r="M26" i="183"/>
  <c r="E43" i="183" s="1"/>
  <c r="E47" i="183" s="1"/>
  <c r="P177" i="246" s="1"/>
  <c r="E18" i="183"/>
  <c r="E45" i="183"/>
  <c r="J177" i="246" s="1"/>
  <c r="E44" i="183"/>
  <c r="P115" i="246" s="1"/>
  <c r="J735" i="246"/>
  <c r="E46" i="183"/>
  <c r="P673" i="246"/>
  <c r="J673" i="246"/>
  <c r="M26" i="194"/>
  <c r="E43" i="194" s="1"/>
  <c r="E47" i="194" s="1"/>
  <c r="P164" i="246" s="1"/>
  <c r="E18" i="194"/>
  <c r="E44" i="194"/>
  <c r="P102" i="246" s="1"/>
  <c r="J660" i="246"/>
  <c r="P660" i="246"/>
  <c r="E45" i="194"/>
  <c r="J164" i="246" s="1"/>
  <c r="J722" i="246"/>
  <c r="E46" i="194"/>
  <c r="F14" i="226"/>
  <c r="O89" i="246"/>
  <c r="V412" i="209"/>
  <c r="C472" i="209"/>
  <c r="L26" i="103"/>
  <c r="D43" i="91"/>
  <c r="E14" i="231"/>
  <c r="G21" i="174"/>
  <c r="G35" i="174"/>
  <c r="F21" i="327"/>
  <c r="F35" i="327"/>
  <c r="E35" i="229"/>
  <c r="E21" i="229"/>
  <c r="L29" i="349"/>
  <c r="L7" i="349"/>
  <c r="D21" i="334"/>
  <c r="L23" i="334" s="1"/>
  <c r="D35" i="334"/>
  <c r="D7" i="334"/>
  <c r="D7" i="101"/>
  <c r="D21" i="101"/>
  <c r="L23" i="101" s="1"/>
  <c r="D35" i="101"/>
  <c r="M26" i="189"/>
  <c r="E43" i="189" s="1"/>
  <c r="E47" i="189" s="1"/>
  <c r="P173" i="246" s="1"/>
  <c r="E18" i="189"/>
  <c r="J731" i="246"/>
  <c r="P669" i="246"/>
  <c r="E46" i="189"/>
  <c r="J669" i="246"/>
  <c r="E45" i="189"/>
  <c r="J173" i="246" s="1"/>
  <c r="E44" i="189"/>
  <c r="P111" i="246" s="1"/>
  <c r="F18" i="270"/>
  <c r="K672" i="246"/>
  <c r="F46" i="270"/>
  <c r="F45" i="270"/>
  <c r="K176" i="246" s="1"/>
  <c r="Q672" i="246"/>
  <c r="K734" i="246"/>
  <c r="F44" i="270"/>
  <c r="Q114" i="246" s="1"/>
  <c r="D21" i="214"/>
  <c r="L23" i="214" s="1"/>
  <c r="D35" i="214"/>
  <c r="D7" i="214"/>
  <c r="D7" i="126"/>
  <c r="D21" i="126"/>
  <c r="L23" i="126" s="1"/>
  <c r="D35" i="126"/>
  <c r="P13" i="347"/>
  <c r="P13" i="221"/>
  <c r="P13" i="220"/>
  <c r="M237" i="209"/>
  <c r="N26" i="189"/>
  <c r="F43" i="189" s="1"/>
  <c r="F47" i="189" s="1"/>
  <c r="Q173" i="246" s="1"/>
  <c r="K669" i="246"/>
  <c r="F45" i="189"/>
  <c r="K173" i="246" s="1"/>
  <c r="F46" i="189"/>
  <c r="K731" i="246"/>
  <c r="F44" i="189"/>
  <c r="Q111" i="246" s="1"/>
  <c r="Q669" i="246"/>
  <c r="O26" i="126"/>
  <c r="R662" i="246"/>
  <c r="L662" i="246"/>
  <c r="G46" i="126"/>
  <c r="G45" i="126"/>
  <c r="L166" i="246" s="1"/>
  <c r="L724" i="246"/>
  <c r="G44" i="126"/>
  <c r="R104" i="246" s="1"/>
  <c r="N26" i="151"/>
  <c r="F43" i="151" s="1"/>
  <c r="F47" i="151" s="1"/>
  <c r="Q167" i="246" s="1"/>
  <c r="F18" i="151"/>
  <c r="F44" i="151"/>
  <c r="Q105" i="246" s="1"/>
  <c r="F45" i="151"/>
  <c r="K167" i="246" s="1"/>
  <c r="Q663" i="246"/>
  <c r="F46" i="151"/>
  <c r="K725" i="246"/>
  <c r="K663" i="246"/>
  <c r="D18" i="194"/>
  <c r="I660" i="246"/>
  <c r="O660" i="246"/>
  <c r="I722" i="246"/>
  <c r="M722" i="246" s="1"/>
  <c r="D44" i="194"/>
  <c r="O102" i="246" s="1"/>
  <c r="D46" i="194"/>
  <c r="D45" i="194"/>
  <c r="I164" i="246" s="1"/>
  <c r="D40" i="183"/>
  <c r="I115" i="246" s="1"/>
  <c r="D42" i="183"/>
  <c r="I301" i="246" s="1"/>
  <c r="D41" i="183"/>
  <c r="I239" i="246" s="1"/>
  <c r="D39" i="183"/>
  <c r="O53" i="246" s="1"/>
  <c r="D37" i="183"/>
  <c r="O239" i="246" s="1"/>
  <c r="I797" i="246"/>
  <c r="D38" i="183"/>
  <c r="I53" i="246" s="1"/>
  <c r="F38" i="203"/>
  <c r="K51" i="246" s="1"/>
  <c r="F42" i="203"/>
  <c r="K299" i="246" s="1"/>
  <c r="K795" i="246"/>
  <c r="F40" i="203"/>
  <c r="K113" i="246" s="1"/>
  <c r="F39" i="203"/>
  <c r="Q51" i="246" s="1"/>
  <c r="F41" i="203"/>
  <c r="K237" i="246" s="1"/>
  <c r="F37" i="203"/>
  <c r="Q237" i="246" s="1"/>
  <c r="T20" i="49"/>
  <c r="T21" i="49" s="1"/>
  <c r="D21" i="151"/>
  <c r="L23" i="151" s="1"/>
  <c r="D35" i="151"/>
  <c r="D7" i="151"/>
  <c r="F21" i="231"/>
  <c r="F35" i="231"/>
  <c r="G35" i="328"/>
  <c r="G21" i="328"/>
  <c r="F35" i="173"/>
  <c r="F21" i="173"/>
  <c r="F21" i="174"/>
  <c r="F35" i="174"/>
  <c r="D21" i="290"/>
  <c r="D7" i="290"/>
  <c r="D35" i="290"/>
  <c r="D21" i="10"/>
  <c r="L23" i="10" s="1"/>
  <c r="D35" i="10"/>
  <c r="D7" i="10"/>
  <c r="N26" i="195"/>
  <c r="F43" i="195" s="1"/>
  <c r="F47" i="195" s="1"/>
  <c r="Q172" i="246" s="1"/>
  <c r="F18" i="195"/>
  <c r="F44" i="195"/>
  <c r="Q110" i="246" s="1"/>
  <c r="F45" i="195"/>
  <c r="K172" i="246" s="1"/>
  <c r="K730" i="246"/>
  <c r="F46" i="195"/>
  <c r="K668" i="246"/>
  <c r="Q668" i="246"/>
  <c r="G43" i="183"/>
  <c r="G47" i="183" s="1"/>
  <c r="R177" i="246" s="1"/>
  <c r="P26" i="183"/>
  <c r="G37" i="146"/>
  <c r="R236" i="246" s="1"/>
  <c r="L794" i="246"/>
  <c r="G40" i="146"/>
  <c r="L112" i="246" s="1"/>
  <c r="G39" i="146"/>
  <c r="R50" i="246" s="1"/>
  <c r="G38" i="146"/>
  <c r="L50" i="246" s="1"/>
  <c r="G42" i="146"/>
  <c r="L298" i="246" s="1"/>
  <c r="G41" i="146"/>
  <c r="L236" i="246" s="1"/>
  <c r="G43" i="270"/>
  <c r="G47" i="270" s="1"/>
  <c r="R176" i="246" s="1"/>
  <c r="I151" i="246"/>
  <c r="G43" i="194"/>
  <c r="G47" i="194" s="1"/>
  <c r="R164" i="246" s="1"/>
  <c r="L26" i="151"/>
  <c r="D11" i="226"/>
  <c r="D18" i="151"/>
  <c r="I725" i="246"/>
  <c r="M725" i="246" s="1"/>
  <c r="I663" i="246"/>
  <c r="D44" i="151"/>
  <c r="O663" i="246"/>
  <c r="D45" i="151"/>
  <c r="D46" i="151"/>
  <c r="F37" i="160"/>
  <c r="Q227" i="246" s="1"/>
  <c r="F42" i="160"/>
  <c r="K289" i="246" s="1"/>
  <c r="F40" i="160"/>
  <c r="K103" i="246" s="1"/>
  <c r="F41" i="160"/>
  <c r="K227" i="246" s="1"/>
  <c r="K785" i="246"/>
  <c r="F38" i="160"/>
  <c r="K41" i="246" s="1"/>
  <c r="F39" i="160"/>
  <c r="Q41" i="246" s="1"/>
  <c r="L26" i="203"/>
  <c r="D18" i="203"/>
  <c r="O671" i="246"/>
  <c r="I671" i="246"/>
  <c r="D46" i="203"/>
  <c r="D45" i="203"/>
  <c r="I733" i="246"/>
  <c r="M733" i="246" s="1"/>
  <c r="D44" i="203"/>
  <c r="M26" i="151"/>
  <c r="E18" i="151"/>
  <c r="E11" i="226"/>
  <c r="J725" i="246"/>
  <c r="J663" i="246"/>
  <c r="E46" i="151"/>
  <c r="E44" i="151"/>
  <c r="P105" i="246" s="1"/>
  <c r="P663" i="246"/>
  <c r="E45" i="151"/>
  <c r="J167" i="246" s="1"/>
  <c r="G41" i="204"/>
  <c r="L231" i="246" s="1"/>
  <c r="G42" i="204"/>
  <c r="L293" i="246" s="1"/>
  <c r="G39" i="204"/>
  <c r="R45" i="246" s="1"/>
  <c r="H18" i="204"/>
  <c r="G37" i="204"/>
  <c r="R231" i="246" s="1"/>
  <c r="L789" i="246"/>
  <c r="G40" i="204"/>
  <c r="L107" i="246" s="1"/>
  <c r="G38" i="204"/>
  <c r="L45" i="246" s="1"/>
  <c r="G39" i="151"/>
  <c r="R43" i="246" s="1"/>
  <c r="L787" i="246"/>
  <c r="G41" i="151"/>
  <c r="L229" i="246" s="1"/>
  <c r="G40" i="151"/>
  <c r="L105" i="246" s="1"/>
  <c r="G38" i="151"/>
  <c r="L43" i="246" s="1"/>
  <c r="G37" i="151"/>
  <c r="R229" i="246" s="1"/>
  <c r="G42" i="151"/>
  <c r="L291" i="246" s="1"/>
  <c r="F37" i="189"/>
  <c r="Q235" i="246" s="1"/>
  <c r="F41" i="189"/>
  <c r="K235" i="246" s="1"/>
  <c r="K793" i="246"/>
  <c r="F42" i="189"/>
  <c r="K297" i="246" s="1"/>
  <c r="F38" i="189"/>
  <c r="K49" i="246" s="1"/>
  <c r="F40" i="189"/>
  <c r="K111" i="246" s="1"/>
  <c r="F39" i="189"/>
  <c r="Q49" i="246" s="1"/>
  <c r="M26" i="137"/>
  <c r="E43" i="137" s="1"/>
  <c r="E47" i="137" s="1"/>
  <c r="P171" i="246" s="1"/>
  <c r="E18" i="137"/>
  <c r="E46" i="137"/>
  <c r="J729" i="246"/>
  <c r="E45" i="137"/>
  <c r="J171" i="246" s="1"/>
  <c r="J667" i="246"/>
  <c r="E44" i="137"/>
  <c r="P109" i="246" s="1"/>
  <c r="P667" i="246"/>
  <c r="G43" i="204"/>
  <c r="G47" i="204" s="1"/>
  <c r="R169" i="246" s="1"/>
  <c r="G42" i="160"/>
  <c r="L289" i="246" s="1"/>
  <c r="G39" i="160"/>
  <c r="R41" i="246" s="1"/>
  <c r="G40" i="160"/>
  <c r="L103" i="246" s="1"/>
  <c r="G41" i="160"/>
  <c r="L227" i="246" s="1"/>
  <c r="G38" i="160"/>
  <c r="L41" i="246" s="1"/>
  <c r="L785" i="246"/>
  <c r="G37" i="160"/>
  <c r="R227" i="246" s="1"/>
  <c r="D18" i="137"/>
  <c r="L26" i="137"/>
  <c r="I667" i="246"/>
  <c r="D44" i="137"/>
  <c r="D46" i="137"/>
  <c r="D45" i="137"/>
  <c r="O667" i="246"/>
  <c r="I729" i="246"/>
  <c r="E18" i="204"/>
  <c r="M26" i="204"/>
  <c r="E43" i="204" s="1"/>
  <c r="E47" i="204" s="1"/>
  <c r="P169" i="246" s="1"/>
  <c r="J665" i="246"/>
  <c r="P665" i="246"/>
  <c r="E46" i="204"/>
  <c r="E45" i="204"/>
  <c r="J169" i="246" s="1"/>
  <c r="J727" i="246"/>
  <c r="E44" i="204"/>
  <c r="P107" i="246" s="1"/>
  <c r="D40" i="160"/>
  <c r="D41" i="160"/>
  <c r="D42" i="160"/>
  <c r="H18" i="160"/>
  <c r="D37" i="160"/>
  <c r="I785" i="246"/>
  <c r="D39" i="160"/>
  <c r="D38" i="160"/>
  <c r="M26" i="203"/>
  <c r="E43" i="203" s="1"/>
  <c r="E47" i="203" s="1"/>
  <c r="P175" i="246" s="1"/>
  <c r="E18" i="203"/>
  <c r="E45" i="203"/>
  <c r="J175" i="246" s="1"/>
  <c r="E46" i="203"/>
  <c r="E44" i="203"/>
  <c r="P113" i="246" s="1"/>
  <c r="P671" i="246"/>
  <c r="J671" i="246"/>
  <c r="J733" i="246"/>
  <c r="G37" i="203"/>
  <c r="R237" i="246" s="1"/>
  <c r="L795" i="246"/>
  <c r="G40" i="203"/>
  <c r="L113" i="246" s="1"/>
  <c r="G39" i="203"/>
  <c r="R51" i="246" s="1"/>
  <c r="G38" i="203"/>
  <c r="L51" i="246" s="1"/>
  <c r="G42" i="203"/>
  <c r="L299" i="246" s="1"/>
  <c r="G41" i="203"/>
  <c r="L237" i="246" s="1"/>
  <c r="F38" i="137"/>
  <c r="K47" i="246" s="1"/>
  <c r="F37" i="137"/>
  <c r="Q233" i="246" s="1"/>
  <c r="F41" i="137"/>
  <c r="K233" i="246" s="1"/>
  <c r="F39" i="137"/>
  <c r="Q47" i="246" s="1"/>
  <c r="F40" i="137"/>
  <c r="K109" i="246" s="1"/>
  <c r="K791" i="246"/>
  <c r="F42" i="137"/>
  <c r="K295" i="246" s="1"/>
  <c r="G43" i="189"/>
  <c r="G47" i="189" s="1"/>
  <c r="R173" i="246" s="1"/>
  <c r="E43" i="345"/>
  <c r="E47" i="345" s="1"/>
  <c r="P169" i="209" s="1"/>
  <c r="P769" i="209"/>
  <c r="E18" i="270"/>
  <c r="M26" i="270"/>
  <c r="E43" i="270" s="1"/>
  <c r="E47" i="270" s="1"/>
  <c r="P176" i="246" s="1"/>
  <c r="P672" i="246"/>
  <c r="E46" i="270"/>
  <c r="E44" i="270"/>
  <c r="P114" i="246" s="1"/>
  <c r="E45" i="270"/>
  <c r="J176" i="246" s="1"/>
  <c r="J672" i="246"/>
  <c r="J734" i="246"/>
  <c r="D42" i="189"/>
  <c r="D41" i="189"/>
  <c r="I793" i="246"/>
  <c r="D38" i="189"/>
  <c r="D39" i="189"/>
  <c r="D37" i="189"/>
  <c r="D40" i="189"/>
  <c r="H18" i="189"/>
  <c r="P26" i="194"/>
  <c r="D43" i="194"/>
  <c r="G42" i="189"/>
  <c r="L297" i="246" s="1"/>
  <c r="L793" i="246"/>
  <c r="G41" i="189"/>
  <c r="L235" i="246" s="1"/>
  <c r="G39" i="189"/>
  <c r="R49" i="246" s="1"/>
  <c r="G37" i="189"/>
  <c r="R235" i="246" s="1"/>
  <c r="G38" i="189"/>
  <c r="L49" i="246" s="1"/>
  <c r="G40" i="189"/>
  <c r="L111" i="246" s="1"/>
  <c r="E42" i="345"/>
  <c r="J289" i="209" s="1"/>
  <c r="J769" i="209"/>
  <c r="E40" i="345"/>
  <c r="J109" i="209" s="1"/>
  <c r="E39" i="345"/>
  <c r="P49" i="209" s="1"/>
  <c r="E38" i="345"/>
  <c r="J49" i="209" s="1"/>
  <c r="E37" i="345"/>
  <c r="P229" i="209" s="1"/>
  <c r="E41" i="345"/>
  <c r="J229" i="209" s="1"/>
  <c r="F11" i="226"/>
  <c r="N26" i="194"/>
  <c r="F18" i="194"/>
  <c r="F44" i="194"/>
  <c r="Q102" i="246" s="1"/>
  <c r="F46" i="194"/>
  <c r="Q660" i="246"/>
  <c r="K722" i="246"/>
  <c r="F45" i="194"/>
  <c r="K164" i="246" s="1"/>
  <c r="K660" i="246"/>
  <c r="O26" i="137"/>
  <c r="G43" i="137" s="1"/>
  <c r="G47" i="137" s="1"/>
  <c r="R171" i="246" s="1"/>
  <c r="G18" i="137"/>
  <c r="G46" i="137"/>
  <c r="R667" i="246"/>
  <c r="L729" i="246"/>
  <c r="L667" i="246"/>
  <c r="G45" i="137"/>
  <c r="L171" i="246" s="1"/>
  <c r="G44" i="137"/>
  <c r="R109" i="246" s="1"/>
  <c r="D43" i="195"/>
  <c r="G40" i="270"/>
  <c r="L114" i="246" s="1"/>
  <c r="G37" i="270"/>
  <c r="R238" i="246" s="1"/>
  <c r="G41" i="270"/>
  <c r="L238" i="246" s="1"/>
  <c r="L796" i="246"/>
  <c r="G39" i="270"/>
  <c r="R52" i="246" s="1"/>
  <c r="G42" i="270"/>
  <c r="L300" i="246" s="1"/>
  <c r="G38" i="270"/>
  <c r="L52" i="246" s="1"/>
  <c r="D43" i="97"/>
  <c r="P26" i="187"/>
  <c r="D43" i="187"/>
  <c r="F42" i="91" l="1"/>
  <c r="K256" i="246" s="1"/>
  <c r="F37" i="91"/>
  <c r="Q194" i="246" s="1"/>
  <c r="F40" i="91"/>
  <c r="K70" i="246" s="1"/>
  <c r="K752" i="246"/>
  <c r="F18" i="103"/>
  <c r="F41" i="91"/>
  <c r="K194" i="246" s="1"/>
  <c r="G38" i="353"/>
  <c r="L47" i="209" s="1"/>
  <c r="M541" i="209"/>
  <c r="V15" i="340"/>
  <c r="X50" i="340" s="1"/>
  <c r="N26" i="212"/>
  <c r="G14" i="123"/>
  <c r="G14" i="44" s="1"/>
  <c r="G14" i="328" s="1"/>
  <c r="F41" i="353"/>
  <c r="K227" i="209" s="1"/>
  <c r="P26" i="354"/>
  <c r="J18" i="292"/>
  <c r="E38" i="39"/>
  <c r="J41" i="209" s="1"/>
  <c r="D40" i="39"/>
  <c r="I101" i="209" s="1"/>
  <c r="L26" i="223"/>
  <c r="D43" i="223" s="1"/>
  <c r="D47" i="223" s="1"/>
  <c r="O146" i="246" s="1"/>
  <c r="O737" i="209"/>
  <c r="E40" i="334"/>
  <c r="J87" i="209" s="1"/>
  <c r="J747" i="209"/>
  <c r="O26" i="44"/>
  <c r="L26" i="44"/>
  <c r="E43" i="39"/>
  <c r="E47" i="39" s="1"/>
  <c r="P161" i="209" s="1"/>
  <c r="M26" i="44"/>
  <c r="F40" i="39"/>
  <c r="K101" i="209" s="1"/>
  <c r="F43" i="39"/>
  <c r="F47" i="39" s="1"/>
  <c r="Q161" i="209" s="1"/>
  <c r="N26" i="44"/>
  <c r="F43" i="44" s="1"/>
  <c r="H38" i="250"/>
  <c r="M61" i="209" s="1"/>
  <c r="G43" i="347"/>
  <c r="G47" i="347" s="1"/>
  <c r="R172" i="209" s="1"/>
  <c r="Q767" i="209"/>
  <c r="P26" i="347"/>
  <c r="P16" i="221"/>
  <c r="G14" i="171"/>
  <c r="H43" i="250"/>
  <c r="P9" i="364"/>
  <c r="P9" i="221"/>
  <c r="P9" i="220"/>
  <c r="P9" i="347"/>
  <c r="D43" i="9"/>
  <c r="D47" i="9" s="1"/>
  <c r="O136" i="209" s="1"/>
  <c r="P26" i="9"/>
  <c r="K767" i="209"/>
  <c r="S57" i="209"/>
  <c r="E43" i="334"/>
  <c r="E47" i="334" s="1"/>
  <c r="P147" i="209" s="1"/>
  <c r="F37" i="353"/>
  <c r="Q227" i="209" s="1"/>
  <c r="F39" i="353"/>
  <c r="Q47" i="209" s="1"/>
  <c r="F38" i="353"/>
  <c r="K47" i="209" s="1"/>
  <c r="F42" i="353"/>
  <c r="K287" i="209" s="1"/>
  <c r="R736" i="209"/>
  <c r="S736" i="209" s="1"/>
  <c r="S117" i="209"/>
  <c r="S481" i="209"/>
  <c r="P26" i="202"/>
  <c r="M676" i="209"/>
  <c r="G40" i="354"/>
  <c r="H18" i="354"/>
  <c r="G42" i="354"/>
  <c r="G37" i="354"/>
  <c r="G39" i="354"/>
  <c r="P16" i="347"/>
  <c r="P16" i="220"/>
  <c r="J23" i="142"/>
  <c r="V11" i="142" s="1"/>
  <c r="G39" i="353"/>
  <c r="R47" i="209" s="1"/>
  <c r="G40" i="353"/>
  <c r="L107" i="209" s="1"/>
  <c r="L767" i="209"/>
  <c r="M767" i="209" s="1"/>
  <c r="G41" i="353"/>
  <c r="L227" i="209" s="1"/>
  <c r="E39" i="271"/>
  <c r="P29" i="246" s="1"/>
  <c r="F15" i="184"/>
  <c r="P10" i="214"/>
  <c r="M24" i="209"/>
  <c r="P10" i="213"/>
  <c r="P10" i="105"/>
  <c r="M324" i="209"/>
  <c r="G37" i="353"/>
  <c r="R227" i="209" s="1"/>
  <c r="H18" i="353"/>
  <c r="G38" i="271"/>
  <c r="L29" i="246" s="1"/>
  <c r="G37" i="271"/>
  <c r="R215" i="246" s="1"/>
  <c r="G41" i="271"/>
  <c r="L215" i="246" s="1"/>
  <c r="G42" i="271"/>
  <c r="L277" i="246" s="1"/>
  <c r="D42" i="202"/>
  <c r="I267" i="246" s="1"/>
  <c r="G39" i="271"/>
  <c r="R29" i="246" s="1"/>
  <c r="L773" i="246"/>
  <c r="M773" i="246" s="1"/>
  <c r="D37" i="202"/>
  <c r="O205" i="246" s="1"/>
  <c r="P11" i="220"/>
  <c r="D47" i="315"/>
  <c r="O164" i="209" s="1"/>
  <c r="E37" i="334"/>
  <c r="P207" i="209" s="1"/>
  <c r="E38" i="334"/>
  <c r="J27" i="209" s="1"/>
  <c r="E42" i="334"/>
  <c r="J267" i="209" s="1"/>
  <c r="E39" i="334"/>
  <c r="P27" i="209" s="1"/>
  <c r="F37" i="345"/>
  <c r="Q229" i="209" s="1"/>
  <c r="X48" i="100"/>
  <c r="X46" i="100"/>
  <c r="R36" i="36"/>
  <c r="X65" i="36" s="1"/>
  <c r="X51" i="100"/>
  <c r="X49" i="100"/>
  <c r="F38" i="191"/>
  <c r="K37" i="246" s="1"/>
  <c r="P16" i="325"/>
  <c r="E41" i="271"/>
  <c r="J215" i="246" s="1"/>
  <c r="E42" i="271"/>
  <c r="J277" i="246" s="1"/>
  <c r="J773" i="246"/>
  <c r="S541" i="209"/>
  <c r="E11" i="250"/>
  <c r="K761" i="209"/>
  <c r="D18" i="248"/>
  <c r="J33" i="340"/>
  <c r="G11" i="250"/>
  <c r="V12" i="340"/>
  <c r="X48" i="340" s="1"/>
  <c r="F11" i="250"/>
  <c r="D46" i="247"/>
  <c r="L18" i="214" s="1"/>
  <c r="D11" i="250"/>
  <c r="G38" i="347"/>
  <c r="L52" i="209" s="1"/>
  <c r="G18" i="248"/>
  <c r="J772" i="209"/>
  <c r="E18" i="248"/>
  <c r="V14" i="340"/>
  <c r="X49" i="340" s="1"/>
  <c r="V17" i="340"/>
  <c r="F41" i="347"/>
  <c r="K232" i="209" s="1"/>
  <c r="F18" i="248"/>
  <c r="V19" i="340"/>
  <c r="X19" i="340" s="1"/>
  <c r="N36" i="36"/>
  <c r="P11" i="221"/>
  <c r="P11" i="347"/>
  <c r="P10" i="364"/>
  <c r="P10" i="220"/>
  <c r="M57" i="209"/>
  <c r="P10" i="221"/>
  <c r="S421" i="209"/>
  <c r="M421" i="209"/>
  <c r="I742" i="209"/>
  <c r="S601" i="209"/>
  <c r="P10" i="289"/>
  <c r="P10" i="290"/>
  <c r="H37" i="250"/>
  <c r="S241" i="209" s="1"/>
  <c r="F43" i="315"/>
  <c r="F47" i="315" s="1"/>
  <c r="Q164" i="209" s="1"/>
  <c r="O18" i="220"/>
  <c r="O18" i="364"/>
  <c r="M601" i="209"/>
  <c r="D40" i="202"/>
  <c r="I81" i="246" s="1"/>
  <c r="D41" i="202"/>
  <c r="I205" i="246" s="1"/>
  <c r="D39" i="202"/>
  <c r="O19" i="246" s="1"/>
  <c r="D38" i="202"/>
  <c r="I19" i="246" s="1"/>
  <c r="E37" i="271"/>
  <c r="P215" i="246" s="1"/>
  <c r="E40" i="271"/>
  <c r="J91" i="246" s="1"/>
  <c r="D40" i="271"/>
  <c r="I91" i="246" s="1"/>
  <c r="H18" i="271"/>
  <c r="D39" i="271"/>
  <c r="O29" i="246" s="1"/>
  <c r="D42" i="271"/>
  <c r="I277" i="246" s="1"/>
  <c r="D41" i="271"/>
  <c r="I215" i="246" s="1"/>
  <c r="D37" i="271"/>
  <c r="O215" i="246" s="1"/>
  <c r="D38" i="271"/>
  <c r="I29" i="246" s="1"/>
  <c r="H43" i="171"/>
  <c r="P15" i="228" s="1"/>
  <c r="G18" i="313"/>
  <c r="L803" i="246" s="1"/>
  <c r="Q769" i="209"/>
  <c r="E39" i="39"/>
  <c r="P41" i="209" s="1"/>
  <c r="F42" i="191"/>
  <c r="K285" i="246" s="1"/>
  <c r="F40" i="191"/>
  <c r="K99" i="246" s="1"/>
  <c r="J31" i="29"/>
  <c r="J42" i="29" s="1"/>
  <c r="V12" i="29" s="1"/>
  <c r="E40" i="39"/>
  <c r="J101" i="209" s="1"/>
  <c r="E41" i="39"/>
  <c r="J221" i="209" s="1"/>
  <c r="P26" i="315"/>
  <c r="M781" i="246"/>
  <c r="E37" i="39"/>
  <c r="P221" i="209" s="1"/>
  <c r="E42" i="39"/>
  <c r="J281" i="209" s="1"/>
  <c r="D42" i="188"/>
  <c r="I292" i="246" s="1"/>
  <c r="E37" i="354"/>
  <c r="E38" i="354"/>
  <c r="E40" i="354"/>
  <c r="E41" i="354"/>
  <c r="J761" i="209"/>
  <c r="E14" i="175"/>
  <c r="D40" i="188"/>
  <c r="I106" i="246" s="1"/>
  <c r="E39" i="354"/>
  <c r="M711" i="246"/>
  <c r="D38" i="188"/>
  <c r="I44" i="246" s="1"/>
  <c r="D41" i="315"/>
  <c r="I224" i="209" s="1"/>
  <c r="F41" i="39"/>
  <c r="K221" i="209" s="1"/>
  <c r="H18" i="315"/>
  <c r="F42" i="39"/>
  <c r="K281" i="209" s="1"/>
  <c r="F37" i="39"/>
  <c r="Q221" i="209" s="1"/>
  <c r="O224" i="209"/>
  <c r="G38" i="356"/>
  <c r="L46" i="209" s="1"/>
  <c r="F39" i="39"/>
  <c r="Q41" i="209" s="1"/>
  <c r="D39" i="315"/>
  <c r="W27" i="315" s="1"/>
  <c r="D40" i="315"/>
  <c r="I104" i="209" s="1"/>
  <c r="P26" i="271"/>
  <c r="P25" i="175"/>
  <c r="D42" i="315"/>
  <c r="W30" i="315" s="1"/>
  <c r="D38" i="315"/>
  <c r="W26" i="315" s="1"/>
  <c r="I764" i="209"/>
  <c r="M764" i="209" s="1"/>
  <c r="O20" i="173"/>
  <c r="O20" i="103"/>
  <c r="O20" i="185"/>
  <c r="F38" i="97"/>
  <c r="K27" i="246" s="1"/>
  <c r="F39" i="97"/>
  <c r="Q27" i="246" s="1"/>
  <c r="K771" i="246"/>
  <c r="F42" i="97"/>
  <c r="K275" i="246" s="1"/>
  <c r="F41" i="97"/>
  <c r="K213" i="246" s="1"/>
  <c r="F37" i="97"/>
  <c r="Q213" i="246" s="1"/>
  <c r="J766" i="209"/>
  <c r="R125" i="294"/>
  <c r="L758" i="246"/>
  <c r="E42" i="215"/>
  <c r="J266" i="209" s="1"/>
  <c r="E38" i="215"/>
  <c r="J26" i="209" s="1"/>
  <c r="J746" i="209"/>
  <c r="E39" i="215"/>
  <c r="P26" i="209" s="1"/>
  <c r="T42" i="37"/>
  <c r="J59" i="37" s="1"/>
  <c r="J60" i="37" s="1"/>
  <c r="V27" i="37" s="1"/>
  <c r="F41" i="337"/>
  <c r="K220" i="209" s="1"/>
  <c r="K760" i="209"/>
  <c r="F38" i="39"/>
  <c r="K41" i="209" s="1"/>
  <c r="M16" i="325"/>
  <c r="M26" i="326"/>
  <c r="E43" i="326" s="1"/>
  <c r="M15" i="324" s="1"/>
  <c r="T127" i="294"/>
  <c r="D41" i="270"/>
  <c r="I238" i="246" s="1"/>
  <c r="D43" i="362"/>
  <c r="D47" i="362" s="1"/>
  <c r="R57" i="294" s="1"/>
  <c r="E43" i="6"/>
  <c r="E47" i="6" s="1"/>
  <c r="P138" i="209" s="1"/>
  <c r="F38" i="337"/>
  <c r="K40" i="209" s="1"/>
  <c r="F40" i="337"/>
  <c r="K100" i="209" s="1"/>
  <c r="D18" i="247"/>
  <c r="J32" i="161"/>
  <c r="V14" i="161" s="1"/>
  <c r="X59" i="29"/>
  <c r="X60" i="29" s="1"/>
  <c r="P10" i="325"/>
  <c r="K781" i="246"/>
  <c r="E40" i="215"/>
  <c r="J86" i="209" s="1"/>
  <c r="F39" i="191"/>
  <c r="Q37" i="246" s="1"/>
  <c r="E37" i="215"/>
  <c r="P206" i="209" s="1"/>
  <c r="I788" i="246"/>
  <c r="M788" i="246" s="1"/>
  <c r="O764" i="209"/>
  <c r="S764" i="209" s="1"/>
  <c r="H18" i="188"/>
  <c r="F41" i="191"/>
  <c r="K223" i="246" s="1"/>
  <c r="L26" i="326"/>
  <c r="D43" i="326" s="1"/>
  <c r="D47" i="326" s="1"/>
  <c r="D39" i="188"/>
  <c r="P44" i="246" s="1"/>
  <c r="E40" i="324"/>
  <c r="I46" i="294" s="1"/>
  <c r="S122" i="294"/>
  <c r="E46" i="326"/>
  <c r="M18" i="325" s="1"/>
  <c r="S582" i="246"/>
  <c r="G42" i="349"/>
  <c r="P73" i="294" s="1"/>
  <c r="D37" i="188"/>
  <c r="O230" i="246" s="1"/>
  <c r="F18" i="186"/>
  <c r="F41" i="186" s="1"/>
  <c r="E45" i="326"/>
  <c r="M17" i="325" s="1"/>
  <c r="P15" i="324"/>
  <c r="H18" i="284"/>
  <c r="E38" i="356"/>
  <c r="J46" i="209" s="1"/>
  <c r="E39" i="359"/>
  <c r="P26" i="246" s="1"/>
  <c r="J25" i="129"/>
  <c r="J28" i="129" s="1"/>
  <c r="J30" i="129" s="1"/>
  <c r="J33" i="129" s="1"/>
  <c r="E37" i="359"/>
  <c r="P212" i="246" s="1"/>
  <c r="F39" i="337"/>
  <c r="Q40" i="209" s="1"/>
  <c r="F46" i="308"/>
  <c r="N18" i="307" s="1"/>
  <c r="E41" i="359"/>
  <c r="J212" i="246" s="1"/>
  <c r="E42" i="359"/>
  <c r="J274" i="246" s="1"/>
  <c r="S184" i="246"/>
  <c r="J770" i="246"/>
  <c r="E38" i="359"/>
  <c r="J26" i="246" s="1"/>
  <c r="D39" i="105"/>
  <c r="O22" i="209" s="1"/>
  <c r="D42" i="105"/>
  <c r="I262" i="209" s="1"/>
  <c r="D37" i="105"/>
  <c r="O202" i="209" s="1"/>
  <c r="M19" i="294"/>
  <c r="H18" i="362"/>
  <c r="M497" i="246"/>
  <c r="D38" i="105"/>
  <c r="I22" i="209" s="1"/>
  <c r="D41" i="105"/>
  <c r="I202" i="209" s="1"/>
  <c r="H18" i="105"/>
  <c r="S772" i="209"/>
  <c r="K729" i="209"/>
  <c r="F41" i="15"/>
  <c r="K189" i="209" s="1"/>
  <c r="F37" i="15"/>
  <c r="Q189" i="209" s="1"/>
  <c r="G41" i="15"/>
  <c r="L189" i="209" s="1"/>
  <c r="F39" i="15"/>
  <c r="Q9" i="209" s="1"/>
  <c r="F38" i="15"/>
  <c r="K9" i="209" s="1"/>
  <c r="F40" i="15"/>
  <c r="K69" i="209" s="1"/>
  <c r="F37" i="337"/>
  <c r="Q220" i="209" s="1"/>
  <c r="E41" i="324"/>
  <c r="I65" i="294" s="1"/>
  <c r="F11" i="309"/>
  <c r="F45" i="309" s="1"/>
  <c r="N17" i="308" s="1"/>
  <c r="F45" i="308"/>
  <c r="N17" i="307" s="1"/>
  <c r="M32" i="292"/>
  <c r="V32" i="292" s="1"/>
  <c r="K680" i="246"/>
  <c r="K742" i="246"/>
  <c r="Q680" i="246"/>
  <c r="E37" i="202"/>
  <c r="P205" i="246" s="1"/>
  <c r="F39" i="188"/>
  <c r="Q44" i="246" s="1"/>
  <c r="F42" i="188"/>
  <c r="K292" i="246" s="1"/>
  <c r="F38" i="188"/>
  <c r="K44" i="246" s="1"/>
  <c r="H18" i="216"/>
  <c r="E37" i="356"/>
  <c r="P226" i="209" s="1"/>
  <c r="G37" i="202"/>
  <c r="R205" i="246" s="1"/>
  <c r="Q772" i="209"/>
  <c r="D37" i="362"/>
  <c r="H38" i="294" s="1"/>
  <c r="D38" i="39"/>
  <c r="I41" i="209" s="1"/>
  <c r="D39" i="362"/>
  <c r="M38" i="294" s="1"/>
  <c r="E42" i="362"/>
  <c r="N76" i="294" s="1"/>
  <c r="F40" i="188"/>
  <c r="K106" i="246" s="1"/>
  <c r="P26" i="97"/>
  <c r="E41" i="356"/>
  <c r="J226" i="209" s="1"/>
  <c r="D38" i="362"/>
  <c r="R19" i="294" s="1"/>
  <c r="H18" i="39"/>
  <c r="D40" i="362"/>
  <c r="H57" i="294" s="1"/>
  <c r="G43" i="125"/>
  <c r="G47" i="125" s="1"/>
  <c r="R133" i="209" s="1"/>
  <c r="D38" i="279"/>
  <c r="I35" i="246" s="1"/>
  <c r="E42" i="356"/>
  <c r="J286" i="209" s="1"/>
  <c r="E37" i="324"/>
  <c r="I27" i="294" s="1"/>
  <c r="I8" i="294"/>
  <c r="K788" i="246"/>
  <c r="D37" i="39"/>
  <c r="O221" i="209" s="1"/>
  <c r="I761" i="209"/>
  <c r="M761" i="209" s="1"/>
  <c r="E18" i="326"/>
  <c r="E41" i="326" s="1"/>
  <c r="M726" i="246"/>
  <c r="D37" i="279"/>
  <c r="O221" i="246" s="1"/>
  <c r="E39" i="356"/>
  <c r="P46" i="209" s="1"/>
  <c r="D42" i="362"/>
  <c r="M76" i="294" s="1"/>
  <c r="E38" i="324"/>
  <c r="S8" i="294" s="1"/>
  <c r="E42" i="324"/>
  <c r="N65" i="294" s="1"/>
  <c r="M694" i="246"/>
  <c r="F37" i="188"/>
  <c r="Q230" i="246" s="1"/>
  <c r="D41" i="362"/>
  <c r="H76" i="294" s="1"/>
  <c r="N8" i="294"/>
  <c r="P26" i="324"/>
  <c r="G37" i="324"/>
  <c r="K27" i="294" s="1"/>
  <c r="F40" i="290"/>
  <c r="J51" i="294" s="1"/>
  <c r="G42" i="202"/>
  <c r="L267" i="246" s="1"/>
  <c r="F37" i="290"/>
  <c r="J32" i="294" s="1"/>
  <c r="O733" i="209"/>
  <c r="S733" i="209" s="1"/>
  <c r="F41" i="290"/>
  <c r="J70" i="294" s="1"/>
  <c r="F39" i="105"/>
  <c r="Q22" i="209" s="1"/>
  <c r="G38" i="202"/>
  <c r="L19" i="246" s="1"/>
  <c r="J13" i="294"/>
  <c r="K742" i="209"/>
  <c r="G39" i="202"/>
  <c r="R19" i="246" s="1"/>
  <c r="F42" i="290"/>
  <c r="O70" i="294" s="1"/>
  <c r="G40" i="202"/>
  <c r="L81" i="246" s="1"/>
  <c r="G41" i="347"/>
  <c r="L232" i="209" s="1"/>
  <c r="F38" i="290"/>
  <c r="T13" i="294" s="1"/>
  <c r="O13" i="294"/>
  <c r="M717" i="246"/>
  <c r="P26" i="125"/>
  <c r="L763" i="246"/>
  <c r="M763" i="246" s="1"/>
  <c r="H18" i="202"/>
  <c r="F43" i="337"/>
  <c r="F47" i="337" s="1"/>
  <c r="Q160" i="209" s="1"/>
  <c r="K8" i="294"/>
  <c r="O742" i="209"/>
  <c r="P26" i="333"/>
  <c r="L26" i="247"/>
  <c r="U122" i="294"/>
  <c r="G41" i="324"/>
  <c r="K65" i="294" s="1"/>
  <c r="G18" i="326"/>
  <c r="G37" i="326" s="1"/>
  <c r="G42" i="324"/>
  <c r="P65" i="294" s="1"/>
  <c r="P766" i="209"/>
  <c r="P8" i="294"/>
  <c r="S125" i="294"/>
  <c r="G38" i="324"/>
  <c r="U8" i="294" s="1"/>
  <c r="G39" i="324"/>
  <c r="P27" i="294" s="1"/>
  <c r="H18" i="324"/>
  <c r="E38" i="202"/>
  <c r="J19" i="246" s="1"/>
  <c r="E43" i="79"/>
  <c r="E47" i="79" s="1"/>
  <c r="P159" i="209" s="1"/>
  <c r="K790" i="246"/>
  <c r="F40" i="141"/>
  <c r="K108" i="246" s="1"/>
  <c r="P15" i="137"/>
  <c r="P14" i="228"/>
  <c r="P14" i="103"/>
  <c r="E40" i="202"/>
  <c r="J81" i="246" s="1"/>
  <c r="E41" i="202"/>
  <c r="J205" i="246" s="1"/>
  <c r="J763" i="246"/>
  <c r="E39" i="202"/>
  <c r="P19" i="246" s="1"/>
  <c r="E37" i="362"/>
  <c r="I38" i="294" s="1"/>
  <c r="I19" i="294"/>
  <c r="N19" i="294"/>
  <c r="E40" i="362"/>
  <c r="I57" i="294" s="1"/>
  <c r="E39" i="362"/>
  <c r="N38" i="294" s="1"/>
  <c r="E38" i="362"/>
  <c r="S19" i="294" s="1"/>
  <c r="E41" i="362"/>
  <c r="I76" i="294" s="1"/>
  <c r="X45" i="100"/>
  <c r="X50" i="100"/>
  <c r="R133" i="294"/>
  <c r="M582" i="246"/>
  <c r="D38" i="337"/>
  <c r="I40" i="209" s="1"/>
  <c r="D41" i="279"/>
  <c r="I221" i="246" s="1"/>
  <c r="D40" i="279"/>
  <c r="I97" i="246" s="1"/>
  <c r="O104" i="209"/>
  <c r="D42" i="279"/>
  <c r="I283" i="246" s="1"/>
  <c r="D39" i="279"/>
  <c r="O35" i="246" s="1"/>
  <c r="D41" i="39"/>
  <c r="I221" i="209" s="1"/>
  <c r="D42" i="39"/>
  <c r="I281" i="209" s="1"/>
  <c r="D39" i="39"/>
  <c r="O41" i="209" s="1"/>
  <c r="G40" i="347"/>
  <c r="L112" i="209" s="1"/>
  <c r="E18" i="212"/>
  <c r="E37" i="212" s="1"/>
  <c r="P210" i="209" s="1"/>
  <c r="L772" i="209"/>
  <c r="M772" i="209" s="1"/>
  <c r="G41" i="288"/>
  <c r="K68" i="294" s="1"/>
  <c r="D43" i="344"/>
  <c r="D47" i="344" s="1"/>
  <c r="G42" i="288"/>
  <c r="P68" i="294" s="1"/>
  <c r="M699" i="209"/>
  <c r="M728" i="209"/>
  <c r="P11" i="294"/>
  <c r="G42" i="347"/>
  <c r="L292" i="209" s="1"/>
  <c r="R735" i="209"/>
  <c r="H18" i="347"/>
  <c r="P26" i="360"/>
  <c r="H18" i="288"/>
  <c r="P26" i="288"/>
  <c r="G37" i="347"/>
  <c r="R232" i="209" s="1"/>
  <c r="G39" i="347"/>
  <c r="R52" i="209" s="1"/>
  <c r="J771" i="246"/>
  <c r="G40" i="284"/>
  <c r="L76" i="246" s="1"/>
  <c r="D18" i="225"/>
  <c r="D40" i="225" s="1"/>
  <c r="F38" i="345"/>
  <c r="K49" i="209" s="1"/>
  <c r="D38" i="288"/>
  <c r="R11" i="294" s="1"/>
  <c r="I18" i="292"/>
  <c r="P26" i="192"/>
  <c r="E42" i="97"/>
  <c r="J275" i="246" s="1"/>
  <c r="E39" i="97"/>
  <c r="P27" i="246" s="1"/>
  <c r="G41" i="284"/>
  <c r="L200" i="246" s="1"/>
  <c r="F42" i="345"/>
  <c r="K289" i="209" s="1"/>
  <c r="D40" i="288"/>
  <c r="H49" i="294" s="1"/>
  <c r="H11" i="294"/>
  <c r="M11" i="294"/>
  <c r="G15" i="212"/>
  <c r="G15" i="228" s="1"/>
  <c r="G18" i="162"/>
  <c r="E41" i="97"/>
  <c r="J213" i="246" s="1"/>
  <c r="E40" i="97"/>
  <c r="J89" i="246" s="1"/>
  <c r="P15" i="345"/>
  <c r="P26" i="166"/>
  <c r="F39" i="345"/>
  <c r="Q49" i="209" s="1"/>
  <c r="D41" i="288"/>
  <c r="H68" i="294" s="1"/>
  <c r="F15" i="228"/>
  <c r="E38" i="97"/>
  <c r="J27" i="246" s="1"/>
  <c r="G42" i="284"/>
  <c r="L262" i="246" s="1"/>
  <c r="E43" i="125"/>
  <c r="E47" i="125" s="1"/>
  <c r="P133" i="209" s="1"/>
  <c r="D37" i="288"/>
  <c r="H30" i="294" s="1"/>
  <c r="G38" i="284"/>
  <c r="L14" i="246" s="1"/>
  <c r="G38" i="187"/>
  <c r="L20" i="246" s="1"/>
  <c r="G39" i="284"/>
  <c r="R14" i="246" s="1"/>
  <c r="F40" i="345"/>
  <c r="K109" i="209" s="1"/>
  <c r="D39" i="288"/>
  <c r="M30" i="294" s="1"/>
  <c r="F41" i="345"/>
  <c r="K229" i="209" s="1"/>
  <c r="H37" i="44"/>
  <c r="S222" i="209" s="1"/>
  <c r="D45" i="326"/>
  <c r="L17" i="324" s="1"/>
  <c r="W31" i="324" s="1"/>
  <c r="O18" i="294"/>
  <c r="P26" i="195"/>
  <c r="M26" i="225"/>
  <c r="E18" i="225"/>
  <c r="E37" i="225" s="1"/>
  <c r="Q765" i="209"/>
  <c r="N26" i="225"/>
  <c r="P26" i="219"/>
  <c r="O26" i="225"/>
  <c r="H18" i="219"/>
  <c r="G18" i="225"/>
  <c r="F38" i="219"/>
  <c r="K45" i="209" s="1"/>
  <c r="F18" i="225"/>
  <c r="K11" i="294"/>
  <c r="K772" i="209"/>
  <c r="M26" i="212"/>
  <c r="D18" i="212"/>
  <c r="O26" i="212"/>
  <c r="G43" i="212" s="1"/>
  <c r="G47" i="212" s="1"/>
  <c r="R150" i="209" s="1"/>
  <c r="L26" i="212"/>
  <c r="M714" i="209"/>
  <c r="M481" i="209"/>
  <c r="M682" i="209"/>
  <c r="M669" i="209"/>
  <c r="P772" i="209"/>
  <c r="M713" i="246"/>
  <c r="H18" i="359"/>
  <c r="M714" i="246"/>
  <c r="D42" i="337"/>
  <c r="I280" i="209" s="1"/>
  <c r="D41" i="337"/>
  <c r="I220" i="209" s="1"/>
  <c r="M700" i="209"/>
  <c r="D39" i="337"/>
  <c r="O40" i="209" s="1"/>
  <c r="D40" i="337"/>
  <c r="I100" i="209" s="1"/>
  <c r="D37" i="337"/>
  <c r="O220" i="209" s="1"/>
  <c r="F39" i="284"/>
  <c r="Q14" i="246" s="1"/>
  <c r="D39" i="118"/>
  <c r="O30" i="246" s="1"/>
  <c r="D42" i="118"/>
  <c r="I278" i="246" s="1"/>
  <c r="D38" i="118"/>
  <c r="I30" i="246" s="1"/>
  <c r="H18" i="333"/>
  <c r="I11" i="294"/>
  <c r="G39" i="356"/>
  <c r="R46" i="209" s="1"/>
  <c r="M26" i="291"/>
  <c r="E43" i="291" s="1"/>
  <c r="M15" i="289" s="1"/>
  <c r="E40" i="288"/>
  <c r="I49" i="294" s="1"/>
  <c r="E39" i="288"/>
  <c r="N30" i="294" s="1"/>
  <c r="G40" i="356"/>
  <c r="L106" i="209" s="1"/>
  <c r="E37" i="118"/>
  <c r="P216" i="246" s="1"/>
  <c r="D40" i="359"/>
  <c r="I88" i="246" s="1"/>
  <c r="D39" i="344"/>
  <c r="E37" i="288"/>
  <c r="I30" i="294" s="1"/>
  <c r="G41" i="356"/>
  <c r="L226" i="209" s="1"/>
  <c r="E41" i="118"/>
  <c r="J216" i="246" s="1"/>
  <c r="I770" i="246"/>
  <c r="M770" i="246" s="1"/>
  <c r="E38" i="288"/>
  <c r="S11" i="294" s="1"/>
  <c r="H18" i="356"/>
  <c r="E39" i="118"/>
  <c r="P30" i="246" s="1"/>
  <c r="G39" i="101"/>
  <c r="R31" i="246" s="1"/>
  <c r="F37" i="344"/>
  <c r="N11" i="294"/>
  <c r="L766" i="209"/>
  <c r="M766" i="209" s="1"/>
  <c r="E38" i="118"/>
  <c r="J30" i="246" s="1"/>
  <c r="D37" i="359"/>
  <c r="O212" i="246" s="1"/>
  <c r="E38" i="146"/>
  <c r="J50" i="246" s="1"/>
  <c r="G41" i="105"/>
  <c r="L202" i="209" s="1"/>
  <c r="O18" i="221"/>
  <c r="E41" i="288"/>
  <c r="I68" i="294" s="1"/>
  <c r="G42" i="356"/>
  <c r="L286" i="209" s="1"/>
  <c r="E42" i="118"/>
  <c r="J278" i="246" s="1"/>
  <c r="E40" i="118"/>
  <c r="J92" i="246" s="1"/>
  <c r="L742" i="209"/>
  <c r="F42" i="347"/>
  <c r="K292" i="209" s="1"/>
  <c r="D46" i="326"/>
  <c r="L18" i="325" s="1"/>
  <c r="O420" i="209"/>
  <c r="P13" i="337"/>
  <c r="P13" i="79"/>
  <c r="P13" i="123"/>
  <c r="H25" i="58"/>
  <c r="H39" i="58" s="1"/>
  <c r="S60" i="209" s="1"/>
  <c r="P360" i="209"/>
  <c r="M222" i="209"/>
  <c r="P13" i="338"/>
  <c r="P13" i="39"/>
  <c r="P13" i="196"/>
  <c r="H28" i="174"/>
  <c r="H42" i="174" s="1"/>
  <c r="M314" i="246" s="1"/>
  <c r="U137" i="294"/>
  <c r="F18" i="291"/>
  <c r="F37" i="291" s="1"/>
  <c r="F40" i="347"/>
  <c r="K112" i="209" s="1"/>
  <c r="F11" i="84"/>
  <c r="K682" i="246" s="1"/>
  <c r="F41" i="333"/>
  <c r="J80" i="294" s="1"/>
  <c r="F38" i="347"/>
  <c r="K52" i="209" s="1"/>
  <c r="F37" i="347"/>
  <c r="Q232" i="209" s="1"/>
  <c r="F39" i="347"/>
  <c r="Q52" i="209" s="1"/>
  <c r="P26" i="188"/>
  <c r="L704" i="246"/>
  <c r="M704" i="246" s="1"/>
  <c r="K766" i="209"/>
  <c r="D40" i="118"/>
  <c r="I92" i="246" s="1"/>
  <c r="E37" i="347"/>
  <c r="P232" i="209" s="1"/>
  <c r="D38" i="289"/>
  <c r="R12" i="294" s="1"/>
  <c r="H12" i="294"/>
  <c r="D42" i="289"/>
  <c r="M69" i="294" s="1"/>
  <c r="D37" i="289"/>
  <c r="H31" i="294" s="1"/>
  <c r="R126" i="294"/>
  <c r="D41" i="289"/>
  <c r="H69" i="294" s="1"/>
  <c r="M12" i="294"/>
  <c r="D40" i="289"/>
  <c r="H50" i="294" s="1"/>
  <c r="D39" i="289"/>
  <c r="M31" i="294" s="1"/>
  <c r="F38" i="356"/>
  <c r="K46" i="209" s="1"/>
  <c r="M699" i="246"/>
  <c r="P26" i="105"/>
  <c r="F41" i="356"/>
  <c r="K226" i="209" s="1"/>
  <c r="P14" i="173"/>
  <c r="F39" i="356"/>
  <c r="Q46" i="209" s="1"/>
  <c r="P14" i="223"/>
  <c r="F42" i="356"/>
  <c r="K286" i="209" s="1"/>
  <c r="F43" i="356"/>
  <c r="F47" i="356" s="1"/>
  <c r="Q166" i="209" s="1"/>
  <c r="K21" i="294"/>
  <c r="P14" i="185"/>
  <c r="P14" i="212"/>
  <c r="F40" i="356"/>
  <c r="K106" i="209" s="1"/>
  <c r="G44" i="223"/>
  <c r="R84" i="246" s="1"/>
  <c r="M771" i="246"/>
  <c r="G39" i="360"/>
  <c r="P40" i="294" s="1"/>
  <c r="G45" i="248"/>
  <c r="O17" i="221" s="1"/>
  <c r="E43" i="216"/>
  <c r="E47" i="216" s="1"/>
  <c r="P149" i="209" s="1"/>
  <c r="D37" i="344"/>
  <c r="F38" i="139"/>
  <c r="K21" i="246" s="1"/>
  <c r="D38" i="270"/>
  <c r="I52" i="246" s="1"/>
  <c r="D40" i="270"/>
  <c r="I114" i="246" s="1"/>
  <c r="P10" i="292"/>
  <c r="D41" i="344"/>
  <c r="P26" i="215"/>
  <c r="I796" i="246"/>
  <c r="M796" i="246" s="1"/>
  <c r="L717" i="209"/>
  <c r="O18" i="347"/>
  <c r="D37" i="270"/>
  <c r="O238" i="246" s="1"/>
  <c r="N20" i="16"/>
  <c r="D39" i="270"/>
  <c r="O52" i="246" s="1"/>
  <c r="N20" i="14"/>
  <c r="D40" i="344"/>
  <c r="X14" i="33"/>
  <c r="D42" i="270"/>
  <c r="I300" i="246" s="1"/>
  <c r="G43" i="215"/>
  <c r="G47" i="215" s="1"/>
  <c r="R146" i="209" s="1"/>
  <c r="G41" i="101"/>
  <c r="L217" i="246" s="1"/>
  <c r="G44" i="248"/>
  <c r="O16" i="364" s="1"/>
  <c r="D38" i="344"/>
  <c r="G42" i="101"/>
  <c r="L279" i="246" s="1"/>
  <c r="L657" i="209"/>
  <c r="R657" i="209"/>
  <c r="D42" i="344"/>
  <c r="G40" i="101"/>
  <c r="L93" i="246" s="1"/>
  <c r="G18" i="156"/>
  <c r="G40" i="156" s="1"/>
  <c r="L73" i="246" s="1"/>
  <c r="D41" i="325"/>
  <c r="H66" i="294" s="1"/>
  <c r="I11" i="292"/>
  <c r="R759" i="209"/>
  <c r="S759" i="209" s="1"/>
  <c r="M522" i="209"/>
  <c r="D39" i="359"/>
  <c r="O26" i="246" s="1"/>
  <c r="G42" i="333"/>
  <c r="P80" i="294" s="1"/>
  <c r="P23" i="294"/>
  <c r="G38" i="333"/>
  <c r="U23" i="294" s="1"/>
  <c r="G41" i="333"/>
  <c r="K80" i="294" s="1"/>
  <c r="K23" i="294"/>
  <c r="G39" i="97"/>
  <c r="R27" i="246" s="1"/>
  <c r="G42" i="97"/>
  <c r="L275" i="246" s="1"/>
  <c r="H18" i="97"/>
  <c r="F40" i="296"/>
  <c r="J56" i="294" s="1"/>
  <c r="D42" i="325"/>
  <c r="M66" i="294" s="1"/>
  <c r="M9" i="294"/>
  <c r="F38" i="344"/>
  <c r="U135" i="294"/>
  <c r="G41" i="360"/>
  <c r="K78" i="294" s="1"/>
  <c r="E42" i="347"/>
  <c r="J292" i="209" s="1"/>
  <c r="F37" i="296"/>
  <c r="J37" i="294" s="1"/>
  <c r="D38" i="325"/>
  <c r="R9" i="294" s="1"/>
  <c r="F42" i="344"/>
  <c r="E39" i="347"/>
  <c r="P52" i="209" s="1"/>
  <c r="O23" i="294"/>
  <c r="D38" i="359"/>
  <c r="I26" i="246" s="1"/>
  <c r="D41" i="359"/>
  <c r="I212" i="246" s="1"/>
  <c r="S272" i="246"/>
  <c r="T132" i="294"/>
  <c r="F41" i="296"/>
  <c r="J75" i="294" s="1"/>
  <c r="D37" i="325"/>
  <c r="H28" i="294" s="1"/>
  <c r="H18" i="360"/>
  <c r="F40" i="333"/>
  <c r="J61" i="294" s="1"/>
  <c r="F38" i="296"/>
  <c r="T18" i="294" s="1"/>
  <c r="D39" i="325"/>
  <c r="M28" i="294" s="1"/>
  <c r="J23" i="294"/>
  <c r="G38" i="288"/>
  <c r="U11" i="294" s="1"/>
  <c r="G40" i="288"/>
  <c r="K49" i="294" s="1"/>
  <c r="U125" i="294"/>
  <c r="G37" i="288"/>
  <c r="K30" i="294" s="1"/>
  <c r="J18" i="294"/>
  <c r="H9" i="294"/>
  <c r="F41" i="344"/>
  <c r="G37" i="360"/>
  <c r="K40" i="294" s="1"/>
  <c r="I774" i="246"/>
  <c r="E38" i="347"/>
  <c r="J52" i="209" s="1"/>
  <c r="F42" i="296"/>
  <c r="O75" i="294" s="1"/>
  <c r="D18" i="326"/>
  <c r="D38" i="326" s="1"/>
  <c r="H18" i="325"/>
  <c r="R123" i="294"/>
  <c r="F39" i="344"/>
  <c r="L760" i="209"/>
  <c r="M760" i="209" s="1"/>
  <c r="M689" i="209"/>
  <c r="D37" i="118"/>
  <c r="O216" i="246" s="1"/>
  <c r="E40" i="347"/>
  <c r="J112" i="209" s="1"/>
  <c r="G40" i="360"/>
  <c r="K59" i="294" s="1"/>
  <c r="P21" i="294"/>
  <c r="G38" i="360"/>
  <c r="U21" i="294" s="1"/>
  <c r="P26" i="359"/>
  <c r="F37" i="333"/>
  <c r="J42" i="294" s="1"/>
  <c r="E41" i="347"/>
  <c r="J232" i="209" s="1"/>
  <c r="G38" i="195"/>
  <c r="L48" i="246" s="1"/>
  <c r="M162" i="209"/>
  <c r="H43" i="184"/>
  <c r="E37" i="289"/>
  <c r="I31" i="294" s="1"/>
  <c r="G38" i="15"/>
  <c r="L9" i="209" s="1"/>
  <c r="G40" i="15"/>
  <c r="L69" i="209" s="1"/>
  <c r="G39" i="15"/>
  <c r="R9" i="209" s="1"/>
  <c r="P10" i="176"/>
  <c r="G37" i="15"/>
  <c r="R189" i="209" s="1"/>
  <c r="M559" i="209"/>
  <c r="L729" i="209"/>
  <c r="K33" i="292"/>
  <c r="G37" i="195"/>
  <c r="R234" i="246" s="1"/>
  <c r="E42" i="307"/>
  <c r="J306" i="246" s="1"/>
  <c r="N12" i="294"/>
  <c r="F38" i="333"/>
  <c r="T23" i="294" s="1"/>
  <c r="F42" i="333"/>
  <c r="O80" i="294" s="1"/>
  <c r="T137" i="294"/>
  <c r="H38" i="171"/>
  <c r="P10" i="185" s="1"/>
  <c r="F38" i="284"/>
  <c r="K14" i="246" s="1"/>
  <c r="F41" i="284"/>
  <c r="K200" i="246" s="1"/>
  <c r="K758" i="246"/>
  <c r="F37" i="284"/>
  <c r="Q200" i="246" s="1"/>
  <c r="F42" i="284"/>
  <c r="K262" i="246" s="1"/>
  <c r="H18" i="101"/>
  <c r="D39" i="101"/>
  <c r="O31" i="246" s="1"/>
  <c r="D41" i="101"/>
  <c r="I217" i="246" s="1"/>
  <c r="G38" i="97"/>
  <c r="L27" i="246" s="1"/>
  <c r="G41" i="97"/>
  <c r="L213" i="246" s="1"/>
  <c r="G37" i="97"/>
  <c r="R213" i="246" s="1"/>
  <c r="G40" i="97"/>
  <c r="L89" i="246" s="1"/>
  <c r="I775" i="246"/>
  <c r="D42" i="146"/>
  <c r="I298" i="246" s="1"/>
  <c r="D42" i="101"/>
  <c r="I279" i="246" s="1"/>
  <c r="G38" i="10"/>
  <c r="L15" i="209" s="1"/>
  <c r="G41" i="10"/>
  <c r="L195" i="209" s="1"/>
  <c r="G42" i="10"/>
  <c r="L255" i="209" s="1"/>
  <c r="G40" i="10"/>
  <c r="L75" i="209" s="1"/>
  <c r="G39" i="10"/>
  <c r="R15" i="209" s="1"/>
  <c r="L735" i="209"/>
  <c r="G37" i="10"/>
  <c r="R195" i="209" s="1"/>
  <c r="P13" i="154"/>
  <c r="P26" i="337"/>
  <c r="H18" i="15"/>
  <c r="D38" i="101"/>
  <c r="I31" i="246" s="1"/>
  <c r="E14" i="174"/>
  <c r="D40" i="101"/>
  <c r="I93" i="246" s="1"/>
  <c r="G39" i="333"/>
  <c r="P42" i="294" s="1"/>
  <c r="G37" i="333"/>
  <c r="K42" i="294" s="1"/>
  <c r="M694" i="209"/>
  <c r="J39" i="33"/>
  <c r="X11" i="33"/>
  <c r="X12" i="33"/>
  <c r="K765" i="246"/>
  <c r="M31" i="292"/>
  <c r="S31" i="292" s="1"/>
  <c r="T31" i="292" s="1"/>
  <c r="S396" i="246"/>
  <c r="M520" i="246"/>
  <c r="K28" i="292"/>
  <c r="P18" i="337"/>
  <c r="H25" i="330"/>
  <c r="H39" i="330" s="1"/>
  <c r="O20" i="72"/>
  <c r="S499" i="209"/>
  <c r="O20" i="4"/>
  <c r="L762" i="246"/>
  <c r="M762" i="246" s="1"/>
  <c r="D43" i="6"/>
  <c r="D47" i="6" s="1"/>
  <c r="O138" i="209" s="1"/>
  <c r="K16" i="294"/>
  <c r="G39" i="349"/>
  <c r="P35" i="294" s="1"/>
  <c r="P16" i="294"/>
  <c r="G41" i="349"/>
  <c r="K73" i="294" s="1"/>
  <c r="G40" i="349"/>
  <c r="K54" i="294" s="1"/>
  <c r="G37" i="349"/>
  <c r="K35" i="294" s="1"/>
  <c r="O738" i="209"/>
  <c r="S738" i="209" s="1"/>
  <c r="F43" i="219"/>
  <c r="F47" i="219" s="1"/>
  <c r="Q165" i="209" s="1"/>
  <c r="G38" i="349"/>
  <c r="U16" i="294" s="1"/>
  <c r="O624" i="209"/>
  <c r="P10" i="271"/>
  <c r="P10" i="97"/>
  <c r="M33" i="246"/>
  <c r="P10" i="118"/>
  <c r="P10" i="99"/>
  <c r="P10" i="101"/>
  <c r="K720" i="246"/>
  <c r="S520" i="246"/>
  <c r="G37" i="176"/>
  <c r="R218" i="246" s="1"/>
  <c r="G37" i="101"/>
  <c r="R217" i="246" s="1"/>
  <c r="L775" i="246"/>
  <c r="P26" i="325"/>
  <c r="P14" i="337"/>
  <c r="P14" i="196"/>
  <c r="P14" i="39"/>
  <c r="P14" i="123"/>
  <c r="P14" i="72"/>
  <c r="S402" i="209"/>
  <c r="P18" i="123"/>
  <c r="P18" i="338"/>
  <c r="P18" i="72"/>
  <c r="M402" i="209"/>
  <c r="S642" i="209"/>
  <c r="P18" i="196"/>
  <c r="N20" i="338"/>
  <c r="P14" i="338"/>
  <c r="S522" i="209"/>
  <c r="P18" i="154"/>
  <c r="P18" i="79"/>
  <c r="N20" i="337"/>
  <c r="P14" i="154"/>
  <c r="P14" i="79"/>
  <c r="P26" i="338"/>
  <c r="H28" i="58"/>
  <c r="H42" i="58" s="1"/>
  <c r="M300" i="209" s="1"/>
  <c r="P17" i="337"/>
  <c r="O26" i="326"/>
  <c r="G43" i="326" s="1"/>
  <c r="O15" i="325" s="1"/>
  <c r="P25" i="330"/>
  <c r="G12" i="229"/>
  <c r="R724" i="209" s="1"/>
  <c r="E42" i="146"/>
  <c r="J298" i="246" s="1"/>
  <c r="E41" i="146"/>
  <c r="J236" i="246" s="1"/>
  <c r="E39" i="146"/>
  <c r="P50" i="246" s="1"/>
  <c r="J794" i="246"/>
  <c r="E40" i="146"/>
  <c r="J112" i="246" s="1"/>
  <c r="F44" i="361"/>
  <c r="N16" i="295" s="1"/>
  <c r="P26" i="295"/>
  <c r="F45" i="361"/>
  <c r="N17" i="296" s="1"/>
  <c r="O17" i="333"/>
  <c r="G44" i="361"/>
  <c r="O16" i="295" s="1"/>
  <c r="O17" i="295"/>
  <c r="G46" i="361"/>
  <c r="O18" i="295" s="1"/>
  <c r="O17" i="360"/>
  <c r="P15" i="126"/>
  <c r="P15" i="178"/>
  <c r="P15" i="349"/>
  <c r="P15" i="293"/>
  <c r="D39" i="195"/>
  <c r="O48" i="246" s="1"/>
  <c r="L20" i="355"/>
  <c r="L20" i="334"/>
  <c r="H23" i="175"/>
  <c r="H37" i="175" s="1"/>
  <c r="P12" i="141"/>
  <c r="P12" i="349"/>
  <c r="P12" i="203"/>
  <c r="P12" i="151"/>
  <c r="P12" i="204"/>
  <c r="P12" i="146"/>
  <c r="P13" i="228"/>
  <c r="P13" i="103"/>
  <c r="M210" i="246"/>
  <c r="M86" i="246"/>
  <c r="P12" i="223"/>
  <c r="P13" i="185"/>
  <c r="P13" i="212"/>
  <c r="M436" i="246"/>
  <c r="P13" i="173"/>
  <c r="S706" i="246"/>
  <c r="S458" i="246"/>
  <c r="N20" i="103"/>
  <c r="N20" i="223"/>
  <c r="P9" i="162"/>
  <c r="M622" i="246"/>
  <c r="M560" i="246"/>
  <c r="N20" i="173"/>
  <c r="D44" i="223"/>
  <c r="O84" i="246" s="1"/>
  <c r="P14" i="165"/>
  <c r="P14" i="162"/>
  <c r="H33" i="174"/>
  <c r="P14" i="166"/>
  <c r="P14" i="202"/>
  <c r="H44" i="228"/>
  <c r="S122" i="209" s="1"/>
  <c r="S362" i="209"/>
  <c r="E48" i="175"/>
  <c r="M20" i="212" s="1"/>
  <c r="M20" i="349"/>
  <c r="S602" i="209"/>
  <c r="F41" i="219"/>
  <c r="K225" i="209" s="1"/>
  <c r="H25" i="175"/>
  <c r="H39" i="175" s="1"/>
  <c r="H28" i="175"/>
  <c r="H42" i="175" s="1"/>
  <c r="O20" i="162"/>
  <c r="L20" i="165"/>
  <c r="N20" i="165"/>
  <c r="O20" i="215"/>
  <c r="L20" i="216"/>
  <c r="L20" i="162"/>
  <c r="N20" i="166"/>
  <c r="M20" i="215"/>
  <c r="O20" i="166"/>
  <c r="L20" i="344"/>
  <c r="L20" i="215"/>
  <c r="L20" i="166"/>
  <c r="L20" i="139"/>
  <c r="M20" i="216"/>
  <c r="O20" i="202"/>
  <c r="O364" i="209"/>
  <c r="I544" i="209"/>
  <c r="K452" i="209"/>
  <c r="P12" i="165"/>
  <c r="P10" i="166"/>
  <c r="P12" i="166"/>
  <c r="P10" i="165"/>
  <c r="E37" i="333"/>
  <c r="I42" i="294" s="1"/>
  <c r="N23" i="294"/>
  <c r="E41" i="333"/>
  <c r="I80" i="294" s="1"/>
  <c r="E42" i="333"/>
  <c r="N80" i="294" s="1"/>
  <c r="E40" i="333"/>
  <c r="I61" i="294" s="1"/>
  <c r="E38" i="333"/>
  <c r="S23" i="294" s="1"/>
  <c r="E39" i="333"/>
  <c r="N42" i="294" s="1"/>
  <c r="I23" i="294"/>
  <c r="S137" i="294"/>
  <c r="P13" i="9"/>
  <c r="O20" i="79"/>
  <c r="G38" i="166"/>
  <c r="L18" i="246" s="1"/>
  <c r="I624" i="209"/>
  <c r="F38" i="156"/>
  <c r="K11" i="246" s="1"/>
  <c r="G42" i="176"/>
  <c r="L280" i="246" s="1"/>
  <c r="F40" i="105"/>
  <c r="K82" i="209" s="1"/>
  <c r="H18" i="165"/>
  <c r="H26" i="174"/>
  <c r="H40" i="174" s="1"/>
  <c r="P12" i="172" s="1"/>
  <c r="F14" i="4"/>
  <c r="G14" i="4" s="1"/>
  <c r="E38" i="315"/>
  <c r="J44" i="209" s="1"/>
  <c r="G43" i="105"/>
  <c r="G47" i="105" s="1"/>
  <c r="R142" i="209" s="1"/>
  <c r="M435" i="246"/>
  <c r="G39" i="176"/>
  <c r="R32" i="246" s="1"/>
  <c r="F38" i="105"/>
  <c r="K22" i="209" s="1"/>
  <c r="S373" i="246"/>
  <c r="M20" i="203"/>
  <c r="M20" i="146"/>
  <c r="M20" i="151"/>
  <c r="E41" i="315"/>
  <c r="J224" i="209" s="1"/>
  <c r="R742" i="209"/>
  <c r="L26" i="104"/>
  <c r="D43" i="104" s="1"/>
  <c r="P26" i="79"/>
  <c r="G40" i="176"/>
  <c r="L94" i="246" s="1"/>
  <c r="M542" i="209"/>
  <c r="S496" i="246"/>
  <c r="X72" i="28"/>
  <c r="M20" i="293"/>
  <c r="M20" i="126"/>
  <c r="O20" i="151"/>
  <c r="H43" i="84"/>
  <c r="D43" i="79"/>
  <c r="D47" i="79" s="1"/>
  <c r="O159" i="209" s="1"/>
  <c r="E25" i="229"/>
  <c r="P364" i="209" s="1"/>
  <c r="G38" i="176"/>
  <c r="L32" i="246" s="1"/>
  <c r="F37" i="105"/>
  <c r="Q202" i="209" s="1"/>
  <c r="G41" i="216"/>
  <c r="L209" i="209" s="1"/>
  <c r="H23" i="330"/>
  <c r="H37" i="330" s="1"/>
  <c r="O20" i="183"/>
  <c r="P19" i="118"/>
  <c r="L776" i="246"/>
  <c r="F42" i="105"/>
  <c r="K262" i="209" s="1"/>
  <c r="G42" i="165"/>
  <c r="L265" i="246" s="1"/>
  <c r="O314" i="246"/>
  <c r="G38" i="216"/>
  <c r="L29" i="209" s="1"/>
  <c r="M20" i="353"/>
  <c r="P19" i="176"/>
  <c r="D38" i="296"/>
  <c r="R18" i="294" s="1"/>
  <c r="P26" i="118"/>
  <c r="H30" i="330"/>
  <c r="H44" i="330" s="1"/>
  <c r="P13" i="7"/>
  <c r="P13" i="125"/>
  <c r="P13" i="16"/>
  <c r="P272" i="209"/>
  <c r="M199" i="209"/>
  <c r="P13" i="10"/>
  <c r="P13" i="6"/>
  <c r="P13" i="14"/>
  <c r="P13" i="11"/>
  <c r="P13" i="15"/>
  <c r="P13" i="4"/>
  <c r="F39" i="16"/>
  <c r="Q8" i="209" s="1"/>
  <c r="F42" i="16"/>
  <c r="K248" i="209" s="1"/>
  <c r="F38" i="16"/>
  <c r="K8" i="209" s="1"/>
  <c r="K728" i="209"/>
  <c r="F37" i="16"/>
  <c r="Q188" i="209" s="1"/>
  <c r="F41" i="16"/>
  <c r="K188" i="209" s="1"/>
  <c r="L754" i="209"/>
  <c r="G37" i="338"/>
  <c r="R214" i="209" s="1"/>
  <c r="G39" i="338"/>
  <c r="R34" i="209" s="1"/>
  <c r="H18" i="338"/>
  <c r="G40" i="338"/>
  <c r="L94" i="209" s="1"/>
  <c r="G42" i="337"/>
  <c r="L280" i="209" s="1"/>
  <c r="G39" i="337"/>
  <c r="R40" i="209" s="1"/>
  <c r="G41" i="337"/>
  <c r="L220" i="209" s="1"/>
  <c r="G40" i="337"/>
  <c r="L100" i="209" s="1"/>
  <c r="G37" i="337"/>
  <c r="R220" i="209" s="1"/>
  <c r="H18" i="337"/>
  <c r="O20" i="196"/>
  <c r="O20" i="39"/>
  <c r="O20" i="154"/>
  <c r="O20" i="338"/>
  <c r="M462" i="209"/>
  <c r="O20" i="337"/>
  <c r="P17" i="123"/>
  <c r="P17" i="338"/>
  <c r="I420" i="209"/>
  <c r="H23" i="58"/>
  <c r="H37" i="58" s="1"/>
  <c r="S240" i="209" s="1"/>
  <c r="P17" i="39"/>
  <c r="P17" i="79"/>
  <c r="D23" i="229"/>
  <c r="O424" i="209" s="1"/>
  <c r="P17" i="72"/>
  <c r="O300" i="209"/>
  <c r="P17" i="196"/>
  <c r="I480" i="209"/>
  <c r="P500" i="246"/>
  <c r="P26" i="101"/>
  <c r="P19" i="101"/>
  <c r="P19" i="97"/>
  <c r="P19" i="354"/>
  <c r="P19" i="271"/>
  <c r="P19" i="99"/>
  <c r="P9" i="126"/>
  <c r="P9" i="194"/>
  <c r="M614" i="246"/>
  <c r="P12" i="215"/>
  <c r="P12" i="187"/>
  <c r="P12" i="160"/>
  <c r="P12" i="189"/>
  <c r="P12" i="334"/>
  <c r="P15" i="141"/>
  <c r="P15" i="334"/>
  <c r="P15" i="216"/>
  <c r="P15" i="215"/>
  <c r="P15" i="183"/>
  <c r="P15" i="187"/>
  <c r="P15" i="203"/>
  <c r="P15" i="151"/>
  <c r="AA39" i="292"/>
  <c r="P12" i="183"/>
  <c r="P12" i="293"/>
  <c r="P12" i="362"/>
  <c r="P12" i="194"/>
  <c r="P12" i="195"/>
  <c r="P12" i="137"/>
  <c r="P12" i="355"/>
  <c r="P15" i="160"/>
  <c r="P15" i="195"/>
  <c r="P15" i="362"/>
  <c r="H47" i="170"/>
  <c r="P19" i="160" s="1"/>
  <c r="P15" i="219"/>
  <c r="P15" i="353"/>
  <c r="P12" i="178"/>
  <c r="P12" i="353"/>
  <c r="P12" i="216"/>
  <c r="P12" i="188"/>
  <c r="P12" i="126"/>
  <c r="P15" i="189"/>
  <c r="P15" i="355"/>
  <c r="P15" i="204"/>
  <c r="P15" i="194"/>
  <c r="P15" i="146"/>
  <c r="M20" i="178"/>
  <c r="M20" i="270"/>
  <c r="M20" i="141"/>
  <c r="M20" i="195"/>
  <c r="M20" i="219"/>
  <c r="M20" i="188"/>
  <c r="M20" i="204"/>
  <c r="M20" i="137"/>
  <c r="M20" i="362"/>
  <c r="M20" i="160"/>
  <c r="M20" i="183"/>
  <c r="M20" i="187"/>
  <c r="M20" i="189"/>
  <c r="M552" i="246"/>
  <c r="F39" i="219"/>
  <c r="Q45" i="209" s="1"/>
  <c r="P12" i="202"/>
  <c r="P12" i="162"/>
  <c r="O20" i="344"/>
  <c r="O20" i="355"/>
  <c r="O20" i="165"/>
  <c r="P17" i="162"/>
  <c r="P17" i="202"/>
  <c r="P10" i="162"/>
  <c r="O20" i="216"/>
  <c r="P17" i="165"/>
  <c r="P10" i="202"/>
  <c r="O20" i="334"/>
  <c r="P17" i="166"/>
  <c r="L792" i="246"/>
  <c r="I794" i="246"/>
  <c r="M794" i="246" s="1"/>
  <c r="O20" i="16"/>
  <c r="H27" i="175"/>
  <c r="H41" i="175" s="1"/>
  <c r="G39" i="166"/>
  <c r="R18" i="246" s="1"/>
  <c r="H44" i="44"/>
  <c r="P16" i="72" s="1"/>
  <c r="E42" i="315"/>
  <c r="J284" i="209" s="1"/>
  <c r="D39" i="165"/>
  <c r="O17" i="246" s="1"/>
  <c r="N20" i="139"/>
  <c r="D44" i="247"/>
  <c r="L16" i="213" s="1"/>
  <c r="W32" i="213" s="1"/>
  <c r="R760" i="209"/>
  <c r="S760" i="209" s="1"/>
  <c r="G41" i="165"/>
  <c r="L203" i="246" s="1"/>
  <c r="I332" i="209"/>
  <c r="G37" i="216"/>
  <c r="R209" i="209" s="1"/>
  <c r="H30" i="229"/>
  <c r="H44" i="229" s="1"/>
  <c r="P16" i="330" s="1"/>
  <c r="P13" i="183"/>
  <c r="G39" i="195"/>
  <c r="R48" i="246" s="1"/>
  <c r="G40" i="166"/>
  <c r="L80" i="246" s="1"/>
  <c r="F37" i="219"/>
  <c r="Q225" i="209" s="1"/>
  <c r="D45" i="18"/>
  <c r="L17" i="6" s="1"/>
  <c r="W33" i="6" s="1"/>
  <c r="N20" i="215"/>
  <c r="J776" i="246"/>
  <c r="J24" i="155"/>
  <c r="J26" i="155" s="1"/>
  <c r="V12" i="155" s="1"/>
  <c r="X12" i="155" s="1"/>
  <c r="S32" i="294"/>
  <c r="M677" i="209"/>
  <c r="S582" i="209"/>
  <c r="N20" i="216"/>
  <c r="R600" i="209"/>
  <c r="P11" i="292"/>
  <c r="G42" i="216"/>
  <c r="L269" i="209" s="1"/>
  <c r="H23" i="327"/>
  <c r="H37" i="327" s="1"/>
  <c r="S212" i="209" s="1"/>
  <c r="P13" i="160"/>
  <c r="L420" i="209"/>
  <c r="G40" i="195"/>
  <c r="L110" i="246" s="1"/>
  <c r="H18" i="166"/>
  <c r="E39" i="315"/>
  <c r="P44" i="209" s="1"/>
  <c r="F40" i="219"/>
  <c r="K105" i="209" s="1"/>
  <c r="E40" i="176"/>
  <c r="J94" i="246" s="1"/>
  <c r="G37" i="165"/>
  <c r="R203" i="246" s="1"/>
  <c r="G39" i="216"/>
  <c r="R29" i="209" s="1"/>
  <c r="M582" i="209"/>
  <c r="G41" i="195"/>
  <c r="L234" i="246" s="1"/>
  <c r="D15" i="79"/>
  <c r="E15" i="79" s="1"/>
  <c r="G37" i="166"/>
  <c r="R204" i="246" s="1"/>
  <c r="J764" i="209"/>
  <c r="K765" i="209"/>
  <c r="M558" i="246"/>
  <c r="N20" i="162"/>
  <c r="D45" i="247"/>
  <c r="L17" i="213" s="1"/>
  <c r="W33" i="213" s="1"/>
  <c r="G40" i="165"/>
  <c r="L79" i="246" s="1"/>
  <c r="E48" i="330"/>
  <c r="N20" i="202"/>
  <c r="S679" i="209"/>
  <c r="I452" i="209"/>
  <c r="M452" i="209" s="1"/>
  <c r="L749" i="209"/>
  <c r="E14" i="7"/>
  <c r="E14" i="18" s="1"/>
  <c r="L658" i="246"/>
  <c r="H43" i="44"/>
  <c r="P15" i="123" s="1"/>
  <c r="G23" i="229"/>
  <c r="L484" i="209" s="1"/>
  <c r="G42" i="166"/>
  <c r="L266" i="246" s="1"/>
  <c r="E37" i="315"/>
  <c r="P224" i="209" s="1"/>
  <c r="F42" i="219"/>
  <c r="K285" i="209" s="1"/>
  <c r="N20" i="355"/>
  <c r="I684" i="209"/>
  <c r="H33" i="330"/>
  <c r="G39" i="165"/>
  <c r="R17" i="246" s="1"/>
  <c r="N20" i="344"/>
  <c r="O20" i="15"/>
  <c r="M458" i="246"/>
  <c r="H30" i="58"/>
  <c r="H44" i="58" s="1"/>
  <c r="S120" i="209" s="1"/>
  <c r="L480" i="209"/>
  <c r="G38" i="165"/>
  <c r="L17" i="246" s="1"/>
  <c r="F46" i="291"/>
  <c r="N18" i="289" s="1"/>
  <c r="G37" i="187"/>
  <c r="R206" i="246" s="1"/>
  <c r="G41" i="187"/>
  <c r="L206" i="246" s="1"/>
  <c r="K642" i="246"/>
  <c r="D39" i="146"/>
  <c r="O50" i="246" s="1"/>
  <c r="N20" i="9"/>
  <c r="N20" i="7"/>
  <c r="S342" i="209"/>
  <c r="G37" i="105"/>
  <c r="R202" i="209" s="1"/>
  <c r="J802" i="246"/>
  <c r="N20" i="79"/>
  <c r="O360" i="209"/>
  <c r="S126" i="294"/>
  <c r="G14" i="184"/>
  <c r="P26" i="95"/>
  <c r="F40" i="139"/>
  <c r="K83" i="246" s="1"/>
  <c r="E43" i="7"/>
  <c r="E47" i="7" s="1"/>
  <c r="P137" i="209" s="1"/>
  <c r="G40" i="187"/>
  <c r="L82" i="246" s="1"/>
  <c r="D41" i="146"/>
  <c r="I236" i="246" s="1"/>
  <c r="N20" i="15"/>
  <c r="N20" i="125"/>
  <c r="G38" i="105"/>
  <c r="L22" i="209" s="1"/>
  <c r="M496" i="246"/>
  <c r="E38" i="307"/>
  <c r="J58" i="246" s="1"/>
  <c r="N20" i="196"/>
  <c r="I12" i="294"/>
  <c r="H43" i="173"/>
  <c r="P15" i="162" s="1"/>
  <c r="F42" i="139"/>
  <c r="K269" i="246" s="1"/>
  <c r="S559" i="209"/>
  <c r="G39" i="187"/>
  <c r="R20" i="246" s="1"/>
  <c r="D40" i="146"/>
  <c r="I112" i="246" s="1"/>
  <c r="N20" i="6"/>
  <c r="G40" i="105"/>
  <c r="L82" i="209" s="1"/>
  <c r="G37" i="215"/>
  <c r="R206" i="209" s="1"/>
  <c r="E40" i="307"/>
  <c r="J120" i="246" s="1"/>
  <c r="N20" i="154"/>
  <c r="P9" i="183"/>
  <c r="E39" i="289"/>
  <c r="N31" i="294" s="1"/>
  <c r="F37" i="139"/>
  <c r="Q207" i="246" s="1"/>
  <c r="P26" i="220"/>
  <c r="E41" i="307"/>
  <c r="J244" i="246" s="1"/>
  <c r="E40" i="289"/>
  <c r="I50" i="294" s="1"/>
  <c r="D43" i="39"/>
  <c r="D47" i="39" s="1"/>
  <c r="O161" i="209" s="1"/>
  <c r="P26" i="39"/>
  <c r="H18" i="146"/>
  <c r="D38" i="146"/>
  <c r="I50" i="246" s="1"/>
  <c r="R272" i="209"/>
  <c r="N20" i="11"/>
  <c r="G39" i="105"/>
  <c r="R22" i="209" s="1"/>
  <c r="E37" i="307"/>
  <c r="P244" i="246" s="1"/>
  <c r="N20" i="39"/>
  <c r="P9" i="219"/>
  <c r="E38" i="289"/>
  <c r="S12" i="294" s="1"/>
  <c r="R774" i="209"/>
  <c r="F43" i="16"/>
  <c r="F47" i="16" s="1"/>
  <c r="Q128" i="209" s="1"/>
  <c r="Q272" i="209"/>
  <c r="N20" i="72"/>
  <c r="E41" i="289"/>
  <c r="I69" i="294" s="1"/>
  <c r="N20" i="4"/>
  <c r="G42" i="105"/>
  <c r="L262" i="209" s="1"/>
  <c r="P9" i="203"/>
  <c r="E18" i="291"/>
  <c r="E42" i="291" s="1"/>
  <c r="H27" i="330"/>
  <c r="H41" i="330" s="1"/>
  <c r="F39" i="139"/>
  <c r="Q21" i="246" s="1"/>
  <c r="E45" i="291"/>
  <c r="E44" i="291"/>
  <c r="E46" i="291"/>
  <c r="G45" i="326"/>
  <c r="G44" i="326"/>
  <c r="G42" i="187"/>
  <c r="L268" i="246" s="1"/>
  <c r="F45" i="223"/>
  <c r="K146" i="246" s="1"/>
  <c r="N20" i="13"/>
  <c r="N20" i="123"/>
  <c r="P9" i="362"/>
  <c r="J36" i="34"/>
  <c r="D15" i="9"/>
  <c r="D18" i="9" s="1"/>
  <c r="D39" i="9" s="1"/>
  <c r="G15" i="223"/>
  <c r="G18" i="139"/>
  <c r="H18" i="139" s="1"/>
  <c r="O26" i="186"/>
  <c r="G43" i="186" s="1"/>
  <c r="D40" i="165"/>
  <c r="I79" i="246" s="1"/>
  <c r="D38" i="165"/>
  <c r="I17" i="246" s="1"/>
  <c r="D37" i="165"/>
  <c r="O203" i="246" s="1"/>
  <c r="D42" i="165"/>
  <c r="I265" i="246" s="1"/>
  <c r="I761" i="246"/>
  <c r="M800" i="246" s="1"/>
  <c r="D18" i="223"/>
  <c r="D41" i="223" s="1"/>
  <c r="I208" i="246" s="1"/>
  <c r="H47" i="228"/>
  <c r="S182" i="209" s="1"/>
  <c r="S422" i="209"/>
  <c r="P13" i="194"/>
  <c r="K41" i="292"/>
  <c r="P16" i="187"/>
  <c r="P14" i="355"/>
  <c r="P16" i="189"/>
  <c r="M11" i="292"/>
  <c r="S11" i="292" s="1"/>
  <c r="T11" i="292" s="1"/>
  <c r="H44" i="18"/>
  <c r="P16" i="13" s="1"/>
  <c r="S379" i="209"/>
  <c r="K360" i="209"/>
  <c r="J540" i="209"/>
  <c r="G25" i="229"/>
  <c r="L544" i="209" s="1"/>
  <c r="D13" i="292"/>
  <c r="R420" i="209"/>
  <c r="F48" i="330"/>
  <c r="K420" i="209"/>
  <c r="P16" i="204"/>
  <c r="S622" i="246"/>
  <c r="H43" i="231"/>
  <c r="P16" i="188"/>
  <c r="P16" i="146"/>
  <c r="L674" i="246"/>
  <c r="S490" i="246"/>
  <c r="J37" i="292"/>
  <c r="S498" i="246"/>
  <c r="G45" i="223"/>
  <c r="L146" i="246" s="1"/>
  <c r="K704" i="246"/>
  <c r="L642" i="246"/>
  <c r="F44" i="223"/>
  <c r="Q84" i="246" s="1"/>
  <c r="F46" i="223"/>
  <c r="G46" i="223"/>
  <c r="Q642" i="246"/>
  <c r="M498" i="246"/>
  <c r="H29" i="175"/>
  <c r="H43" i="175" s="1"/>
  <c r="K364" i="209"/>
  <c r="P18" i="166"/>
  <c r="H33" i="175"/>
  <c r="P24" i="292"/>
  <c r="M602" i="209"/>
  <c r="G48" i="175"/>
  <c r="O20" i="212" s="1"/>
  <c r="J512" i="209"/>
  <c r="K702" i="209"/>
  <c r="L20" i="173"/>
  <c r="F48" i="175"/>
  <c r="N20" i="212" s="1"/>
  <c r="G39" i="215"/>
  <c r="R26" i="209" s="1"/>
  <c r="P9" i="139"/>
  <c r="P14" i="195"/>
  <c r="P9" i="137"/>
  <c r="P9" i="215"/>
  <c r="P9" i="353"/>
  <c r="F44" i="291"/>
  <c r="N16" i="289" s="1"/>
  <c r="M673" i="209"/>
  <c r="P17" i="16"/>
  <c r="F45" i="291"/>
  <c r="N17" i="288" s="1"/>
  <c r="H18" i="195"/>
  <c r="O20" i="195"/>
  <c r="N26" i="361"/>
  <c r="F43" i="361" s="1"/>
  <c r="N15" i="360" s="1"/>
  <c r="E18" i="185"/>
  <c r="G38" i="215"/>
  <c r="L26" i="209" s="1"/>
  <c r="P14" i="219"/>
  <c r="P9" i="187"/>
  <c r="P9" i="188"/>
  <c r="P9" i="166"/>
  <c r="H46" i="328"/>
  <c r="G13" i="292"/>
  <c r="O20" i="194"/>
  <c r="G40" i="215"/>
  <c r="L86" i="209" s="1"/>
  <c r="O20" i="137"/>
  <c r="P9" i="195"/>
  <c r="P9" i="216"/>
  <c r="P9" i="165"/>
  <c r="D44" i="361"/>
  <c r="L16" i="296" s="1"/>
  <c r="O18" i="324"/>
  <c r="O18" i="325"/>
  <c r="J420" i="209"/>
  <c r="L746" i="209"/>
  <c r="M396" i="246"/>
  <c r="Q642" i="209"/>
  <c r="P9" i="204"/>
  <c r="P9" i="178"/>
  <c r="P9" i="160"/>
  <c r="P9" i="355"/>
  <c r="L18" i="296"/>
  <c r="L18" i="295"/>
  <c r="Q300" i="209"/>
  <c r="G41" i="215"/>
  <c r="L206" i="209" s="1"/>
  <c r="K642" i="209"/>
  <c r="F45" i="44"/>
  <c r="N17" i="154" s="1"/>
  <c r="P9" i="141"/>
  <c r="P9" i="189"/>
  <c r="P9" i="151"/>
  <c r="P9" i="293"/>
  <c r="M374" i="246"/>
  <c r="P14" i="187"/>
  <c r="D45" i="361"/>
  <c r="L17" i="333" s="1"/>
  <c r="S435" i="246"/>
  <c r="H24" i="175"/>
  <c r="H38" i="175" s="1"/>
  <c r="F44" i="44"/>
  <c r="N16" i="154" s="1"/>
  <c r="R300" i="209"/>
  <c r="P9" i="349"/>
  <c r="P9" i="146"/>
  <c r="G43" i="338"/>
  <c r="G47" i="338" s="1"/>
  <c r="R154" i="209" s="1"/>
  <c r="P9" i="202"/>
  <c r="L18" i="360"/>
  <c r="P15" i="221"/>
  <c r="P15" i="220"/>
  <c r="P15" i="347"/>
  <c r="P15" i="214"/>
  <c r="P15" i="105"/>
  <c r="P15" i="213"/>
  <c r="P19" i="105"/>
  <c r="S144" i="209"/>
  <c r="P19" i="213"/>
  <c r="P19" i="214"/>
  <c r="M559" i="246"/>
  <c r="T12" i="30"/>
  <c r="T19" i="30" s="1"/>
  <c r="J30" i="30" s="1"/>
  <c r="P19" i="347"/>
  <c r="P19" i="220"/>
  <c r="S177" i="209"/>
  <c r="P19" i="221"/>
  <c r="N18" i="123"/>
  <c r="N18" i="338"/>
  <c r="N18" i="39"/>
  <c r="N18" i="337"/>
  <c r="N18" i="72"/>
  <c r="N18" i="154"/>
  <c r="N18" i="196"/>
  <c r="N18" i="79"/>
  <c r="F23" i="229"/>
  <c r="Q304" i="209" s="1"/>
  <c r="O20" i="125"/>
  <c r="O20" i="9"/>
  <c r="O20" i="10"/>
  <c r="P300" i="209"/>
  <c r="P420" i="209"/>
  <c r="M439" i="209"/>
  <c r="C13" i="292"/>
  <c r="P14" i="9"/>
  <c r="O20" i="14"/>
  <c r="O20" i="7"/>
  <c r="P17" i="9"/>
  <c r="H31" i="327"/>
  <c r="H45" i="327" s="1"/>
  <c r="M152" i="209" s="1"/>
  <c r="P17" i="15"/>
  <c r="O20" i="13"/>
  <c r="O20" i="11"/>
  <c r="P17" i="125"/>
  <c r="P17" i="4"/>
  <c r="F30" i="229"/>
  <c r="E24" i="292" s="1"/>
  <c r="E41" i="292" s="1"/>
  <c r="R452" i="209"/>
  <c r="H27" i="58"/>
  <c r="H41" i="58" s="1"/>
  <c r="M240" i="209" s="1"/>
  <c r="H26" i="330"/>
  <c r="H40" i="330" s="1"/>
  <c r="H24" i="330"/>
  <c r="H38" i="330" s="1"/>
  <c r="S439" i="209"/>
  <c r="P19" i="295"/>
  <c r="F11" i="173"/>
  <c r="F45" i="173" s="1"/>
  <c r="O20" i="126"/>
  <c r="O20" i="178"/>
  <c r="O20" i="203"/>
  <c r="P13" i="151"/>
  <c r="P13" i="146"/>
  <c r="O20" i="349"/>
  <c r="O20" i="141"/>
  <c r="O20" i="362"/>
  <c r="O20" i="270"/>
  <c r="O20" i="187"/>
  <c r="P13" i="187"/>
  <c r="O20" i="188"/>
  <c r="O20" i="189"/>
  <c r="P13" i="203"/>
  <c r="O20" i="160"/>
  <c r="O20" i="293"/>
  <c r="O20" i="219"/>
  <c r="O20" i="204"/>
  <c r="O20" i="353"/>
  <c r="K750" i="209"/>
  <c r="P10" i="95"/>
  <c r="P754" i="209"/>
  <c r="E43" i="338"/>
  <c r="E47" i="338" s="1"/>
  <c r="P154" i="209" s="1"/>
  <c r="E43" i="16"/>
  <c r="E47" i="16" s="1"/>
  <c r="P128" i="209" s="1"/>
  <c r="P728" i="209"/>
  <c r="I792" i="246"/>
  <c r="M139" i="209"/>
  <c r="P14" i="293"/>
  <c r="P14" i="178"/>
  <c r="E39" i="176"/>
  <c r="P32" i="246" s="1"/>
  <c r="P26" i="349"/>
  <c r="P10" i="279"/>
  <c r="P600" i="209"/>
  <c r="P20" i="91"/>
  <c r="P20" i="270"/>
  <c r="P21" i="313"/>
  <c r="D37" i="355"/>
  <c r="D41" i="355"/>
  <c r="D40" i="355"/>
  <c r="H18" i="355"/>
  <c r="D38" i="355"/>
  <c r="D42" i="355"/>
  <c r="D39" i="355"/>
  <c r="F43" i="220"/>
  <c r="F47" i="220" s="1"/>
  <c r="Q174" i="209" s="1"/>
  <c r="Q774" i="209"/>
  <c r="K764" i="209"/>
  <c r="F38" i="315"/>
  <c r="K44" i="209" s="1"/>
  <c r="F42" i="315"/>
  <c r="K284" i="209" s="1"/>
  <c r="F39" i="315"/>
  <c r="Q44" i="209" s="1"/>
  <c r="F40" i="315"/>
  <c r="K104" i="209" s="1"/>
  <c r="F37" i="315"/>
  <c r="Q224" i="209" s="1"/>
  <c r="F41" i="315"/>
  <c r="K224" i="209" s="1"/>
  <c r="G46" i="186"/>
  <c r="O18" i="191" s="1"/>
  <c r="E18" i="104"/>
  <c r="E38" i="104" s="1"/>
  <c r="F42" i="141"/>
  <c r="K294" i="246" s="1"/>
  <c r="D38" i="195"/>
  <c r="I48" i="246" s="1"/>
  <c r="P17" i="7"/>
  <c r="P14" i="188"/>
  <c r="P14" i="126"/>
  <c r="P14" i="137"/>
  <c r="P14" i="204"/>
  <c r="E42" i="176"/>
  <c r="J280" i="246" s="1"/>
  <c r="P10" i="191"/>
  <c r="L20" i="10"/>
  <c r="P17" i="313"/>
  <c r="S71" i="246"/>
  <c r="P16" i="270"/>
  <c r="P16" i="91"/>
  <c r="D472" i="209"/>
  <c r="U412" i="209"/>
  <c r="D43" i="220"/>
  <c r="D47" i="220" s="1"/>
  <c r="O174" i="209" s="1"/>
  <c r="O774" i="209"/>
  <c r="P764" i="209"/>
  <c r="E43" i="315"/>
  <c r="E47" i="315" s="1"/>
  <c r="P164" i="209" s="1"/>
  <c r="Q731" i="209"/>
  <c r="F43" i="4"/>
  <c r="F47" i="4" s="1"/>
  <c r="Q131" i="209" s="1"/>
  <c r="G43" i="4"/>
  <c r="G47" i="4" s="1"/>
  <c r="R131" i="209" s="1"/>
  <c r="R731" i="209"/>
  <c r="S731" i="209" s="1"/>
  <c r="P26" i="4"/>
  <c r="O729" i="209"/>
  <c r="S729" i="209" s="1"/>
  <c r="D43" i="15"/>
  <c r="D47" i="15" s="1"/>
  <c r="O129" i="209" s="1"/>
  <c r="D40" i="195"/>
  <c r="I110" i="246" s="1"/>
  <c r="R658" i="246"/>
  <c r="F38" i="141"/>
  <c r="K46" i="246" s="1"/>
  <c r="L20" i="13"/>
  <c r="H32" i="175"/>
  <c r="D37" i="195"/>
  <c r="O234" i="246" s="1"/>
  <c r="J562" i="246"/>
  <c r="P17" i="11"/>
  <c r="S259" i="209"/>
  <c r="P14" i="194"/>
  <c r="P14" i="160"/>
  <c r="P14" i="189"/>
  <c r="E37" i="176"/>
  <c r="P218" i="246" s="1"/>
  <c r="P26" i="355"/>
  <c r="D43" i="355"/>
  <c r="D47" i="355" s="1"/>
  <c r="D40" i="15"/>
  <c r="I69" i="209" s="1"/>
  <c r="D42" i="15"/>
  <c r="I249" i="209" s="1"/>
  <c r="D37" i="15"/>
  <c r="O189" i="209" s="1"/>
  <c r="D38" i="15"/>
  <c r="I9" i="209" s="1"/>
  <c r="D41" i="15"/>
  <c r="I189" i="209" s="1"/>
  <c r="I729" i="209"/>
  <c r="D39" i="15"/>
  <c r="O9" i="209" s="1"/>
  <c r="F38" i="355"/>
  <c r="F42" i="355"/>
  <c r="F39" i="355"/>
  <c r="F37" i="355"/>
  <c r="F40" i="355"/>
  <c r="F41" i="355"/>
  <c r="H18" i="187"/>
  <c r="G45" i="186"/>
  <c r="O17" i="279" s="1"/>
  <c r="F37" i="141"/>
  <c r="Q232" i="246" s="1"/>
  <c r="J332" i="209"/>
  <c r="L20" i="7"/>
  <c r="L20" i="6"/>
  <c r="E44" i="212"/>
  <c r="P90" i="209" s="1"/>
  <c r="D41" i="195"/>
  <c r="I234" i="246" s="1"/>
  <c r="P19" i="360"/>
  <c r="P14" i="362"/>
  <c r="P14" i="216"/>
  <c r="P14" i="215"/>
  <c r="E38" i="176"/>
  <c r="J32" i="246" s="1"/>
  <c r="M681" i="209"/>
  <c r="Q742" i="209"/>
  <c r="P14" i="349"/>
  <c r="I774" i="209"/>
  <c r="M774" i="209" s="1"/>
  <c r="D41" i="220"/>
  <c r="I234" i="209" s="1"/>
  <c r="D42" i="220"/>
  <c r="I294" i="209" s="1"/>
  <c r="D38" i="220"/>
  <c r="I54" i="209" s="1"/>
  <c r="D37" i="220"/>
  <c r="O234" i="209" s="1"/>
  <c r="D40" i="220"/>
  <c r="I114" i="209" s="1"/>
  <c r="D39" i="220"/>
  <c r="O54" i="209" s="1"/>
  <c r="H18" i="220"/>
  <c r="G44" i="186"/>
  <c r="O16" i="191" s="1"/>
  <c r="F39" i="141"/>
  <c r="Q46" i="246" s="1"/>
  <c r="K332" i="209"/>
  <c r="P14" i="11"/>
  <c r="L20" i="14"/>
  <c r="L20" i="4"/>
  <c r="J690" i="209"/>
  <c r="J33" i="292"/>
  <c r="P17" i="13"/>
  <c r="P17" i="6"/>
  <c r="P14" i="141"/>
  <c r="P14" i="146"/>
  <c r="P14" i="203"/>
  <c r="P14" i="353"/>
  <c r="E40" i="355"/>
  <c r="E37" i="355"/>
  <c r="E42" i="355"/>
  <c r="E38" i="355"/>
  <c r="E41" i="355"/>
  <c r="E39" i="355"/>
  <c r="E41" i="338"/>
  <c r="J214" i="209" s="1"/>
  <c r="E40" i="338"/>
  <c r="J94" i="209" s="1"/>
  <c r="J754" i="209"/>
  <c r="E42" i="338"/>
  <c r="J274" i="209" s="1"/>
  <c r="E38" i="338"/>
  <c r="J34" i="209" s="1"/>
  <c r="E39" i="338"/>
  <c r="P34" i="209" s="1"/>
  <c r="E37" i="338"/>
  <c r="P214" i="209" s="1"/>
  <c r="E37" i="344"/>
  <c r="E41" i="344"/>
  <c r="E39" i="344"/>
  <c r="E38" i="344"/>
  <c r="E40" i="344"/>
  <c r="E42" i="344"/>
  <c r="G42" i="338"/>
  <c r="L274" i="209" s="1"/>
  <c r="G38" i="338"/>
  <c r="L34" i="209" s="1"/>
  <c r="D37" i="338"/>
  <c r="O214" i="209" s="1"/>
  <c r="D39" i="338"/>
  <c r="O34" i="209" s="1"/>
  <c r="I754" i="209"/>
  <c r="D40" i="338"/>
  <c r="I94" i="209" s="1"/>
  <c r="D41" i="338"/>
  <c r="I214" i="209" s="1"/>
  <c r="D42" i="338"/>
  <c r="I274" i="209" s="1"/>
  <c r="D38" i="338"/>
  <c r="I34" i="209" s="1"/>
  <c r="E37" i="16"/>
  <c r="P188" i="209" s="1"/>
  <c r="E39" i="16"/>
  <c r="P8" i="209" s="1"/>
  <c r="E40" i="16"/>
  <c r="J68" i="209" s="1"/>
  <c r="J728" i="209"/>
  <c r="E42" i="16"/>
  <c r="J248" i="209" s="1"/>
  <c r="E41" i="16"/>
  <c r="J188" i="209" s="1"/>
  <c r="E38" i="16"/>
  <c r="J8" i="209" s="1"/>
  <c r="P15" i="270"/>
  <c r="P16" i="313"/>
  <c r="P15" i="91"/>
  <c r="G38" i="355"/>
  <c r="G41" i="355"/>
  <c r="G39" i="355"/>
  <c r="G37" i="355"/>
  <c r="G42" i="355"/>
  <c r="G40" i="355"/>
  <c r="D38" i="176"/>
  <c r="I32" i="246" s="1"/>
  <c r="D42" i="176"/>
  <c r="I280" i="246" s="1"/>
  <c r="D40" i="176"/>
  <c r="I94" i="246" s="1"/>
  <c r="H18" i="176"/>
  <c r="D37" i="176"/>
  <c r="O218" i="246" s="1"/>
  <c r="I776" i="246"/>
  <c r="D41" i="176"/>
  <c r="I218" i="246" s="1"/>
  <c r="D39" i="176"/>
  <c r="O32" i="246" s="1"/>
  <c r="R728" i="209"/>
  <c r="S728" i="209" s="1"/>
  <c r="G43" i="16"/>
  <c r="G47" i="16" s="1"/>
  <c r="R128" i="209" s="1"/>
  <c r="F43" i="6"/>
  <c r="F47" i="6" s="1"/>
  <c r="Q138" i="209" s="1"/>
  <c r="Q738" i="209"/>
  <c r="P20" i="313"/>
  <c r="P19" i="270"/>
  <c r="S133" i="246"/>
  <c r="P19" i="91"/>
  <c r="D39" i="296"/>
  <c r="M37" i="294" s="1"/>
  <c r="H18" i="294"/>
  <c r="D41" i="296"/>
  <c r="H75" i="294" s="1"/>
  <c r="M18" i="294"/>
  <c r="R132" i="294"/>
  <c r="D42" i="296"/>
  <c r="M75" i="294" s="1"/>
  <c r="D37" i="296"/>
  <c r="H37" i="294" s="1"/>
  <c r="P17" i="14"/>
  <c r="P14" i="183"/>
  <c r="P14" i="334"/>
  <c r="M702" i="246"/>
  <c r="O754" i="209"/>
  <c r="S754" i="209" s="1"/>
  <c r="D43" i="338"/>
  <c r="D47" i="338" s="1"/>
  <c r="O154" i="209" s="1"/>
  <c r="F37" i="220"/>
  <c r="Q234" i="209" s="1"/>
  <c r="F38" i="220"/>
  <c r="K54" i="209" s="1"/>
  <c r="F42" i="220"/>
  <c r="K294" i="209" s="1"/>
  <c r="K774" i="209"/>
  <c r="F41" i="220"/>
  <c r="K234" i="209" s="1"/>
  <c r="F40" i="220"/>
  <c r="K114" i="209" s="1"/>
  <c r="F39" i="220"/>
  <c r="Q54" i="209" s="1"/>
  <c r="D15" i="11"/>
  <c r="E15" i="11" s="1"/>
  <c r="J21" i="32"/>
  <c r="J23" i="32" s="1"/>
  <c r="V11" i="32" s="1"/>
  <c r="P12" i="72"/>
  <c r="E45" i="212"/>
  <c r="J150" i="209" s="1"/>
  <c r="M20" i="162"/>
  <c r="M20" i="344"/>
  <c r="P16" i="215"/>
  <c r="P16" i="293"/>
  <c r="P16" i="126"/>
  <c r="P12" i="212"/>
  <c r="E11" i="173"/>
  <c r="E44" i="173" s="1"/>
  <c r="H37" i="18"/>
  <c r="P9" i="6" s="1"/>
  <c r="D11" i="173"/>
  <c r="D45" i="173" s="1"/>
  <c r="F37" i="289"/>
  <c r="J31" i="294" s="1"/>
  <c r="J12" i="294"/>
  <c r="F42" i="289"/>
  <c r="O69" i="294" s="1"/>
  <c r="O12" i="294"/>
  <c r="F40" i="289"/>
  <c r="J50" i="294" s="1"/>
  <c r="F39" i="289"/>
  <c r="O31" i="294" s="1"/>
  <c r="T126" i="294"/>
  <c r="F41" i="289"/>
  <c r="J69" i="294" s="1"/>
  <c r="F38" i="289"/>
  <c r="T12" i="294" s="1"/>
  <c r="P12" i="338"/>
  <c r="M20" i="355"/>
  <c r="P16" i="137"/>
  <c r="P16" i="362"/>
  <c r="P16" i="141"/>
  <c r="L20" i="9"/>
  <c r="L20" i="15"/>
  <c r="H44" i="250"/>
  <c r="S121" i="209" s="1"/>
  <c r="K18" i="292"/>
  <c r="T24" i="28"/>
  <c r="T27" i="28" s="1"/>
  <c r="T35" i="28" s="1"/>
  <c r="F43" i="15"/>
  <c r="F47" i="15" s="1"/>
  <c r="Q129" i="209" s="1"/>
  <c r="Q729" i="209"/>
  <c r="P12" i="123"/>
  <c r="M20" i="165"/>
  <c r="M20" i="139"/>
  <c r="P16" i="203"/>
  <c r="P16" i="160"/>
  <c r="P16" i="353"/>
  <c r="P16" i="355"/>
  <c r="P12" i="173"/>
  <c r="L20" i="185"/>
  <c r="M620" i="246"/>
  <c r="H32" i="174"/>
  <c r="M686" i="246" s="1"/>
  <c r="P26" i="284"/>
  <c r="P25" i="174"/>
  <c r="L20" i="11"/>
  <c r="P26" i="165"/>
  <c r="S361" i="209"/>
  <c r="S61" i="209"/>
  <c r="F43" i="289"/>
  <c r="F47" i="289" s="1"/>
  <c r="T50" i="294" s="1"/>
  <c r="N26" i="291"/>
  <c r="F43" i="291" s="1"/>
  <c r="J630" i="209"/>
  <c r="M20" i="202"/>
  <c r="P16" i="151"/>
  <c r="P16" i="219"/>
  <c r="P16" i="195"/>
  <c r="P12" i="185"/>
  <c r="L20" i="103"/>
  <c r="D46" i="18"/>
  <c r="L18" i="4" s="1"/>
  <c r="J11" i="292"/>
  <c r="L26" i="185"/>
  <c r="T14" i="100"/>
  <c r="T18" i="100" s="1"/>
  <c r="J31" i="100" s="1"/>
  <c r="J33" i="100" s="1"/>
  <c r="F42" i="190"/>
  <c r="K261" i="246" s="1"/>
  <c r="P630" i="209"/>
  <c r="M20" i="166"/>
  <c r="P16" i="216"/>
  <c r="P16" i="183"/>
  <c r="P16" i="334"/>
  <c r="P12" i="103"/>
  <c r="O619" i="209"/>
  <c r="D44" i="18"/>
  <c r="L16" i="15" s="1"/>
  <c r="W32" i="15" s="1"/>
  <c r="S767" i="209"/>
  <c r="O26" i="223"/>
  <c r="G43" i="223" s="1"/>
  <c r="G47" i="223" s="1"/>
  <c r="R146" i="246" s="1"/>
  <c r="F18" i="361"/>
  <c r="F38" i="361" s="1"/>
  <c r="S204" i="209"/>
  <c r="P9" i="105"/>
  <c r="P9" i="214"/>
  <c r="P9" i="213"/>
  <c r="M740" i="246"/>
  <c r="L20" i="125"/>
  <c r="F14" i="184"/>
  <c r="P16" i="194"/>
  <c r="P16" i="349"/>
  <c r="E11" i="228"/>
  <c r="P662" i="209" s="1"/>
  <c r="I619" i="209"/>
  <c r="G15" i="186"/>
  <c r="G15" i="184" s="1"/>
  <c r="G18" i="95"/>
  <c r="H18" i="95" s="1"/>
  <c r="X45" i="30"/>
  <c r="X46" i="30"/>
  <c r="K480" i="209"/>
  <c r="L540" i="209"/>
  <c r="F26" i="229"/>
  <c r="F24" i="292" s="1"/>
  <c r="F41" i="292" s="1"/>
  <c r="Q600" i="209"/>
  <c r="P12" i="39"/>
  <c r="P12" i="79"/>
  <c r="H28" i="330"/>
  <c r="H42" i="330" s="1"/>
  <c r="P12" i="196"/>
  <c r="P12" i="154"/>
  <c r="M342" i="209"/>
  <c r="M102" i="209"/>
  <c r="P12" i="337"/>
  <c r="D27" i="229"/>
  <c r="H27" i="229" s="1"/>
  <c r="H41" i="229" s="1"/>
  <c r="C23" i="229"/>
  <c r="H32" i="58"/>
  <c r="M660" i="209" s="1"/>
  <c r="L20" i="154"/>
  <c r="H31" i="330"/>
  <c r="H45" i="330" s="1"/>
  <c r="M499" i="209"/>
  <c r="P512" i="209"/>
  <c r="O572" i="209"/>
  <c r="S572" i="209" s="1"/>
  <c r="L26" i="361"/>
  <c r="D43" i="361" s="1"/>
  <c r="P26" i="146"/>
  <c r="P18" i="165"/>
  <c r="P18" i="162"/>
  <c r="F40" i="187"/>
  <c r="K82" i="246" s="1"/>
  <c r="D11" i="231"/>
  <c r="D45" i="231" s="1"/>
  <c r="I188" i="246" s="1"/>
  <c r="O642" i="246"/>
  <c r="D45" i="223"/>
  <c r="I146" i="246" s="1"/>
  <c r="I642" i="246"/>
  <c r="D46" i="223"/>
  <c r="F37" i="187"/>
  <c r="Q206" i="246" s="1"/>
  <c r="H26" i="175"/>
  <c r="H40" i="175" s="1"/>
  <c r="H26" i="229"/>
  <c r="H40" i="229" s="1"/>
  <c r="P12" i="328" s="1"/>
  <c r="P18" i="139"/>
  <c r="I572" i="209"/>
  <c r="M572" i="209" s="1"/>
  <c r="R480" i="209"/>
  <c r="P14" i="125"/>
  <c r="R540" i="209"/>
  <c r="G48" i="330"/>
  <c r="H26" i="58"/>
  <c r="H40" i="58" s="1"/>
  <c r="M120" i="209" s="1"/>
  <c r="P15" i="191"/>
  <c r="S560" i="246"/>
  <c r="D43" i="146"/>
  <c r="D47" i="146" s="1"/>
  <c r="O174" i="246" s="1"/>
  <c r="O26" i="361"/>
  <c r="G43" i="361" s="1"/>
  <c r="O15" i="295" s="1"/>
  <c r="M20" i="123"/>
  <c r="F43" i="215"/>
  <c r="F47" i="215" s="1"/>
  <c r="Q146" i="209" s="1"/>
  <c r="Q746" i="209"/>
  <c r="G37" i="293"/>
  <c r="K34" i="294" s="1"/>
  <c r="U129" i="294"/>
  <c r="G41" i="293"/>
  <c r="K72" i="294" s="1"/>
  <c r="G39" i="293"/>
  <c r="P34" i="294" s="1"/>
  <c r="G38" i="293"/>
  <c r="U15" i="294" s="1"/>
  <c r="P15" i="294"/>
  <c r="G40" i="293"/>
  <c r="K53" i="294" s="1"/>
  <c r="G42" i="293"/>
  <c r="P72" i="294" s="1"/>
  <c r="K15" i="294"/>
  <c r="E42" i="360"/>
  <c r="N78" i="294" s="1"/>
  <c r="E37" i="360"/>
  <c r="I40" i="294" s="1"/>
  <c r="S135" i="294"/>
  <c r="E41" i="360"/>
  <c r="I78" i="294" s="1"/>
  <c r="E40" i="360"/>
  <c r="I59" i="294" s="1"/>
  <c r="E38" i="360"/>
  <c r="S21" i="294" s="1"/>
  <c r="I21" i="294"/>
  <c r="E39" i="360"/>
  <c r="N40" i="294" s="1"/>
  <c r="N21" i="294"/>
  <c r="G43" i="307"/>
  <c r="G47" i="307" s="1"/>
  <c r="R182" i="246" s="1"/>
  <c r="O26" i="308"/>
  <c r="P26" i="308" s="1"/>
  <c r="D43" i="216"/>
  <c r="D47" i="216" s="1"/>
  <c r="O149" i="209" s="1"/>
  <c r="O749" i="209"/>
  <c r="S749" i="209" s="1"/>
  <c r="P26" i="216"/>
  <c r="E43" i="307"/>
  <c r="E47" i="307" s="1"/>
  <c r="P182" i="246" s="1"/>
  <c r="M26" i="308"/>
  <c r="E43" i="215"/>
  <c r="E47" i="215" s="1"/>
  <c r="P146" i="209" s="1"/>
  <c r="P746" i="209"/>
  <c r="S620" i="246"/>
  <c r="E41" i="295"/>
  <c r="I17" i="294"/>
  <c r="E38" i="295"/>
  <c r="S17" i="294" s="1"/>
  <c r="E40" i="295"/>
  <c r="I55" i="294" s="1"/>
  <c r="E42" i="295"/>
  <c r="N17" i="294"/>
  <c r="E39" i="295"/>
  <c r="N36" i="294" s="1"/>
  <c r="E37" i="295"/>
  <c r="I36" i="294" s="1"/>
  <c r="S131" i="294"/>
  <c r="E38" i="216"/>
  <c r="J29" i="209" s="1"/>
  <c r="E37" i="216"/>
  <c r="P209" i="209" s="1"/>
  <c r="E41" i="216"/>
  <c r="J209" i="209" s="1"/>
  <c r="J749" i="209"/>
  <c r="E40" i="216"/>
  <c r="J89" i="209" s="1"/>
  <c r="E39" i="216"/>
  <c r="P29" i="209" s="1"/>
  <c r="E42" i="216"/>
  <c r="J269" i="209" s="1"/>
  <c r="F41" i="187"/>
  <c r="K206" i="246" s="1"/>
  <c r="P26" i="204"/>
  <c r="P452" i="209"/>
  <c r="M259" i="209"/>
  <c r="G24" i="229"/>
  <c r="L364" i="209" s="1"/>
  <c r="P540" i="209"/>
  <c r="P19" i="165"/>
  <c r="P17" i="212"/>
  <c r="M20" i="39"/>
  <c r="F43" i="216"/>
  <c r="F47" i="216" s="1"/>
  <c r="Q149" i="209" s="1"/>
  <c r="Q749" i="209"/>
  <c r="P26" i="307"/>
  <c r="E42" i="349"/>
  <c r="N73" i="294" s="1"/>
  <c r="E37" i="349"/>
  <c r="I35" i="294" s="1"/>
  <c r="E39" i="349"/>
  <c r="N35" i="294" s="1"/>
  <c r="N16" i="294"/>
  <c r="S130" i="294"/>
  <c r="E38" i="349"/>
  <c r="S16" i="294" s="1"/>
  <c r="E40" i="349"/>
  <c r="I54" i="294" s="1"/>
  <c r="I16" i="294"/>
  <c r="E41" i="349"/>
  <c r="I73" i="294" s="1"/>
  <c r="P765" i="209"/>
  <c r="E43" i="219"/>
  <c r="E47" i="219" s="1"/>
  <c r="P165" i="209" s="1"/>
  <c r="F44" i="212"/>
  <c r="Q90" i="209" s="1"/>
  <c r="Q630" i="209"/>
  <c r="F45" i="212"/>
  <c r="K150" i="209" s="1"/>
  <c r="F46" i="212"/>
  <c r="K690" i="209"/>
  <c r="K630" i="209"/>
  <c r="M20" i="292"/>
  <c r="R130" i="294"/>
  <c r="D40" i="349"/>
  <c r="H54" i="294" s="1"/>
  <c r="M16" i="294"/>
  <c r="D41" i="349"/>
  <c r="H73" i="294" s="1"/>
  <c r="D38" i="349"/>
  <c r="R16" i="294" s="1"/>
  <c r="D37" i="349"/>
  <c r="H35" i="294" s="1"/>
  <c r="D42" i="349"/>
  <c r="M73" i="294" s="1"/>
  <c r="H16" i="294"/>
  <c r="D39" i="349"/>
  <c r="M35" i="294" s="1"/>
  <c r="E41" i="101"/>
  <c r="J217" i="246" s="1"/>
  <c r="E37" i="101"/>
  <c r="P217" i="246" s="1"/>
  <c r="E39" i="101"/>
  <c r="P31" i="246" s="1"/>
  <c r="E40" i="101"/>
  <c r="J93" i="246" s="1"/>
  <c r="J775" i="246"/>
  <c r="E38" i="101"/>
  <c r="J31" i="246" s="1"/>
  <c r="E42" i="101"/>
  <c r="J279" i="246" s="1"/>
  <c r="F38" i="187"/>
  <c r="K20" i="246" s="1"/>
  <c r="P26" i="270"/>
  <c r="P18" i="6"/>
  <c r="P19" i="202"/>
  <c r="P11" i="166"/>
  <c r="M687" i="209"/>
  <c r="P14" i="7"/>
  <c r="D43" i="215"/>
  <c r="D47" i="215" s="1"/>
  <c r="O146" i="209" s="1"/>
  <c r="O746" i="209"/>
  <c r="S746" i="209" s="1"/>
  <c r="D41" i="307"/>
  <c r="I244" i="246" s="1"/>
  <c r="D37" i="307"/>
  <c r="O244" i="246" s="1"/>
  <c r="D39" i="307"/>
  <c r="O58" i="246" s="1"/>
  <c r="I802" i="246"/>
  <c r="D42" i="307"/>
  <c r="I306" i="246" s="1"/>
  <c r="D38" i="307"/>
  <c r="I58" i="246" s="1"/>
  <c r="H18" i="307"/>
  <c r="D40" i="307"/>
  <c r="I120" i="246" s="1"/>
  <c r="E39" i="219"/>
  <c r="P45" i="209" s="1"/>
  <c r="J765" i="209"/>
  <c r="E42" i="219"/>
  <c r="J285" i="209" s="1"/>
  <c r="E37" i="219"/>
  <c r="P225" i="209" s="1"/>
  <c r="E40" i="219"/>
  <c r="J105" i="209" s="1"/>
  <c r="E38" i="219"/>
  <c r="J45" i="209" s="1"/>
  <c r="E41" i="219"/>
  <c r="J225" i="209" s="1"/>
  <c r="D38" i="215"/>
  <c r="I26" i="209" s="1"/>
  <c r="I746" i="209"/>
  <c r="D42" i="215"/>
  <c r="I266" i="209" s="1"/>
  <c r="D37" i="215"/>
  <c r="O206" i="209" s="1"/>
  <c r="D39" i="215"/>
  <c r="O26" i="209" s="1"/>
  <c r="D41" i="215"/>
  <c r="I206" i="209" s="1"/>
  <c r="D40" i="215"/>
  <c r="I86" i="209" s="1"/>
  <c r="S129" i="294"/>
  <c r="E41" i="293"/>
  <c r="I72" i="294" s="1"/>
  <c r="E39" i="293"/>
  <c r="N34" i="294" s="1"/>
  <c r="E40" i="293"/>
  <c r="I53" i="294" s="1"/>
  <c r="E42" i="293"/>
  <c r="N72" i="294" s="1"/>
  <c r="E37" i="293"/>
  <c r="I34" i="294" s="1"/>
  <c r="N15" i="294"/>
  <c r="I15" i="294"/>
  <c r="E38" i="293"/>
  <c r="S15" i="294" s="1"/>
  <c r="F42" i="187"/>
  <c r="K268" i="246" s="1"/>
  <c r="K600" i="209"/>
  <c r="P14" i="13"/>
  <c r="J424" i="209"/>
  <c r="S428" i="246"/>
  <c r="P19" i="139"/>
  <c r="P11" i="165"/>
  <c r="M20" i="79"/>
  <c r="M696" i="209"/>
  <c r="M379" i="209"/>
  <c r="G42" i="307"/>
  <c r="L306" i="246" s="1"/>
  <c r="G40" i="307"/>
  <c r="L120" i="246" s="1"/>
  <c r="L802" i="246"/>
  <c r="G41" i="307"/>
  <c r="L244" i="246" s="1"/>
  <c r="G37" i="307"/>
  <c r="R244" i="246" s="1"/>
  <c r="G39" i="307"/>
  <c r="R58" i="246" s="1"/>
  <c r="G38" i="307"/>
  <c r="L58" i="246" s="1"/>
  <c r="E38" i="139"/>
  <c r="J21" i="246" s="1"/>
  <c r="E37" i="139"/>
  <c r="P207" i="246" s="1"/>
  <c r="E41" i="139"/>
  <c r="J207" i="246" s="1"/>
  <c r="J765" i="246"/>
  <c r="E40" i="139"/>
  <c r="J83" i="246" s="1"/>
  <c r="E39" i="139"/>
  <c r="P21" i="246" s="1"/>
  <c r="E42" i="139"/>
  <c r="J269" i="246" s="1"/>
  <c r="D40" i="293"/>
  <c r="H53" i="294" s="1"/>
  <c r="D38" i="293"/>
  <c r="R15" i="294" s="1"/>
  <c r="R129" i="294"/>
  <c r="M15" i="294"/>
  <c r="D41" i="293"/>
  <c r="H72" i="294" s="1"/>
  <c r="D37" i="293"/>
  <c r="H34" i="294" s="1"/>
  <c r="D39" i="293"/>
  <c r="M34" i="294" s="1"/>
  <c r="H18" i="293"/>
  <c r="H15" i="294"/>
  <c r="D42" i="293"/>
  <c r="M72" i="294" s="1"/>
  <c r="G43" i="219"/>
  <c r="G47" i="219" s="1"/>
  <c r="R165" i="209" s="1"/>
  <c r="R765" i="209"/>
  <c r="S765" i="209" s="1"/>
  <c r="F39" i="165"/>
  <c r="Q17" i="246" s="1"/>
  <c r="F41" i="165"/>
  <c r="K203" i="246" s="1"/>
  <c r="K761" i="246"/>
  <c r="F37" i="165"/>
  <c r="Q203" i="246" s="1"/>
  <c r="F38" i="165"/>
  <c r="K17" i="246" s="1"/>
  <c r="F40" i="165"/>
  <c r="K79" i="246" s="1"/>
  <c r="F42" i="165"/>
  <c r="K265" i="246" s="1"/>
  <c r="F41" i="307"/>
  <c r="K244" i="246" s="1"/>
  <c r="K802" i="246"/>
  <c r="F42" i="307"/>
  <c r="K306" i="246" s="1"/>
  <c r="F39" i="307"/>
  <c r="Q58" i="246" s="1"/>
  <c r="F40" i="307"/>
  <c r="K120" i="246" s="1"/>
  <c r="F37" i="307"/>
  <c r="Q244" i="246" s="1"/>
  <c r="F38" i="307"/>
  <c r="K58" i="246" s="1"/>
  <c r="F37" i="349"/>
  <c r="J35" i="294" s="1"/>
  <c r="F41" i="349"/>
  <c r="J73" i="294" s="1"/>
  <c r="T130" i="294"/>
  <c r="F40" i="349"/>
  <c r="J54" i="294" s="1"/>
  <c r="F42" i="349"/>
  <c r="O73" i="294" s="1"/>
  <c r="F38" i="349"/>
  <c r="T16" i="294" s="1"/>
  <c r="O16" i="294"/>
  <c r="J16" i="294"/>
  <c r="F39" i="349"/>
  <c r="O35" i="294" s="1"/>
  <c r="K764" i="246"/>
  <c r="P25" i="58"/>
  <c r="P14" i="16"/>
  <c r="L360" i="209"/>
  <c r="P15" i="279"/>
  <c r="P19" i="162"/>
  <c r="P11" i="162"/>
  <c r="S436" i="246"/>
  <c r="I37" i="292"/>
  <c r="F18" i="223"/>
  <c r="F42" i="223" s="1"/>
  <c r="K270" i="246" s="1"/>
  <c r="F18" i="308"/>
  <c r="O32" i="292" s="1"/>
  <c r="M20" i="196"/>
  <c r="M20" i="154"/>
  <c r="J10" i="292"/>
  <c r="M20" i="338"/>
  <c r="H18" i="349"/>
  <c r="T32" i="36"/>
  <c r="T36" i="36" s="1"/>
  <c r="J48" i="36" s="1"/>
  <c r="J55" i="36" s="1"/>
  <c r="F43" i="79"/>
  <c r="F47" i="79" s="1"/>
  <c r="Q159" i="209" s="1"/>
  <c r="Q759" i="209"/>
  <c r="F41" i="360"/>
  <c r="J78" i="294" s="1"/>
  <c r="F37" i="360"/>
  <c r="J40" i="294" s="1"/>
  <c r="F40" i="360"/>
  <c r="J59" i="294" s="1"/>
  <c r="J21" i="294"/>
  <c r="F38" i="360"/>
  <c r="T21" i="294" s="1"/>
  <c r="O21" i="294"/>
  <c r="F39" i="360"/>
  <c r="O40" i="294" s="1"/>
  <c r="T135" i="294"/>
  <c r="F42" i="360"/>
  <c r="O78" i="294" s="1"/>
  <c r="D39" i="216"/>
  <c r="O29" i="209" s="1"/>
  <c r="D41" i="216"/>
  <c r="I209" i="209" s="1"/>
  <c r="D37" i="216"/>
  <c r="O209" i="209" s="1"/>
  <c r="D40" i="216"/>
  <c r="I89" i="209" s="1"/>
  <c r="D38" i="216"/>
  <c r="I29" i="209" s="1"/>
  <c r="I749" i="209"/>
  <c r="D42" i="216"/>
  <c r="I269" i="209" s="1"/>
  <c r="H18" i="215"/>
  <c r="G42" i="295"/>
  <c r="U131" i="294"/>
  <c r="G37" i="295"/>
  <c r="K36" i="294" s="1"/>
  <c r="G38" i="295"/>
  <c r="U17" i="294" s="1"/>
  <c r="G40" i="295"/>
  <c r="K55" i="294" s="1"/>
  <c r="K17" i="294"/>
  <c r="G39" i="295"/>
  <c r="P36" i="294" s="1"/>
  <c r="P17" i="294"/>
  <c r="G41" i="295"/>
  <c r="D43" i="293"/>
  <c r="D47" i="293" s="1"/>
  <c r="R53" i="294" s="1"/>
  <c r="P26" i="293"/>
  <c r="F48" i="58"/>
  <c r="P14" i="4"/>
  <c r="P11" i="202"/>
  <c r="M695" i="209"/>
  <c r="M20" i="72"/>
  <c r="H32" i="330"/>
  <c r="D39" i="295"/>
  <c r="M36" i="294" s="1"/>
  <c r="D38" i="295"/>
  <c r="R17" i="294" s="1"/>
  <c r="H18" i="295"/>
  <c r="D37" i="295"/>
  <c r="H36" i="294" s="1"/>
  <c r="D41" i="295"/>
  <c r="H74" i="294" s="1"/>
  <c r="M17" i="294"/>
  <c r="D40" i="295"/>
  <c r="H55" i="294" s="1"/>
  <c r="D42" i="295"/>
  <c r="M74" i="294" s="1"/>
  <c r="H17" i="294"/>
  <c r="R131" i="294"/>
  <c r="I765" i="246"/>
  <c r="D41" i="139"/>
  <c r="I207" i="246" s="1"/>
  <c r="D39" i="139"/>
  <c r="O21" i="246" s="1"/>
  <c r="D37" i="139"/>
  <c r="O207" i="246" s="1"/>
  <c r="D38" i="139"/>
  <c r="I21" i="246" s="1"/>
  <c r="D40" i="139"/>
  <c r="I83" i="246" s="1"/>
  <c r="D42" i="139"/>
  <c r="I269" i="246" s="1"/>
  <c r="D18" i="361"/>
  <c r="G39" i="219"/>
  <c r="R45" i="209" s="1"/>
  <c r="G40" i="219"/>
  <c r="L105" i="209" s="1"/>
  <c r="G38" i="219"/>
  <c r="L45" i="209" s="1"/>
  <c r="L765" i="209"/>
  <c r="M765" i="209" s="1"/>
  <c r="G41" i="219"/>
  <c r="L225" i="209" s="1"/>
  <c r="G42" i="219"/>
  <c r="L285" i="209" s="1"/>
  <c r="G37" i="219"/>
  <c r="R225" i="209" s="1"/>
  <c r="S619" i="209"/>
  <c r="P18" i="14"/>
  <c r="J22" i="292"/>
  <c r="P19" i="288"/>
  <c r="P19" i="290"/>
  <c r="P19" i="289"/>
  <c r="P18" i="7"/>
  <c r="P18" i="16"/>
  <c r="L20" i="72"/>
  <c r="N26" i="103"/>
  <c r="F43" i="103" s="1"/>
  <c r="H39" i="18"/>
  <c r="P11" i="6" s="1"/>
  <c r="P18" i="11"/>
  <c r="L20" i="123"/>
  <c r="H24" i="58"/>
  <c r="M360" i="209" s="1"/>
  <c r="I360" i="209"/>
  <c r="D24" i="229"/>
  <c r="J364" i="209" s="1"/>
  <c r="O540" i="209"/>
  <c r="P18" i="9"/>
  <c r="L20" i="337"/>
  <c r="R332" i="209"/>
  <c r="M693" i="246"/>
  <c r="P18" i="15"/>
  <c r="H33" i="229"/>
  <c r="L20" i="39"/>
  <c r="H38" i="228"/>
  <c r="M62" i="209" s="1"/>
  <c r="D44" i="185"/>
  <c r="O77" i="246" s="1"/>
  <c r="D28" i="229"/>
  <c r="H28" i="229" s="1"/>
  <c r="H42" i="229" s="1"/>
  <c r="P14" i="291" s="1"/>
  <c r="P18" i="4"/>
  <c r="P18" i="125"/>
  <c r="L20" i="338"/>
  <c r="J360" i="209"/>
  <c r="S614" i="246"/>
  <c r="C342" i="209"/>
  <c r="C402" i="209" s="1"/>
  <c r="V282" i="209"/>
  <c r="V342" i="209" s="1"/>
  <c r="P18" i="10"/>
  <c r="Q512" i="209"/>
  <c r="L20" i="196"/>
  <c r="S312" i="246"/>
  <c r="H38" i="18"/>
  <c r="P10" i="10" s="1"/>
  <c r="P15" i="289"/>
  <c r="P15" i="288"/>
  <c r="P15" i="290"/>
  <c r="G31" i="229"/>
  <c r="G48" i="229" s="1"/>
  <c r="O20" i="247" s="1"/>
  <c r="E30" i="229"/>
  <c r="AA41" i="292" s="1"/>
  <c r="J480" i="209"/>
  <c r="M698" i="209"/>
  <c r="H25" i="327"/>
  <c r="H39" i="327" s="1"/>
  <c r="S32" i="209" s="1"/>
  <c r="Q484" i="209"/>
  <c r="Q480" i="209"/>
  <c r="N13" i="292"/>
  <c r="P14" i="15"/>
  <c r="P14" i="6"/>
  <c r="P14" i="14"/>
  <c r="M674" i="209"/>
  <c r="I392" i="209"/>
  <c r="M392" i="209" s="1"/>
  <c r="Q724" i="209"/>
  <c r="Q720" i="209"/>
  <c r="H46" i="330"/>
  <c r="O600" i="209"/>
  <c r="L600" i="209"/>
  <c r="O392" i="209"/>
  <c r="S392" i="209" s="1"/>
  <c r="AA13" i="292"/>
  <c r="H29" i="330"/>
  <c r="I600" i="209"/>
  <c r="H29" i="229"/>
  <c r="H43" i="229" s="1"/>
  <c r="P15" i="328" s="1"/>
  <c r="G48" i="58"/>
  <c r="H29" i="58"/>
  <c r="H47" i="58" s="1"/>
  <c r="O512" i="209"/>
  <c r="S512" i="209" s="1"/>
  <c r="D48" i="330"/>
  <c r="O452" i="209"/>
  <c r="H24" i="327"/>
  <c r="O26" i="18"/>
  <c r="R739" i="209" s="1"/>
  <c r="H43" i="327"/>
  <c r="H47" i="327"/>
  <c r="S152" i="209" s="1"/>
  <c r="D48" i="327"/>
  <c r="H33" i="58"/>
  <c r="E48" i="58"/>
  <c r="Q332" i="209"/>
  <c r="Q392" i="209"/>
  <c r="I540" i="209"/>
  <c r="O20" i="104"/>
  <c r="S434" i="246"/>
  <c r="H27" i="174"/>
  <c r="H41" i="174" s="1"/>
  <c r="P13" i="184" s="1"/>
  <c r="G48" i="174"/>
  <c r="O20" i="184" s="1"/>
  <c r="H29" i="174"/>
  <c r="H47" i="174" s="1"/>
  <c r="P19" i="229" s="1"/>
  <c r="P14" i="104"/>
  <c r="P14" i="170"/>
  <c r="K562" i="246"/>
  <c r="R376" i="246"/>
  <c r="P18" i="186"/>
  <c r="L20" i="104"/>
  <c r="M373" i="246"/>
  <c r="F46" i="186"/>
  <c r="N18" i="191" s="1"/>
  <c r="F44" i="186"/>
  <c r="Q100" i="246" s="1"/>
  <c r="F11" i="184"/>
  <c r="Q683" i="246" s="1"/>
  <c r="F45" i="186"/>
  <c r="N17" i="95" s="1"/>
  <c r="Q658" i="246"/>
  <c r="N26" i="186"/>
  <c r="F43" i="186" s="1"/>
  <c r="S559" i="246"/>
  <c r="P624" i="246"/>
  <c r="S497" i="246"/>
  <c r="G11" i="184"/>
  <c r="G44" i="184" s="1"/>
  <c r="R125" i="246" s="1"/>
  <c r="G46" i="185"/>
  <c r="O18" i="156" s="1"/>
  <c r="O624" i="246"/>
  <c r="R635" i="246"/>
  <c r="L20" i="186"/>
  <c r="L20" i="170"/>
  <c r="H30" i="174"/>
  <c r="H44" i="174" s="1"/>
  <c r="M490" i="246"/>
  <c r="I500" i="246"/>
  <c r="D48" i="174"/>
  <c r="L20" i="229" s="1"/>
  <c r="G46" i="226"/>
  <c r="G11" i="231"/>
  <c r="L684" i="246" s="1"/>
  <c r="R674" i="246"/>
  <c r="L736" i="246"/>
  <c r="G44" i="226"/>
  <c r="R116" i="246" s="1"/>
  <c r="G11" i="172"/>
  <c r="R676" i="246" s="1"/>
  <c r="P25" i="328"/>
  <c r="R650" i="209"/>
  <c r="P11" i="203"/>
  <c r="P11" i="151"/>
  <c r="M482" i="209"/>
  <c r="P11" i="146"/>
  <c r="P11" i="362"/>
  <c r="G45" i="225"/>
  <c r="L170" i="209" s="1"/>
  <c r="P25" i="229"/>
  <c r="J604" i="209"/>
  <c r="E48" i="229"/>
  <c r="M20" i="228" s="1"/>
  <c r="M697" i="246"/>
  <c r="D39" i="156"/>
  <c r="O11" i="246" s="1"/>
  <c r="D40" i="156"/>
  <c r="I73" i="246" s="1"/>
  <c r="I755" i="246"/>
  <c r="D37" i="156"/>
  <c r="O197" i="246" s="1"/>
  <c r="D38" i="156"/>
  <c r="I11" i="246" s="1"/>
  <c r="D42" i="156"/>
  <c r="I259" i="246" s="1"/>
  <c r="D41" i="156"/>
  <c r="I197" i="246" s="1"/>
  <c r="D38" i="95"/>
  <c r="I36" i="246" s="1"/>
  <c r="D42" i="95"/>
  <c r="I284" i="246" s="1"/>
  <c r="D40" i="95"/>
  <c r="I98" i="246" s="1"/>
  <c r="D41" i="95"/>
  <c r="I222" i="246" s="1"/>
  <c r="I780" i="246"/>
  <c r="D39" i="95"/>
  <c r="O36" i="246" s="1"/>
  <c r="D37" i="95"/>
  <c r="O222" i="246" s="1"/>
  <c r="D18" i="186"/>
  <c r="E41" i="15"/>
  <c r="J189" i="209" s="1"/>
  <c r="E40" i="15"/>
  <c r="J69" i="209" s="1"/>
  <c r="E42" i="15"/>
  <c r="J249" i="209" s="1"/>
  <c r="E37" i="15"/>
  <c r="P189" i="209" s="1"/>
  <c r="J729" i="209"/>
  <c r="E39" i="15"/>
  <c r="P9" i="209" s="1"/>
  <c r="E38" i="15"/>
  <c r="J9" i="209" s="1"/>
  <c r="G40" i="214"/>
  <c r="L81" i="209" s="1"/>
  <c r="G37" i="214"/>
  <c r="R201" i="209" s="1"/>
  <c r="G39" i="214"/>
  <c r="R21" i="209" s="1"/>
  <c r="G41" i="214"/>
  <c r="L201" i="209" s="1"/>
  <c r="G38" i="214"/>
  <c r="L21" i="209" s="1"/>
  <c r="G42" i="214"/>
  <c r="L261" i="209" s="1"/>
  <c r="L741" i="209"/>
  <c r="E44" i="248"/>
  <c r="M16" i="364" s="1"/>
  <c r="J717" i="209"/>
  <c r="J657" i="209"/>
  <c r="E46" i="248"/>
  <c r="M18" i="364" s="1"/>
  <c r="P657" i="209"/>
  <c r="E45" i="248"/>
  <c r="M17" i="364" s="1"/>
  <c r="K756" i="209"/>
  <c r="F42" i="72"/>
  <c r="K276" i="209" s="1"/>
  <c r="F41" i="72"/>
  <c r="K216" i="209" s="1"/>
  <c r="F40" i="72"/>
  <c r="F39" i="72"/>
  <c r="F37" i="72"/>
  <c r="Q216" i="209" s="1"/>
  <c r="F38" i="72"/>
  <c r="E38" i="72"/>
  <c r="E39" i="72"/>
  <c r="E40" i="72"/>
  <c r="E42" i="72"/>
  <c r="J276" i="209" s="1"/>
  <c r="E41" i="72"/>
  <c r="J216" i="209" s="1"/>
  <c r="E37" i="72"/>
  <c r="P216" i="209" s="1"/>
  <c r="J756" i="209"/>
  <c r="G43" i="13"/>
  <c r="G47" i="13" s="1"/>
  <c r="R132" i="209" s="1"/>
  <c r="R732" i="209"/>
  <c r="D37" i="72"/>
  <c r="O216" i="209" s="1"/>
  <c r="D38" i="72"/>
  <c r="D39" i="72"/>
  <c r="H18" i="72"/>
  <c r="D42" i="72"/>
  <c r="I276" i="209" s="1"/>
  <c r="I756" i="209"/>
  <c r="D40" i="72"/>
  <c r="D41" i="72"/>
  <c r="I216" i="209" s="1"/>
  <c r="G43" i="279"/>
  <c r="G47" i="279" s="1"/>
  <c r="R159" i="246" s="1"/>
  <c r="P26" i="279"/>
  <c r="G40" i="14"/>
  <c r="L70" i="209" s="1"/>
  <c r="G42" i="14"/>
  <c r="L250" i="209" s="1"/>
  <c r="G37" i="14"/>
  <c r="R190" i="209" s="1"/>
  <c r="G38" i="14"/>
  <c r="L10" i="209" s="1"/>
  <c r="L730" i="209"/>
  <c r="M730" i="209" s="1"/>
  <c r="G41" i="14"/>
  <c r="L190" i="209" s="1"/>
  <c r="G39" i="14"/>
  <c r="R10" i="209" s="1"/>
  <c r="F11" i="171"/>
  <c r="F46" i="171" s="1"/>
  <c r="G11" i="170"/>
  <c r="F41" i="190"/>
  <c r="K199" i="246" s="1"/>
  <c r="G45" i="185"/>
  <c r="O17" i="192" s="1"/>
  <c r="H46" i="58"/>
  <c r="S660" i="209" s="1"/>
  <c r="D48" i="58"/>
  <c r="G11" i="328"/>
  <c r="G18" i="247"/>
  <c r="J600" i="209"/>
  <c r="D43" i="190"/>
  <c r="D47" i="190" s="1"/>
  <c r="O137" i="246" s="1"/>
  <c r="P26" i="190"/>
  <c r="Q758" i="209"/>
  <c r="F43" i="154"/>
  <c r="F47" i="154" s="1"/>
  <c r="Q158" i="209" s="1"/>
  <c r="R756" i="209"/>
  <c r="G43" i="72"/>
  <c r="G47" i="72" s="1"/>
  <c r="R156" i="209" s="1"/>
  <c r="J742" i="209"/>
  <c r="E38" i="105"/>
  <c r="J22" i="209" s="1"/>
  <c r="E41" i="105"/>
  <c r="J202" i="209" s="1"/>
  <c r="E37" i="105"/>
  <c r="P202" i="209" s="1"/>
  <c r="E39" i="105"/>
  <c r="P22" i="209" s="1"/>
  <c r="E42" i="105"/>
  <c r="J262" i="209" s="1"/>
  <c r="E40" i="105"/>
  <c r="J82" i="209" s="1"/>
  <c r="O741" i="209"/>
  <c r="D43" i="214"/>
  <c r="D47" i="214" s="1"/>
  <c r="O141" i="209" s="1"/>
  <c r="P26" i="214"/>
  <c r="G43" i="176"/>
  <c r="G47" i="176" s="1"/>
  <c r="R156" i="246" s="1"/>
  <c r="P26" i="176"/>
  <c r="F38" i="221"/>
  <c r="K53" i="209" s="1"/>
  <c r="K773" i="209"/>
  <c r="F40" i="221"/>
  <c r="K113" i="209" s="1"/>
  <c r="F39" i="221"/>
  <c r="Q53" i="209" s="1"/>
  <c r="F42" i="221"/>
  <c r="K293" i="209" s="1"/>
  <c r="F37" i="221"/>
  <c r="Q233" i="209" s="1"/>
  <c r="F41" i="221"/>
  <c r="K233" i="209" s="1"/>
  <c r="H18" i="345"/>
  <c r="D41" i="345"/>
  <c r="I229" i="209" s="1"/>
  <c r="D38" i="345"/>
  <c r="I49" i="209" s="1"/>
  <c r="D37" i="345"/>
  <c r="O229" i="209" s="1"/>
  <c r="I769" i="209"/>
  <c r="D42" i="345"/>
  <c r="I289" i="209" s="1"/>
  <c r="D40" i="345"/>
  <c r="I109" i="209" s="1"/>
  <c r="D39" i="345"/>
  <c r="O49" i="209" s="1"/>
  <c r="O758" i="209"/>
  <c r="D43" i="154"/>
  <c r="D47" i="154" s="1"/>
  <c r="O158" i="209" s="1"/>
  <c r="P26" i="154"/>
  <c r="G40" i="190"/>
  <c r="L75" i="246" s="1"/>
  <c r="G37" i="190"/>
  <c r="R199" i="246" s="1"/>
  <c r="L757" i="246"/>
  <c r="G39" i="190"/>
  <c r="R13" i="246" s="1"/>
  <c r="G38" i="190"/>
  <c r="L13" i="246" s="1"/>
  <c r="G42" i="190"/>
  <c r="L261" i="246" s="1"/>
  <c r="G41" i="190"/>
  <c r="L199" i="246" s="1"/>
  <c r="M732" i="246"/>
  <c r="L679" i="209"/>
  <c r="M679" i="209" s="1"/>
  <c r="G44" i="18"/>
  <c r="G46" i="18"/>
  <c r="L619" i="209"/>
  <c r="G45" i="18"/>
  <c r="R619" i="209"/>
  <c r="M26" i="247"/>
  <c r="E43" i="214"/>
  <c r="E47" i="214" s="1"/>
  <c r="P141" i="209" s="1"/>
  <c r="P741" i="209"/>
  <c r="E43" i="15"/>
  <c r="E47" i="15" s="1"/>
  <c r="P129" i="209" s="1"/>
  <c r="P729" i="209"/>
  <c r="R773" i="209"/>
  <c r="G43" i="221"/>
  <c r="G47" i="221" s="1"/>
  <c r="R173" i="209" s="1"/>
  <c r="P26" i="221"/>
  <c r="D43" i="221"/>
  <c r="D47" i="221" s="1"/>
  <c r="O773" i="209"/>
  <c r="L26" i="248"/>
  <c r="O756" i="209"/>
  <c r="D43" i="72"/>
  <c r="D47" i="72" s="1"/>
  <c r="O156" i="209" s="1"/>
  <c r="P26" i="72"/>
  <c r="K757" i="246"/>
  <c r="F46" i="103"/>
  <c r="N18" i="91" s="1"/>
  <c r="L635" i="246"/>
  <c r="D48" i="328"/>
  <c r="O20" i="170"/>
  <c r="G44" i="225"/>
  <c r="R110" i="209" s="1"/>
  <c r="P18" i="104"/>
  <c r="D46" i="185"/>
  <c r="L18" i="284" s="1"/>
  <c r="D44" i="186"/>
  <c r="I658" i="246"/>
  <c r="I720" i="246"/>
  <c r="M720" i="246" s="1"/>
  <c r="O658" i="246"/>
  <c r="D45" i="186"/>
  <c r="D46" i="186"/>
  <c r="F40" i="14"/>
  <c r="K70" i="209" s="1"/>
  <c r="F41" i="14"/>
  <c r="K190" i="209" s="1"/>
  <c r="F39" i="14"/>
  <c r="Q10" i="209" s="1"/>
  <c r="F38" i="14"/>
  <c r="K10" i="209" s="1"/>
  <c r="K730" i="209"/>
  <c r="F37" i="14"/>
  <c r="Q190" i="209" s="1"/>
  <c r="F42" i="14"/>
  <c r="K250" i="209" s="1"/>
  <c r="G39" i="72"/>
  <c r="G38" i="72"/>
  <c r="G42" i="72"/>
  <c r="L276" i="209" s="1"/>
  <c r="L756" i="209"/>
  <c r="G41" i="72"/>
  <c r="L216" i="209" s="1"/>
  <c r="G40" i="72"/>
  <c r="G37" i="72"/>
  <c r="R216" i="209" s="1"/>
  <c r="H43" i="18"/>
  <c r="H47" i="18"/>
  <c r="E39" i="221"/>
  <c r="P53" i="209" s="1"/>
  <c r="E40" i="221"/>
  <c r="J113" i="209" s="1"/>
  <c r="J773" i="209"/>
  <c r="E37" i="221"/>
  <c r="P233" i="209" s="1"/>
  <c r="E42" i="221"/>
  <c r="J293" i="209" s="1"/>
  <c r="E38" i="221"/>
  <c r="J53" i="209" s="1"/>
  <c r="E41" i="221"/>
  <c r="J233" i="209" s="1"/>
  <c r="F38" i="214"/>
  <c r="K21" i="209" s="1"/>
  <c r="K741" i="209"/>
  <c r="F37" i="214"/>
  <c r="Q201" i="209" s="1"/>
  <c r="F41" i="214"/>
  <c r="K201" i="209" s="1"/>
  <c r="F42" i="214"/>
  <c r="K261" i="209" s="1"/>
  <c r="F18" i="247"/>
  <c r="F40" i="214"/>
  <c r="K81" i="209" s="1"/>
  <c r="F39" i="214"/>
  <c r="Q21" i="209" s="1"/>
  <c r="E43" i="72"/>
  <c r="E47" i="72" s="1"/>
  <c r="P156" i="209" s="1"/>
  <c r="P756" i="209"/>
  <c r="G46" i="291"/>
  <c r="G45" i="291"/>
  <c r="G44" i="291"/>
  <c r="F43" i="7"/>
  <c r="F47" i="7" s="1"/>
  <c r="Q137" i="209" s="1"/>
  <c r="Q737" i="209"/>
  <c r="Q657" i="209"/>
  <c r="K717" i="209"/>
  <c r="K657" i="209"/>
  <c r="F45" i="248"/>
  <c r="N17" i="364" s="1"/>
  <c r="F44" i="248"/>
  <c r="N16" i="364" s="1"/>
  <c r="F46" i="248"/>
  <c r="N18" i="364" s="1"/>
  <c r="M16" i="292"/>
  <c r="S132" i="294"/>
  <c r="E41" i="296"/>
  <c r="E37" i="296"/>
  <c r="I37" i="294" s="1"/>
  <c r="E39" i="296"/>
  <c r="N37" i="294" s="1"/>
  <c r="N18" i="294"/>
  <c r="E18" i="361"/>
  <c r="E42" i="296"/>
  <c r="N75" i="294" s="1"/>
  <c r="I18" i="294"/>
  <c r="E38" i="296"/>
  <c r="S18" i="294" s="1"/>
  <c r="E40" i="296"/>
  <c r="I56" i="294" s="1"/>
  <c r="K780" i="246"/>
  <c r="F38" i="95"/>
  <c r="K36" i="246" s="1"/>
  <c r="F39" i="95"/>
  <c r="Q36" i="246" s="1"/>
  <c r="F37" i="95"/>
  <c r="Q222" i="246" s="1"/>
  <c r="F40" i="95"/>
  <c r="K98" i="246" s="1"/>
  <c r="F41" i="95"/>
  <c r="K222" i="246" s="1"/>
  <c r="F42" i="95"/>
  <c r="K284" i="246" s="1"/>
  <c r="E43" i="154"/>
  <c r="E47" i="154" s="1"/>
  <c r="P158" i="209" s="1"/>
  <c r="P758" i="209"/>
  <c r="K755" i="246"/>
  <c r="F39" i="156"/>
  <c r="Q11" i="246" s="1"/>
  <c r="F37" i="156"/>
  <c r="Q197" i="246" s="1"/>
  <c r="F42" i="156"/>
  <c r="K259" i="246" s="1"/>
  <c r="F41" i="156"/>
  <c r="K197" i="246" s="1"/>
  <c r="M718" i="246"/>
  <c r="O9" i="294"/>
  <c r="F42" i="325"/>
  <c r="O66" i="294" s="1"/>
  <c r="F40" i="325"/>
  <c r="J47" i="294" s="1"/>
  <c r="F39" i="325"/>
  <c r="O28" i="294" s="1"/>
  <c r="F41" i="325"/>
  <c r="J66" i="294" s="1"/>
  <c r="J9" i="294"/>
  <c r="F18" i="326"/>
  <c r="F37" i="325"/>
  <c r="J28" i="294" s="1"/>
  <c r="T123" i="294"/>
  <c r="F38" i="325"/>
  <c r="T9" i="294" s="1"/>
  <c r="I512" i="209"/>
  <c r="M512" i="209" s="1"/>
  <c r="H33" i="327"/>
  <c r="M670" i="209"/>
  <c r="G40" i="296"/>
  <c r="K56" i="294" s="1"/>
  <c r="U132" i="294"/>
  <c r="G18" i="361"/>
  <c r="G41" i="296"/>
  <c r="K75" i="294" s="1"/>
  <c r="H18" i="296"/>
  <c r="P18" i="294"/>
  <c r="K18" i="294"/>
  <c r="G38" i="296"/>
  <c r="U18" i="294" s="1"/>
  <c r="G39" i="296"/>
  <c r="P37" i="294" s="1"/>
  <c r="G42" i="296"/>
  <c r="P75" i="294" s="1"/>
  <c r="G37" i="296"/>
  <c r="K37" i="294" s="1"/>
  <c r="H13" i="294"/>
  <c r="D40" i="290"/>
  <c r="H51" i="294" s="1"/>
  <c r="D38" i="290"/>
  <c r="R13" i="294" s="1"/>
  <c r="D39" i="290"/>
  <c r="M32" i="294" s="1"/>
  <c r="H18" i="290"/>
  <c r="D42" i="290"/>
  <c r="M70" i="294" s="1"/>
  <c r="M13" i="294"/>
  <c r="D41" i="290"/>
  <c r="H70" i="294" s="1"/>
  <c r="R127" i="294"/>
  <c r="D18" i="291"/>
  <c r="D37" i="290"/>
  <c r="H32" i="294" s="1"/>
  <c r="G11" i="171"/>
  <c r="G46" i="171" s="1"/>
  <c r="F37" i="190"/>
  <c r="Q199" i="246" s="1"/>
  <c r="F45" i="103"/>
  <c r="N18" i="313" s="1"/>
  <c r="G44" i="185"/>
  <c r="O16" i="156" s="1"/>
  <c r="K544" i="209"/>
  <c r="Q420" i="209"/>
  <c r="Q540" i="209"/>
  <c r="O20" i="186"/>
  <c r="F18" i="185"/>
  <c r="I635" i="246"/>
  <c r="O26" i="248"/>
  <c r="G43" i="248" s="1"/>
  <c r="O15" i="364" s="1"/>
  <c r="D43" i="95"/>
  <c r="D47" i="95" s="1"/>
  <c r="O160" i="246" s="1"/>
  <c r="L26" i="186"/>
  <c r="D43" i="186" s="1"/>
  <c r="P26" i="14"/>
  <c r="D43" i="14"/>
  <c r="D47" i="14" s="1"/>
  <c r="O130" i="209" s="1"/>
  <c r="O730" i="209"/>
  <c r="M730" i="246"/>
  <c r="E43" i="14"/>
  <c r="E47" i="14" s="1"/>
  <c r="P130" i="209" s="1"/>
  <c r="P730" i="209"/>
  <c r="D38" i="221"/>
  <c r="I53" i="209" s="1"/>
  <c r="I773" i="209"/>
  <c r="D41" i="221"/>
  <c r="I233" i="209" s="1"/>
  <c r="D37" i="221"/>
  <c r="O233" i="209" s="1"/>
  <c r="D40" i="221"/>
  <c r="I113" i="209" s="1"/>
  <c r="D39" i="221"/>
  <c r="O53" i="209" s="1"/>
  <c r="H18" i="221"/>
  <c r="D42" i="221"/>
  <c r="I293" i="209" s="1"/>
  <c r="G43" i="290"/>
  <c r="G47" i="290" s="1"/>
  <c r="U51" i="294" s="1"/>
  <c r="O26" i="291"/>
  <c r="G43" i="291" s="1"/>
  <c r="G42" i="345"/>
  <c r="L289" i="209" s="1"/>
  <c r="G41" i="345"/>
  <c r="L229" i="209" s="1"/>
  <c r="G40" i="345"/>
  <c r="L109" i="209" s="1"/>
  <c r="L769" i="209"/>
  <c r="G38" i="345"/>
  <c r="L49" i="209" s="1"/>
  <c r="G39" i="345"/>
  <c r="R49" i="209" s="1"/>
  <c r="G37" i="345"/>
  <c r="R229" i="209" s="1"/>
  <c r="D46" i="291"/>
  <c r="D45" i="291"/>
  <c r="D44" i="291"/>
  <c r="M26" i="361"/>
  <c r="E43" i="361" s="1"/>
  <c r="E43" i="296"/>
  <c r="E47" i="296" s="1"/>
  <c r="S56" i="294" s="1"/>
  <c r="M709" i="209"/>
  <c r="H18" i="14"/>
  <c r="P12" i="14"/>
  <c r="P12" i="6"/>
  <c r="P12" i="13"/>
  <c r="P12" i="125"/>
  <c r="P12" i="7"/>
  <c r="M79" i="209"/>
  <c r="P12" i="9"/>
  <c r="P12" i="10"/>
  <c r="P12" i="16"/>
  <c r="P12" i="15"/>
  <c r="P12" i="4"/>
  <c r="P12" i="11"/>
  <c r="S122" i="246"/>
  <c r="P16" i="307"/>
  <c r="G43" i="214"/>
  <c r="G47" i="214" s="1"/>
  <c r="R141" i="209" s="1"/>
  <c r="R741" i="209"/>
  <c r="P734" i="209"/>
  <c r="E43" i="11"/>
  <c r="E47" i="11" s="1"/>
  <c r="P134" i="209" s="1"/>
  <c r="Q741" i="209"/>
  <c r="F43" i="214"/>
  <c r="F47" i="214" s="1"/>
  <c r="Q141" i="209" s="1"/>
  <c r="N26" i="247"/>
  <c r="E42" i="162"/>
  <c r="J268" i="209" s="1"/>
  <c r="J748" i="209"/>
  <c r="E41" i="162"/>
  <c r="J208" i="209" s="1"/>
  <c r="E37" i="162"/>
  <c r="P208" i="209" s="1"/>
  <c r="F40" i="190"/>
  <c r="K75" i="246" s="1"/>
  <c r="F44" i="103"/>
  <c r="Q71" i="246" s="1"/>
  <c r="H31" i="328"/>
  <c r="H45" i="328" s="1"/>
  <c r="R360" i="209"/>
  <c r="O18" i="356"/>
  <c r="P18" i="293"/>
  <c r="K540" i="209"/>
  <c r="D45" i="185"/>
  <c r="L17" i="190" s="1"/>
  <c r="W33" i="190" s="1"/>
  <c r="Q360" i="209"/>
  <c r="P26" i="156"/>
  <c r="D43" i="156"/>
  <c r="D47" i="156" s="1"/>
  <c r="O135" i="246" s="1"/>
  <c r="F43" i="14"/>
  <c r="F47" i="14" s="1"/>
  <c r="Q130" i="209" s="1"/>
  <c r="Q730" i="209"/>
  <c r="L624" i="209"/>
  <c r="G44" i="247"/>
  <c r="L684" i="209"/>
  <c r="G46" i="247"/>
  <c r="G45" i="247"/>
  <c r="R624" i="209"/>
  <c r="M20" i="15"/>
  <c r="M20" i="16"/>
  <c r="M20" i="125"/>
  <c r="M20" i="14"/>
  <c r="M20" i="11"/>
  <c r="M20" i="9"/>
  <c r="M20" i="6"/>
  <c r="M20" i="13"/>
  <c r="M20" i="4"/>
  <c r="M20" i="7"/>
  <c r="M20" i="10"/>
  <c r="F45" i="247"/>
  <c r="F44" i="247"/>
  <c r="K624" i="209"/>
  <c r="K684" i="209"/>
  <c r="M15" i="292"/>
  <c r="Q624" i="209"/>
  <c r="F46" i="247"/>
  <c r="D39" i="187"/>
  <c r="O20" i="246" s="1"/>
  <c r="D37" i="187"/>
  <c r="O206" i="246" s="1"/>
  <c r="D40" i="187"/>
  <c r="I82" i="246" s="1"/>
  <c r="D41" i="187"/>
  <c r="I206" i="246" s="1"/>
  <c r="I764" i="246"/>
  <c r="M764" i="246" s="1"/>
  <c r="D38" i="187"/>
  <c r="I20" i="246" s="1"/>
  <c r="D42" i="187"/>
  <c r="I268" i="246" s="1"/>
  <c r="E45" i="361"/>
  <c r="E44" i="361"/>
  <c r="E46" i="361"/>
  <c r="R737" i="209"/>
  <c r="G43" i="7"/>
  <c r="G47" i="7" s="1"/>
  <c r="R137" i="209" s="1"/>
  <c r="P26" i="7"/>
  <c r="P748" i="209"/>
  <c r="E43" i="162"/>
  <c r="E47" i="162" s="1"/>
  <c r="P148" i="209" s="1"/>
  <c r="D40" i="284"/>
  <c r="I76" i="246" s="1"/>
  <c r="D42" i="284"/>
  <c r="I262" i="246" s="1"/>
  <c r="D41" i="284"/>
  <c r="I200" i="246" s="1"/>
  <c r="I758" i="246"/>
  <c r="D37" i="284"/>
  <c r="O200" i="246" s="1"/>
  <c r="D38" i="284"/>
  <c r="I14" i="246" s="1"/>
  <c r="D39" i="284"/>
  <c r="O14" i="246" s="1"/>
  <c r="F46" i="326"/>
  <c r="F45" i="326"/>
  <c r="M12" i="292"/>
  <c r="F44" i="326"/>
  <c r="M695" i="246"/>
  <c r="D43" i="162"/>
  <c r="D47" i="162" s="1"/>
  <c r="O148" i="209" s="1"/>
  <c r="O748" i="209"/>
  <c r="S748" i="209" s="1"/>
  <c r="P26" i="162"/>
  <c r="E43" i="95"/>
  <c r="E47" i="95" s="1"/>
  <c r="P160" i="246" s="1"/>
  <c r="M26" i="186"/>
  <c r="E43" i="186" s="1"/>
  <c r="M15" i="279" s="1"/>
  <c r="Q692" i="209"/>
  <c r="Q452" i="209"/>
  <c r="D18" i="185"/>
  <c r="E42" i="284"/>
  <c r="J262" i="246" s="1"/>
  <c r="E40" i="284"/>
  <c r="J76" i="246" s="1"/>
  <c r="E39" i="284"/>
  <c r="P14" i="246" s="1"/>
  <c r="E38" i="284"/>
  <c r="J14" i="246" s="1"/>
  <c r="E37" i="284"/>
  <c r="P200" i="246" s="1"/>
  <c r="E41" i="284"/>
  <c r="J200" i="246" s="1"/>
  <c r="J758" i="246"/>
  <c r="R734" i="209"/>
  <c r="G43" i="11"/>
  <c r="G47" i="11" s="1"/>
  <c r="R134" i="209" s="1"/>
  <c r="F39" i="190"/>
  <c r="Q13" i="246" s="1"/>
  <c r="H31" i="58"/>
  <c r="H45" i="58" s="1"/>
  <c r="M180" i="209" s="1"/>
  <c r="P18" i="353"/>
  <c r="K37" i="292"/>
  <c r="L650" i="209"/>
  <c r="O635" i="246"/>
  <c r="E44" i="247"/>
  <c r="J684" i="209"/>
  <c r="P624" i="209"/>
  <c r="J624" i="209"/>
  <c r="E46" i="247"/>
  <c r="E45" i="247"/>
  <c r="D43" i="11"/>
  <c r="D47" i="11" s="1"/>
  <c r="O134" i="209" s="1"/>
  <c r="O734" i="209"/>
  <c r="P26" i="11"/>
  <c r="E43" i="221"/>
  <c r="E47" i="221" s="1"/>
  <c r="P173" i="209" s="1"/>
  <c r="P773" i="209"/>
  <c r="M26" i="248"/>
  <c r="E40" i="14"/>
  <c r="J70" i="209" s="1"/>
  <c r="E37" i="14"/>
  <c r="P190" i="209" s="1"/>
  <c r="E39" i="14"/>
  <c r="P10" i="209" s="1"/>
  <c r="E41" i="14"/>
  <c r="J190" i="209" s="1"/>
  <c r="E42" i="14"/>
  <c r="J250" i="209" s="1"/>
  <c r="E38" i="14"/>
  <c r="J10" i="209" s="1"/>
  <c r="J730" i="209"/>
  <c r="P742" i="209"/>
  <c r="E43" i="105"/>
  <c r="E47" i="105" s="1"/>
  <c r="P142" i="209" s="1"/>
  <c r="F43" i="11"/>
  <c r="F47" i="11" s="1"/>
  <c r="Q134" i="209" s="1"/>
  <c r="Q734" i="209"/>
  <c r="I717" i="209"/>
  <c r="O657" i="209"/>
  <c r="D44" i="248"/>
  <c r="L16" i="364" s="1"/>
  <c r="W32" i="364" s="1"/>
  <c r="I657" i="209"/>
  <c r="D45" i="248"/>
  <c r="L17" i="364" s="1"/>
  <c r="W33" i="364" s="1"/>
  <c r="D46" i="248"/>
  <c r="L18" i="364" s="1"/>
  <c r="O732" i="209"/>
  <c r="D43" i="13"/>
  <c r="D47" i="13" s="1"/>
  <c r="O132" i="209" s="1"/>
  <c r="P26" i="13"/>
  <c r="P26" i="290"/>
  <c r="D43" i="290"/>
  <c r="D47" i="290" s="1"/>
  <c r="R51" i="294" s="1"/>
  <c r="L26" i="291"/>
  <c r="P392" i="209"/>
  <c r="P332" i="209"/>
  <c r="F43" i="325"/>
  <c r="F47" i="325" s="1"/>
  <c r="T47" i="294" s="1"/>
  <c r="N26" i="326"/>
  <c r="F43" i="326" s="1"/>
  <c r="E45" i="186"/>
  <c r="E46" i="186"/>
  <c r="J720" i="246"/>
  <c r="E44" i="186"/>
  <c r="J658" i="246"/>
  <c r="P658" i="246"/>
  <c r="L710" i="209"/>
  <c r="G43" i="154"/>
  <c r="G47" i="154" s="1"/>
  <c r="R158" i="209" s="1"/>
  <c r="R758" i="209"/>
  <c r="J764" i="246"/>
  <c r="E41" i="187"/>
  <c r="J206" i="246" s="1"/>
  <c r="E39" i="187"/>
  <c r="P20" i="246" s="1"/>
  <c r="E42" i="187"/>
  <c r="J268" i="246" s="1"/>
  <c r="E38" i="187"/>
  <c r="J20" i="246" s="1"/>
  <c r="E37" i="187"/>
  <c r="P206" i="246" s="1"/>
  <c r="E40" i="187"/>
  <c r="J82" i="246" s="1"/>
  <c r="G43" i="345"/>
  <c r="G47" i="345" s="1"/>
  <c r="R169" i="209" s="1"/>
  <c r="R769" i="209"/>
  <c r="O769" i="209"/>
  <c r="P26" i="345"/>
  <c r="D43" i="345"/>
  <c r="D47" i="345" s="1"/>
  <c r="O169" i="209" s="1"/>
  <c r="G43" i="14"/>
  <c r="G47" i="14" s="1"/>
  <c r="R130" i="209" s="1"/>
  <c r="R730" i="209"/>
  <c r="D11" i="171"/>
  <c r="I706" i="246" s="1"/>
  <c r="S676" i="246"/>
  <c r="P18" i="183"/>
  <c r="O26" i="247"/>
  <c r="E18" i="247"/>
  <c r="E40" i="214"/>
  <c r="J81" i="209" s="1"/>
  <c r="E42" i="214"/>
  <c r="J261" i="209" s="1"/>
  <c r="E38" i="214"/>
  <c r="J21" i="209" s="1"/>
  <c r="E39" i="214"/>
  <c r="P21" i="209" s="1"/>
  <c r="J741" i="209"/>
  <c r="E41" i="214"/>
  <c r="J201" i="209" s="1"/>
  <c r="E37" i="214"/>
  <c r="P201" i="209" s="1"/>
  <c r="D38" i="190"/>
  <c r="I13" i="246" s="1"/>
  <c r="D42" i="190"/>
  <c r="I261" i="246" s="1"/>
  <c r="D37" i="190"/>
  <c r="O199" i="246" s="1"/>
  <c r="D39" i="190"/>
  <c r="O13" i="246" s="1"/>
  <c r="H18" i="190"/>
  <c r="I757" i="246"/>
  <c r="D40" i="190"/>
  <c r="I75" i="246" s="1"/>
  <c r="D41" i="190"/>
  <c r="I199" i="246" s="1"/>
  <c r="F43" i="72"/>
  <c r="F47" i="72" s="1"/>
  <c r="Q156" i="209" s="1"/>
  <c r="Q756" i="209"/>
  <c r="G39" i="221"/>
  <c r="R53" i="209" s="1"/>
  <c r="G40" i="221"/>
  <c r="L113" i="209" s="1"/>
  <c r="G37" i="221"/>
  <c r="R233" i="209" s="1"/>
  <c r="G41" i="221"/>
  <c r="L233" i="209" s="1"/>
  <c r="G38" i="221"/>
  <c r="L53" i="209" s="1"/>
  <c r="L773" i="209"/>
  <c r="G42" i="221"/>
  <c r="L293" i="209" s="1"/>
  <c r="D39" i="214"/>
  <c r="O21" i="209" s="1"/>
  <c r="I741" i="209"/>
  <c r="D40" i="214"/>
  <c r="I81" i="209" s="1"/>
  <c r="D37" i="214"/>
  <c r="O201" i="209" s="1"/>
  <c r="D38" i="214"/>
  <c r="I21" i="209" s="1"/>
  <c r="D42" i="214"/>
  <c r="I261" i="209" s="1"/>
  <c r="D41" i="214"/>
  <c r="I201" i="209" s="1"/>
  <c r="H18" i="214"/>
  <c r="M713" i="209"/>
  <c r="G40" i="290"/>
  <c r="K51" i="294" s="1"/>
  <c r="U127" i="294"/>
  <c r="G42" i="290"/>
  <c r="P70" i="294" s="1"/>
  <c r="G38" i="290"/>
  <c r="U13" i="294" s="1"/>
  <c r="G18" i="291"/>
  <c r="G39" i="290"/>
  <c r="P32" i="294" s="1"/>
  <c r="K13" i="294"/>
  <c r="P13" i="294"/>
  <c r="G37" i="290"/>
  <c r="K32" i="294" s="1"/>
  <c r="G41" i="290"/>
  <c r="K70" i="294" s="1"/>
  <c r="G43" i="296"/>
  <c r="G47" i="296" s="1"/>
  <c r="U56" i="294" s="1"/>
  <c r="P26" i="296"/>
  <c r="F43" i="221"/>
  <c r="F47" i="221" s="1"/>
  <c r="Q173" i="209" s="1"/>
  <c r="Q773" i="209"/>
  <c r="N26" i="248"/>
  <c r="G41" i="279"/>
  <c r="L221" i="246" s="1"/>
  <c r="G42" i="279"/>
  <c r="L283" i="246" s="1"/>
  <c r="G40" i="279"/>
  <c r="L97" i="246" s="1"/>
  <c r="G37" i="279"/>
  <c r="R221" i="246" s="1"/>
  <c r="G39" i="279"/>
  <c r="R35" i="246" s="1"/>
  <c r="G38" i="279"/>
  <c r="L35" i="246" s="1"/>
  <c r="L779" i="246"/>
  <c r="M779" i="246" s="1"/>
  <c r="H18" i="279"/>
  <c r="E43" i="13"/>
  <c r="E47" i="13" s="1"/>
  <c r="P132" i="209" s="1"/>
  <c r="P732" i="209"/>
  <c r="D37" i="162"/>
  <c r="O208" i="209" s="1"/>
  <c r="I748" i="209"/>
  <c r="D42" i="162"/>
  <c r="I268" i="209" s="1"/>
  <c r="D41" i="162"/>
  <c r="I208" i="209" s="1"/>
  <c r="E38" i="95"/>
  <c r="J36" i="246" s="1"/>
  <c r="E41" i="95"/>
  <c r="J222" i="246" s="1"/>
  <c r="E37" i="95"/>
  <c r="P222" i="246" s="1"/>
  <c r="E39" i="95"/>
  <c r="P36" i="246" s="1"/>
  <c r="E40" i="95"/>
  <c r="J98" i="246" s="1"/>
  <c r="J780" i="246"/>
  <c r="E42" i="95"/>
  <c r="J284" i="246" s="1"/>
  <c r="E18" i="186"/>
  <c r="X39" i="124"/>
  <c r="X40" i="124"/>
  <c r="P26" i="160"/>
  <c r="P18" i="228"/>
  <c r="P17" i="223"/>
  <c r="L624" i="246"/>
  <c r="J24" i="124"/>
  <c r="J26" i="124" s="1"/>
  <c r="D15" i="123"/>
  <c r="D15" i="44" s="1"/>
  <c r="G14" i="173"/>
  <c r="G14" i="228"/>
  <c r="P18" i="223"/>
  <c r="P17" i="228"/>
  <c r="D42" i="125"/>
  <c r="I253" i="209" s="1"/>
  <c r="D41" i="125"/>
  <c r="I193" i="209" s="1"/>
  <c r="D39" i="125"/>
  <c r="O13" i="209" s="1"/>
  <c r="D40" i="125"/>
  <c r="I73" i="209" s="1"/>
  <c r="D37" i="125"/>
  <c r="O193" i="209" s="1"/>
  <c r="I733" i="209"/>
  <c r="D38" i="125"/>
  <c r="I13" i="209" s="1"/>
  <c r="J710" i="209"/>
  <c r="F48" i="174"/>
  <c r="N20" i="175" s="1"/>
  <c r="P18" i="212"/>
  <c r="P17" i="103"/>
  <c r="F15" i="125"/>
  <c r="E18" i="125"/>
  <c r="F42" i="118"/>
  <c r="K278" i="246" s="1"/>
  <c r="F40" i="118"/>
  <c r="K92" i="246" s="1"/>
  <c r="F37" i="118"/>
  <c r="Q216" i="246" s="1"/>
  <c r="F39" i="118"/>
  <c r="Q30" i="246" s="1"/>
  <c r="F41" i="118"/>
  <c r="K216" i="246" s="1"/>
  <c r="F38" i="118"/>
  <c r="K30" i="246" s="1"/>
  <c r="K774" i="246"/>
  <c r="X73" i="37"/>
  <c r="X72" i="37"/>
  <c r="X76" i="37" s="1"/>
  <c r="X77" i="37" s="1"/>
  <c r="P18" i="185"/>
  <c r="M422" i="209"/>
  <c r="S644" i="246"/>
  <c r="P17" i="185"/>
  <c r="J35" i="340"/>
  <c r="V21" i="340"/>
  <c r="S17" i="292"/>
  <c r="T17" i="292" s="1"/>
  <c r="V17" i="292"/>
  <c r="G14" i="104"/>
  <c r="G14" i="84" s="1"/>
  <c r="G18" i="118"/>
  <c r="G18" i="104" s="1"/>
  <c r="P18" i="103"/>
  <c r="M10" i="241"/>
  <c r="M9" i="241"/>
  <c r="M14" i="241"/>
  <c r="M11" i="241"/>
  <c r="M13" i="241"/>
  <c r="M12" i="241"/>
  <c r="D47" i="105"/>
  <c r="O142" i="209" s="1"/>
  <c r="P17" i="173"/>
  <c r="T23" i="49"/>
  <c r="J32" i="49" s="1"/>
  <c r="J34" i="49" s="1"/>
  <c r="V11" i="49" s="1"/>
  <c r="P13" i="186"/>
  <c r="M366" i="246"/>
  <c r="L26" i="309"/>
  <c r="D43" i="308"/>
  <c r="D18" i="154"/>
  <c r="E15" i="154"/>
  <c r="X41" i="124"/>
  <c r="L562" i="246"/>
  <c r="K624" i="246"/>
  <c r="P13" i="225"/>
  <c r="M242" i="246"/>
  <c r="N20" i="170"/>
  <c r="P11" i="334"/>
  <c r="P13" i="141"/>
  <c r="P13" i="334"/>
  <c r="P13" i="293"/>
  <c r="P13" i="170"/>
  <c r="P13" i="226"/>
  <c r="M428" i="246"/>
  <c r="P13" i="137"/>
  <c r="P13" i="178"/>
  <c r="P13" i="349"/>
  <c r="P13" i="204"/>
  <c r="P13" i="126"/>
  <c r="P13" i="219"/>
  <c r="P13" i="189"/>
  <c r="P13" i="195"/>
  <c r="P13" i="188"/>
  <c r="P13" i="216"/>
  <c r="P13" i="215"/>
  <c r="G37" i="194"/>
  <c r="R226" i="246" s="1"/>
  <c r="G42" i="194"/>
  <c r="L288" i="246" s="1"/>
  <c r="P13" i="353"/>
  <c r="P13" i="355"/>
  <c r="L16" i="325"/>
  <c r="W30" i="325" s="1"/>
  <c r="L16" i="324"/>
  <c r="W30" i="324" s="1"/>
  <c r="P10" i="196"/>
  <c r="P10" i="72"/>
  <c r="P10" i="79"/>
  <c r="P10" i="39"/>
  <c r="P10" i="154"/>
  <c r="M42" i="209"/>
  <c r="P10" i="337"/>
  <c r="P10" i="123"/>
  <c r="P10" i="338"/>
  <c r="N26" i="309"/>
  <c r="F43" i="309" s="1"/>
  <c r="F43" i="308"/>
  <c r="H37" i="184"/>
  <c r="S249" i="246" s="1"/>
  <c r="Q376" i="246"/>
  <c r="P14" i="186"/>
  <c r="S311" i="246"/>
  <c r="P14" i="225"/>
  <c r="P14" i="226"/>
  <c r="P18" i="226"/>
  <c r="P18" i="170"/>
  <c r="H18" i="192"/>
  <c r="M180" i="246"/>
  <c r="N20" i="186"/>
  <c r="K438" i="246"/>
  <c r="N20" i="226"/>
  <c r="P17" i="225"/>
  <c r="H47" i="172"/>
  <c r="P19" i="104" s="1"/>
  <c r="S552" i="246"/>
  <c r="I624" i="246"/>
  <c r="P17" i="170"/>
  <c r="P17" i="104"/>
  <c r="P17" i="226"/>
  <c r="S334" i="246"/>
  <c r="L376" i="246"/>
  <c r="M710" i="246"/>
  <c r="M724" i="246"/>
  <c r="M729" i="246"/>
  <c r="M621" i="246"/>
  <c r="M723" i="246"/>
  <c r="M741" i="246"/>
  <c r="R768" i="209"/>
  <c r="G43" i="178"/>
  <c r="G47" i="178" s="1"/>
  <c r="R168" i="209" s="1"/>
  <c r="S310" i="246"/>
  <c r="I28" i="292"/>
  <c r="H37" i="84"/>
  <c r="S248" i="246" s="1"/>
  <c r="L18" i="241"/>
  <c r="L16" i="241"/>
  <c r="W32" i="241" s="1"/>
  <c r="L17" i="241"/>
  <c r="E44" i="225"/>
  <c r="P110" i="209" s="1"/>
  <c r="E11" i="170"/>
  <c r="E45" i="170" s="1"/>
  <c r="Q562" i="246"/>
  <c r="Q438" i="246"/>
  <c r="P11" i="216"/>
  <c r="P11" i="141"/>
  <c r="P11" i="349"/>
  <c r="K88" i="209"/>
  <c r="F40" i="162"/>
  <c r="G45" i="103"/>
  <c r="G44" i="103"/>
  <c r="G46" i="103"/>
  <c r="G11" i="84"/>
  <c r="P26" i="10"/>
  <c r="D44" i="10"/>
  <c r="O75" i="209" s="1"/>
  <c r="O735" i="209"/>
  <c r="L26" i="18"/>
  <c r="F37" i="166"/>
  <c r="Q204" i="246" s="1"/>
  <c r="F39" i="166"/>
  <c r="Q18" i="246" s="1"/>
  <c r="F42" i="166"/>
  <c r="K266" i="246" s="1"/>
  <c r="F40" i="166"/>
  <c r="K80" i="246" s="1"/>
  <c r="F41" i="166"/>
  <c r="K204" i="246" s="1"/>
  <c r="F38" i="166"/>
  <c r="K18" i="246" s="1"/>
  <c r="K762" i="246"/>
  <c r="P10" i="270"/>
  <c r="M9" i="246"/>
  <c r="P10" i="313"/>
  <c r="P10" i="91"/>
  <c r="G39" i="178"/>
  <c r="R48" i="209" s="1"/>
  <c r="G37" i="178"/>
  <c r="R228" i="209" s="1"/>
  <c r="G38" i="178"/>
  <c r="L48" i="209" s="1"/>
  <c r="G40" i="178"/>
  <c r="L108" i="209" s="1"/>
  <c r="G42" i="178"/>
  <c r="L288" i="209" s="1"/>
  <c r="G41" i="178"/>
  <c r="L228" i="209" s="1"/>
  <c r="L768" i="209"/>
  <c r="E41" i="166"/>
  <c r="J204" i="246" s="1"/>
  <c r="E38" i="166"/>
  <c r="J18" i="246" s="1"/>
  <c r="E42" i="166"/>
  <c r="J266" i="246" s="1"/>
  <c r="E39" i="166"/>
  <c r="P18" i="246" s="1"/>
  <c r="J762" i="246"/>
  <c r="E40" i="166"/>
  <c r="J80" i="246" s="1"/>
  <c r="E37" i="166"/>
  <c r="P204" i="246" s="1"/>
  <c r="E18" i="223"/>
  <c r="O17" i="241"/>
  <c r="O16" i="241"/>
  <c r="O18" i="241"/>
  <c r="L17" i="313"/>
  <c r="W33" i="313" s="1"/>
  <c r="O71" i="246"/>
  <c r="L16" i="91"/>
  <c r="W32" i="91" s="1"/>
  <c r="F45" i="104"/>
  <c r="F44" i="104"/>
  <c r="K653" i="246"/>
  <c r="F46" i="104"/>
  <c r="M27" i="292"/>
  <c r="K715" i="246"/>
  <c r="Q653" i="246"/>
  <c r="J653" i="246"/>
  <c r="J715" i="246"/>
  <c r="E46" i="104"/>
  <c r="E45" i="104"/>
  <c r="P653" i="246"/>
  <c r="E44" i="104"/>
  <c r="G39" i="99"/>
  <c r="R28" i="246" s="1"/>
  <c r="G41" i="99"/>
  <c r="L214" i="246" s="1"/>
  <c r="L772" i="246"/>
  <c r="G38" i="99"/>
  <c r="L28" i="246" s="1"/>
  <c r="G37" i="99"/>
  <c r="R214" i="246" s="1"/>
  <c r="G40" i="99"/>
  <c r="L90" i="246" s="1"/>
  <c r="G42" i="99"/>
  <c r="L276" i="246" s="1"/>
  <c r="D43" i="313"/>
  <c r="D47" i="313" s="1"/>
  <c r="O183" i="246" s="1"/>
  <c r="P26" i="313"/>
  <c r="G46" i="212"/>
  <c r="R630" i="209"/>
  <c r="G11" i="327"/>
  <c r="L630" i="209"/>
  <c r="L690" i="209"/>
  <c r="G45" i="212"/>
  <c r="L150" i="209" s="1"/>
  <c r="G44" i="212"/>
  <c r="R90" i="209" s="1"/>
  <c r="G11" i="228"/>
  <c r="D43" i="334"/>
  <c r="D47" i="334" s="1"/>
  <c r="O147" i="209" s="1"/>
  <c r="O747" i="209"/>
  <c r="P26" i="334"/>
  <c r="P755" i="209"/>
  <c r="E43" i="123"/>
  <c r="E47" i="123" s="1"/>
  <c r="P155" i="209" s="1"/>
  <c r="F42" i="192"/>
  <c r="K260" i="246" s="1"/>
  <c r="F37" i="192"/>
  <c r="Q198" i="246" s="1"/>
  <c r="F41" i="192"/>
  <c r="K198" i="246" s="1"/>
  <c r="F40" i="192"/>
  <c r="K74" i="246" s="1"/>
  <c r="F38" i="192"/>
  <c r="K12" i="246" s="1"/>
  <c r="K756" i="246"/>
  <c r="F39" i="192"/>
  <c r="Q12" i="246" s="1"/>
  <c r="D40" i="196"/>
  <c r="I97" i="209" s="1"/>
  <c r="I757" i="209"/>
  <c r="D42" i="196"/>
  <c r="I277" i="209" s="1"/>
  <c r="D41" i="196"/>
  <c r="I217" i="209" s="1"/>
  <c r="D39" i="196"/>
  <c r="O37" i="209" s="1"/>
  <c r="H18" i="196"/>
  <c r="D37" i="196"/>
  <c r="O217" i="209" s="1"/>
  <c r="D38" i="196"/>
  <c r="I37" i="209" s="1"/>
  <c r="E46" i="225"/>
  <c r="M18" i="356" s="1"/>
  <c r="P11" i="189"/>
  <c r="P11" i="137"/>
  <c r="P11" i="355"/>
  <c r="I630" i="209"/>
  <c r="I690" i="209"/>
  <c r="O630" i="209"/>
  <c r="D44" i="212"/>
  <c r="O90" i="209" s="1"/>
  <c r="D46" i="212"/>
  <c r="D45" i="212"/>
  <c r="I150" i="209" s="1"/>
  <c r="D11" i="228"/>
  <c r="D11" i="327"/>
  <c r="F38" i="162"/>
  <c r="K28" i="209"/>
  <c r="F44" i="185"/>
  <c r="Q635" i="246"/>
  <c r="K697" i="246"/>
  <c r="M30" i="292"/>
  <c r="K635" i="246"/>
  <c r="F46" i="185"/>
  <c r="F45" i="185"/>
  <c r="P16" i="118"/>
  <c r="P16" i="97"/>
  <c r="P16" i="271"/>
  <c r="P16" i="354"/>
  <c r="P16" i="99"/>
  <c r="P16" i="101"/>
  <c r="S95" i="246"/>
  <c r="P16" i="176"/>
  <c r="D43" i="99"/>
  <c r="D47" i="99" s="1"/>
  <c r="O152" i="246" s="1"/>
  <c r="P26" i="99"/>
  <c r="P9" i="99"/>
  <c r="P9" i="354"/>
  <c r="P9" i="101"/>
  <c r="P9" i="176"/>
  <c r="P9" i="271"/>
  <c r="P9" i="118"/>
  <c r="P9" i="97"/>
  <c r="S219" i="246"/>
  <c r="Q122" i="246"/>
  <c r="N16" i="307"/>
  <c r="D43" i="196"/>
  <c r="D47" i="196" s="1"/>
  <c r="O157" i="209" s="1"/>
  <c r="O757" i="209"/>
  <c r="P26" i="196"/>
  <c r="E39" i="178"/>
  <c r="P48" i="209" s="1"/>
  <c r="E42" i="178"/>
  <c r="J288" i="209" s="1"/>
  <c r="E38" i="178"/>
  <c r="J48" i="209" s="1"/>
  <c r="E40" i="178"/>
  <c r="J108" i="209" s="1"/>
  <c r="E41" i="178"/>
  <c r="J228" i="209" s="1"/>
  <c r="J768" i="209"/>
  <c r="E37" i="178"/>
  <c r="P228" i="209" s="1"/>
  <c r="G37" i="196"/>
  <c r="R217" i="209" s="1"/>
  <c r="G42" i="196"/>
  <c r="L277" i="209" s="1"/>
  <c r="G38" i="196"/>
  <c r="L37" i="209" s="1"/>
  <c r="G41" i="196"/>
  <c r="L217" i="209" s="1"/>
  <c r="G39" i="196"/>
  <c r="R37" i="209" s="1"/>
  <c r="G40" i="196"/>
  <c r="L97" i="209" s="1"/>
  <c r="L757" i="209"/>
  <c r="I650" i="209"/>
  <c r="D44" i="225"/>
  <c r="I710" i="209"/>
  <c r="D45" i="225"/>
  <c r="O650" i="209"/>
  <c r="D46" i="225"/>
  <c r="F43" i="99"/>
  <c r="F47" i="99" s="1"/>
  <c r="Q152" i="246" s="1"/>
  <c r="N26" i="104"/>
  <c r="F43" i="104" s="1"/>
  <c r="S118" i="246"/>
  <c r="P16" i="226"/>
  <c r="P16" i="225"/>
  <c r="P16" i="170"/>
  <c r="P16" i="104"/>
  <c r="P16" i="186"/>
  <c r="J679" i="209"/>
  <c r="E45" i="18"/>
  <c r="P619" i="209"/>
  <c r="E11" i="327"/>
  <c r="J619" i="209"/>
  <c r="E44" i="18"/>
  <c r="E46" i="18"/>
  <c r="D41" i="241"/>
  <c r="D39" i="241"/>
  <c r="O56" i="209" s="1"/>
  <c r="H18" i="241"/>
  <c r="D40" i="241"/>
  <c r="I116" i="209" s="1"/>
  <c r="D38" i="241"/>
  <c r="I56" i="209" s="1"/>
  <c r="I776" i="209"/>
  <c r="D37" i="241"/>
  <c r="O236" i="209" s="1"/>
  <c r="D42" i="241"/>
  <c r="I296" i="209" s="1"/>
  <c r="J650" i="209"/>
  <c r="M789" i="246"/>
  <c r="P11" i="293"/>
  <c r="D37" i="334"/>
  <c r="O207" i="209" s="1"/>
  <c r="D41" i="334"/>
  <c r="I207" i="209" s="1"/>
  <c r="D42" i="334"/>
  <c r="I267" i="209" s="1"/>
  <c r="D38" i="334"/>
  <c r="I27" i="209" s="1"/>
  <c r="D39" i="334"/>
  <c r="O27" i="209" s="1"/>
  <c r="D40" i="334"/>
  <c r="I87" i="209" s="1"/>
  <c r="I747" i="209"/>
  <c r="H18" i="334"/>
  <c r="E44" i="185"/>
  <c r="E46" i="185"/>
  <c r="J697" i="246"/>
  <c r="J635" i="246"/>
  <c r="E11" i="184"/>
  <c r="E45" i="185"/>
  <c r="P635" i="246"/>
  <c r="E11" i="171"/>
  <c r="G45" i="104"/>
  <c r="L653" i="246"/>
  <c r="G44" i="104"/>
  <c r="R653" i="246"/>
  <c r="G46" i="104"/>
  <c r="L715" i="246"/>
  <c r="R28" i="209"/>
  <c r="G39" i="162"/>
  <c r="G43" i="123"/>
  <c r="G47" i="123" s="1"/>
  <c r="R155" i="209" s="1"/>
  <c r="R755" i="209"/>
  <c r="J28" i="292"/>
  <c r="H38" i="84"/>
  <c r="M62" i="246" s="1"/>
  <c r="M372" i="246"/>
  <c r="D38" i="99"/>
  <c r="I28" i="246" s="1"/>
  <c r="D42" i="99"/>
  <c r="I276" i="246" s="1"/>
  <c r="D41" i="99"/>
  <c r="I214" i="246" s="1"/>
  <c r="I772" i="246"/>
  <c r="D40" i="99"/>
  <c r="I90" i="246" s="1"/>
  <c r="D39" i="99"/>
  <c r="O28" i="246" s="1"/>
  <c r="D37" i="99"/>
  <c r="O214" i="246" s="1"/>
  <c r="D18" i="104"/>
  <c r="H18" i="99"/>
  <c r="P16" i="191"/>
  <c r="P16" i="279"/>
  <c r="P16" i="95"/>
  <c r="S100" i="246"/>
  <c r="E40" i="162"/>
  <c r="J88" i="209"/>
  <c r="G11" i="309"/>
  <c r="G46" i="308"/>
  <c r="O18" i="307" s="1"/>
  <c r="G45" i="308"/>
  <c r="R680" i="246"/>
  <c r="L680" i="246"/>
  <c r="G44" i="308"/>
  <c r="L742" i="246"/>
  <c r="E18" i="103"/>
  <c r="E39" i="91"/>
  <c r="P8" i="246" s="1"/>
  <c r="E37" i="91"/>
  <c r="P194" i="246" s="1"/>
  <c r="E40" i="91"/>
  <c r="J70" i="246" s="1"/>
  <c r="J752" i="246"/>
  <c r="E42" i="91"/>
  <c r="J256" i="246" s="1"/>
  <c r="E41" i="91"/>
  <c r="J194" i="246" s="1"/>
  <c r="E38" i="91"/>
  <c r="J8" i="246" s="1"/>
  <c r="D43" i="123"/>
  <c r="D47" i="123" s="1"/>
  <c r="O155" i="209" s="1"/>
  <c r="O755" i="209"/>
  <c r="P26" i="123"/>
  <c r="S558" i="246"/>
  <c r="M697" i="209"/>
  <c r="E18" i="308"/>
  <c r="E40" i="313"/>
  <c r="J121" i="246" s="1"/>
  <c r="J803" i="246"/>
  <c r="E41" i="313"/>
  <c r="J245" i="246" s="1"/>
  <c r="E42" i="313"/>
  <c r="J307" i="246" s="1"/>
  <c r="E38" i="313"/>
  <c r="J59" i="246" s="1"/>
  <c r="E37" i="313"/>
  <c r="P245" i="246" s="1"/>
  <c r="E39" i="313"/>
  <c r="P59" i="246" s="1"/>
  <c r="M716" i="209"/>
  <c r="M26" i="103"/>
  <c r="E43" i="91"/>
  <c r="E47" i="91" s="1"/>
  <c r="P132" i="246" s="1"/>
  <c r="G40" i="241"/>
  <c r="L116" i="209" s="1"/>
  <c r="G37" i="241"/>
  <c r="R236" i="209" s="1"/>
  <c r="G41" i="241"/>
  <c r="L236" i="209" s="1"/>
  <c r="L776" i="209"/>
  <c r="G38" i="241"/>
  <c r="L56" i="209" s="1"/>
  <c r="G39" i="241"/>
  <c r="R56" i="209" s="1"/>
  <c r="G42" i="241"/>
  <c r="L296" i="209" s="1"/>
  <c r="Q735" i="209"/>
  <c r="N26" i="18"/>
  <c r="F44" i="10"/>
  <c r="Q75" i="209" s="1"/>
  <c r="O26" i="185"/>
  <c r="G43" i="192"/>
  <c r="G47" i="192" s="1"/>
  <c r="R136" i="246" s="1"/>
  <c r="G42" i="91"/>
  <c r="L256" i="246" s="1"/>
  <c r="G39" i="91"/>
  <c r="R8" i="246" s="1"/>
  <c r="G38" i="91"/>
  <c r="L8" i="246" s="1"/>
  <c r="G40" i="91"/>
  <c r="L70" i="246" s="1"/>
  <c r="G37" i="91"/>
  <c r="R194" i="246" s="1"/>
  <c r="L752" i="246"/>
  <c r="M752" i="246" s="1"/>
  <c r="G18" i="103"/>
  <c r="H18" i="103" s="1"/>
  <c r="G41" i="91"/>
  <c r="L194" i="246" s="1"/>
  <c r="G40" i="162"/>
  <c r="L88" i="209"/>
  <c r="F46" i="225"/>
  <c r="F45" i="225"/>
  <c r="K650" i="209"/>
  <c r="F11" i="328"/>
  <c r="K710" i="209"/>
  <c r="M21" i="292"/>
  <c r="Q650" i="209"/>
  <c r="F11" i="228"/>
  <c r="F44" i="225"/>
  <c r="G11" i="173"/>
  <c r="G45" i="173" s="1"/>
  <c r="P650" i="209"/>
  <c r="P11" i="195"/>
  <c r="P11" i="187"/>
  <c r="H46" i="174"/>
  <c r="P18" i="309" s="1"/>
  <c r="R624" i="246"/>
  <c r="P11" i="219"/>
  <c r="E43" i="99"/>
  <c r="E47" i="99" s="1"/>
  <c r="P152" i="246" s="1"/>
  <c r="M26" i="104"/>
  <c r="E43" i="104" s="1"/>
  <c r="G43" i="91"/>
  <c r="G47" i="91" s="1"/>
  <c r="R132" i="246" s="1"/>
  <c r="O26" i="103"/>
  <c r="P26" i="103" s="1"/>
  <c r="J735" i="209"/>
  <c r="E42" i="10"/>
  <c r="J255" i="209" s="1"/>
  <c r="E38" i="10"/>
  <c r="J15" i="209" s="1"/>
  <c r="E39" i="10"/>
  <c r="P15" i="209" s="1"/>
  <c r="E37" i="10"/>
  <c r="P195" i="209" s="1"/>
  <c r="E40" i="10"/>
  <c r="J75" i="209" s="1"/>
  <c r="E41" i="10"/>
  <c r="J195" i="209" s="1"/>
  <c r="G43" i="99"/>
  <c r="G47" i="99" s="1"/>
  <c r="R152" i="246" s="1"/>
  <c r="O26" i="104"/>
  <c r="G43" i="104" s="1"/>
  <c r="F43" i="192"/>
  <c r="F47" i="192" s="1"/>
  <c r="Q136" i="246" s="1"/>
  <c r="N26" i="185"/>
  <c r="D39" i="292"/>
  <c r="D41" i="292" s="1"/>
  <c r="K376" i="246"/>
  <c r="E38" i="162"/>
  <c r="J28" i="209"/>
  <c r="E38" i="196"/>
  <c r="J37" i="209" s="1"/>
  <c r="E40" i="196"/>
  <c r="J97" i="209" s="1"/>
  <c r="E39" i="196"/>
  <c r="P37" i="209" s="1"/>
  <c r="E37" i="196"/>
  <c r="P217" i="209" s="1"/>
  <c r="J757" i="209"/>
  <c r="E42" i="196"/>
  <c r="J277" i="209" s="1"/>
  <c r="E41" i="196"/>
  <c r="J217" i="209" s="1"/>
  <c r="Q776" i="209"/>
  <c r="F43" i="241"/>
  <c r="F47" i="241" s="1"/>
  <c r="Q176" i="209" s="1"/>
  <c r="I376" i="246"/>
  <c r="H24" i="174"/>
  <c r="D11" i="309"/>
  <c r="D45" i="308"/>
  <c r="D46" i="308"/>
  <c r="L18" i="307" s="1"/>
  <c r="O680" i="246"/>
  <c r="I680" i="246"/>
  <c r="D11" i="184"/>
  <c r="D44" i="308"/>
  <c r="I742" i="246"/>
  <c r="J680" i="246"/>
  <c r="E45" i="308"/>
  <c r="E11" i="309"/>
  <c r="E46" i="308"/>
  <c r="M18" i="307" s="1"/>
  <c r="P680" i="246"/>
  <c r="E44" i="308"/>
  <c r="J742" i="246"/>
  <c r="R776" i="209"/>
  <c r="G43" i="241"/>
  <c r="G47" i="241" s="1"/>
  <c r="R176" i="209" s="1"/>
  <c r="P9" i="307"/>
  <c r="S246" i="246"/>
  <c r="F41" i="99"/>
  <c r="K214" i="246" s="1"/>
  <c r="F37" i="99"/>
  <c r="Q214" i="246" s="1"/>
  <c r="F38" i="99"/>
  <c r="K28" i="246" s="1"/>
  <c r="K772" i="246"/>
  <c r="F42" i="99"/>
  <c r="K276" i="246" s="1"/>
  <c r="F40" i="99"/>
  <c r="K90" i="246" s="1"/>
  <c r="F39" i="99"/>
  <c r="Q28" i="246" s="1"/>
  <c r="F18" i="104"/>
  <c r="F18" i="84" s="1"/>
  <c r="E45" i="225"/>
  <c r="J170" i="209" s="1"/>
  <c r="D45" i="104"/>
  <c r="D44" i="104"/>
  <c r="O653" i="246"/>
  <c r="I653" i="246"/>
  <c r="D46" i="104"/>
  <c r="I715" i="246"/>
  <c r="P10" i="307"/>
  <c r="M60" i="246"/>
  <c r="P11" i="188"/>
  <c r="P11" i="194"/>
  <c r="P11" i="126"/>
  <c r="J772" i="246"/>
  <c r="E42" i="99"/>
  <c r="J276" i="246" s="1"/>
  <c r="E38" i="99"/>
  <c r="J28" i="246" s="1"/>
  <c r="E37" i="99"/>
  <c r="P214" i="246" s="1"/>
  <c r="E39" i="99"/>
  <c r="P28" i="246" s="1"/>
  <c r="E41" i="99"/>
  <c r="J214" i="246" s="1"/>
  <c r="E40" i="99"/>
  <c r="J90" i="246" s="1"/>
  <c r="G39" i="192"/>
  <c r="R12" i="246" s="1"/>
  <c r="G41" i="192"/>
  <c r="L198" i="246" s="1"/>
  <c r="G37" i="192"/>
  <c r="R198" i="246" s="1"/>
  <c r="G42" i="192"/>
  <c r="L260" i="246" s="1"/>
  <c r="G38" i="192"/>
  <c r="L12" i="246" s="1"/>
  <c r="G40" i="192"/>
  <c r="L74" i="246" s="1"/>
  <c r="L756" i="246"/>
  <c r="M756" i="246" s="1"/>
  <c r="E37" i="192"/>
  <c r="P198" i="246" s="1"/>
  <c r="E42" i="192"/>
  <c r="J260" i="246" s="1"/>
  <c r="E40" i="192"/>
  <c r="J74" i="246" s="1"/>
  <c r="J756" i="246"/>
  <c r="E38" i="192"/>
  <c r="J12" i="246" s="1"/>
  <c r="E41" i="192"/>
  <c r="J198" i="246" s="1"/>
  <c r="E39" i="192"/>
  <c r="P12" i="246" s="1"/>
  <c r="P735" i="209"/>
  <c r="E44" i="10"/>
  <c r="P75" i="209" s="1"/>
  <c r="M26" i="18"/>
  <c r="D42" i="10"/>
  <c r="I255" i="209" s="1"/>
  <c r="D38" i="10"/>
  <c r="I15" i="209" s="1"/>
  <c r="I735" i="209"/>
  <c r="D37" i="10"/>
  <c r="O195" i="209" s="1"/>
  <c r="D41" i="10"/>
  <c r="I195" i="209" s="1"/>
  <c r="D40" i="10"/>
  <c r="I75" i="209" s="1"/>
  <c r="D39" i="10"/>
  <c r="O15" i="209" s="1"/>
  <c r="H18" i="10"/>
  <c r="R642" i="209"/>
  <c r="L642" i="209"/>
  <c r="L702" i="209"/>
  <c r="G44" i="44"/>
  <c r="G11" i="58"/>
  <c r="G46" i="44"/>
  <c r="G45" i="44"/>
  <c r="G11" i="330"/>
  <c r="O776" i="209"/>
  <c r="P26" i="241"/>
  <c r="D43" i="241"/>
  <c r="D47" i="241" s="1"/>
  <c r="O176" i="209" s="1"/>
  <c r="M434" i="246"/>
  <c r="E39" i="162"/>
  <c r="P28" i="209"/>
  <c r="E45" i="103"/>
  <c r="E46" i="103"/>
  <c r="E44" i="103"/>
  <c r="E11" i="84"/>
  <c r="M20" i="223"/>
  <c r="M20" i="103"/>
  <c r="M20" i="173"/>
  <c r="M20" i="185"/>
  <c r="E43" i="166"/>
  <c r="E47" i="166" s="1"/>
  <c r="P142" i="246" s="1"/>
  <c r="M26" i="223"/>
  <c r="R757" i="209"/>
  <c r="G43" i="196"/>
  <c r="G47" i="196" s="1"/>
  <c r="R157" i="209" s="1"/>
  <c r="D37" i="178"/>
  <c r="O228" i="209" s="1"/>
  <c r="I768" i="209"/>
  <c r="D40" i="178"/>
  <c r="I108" i="209" s="1"/>
  <c r="D38" i="178"/>
  <c r="I48" i="209" s="1"/>
  <c r="D41" i="178"/>
  <c r="I228" i="209" s="1"/>
  <c r="D39" i="178"/>
  <c r="O48" i="209" s="1"/>
  <c r="D42" i="178"/>
  <c r="I288" i="209" s="1"/>
  <c r="H18" i="178"/>
  <c r="D11" i="84"/>
  <c r="G43" i="334"/>
  <c r="G47" i="334" s="1"/>
  <c r="R147" i="209" s="1"/>
  <c r="R747" i="209"/>
  <c r="F42" i="10"/>
  <c r="K255" i="209" s="1"/>
  <c r="F38" i="10"/>
  <c r="K15" i="209" s="1"/>
  <c r="F41" i="10"/>
  <c r="K195" i="209" s="1"/>
  <c r="F37" i="10"/>
  <c r="Q195" i="209" s="1"/>
  <c r="K735" i="209"/>
  <c r="F39" i="10"/>
  <c r="Q15" i="209" s="1"/>
  <c r="F40" i="10"/>
  <c r="K75" i="209" s="1"/>
  <c r="G38" i="162"/>
  <c r="L28" i="209"/>
  <c r="P642" i="246"/>
  <c r="J704" i="246"/>
  <c r="E44" i="223"/>
  <c r="P84" i="246" s="1"/>
  <c r="E45" i="223"/>
  <c r="J146" i="246" s="1"/>
  <c r="J642" i="246"/>
  <c r="E46" i="223"/>
  <c r="E43" i="196"/>
  <c r="E47" i="196" s="1"/>
  <c r="P157" i="209" s="1"/>
  <c r="P757" i="209"/>
  <c r="H18" i="91"/>
  <c r="H47" i="328"/>
  <c r="K500" i="246"/>
  <c r="Q624" i="246"/>
  <c r="P11" i="353"/>
  <c r="P11" i="204"/>
  <c r="P11" i="183"/>
  <c r="H31" i="174"/>
  <c r="H45" i="174" s="1"/>
  <c r="P17" i="309" s="1"/>
  <c r="Q619" i="209"/>
  <c r="K679" i="209"/>
  <c r="K619" i="209"/>
  <c r="F11" i="327"/>
  <c r="F46" i="18"/>
  <c r="F45" i="18"/>
  <c r="M10" i="292"/>
  <c r="F11" i="58"/>
  <c r="F11" i="330"/>
  <c r="F44" i="18"/>
  <c r="Q28" i="209"/>
  <c r="F39" i="162"/>
  <c r="E43" i="192"/>
  <c r="E47" i="192" s="1"/>
  <c r="P136" i="246" s="1"/>
  <c r="M26" i="185"/>
  <c r="F43" i="166"/>
  <c r="F47" i="166" s="1"/>
  <c r="Q142" i="246" s="1"/>
  <c r="N26" i="223"/>
  <c r="N17" i="241"/>
  <c r="N18" i="241"/>
  <c r="N16" i="241"/>
  <c r="F40" i="241"/>
  <c r="K116" i="209" s="1"/>
  <c r="F38" i="241"/>
  <c r="K56" i="209" s="1"/>
  <c r="K776" i="209"/>
  <c r="F39" i="241"/>
  <c r="Q56" i="209" s="1"/>
  <c r="F42" i="241"/>
  <c r="K296" i="209" s="1"/>
  <c r="F37" i="241"/>
  <c r="Q236" i="209" s="1"/>
  <c r="F41" i="241"/>
  <c r="K236" i="209" s="1"/>
  <c r="L18" i="91"/>
  <c r="L19" i="313"/>
  <c r="M708" i="209"/>
  <c r="D39" i="313"/>
  <c r="O59" i="246" s="1"/>
  <c r="D42" i="313"/>
  <c r="I307" i="246" s="1"/>
  <c r="D40" i="313"/>
  <c r="I121" i="246" s="1"/>
  <c r="D41" i="313"/>
  <c r="I245" i="246" s="1"/>
  <c r="D37" i="313"/>
  <c r="O245" i="246" s="1"/>
  <c r="D38" i="313"/>
  <c r="I59" i="246" s="1"/>
  <c r="D18" i="308"/>
  <c r="I803" i="246"/>
  <c r="E43" i="178"/>
  <c r="E47" i="178" s="1"/>
  <c r="P168" i="209" s="1"/>
  <c r="P768" i="209"/>
  <c r="J376" i="246"/>
  <c r="H39" i="84"/>
  <c r="S62" i="246" s="1"/>
  <c r="S372" i="246"/>
  <c r="O768" i="209"/>
  <c r="D43" i="178"/>
  <c r="D47" i="178" s="1"/>
  <c r="O168" i="209" s="1"/>
  <c r="P26" i="178"/>
  <c r="L17" i="91"/>
  <c r="W33" i="91" s="1"/>
  <c r="L18" i="313"/>
  <c r="W34" i="313" s="1"/>
  <c r="I133" i="246"/>
  <c r="I438" i="246"/>
  <c r="L747" i="209"/>
  <c r="G37" i="334"/>
  <c r="R207" i="209" s="1"/>
  <c r="G40" i="334"/>
  <c r="L87" i="209" s="1"/>
  <c r="G38" i="334"/>
  <c r="L27" i="209" s="1"/>
  <c r="G41" i="334"/>
  <c r="L207" i="209" s="1"/>
  <c r="G42" i="334"/>
  <c r="L267" i="209" s="1"/>
  <c r="G39" i="334"/>
  <c r="R27" i="209" s="1"/>
  <c r="N18" i="360"/>
  <c r="N18" i="295"/>
  <c r="N18" i="296"/>
  <c r="N18" i="333"/>
  <c r="P11" i="160"/>
  <c r="P11" i="215"/>
  <c r="P18" i="178"/>
  <c r="P18" i="151"/>
  <c r="P18" i="137"/>
  <c r="P18" i="219"/>
  <c r="P18" i="216"/>
  <c r="P18" i="204"/>
  <c r="P18" i="188"/>
  <c r="P18" i="334"/>
  <c r="P18" i="126"/>
  <c r="P18" i="160"/>
  <c r="P18" i="215"/>
  <c r="P18" i="189"/>
  <c r="P18" i="141"/>
  <c r="P18" i="146"/>
  <c r="P18" i="355"/>
  <c r="P18" i="362"/>
  <c r="P18" i="349"/>
  <c r="P18" i="195"/>
  <c r="P18" i="203"/>
  <c r="P18" i="194"/>
  <c r="M793" i="246"/>
  <c r="C39" i="292"/>
  <c r="Q314" i="246"/>
  <c r="P15" i="170"/>
  <c r="P15" i="225"/>
  <c r="P15" i="104"/>
  <c r="P15" i="226"/>
  <c r="P15" i="186"/>
  <c r="O376" i="246"/>
  <c r="I562" i="246"/>
  <c r="O562" i="246"/>
  <c r="H25" i="174"/>
  <c r="O438" i="246"/>
  <c r="P562" i="246"/>
  <c r="P438" i="246"/>
  <c r="H39" i="172"/>
  <c r="S366" i="246"/>
  <c r="P376" i="246"/>
  <c r="S374" i="246"/>
  <c r="H39" i="231"/>
  <c r="S64" i="246" s="1"/>
  <c r="N20" i="137"/>
  <c r="N20" i="270"/>
  <c r="N20" i="178"/>
  <c r="N20" i="183"/>
  <c r="N20" i="189"/>
  <c r="N20" i="146"/>
  <c r="N20" i="219"/>
  <c r="N20" i="141"/>
  <c r="N20" i="293"/>
  <c r="N20" i="203"/>
  <c r="N20" i="188"/>
  <c r="N20" i="151"/>
  <c r="N20" i="160"/>
  <c r="N20" i="187"/>
  <c r="N20" i="353"/>
  <c r="N20" i="195"/>
  <c r="N20" i="362"/>
  <c r="N20" i="194"/>
  <c r="N20" i="349"/>
  <c r="N20" i="126"/>
  <c r="N20" i="204"/>
  <c r="P10" i="170"/>
  <c r="P10" i="226"/>
  <c r="P10" i="104"/>
  <c r="P10" i="186"/>
  <c r="P10" i="225"/>
  <c r="M56" i="246"/>
  <c r="P9" i="173"/>
  <c r="S210" i="246"/>
  <c r="P9" i="103"/>
  <c r="P9" i="185"/>
  <c r="P9" i="228"/>
  <c r="P9" i="212"/>
  <c r="P9" i="223"/>
  <c r="P19" i="212"/>
  <c r="P19" i="173"/>
  <c r="P19" i="228"/>
  <c r="P19" i="185"/>
  <c r="P19" i="223"/>
  <c r="P19" i="103"/>
  <c r="S148" i="246"/>
  <c r="P16" i="202"/>
  <c r="P16" i="139"/>
  <c r="P16" i="165"/>
  <c r="P16" i="162"/>
  <c r="P16" i="166"/>
  <c r="P16" i="212"/>
  <c r="S86" i="246"/>
  <c r="P16" i="173"/>
  <c r="P16" i="185"/>
  <c r="P16" i="223"/>
  <c r="P16" i="228"/>
  <c r="P16" i="103"/>
  <c r="J438" i="246"/>
  <c r="P314" i="246"/>
  <c r="J500" i="246"/>
  <c r="S482" i="209"/>
  <c r="S542" i="209"/>
  <c r="L20" i="178"/>
  <c r="L20" i="146"/>
  <c r="L20" i="293"/>
  <c r="L20" i="204"/>
  <c r="L20" i="195"/>
  <c r="L20" i="219"/>
  <c r="L20" i="188"/>
  <c r="L20" i="126"/>
  <c r="L20" i="189"/>
  <c r="L20" i="362"/>
  <c r="L20" i="187"/>
  <c r="L20" i="194"/>
  <c r="L20" i="183"/>
  <c r="L20" i="203"/>
  <c r="L20" i="151"/>
  <c r="L20" i="160"/>
  <c r="L20" i="270"/>
  <c r="L20" i="349"/>
  <c r="L20" i="141"/>
  <c r="L20" i="353"/>
  <c r="L20" i="137"/>
  <c r="P9" i="345"/>
  <c r="S230" i="209"/>
  <c r="P9" i="356"/>
  <c r="D48" i="175"/>
  <c r="L20" i="212" s="1"/>
  <c r="H31" i="175"/>
  <c r="H45" i="175" s="1"/>
  <c r="H46" i="175"/>
  <c r="P17" i="141"/>
  <c r="P17" i="160"/>
  <c r="P17" i="216"/>
  <c r="P17" i="215"/>
  <c r="P17" i="188"/>
  <c r="P17" i="194"/>
  <c r="P17" i="151"/>
  <c r="P17" i="137"/>
  <c r="P17" i="203"/>
  <c r="P17" i="219"/>
  <c r="P17" i="178"/>
  <c r="P17" i="293"/>
  <c r="P17" i="183"/>
  <c r="P17" i="146"/>
  <c r="P17" i="353"/>
  <c r="P17" i="126"/>
  <c r="P17" i="195"/>
  <c r="P17" i="355"/>
  <c r="P17" i="334"/>
  <c r="P17" i="189"/>
  <c r="P17" i="204"/>
  <c r="P17" i="362"/>
  <c r="P17" i="187"/>
  <c r="P17" i="349"/>
  <c r="P10" i="146"/>
  <c r="P10" i="151"/>
  <c r="P10" i="355"/>
  <c r="P10" i="219"/>
  <c r="P10" i="188"/>
  <c r="P10" i="183"/>
  <c r="P10" i="194"/>
  <c r="P10" i="137"/>
  <c r="P10" i="187"/>
  <c r="P10" i="189"/>
  <c r="P10" i="126"/>
  <c r="P10" i="349"/>
  <c r="P10" i="215"/>
  <c r="P10" i="334"/>
  <c r="P10" i="141"/>
  <c r="P10" i="216"/>
  <c r="P10" i="195"/>
  <c r="P10" i="204"/>
  <c r="P10" i="160"/>
  <c r="P10" i="293"/>
  <c r="P10" i="203"/>
  <c r="P10" i="362"/>
  <c r="P10" i="353"/>
  <c r="P10" i="178"/>
  <c r="H37" i="228"/>
  <c r="S242" i="209" s="1"/>
  <c r="I22" i="292"/>
  <c r="S302" i="209"/>
  <c r="P13" i="202"/>
  <c r="P13" i="165"/>
  <c r="P13" i="139"/>
  <c r="P13" i="162"/>
  <c r="P13" i="166"/>
  <c r="P12" i="226"/>
  <c r="P12" i="225"/>
  <c r="P12" i="170"/>
  <c r="P12" i="186"/>
  <c r="M118" i="246"/>
  <c r="P12" i="104"/>
  <c r="L500" i="246"/>
  <c r="H23" i="174"/>
  <c r="R438" i="246"/>
  <c r="R562" i="246"/>
  <c r="L438" i="246"/>
  <c r="E48" i="174"/>
  <c r="J624" i="246"/>
  <c r="P9" i="191"/>
  <c r="P9" i="279"/>
  <c r="P9" i="95"/>
  <c r="S224" i="246"/>
  <c r="M20" i="170"/>
  <c r="M20" i="226"/>
  <c r="M20" i="104"/>
  <c r="M20" i="186"/>
  <c r="R314" i="246"/>
  <c r="H37" i="172"/>
  <c r="S304" i="246"/>
  <c r="P11" i="103"/>
  <c r="P11" i="223"/>
  <c r="P11" i="185"/>
  <c r="P11" i="228"/>
  <c r="P11" i="212"/>
  <c r="S24" i="246"/>
  <c r="P11" i="173"/>
  <c r="O748" i="246"/>
  <c r="O500" i="246"/>
  <c r="N39" i="292"/>
  <c r="Q748" i="246"/>
  <c r="Q500" i="246"/>
  <c r="R748" i="246"/>
  <c r="R500" i="246"/>
  <c r="P9" i="313"/>
  <c r="P9" i="91"/>
  <c r="S195" i="246"/>
  <c r="P9" i="270"/>
  <c r="F38" i="103"/>
  <c r="F41" i="103"/>
  <c r="F37" i="103"/>
  <c r="O26" i="292"/>
  <c r="F40" i="103"/>
  <c r="F42" i="103"/>
  <c r="F39" i="103"/>
  <c r="P11" i="123"/>
  <c r="P11" i="338"/>
  <c r="P11" i="196"/>
  <c r="P11" i="337"/>
  <c r="P11" i="154"/>
  <c r="P11" i="79"/>
  <c r="P11" i="72"/>
  <c r="S42" i="209"/>
  <c r="P11" i="39"/>
  <c r="P19" i="72"/>
  <c r="P19" i="337"/>
  <c r="P19" i="79"/>
  <c r="P19" i="338"/>
  <c r="P19" i="154"/>
  <c r="P19" i="123"/>
  <c r="S162" i="209"/>
  <c r="P19" i="39"/>
  <c r="P19" i="196"/>
  <c r="D48" i="229"/>
  <c r="I604" i="209"/>
  <c r="O604" i="209"/>
  <c r="F48" i="229"/>
  <c r="G24" i="292"/>
  <c r="G41" i="292" s="1"/>
  <c r="K604" i="209"/>
  <c r="L604" i="209"/>
  <c r="H32" i="229"/>
  <c r="M664" i="209" s="1"/>
  <c r="D47" i="91"/>
  <c r="O132" i="246" s="1"/>
  <c r="E41" i="141"/>
  <c r="J232" i="246" s="1"/>
  <c r="E37" i="141"/>
  <c r="P232" i="246" s="1"/>
  <c r="E39" i="141"/>
  <c r="P46" i="246" s="1"/>
  <c r="E40" i="141"/>
  <c r="J108" i="246" s="1"/>
  <c r="E42" i="141"/>
  <c r="J294" i="246" s="1"/>
  <c r="J790" i="246"/>
  <c r="E38" i="141"/>
  <c r="J46" i="246" s="1"/>
  <c r="O8" i="246"/>
  <c r="D21" i="248"/>
  <c r="D35" i="248"/>
  <c r="D21" i="330"/>
  <c r="D35" i="330"/>
  <c r="D21" i="327"/>
  <c r="D35" i="327"/>
  <c r="D35" i="104"/>
  <c r="D21" i="104"/>
  <c r="D21" i="185"/>
  <c r="D35" i="185"/>
  <c r="D35" i="228"/>
  <c r="D21" i="228"/>
  <c r="V25" i="27"/>
  <c r="V13" i="27"/>
  <c r="V20" i="27"/>
  <c r="V23" i="27"/>
  <c r="V14" i="27"/>
  <c r="V11" i="27"/>
  <c r="V17" i="27"/>
  <c r="J47" i="27"/>
  <c r="J49" i="27" s="1"/>
  <c r="V27" i="27"/>
  <c r="V24" i="27"/>
  <c r="V15" i="27"/>
  <c r="V19" i="27"/>
  <c r="V16" i="27"/>
  <c r="V26" i="27"/>
  <c r="V18" i="27"/>
  <c r="G43" i="126"/>
  <c r="G47" i="126" s="1"/>
  <c r="R166" i="246" s="1"/>
  <c r="P26" i="126"/>
  <c r="D21" i="328"/>
  <c r="D35" i="328"/>
  <c r="D38" i="103"/>
  <c r="D41" i="103"/>
  <c r="D40" i="103"/>
  <c r="D37" i="103"/>
  <c r="D39" i="103"/>
  <c r="D42" i="103"/>
  <c r="D35" i="212"/>
  <c r="D21" i="212"/>
  <c r="P26" i="189"/>
  <c r="G39" i="194"/>
  <c r="R40" i="246" s="1"/>
  <c r="C532" i="209"/>
  <c r="V472" i="209"/>
  <c r="O194" i="246"/>
  <c r="G14" i="170"/>
  <c r="G14" i="231"/>
  <c r="D21" i="308"/>
  <c r="D35" i="308"/>
  <c r="D35" i="174"/>
  <c r="D21" i="174"/>
  <c r="D21" i="173"/>
  <c r="D35" i="173"/>
  <c r="P26" i="141"/>
  <c r="D43" i="141"/>
  <c r="D47" i="141" s="1"/>
  <c r="O170" i="246" s="1"/>
  <c r="D43" i="103"/>
  <c r="D21" i="229"/>
  <c r="D35" i="229"/>
  <c r="L784" i="246"/>
  <c r="S26" i="292"/>
  <c r="T26" i="292" s="1"/>
  <c r="V26" i="292"/>
  <c r="I194" i="246"/>
  <c r="D35" i="326"/>
  <c r="D21" i="326"/>
  <c r="D21" i="58"/>
  <c r="D35" i="58"/>
  <c r="D21" i="103"/>
  <c r="D35" i="103"/>
  <c r="D35" i="84"/>
  <c r="D21" i="84"/>
  <c r="D35" i="170"/>
  <c r="D21" i="170"/>
  <c r="D39" i="194"/>
  <c r="O40" i="246" s="1"/>
  <c r="I784" i="246"/>
  <c r="D42" i="194"/>
  <c r="I288" i="246" s="1"/>
  <c r="D37" i="194"/>
  <c r="O226" i="246" s="1"/>
  <c r="D38" i="194"/>
  <c r="I40" i="246" s="1"/>
  <c r="D40" i="194"/>
  <c r="I102" i="246" s="1"/>
  <c r="D41" i="194"/>
  <c r="I226" i="246" s="1"/>
  <c r="X44" i="33"/>
  <c r="X41" i="33"/>
  <c r="X42" i="33"/>
  <c r="I790" i="246"/>
  <c r="M790" i="246" s="1"/>
  <c r="D39" i="141"/>
  <c r="O46" i="246" s="1"/>
  <c r="D41" i="141"/>
  <c r="I232" i="246" s="1"/>
  <c r="D40" i="141"/>
  <c r="I108" i="246" s="1"/>
  <c r="D42" i="141"/>
  <c r="I294" i="246" s="1"/>
  <c r="D37" i="141"/>
  <c r="O232" i="246" s="1"/>
  <c r="D38" i="141"/>
  <c r="I46" i="246" s="1"/>
  <c r="H18" i="141"/>
  <c r="D15" i="226"/>
  <c r="E15" i="126"/>
  <c r="D18" i="126"/>
  <c r="G41" i="194"/>
  <c r="L226" i="246" s="1"/>
  <c r="I8" i="246"/>
  <c r="F41" i="183"/>
  <c r="K239" i="246" s="1"/>
  <c r="K797" i="246"/>
  <c r="F37" i="183"/>
  <c r="Q239" i="246" s="1"/>
  <c r="F40" i="183"/>
  <c r="K115" i="246" s="1"/>
  <c r="F42" i="183"/>
  <c r="K301" i="246" s="1"/>
  <c r="F38" i="183"/>
  <c r="K53" i="246" s="1"/>
  <c r="F39" i="183"/>
  <c r="Q53" i="246" s="1"/>
  <c r="D21" i="247"/>
  <c r="D35" i="247"/>
  <c r="D21" i="309"/>
  <c r="D35" i="309"/>
  <c r="D21" i="361"/>
  <c r="D35" i="361"/>
  <c r="D21" i="226"/>
  <c r="D35" i="226"/>
  <c r="H18" i="194"/>
  <c r="D35" i="250"/>
  <c r="D21" i="250"/>
  <c r="D21" i="223"/>
  <c r="D35" i="223"/>
  <c r="G38" i="194"/>
  <c r="L40" i="246" s="1"/>
  <c r="E38" i="189"/>
  <c r="J49" i="246" s="1"/>
  <c r="E41" i="189"/>
  <c r="J235" i="246" s="1"/>
  <c r="E39" i="189"/>
  <c r="P49" i="246" s="1"/>
  <c r="E40" i="189"/>
  <c r="J111" i="246" s="1"/>
  <c r="E37" i="189"/>
  <c r="P235" i="246" s="1"/>
  <c r="E42" i="189"/>
  <c r="J297" i="246" s="1"/>
  <c r="J793" i="246"/>
  <c r="I70" i="246"/>
  <c r="D21" i="44"/>
  <c r="D35" i="44"/>
  <c r="D21" i="225"/>
  <c r="D35" i="225"/>
  <c r="D21" i="171"/>
  <c r="D35" i="171"/>
  <c r="D35" i="175"/>
  <c r="D21" i="175"/>
  <c r="D35" i="184"/>
  <c r="D21" i="184"/>
  <c r="D21" i="291"/>
  <c r="D35" i="291"/>
  <c r="K787" i="246"/>
  <c r="F38" i="151"/>
  <c r="K43" i="246" s="1"/>
  <c r="F42" i="151"/>
  <c r="K291" i="246" s="1"/>
  <c r="F41" i="151"/>
  <c r="K229" i="246" s="1"/>
  <c r="F40" i="151"/>
  <c r="K105" i="246" s="1"/>
  <c r="F39" i="151"/>
  <c r="Q43" i="246" s="1"/>
  <c r="F37" i="151"/>
  <c r="Q229" i="246" s="1"/>
  <c r="F40" i="270"/>
  <c r="K114" i="246" s="1"/>
  <c r="F39" i="270"/>
  <c r="Q52" i="246" s="1"/>
  <c r="K796" i="246"/>
  <c r="F37" i="270"/>
  <c r="Q238" i="246" s="1"/>
  <c r="F38" i="270"/>
  <c r="K52" i="246" s="1"/>
  <c r="F42" i="270"/>
  <c r="K300" i="246" s="1"/>
  <c r="F41" i="270"/>
  <c r="K238" i="246" s="1"/>
  <c r="F14" i="172"/>
  <c r="F14" i="174" s="1"/>
  <c r="F14" i="170"/>
  <c r="F14" i="175" s="1"/>
  <c r="F14" i="231"/>
  <c r="J784" i="246"/>
  <c r="E40" i="194"/>
  <c r="J102" i="246" s="1"/>
  <c r="E38" i="194"/>
  <c r="J40" i="246" s="1"/>
  <c r="E39" i="194"/>
  <c r="P40" i="246" s="1"/>
  <c r="E41" i="194"/>
  <c r="J226" i="246" s="1"/>
  <c r="E37" i="194"/>
  <c r="P226" i="246" s="1"/>
  <c r="E42" i="194"/>
  <c r="J288" i="246" s="1"/>
  <c r="J797" i="246"/>
  <c r="E40" i="183"/>
  <c r="J115" i="246" s="1"/>
  <c r="E42" i="183"/>
  <c r="J301" i="246" s="1"/>
  <c r="E38" i="183"/>
  <c r="J53" i="246" s="1"/>
  <c r="E39" i="183"/>
  <c r="P53" i="246" s="1"/>
  <c r="E41" i="183"/>
  <c r="J239" i="246" s="1"/>
  <c r="E37" i="183"/>
  <c r="P239" i="246" s="1"/>
  <c r="G40" i="183"/>
  <c r="L115" i="246" s="1"/>
  <c r="L797" i="246"/>
  <c r="M797" i="246" s="1"/>
  <c r="G38" i="183"/>
  <c r="L53" i="246" s="1"/>
  <c r="G39" i="183"/>
  <c r="R53" i="246" s="1"/>
  <c r="G42" i="183"/>
  <c r="L301" i="246" s="1"/>
  <c r="G41" i="183"/>
  <c r="L239" i="246" s="1"/>
  <c r="G37" i="183"/>
  <c r="R239" i="246" s="1"/>
  <c r="X43" i="33"/>
  <c r="D21" i="18"/>
  <c r="D35" i="18"/>
  <c r="D21" i="186"/>
  <c r="D35" i="186"/>
  <c r="D21" i="231"/>
  <c r="D35" i="231"/>
  <c r="D21" i="172"/>
  <c r="D35" i="172"/>
  <c r="J30" i="80"/>
  <c r="J33" i="80" s="1"/>
  <c r="V14" i="80"/>
  <c r="V12" i="80"/>
  <c r="V13" i="80"/>
  <c r="V11" i="80"/>
  <c r="E41" i="151"/>
  <c r="J229" i="246" s="1"/>
  <c r="E39" i="151"/>
  <c r="P43" i="246" s="1"/>
  <c r="E37" i="151"/>
  <c r="P229" i="246" s="1"/>
  <c r="E38" i="151"/>
  <c r="J43" i="246" s="1"/>
  <c r="J787" i="246"/>
  <c r="E42" i="151"/>
  <c r="J291" i="246" s="1"/>
  <c r="E40" i="151"/>
  <c r="J105" i="246" s="1"/>
  <c r="I795" i="246"/>
  <c r="M795" i="246" s="1"/>
  <c r="D38" i="203"/>
  <c r="D40" i="203"/>
  <c r="D41" i="203"/>
  <c r="H18" i="203"/>
  <c r="D37" i="203"/>
  <c r="D42" i="203"/>
  <c r="D39" i="203"/>
  <c r="D39" i="151"/>
  <c r="D37" i="151"/>
  <c r="D42" i="151"/>
  <c r="D40" i="151"/>
  <c r="D41" i="151"/>
  <c r="H18" i="151"/>
  <c r="D38" i="151"/>
  <c r="I787" i="246"/>
  <c r="M787" i="246" s="1"/>
  <c r="I49" i="246"/>
  <c r="E43" i="151"/>
  <c r="E47" i="151" s="1"/>
  <c r="P167" i="246" s="1"/>
  <c r="M26" i="226"/>
  <c r="D43" i="203"/>
  <c r="P26" i="203"/>
  <c r="D45" i="226"/>
  <c r="I178" i="246" s="1"/>
  <c r="O674" i="246"/>
  <c r="D11" i="172"/>
  <c r="I736" i="246"/>
  <c r="D44" i="226"/>
  <c r="O116" i="246" s="1"/>
  <c r="D46" i="226"/>
  <c r="I674" i="246"/>
  <c r="D11" i="170"/>
  <c r="F11" i="172"/>
  <c r="Q674" i="246"/>
  <c r="K674" i="246"/>
  <c r="K736" i="246"/>
  <c r="F11" i="170"/>
  <c r="F45" i="226"/>
  <c r="K178" i="246" s="1"/>
  <c r="F46" i="226"/>
  <c r="M36" i="292"/>
  <c r="F44" i="226"/>
  <c r="Q116" i="246" s="1"/>
  <c r="D47" i="194"/>
  <c r="I289" i="246"/>
  <c r="O109" i="246"/>
  <c r="I235" i="246"/>
  <c r="E37" i="203"/>
  <c r="P237" i="246" s="1"/>
  <c r="J795" i="246"/>
  <c r="E42" i="203"/>
  <c r="J299" i="246" s="1"/>
  <c r="E41" i="203"/>
  <c r="J237" i="246" s="1"/>
  <c r="E39" i="203"/>
  <c r="P51" i="246" s="1"/>
  <c r="E38" i="203"/>
  <c r="J51" i="246" s="1"/>
  <c r="E40" i="203"/>
  <c r="J113" i="246" s="1"/>
  <c r="I227" i="246"/>
  <c r="I167" i="246"/>
  <c r="O49" i="246"/>
  <c r="I171" i="246"/>
  <c r="P26" i="151"/>
  <c r="D43" i="151"/>
  <c r="D47" i="97"/>
  <c r="L26" i="226"/>
  <c r="L26" i="231" s="1"/>
  <c r="I297" i="246"/>
  <c r="E38" i="270"/>
  <c r="J52" i="246" s="1"/>
  <c r="J796" i="246"/>
  <c r="E40" i="270"/>
  <c r="J114" i="246" s="1"/>
  <c r="E37" i="270"/>
  <c r="P238" i="246" s="1"/>
  <c r="E42" i="270"/>
  <c r="J300" i="246" s="1"/>
  <c r="E41" i="270"/>
  <c r="J238" i="246" s="1"/>
  <c r="E39" i="270"/>
  <c r="P52" i="246" s="1"/>
  <c r="I103" i="246"/>
  <c r="E42" i="204"/>
  <c r="J293" i="246" s="1"/>
  <c r="E41" i="204"/>
  <c r="J231" i="246" s="1"/>
  <c r="E38" i="204"/>
  <c r="J45" i="246" s="1"/>
  <c r="E37" i="204"/>
  <c r="P231" i="246" s="1"/>
  <c r="E39" i="204"/>
  <c r="P45" i="246" s="1"/>
  <c r="J789" i="246"/>
  <c r="E40" i="204"/>
  <c r="J107" i="246" s="1"/>
  <c r="D43" i="137"/>
  <c r="P26" i="137"/>
  <c r="I175" i="246"/>
  <c r="O26" i="226"/>
  <c r="F11" i="231"/>
  <c r="F46" i="231" s="1"/>
  <c r="O113" i="246"/>
  <c r="I41" i="246"/>
  <c r="D40" i="137"/>
  <c r="I791" i="246"/>
  <c r="D37" i="137"/>
  <c r="D41" i="137"/>
  <c r="D42" i="137"/>
  <c r="D38" i="137"/>
  <c r="D39" i="137"/>
  <c r="H18" i="137"/>
  <c r="J791" i="246"/>
  <c r="E38" i="137"/>
  <c r="J47" i="246" s="1"/>
  <c r="E37" i="137"/>
  <c r="P233" i="246" s="1"/>
  <c r="E42" i="137"/>
  <c r="J295" i="246" s="1"/>
  <c r="E41" i="137"/>
  <c r="J233" i="246" s="1"/>
  <c r="E39" i="137"/>
  <c r="P47" i="246" s="1"/>
  <c r="E40" i="137"/>
  <c r="J109" i="246" s="1"/>
  <c r="O105" i="246"/>
  <c r="O227" i="246"/>
  <c r="D47" i="195"/>
  <c r="G41" i="137"/>
  <c r="L233" i="246" s="1"/>
  <c r="G40" i="137"/>
  <c r="L109" i="246" s="1"/>
  <c r="G37" i="137"/>
  <c r="R233" i="246" s="1"/>
  <c r="G39" i="137"/>
  <c r="R47" i="246" s="1"/>
  <c r="G42" i="137"/>
  <c r="L295" i="246" s="1"/>
  <c r="L791" i="246"/>
  <c r="G38" i="137"/>
  <c r="L47" i="246" s="1"/>
  <c r="F39" i="194"/>
  <c r="Q40" i="246" s="1"/>
  <c r="K784" i="246"/>
  <c r="F38" i="194"/>
  <c r="K40" i="246" s="1"/>
  <c r="F41" i="194"/>
  <c r="K226" i="246" s="1"/>
  <c r="F42" i="194"/>
  <c r="K288" i="246" s="1"/>
  <c r="F37" i="194"/>
  <c r="Q226" i="246" s="1"/>
  <c r="F40" i="194"/>
  <c r="K102" i="246" s="1"/>
  <c r="I111" i="246"/>
  <c r="O41" i="246"/>
  <c r="F39" i="195"/>
  <c r="Q48" i="246" s="1"/>
  <c r="F41" i="195"/>
  <c r="K234" i="246" s="1"/>
  <c r="F42" i="195"/>
  <c r="K296" i="246" s="1"/>
  <c r="K792" i="246"/>
  <c r="F40" i="195"/>
  <c r="K110" i="246" s="1"/>
  <c r="F37" i="195"/>
  <c r="Q234" i="246" s="1"/>
  <c r="F38" i="195"/>
  <c r="K48" i="246" s="1"/>
  <c r="N26" i="226"/>
  <c r="F43" i="194"/>
  <c r="F47" i="194" s="1"/>
  <c r="Q164" i="246" s="1"/>
  <c r="O235" i="246"/>
  <c r="M785" i="246"/>
  <c r="E46" i="226"/>
  <c r="J736" i="246"/>
  <c r="P674" i="246"/>
  <c r="E11" i="231"/>
  <c r="E44" i="226"/>
  <c r="E11" i="172"/>
  <c r="E45" i="226"/>
  <c r="J178" i="246" s="1"/>
  <c r="J674" i="246"/>
  <c r="D47" i="187"/>
  <c r="V35" i="292"/>
  <c r="S35" i="292"/>
  <c r="T35" i="292" s="1"/>
  <c r="G41" i="313" l="1"/>
  <c r="L245" i="246" s="1"/>
  <c r="W28" i="315"/>
  <c r="X64" i="36"/>
  <c r="I284" i="209"/>
  <c r="L26" i="171"/>
  <c r="D43" i="171" s="1"/>
  <c r="S737" i="209"/>
  <c r="V11" i="129"/>
  <c r="V13" i="129"/>
  <c r="V20" i="129"/>
  <c r="V14" i="129"/>
  <c r="V18" i="129"/>
  <c r="X18" i="129" s="1"/>
  <c r="V17" i="129"/>
  <c r="V16" i="129"/>
  <c r="X16" i="129" s="1"/>
  <c r="V12" i="129"/>
  <c r="X12" i="129" s="1"/>
  <c r="E14" i="328"/>
  <c r="E13" i="328"/>
  <c r="E13" i="330"/>
  <c r="E13" i="58"/>
  <c r="E13" i="229" s="1"/>
  <c r="E17" i="328"/>
  <c r="E17" i="58"/>
  <c r="E17" i="229" s="1"/>
  <c r="E17" i="330"/>
  <c r="P702" i="209"/>
  <c r="P462" i="209"/>
  <c r="E12" i="328"/>
  <c r="E12" i="58"/>
  <c r="E12" i="330"/>
  <c r="E18" i="250"/>
  <c r="E40" i="250" s="1"/>
  <c r="J121" i="209" s="1"/>
  <c r="L18" i="213"/>
  <c r="V15" i="129"/>
  <c r="X15" i="129" s="1"/>
  <c r="J44" i="34"/>
  <c r="J46" i="34" s="1"/>
  <c r="D18" i="79"/>
  <c r="P15" i="185"/>
  <c r="P15" i="223"/>
  <c r="V12" i="142"/>
  <c r="J25" i="142"/>
  <c r="J27" i="142" s="1"/>
  <c r="J28" i="142" s="1"/>
  <c r="X11" i="142" s="1"/>
  <c r="V13" i="142"/>
  <c r="E15" i="9"/>
  <c r="F15" i="9" s="1"/>
  <c r="W34" i="315"/>
  <c r="F18" i="250"/>
  <c r="M26" i="250"/>
  <c r="E43" i="250" s="1"/>
  <c r="E47" i="250" s="1"/>
  <c r="P181" i="209" s="1"/>
  <c r="G43" i="247"/>
  <c r="G47" i="247" s="1"/>
  <c r="O26" i="250"/>
  <c r="D43" i="247"/>
  <c r="L15" i="105" s="1"/>
  <c r="W31" i="105" s="1"/>
  <c r="L26" i="250"/>
  <c r="N26" i="250"/>
  <c r="M742" i="209"/>
  <c r="G37" i="313"/>
  <c r="R245" i="246" s="1"/>
  <c r="L18" i="105"/>
  <c r="G18" i="250"/>
  <c r="D38" i="247"/>
  <c r="I24" i="209" s="1"/>
  <c r="D18" i="250"/>
  <c r="P15" i="103"/>
  <c r="P15" i="212"/>
  <c r="P15" i="173"/>
  <c r="L177" i="209"/>
  <c r="O17" i="364"/>
  <c r="G39" i="313"/>
  <c r="R59" i="246" s="1"/>
  <c r="G40" i="313"/>
  <c r="L121" i="246" s="1"/>
  <c r="G42" i="313"/>
  <c r="L307" i="246" s="1"/>
  <c r="G38" i="313"/>
  <c r="L59" i="246" s="1"/>
  <c r="G18" i="308"/>
  <c r="G37" i="308" s="1"/>
  <c r="F44" i="309"/>
  <c r="N16" i="308" s="1"/>
  <c r="W29" i="315"/>
  <c r="O44" i="209"/>
  <c r="D39" i="247"/>
  <c r="O24" i="209" s="1"/>
  <c r="V19" i="161"/>
  <c r="V13" i="161"/>
  <c r="D15" i="6"/>
  <c r="E15" i="6" s="1"/>
  <c r="V17" i="161"/>
  <c r="E47" i="326"/>
  <c r="M19" i="324" s="1"/>
  <c r="V12" i="161"/>
  <c r="V15" i="161"/>
  <c r="M15" i="325"/>
  <c r="J44" i="29"/>
  <c r="J47" i="29" s="1"/>
  <c r="X12" i="29" s="1"/>
  <c r="K184" i="246"/>
  <c r="I44" i="209"/>
  <c r="S32" i="292"/>
  <c r="T32" i="292" s="1"/>
  <c r="F46" i="309"/>
  <c r="N18" i="308" s="1"/>
  <c r="M758" i="246"/>
  <c r="V11" i="161"/>
  <c r="V18" i="161"/>
  <c r="E37" i="326"/>
  <c r="M9" i="325" s="1"/>
  <c r="D40" i="247"/>
  <c r="I84" i="209" s="1"/>
  <c r="D42" i="247"/>
  <c r="L14" i="213" s="1"/>
  <c r="W30" i="213" s="1"/>
  <c r="D37" i="247"/>
  <c r="L9" i="105" s="1"/>
  <c r="W25" i="105" s="1"/>
  <c r="O44" i="246"/>
  <c r="I744" i="209"/>
  <c r="M18" i="324"/>
  <c r="D41" i="247"/>
  <c r="L13" i="105" s="1"/>
  <c r="W29" i="105" s="1"/>
  <c r="H18" i="247"/>
  <c r="F42" i="186"/>
  <c r="K286" i="246" s="1"/>
  <c r="F38" i="186"/>
  <c r="N10" i="279" s="1"/>
  <c r="K782" i="246"/>
  <c r="F40" i="186"/>
  <c r="N12" i="95" s="1"/>
  <c r="O31" i="292"/>
  <c r="R31" i="292" s="1"/>
  <c r="F39" i="186"/>
  <c r="Q38" i="246" s="1"/>
  <c r="F37" i="186"/>
  <c r="N9" i="279" s="1"/>
  <c r="L15" i="325"/>
  <c r="W29" i="325" s="1"/>
  <c r="L15" i="324"/>
  <c r="W29" i="324" s="1"/>
  <c r="M17" i="324"/>
  <c r="G38" i="326"/>
  <c r="O10" i="325" s="1"/>
  <c r="G42" i="326"/>
  <c r="O14" i="324" s="1"/>
  <c r="G41" i="326"/>
  <c r="O13" i="324" s="1"/>
  <c r="G40" i="326"/>
  <c r="O12" i="325" s="1"/>
  <c r="V16" i="161"/>
  <c r="J34" i="161"/>
  <c r="J37" i="161" s="1"/>
  <c r="V15" i="37"/>
  <c r="V16" i="37"/>
  <c r="V41" i="37"/>
  <c r="V11" i="37"/>
  <c r="S742" i="209"/>
  <c r="L755" i="246"/>
  <c r="M755" i="246" s="1"/>
  <c r="O744" i="209"/>
  <c r="E38" i="326"/>
  <c r="M10" i="325" s="1"/>
  <c r="E39" i="326"/>
  <c r="M11" i="325" s="1"/>
  <c r="E40" i="326"/>
  <c r="M12" i="325" s="1"/>
  <c r="E42" i="326"/>
  <c r="M14" i="324" s="1"/>
  <c r="N16" i="290"/>
  <c r="M15" i="288"/>
  <c r="M15" i="290"/>
  <c r="E47" i="291"/>
  <c r="M19" i="289" s="1"/>
  <c r="P9" i="196"/>
  <c r="V20" i="29"/>
  <c r="V15" i="29"/>
  <c r="V13" i="29"/>
  <c r="V14" i="29"/>
  <c r="V11" i="29"/>
  <c r="V22" i="29"/>
  <c r="V21" i="29"/>
  <c r="V16" i="29"/>
  <c r="G39" i="326"/>
  <c r="O11" i="324" s="1"/>
  <c r="D18" i="11"/>
  <c r="D40" i="11" s="1"/>
  <c r="I74" i="209" s="1"/>
  <c r="P642" i="209"/>
  <c r="S735" i="209"/>
  <c r="P10" i="212"/>
  <c r="L17" i="325"/>
  <c r="W31" i="325" s="1"/>
  <c r="P9" i="337"/>
  <c r="N18" i="290"/>
  <c r="P9" i="154"/>
  <c r="P9" i="123"/>
  <c r="P9" i="39"/>
  <c r="P9" i="72"/>
  <c r="N17" i="295"/>
  <c r="P9" i="338"/>
  <c r="P9" i="79"/>
  <c r="N18" i="288"/>
  <c r="G42" i="156"/>
  <c r="L259" i="246" s="1"/>
  <c r="H18" i="156"/>
  <c r="G15" i="173"/>
  <c r="G41" i="162"/>
  <c r="L208" i="209" s="1"/>
  <c r="G37" i="162"/>
  <c r="R208" i="209" s="1"/>
  <c r="G42" i="162"/>
  <c r="L268" i="209" s="1"/>
  <c r="L748" i="209"/>
  <c r="M748" i="209" s="1"/>
  <c r="G37" i="156"/>
  <c r="R197" i="246" s="1"/>
  <c r="G18" i="212"/>
  <c r="L750" i="209" s="1"/>
  <c r="G41" i="156"/>
  <c r="L197" i="246" s="1"/>
  <c r="G18" i="185"/>
  <c r="G42" i="185" s="1"/>
  <c r="G38" i="156"/>
  <c r="L11" i="246" s="1"/>
  <c r="G39" i="156"/>
  <c r="R11" i="246" s="1"/>
  <c r="L18" i="324"/>
  <c r="H18" i="162"/>
  <c r="P16" i="15"/>
  <c r="V13" i="155"/>
  <c r="X13" i="155" s="1"/>
  <c r="D42" i="326"/>
  <c r="L14" i="324" s="1"/>
  <c r="S360" i="209"/>
  <c r="R750" i="209"/>
  <c r="M769" i="209"/>
  <c r="E15" i="7"/>
  <c r="E18" i="7" s="1"/>
  <c r="L16" i="214"/>
  <c r="W32" i="214" s="1"/>
  <c r="P16" i="9"/>
  <c r="S79" i="209"/>
  <c r="P16" i="6"/>
  <c r="S272" i="209"/>
  <c r="S420" i="209"/>
  <c r="M735" i="209"/>
  <c r="M717" i="209"/>
  <c r="V31" i="292"/>
  <c r="P10" i="173"/>
  <c r="P10" i="223"/>
  <c r="P10" i="228"/>
  <c r="P10" i="103"/>
  <c r="M24" i="246"/>
  <c r="N16" i="338"/>
  <c r="P14" i="171"/>
  <c r="P14" i="84"/>
  <c r="P14" i="229"/>
  <c r="P14" i="175"/>
  <c r="P14" i="309"/>
  <c r="P14" i="361"/>
  <c r="P14" i="172"/>
  <c r="P14" i="184"/>
  <c r="P14" i="231"/>
  <c r="V28" i="37"/>
  <c r="V39" i="37"/>
  <c r="M729" i="209"/>
  <c r="V20" i="37"/>
  <c r="V12" i="37"/>
  <c r="V24" i="37"/>
  <c r="V42" i="37"/>
  <c r="J62" i="37"/>
  <c r="J64" i="37" s="1"/>
  <c r="V38" i="37"/>
  <c r="V31" i="37"/>
  <c r="V35" i="37"/>
  <c r="V23" i="37"/>
  <c r="V32" i="37"/>
  <c r="V19" i="37"/>
  <c r="V40" i="37"/>
  <c r="F42" i="291"/>
  <c r="N14" i="289" s="1"/>
  <c r="F41" i="291"/>
  <c r="N13" i="290" s="1"/>
  <c r="O17" i="292"/>
  <c r="U17" i="292" s="1"/>
  <c r="F38" i="291"/>
  <c r="N10" i="288" s="1"/>
  <c r="F39" i="291"/>
  <c r="N11" i="289" s="1"/>
  <c r="F40" i="291"/>
  <c r="N12" i="290" s="1"/>
  <c r="N16" i="296"/>
  <c r="Q682" i="246"/>
  <c r="M28" i="292"/>
  <c r="V28" i="292" s="1"/>
  <c r="F46" i="84"/>
  <c r="F44" i="84"/>
  <c r="Q124" i="246" s="1"/>
  <c r="F45" i="84"/>
  <c r="K186" i="246" s="1"/>
  <c r="K744" i="246"/>
  <c r="N16" i="360"/>
  <c r="V28" i="36"/>
  <c r="V27" i="36"/>
  <c r="M775" i="246"/>
  <c r="R117" i="209"/>
  <c r="O16" i="220"/>
  <c r="O16" i="347"/>
  <c r="O16" i="221"/>
  <c r="O17" i="220"/>
  <c r="O17" i="347"/>
  <c r="P26" i="326"/>
  <c r="D37" i="326"/>
  <c r="L9" i="324" s="1"/>
  <c r="W25" i="324" s="1"/>
  <c r="H18" i="326"/>
  <c r="D40" i="326"/>
  <c r="L12" i="325" s="1"/>
  <c r="W28" i="325" s="1"/>
  <c r="D39" i="326"/>
  <c r="L11" i="324" s="1"/>
  <c r="W27" i="324" s="1"/>
  <c r="D41" i="326"/>
  <c r="L13" i="324" s="1"/>
  <c r="V11" i="155"/>
  <c r="X11" i="155" s="1"/>
  <c r="V14" i="155"/>
  <c r="X14" i="155" s="1"/>
  <c r="J28" i="155"/>
  <c r="J31" i="155" s="1"/>
  <c r="J33" i="155" s="1"/>
  <c r="P16" i="196"/>
  <c r="K13" i="292"/>
  <c r="P15" i="72"/>
  <c r="P15" i="39"/>
  <c r="P15" i="337"/>
  <c r="P15" i="338"/>
  <c r="P15" i="79"/>
  <c r="P15" i="154"/>
  <c r="I484" i="209"/>
  <c r="M484" i="209" s="1"/>
  <c r="P15" i="196"/>
  <c r="P16" i="123"/>
  <c r="O15" i="324"/>
  <c r="G47" i="326"/>
  <c r="O19" i="324" s="1"/>
  <c r="V13" i="32"/>
  <c r="J25" i="32"/>
  <c r="J27" i="32" s="1"/>
  <c r="V12" i="32"/>
  <c r="L17" i="15"/>
  <c r="W33" i="15" s="1"/>
  <c r="N16" i="333"/>
  <c r="G39" i="247"/>
  <c r="R24" i="209" s="1"/>
  <c r="G14" i="172"/>
  <c r="G14" i="174" s="1"/>
  <c r="L17" i="14"/>
  <c r="W33" i="14" s="1"/>
  <c r="L17" i="4"/>
  <c r="W33" i="4" s="1"/>
  <c r="K804" i="246"/>
  <c r="O18" i="95"/>
  <c r="O18" i="279"/>
  <c r="N16" i="279"/>
  <c r="G37" i="247"/>
  <c r="R204" i="209" s="1"/>
  <c r="G41" i="247"/>
  <c r="O13" i="214" s="1"/>
  <c r="L744" i="209"/>
  <c r="G38" i="247"/>
  <c r="O10" i="105" s="1"/>
  <c r="G40" i="247"/>
  <c r="O12" i="105" s="1"/>
  <c r="G42" i="247"/>
  <c r="O14" i="214" s="1"/>
  <c r="F37" i="308"/>
  <c r="Q246" i="246" s="1"/>
  <c r="D44" i="171"/>
  <c r="L16" i="173" s="1"/>
  <c r="O17" i="156"/>
  <c r="K745" i="246"/>
  <c r="E37" i="104"/>
  <c r="M9" i="359" s="1"/>
  <c r="N16" i="79"/>
  <c r="N16" i="39"/>
  <c r="P12" i="184"/>
  <c r="S774" i="209"/>
  <c r="N17" i="333"/>
  <c r="N16" i="288"/>
  <c r="L16" i="105"/>
  <c r="W32" i="105" s="1"/>
  <c r="N17" i="360"/>
  <c r="G15" i="171"/>
  <c r="O84" i="209"/>
  <c r="M792" i="246"/>
  <c r="O16" i="296"/>
  <c r="M776" i="246"/>
  <c r="L745" i="246"/>
  <c r="O17" i="284"/>
  <c r="O17" i="190"/>
  <c r="L26" i="84"/>
  <c r="D43" i="84" s="1"/>
  <c r="D47" i="84" s="1"/>
  <c r="O186" i="246" s="1"/>
  <c r="J544" i="209"/>
  <c r="P12" i="361"/>
  <c r="P17" i="333"/>
  <c r="O16" i="360"/>
  <c r="O16" i="333"/>
  <c r="F41" i="361"/>
  <c r="N13" i="360" s="1"/>
  <c r="O18" i="296"/>
  <c r="F47" i="361"/>
  <c r="N19" i="360" s="1"/>
  <c r="F39" i="361"/>
  <c r="N11" i="296" s="1"/>
  <c r="N15" i="333"/>
  <c r="N15" i="296"/>
  <c r="W31" i="296" s="1"/>
  <c r="N15" i="295"/>
  <c r="W31" i="295" s="1"/>
  <c r="O18" i="360"/>
  <c r="O15" i="333"/>
  <c r="O18" i="333"/>
  <c r="P18" i="333" s="1"/>
  <c r="M128" i="246"/>
  <c r="P12" i="171"/>
  <c r="P12" i="175"/>
  <c r="P12" i="231"/>
  <c r="P12" i="84"/>
  <c r="P12" i="309"/>
  <c r="P12" i="229"/>
  <c r="P26" i="223"/>
  <c r="K766" i="246"/>
  <c r="F37" i="223"/>
  <c r="Q208" i="246" s="1"/>
  <c r="F38" i="223"/>
  <c r="K22" i="246" s="1"/>
  <c r="F41" i="223"/>
  <c r="K208" i="246" s="1"/>
  <c r="D45" i="171"/>
  <c r="L17" i="173" s="1"/>
  <c r="M768" i="246"/>
  <c r="M761" i="246"/>
  <c r="O644" i="246"/>
  <c r="P19" i="126"/>
  <c r="P544" i="209"/>
  <c r="P19" i="203"/>
  <c r="P19" i="353"/>
  <c r="P19" i="183"/>
  <c r="P19" i="362"/>
  <c r="M544" i="209"/>
  <c r="P26" i="212"/>
  <c r="Q364" i="209"/>
  <c r="Q604" i="209"/>
  <c r="P424" i="209"/>
  <c r="F46" i="173"/>
  <c r="F44" i="173"/>
  <c r="N16" i="344" s="1"/>
  <c r="F11" i="175"/>
  <c r="F45" i="175" s="1"/>
  <c r="N17" i="212" s="1"/>
  <c r="P15" i="247"/>
  <c r="H47" i="175"/>
  <c r="O26" i="228"/>
  <c r="G43" i="228" s="1"/>
  <c r="M746" i="209"/>
  <c r="P15" i="326"/>
  <c r="P16" i="154"/>
  <c r="L17" i="9"/>
  <c r="W33" i="9" s="1"/>
  <c r="N17" i="337"/>
  <c r="O15" i="360"/>
  <c r="P19" i="137"/>
  <c r="P19" i="151"/>
  <c r="P304" i="209"/>
  <c r="P19" i="355"/>
  <c r="K644" i="246"/>
  <c r="G45" i="184"/>
  <c r="L187" i="246" s="1"/>
  <c r="N16" i="191"/>
  <c r="P16" i="79"/>
  <c r="L17" i="7"/>
  <c r="W33" i="7" s="1"/>
  <c r="L17" i="11"/>
  <c r="W33" i="11" s="1"/>
  <c r="P19" i="204"/>
  <c r="M754" i="209"/>
  <c r="G46" i="184"/>
  <c r="N16" i="95"/>
  <c r="P16" i="39"/>
  <c r="P16" i="338"/>
  <c r="I139" i="209"/>
  <c r="P19" i="219"/>
  <c r="K706" i="246"/>
  <c r="L683" i="246"/>
  <c r="S102" i="209"/>
  <c r="L17" i="10"/>
  <c r="W33" i="10" s="1"/>
  <c r="P19" i="293"/>
  <c r="P19" i="189"/>
  <c r="P19" i="195"/>
  <c r="Q644" i="246"/>
  <c r="F45" i="171"/>
  <c r="N17" i="173" s="1"/>
  <c r="R683" i="246"/>
  <c r="P16" i="337"/>
  <c r="L17" i="16"/>
  <c r="W33" i="16" s="1"/>
  <c r="P19" i="188"/>
  <c r="P19" i="215"/>
  <c r="P19" i="216"/>
  <c r="P19" i="178"/>
  <c r="O304" i="209"/>
  <c r="F44" i="171"/>
  <c r="N16" i="185" s="1"/>
  <c r="E14" i="327"/>
  <c r="L17" i="13"/>
  <c r="W33" i="13" s="1"/>
  <c r="P19" i="349"/>
  <c r="P19" i="146"/>
  <c r="P19" i="194"/>
  <c r="P19" i="187"/>
  <c r="L17" i="125"/>
  <c r="W33" i="125" s="1"/>
  <c r="P19" i="141"/>
  <c r="P19" i="334"/>
  <c r="M420" i="209"/>
  <c r="R484" i="209"/>
  <c r="M480" i="209"/>
  <c r="P14" i="44"/>
  <c r="P14" i="247"/>
  <c r="L424" i="209"/>
  <c r="I41" i="292"/>
  <c r="C24" i="292"/>
  <c r="C41" i="292" s="1"/>
  <c r="R544" i="209"/>
  <c r="H25" i="229"/>
  <c r="H39" i="229" s="1"/>
  <c r="S300" i="209"/>
  <c r="R424" i="209"/>
  <c r="S424" i="209" s="1"/>
  <c r="H23" i="229"/>
  <c r="I24" i="292" s="1"/>
  <c r="P12" i="18"/>
  <c r="R364" i="209"/>
  <c r="P12" i="308"/>
  <c r="I13" i="292"/>
  <c r="N16" i="72"/>
  <c r="Q102" i="209"/>
  <c r="N16" i="196"/>
  <c r="N16" i="123"/>
  <c r="N16" i="337"/>
  <c r="L16" i="14"/>
  <c r="W32" i="14" s="1"/>
  <c r="P13" i="292"/>
  <c r="P11" i="14"/>
  <c r="L16" i="11"/>
  <c r="W32" i="11" s="1"/>
  <c r="L16" i="16"/>
  <c r="W32" i="16" s="1"/>
  <c r="F38" i="308"/>
  <c r="N10" i="307" s="1"/>
  <c r="F18" i="309"/>
  <c r="F40" i="309" s="1"/>
  <c r="N12" i="308" s="1"/>
  <c r="F18" i="184"/>
  <c r="O33" i="292" s="1"/>
  <c r="F40" i="308"/>
  <c r="K122" i="246" s="1"/>
  <c r="F41" i="308"/>
  <c r="N13" i="307" s="1"/>
  <c r="F42" i="308"/>
  <c r="K308" i="246" s="1"/>
  <c r="F39" i="308"/>
  <c r="Q60" i="246" s="1"/>
  <c r="G46" i="172"/>
  <c r="O18" i="186" s="1"/>
  <c r="N17" i="313"/>
  <c r="O684" i="246"/>
  <c r="I684" i="246"/>
  <c r="D46" i="171"/>
  <c r="L18" i="173" s="1"/>
  <c r="F11" i="174"/>
  <c r="F46" i="174" s="1"/>
  <c r="I644" i="246"/>
  <c r="D38" i="225"/>
  <c r="L10" i="345" s="1"/>
  <c r="W26" i="345" s="1"/>
  <c r="D41" i="225"/>
  <c r="L13" i="356" s="1"/>
  <c r="W29" i="356" s="1"/>
  <c r="N17" i="338"/>
  <c r="N17" i="196"/>
  <c r="K24" i="292"/>
  <c r="P16" i="250"/>
  <c r="P16" i="326"/>
  <c r="S741" i="209"/>
  <c r="P16" i="125"/>
  <c r="P16" i="7"/>
  <c r="P16" i="248"/>
  <c r="R684" i="246"/>
  <c r="N17" i="79"/>
  <c r="P16" i="174"/>
  <c r="P16" i="58"/>
  <c r="S124" i="209"/>
  <c r="P16" i="18"/>
  <c r="M684" i="209"/>
  <c r="P16" i="10"/>
  <c r="S600" i="209"/>
  <c r="P15" i="166"/>
  <c r="P15" i="139"/>
  <c r="P15" i="202"/>
  <c r="K162" i="209"/>
  <c r="I144" i="209"/>
  <c r="P16" i="44"/>
  <c r="P16" i="291"/>
  <c r="P16" i="308"/>
  <c r="P16" i="4"/>
  <c r="P16" i="328"/>
  <c r="P15" i="165"/>
  <c r="N17" i="191"/>
  <c r="N17" i="72"/>
  <c r="L17" i="214"/>
  <c r="W33" i="214" s="1"/>
  <c r="P16" i="14"/>
  <c r="P16" i="247"/>
  <c r="X74" i="37"/>
  <c r="P26" i="247"/>
  <c r="Q762" i="209"/>
  <c r="N17" i="39"/>
  <c r="L17" i="105"/>
  <c r="W33" i="105" s="1"/>
  <c r="P16" i="16"/>
  <c r="P16" i="327"/>
  <c r="D14" i="7"/>
  <c r="G44" i="231"/>
  <c r="R126" i="246" s="1"/>
  <c r="N26" i="328"/>
  <c r="F43" i="328" s="1"/>
  <c r="F47" i="328" s="1"/>
  <c r="N17" i="123"/>
  <c r="P16" i="11"/>
  <c r="F14" i="7"/>
  <c r="M749" i="209"/>
  <c r="P19" i="171"/>
  <c r="O17" i="95"/>
  <c r="G45" i="172"/>
  <c r="O17" i="104" s="1"/>
  <c r="D37" i="225"/>
  <c r="L9" i="356" s="1"/>
  <c r="W25" i="356" s="1"/>
  <c r="N16" i="91"/>
  <c r="R604" i="209"/>
  <c r="S604" i="209" s="1"/>
  <c r="H18" i="225"/>
  <c r="P11" i="11"/>
  <c r="E40" i="291"/>
  <c r="M12" i="290" s="1"/>
  <c r="M17" i="288"/>
  <c r="M17" i="289"/>
  <c r="M17" i="290"/>
  <c r="V11" i="292"/>
  <c r="G44" i="172"/>
  <c r="O16" i="170" s="1"/>
  <c r="D39" i="225"/>
  <c r="L11" i="345" s="1"/>
  <c r="W27" i="345" s="1"/>
  <c r="N17" i="91"/>
  <c r="P11" i="16"/>
  <c r="E39" i="291"/>
  <c r="M11" i="290" s="1"/>
  <c r="D40" i="223"/>
  <c r="I84" i="246" s="1"/>
  <c r="L738" i="246"/>
  <c r="L676" i="246"/>
  <c r="D18" i="228"/>
  <c r="D40" i="228" s="1"/>
  <c r="P11" i="125"/>
  <c r="P11" i="9"/>
  <c r="E37" i="291"/>
  <c r="M9" i="288" s="1"/>
  <c r="O16" i="324"/>
  <c r="O16" i="325"/>
  <c r="J722" i="209"/>
  <c r="O17" i="191"/>
  <c r="I770" i="209"/>
  <c r="O26" i="184"/>
  <c r="G43" i="184" s="1"/>
  <c r="G47" i="184" s="1"/>
  <c r="R187" i="246" s="1"/>
  <c r="P11" i="13"/>
  <c r="P11" i="7"/>
  <c r="E41" i="291"/>
  <c r="M13" i="288" s="1"/>
  <c r="P11" i="4"/>
  <c r="O17" i="325"/>
  <c r="O17" i="324"/>
  <c r="L162" i="246"/>
  <c r="D42" i="225"/>
  <c r="I290" i="209" s="1"/>
  <c r="P9" i="9"/>
  <c r="S19" i="209"/>
  <c r="E38" i="291"/>
  <c r="M10" i="288" s="1"/>
  <c r="M18" i="290"/>
  <c r="M18" i="289"/>
  <c r="M18" i="288"/>
  <c r="P11" i="15"/>
  <c r="N18" i="279"/>
  <c r="P9" i="10"/>
  <c r="P11" i="10"/>
  <c r="M757" i="246"/>
  <c r="M540" i="209"/>
  <c r="M16" i="290"/>
  <c r="W31" i="291"/>
  <c r="M16" i="289"/>
  <c r="M16" i="288"/>
  <c r="M802" i="246"/>
  <c r="G41" i="139"/>
  <c r="L207" i="246" s="1"/>
  <c r="G42" i="139"/>
  <c r="L269" i="246" s="1"/>
  <c r="L765" i="246"/>
  <c r="M765" i="246" s="1"/>
  <c r="G38" i="139"/>
  <c r="L21" i="246" s="1"/>
  <c r="G37" i="139"/>
  <c r="R207" i="246" s="1"/>
  <c r="G39" i="139"/>
  <c r="R21" i="246" s="1"/>
  <c r="G40" i="139"/>
  <c r="L83" i="246" s="1"/>
  <c r="G18" i="223"/>
  <c r="M776" i="209"/>
  <c r="D38" i="223"/>
  <c r="I22" i="246" s="1"/>
  <c r="D42" i="223"/>
  <c r="I270" i="246" s="1"/>
  <c r="D39" i="223"/>
  <c r="O22" i="246" s="1"/>
  <c r="I766" i="246"/>
  <c r="D37" i="223"/>
  <c r="O208" i="246" s="1"/>
  <c r="D18" i="171"/>
  <c r="D40" i="171" s="1"/>
  <c r="L12" i="185" s="1"/>
  <c r="H38" i="58"/>
  <c r="M60" i="209" s="1"/>
  <c r="P14" i="308"/>
  <c r="K424" i="209"/>
  <c r="P15" i="308"/>
  <c r="P15" i="248"/>
  <c r="P15" i="18"/>
  <c r="P9" i="13"/>
  <c r="R304" i="209"/>
  <c r="P15" i="291"/>
  <c r="J777" i="246"/>
  <c r="D46" i="231"/>
  <c r="D44" i="231"/>
  <c r="O126" i="246" s="1"/>
  <c r="I746" i="246"/>
  <c r="M252" i="246"/>
  <c r="F39" i="223"/>
  <c r="Q22" i="246" s="1"/>
  <c r="O35" i="292"/>
  <c r="U35" i="292" s="1"/>
  <c r="F40" i="223"/>
  <c r="K84" i="246" s="1"/>
  <c r="E38" i="225"/>
  <c r="M10" i="345" s="1"/>
  <c r="E41" i="225"/>
  <c r="J230" i="209" s="1"/>
  <c r="O16" i="345"/>
  <c r="E42" i="225"/>
  <c r="J290" i="209" s="1"/>
  <c r="J770" i="209"/>
  <c r="O17" i="356"/>
  <c r="F40" i="212"/>
  <c r="K90" i="209" s="1"/>
  <c r="F39" i="212"/>
  <c r="Q30" i="209" s="1"/>
  <c r="F18" i="173"/>
  <c r="F38" i="173" s="1"/>
  <c r="P15" i="44"/>
  <c r="P15" i="250"/>
  <c r="P15" i="58"/>
  <c r="H47" i="229"/>
  <c r="P19" i="58" s="1"/>
  <c r="P15" i="327"/>
  <c r="P15" i="330"/>
  <c r="P15" i="174"/>
  <c r="F42" i="212"/>
  <c r="K270" i="209" s="1"/>
  <c r="F41" i="212"/>
  <c r="K210" i="209" s="1"/>
  <c r="O20" i="292"/>
  <c r="U20" i="292" s="1"/>
  <c r="F37" i="212"/>
  <c r="Q210" i="209" s="1"/>
  <c r="F38" i="212"/>
  <c r="K30" i="209" s="1"/>
  <c r="P26" i="186"/>
  <c r="L26" i="184"/>
  <c r="D43" i="184" s="1"/>
  <c r="D47" i="184" s="1"/>
  <c r="O187" i="246" s="1"/>
  <c r="N17" i="290"/>
  <c r="X66" i="36"/>
  <c r="N17" i="289"/>
  <c r="L17" i="295"/>
  <c r="H43" i="58"/>
  <c r="L17" i="360"/>
  <c r="W33" i="360" s="1"/>
  <c r="O26" i="173"/>
  <c r="G43" i="173" s="1"/>
  <c r="O15" i="355" s="1"/>
  <c r="N26" i="184"/>
  <c r="F43" i="184" s="1"/>
  <c r="F47" i="184" s="1"/>
  <c r="Q187" i="246" s="1"/>
  <c r="E46" i="173"/>
  <c r="M18" i="166" s="1"/>
  <c r="G11" i="174"/>
  <c r="G45" i="174" s="1"/>
  <c r="E45" i="173"/>
  <c r="M17" i="344" s="1"/>
  <c r="R744" i="209"/>
  <c r="L17" i="296"/>
  <c r="L16" i="360"/>
  <c r="W32" i="360" s="1"/>
  <c r="L16" i="333"/>
  <c r="M773" i="209"/>
  <c r="L16" i="295"/>
  <c r="J32" i="30"/>
  <c r="D15" i="13"/>
  <c r="K484" i="209"/>
  <c r="J13" i="292"/>
  <c r="L16" i="10"/>
  <c r="W32" i="10" s="1"/>
  <c r="L16" i="13"/>
  <c r="W32" i="13" s="1"/>
  <c r="Q544" i="209"/>
  <c r="Q424" i="209"/>
  <c r="L16" i="4"/>
  <c r="W32" i="4" s="1"/>
  <c r="O79" i="209"/>
  <c r="L16" i="125"/>
  <c r="W32" i="125" s="1"/>
  <c r="L16" i="9"/>
  <c r="W32" i="9" s="1"/>
  <c r="S452" i="209"/>
  <c r="S661" i="209"/>
  <c r="P12" i="327"/>
  <c r="L18" i="13"/>
  <c r="L18" i="11"/>
  <c r="O15" i="296"/>
  <c r="G47" i="361"/>
  <c r="O19" i="360" s="1"/>
  <c r="P19" i="172"/>
  <c r="L16" i="284"/>
  <c r="W32" i="284" s="1"/>
  <c r="S624" i="246"/>
  <c r="N20" i="309"/>
  <c r="M500" i="246"/>
  <c r="O20" i="327"/>
  <c r="O17" i="345"/>
  <c r="P14" i="328"/>
  <c r="E41" i="212"/>
  <c r="J210" i="209" s="1"/>
  <c r="E42" i="212"/>
  <c r="J270" i="209" s="1"/>
  <c r="S332" i="209"/>
  <c r="G45" i="231"/>
  <c r="L188" i="246" s="1"/>
  <c r="E44" i="228"/>
  <c r="M16" i="225" s="1"/>
  <c r="W31" i="225" s="1"/>
  <c r="E40" i="104"/>
  <c r="M12" i="176" s="1"/>
  <c r="D43" i="185"/>
  <c r="L15" i="192" s="1"/>
  <c r="W31" i="192" s="1"/>
  <c r="L18" i="9"/>
  <c r="P9" i="16"/>
  <c r="L746" i="246"/>
  <c r="E46" i="228"/>
  <c r="M18" i="225" s="1"/>
  <c r="E41" i="104"/>
  <c r="M13" i="359" s="1"/>
  <c r="R100" i="246"/>
  <c r="P26" i="361"/>
  <c r="L18" i="10"/>
  <c r="P9" i="4"/>
  <c r="L18" i="14"/>
  <c r="M600" i="209"/>
  <c r="E45" i="228"/>
  <c r="J182" i="209" s="1"/>
  <c r="E42" i="104"/>
  <c r="M14" i="118" s="1"/>
  <c r="O16" i="279"/>
  <c r="F40" i="361"/>
  <c r="N12" i="296" s="1"/>
  <c r="S199" i="209"/>
  <c r="P9" i="15"/>
  <c r="L18" i="6"/>
  <c r="J662" i="209"/>
  <c r="E39" i="104"/>
  <c r="M11" i="101" s="1"/>
  <c r="O16" i="95"/>
  <c r="F42" i="361"/>
  <c r="N14" i="360" s="1"/>
  <c r="L18" i="15"/>
  <c r="P9" i="11"/>
  <c r="P9" i="125"/>
  <c r="L18" i="16"/>
  <c r="G46" i="231"/>
  <c r="F37" i="361"/>
  <c r="N9" i="333" s="1"/>
  <c r="E18" i="84"/>
  <c r="J806" i="246" s="1"/>
  <c r="L18" i="7"/>
  <c r="P9" i="7"/>
  <c r="P9" i="14"/>
  <c r="O26" i="327"/>
  <c r="G43" i="327" s="1"/>
  <c r="G47" i="327" s="1"/>
  <c r="R152" i="209" s="1"/>
  <c r="P26" i="185"/>
  <c r="L18" i="125"/>
  <c r="D532" i="209"/>
  <c r="U472" i="209"/>
  <c r="J56" i="28"/>
  <c r="J58" i="28" s="1"/>
  <c r="V21" i="28" s="1"/>
  <c r="D15" i="4"/>
  <c r="D18" i="4" s="1"/>
  <c r="D42" i="4" s="1"/>
  <c r="K683" i="246"/>
  <c r="D11" i="175"/>
  <c r="D46" i="175" s="1"/>
  <c r="L18" i="212" s="1"/>
  <c r="O18" i="190"/>
  <c r="F45" i="184"/>
  <c r="K187" i="246" s="1"/>
  <c r="V21" i="49"/>
  <c r="F44" i="184"/>
  <c r="Q125" i="246" s="1"/>
  <c r="X47" i="30"/>
  <c r="N15" i="289"/>
  <c r="F47" i="291"/>
  <c r="N15" i="290"/>
  <c r="N15" i="288"/>
  <c r="D46" i="173"/>
  <c r="L18" i="344" s="1"/>
  <c r="F40" i="185"/>
  <c r="N12" i="284" s="1"/>
  <c r="M33" i="292"/>
  <c r="S33" i="292" s="1"/>
  <c r="T33" i="292" s="1"/>
  <c r="V15" i="100"/>
  <c r="V13" i="100"/>
  <c r="V18" i="100"/>
  <c r="V16" i="100"/>
  <c r="V11" i="100"/>
  <c r="V12" i="100"/>
  <c r="V17" i="100"/>
  <c r="V14" i="100"/>
  <c r="J35" i="100"/>
  <c r="J37" i="100" s="1"/>
  <c r="D44" i="173"/>
  <c r="L16" i="216" s="1"/>
  <c r="W32" i="216" s="1"/>
  <c r="G39" i="95"/>
  <c r="R36" i="246" s="1"/>
  <c r="G18" i="186"/>
  <c r="H18" i="186" s="1"/>
  <c r="L780" i="246"/>
  <c r="M780" i="246" s="1"/>
  <c r="G41" i="95"/>
  <c r="L222" i="246" s="1"/>
  <c r="G37" i="95"/>
  <c r="R222" i="246" s="1"/>
  <c r="G40" i="95"/>
  <c r="L98" i="246" s="1"/>
  <c r="G38" i="95"/>
  <c r="L36" i="246" s="1"/>
  <c r="G42" i="95"/>
  <c r="L284" i="246" s="1"/>
  <c r="F46" i="184"/>
  <c r="L16" i="6"/>
  <c r="W32" i="6" s="1"/>
  <c r="L16" i="7"/>
  <c r="W32" i="7" s="1"/>
  <c r="P14" i="326"/>
  <c r="P14" i="330"/>
  <c r="P12" i="330"/>
  <c r="P12" i="58"/>
  <c r="P12" i="174"/>
  <c r="P14" i="18"/>
  <c r="P12" i="326"/>
  <c r="P12" i="291"/>
  <c r="M124" i="209"/>
  <c r="P12" i="250"/>
  <c r="P14" i="250"/>
  <c r="P14" i="174"/>
  <c r="P14" i="248"/>
  <c r="P14" i="58"/>
  <c r="P14" i="327"/>
  <c r="M304" i="209"/>
  <c r="P12" i="248"/>
  <c r="P12" i="44"/>
  <c r="P12" i="247"/>
  <c r="M20" i="248"/>
  <c r="I364" i="209"/>
  <c r="I424" i="209"/>
  <c r="M20" i="330"/>
  <c r="M20" i="174"/>
  <c r="P13" i="248"/>
  <c r="P13" i="330"/>
  <c r="P13" i="250"/>
  <c r="P13" i="326"/>
  <c r="P13" i="308"/>
  <c r="P13" i="44"/>
  <c r="M244" i="209"/>
  <c r="P13" i="58"/>
  <c r="P604" i="209"/>
  <c r="AA24" i="292"/>
  <c r="J484" i="209"/>
  <c r="J41" i="292"/>
  <c r="H24" i="229"/>
  <c r="M364" i="209" s="1"/>
  <c r="O544" i="209"/>
  <c r="M624" i="246"/>
  <c r="O18" i="284"/>
  <c r="P13" i="231"/>
  <c r="O18" i="192"/>
  <c r="E39" i="225"/>
  <c r="M11" i="345" s="1"/>
  <c r="E40" i="225"/>
  <c r="J110" i="209" s="1"/>
  <c r="G44" i="171"/>
  <c r="O16" i="103" s="1"/>
  <c r="M16" i="345"/>
  <c r="O26" i="172"/>
  <c r="G43" i="172" s="1"/>
  <c r="O15" i="170" s="1"/>
  <c r="M18" i="345"/>
  <c r="E39" i="212"/>
  <c r="P30" i="209" s="1"/>
  <c r="P13" i="172"/>
  <c r="P13" i="229"/>
  <c r="L16" i="190"/>
  <c r="W32" i="190" s="1"/>
  <c r="R777" i="209"/>
  <c r="O74" i="294"/>
  <c r="N74" i="294"/>
  <c r="P74" i="294"/>
  <c r="L644" i="246"/>
  <c r="M16" i="356"/>
  <c r="P13" i="84"/>
  <c r="L16" i="156"/>
  <c r="W32" i="156" s="1"/>
  <c r="O26" i="309"/>
  <c r="G43" i="309" s="1"/>
  <c r="G43" i="308"/>
  <c r="G45" i="171"/>
  <c r="O17" i="185" s="1"/>
  <c r="M736" i="246"/>
  <c r="E38" i="212"/>
  <c r="J30" i="209" s="1"/>
  <c r="P13" i="171"/>
  <c r="L16" i="192"/>
  <c r="W32" i="192" s="1"/>
  <c r="Q750" i="209"/>
  <c r="F43" i="212"/>
  <c r="F47" i="212" s="1"/>
  <c r="Q150" i="209" s="1"/>
  <c r="I74" i="294"/>
  <c r="K74" i="294"/>
  <c r="J74" i="294"/>
  <c r="D37" i="361"/>
  <c r="D38" i="361"/>
  <c r="D40" i="361"/>
  <c r="D39" i="361"/>
  <c r="D41" i="361"/>
  <c r="D42" i="361"/>
  <c r="G14" i="175"/>
  <c r="E40" i="212"/>
  <c r="J90" i="209" s="1"/>
  <c r="P13" i="361"/>
  <c r="L17" i="284"/>
  <c r="W33" i="284" s="1"/>
  <c r="S540" i="209"/>
  <c r="S20" i="292"/>
  <c r="T20" i="292" s="1"/>
  <c r="V20" i="292"/>
  <c r="M26" i="309"/>
  <c r="E43" i="309" s="1"/>
  <c r="E43" i="308"/>
  <c r="R644" i="246"/>
  <c r="L706" i="246"/>
  <c r="M706" i="246" s="1"/>
  <c r="J750" i="209"/>
  <c r="P13" i="309"/>
  <c r="O20" i="84"/>
  <c r="S773" i="209"/>
  <c r="E18" i="228"/>
  <c r="E37" i="228" s="1"/>
  <c r="P13" i="175"/>
  <c r="O20" i="229"/>
  <c r="O20" i="231"/>
  <c r="O20" i="361"/>
  <c r="O20" i="174"/>
  <c r="O20" i="18"/>
  <c r="G44" i="173"/>
  <c r="H46" i="229"/>
  <c r="P18" i="308" s="1"/>
  <c r="O20" i="228"/>
  <c r="O20" i="58"/>
  <c r="H31" i="229"/>
  <c r="H45" i="229" s="1"/>
  <c r="P17" i="250" s="1"/>
  <c r="N26" i="84"/>
  <c r="F43" i="84" s="1"/>
  <c r="F47" i="84" s="1"/>
  <c r="Q186" i="246" s="1"/>
  <c r="O20" i="44"/>
  <c r="O20" i="250"/>
  <c r="P10" i="7"/>
  <c r="P10" i="4"/>
  <c r="V402" i="209"/>
  <c r="C462" i="209"/>
  <c r="O20" i="248"/>
  <c r="O20" i="330"/>
  <c r="P10" i="15"/>
  <c r="S734" i="209"/>
  <c r="M19" i="209"/>
  <c r="P10" i="14"/>
  <c r="P10" i="16"/>
  <c r="P10" i="6"/>
  <c r="N19" i="313"/>
  <c r="O20" i="328"/>
  <c r="P10" i="9"/>
  <c r="O20" i="326"/>
  <c r="P10" i="11"/>
  <c r="O20" i="291"/>
  <c r="P10" i="125"/>
  <c r="P10" i="13"/>
  <c r="M20" i="327"/>
  <c r="M20" i="247"/>
  <c r="M20" i="250"/>
  <c r="S664" i="209"/>
  <c r="H38" i="327"/>
  <c r="M32" i="209" s="1"/>
  <c r="M332" i="209"/>
  <c r="H47" i="330"/>
  <c r="H43" i="330"/>
  <c r="P13" i="18"/>
  <c r="P13" i="247"/>
  <c r="P13" i="291"/>
  <c r="P13" i="328"/>
  <c r="M20" i="326"/>
  <c r="M20" i="18"/>
  <c r="M20" i="328"/>
  <c r="M20" i="291"/>
  <c r="P13" i="327"/>
  <c r="P13" i="174"/>
  <c r="M20" i="44"/>
  <c r="M20" i="58"/>
  <c r="G43" i="18"/>
  <c r="O20" i="309"/>
  <c r="O20" i="175"/>
  <c r="O20" i="171"/>
  <c r="O20" i="172"/>
  <c r="K39" i="292"/>
  <c r="P19" i="84"/>
  <c r="P19" i="361"/>
  <c r="L20" i="309"/>
  <c r="S190" i="246"/>
  <c r="H43" i="174"/>
  <c r="P15" i="171" s="1"/>
  <c r="P19" i="175"/>
  <c r="P19" i="184"/>
  <c r="P19" i="309"/>
  <c r="P19" i="231"/>
  <c r="L20" i="231"/>
  <c r="N18" i="95"/>
  <c r="L20" i="84"/>
  <c r="L20" i="172"/>
  <c r="N17" i="279"/>
  <c r="K162" i="246"/>
  <c r="M15" i="191"/>
  <c r="E47" i="186"/>
  <c r="M15" i="95"/>
  <c r="L18" i="156"/>
  <c r="F42" i="185"/>
  <c r="N14" i="190" s="1"/>
  <c r="K759" i="246"/>
  <c r="I139" i="246"/>
  <c r="F18" i="171"/>
  <c r="K768" i="246" s="1"/>
  <c r="F38" i="185"/>
  <c r="N10" i="284" s="1"/>
  <c r="F37" i="185"/>
  <c r="N9" i="156" s="1"/>
  <c r="L18" i="192"/>
  <c r="L17" i="192"/>
  <c r="W33" i="192" s="1"/>
  <c r="O16" i="192"/>
  <c r="O30" i="292"/>
  <c r="U30" i="292" s="1"/>
  <c r="F41" i="185"/>
  <c r="N13" i="190" s="1"/>
  <c r="L139" i="246"/>
  <c r="L18" i="190"/>
  <c r="L17" i="156"/>
  <c r="W33" i="156" s="1"/>
  <c r="F39" i="185"/>
  <c r="N11" i="192" s="1"/>
  <c r="S180" i="246"/>
  <c r="L20" i="175"/>
  <c r="L20" i="184"/>
  <c r="L20" i="361"/>
  <c r="L20" i="171"/>
  <c r="S562" i="246"/>
  <c r="P26" i="104"/>
  <c r="N20" i="229"/>
  <c r="N20" i="172"/>
  <c r="P19" i="186"/>
  <c r="O16" i="356"/>
  <c r="M710" i="209"/>
  <c r="G46" i="173"/>
  <c r="G11" i="175"/>
  <c r="G44" i="175" s="1"/>
  <c r="O16" i="212" s="1"/>
  <c r="L26" i="173"/>
  <c r="O117" i="209"/>
  <c r="L16" i="347"/>
  <c r="W32" i="347" s="1"/>
  <c r="L16" i="220"/>
  <c r="W32" i="220" s="1"/>
  <c r="L16" i="221"/>
  <c r="W32" i="221" s="1"/>
  <c r="O18" i="213"/>
  <c r="O18" i="105"/>
  <c r="O18" i="214"/>
  <c r="G41" i="361"/>
  <c r="G42" i="361"/>
  <c r="H18" i="361"/>
  <c r="G38" i="361"/>
  <c r="G39" i="361"/>
  <c r="G40" i="361"/>
  <c r="G37" i="361"/>
  <c r="N16" i="324"/>
  <c r="N16" i="325"/>
  <c r="Q84" i="209"/>
  <c r="N16" i="213"/>
  <c r="N16" i="105"/>
  <c r="N16" i="214"/>
  <c r="L18" i="289"/>
  <c r="L18" i="288"/>
  <c r="L18" i="290"/>
  <c r="P15" i="11"/>
  <c r="P15" i="4"/>
  <c r="P15" i="15"/>
  <c r="P15" i="10"/>
  <c r="P15" i="14"/>
  <c r="P15" i="13"/>
  <c r="P15" i="6"/>
  <c r="P15" i="125"/>
  <c r="P15" i="9"/>
  <c r="P15" i="16"/>
  <c r="P15" i="7"/>
  <c r="G46" i="170"/>
  <c r="O18" i="188" s="1"/>
  <c r="O16" i="190"/>
  <c r="Q777" i="209"/>
  <c r="F43" i="248"/>
  <c r="N15" i="364" s="1"/>
  <c r="G39" i="248"/>
  <c r="O11" i="364" s="1"/>
  <c r="G42" i="248"/>
  <c r="O14" i="364" s="1"/>
  <c r="L777" i="209"/>
  <c r="G41" i="248"/>
  <c r="O13" i="364" s="1"/>
  <c r="G37" i="248"/>
  <c r="O9" i="364" s="1"/>
  <c r="G40" i="248"/>
  <c r="O12" i="364" s="1"/>
  <c r="G38" i="248"/>
  <c r="O10" i="364" s="1"/>
  <c r="S758" i="209"/>
  <c r="J162" i="246"/>
  <c r="M17" i="279"/>
  <c r="M17" i="95"/>
  <c r="M17" i="191"/>
  <c r="M16" i="105"/>
  <c r="M16" i="213"/>
  <c r="M16" i="214"/>
  <c r="P84" i="209"/>
  <c r="S12" i="292"/>
  <c r="T12" i="292" s="1"/>
  <c r="V12" i="292"/>
  <c r="M18" i="296"/>
  <c r="M18" i="333"/>
  <c r="M18" i="360"/>
  <c r="M18" i="295"/>
  <c r="K144" i="209"/>
  <c r="N17" i="214"/>
  <c r="N17" i="213"/>
  <c r="N17" i="105"/>
  <c r="O16" i="213"/>
  <c r="O16" i="214"/>
  <c r="O16" i="105"/>
  <c r="R84" i="209"/>
  <c r="L15" i="279"/>
  <c r="W31" i="279" s="1"/>
  <c r="L15" i="191"/>
  <c r="W31" i="191" s="1"/>
  <c r="D47" i="186"/>
  <c r="L15" i="95"/>
  <c r="W31" i="95" s="1"/>
  <c r="V16" i="292"/>
  <c r="S16" i="292"/>
  <c r="T16" i="292" s="1"/>
  <c r="K744" i="209"/>
  <c r="F38" i="247"/>
  <c r="F40" i="247"/>
  <c r="F39" i="247"/>
  <c r="F42" i="247"/>
  <c r="F37" i="247"/>
  <c r="F41" i="247"/>
  <c r="O15" i="292"/>
  <c r="O17" i="16"/>
  <c r="L139" i="209"/>
  <c r="O17" i="6"/>
  <c r="O17" i="7"/>
  <c r="O17" i="15"/>
  <c r="O17" i="13"/>
  <c r="O17" i="10"/>
  <c r="O17" i="9"/>
  <c r="O17" i="125"/>
  <c r="O17" i="14"/>
  <c r="O17" i="11"/>
  <c r="O17" i="4"/>
  <c r="P19" i="4"/>
  <c r="P19" i="10"/>
  <c r="P19" i="7"/>
  <c r="P19" i="13"/>
  <c r="P19" i="6"/>
  <c r="P19" i="9"/>
  <c r="S139" i="209"/>
  <c r="P19" i="11"/>
  <c r="P19" i="14"/>
  <c r="P19" i="16"/>
  <c r="P19" i="125"/>
  <c r="P19" i="15"/>
  <c r="D39" i="248"/>
  <c r="L11" i="364" s="1"/>
  <c r="W27" i="364" s="1"/>
  <c r="D38" i="248"/>
  <c r="L10" i="364" s="1"/>
  <c r="W26" i="364" s="1"/>
  <c r="D41" i="248"/>
  <c r="L13" i="364" s="1"/>
  <c r="W29" i="364" s="1"/>
  <c r="I777" i="209"/>
  <c r="D42" i="248"/>
  <c r="L14" i="364" s="1"/>
  <c r="W30" i="364" s="1"/>
  <c r="D40" i="248"/>
  <c r="L12" i="364" s="1"/>
  <c r="W28" i="364" s="1"/>
  <c r="D37" i="248"/>
  <c r="L9" i="364" s="1"/>
  <c r="W25" i="364" s="1"/>
  <c r="H18" i="248"/>
  <c r="F38" i="326"/>
  <c r="F41" i="326"/>
  <c r="O12" i="292"/>
  <c r="F39" i="326"/>
  <c r="F42" i="326"/>
  <c r="F37" i="326"/>
  <c r="F40" i="326"/>
  <c r="E42" i="248"/>
  <c r="M14" i="364" s="1"/>
  <c r="J777" i="209"/>
  <c r="E38" i="248"/>
  <c r="M10" i="364" s="1"/>
  <c r="E41" i="248"/>
  <c r="M13" i="364" s="1"/>
  <c r="E39" i="248"/>
  <c r="M11" i="364" s="1"/>
  <c r="E37" i="248"/>
  <c r="M9" i="364" s="1"/>
  <c r="E40" i="248"/>
  <c r="M12" i="364" s="1"/>
  <c r="G45" i="170"/>
  <c r="O17" i="141" s="1"/>
  <c r="R77" i="246"/>
  <c r="J744" i="209"/>
  <c r="E41" i="247"/>
  <c r="E40" i="247"/>
  <c r="E38" i="247"/>
  <c r="E39" i="247"/>
  <c r="E37" i="247"/>
  <c r="E42" i="247"/>
  <c r="N15" i="325"/>
  <c r="N15" i="324"/>
  <c r="F47" i="326"/>
  <c r="N17" i="325"/>
  <c r="N17" i="324"/>
  <c r="M16" i="296"/>
  <c r="W32" i="296" s="1"/>
  <c r="M16" i="333"/>
  <c r="W30" i="333" s="1"/>
  <c r="M16" i="295"/>
  <c r="W32" i="295" s="1"/>
  <c r="M16" i="360"/>
  <c r="N18" i="221"/>
  <c r="N18" i="347"/>
  <c r="N18" i="220"/>
  <c r="O16" i="290"/>
  <c r="O16" i="289"/>
  <c r="O16" i="288"/>
  <c r="O173" i="209"/>
  <c r="P744" i="209"/>
  <c r="E43" i="247"/>
  <c r="G44" i="328"/>
  <c r="G46" i="328"/>
  <c r="G45" i="328"/>
  <c r="D40" i="186"/>
  <c r="D37" i="186"/>
  <c r="D39" i="186"/>
  <c r="D42" i="186"/>
  <c r="I782" i="246"/>
  <c r="D41" i="186"/>
  <c r="D38" i="186"/>
  <c r="I75" i="294"/>
  <c r="L18" i="95"/>
  <c r="L18" i="191"/>
  <c r="L18" i="279"/>
  <c r="E42" i="186"/>
  <c r="J782" i="246"/>
  <c r="E37" i="186"/>
  <c r="E40" i="186"/>
  <c r="E39" i="186"/>
  <c r="E38" i="186"/>
  <c r="E41" i="186"/>
  <c r="S769" i="209"/>
  <c r="M18" i="191"/>
  <c r="M18" i="95"/>
  <c r="M18" i="279"/>
  <c r="O777" i="209"/>
  <c r="D43" i="248"/>
  <c r="L15" i="364" s="1"/>
  <c r="W31" i="364" s="1"/>
  <c r="G44" i="170"/>
  <c r="O16" i="219" s="1"/>
  <c r="G37" i="291"/>
  <c r="G38" i="291"/>
  <c r="G42" i="291"/>
  <c r="G41" i="291"/>
  <c r="G39" i="291"/>
  <c r="G40" i="291"/>
  <c r="J661" i="209"/>
  <c r="E44" i="250"/>
  <c r="P121" i="209" s="1"/>
  <c r="E45" i="250"/>
  <c r="J181" i="209" s="1"/>
  <c r="J721" i="209"/>
  <c r="P661" i="209"/>
  <c r="E46" i="250"/>
  <c r="N18" i="324"/>
  <c r="N18" i="325"/>
  <c r="P750" i="209"/>
  <c r="E43" i="212"/>
  <c r="E47" i="212" s="1"/>
  <c r="P150" i="209" s="1"/>
  <c r="M17" i="360"/>
  <c r="M17" i="333"/>
  <c r="W31" i="333" s="1"/>
  <c r="M17" i="296"/>
  <c r="W33" i="296" s="1"/>
  <c r="M17" i="295"/>
  <c r="W33" i="295" s="1"/>
  <c r="N18" i="213"/>
  <c r="N18" i="105"/>
  <c r="N18" i="214"/>
  <c r="E41" i="361"/>
  <c r="E38" i="361"/>
  <c r="E40" i="361"/>
  <c r="E42" i="361"/>
  <c r="E37" i="361"/>
  <c r="E39" i="361"/>
  <c r="N16" i="220"/>
  <c r="N16" i="221"/>
  <c r="N16" i="347"/>
  <c r="Q117" i="209"/>
  <c r="O17" i="288"/>
  <c r="O17" i="290"/>
  <c r="O17" i="289"/>
  <c r="O18" i="7"/>
  <c r="O18" i="125"/>
  <c r="O18" i="13"/>
  <c r="O18" i="15"/>
  <c r="O18" i="11"/>
  <c r="O18" i="16"/>
  <c r="O18" i="6"/>
  <c r="O18" i="9"/>
  <c r="O18" i="10"/>
  <c r="O18" i="4"/>
  <c r="O18" i="14"/>
  <c r="M16" i="347"/>
  <c r="P117" i="209"/>
  <c r="M16" i="220"/>
  <c r="M16" i="221"/>
  <c r="O16" i="292"/>
  <c r="F41" i="248"/>
  <c r="N13" i="364" s="1"/>
  <c r="F38" i="248"/>
  <c r="N10" i="364" s="1"/>
  <c r="F37" i="248"/>
  <c r="N9" i="364" s="1"/>
  <c r="K777" i="209"/>
  <c r="F42" i="248"/>
  <c r="N14" i="364" s="1"/>
  <c r="F40" i="248"/>
  <c r="N12" i="364" s="1"/>
  <c r="F39" i="248"/>
  <c r="N11" i="364" s="1"/>
  <c r="L17" i="191"/>
  <c r="W33" i="191" s="1"/>
  <c r="L17" i="95"/>
  <c r="W33" i="95" s="1"/>
  <c r="L17" i="279"/>
  <c r="W33" i="279" s="1"/>
  <c r="I162" i="246"/>
  <c r="M562" i="246"/>
  <c r="L18" i="221"/>
  <c r="L18" i="347"/>
  <c r="L18" i="220"/>
  <c r="M17" i="213"/>
  <c r="M17" i="214"/>
  <c r="J144" i="209"/>
  <c r="M17" i="105"/>
  <c r="F43" i="247"/>
  <c r="Q744" i="209"/>
  <c r="K177" i="209"/>
  <c r="N17" i="347"/>
  <c r="N17" i="221"/>
  <c r="N17" i="220"/>
  <c r="O18" i="290"/>
  <c r="O18" i="289"/>
  <c r="O18" i="288"/>
  <c r="M756" i="209"/>
  <c r="L16" i="95"/>
  <c r="W32" i="95" s="1"/>
  <c r="L16" i="279"/>
  <c r="W32" i="279" s="1"/>
  <c r="L16" i="191"/>
  <c r="W32" i="191" s="1"/>
  <c r="O100" i="246"/>
  <c r="O16" i="14"/>
  <c r="O16" i="6"/>
  <c r="O16" i="9"/>
  <c r="O16" i="4"/>
  <c r="O16" i="16"/>
  <c r="R79" i="209"/>
  <c r="O16" i="11"/>
  <c r="O16" i="7"/>
  <c r="O16" i="13"/>
  <c r="O16" i="10"/>
  <c r="O16" i="125"/>
  <c r="O16" i="15"/>
  <c r="M741" i="209"/>
  <c r="L17" i="289"/>
  <c r="W33" i="289" s="1"/>
  <c r="L17" i="288"/>
  <c r="W33" i="288" s="1"/>
  <c r="L17" i="290"/>
  <c r="W33" i="290" s="1"/>
  <c r="M18" i="220"/>
  <c r="M18" i="347"/>
  <c r="M18" i="221"/>
  <c r="K133" i="246"/>
  <c r="P26" i="248"/>
  <c r="L17" i="220"/>
  <c r="W33" i="220" s="1"/>
  <c r="L17" i="221"/>
  <c r="W33" i="221" s="1"/>
  <c r="I177" i="209"/>
  <c r="L17" i="347"/>
  <c r="W33" i="347" s="1"/>
  <c r="E43" i="248"/>
  <c r="M15" i="364" s="1"/>
  <c r="P777" i="209"/>
  <c r="M18" i="105"/>
  <c r="M18" i="213"/>
  <c r="M18" i="214"/>
  <c r="V15" i="292"/>
  <c r="S15" i="292"/>
  <c r="T15" i="292" s="1"/>
  <c r="M15" i="295"/>
  <c r="E47" i="361"/>
  <c r="M15" i="333"/>
  <c r="W29" i="333" s="1"/>
  <c r="M15" i="296"/>
  <c r="M15" i="360"/>
  <c r="D37" i="291"/>
  <c r="D41" i="291"/>
  <c r="D40" i="291"/>
  <c r="D39" i="291"/>
  <c r="D38" i="291"/>
  <c r="H18" i="291"/>
  <c r="D42" i="291"/>
  <c r="S756" i="209"/>
  <c r="O16" i="284"/>
  <c r="O15" i="289"/>
  <c r="O15" i="290"/>
  <c r="O15" i="288"/>
  <c r="G47" i="291"/>
  <c r="M16" i="279"/>
  <c r="M16" i="191"/>
  <c r="M16" i="95"/>
  <c r="P100" i="246"/>
  <c r="P26" i="291"/>
  <c r="D43" i="291"/>
  <c r="I759" i="246"/>
  <c r="D39" i="185"/>
  <c r="D40" i="185"/>
  <c r="D41" i="185"/>
  <c r="D42" i="185"/>
  <c r="D38" i="185"/>
  <c r="D37" i="185"/>
  <c r="L144" i="209"/>
  <c r="O17" i="105"/>
  <c r="O17" i="214"/>
  <c r="O17" i="213"/>
  <c r="L16" i="289"/>
  <c r="W32" i="289" s="1"/>
  <c r="L16" i="290"/>
  <c r="W32" i="290" s="1"/>
  <c r="L16" i="288"/>
  <c r="W32" i="288" s="1"/>
  <c r="S730" i="209"/>
  <c r="S732" i="209"/>
  <c r="M17" i="220"/>
  <c r="J177" i="209"/>
  <c r="M17" i="221"/>
  <c r="M17" i="347"/>
  <c r="D43" i="309"/>
  <c r="V20" i="49"/>
  <c r="V13" i="49"/>
  <c r="F18" i="125"/>
  <c r="G15" i="125"/>
  <c r="G18" i="125" s="1"/>
  <c r="M14" i="290"/>
  <c r="M14" i="288"/>
  <c r="M14" i="289"/>
  <c r="V11" i="124"/>
  <c r="J28" i="124"/>
  <c r="J30" i="124" s="1"/>
  <c r="V12" i="124"/>
  <c r="V16" i="124"/>
  <c r="V18" i="49"/>
  <c r="L774" i="246"/>
  <c r="M774" i="246" s="1"/>
  <c r="G42" i="118"/>
  <c r="L278" i="246" s="1"/>
  <c r="G38" i="118"/>
  <c r="L30" i="246" s="1"/>
  <c r="G37" i="118"/>
  <c r="R216" i="246" s="1"/>
  <c r="G41" i="118"/>
  <c r="L216" i="246" s="1"/>
  <c r="H18" i="118"/>
  <c r="G40" i="118"/>
  <c r="L92" i="246" s="1"/>
  <c r="G39" i="118"/>
  <c r="R30" i="246" s="1"/>
  <c r="D40" i="154"/>
  <c r="I98" i="209" s="1"/>
  <c r="D42" i="154"/>
  <c r="I278" i="209" s="1"/>
  <c r="D41" i="154"/>
  <c r="I218" i="209" s="1"/>
  <c r="D38" i="154"/>
  <c r="I38" i="209" s="1"/>
  <c r="D39" i="154"/>
  <c r="O38" i="209" s="1"/>
  <c r="D37" i="154"/>
  <c r="O218" i="209" s="1"/>
  <c r="I758" i="209"/>
  <c r="V16" i="49"/>
  <c r="V15" i="49"/>
  <c r="N20" i="84"/>
  <c r="N9" i="290"/>
  <c r="N9" i="288"/>
  <c r="N9" i="289"/>
  <c r="V12" i="49"/>
  <c r="N20" i="231"/>
  <c r="N20" i="171"/>
  <c r="O15" i="347"/>
  <c r="G47" i="248"/>
  <c r="O19" i="364" s="1"/>
  <c r="O15" i="221"/>
  <c r="O15" i="220"/>
  <c r="J36" i="49"/>
  <c r="J39" i="49" s="1"/>
  <c r="X11" i="49" s="1"/>
  <c r="V14" i="49"/>
  <c r="N20" i="184"/>
  <c r="N20" i="361"/>
  <c r="X11" i="340"/>
  <c r="J37" i="340"/>
  <c r="X12" i="340"/>
  <c r="M15" i="241"/>
  <c r="M19" i="241"/>
  <c r="E15" i="123"/>
  <c r="E15" i="44" s="1"/>
  <c r="D18" i="123"/>
  <c r="D18" i="44" s="1"/>
  <c r="V19" i="49"/>
  <c r="S776" i="209"/>
  <c r="F15" i="154"/>
  <c r="E18" i="154"/>
  <c r="L15" i="307"/>
  <c r="W31" i="307" s="1"/>
  <c r="D47" i="308"/>
  <c r="E39" i="125"/>
  <c r="P13" i="209" s="1"/>
  <c r="J733" i="209"/>
  <c r="E38" i="125"/>
  <c r="J13" i="209" s="1"/>
  <c r="E42" i="125"/>
  <c r="J253" i="209" s="1"/>
  <c r="E41" i="125"/>
  <c r="J193" i="209" s="1"/>
  <c r="E40" i="125"/>
  <c r="J73" i="209" s="1"/>
  <c r="E37" i="125"/>
  <c r="P193" i="209" s="1"/>
  <c r="K684" i="246"/>
  <c r="P19" i="170"/>
  <c r="P19" i="226"/>
  <c r="P19" i="225"/>
  <c r="M17" i="356"/>
  <c r="M17" i="345"/>
  <c r="L19" i="324"/>
  <c r="W32" i="324" s="1"/>
  <c r="L19" i="325"/>
  <c r="W32" i="325" s="1"/>
  <c r="M13" i="324"/>
  <c r="M13" i="325"/>
  <c r="O9" i="324"/>
  <c r="O9" i="325"/>
  <c r="L10" i="324"/>
  <c r="W26" i="324" s="1"/>
  <c r="L10" i="325"/>
  <c r="W26" i="325" s="1"/>
  <c r="M757" i="209"/>
  <c r="M26" i="330"/>
  <c r="E43" i="330" s="1"/>
  <c r="E47" i="330" s="1"/>
  <c r="L15" i="295"/>
  <c r="L15" i="333"/>
  <c r="L15" i="360"/>
  <c r="W31" i="360" s="1"/>
  <c r="L15" i="296"/>
  <c r="D47" i="361"/>
  <c r="P18" i="361"/>
  <c r="F47" i="308"/>
  <c r="N15" i="307"/>
  <c r="F47" i="309"/>
  <c r="N19" i="308" s="1"/>
  <c r="N15" i="308"/>
  <c r="P17" i="84"/>
  <c r="P17" i="231"/>
  <c r="P17" i="172"/>
  <c r="M190" i="246"/>
  <c r="P18" i="84"/>
  <c r="P18" i="184"/>
  <c r="P18" i="231"/>
  <c r="S686" i="246"/>
  <c r="P18" i="229"/>
  <c r="P17" i="184"/>
  <c r="P17" i="175"/>
  <c r="D11" i="174"/>
  <c r="D46" i="174" s="1"/>
  <c r="M438" i="246"/>
  <c r="M742" i="246"/>
  <c r="S10" i="292"/>
  <c r="T10" i="292" s="1"/>
  <c r="V10" i="292"/>
  <c r="O18" i="72"/>
  <c r="O18" i="338"/>
  <c r="O18" i="154"/>
  <c r="O18" i="79"/>
  <c r="O18" i="196"/>
  <c r="O18" i="123"/>
  <c r="O18" i="39"/>
  <c r="O18" i="337"/>
  <c r="E44" i="309"/>
  <c r="M16" i="308" s="1"/>
  <c r="W31" i="308" s="1"/>
  <c r="E46" i="309"/>
  <c r="M18" i="308" s="1"/>
  <c r="E45" i="309"/>
  <c r="M17" i="308" s="1"/>
  <c r="W32" i="308" s="1"/>
  <c r="F18" i="228"/>
  <c r="K770" i="209"/>
  <c r="F40" i="225"/>
  <c r="F38" i="225"/>
  <c r="F37" i="225"/>
  <c r="O21" i="292"/>
  <c r="F39" i="225"/>
  <c r="F42" i="225"/>
  <c r="F41" i="225"/>
  <c r="K722" i="209"/>
  <c r="F45" i="228"/>
  <c r="F44" i="228"/>
  <c r="M22" i="292"/>
  <c r="F46" i="228"/>
  <c r="N18" i="225" s="1"/>
  <c r="K662" i="209"/>
  <c r="Q662" i="209"/>
  <c r="F11" i="229"/>
  <c r="O12" i="241"/>
  <c r="O11" i="241"/>
  <c r="O9" i="241"/>
  <c r="O10" i="241"/>
  <c r="O13" i="241"/>
  <c r="O14" i="241"/>
  <c r="E43" i="103"/>
  <c r="M26" i="84"/>
  <c r="E43" i="84" s="1"/>
  <c r="E47" i="84" s="1"/>
  <c r="P186" i="246" s="1"/>
  <c r="G44" i="309"/>
  <c r="O16" i="308" s="1"/>
  <c r="G46" i="309"/>
  <c r="O18" i="308" s="1"/>
  <c r="G45" i="309"/>
  <c r="O17" i="308" s="1"/>
  <c r="P77" i="246"/>
  <c r="M16" i="284"/>
  <c r="M16" i="190"/>
  <c r="M16" i="192"/>
  <c r="M16" i="156"/>
  <c r="I236" i="209"/>
  <c r="L18" i="356"/>
  <c r="L18" i="345"/>
  <c r="S747" i="209"/>
  <c r="M16" i="359"/>
  <c r="M16" i="99"/>
  <c r="M16" i="354"/>
  <c r="M16" i="101"/>
  <c r="M16" i="118"/>
  <c r="M16" i="176"/>
  <c r="M16" i="271"/>
  <c r="M16" i="97"/>
  <c r="P95" i="246"/>
  <c r="S27" i="292"/>
  <c r="T27" i="292" s="1"/>
  <c r="V27" i="292"/>
  <c r="L661" i="209"/>
  <c r="G46" i="250"/>
  <c r="L721" i="209"/>
  <c r="G45" i="250"/>
  <c r="L181" i="209" s="1"/>
  <c r="G44" i="250"/>
  <c r="R121" i="209" s="1"/>
  <c r="O18" i="91"/>
  <c r="O19" i="313"/>
  <c r="M26" i="58"/>
  <c r="P780" i="209" s="1"/>
  <c r="I804" i="246"/>
  <c r="D39" i="308"/>
  <c r="D37" i="308"/>
  <c r="D42" i="308"/>
  <c r="D40" i="308"/>
  <c r="D41" i="308"/>
  <c r="D38" i="308"/>
  <c r="D18" i="309"/>
  <c r="D18" i="184"/>
  <c r="E43" i="185"/>
  <c r="M26" i="171"/>
  <c r="E43" i="171" s="1"/>
  <c r="M15" i="223" s="1"/>
  <c r="M26" i="184"/>
  <c r="E43" i="184" s="1"/>
  <c r="E47" i="184" s="1"/>
  <c r="P187" i="246" s="1"/>
  <c r="K139" i="209"/>
  <c r="N17" i="10"/>
  <c r="N17" i="11"/>
  <c r="N17" i="16"/>
  <c r="N17" i="15"/>
  <c r="N17" i="6"/>
  <c r="N17" i="9"/>
  <c r="N17" i="14"/>
  <c r="N17" i="125"/>
  <c r="N17" i="7"/>
  <c r="N17" i="13"/>
  <c r="N17" i="4"/>
  <c r="G45" i="58"/>
  <c r="L180" i="209" s="1"/>
  <c r="L720" i="209"/>
  <c r="L660" i="209"/>
  <c r="R660" i="209"/>
  <c r="G46" i="58"/>
  <c r="G44" i="58"/>
  <c r="R120" i="209" s="1"/>
  <c r="E40" i="185"/>
  <c r="J759" i="246"/>
  <c r="E42" i="185"/>
  <c r="E18" i="184"/>
  <c r="E18" i="171"/>
  <c r="E39" i="185"/>
  <c r="E37" i="185"/>
  <c r="E41" i="185"/>
  <c r="E38" i="185"/>
  <c r="L18" i="354"/>
  <c r="L18" i="118"/>
  <c r="L18" i="101"/>
  <c r="L18" i="271"/>
  <c r="L18" i="359"/>
  <c r="L18" i="99"/>
  <c r="L18" i="97"/>
  <c r="L18" i="176"/>
  <c r="M17" i="307"/>
  <c r="J184" i="246"/>
  <c r="I184" i="246"/>
  <c r="L17" i="307"/>
  <c r="W33" i="307" s="1"/>
  <c r="F43" i="185"/>
  <c r="N26" i="171"/>
  <c r="F43" i="171" s="1"/>
  <c r="N15" i="223" s="1"/>
  <c r="M15" i="271"/>
  <c r="E47" i="104"/>
  <c r="M15" i="176"/>
  <c r="M15" i="99"/>
  <c r="M15" i="354"/>
  <c r="M15" i="359"/>
  <c r="M15" i="97"/>
  <c r="M15" i="118"/>
  <c r="M15" i="101"/>
  <c r="E41" i="103"/>
  <c r="E38" i="103"/>
  <c r="E37" i="103"/>
  <c r="E40" i="103"/>
  <c r="E42" i="103"/>
  <c r="E39" i="103"/>
  <c r="L157" i="246"/>
  <c r="O17" i="97"/>
  <c r="O17" i="176"/>
  <c r="O17" i="101"/>
  <c r="O17" i="99"/>
  <c r="O17" i="354"/>
  <c r="O17" i="271"/>
  <c r="O17" i="359"/>
  <c r="O17" i="118"/>
  <c r="E45" i="171"/>
  <c r="J644" i="246"/>
  <c r="P644" i="246"/>
  <c r="E44" i="171"/>
  <c r="J706" i="246"/>
  <c r="E46" i="171"/>
  <c r="D18" i="173"/>
  <c r="D37" i="212"/>
  <c r="O210" i="209" s="1"/>
  <c r="D38" i="212"/>
  <c r="I30" i="209" s="1"/>
  <c r="I750" i="209"/>
  <c r="D41" i="212"/>
  <c r="I210" i="209" s="1"/>
  <c r="D39" i="212"/>
  <c r="O30" i="209" s="1"/>
  <c r="D40" i="212"/>
  <c r="I90" i="209" s="1"/>
  <c r="D42" i="212"/>
  <c r="I270" i="209" s="1"/>
  <c r="M18" i="15"/>
  <c r="M18" i="9"/>
  <c r="M18" i="14"/>
  <c r="M18" i="16"/>
  <c r="M18" i="7"/>
  <c r="M18" i="6"/>
  <c r="M18" i="11"/>
  <c r="M18" i="10"/>
  <c r="M18" i="4"/>
  <c r="M18" i="125"/>
  <c r="M18" i="13"/>
  <c r="S30" i="292"/>
  <c r="T30" i="292" s="1"/>
  <c r="V30" i="292"/>
  <c r="N18" i="354"/>
  <c r="N18" i="99"/>
  <c r="N18" i="359"/>
  <c r="N18" i="118"/>
  <c r="N18" i="176"/>
  <c r="N18" i="271"/>
  <c r="N18" i="97"/>
  <c r="N18" i="101"/>
  <c r="O16" i="91"/>
  <c r="O17" i="313"/>
  <c r="R71" i="246"/>
  <c r="N15" i="154"/>
  <c r="N15" i="337"/>
  <c r="N15" i="196"/>
  <c r="N15" i="79"/>
  <c r="N15" i="123"/>
  <c r="N15" i="72"/>
  <c r="N15" i="39"/>
  <c r="F47" i="44"/>
  <c r="N15" i="338"/>
  <c r="O16" i="337"/>
  <c r="O16" i="79"/>
  <c r="O16" i="338"/>
  <c r="O16" i="154"/>
  <c r="O16" i="39"/>
  <c r="R102" i="209"/>
  <c r="O16" i="196"/>
  <c r="O16" i="72"/>
  <c r="O16" i="123"/>
  <c r="O19" i="241"/>
  <c r="O15" i="241"/>
  <c r="V21" i="292"/>
  <c r="S21" i="292"/>
  <c r="T21" i="292" s="1"/>
  <c r="M803" i="246"/>
  <c r="M17" i="176"/>
  <c r="M17" i="99"/>
  <c r="M17" i="101"/>
  <c r="M17" i="359"/>
  <c r="J157" i="246"/>
  <c r="M17" i="97"/>
  <c r="M17" i="354"/>
  <c r="M17" i="271"/>
  <c r="M17" i="118"/>
  <c r="L133" i="246"/>
  <c r="O18" i="313"/>
  <c r="O17" i="91"/>
  <c r="F43" i="225"/>
  <c r="Q770" i="209"/>
  <c r="N26" i="228"/>
  <c r="F44" i="327"/>
  <c r="Q92" i="209" s="1"/>
  <c r="K632" i="209"/>
  <c r="K692" i="209"/>
  <c r="F45" i="327"/>
  <c r="K152" i="209" s="1"/>
  <c r="Q632" i="209"/>
  <c r="F46" i="327"/>
  <c r="E45" i="84"/>
  <c r="J186" i="246" s="1"/>
  <c r="J682" i="246"/>
  <c r="E44" i="84"/>
  <c r="P124" i="246" s="1"/>
  <c r="P682" i="246"/>
  <c r="E46" i="84"/>
  <c r="J744" i="246"/>
  <c r="H38" i="174"/>
  <c r="J39" i="292"/>
  <c r="M376" i="246"/>
  <c r="G47" i="104"/>
  <c r="O15" i="176"/>
  <c r="O15" i="271"/>
  <c r="O15" i="354"/>
  <c r="O15" i="359"/>
  <c r="O15" i="118"/>
  <c r="O15" i="101"/>
  <c r="O15" i="99"/>
  <c r="O15" i="97"/>
  <c r="G37" i="103"/>
  <c r="G42" i="103"/>
  <c r="G18" i="84"/>
  <c r="G39" i="103"/>
  <c r="G38" i="103"/>
  <c r="G40" i="103"/>
  <c r="G41" i="103"/>
  <c r="G43" i="185"/>
  <c r="O26" i="171"/>
  <c r="G43" i="171" s="1"/>
  <c r="G47" i="171" s="1"/>
  <c r="E38" i="308"/>
  <c r="E41" i="308"/>
  <c r="E40" i="308"/>
  <c r="E37" i="308"/>
  <c r="E39" i="308"/>
  <c r="E42" i="308"/>
  <c r="E18" i="309"/>
  <c r="J804" i="246"/>
  <c r="R122" i="246"/>
  <c r="O16" i="307"/>
  <c r="M17" i="156"/>
  <c r="M17" i="190"/>
  <c r="M17" i="284"/>
  <c r="J139" i="246"/>
  <c r="M17" i="192"/>
  <c r="M747" i="209"/>
  <c r="M18" i="359"/>
  <c r="M18" i="99"/>
  <c r="M18" i="354"/>
  <c r="M18" i="176"/>
  <c r="M18" i="101"/>
  <c r="M18" i="97"/>
  <c r="M18" i="271"/>
  <c r="M18" i="118"/>
  <c r="N16" i="101"/>
  <c r="Q95" i="246"/>
  <c r="N16" i="118"/>
  <c r="N16" i="359"/>
  <c r="N16" i="176"/>
  <c r="N16" i="97"/>
  <c r="N16" i="99"/>
  <c r="N16" i="354"/>
  <c r="N16" i="271"/>
  <c r="L26" i="58"/>
  <c r="D43" i="18"/>
  <c r="L26" i="327"/>
  <c r="P26" i="18"/>
  <c r="O739" i="209"/>
  <c r="S739" i="209" s="1"/>
  <c r="R770" i="209"/>
  <c r="G43" i="225"/>
  <c r="L9" i="241"/>
  <c r="W25" i="241" s="1"/>
  <c r="L13" i="241"/>
  <c r="W29" i="241" s="1"/>
  <c r="L14" i="241"/>
  <c r="W30" i="241" s="1"/>
  <c r="L11" i="241"/>
  <c r="W27" i="241" s="1"/>
  <c r="L12" i="241"/>
  <c r="W28" i="241" s="1"/>
  <c r="L10" i="241"/>
  <c r="W26" i="241" s="1"/>
  <c r="E44" i="170"/>
  <c r="M16" i="187" s="1"/>
  <c r="F44" i="250"/>
  <c r="Q121" i="209" s="1"/>
  <c r="K721" i="209"/>
  <c r="M18" i="292"/>
  <c r="F45" i="250"/>
  <c r="K181" i="209" s="1"/>
  <c r="F46" i="250"/>
  <c r="K661" i="209"/>
  <c r="R661" i="209"/>
  <c r="Q661" i="209"/>
  <c r="M16" i="91"/>
  <c r="M17" i="313"/>
  <c r="P71" i="246"/>
  <c r="L16" i="97"/>
  <c r="W32" i="97" s="1"/>
  <c r="L16" i="99"/>
  <c r="W32" i="99" s="1"/>
  <c r="L16" i="176"/>
  <c r="W32" i="176" s="1"/>
  <c r="O95" i="246"/>
  <c r="L16" i="354"/>
  <c r="W32" i="354" s="1"/>
  <c r="L16" i="271"/>
  <c r="W32" i="271" s="1"/>
  <c r="L16" i="359"/>
  <c r="W32" i="359" s="1"/>
  <c r="L16" i="101"/>
  <c r="W32" i="101" s="1"/>
  <c r="L16" i="118"/>
  <c r="W32" i="118" s="1"/>
  <c r="L16" i="307"/>
  <c r="W32" i="307" s="1"/>
  <c r="O122" i="246"/>
  <c r="G43" i="103"/>
  <c r="O26" i="84"/>
  <c r="G43" i="84" s="1"/>
  <c r="G47" i="84" s="1"/>
  <c r="R186" i="246" s="1"/>
  <c r="F46" i="328"/>
  <c r="F45" i="328"/>
  <c r="F44" i="328"/>
  <c r="M715" i="246"/>
  <c r="E44" i="184"/>
  <c r="P125" i="246" s="1"/>
  <c r="E45" i="184"/>
  <c r="J187" i="246" s="1"/>
  <c r="J745" i="246"/>
  <c r="P683" i="246"/>
  <c r="J683" i="246"/>
  <c r="E46" i="184"/>
  <c r="J632" i="209"/>
  <c r="E45" i="327"/>
  <c r="J152" i="209" s="1"/>
  <c r="E44" i="327"/>
  <c r="P92" i="209" s="1"/>
  <c r="P632" i="209"/>
  <c r="E46" i="327"/>
  <c r="J692" i="209"/>
  <c r="O110" i="209"/>
  <c r="L16" i="345"/>
  <c r="W32" i="345" s="1"/>
  <c r="L16" i="356"/>
  <c r="W32" i="356" s="1"/>
  <c r="Q77" i="246"/>
  <c r="N16" i="284"/>
  <c r="N16" i="156"/>
  <c r="N16" i="190"/>
  <c r="N16" i="192"/>
  <c r="M772" i="246"/>
  <c r="N17" i="118"/>
  <c r="N17" i="97"/>
  <c r="N17" i="354"/>
  <c r="N17" i="101"/>
  <c r="N17" i="359"/>
  <c r="N17" i="271"/>
  <c r="N17" i="176"/>
  <c r="K157" i="246"/>
  <c r="N17" i="99"/>
  <c r="E38" i="223"/>
  <c r="J22" i="246" s="1"/>
  <c r="E42" i="223"/>
  <c r="J270" i="246" s="1"/>
  <c r="E41" i="223"/>
  <c r="J208" i="246" s="1"/>
  <c r="J766" i="246"/>
  <c r="E37" i="223"/>
  <c r="P208" i="246" s="1"/>
  <c r="E39" i="223"/>
  <c r="P22" i="246" s="1"/>
  <c r="E40" i="223"/>
  <c r="J84" i="246" s="1"/>
  <c r="G41" i="225"/>
  <c r="G39" i="225"/>
  <c r="G38" i="225"/>
  <c r="G40" i="225"/>
  <c r="G37" i="225"/>
  <c r="L770" i="209"/>
  <c r="G42" i="225"/>
  <c r="N18" i="6"/>
  <c r="N18" i="4"/>
  <c r="N18" i="13"/>
  <c r="N18" i="7"/>
  <c r="N18" i="15"/>
  <c r="N18" i="11"/>
  <c r="N18" i="9"/>
  <c r="N18" i="125"/>
  <c r="N18" i="14"/>
  <c r="N18" i="16"/>
  <c r="N18" i="10"/>
  <c r="D18" i="84"/>
  <c r="D39" i="104"/>
  <c r="D42" i="104"/>
  <c r="H18" i="104"/>
  <c r="D38" i="104"/>
  <c r="D40" i="104"/>
  <c r="D41" i="104"/>
  <c r="I777" i="246"/>
  <c r="D37" i="104"/>
  <c r="G44" i="228"/>
  <c r="L722" i="209"/>
  <c r="G11" i="229"/>
  <c r="L662" i="209"/>
  <c r="G46" i="228"/>
  <c r="O18" i="225" s="1"/>
  <c r="R662" i="209"/>
  <c r="G45" i="228"/>
  <c r="I721" i="209"/>
  <c r="D45" i="250"/>
  <c r="I181" i="209" s="1"/>
  <c r="D46" i="250"/>
  <c r="O661" i="209"/>
  <c r="D44" i="250"/>
  <c r="O121" i="209" s="1"/>
  <c r="I661" i="209"/>
  <c r="E46" i="170"/>
  <c r="M18" i="203" s="1"/>
  <c r="M26" i="328"/>
  <c r="E43" i="328" s="1"/>
  <c r="E47" i="328" s="1"/>
  <c r="S438" i="246"/>
  <c r="E43" i="225"/>
  <c r="P770" i="209"/>
  <c r="M26" i="228"/>
  <c r="N16" i="4"/>
  <c r="N16" i="11"/>
  <c r="N16" i="6"/>
  <c r="N16" i="9"/>
  <c r="Q79" i="209"/>
  <c r="N16" i="14"/>
  <c r="N16" i="125"/>
  <c r="N16" i="10"/>
  <c r="N16" i="7"/>
  <c r="N16" i="15"/>
  <c r="N16" i="13"/>
  <c r="N16" i="16"/>
  <c r="M26" i="173"/>
  <c r="E43" i="173" s="1"/>
  <c r="M15" i="334" s="1"/>
  <c r="E43" i="223"/>
  <c r="E47" i="223" s="1"/>
  <c r="P146" i="246" s="1"/>
  <c r="M19" i="313"/>
  <c r="M18" i="91"/>
  <c r="I157" i="246"/>
  <c r="L17" i="101"/>
  <c r="W33" i="101" s="1"/>
  <c r="L17" i="359"/>
  <c r="W33" i="359" s="1"/>
  <c r="L17" i="99"/>
  <c r="W33" i="99" s="1"/>
  <c r="L17" i="118"/>
  <c r="W33" i="118" s="1"/>
  <c r="L17" i="97"/>
  <c r="W33" i="97" s="1"/>
  <c r="L17" i="271"/>
  <c r="W33" i="271" s="1"/>
  <c r="L17" i="354"/>
  <c r="W33" i="354" s="1"/>
  <c r="L17" i="176"/>
  <c r="W33" i="176" s="1"/>
  <c r="M16" i="307"/>
  <c r="P122" i="246"/>
  <c r="I745" i="246"/>
  <c r="D45" i="184"/>
  <c r="I187" i="246" s="1"/>
  <c r="D44" i="184"/>
  <c r="O125" i="246" s="1"/>
  <c r="I683" i="246"/>
  <c r="O683" i="246"/>
  <c r="D46" i="184"/>
  <c r="P18" i="172"/>
  <c r="P18" i="171"/>
  <c r="P18" i="175"/>
  <c r="F43" i="18"/>
  <c r="Q739" i="209"/>
  <c r="N26" i="327"/>
  <c r="S755" i="209"/>
  <c r="O18" i="118"/>
  <c r="O18" i="271"/>
  <c r="O18" i="176"/>
  <c r="O18" i="97"/>
  <c r="O18" i="359"/>
  <c r="O18" i="101"/>
  <c r="O18" i="99"/>
  <c r="O18" i="354"/>
  <c r="S757" i="209"/>
  <c r="R32" i="292"/>
  <c r="U32" i="292"/>
  <c r="M690" i="209"/>
  <c r="M768" i="209"/>
  <c r="N26" i="58"/>
  <c r="S768" i="209"/>
  <c r="F43" i="223"/>
  <c r="F47" i="223" s="1"/>
  <c r="Q146" i="246" s="1"/>
  <c r="N26" i="173"/>
  <c r="F43" i="173" s="1"/>
  <c r="N15" i="139" s="1"/>
  <c r="M16" i="15"/>
  <c r="M16" i="14"/>
  <c r="M16" i="125"/>
  <c r="M16" i="16"/>
  <c r="M16" i="13"/>
  <c r="P79" i="209"/>
  <c r="M16" i="9"/>
  <c r="M16" i="6"/>
  <c r="M16" i="11"/>
  <c r="M16" i="7"/>
  <c r="M16" i="10"/>
  <c r="M16" i="4"/>
  <c r="I170" i="209"/>
  <c r="L17" i="345"/>
  <c r="W33" i="345" s="1"/>
  <c r="L17" i="356"/>
  <c r="W33" i="356" s="1"/>
  <c r="E11" i="175"/>
  <c r="E46" i="175" s="1"/>
  <c r="M18" i="212" s="1"/>
  <c r="E43" i="44"/>
  <c r="M15" i="123" s="1"/>
  <c r="P26" i="225"/>
  <c r="D43" i="225"/>
  <c r="O770" i="209"/>
  <c r="F46" i="330"/>
  <c r="F45" i="330"/>
  <c r="F44" i="330"/>
  <c r="J133" i="246"/>
  <c r="M18" i="313"/>
  <c r="M17" i="91"/>
  <c r="G46" i="330"/>
  <c r="G44" i="330"/>
  <c r="G45" i="330"/>
  <c r="P739" i="209"/>
  <c r="E43" i="18"/>
  <c r="M26" i="327"/>
  <c r="N15" i="91"/>
  <c r="N16" i="313"/>
  <c r="F47" i="103"/>
  <c r="K170" i="209"/>
  <c r="N17" i="356"/>
  <c r="N17" i="345"/>
  <c r="O762" i="209"/>
  <c r="L26" i="328"/>
  <c r="P26" i="44"/>
  <c r="D43" i="44"/>
  <c r="L26" i="330"/>
  <c r="D43" i="330" s="1"/>
  <c r="D47" i="330" s="1"/>
  <c r="L184" i="246"/>
  <c r="O17" i="307"/>
  <c r="O26" i="328"/>
  <c r="G43" i="328" s="1"/>
  <c r="G47" i="328" s="1"/>
  <c r="G43" i="44"/>
  <c r="R762" i="209"/>
  <c r="O26" i="58"/>
  <c r="O26" i="330"/>
  <c r="M17" i="10"/>
  <c r="M17" i="13"/>
  <c r="M17" i="7"/>
  <c r="M17" i="6"/>
  <c r="J139" i="209"/>
  <c r="M17" i="125"/>
  <c r="M17" i="9"/>
  <c r="M17" i="14"/>
  <c r="M17" i="11"/>
  <c r="M17" i="16"/>
  <c r="M17" i="15"/>
  <c r="M17" i="4"/>
  <c r="N15" i="271"/>
  <c r="N15" i="118"/>
  <c r="N15" i="99"/>
  <c r="N15" i="97"/>
  <c r="N15" i="176"/>
  <c r="N15" i="354"/>
  <c r="N15" i="101"/>
  <c r="N15" i="359"/>
  <c r="F47" i="104"/>
  <c r="K139" i="246"/>
  <c r="N17" i="190"/>
  <c r="N17" i="192"/>
  <c r="N17" i="156"/>
  <c r="N17" i="284"/>
  <c r="D45" i="327"/>
  <c r="I152" i="209" s="1"/>
  <c r="I632" i="209"/>
  <c r="O632" i="209"/>
  <c r="D46" i="327"/>
  <c r="D44" i="327"/>
  <c r="O92" i="209" s="1"/>
  <c r="I692" i="209"/>
  <c r="G42" i="104"/>
  <c r="G38" i="104"/>
  <c r="G39" i="104"/>
  <c r="G41" i="104"/>
  <c r="G40" i="104"/>
  <c r="L777" i="246"/>
  <c r="G37" i="104"/>
  <c r="N26" i="330"/>
  <c r="F43" i="330" s="1"/>
  <c r="F47" i="330" s="1"/>
  <c r="I744" i="246"/>
  <c r="D44" i="84"/>
  <c r="O124" i="246" s="1"/>
  <c r="O682" i="246"/>
  <c r="I682" i="246"/>
  <c r="D46" i="84"/>
  <c r="D45" i="84"/>
  <c r="I186" i="246" s="1"/>
  <c r="D44" i="309"/>
  <c r="L16" i="308" s="1"/>
  <c r="D46" i="309"/>
  <c r="L18" i="308" s="1"/>
  <c r="D45" i="309"/>
  <c r="L17" i="308" s="1"/>
  <c r="P762" i="209"/>
  <c r="N10" i="241"/>
  <c r="N14" i="241"/>
  <c r="N12" i="241"/>
  <c r="N13" i="241"/>
  <c r="N11" i="241"/>
  <c r="N9" i="241"/>
  <c r="F44" i="58"/>
  <c r="Q120" i="209" s="1"/>
  <c r="K720" i="209"/>
  <c r="M13" i="292"/>
  <c r="K660" i="209"/>
  <c r="F45" i="58"/>
  <c r="K180" i="209" s="1"/>
  <c r="Q660" i="209"/>
  <c r="F46" i="58"/>
  <c r="P17" i="171"/>
  <c r="P17" i="229"/>
  <c r="P17" i="361"/>
  <c r="O17" i="337"/>
  <c r="O17" i="196"/>
  <c r="O17" i="79"/>
  <c r="L162" i="209"/>
  <c r="O17" i="72"/>
  <c r="O17" i="338"/>
  <c r="O17" i="123"/>
  <c r="O17" i="154"/>
  <c r="O17" i="39"/>
  <c r="F38" i="104"/>
  <c r="F40" i="104"/>
  <c r="O27" i="292"/>
  <c r="F39" i="104"/>
  <c r="F42" i="104"/>
  <c r="F37" i="104"/>
  <c r="F41" i="104"/>
  <c r="K777" i="246"/>
  <c r="N16" i="345"/>
  <c r="N16" i="356"/>
  <c r="Q110" i="209"/>
  <c r="N18" i="356"/>
  <c r="N18" i="345"/>
  <c r="O16" i="359"/>
  <c r="O16" i="118"/>
  <c r="O16" i="271"/>
  <c r="O16" i="354"/>
  <c r="O16" i="176"/>
  <c r="R95" i="246"/>
  <c r="O16" i="101"/>
  <c r="O16" i="99"/>
  <c r="O16" i="97"/>
  <c r="M18" i="190"/>
  <c r="M18" i="192"/>
  <c r="M18" i="284"/>
  <c r="M18" i="156"/>
  <c r="N18" i="192"/>
  <c r="N18" i="190"/>
  <c r="N18" i="156"/>
  <c r="N18" i="284"/>
  <c r="I722" i="209"/>
  <c r="D44" i="228"/>
  <c r="D46" i="228"/>
  <c r="L18" i="225" s="1"/>
  <c r="O662" i="209"/>
  <c r="I662" i="209"/>
  <c r="D45" i="228"/>
  <c r="D43" i="212"/>
  <c r="D47" i="212" s="1"/>
  <c r="O150" i="209" s="1"/>
  <c r="O750" i="209"/>
  <c r="L26" i="228"/>
  <c r="R632" i="209"/>
  <c r="G46" i="327"/>
  <c r="L632" i="209"/>
  <c r="L692" i="209"/>
  <c r="G44" i="327"/>
  <c r="R92" i="209" s="1"/>
  <c r="G45" i="327"/>
  <c r="L152" i="209" s="1"/>
  <c r="L682" i="246"/>
  <c r="G44" i="84"/>
  <c r="R124" i="246" s="1"/>
  <c r="L744" i="246"/>
  <c r="R682" i="246"/>
  <c r="G46" i="84"/>
  <c r="G45" i="84"/>
  <c r="L186" i="246" s="1"/>
  <c r="E18" i="173"/>
  <c r="N10" i="360"/>
  <c r="N10" i="296"/>
  <c r="N10" i="333"/>
  <c r="N10" i="295"/>
  <c r="P11" i="186"/>
  <c r="P11" i="170"/>
  <c r="S56" i="246"/>
  <c r="P11" i="226"/>
  <c r="P11" i="104"/>
  <c r="P11" i="225"/>
  <c r="H39" i="174"/>
  <c r="S376" i="246"/>
  <c r="M16" i="334"/>
  <c r="M16" i="215"/>
  <c r="M16" i="162"/>
  <c r="M16" i="355"/>
  <c r="M16" i="202"/>
  <c r="M16" i="139"/>
  <c r="M16" i="166"/>
  <c r="M16" i="344"/>
  <c r="M16" i="165"/>
  <c r="M16" i="216"/>
  <c r="N13" i="279"/>
  <c r="N13" i="95"/>
  <c r="N13" i="191"/>
  <c r="K224" i="246"/>
  <c r="N15" i="95"/>
  <c r="F47" i="186"/>
  <c r="N15" i="191"/>
  <c r="N15" i="279"/>
  <c r="S748" i="246"/>
  <c r="S314" i="246"/>
  <c r="I39" i="292"/>
  <c r="H37" i="174"/>
  <c r="M20" i="184"/>
  <c r="M20" i="229"/>
  <c r="M20" i="309"/>
  <c r="M20" i="172"/>
  <c r="M20" i="231"/>
  <c r="M20" i="171"/>
  <c r="M20" i="175"/>
  <c r="M20" i="84"/>
  <c r="M20" i="361"/>
  <c r="P16" i="184"/>
  <c r="P16" i="171"/>
  <c r="P16" i="172"/>
  <c r="P16" i="361"/>
  <c r="P16" i="229"/>
  <c r="P16" i="84"/>
  <c r="P16" i="175"/>
  <c r="P16" i="231"/>
  <c r="P16" i="309"/>
  <c r="S128" i="246"/>
  <c r="P9" i="104"/>
  <c r="P9" i="186"/>
  <c r="P9" i="225"/>
  <c r="S242" i="246"/>
  <c r="P9" i="170"/>
  <c r="P9" i="226"/>
  <c r="S500" i="246"/>
  <c r="P39" i="292"/>
  <c r="N41" i="292"/>
  <c r="P41" i="292" s="1"/>
  <c r="F41" i="84"/>
  <c r="K248" i="246" s="1"/>
  <c r="F38" i="84"/>
  <c r="K62" i="246" s="1"/>
  <c r="K806" i="246"/>
  <c r="O28" i="292"/>
  <c r="F40" i="84"/>
  <c r="K124" i="246" s="1"/>
  <c r="F39" i="84"/>
  <c r="Q62" i="246" s="1"/>
  <c r="F42" i="84"/>
  <c r="K310" i="246" s="1"/>
  <c r="F37" i="84"/>
  <c r="Q248" i="246" s="1"/>
  <c r="N11" i="91"/>
  <c r="N11" i="313"/>
  <c r="Q9" i="246"/>
  <c r="K257" i="246"/>
  <c r="N14" i="91"/>
  <c r="N15" i="313"/>
  <c r="N12" i="91"/>
  <c r="N12" i="313"/>
  <c r="K71" i="246"/>
  <c r="R26" i="292"/>
  <c r="U26" i="292"/>
  <c r="N9" i="313"/>
  <c r="Q195" i="246"/>
  <c r="N9" i="91"/>
  <c r="N13" i="91"/>
  <c r="K195" i="246"/>
  <c r="N13" i="313"/>
  <c r="N10" i="313"/>
  <c r="K9" i="246"/>
  <c r="N10" i="91"/>
  <c r="M604" i="209"/>
  <c r="P19" i="174"/>
  <c r="S180" i="209"/>
  <c r="L20" i="228"/>
  <c r="L20" i="174"/>
  <c r="L20" i="58"/>
  <c r="L20" i="44"/>
  <c r="L20" i="248"/>
  <c r="L20" i="330"/>
  <c r="L20" i="18"/>
  <c r="L20" i="291"/>
  <c r="L20" i="250"/>
  <c r="L20" i="328"/>
  <c r="L20" i="247"/>
  <c r="L20" i="326"/>
  <c r="L20" i="327"/>
  <c r="N20" i="58"/>
  <c r="N20" i="327"/>
  <c r="N20" i="247"/>
  <c r="N20" i="250"/>
  <c r="N20" i="44"/>
  <c r="N20" i="326"/>
  <c r="N20" i="291"/>
  <c r="N20" i="330"/>
  <c r="N20" i="228"/>
  <c r="N20" i="18"/>
  <c r="N20" i="174"/>
  <c r="N20" i="328"/>
  <c r="N20" i="248"/>
  <c r="D42" i="9"/>
  <c r="I256" i="209" s="1"/>
  <c r="I736" i="209"/>
  <c r="D41" i="9"/>
  <c r="I196" i="209" s="1"/>
  <c r="D38" i="9"/>
  <c r="I16" i="209" s="1"/>
  <c r="O16" i="209"/>
  <c r="D37" i="9"/>
  <c r="O196" i="209" s="1"/>
  <c r="D40" i="9"/>
  <c r="I76" i="209" s="1"/>
  <c r="X13" i="80"/>
  <c r="X11" i="80"/>
  <c r="X14" i="80"/>
  <c r="X12" i="80"/>
  <c r="J35" i="80"/>
  <c r="F15" i="11"/>
  <c r="E18" i="11"/>
  <c r="L11" i="91"/>
  <c r="W27" i="91" s="1"/>
  <c r="O9" i="246"/>
  <c r="L11" i="313"/>
  <c r="W28" i="313" s="1"/>
  <c r="L9" i="91"/>
  <c r="W25" i="91" s="1"/>
  <c r="L9" i="313"/>
  <c r="W26" i="313" s="1"/>
  <c r="O195" i="246"/>
  <c r="D41" i="126"/>
  <c r="I228" i="246" s="1"/>
  <c r="D42" i="126"/>
  <c r="I290" i="246" s="1"/>
  <c r="D38" i="126"/>
  <c r="I42" i="246" s="1"/>
  <c r="D37" i="126"/>
  <c r="O228" i="246" s="1"/>
  <c r="D39" i="126"/>
  <c r="O42" i="246" s="1"/>
  <c r="D40" i="126"/>
  <c r="I104" i="246" s="1"/>
  <c r="I786" i="246"/>
  <c r="L16" i="313"/>
  <c r="W32" i="313" s="1"/>
  <c r="L15" i="91"/>
  <c r="W31" i="91" s="1"/>
  <c r="D47" i="103"/>
  <c r="E18" i="79"/>
  <c r="F15" i="79"/>
  <c r="D15" i="172"/>
  <c r="D15" i="174" s="1"/>
  <c r="D15" i="231"/>
  <c r="D15" i="170"/>
  <c r="D15" i="175" s="1"/>
  <c r="L10" i="313"/>
  <c r="W27" i="313" s="1"/>
  <c r="I9" i="246"/>
  <c r="L10" i="91"/>
  <c r="W26" i="91" s="1"/>
  <c r="X13" i="129"/>
  <c r="X14" i="129"/>
  <c r="X11" i="129"/>
  <c r="J35" i="129"/>
  <c r="X17" i="129"/>
  <c r="X20" i="129"/>
  <c r="X26" i="27"/>
  <c r="X25" i="27"/>
  <c r="X13" i="27"/>
  <c r="X14" i="27"/>
  <c r="X23" i="27"/>
  <c r="X19" i="27"/>
  <c r="J51" i="27"/>
  <c r="X27" i="27"/>
  <c r="X24" i="27"/>
  <c r="X20" i="27"/>
  <c r="X16" i="27"/>
  <c r="X15" i="27"/>
  <c r="X17" i="27"/>
  <c r="X11" i="27"/>
  <c r="X18" i="27"/>
  <c r="V11" i="36"/>
  <c r="V22" i="36"/>
  <c r="J57" i="36"/>
  <c r="J59" i="36" s="1"/>
  <c r="V32" i="36"/>
  <c r="V29" i="36"/>
  <c r="V23" i="36"/>
  <c r="V36" i="36"/>
  <c r="V17" i="36"/>
  <c r="V16" i="36"/>
  <c r="V33" i="36"/>
  <c r="V10" i="36"/>
  <c r="V532" i="209"/>
  <c r="C592" i="209"/>
  <c r="L12" i="91"/>
  <c r="W28" i="91" s="1"/>
  <c r="I71" i="246"/>
  <c r="L12" i="313"/>
  <c r="W29" i="313" s="1"/>
  <c r="E15" i="226"/>
  <c r="F15" i="126"/>
  <c r="E18" i="126"/>
  <c r="L13" i="313"/>
  <c r="W30" i="313" s="1"/>
  <c r="I195" i="246"/>
  <c r="L13" i="91"/>
  <c r="W29" i="91" s="1"/>
  <c r="D18" i="226"/>
  <c r="D37" i="226" s="1"/>
  <c r="O240" i="246" s="1"/>
  <c r="D39" i="79"/>
  <c r="O39" i="209" s="1"/>
  <c r="D38" i="79"/>
  <c r="I759" i="209"/>
  <c r="D37" i="79"/>
  <c r="O219" i="209" s="1"/>
  <c r="D41" i="79"/>
  <c r="I219" i="209" s="1"/>
  <c r="D40" i="79"/>
  <c r="I99" i="209" s="1"/>
  <c r="D42" i="79"/>
  <c r="I279" i="209" s="1"/>
  <c r="M784" i="246"/>
  <c r="L15" i="313"/>
  <c r="W31" i="313" s="1"/>
  <c r="I257" i="246"/>
  <c r="L14" i="91"/>
  <c r="W30" i="91" s="1"/>
  <c r="O164" i="246"/>
  <c r="I291" i="246"/>
  <c r="I237" i="246"/>
  <c r="K746" i="246"/>
  <c r="E44" i="231"/>
  <c r="P126" i="246" s="1"/>
  <c r="P684" i="246"/>
  <c r="J746" i="246"/>
  <c r="E45" i="231"/>
  <c r="J188" i="246" s="1"/>
  <c r="E46" i="231"/>
  <c r="J684" i="246"/>
  <c r="O233" i="246"/>
  <c r="O26" i="170"/>
  <c r="G43" i="226"/>
  <c r="G47" i="226" s="1"/>
  <c r="R178" i="246" s="1"/>
  <c r="O26" i="231"/>
  <c r="G43" i="231" s="1"/>
  <c r="G47" i="231" s="1"/>
  <c r="R188" i="246" s="1"/>
  <c r="L26" i="172"/>
  <c r="P26" i="226"/>
  <c r="D43" i="226"/>
  <c r="D47" i="226" s="1"/>
  <c r="O178" i="246" s="1"/>
  <c r="L26" i="170"/>
  <c r="M17" i="349"/>
  <c r="M17" i="293"/>
  <c r="M17" i="178"/>
  <c r="M17" i="187"/>
  <c r="M17" i="189"/>
  <c r="M17" i="141"/>
  <c r="M17" i="188"/>
  <c r="M17" i="146"/>
  <c r="M17" i="203"/>
  <c r="M17" i="362"/>
  <c r="M17" i="151"/>
  <c r="M17" i="204"/>
  <c r="M17" i="126"/>
  <c r="M17" i="194"/>
  <c r="M17" i="195"/>
  <c r="M17" i="353"/>
  <c r="M17" i="160"/>
  <c r="M17" i="270"/>
  <c r="M17" i="219"/>
  <c r="M17" i="183"/>
  <c r="M17" i="137"/>
  <c r="F45" i="170"/>
  <c r="F44" i="170"/>
  <c r="F46" i="170"/>
  <c r="O229" i="246"/>
  <c r="I113" i="246"/>
  <c r="F44" i="231"/>
  <c r="Q126" i="246" s="1"/>
  <c r="O43" i="246"/>
  <c r="I51" i="246"/>
  <c r="M37" i="292"/>
  <c r="S37" i="292" s="1"/>
  <c r="T37" i="292" s="1"/>
  <c r="I109" i="246"/>
  <c r="D46" i="172"/>
  <c r="O676" i="246"/>
  <c r="D44" i="172"/>
  <c r="D45" i="172"/>
  <c r="I676" i="246"/>
  <c r="I738" i="246"/>
  <c r="O15" i="279"/>
  <c r="G47" i="186"/>
  <c r="O15" i="191"/>
  <c r="O15" i="95"/>
  <c r="P116" i="246"/>
  <c r="I233" i="246"/>
  <c r="F45" i="231"/>
  <c r="K188" i="246" s="1"/>
  <c r="M10" i="359"/>
  <c r="M10" i="354"/>
  <c r="M10" i="271"/>
  <c r="M10" i="97"/>
  <c r="M10" i="101"/>
  <c r="M10" i="99"/>
  <c r="M10" i="176"/>
  <c r="J33" i="246"/>
  <c r="M10" i="118"/>
  <c r="O172" i="246"/>
  <c r="D47" i="151"/>
  <c r="L15" i="271"/>
  <c r="W31" i="271" s="1"/>
  <c r="L15" i="118"/>
  <c r="W31" i="118" s="1"/>
  <c r="L15" i="176"/>
  <c r="W31" i="176" s="1"/>
  <c r="L15" i="101"/>
  <c r="W31" i="101" s="1"/>
  <c r="L15" i="97"/>
  <c r="W31" i="97" s="1"/>
  <c r="L15" i="354"/>
  <c r="W31" i="354" s="1"/>
  <c r="L15" i="359"/>
  <c r="W31" i="359" s="1"/>
  <c r="D47" i="104"/>
  <c r="L15" i="99"/>
  <c r="W31" i="99" s="1"/>
  <c r="I43" i="246"/>
  <c r="O51" i="246"/>
  <c r="M791" i="246"/>
  <c r="M9" i="345"/>
  <c r="M9" i="356"/>
  <c r="P230" i="209"/>
  <c r="O47" i="246"/>
  <c r="F45" i="172"/>
  <c r="F44" i="172"/>
  <c r="K738" i="246"/>
  <c r="Q676" i="246"/>
  <c r="K676" i="246"/>
  <c r="F46" i="172"/>
  <c r="D47" i="203"/>
  <c r="I299" i="246"/>
  <c r="O151" i="246"/>
  <c r="I110" i="209"/>
  <c r="L12" i="345"/>
  <c r="W28" i="345" s="1"/>
  <c r="L12" i="356"/>
  <c r="W28" i="356" s="1"/>
  <c r="Q684" i="246"/>
  <c r="I47" i="246"/>
  <c r="D47" i="137"/>
  <c r="S36" i="292"/>
  <c r="T36" i="292" s="1"/>
  <c r="V36" i="292"/>
  <c r="D44" i="170"/>
  <c r="D45" i="170"/>
  <c r="D46" i="170"/>
  <c r="M26" i="170"/>
  <c r="E43" i="226"/>
  <c r="M26" i="172"/>
  <c r="M26" i="231"/>
  <c r="E43" i="231" s="1"/>
  <c r="E47" i="231" s="1"/>
  <c r="P188" i="246" s="1"/>
  <c r="I229" i="246"/>
  <c r="O237" i="246"/>
  <c r="P676" i="246"/>
  <c r="E46" i="172"/>
  <c r="E45" i="172"/>
  <c r="E44" i="172"/>
  <c r="J676" i="246"/>
  <c r="J738" i="246"/>
  <c r="E11" i="174"/>
  <c r="N26" i="170"/>
  <c r="F43" i="226"/>
  <c r="F47" i="226" s="1"/>
  <c r="Q178" i="246" s="1"/>
  <c r="N26" i="172"/>
  <c r="N26" i="231"/>
  <c r="F43" i="231" s="1"/>
  <c r="F47" i="231" s="1"/>
  <c r="Q188" i="246" s="1"/>
  <c r="I295" i="246"/>
  <c r="I105" i="246"/>
  <c r="L17" i="355"/>
  <c r="W33" i="355" s="1"/>
  <c r="L17" i="334"/>
  <c r="W33" i="334" s="1"/>
  <c r="L17" i="166"/>
  <c r="W33" i="166" s="1"/>
  <c r="L17" i="215"/>
  <c r="W33" i="215" s="1"/>
  <c r="L17" i="165"/>
  <c r="W33" i="165" s="1"/>
  <c r="L17" i="216"/>
  <c r="W33" i="216" s="1"/>
  <c r="L17" i="202"/>
  <c r="W33" i="202" s="1"/>
  <c r="L17" i="344"/>
  <c r="W33" i="344" s="1"/>
  <c r="L17" i="139"/>
  <c r="W33" i="139" s="1"/>
  <c r="L17" i="162"/>
  <c r="W33" i="162" s="1"/>
  <c r="N17" i="344"/>
  <c r="N17" i="165"/>
  <c r="N17" i="139"/>
  <c r="N17" i="216"/>
  <c r="N17" i="334"/>
  <c r="N17" i="202"/>
  <c r="N17" i="215"/>
  <c r="N17" i="162"/>
  <c r="N17" i="166"/>
  <c r="N17" i="355"/>
  <c r="O17" i="139"/>
  <c r="O17" i="216"/>
  <c r="O17" i="165"/>
  <c r="O17" i="344"/>
  <c r="O17" i="334"/>
  <c r="O17" i="162"/>
  <c r="O17" i="166"/>
  <c r="O17" i="355"/>
  <c r="O17" i="215"/>
  <c r="O17" i="202"/>
  <c r="D43" i="231"/>
  <c r="D47" i="231" s="1"/>
  <c r="O188" i="246" s="1"/>
  <c r="O18" i="173"/>
  <c r="O18" i="103"/>
  <c r="O18" i="223"/>
  <c r="O18" i="185"/>
  <c r="N18" i="103"/>
  <c r="N18" i="223"/>
  <c r="N18" i="185"/>
  <c r="N18" i="173"/>
  <c r="O144" i="246"/>
  <c r="L26" i="174" l="1"/>
  <c r="L15" i="214"/>
  <c r="W31" i="214" s="1"/>
  <c r="G38" i="308"/>
  <c r="E14" i="330"/>
  <c r="V27" i="34"/>
  <c r="X27" i="34" s="1"/>
  <c r="V23" i="34"/>
  <c r="X23" i="34" s="1"/>
  <c r="V21" i="34"/>
  <c r="X21" i="34" s="1"/>
  <c r="V31" i="34"/>
  <c r="X31" i="34" s="1"/>
  <c r="V28" i="34"/>
  <c r="X28" i="34" s="1"/>
  <c r="V15" i="34"/>
  <c r="X15" i="34" s="1"/>
  <c r="V24" i="34"/>
  <c r="X24" i="34" s="1"/>
  <c r="V13" i="34"/>
  <c r="X13" i="34" s="1"/>
  <c r="V12" i="34"/>
  <c r="X12" i="34" s="1"/>
  <c r="V29" i="34"/>
  <c r="V14" i="34"/>
  <c r="X14" i="34" s="1"/>
  <c r="V11" i="34"/>
  <c r="V26" i="34"/>
  <c r="X26" i="34" s="1"/>
  <c r="V18" i="34"/>
  <c r="V17" i="34"/>
  <c r="E15" i="328"/>
  <c r="E14" i="58"/>
  <c r="E14" i="229" s="1"/>
  <c r="P720" i="209"/>
  <c r="P480" i="209"/>
  <c r="E12" i="229"/>
  <c r="E16" i="328"/>
  <c r="E16" i="330"/>
  <c r="E16" i="58"/>
  <c r="E16" i="229" s="1"/>
  <c r="D17" i="328"/>
  <c r="D17" i="58"/>
  <c r="D17" i="229" s="1"/>
  <c r="D17" i="330"/>
  <c r="D16" i="328"/>
  <c r="D16" i="330"/>
  <c r="D16" i="58"/>
  <c r="D16" i="229" s="1"/>
  <c r="L10" i="213"/>
  <c r="W26" i="213" s="1"/>
  <c r="L10" i="105"/>
  <c r="W26" i="105" s="1"/>
  <c r="V16" i="34"/>
  <c r="X16" i="34" s="1"/>
  <c r="V25" i="34"/>
  <c r="X25" i="34" s="1"/>
  <c r="L10" i="214"/>
  <c r="W26" i="214" s="1"/>
  <c r="D14" i="18"/>
  <c r="G42" i="308"/>
  <c r="L308" i="246" s="1"/>
  <c r="J48" i="34"/>
  <c r="E18" i="9"/>
  <c r="J736" i="209" s="1"/>
  <c r="L804" i="246"/>
  <c r="M804" i="246" s="1"/>
  <c r="G39" i="308"/>
  <c r="O11" i="307" s="1"/>
  <c r="G40" i="308"/>
  <c r="L122" i="246" s="1"/>
  <c r="H18" i="308"/>
  <c r="X15" i="29"/>
  <c r="G18" i="309"/>
  <c r="G38" i="309" s="1"/>
  <c r="O10" i="308" s="1"/>
  <c r="G41" i="308"/>
  <c r="L246" i="246" s="1"/>
  <c r="L11" i="213"/>
  <c r="W27" i="213" s="1"/>
  <c r="L11" i="214"/>
  <c r="W27" i="214" s="1"/>
  <c r="O15" i="105"/>
  <c r="O15" i="214"/>
  <c r="J30" i="142"/>
  <c r="X13" i="142"/>
  <c r="X12" i="142"/>
  <c r="O15" i="213"/>
  <c r="D47" i="247"/>
  <c r="L19" i="105" s="1"/>
  <c r="W34" i="105" s="1"/>
  <c r="L15" i="213"/>
  <c r="W31" i="213" s="1"/>
  <c r="L13" i="214"/>
  <c r="W29" i="214" s="1"/>
  <c r="L13" i="213"/>
  <c r="W29" i="213" s="1"/>
  <c r="F15" i="7"/>
  <c r="G15" i="7" s="1"/>
  <c r="I204" i="209"/>
  <c r="L11" i="105"/>
  <c r="W27" i="105" s="1"/>
  <c r="O13" i="105"/>
  <c r="L204" i="209"/>
  <c r="O13" i="213"/>
  <c r="L12" i="214"/>
  <c r="W28" i="214" s="1"/>
  <c r="L14" i="105"/>
  <c r="W30" i="105" s="1"/>
  <c r="L14" i="214"/>
  <c r="W30" i="214" s="1"/>
  <c r="I264" i="209"/>
  <c r="M19" i="325"/>
  <c r="X22" i="29"/>
  <c r="J49" i="29"/>
  <c r="M744" i="209"/>
  <c r="D18" i="6"/>
  <c r="D41" i="6" s="1"/>
  <c r="I198" i="209" s="1"/>
  <c r="X12" i="161"/>
  <c r="U31" i="292"/>
  <c r="N14" i="95"/>
  <c r="N14" i="279"/>
  <c r="X14" i="29"/>
  <c r="X13" i="29"/>
  <c r="X20" i="29"/>
  <c r="X16" i="29"/>
  <c r="X21" i="29"/>
  <c r="X11" i="29"/>
  <c r="L12" i="213"/>
  <c r="W28" i="213" s="1"/>
  <c r="L9" i="214"/>
  <c r="W25" i="214" s="1"/>
  <c r="L12" i="105"/>
  <c r="W28" i="105" s="1"/>
  <c r="L9" i="213"/>
  <c r="W25" i="213" s="1"/>
  <c r="N14" i="191"/>
  <c r="O204" i="209"/>
  <c r="N10" i="290"/>
  <c r="X18" i="49"/>
  <c r="K100" i="246"/>
  <c r="N11" i="288"/>
  <c r="E39" i="250"/>
  <c r="P61" i="209" s="1"/>
  <c r="M9" i="324"/>
  <c r="D38" i="11"/>
  <c r="I14" i="209" s="1"/>
  <c r="N10" i="95"/>
  <c r="N11" i="191"/>
  <c r="I734" i="209"/>
  <c r="D37" i="11"/>
  <c r="O194" i="209" s="1"/>
  <c r="D39" i="11"/>
  <c r="O14" i="209" s="1"/>
  <c r="K38" i="246"/>
  <c r="N10" i="191"/>
  <c r="X11" i="37"/>
  <c r="N11" i="95"/>
  <c r="N9" i="95"/>
  <c r="N9" i="191"/>
  <c r="Q224" i="246"/>
  <c r="N11" i="279"/>
  <c r="O12" i="324"/>
  <c r="L84" i="209"/>
  <c r="N12" i="191"/>
  <c r="N12" i="279"/>
  <c r="M19" i="290"/>
  <c r="S744" i="209"/>
  <c r="M19" i="288"/>
  <c r="O14" i="325"/>
  <c r="D42" i="11"/>
  <c r="I254" i="209" s="1"/>
  <c r="D41" i="11"/>
  <c r="I194" i="209" s="1"/>
  <c r="O10" i="324"/>
  <c r="M14" i="325"/>
  <c r="O13" i="325"/>
  <c r="M10" i="324"/>
  <c r="L264" i="209"/>
  <c r="O14" i="105"/>
  <c r="X11" i="161"/>
  <c r="M11" i="324"/>
  <c r="O11" i="325"/>
  <c r="M12" i="324"/>
  <c r="X16" i="161"/>
  <c r="X15" i="161"/>
  <c r="X19" i="161"/>
  <c r="J39" i="161"/>
  <c r="X14" i="161"/>
  <c r="X13" i="161"/>
  <c r="X18" i="161"/>
  <c r="O9" i="105"/>
  <c r="X31" i="37"/>
  <c r="X39" i="37"/>
  <c r="R17" i="292"/>
  <c r="E11" i="328"/>
  <c r="E46" i="328" s="1"/>
  <c r="O9" i="214"/>
  <c r="O9" i="213"/>
  <c r="J702" i="209"/>
  <c r="E44" i="44"/>
  <c r="P102" i="209" s="1"/>
  <c r="E11" i="330"/>
  <c r="E46" i="330" s="1"/>
  <c r="E46" i="44"/>
  <c r="M18" i="39" s="1"/>
  <c r="E45" i="44"/>
  <c r="M17" i="72" s="1"/>
  <c r="E11" i="58"/>
  <c r="P660" i="209" s="1"/>
  <c r="J642" i="209"/>
  <c r="L14" i="325"/>
  <c r="N12" i="288"/>
  <c r="N12" i="289"/>
  <c r="S28" i="292"/>
  <c r="T28" i="292" s="1"/>
  <c r="X19" i="49"/>
  <c r="X23" i="37"/>
  <c r="G38" i="212"/>
  <c r="L30" i="209" s="1"/>
  <c r="X12" i="32"/>
  <c r="N10" i="289"/>
  <c r="G37" i="185"/>
  <c r="O9" i="190" s="1"/>
  <c r="G41" i="185"/>
  <c r="O13" i="190" s="1"/>
  <c r="G18" i="171"/>
  <c r="G37" i="171" s="1"/>
  <c r="R210" i="246" s="1"/>
  <c r="G40" i="185"/>
  <c r="O12" i="284" s="1"/>
  <c r="H18" i="185"/>
  <c r="S750" i="209"/>
  <c r="O10" i="214"/>
  <c r="L24" i="209"/>
  <c r="O12" i="213"/>
  <c r="N14" i="288"/>
  <c r="X12" i="49"/>
  <c r="X27" i="37"/>
  <c r="D15" i="7"/>
  <c r="D15" i="18" s="1"/>
  <c r="O14" i="213"/>
  <c r="O12" i="214"/>
  <c r="L759" i="246"/>
  <c r="M798" i="246" s="1"/>
  <c r="M12" i="289"/>
  <c r="X14" i="49"/>
  <c r="J66" i="37"/>
  <c r="M750" i="209"/>
  <c r="J41" i="49"/>
  <c r="J44" i="49" s="1"/>
  <c r="X28" i="37"/>
  <c r="G18" i="228"/>
  <c r="G39" i="228" s="1"/>
  <c r="G38" i="185"/>
  <c r="O10" i="156" s="1"/>
  <c r="N11" i="290"/>
  <c r="G41" i="212"/>
  <c r="L210" i="209" s="1"/>
  <c r="G37" i="212"/>
  <c r="R210" i="209" s="1"/>
  <c r="G42" i="212"/>
  <c r="L270" i="209" s="1"/>
  <c r="X16" i="37"/>
  <c r="G39" i="185"/>
  <c r="O11" i="156" s="1"/>
  <c r="O10" i="213"/>
  <c r="N14" i="290"/>
  <c r="G40" i="212"/>
  <c r="L90" i="209" s="1"/>
  <c r="X20" i="37"/>
  <c r="X41" i="37"/>
  <c r="H18" i="212"/>
  <c r="G39" i="212"/>
  <c r="R30" i="209" s="1"/>
  <c r="X35" i="37"/>
  <c r="L13" i="325"/>
  <c r="L9" i="325"/>
  <c r="W25" i="325" s="1"/>
  <c r="J29" i="32"/>
  <c r="X13" i="32"/>
  <c r="X11" i="32"/>
  <c r="L16" i="223"/>
  <c r="N13" i="289"/>
  <c r="N13" i="288"/>
  <c r="E15" i="4"/>
  <c r="F15" i="4" s="1"/>
  <c r="P781" i="209"/>
  <c r="N12" i="307"/>
  <c r="X40" i="37"/>
  <c r="X42" i="37"/>
  <c r="X32" i="37"/>
  <c r="X12" i="37"/>
  <c r="X38" i="37"/>
  <c r="X15" i="37"/>
  <c r="X19" i="37"/>
  <c r="X24" i="37"/>
  <c r="L17" i="223"/>
  <c r="L16" i="103"/>
  <c r="L16" i="185"/>
  <c r="O86" i="246"/>
  <c r="F38" i="309"/>
  <c r="N10" i="308" s="1"/>
  <c r="X27" i="36"/>
  <c r="X28" i="36"/>
  <c r="F15" i="6"/>
  <c r="E18" i="6"/>
  <c r="J738" i="209" s="1"/>
  <c r="O11" i="105"/>
  <c r="O11" i="214"/>
  <c r="M738" i="246"/>
  <c r="O11" i="213"/>
  <c r="L12" i="324"/>
  <c r="W28" i="324" s="1"/>
  <c r="O19" i="325"/>
  <c r="L11" i="325"/>
  <c r="W27" i="325" s="1"/>
  <c r="H37" i="229"/>
  <c r="S544" i="209"/>
  <c r="M10" i="289"/>
  <c r="M12" i="288"/>
  <c r="D14" i="327"/>
  <c r="M9" i="176"/>
  <c r="M9" i="97"/>
  <c r="M9" i="271"/>
  <c r="P16" i="333"/>
  <c r="N9" i="307"/>
  <c r="G18" i="184"/>
  <c r="G42" i="184" s="1"/>
  <c r="L311" i="246" s="1"/>
  <c r="M745" i="246"/>
  <c r="L17" i="103"/>
  <c r="L15" i="284"/>
  <c r="W31" i="284" s="1"/>
  <c r="M9" i="118"/>
  <c r="P219" i="246"/>
  <c r="M9" i="354"/>
  <c r="M9" i="99"/>
  <c r="M9" i="101"/>
  <c r="N19" i="296"/>
  <c r="N19" i="333"/>
  <c r="F42" i="309"/>
  <c r="N14" i="308" s="1"/>
  <c r="F37" i="309"/>
  <c r="N9" i="308" s="1"/>
  <c r="F39" i="309"/>
  <c r="N11" i="308" s="1"/>
  <c r="F41" i="309"/>
  <c r="N13" i="308" s="1"/>
  <c r="N17" i="223"/>
  <c r="N17" i="185"/>
  <c r="F37" i="184"/>
  <c r="Q249" i="246" s="1"/>
  <c r="N17" i="103"/>
  <c r="K148" i="246"/>
  <c r="I148" i="246"/>
  <c r="L17" i="185"/>
  <c r="L15" i="156"/>
  <c r="W31" i="156" s="1"/>
  <c r="P26" i="184"/>
  <c r="O17" i="186"/>
  <c r="M11" i="271"/>
  <c r="M13" i="97"/>
  <c r="M12" i="101"/>
  <c r="N11" i="360"/>
  <c r="E37" i="250"/>
  <c r="P241" i="209" s="1"/>
  <c r="K246" i="246"/>
  <c r="L10" i="356"/>
  <c r="W26" i="356" s="1"/>
  <c r="M18" i="344"/>
  <c r="K60" i="246"/>
  <c r="N14" i="307"/>
  <c r="N11" i="307"/>
  <c r="O18" i="104"/>
  <c r="M14" i="271"/>
  <c r="M14" i="97"/>
  <c r="M11" i="97"/>
  <c r="J95" i="246"/>
  <c r="J219" i="246"/>
  <c r="M12" i="99"/>
  <c r="M13" i="354"/>
  <c r="M12" i="354"/>
  <c r="M13" i="118"/>
  <c r="M12" i="359"/>
  <c r="M12" i="271"/>
  <c r="M13" i="99"/>
  <c r="M13" i="176"/>
  <c r="M12" i="118"/>
  <c r="M13" i="271"/>
  <c r="M13" i="101"/>
  <c r="M12" i="97"/>
  <c r="F40" i="184"/>
  <c r="K125" i="246" s="1"/>
  <c r="N13" i="295"/>
  <c r="N14" i="333"/>
  <c r="N13" i="296"/>
  <c r="N13" i="333"/>
  <c r="N19" i="295"/>
  <c r="P15" i="333"/>
  <c r="N11" i="295"/>
  <c r="N11" i="333"/>
  <c r="O19" i="296"/>
  <c r="O18" i="226"/>
  <c r="O18" i="170"/>
  <c r="N16" i="215"/>
  <c r="N16" i="103"/>
  <c r="N16" i="202"/>
  <c r="O16" i="173"/>
  <c r="N16" i="216"/>
  <c r="N18" i="355"/>
  <c r="N18" i="334"/>
  <c r="N18" i="215"/>
  <c r="Q86" i="246"/>
  <c r="M746" i="246"/>
  <c r="N16" i="334"/>
  <c r="O16" i="185"/>
  <c r="N16" i="166"/>
  <c r="N16" i="162"/>
  <c r="N16" i="165"/>
  <c r="O16" i="223"/>
  <c r="N16" i="223"/>
  <c r="N16" i="173"/>
  <c r="N16" i="355"/>
  <c r="N16" i="139"/>
  <c r="R86" i="246"/>
  <c r="K748" i="246"/>
  <c r="M39" i="292"/>
  <c r="S39" i="292" s="1"/>
  <c r="T39" i="292" s="1"/>
  <c r="F44" i="175"/>
  <c r="N16" i="212" s="1"/>
  <c r="M10" i="356"/>
  <c r="S304" i="209"/>
  <c r="L14" i="356"/>
  <c r="W30" i="356" s="1"/>
  <c r="I230" i="209"/>
  <c r="L11" i="356"/>
  <c r="W27" i="356" s="1"/>
  <c r="L13" i="345"/>
  <c r="W29" i="345" s="1"/>
  <c r="I50" i="209"/>
  <c r="M14" i="356"/>
  <c r="I782" i="209"/>
  <c r="M12" i="345"/>
  <c r="F46" i="175"/>
  <c r="N18" i="212" s="1"/>
  <c r="J50" i="209"/>
  <c r="R782" i="209"/>
  <c r="N18" i="139"/>
  <c r="N18" i="216"/>
  <c r="N18" i="202"/>
  <c r="N18" i="166"/>
  <c r="N18" i="162"/>
  <c r="O16" i="139"/>
  <c r="N18" i="165"/>
  <c r="N18" i="344"/>
  <c r="G45" i="175"/>
  <c r="O17" i="212" s="1"/>
  <c r="O18" i="216"/>
  <c r="F41" i="173"/>
  <c r="N13" i="162" s="1"/>
  <c r="M17" i="355"/>
  <c r="O18" i="202"/>
  <c r="F42" i="173"/>
  <c r="N14" i="162" s="1"/>
  <c r="F40" i="173"/>
  <c r="N12" i="334" s="1"/>
  <c r="F37" i="173"/>
  <c r="F39" i="173"/>
  <c r="O18" i="215"/>
  <c r="R35" i="292"/>
  <c r="F38" i="184"/>
  <c r="K63" i="246" s="1"/>
  <c r="P19" i="44"/>
  <c r="M17" i="216"/>
  <c r="O18" i="344"/>
  <c r="Q201" i="246"/>
  <c r="F39" i="184"/>
  <c r="Q63" i="246" s="1"/>
  <c r="M17" i="165"/>
  <c r="M9" i="289"/>
  <c r="O18" i="165"/>
  <c r="I86" i="246"/>
  <c r="N9" i="192"/>
  <c r="F42" i="184"/>
  <c r="K311" i="246" s="1"/>
  <c r="P19" i="248"/>
  <c r="M17" i="202"/>
  <c r="M17" i="139"/>
  <c r="M9" i="290"/>
  <c r="O18" i="139"/>
  <c r="N9" i="284"/>
  <c r="F41" i="184"/>
  <c r="K249" i="246" s="1"/>
  <c r="M17" i="215"/>
  <c r="O18" i="166"/>
  <c r="N9" i="190"/>
  <c r="K807" i="246"/>
  <c r="M17" i="166"/>
  <c r="M17" i="162"/>
  <c r="O18" i="334"/>
  <c r="M17" i="334"/>
  <c r="M424" i="209"/>
  <c r="S364" i="209"/>
  <c r="S184" i="209"/>
  <c r="P19" i="327"/>
  <c r="P19" i="250"/>
  <c r="P19" i="247"/>
  <c r="P19" i="328"/>
  <c r="P19" i="308"/>
  <c r="P19" i="291"/>
  <c r="P19" i="18"/>
  <c r="P19" i="326"/>
  <c r="P19" i="330"/>
  <c r="N14" i="296"/>
  <c r="N14" i="295"/>
  <c r="D41" i="171"/>
  <c r="L13" i="223" s="1"/>
  <c r="I768" i="246"/>
  <c r="R686" i="246"/>
  <c r="E40" i="84"/>
  <c r="J124" i="246" s="1"/>
  <c r="Q686" i="246"/>
  <c r="F44" i="174"/>
  <c r="N16" i="184" s="1"/>
  <c r="F45" i="174"/>
  <c r="K190" i="246" s="1"/>
  <c r="K686" i="246"/>
  <c r="O16" i="186"/>
  <c r="L180" i="246"/>
  <c r="O17" i="226"/>
  <c r="O17" i="170"/>
  <c r="L18" i="223"/>
  <c r="L18" i="103"/>
  <c r="L18" i="185"/>
  <c r="O18" i="355"/>
  <c r="O18" i="162"/>
  <c r="L12" i="103"/>
  <c r="L14" i="345"/>
  <c r="W30" i="345" s="1"/>
  <c r="O19" i="295"/>
  <c r="G46" i="174"/>
  <c r="O18" i="361" s="1"/>
  <c r="E38" i="84"/>
  <c r="J62" i="246" s="1"/>
  <c r="O16" i="226"/>
  <c r="M14" i="354"/>
  <c r="D41" i="228"/>
  <c r="L13" i="225" s="1"/>
  <c r="M13" i="356"/>
  <c r="P33" i="246"/>
  <c r="D47" i="185"/>
  <c r="L19" i="190" s="1"/>
  <c r="W34" i="190" s="1"/>
  <c r="R20" i="292"/>
  <c r="E41" i="250"/>
  <c r="J241" i="209" s="1"/>
  <c r="G14" i="7"/>
  <c r="G14" i="18" s="1"/>
  <c r="G14" i="330" s="1"/>
  <c r="F14" i="18"/>
  <c r="L686" i="246"/>
  <c r="E39" i="84"/>
  <c r="P62" i="246" s="1"/>
  <c r="R118" i="246"/>
  <c r="M14" i="176"/>
  <c r="D38" i="228"/>
  <c r="I62" i="209" s="1"/>
  <c r="M13" i="345"/>
  <c r="M11" i="176"/>
  <c r="L15" i="190"/>
  <c r="W31" i="190" s="1"/>
  <c r="J781" i="209"/>
  <c r="L748" i="246"/>
  <c r="D44" i="175"/>
  <c r="L16" i="212" s="1"/>
  <c r="E37" i="84"/>
  <c r="P248" i="246" s="1"/>
  <c r="O16" i="104"/>
  <c r="M14" i="101"/>
  <c r="D42" i="228"/>
  <c r="I302" i="209" s="1"/>
  <c r="M11" i="118"/>
  <c r="M770" i="209"/>
  <c r="G44" i="174"/>
  <c r="O16" i="84" s="1"/>
  <c r="E41" i="84"/>
  <c r="J248" i="246" s="1"/>
  <c r="J281" i="246"/>
  <c r="M14" i="359"/>
  <c r="D37" i="228"/>
  <c r="O242" i="209" s="1"/>
  <c r="M11" i="354"/>
  <c r="M11" i="99"/>
  <c r="E38" i="250"/>
  <c r="J61" i="209" s="1"/>
  <c r="X16" i="49"/>
  <c r="X21" i="49"/>
  <c r="L16" i="334"/>
  <c r="W32" i="334" s="1"/>
  <c r="E42" i="84"/>
  <c r="J310" i="246" s="1"/>
  <c r="O50" i="209"/>
  <c r="M14" i="99"/>
  <c r="D39" i="228"/>
  <c r="L11" i="225" s="1"/>
  <c r="M11" i="359"/>
  <c r="M18" i="165"/>
  <c r="O19" i="333"/>
  <c r="E42" i="250"/>
  <c r="J301" i="209" s="1"/>
  <c r="L16" i="355"/>
  <c r="W32" i="355" s="1"/>
  <c r="P122" i="209"/>
  <c r="V33" i="292"/>
  <c r="M13" i="289"/>
  <c r="D38" i="171"/>
  <c r="L10" i="223" s="1"/>
  <c r="M11" i="289"/>
  <c r="M10" i="290"/>
  <c r="L12" i="223"/>
  <c r="L12" i="173"/>
  <c r="M13" i="290"/>
  <c r="M11" i="288"/>
  <c r="D42" i="171"/>
  <c r="I272" i="246" s="1"/>
  <c r="O15" i="202"/>
  <c r="O15" i="139"/>
  <c r="L9" i="345"/>
  <c r="W25" i="345" s="1"/>
  <c r="D37" i="171"/>
  <c r="O210" i="246" s="1"/>
  <c r="O230" i="209"/>
  <c r="O15" i="344"/>
  <c r="D39" i="171"/>
  <c r="O24" i="246" s="1"/>
  <c r="L18" i="139"/>
  <c r="L18" i="202"/>
  <c r="M12" i="356"/>
  <c r="G18" i="173"/>
  <c r="G38" i="223"/>
  <c r="L22" i="246" s="1"/>
  <c r="L766" i="246"/>
  <c r="G42" i="223"/>
  <c r="L270" i="246" s="1"/>
  <c r="G39" i="223"/>
  <c r="R22" i="246" s="1"/>
  <c r="H18" i="223"/>
  <c r="G37" i="223"/>
  <c r="R208" i="246" s="1"/>
  <c r="G40" i="223"/>
  <c r="L84" i="246" s="1"/>
  <c r="G41" i="223"/>
  <c r="L208" i="246" s="1"/>
  <c r="V20" i="28"/>
  <c r="V22" i="28" s="1"/>
  <c r="V26" i="28"/>
  <c r="V29" i="28"/>
  <c r="V18" i="28"/>
  <c r="V13" i="28"/>
  <c r="J60" i="28"/>
  <c r="J63" i="28" s="1"/>
  <c r="X21" i="28" s="1"/>
  <c r="V11" i="28"/>
  <c r="V24" i="28"/>
  <c r="V15" i="28"/>
  <c r="V16" i="28"/>
  <c r="V12" i="28"/>
  <c r="V25" i="28"/>
  <c r="O16" i="137"/>
  <c r="M14" i="345"/>
  <c r="P50" i="209"/>
  <c r="L16" i="165"/>
  <c r="W32" i="165" s="1"/>
  <c r="M18" i="202"/>
  <c r="M18" i="216"/>
  <c r="M18" i="215"/>
  <c r="L16" i="202"/>
  <c r="W32" i="202" s="1"/>
  <c r="L18" i="165"/>
  <c r="D45" i="175"/>
  <c r="L17" i="212" s="1"/>
  <c r="L16" i="344"/>
  <c r="W32" i="344" s="1"/>
  <c r="L16" i="166"/>
  <c r="W32" i="166" s="1"/>
  <c r="L18" i="216"/>
  <c r="L18" i="166"/>
  <c r="L18" i="215"/>
  <c r="O16" i="355"/>
  <c r="M18" i="334"/>
  <c r="M18" i="162"/>
  <c r="M18" i="139"/>
  <c r="L16" i="139"/>
  <c r="W32" i="139" s="1"/>
  <c r="L18" i="355"/>
  <c r="O16" i="344"/>
  <c r="L16" i="162"/>
  <c r="W32" i="162" s="1"/>
  <c r="L16" i="215"/>
  <c r="W32" i="215" s="1"/>
  <c r="L18" i="162"/>
  <c r="L18" i="334"/>
  <c r="O16" i="334"/>
  <c r="M18" i="355"/>
  <c r="O15" i="162"/>
  <c r="O15" i="215"/>
  <c r="O15" i="334"/>
  <c r="G47" i="173"/>
  <c r="O19" i="165" s="1"/>
  <c r="O15" i="165"/>
  <c r="O15" i="166"/>
  <c r="O15" i="216"/>
  <c r="P26" i="173"/>
  <c r="N12" i="192"/>
  <c r="R752" i="209"/>
  <c r="N12" i="156"/>
  <c r="D39" i="4"/>
  <c r="O11" i="209" s="1"/>
  <c r="K77" i="246"/>
  <c r="I731" i="209"/>
  <c r="N12" i="190"/>
  <c r="O26" i="229"/>
  <c r="R784" i="209" s="1"/>
  <c r="E15" i="13"/>
  <c r="D18" i="13"/>
  <c r="J34" i="30"/>
  <c r="J38" i="30" s="1"/>
  <c r="V15" i="30"/>
  <c r="V18" i="30"/>
  <c r="V19" i="30"/>
  <c r="V12" i="30"/>
  <c r="V11" i="30"/>
  <c r="D41" i="4"/>
  <c r="I191" i="209" s="1"/>
  <c r="D38" i="4"/>
  <c r="I11" i="209" s="1"/>
  <c r="D40" i="4"/>
  <c r="I71" i="209" s="1"/>
  <c r="D37" i="4"/>
  <c r="O191" i="209" s="1"/>
  <c r="M15" i="165"/>
  <c r="N15" i="215"/>
  <c r="M17" i="225"/>
  <c r="W32" i="225" s="1"/>
  <c r="G46" i="175"/>
  <c r="O18" i="212" s="1"/>
  <c r="N15" i="355"/>
  <c r="J24" i="292"/>
  <c r="N15" i="334"/>
  <c r="N9" i="295"/>
  <c r="N12" i="360"/>
  <c r="H38" i="229"/>
  <c r="P10" i="327" s="1"/>
  <c r="S777" i="209"/>
  <c r="N15" i="166"/>
  <c r="N15" i="216"/>
  <c r="O18" i="146"/>
  <c r="N9" i="360"/>
  <c r="N12" i="295"/>
  <c r="N15" i="344"/>
  <c r="O18" i="141"/>
  <c r="O17" i="189"/>
  <c r="N10" i="192"/>
  <c r="N9" i="296"/>
  <c r="N12" i="333"/>
  <c r="F47" i="173"/>
  <c r="O17" i="293"/>
  <c r="D592" i="209"/>
  <c r="U532" i="209"/>
  <c r="N15" i="202"/>
  <c r="E44" i="175"/>
  <c r="M16" i="212" s="1"/>
  <c r="W31" i="212" s="1"/>
  <c r="D43" i="173"/>
  <c r="D47" i="173" s="1"/>
  <c r="G42" i="186"/>
  <c r="G38" i="186"/>
  <c r="G37" i="186"/>
  <c r="G40" i="186"/>
  <c r="G39" i="186"/>
  <c r="L782" i="246"/>
  <c r="M782" i="246" s="1"/>
  <c r="G41" i="186"/>
  <c r="J782" i="209"/>
  <c r="N19" i="288"/>
  <c r="N19" i="289"/>
  <c r="N19" i="290"/>
  <c r="E42" i="228"/>
  <c r="J302" i="209" s="1"/>
  <c r="X13" i="49"/>
  <c r="E41" i="228"/>
  <c r="M13" i="225" s="1"/>
  <c r="W28" i="225" s="1"/>
  <c r="P26" i="309"/>
  <c r="J39" i="100"/>
  <c r="X11" i="100"/>
  <c r="X17" i="100"/>
  <c r="X16" i="100"/>
  <c r="X13" i="100"/>
  <c r="X14" i="100"/>
  <c r="X18" i="100"/>
  <c r="X15" i="100"/>
  <c r="X12" i="100"/>
  <c r="E40" i="228"/>
  <c r="M12" i="225" s="1"/>
  <c r="W27" i="225" s="1"/>
  <c r="E39" i="228"/>
  <c r="M11" i="225" s="1"/>
  <c r="W26" i="225" s="1"/>
  <c r="M11" i="356"/>
  <c r="X15" i="49"/>
  <c r="P18" i="327"/>
  <c r="M184" i="209"/>
  <c r="P18" i="44"/>
  <c r="P17" i="248"/>
  <c r="P17" i="327"/>
  <c r="P17" i="326"/>
  <c r="P15" i="84"/>
  <c r="M18" i="160"/>
  <c r="M18" i="353"/>
  <c r="O15" i="104"/>
  <c r="M18" i="178"/>
  <c r="M18" i="183"/>
  <c r="O16" i="189"/>
  <c r="M18" i="137"/>
  <c r="O18" i="187"/>
  <c r="O17" i="195"/>
  <c r="G47" i="172"/>
  <c r="R180" i="246" s="1"/>
  <c r="O18" i="270"/>
  <c r="O18" i="204"/>
  <c r="O16" i="126"/>
  <c r="O16" i="146"/>
  <c r="O17" i="194"/>
  <c r="L26" i="175"/>
  <c r="D43" i="175" s="1"/>
  <c r="E45" i="175"/>
  <c r="M17" i="212" s="1"/>
  <c r="W32" i="212" s="1"/>
  <c r="N15" i="162"/>
  <c r="N15" i="165"/>
  <c r="E38" i="228"/>
  <c r="M10" i="225" s="1"/>
  <c r="W25" i="225" s="1"/>
  <c r="M18" i="146"/>
  <c r="D44" i="174"/>
  <c r="L16" i="84" s="1"/>
  <c r="I748" i="246"/>
  <c r="O16" i="215"/>
  <c r="O16" i="202"/>
  <c r="O17" i="223"/>
  <c r="M18" i="189"/>
  <c r="M18" i="293"/>
  <c r="M18" i="188"/>
  <c r="N14" i="284"/>
  <c r="P18" i="174"/>
  <c r="P18" i="330"/>
  <c r="S770" i="209"/>
  <c r="P15" i="309"/>
  <c r="P15" i="184"/>
  <c r="L11" i="360"/>
  <c r="W27" i="360" s="1"/>
  <c r="L11" i="296"/>
  <c r="L11" i="333"/>
  <c r="L11" i="295"/>
  <c r="M18" i="219"/>
  <c r="O16" i="216"/>
  <c r="L148" i="246"/>
  <c r="M18" i="187"/>
  <c r="M18" i="141"/>
  <c r="O15" i="226"/>
  <c r="P18" i="58"/>
  <c r="P18" i="250"/>
  <c r="M721" i="209"/>
  <c r="P15" i="175"/>
  <c r="L14" i="295"/>
  <c r="L14" i="360"/>
  <c r="W30" i="360" s="1"/>
  <c r="L14" i="333"/>
  <c r="L14" i="296"/>
  <c r="O16" i="166"/>
  <c r="M18" i="195"/>
  <c r="M18" i="194"/>
  <c r="M18" i="349"/>
  <c r="O15" i="186"/>
  <c r="K263" i="246"/>
  <c r="M15" i="79"/>
  <c r="P15" i="229"/>
  <c r="L12" i="360"/>
  <c r="W28" i="360" s="1"/>
  <c r="L12" i="333"/>
  <c r="L12" i="295"/>
  <c r="L12" i="296"/>
  <c r="O15" i="308"/>
  <c r="G47" i="309"/>
  <c r="O19" i="308" s="1"/>
  <c r="P18" i="247"/>
  <c r="O16" i="162"/>
  <c r="O17" i="173"/>
  <c r="M18" i="151"/>
  <c r="M18" i="126"/>
  <c r="M18" i="362"/>
  <c r="N14" i="156"/>
  <c r="P18" i="18"/>
  <c r="P18" i="248"/>
  <c r="P15" i="361"/>
  <c r="L10" i="360"/>
  <c r="W26" i="360" s="1"/>
  <c r="L10" i="296"/>
  <c r="L10" i="295"/>
  <c r="L10" i="333"/>
  <c r="O17" i="103"/>
  <c r="M18" i="204"/>
  <c r="N14" i="192"/>
  <c r="P18" i="326"/>
  <c r="P18" i="291"/>
  <c r="E47" i="308"/>
  <c r="M15" i="307"/>
  <c r="L9" i="360"/>
  <c r="W25" i="360" s="1"/>
  <c r="L9" i="333"/>
  <c r="L9" i="295"/>
  <c r="L9" i="296"/>
  <c r="L13" i="360"/>
  <c r="W29" i="360" s="1"/>
  <c r="L13" i="296"/>
  <c r="L13" i="333"/>
  <c r="L13" i="295"/>
  <c r="G47" i="308"/>
  <c r="O15" i="307"/>
  <c r="O16" i="165"/>
  <c r="M18" i="270"/>
  <c r="P18" i="328"/>
  <c r="P15" i="172"/>
  <c r="P15" i="231"/>
  <c r="M777" i="209"/>
  <c r="E47" i="309"/>
  <c r="M19" i="308" s="1"/>
  <c r="M15" i="308"/>
  <c r="W30" i="308" s="1"/>
  <c r="M15" i="202"/>
  <c r="O18" i="194"/>
  <c r="O18" i="293"/>
  <c r="O18" i="126"/>
  <c r="O16" i="141"/>
  <c r="O16" i="188"/>
  <c r="O17" i="160"/>
  <c r="O17" i="203"/>
  <c r="P17" i="330"/>
  <c r="P17" i="247"/>
  <c r="V462" i="209"/>
  <c r="V522" i="209" s="1"/>
  <c r="V582" i="209" s="1"/>
  <c r="V642" i="209" s="1"/>
  <c r="V702" i="209" s="1"/>
  <c r="V762" i="209" s="1"/>
  <c r="C522" i="209"/>
  <c r="C582" i="209" s="1"/>
  <c r="C642" i="209" s="1"/>
  <c r="C702" i="209" s="1"/>
  <c r="C762" i="209" s="1"/>
  <c r="O18" i="362"/>
  <c r="O18" i="160"/>
  <c r="O16" i="203"/>
  <c r="O16" i="160"/>
  <c r="O16" i="187"/>
  <c r="O17" i="126"/>
  <c r="O17" i="187"/>
  <c r="O17" i="183"/>
  <c r="N10" i="156"/>
  <c r="P17" i="291"/>
  <c r="O18" i="178"/>
  <c r="O18" i="189"/>
  <c r="O16" i="349"/>
  <c r="O16" i="151"/>
  <c r="O16" i="293"/>
  <c r="O17" i="137"/>
  <c r="O17" i="151"/>
  <c r="O17" i="349"/>
  <c r="K15" i="246"/>
  <c r="P17" i="58"/>
  <c r="P17" i="328"/>
  <c r="O18" i="151"/>
  <c r="O18" i="219"/>
  <c r="O18" i="137"/>
  <c r="O16" i="270"/>
  <c r="O16" i="362"/>
  <c r="O16" i="183"/>
  <c r="O17" i="219"/>
  <c r="O17" i="188"/>
  <c r="O17" i="146"/>
  <c r="N10" i="190"/>
  <c r="P17" i="18"/>
  <c r="X20" i="49"/>
  <c r="O18" i="349"/>
  <c r="O18" i="195"/>
  <c r="O18" i="353"/>
  <c r="O16" i="204"/>
  <c r="O16" i="194"/>
  <c r="O16" i="353"/>
  <c r="O17" i="362"/>
  <c r="O17" i="270"/>
  <c r="O17" i="353"/>
  <c r="P17" i="174"/>
  <c r="P17" i="44"/>
  <c r="O18" i="203"/>
  <c r="O18" i="183"/>
  <c r="O16" i="178"/>
  <c r="O16" i="195"/>
  <c r="O17" i="204"/>
  <c r="O17" i="178"/>
  <c r="P17" i="308"/>
  <c r="O15" i="9"/>
  <c r="O15" i="7"/>
  <c r="O15" i="10"/>
  <c r="O15" i="14"/>
  <c r="O15" i="15"/>
  <c r="G47" i="18"/>
  <c r="O15" i="125"/>
  <c r="O15" i="13"/>
  <c r="O15" i="6"/>
  <c r="O15" i="16"/>
  <c r="O15" i="11"/>
  <c r="O15" i="4"/>
  <c r="M19" i="95"/>
  <c r="M19" i="191"/>
  <c r="M19" i="279"/>
  <c r="P162" i="246"/>
  <c r="F40" i="171"/>
  <c r="N12" i="103" s="1"/>
  <c r="F37" i="171"/>
  <c r="N9" i="173" s="1"/>
  <c r="F41" i="171"/>
  <c r="N13" i="173" s="1"/>
  <c r="R30" i="292"/>
  <c r="F39" i="171"/>
  <c r="N11" i="185" s="1"/>
  <c r="F38" i="171"/>
  <c r="K24" i="246" s="1"/>
  <c r="F42" i="171"/>
  <c r="N14" i="103" s="1"/>
  <c r="N15" i="185"/>
  <c r="D45" i="174"/>
  <c r="I190" i="246" s="1"/>
  <c r="O686" i="246"/>
  <c r="N13" i="156"/>
  <c r="Q15" i="246"/>
  <c r="I686" i="246"/>
  <c r="K201" i="246"/>
  <c r="N11" i="190"/>
  <c r="N13" i="284"/>
  <c r="N13" i="192"/>
  <c r="N11" i="156"/>
  <c r="N11" i="284"/>
  <c r="I15" i="246"/>
  <c r="L10" i="192"/>
  <c r="W26" i="192" s="1"/>
  <c r="L10" i="156"/>
  <c r="W26" i="156" s="1"/>
  <c r="L10" i="190"/>
  <c r="W26" i="190" s="1"/>
  <c r="L10" i="284"/>
  <c r="W26" i="284" s="1"/>
  <c r="L13" i="290"/>
  <c r="W29" i="290" s="1"/>
  <c r="L13" i="288"/>
  <c r="W29" i="288" s="1"/>
  <c r="L13" i="289"/>
  <c r="W29" i="289" s="1"/>
  <c r="M13" i="360"/>
  <c r="M13" i="296"/>
  <c r="W29" i="296" s="1"/>
  <c r="M13" i="295"/>
  <c r="W29" i="295" s="1"/>
  <c r="M13" i="333"/>
  <c r="M13" i="191"/>
  <c r="J224" i="246"/>
  <c r="M13" i="279"/>
  <c r="M13" i="95"/>
  <c r="O38" i="246"/>
  <c r="L11" i="191"/>
  <c r="W27" i="191" s="1"/>
  <c r="L11" i="95"/>
  <c r="W27" i="95" s="1"/>
  <c r="L11" i="279"/>
  <c r="W27" i="279" s="1"/>
  <c r="M10" i="347"/>
  <c r="M10" i="221"/>
  <c r="J57" i="209"/>
  <c r="M10" i="220"/>
  <c r="N13" i="325"/>
  <c r="N13" i="324"/>
  <c r="L10" i="220"/>
  <c r="W26" i="220" s="1"/>
  <c r="L10" i="221"/>
  <c r="W26" i="221" s="1"/>
  <c r="I57" i="209"/>
  <c r="L10" i="347"/>
  <c r="W26" i="347" s="1"/>
  <c r="N10" i="105"/>
  <c r="K24" i="209"/>
  <c r="N10" i="213"/>
  <c r="N10" i="214"/>
  <c r="O12" i="221"/>
  <c r="O12" i="220"/>
  <c r="L117" i="209"/>
  <c r="O12" i="347"/>
  <c r="O9" i="333"/>
  <c r="O9" i="296"/>
  <c r="O9" i="360"/>
  <c r="O9" i="295"/>
  <c r="M15" i="139"/>
  <c r="I263" i="246"/>
  <c r="L14" i="190"/>
  <c r="W30" i="190" s="1"/>
  <c r="L14" i="192"/>
  <c r="W30" i="192" s="1"/>
  <c r="L14" i="156"/>
  <c r="W30" i="156" s="1"/>
  <c r="L14" i="284"/>
  <c r="W30" i="284" s="1"/>
  <c r="L9" i="290"/>
  <c r="W25" i="290" s="1"/>
  <c r="L9" i="288"/>
  <c r="W25" i="288" s="1"/>
  <c r="L9" i="289"/>
  <c r="W25" i="289" s="1"/>
  <c r="N9" i="220"/>
  <c r="N9" i="221"/>
  <c r="Q237" i="209"/>
  <c r="N9" i="347"/>
  <c r="M10" i="191"/>
  <c r="M10" i="95"/>
  <c r="J38" i="246"/>
  <c r="M10" i="279"/>
  <c r="O224" i="246"/>
  <c r="L9" i="95"/>
  <c r="W25" i="95" s="1"/>
  <c r="L9" i="191"/>
  <c r="W25" i="191" s="1"/>
  <c r="L9" i="279"/>
  <c r="W25" i="279" s="1"/>
  <c r="M14" i="213"/>
  <c r="M14" i="105"/>
  <c r="M14" i="214"/>
  <c r="J264" i="209"/>
  <c r="N10" i="325"/>
  <c r="N10" i="324"/>
  <c r="O57" i="209"/>
  <c r="L11" i="220"/>
  <c r="W27" i="220" s="1"/>
  <c r="L11" i="347"/>
  <c r="W27" i="347" s="1"/>
  <c r="L11" i="221"/>
  <c r="W27" i="221" s="1"/>
  <c r="O9" i="220"/>
  <c r="R237" i="209"/>
  <c r="O9" i="221"/>
  <c r="O9" i="347"/>
  <c r="O12" i="295"/>
  <c r="O12" i="333"/>
  <c r="O12" i="296"/>
  <c r="O12" i="360"/>
  <c r="N10" i="221"/>
  <c r="N10" i="220"/>
  <c r="K57" i="209"/>
  <c r="N10" i="347"/>
  <c r="O12" i="288"/>
  <c r="O12" i="289"/>
  <c r="O12" i="290"/>
  <c r="O11" i="296"/>
  <c r="O11" i="295"/>
  <c r="O11" i="333"/>
  <c r="O11" i="360"/>
  <c r="M15" i="216"/>
  <c r="M15" i="162"/>
  <c r="L12" i="156"/>
  <c r="W28" i="156" s="1"/>
  <c r="L12" i="190"/>
  <c r="W28" i="190" s="1"/>
  <c r="I77" i="246"/>
  <c r="L12" i="284"/>
  <c r="W28" i="284" s="1"/>
  <c r="L12" i="192"/>
  <c r="W28" i="192" s="1"/>
  <c r="L14" i="288"/>
  <c r="W30" i="288" s="1"/>
  <c r="L14" i="289"/>
  <c r="W30" i="289" s="1"/>
  <c r="L14" i="290"/>
  <c r="W30" i="290" s="1"/>
  <c r="N13" i="220"/>
  <c r="N13" i="347"/>
  <c r="N13" i="221"/>
  <c r="K237" i="209"/>
  <c r="M11" i="296"/>
  <c r="W27" i="296" s="1"/>
  <c r="M11" i="295"/>
  <c r="W27" i="295" s="1"/>
  <c r="M11" i="333"/>
  <c r="W27" i="333" s="1"/>
  <c r="M11" i="360"/>
  <c r="O11" i="288"/>
  <c r="O11" i="290"/>
  <c r="O11" i="289"/>
  <c r="M12" i="191"/>
  <c r="J100" i="246"/>
  <c r="M12" i="95"/>
  <c r="M12" i="279"/>
  <c r="M11" i="214"/>
  <c r="M11" i="105"/>
  <c r="P24" i="209"/>
  <c r="M11" i="213"/>
  <c r="N12" i="324"/>
  <c r="N12" i="325"/>
  <c r="L9" i="347"/>
  <c r="W25" i="347" s="1"/>
  <c r="O237" i="209"/>
  <c r="L9" i="221"/>
  <c r="W25" i="221" s="1"/>
  <c r="L9" i="220"/>
  <c r="W25" i="220" s="1"/>
  <c r="K204" i="209"/>
  <c r="N13" i="105"/>
  <c r="N13" i="214"/>
  <c r="N13" i="213"/>
  <c r="O10" i="295"/>
  <c r="O10" i="360"/>
  <c r="O10" i="296"/>
  <c r="O10" i="333"/>
  <c r="I100" i="246"/>
  <c r="L12" i="279"/>
  <c r="W28" i="279" s="1"/>
  <c r="L12" i="191"/>
  <c r="W28" i="191" s="1"/>
  <c r="L12" i="95"/>
  <c r="W28" i="95" s="1"/>
  <c r="P204" i="209"/>
  <c r="M9" i="105"/>
  <c r="M9" i="214"/>
  <c r="M9" i="213"/>
  <c r="M14" i="220"/>
  <c r="M14" i="221"/>
  <c r="M14" i="347"/>
  <c r="J297" i="209"/>
  <c r="R15" i="292"/>
  <c r="U15" i="292"/>
  <c r="L237" i="209"/>
  <c r="O13" i="221"/>
  <c r="O13" i="220"/>
  <c r="O13" i="347"/>
  <c r="N15" i="103"/>
  <c r="E47" i="173"/>
  <c r="M15" i="344"/>
  <c r="L11" i="284"/>
  <c r="W27" i="284" s="1"/>
  <c r="O15" i="246"/>
  <c r="L11" i="190"/>
  <c r="W27" i="190" s="1"/>
  <c r="L11" i="156"/>
  <c r="W27" i="156" s="1"/>
  <c r="L11" i="192"/>
  <c r="W27" i="192" s="1"/>
  <c r="R16" i="292"/>
  <c r="U16" i="292"/>
  <c r="M9" i="295"/>
  <c r="W25" i="295" s="1"/>
  <c r="M9" i="296"/>
  <c r="W25" i="296" s="1"/>
  <c r="M9" i="333"/>
  <c r="W25" i="333" s="1"/>
  <c r="M9" i="360"/>
  <c r="O13" i="289"/>
  <c r="O13" i="288"/>
  <c r="O13" i="290"/>
  <c r="M9" i="279"/>
  <c r="P224" i="246"/>
  <c r="M9" i="95"/>
  <c r="M9" i="191"/>
  <c r="L10" i="279"/>
  <c r="W26" i="279" s="1"/>
  <c r="L10" i="95"/>
  <c r="W26" i="95" s="1"/>
  <c r="I38" i="246"/>
  <c r="L10" i="191"/>
  <c r="W26" i="191" s="1"/>
  <c r="M10" i="105"/>
  <c r="M10" i="213"/>
  <c r="M10" i="214"/>
  <c r="J24" i="209"/>
  <c r="M12" i="220"/>
  <c r="J117" i="209"/>
  <c r="M12" i="347"/>
  <c r="M12" i="221"/>
  <c r="N9" i="325"/>
  <c r="N9" i="324"/>
  <c r="L12" i="221"/>
  <c r="W28" i="221" s="1"/>
  <c r="I117" i="209"/>
  <c r="L12" i="347"/>
  <c r="W28" i="347" s="1"/>
  <c r="L12" i="220"/>
  <c r="W28" i="220" s="1"/>
  <c r="N9" i="105"/>
  <c r="Q204" i="209"/>
  <c r="N9" i="214"/>
  <c r="N9" i="213"/>
  <c r="L297" i="209"/>
  <c r="O14" i="347"/>
  <c r="O14" i="220"/>
  <c r="O14" i="221"/>
  <c r="F47" i="171"/>
  <c r="Q148" i="246" s="1"/>
  <c r="M15" i="215"/>
  <c r="M15" i="166"/>
  <c r="O19" i="288"/>
  <c r="O19" i="290"/>
  <c r="O19" i="289"/>
  <c r="L10" i="289"/>
  <c r="W26" i="289" s="1"/>
  <c r="L10" i="288"/>
  <c r="W26" i="288" s="1"/>
  <c r="L10" i="290"/>
  <c r="W26" i="290" s="1"/>
  <c r="M19" i="296"/>
  <c r="W34" i="296" s="1"/>
  <c r="M19" i="295"/>
  <c r="W34" i="295" s="1"/>
  <c r="M19" i="333"/>
  <c r="W32" i="333" s="1"/>
  <c r="M19" i="360"/>
  <c r="E47" i="248"/>
  <c r="M19" i="364" s="1"/>
  <c r="M15" i="347"/>
  <c r="M15" i="221"/>
  <c r="M15" i="220"/>
  <c r="N11" i="221"/>
  <c r="Q57" i="209"/>
  <c r="N11" i="347"/>
  <c r="N11" i="220"/>
  <c r="M14" i="333"/>
  <c r="M14" i="360"/>
  <c r="M14" i="295"/>
  <c r="W30" i="295" s="1"/>
  <c r="M14" i="296"/>
  <c r="W30" i="296" s="1"/>
  <c r="O14" i="289"/>
  <c r="O14" i="290"/>
  <c r="O14" i="288"/>
  <c r="I224" i="246"/>
  <c r="L13" i="279"/>
  <c r="W29" i="279" s="1"/>
  <c r="L13" i="95"/>
  <c r="W29" i="95" s="1"/>
  <c r="L13" i="191"/>
  <c r="W29" i="191" s="1"/>
  <c r="J84" i="209"/>
  <c r="M12" i="105"/>
  <c r="M12" i="213"/>
  <c r="M12" i="214"/>
  <c r="M9" i="221"/>
  <c r="M9" i="347"/>
  <c r="P237" i="209"/>
  <c r="M9" i="220"/>
  <c r="N14" i="325"/>
  <c r="N14" i="324"/>
  <c r="L14" i="221"/>
  <c r="W30" i="221" s="1"/>
  <c r="L14" i="220"/>
  <c r="W30" i="220" s="1"/>
  <c r="I297" i="209"/>
  <c r="L14" i="347"/>
  <c r="W30" i="347" s="1"/>
  <c r="N14" i="214"/>
  <c r="K264" i="209"/>
  <c r="N14" i="213"/>
  <c r="N14" i="105"/>
  <c r="O162" i="246"/>
  <c r="L19" i="95"/>
  <c r="W34" i="95" s="1"/>
  <c r="L19" i="191"/>
  <c r="W34" i="191" s="1"/>
  <c r="L19" i="279"/>
  <c r="W34" i="279" s="1"/>
  <c r="O11" i="221"/>
  <c r="O11" i="347"/>
  <c r="O11" i="220"/>
  <c r="R57" i="209"/>
  <c r="O14" i="296"/>
  <c r="O14" i="333"/>
  <c r="O14" i="360"/>
  <c r="O14" i="295"/>
  <c r="L15" i="347"/>
  <c r="W31" i="347" s="1"/>
  <c r="D47" i="248"/>
  <c r="L19" i="364" s="1"/>
  <c r="W34" i="364" s="1"/>
  <c r="L15" i="220"/>
  <c r="W31" i="220" s="1"/>
  <c r="L15" i="221"/>
  <c r="W31" i="221" s="1"/>
  <c r="N15" i="173"/>
  <c r="D47" i="291"/>
  <c r="L15" i="290"/>
  <c r="W31" i="290" s="1"/>
  <c r="L15" i="289"/>
  <c r="W31" i="289" s="1"/>
  <c r="L15" i="288"/>
  <c r="W31" i="288" s="1"/>
  <c r="L11" i="290"/>
  <c r="W27" i="290" s="1"/>
  <c r="L11" i="288"/>
  <c r="W27" i="288" s="1"/>
  <c r="L11" i="289"/>
  <c r="W27" i="289" s="1"/>
  <c r="F47" i="247"/>
  <c r="N15" i="105"/>
  <c r="N15" i="214"/>
  <c r="N15" i="213"/>
  <c r="N12" i="347"/>
  <c r="N12" i="221"/>
  <c r="N12" i="220"/>
  <c r="K117" i="209"/>
  <c r="M12" i="360"/>
  <c r="M12" i="333"/>
  <c r="W28" i="333" s="1"/>
  <c r="M12" i="296"/>
  <c r="W28" i="296" s="1"/>
  <c r="M12" i="295"/>
  <c r="W28" i="295" s="1"/>
  <c r="O10" i="288"/>
  <c r="O10" i="289"/>
  <c r="O10" i="290"/>
  <c r="J286" i="246"/>
  <c r="M14" i="279"/>
  <c r="M14" i="191"/>
  <c r="M14" i="95"/>
  <c r="M15" i="214"/>
  <c r="E47" i="247"/>
  <c r="M15" i="213"/>
  <c r="M15" i="105"/>
  <c r="N19" i="325"/>
  <c r="N19" i="324"/>
  <c r="M13" i="105"/>
  <c r="J204" i="209"/>
  <c r="M13" i="213"/>
  <c r="M13" i="214"/>
  <c r="M11" i="220"/>
  <c r="P57" i="209"/>
  <c r="M11" i="221"/>
  <c r="M11" i="347"/>
  <c r="N11" i="325"/>
  <c r="N11" i="324"/>
  <c r="Q24" i="209"/>
  <c r="N11" i="213"/>
  <c r="N11" i="214"/>
  <c r="N11" i="105"/>
  <c r="N15" i="220"/>
  <c r="F47" i="248"/>
  <c r="N19" i="364" s="1"/>
  <c r="N15" i="221"/>
  <c r="N15" i="347"/>
  <c r="O13" i="295"/>
  <c r="O13" i="360"/>
  <c r="O13" i="296"/>
  <c r="O13" i="333"/>
  <c r="L13" i="192"/>
  <c r="W29" i="192" s="1"/>
  <c r="L13" i="190"/>
  <c r="W29" i="190" s="1"/>
  <c r="L13" i="284"/>
  <c r="W29" i="284" s="1"/>
  <c r="L13" i="156"/>
  <c r="W29" i="156" s="1"/>
  <c r="I201" i="246"/>
  <c r="M11" i="279"/>
  <c r="M11" i="95"/>
  <c r="M11" i="191"/>
  <c r="P38" i="246"/>
  <c r="M15" i="355"/>
  <c r="L9" i="192"/>
  <c r="W25" i="192" s="1"/>
  <c r="O201" i="246"/>
  <c r="L9" i="156"/>
  <c r="W25" i="156" s="1"/>
  <c r="L9" i="190"/>
  <c r="W25" i="190" s="1"/>
  <c r="L9" i="284"/>
  <c r="W25" i="284" s="1"/>
  <c r="L12" i="289"/>
  <c r="W28" i="289" s="1"/>
  <c r="L12" i="290"/>
  <c r="W28" i="290" s="1"/>
  <c r="L12" i="288"/>
  <c r="W28" i="288" s="1"/>
  <c r="K297" i="209"/>
  <c r="N14" i="220"/>
  <c r="N14" i="221"/>
  <c r="N14" i="347"/>
  <c r="M10" i="296"/>
  <c r="W26" i="296" s="1"/>
  <c r="M10" i="333"/>
  <c r="W26" i="333" s="1"/>
  <c r="M10" i="360"/>
  <c r="M10" i="295"/>
  <c r="W26" i="295" s="1"/>
  <c r="O9" i="288"/>
  <c r="O9" i="289"/>
  <c r="O9" i="290"/>
  <c r="I286" i="246"/>
  <c r="L14" i="279"/>
  <c r="W30" i="279" s="1"/>
  <c r="L14" i="191"/>
  <c r="W30" i="191" s="1"/>
  <c r="L14" i="95"/>
  <c r="W30" i="95" s="1"/>
  <c r="M13" i="221"/>
  <c r="M13" i="220"/>
  <c r="J237" i="209"/>
  <c r="M13" i="347"/>
  <c r="U12" i="292"/>
  <c r="R12" i="292"/>
  <c r="I237" i="209"/>
  <c r="L13" i="221"/>
  <c r="W29" i="221" s="1"/>
  <c r="L13" i="220"/>
  <c r="W29" i="220" s="1"/>
  <c r="L13" i="347"/>
  <c r="W29" i="347" s="1"/>
  <c r="K84" i="209"/>
  <c r="N12" i="213"/>
  <c r="N12" i="214"/>
  <c r="N12" i="105"/>
  <c r="O10" i="347"/>
  <c r="O10" i="221"/>
  <c r="O10" i="220"/>
  <c r="L57" i="209"/>
  <c r="O15" i="185"/>
  <c r="M16" i="204"/>
  <c r="F42" i="125"/>
  <c r="K253" i="209" s="1"/>
  <c r="F40" i="125"/>
  <c r="K73" i="209" s="1"/>
  <c r="F39" i="125"/>
  <c r="Q13" i="209" s="1"/>
  <c r="F41" i="125"/>
  <c r="K193" i="209" s="1"/>
  <c r="F37" i="125"/>
  <c r="Q193" i="209" s="1"/>
  <c r="K733" i="209"/>
  <c r="F38" i="125"/>
  <c r="K13" i="209" s="1"/>
  <c r="G15" i="154"/>
  <c r="G18" i="154" s="1"/>
  <c r="F18" i="154"/>
  <c r="M16" i="353"/>
  <c r="X16" i="124"/>
  <c r="X11" i="124"/>
  <c r="X12" i="124"/>
  <c r="J32" i="124"/>
  <c r="G42" i="125"/>
  <c r="L253" i="209" s="1"/>
  <c r="G38" i="125"/>
  <c r="L13" i="209" s="1"/>
  <c r="G41" i="125"/>
  <c r="L193" i="209" s="1"/>
  <c r="L733" i="209"/>
  <c r="M733" i="209" s="1"/>
  <c r="G40" i="125"/>
  <c r="L73" i="209" s="1"/>
  <c r="G37" i="125"/>
  <c r="R193" i="209" s="1"/>
  <c r="G39" i="125"/>
  <c r="R13" i="209" s="1"/>
  <c r="H18" i="125"/>
  <c r="M16" i="219"/>
  <c r="O184" i="246"/>
  <c r="L19" i="307"/>
  <c r="W34" i="307" s="1"/>
  <c r="R177" i="209"/>
  <c r="O19" i="220"/>
  <c r="O19" i="221"/>
  <c r="O19" i="347"/>
  <c r="O15" i="173"/>
  <c r="D40" i="123"/>
  <c r="I95" i="209" s="1"/>
  <c r="D38" i="123"/>
  <c r="I35" i="209" s="1"/>
  <c r="D41" i="123"/>
  <c r="I215" i="209" s="1"/>
  <c r="D42" i="123"/>
  <c r="I275" i="209" s="1"/>
  <c r="I755" i="209"/>
  <c r="D37" i="123"/>
  <c r="O215" i="209" s="1"/>
  <c r="D39" i="123"/>
  <c r="O35" i="209" s="1"/>
  <c r="O26" i="174"/>
  <c r="G43" i="174" s="1"/>
  <c r="O15" i="361" s="1"/>
  <c r="M16" i="188"/>
  <c r="E37" i="154"/>
  <c r="P218" i="209" s="1"/>
  <c r="E40" i="154"/>
  <c r="J98" i="209" s="1"/>
  <c r="J758" i="209"/>
  <c r="E42" i="154"/>
  <c r="J278" i="209" s="1"/>
  <c r="E41" i="154"/>
  <c r="J218" i="209" s="1"/>
  <c r="E39" i="154"/>
  <c r="P38" i="209" s="1"/>
  <c r="E38" i="154"/>
  <c r="J38" i="209" s="1"/>
  <c r="F15" i="123"/>
  <c r="F15" i="44" s="1"/>
  <c r="E18" i="123"/>
  <c r="E18" i="44" s="1"/>
  <c r="D47" i="309"/>
  <c r="L19" i="308" s="1"/>
  <c r="L15" i="308"/>
  <c r="P26" i="231"/>
  <c r="W30" i="223"/>
  <c r="M15" i="337"/>
  <c r="X10" i="36"/>
  <c r="M692" i="209"/>
  <c r="L19" i="333"/>
  <c r="L19" i="360"/>
  <c r="W34" i="360" s="1"/>
  <c r="L19" i="296"/>
  <c r="L19" i="295"/>
  <c r="N19" i="307"/>
  <c r="Q184" i="246"/>
  <c r="M15" i="185"/>
  <c r="W30" i="185" s="1"/>
  <c r="M744" i="246"/>
  <c r="R27" i="292"/>
  <c r="U27" i="292"/>
  <c r="L11" i="97"/>
  <c r="W27" i="97" s="1"/>
  <c r="L11" i="354"/>
  <c r="W27" i="354" s="1"/>
  <c r="L11" i="101"/>
  <c r="W27" i="101" s="1"/>
  <c r="L11" i="359"/>
  <c r="W27" i="359" s="1"/>
  <c r="L11" i="118"/>
  <c r="W27" i="118" s="1"/>
  <c r="O33" i="246"/>
  <c r="L11" i="271"/>
  <c r="W27" i="271" s="1"/>
  <c r="L11" i="99"/>
  <c r="W27" i="99" s="1"/>
  <c r="L11" i="176"/>
  <c r="W27" i="176" s="1"/>
  <c r="J60" i="246"/>
  <c r="M10" i="307"/>
  <c r="O14" i="156"/>
  <c r="L263" i="246"/>
  <c r="O14" i="284"/>
  <c r="O14" i="190"/>
  <c r="O14" i="192"/>
  <c r="L110" i="209"/>
  <c r="O12" i="345"/>
  <c r="O12" i="356"/>
  <c r="O15" i="91"/>
  <c r="G47" i="103"/>
  <c r="O16" i="313"/>
  <c r="M18" i="173"/>
  <c r="M18" i="223"/>
  <c r="M18" i="103"/>
  <c r="M18" i="185"/>
  <c r="J257" i="246"/>
  <c r="M14" i="91"/>
  <c r="M15" i="313"/>
  <c r="E41" i="171"/>
  <c r="E37" i="171"/>
  <c r="E42" i="171"/>
  <c r="E38" i="171"/>
  <c r="E40" i="171"/>
  <c r="J768" i="246"/>
  <c r="E39" i="171"/>
  <c r="O15" i="103"/>
  <c r="E47" i="171"/>
  <c r="M19" i="173" s="1"/>
  <c r="M16" i="203"/>
  <c r="M16" i="195"/>
  <c r="E47" i="44"/>
  <c r="M19" i="337" s="1"/>
  <c r="M15" i="196"/>
  <c r="E37" i="173"/>
  <c r="E40" i="173"/>
  <c r="E38" i="173"/>
  <c r="E42" i="173"/>
  <c r="E39" i="173"/>
  <c r="E41" i="173"/>
  <c r="L17" i="225"/>
  <c r="I182" i="209"/>
  <c r="K281" i="246"/>
  <c r="N14" i="359"/>
  <c r="N14" i="97"/>
  <c r="N14" i="354"/>
  <c r="N14" i="271"/>
  <c r="N14" i="101"/>
  <c r="N14" i="176"/>
  <c r="N14" i="118"/>
  <c r="N14" i="99"/>
  <c r="O15" i="225"/>
  <c r="G47" i="228"/>
  <c r="O14" i="101"/>
  <c r="O14" i="359"/>
  <c r="O14" i="176"/>
  <c r="O14" i="354"/>
  <c r="O14" i="271"/>
  <c r="O14" i="97"/>
  <c r="L281" i="246"/>
  <c r="O14" i="118"/>
  <c r="O14" i="99"/>
  <c r="R780" i="209"/>
  <c r="G43" i="58"/>
  <c r="G47" i="58" s="1"/>
  <c r="R180" i="209" s="1"/>
  <c r="E43" i="228"/>
  <c r="P782" i="209"/>
  <c r="L664" i="209"/>
  <c r="L724" i="209"/>
  <c r="G46" i="229"/>
  <c r="G44" i="229"/>
  <c r="G45" i="229"/>
  <c r="V18" i="292"/>
  <c r="S18" i="292"/>
  <c r="T18" i="292" s="1"/>
  <c r="M12" i="307"/>
  <c r="J122" i="246"/>
  <c r="O11" i="91"/>
  <c r="R9" i="246"/>
  <c r="O11" i="313"/>
  <c r="M17" i="103"/>
  <c r="W32" i="103" s="1"/>
  <c r="M17" i="173"/>
  <c r="W32" i="173" s="1"/>
  <c r="J148" i="246"/>
  <c r="M17" i="223"/>
  <c r="W32" i="223" s="1"/>
  <c r="M17" i="185"/>
  <c r="W32" i="185" s="1"/>
  <c r="M13" i="192"/>
  <c r="M13" i="156"/>
  <c r="M13" i="190"/>
  <c r="M13" i="284"/>
  <c r="J201" i="246"/>
  <c r="L13" i="307"/>
  <c r="W29" i="307" s="1"/>
  <c r="I246" i="246"/>
  <c r="V22" i="292"/>
  <c r="S22" i="292"/>
  <c r="T22" i="292" s="1"/>
  <c r="N9" i="356"/>
  <c r="Q230" i="209"/>
  <c r="N9" i="345"/>
  <c r="O15" i="154"/>
  <c r="O15" i="337"/>
  <c r="O15" i="79"/>
  <c r="O15" i="196"/>
  <c r="O15" i="72"/>
  <c r="O15" i="338"/>
  <c r="G47" i="44"/>
  <c r="O15" i="39"/>
  <c r="O15" i="123"/>
  <c r="R122" i="209"/>
  <c r="O16" i="225"/>
  <c r="D38" i="250"/>
  <c r="I61" i="209" s="1"/>
  <c r="H18" i="250"/>
  <c r="D40" i="250"/>
  <c r="I121" i="209" s="1"/>
  <c r="D39" i="250"/>
  <c r="O61" i="209" s="1"/>
  <c r="I781" i="209"/>
  <c r="D37" i="250"/>
  <c r="O241" i="209" s="1"/>
  <c r="D42" i="250"/>
  <c r="I301" i="209" s="1"/>
  <c r="D41" i="250"/>
  <c r="I241" i="209" s="1"/>
  <c r="L257" i="246"/>
  <c r="O15" i="313"/>
  <c r="O14" i="91"/>
  <c r="N15" i="156"/>
  <c r="F47" i="185"/>
  <c r="N15" i="190"/>
  <c r="N15" i="284"/>
  <c r="N15" i="192"/>
  <c r="L14" i="307"/>
  <c r="W30" i="307" s="1"/>
  <c r="I308" i="246"/>
  <c r="E43" i="327"/>
  <c r="E47" i="327" s="1"/>
  <c r="P152" i="209" s="1"/>
  <c r="P752" i="209"/>
  <c r="L9" i="354"/>
  <c r="W25" i="354" s="1"/>
  <c r="L9" i="359"/>
  <c r="W25" i="359" s="1"/>
  <c r="L9" i="176"/>
  <c r="W25" i="176" s="1"/>
  <c r="L9" i="101"/>
  <c r="W25" i="101" s="1"/>
  <c r="O219" i="246"/>
  <c r="L9" i="97"/>
  <c r="W25" i="97" s="1"/>
  <c r="L9" i="271"/>
  <c r="W25" i="271" s="1"/>
  <c r="L9" i="99"/>
  <c r="W25" i="99" s="1"/>
  <c r="L9" i="118"/>
  <c r="W25" i="118" s="1"/>
  <c r="O15" i="223"/>
  <c r="M15" i="173"/>
  <c r="W30" i="173" s="1"/>
  <c r="M16" i="160"/>
  <c r="M16" i="293"/>
  <c r="M16" i="349"/>
  <c r="M15" i="338"/>
  <c r="N11" i="99"/>
  <c r="N11" i="118"/>
  <c r="N11" i="176"/>
  <c r="N11" i="97"/>
  <c r="N11" i="359"/>
  <c r="N11" i="101"/>
  <c r="N11" i="354"/>
  <c r="N11" i="271"/>
  <c r="Q33" i="246"/>
  <c r="S762" i="209"/>
  <c r="D43" i="328"/>
  <c r="D47" i="328" s="1"/>
  <c r="P26" i="328"/>
  <c r="F43" i="250"/>
  <c r="F47" i="250" s="1"/>
  <c r="Q181" i="209" s="1"/>
  <c r="Q781" i="209"/>
  <c r="G43" i="250"/>
  <c r="G47" i="250" s="1"/>
  <c r="R181" i="209" s="1"/>
  <c r="R781" i="209"/>
  <c r="L15" i="356"/>
  <c r="W31" i="356" s="1"/>
  <c r="L15" i="345"/>
  <c r="W31" i="345" s="1"/>
  <c r="D47" i="225"/>
  <c r="M722" i="209"/>
  <c r="L14" i="176"/>
  <c r="W30" i="176" s="1"/>
  <c r="L14" i="118"/>
  <c r="W30" i="118" s="1"/>
  <c r="I281" i="246"/>
  <c r="L14" i="271"/>
  <c r="W30" i="271" s="1"/>
  <c r="L14" i="99"/>
  <c r="W30" i="99" s="1"/>
  <c r="L14" i="97"/>
  <c r="W30" i="97" s="1"/>
  <c r="L14" i="359"/>
  <c r="W30" i="359" s="1"/>
  <c r="L14" i="354"/>
  <c r="W30" i="354" s="1"/>
  <c r="L14" i="101"/>
  <c r="W30" i="101" s="1"/>
  <c r="J246" i="246"/>
  <c r="M13" i="307"/>
  <c r="G41" i="84"/>
  <c r="L248" i="246" s="1"/>
  <c r="G37" i="84"/>
  <c r="R248" i="246" s="1"/>
  <c r="G40" i="84"/>
  <c r="L124" i="246" s="1"/>
  <c r="G42" i="84"/>
  <c r="L310" i="246" s="1"/>
  <c r="G39" i="84"/>
  <c r="R62" i="246" s="1"/>
  <c r="G38" i="84"/>
  <c r="L62" i="246" s="1"/>
  <c r="L806" i="246"/>
  <c r="D41" i="173"/>
  <c r="D37" i="173"/>
  <c r="D42" i="173"/>
  <c r="D40" i="173"/>
  <c r="D38" i="173"/>
  <c r="D39" i="173"/>
  <c r="M9" i="192"/>
  <c r="M9" i="156"/>
  <c r="P201" i="246"/>
  <c r="M9" i="190"/>
  <c r="M9" i="284"/>
  <c r="I122" i="246"/>
  <c r="L12" i="307"/>
  <c r="W28" i="307" s="1"/>
  <c r="Q122" i="209"/>
  <c r="N16" i="225"/>
  <c r="K50" i="209"/>
  <c r="N10" i="356"/>
  <c r="N10" i="345"/>
  <c r="F42" i="250"/>
  <c r="K301" i="209" s="1"/>
  <c r="K781" i="209"/>
  <c r="F41" i="250"/>
  <c r="K241" i="209" s="1"/>
  <c r="F38" i="250"/>
  <c r="K61" i="209" s="1"/>
  <c r="F39" i="250"/>
  <c r="Q61" i="209" s="1"/>
  <c r="F40" i="250"/>
  <c r="K121" i="209" s="1"/>
  <c r="O18" i="292"/>
  <c r="F37" i="250"/>
  <c r="Q241" i="209" s="1"/>
  <c r="O9" i="307"/>
  <c r="R246" i="246"/>
  <c r="N19" i="99"/>
  <c r="N19" i="118"/>
  <c r="Q157" i="246"/>
  <c r="N19" i="176"/>
  <c r="N19" i="97"/>
  <c r="N19" i="354"/>
  <c r="N19" i="101"/>
  <c r="N19" i="271"/>
  <c r="N19" i="359"/>
  <c r="N19" i="241"/>
  <c r="N15" i="241"/>
  <c r="N12" i="356"/>
  <c r="N12" i="345"/>
  <c r="K110" i="209"/>
  <c r="M16" i="146"/>
  <c r="M16" i="178"/>
  <c r="M16" i="141"/>
  <c r="M15" i="72"/>
  <c r="L16" i="225"/>
  <c r="O122" i="209"/>
  <c r="N10" i="359"/>
  <c r="N10" i="118"/>
  <c r="N10" i="271"/>
  <c r="N10" i="176"/>
  <c r="N10" i="99"/>
  <c r="N10" i="101"/>
  <c r="K33" i="246"/>
  <c r="N10" i="354"/>
  <c r="N10" i="97"/>
  <c r="G39" i="250"/>
  <c r="R61" i="209" s="1"/>
  <c r="L781" i="209"/>
  <c r="G41" i="250"/>
  <c r="L241" i="209" s="1"/>
  <c r="G37" i="250"/>
  <c r="R241" i="209" s="1"/>
  <c r="G38" i="250"/>
  <c r="L61" i="209" s="1"/>
  <c r="G40" i="250"/>
  <c r="L121" i="209" s="1"/>
  <c r="G42" i="250"/>
  <c r="L301" i="209" s="1"/>
  <c r="L95" i="246"/>
  <c r="O12" i="359"/>
  <c r="O12" i="176"/>
  <c r="O12" i="97"/>
  <c r="O12" i="271"/>
  <c r="O12" i="99"/>
  <c r="O12" i="118"/>
  <c r="O12" i="354"/>
  <c r="O12" i="101"/>
  <c r="M15" i="11"/>
  <c r="M15" i="15"/>
  <c r="M15" i="13"/>
  <c r="M15" i="9"/>
  <c r="M15" i="6"/>
  <c r="M15" i="16"/>
  <c r="M15" i="7"/>
  <c r="M15" i="4"/>
  <c r="E47" i="18"/>
  <c r="M15" i="125"/>
  <c r="M15" i="14"/>
  <c r="M15" i="10"/>
  <c r="F43" i="327"/>
  <c r="F47" i="327" s="1"/>
  <c r="Q152" i="209" s="1"/>
  <c r="Q752" i="209"/>
  <c r="O17" i="225"/>
  <c r="L182" i="209"/>
  <c r="M777" i="246"/>
  <c r="O10" i="345"/>
  <c r="O10" i="356"/>
  <c r="L50" i="209"/>
  <c r="E41" i="309"/>
  <c r="M13" i="308" s="1"/>
  <c r="W28" i="308" s="1"/>
  <c r="E42" i="309"/>
  <c r="M14" i="308" s="1"/>
  <c r="W29" i="308" s="1"/>
  <c r="E37" i="309"/>
  <c r="M9" i="308" s="1"/>
  <c r="W24" i="308" s="1"/>
  <c r="E40" i="309"/>
  <c r="M12" i="308" s="1"/>
  <c r="W27" i="308" s="1"/>
  <c r="E38" i="309"/>
  <c r="M10" i="308" s="1"/>
  <c r="W25" i="308" s="1"/>
  <c r="E39" i="309"/>
  <c r="M11" i="308" s="1"/>
  <c r="W26" i="308" s="1"/>
  <c r="O15" i="192"/>
  <c r="O15" i="284"/>
  <c r="O15" i="156"/>
  <c r="O15" i="190"/>
  <c r="G47" i="185"/>
  <c r="O19" i="359"/>
  <c r="O19" i="101"/>
  <c r="O19" i="97"/>
  <c r="R157" i="246"/>
  <c r="O19" i="99"/>
  <c r="O19" i="271"/>
  <c r="O19" i="176"/>
  <c r="O19" i="118"/>
  <c r="O19" i="354"/>
  <c r="N26" i="229"/>
  <c r="F43" i="228"/>
  <c r="Q782" i="209"/>
  <c r="N19" i="123"/>
  <c r="N19" i="337"/>
  <c r="N19" i="72"/>
  <c r="N19" i="39"/>
  <c r="N19" i="154"/>
  <c r="N19" i="196"/>
  <c r="N19" i="338"/>
  <c r="N19" i="79"/>
  <c r="Q162" i="209"/>
  <c r="M12" i="91"/>
  <c r="M12" i="313"/>
  <c r="J71" i="246"/>
  <c r="E37" i="184"/>
  <c r="P249" i="246" s="1"/>
  <c r="E38" i="184"/>
  <c r="J63" i="246" s="1"/>
  <c r="E40" i="184"/>
  <c r="J125" i="246" s="1"/>
  <c r="J807" i="246"/>
  <c r="E42" i="184"/>
  <c r="J311" i="246" s="1"/>
  <c r="E39" i="184"/>
  <c r="P63" i="246" s="1"/>
  <c r="E41" i="184"/>
  <c r="J249" i="246" s="1"/>
  <c r="E47" i="185"/>
  <c r="M15" i="190"/>
  <c r="M15" i="284"/>
  <c r="M15" i="192"/>
  <c r="M15" i="156"/>
  <c r="O246" i="246"/>
  <c r="L9" i="307"/>
  <c r="W25" i="307" s="1"/>
  <c r="F44" i="229"/>
  <c r="R664" i="209"/>
  <c r="F46" i="229"/>
  <c r="M24" i="292"/>
  <c r="K724" i="209"/>
  <c r="F45" i="229"/>
  <c r="Q664" i="209"/>
  <c r="K664" i="209"/>
  <c r="N13" i="345"/>
  <c r="K230" i="209"/>
  <c r="N13" i="356"/>
  <c r="F38" i="228"/>
  <c r="F41" i="228"/>
  <c r="F42" i="228"/>
  <c r="O22" i="292"/>
  <c r="F37" i="228"/>
  <c r="F40" i="228"/>
  <c r="K782" i="209"/>
  <c r="F39" i="228"/>
  <c r="O9" i="359"/>
  <c r="O9" i="271"/>
  <c r="O9" i="99"/>
  <c r="O9" i="354"/>
  <c r="O9" i="101"/>
  <c r="R219" i="246"/>
  <c r="O9" i="176"/>
  <c r="O9" i="118"/>
  <c r="O9" i="97"/>
  <c r="K182" i="209"/>
  <c r="N17" i="225"/>
  <c r="O9" i="91"/>
  <c r="O9" i="313"/>
  <c r="R195" i="246"/>
  <c r="M16" i="137"/>
  <c r="M16" i="151"/>
  <c r="M16" i="362"/>
  <c r="P26" i="84"/>
  <c r="M15" i="39"/>
  <c r="L26" i="229"/>
  <c r="P26" i="228"/>
  <c r="O782" i="209"/>
  <c r="D43" i="228"/>
  <c r="L219" i="246"/>
  <c r="O13" i="101"/>
  <c r="O13" i="118"/>
  <c r="O13" i="99"/>
  <c r="O13" i="176"/>
  <c r="O13" i="271"/>
  <c r="O13" i="97"/>
  <c r="O13" i="359"/>
  <c r="O13" i="354"/>
  <c r="L60" i="246"/>
  <c r="O10" i="307"/>
  <c r="F43" i="58"/>
  <c r="F47" i="58" s="1"/>
  <c r="Q180" i="209" s="1"/>
  <c r="Q780" i="209"/>
  <c r="O781" i="209"/>
  <c r="P26" i="250"/>
  <c r="D43" i="250"/>
  <c r="D47" i="250" s="1"/>
  <c r="O181" i="209" s="1"/>
  <c r="L13" i="271"/>
  <c r="W29" i="271" s="1"/>
  <c r="L13" i="118"/>
  <c r="W29" i="118" s="1"/>
  <c r="L13" i="97"/>
  <c r="W29" i="97" s="1"/>
  <c r="L13" i="99"/>
  <c r="W29" i="99" s="1"/>
  <c r="L13" i="101"/>
  <c r="W29" i="101" s="1"/>
  <c r="L13" i="354"/>
  <c r="W29" i="354" s="1"/>
  <c r="L13" i="176"/>
  <c r="W29" i="176" s="1"/>
  <c r="I219" i="246"/>
  <c r="L13" i="359"/>
  <c r="W29" i="359" s="1"/>
  <c r="O11" i="345"/>
  <c r="O11" i="356"/>
  <c r="R50" i="209"/>
  <c r="O15" i="356"/>
  <c r="O15" i="345"/>
  <c r="G47" i="225"/>
  <c r="D43" i="327"/>
  <c r="D47" i="327" s="1"/>
  <c r="O152" i="209" s="1"/>
  <c r="O752" i="209"/>
  <c r="P26" i="327"/>
  <c r="J308" i="246"/>
  <c r="M14" i="307"/>
  <c r="L195" i="246"/>
  <c r="O13" i="313"/>
  <c r="O13" i="91"/>
  <c r="P86" i="246"/>
  <c r="M16" i="173"/>
  <c r="W31" i="173" s="1"/>
  <c r="M16" i="185"/>
  <c r="W31" i="185" s="1"/>
  <c r="M16" i="103"/>
  <c r="W31" i="103" s="1"/>
  <c r="M16" i="223"/>
  <c r="W31" i="223" s="1"/>
  <c r="P195" i="246"/>
  <c r="M9" i="313"/>
  <c r="M9" i="91"/>
  <c r="M14" i="192"/>
  <c r="M14" i="190"/>
  <c r="J263" i="246"/>
  <c r="M14" i="156"/>
  <c r="M14" i="284"/>
  <c r="D37" i="184"/>
  <c r="O249" i="246" s="1"/>
  <c r="I807" i="246"/>
  <c r="D41" i="184"/>
  <c r="I249" i="246" s="1"/>
  <c r="D38" i="184"/>
  <c r="I63" i="246" s="1"/>
  <c r="D40" i="184"/>
  <c r="I125" i="246" s="1"/>
  <c r="D42" i="184"/>
  <c r="I311" i="246" s="1"/>
  <c r="D39" i="184"/>
  <c r="O63" i="246" s="1"/>
  <c r="O60" i="246"/>
  <c r="L11" i="307"/>
  <c r="W27" i="307" s="1"/>
  <c r="E47" i="103"/>
  <c r="M15" i="91"/>
  <c r="M16" i="313"/>
  <c r="K290" i="209"/>
  <c r="N14" i="345"/>
  <c r="N14" i="356"/>
  <c r="R144" i="209"/>
  <c r="O19" i="213"/>
  <c r="O19" i="214"/>
  <c r="O19" i="105"/>
  <c r="E47" i="225"/>
  <c r="M15" i="356"/>
  <c r="M15" i="345"/>
  <c r="M11" i="91"/>
  <c r="M11" i="313"/>
  <c r="P9" i="246"/>
  <c r="L15" i="241"/>
  <c r="W31" i="241" s="1"/>
  <c r="L19" i="241"/>
  <c r="W34" i="241" s="1"/>
  <c r="M15" i="103"/>
  <c r="W30" i="103" s="1"/>
  <c r="M16" i="270"/>
  <c r="M16" i="194"/>
  <c r="M16" i="126"/>
  <c r="M15" i="154"/>
  <c r="N13" i="99"/>
  <c r="N13" i="359"/>
  <c r="N13" i="354"/>
  <c r="N13" i="97"/>
  <c r="K219" i="246"/>
  <c r="N13" i="176"/>
  <c r="N13" i="271"/>
  <c r="N13" i="118"/>
  <c r="N13" i="101"/>
  <c r="O11" i="118"/>
  <c r="O11" i="99"/>
  <c r="O11" i="97"/>
  <c r="O11" i="359"/>
  <c r="O11" i="271"/>
  <c r="R33" i="246"/>
  <c r="O11" i="101"/>
  <c r="O11" i="176"/>
  <c r="O11" i="354"/>
  <c r="R60" i="246"/>
  <c r="Q133" i="246"/>
  <c r="N19" i="91"/>
  <c r="N20" i="313"/>
  <c r="N15" i="9"/>
  <c r="N15" i="15"/>
  <c r="N15" i="14"/>
  <c r="N15" i="125"/>
  <c r="N15" i="6"/>
  <c r="N15" i="7"/>
  <c r="N15" i="10"/>
  <c r="N15" i="11"/>
  <c r="N15" i="4"/>
  <c r="N15" i="16"/>
  <c r="F47" i="18"/>
  <c r="N15" i="13"/>
  <c r="L12" i="97"/>
  <c r="W28" i="97" s="1"/>
  <c r="L12" i="118"/>
  <c r="W28" i="118" s="1"/>
  <c r="L12" i="359"/>
  <c r="W28" i="359" s="1"/>
  <c r="L12" i="271"/>
  <c r="W28" i="271" s="1"/>
  <c r="L12" i="101"/>
  <c r="W28" i="101" s="1"/>
  <c r="I95" i="246"/>
  <c r="L12" i="99"/>
  <c r="W28" i="99" s="1"/>
  <c r="L12" i="176"/>
  <c r="W28" i="176" s="1"/>
  <c r="L12" i="354"/>
  <c r="W28" i="354" s="1"/>
  <c r="O13" i="356"/>
  <c r="L230" i="209"/>
  <c r="O13" i="345"/>
  <c r="L15" i="14"/>
  <c r="W31" i="14" s="1"/>
  <c r="L15" i="16"/>
  <c r="W31" i="16" s="1"/>
  <c r="L15" i="4"/>
  <c r="W31" i="4" s="1"/>
  <c r="L15" i="7"/>
  <c r="W31" i="7" s="1"/>
  <c r="L15" i="11"/>
  <c r="W31" i="11" s="1"/>
  <c r="L15" i="15"/>
  <c r="W31" i="15" s="1"/>
  <c r="L15" i="6"/>
  <c r="W31" i="6" s="1"/>
  <c r="L15" i="125"/>
  <c r="W31" i="125" s="1"/>
  <c r="L15" i="9"/>
  <c r="W31" i="9" s="1"/>
  <c r="D47" i="18"/>
  <c r="L15" i="10"/>
  <c r="W31" i="10" s="1"/>
  <c r="L15" i="13"/>
  <c r="W31" i="13" s="1"/>
  <c r="P60" i="246"/>
  <c r="M11" i="307"/>
  <c r="L71" i="246"/>
  <c r="O12" i="91"/>
  <c r="O12" i="313"/>
  <c r="N15" i="345"/>
  <c r="F47" i="225"/>
  <c r="N15" i="356"/>
  <c r="M10" i="91"/>
  <c r="M10" i="313"/>
  <c r="J9" i="246"/>
  <c r="D40" i="309"/>
  <c r="L12" i="308" s="1"/>
  <c r="D37" i="309"/>
  <c r="L9" i="308" s="1"/>
  <c r="D38" i="309"/>
  <c r="L10" i="308" s="1"/>
  <c r="D42" i="309"/>
  <c r="L14" i="308" s="1"/>
  <c r="D39" i="309"/>
  <c r="L11" i="308" s="1"/>
  <c r="D41" i="309"/>
  <c r="L13" i="308" s="1"/>
  <c r="N11" i="356"/>
  <c r="Q50" i="209"/>
  <c r="N11" i="345"/>
  <c r="R230" i="209"/>
  <c r="O9" i="356"/>
  <c r="O9" i="345"/>
  <c r="M11" i="192"/>
  <c r="M11" i="284"/>
  <c r="P15" i="246"/>
  <c r="M11" i="190"/>
  <c r="M11" i="156"/>
  <c r="N12" i="101"/>
  <c r="N12" i="271"/>
  <c r="N12" i="354"/>
  <c r="N12" i="176"/>
  <c r="N12" i="118"/>
  <c r="K95" i="246"/>
  <c r="N12" i="97"/>
  <c r="N12" i="99"/>
  <c r="N12" i="359"/>
  <c r="I806" i="246"/>
  <c r="D42" i="84"/>
  <c r="I310" i="246" s="1"/>
  <c r="D40" i="84"/>
  <c r="I124" i="246" s="1"/>
  <c r="H18" i="84"/>
  <c r="D39" i="84"/>
  <c r="O62" i="246" s="1"/>
  <c r="D41" i="84"/>
  <c r="I248" i="246" s="1"/>
  <c r="D37" i="84"/>
  <c r="O248" i="246" s="1"/>
  <c r="D38" i="84"/>
  <c r="I62" i="246" s="1"/>
  <c r="P26" i="171"/>
  <c r="M16" i="183"/>
  <c r="M16" i="189"/>
  <c r="N9" i="176"/>
  <c r="Q219" i="246"/>
  <c r="N9" i="97"/>
  <c r="N9" i="99"/>
  <c r="N9" i="354"/>
  <c r="N9" i="101"/>
  <c r="N9" i="359"/>
  <c r="N9" i="271"/>
  <c r="N9" i="118"/>
  <c r="V13" i="292"/>
  <c r="S13" i="292"/>
  <c r="T13" i="292" s="1"/>
  <c r="O10" i="359"/>
  <c r="L33" i="246"/>
  <c r="O10" i="99"/>
  <c r="O10" i="101"/>
  <c r="O10" i="354"/>
  <c r="O10" i="118"/>
  <c r="O10" i="97"/>
  <c r="O10" i="176"/>
  <c r="O10" i="271"/>
  <c r="P26" i="330"/>
  <c r="G43" i="330"/>
  <c r="G47" i="330" s="1"/>
  <c r="D47" i="44"/>
  <c r="L15" i="79"/>
  <c r="W31" i="79" s="1"/>
  <c r="L15" i="39"/>
  <c r="W31" i="39" s="1"/>
  <c r="L15" i="196"/>
  <c r="W31" i="196" s="1"/>
  <c r="L15" i="154"/>
  <c r="W31" i="154" s="1"/>
  <c r="L15" i="338"/>
  <c r="W31" i="338" s="1"/>
  <c r="L15" i="123"/>
  <c r="W31" i="123" s="1"/>
  <c r="L15" i="337"/>
  <c r="W31" i="337" s="1"/>
  <c r="L15" i="72"/>
  <c r="W31" i="72" s="1"/>
  <c r="L10" i="354"/>
  <c r="W26" i="354" s="1"/>
  <c r="L10" i="101"/>
  <c r="W26" i="101" s="1"/>
  <c r="I33" i="246"/>
  <c r="L10" i="271"/>
  <c r="W26" i="271" s="1"/>
  <c r="L10" i="176"/>
  <c r="W26" i="176" s="1"/>
  <c r="L10" i="118"/>
  <c r="W26" i="118" s="1"/>
  <c r="L10" i="99"/>
  <c r="W26" i="99" s="1"/>
  <c r="L10" i="97"/>
  <c r="W26" i="97" s="1"/>
  <c r="L10" i="359"/>
  <c r="W26" i="359" s="1"/>
  <c r="O14" i="345"/>
  <c r="L290" i="209"/>
  <c r="O14" i="356"/>
  <c r="O780" i="209"/>
  <c r="D43" i="58"/>
  <c r="D47" i="58" s="1"/>
  <c r="O180" i="209" s="1"/>
  <c r="P26" i="58"/>
  <c r="P246" i="246"/>
  <c r="M9" i="307"/>
  <c r="O10" i="313"/>
  <c r="O10" i="91"/>
  <c r="L9" i="246"/>
  <c r="P10" i="175"/>
  <c r="P10" i="171"/>
  <c r="P10" i="84"/>
  <c r="P10" i="231"/>
  <c r="P10" i="229"/>
  <c r="P10" i="309"/>
  <c r="P10" i="184"/>
  <c r="P10" i="172"/>
  <c r="M66" i="246"/>
  <c r="P10" i="361"/>
  <c r="M13" i="313"/>
  <c r="J195" i="246"/>
  <c r="M13" i="91"/>
  <c r="P157" i="246"/>
  <c r="M19" i="354"/>
  <c r="M19" i="101"/>
  <c r="M19" i="176"/>
  <c r="M19" i="118"/>
  <c r="M19" i="359"/>
  <c r="M19" i="97"/>
  <c r="M19" i="271"/>
  <c r="M19" i="99"/>
  <c r="M10" i="284"/>
  <c r="J15" i="246"/>
  <c r="M10" i="192"/>
  <c r="M10" i="156"/>
  <c r="M10" i="190"/>
  <c r="M12" i="190"/>
  <c r="M12" i="192"/>
  <c r="M12" i="284"/>
  <c r="J77" i="246"/>
  <c r="M12" i="156"/>
  <c r="L10" i="307"/>
  <c r="W26" i="307" s="1"/>
  <c r="I60" i="246"/>
  <c r="M26" i="229"/>
  <c r="E43" i="58"/>
  <c r="E47" i="58" s="1"/>
  <c r="P180" i="209" s="1"/>
  <c r="U21" i="292"/>
  <c r="R21" i="292"/>
  <c r="P11" i="309"/>
  <c r="P11" i="172"/>
  <c r="P11" i="184"/>
  <c r="S66" i="246"/>
  <c r="P11" i="171"/>
  <c r="P11" i="361"/>
  <c r="P11" i="231"/>
  <c r="P11" i="175"/>
  <c r="P11" i="84"/>
  <c r="P11" i="229"/>
  <c r="D38" i="226"/>
  <c r="I54" i="246" s="1"/>
  <c r="V37" i="292"/>
  <c r="N19" i="279"/>
  <c r="N19" i="95"/>
  <c r="Q162" i="246"/>
  <c r="N19" i="191"/>
  <c r="P9" i="361"/>
  <c r="P9" i="231"/>
  <c r="P9" i="229"/>
  <c r="P9" i="309"/>
  <c r="P9" i="175"/>
  <c r="S252" i="246"/>
  <c r="P9" i="184"/>
  <c r="P9" i="84"/>
  <c r="P9" i="172"/>
  <c r="P9" i="171"/>
  <c r="U28" i="292"/>
  <c r="R28" i="292"/>
  <c r="P11" i="326"/>
  <c r="P11" i="327"/>
  <c r="P11" i="174"/>
  <c r="P11" i="328"/>
  <c r="P11" i="291"/>
  <c r="P11" i="330"/>
  <c r="P11" i="44"/>
  <c r="P11" i="308"/>
  <c r="P11" i="18"/>
  <c r="S64" i="209"/>
  <c r="P11" i="247"/>
  <c r="P11" i="58"/>
  <c r="P11" i="250"/>
  <c r="P11" i="248"/>
  <c r="X23" i="36"/>
  <c r="X17" i="36"/>
  <c r="U33" i="292"/>
  <c r="R33" i="292"/>
  <c r="D18" i="170"/>
  <c r="D42" i="170" s="1"/>
  <c r="D40" i="226"/>
  <c r="I116" i="246" s="1"/>
  <c r="G15" i="79"/>
  <c r="F18" i="79"/>
  <c r="G15" i="11"/>
  <c r="G18" i="11" s="1"/>
  <c r="F18" i="11"/>
  <c r="E39" i="11"/>
  <c r="P14" i="209" s="1"/>
  <c r="J734" i="209"/>
  <c r="E37" i="11"/>
  <c r="P194" i="209" s="1"/>
  <c r="E40" i="11"/>
  <c r="J74" i="209" s="1"/>
  <c r="E42" i="11"/>
  <c r="J254" i="209" s="1"/>
  <c r="E41" i="11"/>
  <c r="J194" i="209" s="1"/>
  <c r="E38" i="11"/>
  <c r="J14" i="209" s="1"/>
  <c r="D41" i="226"/>
  <c r="I240" i="246" s="1"/>
  <c r="D39" i="226"/>
  <c r="O54" i="246" s="1"/>
  <c r="G15" i="9"/>
  <c r="G18" i="9" s="1"/>
  <c r="F18" i="9"/>
  <c r="C652" i="209"/>
  <c r="V592" i="209"/>
  <c r="L19" i="91"/>
  <c r="W34" i="91" s="1"/>
  <c r="O133" i="246"/>
  <c r="L20" i="313"/>
  <c r="W35" i="313" s="1"/>
  <c r="X32" i="36"/>
  <c r="E41" i="7"/>
  <c r="J197" i="209" s="1"/>
  <c r="E37" i="7"/>
  <c r="P197" i="209" s="1"/>
  <c r="E40" i="7"/>
  <c r="J77" i="209" s="1"/>
  <c r="E38" i="7"/>
  <c r="J17" i="209" s="1"/>
  <c r="J737" i="209"/>
  <c r="E42" i="7"/>
  <c r="J257" i="209" s="1"/>
  <c r="E39" i="7"/>
  <c r="P17" i="209" s="1"/>
  <c r="E40" i="79"/>
  <c r="J99" i="209" s="1"/>
  <c r="J759" i="209"/>
  <c r="E42" i="79"/>
  <c r="J279" i="209" s="1"/>
  <c r="E41" i="79"/>
  <c r="J219" i="209" s="1"/>
  <c r="E38" i="79"/>
  <c r="J39" i="209" s="1"/>
  <c r="E39" i="79"/>
  <c r="P39" i="209" s="1"/>
  <c r="E37" i="79"/>
  <c r="P219" i="209" s="1"/>
  <c r="X11" i="34"/>
  <c r="J50" i="34"/>
  <c r="X29" i="34"/>
  <c r="D18" i="231"/>
  <c r="D38" i="231" s="1"/>
  <c r="I64" i="246" s="1"/>
  <c r="D18" i="172"/>
  <c r="D18" i="174" s="1"/>
  <c r="J786" i="246"/>
  <c r="E42" i="126"/>
  <c r="J290" i="246" s="1"/>
  <c r="E37" i="126"/>
  <c r="P228" i="246" s="1"/>
  <c r="E41" i="126"/>
  <c r="J228" i="246" s="1"/>
  <c r="E40" i="126"/>
  <c r="J104" i="246" s="1"/>
  <c r="E38" i="126"/>
  <c r="J42" i="246" s="1"/>
  <c r="E39" i="126"/>
  <c r="P42" i="246" s="1"/>
  <c r="E18" i="226"/>
  <c r="X36" i="36"/>
  <c r="X29" i="36"/>
  <c r="J61" i="36"/>
  <c r="I798" i="246"/>
  <c r="D42" i="226"/>
  <c r="I302" i="246" s="1"/>
  <c r="I39" i="209"/>
  <c r="G15" i="126"/>
  <c r="F18" i="126"/>
  <c r="F15" i="226"/>
  <c r="X33" i="36"/>
  <c r="X22" i="36"/>
  <c r="D37" i="44"/>
  <c r="D40" i="44"/>
  <c r="D39" i="44"/>
  <c r="I762" i="209"/>
  <c r="D38" i="44"/>
  <c r="D41" i="44"/>
  <c r="D42" i="44"/>
  <c r="D18" i="328"/>
  <c r="E15" i="172"/>
  <c r="E15" i="174" s="1"/>
  <c r="E15" i="170"/>
  <c r="E15" i="175" s="1"/>
  <c r="E15" i="231"/>
  <c r="X16" i="36"/>
  <c r="X11" i="36"/>
  <c r="O171" i="246"/>
  <c r="L18" i="203"/>
  <c r="L18" i="160"/>
  <c r="L18" i="349"/>
  <c r="L18" i="219"/>
  <c r="L18" i="270"/>
  <c r="L18" i="151"/>
  <c r="L18" i="353"/>
  <c r="L18" i="189"/>
  <c r="L18" i="195"/>
  <c r="L18" i="204"/>
  <c r="L18" i="362"/>
  <c r="L18" i="183"/>
  <c r="L18" i="188"/>
  <c r="L18" i="293"/>
  <c r="L18" i="137"/>
  <c r="L18" i="146"/>
  <c r="L18" i="194"/>
  <c r="L18" i="178"/>
  <c r="L18" i="187"/>
  <c r="L18" i="141"/>
  <c r="L18" i="126"/>
  <c r="N16" i="170"/>
  <c r="N16" i="226"/>
  <c r="N16" i="186"/>
  <c r="Q118" i="246"/>
  <c r="N16" i="104"/>
  <c r="L19" i="359"/>
  <c r="W34" i="359" s="1"/>
  <c r="L19" i="354"/>
  <c r="W34" i="354" s="1"/>
  <c r="L19" i="97"/>
  <c r="W34" i="97" s="1"/>
  <c r="O157" i="246"/>
  <c r="L19" i="118"/>
  <c r="W34" i="118" s="1"/>
  <c r="L19" i="99"/>
  <c r="W34" i="99" s="1"/>
  <c r="L19" i="271"/>
  <c r="W34" i="271" s="1"/>
  <c r="L19" i="176"/>
  <c r="W34" i="176" s="1"/>
  <c r="L19" i="101"/>
  <c r="W34" i="101" s="1"/>
  <c r="I122" i="209"/>
  <c r="L12" i="225"/>
  <c r="N16" i="183"/>
  <c r="N16" i="204"/>
  <c r="N16" i="188"/>
  <c r="N16" i="203"/>
  <c r="N16" i="187"/>
  <c r="N16" i="362"/>
  <c r="N16" i="353"/>
  <c r="N16" i="270"/>
  <c r="N16" i="126"/>
  <c r="N16" i="219"/>
  <c r="N16" i="146"/>
  <c r="N16" i="195"/>
  <c r="N16" i="349"/>
  <c r="N16" i="141"/>
  <c r="N16" i="151"/>
  <c r="N16" i="178"/>
  <c r="N16" i="189"/>
  <c r="N16" i="293"/>
  <c r="N16" i="194"/>
  <c r="N16" i="160"/>
  <c r="N16" i="137"/>
  <c r="P242" i="209"/>
  <c r="M9" i="225"/>
  <c r="W24" i="225" s="1"/>
  <c r="L17" i="151"/>
  <c r="W33" i="151" s="1"/>
  <c r="L17" i="353"/>
  <c r="W33" i="353" s="1"/>
  <c r="L17" i="270"/>
  <c r="W33" i="270" s="1"/>
  <c r="L17" i="194"/>
  <c r="W33" i="194" s="1"/>
  <c r="L17" i="126"/>
  <c r="W33" i="126" s="1"/>
  <c r="L17" i="160"/>
  <c r="W33" i="160" s="1"/>
  <c r="L17" i="178"/>
  <c r="W33" i="178" s="1"/>
  <c r="L17" i="141"/>
  <c r="W33" i="141" s="1"/>
  <c r="L17" i="195"/>
  <c r="W33" i="195" s="1"/>
  <c r="L17" i="349"/>
  <c r="W33" i="349" s="1"/>
  <c r="L17" i="187"/>
  <c r="W33" i="187" s="1"/>
  <c r="L17" i="146"/>
  <c r="W33" i="146" s="1"/>
  <c r="L17" i="189"/>
  <c r="W33" i="189" s="1"/>
  <c r="L17" i="362"/>
  <c r="W33" i="362" s="1"/>
  <c r="L17" i="188"/>
  <c r="W33" i="188" s="1"/>
  <c r="L17" i="137"/>
  <c r="W33" i="137" s="1"/>
  <c r="L17" i="293"/>
  <c r="W33" i="293" s="1"/>
  <c r="L17" i="203"/>
  <c r="W33" i="203" s="1"/>
  <c r="L17" i="183"/>
  <c r="W33" i="183" s="1"/>
  <c r="L17" i="204"/>
  <c r="W33" i="204" s="1"/>
  <c r="L17" i="219"/>
  <c r="W33" i="219" s="1"/>
  <c r="N17" i="226"/>
  <c r="K180" i="246"/>
  <c r="N17" i="104"/>
  <c r="N17" i="170"/>
  <c r="N17" i="186"/>
  <c r="I251" i="209"/>
  <c r="L18" i="226"/>
  <c r="L18" i="186"/>
  <c r="L18" i="170"/>
  <c r="L18" i="104"/>
  <c r="N17" i="178"/>
  <c r="N17" i="146"/>
  <c r="N17" i="137"/>
  <c r="N17" i="195"/>
  <c r="N17" i="126"/>
  <c r="N17" i="189"/>
  <c r="N17" i="353"/>
  <c r="N17" i="141"/>
  <c r="N17" i="219"/>
  <c r="N17" i="270"/>
  <c r="N17" i="188"/>
  <c r="N17" i="203"/>
  <c r="N17" i="293"/>
  <c r="N17" i="151"/>
  <c r="N17" i="362"/>
  <c r="N17" i="187"/>
  <c r="N17" i="160"/>
  <c r="N17" i="194"/>
  <c r="N17" i="349"/>
  <c r="N17" i="204"/>
  <c r="N17" i="183"/>
  <c r="M17" i="186"/>
  <c r="W32" i="186" s="1"/>
  <c r="M17" i="170"/>
  <c r="W32" i="170" s="1"/>
  <c r="M17" i="226"/>
  <c r="W32" i="226" s="1"/>
  <c r="J180" i="246"/>
  <c r="M17" i="104"/>
  <c r="W32" i="104" s="1"/>
  <c r="N18" i="189"/>
  <c r="N18" i="203"/>
  <c r="N18" i="126"/>
  <c r="N18" i="195"/>
  <c r="N18" i="270"/>
  <c r="N18" i="146"/>
  <c r="N18" i="178"/>
  <c r="N18" i="194"/>
  <c r="N18" i="204"/>
  <c r="N18" i="362"/>
  <c r="N18" i="187"/>
  <c r="N18" i="160"/>
  <c r="N18" i="183"/>
  <c r="N18" i="293"/>
  <c r="N18" i="151"/>
  <c r="N18" i="219"/>
  <c r="N18" i="188"/>
  <c r="N18" i="353"/>
  <c r="N18" i="141"/>
  <c r="N18" i="137"/>
  <c r="N18" i="349"/>
  <c r="F43" i="172"/>
  <c r="N26" i="174"/>
  <c r="F43" i="174" s="1"/>
  <c r="J686" i="246"/>
  <c r="E45" i="174"/>
  <c r="P686" i="246"/>
  <c r="E44" i="174"/>
  <c r="E46" i="174"/>
  <c r="J748" i="246"/>
  <c r="L16" i="204"/>
  <c r="W32" i="204" s="1"/>
  <c r="L16" i="126"/>
  <c r="W32" i="126" s="1"/>
  <c r="L16" i="151"/>
  <c r="W32" i="151" s="1"/>
  <c r="L16" i="219"/>
  <c r="W32" i="219" s="1"/>
  <c r="L16" i="160"/>
  <c r="W32" i="160" s="1"/>
  <c r="L16" i="195"/>
  <c r="W32" i="195" s="1"/>
  <c r="L16" i="183"/>
  <c r="W32" i="183" s="1"/>
  <c r="L16" i="353"/>
  <c r="W32" i="353" s="1"/>
  <c r="L16" i="137"/>
  <c r="W32" i="137" s="1"/>
  <c r="L16" i="146"/>
  <c r="W32" i="146" s="1"/>
  <c r="L16" i="270"/>
  <c r="W32" i="270" s="1"/>
  <c r="L16" i="362"/>
  <c r="W32" i="362" s="1"/>
  <c r="L16" i="189"/>
  <c r="W32" i="189" s="1"/>
  <c r="L16" i="188"/>
  <c r="W32" i="188" s="1"/>
  <c r="L16" i="187"/>
  <c r="W32" i="187" s="1"/>
  <c r="L16" i="194"/>
  <c r="W32" i="194" s="1"/>
  <c r="L16" i="178"/>
  <c r="W32" i="178" s="1"/>
  <c r="L16" i="141"/>
  <c r="W32" i="141" s="1"/>
  <c r="L16" i="349"/>
  <c r="W32" i="349" s="1"/>
  <c r="L16" i="203"/>
  <c r="W32" i="203" s="1"/>
  <c r="L16" i="293"/>
  <c r="W32" i="293" s="1"/>
  <c r="R162" i="246"/>
  <c r="O19" i="279"/>
  <c r="O19" i="191"/>
  <c r="O19" i="95"/>
  <c r="G43" i="170"/>
  <c r="O26" i="175"/>
  <c r="G43" i="175" s="1"/>
  <c r="L17" i="186"/>
  <c r="L17" i="226"/>
  <c r="L17" i="170"/>
  <c r="L17" i="104"/>
  <c r="I180" i="246"/>
  <c r="M18" i="104"/>
  <c r="M18" i="170"/>
  <c r="M18" i="226"/>
  <c r="M18" i="186"/>
  <c r="L16" i="170"/>
  <c r="L16" i="186"/>
  <c r="L16" i="226"/>
  <c r="L16" i="104"/>
  <c r="O118" i="246"/>
  <c r="O175" i="246"/>
  <c r="P26" i="172"/>
  <c r="D43" i="172"/>
  <c r="F43" i="170"/>
  <c r="N26" i="175"/>
  <c r="F43" i="175" s="1"/>
  <c r="N18" i="226"/>
  <c r="N18" i="170"/>
  <c r="N18" i="104"/>
  <c r="N18" i="186"/>
  <c r="O167" i="246"/>
  <c r="D43" i="170"/>
  <c r="P26" i="170"/>
  <c r="E47" i="226"/>
  <c r="P178" i="246" s="1"/>
  <c r="E43" i="170"/>
  <c r="M26" i="175"/>
  <c r="E43" i="175" s="1"/>
  <c r="M16" i="104"/>
  <c r="W31" i="104" s="1"/>
  <c r="M16" i="226"/>
  <c r="W31" i="226" s="1"/>
  <c r="M16" i="170"/>
  <c r="W31" i="170" s="1"/>
  <c r="P118" i="246"/>
  <c r="M16" i="186"/>
  <c r="W31" i="186" s="1"/>
  <c r="E43" i="172"/>
  <c r="M26" i="174"/>
  <c r="E43" i="174" s="1"/>
  <c r="N10" i="334"/>
  <c r="N10" i="215"/>
  <c r="N10" i="216"/>
  <c r="N10" i="166"/>
  <c r="N10" i="355"/>
  <c r="N10" i="165"/>
  <c r="N10" i="344"/>
  <c r="N10" i="202"/>
  <c r="N10" i="162"/>
  <c r="N10" i="139"/>
  <c r="R148" i="246"/>
  <c r="O19" i="103"/>
  <c r="O19" i="223"/>
  <c r="O19" i="185"/>
  <c r="O19" i="173"/>
  <c r="L18" i="84"/>
  <c r="L18" i="184"/>
  <c r="L18" i="171"/>
  <c r="L18" i="361"/>
  <c r="L18" i="309"/>
  <c r="L18" i="175"/>
  <c r="L18" i="231"/>
  <c r="L18" i="172"/>
  <c r="L18" i="229"/>
  <c r="L15" i="173"/>
  <c r="L15" i="185"/>
  <c r="L15" i="223"/>
  <c r="D47" i="171"/>
  <c r="L15" i="103"/>
  <c r="O17" i="184"/>
  <c r="L190" i="246"/>
  <c r="O17" i="172"/>
  <c r="O17" i="175"/>
  <c r="O17" i="231"/>
  <c r="O17" i="84"/>
  <c r="O17" i="309"/>
  <c r="O17" i="229"/>
  <c r="O17" i="361"/>
  <c r="O17" i="171"/>
  <c r="N18" i="231"/>
  <c r="N18" i="172"/>
  <c r="N18" i="175"/>
  <c r="N18" i="171"/>
  <c r="N18" i="184"/>
  <c r="N18" i="309"/>
  <c r="N18" i="84"/>
  <c r="N18" i="361"/>
  <c r="N18" i="229"/>
  <c r="D43" i="174"/>
  <c r="O13" i="307" l="1"/>
  <c r="O14" i="307"/>
  <c r="G40" i="309"/>
  <c r="O12" i="308" s="1"/>
  <c r="G41" i="309"/>
  <c r="O13" i="308" s="1"/>
  <c r="G42" i="309"/>
  <c r="O14" i="308" s="1"/>
  <c r="H18" i="309"/>
  <c r="G37" i="309"/>
  <c r="O9" i="308" s="1"/>
  <c r="G39" i="309"/>
  <c r="O11" i="308" s="1"/>
  <c r="X17" i="34"/>
  <c r="X18" i="34"/>
  <c r="L19" i="214"/>
  <c r="W34" i="214" s="1"/>
  <c r="O12" i="307"/>
  <c r="D15" i="328"/>
  <c r="P724" i="209"/>
  <c r="P484" i="209"/>
  <c r="D18" i="7"/>
  <c r="D37" i="7" s="1"/>
  <c r="O197" i="209" s="1"/>
  <c r="E42" i="9"/>
  <c r="J256" i="209" s="1"/>
  <c r="E39" i="9"/>
  <c r="P16" i="209" s="1"/>
  <c r="E38" i="9"/>
  <c r="J16" i="209" s="1"/>
  <c r="E41" i="9"/>
  <c r="J196" i="209" s="1"/>
  <c r="E40" i="9"/>
  <c r="J76" i="209" s="1"/>
  <c r="E37" i="9"/>
  <c r="P196" i="209" s="1"/>
  <c r="L19" i="213"/>
  <c r="W34" i="213" s="1"/>
  <c r="O144" i="209"/>
  <c r="F18" i="7"/>
  <c r="F37" i="7" s="1"/>
  <c r="Q197" i="209" s="1"/>
  <c r="D38" i="6"/>
  <c r="I18" i="209" s="1"/>
  <c r="D40" i="6"/>
  <c r="I78" i="209" s="1"/>
  <c r="D42" i="6"/>
  <c r="I258" i="209" s="1"/>
  <c r="I738" i="209"/>
  <c r="D37" i="6"/>
  <c r="O198" i="209" s="1"/>
  <c r="D39" i="6"/>
  <c r="O18" i="209" s="1"/>
  <c r="O13" i="156"/>
  <c r="L201" i="246"/>
  <c r="L77" i="246"/>
  <c r="O12" i="190"/>
  <c r="O12" i="192"/>
  <c r="O12" i="156"/>
  <c r="E45" i="328"/>
  <c r="M18" i="337"/>
  <c r="M18" i="72"/>
  <c r="E44" i="328"/>
  <c r="J162" i="209"/>
  <c r="M16" i="123"/>
  <c r="E45" i="330"/>
  <c r="E44" i="330"/>
  <c r="O13" i="284"/>
  <c r="M16" i="338"/>
  <c r="M16" i="72"/>
  <c r="M16" i="154"/>
  <c r="O13" i="192"/>
  <c r="M16" i="39"/>
  <c r="M16" i="196"/>
  <c r="M16" i="79"/>
  <c r="M16" i="337"/>
  <c r="E46" i="58"/>
  <c r="E11" i="229"/>
  <c r="J664" i="209" s="1"/>
  <c r="M18" i="196"/>
  <c r="M18" i="123"/>
  <c r="M18" i="79"/>
  <c r="M18" i="154"/>
  <c r="M18" i="338"/>
  <c r="E44" i="58"/>
  <c r="P120" i="209" s="1"/>
  <c r="M17" i="196"/>
  <c r="M17" i="154"/>
  <c r="M17" i="79"/>
  <c r="M17" i="39"/>
  <c r="M17" i="338"/>
  <c r="M17" i="123"/>
  <c r="J720" i="209"/>
  <c r="J660" i="209"/>
  <c r="E45" i="58"/>
  <c r="J180" i="209" s="1"/>
  <c r="M17" i="337"/>
  <c r="G42" i="228"/>
  <c r="O14" i="225" s="1"/>
  <c r="G40" i="228"/>
  <c r="O12" i="225" s="1"/>
  <c r="O10" i="190"/>
  <c r="O9" i="284"/>
  <c r="R201" i="246"/>
  <c r="M766" i="246"/>
  <c r="O9" i="156"/>
  <c r="O9" i="192"/>
  <c r="O9" i="223"/>
  <c r="O9" i="103"/>
  <c r="G40" i="171"/>
  <c r="O12" i="185" s="1"/>
  <c r="O9" i="185"/>
  <c r="O9" i="173"/>
  <c r="G42" i="171"/>
  <c r="O14" i="103" s="1"/>
  <c r="G38" i="171"/>
  <c r="O10" i="173" s="1"/>
  <c r="G41" i="171"/>
  <c r="L210" i="246" s="1"/>
  <c r="G39" i="171"/>
  <c r="O11" i="223" s="1"/>
  <c r="L768" i="246"/>
  <c r="H18" i="171"/>
  <c r="G18" i="7"/>
  <c r="G39" i="7" s="1"/>
  <c r="R17" i="209" s="1"/>
  <c r="O11" i="190"/>
  <c r="R15" i="246"/>
  <c r="O11" i="284"/>
  <c r="O10" i="284"/>
  <c r="M759" i="246"/>
  <c r="O11" i="192"/>
  <c r="E18" i="4"/>
  <c r="E39" i="4" s="1"/>
  <c r="P11" i="209" s="1"/>
  <c r="G41" i="228"/>
  <c r="O13" i="225" s="1"/>
  <c r="L782" i="209"/>
  <c r="M782" i="209" s="1"/>
  <c r="H18" i="228"/>
  <c r="O10" i="192"/>
  <c r="G37" i="228"/>
  <c r="O9" i="225" s="1"/>
  <c r="L15" i="246"/>
  <c r="G38" i="228"/>
  <c r="L62" i="209" s="1"/>
  <c r="E15" i="18"/>
  <c r="E15" i="327" s="1"/>
  <c r="E39" i="6"/>
  <c r="P18" i="209" s="1"/>
  <c r="P9" i="247"/>
  <c r="E40" i="6"/>
  <c r="J78" i="209" s="1"/>
  <c r="P9" i="58"/>
  <c r="P9" i="328"/>
  <c r="P9" i="326"/>
  <c r="E41" i="6"/>
  <c r="J198" i="209" s="1"/>
  <c r="P9" i="330"/>
  <c r="E42" i="6"/>
  <c r="J258" i="209" s="1"/>
  <c r="P9" i="250"/>
  <c r="E38" i="6"/>
  <c r="J18" i="209" s="1"/>
  <c r="P9" i="248"/>
  <c r="P9" i="44"/>
  <c r="E37" i="6"/>
  <c r="P198" i="209" s="1"/>
  <c r="P9" i="308"/>
  <c r="P9" i="291"/>
  <c r="P9" i="174"/>
  <c r="S244" i="209"/>
  <c r="G38" i="184"/>
  <c r="L63" i="246" s="1"/>
  <c r="G14" i="327"/>
  <c r="G14" i="58"/>
  <c r="G14" i="229" s="1"/>
  <c r="P19" i="333"/>
  <c r="P9" i="18"/>
  <c r="P9" i="327"/>
  <c r="G15" i="6"/>
  <c r="G18" i="6" s="1"/>
  <c r="G39" i="6" s="1"/>
  <c r="R18" i="209" s="1"/>
  <c r="F18" i="6"/>
  <c r="F42" i="6" s="1"/>
  <c r="K258" i="209" s="1"/>
  <c r="G37" i="184"/>
  <c r="R249" i="246" s="1"/>
  <c r="G41" i="184"/>
  <c r="L249" i="246" s="1"/>
  <c r="H18" i="184"/>
  <c r="G40" i="184"/>
  <c r="L125" i="246" s="1"/>
  <c r="G39" i="184"/>
  <c r="R63" i="246" s="1"/>
  <c r="L807" i="246"/>
  <c r="M807" i="246" s="1"/>
  <c r="X29" i="28"/>
  <c r="O139" i="246"/>
  <c r="N17" i="175"/>
  <c r="L19" i="156"/>
  <c r="W34" i="156" s="1"/>
  <c r="L19" i="192"/>
  <c r="W34" i="192" s="1"/>
  <c r="L19" i="284"/>
  <c r="W34" i="284" s="1"/>
  <c r="N17" i="229"/>
  <c r="N17" i="309"/>
  <c r="N17" i="231"/>
  <c r="N17" i="361"/>
  <c r="N17" i="84"/>
  <c r="N17" i="172"/>
  <c r="N17" i="184"/>
  <c r="N17" i="171"/>
  <c r="I210" i="246"/>
  <c r="V39" i="292"/>
  <c r="O18" i="84"/>
  <c r="N16" i="231"/>
  <c r="M41" i="292"/>
  <c r="S41" i="292" s="1"/>
  <c r="T41" i="292" s="1"/>
  <c r="N9" i="162"/>
  <c r="L14" i="173"/>
  <c r="L13" i="103"/>
  <c r="N10" i="223"/>
  <c r="N13" i="216"/>
  <c r="O18" i="231"/>
  <c r="O18" i="171"/>
  <c r="N11" i="215"/>
  <c r="N16" i="172"/>
  <c r="N16" i="171"/>
  <c r="O18" i="172"/>
  <c r="N16" i="309"/>
  <c r="Q128" i="246"/>
  <c r="L13" i="185"/>
  <c r="L13" i="173"/>
  <c r="L9" i="223"/>
  <c r="S782" i="209"/>
  <c r="N14" i="139"/>
  <c r="N11" i="166"/>
  <c r="N14" i="355"/>
  <c r="N14" i="165"/>
  <c r="N13" i="165"/>
  <c r="N13" i="355"/>
  <c r="N14" i="344"/>
  <c r="N14" i="202"/>
  <c r="N13" i="202"/>
  <c r="N14" i="215"/>
  <c r="N14" i="334"/>
  <c r="N13" i="139"/>
  <c r="N13" i="215"/>
  <c r="N14" i="216"/>
  <c r="N13" i="344"/>
  <c r="N13" i="166"/>
  <c r="N14" i="166"/>
  <c r="N13" i="334"/>
  <c r="N12" i="355"/>
  <c r="N12" i="162"/>
  <c r="N9" i="334"/>
  <c r="N9" i="355"/>
  <c r="N9" i="216"/>
  <c r="N9" i="166"/>
  <c r="N9" i="344"/>
  <c r="N9" i="215"/>
  <c r="N9" i="202"/>
  <c r="N9" i="139"/>
  <c r="N9" i="165"/>
  <c r="O62" i="209"/>
  <c r="L9" i="225"/>
  <c r="N12" i="202"/>
  <c r="N12" i="165"/>
  <c r="N12" i="166"/>
  <c r="N12" i="215"/>
  <c r="N12" i="344"/>
  <c r="O19" i="344"/>
  <c r="N12" i="216"/>
  <c r="N12" i="139"/>
  <c r="L15" i="166"/>
  <c r="W31" i="166" s="1"/>
  <c r="L15" i="334"/>
  <c r="W31" i="334" s="1"/>
  <c r="N11" i="344"/>
  <c r="N11" i="165"/>
  <c r="N11" i="334"/>
  <c r="N11" i="162"/>
  <c r="N11" i="202"/>
  <c r="N11" i="139"/>
  <c r="N11" i="216"/>
  <c r="N11" i="355"/>
  <c r="L10" i="225"/>
  <c r="J65" i="28"/>
  <c r="X11" i="28"/>
  <c r="M748" i="246"/>
  <c r="X15" i="28"/>
  <c r="I242" i="209"/>
  <c r="X24" i="28"/>
  <c r="X25" i="28"/>
  <c r="X12" i="28"/>
  <c r="N9" i="185"/>
  <c r="N10" i="185"/>
  <c r="O18" i="175"/>
  <c r="O18" i="229"/>
  <c r="O18" i="184"/>
  <c r="N16" i="361"/>
  <c r="N16" i="84"/>
  <c r="N16" i="229"/>
  <c r="O18" i="309"/>
  <c r="N16" i="175"/>
  <c r="O16" i="309"/>
  <c r="O16" i="229"/>
  <c r="O16" i="231"/>
  <c r="O16" i="361"/>
  <c r="N10" i="103"/>
  <c r="R128" i="246"/>
  <c r="O16" i="175"/>
  <c r="O16" i="184"/>
  <c r="N10" i="173"/>
  <c r="O16" i="171"/>
  <c r="O16" i="172"/>
  <c r="I24" i="246"/>
  <c r="L14" i="223"/>
  <c r="L10" i="185"/>
  <c r="L14" i="185"/>
  <c r="L14" i="103"/>
  <c r="L9" i="185"/>
  <c r="L9" i="173"/>
  <c r="L10" i="173"/>
  <c r="L10" i="103"/>
  <c r="L14" i="225"/>
  <c r="L15" i="344"/>
  <c r="W31" i="344" s="1"/>
  <c r="L15" i="215"/>
  <c r="W31" i="215" s="1"/>
  <c r="L15" i="162"/>
  <c r="W31" i="162" s="1"/>
  <c r="L15" i="165"/>
  <c r="W31" i="165" s="1"/>
  <c r="L15" i="216"/>
  <c r="W31" i="216" s="1"/>
  <c r="L15" i="139"/>
  <c r="W31" i="139" s="1"/>
  <c r="L15" i="355"/>
  <c r="W31" i="355" s="1"/>
  <c r="L15" i="202"/>
  <c r="W31" i="202" s="1"/>
  <c r="P12" i="333"/>
  <c r="F14" i="58"/>
  <c r="F14" i="229" s="1"/>
  <c r="F14" i="330"/>
  <c r="F14" i="327"/>
  <c r="L11" i="223"/>
  <c r="L11" i="173"/>
  <c r="X16" i="28"/>
  <c r="X26" i="28"/>
  <c r="L11" i="185"/>
  <c r="X22" i="28"/>
  <c r="L11" i="103"/>
  <c r="N12" i="223"/>
  <c r="O19" i="215"/>
  <c r="N9" i="223"/>
  <c r="O19" i="202"/>
  <c r="O19" i="355"/>
  <c r="N19" i="185"/>
  <c r="N9" i="103"/>
  <c r="O19" i="166"/>
  <c r="Q210" i="246"/>
  <c r="O19" i="139"/>
  <c r="O19" i="334"/>
  <c r="X20" i="28"/>
  <c r="P10" i="333"/>
  <c r="L9" i="103"/>
  <c r="O19" i="216"/>
  <c r="P14" i="333"/>
  <c r="O19" i="162"/>
  <c r="V17" i="28"/>
  <c r="X17" i="28" s="1"/>
  <c r="G39" i="173"/>
  <c r="G37" i="173"/>
  <c r="G38" i="173"/>
  <c r="G40" i="173"/>
  <c r="G42" i="173"/>
  <c r="G41" i="173"/>
  <c r="H18" i="173"/>
  <c r="X13" i="28"/>
  <c r="L16" i="184"/>
  <c r="L16" i="229"/>
  <c r="J242" i="209"/>
  <c r="J122" i="209"/>
  <c r="N19" i="355"/>
  <c r="S752" i="209"/>
  <c r="N19" i="202"/>
  <c r="N19" i="165"/>
  <c r="G43" i="229"/>
  <c r="O15" i="58" s="1"/>
  <c r="N19" i="162"/>
  <c r="N19" i="139"/>
  <c r="N19" i="216"/>
  <c r="N19" i="166"/>
  <c r="N19" i="215"/>
  <c r="N19" i="344"/>
  <c r="M19" i="139"/>
  <c r="N19" i="334"/>
  <c r="M19" i="165"/>
  <c r="X15" i="30"/>
  <c r="X19" i="30"/>
  <c r="J40" i="30"/>
  <c r="X11" i="30"/>
  <c r="X12" i="30"/>
  <c r="X18" i="30"/>
  <c r="D42" i="13"/>
  <c r="I252" i="209" s="1"/>
  <c r="D39" i="13"/>
  <c r="O12" i="209" s="1"/>
  <c r="D40" i="13"/>
  <c r="I72" i="209" s="1"/>
  <c r="D38" i="13"/>
  <c r="I12" i="209" s="1"/>
  <c r="D41" i="13"/>
  <c r="I192" i="209" s="1"/>
  <c r="D37" i="13"/>
  <c r="O192" i="209" s="1"/>
  <c r="I732" i="209"/>
  <c r="F15" i="13"/>
  <c r="F15" i="18" s="1"/>
  <c r="F15" i="327" s="1"/>
  <c r="E18" i="13"/>
  <c r="P162" i="209"/>
  <c r="M19" i="338"/>
  <c r="P10" i="328"/>
  <c r="P10" i="58"/>
  <c r="L16" i="171"/>
  <c r="L16" i="309"/>
  <c r="O128" i="246"/>
  <c r="L16" i="231"/>
  <c r="L16" i="175"/>
  <c r="L16" i="361"/>
  <c r="L16" i="172"/>
  <c r="M19" i="216"/>
  <c r="J62" i="209"/>
  <c r="M19" i="344"/>
  <c r="M19" i="355"/>
  <c r="P10" i="248"/>
  <c r="P10" i="174"/>
  <c r="M19" i="166"/>
  <c r="M14" i="225"/>
  <c r="W29" i="225" s="1"/>
  <c r="M64" i="209"/>
  <c r="P10" i="18"/>
  <c r="P10" i="44"/>
  <c r="M19" i="162"/>
  <c r="P62" i="209"/>
  <c r="P10" i="330"/>
  <c r="P10" i="291"/>
  <c r="P10" i="308"/>
  <c r="M19" i="202"/>
  <c r="O19" i="186"/>
  <c r="P10" i="326"/>
  <c r="M19" i="334"/>
  <c r="P10" i="247"/>
  <c r="U592" i="209"/>
  <c r="D652" i="209"/>
  <c r="M19" i="215"/>
  <c r="P10" i="250"/>
  <c r="O11" i="95"/>
  <c r="O11" i="279"/>
  <c r="O11" i="191"/>
  <c r="R38" i="246"/>
  <c r="L100" i="246"/>
  <c r="O12" i="279"/>
  <c r="O12" i="191"/>
  <c r="O12" i="95"/>
  <c r="O9" i="191"/>
  <c r="O9" i="279"/>
  <c r="O9" i="95"/>
  <c r="R224" i="246"/>
  <c r="O10" i="95"/>
  <c r="O10" i="279"/>
  <c r="L38" i="246"/>
  <c r="O10" i="191"/>
  <c r="O14" i="191"/>
  <c r="O14" i="95"/>
  <c r="O14" i="279"/>
  <c r="L286" i="246"/>
  <c r="M19" i="72"/>
  <c r="O13" i="95"/>
  <c r="O13" i="279"/>
  <c r="O13" i="191"/>
  <c r="L224" i="246"/>
  <c r="P11" i="333"/>
  <c r="N14" i="173"/>
  <c r="K210" i="246"/>
  <c r="N14" i="185"/>
  <c r="N13" i="185"/>
  <c r="P9" i="333"/>
  <c r="O19" i="170"/>
  <c r="O19" i="104"/>
  <c r="O19" i="226"/>
  <c r="L17" i="84"/>
  <c r="W33" i="308"/>
  <c r="L17" i="309"/>
  <c r="P13" i="333"/>
  <c r="R184" i="246"/>
  <c r="O19" i="307"/>
  <c r="N11" i="173"/>
  <c r="M19" i="307"/>
  <c r="P184" i="246"/>
  <c r="N11" i="223"/>
  <c r="N12" i="185"/>
  <c r="N11" i="103"/>
  <c r="K86" i="246"/>
  <c r="Q24" i="246"/>
  <c r="N12" i="173"/>
  <c r="O19" i="13"/>
  <c r="O19" i="4"/>
  <c r="O19" i="10"/>
  <c r="O19" i="16"/>
  <c r="O19" i="7"/>
  <c r="O19" i="15"/>
  <c r="O19" i="125"/>
  <c r="O19" i="9"/>
  <c r="R139" i="209"/>
  <c r="O19" i="11"/>
  <c r="O19" i="14"/>
  <c r="O19" i="6"/>
  <c r="M806" i="246"/>
  <c r="L17" i="172"/>
  <c r="L17" i="171"/>
  <c r="L17" i="361"/>
  <c r="L17" i="184"/>
  <c r="L17" i="229"/>
  <c r="L17" i="231"/>
  <c r="L17" i="175"/>
  <c r="N14" i="223"/>
  <c r="N13" i="103"/>
  <c r="K272" i="246"/>
  <c r="N13" i="223"/>
  <c r="O15" i="171"/>
  <c r="O15" i="175"/>
  <c r="N19" i="103"/>
  <c r="O15" i="84"/>
  <c r="P26" i="174"/>
  <c r="N19" i="223"/>
  <c r="G47" i="174"/>
  <c r="O19" i="175" s="1"/>
  <c r="O15" i="309"/>
  <c r="O15" i="184"/>
  <c r="N19" i="173"/>
  <c r="O15" i="231"/>
  <c r="O15" i="229"/>
  <c r="O15" i="172"/>
  <c r="W33" i="173"/>
  <c r="P144" i="209"/>
  <c r="M19" i="105"/>
  <c r="M19" i="214"/>
  <c r="M19" i="213"/>
  <c r="O177" i="209"/>
  <c r="L19" i="221"/>
  <c r="W34" i="221" s="1"/>
  <c r="L19" i="347"/>
  <c r="W34" i="347" s="1"/>
  <c r="L19" i="220"/>
  <c r="W34" i="220" s="1"/>
  <c r="L19" i="290"/>
  <c r="W34" i="290" s="1"/>
  <c r="L19" i="289"/>
  <c r="W34" i="289" s="1"/>
  <c r="L19" i="288"/>
  <c r="W34" i="288" s="1"/>
  <c r="M19" i="223"/>
  <c r="W33" i="223" s="1"/>
  <c r="Q177" i="209"/>
  <c r="N19" i="220"/>
  <c r="N19" i="347"/>
  <c r="N19" i="221"/>
  <c r="N19" i="214"/>
  <c r="N19" i="213"/>
  <c r="N19" i="105"/>
  <c r="Q144" i="209"/>
  <c r="M19" i="347"/>
  <c r="M19" i="220"/>
  <c r="M19" i="221"/>
  <c r="P177" i="209"/>
  <c r="P148" i="246"/>
  <c r="M19" i="39"/>
  <c r="M19" i="123"/>
  <c r="F39" i="154"/>
  <c r="Q38" i="209" s="1"/>
  <c r="F40" i="154"/>
  <c r="K98" i="209" s="1"/>
  <c r="F38" i="154"/>
  <c r="K38" i="209" s="1"/>
  <c r="K758" i="209"/>
  <c r="F42" i="154"/>
  <c r="K278" i="209" s="1"/>
  <c r="F37" i="154"/>
  <c r="Q218" i="209" s="1"/>
  <c r="F41" i="154"/>
  <c r="K218" i="209" s="1"/>
  <c r="M19" i="196"/>
  <c r="J755" i="209"/>
  <c r="E38" i="123"/>
  <c r="J35" i="209" s="1"/>
  <c r="E41" i="123"/>
  <c r="J215" i="209" s="1"/>
  <c r="E40" i="123"/>
  <c r="J95" i="209" s="1"/>
  <c r="E37" i="123"/>
  <c r="P215" i="209" s="1"/>
  <c r="E42" i="123"/>
  <c r="J275" i="209" s="1"/>
  <c r="E39" i="123"/>
  <c r="P35" i="209" s="1"/>
  <c r="H18" i="154"/>
  <c r="G42" i="154"/>
  <c r="L278" i="209" s="1"/>
  <c r="G40" i="154"/>
  <c r="L98" i="209" s="1"/>
  <c r="G41" i="154"/>
  <c r="L218" i="209" s="1"/>
  <c r="L758" i="209"/>
  <c r="M758" i="209" s="1"/>
  <c r="G38" i="154"/>
  <c r="L38" i="209" s="1"/>
  <c r="G37" i="154"/>
  <c r="R218" i="209" s="1"/>
  <c r="G39" i="154"/>
  <c r="R38" i="209" s="1"/>
  <c r="M19" i="154"/>
  <c r="G15" i="123"/>
  <c r="G15" i="44" s="1"/>
  <c r="F18" i="123"/>
  <c r="F18" i="44" s="1"/>
  <c r="S781" i="209"/>
  <c r="M19" i="79"/>
  <c r="M19" i="103"/>
  <c r="W33" i="103" s="1"/>
  <c r="M19" i="185"/>
  <c r="W33" i="185" s="1"/>
  <c r="S780" i="209"/>
  <c r="M19" i="11"/>
  <c r="M19" i="6"/>
  <c r="M19" i="14"/>
  <c r="M19" i="10"/>
  <c r="M19" i="15"/>
  <c r="M19" i="16"/>
  <c r="M19" i="9"/>
  <c r="P139" i="209"/>
  <c r="M19" i="125"/>
  <c r="M19" i="13"/>
  <c r="M19" i="7"/>
  <c r="M19" i="4"/>
  <c r="L13" i="166"/>
  <c r="W29" i="166" s="1"/>
  <c r="L13" i="139"/>
  <c r="W29" i="139" s="1"/>
  <c r="L13" i="162"/>
  <c r="W29" i="162" s="1"/>
  <c r="L13" i="215"/>
  <c r="W29" i="215" s="1"/>
  <c r="L13" i="165"/>
  <c r="W29" i="165" s="1"/>
  <c r="L13" i="202"/>
  <c r="W29" i="202" s="1"/>
  <c r="L13" i="216"/>
  <c r="W29" i="216" s="1"/>
  <c r="L13" i="334"/>
  <c r="W29" i="334" s="1"/>
  <c r="L13" i="344"/>
  <c r="W29" i="344" s="1"/>
  <c r="L13" i="355"/>
  <c r="W29" i="355" s="1"/>
  <c r="M781" i="209"/>
  <c r="O16" i="58"/>
  <c r="O16" i="248"/>
  <c r="R124" i="209"/>
  <c r="O16" i="174"/>
  <c r="O16" i="228"/>
  <c r="O16" i="328"/>
  <c r="O16" i="250"/>
  <c r="O16" i="44"/>
  <c r="O16" i="326"/>
  <c r="O16" i="330"/>
  <c r="O16" i="247"/>
  <c r="O16" i="18"/>
  <c r="O16" i="327"/>
  <c r="P784" i="209"/>
  <c r="E43" i="229"/>
  <c r="K122" i="209"/>
  <c r="N12" i="225"/>
  <c r="Q124" i="209"/>
  <c r="N16" i="250"/>
  <c r="N16" i="228"/>
  <c r="N16" i="328"/>
  <c r="N16" i="18"/>
  <c r="N16" i="247"/>
  <c r="N16" i="248"/>
  <c r="N16" i="326"/>
  <c r="N16" i="330"/>
  <c r="N16" i="174"/>
  <c r="N16" i="44"/>
  <c r="N16" i="327"/>
  <c r="N16" i="58"/>
  <c r="L12" i="355"/>
  <c r="W28" i="355" s="1"/>
  <c r="L12" i="344"/>
  <c r="W28" i="344" s="1"/>
  <c r="L12" i="166"/>
  <c r="W28" i="166" s="1"/>
  <c r="L12" i="215"/>
  <c r="W28" i="215" s="1"/>
  <c r="L12" i="216"/>
  <c r="W28" i="216" s="1"/>
  <c r="L12" i="202"/>
  <c r="W28" i="202" s="1"/>
  <c r="L12" i="162"/>
  <c r="W28" i="162" s="1"/>
  <c r="L12" i="334"/>
  <c r="W28" i="334" s="1"/>
  <c r="L12" i="165"/>
  <c r="W28" i="165" s="1"/>
  <c r="L12" i="139"/>
  <c r="W28" i="139" s="1"/>
  <c r="M15" i="225"/>
  <c r="W30" i="225" s="1"/>
  <c r="E47" i="228"/>
  <c r="M10" i="344"/>
  <c r="M10" i="216"/>
  <c r="M10" i="202"/>
  <c r="M10" i="215"/>
  <c r="M10" i="355"/>
  <c r="M10" i="165"/>
  <c r="M10" i="166"/>
  <c r="M10" i="139"/>
  <c r="M10" i="334"/>
  <c r="M10" i="162"/>
  <c r="M13" i="103"/>
  <c r="W28" i="103" s="1"/>
  <c r="M13" i="185"/>
  <c r="W28" i="185" s="1"/>
  <c r="M13" i="223"/>
  <c r="W28" i="223" s="1"/>
  <c r="M13" i="173"/>
  <c r="W28" i="173" s="1"/>
  <c r="J210" i="246"/>
  <c r="O19" i="345"/>
  <c r="O19" i="356"/>
  <c r="R170" i="209"/>
  <c r="L15" i="225"/>
  <c r="D47" i="228"/>
  <c r="Q242" i="209"/>
  <c r="N9" i="225"/>
  <c r="N15" i="225"/>
  <c r="F47" i="228"/>
  <c r="L14" i="344"/>
  <c r="W30" i="344" s="1"/>
  <c r="L14" i="216"/>
  <c r="W30" i="216" s="1"/>
  <c r="L14" i="162"/>
  <c r="W30" i="162" s="1"/>
  <c r="L14" i="202"/>
  <c r="W30" i="202" s="1"/>
  <c r="L14" i="165"/>
  <c r="W30" i="165" s="1"/>
  <c r="L14" i="355"/>
  <c r="W30" i="355" s="1"/>
  <c r="L14" i="166"/>
  <c r="W30" i="166" s="1"/>
  <c r="L14" i="334"/>
  <c r="W30" i="334" s="1"/>
  <c r="L14" i="139"/>
  <c r="W30" i="139" s="1"/>
  <c r="L14" i="215"/>
  <c r="W30" i="215" s="1"/>
  <c r="O11" i="225"/>
  <c r="R62" i="209"/>
  <c r="M12" i="355"/>
  <c r="M12" i="215"/>
  <c r="M12" i="334"/>
  <c r="M12" i="344"/>
  <c r="M12" i="165"/>
  <c r="M12" i="166"/>
  <c r="M12" i="139"/>
  <c r="M12" i="202"/>
  <c r="M12" i="162"/>
  <c r="M12" i="216"/>
  <c r="O19" i="91"/>
  <c r="O20" i="313"/>
  <c r="R133" i="246"/>
  <c r="U22" i="292"/>
  <c r="R22" i="292"/>
  <c r="Q784" i="209"/>
  <c r="F43" i="229"/>
  <c r="D43" i="229"/>
  <c r="L15" i="248" s="1"/>
  <c r="P26" i="229"/>
  <c r="O784" i="209"/>
  <c r="S784" i="209" s="1"/>
  <c r="N13" i="225"/>
  <c r="K242" i="209"/>
  <c r="O19" i="156"/>
  <c r="O19" i="192"/>
  <c r="O19" i="190"/>
  <c r="O19" i="284"/>
  <c r="R139" i="246"/>
  <c r="O19" i="79"/>
  <c r="R162" i="209"/>
  <c r="O19" i="338"/>
  <c r="O19" i="123"/>
  <c r="O19" i="154"/>
  <c r="O19" i="72"/>
  <c r="O19" i="337"/>
  <c r="O19" i="196"/>
  <c r="O19" i="39"/>
  <c r="O18" i="326"/>
  <c r="O18" i="330"/>
  <c r="O18" i="44"/>
  <c r="O18" i="228"/>
  <c r="O18" i="327"/>
  <c r="O18" i="291"/>
  <c r="O18" i="174"/>
  <c r="O18" i="328"/>
  <c r="O18" i="248"/>
  <c r="O18" i="247"/>
  <c r="O18" i="18"/>
  <c r="O18" i="58"/>
  <c r="O18" i="250"/>
  <c r="M12" i="173"/>
  <c r="W27" i="173" s="1"/>
  <c r="M12" i="185"/>
  <c r="W27" i="185" s="1"/>
  <c r="J86" i="246"/>
  <c r="M12" i="223"/>
  <c r="W27" i="223" s="1"/>
  <c r="M12" i="103"/>
  <c r="W27" i="103" s="1"/>
  <c r="L9" i="139"/>
  <c r="W25" i="139" s="1"/>
  <c r="L9" i="334"/>
  <c r="W25" i="334" s="1"/>
  <c r="L9" i="215"/>
  <c r="W25" i="215" s="1"/>
  <c r="L9" i="355"/>
  <c r="W25" i="355" s="1"/>
  <c r="L9" i="165"/>
  <c r="W25" i="165" s="1"/>
  <c r="L9" i="202"/>
  <c r="W25" i="202" s="1"/>
  <c r="L9" i="344"/>
  <c r="W25" i="344" s="1"/>
  <c r="L9" i="166"/>
  <c r="W25" i="166" s="1"/>
  <c r="L9" i="162"/>
  <c r="W25" i="162" s="1"/>
  <c r="L9" i="216"/>
  <c r="W25" i="216" s="1"/>
  <c r="M9" i="166"/>
  <c r="M9" i="334"/>
  <c r="M9" i="165"/>
  <c r="M9" i="139"/>
  <c r="M9" i="202"/>
  <c r="M9" i="162"/>
  <c r="M9" i="216"/>
  <c r="M9" i="344"/>
  <c r="M9" i="215"/>
  <c r="M9" i="355"/>
  <c r="N14" i="225"/>
  <c r="K302" i="209"/>
  <c r="N19" i="192"/>
  <c r="Q139" i="246"/>
  <c r="N19" i="284"/>
  <c r="N19" i="190"/>
  <c r="N19" i="156"/>
  <c r="L19" i="72"/>
  <c r="W34" i="72" s="1"/>
  <c r="L19" i="79"/>
  <c r="W34" i="79" s="1"/>
  <c r="L19" i="123"/>
  <c r="W34" i="123" s="1"/>
  <c r="L19" i="39"/>
  <c r="W34" i="39" s="1"/>
  <c r="L19" i="154"/>
  <c r="W34" i="154" s="1"/>
  <c r="L19" i="337"/>
  <c r="W34" i="337" s="1"/>
  <c r="L19" i="196"/>
  <c r="W34" i="196" s="1"/>
  <c r="L19" i="338"/>
  <c r="W34" i="338" s="1"/>
  <c r="O162" i="209"/>
  <c r="P133" i="246"/>
  <c r="M20" i="313"/>
  <c r="M19" i="91"/>
  <c r="N10" i="225"/>
  <c r="K62" i="209"/>
  <c r="S24" i="292"/>
  <c r="T24" i="292" s="1"/>
  <c r="V24" i="292"/>
  <c r="M13" i="165"/>
  <c r="M13" i="139"/>
  <c r="M13" i="355"/>
  <c r="M13" i="344"/>
  <c r="M13" i="334"/>
  <c r="M13" i="216"/>
  <c r="M13" i="166"/>
  <c r="M13" i="215"/>
  <c r="M13" i="162"/>
  <c r="M13" i="202"/>
  <c r="M10" i="185"/>
  <c r="W25" i="185" s="1"/>
  <c r="M10" i="223"/>
  <c r="W25" i="223" s="1"/>
  <c r="M10" i="103"/>
  <c r="W25" i="103" s="1"/>
  <c r="M10" i="173"/>
  <c r="W25" i="173" s="1"/>
  <c r="J24" i="246"/>
  <c r="O17" i="44"/>
  <c r="O17" i="328"/>
  <c r="O17" i="326"/>
  <c r="O17" i="174"/>
  <c r="O17" i="330"/>
  <c r="O17" i="18"/>
  <c r="O17" i="247"/>
  <c r="O17" i="228"/>
  <c r="O17" i="327"/>
  <c r="O17" i="250"/>
  <c r="L184" i="209"/>
  <c r="O17" i="248"/>
  <c r="O17" i="58"/>
  <c r="O17" i="291"/>
  <c r="M11" i="103"/>
  <c r="W26" i="103" s="1"/>
  <c r="M11" i="185"/>
  <c r="W26" i="185" s="1"/>
  <c r="P24" i="246"/>
  <c r="M11" i="173"/>
  <c r="W26" i="173" s="1"/>
  <c r="M11" i="223"/>
  <c r="W26" i="223" s="1"/>
  <c r="N17" i="228"/>
  <c r="K184" i="209"/>
  <c r="N17" i="327"/>
  <c r="N17" i="250"/>
  <c r="N17" i="174"/>
  <c r="N17" i="58"/>
  <c r="N17" i="44"/>
  <c r="N17" i="291"/>
  <c r="N17" i="18"/>
  <c r="N17" i="247"/>
  <c r="N17" i="326"/>
  <c r="N17" i="248"/>
  <c r="N17" i="330"/>
  <c r="N17" i="328"/>
  <c r="N19" i="345"/>
  <c r="Q170" i="209"/>
  <c r="N19" i="356"/>
  <c r="N19" i="7"/>
  <c r="N19" i="14"/>
  <c r="N19" i="16"/>
  <c r="N19" i="9"/>
  <c r="N19" i="13"/>
  <c r="N19" i="6"/>
  <c r="N19" i="125"/>
  <c r="N19" i="15"/>
  <c r="N19" i="10"/>
  <c r="N19" i="11"/>
  <c r="N19" i="4"/>
  <c r="Q139" i="209"/>
  <c r="M19" i="356"/>
  <c r="P170" i="209"/>
  <c r="M19" i="345"/>
  <c r="N11" i="225"/>
  <c r="Q62" i="209"/>
  <c r="N18" i="250"/>
  <c r="N18" i="327"/>
  <c r="N18" i="328"/>
  <c r="N18" i="291"/>
  <c r="N18" i="326"/>
  <c r="N18" i="248"/>
  <c r="N18" i="174"/>
  <c r="N18" i="247"/>
  <c r="N18" i="44"/>
  <c r="N18" i="330"/>
  <c r="N18" i="58"/>
  <c r="N18" i="18"/>
  <c r="N18" i="228"/>
  <c r="R18" i="292"/>
  <c r="U18" i="292"/>
  <c r="L11" i="166"/>
  <c r="W27" i="166" s="1"/>
  <c r="L11" i="334"/>
  <c r="W27" i="334" s="1"/>
  <c r="L11" i="215"/>
  <c r="W27" i="215" s="1"/>
  <c r="L11" i="165"/>
  <c r="W27" i="165" s="1"/>
  <c r="L11" i="162"/>
  <c r="W27" i="162" s="1"/>
  <c r="L11" i="344"/>
  <c r="W27" i="344" s="1"/>
  <c r="L11" i="216"/>
  <c r="W27" i="216" s="1"/>
  <c r="L11" i="139"/>
  <c r="W27" i="139" s="1"/>
  <c r="L11" i="202"/>
  <c r="W27" i="202" s="1"/>
  <c r="L11" i="355"/>
  <c r="W27" i="355" s="1"/>
  <c r="O19" i="225"/>
  <c r="R182" i="209"/>
  <c r="M11" i="139"/>
  <c r="M11" i="202"/>
  <c r="M11" i="344"/>
  <c r="M11" i="215"/>
  <c r="M11" i="334"/>
  <c r="M11" i="355"/>
  <c r="M11" i="166"/>
  <c r="M11" i="162"/>
  <c r="M11" i="165"/>
  <c r="M11" i="216"/>
  <c r="J272" i="246"/>
  <c r="M14" i="103"/>
  <c r="W29" i="103" s="1"/>
  <c r="M14" i="223"/>
  <c r="W29" i="223" s="1"/>
  <c r="M14" i="173"/>
  <c r="W29" i="173" s="1"/>
  <c r="M14" i="185"/>
  <c r="W29" i="185" s="1"/>
  <c r="L19" i="125"/>
  <c r="W34" i="125" s="1"/>
  <c r="O139" i="209"/>
  <c r="L19" i="15"/>
  <c r="W34" i="15" s="1"/>
  <c r="L19" i="6"/>
  <c r="W34" i="6" s="1"/>
  <c r="L19" i="14"/>
  <c r="W34" i="14" s="1"/>
  <c r="L19" i="13"/>
  <c r="W34" i="13" s="1"/>
  <c r="L19" i="10"/>
  <c r="W34" i="10" s="1"/>
  <c r="L19" i="4"/>
  <c r="W34" i="4" s="1"/>
  <c r="L19" i="16"/>
  <c r="W34" i="16" s="1"/>
  <c r="L19" i="7"/>
  <c r="W34" i="7" s="1"/>
  <c r="L19" i="11"/>
  <c r="W34" i="11" s="1"/>
  <c r="L19" i="9"/>
  <c r="W34" i="9" s="1"/>
  <c r="P139" i="246"/>
  <c r="M19" i="284"/>
  <c r="M19" i="190"/>
  <c r="M19" i="156"/>
  <c r="M19" i="192"/>
  <c r="L10" i="215"/>
  <c r="W26" i="215" s="1"/>
  <c r="L10" i="166"/>
  <c r="W26" i="166" s="1"/>
  <c r="L10" i="334"/>
  <c r="W26" i="334" s="1"/>
  <c r="L10" i="162"/>
  <c r="W26" i="162" s="1"/>
  <c r="L10" i="165"/>
  <c r="W26" i="165" s="1"/>
  <c r="L10" i="202"/>
  <c r="W26" i="202" s="1"/>
  <c r="L10" i="216"/>
  <c r="W26" i="216" s="1"/>
  <c r="L10" i="355"/>
  <c r="W26" i="355" s="1"/>
  <c r="L10" i="344"/>
  <c r="W26" i="344" s="1"/>
  <c r="L10" i="139"/>
  <c r="W26" i="139" s="1"/>
  <c r="L19" i="345"/>
  <c r="W34" i="345" s="1"/>
  <c r="L19" i="356"/>
  <c r="W34" i="356" s="1"/>
  <c r="O170" i="209"/>
  <c r="M14" i="162"/>
  <c r="M14" i="165"/>
  <c r="M14" i="202"/>
  <c r="M14" i="355"/>
  <c r="M14" i="139"/>
  <c r="M14" i="216"/>
  <c r="M14" i="334"/>
  <c r="M14" i="215"/>
  <c r="M14" i="344"/>
  <c r="M14" i="166"/>
  <c r="M9" i="173"/>
  <c r="W24" i="173" s="1"/>
  <c r="M9" i="185"/>
  <c r="W24" i="185" s="1"/>
  <c r="P210" i="246"/>
  <c r="M9" i="103"/>
  <c r="W24" i="103" s="1"/>
  <c r="M9" i="223"/>
  <c r="W24" i="223" s="1"/>
  <c r="D18" i="175"/>
  <c r="D39" i="175" s="1"/>
  <c r="L11" i="212" s="1"/>
  <c r="D38" i="170"/>
  <c r="L10" i="188" s="1"/>
  <c r="W26" i="188" s="1"/>
  <c r="D40" i="170"/>
  <c r="L12" i="126" s="1"/>
  <c r="W28" i="126" s="1"/>
  <c r="D37" i="170"/>
  <c r="L9" i="151" s="1"/>
  <c r="W25" i="151" s="1"/>
  <c r="D39" i="170"/>
  <c r="L11" i="293" s="1"/>
  <c r="W27" i="293" s="1"/>
  <c r="D41" i="170"/>
  <c r="L13" i="160" s="1"/>
  <c r="W29" i="160" s="1"/>
  <c r="D37" i="231"/>
  <c r="O250" i="246" s="1"/>
  <c r="D40" i="231"/>
  <c r="I126" i="246" s="1"/>
  <c r="D42" i="231"/>
  <c r="I312" i="246" s="1"/>
  <c r="D39" i="231"/>
  <c r="O64" i="246" s="1"/>
  <c r="D41" i="231"/>
  <c r="I250" i="246" s="1"/>
  <c r="I808" i="246"/>
  <c r="D42" i="172"/>
  <c r="L14" i="186" s="1"/>
  <c r="D38" i="172"/>
  <c r="I56" i="246" s="1"/>
  <c r="D39" i="172"/>
  <c r="L11" i="186" s="1"/>
  <c r="D40" i="172"/>
  <c r="L12" i="186" s="1"/>
  <c r="D37" i="172"/>
  <c r="L9" i="226" s="1"/>
  <c r="D41" i="172"/>
  <c r="L13" i="104" s="1"/>
  <c r="I800" i="246"/>
  <c r="L12" i="39"/>
  <c r="W28" i="39" s="1"/>
  <c r="L12" i="72"/>
  <c r="W28" i="72" s="1"/>
  <c r="L12" i="338"/>
  <c r="W28" i="338" s="1"/>
  <c r="L12" i="123"/>
  <c r="W28" i="123" s="1"/>
  <c r="L12" i="196"/>
  <c r="W28" i="196" s="1"/>
  <c r="L12" i="154"/>
  <c r="W28" i="154" s="1"/>
  <c r="L12" i="79"/>
  <c r="W28" i="79" s="1"/>
  <c r="L12" i="337"/>
  <c r="W28" i="337" s="1"/>
  <c r="I102" i="209"/>
  <c r="L14" i="79"/>
  <c r="W30" i="79" s="1"/>
  <c r="I282" i="209"/>
  <c r="L14" i="337"/>
  <c r="W30" i="337" s="1"/>
  <c r="L14" i="123"/>
  <c r="W30" i="123" s="1"/>
  <c r="L14" i="154"/>
  <c r="W30" i="154" s="1"/>
  <c r="L14" i="338"/>
  <c r="W30" i="338" s="1"/>
  <c r="L14" i="39"/>
  <c r="W30" i="39" s="1"/>
  <c r="L14" i="72"/>
  <c r="W30" i="72" s="1"/>
  <c r="L14" i="196"/>
  <c r="W30" i="196" s="1"/>
  <c r="G18" i="126"/>
  <c r="G15" i="226"/>
  <c r="L736" i="209"/>
  <c r="M736" i="209" s="1"/>
  <c r="G38" i="9"/>
  <c r="L16" i="209" s="1"/>
  <c r="G41" i="9"/>
  <c r="L196" i="209" s="1"/>
  <c r="G39" i="9"/>
  <c r="R16" i="209" s="1"/>
  <c r="G42" i="9"/>
  <c r="L256" i="209" s="1"/>
  <c r="G40" i="9"/>
  <c r="L76" i="209" s="1"/>
  <c r="G37" i="9"/>
  <c r="R196" i="209" s="1"/>
  <c r="H18" i="9"/>
  <c r="V652" i="209"/>
  <c r="C712" i="209"/>
  <c r="P26" i="175"/>
  <c r="D15" i="327"/>
  <c r="D15" i="330"/>
  <c r="D15" i="58"/>
  <c r="D15" i="229" s="1"/>
  <c r="L13" i="123"/>
  <c r="W29" i="123" s="1"/>
  <c r="L13" i="196"/>
  <c r="W29" i="196" s="1"/>
  <c r="I222" i="209"/>
  <c r="L13" i="338"/>
  <c r="W29" i="338" s="1"/>
  <c r="L13" i="79"/>
  <c r="W29" i="79" s="1"/>
  <c r="L13" i="72"/>
  <c r="W29" i="72" s="1"/>
  <c r="L13" i="39"/>
  <c r="W29" i="39" s="1"/>
  <c r="L13" i="337"/>
  <c r="W29" i="337" s="1"/>
  <c r="L13" i="154"/>
  <c r="W29" i="154" s="1"/>
  <c r="G15" i="4"/>
  <c r="F18" i="4"/>
  <c r="O222" i="209"/>
  <c r="L9" i="337"/>
  <c r="W25" i="337" s="1"/>
  <c r="L9" i="72"/>
  <c r="W25" i="72" s="1"/>
  <c r="L9" i="123"/>
  <c r="W25" i="123" s="1"/>
  <c r="L9" i="79"/>
  <c r="W25" i="79" s="1"/>
  <c r="L9" i="196"/>
  <c r="W25" i="196" s="1"/>
  <c r="L9" i="154"/>
  <c r="W25" i="154" s="1"/>
  <c r="L9" i="338"/>
  <c r="W25" i="338" s="1"/>
  <c r="L9" i="39"/>
  <c r="W25" i="39" s="1"/>
  <c r="L10" i="79"/>
  <c r="W26" i="79" s="1"/>
  <c r="L10" i="154"/>
  <c r="W26" i="154" s="1"/>
  <c r="L10" i="338"/>
  <c r="W26" i="338" s="1"/>
  <c r="L10" i="39"/>
  <c r="W26" i="39" s="1"/>
  <c r="L10" i="123"/>
  <c r="W26" i="123" s="1"/>
  <c r="L10" i="337"/>
  <c r="W26" i="337" s="1"/>
  <c r="L10" i="72"/>
  <c r="W26" i="72" s="1"/>
  <c r="I42" i="209"/>
  <c r="L10" i="196"/>
  <c r="W26" i="196" s="1"/>
  <c r="E18" i="170"/>
  <c r="E37" i="226"/>
  <c r="P240" i="246" s="1"/>
  <c r="E40" i="226"/>
  <c r="J116" i="246" s="1"/>
  <c r="J798" i="246"/>
  <c r="E41" i="226"/>
  <c r="J240" i="246" s="1"/>
  <c r="E38" i="226"/>
  <c r="J54" i="246" s="1"/>
  <c r="E18" i="231"/>
  <c r="E18" i="172"/>
  <c r="E39" i="226"/>
  <c r="P54" i="246" s="1"/>
  <c r="E42" i="226"/>
  <c r="J302" i="246" s="1"/>
  <c r="F42" i="11"/>
  <c r="K254" i="209" s="1"/>
  <c r="F38" i="11"/>
  <c r="K14" i="209" s="1"/>
  <c r="F40" i="11"/>
  <c r="K74" i="209" s="1"/>
  <c r="K734" i="209"/>
  <c r="F39" i="11"/>
  <c r="Q14" i="209" s="1"/>
  <c r="F37" i="11"/>
  <c r="Q194" i="209" s="1"/>
  <c r="F41" i="11"/>
  <c r="K194" i="209" s="1"/>
  <c r="G18" i="79"/>
  <c r="F42" i="126"/>
  <c r="K290" i="246" s="1"/>
  <c r="F40" i="126"/>
  <c r="K104" i="246" s="1"/>
  <c r="F39" i="126"/>
  <c r="Q42" i="246" s="1"/>
  <c r="F41" i="126"/>
  <c r="K228" i="246" s="1"/>
  <c r="F37" i="126"/>
  <c r="Q228" i="246" s="1"/>
  <c r="F38" i="126"/>
  <c r="K42" i="246" s="1"/>
  <c r="K786" i="246"/>
  <c r="F18" i="226"/>
  <c r="F42" i="9"/>
  <c r="K256" i="209" s="1"/>
  <c r="K736" i="209"/>
  <c r="F41" i="9"/>
  <c r="K196" i="209" s="1"/>
  <c r="F39" i="9"/>
  <c r="Q16" i="209" s="1"/>
  <c r="F37" i="9"/>
  <c r="Q196" i="209" s="1"/>
  <c r="F38" i="9"/>
  <c r="K16" i="209" s="1"/>
  <c r="F40" i="9"/>
  <c r="K76" i="209" s="1"/>
  <c r="F41" i="7"/>
  <c r="K197" i="209" s="1"/>
  <c r="G37" i="11"/>
  <c r="R194" i="209" s="1"/>
  <c r="G41" i="11"/>
  <c r="L194" i="209" s="1"/>
  <c r="L734" i="209"/>
  <c r="M734" i="209" s="1"/>
  <c r="G39" i="11"/>
  <c r="R14" i="209" s="1"/>
  <c r="G38" i="11"/>
  <c r="L14" i="209" s="1"/>
  <c r="G40" i="11"/>
  <c r="L74" i="209" s="1"/>
  <c r="G42" i="11"/>
  <c r="L254" i="209" s="1"/>
  <c r="H18" i="11"/>
  <c r="F15" i="231"/>
  <c r="F15" i="170"/>
  <c r="F15" i="175" s="1"/>
  <c r="F15" i="172"/>
  <c r="F15" i="174" s="1"/>
  <c r="D41" i="328"/>
  <c r="D40" i="328"/>
  <c r="D39" i="328"/>
  <c r="D42" i="328"/>
  <c r="D37" i="328"/>
  <c r="D38" i="328"/>
  <c r="F15" i="328"/>
  <c r="L11" i="337"/>
  <c r="W27" i="337" s="1"/>
  <c r="L11" i="338"/>
  <c r="W27" i="338" s="1"/>
  <c r="L11" i="123"/>
  <c r="W27" i="123" s="1"/>
  <c r="L11" i="79"/>
  <c r="W27" i="79" s="1"/>
  <c r="L11" i="154"/>
  <c r="W27" i="154" s="1"/>
  <c r="L11" i="39"/>
  <c r="W27" i="39" s="1"/>
  <c r="O42" i="209"/>
  <c r="L11" i="196"/>
  <c r="W27" i="196" s="1"/>
  <c r="L11" i="72"/>
  <c r="W27" i="72" s="1"/>
  <c r="E41" i="44"/>
  <c r="E39" i="44"/>
  <c r="E38" i="44"/>
  <c r="E42" i="44"/>
  <c r="J762" i="209"/>
  <c r="E40" i="44"/>
  <c r="E37" i="44"/>
  <c r="E18" i="328"/>
  <c r="F41" i="79"/>
  <c r="K219" i="209" s="1"/>
  <c r="F39" i="79"/>
  <c r="Q39" i="209" s="1"/>
  <c r="K759" i="209"/>
  <c r="F37" i="79"/>
  <c r="Q219" i="209" s="1"/>
  <c r="F38" i="79"/>
  <c r="K39" i="209" s="1"/>
  <c r="F42" i="79"/>
  <c r="K279" i="209" s="1"/>
  <c r="F40" i="79"/>
  <c r="K99" i="209" s="1"/>
  <c r="M15" i="212"/>
  <c r="W30" i="212" s="1"/>
  <c r="E47" i="175"/>
  <c r="M19" i="212" s="1"/>
  <c r="W33" i="212" s="1"/>
  <c r="O15" i="212"/>
  <c r="G47" i="175"/>
  <c r="O19" i="212" s="1"/>
  <c r="M16" i="172"/>
  <c r="W31" i="172" s="1"/>
  <c r="M16" i="175"/>
  <c r="W31" i="175" s="1"/>
  <c r="M16" i="361"/>
  <c r="W31" i="361" s="1"/>
  <c r="M16" i="309"/>
  <c r="W31" i="309" s="1"/>
  <c r="M16" i="84"/>
  <c r="W31" i="84" s="1"/>
  <c r="M16" i="171"/>
  <c r="W31" i="171" s="1"/>
  <c r="M16" i="231"/>
  <c r="W31" i="231" s="1"/>
  <c r="P128" i="246"/>
  <c r="M16" i="184"/>
  <c r="W31" i="184" s="1"/>
  <c r="M16" i="229"/>
  <c r="D37" i="174"/>
  <c r="D40" i="174"/>
  <c r="D39" i="174"/>
  <c r="D41" i="174"/>
  <c r="D38" i="174"/>
  <c r="I810" i="246"/>
  <c r="D42" i="174"/>
  <c r="E47" i="174"/>
  <c r="M15" i="172"/>
  <c r="M15" i="171"/>
  <c r="W30" i="171" s="1"/>
  <c r="M15" i="84"/>
  <c r="W30" i="84" s="1"/>
  <c r="M15" i="309"/>
  <c r="M15" i="231"/>
  <c r="W30" i="231" s="1"/>
  <c r="M15" i="361"/>
  <c r="W30" i="361" s="1"/>
  <c r="M15" i="175"/>
  <c r="W30" i="175" s="1"/>
  <c r="M15" i="184"/>
  <c r="W30" i="184" s="1"/>
  <c r="M15" i="229"/>
  <c r="M15" i="203"/>
  <c r="M15" i="195"/>
  <c r="M15" i="183"/>
  <c r="M15" i="126"/>
  <c r="M15" i="188"/>
  <c r="M15" i="137"/>
  <c r="M15" i="141"/>
  <c r="M15" i="151"/>
  <c r="M15" i="204"/>
  <c r="M15" i="219"/>
  <c r="M15" i="270"/>
  <c r="M15" i="362"/>
  <c r="M15" i="178"/>
  <c r="M15" i="349"/>
  <c r="M15" i="146"/>
  <c r="M15" i="160"/>
  <c r="E47" i="170"/>
  <c r="M15" i="187"/>
  <c r="M15" i="194"/>
  <c r="M15" i="293"/>
  <c r="M15" i="189"/>
  <c r="M15" i="353"/>
  <c r="O15" i="151"/>
  <c r="O15" i="353"/>
  <c r="O15" i="187"/>
  <c r="O15" i="141"/>
  <c r="O15" i="137"/>
  <c r="O15" i="126"/>
  <c r="O15" i="204"/>
  <c r="O15" i="362"/>
  <c r="O15" i="183"/>
  <c r="O15" i="219"/>
  <c r="O15" i="160"/>
  <c r="O15" i="146"/>
  <c r="O15" i="203"/>
  <c r="O15" i="178"/>
  <c r="O15" i="293"/>
  <c r="O15" i="349"/>
  <c r="O15" i="270"/>
  <c r="O15" i="195"/>
  <c r="G47" i="170"/>
  <c r="O15" i="194"/>
  <c r="O15" i="188"/>
  <c r="O15" i="189"/>
  <c r="F47" i="175"/>
  <c r="N19" i="212" s="1"/>
  <c r="N15" i="212"/>
  <c r="L15" i="170"/>
  <c r="L15" i="226"/>
  <c r="L15" i="186"/>
  <c r="D47" i="172"/>
  <c r="L15" i="104"/>
  <c r="M18" i="361"/>
  <c r="M18" i="84"/>
  <c r="M18" i="309"/>
  <c r="M18" i="184"/>
  <c r="M18" i="172"/>
  <c r="M18" i="171"/>
  <c r="M18" i="175"/>
  <c r="M18" i="229"/>
  <c r="M18" i="231"/>
  <c r="M15" i="104"/>
  <c r="M15" i="170"/>
  <c r="W30" i="170" s="1"/>
  <c r="M15" i="226"/>
  <c r="W30" i="226" s="1"/>
  <c r="E47" i="172"/>
  <c r="M15" i="186"/>
  <c r="M17" i="361"/>
  <c r="W32" i="361" s="1"/>
  <c r="M17" i="229"/>
  <c r="M17" i="175"/>
  <c r="W32" i="175" s="1"/>
  <c r="M17" i="84"/>
  <c r="W32" i="84" s="1"/>
  <c r="M17" i="171"/>
  <c r="W32" i="171" s="1"/>
  <c r="M17" i="184"/>
  <c r="W32" i="184" s="1"/>
  <c r="M17" i="309"/>
  <c r="W32" i="309" s="1"/>
  <c r="M17" i="231"/>
  <c r="W32" i="231" s="1"/>
  <c r="M17" i="172"/>
  <c r="W32" i="172" s="1"/>
  <c r="J190" i="246"/>
  <c r="N15" i="270"/>
  <c r="N15" i="204"/>
  <c r="N15" i="137"/>
  <c r="N15" i="187"/>
  <c r="N15" i="188"/>
  <c r="N15" i="146"/>
  <c r="N15" i="194"/>
  <c r="N15" i="189"/>
  <c r="N15" i="195"/>
  <c r="N15" i="349"/>
  <c r="N15" i="126"/>
  <c r="N15" i="183"/>
  <c r="N15" i="293"/>
  <c r="F47" i="170"/>
  <c r="N15" i="178"/>
  <c r="N15" i="219"/>
  <c r="N15" i="362"/>
  <c r="N15" i="203"/>
  <c r="N15" i="151"/>
  <c r="N15" i="141"/>
  <c r="N15" i="353"/>
  <c r="N15" i="160"/>
  <c r="N15" i="309"/>
  <c r="W30" i="309" s="1"/>
  <c r="F47" i="174"/>
  <c r="N15" i="229"/>
  <c r="N15" i="84"/>
  <c r="N15" i="175"/>
  <c r="N15" i="171"/>
  <c r="N15" i="172"/>
  <c r="W30" i="172" s="1"/>
  <c r="N15" i="184"/>
  <c r="N15" i="361"/>
  <c r="N15" i="231"/>
  <c r="L15" i="353"/>
  <c r="W31" i="353" s="1"/>
  <c r="L15" i="126"/>
  <c r="W31" i="126" s="1"/>
  <c r="L15" i="204"/>
  <c r="W31" i="204" s="1"/>
  <c r="L15" i="189"/>
  <c r="W31" i="189" s="1"/>
  <c r="L15" i="146"/>
  <c r="W31" i="146" s="1"/>
  <c r="L15" i="187"/>
  <c r="W31" i="187" s="1"/>
  <c r="L15" i="362"/>
  <c r="W31" i="362" s="1"/>
  <c r="L15" i="219"/>
  <c r="W31" i="219" s="1"/>
  <c r="L15" i="160"/>
  <c r="W31" i="160" s="1"/>
  <c r="L15" i="183"/>
  <c r="W31" i="183" s="1"/>
  <c r="L15" i="293"/>
  <c r="W31" i="293" s="1"/>
  <c r="L15" i="203"/>
  <c r="W31" i="203" s="1"/>
  <c r="L15" i="141"/>
  <c r="W31" i="141" s="1"/>
  <c r="L15" i="270"/>
  <c r="W31" i="270" s="1"/>
  <c r="L15" i="195"/>
  <c r="W31" i="195" s="1"/>
  <c r="L15" i="349"/>
  <c r="W31" i="349" s="1"/>
  <c r="L15" i="178"/>
  <c r="W31" i="178" s="1"/>
  <c r="L15" i="194"/>
  <c r="W31" i="194" s="1"/>
  <c r="D47" i="170"/>
  <c r="L15" i="137"/>
  <c r="W31" i="137" s="1"/>
  <c r="L15" i="151"/>
  <c r="W31" i="151" s="1"/>
  <c r="L15" i="188"/>
  <c r="W31" i="188" s="1"/>
  <c r="N15" i="170"/>
  <c r="N15" i="226"/>
  <c r="N15" i="186"/>
  <c r="W30" i="186" s="1"/>
  <c r="F47" i="172"/>
  <c r="N15" i="104"/>
  <c r="W30" i="104" s="1"/>
  <c r="L14" i="194"/>
  <c r="W30" i="194" s="1"/>
  <c r="L14" i="195"/>
  <c r="W30" i="195" s="1"/>
  <c r="L14" i="293"/>
  <c r="W30" i="293" s="1"/>
  <c r="L14" i="137"/>
  <c r="W30" i="137" s="1"/>
  <c r="L14" i="188"/>
  <c r="W30" i="188" s="1"/>
  <c r="L14" i="204"/>
  <c r="W30" i="204" s="1"/>
  <c r="L14" i="270"/>
  <c r="W30" i="270" s="1"/>
  <c r="L14" i="187"/>
  <c r="W30" i="187" s="1"/>
  <c r="L14" i="219"/>
  <c r="W30" i="219" s="1"/>
  <c r="L14" i="151"/>
  <c r="W30" i="151" s="1"/>
  <c r="L14" i="183"/>
  <c r="W30" i="183" s="1"/>
  <c r="L14" i="126"/>
  <c r="W30" i="126" s="1"/>
  <c r="L14" i="146"/>
  <c r="W30" i="146" s="1"/>
  <c r="L14" i="178"/>
  <c r="W30" i="178" s="1"/>
  <c r="L14" i="362"/>
  <c r="W30" i="362" s="1"/>
  <c r="L14" i="203"/>
  <c r="W30" i="203" s="1"/>
  <c r="L14" i="160"/>
  <c r="W30" i="160" s="1"/>
  <c r="L14" i="353"/>
  <c r="W30" i="353" s="1"/>
  <c r="L14" i="141"/>
  <c r="W30" i="141" s="1"/>
  <c r="L14" i="349"/>
  <c r="W30" i="349" s="1"/>
  <c r="L14" i="189"/>
  <c r="W30" i="189" s="1"/>
  <c r="L19" i="223"/>
  <c r="L19" i="173"/>
  <c r="L19" i="103"/>
  <c r="L19" i="185"/>
  <c r="O148" i="246"/>
  <c r="L15" i="172"/>
  <c r="D47" i="174"/>
  <c r="L15" i="231"/>
  <c r="L15" i="184"/>
  <c r="L15" i="84"/>
  <c r="L15" i="309"/>
  <c r="L15" i="175"/>
  <c r="L15" i="229"/>
  <c r="L15" i="361"/>
  <c r="L15" i="171"/>
  <c r="L19" i="334"/>
  <c r="W34" i="334" s="1"/>
  <c r="L19" i="166"/>
  <c r="W34" i="166" s="1"/>
  <c r="L19" i="344"/>
  <c r="W34" i="344" s="1"/>
  <c r="L19" i="165"/>
  <c r="W34" i="165" s="1"/>
  <c r="L19" i="139"/>
  <c r="W34" i="139" s="1"/>
  <c r="L19" i="215"/>
  <c r="W34" i="215" s="1"/>
  <c r="L19" i="162"/>
  <c r="W34" i="162" s="1"/>
  <c r="L19" i="355"/>
  <c r="W34" i="355" s="1"/>
  <c r="L19" i="216"/>
  <c r="W34" i="216" s="1"/>
  <c r="L19" i="202"/>
  <c r="W34" i="202" s="1"/>
  <c r="D47" i="175"/>
  <c r="L19" i="212" s="1"/>
  <c r="L15" i="212"/>
  <c r="F42" i="7" l="1"/>
  <c r="K257" i="209" s="1"/>
  <c r="F39" i="7"/>
  <c r="Q17" i="209" s="1"/>
  <c r="F38" i="7"/>
  <c r="K17" i="209" s="1"/>
  <c r="F40" i="7"/>
  <c r="K77" i="209" s="1"/>
  <c r="K737" i="209"/>
  <c r="E15" i="330"/>
  <c r="G41" i="7"/>
  <c r="L197" i="209" s="1"/>
  <c r="L122" i="209"/>
  <c r="O12" i="223"/>
  <c r="O12" i="103"/>
  <c r="L86" i="246"/>
  <c r="L302" i="209"/>
  <c r="O12" i="173"/>
  <c r="E37" i="4"/>
  <c r="P191" i="209" s="1"/>
  <c r="J724" i="209"/>
  <c r="P664" i="209"/>
  <c r="E44" i="229"/>
  <c r="M16" i="330" s="1"/>
  <c r="Y31" i="330" s="1"/>
  <c r="G40" i="6"/>
  <c r="L78" i="209" s="1"/>
  <c r="E46" i="229"/>
  <c r="M18" i="228" s="1"/>
  <c r="E45" i="229"/>
  <c r="M17" i="291" s="1"/>
  <c r="W32" i="291" s="1"/>
  <c r="F40" i="6"/>
  <c r="K78" i="209" s="1"/>
  <c r="O11" i="185"/>
  <c r="O11" i="103"/>
  <c r="R24" i="246"/>
  <c r="O11" i="173"/>
  <c r="G38" i="6"/>
  <c r="L18" i="209" s="1"/>
  <c r="O14" i="223"/>
  <c r="O14" i="173"/>
  <c r="L272" i="246"/>
  <c r="O14" i="185"/>
  <c r="O10" i="185"/>
  <c r="O13" i="223"/>
  <c r="O10" i="223"/>
  <c r="O13" i="185"/>
  <c r="O13" i="173"/>
  <c r="L24" i="246"/>
  <c r="O10" i="103"/>
  <c r="O13" i="103"/>
  <c r="G18" i="123"/>
  <c r="G18" i="44" s="1"/>
  <c r="G15" i="328"/>
  <c r="G42" i="7"/>
  <c r="L257" i="209" s="1"/>
  <c r="G37" i="7"/>
  <c r="R197" i="209" s="1"/>
  <c r="G40" i="7"/>
  <c r="L77" i="209" s="1"/>
  <c r="G38" i="7"/>
  <c r="L17" i="209" s="1"/>
  <c r="L737" i="209"/>
  <c r="R242" i="209"/>
  <c r="O10" i="225"/>
  <c r="E41" i="4"/>
  <c r="J191" i="209" s="1"/>
  <c r="E38" i="4"/>
  <c r="J11" i="209" s="1"/>
  <c r="J731" i="209"/>
  <c r="E40" i="4"/>
  <c r="J71" i="209" s="1"/>
  <c r="E42" i="4"/>
  <c r="J251" i="209" s="1"/>
  <c r="E15" i="58"/>
  <c r="E15" i="229" s="1"/>
  <c r="L242" i="209"/>
  <c r="E18" i="18"/>
  <c r="E18" i="330" s="1"/>
  <c r="E40" i="330" s="1"/>
  <c r="L738" i="209"/>
  <c r="M738" i="209" s="1"/>
  <c r="D18" i="18"/>
  <c r="D18" i="58" s="1"/>
  <c r="D38" i="58" s="1"/>
  <c r="I60" i="209" s="1"/>
  <c r="H18" i="7"/>
  <c r="I737" i="209"/>
  <c r="D42" i="7"/>
  <c r="I257" i="209" s="1"/>
  <c r="G37" i="6"/>
  <c r="R198" i="209" s="1"/>
  <c r="D41" i="7"/>
  <c r="I197" i="209" s="1"/>
  <c r="G41" i="6"/>
  <c r="L198" i="209" s="1"/>
  <c r="G42" i="6"/>
  <c r="L258" i="209" s="1"/>
  <c r="D39" i="7"/>
  <c r="O17" i="209" s="1"/>
  <c r="H18" i="6"/>
  <c r="D38" i="7"/>
  <c r="I17" i="209" s="1"/>
  <c r="D40" i="7"/>
  <c r="I77" i="209" s="1"/>
  <c r="F38" i="6"/>
  <c r="K18" i="209" s="1"/>
  <c r="F41" i="6"/>
  <c r="K198" i="209" s="1"/>
  <c r="F37" i="6"/>
  <c r="Q198" i="209" s="1"/>
  <c r="K738" i="209"/>
  <c r="F39" i="6"/>
  <c r="Q18" i="209" s="1"/>
  <c r="V41" i="292"/>
  <c r="O15" i="330"/>
  <c r="O15" i="228"/>
  <c r="G47" i="229"/>
  <c r="O19" i="250" s="1"/>
  <c r="O15" i="328"/>
  <c r="O15" i="18"/>
  <c r="O15" i="327"/>
  <c r="O13" i="139"/>
  <c r="O13" i="344"/>
  <c r="O13" i="165"/>
  <c r="O13" i="355"/>
  <c r="O13" i="166"/>
  <c r="O13" i="215"/>
  <c r="O13" i="202"/>
  <c r="O13" i="334"/>
  <c r="O13" i="216"/>
  <c r="O13" i="162"/>
  <c r="O14" i="215"/>
  <c r="O14" i="139"/>
  <c r="O14" i="166"/>
  <c r="O14" i="334"/>
  <c r="O14" i="165"/>
  <c r="O14" i="202"/>
  <c r="O14" i="162"/>
  <c r="O14" i="344"/>
  <c r="O14" i="355"/>
  <c r="O14" i="216"/>
  <c r="O12" i="139"/>
  <c r="O12" i="355"/>
  <c r="O12" i="216"/>
  <c r="O12" i="165"/>
  <c r="O12" i="334"/>
  <c r="O12" i="162"/>
  <c r="O12" i="344"/>
  <c r="O12" i="202"/>
  <c r="O12" i="215"/>
  <c r="O12" i="166"/>
  <c r="O10" i="344"/>
  <c r="O10" i="139"/>
  <c r="O10" i="202"/>
  <c r="O10" i="216"/>
  <c r="O10" i="355"/>
  <c r="O10" i="166"/>
  <c r="O10" i="165"/>
  <c r="O10" i="334"/>
  <c r="O10" i="215"/>
  <c r="O10" i="162"/>
  <c r="O9" i="334"/>
  <c r="O9" i="344"/>
  <c r="O9" i="162"/>
  <c r="O9" i="215"/>
  <c r="O9" i="165"/>
  <c r="O9" i="216"/>
  <c r="O9" i="202"/>
  <c r="O9" i="355"/>
  <c r="O9" i="166"/>
  <c r="O9" i="139"/>
  <c r="O11" i="202"/>
  <c r="O11" i="139"/>
  <c r="O11" i="165"/>
  <c r="O11" i="166"/>
  <c r="O11" i="334"/>
  <c r="O11" i="162"/>
  <c r="O11" i="344"/>
  <c r="O11" i="216"/>
  <c r="O11" i="355"/>
  <c r="O11" i="215"/>
  <c r="O15" i="44"/>
  <c r="O15" i="248"/>
  <c r="O15" i="174"/>
  <c r="O15" i="250"/>
  <c r="O15" i="291"/>
  <c r="O15" i="326"/>
  <c r="O15" i="247"/>
  <c r="F18" i="13"/>
  <c r="F18" i="18" s="1"/>
  <c r="F18" i="58" s="1"/>
  <c r="G15" i="13"/>
  <c r="G18" i="13" s="1"/>
  <c r="E40" i="13"/>
  <c r="J72" i="209" s="1"/>
  <c r="E38" i="13"/>
  <c r="J12" i="209" s="1"/>
  <c r="E37" i="13"/>
  <c r="P192" i="209" s="1"/>
  <c r="E42" i="13"/>
  <c r="J252" i="209" s="1"/>
  <c r="E39" i="13"/>
  <c r="P12" i="209" s="1"/>
  <c r="J732" i="209"/>
  <c r="E41" i="13"/>
  <c r="J192" i="209" s="1"/>
  <c r="R190" i="246"/>
  <c r="U652" i="209"/>
  <c r="D712" i="209"/>
  <c r="O19" i="361"/>
  <c r="O19" i="184"/>
  <c r="L11" i="349"/>
  <c r="W27" i="349" s="1"/>
  <c r="L12" i="219"/>
  <c r="W28" i="219" s="1"/>
  <c r="O19" i="84"/>
  <c r="O19" i="309"/>
  <c r="O19" i="231"/>
  <c r="O19" i="171"/>
  <c r="O19" i="229"/>
  <c r="O19" i="172"/>
  <c r="L11" i="195"/>
  <c r="W27" i="195" s="1"/>
  <c r="L11" i="187"/>
  <c r="W27" i="187" s="1"/>
  <c r="L11" i="178"/>
  <c r="W27" i="178" s="1"/>
  <c r="L10" i="219"/>
  <c r="W26" i="219" s="1"/>
  <c r="L10" i="270"/>
  <c r="W26" i="270" s="1"/>
  <c r="L10" i="353"/>
  <c r="W26" i="353" s="1"/>
  <c r="L10" i="195"/>
  <c r="W26" i="195" s="1"/>
  <c r="L12" i="293"/>
  <c r="W28" i="293" s="1"/>
  <c r="D42" i="175"/>
  <c r="L14" i="212" s="1"/>
  <c r="L11" i="219"/>
  <c r="W27" i="219" s="1"/>
  <c r="L12" i="146"/>
  <c r="W28" i="146" s="1"/>
  <c r="L12" i="353"/>
  <c r="W28" i="353" s="1"/>
  <c r="L12" i="270"/>
  <c r="W28" i="270" s="1"/>
  <c r="L12" i="195"/>
  <c r="W28" i="195" s="1"/>
  <c r="L12" i="151"/>
  <c r="W28" i="151" s="1"/>
  <c r="L12" i="137"/>
  <c r="W28" i="137" s="1"/>
  <c r="L12" i="188"/>
  <c r="W28" i="188" s="1"/>
  <c r="L12" i="362"/>
  <c r="W28" i="362" s="1"/>
  <c r="W30" i="229"/>
  <c r="L10" i="194"/>
  <c r="W26" i="194" s="1"/>
  <c r="L10" i="178"/>
  <c r="W26" i="178" s="1"/>
  <c r="L10" i="141"/>
  <c r="W26" i="141" s="1"/>
  <c r="L10" i="204"/>
  <c r="W26" i="204" s="1"/>
  <c r="L10" i="203"/>
  <c r="W26" i="203" s="1"/>
  <c r="L10" i="293"/>
  <c r="W26" i="293" s="1"/>
  <c r="L10" i="151"/>
  <c r="W26" i="151" s="1"/>
  <c r="L10" i="187"/>
  <c r="W26" i="187" s="1"/>
  <c r="L10" i="137"/>
  <c r="W26" i="137" s="1"/>
  <c r="L10" i="146"/>
  <c r="W26" i="146" s="1"/>
  <c r="L10" i="183"/>
  <c r="W26" i="183" s="1"/>
  <c r="L10" i="126"/>
  <c r="W26" i="126" s="1"/>
  <c r="L10" i="349"/>
  <c r="W26" i="349" s="1"/>
  <c r="L10" i="189"/>
  <c r="W26" i="189" s="1"/>
  <c r="L10" i="362"/>
  <c r="W26" i="362" s="1"/>
  <c r="L10" i="160"/>
  <c r="W26" i="160" s="1"/>
  <c r="K755" i="209"/>
  <c r="F38" i="123"/>
  <c r="K35" i="209" s="1"/>
  <c r="F41" i="123"/>
  <c r="K215" i="209" s="1"/>
  <c r="F42" i="123"/>
  <c r="K275" i="209" s="1"/>
  <c r="F40" i="123"/>
  <c r="K95" i="209" s="1"/>
  <c r="F37" i="123"/>
  <c r="Q215" i="209" s="1"/>
  <c r="F39" i="123"/>
  <c r="Q35" i="209" s="1"/>
  <c r="F15" i="58"/>
  <c r="F15" i="229" s="1"/>
  <c r="F15" i="330"/>
  <c r="L9" i="189"/>
  <c r="W25" i="189" s="1"/>
  <c r="L9" i="187"/>
  <c r="W25" i="187" s="1"/>
  <c r="L9" i="293"/>
  <c r="W25" i="293" s="1"/>
  <c r="L9" i="146"/>
  <c r="W25" i="146" s="1"/>
  <c r="L9" i="353"/>
  <c r="W25" i="353" s="1"/>
  <c r="L9" i="141"/>
  <c r="W25" i="141" s="1"/>
  <c r="L9" i="183"/>
  <c r="W25" i="183" s="1"/>
  <c r="L9" i="160"/>
  <c r="W25" i="160" s="1"/>
  <c r="L9" i="194"/>
  <c r="W25" i="194" s="1"/>
  <c r="L9" i="137"/>
  <c r="W25" i="137" s="1"/>
  <c r="L9" i="349"/>
  <c r="W25" i="349" s="1"/>
  <c r="L9" i="270"/>
  <c r="W25" i="270" s="1"/>
  <c r="L9" i="195"/>
  <c r="W25" i="195" s="1"/>
  <c r="L9" i="203"/>
  <c r="W25" i="203" s="1"/>
  <c r="L9" i="204"/>
  <c r="W25" i="204" s="1"/>
  <c r="L9" i="126"/>
  <c r="W25" i="126" s="1"/>
  <c r="L9" i="188"/>
  <c r="W25" i="188" s="1"/>
  <c r="L9" i="362"/>
  <c r="W25" i="362" s="1"/>
  <c r="L9" i="178"/>
  <c r="W25" i="178" s="1"/>
  <c r="L9" i="219"/>
  <c r="W25" i="219" s="1"/>
  <c r="L12" i="349"/>
  <c r="W28" i="349" s="1"/>
  <c r="L12" i="203"/>
  <c r="W28" i="203" s="1"/>
  <c r="L12" i="160"/>
  <c r="W28" i="160" s="1"/>
  <c r="L12" i="194"/>
  <c r="W28" i="194" s="1"/>
  <c r="L12" i="189"/>
  <c r="W28" i="189" s="1"/>
  <c r="L12" i="183"/>
  <c r="W28" i="183" s="1"/>
  <c r="L12" i="178"/>
  <c r="W28" i="178" s="1"/>
  <c r="L12" i="204"/>
  <c r="W28" i="204" s="1"/>
  <c r="L12" i="141"/>
  <c r="W28" i="141" s="1"/>
  <c r="L12" i="187"/>
  <c r="W28" i="187" s="1"/>
  <c r="L9" i="170"/>
  <c r="D41" i="175"/>
  <c r="L13" i="212" s="1"/>
  <c r="D37" i="175"/>
  <c r="L9" i="212" s="1"/>
  <c r="D40" i="175"/>
  <c r="L12" i="212" s="1"/>
  <c r="Y32" i="330"/>
  <c r="X32" i="330"/>
  <c r="X32" i="58"/>
  <c r="Y32" i="58"/>
  <c r="N15" i="326"/>
  <c r="N15" i="291"/>
  <c r="N15" i="327"/>
  <c r="N15" i="58"/>
  <c r="N15" i="328"/>
  <c r="N15" i="250"/>
  <c r="N15" i="44"/>
  <c r="N15" i="247"/>
  <c r="N15" i="248"/>
  <c r="N15" i="174"/>
  <c r="N15" i="330"/>
  <c r="F47" i="229"/>
  <c r="N15" i="18"/>
  <c r="N15" i="228"/>
  <c r="D38" i="175"/>
  <c r="L10" i="212" s="1"/>
  <c r="O242" i="246"/>
  <c r="P182" i="209"/>
  <c r="M19" i="225"/>
  <c r="Q182" i="209"/>
  <c r="N19" i="225"/>
  <c r="W33" i="225" s="1"/>
  <c r="M15" i="174"/>
  <c r="W30" i="174" s="1"/>
  <c r="M15" i="247"/>
  <c r="W30" i="247" s="1"/>
  <c r="M15" i="44"/>
  <c r="W30" i="44" s="1"/>
  <c r="M15" i="228"/>
  <c r="W30" i="228" s="1"/>
  <c r="M15" i="327"/>
  <c r="W30" i="327" s="1"/>
  <c r="M15" i="248"/>
  <c r="W30" i="248" s="1"/>
  <c r="M15" i="330"/>
  <c r="E47" i="229"/>
  <c r="M15" i="18"/>
  <c r="W30" i="18" s="1"/>
  <c r="M15" i="291"/>
  <c r="W30" i="291" s="1"/>
  <c r="M15" i="250"/>
  <c r="W30" i="250" s="1"/>
  <c r="M15" i="328"/>
  <c r="W30" i="328" s="1"/>
  <c r="M15" i="58"/>
  <c r="M15" i="326"/>
  <c r="W30" i="326" s="1"/>
  <c r="L15" i="291"/>
  <c r="L15" i="174"/>
  <c r="L15" i="326"/>
  <c r="L15" i="18"/>
  <c r="L15" i="44"/>
  <c r="L15" i="228"/>
  <c r="L15" i="250"/>
  <c r="L15" i="330"/>
  <c r="L15" i="328"/>
  <c r="D47" i="229"/>
  <c r="L15" i="58"/>
  <c r="L15" i="247"/>
  <c r="L15" i="327"/>
  <c r="O182" i="209"/>
  <c r="L19" i="225"/>
  <c r="L9" i="186"/>
  <c r="L13" i="270"/>
  <c r="W29" i="270" s="1"/>
  <c r="L13" i="195"/>
  <c r="W29" i="195" s="1"/>
  <c r="L12" i="104"/>
  <c r="L12" i="170"/>
  <c r="L12" i="226"/>
  <c r="I118" i="246"/>
  <c r="L13" i="187"/>
  <c r="W29" i="187" s="1"/>
  <c r="L13" i="362"/>
  <c r="W29" i="362" s="1"/>
  <c r="L13" i="183"/>
  <c r="W29" i="183" s="1"/>
  <c r="L11" i="151"/>
  <c r="W27" i="151" s="1"/>
  <c r="L11" i="189"/>
  <c r="W27" i="189" s="1"/>
  <c r="L11" i="188"/>
  <c r="W27" i="188" s="1"/>
  <c r="L13" i="204"/>
  <c r="W29" i="204" s="1"/>
  <c r="L13" i="141"/>
  <c r="W29" i="141" s="1"/>
  <c r="L13" i="189"/>
  <c r="W29" i="189" s="1"/>
  <c r="L11" i="203"/>
  <c r="W27" i="203" s="1"/>
  <c r="L11" i="362"/>
  <c r="W27" i="362" s="1"/>
  <c r="L11" i="141"/>
  <c r="W27" i="141" s="1"/>
  <c r="L13" i="137"/>
  <c r="W29" i="137" s="1"/>
  <c r="L13" i="219"/>
  <c r="W29" i="219" s="1"/>
  <c r="L13" i="194"/>
  <c r="W29" i="194" s="1"/>
  <c r="L13" i="349"/>
  <c r="W29" i="349" s="1"/>
  <c r="L11" i="137"/>
  <c r="W27" i="137" s="1"/>
  <c r="L11" i="270"/>
  <c r="W27" i="270" s="1"/>
  <c r="L11" i="126"/>
  <c r="W27" i="126" s="1"/>
  <c r="L14" i="104"/>
  <c r="L13" i="188"/>
  <c r="W29" i="188" s="1"/>
  <c r="L13" i="293"/>
  <c r="W29" i="293" s="1"/>
  <c r="L13" i="353"/>
  <c r="W29" i="353" s="1"/>
  <c r="L11" i="160"/>
  <c r="W27" i="160" s="1"/>
  <c r="L11" i="204"/>
  <c r="W27" i="204" s="1"/>
  <c r="L10" i="186"/>
  <c r="L13" i="126"/>
  <c r="W29" i="126" s="1"/>
  <c r="L13" i="146"/>
  <c r="W29" i="146" s="1"/>
  <c r="L13" i="151"/>
  <c r="W29" i="151" s="1"/>
  <c r="L11" i="183"/>
  <c r="W27" i="183" s="1"/>
  <c r="L11" i="146"/>
  <c r="W27" i="146" s="1"/>
  <c r="L13" i="203"/>
  <c r="W29" i="203" s="1"/>
  <c r="L13" i="178"/>
  <c r="W29" i="178" s="1"/>
  <c r="L11" i="194"/>
  <c r="W27" i="194" s="1"/>
  <c r="L11" i="353"/>
  <c r="W27" i="353" s="1"/>
  <c r="L9" i="104"/>
  <c r="L10" i="226"/>
  <c r="O56" i="246"/>
  <c r="L11" i="104"/>
  <c r="L11" i="170"/>
  <c r="L11" i="226"/>
  <c r="L10" i="104"/>
  <c r="L10" i="170"/>
  <c r="I304" i="246"/>
  <c r="L14" i="226"/>
  <c r="L14" i="170"/>
  <c r="L13" i="226"/>
  <c r="I242" i="246"/>
  <c r="L13" i="170"/>
  <c r="L13" i="186"/>
  <c r="M11" i="123"/>
  <c r="M11" i="196"/>
  <c r="M11" i="337"/>
  <c r="M11" i="338"/>
  <c r="P42" i="209"/>
  <c r="M11" i="39"/>
  <c r="M11" i="72"/>
  <c r="M11" i="154"/>
  <c r="M11" i="79"/>
  <c r="K762" i="209"/>
  <c r="O11" i="292"/>
  <c r="F38" i="44"/>
  <c r="F42" i="44"/>
  <c r="F18" i="328"/>
  <c r="F40" i="44"/>
  <c r="F41" i="44"/>
  <c r="F37" i="44"/>
  <c r="F39" i="44"/>
  <c r="M13" i="39"/>
  <c r="M13" i="337"/>
  <c r="M13" i="79"/>
  <c r="M13" i="123"/>
  <c r="M13" i="72"/>
  <c r="M13" i="154"/>
  <c r="J222" i="209"/>
  <c r="M13" i="196"/>
  <c r="M13" i="338"/>
  <c r="F18" i="231"/>
  <c r="F18" i="170"/>
  <c r="F42" i="226"/>
  <c r="K302" i="246" s="1"/>
  <c r="F40" i="226"/>
  <c r="K116" i="246" s="1"/>
  <c r="F41" i="226"/>
  <c r="K240" i="246" s="1"/>
  <c r="F37" i="226"/>
  <c r="Q240" i="246" s="1"/>
  <c r="K798" i="246"/>
  <c r="O36" i="292"/>
  <c r="F39" i="226"/>
  <c r="Q54" i="246" s="1"/>
  <c r="F38" i="226"/>
  <c r="K54" i="246" s="1"/>
  <c r="F18" i="172"/>
  <c r="L759" i="209"/>
  <c r="M759" i="209" s="1"/>
  <c r="G38" i="79"/>
  <c r="L39" i="209" s="1"/>
  <c r="G37" i="79"/>
  <c r="R219" i="209" s="1"/>
  <c r="G39" i="79"/>
  <c r="R39" i="209" s="1"/>
  <c r="G42" i="79"/>
  <c r="L279" i="209" s="1"/>
  <c r="G40" i="79"/>
  <c r="L99" i="209" s="1"/>
  <c r="G41" i="79"/>
  <c r="L219" i="209" s="1"/>
  <c r="H18" i="79"/>
  <c r="J42" i="209"/>
  <c r="M10" i="39"/>
  <c r="M10" i="196"/>
  <c r="M10" i="154"/>
  <c r="M10" i="337"/>
  <c r="M10" i="338"/>
  <c r="M10" i="79"/>
  <c r="M10" i="123"/>
  <c r="M10" i="72"/>
  <c r="E39" i="328"/>
  <c r="E41" i="328"/>
  <c r="E40" i="328"/>
  <c r="E42" i="328"/>
  <c r="E37" i="328"/>
  <c r="E38" i="328"/>
  <c r="E18" i="175"/>
  <c r="E41" i="170"/>
  <c r="E40" i="170"/>
  <c r="E39" i="170"/>
  <c r="E38" i="170"/>
  <c r="E42" i="170"/>
  <c r="E37" i="170"/>
  <c r="F41" i="4"/>
  <c r="K191" i="209" s="1"/>
  <c r="F40" i="4"/>
  <c r="K71" i="209" s="1"/>
  <c r="F37" i="4"/>
  <c r="Q191" i="209" s="1"/>
  <c r="F39" i="4"/>
  <c r="Q11" i="209" s="1"/>
  <c r="F42" i="4"/>
  <c r="K251" i="209" s="1"/>
  <c r="F38" i="4"/>
  <c r="K11" i="209" s="1"/>
  <c r="K731" i="209"/>
  <c r="M9" i="39"/>
  <c r="M9" i="123"/>
  <c r="M9" i="79"/>
  <c r="M9" i="196"/>
  <c r="P222" i="209"/>
  <c r="M9" i="337"/>
  <c r="M9" i="72"/>
  <c r="M9" i="154"/>
  <c r="M9" i="338"/>
  <c r="J800" i="246"/>
  <c r="E42" i="172"/>
  <c r="E39" i="172"/>
  <c r="E38" i="172"/>
  <c r="E41" i="172"/>
  <c r="E37" i="172"/>
  <c r="E18" i="174"/>
  <c r="E40" i="172"/>
  <c r="G18" i="4"/>
  <c r="M12" i="154"/>
  <c r="M12" i="123"/>
  <c r="M12" i="39"/>
  <c r="M12" i="72"/>
  <c r="M12" i="338"/>
  <c r="M12" i="196"/>
  <c r="M12" i="79"/>
  <c r="M12" i="337"/>
  <c r="J102" i="209"/>
  <c r="E37" i="231"/>
  <c r="P250" i="246" s="1"/>
  <c r="E41" i="231"/>
  <c r="J250" i="246" s="1"/>
  <c r="E38" i="231"/>
  <c r="J64" i="246" s="1"/>
  <c r="E39" i="231"/>
  <c r="P64" i="246" s="1"/>
  <c r="E42" i="231"/>
  <c r="J312" i="246" s="1"/>
  <c r="J808" i="246"/>
  <c r="E40" i="231"/>
  <c r="J126" i="246" s="1"/>
  <c r="C772" i="209"/>
  <c r="V772" i="209" s="1"/>
  <c r="V712" i="209"/>
  <c r="G39" i="126"/>
  <c r="R42" i="246" s="1"/>
  <c r="G42" i="126"/>
  <c r="L290" i="246" s="1"/>
  <c r="G38" i="126"/>
  <c r="L42" i="246" s="1"/>
  <c r="G40" i="126"/>
  <c r="L104" i="246" s="1"/>
  <c r="G37" i="126"/>
  <c r="R228" i="246" s="1"/>
  <c r="G41" i="126"/>
  <c r="L228" i="246" s="1"/>
  <c r="L786" i="246"/>
  <c r="M786" i="246" s="1"/>
  <c r="G18" i="226"/>
  <c r="H18" i="126"/>
  <c r="M14" i="337"/>
  <c r="M14" i="196"/>
  <c r="M14" i="79"/>
  <c r="M14" i="39"/>
  <c r="M14" i="338"/>
  <c r="J282" i="209"/>
  <c r="M14" i="72"/>
  <c r="M14" i="123"/>
  <c r="M14" i="154"/>
  <c r="G15" i="231"/>
  <c r="G15" i="172"/>
  <c r="G15" i="174" s="1"/>
  <c r="G15" i="170"/>
  <c r="G15" i="175" s="1"/>
  <c r="N19" i="293"/>
  <c r="N19" i="141"/>
  <c r="N19" i="362"/>
  <c r="N19" i="188"/>
  <c r="N19" i="146"/>
  <c r="N19" i="270"/>
  <c r="N19" i="195"/>
  <c r="N19" i="349"/>
  <c r="N19" i="137"/>
  <c r="N19" i="187"/>
  <c r="N19" i="126"/>
  <c r="N19" i="183"/>
  <c r="N19" i="151"/>
  <c r="N19" i="204"/>
  <c r="N19" i="160"/>
  <c r="N19" i="178"/>
  <c r="N19" i="189"/>
  <c r="N19" i="194"/>
  <c r="N19" i="353"/>
  <c r="N19" i="219"/>
  <c r="N19" i="203"/>
  <c r="O180" i="246"/>
  <c r="L19" i="170"/>
  <c r="L19" i="186"/>
  <c r="L19" i="226"/>
  <c r="L19" i="104"/>
  <c r="M19" i="361"/>
  <c r="W33" i="361" s="1"/>
  <c r="M19" i="171"/>
  <c r="W33" i="171" s="1"/>
  <c r="M19" i="84"/>
  <c r="W33" i="84" s="1"/>
  <c r="M19" i="309"/>
  <c r="M19" i="184"/>
  <c r="W33" i="184" s="1"/>
  <c r="P190" i="246"/>
  <c r="M19" i="229"/>
  <c r="M19" i="175"/>
  <c r="W33" i="175" s="1"/>
  <c r="M19" i="172"/>
  <c r="M19" i="231"/>
  <c r="W33" i="231" s="1"/>
  <c r="M19" i="137"/>
  <c r="M19" i="204"/>
  <c r="M19" i="293"/>
  <c r="M19" i="203"/>
  <c r="M19" i="219"/>
  <c r="M19" i="195"/>
  <c r="M19" i="270"/>
  <c r="M19" i="160"/>
  <c r="M19" i="362"/>
  <c r="M19" i="194"/>
  <c r="M19" i="183"/>
  <c r="M19" i="146"/>
  <c r="M19" i="141"/>
  <c r="M19" i="188"/>
  <c r="M19" i="151"/>
  <c r="M19" i="189"/>
  <c r="M19" i="126"/>
  <c r="M19" i="349"/>
  <c r="M19" i="187"/>
  <c r="M19" i="353"/>
  <c r="M19" i="178"/>
  <c r="L14" i="231"/>
  <c r="L14" i="171"/>
  <c r="I314" i="246"/>
  <c r="L14" i="361"/>
  <c r="L14" i="309"/>
  <c r="L14" i="184"/>
  <c r="L14" i="84"/>
  <c r="L14" i="229"/>
  <c r="L14" i="175"/>
  <c r="L14" i="172"/>
  <c r="L19" i="187"/>
  <c r="W34" i="187" s="1"/>
  <c r="L19" i="141"/>
  <c r="W34" i="141" s="1"/>
  <c r="L19" i="189"/>
  <c r="W34" i="189" s="1"/>
  <c r="L19" i="293"/>
  <c r="W34" i="293" s="1"/>
  <c r="L19" i="151"/>
  <c r="W34" i="151" s="1"/>
  <c r="L19" i="204"/>
  <c r="W34" i="204" s="1"/>
  <c r="L19" i="353"/>
  <c r="W34" i="353" s="1"/>
  <c r="L19" i="178"/>
  <c r="W34" i="178" s="1"/>
  <c r="L19" i="195"/>
  <c r="W34" i="195" s="1"/>
  <c r="L19" i="146"/>
  <c r="W34" i="146" s="1"/>
  <c r="L19" i="126"/>
  <c r="W34" i="126" s="1"/>
  <c r="L19" i="194"/>
  <c r="W34" i="194" s="1"/>
  <c r="L19" i="160"/>
  <c r="W34" i="160" s="1"/>
  <c r="L19" i="188"/>
  <c r="W34" i="188" s="1"/>
  <c r="L19" i="349"/>
  <c r="W34" i="349" s="1"/>
  <c r="L19" i="137"/>
  <c r="W34" i="137" s="1"/>
  <c r="L19" i="219"/>
  <c r="W34" i="219" s="1"/>
  <c r="L19" i="203"/>
  <c r="W34" i="203" s="1"/>
  <c r="L19" i="362"/>
  <c r="W34" i="362" s="1"/>
  <c r="L19" i="270"/>
  <c r="W34" i="270" s="1"/>
  <c r="L19" i="183"/>
  <c r="W34" i="183" s="1"/>
  <c r="M19" i="170"/>
  <c r="P180" i="246"/>
  <c r="M19" i="186"/>
  <c r="M19" i="226"/>
  <c r="M19" i="104"/>
  <c r="L10" i="84"/>
  <c r="L10" i="184"/>
  <c r="L10" i="171"/>
  <c r="L10" i="309"/>
  <c r="L10" i="172"/>
  <c r="L10" i="361"/>
  <c r="L10" i="231"/>
  <c r="L10" i="229"/>
  <c r="I66" i="246"/>
  <c r="L10" i="175"/>
  <c r="L13" i="175"/>
  <c r="L13" i="172"/>
  <c r="L13" i="309"/>
  <c r="L13" i="229"/>
  <c r="I252" i="246"/>
  <c r="L13" i="84"/>
  <c r="L13" i="184"/>
  <c r="L13" i="231"/>
  <c r="L13" i="361"/>
  <c r="L13" i="171"/>
  <c r="N19" i="361"/>
  <c r="N19" i="175"/>
  <c r="N19" i="184"/>
  <c r="N19" i="171"/>
  <c r="N19" i="229"/>
  <c r="N19" i="84"/>
  <c r="N19" i="309"/>
  <c r="W33" i="309" s="1"/>
  <c r="Q190" i="246"/>
  <c r="N19" i="231"/>
  <c r="N19" i="172"/>
  <c r="W33" i="172" s="1"/>
  <c r="O19" i="188"/>
  <c r="O19" i="349"/>
  <c r="O19" i="194"/>
  <c r="O19" i="353"/>
  <c r="O19" i="137"/>
  <c r="O19" i="293"/>
  <c r="O19" i="126"/>
  <c r="O19" i="146"/>
  <c r="O19" i="189"/>
  <c r="O19" i="204"/>
  <c r="O19" i="187"/>
  <c r="O19" i="160"/>
  <c r="O19" i="219"/>
  <c r="O19" i="362"/>
  <c r="O19" i="195"/>
  <c r="O19" i="270"/>
  <c r="O19" i="141"/>
  <c r="O19" i="183"/>
  <c r="O19" i="151"/>
  <c r="O19" i="178"/>
  <c r="O19" i="203"/>
  <c r="L11" i="175"/>
  <c r="L11" i="84"/>
  <c r="L11" i="171"/>
  <c r="L11" i="184"/>
  <c r="L11" i="172"/>
  <c r="O66" i="246"/>
  <c r="L11" i="229"/>
  <c r="L11" i="309"/>
  <c r="L11" i="361"/>
  <c r="L11" i="231"/>
  <c r="N19" i="186"/>
  <c r="W33" i="186" s="1"/>
  <c r="N19" i="104"/>
  <c r="W33" i="104" s="1"/>
  <c r="Q180" i="246"/>
  <c r="N19" i="170"/>
  <c r="W33" i="170" s="1"/>
  <c r="N19" i="226"/>
  <c r="W33" i="226" s="1"/>
  <c r="L12" i="361"/>
  <c r="I128" i="246"/>
  <c r="L12" i="175"/>
  <c r="L12" i="309"/>
  <c r="L12" i="84"/>
  <c r="L12" i="172"/>
  <c r="L12" i="231"/>
  <c r="L12" i="171"/>
  <c r="L12" i="184"/>
  <c r="L12" i="229"/>
  <c r="O252" i="246"/>
  <c r="L9" i="229"/>
  <c r="L9" i="84"/>
  <c r="L9" i="231"/>
  <c r="L9" i="172"/>
  <c r="L9" i="171"/>
  <c r="L9" i="309"/>
  <c r="L9" i="361"/>
  <c r="L9" i="175"/>
  <c r="L9" i="184"/>
  <c r="L19" i="175"/>
  <c r="L19" i="231"/>
  <c r="L19" i="361"/>
  <c r="L19" i="229"/>
  <c r="L19" i="84"/>
  <c r="L19" i="309"/>
  <c r="L19" i="184"/>
  <c r="L19" i="172"/>
  <c r="O190" i="246"/>
  <c r="L19" i="171"/>
  <c r="G15" i="18" l="1"/>
  <c r="G15" i="327" s="1"/>
  <c r="M18" i="18"/>
  <c r="M18" i="326"/>
  <c r="M16" i="44"/>
  <c r="W31" i="44" s="1"/>
  <c r="M18" i="291"/>
  <c r="M18" i="248"/>
  <c r="W32" i="229"/>
  <c r="M17" i="44"/>
  <c r="W32" i="44" s="1"/>
  <c r="M18" i="328"/>
  <c r="M18" i="250"/>
  <c r="M18" i="330"/>
  <c r="M17" i="330"/>
  <c r="M16" i="174"/>
  <c r="W31" i="174" s="1"/>
  <c r="M16" i="250"/>
  <c r="W31" i="250" s="1"/>
  <c r="M16" i="247"/>
  <c r="W31" i="247" s="1"/>
  <c r="W31" i="229"/>
  <c r="M16" i="248"/>
  <c r="W31" i="248" s="1"/>
  <c r="X31" i="330"/>
  <c r="M16" i="18"/>
  <c r="W31" i="18" s="1"/>
  <c r="M16" i="58"/>
  <c r="Y31" i="58" s="1"/>
  <c r="M16" i="327"/>
  <c r="W31" i="327" s="1"/>
  <c r="M16" i="326"/>
  <c r="W31" i="326" s="1"/>
  <c r="P124" i="209"/>
  <c r="M16" i="328"/>
  <c r="W31" i="328" s="1"/>
  <c r="M16" i="228"/>
  <c r="W31" i="228" s="1"/>
  <c r="M17" i="228"/>
  <c r="W32" i="228" s="1"/>
  <c r="M17" i="326"/>
  <c r="W32" i="326" s="1"/>
  <c r="M17" i="18"/>
  <c r="W32" i="18" s="1"/>
  <c r="M17" i="248"/>
  <c r="W32" i="248" s="1"/>
  <c r="M17" i="174"/>
  <c r="W32" i="174" s="1"/>
  <c r="M17" i="58"/>
  <c r="J184" i="209"/>
  <c r="M17" i="327"/>
  <c r="W32" i="327" s="1"/>
  <c r="M17" i="250"/>
  <c r="W32" i="250" s="1"/>
  <c r="M17" i="247"/>
  <c r="W32" i="247" s="1"/>
  <c r="M17" i="328"/>
  <c r="W32" i="328" s="1"/>
  <c r="G41" i="123"/>
  <c r="L215" i="209" s="1"/>
  <c r="M18" i="174"/>
  <c r="M18" i="327"/>
  <c r="M18" i="247"/>
  <c r="M18" i="58"/>
  <c r="M18" i="44"/>
  <c r="H18" i="123"/>
  <c r="G42" i="123"/>
  <c r="L275" i="209" s="1"/>
  <c r="G40" i="123"/>
  <c r="L95" i="209" s="1"/>
  <c r="L755" i="209"/>
  <c r="M755" i="209" s="1"/>
  <c r="G38" i="123"/>
  <c r="L35" i="209" s="1"/>
  <c r="G39" i="123"/>
  <c r="R35" i="209" s="1"/>
  <c r="G37" i="123"/>
  <c r="R215" i="209" s="1"/>
  <c r="E18" i="58"/>
  <c r="E41" i="58" s="1"/>
  <c r="J240" i="209" s="1"/>
  <c r="E39" i="330"/>
  <c r="E42" i="330"/>
  <c r="E37" i="330"/>
  <c r="E39" i="18"/>
  <c r="M11" i="7" s="1"/>
  <c r="M737" i="209"/>
  <c r="E41" i="18"/>
  <c r="M13" i="11" s="1"/>
  <c r="D38" i="18"/>
  <c r="I19" i="209" s="1"/>
  <c r="E41" i="330"/>
  <c r="E38" i="330"/>
  <c r="J739" i="209"/>
  <c r="E42" i="18"/>
  <c r="M14" i="15" s="1"/>
  <c r="E40" i="18"/>
  <c r="M12" i="15" s="1"/>
  <c r="E18" i="327"/>
  <c r="J752" i="209" s="1"/>
  <c r="E38" i="18"/>
  <c r="J19" i="209" s="1"/>
  <c r="E37" i="18"/>
  <c r="M9" i="7" s="1"/>
  <c r="D18" i="327"/>
  <c r="D40" i="327" s="1"/>
  <c r="I92" i="209" s="1"/>
  <c r="D41" i="18"/>
  <c r="L13" i="11" s="1"/>
  <c r="W29" i="11" s="1"/>
  <c r="D42" i="18"/>
  <c r="L14" i="6" s="1"/>
  <c r="W30" i="6" s="1"/>
  <c r="D39" i="18"/>
  <c r="L11" i="7" s="1"/>
  <c r="W27" i="7" s="1"/>
  <c r="D18" i="330"/>
  <c r="D37" i="330" s="1"/>
  <c r="D42" i="58"/>
  <c r="I300" i="209" s="1"/>
  <c r="D18" i="229"/>
  <c r="D38" i="229" s="1"/>
  <c r="L10" i="58" s="1"/>
  <c r="D40" i="18"/>
  <c r="L12" i="11" s="1"/>
  <c r="W28" i="11" s="1"/>
  <c r="I739" i="209"/>
  <c r="D41" i="58"/>
  <c r="I240" i="209" s="1"/>
  <c r="D39" i="58"/>
  <c r="O60" i="209" s="1"/>
  <c r="D40" i="58"/>
  <c r="I120" i="209" s="1"/>
  <c r="D37" i="58"/>
  <c r="O240" i="209" s="1"/>
  <c r="D37" i="18"/>
  <c r="L9" i="14" s="1"/>
  <c r="W25" i="14" s="1"/>
  <c r="I780" i="209"/>
  <c r="O19" i="248"/>
  <c r="O19" i="291"/>
  <c r="O19" i="174"/>
  <c r="O19" i="328"/>
  <c r="O19" i="326"/>
  <c r="O19" i="247"/>
  <c r="O19" i="327"/>
  <c r="O19" i="228"/>
  <c r="O19" i="58"/>
  <c r="O19" i="44"/>
  <c r="R184" i="209"/>
  <c r="O19" i="18"/>
  <c r="O19" i="330"/>
  <c r="G39" i="13"/>
  <c r="R12" i="209" s="1"/>
  <c r="G40" i="13"/>
  <c r="L72" i="209" s="1"/>
  <c r="L732" i="209"/>
  <c r="M732" i="209" s="1"/>
  <c r="G38" i="13"/>
  <c r="L12" i="209" s="1"/>
  <c r="G41" i="13"/>
  <c r="L192" i="209" s="1"/>
  <c r="G42" i="13"/>
  <c r="L252" i="209" s="1"/>
  <c r="H18" i="13"/>
  <c r="G37" i="13"/>
  <c r="R192" i="209" s="1"/>
  <c r="F42" i="13"/>
  <c r="K252" i="209" s="1"/>
  <c r="F37" i="13"/>
  <c r="Q192" i="209" s="1"/>
  <c r="K732" i="209"/>
  <c r="F39" i="13"/>
  <c r="Q12" i="209" s="1"/>
  <c r="F40" i="13"/>
  <c r="K72" i="209" s="1"/>
  <c r="F38" i="13"/>
  <c r="K12" i="209" s="1"/>
  <c r="F41" i="13"/>
  <c r="K192" i="209" s="1"/>
  <c r="U712" i="209"/>
  <c r="D772" i="209"/>
  <c r="U772" i="209" s="1"/>
  <c r="W33" i="229"/>
  <c r="L19" i="326"/>
  <c r="L19" i="247"/>
  <c r="L19" i="330"/>
  <c r="L19" i="44"/>
  <c r="O184" i="209"/>
  <c r="L19" i="328"/>
  <c r="L19" i="228"/>
  <c r="L19" i="248"/>
  <c r="L19" i="18"/>
  <c r="L19" i="327"/>
  <c r="L19" i="174"/>
  <c r="L19" i="250"/>
  <c r="L19" i="291"/>
  <c r="L19" i="58"/>
  <c r="N19" i="327"/>
  <c r="N19" i="330"/>
  <c r="N19" i="248"/>
  <c r="W33" i="248" s="1"/>
  <c r="N19" i="328"/>
  <c r="N19" i="44"/>
  <c r="N19" i="228"/>
  <c r="N19" i="58"/>
  <c r="N19" i="291"/>
  <c r="W33" i="291" s="1"/>
  <c r="N19" i="247"/>
  <c r="W33" i="247" s="1"/>
  <c r="N19" i="18"/>
  <c r="N19" i="250"/>
  <c r="W33" i="250" s="1"/>
  <c r="N19" i="174"/>
  <c r="Q184" i="209"/>
  <c r="N19" i="326"/>
  <c r="M19" i="328"/>
  <c r="W33" i="328" s="1"/>
  <c r="M19" i="327"/>
  <c r="W33" i="327" s="1"/>
  <c r="M19" i="44"/>
  <c r="W33" i="44" s="1"/>
  <c r="M19" i="250"/>
  <c r="M19" i="330"/>
  <c r="M19" i="18"/>
  <c r="W33" i="18" s="1"/>
  <c r="M19" i="228"/>
  <c r="W33" i="228" s="1"/>
  <c r="M19" i="247"/>
  <c r="M19" i="174"/>
  <c r="W33" i="174" s="1"/>
  <c r="P184" i="209"/>
  <c r="M19" i="58"/>
  <c r="M19" i="248"/>
  <c r="M19" i="326"/>
  <c r="W33" i="326" s="1"/>
  <c r="M19" i="291"/>
  <c r="Y30" i="330"/>
  <c r="X30" i="330"/>
  <c r="X30" i="58"/>
  <c r="Y30" i="58"/>
  <c r="F18" i="330"/>
  <c r="F41" i="330" s="1"/>
  <c r="F38" i="58"/>
  <c r="K60" i="209" s="1"/>
  <c r="F18" i="229"/>
  <c r="F37" i="58"/>
  <c r="Q240" i="209" s="1"/>
  <c r="K780" i="209"/>
  <c r="F42" i="58"/>
  <c r="K300" i="209" s="1"/>
  <c r="F40" i="58"/>
  <c r="K120" i="209" s="1"/>
  <c r="O13" i="292"/>
  <c r="F41" i="58"/>
  <c r="K240" i="209" s="1"/>
  <c r="F39" i="58"/>
  <c r="Q60" i="209" s="1"/>
  <c r="E37" i="175"/>
  <c r="M9" i="212" s="1"/>
  <c r="W24" i="212" s="1"/>
  <c r="E38" i="175"/>
  <c r="M10" i="212" s="1"/>
  <c r="W25" i="212" s="1"/>
  <c r="E42" i="175"/>
  <c r="M14" i="212" s="1"/>
  <c r="W29" i="212" s="1"/>
  <c r="E41" i="175"/>
  <c r="M13" i="212" s="1"/>
  <c r="W28" i="212" s="1"/>
  <c r="E39" i="175"/>
  <c r="M11" i="212" s="1"/>
  <c r="W26" i="212" s="1"/>
  <c r="E40" i="175"/>
  <c r="M12" i="212" s="1"/>
  <c r="W27" i="212" s="1"/>
  <c r="P242" i="246"/>
  <c r="M9" i="226"/>
  <c r="W24" i="226" s="1"/>
  <c r="M9" i="104"/>
  <c r="W24" i="104" s="1"/>
  <c r="M9" i="186"/>
  <c r="W24" i="186" s="1"/>
  <c r="M9" i="170"/>
  <c r="W24" i="170" s="1"/>
  <c r="R36" i="292"/>
  <c r="U36" i="292"/>
  <c r="N14" i="196"/>
  <c r="K282" i="209"/>
  <c r="N14" i="72"/>
  <c r="N14" i="39"/>
  <c r="N14" i="154"/>
  <c r="N14" i="79"/>
  <c r="N14" i="123"/>
  <c r="N14" i="338"/>
  <c r="N14" i="337"/>
  <c r="M13" i="104"/>
  <c r="W28" i="104" s="1"/>
  <c r="M13" i="170"/>
  <c r="W28" i="170" s="1"/>
  <c r="M13" i="226"/>
  <c r="W28" i="226" s="1"/>
  <c r="M13" i="186"/>
  <c r="W28" i="186" s="1"/>
  <c r="J242" i="246"/>
  <c r="N10" i="39"/>
  <c r="N10" i="338"/>
  <c r="K42" i="209"/>
  <c r="N10" i="196"/>
  <c r="N10" i="154"/>
  <c r="N10" i="337"/>
  <c r="N10" i="79"/>
  <c r="N10" i="123"/>
  <c r="N10" i="72"/>
  <c r="G40" i="226"/>
  <c r="L116" i="246" s="1"/>
  <c r="G38" i="226"/>
  <c r="L54" i="246" s="1"/>
  <c r="G18" i="170"/>
  <c r="G42" i="226"/>
  <c r="L302" i="246" s="1"/>
  <c r="G37" i="226"/>
  <c r="R240" i="246" s="1"/>
  <c r="G41" i="226"/>
  <c r="L240" i="246" s="1"/>
  <c r="G18" i="172"/>
  <c r="G39" i="226"/>
  <c r="R54" i="246" s="1"/>
  <c r="L798" i="246"/>
  <c r="G18" i="231"/>
  <c r="H18" i="226"/>
  <c r="F42" i="231"/>
  <c r="K312" i="246" s="1"/>
  <c r="F39" i="231"/>
  <c r="Q64" i="246" s="1"/>
  <c r="F37" i="231"/>
  <c r="Q250" i="246" s="1"/>
  <c r="O37" i="292"/>
  <c r="F40" i="231"/>
  <c r="K126" i="246" s="1"/>
  <c r="F38" i="231"/>
  <c r="K64" i="246" s="1"/>
  <c r="F41" i="231"/>
  <c r="K250" i="246" s="1"/>
  <c r="K808" i="246"/>
  <c r="M10" i="104"/>
  <c r="W25" i="104" s="1"/>
  <c r="M10" i="170"/>
  <c r="W25" i="170" s="1"/>
  <c r="J56" i="246"/>
  <c r="M10" i="186"/>
  <c r="W25" i="186" s="1"/>
  <c r="M10" i="226"/>
  <c r="W25" i="226" s="1"/>
  <c r="M14" i="178"/>
  <c r="M14" i="270"/>
  <c r="M14" i="151"/>
  <c r="M14" i="349"/>
  <c r="M14" i="293"/>
  <c r="M14" i="187"/>
  <c r="M14" i="194"/>
  <c r="M14" i="137"/>
  <c r="M14" i="183"/>
  <c r="M14" i="146"/>
  <c r="M14" i="160"/>
  <c r="M14" i="219"/>
  <c r="M14" i="353"/>
  <c r="M14" i="195"/>
  <c r="M14" i="126"/>
  <c r="M14" i="204"/>
  <c r="M14" i="141"/>
  <c r="M14" i="188"/>
  <c r="M14" i="203"/>
  <c r="M14" i="189"/>
  <c r="M14" i="362"/>
  <c r="R11" i="292"/>
  <c r="U11" i="292"/>
  <c r="M11" i="104"/>
  <c r="W26" i="104" s="1"/>
  <c r="P56" i="246"/>
  <c r="M11" i="186"/>
  <c r="W26" i="186" s="1"/>
  <c r="M11" i="170"/>
  <c r="W26" i="170" s="1"/>
  <c r="M11" i="226"/>
  <c r="W26" i="226" s="1"/>
  <c r="F40" i="18"/>
  <c r="K739" i="209"/>
  <c r="F37" i="18"/>
  <c r="F42" i="18"/>
  <c r="F18" i="327"/>
  <c r="F38" i="18"/>
  <c r="O10" i="292"/>
  <c r="F41" i="18"/>
  <c r="F39" i="18"/>
  <c r="M10" i="151"/>
  <c r="M10" i="204"/>
  <c r="M10" i="178"/>
  <c r="M10" i="349"/>
  <c r="M10" i="195"/>
  <c r="M10" i="219"/>
  <c r="M10" i="141"/>
  <c r="M10" i="183"/>
  <c r="M10" i="160"/>
  <c r="M10" i="353"/>
  <c r="M10" i="194"/>
  <c r="M10" i="293"/>
  <c r="M10" i="126"/>
  <c r="M10" i="137"/>
  <c r="M10" i="362"/>
  <c r="M10" i="189"/>
  <c r="M10" i="187"/>
  <c r="M10" i="270"/>
  <c r="M10" i="188"/>
  <c r="M10" i="203"/>
  <c r="M10" i="146"/>
  <c r="N11" i="79"/>
  <c r="N11" i="196"/>
  <c r="N11" i="337"/>
  <c r="N11" i="72"/>
  <c r="N11" i="39"/>
  <c r="N11" i="154"/>
  <c r="N11" i="123"/>
  <c r="N11" i="338"/>
  <c r="Q42" i="209"/>
  <c r="F37" i="328"/>
  <c r="F42" i="328"/>
  <c r="F39" i="328"/>
  <c r="F38" i="328"/>
  <c r="F40" i="328"/>
  <c r="F41" i="328"/>
  <c r="M9" i="137"/>
  <c r="M9" i="219"/>
  <c r="M9" i="353"/>
  <c r="M9" i="160"/>
  <c r="M9" i="293"/>
  <c r="M9" i="189"/>
  <c r="M9" i="194"/>
  <c r="M9" i="203"/>
  <c r="M9" i="126"/>
  <c r="M9" i="362"/>
  <c r="M9" i="178"/>
  <c r="M9" i="204"/>
  <c r="M9" i="187"/>
  <c r="M9" i="183"/>
  <c r="M9" i="195"/>
  <c r="M9" i="151"/>
  <c r="M9" i="270"/>
  <c r="M9" i="349"/>
  <c r="M9" i="188"/>
  <c r="M9" i="146"/>
  <c r="M9" i="141"/>
  <c r="G37" i="4"/>
  <c r="R191" i="209" s="1"/>
  <c r="G41" i="4"/>
  <c r="L191" i="209" s="1"/>
  <c r="L731" i="209"/>
  <c r="M731" i="209" s="1"/>
  <c r="H18" i="4"/>
  <c r="G40" i="4"/>
  <c r="L71" i="209" s="1"/>
  <c r="G39" i="4"/>
  <c r="R11" i="209" s="1"/>
  <c r="G42" i="4"/>
  <c r="L251" i="209" s="1"/>
  <c r="G38" i="4"/>
  <c r="L11" i="209" s="1"/>
  <c r="G18" i="18"/>
  <c r="G18" i="58" s="1"/>
  <c r="M14" i="104"/>
  <c r="W29" i="104" s="1"/>
  <c r="J304" i="246"/>
  <c r="M14" i="170"/>
  <c r="W29" i="170" s="1"/>
  <c r="M14" i="186"/>
  <c r="W29" i="186" s="1"/>
  <c r="M14" i="226"/>
  <c r="W29" i="226" s="1"/>
  <c r="M11" i="194"/>
  <c r="M11" i="183"/>
  <c r="M11" i="362"/>
  <c r="M11" i="219"/>
  <c r="M11" i="160"/>
  <c r="M11" i="195"/>
  <c r="M11" i="270"/>
  <c r="M11" i="203"/>
  <c r="M11" i="187"/>
  <c r="M11" i="126"/>
  <c r="M11" i="349"/>
  <c r="M11" i="188"/>
  <c r="M11" i="178"/>
  <c r="M11" i="151"/>
  <c r="M11" i="189"/>
  <c r="M11" i="353"/>
  <c r="M11" i="204"/>
  <c r="M11" i="146"/>
  <c r="M11" i="293"/>
  <c r="M11" i="141"/>
  <c r="M11" i="137"/>
  <c r="N9" i="196"/>
  <c r="N9" i="154"/>
  <c r="N9" i="72"/>
  <c r="N9" i="79"/>
  <c r="N9" i="39"/>
  <c r="Q222" i="209"/>
  <c r="N9" i="123"/>
  <c r="N9" i="338"/>
  <c r="N9" i="337"/>
  <c r="J810" i="246"/>
  <c r="E42" i="174"/>
  <c r="E41" i="174"/>
  <c r="E38" i="174"/>
  <c r="E37" i="174"/>
  <c r="E39" i="174"/>
  <c r="E40" i="174"/>
  <c r="M12" i="270"/>
  <c r="M12" i="188"/>
  <c r="M12" i="362"/>
  <c r="M12" i="146"/>
  <c r="M12" i="183"/>
  <c r="M12" i="195"/>
  <c r="M12" i="194"/>
  <c r="M12" i="141"/>
  <c r="M12" i="353"/>
  <c r="M12" i="126"/>
  <c r="M12" i="219"/>
  <c r="M12" i="293"/>
  <c r="M12" i="204"/>
  <c r="M12" i="160"/>
  <c r="M12" i="137"/>
  <c r="M12" i="178"/>
  <c r="M12" i="187"/>
  <c r="M12" i="349"/>
  <c r="M12" i="151"/>
  <c r="M12" i="189"/>
  <c r="M12" i="203"/>
  <c r="G18" i="328"/>
  <c r="G42" i="44"/>
  <c r="G39" i="44"/>
  <c r="G40" i="44"/>
  <c r="G38" i="44"/>
  <c r="L762" i="209"/>
  <c r="M762" i="209" s="1"/>
  <c r="G41" i="44"/>
  <c r="G37" i="44"/>
  <c r="H18" i="44"/>
  <c r="F18" i="174"/>
  <c r="F39" i="172"/>
  <c r="F41" i="172"/>
  <c r="F40" i="172"/>
  <c r="K800" i="246"/>
  <c r="F38" i="172"/>
  <c r="F42" i="172"/>
  <c r="F37" i="172"/>
  <c r="N13" i="196"/>
  <c r="N13" i="338"/>
  <c r="N13" i="154"/>
  <c r="N13" i="337"/>
  <c r="N13" i="39"/>
  <c r="N13" i="123"/>
  <c r="N13" i="79"/>
  <c r="N13" i="72"/>
  <c r="K222" i="209"/>
  <c r="M12" i="186"/>
  <c r="W27" i="186" s="1"/>
  <c r="M12" i="170"/>
  <c r="W27" i="170" s="1"/>
  <c r="M12" i="226"/>
  <c r="W27" i="226" s="1"/>
  <c r="M12" i="104"/>
  <c r="W27" i="104" s="1"/>
  <c r="J118" i="246"/>
  <c r="M13" i="349"/>
  <c r="M13" i="203"/>
  <c r="M13" i="353"/>
  <c r="M13" i="219"/>
  <c r="M13" i="141"/>
  <c r="M13" i="126"/>
  <c r="M13" i="187"/>
  <c r="M13" i="362"/>
  <c r="M13" i="204"/>
  <c r="M13" i="183"/>
  <c r="M13" i="137"/>
  <c r="M13" i="178"/>
  <c r="M13" i="160"/>
  <c r="M13" i="270"/>
  <c r="M13" i="293"/>
  <c r="M13" i="189"/>
  <c r="M13" i="146"/>
  <c r="M13" i="195"/>
  <c r="M13" i="151"/>
  <c r="M13" i="188"/>
  <c r="M13" i="194"/>
  <c r="F18" i="175"/>
  <c r="F39" i="170"/>
  <c r="F37" i="170"/>
  <c r="F42" i="170"/>
  <c r="F38" i="170"/>
  <c r="F40" i="170"/>
  <c r="F41" i="170"/>
  <c r="N12" i="196"/>
  <c r="N12" i="154"/>
  <c r="N12" i="337"/>
  <c r="N12" i="338"/>
  <c r="N12" i="39"/>
  <c r="N12" i="123"/>
  <c r="N12" i="72"/>
  <c r="N12" i="79"/>
  <c r="K102" i="209"/>
  <c r="G15" i="330" l="1"/>
  <c r="G15" i="58"/>
  <c r="G15" i="229" s="1"/>
  <c r="X31" i="58"/>
  <c r="M14" i="7"/>
  <c r="M14" i="6"/>
  <c r="J79" i="209"/>
  <c r="M14" i="14"/>
  <c r="M14" i="10"/>
  <c r="M11" i="15"/>
  <c r="L11" i="125"/>
  <c r="W27" i="125" s="1"/>
  <c r="E42" i="58"/>
  <c r="J300" i="209" s="1"/>
  <c r="E18" i="229"/>
  <c r="E41" i="229" s="1"/>
  <c r="M13" i="327" s="1"/>
  <c r="E40" i="58"/>
  <c r="J120" i="209" s="1"/>
  <c r="J780" i="209"/>
  <c r="E38" i="58"/>
  <c r="J60" i="209" s="1"/>
  <c r="E37" i="58"/>
  <c r="P240" i="209" s="1"/>
  <c r="E39" i="58"/>
  <c r="P60" i="209" s="1"/>
  <c r="E41" i="327"/>
  <c r="J212" i="209" s="1"/>
  <c r="M12" i="125"/>
  <c r="M12" i="16"/>
  <c r="M11" i="11"/>
  <c r="M11" i="13"/>
  <c r="M12" i="6"/>
  <c r="M12" i="4"/>
  <c r="M12" i="13"/>
  <c r="M11" i="16"/>
  <c r="P19" i="209"/>
  <c r="M12" i="11"/>
  <c r="L14" i="10"/>
  <c r="W30" i="10" s="1"/>
  <c r="L14" i="4"/>
  <c r="W30" i="4" s="1"/>
  <c r="D38" i="327"/>
  <c r="I32" i="209" s="1"/>
  <c r="M13" i="125"/>
  <c r="M13" i="16"/>
  <c r="M14" i="125"/>
  <c r="M14" i="16"/>
  <c r="L14" i="13"/>
  <c r="W30" i="13" s="1"/>
  <c r="M14" i="9"/>
  <c r="E40" i="327"/>
  <c r="J92" i="209" s="1"/>
  <c r="M13" i="13"/>
  <c r="M12" i="9"/>
  <c r="M12" i="14"/>
  <c r="M11" i="125"/>
  <c r="M12" i="10"/>
  <c r="M12" i="7"/>
  <c r="M11" i="4"/>
  <c r="M11" i="10"/>
  <c r="M11" i="9"/>
  <c r="M11" i="6"/>
  <c r="M11" i="14"/>
  <c r="M14" i="11"/>
  <c r="M14" i="4"/>
  <c r="J259" i="209"/>
  <c r="M14" i="13"/>
  <c r="M10" i="14"/>
  <c r="M10" i="9"/>
  <c r="J199" i="209"/>
  <c r="M10" i="7"/>
  <c r="M13" i="10"/>
  <c r="M13" i="7"/>
  <c r="M10" i="10"/>
  <c r="M10" i="16"/>
  <c r="M13" i="6"/>
  <c r="M13" i="9"/>
  <c r="M10" i="15"/>
  <c r="M13" i="4"/>
  <c r="M13" i="14"/>
  <c r="M13" i="15"/>
  <c r="M10" i="6"/>
  <c r="M10" i="4"/>
  <c r="M10" i="13"/>
  <c r="L10" i="228"/>
  <c r="E38" i="327"/>
  <c r="J32" i="209" s="1"/>
  <c r="L10" i="9"/>
  <c r="W26" i="9" s="1"/>
  <c r="L10" i="13"/>
  <c r="W26" i="13" s="1"/>
  <c r="M10" i="125"/>
  <c r="L10" i="6"/>
  <c r="W26" i="6" s="1"/>
  <c r="E42" i="327"/>
  <c r="J272" i="209" s="1"/>
  <c r="L10" i="11"/>
  <c r="W26" i="11" s="1"/>
  <c r="L10" i="14"/>
  <c r="W26" i="14" s="1"/>
  <c r="L10" i="16"/>
  <c r="W26" i="16" s="1"/>
  <c r="L10" i="7"/>
  <c r="W26" i="7" s="1"/>
  <c r="E39" i="327"/>
  <c r="P32" i="209" s="1"/>
  <c r="L10" i="125"/>
  <c r="W26" i="125" s="1"/>
  <c r="L10" i="15"/>
  <c r="W26" i="15" s="1"/>
  <c r="E37" i="327"/>
  <c r="P212" i="209" s="1"/>
  <c r="L10" i="4"/>
  <c r="W26" i="4" s="1"/>
  <c r="L10" i="10"/>
  <c r="W26" i="10" s="1"/>
  <c r="L10" i="327"/>
  <c r="L10" i="328"/>
  <c r="M9" i="16"/>
  <c r="M10" i="11"/>
  <c r="M9" i="6"/>
  <c r="P199" i="209"/>
  <c r="M9" i="15"/>
  <c r="M9" i="13"/>
  <c r="M9" i="4"/>
  <c r="M9" i="10"/>
  <c r="M9" i="14"/>
  <c r="M9" i="9"/>
  <c r="M9" i="125"/>
  <c r="M9" i="11"/>
  <c r="D41" i="330"/>
  <c r="I752" i="209"/>
  <c r="L13" i="7"/>
  <c r="W29" i="7" s="1"/>
  <c r="D39" i="327"/>
  <c r="O32" i="209" s="1"/>
  <c r="D41" i="327"/>
  <c r="I212" i="209" s="1"/>
  <c r="D42" i="327"/>
  <c r="I272" i="209" s="1"/>
  <c r="L13" i="16"/>
  <c r="W29" i="16" s="1"/>
  <c r="I199" i="209"/>
  <c r="L13" i="9"/>
  <c r="W29" i="9" s="1"/>
  <c r="L13" i="15"/>
  <c r="W29" i="15" s="1"/>
  <c r="L13" i="4"/>
  <c r="W29" i="4" s="1"/>
  <c r="D37" i="327"/>
  <c r="O212" i="209" s="1"/>
  <c r="L13" i="10"/>
  <c r="W29" i="10" s="1"/>
  <c r="L13" i="13"/>
  <c r="W29" i="13" s="1"/>
  <c r="L14" i="11"/>
  <c r="W30" i="11" s="1"/>
  <c r="L14" i="16"/>
  <c r="W30" i="16" s="1"/>
  <c r="I259" i="209"/>
  <c r="L14" i="7"/>
  <c r="W30" i="7" s="1"/>
  <c r="L14" i="14"/>
  <c r="W30" i="14" s="1"/>
  <c r="L14" i="15"/>
  <c r="W30" i="15" s="1"/>
  <c r="D39" i="330"/>
  <c r="L11" i="6"/>
  <c r="W27" i="6" s="1"/>
  <c r="L14" i="9"/>
  <c r="W30" i="9" s="1"/>
  <c r="L14" i="125"/>
  <c r="W30" i="125" s="1"/>
  <c r="L13" i="6"/>
  <c r="W29" i="6" s="1"/>
  <c r="L13" i="125"/>
  <c r="W29" i="125" s="1"/>
  <c r="L11" i="4"/>
  <c r="W27" i="4" s="1"/>
  <c r="D42" i="330"/>
  <c r="L12" i="13"/>
  <c r="W28" i="13" s="1"/>
  <c r="L12" i="125"/>
  <c r="W28" i="125" s="1"/>
  <c r="L13" i="14"/>
  <c r="W29" i="14" s="1"/>
  <c r="L12" i="9"/>
  <c r="W28" i="9" s="1"/>
  <c r="O19" i="209"/>
  <c r="L11" i="10"/>
  <c r="W27" i="10" s="1"/>
  <c r="L11" i="13"/>
  <c r="W27" i="13" s="1"/>
  <c r="L11" i="9"/>
  <c r="W27" i="9" s="1"/>
  <c r="L11" i="16"/>
  <c r="W27" i="16" s="1"/>
  <c r="L12" i="7"/>
  <c r="W28" i="7" s="1"/>
  <c r="L11" i="15"/>
  <c r="W27" i="15" s="1"/>
  <c r="L12" i="14"/>
  <c r="W28" i="14" s="1"/>
  <c r="D40" i="330"/>
  <c r="D38" i="330"/>
  <c r="L11" i="14"/>
  <c r="W27" i="14" s="1"/>
  <c r="L11" i="11"/>
  <c r="W27" i="11" s="1"/>
  <c r="L10" i="174"/>
  <c r="L10" i="18"/>
  <c r="I64" i="209"/>
  <c r="L10" i="44"/>
  <c r="L10" i="247"/>
  <c r="L10" i="291"/>
  <c r="L10" i="250"/>
  <c r="L10" i="330"/>
  <c r="D41" i="229"/>
  <c r="L13" i="330" s="1"/>
  <c r="L10" i="326"/>
  <c r="L10" i="248"/>
  <c r="D40" i="229"/>
  <c r="L12" i="327" s="1"/>
  <c r="L12" i="16"/>
  <c r="W28" i="16" s="1"/>
  <c r="L12" i="10"/>
  <c r="W28" i="10" s="1"/>
  <c r="D42" i="229"/>
  <c r="L14" i="18" s="1"/>
  <c r="L12" i="15"/>
  <c r="W28" i="15" s="1"/>
  <c r="I79" i="209"/>
  <c r="L12" i="6"/>
  <c r="W28" i="6" s="1"/>
  <c r="D37" i="229"/>
  <c r="L9" i="327" s="1"/>
  <c r="I784" i="209"/>
  <c r="L12" i="4"/>
  <c r="W28" i="4" s="1"/>
  <c r="D39" i="229"/>
  <c r="L9" i="11"/>
  <c r="W25" i="11" s="1"/>
  <c r="L9" i="6"/>
  <c r="W25" i="6" s="1"/>
  <c r="O199" i="209"/>
  <c r="L9" i="125"/>
  <c r="W25" i="125" s="1"/>
  <c r="L9" i="15"/>
  <c r="W25" i="15" s="1"/>
  <c r="L9" i="7"/>
  <c r="W25" i="7" s="1"/>
  <c r="L9" i="16"/>
  <c r="W25" i="16" s="1"/>
  <c r="L9" i="4"/>
  <c r="W25" i="4" s="1"/>
  <c r="L9" i="9"/>
  <c r="W25" i="9" s="1"/>
  <c r="L9" i="10"/>
  <c r="W25" i="10" s="1"/>
  <c r="L9" i="13"/>
  <c r="W25" i="13" s="1"/>
  <c r="Y33" i="58"/>
  <c r="X33" i="58"/>
  <c r="Y33" i="330"/>
  <c r="X33" i="330"/>
  <c r="F39" i="330"/>
  <c r="F40" i="330"/>
  <c r="F42" i="330"/>
  <c r="F38" i="330"/>
  <c r="F37" i="330"/>
  <c r="G37" i="328"/>
  <c r="G40" i="328"/>
  <c r="G42" i="328"/>
  <c r="G41" i="328"/>
  <c r="G39" i="328"/>
  <c r="G38" i="328"/>
  <c r="H18" i="328"/>
  <c r="M11" i="175"/>
  <c r="W26" i="175" s="1"/>
  <c r="M11" i="229"/>
  <c r="M11" i="172"/>
  <c r="W26" i="172" s="1"/>
  <c r="M11" i="361"/>
  <c r="W26" i="361" s="1"/>
  <c r="M11" i="171"/>
  <c r="W26" i="171" s="1"/>
  <c r="M11" i="309"/>
  <c r="W26" i="309" s="1"/>
  <c r="P66" i="246"/>
  <c r="M11" i="231"/>
  <c r="W26" i="231" s="1"/>
  <c r="M11" i="84"/>
  <c r="W26" i="84" s="1"/>
  <c r="M11" i="184"/>
  <c r="W26" i="184" s="1"/>
  <c r="F40" i="175"/>
  <c r="N12" i="212" s="1"/>
  <c r="F42" i="175"/>
  <c r="N14" i="212" s="1"/>
  <c r="F37" i="175"/>
  <c r="N9" i="212" s="1"/>
  <c r="F41" i="175"/>
  <c r="N13" i="212" s="1"/>
  <c r="F38" i="175"/>
  <c r="N10" i="212" s="1"/>
  <c r="F39" i="175"/>
  <c r="N11" i="212" s="1"/>
  <c r="O9" i="196"/>
  <c r="O9" i="123"/>
  <c r="O9" i="338"/>
  <c r="O9" i="154"/>
  <c r="O9" i="39"/>
  <c r="O9" i="72"/>
  <c r="O9" i="79"/>
  <c r="R222" i="209"/>
  <c r="O9" i="337"/>
  <c r="M9" i="171"/>
  <c r="W24" i="171" s="1"/>
  <c r="M9" i="84"/>
  <c r="W24" i="84" s="1"/>
  <c r="M9" i="184"/>
  <c r="W24" i="184" s="1"/>
  <c r="M9" i="231"/>
  <c r="W24" i="231" s="1"/>
  <c r="M9" i="175"/>
  <c r="W24" i="175" s="1"/>
  <c r="M9" i="229"/>
  <c r="M9" i="361"/>
  <c r="W24" i="361" s="1"/>
  <c r="M9" i="172"/>
  <c r="W24" i="172" s="1"/>
  <c r="P252" i="246"/>
  <c r="M9" i="309"/>
  <c r="W24" i="309" s="1"/>
  <c r="N14" i="6"/>
  <c r="N14" i="9"/>
  <c r="N14" i="14"/>
  <c r="N14" i="11"/>
  <c r="N14" i="10"/>
  <c r="N14" i="13"/>
  <c r="N14" i="4"/>
  <c r="N14" i="16"/>
  <c r="N14" i="125"/>
  <c r="N14" i="7"/>
  <c r="N14" i="15"/>
  <c r="K259" i="209"/>
  <c r="U37" i="292"/>
  <c r="R37" i="292"/>
  <c r="G37" i="172"/>
  <c r="G18" i="174"/>
  <c r="G42" i="172"/>
  <c r="G38" i="172"/>
  <c r="G39" i="172"/>
  <c r="G41" i="172"/>
  <c r="L800" i="246"/>
  <c r="G40" i="172"/>
  <c r="H18" i="172"/>
  <c r="R13" i="292"/>
  <c r="U13" i="292"/>
  <c r="K118" i="246"/>
  <c r="N12" i="170"/>
  <c r="N12" i="226"/>
  <c r="N12" i="104"/>
  <c r="N12" i="186"/>
  <c r="O13" i="154"/>
  <c r="L222" i="209"/>
  <c r="O13" i="196"/>
  <c r="O13" i="338"/>
  <c r="O13" i="79"/>
  <c r="O13" i="123"/>
  <c r="O13" i="72"/>
  <c r="O13" i="337"/>
  <c r="O13" i="39"/>
  <c r="M10" i="171"/>
  <c r="W25" i="171" s="1"/>
  <c r="M10" i="184"/>
  <c r="W25" i="184" s="1"/>
  <c r="M10" i="175"/>
  <c r="W25" i="175" s="1"/>
  <c r="M10" i="84"/>
  <c r="W25" i="84" s="1"/>
  <c r="M10" i="361"/>
  <c r="W25" i="361" s="1"/>
  <c r="M10" i="231"/>
  <c r="W25" i="231" s="1"/>
  <c r="M10" i="229"/>
  <c r="M10" i="172"/>
  <c r="W25" i="172" s="1"/>
  <c r="J66" i="246"/>
  <c r="M10" i="309"/>
  <c r="W25" i="309" s="1"/>
  <c r="N9" i="4"/>
  <c r="N9" i="13"/>
  <c r="N9" i="11"/>
  <c r="N9" i="15"/>
  <c r="N9" i="125"/>
  <c r="N9" i="9"/>
  <c r="N9" i="16"/>
  <c r="N9" i="10"/>
  <c r="N9" i="6"/>
  <c r="N9" i="7"/>
  <c r="N9" i="14"/>
  <c r="Q199" i="209"/>
  <c r="N10" i="186"/>
  <c r="N10" i="170"/>
  <c r="N10" i="104"/>
  <c r="K56" i="246"/>
  <c r="N10" i="226"/>
  <c r="F42" i="327"/>
  <c r="K272" i="209" s="1"/>
  <c r="F39" i="327"/>
  <c r="Q32" i="209" s="1"/>
  <c r="F41" i="327"/>
  <c r="K212" i="209" s="1"/>
  <c r="K752" i="209"/>
  <c r="F38" i="327"/>
  <c r="K32" i="209" s="1"/>
  <c r="F37" i="327"/>
  <c r="Q212" i="209" s="1"/>
  <c r="F40" i="327"/>
  <c r="K92" i="209" s="1"/>
  <c r="N13" i="195"/>
  <c r="N13" i="270"/>
  <c r="N13" i="187"/>
  <c r="N13" i="126"/>
  <c r="N13" i="146"/>
  <c r="N13" i="188"/>
  <c r="N13" i="349"/>
  <c r="N13" i="219"/>
  <c r="N13" i="293"/>
  <c r="N13" i="362"/>
  <c r="N13" i="353"/>
  <c r="N13" i="137"/>
  <c r="N13" i="151"/>
  <c r="N13" i="189"/>
  <c r="N13" i="203"/>
  <c r="N13" i="160"/>
  <c r="N13" i="178"/>
  <c r="N13" i="204"/>
  <c r="N13" i="183"/>
  <c r="N13" i="194"/>
  <c r="N13" i="141"/>
  <c r="N13" i="226"/>
  <c r="N13" i="170"/>
  <c r="N13" i="186"/>
  <c r="N13" i="104"/>
  <c r="K242" i="246"/>
  <c r="M13" i="84"/>
  <c r="W28" i="84" s="1"/>
  <c r="M13" i="175"/>
  <c r="W28" i="175" s="1"/>
  <c r="J252" i="246"/>
  <c r="M13" i="231"/>
  <c r="W28" i="231" s="1"/>
  <c r="M13" i="229"/>
  <c r="M13" i="171"/>
  <c r="W28" i="171" s="1"/>
  <c r="M13" i="361"/>
  <c r="W28" i="361" s="1"/>
  <c r="M13" i="184"/>
  <c r="W28" i="184" s="1"/>
  <c r="M13" i="309"/>
  <c r="W28" i="309" s="1"/>
  <c r="M13" i="172"/>
  <c r="W28" i="172" s="1"/>
  <c r="N12" i="204"/>
  <c r="N12" i="187"/>
  <c r="N12" i="188"/>
  <c r="N12" i="195"/>
  <c r="N12" i="137"/>
  <c r="N12" i="126"/>
  <c r="N12" i="146"/>
  <c r="N12" i="353"/>
  <c r="N12" i="194"/>
  <c r="N12" i="362"/>
  <c r="N12" i="141"/>
  <c r="N12" i="189"/>
  <c r="N12" i="219"/>
  <c r="N12" i="293"/>
  <c r="N12" i="151"/>
  <c r="N12" i="203"/>
  <c r="N12" i="178"/>
  <c r="N12" i="349"/>
  <c r="N12" i="183"/>
  <c r="N12" i="270"/>
  <c r="N12" i="160"/>
  <c r="N11" i="104"/>
  <c r="N11" i="186"/>
  <c r="N11" i="170"/>
  <c r="Q56" i="246"/>
  <c r="N11" i="226"/>
  <c r="O10" i="196"/>
  <c r="L42" i="209"/>
  <c r="O10" i="72"/>
  <c r="O10" i="123"/>
  <c r="O10" i="338"/>
  <c r="O10" i="154"/>
  <c r="O10" i="79"/>
  <c r="O10" i="337"/>
  <c r="O10" i="39"/>
  <c r="M14" i="175"/>
  <c r="W29" i="175" s="1"/>
  <c r="M14" i="171"/>
  <c r="W29" i="171" s="1"/>
  <c r="M14" i="361"/>
  <c r="W29" i="361" s="1"/>
  <c r="M14" i="229"/>
  <c r="M14" i="231"/>
  <c r="W29" i="231" s="1"/>
  <c r="M14" i="309"/>
  <c r="W29" i="309" s="1"/>
  <c r="J314" i="246"/>
  <c r="M14" i="172"/>
  <c r="W29" i="172" s="1"/>
  <c r="M14" i="184"/>
  <c r="W29" i="184" s="1"/>
  <c r="M14" i="84"/>
  <c r="W29" i="84" s="1"/>
  <c r="Q19" i="209"/>
  <c r="N11" i="14"/>
  <c r="N11" i="15"/>
  <c r="N11" i="7"/>
  <c r="N11" i="16"/>
  <c r="N11" i="4"/>
  <c r="N11" i="6"/>
  <c r="N11" i="9"/>
  <c r="N11" i="11"/>
  <c r="N11" i="125"/>
  <c r="N11" i="10"/>
  <c r="N11" i="13"/>
  <c r="N12" i="10"/>
  <c r="N12" i="4"/>
  <c r="N12" i="14"/>
  <c r="N12" i="125"/>
  <c r="N12" i="9"/>
  <c r="K79" i="209"/>
  <c r="N12" i="11"/>
  <c r="N12" i="13"/>
  <c r="N12" i="6"/>
  <c r="N12" i="16"/>
  <c r="N12" i="15"/>
  <c r="N12" i="7"/>
  <c r="N11" i="183"/>
  <c r="N11" i="194"/>
  <c r="N11" i="362"/>
  <c r="N11" i="137"/>
  <c r="N11" i="187"/>
  <c r="N11" i="219"/>
  <c r="N11" i="126"/>
  <c r="N11" i="178"/>
  <c r="N11" i="189"/>
  <c r="N11" i="151"/>
  <c r="N11" i="353"/>
  <c r="N11" i="146"/>
  <c r="N11" i="195"/>
  <c r="N11" i="141"/>
  <c r="N11" i="293"/>
  <c r="N11" i="188"/>
  <c r="N11" i="204"/>
  <c r="N11" i="270"/>
  <c r="N11" i="349"/>
  <c r="N11" i="160"/>
  <c r="N11" i="203"/>
  <c r="N10" i="137"/>
  <c r="N10" i="178"/>
  <c r="N10" i="204"/>
  <c r="N10" i="126"/>
  <c r="N10" i="203"/>
  <c r="N10" i="187"/>
  <c r="N10" i="349"/>
  <c r="N10" i="146"/>
  <c r="N10" i="195"/>
  <c r="N10" i="353"/>
  <c r="N10" i="362"/>
  <c r="N10" i="151"/>
  <c r="N10" i="194"/>
  <c r="N10" i="219"/>
  <c r="N10" i="189"/>
  <c r="N10" i="188"/>
  <c r="N10" i="270"/>
  <c r="N10" i="293"/>
  <c r="N10" i="183"/>
  <c r="N10" i="141"/>
  <c r="N10" i="160"/>
  <c r="F39" i="174"/>
  <c r="F40" i="174"/>
  <c r="F37" i="174"/>
  <c r="F38" i="174"/>
  <c r="F42" i="174"/>
  <c r="O39" i="292"/>
  <c r="K810" i="246"/>
  <c r="F41" i="174"/>
  <c r="O12" i="337"/>
  <c r="O12" i="123"/>
  <c r="O12" i="39"/>
  <c r="O12" i="72"/>
  <c r="O12" i="196"/>
  <c r="O12" i="154"/>
  <c r="L102" i="209"/>
  <c r="O12" i="338"/>
  <c r="O12" i="79"/>
  <c r="K199" i="209"/>
  <c r="N13" i="6"/>
  <c r="N13" i="7"/>
  <c r="N13" i="13"/>
  <c r="N13" i="14"/>
  <c r="N13" i="15"/>
  <c r="N13" i="16"/>
  <c r="N13" i="11"/>
  <c r="N13" i="125"/>
  <c r="N13" i="9"/>
  <c r="N13" i="4"/>
  <c r="N13" i="10"/>
  <c r="G42" i="170"/>
  <c r="G38" i="170"/>
  <c r="G39" i="170"/>
  <c r="G41" i="170"/>
  <c r="G37" i="170"/>
  <c r="G18" i="175"/>
  <c r="G40" i="170"/>
  <c r="H18" i="170"/>
  <c r="N14" i="362"/>
  <c r="N14" i="126"/>
  <c r="N14" i="194"/>
  <c r="N14" i="188"/>
  <c r="N14" i="293"/>
  <c r="N14" i="137"/>
  <c r="N14" i="353"/>
  <c r="N14" i="178"/>
  <c r="N14" i="151"/>
  <c r="N14" i="349"/>
  <c r="N14" i="203"/>
  <c r="N14" i="270"/>
  <c r="N14" i="160"/>
  <c r="N14" i="141"/>
  <c r="N14" i="146"/>
  <c r="N14" i="195"/>
  <c r="N14" i="187"/>
  <c r="N14" i="204"/>
  <c r="N14" i="219"/>
  <c r="N14" i="189"/>
  <c r="N14" i="183"/>
  <c r="Q242" i="246"/>
  <c r="N9" i="226"/>
  <c r="N9" i="104"/>
  <c r="N9" i="186"/>
  <c r="N9" i="170"/>
  <c r="H18" i="58"/>
  <c r="G18" i="229"/>
  <c r="G38" i="58"/>
  <c r="L60" i="209" s="1"/>
  <c r="L780" i="209"/>
  <c r="M780" i="209" s="1"/>
  <c r="G40" i="58"/>
  <c r="L120" i="209" s="1"/>
  <c r="G39" i="58"/>
  <c r="R60" i="209" s="1"/>
  <c r="G37" i="58"/>
  <c r="R240" i="209" s="1"/>
  <c r="G41" i="58"/>
  <c r="L240" i="209" s="1"/>
  <c r="G42" i="58"/>
  <c r="L300" i="209" s="1"/>
  <c r="O11" i="338"/>
  <c r="O11" i="79"/>
  <c r="O11" i="337"/>
  <c r="R42" i="209"/>
  <c r="O11" i="123"/>
  <c r="O11" i="154"/>
  <c r="O11" i="196"/>
  <c r="O11" i="72"/>
  <c r="O11" i="39"/>
  <c r="H18" i="18"/>
  <c r="G39" i="18"/>
  <c r="G41" i="18"/>
  <c r="G40" i="18"/>
  <c r="L739" i="209"/>
  <c r="M739" i="209" s="1"/>
  <c r="G42" i="18"/>
  <c r="G38" i="18"/>
  <c r="G18" i="327"/>
  <c r="G37" i="18"/>
  <c r="R10" i="292"/>
  <c r="U10" i="292"/>
  <c r="L808" i="246"/>
  <c r="M808" i="246" s="1"/>
  <c r="G41" i="231"/>
  <c r="L250" i="246" s="1"/>
  <c r="G37" i="231"/>
  <c r="R250" i="246" s="1"/>
  <c r="G42" i="231"/>
  <c r="L312" i="246" s="1"/>
  <c r="G39" i="231"/>
  <c r="R64" i="246" s="1"/>
  <c r="G40" i="231"/>
  <c r="L126" i="246" s="1"/>
  <c r="G38" i="231"/>
  <c r="L64" i="246" s="1"/>
  <c r="H18" i="231"/>
  <c r="F37" i="229"/>
  <c r="O24" i="292"/>
  <c r="F38" i="229"/>
  <c r="K784" i="209"/>
  <c r="F39" i="229"/>
  <c r="F41" i="229"/>
  <c r="F42" i="229"/>
  <c r="F40" i="229"/>
  <c r="N9" i="188"/>
  <c r="N9" i="189"/>
  <c r="N9" i="126"/>
  <c r="N9" i="204"/>
  <c r="N9" i="178"/>
  <c r="N9" i="137"/>
  <c r="N9" i="349"/>
  <c r="N9" i="183"/>
  <c r="N9" i="141"/>
  <c r="N9" i="187"/>
  <c r="N9" i="151"/>
  <c r="N9" i="160"/>
  <c r="N9" i="270"/>
  <c r="N9" i="194"/>
  <c r="N9" i="353"/>
  <c r="N9" i="219"/>
  <c r="N9" i="195"/>
  <c r="N9" i="203"/>
  <c r="N9" i="146"/>
  <c r="N9" i="362"/>
  <c r="N9" i="293"/>
  <c r="N14" i="104"/>
  <c r="N14" i="226"/>
  <c r="N14" i="186"/>
  <c r="N14" i="170"/>
  <c r="K304" i="246"/>
  <c r="G18" i="330"/>
  <c r="O14" i="337"/>
  <c r="O14" i="338"/>
  <c r="O14" i="39"/>
  <c r="O14" i="196"/>
  <c r="O14" i="154"/>
  <c r="O14" i="123"/>
  <c r="O14" i="79"/>
  <c r="O14" i="72"/>
  <c r="L282" i="209"/>
  <c r="M12" i="84"/>
  <c r="W27" i="84" s="1"/>
  <c r="M12" i="231"/>
  <c r="W27" i="231" s="1"/>
  <c r="M12" i="171"/>
  <c r="W27" i="171" s="1"/>
  <c r="M12" i="309"/>
  <c r="W27" i="309" s="1"/>
  <c r="M12" i="172"/>
  <c r="W27" i="172" s="1"/>
  <c r="J128" i="246"/>
  <c r="M12" i="175"/>
  <c r="W27" i="175" s="1"/>
  <c r="M12" i="184"/>
  <c r="W27" i="184" s="1"/>
  <c r="M12" i="361"/>
  <c r="W27" i="361" s="1"/>
  <c r="M12" i="229"/>
  <c r="N10" i="6"/>
  <c r="N10" i="15"/>
  <c r="N10" i="13"/>
  <c r="K19" i="209"/>
  <c r="N10" i="10"/>
  <c r="N10" i="7"/>
  <c r="N10" i="4"/>
  <c r="N10" i="11"/>
  <c r="N10" i="16"/>
  <c r="N10" i="14"/>
  <c r="N10" i="9"/>
  <c r="N10" i="125"/>
  <c r="O642" i="209" l="1"/>
  <c r="D11" i="330"/>
  <c r="I702" i="209"/>
  <c r="M702" i="209" s="1"/>
  <c r="D45" i="44"/>
  <c r="D46" i="44"/>
  <c r="D11" i="328"/>
  <c r="I642" i="209"/>
  <c r="D11" i="58"/>
  <c r="D44" i="44"/>
  <c r="D14" i="328"/>
  <c r="D14" i="58"/>
  <c r="D14" i="229" s="1"/>
  <c r="D14" i="330"/>
  <c r="O702" i="209"/>
  <c r="S702" i="209" s="1"/>
  <c r="D12" i="328"/>
  <c r="D12" i="330"/>
  <c r="O462" i="209"/>
  <c r="S462" i="209" s="1"/>
  <c r="D12" i="58"/>
  <c r="D13" i="58"/>
  <c r="D13" i="229" s="1"/>
  <c r="D13" i="330"/>
  <c r="D13" i="328"/>
  <c r="M13" i="328"/>
  <c r="W28" i="328" s="1"/>
  <c r="M13" i="248"/>
  <c r="W28" i="248" s="1"/>
  <c r="M13" i="58"/>
  <c r="X28" i="58" s="1"/>
  <c r="W28" i="229"/>
  <c r="M13" i="18"/>
  <c r="W28" i="18" s="1"/>
  <c r="J244" i="209"/>
  <c r="J784" i="209"/>
  <c r="M13" i="330"/>
  <c r="Y28" i="330" s="1"/>
  <c r="E40" i="229"/>
  <c r="M12" i="18" s="1"/>
  <c r="W27" i="18" s="1"/>
  <c r="M13" i="326"/>
  <c r="W28" i="326" s="1"/>
  <c r="M13" i="174"/>
  <c r="W28" i="174" s="1"/>
  <c r="M13" i="44"/>
  <c r="W28" i="44" s="1"/>
  <c r="M13" i="247"/>
  <c r="W28" i="247" s="1"/>
  <c r="E42" i="229"/>
  <c r="M14" i="330" s="1"/>
  <c r="X29" i="330" s="1"/>
  <c r="M13" i="291"/>
  <c r="W28" i="291" s="1"/>
  <c r="E38" i="229"/>
  <c r="M10" i="330" s="1"/>
  <c r="X25" i="330" s="1"/>
  <c r="M13" i="250"/>
  <c r="W28" i="250" s="1"/>
  <c r="E39" i="229"/>
  <c r="M11" i="18" s="1"/>
  <c r="W26" i="18" s="1"/>
  <c r="M13" i="228"/>
  <c r="W28" i="228" s="1"/>
  <c r="E37" i="229"/>
  <c r="M9" i="250" s="1"/>
  <c r="W24" i="250" s="1"/>
  <c r="W28" i="327"/>
  <c r="I244" i="209"/>
  <c r="L13" i="291"/>
  <c r="L14" i="44"/>
  <c r="L14" i="326"/>
  <c r="L14" i="327"/>
  <c r="L14" i="247"/>
  <c r="L14" i="250"/>
  <c r="L13" i="18"/>
  <c r="L14" i="328"/>
  <c r="L13" i="247"/>
  <c r="L13" i="44"/>
  <c r="L13" i="250"/>
  <c r="L13" i="328"/>
  <c r="L13" i="248"/>
  <c r="L13" i="326"/>
  <c r="L9" i="326"/>
  <c r="L12" i="291"/>
  <c r="L9" i="174"/>
  <c r="L12" i="44"/>
  <c r="L9" i="291"/>
  <c r="L12" i="247"/>
  <c r="L12" i="228"/>
  <c r="L12" i="174"/>
  <c r="L12" i="328"/>
  <c r="L12" i="250"/>
  <c r="O244" i="209"/>
  <c r="L12" i="18"/>
  <c r="I124" i="209"/>
  <c r="L9" i="248"/>
  <c r="L9" i="328"/>
  <c r="L13" i="58"/>
  <c r="L13" i="228"/>
  <c r="L13" i="327"/>
  <c r="L13" i="174"/>
  <c r="L12" i="248"/>
  <c r="L12" i="326"/>
  <c r="L9" i="58"/>
  <c r="L12" i="58"/>
  <c r="L12" i="330"/>
  <c r="L9" i="247"/>
  <c r="L14" i="330"/>
  <c r="L14" i="58"/>
  <c r="L14" i="248"/>
  <c r="L14" i="291"/>
  <c r="I304" i="209"/>
  <c r="L14" i="228"/>
  <c r="L14" i="174"/>
  <c r="L11" i="58"/>
  <c r="L11" i="328"/>
  <c r="L11" i="248"/>
  <c r="L11" i="247"/>
  <c r="L11" i="327"/>
  <c r="O64" i="209"/>
  <c r="L11" i="291"/>
  <c r="L11" i="326"/>
  <c r="L11" i="228"/>
  <c r="L11" i="330"/>
  <c r="L11" i="44"/>
  <c r="L11" i="18"/>
  <c r="L11" i="174"/>
  <c r="L11" i="250"/>
  <c r="L9" i="228"/>
  <c r="L9" i="18"/>
  <c r="L9" i="250"/>
  <c r="L9" i="330"/>
  <c r="L9" i="44"/>
  <c r="O11" i="9"/>
  <c r="O11" i="4"/>
  <c r="O11" i="125"/>
  <c r="O11" i="7"/>
  <c r="O11" i="16"/>
  <c r="O11" i="11"/>
  <c r="R19" i="209"/>
  <c r="O11" i="15"/>
  <c r="O11" i="13"/>
  <c r="O11" i="10"/>
  <c r="O11" i="6"/>
  <c r="O11" i="14"/>
  <c r="O13" i="126"/>
  <c r="O13" i="353"/>
  <c r="O13" i="151"/>
  <c r="O13" i="194"/>
  <c r="O13" i="160"/>
  <c r="O13" i="204"/>
  <c r="O13" i="137"/>
  <c r="O13" i="270"/>
  <c r="O13" i="362"/>
  <c r="O13" i="187"/>
  <c r="O13" i="141"/>
  <c r="O13" i="146"/>
  <c r="O13" i="189"/>
  <c r="O13" i="188"/>
  <c r="O13" i="195"/>
  <c r="O13" i="178"/>
  <c r="O13" i="183"/>
  <c r="O13" i="219"/>
  <c r="O13" i="349"/>
  <c r="O13" i="203"/>
  <c r="O13" i="293"/>
  <c r="O11" i="104"/>
  <c r="R56" i="246"/>
  <c r="O11" i="186"/>
  <c r="O11" i="170"/>
  <c r="O11" i="226"/>
  <c r="N13" i="250"/>
  <c r="N13" i="326"/>
  <c r="N13" i="228"/>
  <c r="N13" i="328"/>
  <c r="N13" i="330"/>
  <c r="N13" i="58"/>
  <c r="N13" i="247"/>
  <c r="N13" i="174"/>
  <c r="N13" i="44"/>
  <c r="N13" i="291"/>
  <c r="N13" i="18"/>
  <c r="N13" i="327"/>
  <c r="K244" i="209"/>
  <c r="N13" i="248"/>
  <c r="N12" i="171"/>
  <c r="N12" i="229"/>
  <c r="N12" i="175"/>
  <c r="N12" i="231"/>
  <c r="N12" i="361"/>
  <c r="K128" i="246"/>
  <c r="N12" i="84"/>
  <c r="N12" i="309"/>
  <c r="N12" i="184"/>
  <c r="N12" i="172"/>
  <c r="O10" i="104"/>
  <c r="L56" i="246"/>
  <c r="O10" i="226"/>
  <c r="O10" i="186"/>
  <c r="O10" i="170"/>
  <c r="N11" i="44"/>
  <c r="N11" i="327"/>
  <c r="N11" i="250"/>
  <c r="N11" i="228"/>
  <c r="N11" i="58"/>
  <c r="N11" i="326"/>
  <c r="N11" i="330"/>
  <c r="N11" i="18"/>
  <c r="N11" i="247"/>
  <c r="N11" i="248"/>
  <c r="N11" i="328"/>
  <c r="N11" i="174"/>
  <c r="N11" i="291"/>
  <c r="Q64" i="209"/>
  <c r="H18" i="327"/>
  <c r="G38" i="327"/>
  <c r="L32" i="209" s="1"/>
  <c r="G37" i="327"/>
  <c r="R212" i="209" s="1"/>
  <c r="G42" i="327"/>
  <c r="L272" i="209" s="1"/>
  <c r="G40" i="327"/>
  <c r="L92" i="209" s="1"/>
  <c r="G39" i="327"/>
  <c r="R32" i="209" s="1"/>
  <c r="L752" i="209"/>
  <c r="M752" i="209" s="1"/>
  <c r="G41" i="327"/>
  <c r="L212" i="209" s="1"/>
  <c r="O10" i="183"/>
  <c r="O10" i="353"/>
  <c r="O10" i="146"/>
  <c r="O10" i="362"/>
  <c r="O10" i="195"/>
  <c r="O10" i="203"/>
  <c r="O10" i="151"/>
  <c r="O10" i="349"/>
  <c r="O10" i="126"/>
  <c r="O10" i="141"/>
  <c r="O10" i="204"/>
  <c r="O10" i="188"/>
  <c r="O10" i="187"/>
  <c r="O10" i="293"/>
  <c r="O10" i="219"/>
  <c r="O10" i="270"/>
  <c r="O10" i="160"/>
  <c r="O10" i="194"/>
  <c r="O10" i="189"/>
  <c r="O10" i="178"/>
  <c r="O10" i="137"/>
  <c r="N11" i="361"/>
  <c r="N11" i="172"/>
  <c r="N11" i="175"/>
  <c r="N11" i="229"/>
  <c r="N11" i="171"/>
  <c r="N11" i="231"/>
  <c r="Q66" i="246"/>
  <c r="N11" i="84"/>
  <c r="N11" i="184"/>
  <c r="N11" i="309"/>
  <c r="O14" i="170"/>
  <c r="O14" i="226"/>
  <c r="O14" i="104"/>
  <c r="O14" i="186"/>
  <c r="L304" i="246"/>
  <c r="O13" i="15"/>
  <c r="L199" i="209"/>
  <c r="O13" i="10"/>
  <c r="O13" i="11"/>
  <c r="O13" i="13"/>
  <c r="O13" i="7"/>
  <c r="O13" i="16"/>
  <c r="O13" i="14"/>
  <c r="O13" i="4"/>
  <c r="O13" i="6"/>
  <c r="O13" i="9"/>
  <c r="O13" i="125"/>
  <c r="O9" i="203"/>
  <c r="O9" i="349"/>
  <c r="O9" i="141"/>
  <c r="O9" i="178"/>
  <c r="O9" i="219"/>
  <c r="O9" i="362"/>
  <c r="O9" i="204"/>
  <c r="O9" i="160"/>
  <c r="O9" i="353"/>
  <c r="O9" i="187"/>
  <c r="O9" i="183"/>
  <c r="O9" i="189"/>
  <c r="O9" i="146"/>
  <c r="O9" i="194"/>
  <c r="O9" i="126"/>
  <c r="O9" i="151"/>
  <c r="O9" i="188"/>
  <c r="O9" i="270"/>
  <c r="O9" i="293"/>
  <c r="O9" i="195"/>
  <c r="O9" i="137"/>
  <c r="O10" i="14"/>
  <c r="O10" i="10"/>
  <c r="O10" i="15"/>
  <c r="O10" i="9"/>
  <c r="O10" i="16"/>
  <c r="O10" i="7"/>
  <c r="O10" i="4"/>
  <c r="O10" i="6"/>
  <c r="O10" i="11"/>
  <c r="O10" i="13"/>
  <c r="L19" i="209"/>
  <c r="O10" i="125"/>
  <c r="O14" i="137"/>
  <c r="O14" i="362"/>
  <c r="O14" i="146"/>
  <c r="O14" i="270"/>
  <c r="O14" i="183"/>
  <c r="O14" i="203"/>
  <c r="O14" i="219"/>
  <c r="O14" i="349"/>
  <c r="O14" i="178"/>
  <c r="O14" i="188"/>
  <c r="O14" i="195"/>
  <c r="O14" i="353"/>
  <c r="O14" i="189"/>
  <c r="O14" i="194"/>
  <c r="O14" i="126"/>
  <c r="O14" i="141"/>
  <c r="O14" i="293"/>
  <c r="O14" i="160"/>
  <c r="O14" i="151"/>
  <c r="O14" i="204"/>
  <c r="O14" i="187"/>
  <c r="N13" i="229"/>
  <c r="K252" i="246"/>
  <c r="N13" i="84"/>
  <c r="N13" i="171"/>
  <c r="N13" i="309"/>
  <c r="N13" i="172"/>
  <c r="N13" i="175"/>
  <c r="N13" i="184"/>
  <c r="N13" i="231"/>
  <c r="N13" i="361"/>
  <c r="G40" i="174"/>
  <c r="G42" i="174"/>
  <c r="G38" i="174"/>
  <c r="G39" i="174"/>
  <c r="L810" i="246"/>
  <c r="M810" i="246" s="1"/>
  <c r="G41" i="174"/>
  <c r="G37" i="174"/>
  <c r="H18" i="174"/>
  <c r="N12" i="174"/>
  <c r="N12" i="327"/>
  <c r="N12" i="326"/>
  <c r="N12" i="247"/>
  <c r="N12" i="228"/>
  <c r="N12" i="291"/>
  <c r="N12" i="18"/>
  <c r="N12" i="250"/>
  <c r="N12" i="328"/>
  <c r="K124" i="209"/>
  <c r="N12" i="330"/>
  <c r="N12" i="58"/>
  <c r="N12" i="44"/>
  <c r="N12" i="248"/>
  <c r="N10" i="171"/>
  <c r="N10" i="309"/>
  <c r="N10" i="184"/>
  <c r="N10" i="229"/>
  <c r="K66" i="246"/>
  <c r="N10" i="84"/>
  <c r="N10" i="231"/>
  <c r="N10" i="361"/>
  <c r="N10" i="172"/>
  <c r="N10" i="175"/>
  <c r="O13" i="170"/>
  <c r="O13" i="226"/>
  <c r="O13" i="104"/>
  <c r="L242" i="246"/>
  <c r="O13" i="186"/>
  <c r="N10" i="248"/>
  <c r="N10" i="327"/>
  <c r="N10" i="18"/>
  <c r="N10" i="44"/>
  <c r="N10" i="330"/>
  <c r="N10" i="174"/>
  <c r="N10" i="58"/>
  <c r="N10" i="291"/>
  <c r="N10" i="326"/>
  <c r="N10" i="228"/>
  <c r="K64" i="209"/>
  <c r="N10" i="247"/>
  <c r="N10" i="250"/>
  <c r="N10" i="328"/>
  <c r="O14" i="10"/>
  <c r="O14" i="7"/>
  <c r="O14" i="6"/>
  <c r="O14" i="125"/>
  <c r="O14" i="15"/>
  <c r="O14" i="14"/>
  <c r="O14" i="4"/>
  <c r="O14" i="11"/>
  <c r="L259" i="209"/>
  <c r="O14" i="16"/>
  <c r="O14" i="9"/>
  <c r="O14" i="13"/>
  <c r="H18" i="229"/>
  <c r="L784" i="209"/>
  <c r="M784" i="209" s="1"/>
  <c r="G41" i="229"/>
  <c r="G42" i="229"/>
  <c r="G37" i="229"/>
  <c r="G38" i="229"/>
  <c r="G39" i="229"/>
  <c r="G40" i="229"/>
  <c r="O9" i="226"/>
  <c r="R242" i="246"/>
  <c r="O9" i="186"/>
  <c r="O9" i="170"/>
  <c r="O9" i="104"/>
  <c r="N9" i="361"/>
  <c r="Q252" i="246"/>
  <c r="N9" i="84"/>
  <c r="N9" i="175"/>
  <c r="N9" i="171"/>
  <c r="N9" i="172"/>
  <c r="N9" i="229"/>
  <c r="N9" i="309"/>
  <c r="N9" i="231"/>
  <c r="N9" i="184"/>
  <c r="G42" i="330"/>
  <c r="G39" i="330"/>
  <c r="H18" i="330"/>
  <c r="G41" i="330"/>
  <c r="G38" i="330"/>
  <c r="G37" i="330"/>
  <c r="G40" i="330"/>
  <c r="R199" i="209"/>
  <c r="O9" i="9"/>
  <c r="O9" i="14"/>
  <c r="O9" i="13"/>
  <c r="O9" i="4"/>
  <c r="O9" i="15"/>
  <c r="O9" i="6"/>
  <c r="O9" i="125"/>
  <c r="O9" i="11"/>
  <c r="O9" i="10"/>
  <c r="O9" i="7"/>
  <c r="O9" i="16"/>
  <c r="O41" i="292"/>
  <c r="U24" i="292"/>
  <c r="R24" i="292"/>
  <c r="O12" i="349"/>
  <c r="O12" i="195"/>
  <c r="O12" i="204"/>
  <c r="O12" i="183"/>
  <c r="O12" i="353"/>
  <c r="O12" i="160"/>
  <c r="O12" i="219"/>
  <c r="O12" i="188"/>
  <c r="O12" i="189"/>
  <c r="O12" i="293"/>
  <c r="O12" i="137"/>
  <c r="O12" i="146"/>
  <c r="O12" i="194"/>
  <c r="O12" i="126"/>
  <c r="O12" i="141"/>
  <c r="O12" i="151"/>
  <c r="O12" i="203"/>
  <c r="O12" i="362"/>
  <c r="O12" i="270"/>
  <c r="O12" i="178"/>
  <c r="O12" i="187"/>
  <c r="R39" i="292"/>
  <c r="U39" i="292"/>
  <c r="O12" i="226"/>
  <c r="L118" i="246"/>
  <c r="O12" i="186"/>
  <c r="O12" i="170"/>
  <c r="O12" i="104"/>
  <c r="N14" i="248"/>
  <c r="N14" i="44"/>
  <c r="N14" i="330"/>
  <c r="N14" i="58"/>
  <c r="N14" i="291"/>
  <c r="K304" i="209"/>
  <c r="N14" i="247"/>
  <c r="N14" i="327"/>
  <c r="N14" i="18"/>
  <c r="N14" i="174"/>
  <c r="N14" i="326"/>
  <c r="N14" i="250"/>
  <c r="N14" i="328"/>
  <c r="N14" i="228"/>
  <c r="O11" i="126"/>
  <c r="O11" i="219"/>
  <c r="O11" i="187"/>
  <c r="O11" i="195"/>
  <c r="O11" i="189"/>
  <c r="O11" i="160"/>
  <c r="O11" i="293"/>
  <c r="O11" i="183"/>
  <c r="O11" i="178"/>
  <c r="O11" i="362"/>
  <c r="O11" i="188"/>
  <c r="O11" i="349"/>
  <c r="O11" i="137"/>
  <c r="O11" i="146"/>
  <c r="O11" i="151"/>
  <c r="O11" i="270"/>
  <c r="O11" i="203"/>
  <c r="O11" i="194"/>
  <c r="O11" i="141"/>
  <c r="O11" i="204"/>
  <c r="O11" i="353"/>
  <c r="N9" i="18"/>
  <c r="N9" i="326"/>
  <c r="Q244" i="209"/>
  <c r="N9" i="330"/>
  <c r="N9" i="328"/>
  <c r="N9" i="174"/>
  <c r="N9" i="327"/>
  <c r="N9" i="228"/>
  <c r="N9" i="58"/>
  <c r="N9" i="248"/>
  <c r="N9" i="44"/>
  <c r="N9" i="247"/>
  <c r="N9" i="250"/>
  <c r="N9" i="291"/>
  <c r="O12" i="11"/>
  <c r="O12" i="10"/>
  <c r="O12" i="7"/>
  <c r="O12" i="13"/>
  <c r="O12" i="9"/>
  <c r="O12" i="14"/>
  <c r="O12" i="16"/>
  <c r="O12" i="6"/>
  <c r="L79" i="209"/>
  <c r="O12" i="125"/>
  <c r="O12" i="4"/>
  <c r="O12" i="15"/>
  <c r="G39" i="175"/>
  <c r="O11" i="212" s="1"/>
  <c r="G40" i="175"/>
  <c r="O12" i="212" s="1"/>
  <c r="G38" i="175"/>
  <c r="O10" i="212" s="1"/>
  <c r="G37" i="175"/>
  <c r="O9" i="212" s="1"/>
  <c r="G42" i="175"/>
  <c r="O14" i="212" s="1"/>
  <c r="G41" i="175"/>
  <c r="O13" i="212" s="1"/>
  <c r="H18" i="175"/>
  <c r="N14" i="84"/>
  <c r="N14" i="172"/>
  <c r="N14" i="184"/>
  <c r="N14" i="171"/>
  <c r="K314" i="246"/>
  <c r="N14" i="309"/>
  <c r="N14" i="229"/>
  <c r="N14" i="361"/>
  <c r="N14" i="231"/>
  <c r="N14" i="175"/>
  <c r="D44" i="58" l="1"/>
  <c r="O120" i="209" s="1"/>
  <c r="D45" i="58"/>
  <c r="I180" i="209" s="1"/>
  <c r="D11" i="229"/>
  <c r="I720" i="209"/>
  <c r="M720" i="209" s="1"/>
  <c r="D46" i="58"/>
  <c r="O660" i="209"/>
  <c r="I660" i="209"/>
  <c r="D44" i="328"/>
  <c r="D45" i="328"/>
  <c r="D46" i="328"/>
  <c r="L18" i="79"/>
  <c r="L18" i="72"/>
  <c r="L18" i="338"/>
  <c r="L18" i="154"/>
  <c r="L18" i="196"/>
  <c r="L18" i="39"/>
  <c r="L18" i="337"/>
  <c r="L18" i="123"/>
  <c r="L17" i="196"/>
  <c r="W33" i="196" s="1"/>
  <c r="L17" i="39"/>
  <c r="W33" i="39" s="1"/>
  <c r="L17" i="72"/>
  <c r="W33" i="72" s="1"/>
  <c r="L17" i="337"/>
  <c r="W33" i="337" s="1"/>
  <c r="L17" i="338"/>
  <c r="W33" i="338" s="1"/>
  <c r="L17" i="154"/>
  <c r="W33" i="154" s="1"/>
  <c r="I162" i="209"/>
  <c r="L17" i="123"/>
  <c r="W33" i="123" s="1"/>
  <c r="L17" i="79"/>
  <c r="W33" i="79" s="1"/>
  <c r="D44" i="330"/>
  <c r="D46" i="330"/>
  <c r="D45" i="330"/>
  <c r="O720" i="209"/>
  <c r="S720" i="209" s="1"/>
  <c r="O480" i="209"/>
  <c r="S480" i="209" s="1"/>
  <c r="D12" i="229"/>
  <c r="L16" i="79"/>
  <c r="W32" i="79" s="1"/>
  <c r="L16" i="72"/>
  <c r="W32" i="72" s="1"/>
  <c r="L16" i="196"/>
  <c r="W32" i="196" s="1"/>
  <c r="L16" i="338"/>
  <c r="W32" i="338" s="1"/>
  <c r="L16" i="39"/>
  <c r="W32" i="39" s="1"/>
  <c r="L16" i="123"/>
  <c r="W32" i="123" s="1"/>
  <c r="O102" i="209"/>
  <c r="L16" i="154"/>
  <c r="W32" i="154" s="1"/>
  <c r="L16" i="337"/>
  <c r="W32" i="337" s="1"/>
  <c r="Y28" i="58"/>
  <c r="P244" i="209"/>
  <c r="M14" i="44"/>
  <c r="W29" i="44" s="1"/>
  <c r="M10" i="250"/>
  <c r="W25" i="250" s="1"/>
  <c r="X28" i="330"/>
  <c r="M10" i="328"/>
  <c r="W25" i="328" s="1"/>
  <c r="M10" i="58"/>
  <c r="Y25" i="58" s="1"/>
  <c r="J304" i="209"/>
  <c r="M10" i="326"/>
  <c r="W25" i="326" s="1"/>
  <c r="Y25" i="330"/>
  <c r="M12" i="326"/>
  <c r="W27" i="326" s="1"/>
  <c r="M12" i="248"/>
  <c r="W27" i="248" s="1"/>
  <c r="M12" i="250"/>
  <c r="W27" i="250" s="1"/>
  <c r="M12" i="328"/>
  <c r="W27" i="328" s="1"/>
  <c r="J124" i="209"/>
  <c r="W27" i="229"/>
  <c r="M12" i="44"/>
  <c r="W27" i="44" s="1"/>
  <c r="M12" i="247"/>
  <c r="W27" i="247" s="1"/>
  <c r="M12" i="228"/>
  <c r="W27" i="228" s="1"/>
  <c r="M12" i="330"/>
  <c r="X27" i="330" s="1"/>
  <c r="M12" i="174"/>
  <c r="W27" i="174" s="1"/>
  <c r="M12" i="291"/>
  <c r="W27" i="291" s="1"/>
  <c r="M12" i="327"/>
  <c r="W27" i="327" s="1"/>
  <c r="M12" i="58"/>
  <c r="X27" i="58" s="1"/>
  <c r="M14" i="291"/>
  <c r="W29" i="291" s="1"/>
  <c r="M14" i="18"/>
  <c r="W29" i="18" s="1"/>
  <c r="Y29" i="330"/>
  <c r="W26" i="229"/>
  <c r="M11" i="247"/>
  <c r="W26" i="247" s="1"/>
  <c r="M11" i="291"/>
  <c r="W26" i="291" s="1"/>
  <c r="M10" i="291"/>
  <c r="W25" i="291" s="1"/>
  <c r="M10" i="18"/>
  <c r="W25" i="18" s="1"/>
  <c r="M10" i="327"/>
  <c r="W25" i="327" s="1"/>
  <c r="M14" i="174"/>
  <c r="W29" i="174" s="1"/>
  <c r="M14" i="228"/>
  <c r="W29" i="228" s="1"/>
  <c r="W24" i="229"/>
  <c r="M14" i="247"/>
  <c r="W29" i="247" s="1"/>
  <c r="W29" i="229"/>
  <c r="M14" i="250"/>
  <c r="W29" i="250" s="1"/>
  <c r="M14" i="248"/>
  <c r="W29" i="248" s="1"/>
  <c r="M14" i="58"/>
  <c r="X29" i="58" s="1"/>
  <c r="M14" i="326"/>
  <c r="W29" i="326" s="1"/>
  <c r="M9" i="174"/>
  <c r="W24" i="174" s="1"/>
  <c r="M14" i="328"/>
  <c r="W29" i="328" s="1"/>
  <c r="M9" i="44"/>
  <c r="W24" i="44" s="1"/>
  <c r="M14" i="327"/>
  <c r="W29" i="327" s="1"/>
  <c r="M11" i="328"/>
  <c r="W26" i="328" s="1"/>
  <c r="M11" i="228"/>
  <c r="W26" i="228" s="1"/>
  <c r="P64" i="209"/>
  <c r="M9" i="327"/>
  <c r="W24" i="327" s="1"/>
  <c r="M9" i="291"/>
  <c r="W24" i="291" s="1"/>
  <c r="M11" i="174"/>
  <c r="W26" i="174" s="1"/>
  <c r="M11" i="327"/>
  <c r="W26" i="327" s="1"/>
  <c r="M9" i="228"/>
  <c r="W24" i="228" s="1"/>
  <c r="M9" i="18"/>
  <c r="W24" i="18" s="1"/>
  <c r="M11" i="330"/>
  <c r="X26" i="330" s="1"/>
  <c r="M11" i="58"/>
  <c r="X26" i="58" s="1"/>
  <c r="M9" i="326"/>
  <c r="W24" i="326" s="1"/>
  <c r="M9" i="247"/>
  <c r="W24" i="247" s="1"/>
  <c r="M9" i="58"/>
  <c r="X24" i="58" s="1"/>
  <c r="M9" i="330"/>
  <c r="X24" i="330" s="1"/>
  <c r="M9" i="328"/>
  <c r="W24" i="328" s="1"/>
  <c r="M11" i="44"/>
  <c r="W26" i="44" s="1"/>
  <c r="M11" i="248"/>
  <c r="W26" i="248" s="1"/>
  <c r="M9" i="248"/>
  <c r="W24" i="248" s="1"/>
  <c r="M10" i="228"/>
  <c r="W25" i="228" s="1"/>
  <c r="M10" i="174"/>
  <c r="W25" i="174" s="1"/>
  <c r="W25" i="229"/>
  <c r="M10" i="248"/>
  <c r="W25" i="248" s="1"/>
  <c r="M11" i="250"/>
  <c r="W26" i="250" s="1"/>
  <c r="J64" i="209"/>
  <c r="M10" i="247"/>
  <c r="W25" i="247" s="1"/>
  <c r="M10" i="44"/>
  <c r="W25" i="44" s="1"/>
  <c r="M11" i="326"/>
  <c r="W26" i="326" s="1"/>
  <c r="O14" i="184"/>
  <c r="O14" i="175"/>
  <c r="O14" i="172"/>
  <c r="O14" i="309"/>
  <c r="O14" i="231"/>
  <c r="O14" i="84"/>
  <c r="O14" i="171"/>
  <c r="L314" i="246"/>
  <c r="O14" i="361"/>
  <c r="O14" i="229"/>
  <c r="O12" i="58"/>
  <c r="O12" i="44"/>
  <c r="O12" i="250"/>
  <c r="O12" i="326"/>
  <c r="O12" i="327"/>
  <c r="O12" i="248"/>
  <c r="O12" i="174"/>
  <c r="O12" i="18"/>
  <c r="O12" i="328"/>
  <c r="O12" i="291"/>
  <c r="O12" i="228"/>
  <c r="O12" i="330"/>
  <c r="L124" i="209"/>
  <c r="O12" i="247"/>
  <c r="O12" i="184"/>
  <c r="L128" i="246"/>
  <c r="O12" i="361"/>
  <c r="O12" i="84"/>
  <c r="O12" i="231"/>
  <c r="O12" i="175"/>
  <c r="O12" i="309"/>
  <c r="O12" i="172"/>
  <c r="O12" i="171"/>
  <c r="O12" i="229"/>
  <c r="O11" i="250"/>
  <c r="O11" i="328"/>
  <c r="R64" i="209"/>
  <c r="O11" i="247"/>
  <c r="O11" i="174"/>
  <c r="O11" i="248"/>
  <c r="O11" i="58"/>
  <c r="O11" i="330"/>
  <c r="O11" i="18"/>
  <c r="O11" i="327"/>
  <c r="O11" i="326"/>
  <c r="O11" i="228"/>
  <c r="O11" i="44"/>
  <c r="O11" i="291"/>
  <c r="O10" i="228"/>
  <c r="O10" i="44"/>
  <c r="O10" i="247"/>
  <c r="O10" i="174"/>
  <c r="O10" i="250"/>
  <c r="O10" i="330"/>
  <c r="O10" i="326"/>
  <c r="O10" i="248"/>
  <c r="O10" i="18"/>
  <c r="O10" i="291"/>
  <c r="O10" i="328"/>
  <c r="O10" i="327"/>
  <c r="O10" i="58"/>
  <c r="L64" i="209"/>
  <c r="R252" i="246"/>
  <c r="O9" i="172"/>
  <c r="O9" i="309"/>
  <c r="O9" i="171"/>
  <c r="O9" i="229"/>
  <c r="O9" i="361"/>
  <c r="O9" i="84"/>
  <c r="O9" i="231"/>
  <c r="O9" i="184"/>
  <c r="O9" i="175"/>
  <c r="U41" i="292"/>
  <c r="R41" i="292"/>
  <c r="O9" i="291"/>
  <c r="O9" i="326"/>
  <c r="R244" i="209"/>
  <c r="O9" i="44"/>
  <c r="O9" i="248"/>
  <c r="O9" i="328"/>
  <c r="O9" i="18"/>
  <c r="O9" i="58"/>
  <c r="O9" i="327"/>
  <c r="O9" i="250"/>
  <c r="O9" i="174"/>
  <c r="O9" i="247"/>
  <c r="O9" i="330"/>
  <c r="O9" i="228"/>
  <c r="O13" i="175"/>
  <c r="O13" i="184"/>
  <c r="O13" i="361"/>
  <c r="O13" i="231"/>
  <c r="O13" i="309"/>
  <c r="O13" i="172"/>
  <c r="O13" i="171"/>
  <c r="L252" i="246"/>
  <c r="O13" i="229"/>
  <c r="O13" i="84"/>
  <c r="O14" i="328"/>
  <c r="O14" i="327"/>
  <c r="O14" i="228"/>
  <c r="O14" i="291"/>
  <c r="O14" i="250"/>
  <c r="O14" i="247"/>
  <c r="O14" i="174"/>
  <c r="O14" i="44"/>
  <c r="O14" i="248"/>
  <c r="O14" i="58"/>
  <c r="O14" i="326"/>
  <c r="O14" i="330"/>
  <c r="L304" i="209"/>
  <c r="O14" i="18"/>
  <c r="O10" i="361"/>
  <c r="O10" i="309"/>
  <c r="O10" i="229"/>
  <c r="O10" i="84"/>
  <c r="O10" i="172"/>
  <c r="O10" i="184"/>
  <c r="O10" i="175"/>
  <c r="L66" i="246"/>
  <c r="O10" i="171"/>
  <c r="O10" i="231"/>
  <c r="O13" i="250"/>
  <c r="O13" i="228"/>
  <c r="O13" i="58"/>
  <c r="O13" i="18"/>
  <c r="O13" i="174"/>
  <c r="O13" i="247"/>
  <c r="L244" i="209"/>
  <c r="O13" i="330"/>
  <c r="O13" i="291"/>
  <c r="O13" i="328"/>
  <c r="O13" i="44"/>
  <c r="O13" i="326"/>
  <c r="O13" i="327"/>
  <c r="O13" i="248"/>
  <c r="O11" i="184"/>
  <c r="O11" i="84"/>
  <c r="O11" i="175"/>
  <c r="O11" i="231"/>
  <c r="O11" i="361"/>
  <c r="O11" i="171"/>
  <c r="O11" i="229"/>
  <c r="O11" i="309"/>
  <c r="R66" i="246"/>
  <c r="O11" i="172"/>
  <c r="O724" i="209" l="1"/>
  <c r="S724" i="209" s="1"/>
  <c r="O484" i="209"/>
  <c r="S484" i="209" s="1"/>
  <c r="I724" i="209"/>
  <c r="M724" i="209" s="1"/>
  <c r="O664" i="209"/>
  <c r="D46" i="229"/>
  <c r="D45" i="229"/>
  <c r="I664" i="209"/>
  <c r="D44" i="229"/>
  <c r="X25" i="58"/>
  <c r="Y27" i="330"/>
  <c r="Y27" i="58"/>
  <c r="Y26" i="330"/>
  <c r="Y26" i="58"/>
  <c r="Y29" i="58"/>
  <c r="Y24" i="58"/>
  <c r="Y24" i="330"/>
  <c r="L18" i="174" l="1"/>
  <c r="L18" i="250"/>
  <c r="L18" i="248"/>
  <c r="L18" i="327"/>
  <c r="L18" i="18"/>
  <c r="L18" i="328"/>
  <c r="L18" i="291"/>
  <c r="L18" i="247"/>
  <c r="L18" i="58"/>
  <c r="L18" i="326"/>
  <c r="L18" i="44"/>
  <c r="L18" i="330"/>
  <c r="L18" i="228"/>
  <c r="L17" i="18"/>
  <c r="L17" i="250"/>
  <c r="L17" i="174"/>
  <c r="L17" i="326"/>
  <c r="L17" i="328"/>
  <c r="L17" i="330"/>
  <c r="L17" i="58"/>
  <c r="I184" i="209"/>
  <c r="L17" i="247"/>
  <c r="L17" i="291"/>
  <c r="L17" i="248"/>
  <c r="L17" i="327"/>
  <c r="L17" i="228"/>
  <c r="L17" i="44"/>
  <c r="L16" i="250"/>
  <c r="L16" i="247"/>
  <c r="L16" i="248"/>
  <c r="L16" i="328"/>
  <c r="L16" i="326"/>
  <c r="L16" i="18"/>
  <c r="L16" i="44"/>
  <c r="L16" i="330"/>
  <c r="O124" i="209"/>
  <c r="L16" i="58"/>
  <c r="L16" i="327"/>
  <c r="L16" i="228"/>
  <c r="L16" i="17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brickett</author>
  </authors>
  <commentList>
    <comment ref="A1" authorId="0" shapeId="0" xr:uid="{BE2837DF-60BC-4EE9-B843-70F152ED42A3}">
      <text>
        <r>
          <rPr>
            <b/>
            <sz val="9"/>
            <color indexed="81"/>
            <rFont val="Tahoma"/>
            <family val="2"/>
          </rPr>
          <t>&lt;?xml version="1.0" encoding="utf-8"?&gt;&lt;Schema xmlns:xsd="http://www.w3.org/2001/XMLSchema" xmlns:xsi="http://www.w3.org/2001/XMLSchema-instance" Version="2" Timestamp="1717160666"&gt;&lt;FQL&gt;&lt;Q&gt;532822-IN^FG_PRICE&lt;/Q&gt;&lt;R&gt;1&lt;/R&gt;&lt;C&gt;1&lt;/C&gt;&lt;D xsi:type="xsd:double"&gt;15.11&lt;/D&gt;&lt;/FQL&gt;&lt;FQL&gt;&lt;Q&gt;TLS-AU^FG_PRICE&lt;/Q&gt;&lt;R&gt;1&lt;/R&gt;&lt;C&gt;1&lt;/C&gt;&lt;D xsi:type="xsd:double"&gt;3.45&lt;/D&gt;&lt;/FQL&gt;&lt;FQL&gt;&lt;Q&gt;TIT-IT^FG_PRICE&lt;/Q&gt;&lt;R&gt;1&lt;/R&gt;&lt;C&gt;1&lt;/C&gt;&lt;D xsi:type="xsd:double"&gt;0.2463&lt;/D&gt;&lt;/FQL&gt;&lt;FQL&gt;&lt;Q&gt;DTE-DE^FG_PRICE&lt;/Q&gt;&lt;R&gt;1&lt;/R&gt;&lt;C&gt;1&lt;/C&gt;&lt;D xsi:type="xsd:double"&gt;21.76&lt;/D&gt;&lt;/FQL&gt;&lt;FQL&gt;&lt;Q&gt;USDHUF^FG_PRICE&lt;/Q&gt;&lt;R&gt;1&lt;/R&gt;&lt;C&gt;1&lt;/C&gt;&lt;D xsi:type="xsd:double"&gt;354.6008&lt;/D&gt;&lt;/FQL&gt;&lt;FQL&gt;&lt;Q&gt;TPG-AU^FG_PRICE&lt;/Q&gt;&lt;R&gt;1&lt;/R&gt;&lt;C&gt;1&lt;/C&gt;&lt;D xsi:type="xsd:double"&gt;4.6&lt;/D&gt;&lt;/FQL&gt;&lt;FQL&gt;&lt;Q&gt;USDCNY^FG_PRICE&lt;/Q&gt;&lt;R&gt;1&lt;/R&gt;&lt;C&gt;1&lt;/C&gt;&lt;D xsi:type="xsd:double"&gt;7.2448&lt;/D&gt;&lt;/FQL&gt;&lt;FQL&gt;&lt;Q&gt;030200-KR^FG_PRICE&lt;/Q&gt;&lt;R&gt;1&lt;/R&gt;&lt;C&gt;1&lt;/C&gt;&lt;D xsi:type="xsd:double"&gt;36350&lt;/D&gt;&lt;/FQL&gt;&lt;FQL&gt;&lt;Q&gt;USDZAR^FG_PRICE&lt;/Q&gt;&lt;R&gt;1&lt;/R&gt;&lt;C&gt;1&lt;/C&gt;&lt;D xsi:type="xsd:double"&gt;18.42375&lt;/D&gt;&lt;/FQL&gt;&lt;FQL&gt;&lt;Q&gt;T-US^FG_PRICE&lt;/Q&gt;&lt;R&gt;1&lt;/R&gt;&lt;C&gt;1&lt;/C&gt;&lt;D xsi:type="xsd:double"&gt;17.5&lt;/D&gt;&lt;/FQL&gt;&lt;FQL&gt;&lt;Q&gt;762-HK^FG_PRICE&lt;/Q&gt;&lt;R&gt;1&lt;/R&gt;&lt;C&gt;1&lt;/C&gt;&lt;D xsi:type="xsd:double"&gt;6.2&lt;/D&gt;&lt;/FQL&gt;&lt;FQL&gt;&lt;Q&gt;ELISA-FI^FG_PRICE&lt;/Q&gt;&lt;R&gt;1&lt;/R&gt;&lt;C&gt;1&lt;/C&gt;&lt;D xsi:type="xsd:double"&gt;41.62&lt;/D&gt;&lt;/FQL&gt;&lt;FQL&gt;&lt;Q&gt;4904-TW^FG_PRICE&lt;/Q&gt;&lt;R&gt;1&lt;/R&gt;&lt;C&gt;1&lt;/C&gt;&lt;D xsi:type="xsd:double"&gt;84&lt;/D&gt;&lt;/FQL&gt;&lt;FQL&gt;&lt;Q&gt;LBTYA-US^FG_PRICE&lt;/Q&gt;&lt;R&gt;1&lt;/R&gt;&lt;C&gt;1&lt;/C&gt;&lt;D xsi:type="xsd:double"&gt;16.24&lt;/D&gt;&lt;/FQL&gt;&lt;FQL&gt;&lt;Q&gt;SPK-NZ^FG_PRICE&lt;/Q&gt;&lt;R&gt;1&lt;/R&gt;&lt;C&gt;1&lt;/C&gt;&lt;D xsi:type="xsd:double"&gt;4.19&lt;/D&gt;&lt;/FQL&gt;&lt;FQL&gt;&lt;Q&gt;USDDKK^FG_PRICE&lt;/Q&gt;&lt;R&gt;1&lt;/R&gt;&lt;C&gt;1&lt;/C&gt;&lt;D xsi:type="xsd:double"&gt;6.8793&lt;/D&gt;&lt;/FQL&gt;&lt;FQL&gt;&lt;Q&gt;USDJPY^FG_PRICE&lt;/Q&gt;&lt;R&gt;1&lt;/R&gt;&lt;C&gt;1&lt;/C&gt;&lt;D xsi:type="xsd:double"&gt;156.975&lt;/D&gt;&lt;/FQL&gt;&lt;FQL&gt;&lt;Q&gt;EURUSD^FG_PRICE&lt;/Q&gt;&lt;R&gt;1&lt;/R&gt;&lt;C&gt;1&lt;/C&gt;&lt;D xsi:type="xsd:double"&gt;1.0846&lt;/D&gt;&lt;/FQL&gt;&lt;FQL&gt;&lt;Q&gt;CNU-NZ^FG_PRICE&lt;/Q&gt;&lt;R&gt;1&lt;/R&gt;&lt;C&gt;1&lt;/C&gt;&lt;D xsi:type="xsd:double"&gt;7.305&lt;/D&gt;&lt;/FQL&gt;&lt;FQL&gt;&lt;Q&gt;USDLTL^FG_PRICE&lt;/Q&gt;&lt;R&gt;1&lt;/R&gt;&lt;C&gt;1&lt;/C&gt;&lt;D xsi:type="xsd:double"&gt;3.1834779&lt;/D&gt;&lt;/FQL&gt;&lt;FQL&gt;&lt;Q&gt;TLKM-ID^FG_PRICE&lt;/Q&gt;&lt;R&gt;1&lt;/R&gt;&lt;C&gt;1&lt;/C&gt;&lt;D xsi:type="xsd:double"&gt;2940&lt;/D&gt;&lt;/FQL&gt;&lt;FQL&gt;&lt;Q&gt;USDMAD^FG_PRICE&lt;/Q&gt;&lt;R&gt;1&lt;/R&gt;&lt;C&gt;1&lt;/C&gt;&lt;D xsi:type="xsd:double"&gt;9.95725&lt;/D&gt;&lt;/FQL&gt;&lt;FQL&gt;&lt;Q&gt;532454-IN^FG_PRICE&lt;/Q&gt;&lt;R&gt;1&lt;/R&gt;&lt;C&gt;1&lt;/C&gt;&lt;D xsi:type="xsd:double"&gt;1388.6&lt;/D&gt;&lt;/FQL&gt;&lt;FQL&gt;&lt;Q&gt;USDSGD^FG_PRICE&lt;/Q&gt;&lt;R&gt;1&lt;/R&gt;&lt;C&gt;1&lt;/C&gt;&lt;D xsi:type="xsd:double"&gt;1.34995&lt;/D&gt;&lt;/FQL&gt;&lt;FQL&gt;&lt;Q&gt;USDCLP^FG_PRICE&lt;/Q&gt;&lt;R&gt;1&lt;/R&gt;&lt;C&gt;1&lt;/C&gt;&lt;D xsi:type="xsd:double"&gt;899.85&lt;/D&gt;&lt;/FQL&gt;&lt;FQL&gt;&lt;Q&gt;DISH-US^FG_PRICE&lt;/Q&gt;&lt;R&gt;0&lt;/R&gt;&lt;C&gt;0&lt;/C&gt;&lt;/FQL&gt;&lt;FQL&gt;&lt;Q&gt;USDKWD^FG_PRICE&lt;/Q&gt;&lt;R&gt;1&lt;/R&gt;&lt;C&gt;1&lt;/C&gt;&lt;D xsi:type="xsd:double"&gt;0.3071&lt;/D&gt;&lt;/FQL&gt;&lt;FQL&gt;&lt;Q&gt;TEL2.B-SE^FG_PRICE&lt;/Q&gt;&lt;R&gt;1&lt;/R&gt;&lt;C&gt;1&lt;/C&gt;&lt;D xsi:type="xsd:double"&gt;101.05&lt;/D&gt;&lt;/FQL&gt;&lt;FQL&gt;&lt;Q&gt;BBVA-ES^FG_PRICE&lt;/Q&gt;&lt;R&gt;1&lt;/R&gt;&lt;C&gt;1&lt;/C&gt;&lt;D xsi:type="xsd:double"&gt;9.964&lt;/D&gt;&lt;/FQL&gt;&lt;FQL&gt;&lt;Q&gt;USDKES^FG_PRICE&lt;/Q&gt;&lt;R&gt;1&lt;/R&gt;&lt;C&gt;1&lt;/C&gt;&lt;D xsi:type="xsd:double"&gt;133&lt;/D&gt;&lt;/FQL&gt;&lt;FQL&gt;&lt;Q&gt;1310-HK^FG_PRICE&lt;/Q&gt;&lt;R&gt;1&lt;/R&gt;&lt;C&gt;1&lt;/C&gt;&lt;D xsi:type="xsd:double"&gt;2.57&lt;/D&gt;&lt;/FQL&gt;&lt;FQL&gt;&lt;Q&gt;ENTEL-CL^FG_PRICE&lt;/Q&gt;&lt;R&gt;1&lt;/R&gt;&lt;C&gt;1&lt;/C&gt;&lt;D xsi:type="xsd:double"&gt;3022&lt;/D&gt;&lt;/FQL&gt;&lt;FQL&gt;&lt;Q&gt;TEL-NO^FG_PRICE&lt;/Q&gt;&lt;R&gt;1&lt;/R&gt;&lt;C&gt;1&lt;/C&gt;&lt;D xsi:type="xsd:double"&gt;123.7&lt;/D&gt;&lt;/FQL&gt;&lt;FQL&gt;&lt;Q&gt;USDNOK^FG_PRICE&lt;/Q&gt;&lt;R&gt;1&lt;/R&gt;&lt;C&gt;1&lt;/C&gt;&lt;D xsi:type="xsd:double"&gt;10.56885&lt;/D&gt;&lt;/FQL&gt;&lt;FQL&gt;&lt;Q&gt;FYBR-US^FG_PRICE&lt;/Q&gt;&lt;R&gt;1&lt;/R&gt;&lt;C&gt;1&lt;/C&gt;&lt;D xsi:type="xsd:double"&gt;25.58&lt;/D&gt;&lt;/FQL&gt;&lt;FQL&gt;&lt;Q&gt;9433-JP^FG_PRICE&lt;/Q&gt;&lt;R&gt;1&lt;/R&gt;&lt;C&gt;1&lt;/C&gt;&lt;D xsi:type="xsd:double"&gt;4302&lt;/D&gt;&lt;/FQL&gt;&lt;FQL&gt;&lt;Q&gt;USDAUD^FG_PRICE&lt;/Q&gt;&lt;R&gt;1&lt;/R&gt;&lt;C&gt;1&lt;/C&gt;&lt;D xsi:type="xsd:double"&gt;1.5084094&lt;/D&gt;&lt;/FQL&gt;&lt;FQL&gt;&lt;Q&gt;USDMYR^FG_PRICE&lt;/Q&gt;&lt;R&gt;1&lt;/R&gt;&lt;C&gt;1&lt;/C&gt;&lt;D xsi:type="xsd:double"&gt;4.7115&lt;/D&gt;&lt;/FQL&gt;&lt;FQL&gt;&lt;Q&gt;ATUS-US^FG_PRICE&lt;/Q&gt;&lt;R&gt;1&lt;/R&gt;&lt;C&gt;1&lt;/C&gt;&lt;D xsi:type="xsd:double"&gt;2.33&lt;/D&gt;&lt;/FQL&gt;&lt;FQL&gt;&lt;Q&gt;USDCZK^FG_PRICE&lt;/Q&gt;&lt;R&gt;1&lt;/R&gt;&lt;C&gt;1&lt;/C&gt;&lt;D xsi:type="xsd:double"&gt;22.7448&lt;/D&gt;&lt;/FQL&gt;&lt;FQL&gt;&lt;Q&gt;USDKRW^FG_PRICE&lt;/Q&gt;&lt;R&gt;1&lt;/R&gt;&lt;C&gt;1&lt;/C&gt;&lt;D xsi:type="xsd:double"&gt;1369.5&lt;/D&gt;&lt;/FQL&gt;&lt;FQL&gt;&lt;Q&gt;USDMXN^FG_PRICE&lt;/Q&gt;&lt;R&gt;1&lt;/R&gt;&lt;C&gt;1&lt;/C&gt;&lt;D xsi:type="xsd:double"&gt;16.7225&lt;/D&gt;&lt;/FQL&gt;&lt;FQL&gt;&lt;Q&gt;NOS-PT^FG_PRICE&lt;/Q&gt;&lt;R&gt;1&lt;/R&gt;&lt;C&gt;1&lt;/C&gt;&lt;D xsi:type="xsd:double"&gt;3.345&lt;/D&gt;&lt;/FQL&gt;&lt;FQL&gt;&lt;Q&gt;LBTYB-US^FG_PRICE&lt;/Q&gt;&lt;R&gt;1&lt;/R&gt;&lt;C&gt;1&lt;/C&gt;&lt;D xsi:type="xsd:double"&gt;16.9&lt;/D&gt;&lt;/FQL&gt;&lt;FQL&gt;&lt;Q&gt;TEF-ES^FG_PRICE&lt;/Q&gt;&lt;R&gt;1&lt;/R&gt;&lt;C&gt;1&lt;/C&gt;&lt;D xsi:type="xsd:double"&gt;4.155&lt;/D&gt;&lt;/FQL&gt;&lt;FQL&gt;&lt;Q&gt;USDBDT^FG_PRICE&lt;/Q&gt;&lt;R&gt;1&lt;/R&gt;&lt;C&gt;1&lt;/C&gt;&lt;D xsi:type="xsd:double"&gt;117.7&lt;/D&gt;&lt;/FQL&gt;&lt;FQL&gt;&lt;Q&gt;USDBRL^FG_PRICE&lt;/Q&gt;&lt;R&gt;1&lt;/R&gt;&lt;C&gt;1&lt;/C&gt;&lt;D xsi:type="xsd:double"&gt;5.1515&lt;/D&gt;&lt;/FQL&gt;&lt;FQL&gt;&lt;Q&gt;CCI-US^FG_PRICE&lt;/Q&gt;&lt;R&gt;1&lt;/R&gt;&lt;C&gt;1&lt;/C&gt;&lt;D xsi:type="xsd:double"&gt;98.12&lt;/D&gt;&lt;/FQL&gt;&lt;FQL&gt;&lt;Q&gt;UTDI-DE^FG_PRICE&lt;/Q&gt;&lt;R&gt;1&lt;/R&gt;&lt;C&gt;1&lt;/C&gt;&lt;D xsi:type="xsd:double"&gt;22.08&lt;/D&gt;&lt;/FQL&gt;&lt;FQL&gt;&lt;Q&gt;TIGO-US^FG_PRICE&lt;/Q&gt;&lt;R&gt;1&lt;/R&gt;&lt;C&gt;1&lt;/C&gt;&lt;D xsi:type="xsd:double"&gt;24.09&lt;/D&gt;&lt;/FQL&gt;&lt;FQL&gt;&lt;Q&gt;INW-IT^FG_PRICE&lt;/Q&gt;&lt;R&gt;1&lt;/R&gt;&lt;C&gt;1&lt;/C&gt;&lt;D xsi:type="xsd:double"&gt;9.99&lt;/D&gt;&lt;/FQL&gt;&lt;FQL&gt;&lt;Q&gt;USDTRY^FG_PRICE&lt;/Q&gt;&lt;R&gt;1&lt;/R&gt;&lt;C&gt;1&lt;/C&gt;&lt;D xsi:type="xsd:double"&gt;32.214&lt;/D&gt;&lt;/FQL&gt;&lt;FQL&gt;&lt;Q&gt;SBAC-US^FG_PRICE&lt;/Q&gt;&lt;R&gt;1&lt;/R&gt;&lt;C&gt;1&lt;/C&gt;&lt;D xsi:type="xsd:double"&gt;188.09&lt;/D&gt;&lt;/FQL&gt;&lt;FQL&gt;&lt;Q&gt;USDGBP^FG_PRICE&lt;/Q&gt;&lt;R&gt;1&lt;/R&gt;&lt;C&gt;1&lt;/C&gt;&lt;D xsi:type="xsd:double"&gt;0.7850218&lt;/D&gt;&lt;/FQL&gt;&lt;FQL&gt;&lt;Q&gt;Z74-SG^FG_PRICE&lt;/Q&gt;&lt;R&gt;1&lt;/R&gt;&lt;C&gt;1&lt;/C&gt;&lt;D xsi:type="xsd:double"&gt;2.42&lt;/D&gt;&lt;/FQL&gt;&lt;FQL&gt;&lt;Q&gt;TCELL.E-TR^FG_PRICE&lt;/Q&gt;&lt;R&gt;1&lt;/R&gt;&lt;C&gt;1&lt;/C&gt;&lt;D xsi:type="xsd:double"&gt;91.8&lt;/D&gt;&lt;/FQL&gt;&lt;FQL&gt;&lt;Q&gt;EXCL-ID^FG_PRICE&lt;/Q&gt;&lt;R&gt;1&lt;/R&gt;&lt;C&gt;1&lt;/C&gt;&lt;D xsi:type="xsd:double"&gt;2470&lt;/D&gt;&lt;/FQL&gt;&lt;FQL&gt;&lt;Q&gt;9432-JP^FG_PRICE&lt;/Q&gt;&lt;R&gt;1&lt;/R&gt;&lt;C&gt;1&lt;/C&gt;&lt;D xsi:type="xsd:double"&gt;152.6&lt;/D&gt;&lt;/FQL&gt;&lt;FQL&gt;&lt;Q&gt;VIVT3-BR^FG_PRICE&lt;/Q&gt;&lt;R&gt;1&lt;/R&gt;&lt;C&gt;1&lt;/C&gt;&lt;D xsi:type="xsd:double"&gt;45.9&lt;/D&gt;&lt;/FQL&gt;&lt;FQL&gt;&lt;Q&gt;HTO-GR^FG_PRICE&lt;/Q&gt;&lt;R&gt;1&lt;/R&gt;&lt;C&gt;1&lt;/C&gt;&lt;D xsi:type="xsd:double"&gt;13.75&lt;/D&gt;&lt;/FQL&gt;&lt;FQL&gt;&lt;Q&gt;VOD-ZA^FG_PRICE&lt;/Q&gt;&lt;R&gt;1&lt;/R&gt;&lt;C&gt;1&lt;/C&gt;&lt;D xsi:type="xsd:double"&gt;95.81&lt;/D&gt;&lt;/FQL&gt;&lt;FQL&gt;&lt;Q&gt;USDTHB^FG_PRICE&lt;/Q&gt;&lt;R&gt;1&lt;/R&gt;&lt;C&gt;1&lt;/C&gt;&lt;D xsi:type="xsd:double"&gt;36.685&lt;/D&gt;&lt;/FQL&gt;&lt;FQL&gt;&lt;Q&gt;728-HK^FG_PRICE&lt;/Q&gt;&lt;R&gt;1&lt;/R&gt;&lt;C&gt;1&lt;/C&gt;&lt;D xsi:type="xsd:double"&gt;4.44&lt;/D&gt;&lt;/FQL&gt;&lt;FQL&gt;&lt;Q&gt;USDRUB^FG_PRICE&lt;/Q&gt;&lt;R&gt;1&lt;/R&gt;&lt;C&gt;1&lt;/C&gt;&lt;D xsi:type="xsd:double"&gt;89.3&lt;/D&gt;&lt;/FQL&gt;&lt;FQL&gt;&lt;Q&gt;ISAT-ID^FG_PRICE&lt;/Q&gt;&lt;R&gt;1&lt;/R&gt;&lt;C&gt;1&lt;/C&gt;&lt;D xsi:type="xsd:double"&gt;10075&lt;/D&gt;&lt;/FQL&gt;&lt;FQL&gt;&lt;Q&gt;CMCSA-US^FG_PRICE&lt;/Q&gt;&lt;R&gt;1&lt;/R&gt;&lt;C&gt;1&lt;/C&gt;&lt;D xsi:type="xsd:double"&gt;38.54&lt;/D&gt;&lt;/FQL&gt;&lt;FQL&gt;&lt;Q&gt;6947-MY^FG_PRICE&lt;/Q&gt;&lt;R&gt;1&lt;/R&gt;&lt;C&gt;1&lt;/C&gt;&lt;D xsi:type="xsd:double"&gt;4.05&lt;/D&gt;&lt;/FQL&gt;&lt;FQL&gt;&lt;Q&gt;MCG-ZA^FG_PRICE&lt;/Q&gt;&lt;R&gt;1&lt;/R&gt;&lt;C&gt;1&lt;/C&gt;&lt;D xsi:type="xsd:double"&gt;115.5&lt;/D&gt;&lt;/FQL&gt;&lt;FQL&gt;&lt;Q&gt;2412-TW^FG_PRICE&lt;/Q&gt;&lt;R&gt;1&lt;/R&gt;&lt;C&gt;1&lt;/C&gt;&lt;D xsi:type="xsd:double"&gt;127&lt;/D&gt;&lt;/FQL&gt;&lt;FQL&gt;&lt;Q&gt;032640-KR^FG_PRICE&lt;/Q&gt;&lt;R&gt;1&lt;/R&gt;&lt;C&gt;1&lt;/C&gt;&lt;D xsi:type="xsd:double"&gt;9770&lt;/D&gt;&lt;/FQL&gt;&lt;FQL&gt;&lt;Q&gt;USDPKR^FG_PRICE&lt;/Q&gt;&lt;R&gt;1&lt;/R&gt;&lt;C&gt;1&lt;/C&gt;&lt;D xsi:type="xsd:double"&gt;278.2&lt;/D&gt;&lt;/FQL&gt;&lt;FQL&gt;&lt;Q&gt;TKG-ZA^FG_PRICE&lt;/Q&gt;&lt;R&gt;1&lt;/R&gt;&lt;C&gt;1&lt;/C&gt;&lt;D xsi:type="xsd:double"&gt;25.27&lt;/D&gt;&lt;/FQL&gt;&lt;FQL&gt;&lt;Q&gt;TITR-IT^FG_PRICE&lt;/Q&gt;&lt;R&gt;1&lt;/R&gt;&lt;C&gt;1&lt;/C&gt;&lt;D xsi:type="xsd:double"&gt;0.2705&lt;/D&gt;&lt;/FQL&gt;&lt;FQL&gt;&lt;Q&gt;TV-US^FG_PRICE&lt;/Q&gt;&lt;R&gt;1&lt;/R&gt;&lt;C&gt;1&lt;/C&gt;&lt;D xsi:type="xsd:double"&gt;3.14&lt;/D&gt;&lt;/FQL&gt;&lt;FQL&gt;&lt;Q&gt;TEL2.A-SE^FG_PRICE&lt;/Q&gt;&lt;R&gt;1&lt;/R&gt;&lt;C&gt;1&lt;/C&gt;&lt;D xsi:type="xsd:double"&gt;104&lt;/D&gt;&lt;/FQL&gt;&lt;FQL&gt;&lt;Q&gt;VOD-GB^FG_PRICE&lt;/Q&gt;&lt;R&gt;1&lt;/R&gt;&lt;C&gt;1&lt;/C&gt;&lt;D xsi:type="xsd:double"&gt;0.735&lt;/D&gt;&lt;/FQL&gt;&lt;FQL&gt;&lt;Q&gt;CHTR-US^FG_PRICE&lt;/Q&gt;&lt;R&gt;1&lt;/R&gt;&lt;C&gt;1&lt;/C&gt;&lt;D xsi:type="xsd:double"&gt;271.46&lt;/D&gt;&lt;/FQL&gt;&lt;FQL&gt;&lt;Q&gt;USDLKR^FG_PRICE&lt;/Q&gt;&lt;R&gt;1&lt;/R&gt;&lt;C&gt;1&lt;/C&gt;&lt;D xsi:type="xsd:double"&gt;299.995&lt;/D&gt;&lt;/FQL&gt;&lt;FQL&gt;&lt;Q&gt;IAM-FR^FG_PRICE&lt;/Q&gt;&lt;R&gt;1&lt;/R&gt;&lt;C&gt;1&lt;/C&gt;&lt;D xsi:type="xsd:double"&gt;8&lt;/D&gt;&lt;/FQL&gt;&lt;FQL&gt;&lt;Q&gt;SATS-US^FG_PRICE&lt;/Q&gt;&lt;R&gt;1&lt;/R&gt;&lt;C&gt;1&lt;/C&gt;&lt;D xsi:type="xsd:double"&gt;18.49&lt;/D&gt;&lt;/FQL&gt;&lt;FQL&gt;&lt;Q&gt;9434-JP^FG_PRICE&lt;/Q&gt;&lt;R&gt;1&lt;/R&gt;&lt;C&gt;1&lt;/C&gt;&lt;D xsi:type="xsd:double"&gt;1897.5&lt;/D&gt;&lt;/FQL&gt;&lt;FQL&gt;&lt;Q&gt;USDEGP^FG_PRICE&lt;/Q&gt;&lt;R&gt;1&lt;/R&gt;&lt;C&gt;1&lt;/C&gt;&lt;D xsi:type="xsd:double"&gt;47.15&lt;/D&gt;&lt;/FQL&gt;&lt;FQL&gt;&lt;Q&gt;TBIG-ID^FG_PRICE&lt;/Q&gt;&lt;R&gt;1&lt;/R&gt;&lt;C&gt;1&lt;/C&gt;&lt;D xsi:type="xsd:double"&gt;1850&lt;/D&gt;&lt;/FQL&gt;&lt;FQL&gt;&lt;Q&gt;USDTWD^FG_PRICE&lt;/Q&gt;&lt;R&gt;1&lt;/R&gt;&lt;C&gt;1&lt;/C&gt;&lt;D xsi:type="xsd:double"&gt;32.268&lt;/D&gt;&lt;/FQL&gt;&lt;FQL&gt;&lt;Q&gt;USDHKD^FG_PRICE&lt;/Q&gt;&lt;R&gt;1&lt;/R&gt;&lt;C&gt;1&lt;/C&gt;&lt;D xsi:type="xsd:double"&gt;7.8135&lt;/D&gt;&lt;/FQL&gt;&lt;FQL&gt;&lt;Q&gt;USDPLN^FG_PRICE&lt;/Q&gt;&lt;R&gt;1&lt;/R&gt;&lt;C&gt;1&lt;/C&gt;&lt;D xsi:type="xsd:double"&gt;3.9261&lt;/D&gt;&lt;/FQL&gt;&lt;FQL&gt;&lt;Q&gt;LBTYK-US^FG_PRICE&lt;/Q&gt;&lt;R&gt;1&lt;/R&gt;&lt;C&gt;1&lt;/C&gt;&lt;D xsi:type="xsd:double"&gt;16.65&lt;/D&gt;&lt;/FQL&gt;&lt;FQL&gt;&lt;Q&gt;3045-TW^FG_PRICE&lt;/Q&gt;&lt;R&gt;1&lt;/R&gt;&lt;C&gt;1&lt;/C&gt;&lt;D xsi:type="xsd:double"&gt;106.5&lt;/D&gt;&lt;/FQL&gt;&lt;FQL&gt;&lt;Q&gt;VEON-US^FG_PRICE&lt;/Q&gt;&lt;R&gt;1&lt;/R&gt;&lt;C&gt;1&lt;/C&gt;&lt;D xsi:type="xsd:double"&gt;25.53&lt;/D&gt;&lt;/FQL&gt;&lt;FQL&gt;&lt;Q&gt;USDCAD^FG_PRICE&lt;/Q&gt;&lt;R&gt;1&lt;/R&gt;&lt;C&gt;1&lt;/C&gt;&lt;D xsi:type="xsd:double"&gt;1.36695&lt;/D&gt;&lt;/FQL&gt;&lt;FQL&gt;&lt;Q&gt;TRUE-TH^FG_PRICE&lt;/Q&gt;&lt;R&gt;1&lt;/R&gt;&lt;C&gt;1&lt;/C&gt;&lt;D xsi:type="xsd:double"&gt;8&lt;/D&gt;&lt;/FQL&gt;&lt;FQL&gt;&lt;Q&gt;AMXB-MX^FG_PRICE&lt;/Q&gt;&lt;R&gt;1&lt;/R&gt;&lt;C&gt;1&lt;/C&gt;&lt;D xsi:type="xsd:double"&gt;16.22&lt;/D&gt;&lt;/FQL&gt;&lt;FQL&gt;&lt;Q&gt;TMUS-US^FG_PRICE&lt;/Q&gt;&lt;R&gt;1&lt;/R&gt;&lt;C&gt;1&lt;/C&gt;&lt;D xsi:type="xsd:double"&gt;166&lt;/D&gt;&lt;/FQL&gt;&lt;FQL&gt;&lt;Q&gt;PROX-BE^FG_PRICE&lt;/Q&gt;&lt;R&gt;1&lt;/R&gt;&lt;C&gt;1&lt;/C&gt;&lt;D xsi:type="xsd:double"&gt;7.4&lt;/D&gt;&lt;/FQL&gt;&lt;FQL&gt;&lt;Q&gt;LILAB-US^FG_PRICE&lt;/Q&gt;&lt;R&gt;1&lt;/R&gt;&lt;C&gt;1&lt;/C&gt;&lt;D xsi:type="xsd:double"&gt;16&lt;/D&gt;&lt;/FQL&gt;&lt;FQL&gt;&lt;Q&gt;1U1-DE^FG_PRICE&lt;/Q&gt;&lt;R&gt;1&lt;/R&gt;&lt;C&gt;1&lt;/C&gt;&lt;D xsi:type="xsd:double"&gt;17.5&lt;/D&gt;&lt;/FQL&gt;&lt;FQL&gt;&lt;Q&gt;941-HK^FG_PRICE&lt;/Q&gt;&lt;R&gt;1&lt;/R&gt;&lt;C&gt;1&lt;/C&gt;&lt;D xsi:type="xsd:double"&gt;73.2&lt;/D&gt;&lt;/FQL&gt;&lt;FQL&gt;&lt;Q&gt;AAF-GB^FG_PRICE&lt;/Q&gt;&lt;R&gt;1&lt;/R&gt;&lt;C&gt;1&lt;/C&gt;&lt;D xsi:type="xsd:double"&gt;1.21&lt;/D&gt;&lt;/FQL&gt;&lt;FQL&gt;&lt;Q&gt;USDCHF^FG_PRICE&lt;/Q&gt;&lt;R&gt;1&lt;/R&gt;&lt;C&gt;1&lt;/C&gt;&lt;D xsi:type="xsd:double"&gt;0.91455&lt;/D&gt;&lt;/FQL&gt;&lt;FQL&gt;&lt;Q&gt;LILAK-US^FG_PRICE&lt;/Q&gt;&lt;R&gt;1&lt;/R&gt;&lt;C&gt;1&lt;/C&gt;&lt;D xsi:type="xsd:double"&gt;8.55&lt;/D&gt;&lt;/FQL&gt;&lt;FQL&gt;&lt;Q&gt;USDPHP^FG_PRICE&lt;/Q&gt;&lt;R&gt;1&lt;/R&gt;&lt;C&gt;1&lt;/C&gt;&lt;D xsi:type="xsd:double"&gt;58.1925&lt;/D&gt;&lt;/FQL&gt;&lt;FQL&gt;&lt;Q&gt;OIBR3-BR^FG_PRICE&lt;/Q&gt;&lt;R&gt;1&lt;/R&gt;&lt;C&gt;1&lt;/C&gt;&lt;D xsi:type="xsd:double"&gt;0.59&lt;/D&gt;&lt;/FQL&gt;&lt;FQL&gt;&lt;Q&gt;TIMS3-BR^FG_PRICE&lt;/Q&gt;&lt;R&gt;1&lt;/R&gt;&lt;C&gt;1&lt;/C&gt;&lt;D xsi:type="xsd:double"&gt;16.42&lt;/D&gt;&lt;/FQL&gt;&lt;FQL&gt;&lt;Q&gt;OIBR4-BR^FG_PRICE&lt;/Q&gt;&lt;R&gt;1&lt;/R&gt;&lt;C&gt;1&lt;/C&gt;&lt;D xsi:type="xsd:double"&gt;1.78&lt;/D&gt;&lt;/FQL&gt;&lt;FQL&gt;&lt;Q&gt;USDIDR^FG_PRICE&lt;/Q&gt;&lt;R&gt;1&lt;/R&gt;&lt;C&gt;1&lt;/C&gt;&lt;D xsi:type="xsd:double"&gt;15992.5&lt;/D&gt;&lt;/FQL&gt;&lt;FQL&gt;&lt;Q&gt;788-HK^FG_PRICE&lt;/Q&gt;&lt;R&gt;1&lt;/R&gt;&lt;C&gt;1&lt;/C&gt;&lt;D xsi:type="xsd:double"&gt;0.92&lt;/D&gt;&lt;/FQL&gt;&lt;FQL&gt;&lt;Q&gt;O2D-DE^FG_PRICE&lt;/Q&gt;&lt;R&gt;1&lt;/R&gt;&lt;C&gt;1&lt;/C&gt;&lt;D xsi:type="xsd:double"&gt;2.348&lt;/D&gt;&lt;/FQL&gt;&lt;FQL&gt;&lt;Q&gt;USDSEK^FG_PRICE&lt;/Q&gt;&lt;R&gt;1&lt;/R&gt;&lt;C&gt;1&lt;/C&gt;&lt;D xsi:type="xsd:double"&gt;10.6539&lt;/D&gt;&lt;/FQL&gt;&lt;FQL&gt;&lt;Q&gt;VZ-US^FG_PRICE&lt;/Q&gt;&lt;R&gt;1&lt;/R&gt;&lt;C&gt;1&lt;/C&gt;&lt;D xsi:type="xsd:double"&gt;39.74&lt;/D&gt;&lt;/FQL&gt;&lt;FQL&gt;&lt;Q&gt;USDARS^FG_PRICE&lt;/Q&gt;&lt;R&gt;1&lt;/R&gt;&lt;C&gt;1&lt;/C&gt;&lt;D xsi:type="xsd:double"&gt;890.7479&lt;/D&gt;&lt;/FQL&gt;&lt;FQL&gt;&lt;Q&gt;ORA-FR^FG_PRICE&lt;/Q&gt;&lt;R&gt;1&lt;/R&gt;&lt;C&gt;1&lt;/C&gt;&lt;D xsi:type="xsd:double"&gt;10.675&lt;/D&gt;&lt;/FQL&gt;&lt;FQL&gt;&lt;Q&gt;SCMN-CH^FG_PRICE&lt;/Q&gt;&lt;R&gt;1&lt;/R&gt;&lt;C&gt;1&lt;/C&gt;&lt;D xsi:type="xsd:double"&gt;492&lt;/D&gt;&lt;/FQL&gt;&lt;FQL&gt;&lt;Q&gt;TTKOM.E-TR^FG_PRICE&lt;/Q&gt;&lt;R&gt;1&lt;/R&gt;&lt;C&gt;1&lt;/C&gt;&lt;D xsi:type="xsd:double"&gt;45.9&lt;/D&gt;&lt;/FQL&gt;&lt;FQL&gt;&lt;Q&gt;ADVANC-TH^FG_PRICE&lt;/Q&gt;&lt;R&gt;1&lt;/R&gt;&lt;C&gt;1&lt;/C&gt;&lt;D xsi:type="xsd:double"&gt;207&lt;/D&gt;&lt;/FQL&gt;&lt;FQL&gt;&lt;Q&gt;017670-KR^FG_PRICE&lt;/Q&gt;&lt;R&gt;1&lt;/R&gt;&lt;C&gt;1&lt;/C&gt;&lt;D xsi:type="xsd:double"&gt;51800&lt;/D&gt;&lt;/FQL&gt;&lt;FQL&gt;&lt;Q&gt;TELIA-SE^FG_PRICE&lt;/Q&gt;&lt;R&gt;1&lt;/R&gt;&lt;C&gt;1&lt;/C&gt;&lt;D xsi:type="xsd:double"&gt;26.39&lt;/D&gt;&lt;/FQL&gt;&lt;FQL&gt;&lt;Q&gt;BT.A-GB^FG_PRICE&lt;/Q&gt;&lt;R&gt;1&lt;/R&gt;&lt;C&gt;1&lt;/C&gt;&lt;D xsi:type="xsd:double"&gt;1.271&lt;/D&gt;&lt;/FQL&gt;&lt;FQL&gt;&lt;Q&gt;MEGACPO-MX^FG_PRICE&lt;/Q&gt;&lt;R&gt;1&lt;/R&gt;&lt;C&gt;1&lt;/C&gt;&lt;D xsi:type="xsd:double"&gt;52.16&lt;/D&gt;&lt;/FQL&gt;&lt;FQL&gt;&lt;Q&gt;MTEL-ID^FG_PRICE&lt;/Q&gt;&lt;R&gt;1&lt;/R&gt;&lt;C&gt;1&lt;/C&gt;&lt;D xsi:type="xsd:double"&gt;605&lt;/D&gt;&lt;/FQL&gt;&lt;FQL&gt;&lt;Q&gt;AMT-US^FG_PRICE&lt;/Q&gt;&lt;R&gt;1&lt;/R&gt;&lt;C&gt;1&lt;/C&gt;&lt;D xsi:type="xsd:double"&gt;185.93&lt;/D&gt;&lt;/FQL&gt;&lt;FQL&gt;&lt;Q&gt;OBEL-BE^FG_PRICE&lt;/Q&gt;&lt;R&gt;1&lt;/R&gt;&lt;C&gt;1&lt;/C&gt;&lt;D xsi:type="xsd:double"&gt;14.92&lt;/D&gt;&lt;/FQL&gt;&lt;FQL&gt;&lt;Q&gt;SITES1A.1-MX^FG_PRICE&lt;/Q&gt;&lt;R&gt;1&lt;/R&gt;&lt;C&gt;1&lt;/C&gt;&lt;D xsi:type="xsd:double"&gt;19.26&lt;/D&gt;&lt;/FQL&gt;&lt;FQL&gt;&lt;Q&gt;NZDUSD^FG_PRICE&lt;/Q&gt;&lt;R&gt;1&lt;/R&gt;&lt;C&gt;1&lt;/C&gt;&lt;D xsi:type="xsd:double"&gt;0.61175&lt;/D&gt;&lt;/FQL&gt;&lt;FQL&gt;&lt;Q&gt;SCOM-KE^FG_PRICE&lt;/Q&gt;&lt;R&gt;1&lt;/R&gt;&lt;C&gt;1&lt;/C&gt;&lt;D xsi:type="xsd:double"&gt;17.75&lt;/D&gt;&lt;/FQL&gt;&lt;FQL&gt;&lt;Q&gt;USDQAR^FG_PRICE&lt;/Q&gt;&lt;R&gt;1&lt;/R&gt;&lt;C&gt;1&lt;/C&gt;&lt;D xsi:type="xsd:double"&gt;3.641&lt;/D&gt;&lt;/FQL&gt;&lt;FQL&gt;&lt;Q&gt;CLNX-ES^FG_PRICE&lt;/Q&gt;&lt;R&gt;1&lt;/R&gt;&lt;C&gt;1&lt;/C&gt;&lt;D xsi:type="xsd:double"&gt;33.45&lt;/D&gt;&lt;/FQL&gt;&lt;FQL&gt;&lt;Q&gt;4755-JP^FG_PRICE&lt;/Q&gt;&lt;R&gt;1&lt;/R&gt;&lt;C&gt;1&lt;/C&gt;&lt;D xsi:type="xsd:double"&gt;775.9&lt;/D&gt;&lt;/FQL&gt;&lt;FQL&gt;&lt;Q&gt;IHS-USA^FG_PRICE&lt;/Q&gt;&lt;R&gt;1&lt;/R&gt;&lt;C&gt;1&lt;/C&gt;&lt;D xsi:type="xsd:double"&gt;3.34&lt;/D&gt;&lt;/FQL&gt;&lt;FQL&gt;&lt;Q&gt;ST1-AU^FG_PRICE&lt;/Q&gt;&lt;R&gt;1&lt;/R&gt;&lt;C&gt;1&lt;/C&gt;&lt;D xsi:type="xsd:double"&gt;0.041&lt;/D&gt;&lt;/FQL&gt;&lt;FQL&gt;&lt;Q&gt;KPN-NL^FG_PRICE&lt;/Q&gt;&lt;R&gt;1&lt;/R&gt;&lt;C&gt;1&lt;/C&gt;&lt;D xsi:type="xsd:double"&gt;3.444&lt;/D&gt;&lt;/FQL&gt;&lt;FQL&gt;&lt;Q&gt;6012-MY^FG_PRICE&lt;/Q&gt;&lt;R&gt;1&lt;/R&gt;&lt;C&gt;1&lt;/C&gt;&lt;D xsi:type="xsd:double"&gt;3.71&lt;/D&gt;&lt;/FQL&gt;&lt;FQL&gt;&lt;Q&gt;TOWR-ID^FG_PRICE&lt;/Q&gt;&lt;R&gt;1&lt;/R&gt;&lt;C&gt;1&lt;/C&gt;&lt;D xsi:type="xsd:double"&gt;765&lt;/D&gt;&lt;/FQL&gt;&lt;FQL&gt;&lt;Q&gt;MAQ-AU^FG_PRICE&lt;/Q&gt;&lt;R&gt;1&lt;/R&gt;&lt;C&gt;1&lt;/C&gt;&lt;D xsi:type="xsd:double"&gt;85.2&lt;/D&gt;&lt;/FQL&gt;&lt;FQL&gt;&lt;Q&gt;534816-IN^FG_PRICE&lt;/Q&gt;&lt;R&gt;1&lt;/R&gt;&lt;C&gt;1&lt;/C&gt;&lt;D xsi:type="xsd:double"&gt;346.65&lt;/D&gt;&lt;/FQL&gt;&lt;FQL&gt;&lt;Q&gt;LILA-US^FG_PRICE&lt;/Q&gt;&lt;R&gt;1&lt;/R&gt;&lt;C&gt;1&lt;/C&gt;&lt;D xsi:type="xsd:double"&gt;8.54&lt;/D&gt;&lt;/FQL&gt;&lt;FQL&gt;&lt;Q&gt;MTN-ZA^FG_PRICE&lt;/Q&gt;&lt;R&gt;1&lt;/R&gt;&lt;C&gt;1&lt;/C&gt;&lt;D xsi:type="xsd:double"&gt;86.08&lt;/D&gt;&lt;/FQL&gt;&lt;FQL&gt;&lt;Q&gt;USDINR^FG_PRICE&lt;/Q&gt;&lt;R&gt;1&lt;/R&gt;&lt;C&gt;1&lt;/C&gt;&lt;D xsi:type="xsd:double"&gt;83.0975&lt;/D&gt;&lt;/FQL&gt;&lt;FQL&gt;&lt;Q&gt;6888-MY^FG_PRICE&lt;/Q&gt;&lt;R&gt;1&lt;/R&gt;&lt;C&gt;1&lt;/C&gt;&lt;D xsi:type="xsd:double"&gt;2.87&lt;/D&gt;&lt;/FQL&gt;&lt;/Schema&gt;</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rwaller</author>
  </authors>
  <commentList>
    <comment ref="D14" authorId="0" shapeId="0" xr:uid="{00000000-0006-0000-6800-000001000000}">
      <text>
        <r>
          <rPr>
            <b/>
            <sz val="8"/>
            <color indexed="81"/>
            <rFont val="Tahoma"/>
            <family val="2"/>
          </rPr>
          <t>rwaller:</t>
        </r>
        <r>
          <rPr>
            <sz val="8"/>
            <color indexed="81"/>
            <rFont val="Tahoma"/>
            <family val="2"/>
          </rPr>
          <t xml:space="preserve">
Treasury shares excluded above therefore not subtracted here</t>
        </r>
      </text>
    </comment>
    <comment ref="D15" authorId="0" shapeId="0" xr:uid="{00000000-0006-0000-6800-000002000000}">
      <text>
        <r>
          <rPr>
            <b/>
            <sz val="10"/>
            <color indexed="81"/>
            <rFont val="Tahoma"/>
            <family val="2"/>
          </rPr>
          <t>rwaller:
Vodacom is proportionally consolidated, therefore no minorities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rwaller</author>
  </authors>
  <commentList>
    <comment ref="T13" authorId="0" shapeId="0" xr:uid="{00000000-0006-0000-A800-000001000000}">
      <text>
        <r>
          <rPr>
            <b/>
            <sz val="8"/>
            <color indexed="81"/>
            <rFont val="Tahoma"/>
            <family val="2"/>
          </rPr>
          <t>rwaller:</t>
        </r>
        <r>
          <rPr>
            <sz val="8"/>
            <color indexed="81"/>
            <rFont val="Tahoma"/>
            <family val="2"/>
          </rPr>
          <t xml:space="preserve">
Indus proportionately consolidated therefore no minority in EV calculation</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John OMara</author>
  </authors>
  <commentList>
    <comment ref="J14" authorId="0" shapeId="0" xr:uid="{00000000-0006-0000-B000-000001000000}">
      <text>
        <r>
          <rPr>
            <b/>
            <sz val="9"/>
            <color indexed="81"/>
            <rFont val="Tahoma"/>
            <family val="2"/>
          </rPr>
          <t>John OMara:</t>
        </r>
        <r>
          <rPr>
            <sz val="9"/>
            <color indexed="81"/>
            <rFont val="Tahoma"/>
            <family val="2"/>
          </rPr>
          <t xml:space="preserve">
impaired by 50%</t>
        </r>
      </text>
    </comment>
    <comment ref="J15" authorId="0" shapeId="0" xr:uid="{00000000-0006-0000-B000-000002000000}">
      <text>
        <r>
          <rPr>
            <b/>
            <sz val="9"/>
            <color indexed="81"/>
            <rFont val="Tahoma"/>
            <family val="2"/>
          </rPr>
          <t>John OMara:</t>
        </r>
        <r>
          <rPr>
            <sz val="9"/>
            <color indexed="81"/>
            <rFont val="Tahoma"/>
            <family val="2"/>
          </rPr>
          <t xml:space="preserve">
impaired by 50%</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rwaller</author>
  </authors>
  <commentList>
    <comment ref="B40" authorId="0" shapeId="0" xr:uid="{00000000-0006-0000-A700-000003000000}">
      <text>
        <r>
          <rPr>
            <b/>
            <sz val="12"/>
            <color indexed="81"/>
            <rFont val="Tahoma"/>
            <family val="2"/>
          </rPr>
          <t xml:space="preserve">rwaller:
Mauritius
Equatorial Guinea
Vanuatu
Tunisia
Morocco
Iraq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Russell</author>
  </authors>
  <commentList>
    <comment ref="J20" authorId="0" shapeId="0" xr:uid="{F25D2D47-D957-455F-A7DF-63582FE0F822}">
      <text>
        <r>
          <rPr>
            <b/>
            <sz val="9"/>
            <color indexed="81"/>
            <rFont val="Tahoma"/>
            <family val="2"/>
          </rPr>
          <t>Russell:</t>
        </r>
        <r>
          <rPr>
            <sz val="9"/>
            <color indexed="81"/>
            <rFont val="Tahoma"/>
            <family val="2"/>
          </rPr>
          <t xml:space="preserve">
May 20 - Sunrise CHF350m calim and other claims following the CHF186m fine from Como (paid in 2016)
B/S proviison is CHF243 - assume 75% chance of payment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<sst xmlns="http://schemas.openxmlformats.org/spreadsheetml/2006/main" count="11809" uniqueCount="1628">
  <si>
    <t>Finnish mobile</t>
  </si>
  <si>
    <t>Estonia mobile</t>
  </si>
  <si>
    <t>Wireline</t>
  </si>
  <si>
    <t xml:space="preserve">% upside/downside to current ord price </t>
  </si>
  <si>
    <t xml:space="preserve">% upside/downside to current saver price </t>
  </si>
  <si>
    <t>Net interest</t>
  </si>
  <si>
    <t>Less: NPV YE tax credit</t>
  </si>
  <si>
    <t>ords</t>
  </si>
  <si>
    <t>savers</t>
  </si>
  <si>
    <t>EFCF MKT CAP</t>
  </si>
  <si>
    <t>Adjustment</t>
  </si>
  <si>
    <t>Adjusted mkt cap</t>
  </si>
  <si>
    <t>Tele2 equity</t>
  </si>
  <si>
    <t>TM INTERNATIONAL</t>
  </si>
  <si>
    <t>Share price, MYR</t>
  </si>
  <si>
    <t>Share price, US$</t>
  </si>
  <si>
    <t>The Netherlands</t>
  </si>
  <si>
    <t>Mkt. Cap. (EUR for Europe, US$ RoW)</t>
  </si>
  <si>
    <t>EV (EUR for Europe, US$ RoW)</t>
  </si>
  <si>
    <t>Net debt (cash) (EUR for Europe, US$ RoW)</t>
  </si>
  <si>
    <t>KT</t>
  </si>
  <si>
    <t>KT CORP</t>
  </si>
  <si>
    <t>Treasury shares</t>
  </si>
  <si>
    <t>Belg equity</t>
  </si>
  <si>
    <t>Plus: Net debt (net cash)</t>
  </si>
  <si>
    <t>Share price, NOK</t>
  </si>
  <si>
    <t>EM sector</t>
  </si>
  <si>
    <t>AGGREGATE EMEA MULTIPLES</t>
  </si>
  <si>
    <t>AGGREGATE EMEA CELLULAR</t>
  </si>
  <si>
    <t>EM CELLULAR MULTIPLES</t>
  </si>
  <si>
    <t>Dividends, ords</t>
  </si>
  <si>
    <t>KPN equity</t>
  </si>
  <si>
    <t>TELSTRA</t>
  </si>
  <si>
    <t>Verizon</t>
  </si>
  <si>
    <t>W. EUR. CELLULAR SECTOR MULTIPLES</t>
  </si>
  <si>
    <t>W. EUR. INCUMBENT SECTOR MULTIPLES</t>
  </si>
  <si>
    <t>Dividends plus buybacks</t>
  </si>
  <si>
    <t>True Corp</t>
  </si>
  <si>
    <t xml:space="preserve">Plus: Net debt (net cash) </t>
  </si>
  <si>
    <t xml:space="preserve">Plus: Other financial liabilities </t>
  </si>
  <si>
    <t>TRUE CORP</t>
  </si>
  <si>
    <t>TRUE MULTIPLES</t>
  </si>
  <si>
    <t>Asia cellular</t>
  </si>
  <si>
    <t>TRUE TB Equity</t>
  </si>
  <si>
    <t>ADVANC TB Equity</t>
  </si>
  <si>
    <t>Infratel</t>
  </si>
  <si>
    <t>NSR TP (EUR)</t>
  </si>
  <si>
    <t>Other RoW</t>
  </si>
  <si>
    <t>EUR/EGP</t>
  </si>
  <si>
    <t>Entreprise / ICSS</t>
  </si>
  <si>
    <t>TURKCELL</t>
  </si>
  <si>
    <t>CMCSA</t>
  </si>
  <si>
    <t>SWISSCOM GROUP</t>
  </si>
  <si>
    <t>Swiss equity</t>
  </si>
  <si>
    <t>Belgacom</t>
  </si>
  <si>
    <t>Other Europe</t>
  </si>
  <si>
    <t>Rating</t>
  </si>
  <si>
    <t>Target</t>
  </si>
  <si>
    <t>Buy</t>
  </si>
  <si>
    <t>Upside</t>
  </si>
  <si>
    <t>Reduce</t>
  </si>
  <si>
    <t>Neutral</t>
  </si>
  <si>
    <t xml:space="preserve">Target price per share </t>
  </si>
  <si>
    <t>Mobistar</t>
  </si>
  <si>
    <t>TLKM IJ Equity</t>
  </si>
  <si>
    <t>TKG SJ Equity</t>
  </si>
  <si>
    <t>BHARTI IN Equity</t>
  </si>
  <si>
    <t>IDEA IN Equity</t>
  </si>
  <si>
    <t>US - Telecoms</t>
  </si>
  <si>
    <t>IDEA CELLULAR</t>
  </si>
  <si>
    <t>INDOSAT</t>
  </si>
  <si>
    <t>INDO MULTIPLES</t>
  </si>
  <si>
    <t>AMX MULTIPLES</t>
  </si>
  <si>
    <t>ASIACELLULAR SECTOR MULTIPLES</t>
  </si>
  <si>
    <t>ASIA CELLULAR SECTOR MULTIPLES</t>
  </si>
  <si>
    <t>ASIA INCUMBENT SECTOR MULTIPLES</t>
  </si>
  <si>
    <t>Liberty</t>
  </si>
  <si>
    <t>Agg. US Satellite</t>
  </si>
  <si>
    <t>AGG. W. EUR. INCUMBENT MULTIPLES</t>
  </si>
  <si>
    <t>AGG. W. EUR. CELLULAR MULTIPLES</t>
  </si>
  <si>
    <t>Mobile TeleSystems</t>
  </si>
  <si>
    <t>Method</t>
  </si>
  <si>
    <t>Driver</t>
  </si>
  <si>
    <t>Multiple</t>
  </si>
  <si>
    <t>100% EV</t>
  </si>
  <si>
    <t>Net debt</t>
  </si>
  <si>
    <t>BHARTI AIRTEL</t>
  </si>
  <si>
    <t>Share price, INR</t>
  </si>
  <si>
    <t>TKC</t>
  </si>
  <si>
    <t>Enterprise Value, USD m</t>
  </si>
  <si>
    <t>AGGREGATE DEVELOPED ASIA CELLULAR MULTIPLES</t>
  </si>
  <si>
    <t>DW SECTOR MULTIPLES</t>
  </si>
  <si>
    <t>DEVELOPED ASIA MULTIPLES</t>
  </si>
  <si>
    <t>Agg. Developed Asia Cellular</t>
  </si>
  <si>
    <t>Agg. W Europe</t>
  </si>
  <si>
    <t>Agg. EMEA Incumbent</t>
  </si>
  <si>
    <t>Bangladesh</t>
  </si>
  <si>
    <t xml:space="preserve">% upside/downside to current price </t>
  </si>
  <si>
    <t>TELECOM ITALIA GROUP</t>
  </si>
  <si>
    <t xml:space="preserve">Number of ord shares </t>
  </si>
  <si>
    <t xml:space="preserve">Number of saver shares </t>
  </si>
  <si>
    <t>Wholesale &amp; Op. (inc Other)</t>
  </si>
  <si>
    <t>4904 TT Equity</t>
  </si>
  <si>
    <t>Sweden mobile</t>
  </si>
  <si>
    <t>KPN GROUP</t>
  </si>
  <si>
    <t>CHINA MOBILE</t>
  </si>
  <si>
    <t>941 HK Equity</t>
  </si>
  <si>
    <t>Denmark fixed</t>
  </si>
  <si>
    <t>Europe</t>
  </si>
  <si>
    <t>032640 KS Equity</t>
  </si>
  <si>
    <t xml:space="preserve">INR </t>
  </si>
  <si>
    <t>TIM Participacoes</t>
  </si>
  <si>
    <t>Sri Lanka</t>
  </si>
  <si>
    <t>ISAT IJ Equity</t>
  </si>
  <si>
    <t>EMEA - Incumbents</t>
  </si>
  <si>
    <t>Market price</t>
  </si>
  <si>
    <t>na</t>
  </si>
  <si>
    <t>Share price, USD</t>
  </si>
  <si>
    <t>Tele2 A</t>
  </si>
  <si>
    <t>Tele2 B</t>
  </si>
  <si>
    <t>Lattelekom (Latvia - fixed)</t>
  </si>
  <si>
    <t>Per share</t>
  </si>
  <si>
    <t>Enterprise Value US$</t>
  </si>
  <si>
    <t>Mkt price</t>
  </si>
  <si>
    <t>Belgium</t>
  </si>
  <si>
    <t>Elisa equity</t>
  </si>
  <si>
    <t xml:space="preserve">MYR </t>
  </si>
  <si>
    <t>Add: Dividend per share</t>
  </si>
  <si>
    <t>100% equity</t>
  </si>
  <si>
    <t>Ownership</t>
  </si>
  <si>
    <t>Minority</t>
  </si>
  <si>
    <t>% of equity</t>
  </si>
  <si>
    <t>per share</t>
  </si>
  <si>
    <t>Domestic wireline</t>
  </si>
  <si>
    <t>x</t>
  </si>
  <si>
    <t>=</t>
  </si>
  <si>
    <t>-</t>
  </si>
  <si>
    <t>Mkt value</t>
  </si>
  <si>
    <t>Total</t>
  </si>
  <si>
    <t>Associates</t>
  </si>
  <si>
    <t>Mobile</t>
  </si>
  <si>
    <t>Other</t>
  </si>
  <si>
    <t xml:space="preserve">Total EV </t>
  </si>
  <si>
    <t xml:space="preserve">BRL </t>
  </si>
  <si>
    <t>P/EFCF (2012)</t>
  </si>
  <si>
    <t>EFCF yield (2012)</t>
  </si>
  <si>
    <t>Common</t>
  </si>
  <si>
    <t>Share price, IDR</t>
  </si>
  <si>
    <t>PT TELEKOMUNIKASI</t>
  </si>
  <si>
    <t>PTT</t>
  </si>
  <si>
    <t>French fixed (Home)</t>
  </si>
  <si>
    <t>French Mobile (Personal)</t>
  </si>
  <si>
    <t>Total France</t>
  </si>
  <si>
    <t>ICSS</t>
  </si>
  <si>
    <t>Total France inc Enterprice/ICSS</t>
  </si>
  <si>
    <t>Spanish fixed (Home)</t>
  </si>
  <si>
    <t>Spanish Mobile (Personal)</t>
  </si>
  <si>
    <t>N. AMERICAN CATV SECTOR MULTIPLES</t>
  </si>
  <si>
    <t>AGGREGATE W. EUROPE INCUMBENTS</t>
  </si>
  <si>
    <t>FORECASTS, EUR m</t>
  </si>
  <si>
    <t>Share price, CHF</t>
  </si>
  <si>
    <t>Incumbents</t>
  </si>
  <si>
    <t>Cellular</t>
  </si>
  <si>
    <t>CHINA TELECOM</t>
  </si>
  <si>
    <t>LBTYA US Equity</t>
  </si>
  <si>
    <t>TIM PARTICIPACOES</t>
  </si>
  <si>
    <t>DIGI.COM</t>
  </si>
  <si>
    <t>MAXIS</t>
  </si>
  <si>
    <t>AGGREGATE LATAM CELLULAR</t>
  </si>
  <si>
    <t>LatAm cellular</t>
  </si>
  <si>
    <t>AGGREGATE LATAM SECTOR</t>
  </si>
  <si>
    <t>LatAm sector</t>
  </si>
  <si>
    <t>AGGREGATE LATAM INCUMBENTS</t>
  </si>
  <si>
    <t>LatAm incumbents</t>
  </si>
  <si>
    <t>DIGI MULTIPLES</t>
  </si>
  <si>
    <t>KT MULTIPLES</t>
  </si>
  <si>
    <t>MAXIS MULTIPLES</t>
  </si>
  <si>
    <t>TIM Part</t>
  </si>
  <si>
    <t>TIM MULTIPLES</t>
  </si>
  <si>
    <t>Pref</t>
  </si>
  <si>
    <t>N. AMERICAN TELECOMS SECTOR MULTIPLES</t>
  </si>
  <si>
    <t>N. AMERICAN SATELLITE SECTOR MULTIPLES</t>
  </si>
  <si>
    <t>Mobile International</t>
  </si>
  <si>
    <t>OpFCF</t>
  </si>
  <si>
    <t>EV/EBITDA</t>
  </si>
  <si>
    <t>EV/OpFCF</t>
  </si>
  <si>
    <t>British Telecom</t>
  </si>
  <si>
    <t>Deutsche Telekom</t>
  </si>
  <si>
    <t>NOK</t>
  </si>
  <si>
    <t>Syria</t>
  </si>
  <si>
    <t>Ghana</t>
  </si>
  <si>
    <t>Market cap. (less treasury shares)</t>
  </si>
  <si>
    <t>Vimpelcom</t>
  </si>
  <si>
    <t>Indus</t>
  </si>
  <si>
    <t>VOD LN Equity</t>
  </si>
  <si>
    <t>TEL2A SS Equity</t>
  </si>
  <si>
    <t>LG</t>
  </si>
  <si>
    <t>Share price, BRL</t>
  </si>
  <si>
    <t>Mobb equity</t>
  </si>
  <si>
    <t>EMERGING MARKET MULTIPLES</t>
  </si>
  <si>
    <t>DEVELOPED MARKET MULTIPLES</t>
  </si>
  <si>
    <t>MTN SJ Equity</t>
  </si>
  <si>
    <t>SINGTEL</t>
  </si>
  <si>
    <t>Share price, S$</t>
  </si>
  <si>
    <t>Enterprise Value, S$</t>
  </si>
  <si>
    <t>Share price, THB</t>
  </si>
  <si>
    <t xml:space="preserve">THB </t>
  </si>
  <si>
    <t>Cost of running pension</t>
  </si>
  <si>
    <t>VOD SJ Equity</t>
  </si>
  <si>
    <t>EXCL IJ Equity</t>
  </si>
  <si>
    <t>017670 KS Equity</t>
  </si>
  <si>
    <t>IDEA</t>
  </si>
  <si>
    <t xml:space="preserve">Target price per ord share </t>
  </si>
  <si>
    <t xml:space="preserve">Target price per saver share </t>
  </si>
  <si>
    <t>Overhead</t>
  </si>
  <si>
    <t>SingTel</t>
  </si>
  <si>
    <t>TELENOR GROUP</t>
  </si>
  <si>
    <t>Tnor equity</t>
  </si>
  <si>
    <t>Norway fixed</t>
  </si>
  <si>
    <t>Sweden fixed</t>
  </si>
  <si>
    <t>Norway mobile</t>
  </si>
  <si>
    <t>AXIATA MK Equity</t>
  </si>
  <si>
    <t>BT/A LN Equity</t>
  </si>
  <si>
    <t>DTE GR Equity</t>
  </si>
  <si>
    <t>LG Uplus</t>
  </si>
  <si>
    <t>LG UPLUS</t>
  </si>
  <si>
    <t>Poland</t>
  </si>
  <si>
    <t>Sweden</t>
  </si>
  <si>
    <t>LMT (Latvia)</t>
  </si>
  <si>
    <t>Plus: Net debt</t>
  </si>
  <si>
    <t xml:space="preserve">ZAR </t>
  </si>
  <si>
    <t>XL AXIATA</t>
  </si>
  <si>
    <t>XL AXIATA MULTIPLES</t>
  </si>
  <si>
    <t>IDEA Cellular</t>
  </si>
  <si>
    <t>IDEA MULTIPLES</t>
  </si>
  <si>
    <t>BHART MULTIPLES</t>
  </si>
  <si>
    <t>PTT MULTIPLES</t>
  </si>
  <si>
    <t>Share price, KRW</t>
  </si>
  <si>
    <t>SK TELECOM</t>
  </si>
  <si>
    <t>China Unicom</t>
  </si>
  <si>
    <t>MTS</t>
  </si>
  <si>
    <t>Total Spain</t>
  </si>
  <si>
    <t xml:space="preserve">Fair value per ord share </t>
  </si>
  <si>
    <t xml:space="preserve">Fair value per saver share </t>
  </si>
  <si>
    <t>Savers/ords</t>
  </si>
  <si>
    <t xml:space="preserve">Current ord price </t>
  </si>
  <si>
    <t xml:space="preserve">Current saver price </t>
  </si>
  <si>
    <t>Taiwan Mobile</t>
  </si>
  <si>
    <t xml:space="preserve">TWD </t>
  </si>
  <si>
    <t>Singtel PROPORTIONATE MULTIPLES</t>
  </si>
  <si>
    <t>Agg. W. Eur Incumbent</t>
  </si>
  <si>
    <t>Agg. W. Eur. Incumbent</t>
  </si>
  <si>
    <t>Chungwha</t>
  </si>
  <si>
    <t>Agg. W. Eur Cellular</t>
  </si>
  <si>
    <t>Agg. W. Eur. CATV</t>
  </si>
  <si>
    <t>Agg. W Eur. Incumbent</t>
  </si>
  <si>
    <t>Agg. W. Eur. Altnet</t>
  </si>
  <si>
    <t>Agg. Asia Cellular</t>
  </si>
  <si>
    <t>Agg. W. Eur. Cellular</t>
  </si>
  <si>
    <t>Agg. Asia Incumbent</t>
  </si>
  <si>
    <t>Agg. Asia Incumbents</t>
  </si>
  <si>
    <t>Singtel</t>
  </si>
  <si>
    <t>Agg. US Telecoms</t>
  </si>
  <si>
    <t>Agg. LatAm incumbent</t>
  </si>
  <si>
    <t>Agg. US CATV</t>
  </si>
  <si>
    <t>Lease payments</t>
  </si>
  <si>
    <t>EFCF yield (08)</t>
  </si>
  <si>
    <t>LIBERTY GLOBAL</t>
  </si>
  <si>
    <t>LIBERTY GLOBAL MULTIPLES</t>
  </si>
  <si>
    <t>Liberty Global</t>
  </si>
  <si>
    <t>Telecom Italia</t>
  </si>
  <si>
    <t>EV CALCULATION</t>
  </si>
  <si>
    <t>Share price, EUR</t>
  </si>
  <si>
    <t>EV/Revenue</t>
  </si>
  <si>
    <t>Number of shares</t>
  </si>
  <si>
    <t>Market cap.</t>
  </si>
  <si>
    <t>DiGi</t>
  </si>
  <si>
    <t>DISH</t>
  </si>
  <si>
    <t>AGGREGATE EM CELLULAR MULTIPLES</t>
  </si>
  <si>
    <t>AGGREGATE ASIA CELLULAR MULTIPLES</t>
  </si>
  <si>
    <t>AGGREGATE EMEA CELLULAR MULTIPLES</t>
  </si>
  <si>
    <t>Vodafone</t>
  </si>
  <si>
    <t>TELENOR MULTIPLES</t>
  </si>
  <si>
    <t>BT</t>
  </si>
  <si>
    <t>DT</t>
  </si>
  <si>
    <t>AGGREGATE MULTIPLES</t>
  </si>
  <si>
    <t>Telecom Italia Ords</t>
  </si>
  <si>
    <t>Telecom Italia Savers</t>
  </si>
  <si>
    <t>Revenue growth</t>
  </si>
  <si>
    <t>Net debt/EBITDA</t>
  </si>
  <si>
    <t>OpFCF/net interest</t>
  </si>
  <si>
    <t>ADR</t>
  </si>
  <si>
    <t>MobileTeleSystems</t>
  </si>
  <si>
    <t>CT MULTIPLES</t>
  </si>
  <si>
    <t>CT</t>
  </si>
  <si>
    <t>CHINA UNICOM</t>
  </si>
  <si>
    <t>CU</t>
  </si>
  <si>
    <t>China Telecom</t>
  </si>
  <si>
    <t>TSON equity</t>
  </si>
  <si>
    <t>CM MULTIPLES</t>
  </si>
  <si>
    <t>AGGREGATE ASIA CELLULAR</t>
  </si>
  <si>
    <t>AGGREGATE ASIA MULTIPLES</t>
  </si>
  <si>
    <t>KDDI</t>
  </si>
  <si>
    <t>T US Equity</t>
  </si>
  <si>
    <t>COMCAST</t>
  </si>
  <si>
    <t>CHARTER</t>
  </si>
  <si>
    <t>Telstra</t>
  </si>
  <si>
    <t>TLS AU Equity</t>
  </si>
  <si>
    <t>FORECASTS, USD m</t>
  </si>
  <si>
    <t>Comcast</t>
  </si>
  <si>
    <t>CMCSA US Equity</t>
  </si>
  <si>
    <t>Charter</t>
  </si>
  <si>
    <t>CHTR US Equity</t>
  </si>
  <si>
    <t>Net Income</t>
  </si>
  <si>
    <t xml:space="preserve">Market cap. </t>
  </si>
  <si>
    <t>AGGREGATE EM CELLULAR</t>
  </si>
  <si>
    <t>AGGREGATE EM INCUMBENTS</t>
  </si>
  <si>
    <t>AGGREGATE EM SECTOR</t>
  </si>
  <si>
    <t>MTS MULTIPLES</t>
  </si>
  <si>
    <t>AGGREGATE DEVELOPING ASIA</t>
  </si>
  <si>
    <t xml:space="preserve">AGGREGATE DEVELOPED WORLD </t>
  </si>
  <si>
    <t>AGGREGATE DEVELOPED ASIA (EX. ICT &amp; INTERNET COMPANIES)</t>
  </si>
  <si>
    <t>Agg. W.Europe Incumbent</t>
  </si>
  <si>
    <t>Malaysia</t>
  </si>
  <si>
    <t>Cambodia</t>
  </si>
  <si>
    <t>MYR/US$</t>
  </si>
  <si>
    <t>MYR/INR</t>
  </si>
  <si>
    <t>Turk Telekom</t>
  </si>
  <si>
    <t>AXI</t>
  </si>
  <si>
    <t>Axiata</t>
  </si>
  <si>
    <t>AXIATA</t>
  </si>
  <si>
    <t>TELKOM SA</t>
  </si>
  <si>
    <t>TKG</t>
  </si>
  <si>
    <t>Share price, ZAR</t>
  </si>
  <si>
    <t>Asia incumbents</t>
  </si>
  <si>
    <t>AGGREGATE ASIA INCUMBENT MULTIPLES</t>
  </si>
  <si>
    <t>AGGREGATE EM INCUMBENT MULTIPLES</t>
  </si>
  <si>
    <t>AGGREGATE EMEA SECTOR</t>
  </si>
  <si>
    <t>AGGREGATE ASIA SECTOR</t>
  </si>
  <si>
    <t>Asia sector</t>
  </si>
  <si>
    <t>CHUNGHWA TELECOM</t>
  </si>
  <si>
    <t>FAR EASTONE</t>
  </si>
  <si>
    <t>TAIWAN MOBILE</t>
  </si>
  <si>
    <t>Bharti Airtel</t>
  </si>
  <si>
    <t>America Movil</t>
  </si>
  <si>
    <t>Share price, TWD</t>
  </si>
  <si>
    <t>FAR MULTIPLES</t>
  </si>
  <si>
    <t>Far</t>
  </si>
  <si>
    <t>TAIWAN MULTIPLES</t>
  </si>
  <si>
    <t>CHUNGHWA MULTIPLES</t>
  </si>
  <si>
    <t>AGGREGATE ASIA INCUMBENTS</t>
  </si>
  <si>
    <t>TI equity</t>
  </si>
  <si>
    <t>TELEFONICA GROUP</t>
  </si>
  <si>
    <t>ELISA</t>
  </si>
  <si>
    <t>Elisa</t>
  </si>
  <si>
    <t>ELISA MULTIPLES</t>
  </si>
  <si>
    <t>TURKCELL MULTIPLES</t>
  </si>
  <si>
    <t>W. Eur - Incumbents</t>
  </si>
  <si>
    <t>XL Axiata</t>
  </si>
  <si>
    <t>Market cap. US$ m</t>
  </si>
  <si>
    <t>Enterprise Value, US$ m</t>
  </si>
  <si>
    <t>EMEA sector</t>
  </si>
  <si>
    <t>Maxis</t>
  </si>
  <si>
    <t>DiGi.com</t>
  </si>
  <si>
    <t>KT Corp</t>
  </si>
  <si>
    <t>LatAm - Incumbents</t>
  </si>
  <si>
    <t>EMEA - Cellular</t>
  </si>
  <si>
    <t>LatAm - Cellular</t>
  </si>
  <si>
    <t>Emerging Asia - Incumbents</t>
  </si>
  <si>
    <t>Emerging Asia - Cellular</t>
  </si>
  <si>
    <t>Share price, US$ (ADR)</t>
  </si>
  <si>
    <t>ST SP Equity</t>
  </si>
  <si>
    <t>728 HK Equity</t>
  </si>
  <si>
    <t>762 HK Equity</t>
  </si>
  <si>
    <t>2412 TT Equity</t>
  </si>
  <si>
    <t xml:space="preserve">Less: minorities </t>
  </si>
  <si>
    <t>EUR/US$</t>
  </si>
  <si>
    <t xml:space="preserve">Plus: associates </t>
  </si>
  <si>
    <t>Less: NPV Youth Account reserve/Other liabilities</t>
  </si>
  <si>
    <t>EMEA INCUMBENT SECTOR MULTIPLES</t>
  </si>
  <si>
    <t>EMEA CELLULAR SECTOR MULTIPLES</t>
  </si>
  <si>
    <t>Vodacom</t>
  </si>
  <si>
    <t>Aggregate Asia Cellular</t>
  </si>
  <si>
    <t>SKT MULTIPLES</t>
  </si>
  <si>
    <t>P/EFCF (08)</t>
  </si>
  <si>
    <t xml:space="preserve">IDR </t>
  </si>
  <si>
    <t>TEF SM Equity</t>
  </si>
  <si>
    <t>TEL NO Equity</t>
  </si>
  <si>
    <t>SEK</t>
  </si>
  <si>
    <t>P/E</t>
  </si>
  <si>
    <t>OTE GROUP</t>
  </si>
  <si>
    <t>OTE equity</t>
  </si>
  <si>
    <t>Turkcell</t>
  </si>
  <si>
    <t>TELE2</t>
  </si>
  <si>
    <t>Tele2</t>
  </si>
  <si>
    <t>A shares</t>
  </si>
  <si>
    <t>B shares</t>
  </si>
  <si>
    <t>TELE2 MULTIPLES</t>
  </si>
  <si>
    <t>Share price, SEK</t>
  </si>
  <si>
    <t>TELE2 GROUP</t>
  </si>
  <si>
    <t xml:space="preserve">SEK </t>
  </si>
  <si>
    <t>Liberty Global A</t>
  </si>
  <si>
    <t>Liberty Global B</t>
  </si>
  <si>
    <t>Millicom</t>
  </si>
  <si>
    <t>MTN</t>
  </si>
  <si>
    <t>Telkom SA</t>
  </si>
  <si>
    <t>Maroc Telecom (EUR)</t>
  </si>
  <si>
    <t>Vimpel Com</t>
  </si>
  <si>
    <t>VERIZON COMMUNICATIONS</t>
  </si>
  <si>
    <t>VZ US Equity</t>
  </si>
  <si>
    <t>AT&amp;T</t>
  </si>
  <si>
    <t>USD</t>
  </si>
  <si>
    <t>NTT</t>
  </si>
  <si>
    <t>Add: NPV tax benefit of licence amortisation in Belgium</t>
  </si>
  <si>
    <t>Safaricom</t>
  </si>
  <si>
    <t>OpFCF (adjusted)</t>
  </si>
  <si>
    <t>FCF (adjusted)</t>
  </si>
  <si>
    <t>EV/EBITDA (adjusted)</t>
  </si>
  <si>
    <t>EV/OpFCF (adjusted)</t>
  </si>
  <si>
    <t>EV/FCF (adjusted)</t>
  </si>
  <si>
    <t>Chunghwa Telecom</t>
  </si>
  <si>
    <t>Far EasTone</t>
  </si>
  <si>
    <t>MOBISTAR MULTIPLES</t>
  </si>
  <si>
    <t>MOBISTAR</t>
  </si>
  <si>
    <t>MILLICOM</t>
  </si>
  <si>
    <t>MILLI MULTIPLES</t>
  </si>
  <si>
    <t>TKG MULTIPLES</t>
  </si>
  <si>
    <t>MOBILE TELESYSTEMS</t>
  </si>
  <si>
    <t>Liberty Global C</t>
  </si>
  <si>
    <t>Dividend yield, Ords</t>
  </si>
  <si>
    <t>Africa</t>
  </si>
  <si>
    <t>MTN equity</t>
  </si>
  <si>
    <t>Nigeria</t>
  </si>
  <si>
    <t>PROPORTIONATE FORECASTS, £ m</t>
  </si>
  <si>
    <t>VOD PROPORTIONATE MULTIPLES</t>
  </si>
  <si>
    <t>Market cap. (RMB)</t>
  </si>
  <si>
    <t>Austria</t>
  </si>
  <si>
    <t>CLP</t>
  </si>
  <si>
    <t>3045 TT Equity</t>
  </si>
  <si>
    <t>SWISSCOM MULTIPLES</t>
  </si>
  <si>
    <t>TI MULTIPLES</t>
  </si>
  <si>
    <t>SK Telecom</t>
  </si>
  <si>
    <t>Market cap. US$</t>
  </si>
  <si>
    <t>Less: minorities (Aditya Birla Telecom)</t>
  </si>
  <si>
    <t>PT Telekomunikasi</t>
  </si>
  <si>
    <t>LATAM CELLULAR SECTOR MULTIPLES</t>
  </si>
  <si>
    <t>VOD MULTIPLES</t>
  </si>
  <si>
    <t>VODAFONE GROUP</t>
  </si>
  <si>
    <t>UK</t>
  </si>
  <si>
    <t>Germany</t>
  </si>
  <si>
    <t>Italy</t>
  </si>
  <si>
    <t>Spain</t>
  </si>
  <si>
    <t>Vod equity</t>
  </si>
  <si>
    <t>Hungary</t>
  </si>
  <si>
    <t>South Africa</t>
  </si>
  <si>
    <t>Irancell</t>
  </si>
  <si>
    <t>Enterprise Value, EUR m</t>
  </si>
  <si>
    <t>Market cap. EUR m</t>
  </si>
  <si>
    <t>KPN</t>
  </si>
  <si>
    <t>OTE</t>
  </si>
  <si>
    <t>TeliaSonera</t>
  </si>
  <si>
    <t>Telefonica</t>
  </si>
  <si>
    <t>Telenor</t>
  </si>
  <si>
    <t>Swisscom</t>
  </si>
  <si>
    <t>Price</t>
  </si>
  <si>
    <t>CAGR</t>
  </si>
  <si>
    <t>EV/FCF</t>
  </si>
  <si>
    <t>P/Adj E</t>
  </si>
  <si>
    <t>EBITDA margin</t>
  </si>
  <si>
    <t>OpFCF margin</t>
  </si>
  <si>
    <t>EBITDA growth</t>
  </si>
  <si>
    <t>OpFCF growth</t>
  </si>
  <si>
    <t>Adj net income margin</t>
  </si>
  <si>
    <t>BELG MULTIPLES</t>
  </si>
  <si>
    <t>Capex/sales</t>
  </si>
  <si>
    <t>P/EFCF</t>
  </si>
  <si>
    <t>LATAM INCUMBENT SECTOR MULTIPLES</t>
  </si>
  <si>
    <t>Market cap. (RMB bn)</t>
  </si>
  <si>
    <t>China Mobile</t>
  </si>
  <si>
    <t>CM</t>
  </si>
  <si>
    <t>EUR/PLN</t>
  </si>
  <si>
    <t>EUR/CLP</t>
  </si>
  <si>
    <t>FORECASTS, US$ m</t>
  </si>
  <si>
    <t>EBITDA</t>
  </si>
  <si>
    <t>Consumer</t>
  </si>
  <si>
    <t>Business</t>
  </si>
  <si>
    <t>EBITDA (adjusted)</t>
  </si>
  <si>
    <t>MAXIS MK Equity</t>
  </si>
  <si>
    <t>EUR/ARS</t>
  </si>
  <si>
    <t>N.AM telecoms</t>
  </si>
  <si>
    <t>N.AM Cable</t>
  </si>
  <si>
    <t xml:space="preserve">AT&amp;T </t>
  </si>
  <si>
    <t>CELLULAR SECTOR MULTIPLES</t>
  </si>
  <si>
    <t>VODACOM</t>
  </si>
  <si>
    <t>Fair value per share</t>
  </si>
  <si>
    <t xml:space="preserve">Group equity value </t>
  </si>
  <si>
    <t xml:space="preserve">Number of shares </t>
  </si>
  <si>
    <t xml:space="preserve">Fair value per share </t>
  </si>
  <si>
    <t xml:space="preserve">Current price </t>
  </si>
  <si>
    <t xml:space="preserve">Telenor </t>
  </si>
  <si>
    <t>Share price</t>
  </si>
  <si>
    <t>VIMP MULTIPLES</t>
  </si>
  <si>
    <t>KPN NA Equity</t>
  </si>
  <si>
    <t>HTO GA Equity</t>
  </si>
  <si>
    <t>CHF</t>
  </si>
  <si>
    <t>TIT IM Equity</t>
  </si>
  <si>
    <t>INCUMBENTS</t>
  </si>
  <si>
    <t>CELLULAR</t>
  </si>
  <si>
    <t>ALTNETS</t>
  </si>
  <si>
    <t>AGGREGATE EMEA INCUMBENTS</t>
  </si>
  <si>
    <t>EM INCUMBENT MULTIPLES</t>
  </si>
  <si>
    <t>AGGREGATE EMEA INCUMBENT MULTIPLES</t>
  </si>
  <si>
    <t>Agg. LatAm Incumbent</t>
  </si>
  <si>
    <t>Agg. EMEA Cellular</t>
  </si>
  <si>
    <t>Agg. LatAm Cellular</t>
  </si>
  <si>
    <t>Agg. EMEA sector</t>
  </si>
  <si>
    <t>Agg. LatAm sector</t>
  </si>
  <si>
    <t>Agg. Global EM sector (ex-consensus)</t>
  </si>
  <si>
    <t>Enterprise Value, US$</t>
  </si>
  <si>
    <t>US$</t>
  </si>
  <si>
    <t>TTKOM TI Equity</t>
  </si>
  <si>
    <t>Slovakia</t>
  </si>
  <si>
    <t>TEF MULTIPLES</t>
  </si>
  <si>
    <t>Market cap. USD m</t>
  </si>
  <si>
    <t>AXIATA MULTIPLES</t>
  </si>
  <si>
    <t>CU MULTIPLES</t>
  </si>
  <si>
    <t>VODACOM MULTIPLES</t>
  </si>
  <si>
    <t xml:space="preserve">US$ </t>
  </si>
  <si>
    <t>BBVA</t>
  </si>
  <si>
    <t>Plus: Other financial liabilities</t>
  </si>
  <si>
    <t>EV/Invested capital</t>
  </si>
  <si>
    <t>Plus: Minorities</t>
  </si>
  <si>
    <t>Less: Associates</t>
  </si>
  <si>
    <t>Adjusted P/E</t>
  </si>
  <si>
    <t>Less: Cumulative dividends</t>
  </si>
  <si>
    <t>DEVELOPED ASIA INCUMBENT SECTOR MULTIPLES</t>
  </si>
  <si>
    <t>DEVELOPED ASIA CELLULAR SECTOR MULTIPLES</t>
  </si>
  <si>
    <t>Less: minorities</t>
  </si>
  <si>
    <t>Plus: Associates</t>
  </si>
  <si>
    <t>Czech Republic</t>
  </si>
  <si>
    <t>Croatia</t>
  </si>
  <si>
    <t>Pakistan</t>
  </si>
  <si>
    <t>W.European telecoms sector</t>
  </si>
  <si>
    <t>EMEA incumbents</t>
  </si>
  <si>
    <t>Associates and minorities</t>
  </si>
  <si>
    <t>Developed Asia</t>
  </si>
  <si>
    <t>DEVELOPED ASIA INCUMBENTS (EX-CONSENSUS)</t>
  </si>
  <si>
    <t>DEVELOPING ASIA INCUMBENT MULTIPLES</t>
  </si>
  <si>
    <t>Share price, HK$</t>
  </si>
  <si>
    <t>BREAKDOWN OF VALUE</t>
  </si>
  <si>
    <t>EM SECTOR MULTIPLES</t>
  </si>
  <si>
    <t>DEUTSCHE TELEKOM GROUP</t>
  </si>
  <si>
    <t>DT equity</t>
  </si>
  <si>
    <t>SINGAPORE TELECOMMUNICATIONS</t>
  </si>
  <si>
    <t>SINGTEL MULTIPLES</t>
  </si>
  <si>
    <t>Domestic mobile</t>
  </si>
  <si>
    <t>HKD</t>
  </si>
  <si>
    <t>PT Telkom</t>
  </si>
  <si>
    <t>Indosat</t>
  </si>
  <si>
    <t>ADVANCED INFO SERVICES</t>
  </si>
  <si>
    <t>AIS</t>
  </si>
  <si>
    <t>EM incumbents</t>
  </si>
  <si>
    <t>EMEA cellular</t>
  </si>
  <si>
    <t>EM cellular</t>
  </si>
  <si>
    <t>ASIA cellular</t>
  </si>
  <si>
    <t>W.Europe Incumbent</t>
  </si>
  <si>
    <t>W. Europe Cellular</t>
  </si>
  <si>
    <t>W. Europe Altnet</t>
  </si>
  <si>
    <t>MTN MULTIPLES</t>
  </si>
  <si>
    <t>Enterprise</t>
  </si>
  <si>
    <t>Bharti</t>
  </si>
  <si>
    <t>AMX</t>
  </si>
  <si>
    <t>Brazil</t>
  </si>
  <si>
    <t>DISCLAIMER</t>
  </si>
  <si>
    <t>AMERICA MOVIL</t>
  </si>
  <si>
    <t>PROPORTIONATE FORECASTS, S$ m</t>
  </si>
  <si>
    <t>SingTel (prop.)</t>
  </si>
  <si>
    <t>SKT</t>
  </si>
  <si>
    <t xml:space="preserve">KRW </t>
  </si>
  <si>
    <t>AMX US Equity</t>
  </si>
  <si>
    <t>Dividend yield</t>
  </si>
  <si>
    <t>EFCF yield</t>
  </si>
  <si>
    <t>MXN</t>
  </si>
  <si>
    <t>Enterprise Value</t>
  </si>
  <si>
    <t>Revenue</t>
  </si>
  <si>
    <t>Sector</t>
  </si>
  <si>
    <t>FCF</t>
  </si>
  <si>
    <t>Invested Capital</t>
  </si>
  <si>
    <t>EFCF</t>
  </si>
  <si>
    <t>Adjusted net income</t>
  </si>
  <si>
    <t>Dividends</t>
  </si>
  <si>
    <t>PRICES</t>
  </si>
  <si>
    <t>Net fixed assets</t>
  </si>
  <si>
    <t>EV/NFA</t>
  </si>
  <si>
    <t>BRITISH TELECOM</t>
  </si>
  <si>
    <t>DEUTSCHE TELEKOM</t>
  </si>
  <si>
    <t>SWISSCOM</t>
  </si>
  <si>
    <t>TELECOM ITALIA</t>
  </si>
  <si>
    <t>TELEFONICA</t>
  </si>
  <si>
    <t>TELENOR</t>
  </si>
  <si>
    <t>BT MULTIPLES</t>
  </si>
  <si>
    <t>DT MULTIPLES</t>
  </si>
  <si>
    <t>KPN MULTIPLES</t>
  </si>
  <si>
    <t>OTE MULTIPLES</t>
  </si>
  <si>
    <t>Payout ratio (% of EFCF)</t>
  </si>
  <si>
    <t>Dividend plus buyback yield</t>
  </si>
  <si>
    <t>Buyback</t>
  </si>
  <si>
    <t>nm</t>
  </si>
  <si>
    <t>DM sector</t>
  </si>
  <si>
    <t>AGGREGATE W.EUROPEAN TELECOMS SECTOR</t>
  </si>
  <si>
    <t>DM Aggregate</t>
  </si>
  <si>
    <t>AGGREGATE LATAM INCUMBENT MULTIPLES</t>
  </si>
  <si>
    <t>AGGREGATE LATAM CELLULAR MULTIPLES</t>
  </si>
  <si>
    <t>EM Asia incumbents</t>
  </si>
  <si>
    <t>DM Asia incumbents</t>
  </si>
  <si>
    <t>Asia Aggregate</t>
  </si>
  <si>
    <t>DM cellular</t>
  </si>
  <si>
    <t>DM Asia cellular</t>
  </si>
  <si>
    <t>Payout ratio (as % of EFCF)</t>
  </si>
  <si>
    <t>Telefonica Brasil</t>
  </si>
  <si>
    <t>TELEFONICA BRASIL</t>
  </si>
  <si>
    <t>TELEFONICA BRASIL MULTIPLES</t>
  </si>
  <si>
    <t>SAFARICOM</t>
  </si>
  <si>
    <t>Share price, KES</t>
  </si>
  <si>
    <t>SAFCOM KN Equity</t>
  </si>
  <si>
    <t>DPS / EPS</t>
  </si>
  <si>
    <t>Share Buyback as % of Market Cap</t>
  </si>
  <si>
    <t>Dividend plus buyback yield (%)</t>
  </si>
  <si>
    <t>Dividend plus Buyback Yield %</t>
  </si>
  <si>
    <t>Agg. Emerging Asia Incumbent</t>
  </si>
  <si>
    <t>Agg. Emerging Asia Cellular</t>
  </si>
  <si>
    <t>Agg. Emerging Asia sector</t>
  </si>
  <si>
    <t>Vodafone (prop.)</t>
  </si>
  <si>
    <t>Dividends as % of normalised EFCF</t>
  </si>
  <si>
    <t>Entel Chile</t>
  </si>
  <si>
    <t>ENTEL</t>
  </si>
  <si>
    <t>ENTEL MULTIPLES</t>
  </si>
  <si>
    <t>Entel</t>
  </si>
  <si>
    <t>ENTEL CI Equity</t>
  </si>
  <si>
    <t>Share price, CLP</t>
  </si>
  <si>
    <t>KDDI MULTIPLES</t>
  </si>
  <si>
    <t>DISH MULTIPLES</t>
  </si>
  <si>
    <t>CMCSA MULTIPLES</t>
  </si>
  <si>
    <t>CHARTER MULTIPLES</t>
  </si>
  <si>
    <t>ATT MULTIPLES</t>
  </si>
  <si>
    <t>AIS MULTIPLES</t>
  </si>
  <si>
    <t>LG MULTIPLES</t>
  </si>
  <si>
    <t>NTT MULTIPLES</t>
  </si>
  <si>
    <t>SAFARICOM MULTIPLES</t>
  </si>
  <si>
    <t>TELSTRA MULTIPLES</t>
  </si>
  <si>
    <t>VZ MULTIPLES</t>
  </si>
  <si>
    <t>EUR/BRL</t>
  </si>
  <si>
    <t>TEF equity</t>
  </si>
  <si>
    <t>Latam</t>
  </si>
  <si>
    <t>Switzerland</t>
  </si>
  <si>
    <t>SEK/LTL</t>
  </si>
  <si>
    <t>Less: Future licence spend (net of tax)</t>
  </si>
  <si>
    <t>Plus: Tax credit from licences</t>
  </si>
  <si>
    <t>Less: TDIRA: equity liability</t>
  </si>
  <si>
    <t>Less: NPV France seniors plan</t>
  </si>
  <si>
    <t>Plus: minority debt adjustment</t>
  </si>
  <si>
    <t>Digital TV</t>
  </si>
  <si>
    <t>Oi</t>
  </si>
  <si>
    <t>OIBR4 BZ Equity</t>
  </si>
  <si>
    <t>VIVT3 BZ Equity</t>
  </si>
  <si>
    <t>Less; Spectrum / license renewals</t>
  </si>
  <si>
    <t>Plus: Treasury shares</t>
  </si>
  <si>
    <t>OI</t>
  </si>
  <si>
    <t>OI MULTIPLES</t>
  </si>
  <si>
    <t>Iran</t>
  </si>
  <si>
    <t>Other Large Opco</t>
  </si>
  <si>
    <t>Small Opco</t>
  </si>
  <si>
    <t>USD/EUR</t>
  </si>
  <si>
    <t>Televisa</t>
  </si>
  <si>
    <t>TELEVISA</t>
  </si>
  <si>
    <t>EV CALCULATION (US$m)</t>
  </si>
  <si>
    <t>TV MULTIPLES</t>
  </si>
  <si>
    <t>TV US Equity</t>
  </si>
  <si>
    <t>TITR IM Equity</t>
  </si>
  <si>
    <t>TEL2B SS Equity</t>
  </si>
  <si>
    <t>LBTYB US Equity</t>
  </si>
  <si>
    <t>MBT US Equity</t>
  </si>
  <si>
    <t>OIBR3 BZ Equity</t>
  </si>
  <si>
    <t>9432 JP Equity</t>
  </si>
  <si>
    <t>9433 JP Equity</t>
  </si>
  <si>
    <t>Crown Castle</t>
  </si>
  <si>
    <t>US - Towers</t>
  </si>
  <si>
    <t>AMT US equity</t>
  </si>
  <si>
    <t>CCI US Equity</t>
  </si>
  <si>
    <t>SBAC US Equity</t>
  </si>
  <si>
    <t>American Tower</t>
  </si>
  <si>
    <t>Telefonica Brasil 3 (ord)</t>
  </si>
  <si>
    <t>Domestic Mobile</t>
  </si>
  <si>
    <t>TMUS</t>
  </si>
  <si>
    <t xml:space="preserve"> </t>
  </si>
  <si>
    <t>Axiata equity</t>
  </si>
  <si>
    <t>Bharti equity</t>
  </si>
  <si>
    <t>Add: dividend per share</t>
  </si>
  <si>
    <t>Plus: dividend per share</t>
  </si>
  <si>
    <t>T-MOBILE USA</t>
  </si>
  <si>
    <t>Agg. US Telco</t>
  </si>
  <si>
    <t>TMUS MULTIPLES</t>
  </si>
  <si>
    <t>N. AMERICAN TOWERS SECTOR MULTIPLES</t>
  </si>
  <si>
    <t>AMT</t>
  </si>
  <si>
    <t>Agg. US Towers</t>
  </si>
  <si>
    <t>AMT MULTIPLES</t>
  </si>
  <si>
    <t>Crown Castle International</t>
  </si>
  <si>
    <t>CCI MULTIPLES</t>
  </si>
  <si>
    <t>CCI</t>
  </si>
  <si>
    <t>SBA Communications</t>
  </si>
  <si>
    <t>SBAC MULTIPLES</t>
  </si>
  <si>
    <t>SBAC</t>
  </si>
  <si>
    <t>AGGREGATE US TOWERS</t>
  </si>
  <si>
    <t>AGG. US SECTOR MULTIPLES</t>
  </si>
  <si>
    <t>AGGREGATE US SECTOR</t>
  </si>
  <si>
    <t>AGGREGATE US TELECOMS</t>
  </si>
  <si>
    <t>AGG. US TELECOMS MULTIPLES</t>
  </si>
  <si>
    <t>AGGREGATE US CABLE MULTIPLES</t>
  </si>
  <si>
    <t>AGG. US TOWER MULTIPLES</t>
  </si>
  <si>
    <t>US Towers</t>
  </si>
  <si>
    <t>US Aggregate</t>
  </si>
  <si>
    <t>Adjusted P/AFFO</t>
  </si>
  <si>
    <t>TMUS US Equity</t>
  </si>
  <si>
    <t>ORANGE (FRANCE TELECOM GROUP)</t>
  </si>
  <si>
    <t>ORA equity</t>
  </si>
  <si>
    <t>ORANGE</t>
  </si>
  <si>
    <t>ORA MULTIPLES</t>
  </si>
  <si>
    <t>ORA</t>
  </si>
  <si>
    <t>Orange</t>
  </si>
  <si>
    <t>Current share price</t>
  </si>
  <si>
    <t>Excess property</t>
  </si>
  <si>
    <t>NPV of disposals</t>
  </si>
  <si>
    <t>US$bn</t>
  </si>
  <si>
    <t>Revenues</t>
  </si>
  <si>
    <t>Market cap</t>
  </si>
  <si>
    <t>EV</t>
  </si>
  <si>
    <t>Net debt/ EBITDA</t>
  </si>
  <si>
    <t>Towers</t>
  </si>
  <si>
    <t>US</t>
  </si>
  <si>
    <t>Developed Markets</t>
  </si>
  <si>
    <t>Incumbent</t>
  </si>
  <si>
    <t>EMEA</t>
  </si>
  <si>
    <t>Global EM</t>
  </si>
  <si>
    <t>LatAm</t>
  </si>
  <si>
    <t>Emerging Asia</t>
  </si>
  <si>
    <t>Global telcos</t>
  </si>
  <si>
    <t>(used in PEG calculation)</t>
  </si>
  <si>
    <t>GLOBAL TELECOMS SECTOR - SUMMARY</t>
  </si>
  <si>
    <t>Add: dividend</t>
  </si>
  <si>
    <t>Add: NPV tax benefit of eplus sale book loss</t>
  </si>
  <si>
    <t>Less: Leavers liability</t>
  </si>
  <si>
    <t>Indian Mobile</t>
  </si>
  <si>
    <t>South Asian Mobile</t>
  </si>
  <si>
    <t>Tef De stake</t>
  </si>
  <si>
    <t>RELATIVE VALUATION (2014E)</t>
  </si>
  <si>
    <t>Mar 15E net debt</t>
  </si>
  <si>
    <t>Net Inc.</t>
  </si>
  <si>
    <t>Indus Towers</t>
  </si>
  <si>
    <t>Plus: Proportionate Net debt (net cash)</t>
  </si>
  <si>
    <t>MYR/NOK</t>
  </si>
  <si>
    <t>EUR/NOK</t>
  </si>
  <si>
    <t>THB/NOK</t>
  </si>
  <si>
    <t>CAD/NOK</t>
  </si>
  <si>
    <t>USD/NOK</t>
  </si>
  <si>
    <t>Bharti Infratel</t>
  </si>
  <si>
    <t>BHIN MULTIPLES</t>
  </si>
  <si>
    <t>NOS PL Equity</t>
  </si>
  <si>
    <t>Nos</t>
  </si>
  <si>
    <t>NOS MULTIPLES</t>
  </si>
  <si>
    <t>NOS</t>
  </si>
  <si>
    <t xml:space="preserve">SBA </t>
  </si>
  <si>
    <t>Tower Bersama</t>
  </si>
  <si>
    <t>Sarana Menara</t>
  </si>
  <si>
    <t>Emerging Asia - Towers</t>
  </si>
  <si>
    <t>EV/Sales</t>
  </si>
  <si>
    <t>TOWR MULTIPLES</t>
  </si>
  <si>
    <t>TOWER BERSAMA</t>
  </si>
  <si>
    <t>SARANA MENARA (PROTELINDO)</t>
  </si>
  <si>
    <t>EM TOWER SECTOR MULTIPLES</t>
  </si>
  <si>
    <t>TOWR</t>
  </si>
  <si>
    <t>Agg. EM Tower</t>
  </si>
  <si>
    <t>TBIG</t>
  </si>
  <si>
    <t>TBIG MULTIPLES</t>
  </si>
  <si>
    <t>Dividend Yield %</t>
  </si>
  <si>
    <t>EV/Invested Capital</t>
  </si>
  <si>
    <t>Net debt / EBITDA</t>
  </si>
  <si>
    <t>Capex / Sales</t>
  </si>
  <si>
    <t>EV/Tower (US$000)</t>
  </si>
  <si>
    <t>EV/Tenant (US$000)</t>
  </si>
  <si>
    <t>EFCF Yield %</t>
  </si>
  <si>
    <t>OpFCF/Net Interest</t>
  </si>
  <si>
    <t>EBITDA growth y/y</t>
  </si>
  <si>
    <t>OpFCF growth y/y</t>
  </si>
  <si>
    <t>Revenue growth y/y</t>
  </si>
  <si>
    <t>Market Cap (US$bn)</t>
  </si>
  <si>
    <t>Entreprise Value (US$bn)</t>
  </si>
  <si>
    <t>TOWR IJ Equity</t>
  </si>
  <si>
    <t>TBIG IJ Equity</t>
  </si>
  <si>
    <t>Plus: Tower assets</t>
  </si>
  <si>
    <t>IDEA equity</t>
  </si>
  <si>
    <t>BDT/NOK</t>
  </si>
  <si>
    <t>Lithuania</t>
  </si>
  <si>
    <t>Estonia</t>
  </si>
  <si>
    <t>Latvia</t>
  </si>
  <si>
    <t>LiLAC</t>
  </si>
  <si>
    <t>SEK/USD</t>
  </si>
  <si>
    <t>BT shares</t>
  </si>
  <si>
    <t>EUR/GBP</t>
  </si>
  <si>
    <t xml:space="preserve">Agg. Developed Asia </t>
  </si>
  <si>
    <t>Agg. Global Developed</t>
  </si>
  <si>
    <t xml:space="preserve">Agg. Global Developed </t>
  </si>
  <si>
    <t>n.a.</t>
  </si>
  <si>
    <t>M&amp;A upside in France</t>
  </si>
  <si>
    <t xml:space="preserve">EU mobile </t>
  </si>
  <si>
    <t>Other Mobile</t>
  </si>
  <si>
    <t>EU-like mobile</t>
  </si>
  <si>
    <t>PROX BB Equity</t>
  </si>
  <si>
    <t>Proximus</t>
  </si>
  <si>
    <t>MEGACABLE</t>
  </si>
  <si>
    <t>Megacable</t>
  </si>
  <si>
    <t>AGGREGATE EMERGING ASIA INCUMBENTS</t>
  </si>
  <si>
    <t>AGGREGATE EMERGING ASIA CELLULAR</t>
  </si>
  <si>
    <t>Agg. Emerging LatAm Altnets &amp; Cable</t>
  </si>
  <si>
    <t>MEGACPO MM Equity</t>
  </si>
  <si>
    <t>MEGA MULTIPLES</t>
  </si>
  <si>
    <t>Magya</t>
  </si>
  <si>
    <t>AGGREGATE LATAM ALTNET &amp; CABLE</t>
  </si>
  <si>
    <t>AGGREGATE EM ALTNET &amp; CABLE</t>
  </si>
  <si>
    <t>LATAM ALTNET &amp; CABLE SECTOR MULTIPLES</t>
  </si>
  <si>
    <t>EM ALTNET &amp; CABLE MULTIPLES</t>
  </si>
  <si>
    <t>AGGREGATE LATAM ALTNET &amp; CABLE MULTIPLES</t>
  </si>
  <si>
    <t>AGGREGATE EM ALTNET &amp; CABLE MULTIPLES</t>
  </si>
  <si>
    <t>LiLAC A</t>
  </si>
  <si>
    <t>LiLAC B</t>
  </si>
  <si>
    <t>LiLAC C</t>
  </si>
  <si>
    <t>LILA US Equity</t>
  </si>
  <si>
    <t>HKBN</t>
  </si>
  <si>
    <t>HKBN MULTIPLES</t>
  </si>
  <si>
    <t>ASIA ALTNET SECTOR MULTIPLES</t>
  </si>
  <si>
    <t>LILAB US Equity</t>
  </si>
  <si>
    <t>LILAK US Equity</t>
  </si>
  <si>
    <t>1310 HK Equity</t>
  </si>
  <si>
    <t>Share price, MXN</t>
  </si>
  <si>
    <t>Share price, HkD</t>
  </si>
  <si>
    <t>Market cap. MXN</t>
  </si>
  <si>
    <t>LiLAC MULTIPLES</t>
  </si>
  <si>
    <t>Prop. EV/EBITDA</t>
  </si>
  <si>
    <t>Prop. EV/OpFCF</t>
  </si>
  <si>
    <t>Prop. EV/FCF</t>
  </si>
  <si>
    <t>Inwit</t>
  </si>
  <si>
    <t>2018E</t>
  </si>
  <si>
    <t>Cellnex</t>
  </si>
  <si>
    <t>Share price, Euro</t>
  </si>
  <si>
    <t>CELLNEX MULTIPLES</t>
  </si>
  <si>
    <t>INWIT MULTIPLES</t>
  </si>
  <si>
    <t>INWIT</t>
  </si>
  <si>
    <t>W. Eur - Towers</t>
  </si>
  <si>
    <t>CLNX SM Equity</t>
  </si>
  <si>
    <t>INW IM Equity</t>
  </si>
  <si>
    <t>RELATIVE VALUATION (2016E)</t>
  </si>
  <si>
    <t>Agg. West Europ TOWER</t>
  </si>
  <si>
    <t>Agg. W.Euro TOWER</t>
  </si>
  <si>
    <t>W.EURO TOWER SECTOR MULTIPLES</t>
  </si>
  <si>
    <t>AGGREGATE DM INCUMB MULTIPLES</t>
  </si>
  <si>
    <t>AGGREGATE DEVELOPED WORLD  INCUMBENT</t>
  </si>
  <si>
    <t>Agg. DM Incumbent total</t>
  </si>
  <si>
    <t>DM AGGREGATE MULTIPLES</t>
  </si>
  <si>
    <t>DM Incumbent sector</t>
  </si>
  <si>
    <t>AGGREGATE DEVELOPED WORLD CELLULAR</t>
  </si>
  <si>
    <t>Agg. Emerging Incumbent</t>
  </si>
  <si>
    <t>Agg. Emerging  Cellular</t>
  </si>
  <si>
    <t>EV/invested capital</t>
  </si>
  <si>
    <t xml:space="preserve">Less: Minorities </t>
  </si>
  <si>
    <t>2019E</t>
  </si>
  <si>
    <t>Less Associates</t>
  </si>
  <si>
    <t>Market cap.(bn)</t>
  </si>
  <si>
    <t>Market cap. (bn)</t>
  </si>
  <si>
    <t>Share price, IDR (bn)</t>
  </si>
  <si>
    <t>Market cap. (Bn)</t>
  </si>
  <si>
    <t>Telesites</t>
  </si>
  <si>
    <t>EV CALCULATION (MXN m)</t>
  </si>
  <si>
    <t>Telesites MULTIPLES</t>
  </si>
  <si>
    <t xml:space="preserve">LatAm </t>
  </si>
  <si>
    <t>Share price,MXN</t>
  </si>
  <si>
    <t>Market cap.(m)</t>
  </si>
  <si>
    <t>Oi (Ords)</t>
  </si>
  <si>
    <t>Oi (Perf)</t>
  </si>
  <si>
    <t>Share price, A$</t>
  </si>
  <si>
    <t>Market cap. (m)</t>
  </si>
  <si>
    <t xml:space="preserve">Telstra </t>
  </si>
  <si>
    <t>Agg. Developed Asia Incumbent</t>
  </si>
  <si>
    <t xml:space="preserve">Agg. Developed Asia Incumbent </t>
  </si>
  <si>
    <t>Spark NZ</t>
  </si>
  <si>
    <t>SPK NZ Equity</t>
  </si>
  <si>
    <t>Chorus NZ</t>
  </si>
  <si>
    <t>Share price, NZ$</t>
  </si>
  <si>
    <t>Bangladesh (ROBI)</t>
  </si>
  <si>
    <t>Drillisch</t>
  </si>
  <si>
    <t>United Internet</t>
  </si>
  <si>
    <t>UTDI GR Equity</t>
  </si>
  <si>
    <t>Share price, Eur</t>
  </si>
  <si>
    <t>DRI GR Equity</t>
  </si>
  <si>
    <t xml:space="preserve">P/EFCF </t>
  </si>
  <si>
    <t>UTDI MULTIPLES</t>
  </si>
  <si>
    <t>Agg.W.Eur.Altnet</t>
  </si>
  <si>
    <t>DRI MULTIPLES</t>
  </si>
  <si>
    <t>SPK MULTIPLES</t>
  </si>
  <si>
    <t>TCELL TI Equity</t>
  </si>
  <si>
    <t xml:space="preserve">Share price, Euro </t>
  </si>
  <si>
    <t>Network</t>
  </si>
  <si>
    <t>`</t>
  </si>
  <si>
    <t>Less: Nigerian fine liability</t>
  </si>
  <si>
    <t>OBEL BB Equity</t>
  </si>
  <si>
    <t>ORA FP Equity</t>
  </si>
  <si>
    <t>ELISA FH Equity</t>
  </si>
  <si>
    <t>Market cap. TRY</t>
  </si>
  <si>
    <t>Orange Belgium</t>
  </si>
  <si>
    <t>Of which: fixed</t>
  </si>
  <si>
    <t>Of which: mobile</t>
  </si>
  <si>
    <t>CNU MULTIPLES</t>
  </si>
  <si>
    <t>Share price,TRY</t>
  </si>
  <si>
    <t>Enterprise Value, TRY</t>
  </si>
  <si>
    <t>SITESB1 MM Equity</t>
  </si>
  <si>
    <t>Forecasts, THB m</t>
  </si>
  <si>
    <t>Forecasts, US$</t>
  </si>
  <si>
    <t>Forecasts, US$ m</t>
  </si>
  <si>
    <t>Forecasts, EUR m</t>
  </si>
  <si>
    <t>Forecasts, USD m</t>
  </si>
  <si>
    <t>Forecasts, MYR m</t>
  </si>
  <si>
    <t>Forecasts, INR m</t>
  </si>
  <si>
    <t>Forecasts, £ m</t>
  </si>
  <si>
    <t>Forecasts, Euro m</t>
  </si>
  <si>
    <t>Forecasts, TWD m</t>
  </si>
  <si>
    <t>Forecasts, NZ$m</t>
  </si>
  <si>
    <t>Forecasts, RMB bn</t>
  </si>
  <si>
    <t>Forecasts, RMB m</t>
  </si>
  <si>
    <t>Forecasts, Eur m</t>
  </si>
  <si>
    <t>Forecasts, CLPm</t>
  </si>
  <si>
    <t>Forecasts, HKD</t>
  </si>
  <si>
    <t>Forecasts, IDR m</t>
  </si>
  <si>
    <t>Forecasts, US$m</t>
  </si>
  <si>
    <t>Forecasts, IDR bn</t>
  </si>
  <si>
    <t>Forecasts, ¥bn</t>
  </si>
  <si>
    <t>Forecasts, KRW m</t>
  </si>
  <si>
    <t>Forecasts, MXN m</t>
  </si>
  <si>
    <t>Forecasts, ZAR m</t>
  </si>
  <si>
    <t>Forecasts, S$ m</t>
  </si>
  <si>
    <t>Forecasts, BRL m</t>
  </si>
  <si>
    <t>Forecasts, IDRbn</t>
  </si>
  <si>
    <t>Forecasts, KES m</t>
  </si>
  <si>
    <t>Forecasts,MXN m</t>
  </si>
  <si>
    <t>Forecasts, CHF m</t>
  </si>
  <si>
    <t>Forecasts, IDR</t>
  </si>
  <si>
    <t>Forecasts, SEK m</t>
  </si>
  <si>
    <t>Forecasts, TRY m</t>
  </si>
  <si>
    <t>Forecasts, A$m</t>
  </si>
  <si>
    <t>Forecasts, NOK m</t>
  </si>
  <si>
    <t>Forecasts, SKK m</t>
  </si>
  <si>
    <t>Nepal</t>
  </si>
  <si>
    <t>Mobileone (Singapore)</t>
  </si>
  <si>
    <t>Plus: NPV of tax benefit from License Amortisation</t>
  </si>
  <si>
    <t>LBTYK US Equity</t>
  </si>
  <si>
    <t>Plus: Iran cash received (75% probability)</t>
  </si>
  <si>
    <t>Add: NPV tax benefit of licence amortisation</t>
  </si>
  <si>
    <t>Denmark mobile</t>
  </si>
  <si>
    <t>Less: NPV licence renewal</t>
  </si>
  <si>
    <t>Plus: Licence amortisation tax shield</t>
  </si>
  <si>
    <t>Less/Plus: Pension Obligation/Surplus</t>
  </si>
  <si>
    <t>Fair value, ZAR</t>
  </si>
  <si>
    <t xml:space="preserve">Add: Capital repayment </t>
  </si>
  <si>
    <t>TPG</t>
  </si>
  <si>
    <t>TPG Telecom</t>
  </si>
  <si>
    <t>Share price, ¥</t>
  </si>
  <si>
    <t xml:space="preserve">Forecasts, ¥bn </t>
  </si>
  <si>
    <t>Less: Pension post tax</t>
  </si>
  <si>
    <t>Less: NPV Restructuring charge</t>
  </si>
  <si>
    <t>Estonia fixed</t>
  </si>
  <si>
    <t>Finland fixed</t>
  </si>
  <si>
    <t>Spirit Telecom</t>
  </si>
  <si>
    <t>Share price, p</t>
  </si>
  <si>
    <t>Market cap. (£)</t>
  </si>
  <si>
    <t>Enterprise Value (£)</t>
  </si>
  <si>
    <t>ST1 AU Equity</t>
  </si>
  <si>
    <t>VEON US Equity</t>
  </si>
  <si>
    <t>2020E</t>
  </si>
  <si>
    <t>Plus: MEIH</t>
  </si>
  <si>
    <t>Veon</t>
  </si>
  <si>
    <t>VEON</t>
  </si>
  <si>
    <t>Plus: NPV tax credits</t>
  </si>
  <si>
    <t>Corporate Development</t>
  </si>
  <si>
    <t>Altice US</t>
  </si>
  <si>
    <t>ATUS US Equity</t>
  </si>
  <si>
    <t>UR</t>
  </si>
  <si>
    <t>Forecasts, USDm</t>
  </si>
  <si>
    <t>KT US Equity</t>
  </si>
  <si>
    <t>Plus: Tax Assets/(Liabilities)</t>
  </si>
  <si>
    <t>Plus: NPV of License Amortisation</t>
  </si>
  <si>
    <t>UTDI equity</t>
  </si>
  <si>
    <t>SCMN SW Equity</t>
  </si>
  <si>
    <t>Add: Synergies</t>
  </si>
  <si>
    <t xml:space="preserve">Underlying Fair value per share </t>
  </si>
  <si>
    <t>Synergies (Vod IDEA)</t>
  </si>
  <si>
    <t>TELIA SS Equity</t>
  </si>
  <si>
    <t>Target price</t>
  </si>
  <si>
    <t>Plus: associates (DT Netherlands 25% equity stake)</t>
  </si>
  <si>
    <t>Less: NPV restructuring payments</t>
  </si>
  <si>
    <t>Plus: NPV CEE deferred sales proceeds</t>
  </si>
  <si>
    <t>Less: Mar 2019E (net debt)/cash</t>
  </si>
  <si>
    <t>2021E</t>
  </si>
  <si>
    <t>18E-21E</t>
  </si>
  <si>
    <t>RELATIVE VALUATION (2018E)</t>
  </si>
  <si>
    <t>12 month historical recommendation changes are available on request</t>
  </si>
  <si>
    <t>New Street Research LLP is authorised and regulated in the UK by the Financial Conduct Authority and is registered in the United States with the Securities and Exchange Commission as an investment adviser.  It may be distributed in the United States by New Street Research LLC which is a partner of New Street Research LLP.</t>
  </si>
  <si>
    <t>Regulatory Disclosures: This research is directed only at persons classified as Professional Clients under the rules of the Financial Conduct Authority (‘FCA’), and must not be re-distributed to Retail Clients as defined in the rules of the FCA.</t>
  </si>
  <si>
    <t>This research is for our clients only. It is based on current public information which we consider reliable, but we do not represent that it is accurate or complete, and it should not be relied on as such. We seek to update our research as appropriate, but various regulations may prevent us from doing so. Most of our reports are published at irregular intervals as appropriate in the analyst's judgment.</t>
  </si>
  <si>
    <t>This research is not an offer to sell or the solicitation of an offer to buy any security in any jurisdiction where such an offer or solicitation would be illegal. It does not constitute a personal recommendation or take into account the particular investment objectives, financial situations, or needs of individual clients. </t>
  </si>
  <si>
    <t>All our research reports are disseminated and available to all clients simultaneously through electronic publication to our website. </t>
  </si>
  <si>
    <t>No part of this material may be copied, photocopied or duplicated in any form by any means or redistributed without the prior written consent of New Street Research LLP.</t>
  </si>
  <si>
    <t>Orange Poland</t>
  </si>
  <si>
    <t>Rest of Europe</t>
  </si>
  <si>
    <t>AME</t>
  </si>
  <si>
    <t>Bank</t>
  </si>
  <si>
    <t>Vox group (Luxembourg)</t>
  </si>
  <si>
    <t>Target price (EUR)</t>
  </si>
  <si>
    <t>Telxius</t>
  </si>
  <si>
    <t>Less: Hybrids</t>
  </si>
  <si>
    <t>ASIA ALTNET &amp; CABLE SECTOR MULTIPLES</t>
  </si>
  <si>
    <t>China Tower</t>
  </si>
  <si>
    <t>788 HK Equity</t>
  </si>
  <si>
    <t>CHINA TOWER</t>
  </si>
  <si>
    <t>China Tower MULTIPLES</t>
  </si>
  <si>
    <t>Plus: NPV tax credit</t>
  </si>
  <si>
    <t>Less: Minorities</t>
  </si>
  <si>
    <t>Digi (Malaysia)</t>
  </si>
  <si>
    <t>Grameen (Bangla)</t>
  </si>
  <si>
    <t>DTAC (Thailand)</t>
  </si>
  <si>
    <t>Sweden Mobile</t>
  </si>
  <si>
    <t>Telia GROUP</t>
  </si>
  <si>
    <t>Other/Fin stores</t>
  </si>
  <si>
    <t>Telia</t>
  </si>
  <si>
    <t>Telia MULTIPLES</t>
  </si>
  <si>
    <t>Mar 20E net debt</t>
  </si>
  <si>
    <t xml:space="preserve">Plus: Associates </t>
  </si>
  <si>
    <t>Add: 2019 dividend</t>
  </si>
  <si>
    <t>End 20E net debt</t>
  </si>
  <si>
    <t>SoftBank KK (Corp)</t>
  </si>
  <si>
    <t>9434 JP Equity</t>
  </si>
  <si>
    <t>SOFTBANK KK (CORP)</t>
  </si>
  <si>
    <t>SOFTBANK KK (CORP) MULTIPLES</t>
  </si>
  <si>
    <t>Developed Asia Pac. - Incumbents</t>
  </si>
  <si>
    <t>Developed Asia Pac.- Cellular</t>
  </si>
  <si>
    <t>Developed Asia Pac. - Altnet &amp; Cable</t>
  </si>
  <si>
    <t>Rakuten</t>
  </si>
  <si>
    <t>MultiChoice</t>
  </si>
  <si>
    <t>4755 JP Equity</t>
  </si>
  <si>
    <t>MCG SJ Equity</t>
  </si>
  <si>
    <t>RAKUTEN</t>
  </si>
  <si>
    <t>Enterprise Value (bn)</t>
  </si>
  <si>
    <t>RAKUTEN MULTIPLES</t>
  </si>
  <si>
    <t>EMEA - DTH</t>
  </si>
  <si>
    <t>MCG</t>
  </si>
  <si>
    <t>CNU NZ Equity</t>
  </si>
  <si>
    <t>MAQ AT Equity</t>
  </si>
  <si>
    <t>Macquarie Telecom</t>
  </si>
  <si>
    <t>MACQUARIE TELECOM MULTIPLES</t>
  </si>
  <si>
    <t>Plus: associates</t>
  </si>
  <si>
    <t>Total Nordic</t>
  </si>
  <si>
    <t>Total Europe</t>
  </si>
  <si>
    <t>Total Asia</t>
  </si>
  <si>
    <t>Total Group</t>
  </si>
  <si>
    <t>NPV: licences not in net debt</t>
  </si>
  <si>
    <t>Business Applications</t>
  </si>
  <si>
    <t>Associates Total</t>
  </si>
  <si>
    <t>TIGO US Equity</t>
  </si>
  <si>
    <t>Greece Mobile</t>
  </si>
  <si>
    <t>Romania Mobile</t>
  </si>
  <si>
    <t>Greece Fixed</t>
  </si>
  <si>
    <t>Other (Insurance, OTEGlobe etc)</t>
  </si>
  <si>
    <t>Vodafone IDEA</t>
  </si>
  <si>
    <t>Synergies w/ TNOR</t>
  </si>
  <si>
    <t>Home services</t>
  </si>
  <si>
    <t>Less: Mar 2020E (net debt)/cash</t>
  </si>
  <si>
    <t>Africa net debt</t>
  </si>
  <si>
    <t>Add: 2020E dividend</t>
  </si>
  <si>
    <t>Airtel Africa</t>
  </si>
  <si>
    <t>West Europe</t>
  </si>
  <si>
    <t>Rest of World</t>
  </si>
  <si>
    <t xml:space="preserve">This report was produced by New Street Research LLP. 52 Cornhill, London, EC3V 3PD Tel: +44 20 7375 9111. </t>
  </si>
  <si>
    <t>Consumer Applications</t>
  </si>
  <si>
    <t>Business Access (Versatel)</t>
  </si>
  <si>
    <t>Consumer Access (Drillisch)</t>
  </si>
  <si>
    <t>DCF</t>
  </si>
  <si>
    <t>Total EV</t>
  </si>
  <si>
    <t>Add: Ord dividend</t>
  </si>
  <si>
    <t>Add: Savers dividend</t>
  </si>
  <si>
    <t>Total associatess</t>
  </si>
  <si>
    <t>* Calculated as P/E vs. 2021-2023 earnings CAGR</t>
  </si>
  <si>
    <t>Total Sweden</t>
  </si>
  <si>
    <t>Total Finland</t>
  </si>
  <si>
    <t>Total Noray</t>
  </si>
  <si>
    <t>Total Denmark</t>
  </si>
  <si>
    <t>Finland mobile</t>
  </si>
  <si>
    <t>Total Estonia</t>
  </si>
  <si>
    <t>Total Lithuania</t>
  </si>
  <si>
    <t>Bonnier</t>
  </si>
  <si>
    <t>Less: licence renewal (NPV)</t>
  </si>
  <si>
    <t>Lithuania mobile</t>
  </si>
  <si>
    <t>Lithuania fixed</t>
  </si>
  <si>
    <t>Fixed</t>
  </si>
  <si>
    <t>Total Norway</t>
  </si>
  <si>
    <t>DNA (Finland)</t>
  </si>
  <si>
    <t>NENT JV (Viasat &amp; Canal Digital)</t>
  </si>
  <si>
    <t>NPV: lease payments not in net debt</t>
  </si>
  <si>
    <t>Less: Pension</t>
  </si>
  <si>
    <t>Less: NPV of lease expense not in net debt</t>
  </si>
  <si>
    <t>Less: Future spectrum renewals, 2020</t>
  </si>
  <si>
    <t>Less: 100% of hybrid</t>
  </si>
  <si>
    <t>Less: NPV 2020 France auction</t>
  </si>
  <si>
    <t>Plus: Tax credits (inc licence amortisation)</t>
  </si>
  <si>
    <t>Total Greece</t>
  </si>
  <si>
    <t>Total Romania</t>
  </si>
  <si>
    <t>Total value</t>
  </si>
  <si>
    <t>Now in greece</t>
  </si>
  <si>
    <t>Less: NPV of spectrum license renewal</t>
  </si>
  <si>
    <t>Add: 2020 dividend</t>
  </si>
  <si>
    <t>T Mobile NL</t>
  </si>
  <si>
    <t>Less: NPV of spectrum renewal</t>
  </si>
  <si>
    <t>Less: NPV Lease payments not in Net Debt</t>
  </si>
  <si>
    <t>Less: NPV spectrum cost post 2020</t>
  </si>
  <si>
    <t>Less: NPV future spectrum costs (end 2020)</t>
  </si>
  <si>
    <t>Less: NPV of 2020 spectrum auction</t>
  </si>
  <si>
    <t>Altnet and cable</t>
  </si>
  <si>
    <t>AGGREGATE W.EUROPE TOWERS</t>
  </si>
  <si>
    <t>AGGREGATE W.EUROPEAN TELECOMS SECTOR (EX. TOWERS)</t>
  </si>
  <si>
    <t>TPG AU Equity</t>
  </si>
  <si>
    <t>EFCF Mkt Cap (EUR for Europe, US$ RoW)</t>
  </si>
  <si>
    <t>Italy (ex. FiberCop)</t>
  </si>
  <si>
    <t>FiberCop</t>
  </si>
  <si>
    <t>ND AL, FY21</t>
  </si>
  <si>
    <t>Inwit stake</t>
  </si>
  <si>
    <t>Spectrum renewals</t>
  </si>
  <si>
    <t>Dividend + buyback yield, Ords</t>
  </si>
  <si>
    <t>Adj. net income (Cons.)</t>
  </si>
  <si>
    <t>EFCF (Prop.)</t>
  </si>
  <si>
    <t>GHS</t>
  </si>
  <si>
    <t>NSR Target</t>
  </si>
  <si>
    <t>Less: NPV licence renewals (net of tax)</t>
  </si>
  <si>
    <t>Less: NPV Restructuring, content, PPE sales</t>
  </si>
  <si>
    <t>Book value</t>
  </si>
  <si>
    <t>Less: NPV spectrum not yet paid</t>
  </si>
  <si>
    <t>Plus: New VRS (now in forecats)</t>
  </si>
  <si>
    <t>Further cost-cutting upside (included in forecats)</t>
  </si>
  <si>
    <t>TIMS3 BZ Equity</t>
  </si>
  <si>
    <t>INDUSTOW IN Equity</t>
  </si>
  <si>
    <t>CHF/USD</t>
  </si>
  <si>
    <t>DKK/USD</t>
  </si>
  <si>
    <t>TRY/USD</t>
  </si>
  <si>
    <t>KWD/USD</t>
  </si>
  <si>
    <t>INR/USD</t>
  </si>
  <si>
    <t>GBP/USD</t>
  </si>
  <si>
    <t>CZK/USD</t>
  </si>
  <si>
    <t>HUF/USD</t>
  </si>
  <si>
    <t>NOK/USD</t>
  </si>
  <si>
    <t>MYR/USD</t>
  </si>
  <si>
    <t>BRL/USD</t>
  </si>
  <si>
    <t>JPY/USD</t>
  </si>
  <si>
    <t>PLN/USD</t>
  </si>
  <si>
    <t>THB/USD</t>
  </si>
  <si>
    <t>CAD/USD</t>
  </si>
  <si>
    <t>CLP/USD</t>
  </si>
  <si>
    <t>LTL/USD</t>
  </si>
  <si>
    <t>MAD/USD</t>
  </si>
  <si>
    <t>ZAR/USD</t>
  </si>
  <si>
    <t>EGP/USD</t>
  </si>
  <si>
    <t>IDR/USD</t>
  </si>
  <si>
    <t>KRW/USD</t>
  </si>
  <si>
    <t>RUB/USD</t>
  </si>
  <si>
    <t>CNY/USD</t>
  </si>
  <si>
    <t>SGD/USD</t>
  </si>
  <si>
    <t>PHP/USD</t>
  </si>
  <si>
    <t>LKR/USD</t>
  </si>
  <si>
    <t>KES/USD</t>
  </si>
  <si>
    <t>MXN/USD</t>
  </si>
  <si>
    <t>TWD/USD</t>
  </si>
  <si>
    <t>ARS/USD</t>
  </si>
  <si>
    <t>PKR/USD</t>
  </si>
  <si>
    <t>BDT/USD</t>
  </si>
  <si>
    <t>QAR/USD</t>
  </si>
  <si>
    <t>CHF Curncy</t>
  </si>
  <si>
    <t>DKK Curncy</t>
  </si>
  <si>
    <t>TRY Curncy</t>
  </si>
  <si>
    <t>KWD Curncy</t>
  </si>
  <si>
    <t>INR Curncy</t>
  </si>
  <si>
    <t>GBP Curncy</t>
  </si>
  <si>
    <t>CZK Curncy</t>
  </si>
  <si>
    <t>EUR Curncy</t>
  </si>
  <si>
    <t>HUF Curncy</t>
  </si>
  <si>
    <t>NOK Curncy</t>
  </si>
  <si>
    <t>SEK Curncy</t>
  </si>
  <si>
    <t>MYR Curncy</t>
  </si>
  <si>
    <t>BRL Curncy</t>
  </si>
  <si>
    <t>JPY Curncy</t>
  </si>
  <si>
    <t>PLN Curncy</t>
  </si>
  <si>
    <t>THB Curncy</t>
  </si>
  <si>
    <t>CAD Curncy</t>
  </si>
  <si>
    <t>CLP Curncy</t>
  </si>
  <si>
    <t>LTL Curncy</t>
  </si>
  <si>
    <t>HKD Curncy</t>
  </si>
  <si>
    <t>AUD Curncy</t>
  </si>
  <si>
    <t>MAD Curncy</t>
  </si>
  <si>
    <t>ZAR Curncy</t>
  </si>
  <si>
    <t>EGP Curncy</t>
  </si>
  <si>
    <t>IDR Curncy</t>
  </si>
  <si>
    <t>KRW Curncy</t>
  </si>
  <si>
    <t>RUB Curncy</t>
  </si>
  <si>
    <t>CNY Curncy</t>
  </si>
  <si>
    <t>SGD Curncy</t>
  </si>
  <si>
    <t>PHP Curncy</t>
  </si>
  <si>
    <t>LKR Curncy</t>
  </si>
  <si>
    <t>KES Curncy</t>
  </si>
  <si>
    <t>MXN Curncy</t>
  </si>
  <si>
    <t>TWD Curncy</t>
  </si>
  <si>
    <t>ARS Curncy</t>
  </si>
  <si>
    <t>PKR Curncy</t>
  </si>
  <si>
    <t>BDT Curncy</t>
  </si>
  <si>
    <t>QAR Curncy</t>
  </si>
  <si>
    <t>NZD Curncy</t>
  </si>
  <si>
    <t>BBVA SM Equity</t>
  </si>
  <si>
    <t>IAM FP Equity</t>
  </si>
  <si>
    <t>BT.A-GB</t>
  </si>
  <si>
    <t>DTE-DE</t>
  </si>
  <si>
    <t>KPN-NL</t>
  </si>
  <si>
    <t>ORA-FR</t>
  </si>
  <si>
    <t>SCMN-CH</t>
  </si>
  <si>
    <t>TIT-IT</t>
  </si>
  <si>
    <t>TITR-IT</t>
  </si>
  <si>
    <t>TEF-ES</t>
  </si>
  <si>
    <t>TEL-NO</t>
  </si>
  <si>
    <t>TELIA-SE</t>
  </si>
  <si>
    <t>HTO-GR</t>
  </si>
  <si>
    <t>ELISA-FI</t>
  </si>
  <si>
    <t>TEL2.B-SE</t>
  </si>
  <si>
    <t>TEL2.A-SE</t>
  </si>
  <si>
    <t>OBEL-BE</t>
  </si>
  <si>
    <t>VOD-GB</t>
  </si>
  <si>
    <t>UTDI-DE</t>
  </si>
  <si>
    <t>LBTYA-US</t>
  </si>
  <si>
    <t>LBTYB-US</t>
  </si>
  <si>
    <t>LBTYK-US</t>
  </si>
  <si>
    <t>NOS-PT</t>
  </si>
  <si>
    <t>CLNX-ES</t>
  </si>
  <si>
    <t>INW-IT</t>
  </si>
  <si>
    <t>TMUS-US</t>
  </si>
  <si>
    <t>CHTR-US</t>
  </si>
  <si>
    <t>CMCSA-US</t>
  </si>
  <si>
    <t>ATUS-US</t>
  </si>
  <si>
    <t>AMT-US</t>
  </si>
  <si>
    <t>CCI-US</t>
  </si>
  <si>
    <t>9432-JP</t>
  </si>
  <si>
    <t>TLS-AU</t>
  </si>
  <si>
    <t>CNU-NZ</t>
  </si>
  <si>
    <t>9433-JP</t>
  </si>
  <si>
    <t>4755-JP</t>
  </si>
  <si>
    <t>9434-JP</t>
  </si>
  <si>
    <t>1310-HK</t>
  </si>
  <si>
    <t>ST1-AU</t>
  </si>
  <si>
    <t>TPG-AU</t>
  </si>
  <si>
    <t>SPK-NZ</t>
  </si>
  <si>
    <t>Z74-SG</t>
  </si>
  <si>
    <t>SBAC-US</t>
  </si>
  <si>
    <t>728-HK</t>
  </si>
  <si>
    <t>762-HK</t>
  </si>
  <si>
    <t>2412-TW</t>
  </si>
  <si>
    <t>TLKM-ID</t>
  </si>
  <si>
    <t>This sheet contains FactSet XML data for use with this workbook's =FDS codes.  Modifying the worksheet's contents may damage the workbook's =FDS functionality.</t>
  </si>
  <si>
    <t>ADVANC-TH</t>
  </si>
  <si>
    <t>941-HK</t>
  </si>
  <si>
    <t>6888-MY</t>
  </si>
  <si>
    <t>532454-IN</t>
  </si>
  <si>
    <t>6947-MY</t>
  </si>
  <si>
    <t>4904-TW</t>
  </si>
  <si>
    <t>Vodafone Idea</t>
  </si>
  <si>
    <t>532822-IN</t>
  </si>
  <si>
    <t>ISAT-ID</t>
  </si>
  <si>
    <t>032640-KR</t>
  </si>
  <si>
    <t>6012-MY</t>
  </si>
  <si>
    <t>017670-KR</t>
  </si>
  <si>
    <t>3045-TW</t>
  </si>
  <si>
    <t>TRUE-TH</t>
  </si>
  <si>
    <t>EXCL-ID</t>
  </si>
  <si>
    <t>534816-IN</t>
  </si>
  <si>
    <t>788-HK</t>
  </si>
  <si>
    <t>TOWR-ID</t>
  </si>
  <si>
    <t>TBIG-ID</t>
  </si>
  <si>
    <t>TKG-ZA</t>
  </si>
  <si>
    <t>MTN-ZA</t>
  </si>
  <si>
    <t>SCOM-KE</t>
  </si>
  <si>
    <t>VOD-ZA</t>
  </si>
  <si>
    <t>MCG-ZA</t>
  </si>
  <si>
    <t>TV-US</t>
  </si>
  <si>
    <t>OIBR4-BR</t>
  </si>
  <si>
    <t>OIBR3-BR</t>
  </si>
  <si>
    <t>ENTEL-CL</t>
  </si>
  <si>
    <t>TIMS3-BR</t>
  </si>
  <si>
    <t>MEGACPO-MX</t>
  </si>
  <si>
    <t>LILAB-US</t>
  </si>
  <si>
    <t>LILAK-US</t>
  </si>
  <si>
    <t>VIVT3-BR</t>
  </si>
  <si>
    <t>LILA-US</t>
  </si>
  <si>
    <t>BBVA-ES</t>
  </si>
  <si>
    <t>USDCHF</t>
  </si>
  <si>
    <t>USDDKK</t>
  </si>
  <si>
    <t>USDTRY</t>
  </si>
  <si>
    <t>USDKWD</t>
  </si>
  <si>
    <t>USDINR</t>
  </si>
  <si>
    <t>USDGBP</t>
  </si>
  <si>
    <t>USDCZK</t>
  </si>
  <si>
    <t>USDHUF</t>
  </si>
  <si>
    <t>USDNOK</t>
  </si>
  <si>
    <t>USDSEK</t>
  </si>
  <si>
    <t>USDMYR</t>
  </si>
  <si>
    <t>USDBRL</t>
  </si>
  <si>
    <t>USDJPY</t>
  </si>
  <si>
    <t>USDPLN</t>
  </si>
  <si>
    <t>USDTHB</t>
  </si>
  <si>
    <t>USDCAD</t>
  </si>
  <si>
    <t>USDCLP</t>
  </si>
  <si>
    <t>USDLTL</t>
  </si>
  <si>
    <t>USDHKD</t>
  </si>
  <si>
    <t>USDAUD</t>
  </si>
  <si>
    <t>USDMAD</t>
  </si>
  <si>
    <t>USDZAR</t>
  </si>
  <si>
    <t>USDEGP</t>
  </si>
  <si>
    <t>USDIDR</t>
  </si>
  <si>
    <t>USDKRW</t>
  </si>
  <si>
    <t>USDRUB</t>
  </si>
  <si>
    <t>USDCNY</t>
  </si>
  <si>
    <t>USDSGD</t>
  </si>
  <si>
    <t>USDPHP</t>
  </si>
  <si>
    <t>USDLKR</t>
  </si>
  <si>
    <t>USDKES</t>
  </si>
  <si>
    <t>USDMXN</t>
  </si>
  <si>
    <t>USDTWD</t>
  </si>
  <si>
    <t>USDARS</t>
  </si>
  <si>
    <t>USDPKR</t>
  </si>
  <si>
    <t>USDBDT</t>
  </si>
  <si>
    <t>USDQAR</t>
  </si>
  <si>
    <t>T-US</t>
  </si>
  <si>
    <t>VZ-US</t>
  </si>
  <si>
    <t>MAQ-AU</t>
  </si>
  <si>
    <t>MBT-US</t>
  </si>
  <si>
    <t>TIGO-US</t>
  </si>
  <si>
    <t>IAM-FR</t>
  </si>
  <si>
    <t>EURUSD</t>
  </si>
  <si>
    <t>NZDUSD</t>
  </si>
  <si>
    <t>USD/NZD</t>
  </si>
  <si>
    <t>AUD/USD</t>
  </si>
  <si>
    <t>HKD/USD</t>
  </si>
  <si>
    <t>FX rates (USD)</t>
  </si>
  <si>
    <t>VEON-US</t>
  </si>
  <si>
    <t>LatAm - Altnets &amp; Cable</t>
  </si>
  <si>
    <t>Tenants</t>
  </si>
  <si>
    <t>RELATIVE VALUATION</t>
  </si>
  <si>
    <t>Tower KPIs</t>
  </si>
  <si>
    <t>Plus: NPV APG cash</t>
  </si>
  <si>
    <t>Less: KPN buys APG stake</t>
  </si>
  <si>
    <t>Add: NPV of R&amp;D deductions in Belgium</t>
  </si>
  <si>
    <t>Less: 50% of hybrid not included in net debt</t>
  </si>
  <si>
    <t>Less: lease liability not in net debt</t>
  </si>
  <si>
    <t>Fibre JVs</t>
  </si>
  <si>
    <t>TOWER MULTIPLES</t>
  </si>
  <si>
    <t>Value in accounts</t>
  </si>
  <si>
    <t>AAF LN Equity</t>
  </si>
  <si>
    <t>AAF-GB</t>
  </si>
  <si>
    <t>AAF MULTIPLES</t>
  </si>
  <si>
    <t>Indus Tower</t>
  </si>
  <si>
    <t>INDUS TOWERS</t>
  </si>
  <si>
    <t>Less: (net debt)/cash</t>
  </si>
  <si>
    <t>BICS+Telesign</t>
  </si>
  <si>
    <t>Less: Future claims (75% chance)</t>
  </si>
  <si>
    <t>1&amp;1</t>
  </si>
  <si>
    <t>1U1-DE</t>
  </si>
  <si>
    <t>TTKOM.E-TR</t>
  </si>
  <si>
    <t>TCELL.E-TR</t>
  </si>
  <si>
    <t>Agg. W. Europe Other</t>
  </si>
  <si>
    <t>OTHER</t>
  </si>
  <si>
    <t>AGGREGATE W. EUROPE OTHER</t>
  </si>
  <si>
    <t>W. EUR OTHER SECTOR MULTIPLES</t>
  </si>
  <si>
    <t>W. EUR. OTHER SECTOR MULTIPLES</t>
  </si>
  <si>
    <t>W.EUR OTHER SECTOR MULTIPLES</t>
  </si>
  <si>
    <t>Agg.W.Eur Other</t>
  </si>
  <si>
    <t>AGGREGATE DEVELOPED ASIA OTHER</t>
  </si>
  <si>
    <t>Agg. Developed Asia Other</t>
  </si>
  <si>
    <t>DM ASIA OTHER SECTOR MULTIPLES</t>
  </si>
  <si>
    <t>W. Eur - Other</t>
  </si>
  <si>
    <t>LatAm - Towers</t>
  </si>
  <si>
    <t>EMEA - Towers</t>
  </si>
  <si>
    <t>IHS Towers</t>
  </si>
  <si>
    <t>IHS US Equity</t>
  </si>
  <si>
    <t>Share price, $</t>
  </si>
  <si>
    <t>Forecasts, $ m</t>
  </si>
  <si>
    <t>AGGREGATE EM TOWERS</t>
  </si>
  <si>
    <t>Market cap. $ m</t>
  </si>
  <si>
    <t>EM Aggregate</t>
  </si>
  <si>
    <t>EM Towers</t>
  </si>
  <si>
    <t>RELATIVE VALUATION (2022E)</t>
  </si>
  <si>
    <t>IHS</t>
  </si>
  <si>
    <t>IHS-USA</t>
  </si>
  <si>
    <t>Mitratel</t>
  </si>
  <si>
    <t>MITRATEL</t>
  </si>
  <si>
    <t>MTEL IJ Equity</t>
  </si>
  <si>
    <t>MTEL-ID</t>
  </si>
  <si>
    <t>PROX-BE</t>
  </si>
  <si>
    <t>Asscoiate discount</t>
  </si>
  <si>
    <t>Asia</t>
  </si>
  <si>
    <t>Add dividend</t>
  </si>
  <si>
    <t>Sale price</t>
  </si>
  <si>
    <t xml:space="preserve">USD </t>
  </si>
  <si>
    <t xml:space="preserve">EUR </t>
  </si>
  <si>
    <t xml:space="preserve">HKD </t>
  </si>
  <si>
    <t xml:space="preserve">MXN </t>
  </si>
  <si>
    <t xml:space="preserve">GBP </t>
  </si>
  <si>
    <t>GBP</t>
  </si>
  <si>
    <t xml:space="preserve">AUD </t>
  </si>
  <si>
    <t xml:space="preserve">NZD </t>
  </si>
  <si>
    <t xml:space="preserve">JPY </t>
  </si>
  <si>
    <t xml:space="preserve">SGD </t>
  </si>
  <si>
    <t xml:space="preserve">KES </t>
  </si>
  <si>
    <t>© Copyright 2022 New Street Research LLP</t>
  </si>
  <si>
    <t>Plus: Poland FTTH cash still to come</t>
  </si>
  <si>
    <t>Less: Poland FTTH JV bought back</t>
  </si>
  <si>
    <t>Less: Orange Concessions FTTH JV bought back</t>
  </si>
  <si>
    <t>Assume 51% stake bought back, and so no minority adjustment</t>
  </si>
  <si>
    <t>GlasfaserPlus (DT-IFM JV)</t>
  </si>
  <si>
    <t>Liberty Global (prop.)</t>
  </si>
  <si>
    <t>SITES1A.1-MX</t>
  </si>
  <si>
    <t>VOO</t>
  </si>
  <si>
    <t>Sub-total</t>
  </si>
  <si>
    <t>Chile Infra</t>
  </si>
  <si>
    <t>Brazil Infra</t>
  </si>
  <si>
    <t>Colombia Infra</t>
  </si>
  <si>
    <t>Deal multiple</t>
  </si>
  <si>
    <t xml:space="preserve">Less: Restructuring </t>
  </si>
  <si>
    <t>Less: German 2018 auction</t>
  </si>
  <si>
    <t>Less: Lease costs</t>
  </si>
  <si>
    <t>Less: NPV equity injections</t>
  </si>
  <si>
    <t>TOTEM</t>
  </si>
  <si>
    <t>Africa only (5x Revenue)</t>
  </si>
  <si>
    <t>2022 EV/EBITDA (Inwit/Vantage mult)</t>
  </si>
  <si>
    <t>2023E</t>
  </si>
  <si>
    <t>2024E</t>
  </si>
  <si>
    <t>2025E</t>
  </si>
  <si>
    <t>PROPORTIONATES</t>
  </si>
  <si>
    <t>UNITED INTERNET GROUP</t>
  </si>
  <si>
    <t>Share price (A), US$</t>
  </si>
  <si>
    <t>Share price (C), US$</t>
  </si>
  <si>
    <t>Global Telecoms Multiples</t>
  </si>
  <si>
    <t>AXIATA SOP</t>
  </si>
  <si>
    <t>BHARTI SOP</t>
  </si>
  <si>
    <t>DEUTSCHE TELEKOM SOP</t>
  </si>
  <si>
    <t>ELISA SOP</t>
  </si>
  <si>
    <t>IDEA CELLULAR SOP</t>
  </si>
  <si>
    <t>KPN SOP</t>
  </si>
  <si>
    <t>MTN SOP</t>
  </si>
  <si>
    <t>Orange Belgium SOP</t>
  </si>
  <si>
    <t>ORANGE SOP</t>
  </si>
  <si>
    <t>OTE SOP</t>
  </si>
  <si>
    <t>Proximus SOP</t>
  </si>
  <si>
    <t>SWISSCOM SOP</t>
  </si>
  <si>
    <t>TELEFONICA SOP</t>
  </si>
  <si>
    <t>TELE2 SOP</t>
  </si>
  <si>
    <t>TELECOM ITALIA SOP</t>
  </si>
  <si>
    <t>TELENOR SOP</t>
  </si>
  <si>
    <t>Telia SOP</t>
  </si>
  <si>
    <t>United Internet SOP</t>
  </si>
  <si>
    <t>VODAFONE SOP</t>
  </si>
  <si>
    <t>ATCUS</t>
  </si>
  <si>
    <t>James Ratzer</t>
  </si>
  <si>
    <t>james@newstreetresearch.com</t>
  </si>
  <si>
    <t>Russell Waller</t>
  </si>
  <si>
    <t>russell@newstreetresearch.com</t>
  </si>
  <si>
    <t>USA</t>
  </si>
  <si>
    <t>Jonathan Chaplin</t>
  </si>
  <si>
    <t>jonathan.chaplin@newstreetresearch.com</t>
  </si>
  <si>
    <t>Emerging Markets</t>
  </si>
  <si>
    <t>chris@newstreetresearch.com</t>
  </si>
  <si>
    <t>Chris Hoare</t>
  </si>
  <si>
    <t>Soomit Datta</t>
  </si>
  <si>
    <t>soomit@newstreetresearch.com</t>
  </si>
  <si>
    <t>+44 20 7375 9125</t>
  </si>
  <si>
    <t>+44 20 7375 9127</t>
  </si>
  <si>
    <t>+1 212 921 9876</t>
  </si>
  <si>
    <t>+44 20 7375 9130</t>
  </si>
  <si>
    <t>+44 20 7375 9128</t>
  </si>
  <si>
    <t>Prisa</t>
  </si>
  <si>
    <t>Plus: ERF upside (included in forecasts)</t>
  </si>
  <si>
    <t>Telia Towers (Finland and Norway)</t>
  </si>
  <si>
    <t>Telia Towers (Sweden)</t>
  </si>
  <si>
    <t>FibreCo</t>
  </si>
  <si>
    <t>FibreCo value uplift vs Norway fixed valuation</t>
  </si>
  <si>
    <t>Orange Concessions FTTH JV</t>
  </si>
  <si>
    <t>New entrant risk- 30% loss of value to 20% of domestic business</t>
  </si>
  <si>
    <t>Spain rural FTTH</t>
  </si>
  <si>
    <t>Less: end (net debt)/cash</t>
  </si>
  <si>
    <t>Less:  (net debt)/cash</t>
  </si>
  <si>
    <t>New entrant risk, 30%impact to 20% of domestic business</t>
  </si>
  <si>
    <t>Less: Net (debt)/cash</t>
  </si>
  <si>
    <t>Book value + spectrum</t>
  </si>
  <si>
    <t>True</t>
  </si>
  <si>
    <t>Total Domestic</t>
  </si>
  <si>
    <t>Fiberklaar</t>
  </si>
  <si>
    <t>Unifiber</t>
  </si>
  <si>
    <t>GOFiber</t>
  </si>
  <si>
    <t>Consortium</t>
  </si>
  <si>
    <t>Fibre JVs (Equity value) 2023</t>
  </si>
  <si>
    <t>Less: Spectrum renewal (NPV of renewal cost after 2019)</t>
  </si>
  <si>
    <t>Less: NPV of spectrum auctions</t>
  </si>
  <si>
    <t>Less: Court case loss, €1.8bn, 10% probability</t>
  </si>
  <si>
    <t>Less: NPV equity injections to fibre JV</t>
  </si>
  <si>
    <t>Less: NPV restructuring costs</t>
  </si>
  <si>
    <t>Add: 2023 JVs net debt</t>
  </si>
  <si>
    <t>Debt and equity funding captued in capex below in the DCF</t>
  </si>
  <si>
    <t>SOP assumes JVs bought in, therefore include debt at JVs</t>
  </si>
  <si>
    <t>Domestic</t>
  </si>
  <si>
    <t>BICS/Telesign</t>
  </si>
  <si>
    <t>n/r</t>
  </si>
  <si>
    <t>Adj. EBITDA</t>
  </si>
  <si>
    <t>Systems Solutions</t>
  </si>
  <si>
    <t>DMFG</t>
  </si>
  <si>
    <t>Net debt AL</t>
  </si>
  <si>
    <t>Hispam</t>
  </si>
  <si>
    <t>Other and eliminations (excl. Telxius)</t>
  </si>
  <si>
    <t>Target price (BRL)</t>
  </si>
  <si>
    <t>VMO2</t>
  </si>
  <si>
    <t>Less: NPV future licences (excl. DE/ BR)</t>
  </si>
  <si>
    <t>Add: Tax credits/ other</t>
  </si>
  <si>
    <t>Net debt AL, FY23</t>
  </si>
  <si>
    <t>Minorities</t>
  </si>
  <si>
    <t>Provision for employee benefits</t>
  </si>
  <si>
    <t>Provision for legal disputes</t>
  </si>
  <si>
    <t>Provision for DAZN contract losses</t>
  </si>
  <si>
    <t>NRRP rebate</t>
  </si>
  <si>
    <t>Synergies with Open Fiber (50% probability)</t>
  </si>
  <si>
    <t>Consumer Access (1&amp;1)</t>
  </si>
  <si>
    <t>Liabiltiies</t>
  </si>
  <si>
    <t>Business Applications (IONOS)</t>
  </si>
  <si>
    <t>Less: Net debt</t>
  </si>
  <si>
    <t>Other investments</t>
  </si>
  <si>
    <t>Kublai GmbH (Tele Columbus)</t>
  </si>
  <si>
    <t>Spectrum liability</t>
  </si>
  <si>
    <t>Other Markets (=Turkey)</t>
  </si>
  <si>
    <t>Common Functions</t>
  </si>
  <si>
    <t>Spectrum liabilities</t>
  </si>
  <si>
    <t>Vodafone Ziggo loan</t>
  </si>
  <si>
    <t>Restructuring costs</t>
  </si>
  <si>
    <t>Tax benefits</t>
  </si>
  <si>
    <t>Working capital benefit</t>
  </si>
  <si>
    <t>Add: Dividends</t>
  </si>
  <si>
    <t>Add: UK deal uplift</t>
  </si>
  <si>
    <t>GBP/ EUR</t>
  </si>
  <si>
    <t>Target price per share (GBP)</t>
  </si>
  <si>
    <t>Target price per share (EUR)</t>
  </si>
  <si>
    <t>2026E</t>
  </si>
  <si>
    <t>23E-26E</t>
  </si>
  <si>
    <t>EV/ EBITDA</t>
  </si>
  <si>
    <t>PEG*</t>
  </si>
  <si>
    <t>FCF Yield</t>
  </si>
  <si>
    <t>Div. Yield</t>
  </si>
  <si>
    <t>030200-KR</t>
  </si>
  <si>
    <t>CDB MK Equity</t>
  </si>
  <si>
    <t>AMXB-MX</t>
  </si>
  <si>
    <t>Amp</t>
  </si>
  <si>
    <t>Infra</t>
  </si>
  <si>
    <t>Other Units</t>
  </si>
  <si>
    <t>CelcomDigi</t>
  </si>
  <si>
    <t>FX rates (EUR)</t>
  </si>
  <si>
    <t>CHF/EUR</t>
  </si>
  <si>
    <t>DKK/EUR</t>
  </si>
  <si>
    <t>TRY/EUR</t>
  </si>
  <si>
    <t>KWD/EUR</t>
  </si>
  <si>
    <t>INR/EUR</t>
  </si>
  <si>
    <t>GBP/EUR</t>
  </si>
  <si>
    <t>CZK/EUR</t>
  </si>
  <si>
    <t>EUR/USD</t>
  </si>
  <si>
    <t>HUF/EUR</t>
  </si>
  <si>
    <t>NOK/EUR</t>
  </si>
  <si>
    <t>SEK/EUR</t>
  </si>
  <si>
    <t>MYR/EUR</t>
  </si>
  <si>
    <t>BRL/EUR</t>
  </si>
  <si>
    <t>JPY/EUR</t>
  </si>
  <si>
    <t>PLN/EUR</t>
  </si>
  <si>
    <t>THB/EUR</t>
  </si>
  <si>
    <t>CAD/EUR</t>
  </si>
  <si>
    <t>CLP/EUR</t>
  </si>
  <si>
    <t>LTL/EUR</t>
  </si>
  <si>
    <t>HKD/EUR</t>
  </si>
  <si>
    <t>AUD/EUR</t>
  </si>
  <si>
    <t>MAD/EUR</t>
  </si>
  <si>
    <t>ZAR/EUR</t>
  </si>
  <si>
    <t>EGP/EUR</t>
  </si>
  <si>
    <t>IDR/EUR</t>
  </si>
  <si>
    <t>KRW/EUR</t>
  </si>
  <si>
    <t>RUB/EUR</t>
  </si>
  <si>
    <t>CNY/EUR</t>
  </si>
  <si>
    <t>SGD/EUR</t>
  </si>
  <si>
    <t>PHP/EUR</t>
  </si>
  <si>
    <t>LKR/EUR</t>
  </si>
  <si>
    <t>KES/EUR</t>
  </si>
  <si>
    <t>MXN/EUR</t>
  </si>
  <si>
    <t>TWD/EUR</t>
  </si>
  <si>
    <t>ARS/EUR</t>
  </si>
  <si>
    <t>PKR/EUR</t>
  </si>
  <si>
    <t>BDT/EUR</t>
  </si>
  <si>
    <t>QAR/EUR</t>
  </si>
  <si>
    <t>NZD/EUR</t>
  </si>
  <si>
    <t>Frontier</t>
  </si>
  <si>
    <t>EchoStar</t>
  </si>
  <si>
    <t xml:space="preserve">Comcast </t>
  </si>
  <si>
    <t>SATS-US</t>
  </si>
  <si>
    <t>FYBR-US</t>
  </si>
  <si>
    <t>US - Other</t>
  </si>
  <si>
    <t>Agg. US</t>
  </si>
  <si>
    <t>Agg. US Other</t>
  </si>
  <si>
    <t>EchoStar Corporation</t>
  </si>
  <si>
    <t>AGGREGATE US OTHER</t>
  </si>
  <si>
    <t>Share price (B+C), US$</t>
  </si>
  <si>
    <t>Telco</t>
  </si>
  <si>
    <t>nexfibre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</si>
</sst>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2">
    <numFmt numFmtId="41" formatCode="_-* #,##0_-;\-* #,##0_-;_-* &quot;-&quot;_-;_-@_-"/>
    <numFmt numFmtId="43" formatCode="_-* #,##0.00_-;\-* #,##0.00_-;_-* &quot;-&quot;??_-;_-@_-"/>
    <numFmt numFmtId="164" formatCode="&quot;$&quot;#,##0_);[Red]\(&quot;$&quot;#,##0\)"/>
    <numFmt numFmtId="165" formatCode="&quot;$&quot;#,##0.00_);\(&quot;$&quot;#,##0.00\)"/>
    <numFmt numFmtId="166" formatCode="&quot;$&quot;#,##0.00_);[Red]\(&quot;$&quot;#,##0.00\)"/>
    <numFmt numFmtId="167" formatCode="_(&quot;$&quot;* #,##0_);_(&quot;$&quot;* \(#,##0\);_(&quot;$&quot;* &quot;-&quot;_);_(@_)"/>
    <numFmt numFmtId="168" formatCode="_(* #,##0_);_(* \(#,##0\);_(* &quot;-&quot;_);_(@_)"/>
    <numFmt numFmtId="169" formatCode="_(&quot;$&quot;* #,##0.00_);_(&quot;$&quot;* \(#,##0.00\);_(&quot;$&quot;* &quot;-&quot;??_);_(@_)"/>
    <numFmt numFmtId="170" formatCode="_(* #,##0.00_);_(* \(#,##0.00\);_(* &quot;-&quot;??_);_(@_)"/>
    <numFmt numFmtId="171" formatCode="&quot;$&quot;#,##0;[Red]\-&quot;$&quot;#,##0"/>
    <numFmt numFmtId="172" formatCode="&quot;$&quot;#,##0.00;\-&quot;$&quot;#,##0.00"/>
    <numFmt numFmtId="173" formatCode="&quot;$&quot;#,##0.00;[Red]\-&quot;$&quot;#,##0.00"/>
    <numFmt numFmtId="174" formatCode="_-* #,##0.0_-;\-* #,##0.0_-;_-* &quot;-&quot;??_-;_-@_-"/>
    <numFmt numFmtId="175" formatCode="_-* #,##0_-;\-* #,##0_-;_-* &quot;-&quot;??_-;_-@_-"/>
    <numFmt numFmtId="176" formatCode="0.0%"/>
    <numFmt numFmtId="177" formatCode="0.0"/>
    <numFmt numFmtId="178" formatCode="#,##0.0"/>
    <numFmt numFmtId="179" formatCode="0.00_);\(0.00\);0.00"/>
    <numFmt numFmtId="180" formatCode="0.00_);\(0.00\);0.00_)"/>
    <numFmt numFmtId="181" formatCode="0.00\%;\-0.00\%;0.00\%"/>
    <numFmt numFmtId="182" formatCode="0.00\x;\-0.00\x;0.00\x"/>
    <numFmt numFmtId="183" formatCode="#,##0_);[Red]\-#,##0_);0_);@_)"/>
    <numFmt numFmtId="184" formatCode="#,##0.00_);[Red]\-#,##0.00_);0.00_);@_)"/>
    <numFmt numFmtId="185" formatCode="#,##0%;[Red]\-#,##0%;0%;@_)"/>
    <numFmt numFmtId="186" formatCode="#,##0.00%;[Red]\-#,##0.00%;0.00%;@_)"/>
    <numFmt numFmtId="187" formatCode="* _(#,##0.00_);[Red]* \(#,##0.00\);* _(&quot;-&quot;?_);@_)"/>
    <numFmt numFmtId="188" formatCode="\€\ * _(#,##0_);[Red]\€\ * \(#,##0\);\€\ * _(&quot;-&quot;?_);@_)"/>
    <numFmt numFmtId="189" formatCode="\€\ * _(#,##0.00_);[Red]\€\ * \(#,##0.00\);\€\ * _(&quot;-&quot;?_);@_)"/>
    <numFmt numFmtId="190" formatCode="[$EUR]\ * _(#,##0_);[Red][$EUR]\ * \(#,##0\);[$EUR]\ * _(&quot;-&quot;?_);@_)"/>
    <numFmt numFmtId="191" formatCode="[$EUR]\ * _(#,##0.00_);[Red][$EUR]\ * \(#,##0.00\);[$EUR]\ * _(&quot;-&quot;?_);@_)"/>
    <numFmt numFmtId="192" formatCode="\$\ * _(#,##0_);[Red]\$\ * \(#,##0\);\$\ * _(&quot;-&quot;?_);@_)"/>
    <numFmt numFmtId="193" formatCode="\$\ * _(#,##0.00_);[Red]\$\ * \(#,##0.00\);\$\ * _(&quot;-&quot;?_);@_)"/>
    <numFmt numFmtId="194" formatCode="[$USD]\ * _(#,##0_);[Red][$USD]\ * \(#,##0\);[$USD]\ * _(&quot;-&quot;?_);@_)"/>
    <numFmt numFmtId="195" formatCode="[$USD]\ * _(#,##0.00_);[Red][$USD]\ * \(#,##0.00\);[$USD]\ * _(&quot;-&quot;?_);@_)"/>
    <numFmt numFmtId="196" formatCode="\£\ * _(#,##0_);[Red]\£\ * \(#,##0\);\£\ * _(&quot;-&quot;?_);@_)"/>
    <numFmt numFmtId="197" formatCode="\£\ * _(#,##0.00_);[Red]\£\ * \(#,##0.00\);\£\ * _(&quot;-&quot;?_);@_)"/>
    <numFmt numFmtId="198" formatCode="[$GBP]\ * _(#,##0_);[Red][$GBP]\ * \(#,##0\);[$GBP]\ * _(&quot;-&quot;?_);@_)"/>
    <numFmt numFmtId="199" formatCode="[$GBP]\ * _(#,##0.00_);[Red][$GBP]\ * \(#,##0.00\);[$GBP]\ * _(&quot;-&quot;?_);@_)"/>
    <numFmt numFmtId="200" formatCode="mmm\ yy_)"/>
    <numFmt numFmtId="201" formatCode="yyyy_)"/>
    <numFmt numFmtId="202" formatCode="_-* #,##0.0_-;\-* #,##0.0_-;_-* &quot;-&quot;?_-;_-@_-"/>
    <numFmt numFmtId="203" formatCode="0.0000"/>
    <numFmt numFmtId="204" formatCode="#,##0.0_);\(#,##0.0\)"/>
    <numFmt numFmtId="205" formatCode="&quot;$&quot;_(#,##0.00_);&quot;$&quot;\(#,##0.00\)"/>
    <numFmt numFmtId="206" formatCode="#,##0.0_)\x;\(#,##0.0\)\x"/>
    <numFmt numFmtId="207" formatCode="#,##0.0_)_x;\(#,##0.0\)_x"/>
    <numFmt numFmtId="208" formatCode="0.0_)\%;\(0.0\)\%"/>
    <numFmt numFmtId="209" formatCode="#,##0.0_)_%;\(#,##0.0\)_%"/>
    <numFmt numFmtId="210" formatCode="0.000%"/>
    <numFmt numFmtId="211" formatCode="#,##0.00\ &quot;Kč&quot;;[Red]\-#,##0.00\ &quot;Kč&quot;"/>
    <numFmt numFmtId="212" formatCode="0_);\(0\)"/>
    <numFmt numFmtId="213" formatCode="0&quot;E&quot;;\(0\)&quot;E&quot;"/>
    <numFmt numFmtId="214" formatCode="#,##0;\(#,##0\)"/>
    <numFmt numFmtId="215" formatCode="#,##0,;\-#,##0,"/>
    <numFmt numFmtId="216" formatCode="#,##0.000_);[Red]\(#,##0.000\)"/>
    <numFmt numFmtId="217" formatCode="_-\€* #,##0.00_-;\-\€* #,##0.00_-;_-\€* &quot;-&quot;??_-;_-@_-"/>
    <numFmt numFmtId="218" formatCode="_-\€* #,##0_-;\-\€* #,##0_-;_-\€* &quot;-&quot;_-;_-@_-"/>
    <numFmt numFmtId="219" formatCode="0.0%_);\(0.0%\)_)"/>
    <numFmt numFmtId="220" formatCode="&quot;$&quot;#,##0.00000000000000000000000000_);[Red]\(&quot;$&quot;#,##0.00000000000000000000000000\)"/>
    <numFmt numFmtId="221" formatCode="#,##0.000;\(#,##0.000\)"/>
    <numFmt numFmtId="222" formatCode="#,##0.00;\(#,##0.00\)"/>
    <numFmt numFmtId="223" formatCode="yyyy"/>
    <numFmt numFmtId="224" formatCode="#,##0_);\(#,##0\);0_)"/>
    <numFmt numFmtId="225" formatCode="#,##0.0000_);[Red]\(#,##0.0000\);0.0000_)"/>
    <numFmt numFmtId="226" formatCode="00000"/>
    <numFmt numFmtId="227" formatCode="&quot;$&quot;#,##0.00&quot;A&quot;;[Red]\(&quot;$&quot;#,##0.00\)&quot;A&quot;"/>
    <numFmt numFmtId="228" formatCode="&quot;$&quot;#,##0.00&quot;E&quot;;[Red]\(&quot;$&quot;#,##0.00\)&quot;E&quot;"/>
    <numFmt numFmtId="229" formatCode="_-[$€]* #,##0.00_-;\-[$€]* #,##0.00_-;_-[$€]* &quot;-&quot;??_-;_-@_-"/>
    <numFmt numFmtId="230" formatCode="#\ ##0.0"/>
    <numFmt numFmtId="231" formatCode="#,##0.0_);[Red]\(#,##0.0\)"/>
    <numFmt numFmtId="232" formatCode="0.0%_);[Red]\(0.0%\)"/>
    <numFmt numFmtId="233" formatCode="#,##0.0;\(#,##0.0\)"/>
    <numFmt numFmtId="234" formatCode="0.00%;\(0.00%\)"/>
    <numFmt numFmtId="235" formatCode="###0"/>
    <numFmt numFmtId="236" formatCode="General_)"/>
    <numFmt numFmtId="237" formatCode="0.0%_);\(0.0%\)"/>
    <numFmt numFmtId="238" formatCode="_-* #,##0_ _F_-;\-* #,##0_ _F_-;_-* &quot;-&quot;_ _F_-;_-@_-"/>
    <numFmt numFmtId="239" formatCode="#,##0.00_);[Red]\(#,##0.00\);0.00_)"/>
    <numFmt numFmtId="240" formatCode="_-* #,##0.00_ _F_-;\-* #,##0.00_ _F_-;_-* &quot;-&quot;??_ _F_-;_-@_-"/>
    <numFmt numFmtId="241" formatCode="_-* #,##0&quot; F&quot;_-;\-* #,##0&quot; F&quot;_-;_-* &quot;-&quot;&quot; F&quot;_-;_-@_-"/>
    <numFmt numFmtId="242" formatCode="#,##0.00_)&quot; F&quot;;[Red]\(#,##0.00\)&quot; F&quot;;0.00_)&quot; F&quot;"/>
    <numFmt numFmtId="243" formatCode="_-* #,##0.00&quot; F&quot;_-;\-* #,##0.00&quot; F&quot;_-;_-* &quot;-&quot;??&quot; F&quot;_-;_-@_-"/>
    <numFmt numFmtId="244" formatCode="_ * #,##0.00_ ;_ * \-#,##0.00_ ;_ * &quot;-&quot;??_ ;_ @_ "/>
    <numFmt numFmtId="245" formatCode="_-* #,##0.00\ _K_č_-;\-* #,##0.00\ _K_č_-;_-* &quot;-&quot;??\ _K_č_-;_-@_-"/>
    <numFmt numFmtId="246" formatCode="#,##0_);\(#,##0\);;"/>
    <numFmt numFmtId="247" formatCode="#,##0.0000;\(#,##0.0000\)"/>
    <numFmt numFmtId="248" formatCode="0%;[Red]\-0%"/>
    <numFmt numFmtId="249" formatCode="0.00%_);\(0.00%\)"/>
    <numFmt numFmtId="250" formatCode="#.0"/>
    <numFmt numFmtId="251" formatCode="&quot;kr&quot;\ #,##0_);[Red]\(&quot;kr&quot;\ #,##0\)"/>
    <numFmt numFmtId="252" formatCode="0\.00%;[Red]\-0\.00%"/>
    <numFmt numFmtId="253" formatCode="0.0000%"/>
    <numFmt numFmtId="254" formatCode="#,##0.00_)\ \x;\(#,##0.00\)\ \x"/>
    <numFmt numFmtId="255" formatCode="&quot;kr&quot;\ #,##0.00_);[Red]\(&quot;kr&quot;\ #,##0.00\)"/>
    <numFmt numFmtId="256" formatCode="#,##0.0\ ;\(#,##0.0\)"/>
    <numFmt numFmtId="257" formatCode="#,##0.00\ ;\(#,##0.00\)"/>
    <numFmt numFmtId="258" formatCode="#,##0.0000_);[Red]\(#,##0.0000\)"/>
    <numFmt numFmtId="259" formatCode="&quot;$&quot;#,##0.0_);[Red]\(&quot;$&quot;#,##0.0\)"/>
    <numFmt numFmtId="260" formatCode="0.000"/>
    <numFmt numFmtId="261" formatCode="0.0%;\(0.0%\)"/>
    <numFmt numFmtId="262" formatCode="mmm"/>
    <numFmt numFmtId="263" formatCode="mmm\ dd\,\ yyyy"/>
    <numFmt numFmtId="264" formatCode="#,##0\ ;\(#,##0\);\-\ "/>
    <numFmt numFmtId="265" formatCode="_([$€-2]* #,##0.00_);_([$€-2]* \(#,##0.00\);_([$€-2]* &quot;-&quot;??_)"/>
    <numFmt numFmtId="266" formatCode="0.00%_);[Red]\(0.00%\)"/>
    <numFmt numFmtId="267" formatCode="#,##0.00\ ;\ \(#,##0.00\);\ &quot;- &quot;"/>
    <numFmt numFmtId="268" formatCode="#,##0.00\x_);[Red]\(#,##0.00\x\)"/>
    <numFmt numFmtId="269" formatCode="0%;\-0%"/>
    <numFmt numFmtId="270" formatCode="#,##0.00\p;[Red]\-&quot;£&quot;#,##0.00\p"/>
    <numFmt numFmtId="271" formatCode="#,##0.00\p;[Red]\-#,##0.00\p"/>
    <numFmt numFmtId="272" formatCode="&quot;DK&quot;#,##0_);\(&quot;$&quot;#,##0\)"/>
    <numFmt numFmtId="273" formatCode="&quot;FL&quot;#,##0_);\(&quot;$&quot;#,##0\)"/>
    <numFmt numFmtId="274" formatCode="&quot;FL&quot;#,##0.0_);\(&quot;$&quot;#,##0.0\)"/>
    <numFmt numFmtId="275" formatCode="&quot;FL&quot;#,##0.00_);\(&quot;$&quot;#,##0.00\)"/>
    <numFmt numFmtId="276" formatCode="&quot;EP&quot;#,##0_);\(&quot;$&quot;#,##0\)"/>
    <numFmt numFmtId="277" formatCode="&quot;£&quot;#,##0.0;[Red]\-&quot;£&quot;#,##0.0"/>
    <numFmt numFmtId="278" formatCode="0.000000"/>
    <numFmt numFmtId="279" formatCode="#,##0.0\ \x"/>
    <numFmt numFmtId="280" formatCode="#,##0;&quot;£&quot;#,##0"/>
    <numFmt numFmtId="281" formatCode="&quot;£&quot;\ #,##0_);[Red]\(&quot;£&quot;\ #,##0\)"/>
    <numFmt numFmtId="282" formatCode="&quot;¥&quot;\ #,##0_);[Red]\(&quot;¥&quot;\ #,##0\)"/>
    <numFmt numFmtId="283" formatCode="0_)"/>
    <numFmt numFmtId="284" formatCode="0\A"/>
    <numFmt numFmtId="285" formatCode="0.00000"/>
    <numFmt numFmtId="286" formatCode="0.000_]"/>
    <numFmt numFmtId="287" formatCode="#,##0.0\ _]"/>
    <numFmt numFmtId="288" formatCode="&quot;•&quot;\ \ @"/>
    <numFmt numFmtId="289" formatCode="_-* #,###_-;\(#,###\);_-* &quot;–&quot;_-;_-@_-"/>
    <numFmt numFmtId="290" formatCode="0.00000000000"/>
    <numFmt numFmtId="291" formatCode="0.000000000000"/>
    <numFmt numFmtId="292" formatCode="0.0%;\(0.0\)%"/>
    <numFmt numFmtId="293" formatCode="dd\-mm"/>
    <numFmt numFmtId="294" formatCode="dd/m/yy"/>
    <numFmt numFmtId="295" formatCode="#,##0_%_);\(#,##0\)_%;#,##0_%_);@_%_)"/>
    <numFmt numFmtId="296" formatCode="#,##0.0\x_);\(#,##0.0\x\)"/>
    <numFmt numFmtId="297" formatCode="0.0_)"/>
    <numFmt numFmtId="298" formatCode="\ \ _•&quot;–&quot;\ \ \ \ @"/>
    <numFmt numFmtId="299" formatCode="#,##0.00;\(#,##0.00\);&quot;-&quot;"/>
    <numFmt numFmtId="300" formatCode="#,##0.0000\ ;\(#,##0.0000\)"/>
    <numFmt numFmtId="301" formatCode=";;;"/>
    <numFmt numFmtId="302" formatCode="mmyy"/>
    <numFmt numFmtId="303" formatCode="\$#,##0.0;\-\$#,##0.0"/>
    <numFmt numFmtId="304" formatCode="0.0\x;\-0.0\x;"/>
    <numFmt numFmtId="305" formatCode="[Red]0.###,,&quot; mm&quot;"/>
    <numFmt numFmtId="306" formatCode="##0.00000"/>
    <numFmt numFmtId="307" formatCode="#,##0;\(#,##0\);&quot;–&quot;;@"/>
    <numFmt numFmtId="308" formatCode="#,##0.000\ ;\(#,##0.000\)"/>
    <numFmt numFmtId="309" formatCode="0.000000000"/>
    <numFmt numFmtId="310" formatCode="0."/>
    <numFmt numFmtId="311" formatCode="&quot;£&quot;0&quot;m&quot;"/>
    <numFmt numFmtId="312" formatCode="0.0_)\%;\(0.0\)\%;0.0_)\%;@_)_%"/>
    <numFmt numFmtId="313" formatCode="#,##0.0_)_%;\(#,##0.0\)_%;0.0_)_%;@_)_%"/>
    <numFmt numFmtId="314" formatCode="#,##0.0_);\(#,##0.0\);#,##0.0_);@_)"/>
    <numFmt numFmtId="315" formatCode="&quot;£&quot;_(#,##0.00_);&quot;£&quot;\(#,##0.00\);&quot;£&quot;_(0.00_);@_)"/>
    <numFmt numFmtId="316" formatCode="#,##0.00_);\(#,##0.00\);0.00_);@_)"/>
    <numFmt numFmtId="317" formatCode="\€_(#,##0.00_);\€\(#,##0.00\);\€_(0.00_);@_)"/>
    <numFmt numFmtId="318" formatCode="#,##0_)\x;\(#,##0\)\x;0_)\x;@_)_x"/>
    <numFmt numFmtId="319" formatCode="#,##0_)_x;\(#,##0\)_x;0_)_x;@_)_x"/>
    <numFmt numFmtId="320" formatCode="0.00\e"/>
    <numFmt numFmtId="321" formatCode="_-* #,##0.00\ [$€]_-;\-* #,##0.00\ [$€]_-;_-* &quot;-&quot;??\ [$€]_-;_-@_-"/>
    <numFmt numFmtId="322" formatCode="#,#00"/>
    <numFmt numFmtId="323" formatCode="0.0_ ;[Red]\-0.0\ "/>
    <numFmt numFmtId="324" formatCode="#,##0;[Red]&quot;-&quot;#,##0"/>
    <numFmt numFmtId="325" formatCode="_ * #,##0_ ;_ * \-#,##0_ ;_ * &quot;-&quot;_ ;_ @_ "/>
    <numFmt numFmtId="326" formatCode="_ &quot;S/&quot;* #,##0_ ;_ &quot;S/&quot;* \-#,##0_ ;_ &quot;S/&quot;* &quot;-&quot;_ ;_ @_ "/>
    <numFmt numFmtId="327" formatCode="_ &quot;S/&quot;* #,##0.00_ ;_ &quot;S/&quot;* \-#,##0.00_ ;_ &quot;S/&quot;* &quot;-&quot;??_ ;_ @_ "/>
    <numFmt numFmtId="328" formatCode="d\.mmm\.yy"/>
    <numFmt numFmtId="329" formatCode="_-* #,##0\ _F_-;\-* #,##0\ _F_-;_-* &quot;-&quot;\ _F_-;_-@_-"/>
    <numFmt numFmtId="330" formatCode="d\.mmm"/>
    <numFmt numFmtId="331" formatCode="_-* #,##0.00\ &quot;F&quot;_-;\-* #,##0.00\ &quot;F&quot;_-;_-* &quot;-&quot;??\ &quot;F&quot;_-;_-@_-"/>
    <numFmt numFmtId="332" formatCode="0.00_)"/>
    <numFmt numFmtId="333" formatCode="%#,#00"/>
    <numFmt numFmtId="334" formatCode="#.##000"/>
    <numFmt numFmtId="335" formatCode="_-* #,##0.00\ _D_M_-;\-* #,##0.00\ _D_M_-;_-* &quot;-&quot;??\ _D_M_-;_-@_-"/>
    <numFmt numFmtId="336" formatCode="_(* #,##0_);_(* \(#,##0\);_(* &quot;-&quot;??_);_(@_)"/>
    <numFmt numFmtId="337" formatCode="#,"/>
    <numFmt numFmtId="338" formatCode="#,##0;\(#,##0\);\-"/>
    <numFmt numFmtId="339" formatCode="\Z\A\R0"/>
    <numFmt numFmtId="340" formatCode="\$#,##0.0;\(\$#,##0.0\);\-"/>
    <numFmt numFmtId="341" formatCode="\€#,##0.0;\(\€#,##0.0\);\-"/>
    <numFmt numFmtId="342" formatCode="#,##0.0;\(#,##0.0\);\-"/>
    <numFmt numFmtId="343" formatCode="0.0%;\(0.0%\);\-"/>
  </numFmts>
  <fonts count="312">
    <font>
      <sz val="10"/>
      <name val="Trebuchet MS"/>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Trebuchet MS"/>
      <family val="2"/>
    </font>
    <font>
      <sz val="8"/>
      <name val="Trebuchet MS"/>
      <family val="2"/>
    </font>
    <font>
      <sz val="10"/>
      <name val="Arial"/>
      <family val="2"/>
    </font>
    <font>
      <sz val="10"/>
      <name val="MS Sans Serif"/>
      <family val="2"/>
    </font>
    <font>
      <sz val="8"/>
      <name val="Helvetica"/>
      <family val="2"/>
    </font>
    <font>
      <sz val="10"/>
      <name val="Frutiger 45 Light"/>
      <family val="2"/>
    </font>
    <font>
      <sz val="24"/>
      <name val="MS Sans Serif"/>
      <family val="2"/>
    </font>
    <font>
      <sz val="9"/>
      <color indexed="18"/>
      <name val="Arial"/>
      <family val="2"/>
    </font>
    <font>
      <sz val="10"/>
      <name val="Times New Roman"/>
      <family val="1"/>
    </font>
    <font>
      <sz val="10"/>
      <color indexed="12"/>
      <name val="Times New Roman"/>
      <family val="1"/>
    </font>
    <font>
      <sz val="10"/>
      <color indexed="12"/>
      <name val="Arial"/>
      <family val="2"/>
    </font>
    <font>
      <b/>
      <sz val="10"/>
      <name val="MS Sans Serif"/>
      <family val="2"/>
    </font>
    <font>
      <sz val="10"/>
      <name val="Geneva"/>
    </font>
    <font>
      <sz val="10"/>
      <color indexed="23"/>
      <name val="MS Sans Serif"/>
      <family val="2"/>
    </font>
    <font>
      <b/>
      <sz val="12"/>
      <name val="MS Sans Serif"/>
      <family val="2"/>
    </font>
    <font>
      <sz val="10"/>
      <name val="Arial Narrow"/>
      <family val="2"/>
    </font>
    <font>
      <b/>
      <sz val="10"/>
      <name val="Times New Roman"/>
      <family val="1"/>
    </font>
    <font>
      <sz val="10"/>
      <name val="Trebuchet MS"/>
      <family val="2"/>
    </font>
    <font>
      <b/>
      <sz val="22"/>
      <name val="Arial"/>
      <family val="2"/>
    </font>
    <font>
      <i/>
      <sz val="9"/>
      <color indexed="16"/>
      <name val="Arial"/>
      <family val="2"/>
    </font>
    <font>
      <sz val="8"/>
      <name val="Arial"/>
      <family val="2"/>
    </font>
    <font>
      <sz val="9"/>
      <name val="Arial"/>
      <family val="2"/>
    </font>
    <font>
      <b/>
      <sz val="10"/>
      <color indexed="81"/>
      <name val="Tahoma"/>
      <family val="2"/>
    </font>
    <font>
      <b/>
      <sz val="10"/>
      <name val="Arial"/>
      <family val="2"/>
    </font>
    <font>
      <b/>
      <sz val="8"/>
      <color indexed="81"/>
      <name val="Tahoma"/>
      <family val="2"/>
    </font>
    <font>
      <sz val="8"/>
      <color indexed="81"/>
      <name val="Tahoma"/>
      <family val="2"/>
    </font>
    <font>
      <sz val="9"/>
      <name val="Arial"/>
      <family val="2"/>
    </font>
    <font>
      <i/>
      <sz val="9"/>
      <color indexed="55"/>
      <name val="Arial"/>
      <family val="2"/>
    </font>
    <font>
      <b/>
      <sz val="9"/>
      <name val="Arial"/>
      <family val="2"/>
    </font>
    <font>
      <b/>
      <sz val="18"/>
      <name val="Arial"/>
      <family val="2"/>
    </font>
    <font>
      <b/>
      <sz val="14"/>
      <name val="Arial"/>
      <family val="2"/>
    </font>
    <font>
      <b/>
      <sz val="12"/>
      <name val="Arial"/>
      <family val="2"/>
    </font>
    <font>
      <sz val="8"/>
      <name val="Arial"/>
      <family val="2"/>
    </font>
    <font>
      <b/>
      <sz val="12"/>
      <color indexed="81"/>
      <name val="Tahoma"/>
      <family val="2"/>
    </font>
    <font>
      <sz val="10"/>
      <color indexed="10"/>
      <name val="Arial"/>
      <family val="2"/>
    </font>
    <font>
      <sz val="8"/>
      <color indexed="10"/>
      <name val="Arial"/>
      <family val="2"/>
    </font>
    <font>
      <sz val="8"/>
      <color indexed="9"/>
      <name val="Arial"/>
      <family val="2"/>
    </font>
    <font>
      <sz val="10"/>
      <name val="Trebuchet MS"/>
      <family val="2"/>
    </font>
    <font>
      <sz val="10"/>
      <name val="Trebuchet MS"/>
      <family val="2"/>
    </font>
    <font>
      <sz val="10"/>
      <color indexed="8"/>
      <name val="MS Sans Serif"/>
      <family val="2"/>
    </font>
    <font>
      <sz val="12"/>
      <name val="·s²Ó©úÅé"/>
      <charset val="136"/>
    </font>
    <font>
      <sz val="10"/>
      <name val="Helv"/>
    </font>
    <font>
      <sz val="8"/>
      <color indexed="8"/>
      <name val="MS Sans Serif"/>
      <family val="2"/>
    </font>
    <font>
      <b/>
      <sz val="12"/>
      <name val="Helv"/>
    </font>
    <font>
      <sz val="8"/>
      <name val="Times New Roman"/>
      <family val="1"/>
    </font>
    <font>
      <sz val="12"/>
      <name val="Arial"/>
      <family val="2"/>
    </font>
    <font>
      <sz val="10"/>
      <color indexed="10"/>
      <name val="Times New Roman"/>
      <family val="1"/>
    </font>
    <font>
      <b/>
      <sz val="11"/>
      <color indexed="10"/>
      <name val="Times New Roman"/>
      <family val="1"/>
    </font>
    <font>
      <b/>
      <i/>
      <sz val="11"/>
      <color indexed="9"/>
      <name val="Times New Roman"/>
      <family val="1"/>
    </font>
    <font>
      <b/>
      <sz val="9"/>
      <color indexed="9"/>
      <name val="Arial"/>
      <family val="2"/>
    </font>
    <font>
      <sz val="8"/>
      <color indexed="12"/>
      <name val="Times"/>
      <family val="1"/>
    </font>
    <font>
      <u val="singleAccounting"/>
      <sz val="10"/>
      <name val="Arial"/>
      <family val="2"/>
    </font>
    <font>
      <sz val="12"/>
      <color indexed="10"/>
      <name val="Times New Roman"/>
      <family val="1"/>
    </font>
    <font>
      <b/>
      <sz val="10"/>
      <name val="Helv"/>
    </font>
    <font>
      <sz val="10"/>
      <color indexed="18"/>
      <name val="Times New Roman"/>
      <family val="1"/>
    </font>
    <font>
      <sz val="10"/>
      <color indexed="22"/>
      <name val="Arial"/>
      <family val="2"/>
    </font>
    <font>
      <sz val="12"/>
      <name val="Times New Roman"/>
      <family val="1"/>
    </font>
    <font>
      <b/>
      <sz val="8"/>
      <name val="Arial"/>
      <family val="2"/>
    </font>
    <font>
      <b/>
      <sz val="8"/>
      <name val="Times New Roman"/>
      <family val="1"/>
    </font>
    <font>
      <sz val="12"/>
      <color indexed="14"/>
      <name val="Times New Roman"/>
      <family val="1"/>
    </font>
    <font>
      <u val="doubleAccounting"/>
      <sz val="10"/>
      <name val="Arial"/>
      <family val="2"/>
    </font>
    <font>
      <b/>
      <i/>
      <sz val="8"/>
      <color indexed="12"/>
      <name val="HelveticaNeue Condensed"/>
    </font>
    <font>
      <b/>
      <u/>
      <sz val="12"/>
      <name val="Arial Narrow"/>
      <family val="2"/>
    </font>
    <font>
      <sz val="10"/>
      <color indexed="2"/>
      <name val="Tahoma"/>
      <family val="2"/>
    </font>
    <font>
      <b/>
      <sz val="7"/>
      <color indexed="12"/>
      <name val="Arial"/>
      <family val="2"/>
    </font>
    <font>
      <b/>
      <sz val="10"/>
      <color indexed="0"/>
      <name val="Tahoma"/>
      <family val="2"/>
    </font>
    <font>
      <u/>
      <sz val="10"/>
      <color indexed="36"/>
      <name val="Arial"/>
      <family val="2"/>
    </font>
    <font>
      <i/>
      <sz val="8"/>
      <color indexed="17"/>
      <name val="Times New Roman"/>
      <family val="1"/>
    </font>
    <font>
      <sz val="8"/>
      <color indexed="21"/>
      <name val="Arial"/>
      <family val="2"/>
    </font>
    <font>
      <sz val="8"/>
      <color indexed="12"/>
      <name val="Times New Roman"/>
      <family val="1"/>
    </font>
    <font>
      <b/>
      <sz val="12"/>
      <color indexed="10"/>
      <name val="Arial"/>
      <family val="2"/>
    </font>
    <font>
      <b/>
      <sz val="10"/>
      <color indexed="18"/>
      <name val="Times New Roman"/>
      <family val="1"/>
    </font>
    <font>
      <sz val="10"/>
      <name val="Tahoma"/>
      <family val="2"/>
    </font>
    <font>
      <sz val="8"/>
      <color indexed="8"/>
      <name val="Helvetica"/>
      <family val="2"/>
    </font>
    <font>
      <u/>
      <sz val="6"/>
      <color indexed="12"/>
      <name val="Arial"/>
      <family val="2"/>
    </font>
    <font>
      <sz val="12"/>
      <name val="Helv"/>
    </font>
    <font>
      <sz val="8"/>
      <color indexed="39"/>
      <name val="Arial"/>
      <family val="2"/>
    </font>
    <font>
      <sz val="8"/>
      <color indexed="10"/>
      <name val="Helv"/>
    </font>
    <font>
      <sz val="10"/>
      <color indexed="16"/>
      <name val="MS Sans Serif"/>
      <family val="2"/>
    </font>
    <font>
      <b/>
      <sz val="12"/>
      <color indexed="17"/>
      <name val="Wingdings"/>
      <charset val="2"/>
    </font>
    <font>
      <b/>
      <sz val="18"/>
      <name val="Times New Roman"/>
      <family val="1"/>
    </font>
    <font>
      <b/>
      <sz val="8"/>
      <color indexed="14"/>
      <name val="MS Sans Serif"/>
      <family val="2"/>
    </font>
    <font>
      <sz val="8"/>
      <color indexed="18"/>
      <name val="Times New Roman"/>
      <family val="1"/>
    </font>
    <font>
      <b/>
      <i/>
      <sz val="10"/>
      <color indexed="4"/>
      <name val="Tahoma"/>
      <family val="2"/>
    </font>
    <font>
      <sz val="10"/>
      <color indexed="4"/>
      <name val="Tahoma"/>
      <family val="2"/>
    </font>
    <font>
      <sz val="7"/>
      <name val="Small Fonts"/>
      <family val="2"/>
    </font>
    <font>
      <b/>
      <u/>
      <sz val="12"/>
      <name val="L Serifa Light"/>
    </font>
    <font>
      <sz val="7"/>
      <color indexed="12"/>
      <name val="Arial"/>
      <family val="2"/>
    </font>
    <font>
      <i/>
      <sz val="10"/>
      <name val="Helv"/>
    </font>
    <font>
      <i/>
      <sz val="12"/>
      <color indexed="10"/>
      <name val="Times New Roman"/>
      <family val="1"/>
    </font>
    <font>
      <sz val="8"/>
      <color indexed="8"/>
      <name val="Arial"/>
      <family val="2"/>
    </font>
    <font>
      <i/>
      <sz val="10"/>
      <name val="Helvetica"/>
      <family val="2"/>
    </font>
    <font>
      <b/>
      <sz val="8"/>
      <color indexed="18"/>
      <name val="Times New Roman"/>
      <family val="1"/>
    </font>
    <font>
      <sz val="8"/>
      <name val="Univers"/>
      <family val="2"/>
    </font>
    <font>
      <sz val="10"/>
      <name val="GillSans Light"/>
    </font>
    <font>
      <sz val="8"/>
      <name val="COUR"/>
    </font>
    <font>
      <sz val="10"/>
      <name val="COUR"/>
    </font>
    <font>
      <sz val="12"/>
      <color indexed="12"/>
      <name val="Times New Roman"/>
      <family val="1"/>
    </font>
    <font>
      <b/>
      <sz val="14"/>
      <name val="Times New Roman"/>
      <family val="1"/>
    </font>
    <font>
      <b/>
      <sz val="10"/>
      <name val="GillSans"/>
    </font>
    <font>
      <b/>
      <sz val="16"/>
      <name val="Times New Roman"/>
      <family val="1"/>
    </font>
    <font>
      <b/>
      <sz val="10"/>
      <color indexed="16"/>
      <name val="Times New Roman"/>
      <family val="1"/>
    </font>
    <font>
      <sz val="8"/>
      <name val="MS Sans Serif"/>
      <family val="2"/>
    </font>
    <font>
      <i/>
      <sz val="9"/>
      <name val="Times New Roman"/>
      <family val="1"/>
    </font>
    <font>
      <b/>
      <i/>
      <sz val="10"/>
      <name val="Arial"/>
      <family val="2"/>
    </font>
    <font>
      <sz val="14"/>
      <name val="뼻뮝"/>
      <family val="3"/>
      <charset val="129"/>
    </font>
    <font>
      <sz val="12"/>
      <name val="뼻뮝"/>
      <family val="1"/>
      <charset val="129"/>
    </font>
    <font>
      <sz val="11"/>
      <name val="돋움"/>
      <family val="3"/>
      <charset val="129"/>
    </font>
    <font>
      <sz val="11"/>
      <name val="돋움체"/>
      <family val="3"/>
      <charset val="129"/>
    </font>
    <font>
      <b/>
      <sz val="9"/>
      <color indexed="81"/>
      <name val="Tahoma"/>
      <family val="2"/>
    </font>
    <font>
      <sz val="9"/>
      <color indexed="81"/>
      <name val="Tahoma"/>
      <family val="2"/>
    </font>
    <font>
      <sz val="11"/>
      <color indexed="8"/>
      <name val="Calibri"/>
      <family val="2"/>
    </font>
    <font>
      <i/>
      <sz val="8"/>
      <name val="Arial"/>
      <family val="2"/>
    </font>
    <font>
      <b/>
      <i/>
      <sz val="8"/>
      <color indexed="12"/>
      <name val="HelveticaNeue Condensed"/>
      <family val="2"/>
    </font>
    <font>
      <i/>
      <sz val="10"/>
      <name val="Arial"/>
      <family val="2"/>
    </font>
    <font>
      <b/>
      <sz val="7"/>
      <name val="Helvetica-Narrow"/>
      <family val="2"/>
    </font>
    <font>
      <b/>
      <sz val="7"/>
      <name val="GillSans"/>
      <family val="2"/>
    </font>
    <font>
      <sz val="9"/>
      <name val="GillSans Light"/>
      <family val="2"/>
    </font>
    <font>
      <sz val="8"/>
      <color indexed="17"/>
      <name val="Times New Roman"/>
      <family val="1"/>
    </font>
    <font>
      <b/>
      <sz val="10"/>
      <color indexed="9"/>
      <name val="GillSans"/>
      <family val="2"/>
    </font>
    <font>
      <b/>
      <sz val="10"/>
      <color indexed="8"/>
      <name val="GillSans"/>
      <family val="2"/>
    </font>
    <font>
      <sz val="10"/>
      <name val="GillSans Light"/>
      <family val="2"/>
    </font>
    <font>
      <b/>
      <sz val="10"/>
      <name val="GillSans"/>
      <family val="2"/>
    </font>
    <font>
      <b/>
      <sz val="16"/>
      <color indexed="62"/>
      <name val="Arial"/>
      <family val="2"/>
    </font>
    <font>
      <b/>
      <sz val="10"/>
      <name val="Helvetica 65"/>
      <family val="2"/>
    </font>
    <font>
      <b/>
      <sz val="10"/>
      <color indexed="16"/>
      <name val="GillSans"/>
      <family val="2"/>
    </font>
    <font>
      <sz val="11"/>
      <color indexed="10"/>
      <name val="Calibri"/>
      <family val="2"/>
    </font>
    <font>
      <b/>
      <sz val="11"/>
      <color indexed="8"/>
      <name val="Calibri"/>
      <family val="2"/>
    </font>
    <font>
      <b/>
      <sz val="9.5"/>
      <color indexed="10"/>
      <name val="MS Sans Serif"/>
      <family val="2"/>
    </font>
    <font>
      <sz val="10"/>
      <color indexed="8"/>
      <name val="Times New Roman"/>
      <family val="1"/>
    </font>
    <font>
      <sz val="10"/>
      <name val="Courier"/>
      <family val="3"/>
    </font>
    <font>
      <sz val="12"/>
      <name val="‚l‚r ‚oƒSƒVƒbƒN"/>
      <family val="2"/>
      <charset val="128"/>
    </font>
    <font>
      <sz val="10"/>
      <name val="Univers 55"/>
      <family val="2"/>
    </font>
    <font>
      <sz val="12"/>
      <name val="Arial MT"/>
      <family val="2"/>
    </font>
    <font>
      <b/>
      <sz val="8"/>
      <name val="Tms Rmn"/>
      <family val="1"/>
    </font>
    <font>
      <sz val="9"/>
      <color indexed="8"/>
      <name val="Times New Roman"/>
      <family val="1"/>
    </font>
    <font>
      <b/>
      <sz val="10"/>
      <color indexed="8"/>
      <name val="Times New Roman"/>
      <family val="1"/>
    </font>
    <font>
      <sz val="7"/>
      <color indexed="14"/>
      <name val="Small Fonts"/>
      <family val="2"/>
    </font>
    <font>
      <b/>
      <sz val="6"/>
      <name val="Arial"/>
      <family val="2"/>
    </font>
    <font>
      <sz val="8"/>
      <color indexed="12"/>
      <name val="Helv"/>
      <family val="2"/>
    </font>
    <font>
      <sz val="10"/>
      <name val="Geneva"/>
      <family val="2"/>
    </font>
    <font>
      <sz val="9"/>
      <color indexed="18"/>
      <name val="Helvetica"/>
      <family val="2"/>
    </font>
    <font>
      <b/>
      <sz val="12"/>
      <name val="Times New Roman"/>
      <family val="1"/>
    </font>
    <font>
      <b/>
      <sz val="8"/>
      <name val="GillSans"/>
      <family val="2"/>
    </font>
    <font>
      <sz val="12"/>
      <name val="Helvetica"/>
      <family val="2"/>
    </font>
    <font>
      <sz val="8"/>
      <name val="Palatino"/>
      <family val="1"/>
    </font>
    <font>
      <sz val="24"/>
      <name val="Arial"/>
      <family val="2"/>
    </font>
    <font>
      <b/>
      <sz val="24"/>
      <name val="Times New Roman"/>
      <family val="1"/>
    </font>
    <font>
      <sz val="8"/>
      <color indexed="12"/>
      <name val="Tms Rmn"/>
      <family val="1"/>
    </font>
    <font>
      <sz val="10"/>
      <name val="Tms Rmn"/>
      <family val="1"/>
    </font>
    <font>
      <sz val="9"/>
      <color indexed="12"/>
      <name val="Times New Roman"/>
      <family val="1"/>
    </font>
    <font>
      <sz val="10"/>
      <color indexed="12"/>
      <name val="Helvetica"/>
      <family val="2"/>
    </font>
    <font>
      <sz val="10"/>
      <name val="Helv"/>
      <family val="2"/>
    </font>
    <font>
      <b/>
      <sz val="10"/>
      <color indexed="17"/>
      <name val="Helvetica"/>
      <family val="2"/>
    </font>
    <font>
      <b/>
      <sz val="16"/>
      <color indexed="10"/>
      <name val="FrankfurtGothicHeavy"/>
      <family val="2"/>
    </font>
    <font>
      <sz val="8"/>
      <color indexed="8"/>
      <name val="Helv"/>
      <family val="2"/>
    </font>
    <font>
      <sz val="10"/>
      <color indexed="20"/>
      <name val="Times New Roman"/>
      <family val="1"/>
    </font>
    <font>
      <sz val="9"/>
      <name val="Times New Roman"/>
      <family val="1"/>
    </font>
    <font>
      <sz val="10"/>
      <name val="Palatino"/>
      <family val="1"/>
    </font>
    <font>
      <sz val="8"/>
      <color indexed="17"/>
      <name val="Tms Rmn"/>
      <family val="1"/>
    </font>
    <font>
      <b/>
      <sz val="13.5"/>
      <name val="MS Sans Serif"/>
      <family val="2"/>
    </font>
    <font>
      <sz val="10"/>
      <color indexed="16"/>
      <name val="Helvetica-Black"/>
      <family val="2"/>
    </font>
    <font>
      <sz val="8"/>
      <color indexed="14"/>
      <name val="Tms Rmn"/>
      <family val="1"/>
    </font>
    <font>
      <sz val="8"/>
      <name val="Helv"/>
      <family val="2"/>
    </font>
    <font>
      <sz val="10"/>
      <color indexed="10"/>
      <name val="MS Sans Serif"/>
      <family val="2"/>
    </font>
    <font>
      <sz val="10"/>
      <color indexed="55"/>
      <name val="Times New Roman"/>
      <family val="1"/>
    </font>
    <font>
      <sz val="8"/>
      <color indexed="12"/>
      <name val="Helvetica"/>
      <family val="2"/>
    </font>
    <font>
      <i/>
      <sz val="10"/>
      <name val="Times New Roman"/>
      <family val="1"/>
    </font>
    <font>
      <b/>
      <sz val="8"/>
      <name val="HelveticaNeue Condensed"/>
      <family val="2"/>
    </font>
    <font>
      <sz val="8"/>
      <name val="HelveticaNeue LightCond"/>
      <family val="2"/>
    </font>
    <font>
      <sz val="7"/>
      <name val="HelveticaNeue LightCond"/>
      <family val="2"/>
    </font>
    <font>
      <b/>
      <sz val="9"/>
      <name val="Times New Roman"/>
      <family val="1"/>
    </font>
    <font>
      <i/>
      <sz val="12"/>
      <color indexed="12"/>
      <name val="Times New Roman"/>
      <family val="1"/>
    </font>
    <font>
      <b/>
      <sz val="10"/>
      <color indexed="18"/>
      <name val="Symbol"/>
      <family val="1"/>
      <charset val="2"/>
    </font>
    <font>
      <b/>
      <sz val="11"/>
      <name val="Times New Roman"/>
      <family val="1"/>
    </font>
    <font>
      <sz val="9"/>
      <color indexed="21"/>
      <name val="Helvetica-Black"/>
      <family val="2"/>
    </font>
    <font>
      <sz val="9"/>
      <name val="Helvetica-Black"/>
      <family val="2"/>
    </font>
    <font>
      <sz val="7"/>
      <name val="Palatino"/>
      <family val="1"/>
    </font>
    <font>
      <sz val="8"/>
      <name val="Helvetica-Narrow"/>
      <family val="2"/>
    </font>
    <font>
      <u/>
      <sz val="10"/>
      <name val="Helv"/>
      <family val="2"/>
    </font>
    <font>
      <sz val="8"/>
      <color indexed="10"/>
      <name val="Arial Narrow"/>
      <family val="2"/>
    </font>
    <font>
      <sz val="8"/>
      <color indexed="16"/>
      <name val="Helv"/>
      <family val="2"/>
    </font>
    <font>
      <b/>
      <sz val="8"/>
      <color indexed="8"/>
      <name val="Wingdings"/>
      <charset val="2"/>
    </font>
    <font>
      <b/>
      <sz val="8"/>
      <color indexed="10"/>
      <name val="Wingdings"/>
      <charset val="2"/>
    </font>
    <font>
      <b/>
      <sz val="8"/>
      <color indexed="9"/>
      <name val="Wingdings"/>
      <charset val="2"/>
    </font>
    <font>
      <b/>
      <i/>
      <sz val="12"/>
      <name val="Times New Roman"/>
      <family val="1"/>
    </font>
    <font>
      <b/>
      <u/>
      <sz val="10"/>
      <name val="Tms Rmn"/>
      <family val="1"/>
    </font>
    <font>
      <sz val="8"/>
      <name val="HelveticaNeue Condensed"/>
      <family val="2"/>
    </font>
    <font>
      <u/>
      <sz val="11"/>
      <color theme="10"/>
      <name val="Calibri"/>
      <family val="2"/>
    </font>
    <font>
      <sz val="10"/>
      <color theme="1"/>
      <name val="Calibri"/>
      <family val="2"/>
    </font>
    <font>
      <b/>
      <sz val="15"/>
      <color theme="3"/>
      <name val="Calibri"/>
      <family val="2"/>
    </font>
    <font>
      <b/>
      <sz val="13"/>
      <color theme="3"/>
      <name val="Calibri"/>
      <family val="2"/>
    </font>
    <font>
      <b/>
      <sz val="11"/>
      <color theme="3"/>
      <name val="Calibri"/>
      <family val="2"/>
    </font>
    <font>
      <sz val="11"/>
      <color indexed="9"/>
      <name val="Calibri"/>
      <family val="2"/>
    </font>
    <font>
      <sz val="11"/>
      <color rgb="FF9C0006"/>
      <name val="Calibri"/>
      <family val="2"/>
    </font>
    <font>
      <b/>
      <sz val="11"/>
      <color rgb="FFFA7D00"/>
      <name val="Calibri"/>
      <family val="2"/>
    </font>
    <font>
      <b/>
      <sz val="11"/>
      <color indexed="9"/>
      <name val="Calibri"/>
      <family val="2"/>
    </font>
    <font>
      <sz val="9"/>
      <color indexed="8"/>
      <name val="Times New Roman"/>
      <family val="2"/>
    </font>
    <font>
      <i/>
      <sz val="11"/>
      <color rgb="FF7F7F7F"/>
      <name val="Calibri"/>
      <family val="2"/>
    </font>
    <font>
      <sz val="11"/>
      <color rgb="FF006100"/>
      <name val="Calibri"/>
      <family val="2"/>
    </font>
    <font>
      <sz val="11"/>
      <color rgb="FF3F3F76"/>
      <name val="Calibri"/>
      <family val="2"/>
    </font>
    <font>
      <sz val="11"/>
      <color rgb="FFFA7D00"/>
      <name val="Calibri"/>
      <family val="2"/>
    </font>
    <font>
      <sz val="10"/>
      <color rgb="FF9C6500"/>
      <name val="Times New Roman"/>
      <family val="2"/>
    </font>
    <font>
      <sz val="11"/>
      <color rgb="FF9C6500"/>
      <name val="Calibri"/>
      <family val="2"/>
    </font>
    <font>
      <b/>
      <sz val="11"/>
      <color rgb="FF3F3F3F"/>
      <name val="Calibri"/>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b/>
      <sz val="18"/>
      <color theme="3"/>
      <name val="Cambria"/>
      <family val="2"/>
    </font>
    <font>
      <sz val="11"/>
      <color indexed="20"/>
      <name val="Calibri"/>
      <family val="2"/>
    </font>
    <font>
      <b/>
      <sz val="11"/>
      <color indexed="52"/>
      <name val="Calibri"/>
      <family val="2"/>
    </font>
    <font>
      <i/>
      <sz val="11"/>
      <color indexed="23"/>
      <name val="Calibri"/>
      <family val="2"/>
    </font>
    <font>
      <sz val="11"/>
      <color indexed="17"/>
      <name val="Calibri"/>
      <family val="2"/>
    </font>
    <font>
      <sz val="14"/>
      <color indexed="16"/>
      <name val="Times New Roman"/>
      <family val="1"/>
    </font>
    <font>
      <sz val="12"/>
      <color indexed="16"/>
      <name val="Times New Roman"/>
      <family val="1"/>
    </font>
    <font>
      <sz val="10"/>
      <name val="Book Antiqua"/>
      <family val="1"/>
    </font>
    <font>
      <sz val="11"/>
      <color indexed="52"/>
      <name val="Calibri"/>
      <family val="2"/>
    </font>
    <font>
      <sz val="11"/>
      <color indexed="60"/>
      <name val="Calibri"/>
      <family val="2"/>
    </font>
    <font>
      <b/>
      <sz val="11"/>
      <color indexed="63"/>
      <name val="Calibri"/>
      <family val="2"/>
    </font>
    <font>
      <sz val="11"/>
      <color indexed="62"/>
      <name val="Calibri"/>
      <family val="2"/>
    </font>
    <font>
      <u/>
      <sz val="10"/>
      <color indexed="12"/>
      <name val="Arial"/>
      <family val="2"/>
    </font>
    <font>
      <b/>
      <sz val="10"/>
      <color indexed="9"/>
      <name val="Arial"/>
      <family val="2"/>
    </font>
    <font>
      <sz val="8"/>
      <color indexed="49"/>
      <name val="Times New Roman"/>
      <family val="1"/>
    </font>
    <font>
      <b/>
      <sz val="22"/>
      <color indexed="18"/>
      <name val="Arial"/>
      <family val="2"/>
    </font>
    <font>
      <b/>
      <sz val="14"/>
      <color indexed="18"/>
      <name val="Arial"/>
      <family val="2"/>
    </font>
    <font>
      <sz val="9"/>
      <color indexed="8"/>
      <name val="Arial"/>
      <family val="2"/>
    </font>
    <font>
      <b/>
      <sz val="10"/>
      <color indexed="18"/>
      <name val="Arial"/>
      <family val="2"/>
    </font>
    <font>
      <b/>
      <u val="singleAccounting"/>
      <sz val="10"/>
      <color indexed="18"/>
      <name val="Arial"/>
      <family val="2"/>
    </font>
    <font>
      <sz val="11"/>
      <name val="Times New Roman"/>
      <family val="1"/>
    </font>
    <font>
      <sz val="8"/>
      <name val="Times"/>
      <family val="1"/>
    </font>
    <font>
      <sz val="11"/>
      <color indexed="14"/>
      <name val="Calibri"/>
      <family val="2"/>
    </font>
    <font>
      <sz val="6"/>
      <color indexed="12"/>
      <name val="Times New Roman"/>
      <family val="1"/>
    </font>
    <font>
      <sz val="10"/>
      <name val="BERNHARD"/>
    </font>
    <font>
      <sz val="1"/>
      <color indexed="8"/>
      <name val="Courier"/>
      <family val="3"/>
    </font>
    <font>
      <b/>
      <sz val="1"/>
      <color indexed="8"/>
      <name val="Courier"/>
      <family val="3"/>
    </font>
    <font>
      <sz val="8"/>
      <name val="Tahoma"/>
      <family val="2"/>
    </font>
    <font>
      <b/>
      <sz val="7"/>
      <color indexed="48"/>
      <name val="Tahoma"/>
      <family val="2"/>
    </font>
    <font>
      <sz val="6"/>
      <color indexed="16"/>
      <name val="Palatino"/>
      <family val="1"/>
    </font>
    <font>
      <sz val="18"/>
      <name val="Helvetica-Black"/>
    </font>
    <font>
      <i/>
      <sz val="14"/>
      <name val="Palatino"/>
      <family val="1"/>
    </font>
    <font>
      <b/>
      <sz val="11"/>
      <color indexed="34"/>
      <name val="Calibri"/>
      <family val="2"/>
    </font>
    <font>
      <b/>
      <sz val="11"/>
      <color indexed="56"/>
      <name val="Calibri"/>
      <family val="2"/>
    </font>
    <font>
      <b/>
      <sz val="11"/>
      <color indexed="62"/>
      <name val="Calibri"/>
      <family val="2"/>
    </font>
    <font>
      <u/>
      <sz val="8"/>
      <color indexed="12"/>
      <name val="Trebuchet MS"/>
      <family val="2"/>
    </font>
    <font>
      <u/>
      <sz val="10"/>
      <color indexed="12"/>
      <name val="Trebuchet MS"/>
      <family val="2"/>
    </font>
    <font>
      <u/>
      <sz val="8"/>
      <color indexed="53"/>
      <name val="Arial"/>
      <family val="2"/>
    </font>
    <font>
      <u/>
      <sz val="10"/>
      <color indexed="20"/>
      <name val="Arial"/>
      <family val="2"/>
    </font>
    <font>
      <sz val="8"/>
      <color indexed="10"/>
      <name val="Times New Roman"/>
      <family val="1"/>
    </font>
    <font>
      <sz val="10.5"/>
      <name val="Arial"/>
      <family val="2"/>
    </font>
    <font>
      <sz val="9"/>
      <color indexed="12"/>
      <name val="Arial"/>
      <family val="2"/>
    </font>
    <font>
      <sz val="10"/>
      <name val="N Helvetica Narrow"/>
      <family val="1"/>
    </font>
    <font>
      <sz val="18"/>
      <name val="Times New Roman"/>
      <family val="1"/>
    </font>
    <font>
      <b/>
      <sz val="13"/>
      <name val="Times New Roman"/>
      <family val="1"/>
    </font>
    <font>
      <i/>
      <sz val="12"/>
      <name val="Times New Roman"/>
      <family val="1"/>
    </font>
    <font>
      <b/>
      <i/>
      <sz val="16"/>
      <name val="Helv"/>
    </font>
    <font>
      <sz val="10"/>
      <color indexed="16"/>
      <name val="Helvetica-Black"/>
    </font>
    <font>
      <sz val="8"/>
      <name val="Helv"/>
    </font>
    <font>
      <sz val="10"/>
      <color indexed="12"/>
      <name val="Geneva"/>
      <family val="2"/>
    </font>
    <font>
      <sz val="10"/>
      <color indexed="8"/>
      <name val="Arial"/>
      <family val="2"/>
    </font>
    <font>
      <sz val="10"/>
      <color indexed="39"/>
      <name val="Arial"/>
      <family val="2"/>
    </font>
    <font>
      <b/>
      <sz val="10"/>
      <color indexed="8"/>
      <name val="Arial"/>
      <family val="2"/>
    </font>
    <font>
      <b/>
      <sz val="12"/>
      <color indexed="8"/>
      <name val="Arial"/>
      <family val="2"/>
    </font>
    <font>
      <b/>
      <sz val="16"/>
      <color indexed="23"/>
      <name val="Arial"/>
      <family val="2"/>
    </font>
    <font>
      <b/>
      <sz val="12"/>
      <color indexed="56"/>
      <name val="Arial"/>
      <family val="2"/>
    </font>
    <font>
      <b/>
      <u/>
      <sz val="11"/>
      <name val="Helv"/>
      <family val="2"/>
    </font>
    <font>
      <b/>
      <sz val="8"/>
      <name val="Verdana"/>
      <family val="2"/>
    </font>
    <font>
      <sz val="8"/>
      <name val="Verdana"/>
      <family val="2"/>
    </font>
    <font>
      <b/>
      <sz val="18"/>
      <color indexed="56"/>
      <name val="Cambria"/>
      <family val="2"/>
    </font>
    <font>
      <b/>
      <sz val="18"/>
      <color indexed="62"/>
      <name val="Cambria"/>
      <family val="2"/>
    </font>
    <font>
      <b/>
      <sz val="14"/>
      <name val="Helv"/>
    </font>
    <font>
      <sz val="11"/>
      <name val="ＭＳ Ｐゴシック"/>
      <family val="3"/>
      <charset val="128"/>
    </font>
    <font>
      <u/>
      <sz val="10"/>
      <color theme="10"/>
      <name val="Trebuchet MS"/>
      <family val="2"/>
    </font>
    <font>
      <sz val="9"/>
      <color theme="0"/>
      <name val="Calibri"/>
      <family val="2"/>
      <scheme val="major"/>
    </font>
    <font>
      <sz val="9"/>
      <name val="Calibri"/>
      <family val="2"/>
      <scheme val="major"/>
    </font>
    <font>
      <u/>
      <sz val="9"/>
      <color theme="0"/>
      <name val="Calibri"/>
      <family val="2"/>
      <scheme val="major"/>
    </font>
    <font>
      <i/>
      <sz val="9"/>
      <name val="Calibri"/>
      <family val="2"/>
      <scheme val="major"/>
    </font>
    <font>
      <b/>
      <sz val="9"/>
      <name val="Calibri"/>
      <family val="2"/>
      <scheme val="major"/>
    </font>
    <font>
      <sz val="9"/>
      <color theme="0" tint="-0.14999847407452621"/>
      <name val="Calibri"/>
      <family val="2"/>
      <scheme val="major"/>
    </font>
    <font>
      <i/>
      <sz val="9"/>
      <color theme="0" tint="-0.14999847407452621"/>
      <name val="Calibri"/>
      <family val="2"/>
      <scheme val="major"/>
    </font>
    <font>
      <b/>
      <sz val="16"/>
      <color theme="0"/>
      <name val="Calibri"/>
      <family val="2"/>
      <scheme val="major"/>
    </font>
    <font>
      <b/>
      <sz val="9"/>
      <color theme="0"/>
      <name val="Calibri"/>
      <family val="2"/>
      <scheme val="major"/>
    </font>
    <font>
      <sz val="16"/>
      <color theme="0"/>
      <name val="Calibri"/>
      <family val="2"/>
      <scheme val="major"/>
    </font>
    <font>
      <sz val="16"/>
      <color theme="0" tint="-0.14999847407452621"/>
      <name val="Calibri"/>
      <family val="2"/>
      <scheme val="major"/>
    </font>
    <font>
      <b/>
      <sz val="9"/>
      <color theme="0" tint="-0.14999847407452621"/>
      <name val="Calibri"/>
      <family val="2"/>
      <scheme val="major"/>
    </font>
    <font>
      <sz val="9"/>
      <color indexed="9"/>
      <name val="Calibri"/>
      <family val="2"/>
      <scheme val="major"/>
    </font>
    <font>
      <b/>
      <sz val="9"/>
      <color indexed="9"/>
      <name val="Calibri"/>
      <family val="2"/>
      <scheme val="major"/>
    </font>
    <font>
      <b/>
      <sz val="9"/>
      <color indexed="48"/>
      <name val="Calibri"/>
      <family val="2"/>
      <scheme val="major"/>
    </font>
    <font>
      <sz val="9"/>
      <color indexed="48"/>
      <name val="Calibri"/>
      <family val="2"/>
      <scheme val="major"/>
    </font>
    <font>
      <sz val="16"/>
      <name val="Calibri"/>
      <family val="2"/>
      <scheme val="major"/>
    </font>
    <font>
      <b/>
      <sz val="16"/>
      <color theme="0" tint="-0.14999847407452621"/>
      <name val="Calibri"/>
      <family val="2"/>
      <scheme val="major"/>
    </font>
    <font>
      <b/>
      <u/>
      <sz val="9"/>
      <color theme="0"/>
      <name val="Calibri"/>
      <family val="2"/>
      <scheme val="major"/>
    </font>
    <font>
      <b/>
      <u/>
      <sz val="9"/>
      <name val="Calibri"/>
      <family val="2"/>
      <scheme val="major"/>
    </font>
    <font>
      <sz val="9"/>
      <color indexed="59"/>
      <name val="Calibri"/>
      <family val="2"/>
      <scheme val="major"/>
    </font>
    <font>
      <sz val="9"/>
      <color indexed="52"/>
      <name val="Calibri"/>
      <family val="2"/>
      <scheme val="major"/>
    </font>
    <font>
      <b/>
      <sz val="9"/>
      <color rgb="FF000000"/>
      <name val="Calibri"/>
      <family val="2"/>
      <scheme val="major"/>
    </font>
    <font>
      <sz val="9"/>
      <color rgb="FF000000"/>
      <name val="Calibri"/>
      <family val="2"/>
      <scheme val="major"/>
    </font>
    <font>
      <b/>
      <sz val="16"/>
      <color indexed="9"/>
      <name val="Calibri"/>
      <family val="2"/>
      <scheme val="major"/>
    </font>
    <font>
      <sz val="16"/>
      <color indexed="9"/>
      <name val="Calibri"/>
      <family val="2"/>
      <scheme val="major"/>
    </font>
    <font>
      <sz val="16"/>
      <color indexed="59"/>
      <name val="Calibri"/>
      <family val="2"/>
      <scheme val="major"/>
    </font>
    <font>
      <i/>
      <sz val="9"/>
      <color theme="0"/>
      <name val="Calibri"/>
      <family val="2"/>
      <scheme val="major"/>
    </font>
    <font>
      <b/>
      <sz val="16"/>
      <name val="Calibri"/>
      <family val="2"/>
      <scheme val="major"/>
    </font>
    <font>
      <sz val="11"/>
      <name val="Calibri"/>
      <family val="2"/>
      <scheme val="major"/>
    </font>
    <font>
      <b/>
      <i/>
      <sz val="9"/>
      <name val="Calibri"/>
      <family val="2"/>
      <scheme val="major"/>
    </font>
    <font>
      <u/>
      <sz val="9"/>
      <color theme="10"/>
      <name val="Calibri"/>
      <family val="2"/>
      <scheme val="major"/>
    </font>
    <font>
      <b/>
      <i/>
      <sz val="9"/>
      <color theme="0"/>
      <name val="Calibri"/>
      <family val="2"/>
      <scheme val="major"/>
    </font>
  </fonts>
  <fills count="110">
    <fill>
      <patternFill patternType="none"/>
    </fill>
    <fill>
      <patternFill patternType="gray125"/>
    </fill>
    <fill>
      <patternFill patternType="solid">
        <fgColor indexed="9"/>
      </patternFill>
    </fill>
    <fill>
      <patternFill patternType="solid">
        <fgColor indexed="22"/>
      </patternFill>
    </fill>
    <fill>
      <patternFill patternType="solid">
        <fgColor indexed="26"/>
        <bgColor indexed="64"/>
      </patternFill>
    </fill>
    <fill>
      <patternFill patternType="solid">
        <fgColor indexed="9"/>
        <bgColor indexed="64"/>
      </patternFill>
    </fill>
    <fill>
      <patternFill patternType="solid">
        <fgColor indexed="8"/>
        <bgColor indexed="64"/>
      </patternFill>
    </fill>
    <fill>
      <patternFill patternType="solid">
        <fgColor indexed="18"/>
        <bgColor indexed="64"/>
      </patternFill>
    </fill>
    <fill>
      <patternFill patternType="gray0625">
        <fgColor indexed="15"/>
      </patternFill>
    </fill>
    <fill>
      <patternFill patternType="solid">
        <fgColor indexed="41"/>
        <bgColor indexed="64"/>
      </patternFill>
    </fill>
    <fill>
      <patternFill patternType="lightGray">
        <fgColor indexed="12"/>
      </patternFill>
    </fill>
    <fill>
      <patternFill patternType="solid">
        <fgColor indexed="43"/>
        <bgColor indexed="64"/>
      </patternFill>
    </fill>
    <fill>
      <patternFill patternType="solid">
        <fgColor indexed="48"/>
      </patternFill>
    </fill>
    <fill>
      <patternFill patternType="solid">
        <fgColor indexed="22"/>
        <bgColor indexed="64"/>
      </patternFill>
    </fill>
    <fill>
      <patternFill patternType="solid">
        <fgColor indexed="42"/>
        <bgColor indexed="64"/>
      </patternFill>
    </fill>
    <fill>
      <patternFill patternType="gray0625"/>
    </fill>
    <fill>
      <patternFill patternType="solid">
        <fgColor indexed="15"/>
        <bgColor indexed="64"/>
      </patternFill>
    </fill>
    <fill>
      <patternFill patternType="solid">
        <fgColor indexed="13"/>
        <bgColor indexed="64"/>
      </patternFill>
    </fill>
    <fill>
      <patternFill patternType="solid">
        <fgColor indexed="15"/>
      </patternFill>
    </fill>
    <fill>
      <patternFill patternType="solid">
        <fgColor indexed="13"/>
        <bgColor indexed="15"/>
      </patternFill>
    </fill>
    <fill>
      <patternFill patternType="solid">
        <fgColor indexed="11"/>
        <bgColor indexed="64"/>
      </patternFill>
    </fill>
    <fill>
      <patternFill patternType="gray0625">
        <fgColor indexed="22"/>
      </patternFill>
    </fill>
    <fill>
      <patternFill patternType="solid">
        <fgColor indexed="13"/>
      </patternFill>
    </fill>
    <fill>
      <patternFill patternType="solid">
        <fgColor indexed="12"/>
      </patternFill>
    </fill>
    <fill>
      <patternFill patternType="lightGray"/>
    </fill>
    <fill>
      <patternFill patternType="solid">
        <fgColor indexed="44"/>
        <bgColor indexed="64"/>
      </patternFill>
    </fill>
    <fill>
      <patternFill patternType="solid">
        <fgColor indexed="16"/>
        <bgColor indexed="64"/>
      </patternFill>
    </fill>
    <fill>
      <patternFill patternType="solid">
        <fgColor indexed="54"/>
        <bgColor indexed="64"/>
      </patternFill>
    </fill>
    <fill>
      <patternFill patternType="solid">
        <fgColor rgb="FF99CCFF"/>
        <bgColor indexed="64"/>
      </patternFill>
    </fill>
    <fill>
      <patternFill patternType="solid">
        <fgColor theme="0"/>
        <bgColor indexed="64"/>
      </patternFill>
    </fill>
    <fill>
      <patternFill patternType="solid">
        <fgColor theme="5" tint="0.39997558519241921"/>
        <bgColor indexed="64"/>
      </patternFill>
    </fill>
    <fill>
      <patternFill patternType="solid">
        <fgColor rgb="FFFFEB9C"/>
      </patternFill>
    </fill>
    <fill>
      <patternFill patternType="gray0625">
        <fgColor indexed="10"/>
        <bgColor indexed="9"/>
      </patternFill>
    </fill>
    <fill>
      <patternFill patternType="solid">
        <fgColor indexed="40"/>
        <bgColor indexed="64"/>
      </patternFill>
    </fill>
    <fill>
      <patternFill patternType="gray0625">
        <fgColor indexed="13"/>
        <bgColor indexed="9"/>
      </patternFill>
    </fill>
    <fill>
      <patternFill patternType="mediumGray"/>
    </fill>
    <fill>
      <patternFill patternType="lightGray">
        <fgColor indexed="22"/>
        <bgColor indexed="9"/>
      </patternFill>
    </fill>
    <fill>
      <patternFill patternType="solid">
        <fgColor indexed="58"/>
        <bgColor indexed="64"/>
      </patternFill>
    </fill>
    <fill>
      <patternFill patternType="solid">
        <fgColor indexed="27"/>
        <bgColor indexed="64"/>
      </patternFill>
    </fill>
    <fill>
      <patternFill patternType="solid">
        <fgColor theme="4" tint="0.79985961485641044"/>
        <bgColor indexed="64"/>
      </patternFill>
    </fill>
    <fill>
      <patternFill patternType="solid">
        <fgColor theme="5" tint="0.79985961485641044"/>
        <bgColor indexed="64"/>
      </patternFill>
    </fill>
    <fill>
      <patternFill patternType="solid">
        <fgColor theme="6" tint="0.79985961485641044"/>
        <bgColor indexed="64"/>
      </patternFill>
    </fill>
    <fill>
      <patternFill patternType="solid">
        <fgColor theme="7" tint="0.79985961485641044"/>
        <bgColor indexed="64"/>
      </patternFill>
    </fill>
    <fill>
      <patternFill patternType="solid">
        <fgColor theme="8" tint="0.79985961485641044"/>
        <bgColor indexed="64"/>
      </patternFill>
    </fill>
    <fill>
      <patternFill patternType="solid">
        <fgColor theme="9" tint="0.79985961485641044"/>
        <bgColor indexed="64"/>
      </patternFill>
    </fill>
    <fill>
      <patternFill patternType="solid">
        <fgColor theme="4" tint="0.59974974822229687"/>
        <bgColor indexed="64"/>
      </patternFill>
    </fill>
    <fill>
      <patternFill patternType="solid">
        <fgColor theme="5" tint="0.59974974822229687"/>
        <bgColor indexed="64"/>
      </patternFill>
    </fill>
    <fill>
      <patternFill patternType="solid">
        <fgColor theme="6" tint="0.59974974822229687"/>
        <bgColor indexed="64"/>
      </patternFill>
    </fill>
    <fill>
      <patternFill patternType="solid">
        <fgColor theme="7" tint="0.59974974822229687"/>
        <bgColor indexed="64"/>
      </patternFill>
    </fill>
    <fill>
      <patternFill patternType="solid">
        <fgColor theme="8" tint="0.59974974822229687"/>
        <bgColor indexed="64"/>
      </patternFill>
    </fill>
    <fill>
      <patternFill patternType="solid">
        <fgColor theme="9" tint="0.59974974822229687"/>
        <bgColor indexed="64"/>
      </patternFill>
    </fill>
    <fill>
      <patternFill patternType="solid">
        <fgColor theme="4"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indexed="47"/>
        <bgColor indexed="64"/>
      </patternFill>
    </fill>
    <fill>
      <patternFill patternType="solid">
        <fgColor rgb="FFFFEB9C"/>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19"/>
      </patternFill>
    </fill>
    <fill>
      <patternFill patternType="solid">
        <fgColor indexed="54"/>
      </patternFill>
    </fill>
    <fill>
      <patternFill patternType="solid">
        <fgColor indexed="51"/>
        <bgColor indexed="64"/>
      </patternFill>
    </fill>
    <fill>
      <patternFill patternType="solid">
        <fgColor rgb="FF4F81BD"/>
        <bgColor indexed="64"/>
      </patternFill>
    </fill>
    <fill>
      <patternFill patternType="solid">
        <fgColor indexed="45"/>
        <bgColor indexed="14"/>
      </patternFill>
    </fill>
    <fill>
      <patternFill patternType="solid">
        <fgColor indexed="31"/>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lightUp">
        <fgColor indexed="22"/>
        <bgColor indexed="35"/>
      </patternFill>
    </fill>
    <fill>
      <patternFill patternType="solid">
        <fgColor indexed="35"/>
        <bgColor indexed="64"/>
      </patternFill>
    </fill>
    <fill>
      <patternFill patternType="solid">
        <fgColor indexed="23"/>
        <bgColor indexed="64"/>
      </patternFill>
    </fill>
    <fill>
      <patternFill patternType="solid">
        <fgColor indexed="55"/>
        <bgColor indexed="64"/>
      </patternFill>
    </fill>
    <fill>
      <patternFill patternType="solid">
        <fgColor rgb="FFFFFFFF"/>
        <bgColor indexed="64"/>
      </patternFill>
    </fill>
    <fill>
      <patternFill patternType="solid">
        <fgColor theme="2"/>
        <bgColor indexed="64"/>
      </patternFill>
    </fill>
    <fill>
      <patternFill patternType="solid">
        <fgColor theme="2" tint="0.89999084444715716"/>
        <bgColor indexed="64"/>
      </patternFill>
    </fill>
    <fill>
      <patternFill patternType="solid">
        <fgColor theme="2" tint="0.749992370372631"/>
        <bgColor indexed="64"/>
      </patternFill>
    </fill>
  </fills>
  <borders count="87">
    <border>
      <left/>
      <right/>
      <top/>
      <bottom/>
      <diagonal/>
    </border>
    <border>
      <left style="medium">
        <color indexed="12"/>
      </left>
      <right style="medium">
        <color indexed="12"/>
      </right>
      <top style="medium">
        <color indexed="12"/>
      </top>
      <bottom style="medium">
        <color indexed="12"/>
      </bottom>
      <diagonal/>
    </border>
    <border>
      <left style="thin">
        <color indexed="64"/>
      </left>
      <right/>
      <top/>
      <bottom/>
      <diagonal/>
    </border>
    <border>
      <left/>
      <right/>
      <top/>
      <bottom style="medium">
        <color indexed="64"/>
      </bottom>
      <diagonal/>
    </border>
    <border>
      <left style="thin">
        <color indexed="64"/>
      </left>
      <right style="thin">
        <color indexed="64"/>
      </right>
      <top style="thin">
        <color indexed="64"/>
      </top>
      <bottom style="thin">
        <color indexed="64"/>
      </bottom>
      <diagonal/>
    </border>
    <border>
      <left style="double">
        <color indexed="64"/>
      </left>
      <right/>
      <top/>
      <bottom/>
      <diagonal/>
    </border>
    <border>
      <left style="thin">
        <color indexed="64"/>
      </left>
      <right style="thin">
        <color indexed="64"/>
      </right>
      <top/>
      <bottom style="thin">
        <color indexed="64"/>
      </bottom>
      <diagonal/>
    </border>
    <border>
      <left/>
      <right/>
      <top/>
      <bottom style="thin">
        <color indexed="64"/>
      </bottom>
      <diagonal/>
    </border>
    <border>
      <left/>
      <right/>
      <top/>
      <bottom style="dotted">
        <color indexed="64"/>
      </bottom>
      <diagonal/>
    </border>
    <border>
      <left style="dotted">
        <color indexed="12"/>
      </left>
      <right style="dotted">
        <color indexed="12"/>
      </right>
      <top style="dotted">
        <color indexed="12"/>
      </top>
      <bottom style="dotted">
        <color indexed="12"/>
      </bottom>
      <diagonal/>
    </border>
    <border>
      <left style="dotted">
        <color indexed="57"/>
      </left>
      <right style="dotted">
        <color indexed="57"/>
      </right>
      <top style="dotted">
        <color indexed="57"/>
      </top>
      <bottom style="dotted">
        <color indexed="57"/>
      </bottom>
      <diagonal/>
    </border>
    <border>
      <left style="thin">
        <color indexed="57"/>
      </left>
      <right style="thin">
        <color indexed="57"/>
      </right>
      <top style="thin">
        <color indexed="57"/>
      </top>
      <bottom style="thin">
        <color indexed="57"/>
      </bottom>
      <diagonal/>
    </border>
    <border>
      <left style="thin">
        <color indexed="12"/>
      </left>
      <right style="thin">
        <color indexed="12"/>
      </right>
      <top style="thin">
        <color indexed="12"/>
      </top>
      <bottom style="thin">
        <color indexed="12"/>
      </bottom>
      <diagonal/>
    </border>
    <border>
      <left style="thin">
        <color indexed="64"/>
      </left>
      <right style="thin">
        <color indexed="64"/>
      </right>
      <top/>
      <bottom/>
      <diagonal/>
    </border>
    <border>
      <left style="thin">
        <color indexed="8"/>
      </left>
      <right style="thin">
        <color indexed="8"/>
      </right>
      <top style="thin">
        <color indexed="8"/>
      </top>
      <bottom style="thin">
        <color indexed="8"/>
      </bottom>
      <diagonal/>
    </border>
    <border>
      <left style="medium">
        <color indexed="64"/>
      </left>
      <right style="medium">
        <color indexed="64"/>
      </right>
      <top style="medium">
        <color indexed="64"/>
      </top>
      <bottom style="medium">
        <color indexed="64"/>
      </bottom>
      <diagonal/>
    </border>
    <border>
      <left/>
      <right style="hair">
        <color indexed="64"/>
      </right>
      <top/>
      <bottom/>
      <diagonal/>
    </border>
    <border>
      <left/>
      <right style="thin">
        <color indexed="64"/>
      </right>
      <top/>
      <bottom/>
      <diagonal/>
    </border>
    <border>
      <left/>
      <right/>
      <top/>
      <bottom style="medium">
        <color indexed="45"/>
      </bottom>
      <diagonal/>
    </border>
    <border>
      <left/>
      <right/>
      <top/>
      <bottom style="thin">
        <color indexed="45"/>
      </bottom>
      <diagonal/>
    </border>
    <border>
      <left/>
      <right/>
      <top style="medium">
        <color indexed="45"/>
      </top>
      <bottom/>
      <diagonal/>
    </border>
    <border>
      <left/>
      <right/>
      <top/>
      <bottom style="double">
        <color indexed="45"/>
      </bottom>
      <diagonal/>
    </border>
    <border>
      <left/>
      <right/>
      <top style="medium">
        <color indexed="64"/>
      </top>
      <bottom/>
      <diagonal/>
    </border>
    <border>
      <left style="double">
        <color indexed="64"/>
      </left>
      <right/>
      <top style="double">
        <color indexed="64"/>
      </top>
      <bottom/>
      <diagonal/>
    </border>
    <border>
      <left/>
      <right style="medium">
        <color indexed="64"/>
      </right>
      <top/>
      <bottom/>
      <diagonal/>
    </border>
    <border>
      <left/>
      <right/>
      <top style="double">
        <color indexed="64"/>
      </top>
      <bottom/>
      <diagonal/>
    </border>
    <border>
      <left/>
      <right/>
      <top style="medium">
        <color indexed="23"/>
      </top>
      <bottom style="medium">
        <color indexed="23"/>
      </bottom>
      <diagonal/>
    </border>
    <border>
      <left/>
      <right/>
      <top style="medium">
        <color indexed="41"/>
      </top>
      <bottom style="medium">
        <color indexed="41"/>
      </bottom>
      <diagonal/>
    </border>
    <border>
      <left/>
      <right/>
      <top style="medium">
        <color indexed="41"/>
      </top>
      <bottom/>
      <diagonal/>
    </border>
    <border>
      <left/>
      <right/>
      <top/>
      <bottom style="thin">
        <color indexed="23"/>
      </bottom>
      <diagonal/>
    </border>
    <border>
      <left/>
      <right/>
      <top style="thin">
        <color indexed="64"/>
      </top>
      <bottom style="thin">
        <color indexed="64"/>
      </bottom>
      <diagonal/>
    </border>
    <border>
      <left/>
      <right/>
      <top style="thick">
        <color indexed="64"/>
      </top>
      <bottom/>
      <diagonal/>
    </border>
    <border>
      <left/>
      <right/>
      <top/>
      <bottom style="thick">
        <color indexed="18"/>
      </bottom>
      <diagonal/>
    </border>
    <border>
      <left/>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indexed="64"/>
      </left>
      <right/>
      <top/>
      <bottom style="thin">
        <color indexed="64"/>
      </bottom>
      <diagonal/>
    </border>
    <border>
      <left/>
      <right/>
      <top style="thin">
        <color indexed="64"/>
      </top>
      <bottom style="medium">
        <color indexed="64"/>
      </bottom>
      <diagonal/>
    </border>
    <border>
      <left/>
      <right/>
      <top style="medium">
        <color indexed="64"/>
      </top>
      <bottom style="medium">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top/>
      <bottom style="thick">
        <color theme="4"/>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indexed="9"/>
      </left>
      <right style="thin">
        <color indexed="9"/>
      </right>
      <top style="thin">
        <color indexed="9"/>
      </top>
      <bottom style="thin">
        <color indexed="9"/>
      </bottom>
      <diagonal/>
    </border>
    <border>
      <left/>
      <right/>
      <top/>
      <bottom style="hair">
        <color indexed="64"/>
      </bottom>
      <diagonal/>
    </border>
    <border>
      <left style="hair">
        <color indexed="64"/>
      </left>
      <right style="hair">
        <color indexed="64"/>
      </right>
      <top style="hair">
        <color indexed="64"/>
      </top>
      <bottom style="hair">
        <color indexed="64"/>
      </bottom>
      <diagonal/>
    </border>
    <border>
      <left/>
      <right/>
      <top/>
      <bottom style="thick">
        <color indexed="64"/>
      </bottom>
      <diagonal/>
    </border>
    <border>
      <left/>
      <right/>
      <top style="dotted">
        <color indexed="64"/>
      </top>
      <bottom style="medium">
        <color indexed="64"/>
      </bottom>
      <diagonal/>
    </border>
    <border>
      <left style="medium">
        <color indexed="9"/>
      </left>
      <right style="medium">
        <color indexed="49"/>
      </right>
      <top/>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ck">
        <color theme="4" tint="0.4996795556505020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diagonal/>
    </border>
    <border>
      <left style="thin">
        <color indexed="57"/>
      </left>
      <right style="thin">
        <color indexed="57"/>
      </right>
      <top style="thin">
        <color indexed="57"/>
      </top>
      <bottom style="thin">
        <color indexed="57"/>
      </bottom>
      <diagonal/>
    </border>
    <border>
      <left style="thin">
        <color indexed="12"/>
      </left>
      <right style="thin">
        <color indexed="12"/>
      </right>
      <top style="thin">
        <color indexed="12"/>
      </top>
      <bottom style="thin">
        <color indexed="12"/>
      </bottom>
      <diagonal/>
    </border>
    <border>
      <left style="thin">
        <color indexed="8"/>
      </left>
      <right style="thin">
        <color indexed="8"/>
      </right>
      <top style="thin">
        <color indexed="8"/>
      </top>
      <bottom style="thin">
        <color indexed="8"/>
      </bottom>
      <diagonal/>
    </border>
    <border>
      <left style="thin">
        <color indexed="9"/>
      </left>
      <right style="thin">
        <color indexed="9"/>
      </right>
      <top style="thin">
        <color indexed="9"/>
      </top>
      <bottom style="thin">
        <color indexed="9"/>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hair">
        <color indexed="8"/>
      </top>
      <bottom style="hair">
        <color indexed="8"/>
      </bottom>
      <diagonal/>
    </border>
    <border>
      <left/>
      <right/>
      <top/>
      <bottom style="medium">
        <color indexed="18"/>
      </bottom>
      <diagonal/>
    </border>
    <border>
      <left/>
      <right style="medium">
        <color indexed="9"/>
      </right>
      <top/>
      <bottom style="medium">
        <color indexed="9"/>
      </bottom>
      <diagonal/>
    </border>
    <border>
      <left style="thin">
        <color indexed="63"/>
      </left>
      <right style="thin">
        <color indexed="63"/>
      </right>
      <top style="thin">
        <color indexed="64"/>
      </top>
      <bottom style="thin">
        <color indexed="63"/>
      </bottom>
      <diagonal/>
    </border>
    <border>
      <left/>
      <right/>
      <top style="thin">
        <color indexed="45"/>
      </top>
      <bottom style="thin">
        <color indexed="47"/>
      </bottom>
      <diagonal/>
    </border>
    <border>
      <left/>
      <right/>
      <top/>
      <bottom style="thin">
        <color indexed="47"/>
      </bottom>
      <diagonal/>
    </border>
    <border>
      <left/>
      <right/>
      <top style="thin">
        <color indexed="47"/>
      </top>
      <bottom style="thin">
        <color indexed="43"/>
      </bottom>
      <diagonal/>
    </border>
    <border>
      <left/>
      <right/>
      <top/>
      <bottom style="thin">
        <color auto="1"/>
      </bottom>
      <diagonal/>
    </border>
    <border>
      <left style="thin">
        <color theme="0" tint="-0.14996795556505021"/>
      </left>
      <right/>
      <top style="thin">
        <color theme="0" tint="-0.14996795556505021"/>
      </top>
      <bottom/>
      <diagonal/>
    </border>
    <border>
      <left/>
      <right/>
      <top style="thin">
        <color theme="0" tint="-0.14996795556505021"/>
      </top>
      <bottom/>
      <diagonal/>
    </border>
    <border>
      <left/>
      <right style="thin">
        <color theme="0" tint="-0.14996795556505021"/>
      </right>
      <top style="thin">
        <color theme="0" tint="-0.14996795556505021"/>
      </top>
      <bottom/>
      <diagonal/>
    </border>
    <border>
      <left style="thin">
        <color theme="0" tint="-0.14996795556505021"/>
      </left>
      <right/>
      <top/>
      <bottom/>
      <diagonal/>
    </border>
    <border>
      <left/>
      <right style="thin">
        <color theme="0" tint="-0.14996795556505021"/>
      </right>
      <top/>
      <bottom/>
      <diagonal/>
    </border>
    <border>
      <left style="thin">
        <color theme="0" tint="-0.14996795556505021"/>
      </left>
      <right/>
      <top/>
      <bottom style="thin">
        <color theme="0" tint="-0.14996795556505021"/>
      </bottom>
      <diagonal/>
    </border>
    <border>
      <left/>
      <right/>
      <top/>
      <bottom style="thin">
        <color theme="0" tint="-0.14996795556505021"/>
      </bottom>
      <diagonal/>
    </border>
    <border>
      <left/>
      <right style="thin">
        <color theme="0" tint="-0.14996795556505021"/>
      </right>
      <top/>
      <bottom style="thin">
        <color theme="0" tint="-0.14996795556505021"/>
      </bottom>
      <diagonal/>
    </border>
  </borders>
  <cellStyleXfs count="2372">
    <xf numFmtId="0" fontId="0" fillId="0" borderId="0"/>
    <xf numFmtId="0" fontId="17" fillId="0" borderId="0" applyNumberFormat="0" applyFill="0" applyBorder="0" applyAlignment="0" applyProtection="0"/>
    <xf numFmtId="0" fontId="43" fillId="0" borderId="0"/>
    <xf numFmtId="0" fontId="6" fillId="0" borderId="0"/>
    <xf numFmtId="0" fontId="6" fillId="0" borderId="0"/>
    <xf numFmtId="0" fontId="6" fillId="0" borderId="0"/>
    <xf numFmtId="0" fontId="23" fillId="0" borderId="0"/>
    <xf numFmtId="0" fontId="6" fillId="0" borderId="0"/>
    <xf numFmtId="0" fontId="6" fillId="0" borderId="0"/>
    <xf numFmtId="0" fontId="45" fillId="0" borderId="0" applyNumberFormat="0" applyFont="0" applyFill="0" applyBorder="0" applyAlignment="0" applyProtection="0"/>
    <xf numFmtId="0" fontId="8" fillId="0" borderId="0"/>
    <xf numFmtId="204" fontId="8" fillId="0" borderId="0" applyFont="0" applyFill="0" applyBorder="0" applyAlignment="0" applyProtection="0"/>
    <xf numFmtId="205" fontId="8" fillId="0" borderId="0" applyFont="0" applyFill="0" applyBorder="0" applyAlignment="0" applyProtection="0"/>
    <xf numFmtId="39" fontId="8" fillId="0" borderId="0" applyFont="0" applyFill="0" applyBorder="0" applyAlignment="0" applyProtection="0"/>
    <xf numFmtId="0" fontId="8" fillId="0" borderId="0" applyFont="0" applyFill="0" applyBorder="0" applyAlignment="0" applyProtection="0"/>
    <xf numFmtId="0" fontId="45" fillId="0" borderId="0" applyNumberFormat="0" applyFill="0" applyBorder="0" applyAlignment="0" applyProtection="0"/>
    <xf numFmtId="0" fontId="8" fillId="0" borderId="0" applyFont="0" applyFill="0" applyBorder="0" applyAlignment="0" applyProtection="0"/>
    <xf numFmtId="206" fontId="8" fillId="0" borderId="0" applyFont="0" applyFill="0" applyBorder="0" applyAlignment="0" applyProtection="0"/>
    <xf numFmtId="207" fontId="8" fillId="0" borderId="0" applyFont="0" applyFill="0" applyBorder="0" applyAlignment="0" applyProtection="0"/>
    <xf numFmtId="208" fontId="8" fillId="0" borderId="0" applyFont="0" applyFill="0" applyBorder="0" applyAlignment="0" applyProtection="0"/>
    <xf numFmtId="209" fontId="8" fillId="0" borderId="0" applyFont="0" applyFill="0" applyBorder="0" applyAlignment="0" applyProtection="0"/>
    <xf numFmtId="0" fontId="8" fillId="0" borderId="0"/>
    <xf numFmtId="0" fontId="46" fillId="0" borderId="0"/>
    <xf numFmtId="0" fontId="8" fillId="0" borderId="0"/>
    <xf numFmtId="0" fontId="8" fillId="0" borderId="0"/>
    <xf numFmtId="0" fontId="8" fillId="0" borderId="0" applyFont="0" applyFill="0" applyBorder="0" applyAlignment="0" applyProtection="0"/>
    <xf numFmtId="210" fontId="8" fillId="0" borderId="0" applyFont="0" applyFill="0" applyBorder="0" applyAlignment="0" applyProtection="0"/>
    <xf numFmtId="0" fontId="47" fillId="0" borderId="0">
      <protection locked="0"/>
    </xf>
    <xf numFmtId="177" fontId="8" fillId="0" borderId="0" applyNumberFormat="0" applyFill="0" applyBorder="0" applyAlignment="0"/>
    <xf numFmtId="211" fontId="8" fillId="0" borderId="0" applyFill="0" applyBorder="0" applyProtection="0">
      <alignment horizontal="right"/>
    </xf>
    <xf numFmtId="0" fontId="8" fillId="0" borderId="0" applyFont="0" applyFill="0" applyBorder="0" applyAlignment="0" applyProtection="0"/>
    <xf numFmtId="0" fontId="8" fillId="0" borderId="0" applyFont="0" applyFill="0" applyBorder="0" applyAlignment="0" applyProtection="0"/>
    <xf numFmtId="178" fontId="48" fillId="4" borderId="0">
      <alignment horizontal="left"/>
    </xf>
    <xf numFmtId="212" fontId="14" fillId="0" borderId="0" applyFont="0" applyFill="0" applyBorder="0" applyAlignment="0" applyProtection="0"/>
    <xf numFmtId="213" fontId="49" fillId="0" borderId="0" applyFont="0" applyFill="0" applyBorder="0" applyAlignment="0" applyProtection="0"/>
    <xf numFmtId="0" fontId="50" fillId="0" borderId="0">
      <alignment horizontal="center" wrapText="1"/>
      <protection locked="0"/>
    </xf>
    <xf numFmtId="0" fontId="8" fillId="0" borderId="0" applyNumberFormat="0" applyFill="0" applyBorder="0" applyAlignment="0" applyProtection="0"/>
    <xf numFmtId="0" fontId="51" fillId="0" borderId="0" applyNumberFormat="0" applyFill="0" applyBorder="0" applyAlignment="0" applyProtection="0"/>
    <xf numFmtId="0" fontId="52" fillId="0" borderId="1" applyNumberFormat="0" applyFill="0" applyAlignment="0" applyProtection="0"/>
    <xf numFmtId="214" fontId="53" fillId="5" borderId="0" applyNumberFormat="0" applyFill="0" applyBorder="0" applyAlignment="0" applyProtection="0">
      <alignment horizontal="right"/>
    </xf>
    <xf numFmtId="0" fontId="8" fillId="0" borderId="0" applyFont="0" applyFill="0" applyBorder="0" applyAlignment="0" applyProtection="0"/>
    <xf numFmtId="170" fontId="8" fillId="0" borderId="0" applyFont="0" applyFill="0" applyBorder="0" applyAlignment="0" applyProtection="0"/>
    <xf numFmtId="215" fontId="8" fillId="0" borderId="0" applyFont="0" applyFill="0" applyBorder="0" applyAlignment="0" applyProtection="0"/>
    <xf numFmtId="0" fontId="8" fillId="0" borderId="0"/>
    <xf numFmtId="216" fontId="50" fillId="0" borderId="0" applyFill="0" applyBorder="0" applyAlignment="0" applyProtection="0">
      <protection locked="0"/>
    </xf>
    <xf numFmtId="0" fontId="54" fillId="6" borderId="0"/>
    <xf numFmtId="204" fontId="14" fillId="0" borderId="0" applyNumberFormat="0" applyFont="0" applyAlignment="0" applyProtection="0"/>
    <xf numFmtId="0" fontId="55" fillId="7" borderId="0" applyNumberFormat="0" applyBorder="0">
      <alignment horizontal="center" vertical="center"/>
    </xf>
    <xf numFmtId="0" fontId="56" fillId="0" borderId="0" applyNumberFormat="0" applyFill="0" applyBorder="0" applyAlignment="0" applyProtection="0"/>
    <xf numFmtId="0" fontId="57" fillId="0" borderId="0" applyFont="0" applyFill="0" applyBorder="0" applyAlignment="0" applyProtection="0"/>
    <xf numFmtId="0" fontId="8" fillId="0" borderId="0"/>
    <xf numFmtId="39" fontId="58" fillId="0" borderId="2" applyNumberFormat="0" applyFill="0" applyBorder="0"/>
    <xf numFmtId="0" fontId="32" fillId="0" borderId="0" applyNumberFormat="0" applyAlignment="0">
      <alignment vertical="center"/>
    </xf>
    <xf numFmtId="216" fontId="50" fillId="0" borderId="0" applyFont="0" applyFill="0" applyBorder="0" applyAlignment="0" applyProtection="0">
      <protection locked="0"/>
    </xf>
    <xf numFmtId="0" fontId="59" fillId="0" borderId="0"/>
    <xf numFmtId="1" fontId="60" fillId="0" borderId="0"/>
    <xf numFmtId="184" fontId="33" fillId="0" borderId="0" applyNumberFormat="0" applyAlignment="0">
      <alignment vertical="center"/>
    </xf>
    <xf numFmtId="0" fontId="9" fillId="0" borderId="0">
      <alignment horizontal="center" wrapText="1"/>
      <protection hidden="1"/>
    </xf>
    <xf numFmtId="0" fontId="22" fillId="8" borderId="3" applyNumberFormat="0" applyProtection="0">
      <alignment horizontal="center" vertical="center" wrapText="1"/>
    </xf>
    <xf numFmtId="0" fontId="22" fillId="8" borderId="0" applyNumberFormat="0" applyBorder="0" applyProtection="0">
      <alignment horizontal="centerContinuous" vertical="center"/>
    </xf>
    <xf numFmtId="0" fontId="22" fillId="8" borderId="4" applyNumberFormat="0" applyBorder="0" applyProtection="0">
      <alignment horizontal="center" vertical="center" wrapText="1"/>
    </xf>
    <xf numFmtId="0" fontId="34" fillId="9" borderId="0" applyNumberFormat="0">
      <alignment horizontal="center" vertical="top" wrapText="1"/>
    </xf>
    <xf numFmtId="0" fontId="34" fillId="9" borderId="0" applyNumberFormat="0">
      <alignment horizontal="left" vertical="top" wrapText="1"/>
    </xf>
    <xf numFmtId="0" fontId="34" fillId="9" borderId="0" applyNumberFormat="0">
      <alignment horizontal="centerContinuous" vertical="top"/>
    </xf>
    <xf numFmtId="0" fontId="32" fillId="9" borderId="0" applyNumberFormat="0">
      <alignment horizontal="center" vertical="top" wrapText="1"/>
    </xf>
    <xf numFmtId="0" fontId="34" fillId="9" borderId="0" applyNumberFormat="0">
      <alignment horizontal="center" vertical="top" wrapText="1"/>
    </xf>
    <xf numFmtId="0" fontId="14" fillId="0" borderId="5" applyNumberFormat="0" applyFont="0" applyFill="0" applyAlignment="0" applyProtection="0">
      <alignment horizontal="left"/>
    </xf>
    <xf numFmtId="43" fontId="6" fillId="0" borderId="0" applyFont="0" applyFill="0" applyBorder="0" applyAlignment="0" applyProtection="0"/>
    <xf numFmtId="178" fontId="10"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alignment horizontal="right"/>
    </xf>
    <xf numFmtId="0" fontId="11" fillId="0" borderId="0" applyFont="0" applyFill="0" applyBorder="0" applyAlignment="0" applyProtection="0">
      <alignment horizontal="right"/>
    </xf>
    <xf numFmtId="43" fontId="6" fillId="0" borderId="0" applyFont="0" applyFill="0" applyBorder="0" applyAlignment="0" applyProtection="0"/>
    <xf numFmtId="43" fontId="44" fillId="0" borderId="0" applyFont="0" applyFill="0" applyBorder="0" applyAlignment="0" applyProtection="0"/>
    <xf numFmtId="0" fontId="18" fillId="0" borderId="0" applyFont="0" applyFill="0" applyBorder="0" applyAlignment="0" applyProtection="0"/>
    <xf numFmtId="204" fontId="26" fillId="0" borderId="0"/>
    <xf numFmtId="3" fontId="61" fillId="0" borderId="0" applyFont="0" applyFill="0" applyBorder="0" applyAlignment="0" applyProtection="0"/>
    <xf numFmtId="0" fontId="12" fillId="10" borderId="0">
      <alignment horizontal="center" vertical="center" wrapText="1"/>
    </xf>
    <xf numFmtId="0" fontId="8" fillId="0" borderId="0">
      <alignment horizontal="left"/>
    </xf>
    <xf numFmtId="0" fontId="8" fillId="0" borderId="0"/>
    <xf numFmtId="0" fontId="8" fillId="0" borderId="0">
      <alignment horizontal="left"/>
    </xf>
    <xf numFmtId="179" fontId="9" fillId="0" borderId="0" applyFill="0" applyBorder="0">
      <alignment horizontal="right"/>
      <protection locked="0"/>
    </xf>
    <xf numFmtId="217" fontId="62" fillId="0" borderId="0" applyFont="0"/>
    <xf numFmtId="187" fontId="32" fillId="0" borderId="0" applyFont="0" applyFill="0" applyBorder="0" applyAlignment="0" applyProtection="0">
      <alignment vertical="center"/>
    </xf>
    <xf numFmtId="218" fontId="62" fillId="0" borderId="0" applyFont="0"/>
    <xf numFmtId="219" fontId="8" fillId="0" borderId="0"/>
    <xf numFmtId="166" fontId="8" fillId="0" borderId="0" applyFont="0" applyFill="0" applyBorder="0" applyAlignment="0"/>
    <xf numFmtId="0" fontId="11" fillId="0" borderId="0" applyFont="0" applyFill="0" applyBorder="0" applyAlignment="0" applyProtection="0">
      <alignment horizontal="right"/>
    </xf>
    <xf numFmtId="0" fontId="11" fillId="0" borderId="0" applyFont="0" applyFill="0" applyBorder="0" applyAlignment="0" applyProtection="0">
      <alignment horizontal="right"/>
    </xf>
    <xf numFmtId="192" fontId="32" fillId="0" borderId="0" applyFont="0" applyFill="0" applyBorder="0" applyAlignment="0" applyProtection="0">
      <alignment vertical="center"/>
    </xf>
    <xf numFmtId="193" fontId="32" fillId="0" borderId="0" applyFont="0" applyFill="0" applyBorder="0" applyAlignment="0" applyProtection="0">
      <alignment vertical="center"/>
    </xf>
    <xf numFmtId="190" fontId="32" fillId="0" borderId="0" applyFont="0" applyFill="0" applyBorder="0" applyAlignment="0" applyProtection="0">
      <alignment vertical="center"/>
    </xf>
    <xf numFmtId="191" fontId="32" fillId="0" borderId="0" applyFont="0" applyFill="0" applyBorder="0" applyAlignment="0" applyProtection="0">
      <alignment vertical="center"/>
    </xf>
    <xf numFmtId="188" fontId="32" fillId="0" borderId="0" applyFont="0" applyFill="0" applyBorder="0" applyAlignment="0" applyProtection="0">
      <alignment vertical="center"/>
    </xf>
    <xf numFmtId="189" fontId="32" fillId="0" borderId="0" applyFont="0" applyFill="0" applyBorder="0" applyAlignment="0" applyProtection="0">
      <alignment vertical="center"/>
    </xf>
    <xf numFmtId="198" fontId="32" fillId="0" borderId="0" applyFont="0" applyFill="0" applyBorder="0" applyAlignment="0" applyProtection="0">
      <alignment vertical="center"/>
    </xf>
    <xf numFmtId="199" fontId="32" fillId="0" borderId="0" applyFont="0" applyFill="0" applyBorder="0" applyAlignment="0" applyProtection="0">
      <alignment vertical="center"/>
    </xf>
    <xf numFmtId="196" fontId="32" fillId="0" borderId="0" applyFont="0" applyFill="0" applyBorder="0" applyAlignment="0" applyProtection="0">
      <alignment vertical="center"/>
    </xf>
    <xf numFmtId="197" fontId="32" fillId="0" borderId="0" applyFont="0" applyFill="0" applyBorder="0" applyAlignment="0" applyProtection="0">
      <alignment vertical="center"/>
    </xf>
    <xf numFmtId="194" fontId="32" fillId="0" borderId="0" applyFont="0" applyFill="0" applyBorder="0" applyAlignment="0" applyProtection="0">
      <alignment vertical="center"/>
    </xf>
    <xf numFmtId="195" fontId="32" fillId="0" borderId="0" applyFont="0" applyFill="0" applyBorder="0" applyAlignment="0" applyProtection="0">
      <alignment vertical="center"/>
    </xf>
    <xf numFmtId="220" fontId="8" fillId="0" borderId="0" applyFont="0" applyFill="0" applyBorder="0" applyAlignment="0" applyProtection="0"/>
    <xf numFmtId="0" fontId="8" fillId="0" borderId="0">
      <alignment horizontal="right"/>
      <protection locked="0"/>
    </xf>
    <xf numFmtId="200" fontId="32" fillId="0" borderId="0" applyFont="0" applyFill="0" applyBorder="0" applyAlignment="0" applyProtection="0">
      <alignment vertical="center"/>
    </xf>
    <xf numFmtId="201" fontId="32" fillId="0" borderId="0" applyFont="0" applyFill="0" applyBorder="0" applyAlignment="0" applyProtection="0">
      <alignment vertical="center"/>
    </xf>
    <xf numFmtId="15" fontId="63" fillId="0" borderId="0" applyFill="0" applyBorder="0" applyAlignment="0"/>
    <xf numFmtId="0" fontId="63" fillId="4" borderId="0" applyFont="0" applyFill="0" applyBorder="0" applyAlignment="0" applyProtection="0"/>
    <xf numFmtId="221" fontId="8" fillId="4" borderId="6" applyFont="0" applyFill="0" applyBorder="0" applyAlignment="0" applyProtection="0"/>
    <xf numFmtId="222" fontId="8" fillId="4" borderId="0" applyFont="0" applyFill="0" applyBorder="0" applyAlignment="0" applyProtection="0"/>
    <xf numFmtId="17" fontId="63" fillId="0" borderId="0" applyFill="0" applyBorder="0">
      <alignment horizontal="right"/>
    </xf>
    <xf numFmtId="175" fontId="8" fillId="0" borderId="7" applyFont="0" applyFill="0" applyBorder="0" applyAlignment="0" applyProtection="0"/>
    <xf numFmtId="0" fontId="11" fillId="0" borderId="0" applyFont="0" applyFill="0" applyBorder="0" applyAlignment="0" applyProtection="0"/>
    <xf numFmtId="222" fontId="8" fillId="0" borderId="0" applyFill="0" applyBorder="0">
      <alignment horizontal="right"/>
    </xf>
    <xf numFmtId="14" fontId="64" fillId="0" borderId="0" applyFont="0" applyFill="0" applyBorder="0" applyAlignment="0" applyProtection="0">
      <alignment horizontal="center"/>
    </xf>
    <xf numFmtId="223" fontId="64" fillId="0" borderId="0" applyFont="0" applyFill="0" applyBorder="0" applyAlignment="0" applyProtection="0">
      <alignment horizontal="center"/>
    </xf>
    <xf numFmtId="224" fontId="65" fillId="0" borderId="2" applyNumberFormat="0" applyFill="0" applyBorder="0" applyAlignment="0">
      <alignment horizontal="left"/>
      <protection locked="0"/>
    </xf>
    <xf numFmtId="225" fontId="14" fillId="0" borderId="0" applyFont="0" applyFill="0" applyBorder="0" applyAlignment="0" applyProtection="0"/>
    <xf numFmtId="0" fontId="13" fillId="0" borderId="0">
      <protection locked="0"/>
    </xf>
    <xf numFmtId="166" fontId="50" fillId="0" borderId="0" applyFont="0" applyFill="0" applyBorder="0" applyAlignment="0" applyProtection="0"/>
    <xf numFmtId="0" fontId="26" fillId="0" borderId="0"/>
    <xf numFmtId="164" fontId="50" fillId="0" borderId="0" applyFont="0" applyFill="0" applyBorder="0" applyAlignment="0" applyProtection="0"/>
    <xf numFmtId="0" fontId="11" fillId="0" borderId="8" applyNumberFormat="0" applyFont="0" applyFill="0" applyAlignment="0" applyProtection="0"/>
    <xf numFmtId="0" fontId="66" fillId="0" borderId="0" applyFill="0" applyBorder="0" applyAlignment="0" applyProtection="0"/>
    <xf numFmtId="176" fontId="67" fillId="0" borderId="9" applyNumberFormat="0" applyAlignment="0" applyProtection="0">
      <alignment vertical="top"/>
    </xf>
    <xf numFmtId="0" fontId="26" fillId="11" borderId="0" applyNumberFormat="0" applyFont="0" applyBorder="0" applyAlignment="0" applyProtection="0"/>
    <xf numFmtId="176" fontId="16" fillId="0" borderId="0" applyNumberFormat="0"/>
    <xf numFmtId="226" fontId="14" fillId="0" borderId="0" applyFont="0" applyFill="0" applyBorder="0" applyAlignment="0"/>
    <xf numFmtId="166" fontId="50" fillId="0" borderId="0" applyFont="0" applyFill="0" applyBorder="0" applyAlignment="0" applyProtection="0">
      <alignment horizontal="right"/>
    </xf>
    <xf numFmtId="227" fontId="14" fillId="0" borderId="0" applyFont="0" applyFill="0" applyBorder="0" applyProtection="0">
      <alignment horizontal="left"/>
      <protection locked="0"/>
    </xf>
    <xf numFmtId="228" fontId="14" fillId="0" borderId="0" applyFont="0" applyFill="0" applyBorder="0" applyProtection="0">
      <alignment horizontal="left"/>
      <protection locked="0"/>
    </xf>
    <xf numFmtId="0" fontId="68" fillId="0" borderId="0"/>
    <xf numFmtId="0" fontId="68" fillId="0" borderId="0"/>
    <xf numFmtId="0" fontId="68" fillId="0" borderId="0"/>
    <xf numFmtId="229" fontId="8" fillId="0" borderId="0" applyFont="0" applyFill="0" applyBorder="0" applyAlignment="0" applyProtection="0"/>
    <xf numFmtId="230" fontId="14" fillId="5" borderId="0">
      <alignment horizontal="right"/>
    </xf>
    <xf numFmtId="0" fontId="69" fillId="0" borderId="0"/>
    <xf numFmtId="3" fontId="70" fillId="0" borderId="0" applyNumberFormat="0" applyFont="0" applyFill="0" applyBorder="0" applyAlignment="0" applyProtection="0">
      <alignment horizontal="left"/>
    </xf>
    <xf numFmtId="0" fontId="71" fillId="12" borderId="0"/>
    <xf numFmtId="2" fontId="61" fillId="0" borderId="0" applyFont="0" applyFill="0" applyBorder="0" applyAlignment="0" applyProtection="0"/>
    <xf numFmtId="0" fontId="8" fillId="4" borderId="0" applyFont="0" applyFill="0" applyBorder="0" applyAlignment="0"/>
    <xf numFmtId="0" fontId="26" fillId="0" borderId="0"/>
    <xf numFmtId="0" fontId="72" fillId="0" borderId="0" applyNumberFormat="0" applyFill="0" applyBorder="0" applyAlignment="0" applyProtection="0">
      <alignment vertical="top"/>
      <protection locked="0"/>
    </xf>
    <xf numFmtId="0" fontId="8" fillId="0" borderId="0">
      <alignment horizontal="left"/>
    </xf>
    <xf numFmtId="0" fontId="8" fillId="0" borderId="0">
      <alignment horizontal="left"/>
    </xf>
    <xf numFmtId="0" fontId="8" fillId="0" borderId="0" applyFill="0" applyBorder="0" applyProtection="0">
      <alignment horizontal="left"/>
    </xf>
    <xf numFmtId="0" fontId="8" fillId="0" borderId="0">
      <alignment horizontal="left"/>
    </xf>
    <xf numFmtId="0" fontId="8" fillId="0" borderId="0">
      <alignment horizontal="left"/>
    </xf>
    <xf numFmtId="0" fontId="26" fillId="0" borderId="0"/>
    <xf numFmtId="231" fontId="50" fillId="0" borderId="0" applyFill="0" applyBorder="0" applyAlignment="0" applyProtection="0">
      <protection locked="0"/>
    </xf>
    <xf numFmtId="38" fontId="26" fillId="13" borderId="0" applyNumberFormat="0" applyFont="0" applyBorder="0" applyAlignment="0">
      <protection hidden="1"/>
    </xf>
    <xf numFmtId="232" fontId="73" fillId="0" borderId="0" applyFill="0" applyBorder="0" applyAlignment="0" applyProtection="0"/>
    <xf numFmtId="232" fontId="74" fillId="0" borderId="0" applyAlignment="0">
      <alignment horizontal="left"/>
      <protection locked="0"/>
    </xf>
    <xf numFmtId="0" fontId="14" fillId="0" borderId="0"/>
    <xf numFmtId="0" fontId="14" fillId="0" borderId="0"/>
    <xf numFmtId="0" fontId="14" fillId="0" borderId="0"/>
    <xf numFmtId="0" fontId="14" fillId="0" borderId="0"/>
    <xf numFmtId="0" fontId="14" fillId="0" borderId="0"/>
    <xf numFmtId="0" fontId="24" fillId="14" borderId="0" applyNumberFormat="0">
      <alignment vertical="center"/>
    </xf>
    <xf numFmtId="0" fontId="35" fillId="0" borderId="0" applyNumberFormat="0" applyFill="0" applyBorder="0" applyAlignment="0" applyProtection="0">
      <alignment vertical="center"/>
    </xf>
    <xf numFmtId="0" fontId="36" fillId="0" borderId="0" applyNumberFormat="0" applyFill="0" applyBorder="0" applyAlignment="0" applyProtection="0">
      <alignment vertical="center"/>
    </xf>
    <xf numFmtId="0" fontId="37" fillId="0" borderId="0" applyNumberFormat="0" applyFill="0" applyBorder="0" applyAlignment="0" applyProtection="0">
      <alignment horizontal="left" vertical="center"/>
    </xf>
    <xf numFmtId="0" fontId="34" fillId="0" borderId="0" applyNumberFormat="0" applyFill="0" applyBorder="0" applyAlignment="0" applyProtection="0">
      <alignment vertical="center"/>
    </xf>
    <xf numFmtId="0" fontId="14" fillId="0" borderId="0"/>
    <xf numFmtId="233" fontId="75" fillId="0" borderId="0" applyNumberFormat="0" applyFill="0" applyBorder="0" applyAlignment="0" applyProtection="0"/>
    <xf numFmtId="2" fontId="15" fillId="15" borderId="0"/>
    <xf numFmtId="234" fontId="63" fillId="4" borderId="4" applyNumberFormat="0" applyFont="0" applyAlignment="0"/>
    <xf numFmtId="0" fontId="11" fillId="0" borderId="0" applyFont="0" applyFill="0" applyBorder="0" applyAlignment="0" applyProtection="0">
      <alignment horizontal="right"/>
    </xf>
    <xf numFmtId="0" fontId="8" fillId="1" borderId="0" applyNumberFormat="0" applyBorder="0" applyProtection="0">
      <alignment horizontal="left" vertical="center"/>
    </xf>
    <xf numFmtId="0" fontId="8" fillId="0" borderId="0" applyProtection="0">
      <alignment horizontal="right"/>
    </xf>
    <xf numFmtId="0" fontId="8" fillId="0" borderId="0">
      <alignment horizontal="left"/>
    </xf>
    <xf numFmtId="0" fontId="76" fillId="16" borderId="0">
      <alignment horizontal="left"/>
    </xf>
    <xf numFmtId="0" fontId="8" fillId="3" borderId="0"/>
    <xf numFmtId="0" fontId="8" fillId="0" borderId="0">
      <alignment horizontal="left"/>
    </xf>
    <xf numFmtId="0" fontId="8" fillId="0" borderId="2">
      <alignment horizontal="left" vertical="top"/>
    </xf>
    <xf numFmtId="0" fontId="8" fillId="0" borderId="0" applyProtection="0">
      <alignment horizontal="left"/>
    </xf>
    <xf numFmtId="0" fontId="8" fillId="0" borderId="0">
      <alignment horizontal="left"/>
    </xf>
    <xf numFmtId="0" fontId="8" fillId="0" borderId="2">
      <alignment horizontal="left" vertical="top"/>
    </xf>
    <xf numFmtId="0" fontId="8" fillId="0" borderId="0" applyProtection="0">
      <alignment horizontal="left"/>
    </xf>
    <xf numFmtId="0" fontId="8" fillId="0" borderId="0">
      <alignment horizontal="left"/>
    </xf>
    <xf numFmtId="0" fontId="77" fillId="0" borderId="0"/>
    <xf numFmtId="0" fontId="78" fillId="0" borderId="0">
      <alignment wrapText="1"/>
    </xf>
    <xf numFmtId="0" fontId="32" fillId="17" borderId="0" applyNumberFormat="0" applyFont="0" applyBorder="0" applyAlignment="0" applyProtection="0">
      <alignment vertical="center"/>
    </xf>
    <xf numFmtId="235" fontId="79" fillId="0" borderId="0" applyNumberFormat="0" applyFill="0" applyBorder="0" applyAlignment="0"/>
    <xf numFmtId="0" fontId="80" fillId="0" borderId="0" applyNumberFormat="0" applyFill="0" applyBorder="0" applyAlignment="0" applyProtection="0">
      <alignment vertical="top"/>
      <protection locked="0"/>
    </xf>
    <xf numFmtId="231" fontId="50" fillId="0" borderId="0" applyFill="0" applyBorder="0" applyAlignment="0" applyProtection="0">
      <alignment horizontal="right"/>
      <protection locked="0"/>
    </xf>
    <xf numFmtId="0" fontId="11" fillId="0" borderId="0" applyNumberFormat="0" applyFill="0" applyBorder="0" applyAlignment="0" applyProtection="0"/>
    <xf numFmtId="16" fontId="8" fillId="0" borderId="0" applyNumberFormat="0" applyFill="0" applyBorder="0" applyAlignment="0" applyProtection="0">
      <alignment horizontal="right"/>
    </xf>
    <xf numFmtId="10" fontId="26" fillId="4" borderId="4" applyNumberFormat="0" applyBorder="0" applyAlignment="0" applyProtection="0"/>
    <xf numFmtId="0" fontId="32" fillId="0" borderId="10" applyNumberFormat="0" applyAlignment="0">
      <alignment vertical="center"/>
    </xf>
    <xf numFmtId="204" fontId="81" fillId="18" borderId="0"/>
    <xf numFmtId="166" fontId="26" fillId="0" borderId="0"/>
    <xf numFmtId="0" fontId="32" fillId="0" borderId="11" applyNumberFormat="0" applyAlignment="0">
      <alignment vertical="center"/>
      <protection locked="0"/>
    </xf>
    <xf numFmtId="222" fontId="8" fillId="4" borderId="0" applyFont="0" applyBorder="0" applyAlignment="0" applyProtection="0">
      <protection locked="0"/>
    </xf>
    <xf numFmtId="183" fontId="32" fillId="19" borderId="11" applyNumberFormat="0" applyAlignment="0">
      <alignment vertical="center"/>
      <protection locked="0"/>
    </xf>
    <xf numFmtId="0" fontId="26" fillId="4" borderId="0" applyFont="0" applyBorder="0" applyAlignment="0">
      <protection locked="0"/>
    </xf>
    <xf numFmtId="0" fontId="32" fillId="14" borderId="0" applyNumberFormat="0" applyAlignment="0">
      <alignment vertical="center"/>
    </xf>
    <xf numFmtId="0" fontId="32" fillId="20" borderId="0" applyNumberFormat="0" applyAlignment="0">
      <alignment vertical="center"/>
    </xf>
    <xf numFmtId="0" fontId="15" fillId="0" borderId="0" applyNumberFormat="0" applyFill="0" applyBorder="0" applyAlignment="0" applyProtection="0"/>
    <xf numFmtId="231" fontId="26" fillId="4" borderId="0">
      <protection locked="0"/>
    </xf>
    <xf numFmtId="0" fontId="32" fillId="0" borderId="12" applyNumberFormat="0" applyAlignment="0">
      <alignment vertical="center"/>
      <protection locked="0"/>
    </xf>
    <xf numFmtId="236" fontId="8" fillId="4" borderId="0" applyFont="0" applyBorder="0" applyAlignment="0">
      <protection locked="0"/>
    </xf>
    <xf numFmtId="10" fontId="26" fillId="4" borderId="0">
      <protection locked="0"/>
    </xf>
    <xf numFmtId="0" fontId="26" fillId="4" borderId="0" applyFont="0" applyBorder="0" applyAlignment="0">
      <protection locked="0"/>
    </xf>
    <xf numFmtId="231" fontId="82" fillId="4" borderId="0" applyNumberFormat="0" applyBorder="0" applyAlignment="0">
      <protection locked="0"/>
    </xf>
    <xf numFmtId="10" fontId="8" fillId="0" borderId="0">
      <protection locked="0"/>
    </xf>
    <xf numFmtId="0" fontId="8" fillId="4" borderId="4"/>
    <xf numFmtId="0" fontId="8" fillId="4" borderId="4"/>
    <xf numFmtId="0" fontId="16" fillId="0" borderId="0" applyNumberFormat="0" applyFill="0" applyBorder="0" applyAlignment="0">
      <protection locked="0"/>
    </xf>
    <xf numFmtId="15" fontId="8" fillId="0" borderId="0">
      <protection locked="0"/>
    </xf>
    <xf numFmtId="2" fontId="8" fillId="0" borderId="13">
      <protection locked="0"/>
    </xf>
    <xf numFmtId="0" fontId="8" fillId="0" borderId="0">
      <protection locked="0"/>
    </xf>
    <xf numFmtId="0" fontId="9" fillId="0" borderId="0" applyFill="0" applyBorder="0">
      <alignment horizontal="right"/>
      <protection locked="0"/>
    </xf>
    <xf numFmtId="180" fontId="9" fillId="0" borderId="0" applyFill="0" applyBorder="0">
      <alignment horizontal="right"/>
      <protection locked="0"/>
    </xf>
    <xf numFmtId="0" fontId="11" fillId="21" borderId="0" applyBorder="0"/>
    <xf numFmtId="0" fontId="17" fillId="22" borderId="14">
      <alignment horizontal="left" vertical="center" wrapText="1"/>
    </xf>
    <xf numFmtId="4" fontId="15" fillId="15" borderId="0"/>
    <xf numFmtId="1" fontId="83" fillId="1" borderId="15">
      <protection locked="0"/>
    </xf>
    <xf numFmtId="214" fontId="59" fillId="0" borderId="7" applyNumberFormat="0" applyFill="0">
      <alignment vertical="center"/>
    </xf>
    <xf numFmtId="1" fontId="84" fillId="0" borderId="0" applyNumberFormat="0" applyFill="0" applyBorder="0" applyAlignment="0" applyProtection="0">
      <alignment horizontal="right"/>
    </xf>
    <xf numFmtId="204" fontId="8" fillId="23" borderId="0"/>
    <xf numFmtId="204" fontId="85" fillId="0" borderId="0" applyNumberFormat="0" applyFont="0" applyFill="0" applyBorder="0" applyAlignment="0">
      <protection hidden="1"/>
    </xf>
    <xf numFmtId="0" fontId="86" fillId="0" borderId="0" applyNumberFormat="0" applyFill="0" applyBorder="0" applyProtection="0">
      <alignment horizontal="left" vertical="center"/>
    </xf>
    <xf numFmtId="0" fontId="87" fillId="0" borderId="0"/>
    <xf numFmtId="0" fontId="11" fillId="21" borderId="0" applyBorder="0" applyAlignment="0">
      <alignment horizontal="right"/>
    </xf>
    <xf numFmtId="237" fontId="88" fillId="0" borderId="0" applyFill="0" applyBorder="0" applyAlignment="0" applyProtection="0"/>
    <xf numFmtId="0" fontId="71" fillId="0" borderId="0"/>
    <xf numFmtId="0" fontId="89" fillId="0" borderId="0"/>
    <xf numFmtId="0" fontId="90" fillId="0" borderId="0"/>
    <xf numFmtId="40" fontId="9" fillId="0" borderId="0" applyFont="0" applyFill="0" applyBorder="0" applyAlignment="0" applyProtection="0"/>
    <xf numFmtId="238" fontId="18" fillId="0" borderId="0" applyFont="0" applyFill="0" applyBorder="0" applyAlignment="0" applyProtection="0"/>
    <xf numFmtId="239" fontId="14" fillId="0" borderId="0" applyFont="0" applyFill="0" applyBorder="0" applyAlignment="0" applyProtection="0"/>
    <xf numFmtId="240" fontId="18" fillId="0" borderId="0" applyFont="0" applyFill="0" applyBorder="0" applyAlignment="0" applyProtection="0"/>
    <xf numFmtId="176" fontId="8" fillId="0" borderId="0"/>
    <xf numFmtId="0" fontId="8" fillId="0" borderId="3"/>
    <xf numFmtId="241" fontId="18" fillId="0" borderId="0" applyFont="0" applyFill="0" applyBorder="0" applyAlignment="0" applyProtection="0"/>
    <xf numFmtId="242" fontId="8" fillId="0" borderId="0" applyFont="0" applyFill="0" applyBorder="0" applyAlignment="0"/>
    <xf numFmtId="243" fontId="18" fillId="0" borderId="0" applyFont="0" applyFill="0" applyBorder="0" applyAlignment="0" applyProtection="0"/>
    <xf numFmtId="0" fontId="11" fillId="0" borderId="0" applyFont="0" applyFill="0" applyBorder="0" applyAlignment="0" applyProtection="0">
      <alignment horizontal="right"/>
    </xf>
    <xf numFmtId="177" fontId="8" fillId="13" borderId="0" applyFont="0" applyBorder="0" applyAlignment="0" applyProtection="0">
      <alignment horizontal="right"/>
      <protection hidden="1"/>
    </xf>
    <xf numFmtId="0" fontId="25" fillId="0" borderId="0" applyNumberFormat="0" applyAlignment="0">
      <alignment vertical="center"/>
    </xf>
    <xf numFmtId="0" fontId="8" fillId="0" borderId="16" applyBorder="0" applyAlignment="0" applyProtection="0">
      <alignment horizontal="center"/>
    </xf>
    <xf numFmtId="37" fontId="91" fillId="0" borderId="0"/>
    <xf numFmtId="0" fontId="8" fillId="0" borderId="0"/>
    <xf numFmtId="1" fontId="92" fillId="0" borderId="0" applyFill="0" applyBorder="0"/>
    <xf numFmtId="38" fontId="26" fillId="0" borderId="0" applyFont="0" applyFill="0" applyBorder="0" applyAlignment="0"/>
    <xf numFmtId="231" fontId="8" fillId="0" borderId="0" applyFont="0" applyFill="0" applyBorder="0" applyAlignment="0"/>
    <xf numFmtId="40" fontId="26" fillId="0" borderId="0" applyFont="0" applyFill="0" applyBorder="0" applyAlignment="0"/>
    <xf numFmtId="244" fontId="8" fillId="0" borderId="0" applyFont="0" applyFill="0" applyBorder="0" applyAlignment="0"/>
    <xf numFmtId="0" fontId="8" fillId="0" borderId="0"/>
    <xf numFmtId="0" fontId="6" fillId="0" borderId="0"/>
    <xf numFmtId="231" fontId="63" fillId="0" borderId="0" applyNumberFormat="0" applyFill="0" applyBorder="0" applyAlignment="0" applyProtection="0"/>
    <xf numFmtId="0" fontId="26" fillId="0" borderId="0" applyFont="0" applyFill="0" applyBorder="0" applyAlignment="0" applyProtection="0"/>
    <xf numFmtId="0" fontId="8" fillId="0" borderId="0"/>
    <xf numFmtId="0" fontId="6" fillId="0" borderId="0"/>
    <xf numFmtId="233" fontId="14" fillId="0" borderId="0" applyFill="0" applyBorder="0" applyAlignment="0" applyProtection="0"/>
    <xf numFmtId="0" fontId="8" fillId="0" borderId="0"/>
    <xf numFmtId="174" fontId="8" fillId="0" borderId="0"/>
    <xf numFmtId="37" fontId="93" fillId="0" borderId="0" applyNumberFormat="0" applyFont="0" applyFill="0" applyBorder="0" applyAlignment="0" applyProtection="0"/>
    <xf numFmtId="0" fontId="38" fillId="0" borderId="0" applyNumberFormat="0" applyFill="0" applyBorder="0" applyAlignment="0" applyProtection="0">
      <alignment vertical="center"/>
    </xf>
    <xf numFmtId="0" fontId="94" fillId="0" borderId="13"/>
    <xf numFmtId="245" fontId="8" fillId="0" borderId="0" applyFont="0" applyFill="0" applyBorder="0" applyAlignment="0" applyProtection="0"/>
    <xf numFmtId="183" fontId="32" fillId="0" borderId="0" applyFont="0" applyFill="0" applyBorder="0" applyAlignment="0" applyProtection="0">
      <alignment vertical="center"/>
    </xf>
    <xf numFmtId="184" fontId="32" fillId="0" borderId="0" applyFont="0" applyFill="0" applyBorder="0" applyAlignment="0" applyProtection="0">
      <alignment vertical="center"/>
    </xf>
    <xf numFmtId="38" fontId="14" fillId="0" borderId="17" applyFont="0" applyFill="0" applyBorder="0" applyAlignment="0" applyProtection="0"/>
    <xf numFmtId="203" fontId="8" fillId="0" borderId="0" applyFont="0" applyFill="0" applyBorder="0" applyAlignment="0" applyProtection="0"/>
    <xf numFmtId="43" fontId="14" fillId="0" borderId="0" applyFont="0" applyFill="0" applyBorder="0" applyAlignment="0" applyProtection="0"/>
    <xf numFmtId="41" fontId="14" fillId="0" borderId="0" applyFont="0" applyFill="0" applyBorder="0" applyAlignment="0" applyProtection="0"/>
    <xf numFmtId="246" fontId="95" fillId="24" borderId="2" applyFont="0" applyBorder="0"/>
    <xf numFmtId="177" fontId="96" fillId="0" borderId="0"/>
    <xf numFmtId="0" fontId="8" fillId="0" borderId="4">
      <alignment vertical="center" wrapText="1"/>
    </xf>
    <xf numFmtId="0" fontId="11" fillId="0" borderId="0" applyNumberFormat="0" applyFill="0" applyBorder="0" applyAlignment="0" applyProtection="0"/>
    <xf numFmtId="1" fontId="8" fillId="0" borderId="0" applyProtection="0">
      <alignment horizontal="right" vertical="center"/>
    </xf>
    <xf numFmtId="0" fontId="90" fillId="0" borderId="0"/>
    <xf numFmtId="0" fontId="22" fillId="0" borderId="18" applyNumberFormat="0" applyAlignment="0" applyProtection="0"/>
    <xf numFmtId="0" fontId="14" fillId="14" borderId="0" applyNumberFormat="0" applyFont="0" applyBorder="0" applyAlignment="0" applyProtection="0"/>
    <xf numFmtId="0" fontId="26" fillId="9" borderId="13" applyNumberFormat="0" applyFont="0" applyBorder="0" applyAlignment="0" applyProtection="0">
      <alignment horizontal="center"/>
    </xf>
    <xf numFmtId="0" fontId="26" fillId="25" borderId="13" applyNumberFormat="0" applyFont="0" applyBorder="0" applyAlignment="0" applyProtection="0">
      <alignment horizontal="center"/>
    </xf>
    <xf numFmtId="0" fontId="14" fillId="0" borderId="19" applyNumberFormat="0" applyAlignment="0" applyProtection="0"/>
    <xf numFmtId="0" fontId="14" fillId="0" borderId="20" applyNumberFormat="0" applyAlignment="0" applyProtection="0"/>
    <xf numFmtId="0" fontId="22" fillId="0" borderId="21" applyNumberFormat="0" applyAlignment="0" applyProtection="0"/>
    <xf numFmtId="0" fontId="8" fillId="0" borderId="7">
      <alignment vertical="center"/>
    </xf>
    <xf numFmtId="0" fontId="26" fillId="0" borderId="0"/>
    <xf numFmtId="176" fontId="97" fillId="0" borderId="0" applyFill="0" applyBorder="0" applyProtection="0">
      <alignment vertical="top"/>
    </xf>
    <xf numFmtId="14" fontId="50" fillId="0" borderId="0">
      <alignment horizontal="center" wrapText="1"/>
      <protection locked="0"/>
    </xf>
    <xf numFmtId="9" fontId="6" fillId="0" borderId="0" applyFont="0" applyFill="0" applyBorder="0" applyAlignment="0" applyProtection="0"/>
    <xf numFmtId="0" fontId="9" fillId="0" borderId="0" applyFont="0" applyFill="0" applyBorder="0" applyAlignment="0" applyProtection="0"/>
    <xf numFmtId="176" fontId="47" fillId="0" borderId="0" applyFont="0" applyFill="0" applyBorder="0" applyAlignment="0" applyProtection="0"/>
    <xf numFmtId="10" fontId="47" fillId="0" borderId="0" applyFont="0" applyFill="0" applyBorder="0" applyAlignment="0" applyProtection="0"/>
    <xf numFmtId="0" fontId="8" fillId="0" borderId="0" applyFont="0" applyFill="0" applyBorder="0" applyAlignment="0"/>
    <xf numFmtId="236" fontId="8" fillId="0" borderId="0" applyFont="0" applyFill="0" applyBorder="0" applyAlignment="0"/>
    <xf numFmtId="247" fontId="8" fillId="11" borderId="0" applyFont="0" applyFill="0" applyBorder="0" applyAlignment="0" applyProtection="0"/>
    <xf numFmtId="9" fontId="14" fillId="0" borderId="0"/>
    <xf numFmtId="10" fontId="14" fillId="0" borderId="0"/>
    <xf numFmtId="9" fontId="14" fillId="0" borderId="0"/>
    <xf numFmtId="9" fontId="6" fillId="0" borderId="0" applyFont="0" applyFill="0" applyBorder="0" applyAlignment="0" applyProtection="0"/>
    <xf numFmtId="9" fontId="44" fillId="0" borderId="0" applyFont="0" applyFill="0" applyBorder="0" applyAlignment="0" applyProtection="0"/>
    <xf numFmtId="185" fontId="32" fillId="0" borderId="0" applyFont="0" applyFill="0" applyBorder="0" applyAlignment="0" applyProtection="0">
      <alignment horizontal="right" vertical="center"/>
    </xf>
    <xf numFmtId="186" fontId="32" fillId="0" borderId="0" applyFont="0" applyFill="0" applyBorder="0" applyAlignment="0" applyProtection="0">
      <alignment vertical="center"/>
    </xf>
    <xf numFmtId="248" fontId="14" fillId="0" borderId="0" applyFont="0" applyFill="0" applyBorder="0" applyAlignment="0" applyProtection="0"/>
    <xf numFmtId="181" fontId="9" fillId="0" borderId="0" applyFill="0" applyBorder="0">
      <alignment horizontal="right"/>
      <protection locked="0"/>
    </xf>
    <xf numFmtId="232" fontId="50" fillId="0" borderId="0" applyFont="0" applyFill="0" applyBorder="0" applyAlignment="0" applyProtection="0"/>
    <xf numFmtId="210" fontId="8" fillId="0" borderId="0" applyFont="0" applyFill="0" applyBorder="0" applyAlignment="0" applyProtection="0"/>
    <xf numFmtId="166" fontId="50" fillId="0" borderId="0" applyFont="0" applyFill="0" applyBorder="0" applyAlignment="0" applyProtection="0"/>
    <xf numFmtId="231" fontId="50" fillId="0" borderId="0" applyFont="0" applyFill="0" applyBorder="0" applyAlignment="0" applyProtection="0">
      <protection locked="0"/>
    </xf>
    <xf numFmtId="237" fontId="94" fillId="0" borderId="0" applyFill="0" applyBorder="0" applyAlignment="0" applyProtection="0"/>
    <xf numFmtId="249" fontId="8" fillId="0" borderId="0" applyFont="0" applyFill="0" applyBorder="0" applyAlignment="0"/>
    <xf numFmtId="9" fontId="18" fillId="0" borderId="0" applyFont="0" applyFill="0" applyBorder="0" applyAlignment="0" applyProtection="0"/>
    <xf numFmtId="231" fontId="50" fillId="0" borderId="0" applyFill="0" applyBorder="0" applyAlignment="0" applyProtection="0"/>
    <xf numFmtId="38" fontId="50" fillId="0" borderId="0" applyFont="0" applyFill="0" applyBorder="0" applyAlignment="0" applyProtection="0"/>
    <xf numFmtId="166" fontId="98" fillId="0" borderId="22">
      <alignment horizontal="right"/>
    </xf>
    <xf numFmtId="0" fontId="8" fillId="0" borderId="0">
      <alignment horizontal="right"/>
    </xf>
    <xf numFmtId="0" fontId="8" fillId="0" borderId="0"/>
    <xf numFmtId="250" fontId="8" fillId="0" borderId="0"/>
    <xf numFmtId="251" fontId="99" fillId="0" borderId="0"/>
    <xf numFmtId="250" fontId="8" fillId="0" borderId="0"/>
    <xf numFmtId="251" fontId="99" fillId="0" borderId="0"/>
    <xf numFmtId="251" fontId="99" fillId="0" borderId="0"/>
    <xf numFmtId="250" fontId="8" fillId="0" borderId="0"/>
    <xf numFmtId="251" fontId="99" fillId="0" borderId="0"/>
    <xf numFmtId="251" fontId="99" fillId="0" borderId="0"/>
    <xf numFmtId="251" fontId="99" fillId="0" borderId="0"/>
    <xf numFmtId="250" fontId="8" fillId="0" borderId="0"/>
    <xf numFmtId="251" fontId="99" fillId="0" borderId="0"/>
    <xf numFmtId="251" fontId="99" fillId="0" borderId="0"/>
    <xf numFmtId="250" fontId="8" fillId="0" borderId="0"/>
    <xf numFmtId="251" fontId="99" fillId="0" borderId="0"/>
    <xf numFmtId="251" fontId="99" fillId="0" borderId="0"/>
    <xf numFmtId="0" fontId="8" fillId="0" borderId="0"/>
    <xf numFmtId="0" fontId="8" fillId="0" borderId="0"/>
    <xf numFmtId="0" fontId="8" fillId="0" borderId="0"/>
    <xf numFmtId="182" fontId="9" fillId="0" borderId="0">
      <alignment horizontal="right"/>
      <protection locked="0"/>
    </xf>
    <xf numFmtId="231" fontId="41" fillId="0" borderId="0" applyNumberFormat="0" applyFill="0" applyBorder="0" applyAlignment="0" applyProtection="0">
      <alignment horizontal="left"/>
    </xf>
    <xf numFmtId="231" fontId="64" fillId="0" borderId="0" applyFont="0" applyFill="0" applyBorder="0" applyAlignment="0" applyProtection="0"/>
    <xf numFmtId="0" fontId="100" fillId="0" borderId="0" applyNumberFormat="0" applyFill="0" applyBorder="0" applyProtection="0">
      <alignment horizontal="right" vertical="center"/>
    </xf>
    <xf numFmtId="0" fontId="8" fillId="0" borderId="0">
      <alignment horizontal="right"/>
    </xf>
    <xf numFmtId="0" fontId="8" fillId="0" borderId="0">
      <alignment horizontal="right"/>
    </xf>
    <xf numFmtId="0" fontId="8" fillId="0" borderId="0" applyFill="0" applyBorder="0" applyProtection="0">
      <alignment horizontal="right"/>
    </xf>
    <xf numFmtId="0" fontId="8" fillId="0" borderId="0">
      <alignment horizontal="right"/>
    </xf>
    <xf numFmtId="0" fontId="14" fillId="0" borderId="23" applyNumberFormat="0" applyFont="0" applyFill="0" applyAlignment="0" applyProtection="0"/>
    <xf numFmtId="0" fontId="22" fillId="8" borderId="24" applyNumberFormat="0" applyBorder="0" applyProtection="0">
      <alignment horizontal="left" wrapText="1"/>
    </xf>
    <xf numFmtId="0" fontId="22" fillId="8" borderId="0" applyNumberFormat="0" applyBorder="0" applyProtection="0">
      <alignment horizontal="left"/>
    </xf>
    <xf numFmtId="0" fontId="101" fillId="2" borderId="0" applyFont="0" applyFill="0" applyAlignment="0"/>
    <xf numFmtId="0" fontId="34" fillId="0" borderId="0" applyNumberFormat="0" applyFill="0" applyBorder="0">
      <alignment horizontal="left" vertical="center" wrapText="1"/>
    </xf>
    <xf numFmtId="0" fontId="32" fillId="0" borderId="0" applyNumberFormat="0" applyFill="0" applyBorder="0">
      <alignment horizontal="left" vertical="center" wrapText="1" indent="1"/>
    </xf>
    <xf numFmtId="0" fontId="26" fillId="0" borderId="0" applyNumberFormat="0" applyFont="0" applyFill="0" applyBorder="0" applyAlignment="0" applyProtection="0"/>
    <xf numFmtId="0" fontId="102" fillId="2" borderId="0" applyNumberFormat="0" applyFont="0" applyFill="0" applyBorder="0" applyAlignment="0" applyProtection="0"/>
    <xf numFmtId="0" fontId="102" fillId="2" borderId="0" applyNumberFormat="0" applyFont="0" applyFill="0" applyBorder="0" applyAlignment="0" applyProtection="0"/>
    <xf numFmtId="0" fontId="102" fillId="2" borderId="0" applyNumberFormat="0" applyFont="0" applyFill="0" applyBorder="0" applyAlignment="0" applyProtection="0"/>
    <xf numFmtId="0" fontId="14" fillId="0" borderId="25" applyNumberFormat="0" applyFont="0" applyFill="0" applyAlignment="0" applyProtection="0"/>
    <xf numFmtId="224" fontId="103" fillId="0" borderId="2" applyNumberFormat="0" applyFill="0" applyBorder="0">
      <protection locked="0"/>
    </xf>
    <xf numFmtId="0" fontId="8" fillId="0" borderId="26">
      <alignment vertical="center"/>
    </xf>
    <xf numFmtId="0" fontId="19" fillId="0" borderId="0" applyFill="0" applyBorder="0">
      <alignment horizontal="right"/>
      <protection hidden="1"/>
    </xf>
    <xf numFmtId="0" fontId="104" fillId="0" borderId="0" applyNumberFormat="0" applyFill="0" applyBorder="0" applyProtection="0">
      <alignment horizontal="left" vertical="center"/>
    </xf>
    <xf numFmtId="0" fontId="20" fillId="10" borderId="4">
      <alignment horizontal="center" vertical="center" wrapText="1"/>
      <protection hidden="1"/>
    </xf>
    <xf numFmtId="216" fontId="50" fillId="0" borderId="0" applyFill="0" applyBorder="0" applyAlignment="0" applyProtection="0">
      <protection locked="0"/>
    </xf>
    <xf numFmtId="0" fontId="57" fillId="0" borderId="0" applyFill="0" applyBorder="0" applyAlignment="0" applyProtection="0"/>
    <xf numFmtId="40" fontId="14" fillId="0" borderId="0" applyFont="0" applyFill="0" applyBorder="0" applyAlignment="0" applyProtection="0"/>
    <xf numFmtId="252" fontId="14" fillId="0" borderId="0" applyFont="0" applyFill="0" applyBorder="0" applyAlignment="0" applyProtection="0"/>
    <xf numFmtId="214" fontId="59" fillId="0" borderId="0" applyNumberFormat="0" applyFill="0" applyBorder="0" applyAlignment="0"/>
    <xf numFmtId="0" fontId="9" fillId="0" borderId="0"/>
    <xf numFmtId="0" fontId="14" fillId="0" borderId="0" applyFont="0" applyFill="0" applyBorder="0" applyAlignment="0" applyProtection="0"/>
    <xf numFmtId="0" fontId="26" fillId="14" borderId="0" applyNumberFormat="0" applyFont="0" applyBorder="0" applyAlignment="0">
      <protection hidden="1"/>
    </xf>
    <xf numFmtId="0" fontId="47" fillId="0" borderId="0"/>
    <xf numFmtId="0" fontId="8" fillId="0" borderId="0" applyFont="0" applyFill="0" applyBorder="0" applyAlignment="0" applyProtection="0"/>
    <xf numFmtId="0" fontId="105" fillId="0" borderId="0" applyNumberFormat="0" applyFill="0" applyBorder="0" applyProtection="0">
      <alignment horizontal="left" vertical="center"/>
    </xf>
    <xf numFmtId="183" fontId="34" fillId="0" borderId="27" applyNumberFormat="0" applyFill="0" applyAlignment="0" applyProtection="0">
      <alignment vertical="center"/>
    </xf>
    <xf numFmtId="0" fontId="50" fillId="0" borderId="0"/>
    <xf numFmtId="183" fontId="32" fillId="0" borderId="28" applyNumberFormat="0" applyFont="0" applyFill="0" applyAlignment="0" applyProtection="0">
      <alignment vertical="center"/>
    </xf>
    <xf numFmtId="0" fontId="8" fillId="0" borderId="0" applyBorder="0" applyProtection="0">
      <alignment vertical="center"/>
    </xf>
    <xf numFmtId="0" fontId="11" fillId="0" borderId="7" applyBorder="0" applyProtection="0">
      <alignment horizontal="right" vertical="center"/>
    </xf>
    <xf numFmtId="0" fontId="8" fillId="26" borderId="0" applyBorder="0" applyProtection="0">
      <alignment horizontal="centerContinuous" vertical="center"/>
    </xf>
    <xf numFmtId="0" fontId="8" fillId="6" borderId="7" applyBorder="0" applyProtection="0">
      <alignment horizontal="centerContinuous" vertical="center"/>
    </xf>
    <xf numFmtId="233" fontId="26" fillId="0" borderId="0">
      <alignment horizontal="right"/>
    </xf>
    <xf numFmtId="3" fontId="26" fillId="0" borderId="0">
      <alignment horizontal="right"/>
    </xf>
    <xf numFmtId="0" fontId="32" fillId="13" borderId="0" applyNumberFormat="0" applyFont="0" applyBorder="0" applyAlignment="0" applyProtection="0">
      <alignment vertical="center"/>
    </xf>
    <xf numFmtId="0" fontId="8" fillId="0" borderId="0">
      <alignment horizontal="left"/>
    </xf>
    <xf numFmtId="0" fontId="8" fillId="0" borderId="0"/>
    <xf numFmtId="0" fontId="8" fillId="0" borderId="0" applyFill="0" applyBorder="0" applyProtection="0">
      <alignment horizontal="left"/>
    </xf>
    <xf numFmtId="0" fontId="32" fillId="0" borderId="0" applyNumberFormat="0" applyFont="0" applyFill="0" applyAlignment="0" applyProtection="0">
      <alignment vertical="center"/>
    </xf>
    <xf numFmtId="0" fontId="8" fillId="0" borderId="2" applyFill="0" applyBorder="0" applyProtection="0">
      <alignment horizontal="left" vertical="top"/>
    </xf>
    <xf numFmtId="183" fontId="32" fillId="0" borderId="0" applyNumberFormat="0" applyFont="0" applyBorder="0" applyAlignment="0" applyProtection="0">
      <alignment vertical="center"/>
    </xf>
    <xf numFmtId="0" fontId="8" fillId="2" borderId="29" applyNumberFormat="0" applyAlignment="0" applyProtection="0">
      <alignment vertical="center"/>
    </xf>
    <xf numFmtId="0" fontId="50" fillId="0" borderId="0"/>
    <xf numFmtId="0" fontId="106" fillId="0" borderId="0">
      <alignment horizontal="centerContinuous"/>
    </xf>
    <xf numFmtId="0" fontId="8" fillId="20" borderId="0" applyNumberFormat="0" applyFont="0" applyBorder="0" applyAlignment="0" applyProtection="0"/>
    <xf numFmtId="49" fontId="11" fillId="0" borderId="7">
      <alignment vertical="center"/>
    </xf>
    <xf numFmtId="49" fontId="32" fillId="0" borderId="0" applyFont="0" applyFill="0" applyBorder="0" applyAlignment="0" applyProtection="0">
      <alignment horizontal="center" vertical="center"/>
    </xf>
    <xf numFmtId="0" fontId="8" fillId="0" borderId="0"/>
    <xf numFmtId="0" fontId="8" fillId="0" borderId="0"/>
    <xf numFmtId="0" fontId="8" fillId="0" borderId="0"/>
    <xf numFmtId="0" fontId="8" fillId="0" borderId="0"/>
    <xf numFmtId="0" fontId="8" fillId="0" borderId="0"/>
    <xf numFmtId="0" fontId="8" fillId="0" borderId="0"/>
    <xf numFmtId="253" fontId="8" fillId="0" borderId="0" applyFill="0" applyBorder="0" applyAlignment="0" applyProtection="0">
      <alignment horizontal="right"/>
    </xf>
    <xf numFmtId="1" fontId="64" fillId="0" borderId="30" applyFill="0" applyBorder="0" applyProtection="0">
      <alignment horizontal="right"/>
    </xf>
    <xf numFmtId="254" fontId="8" fillId="0" borderId="0"/>
    <xf numFmtId="0" fontId="14" fillId="0" borderId="0" applyNumberFormat="0" applyFill="0" applyBorder="0" applyAlignment="0" applyProtection="0"/>
    <xf numFmtId="0" fontId="62" fillId="0" borderId="0" applyNumberFormat="0" applyFill="0" applyBorder="0" applyAlignment="0" applyProtection="0"/>
    <xf numFmtId="255" fontId="99" fillId="0" borderId="0"/>
    <xf numFmtId="167" fontId="11" fillId="0" borderId="7" applyFill="0" applyAlignment="0" applyProtection="0"/>
    <xf numFmtId="0" fontId="22" fillId="8" borderId="3" applyNumberFormat="0" applyProtection="0">
      <alignment horizontal="left" vertical="center"/>
    </xf>
    <xf numFmtId="0" fontId="64" fillId="0" borderId="0" applyFill="0" applyBorder="0" applyProtection="0"/>
    <xf numFmtId="0" fontId="8" fillId="0" borderId="31"/>
    <xf numFmtId="231" fontId="107" fillId="0" borderId="32"/>
    <xf numFmtId="231" fontId="98" fillId="0" borderId="0" applyNumberFormat="0" applyFill="0" applyBorder="0" applyAlignment="0" applyProtection="0"/>
    <xf numFmtId="0" fontId="9" fillId="0" borderId="0" applyBorder="0"/>
    <xf numFmtId="224" fontId="49" fillId="0" borderId="0" applyNumberFormat="0" applyFill="0" applyBorder="0" applyAlignment="0"/>
    <xf numFmtId="0" fontId="8" fillId="0" borderId="0"/>
    <xf numFmtId="0" fontId="8" fillId="0" borderId="0"/>
    <xf numFmtId="0" fontId="8" fillId="0" borderId="0" applyNumberFormat="0" applyFont="0" applyFill="0" applyBorder="0" applyAlignment="0">
      <alignment horizontal="left" vertical="center"/>
    </xf>
    <xf numFmtId="204" fontId="8" fillId="0" borderId="33" applyNumberFormat="0" applyFont="0" applyFill="0" applyAlignment="0"/>
    <xf numFmtId="183" fontId="34" fillId="0" borderId="0" applyNumberFormat="0" applyFill="0" applyBorder="0" applyAlignment="0" applyProtection="0">
      <alignment vertical="center"/>
    </xf>
    <xf numFmtId="183" fontId="34" fillId="9" borderId="0" applyNumberFormat="0" applyAlignment="0" applyProtection="0">
      <alignment vertical="center"/>
    </xf>
    <xf numFmtId="244" fontId="8" fillId="0" borderId="0" applyFont="0" applyFill="0" applyBorder="0" applyAlignment="0" applyProtection="0"/>
    <xf numFmtId="168" fontId="8" fillId="0" borderId="0" applyFont="0" applyFill="0" applyBorder="0" applyAlignment="0" applyProtection="0"/>
    <xf numFmtId="170" fontId="8" fillId="0" borderId="0" applyFont="0" applyFill="0" applyBorder="0" applyAlignment="0" applyProtection="0"/>
    <xf numFmtId="178" fontId="108" fillId="0" borderId="7" applyAlignment="0">
      <alignment horizontal="left"/>
      <protection locked="0"/>
    </xf>
    <xf numFmtId="0" fontId="32" fillId="0" borderId="0" applyNumberFormat="0" applyFont="0" applyBorder="0" applyAlignment="0" applyProtection="0">
      <alignment vertical="center"/>
    </xf>
    <xf numFmtId="0" fontId="8" fillId="0" borderId="0"/>
    <xf numFmtId="0" fontId="109" fillId="0" borderId="0"/>
    <xf numFmtId="0" fontId="32" fillId="0" borderId="0" applyNumberFormat="0" applyFont="0" applyAlignment="0" applyProtection="0">
      <alignment vertical="center"/>
    </xf>
    <xf numFmtId="256" fontId="8" fillId="0" borderId="0" applyNumberFormat="0"/>
    <xf numFmtId="0" fontId="110" fillId="0" borderId="0" applyNumberFormat="0" applyFont="0" applyFill="0" applyBorder="0" applyAlignment="0" applyProtection="0">
      <alignment horizontal="left"/>
    </xf>
    <xf numFmtId="0" fontId="42" fillId="0" borderId="0" applyNumberFormat="0" applyFill="0" applyBorder="0" applyAlignment="0" applyProtection="0"/>
    <xf numFmtId="1" fontId="50" fillId="0" borderId="0" applyFont="0" applyFill="0" applyBorder="0" applyAlignment="0" applyProtection="0"/>
    <xf numFmtId="0" fontId="14" fillId="8" borderId="0" applyNumberFormat="0" applyBorder="0" applyProtection="0">
      <alignment horizontal="left"/>
    </xf>
    <xf numFmtId="0" fontId="22" fillId="0" borderId="7">
      <alignment horizontal="right"/>
    </xf>
    <xf numFmtId="0" fontId="57" fillId="0" borderId="0" applyFont="0" applyFill="0" applyBorder="0" applyAlignment="0" applyProtection="0"/>
    <xf numFmtId="40" fontId="111" fillId="0" borderId="0" applyFont="0" applyFill="0" applyBorder="0" applyAlignment="0" applyProtection="0"/>
    <xf numFmtId="38" fontId="111" fillId="0" borderId="0" applyFont="0" applyFill="0" applyBorder="0" applyAlignment="0" applyProtection="0"/>
    <xf numFmtId="0" fontId="111" fillId="0" borderId="0" applyFont="0" applyFill="0" applyBorder="0" applyAlignment="0" applyProtection="0"/>
    <xf numFmtId="0" fontId="111" fillId="0" borderId="0" applyFont="0" applyFill="0" applyBorder="0" applyAlignment="0" applyProtection="0"/>
    <xf numFmtId="0" fontId="112" fillId="0" borderId="0"/>
    <xf numFmtId="0" fontId="113" fillId="0" borderId="0" applyFont="0" applyFill="0" applyBorder="0" applyAlignment="0" applyProtection="0"/>
    <xf numFmtId="0" fontId="113" fillId="0" borderId="0" applyFont="0" applyFill="0" applyBorder="0" applyAlignment="0" applyProtection="0"/>
    <xf numFmtId="257" fontId="8" fillId="0" borderId="0" applyFont="0" applyFill="0" applyBorder="0" applyAlignment="0" applyProtection="0"/>
    <xf numFmtId="0" fontId="113" fillId="0" borderId="0" applyFont="0" applyFill="0" applyBorder="0" applyAlignment="0" applyProtection="0"/>
    <xf numFmtId="0" fontId="114" fillId="0" borderId="0"/>
    <xf numFmtId="0" fontId="6" fillId="0" borderId="0"/>
    <xf numFmtId="0" fontId="5" fillId="0" borderId="0"/>
    <xf numFmtId="170" fontId="5" fillId="0" borderId="0" applyFont="0" applyFill="0" applyBorder="0" applyAlignment="0" applyProtection="0"/>
    <xf numFmtId="9" fontId="5" fillId="0" borderId="0" applyFont="0" applyFill="0" applyBorder="0" applyAlignment="0" applyProtection="0"/>
    <xf numFmtId="0" fontId="4" fillId="0" borderId="0"/>
    <xf numFmtId="170" fontId="4" fillId="0" borderId="0" applyFont="0" applyFill="0" applyBorder="0" applyAlignment="0" applyProtection="0"/>
    <xf numFmtId="9" fontId="4" fillId="0" borderId="0" applyFont="0" applyFill="0" applyBorder="0" applyAlignment="0" applyProtection="0"/>
    <xf numFmtId="0" fontId="4" fillId="0" borderId="0"/>
    <xf numFmtId="170" fontId="4" fillId="0" borderId="0" applyFont="0" applyFill="0" applyBorder="0" applyAlignment="0" applyProtection="0"/>
    <xf numFmtId="9" fontId="4" fillId="0" borderId="0" applyFont="0" applyFill="0" applyBorder="0" applyAlignment="0" applyProtection="0"/>
    <xf numFmtId="0" fontId="4" fillId="0" borderId="0"/>
    <xf numFmtId="170" fontId="4" fillId="0" borderId="0" applyFont="0" applyFill="0" applyBorder="0" applyAlignment="0" applyProtection="0"/>
    <xf numFmtId="9" fontId="4" fillId="0" borderId="0" applyFont="0" applyFill="0" applyBorder="0" applyAlignment="0" applyProtection="0"/>
    <xf numFmtId="0" fontId="4" fillId="0" borderId="0"/>
    <xf numFmtId="170" fontId="4" fillId="0" borderId="0" applyFont="0" applyFill="0" applyBorder="0" applyAlignment="0" applyProtection="0"/>
    <xf numFmtId="9" fontId="4" fillId="0" borderId="0" applyFont="0" applyFill="0" applyBorder="0" applyAlignment="0" applyProtection="0"/>
    <xf numFmtId="0" fontId="4" fillId="0" borderId="0"/>
    <xf numFmtId="170" fontId="4" fillId="0" borderId="0" applyFont="0" applyFill="0" applyBorder="0" applyAlignment="0" applyProtection="0"/>
    <xf numFmtId="9" fontId="4" fillId="0" borderId="0" applyFont="0" applyFill="0" applyBorder="0" applyAlignment="0" applyProtection="0"/>
    <xf numFmtId="0" fontId="4" fillId="0" borderId="0"/>
    <xf numFmtId="170" fontId="4" fillId="0" borderId="0" applyFont="0" applyFill="0" applyBorder="0" applyAlignment="0" applyProtection="0"/>
    <xf numFmtId="9" fontId="4" fillId="0" borderId="0" applyFont="0" applyFill="0" applyBorder="0" applyAlignment="0" applyProtection="0"/>
    <xf numFmtId="0" fontId="4" fillId="0" borderId="0"/>
    <xf numFmtId="170" fontId="4" fillId="0" borderId="0" applyFont="0" applyFill="0" applyBorder="0" applyAlignment="0" applyProtection="0"/>
    <xf numFmtId="9" fontId="4" fillId="0" borderId="0" applyFont="0" applyFill="0" applyBorder="0" applyAlignment="0" applyProtection="0"/>
    <xf numFmtId="0" fontId="4" fillId="0" borderId="0"/>
    <xf numFmtId="170" fontId="4" fillId="0" borderId="0" applyFont="0" applyFill="0" applyBorder="0" applyAlignment="0" applyProtection="0"/>
    <xf numFmtId="9" fontId="4" fillId="0" borderId="0" applyFont="0" applyFill="0" applyBorder="0" applyAlignment="0" applyProtection="0"/>
    <xf numFmtId="0" fontId="4" fillId="0" borderId="0"/>
    <xf numFmtId="170" fontId="4" fillId="0" borderId="0" applyFont="0" applyFill="0" applyBorder="0" applyAlignment="0" applyProtection="0"/>
    <xf numFmtId="9" fontId="4" fillId="0" borderId="0" applyFont="0" applyFill="0" applyBorder="0" applyAlignment="0" applyProtection="0"/>
    <xf numFmtId="0" fontId="4" fillId="0" borderId="0"/>
    <xf numFmtId="170" fontId="4" fillId="0" borderId="0" applyFont="0" applyFill="0" applyBorder="0" applyAlignment="0" applyProtection="0"/>
    <xf numFmtId="9" fontId="4" fillId="0" borderId="0" applyFont="0" applyFill="0" applyBorder="0" applyAlignment="0" applyProtection="0"/>
    <xf numFmtId="0" fontId="4" fillId="0" borderId="0"/>
    <xf numFmtId="170" fontId="4" fillId="0" borderId="0" applyFont="0" applyFill="0" applyBorder="0" applyAlignment="0" applyProtection="0"/>
    <xf numFmtId="9" fontId="4" fillId="0" borderId="0" applyFont="0" applyFill="0" applyBorder="0" applyAlignment="0" applyProtection="0"/>
    <xf numFmtId="0" fontId="4" fillId="0" borderId="0"/>
    <xf numFmtId="170" fontId="4" fillId="0" borderId="0" applyFont="0" applyFill="0" applyBorder="0" applyAlignment="0" applyProtection="0"/>
    <xf numFmtId="9" fontId="4" fillId="0" borderId="0" applyFont="0" applyFill="0" applyBorder="0" applyAlignment="0" applyProtection="0"/>
    <xf numFmtId="0" fontId="4" fillId="0" borderId="0"/>
    <xf numFmtId="170" fontId="4" fillId="0" borderId="0" applyFont="0" applyFill="0" applyBorder="0" applyAlignment="0" applyProtection="0"/>
    <xf numFmtId="9" fontId="4" fillId="0" borderId="0" applyFont="0" applyFill="0" applyBorder="0" applyAlignment="0" applyProtection="0"/>
    <xf numFmtId="0" fontId="4" fillId="0" borderId="0"/>
    <xf numFmtId="170" fontId="4" fillId="0" borderId="0" applyFont="0" applyFill="0" applyBorder="0" applyAlignment="0" applyProtection="0"/>
    <xf numFmtId="9" fontId="4" fillId="0" borderId="0" applyFont="0" applyFill="0" applyBorder="0" applyAlignment="0" applyProtection="0"/>
    <xf numFmtId="0" fontId="4" fillId="0" borderId="0"/>
    <xf numFmtId="170" fontId="4" fillId="0" borderId="0" applyFont="0" applyFill="0" applyBorder="0" applyAlignment="0" applyProtection="0"/>
    <xf numFmtId="9" fontId="4" fillId="0" borderId="0" applyFont="0" applyFill="0" applyBorder="0" applyAlignment="0" applyProtection="0"/>
    <xf numFmtId="0" fontId="4" fillId="0" borderId="0"/>
    <xf numFmtId="170" fontId="4" fillId="0" borderId="0" applyFont="0" applyFill="0" applyBorder="0" applyAlignment="0" applyProtection="0"/>
    <xf numFmtId="9" fontId="4" fillId="0" borderId="0" applyFont="0" applyFill="0" applyBorder="0" applyAlignment="0" applyProtection="0"/>
    <xf numFmtId="0" fontId="4" fillId="0" borderId="0"/>
    <xf numFmtId="170" fontId="4" fillId="0" borderId="0" applyFont="0" applyFill="0" applyBorder="0" applyAlignment="0" applyProtection="0"/>
    <xf numFmtId="9" fontId="4" fillId="0" borderId="0" applyFont="0" applyFill="0" applyBorder="0" applyAlignment="0" applyProtection="0"/>
    <xf numFmtId="0" fontId="4" fillId="0" borderId="0"/>
    <xf numFmtId="170" fontId="4" fillId="0" borderId="0" applyFont="0" applyFill="0" applyBorder="0" applyAlignment="0" applyProtection="0"/>
    <xf numFmtId="9" fontId="4" fillId="0" borderId="0" applyFont="0" applyFill="0" applyBorder="0" applyAlignment="0" applyProtection="0"/>
    <xf numFmtId="0" fontId="4" fillId="0" borderId="0"/>
    <xf numFmtId="170" fontId="4" fillId="0" borderId="0" applyFont="0" applyFill="0" applyBorder="0" applyAlignment="0" applyProtection="0"/>
    <xf numFmtId="9" fontId="4" fillId="0" borderId="0" applyFont="0" applyFill="0" applyBorder="0" applyAlignment="0" applyProtection="0"/>
    <xf numFmtId="0" fontId="4" fillId="0" borderId="0"/>
    <xf numFmtId="170" fontId="4" fillId="0" borderId="0" applyFont="0" applyFill="0" applyBorder="0" applyAlignment="0" applyProtection="0"/>
    <xf numFmtId="9" fontId="4" fillId="0" borderId="0" applyFont="0" applyFill="0" applyBorder="0" applyAlignment="0" applyProtection="0"/>
    <xf numFmtId="0" fontId="4" fillId="0" borderId="0"/>
    <xf numFmtId="170" fontId="4" fillId="0" borderId="0" applyFont="0" applyFill="0" applyBorder="0" applyAlignment="0" applyProtection="0"/>
    <xf numFmtId="9" fontId="4" fillId="0" borderId="0" applyFont="0" applyFill="0" applyBorder="0" applyAlignment="0" applyProtection="0"/>
    <xf numFmtId="0" fontId="4" fillId="0" borderId="0"/>
    <xf numFmtId="170" fontId="4" fillId="0" borderId="0" applyFont="0" applyFill="0" applyBorder="0" applyAlignment="0" applyProtection="0"/>
    <xf numFmtId="9" fontId="4" fillId="0" borderId="0" applyFont="0" applyFill="0" applyBorder="0" applyAlignment="0" applyProtection="0"/>
    <xf numFmtId="0" fontId="4" fillId="0" borderId="0"/>
    <xf numFmtId="170" fontId="4" fillId="0" borderId="0" applyFont="0" applyFill="0" applyBorder="0" applyAlignment="0" applyProtection="0"/>
    <xf numFmtId="9" fontId="4" fillId="0" borderId="0" applyFont="0" applyFill="0" applyBorder="0" applyAlignment="0" applyProtection="0"/>
    <xf numFmtId="0" fontId="4" fillId="0" borderId="0"/>
    <xf numFmtId="170" fontId="4" fillId="0" borderId="0" applyFont="0" applyFill="0" applyBorder="0" applyAlignment="0" applyProtection="0"/>
    <xf numFmtId="9" fontId="4" fillId="0" borderId="0" applyFont="0" applyFill="0" applyBorder="0" applyAlignment="0" applyProtection="0"/>
    <xf numFmtId="0" fontId="4" fillId="0" borderId="0"/>
    <xf numFmtId="170" fontId="4" fillId="0" borderId="0" applyFont="0" applyFill="0" applyBorder="0" applyAlignment="0" applyProtection="0"/>
    <xf numFmtId="9" fontId="4" fillId="0" borderId="0" applyFont="0" applyFill="0" applyBorder="0" applyAlignment="0" applyProtection="0"/>
    <xf numFmtId="0" fontId="4" fillId="0" borderId="0"/>
    <xf numFmtId="170" fontId="4" fillId="0" borderId="0" applyFont="0" applyFill="0" applyBorder="0" applyAlignment="0" applyProtection="0"/>
    <xf numFmtId="9" fontId="4" fillId="0" borderId="0" applyFont="0" applyFill="0" applyBorder="0" applyAlignment="0" applyProtection="0"/>
    <xf numFmtId="0" fontId="4" fillId="0" borderId="0"/>
    <xf numFmtId="170" fontId="4" fillId="0" borderId="0" applyFont="0" applyFill="0" applyBorder="0" applyAlignment="0" applyProtection="0"/>
    <xf numFmtId="9" fontId="4" fillId="0" borderId="0" applyFont="0" applyFill="0" applyBorder="0" applyAlignment="0" applyProtection="0"/>
    <xf numFmtId="0" fontId="4" fillId="0" borderId="0"/>
    <xf numFmtId="170" fontId="4" fillId="0" borderId="0" applyFont="0" applyFill="0" applyBorder="0" applyAlignment="0" applyProtection="0"/>
    <xf numFmtId="9" fontId="4" fillId="0" borderId="0" applyFont="0" applyFill="0" applyBorder="0" applyAlignment="0" applyProtection="0"/>
    <xf numFmtId="0" fontId="4" fillId="0" borderId="0"/>
    <xf numFmtId="170" fontId="4" fillId="0" borderId="0" applyFont="0" applyFill="0" applyBorder="0" applyAlignment="0" applyProtection="0"/>
    <xf numFmtId="9" fontId="4" fillId="0" borderId="0" applyFont="0" applyFill="0" applyBorder="0" applyAlignment="0" applyProtection="0"/>
    <xf numFmtId="0" fontId="4" fillId="0" borderId="0"/>
    <xf numFmtId="170" fontId="4" fillId="0" borderId="0" applyFont="0" applyFill="0" applyBorder="0" applyAlignment="0" applyProtection="0"/>
    <xf numFmtId="9" fontId="4" fillId="0" borderId="0" applyFont="0" applyFill="0" applyBorder="0" applyAlignment="0" applyProtection="0"/>
    <xf numFmtId="0" fontId="4" fillId="0" borderId="0"/>
    <xf numFmtId="170" fontId="4" fillId="0" borderId="0" applyFont="0" applyFill="0" applyBorder="0" applyAlignment="0" applyProtection="0"/>
    <xf numFmtId="9" fontId="4" fillId="0" borderId="0" applyFont="0" applyFill="0" applyBorder="0" applyAlignment="0" applyProtection="0"/>
    <xf numFmtId="0" fontId="4" fillId="0" borderId="0"/>
    <xf numFmtId="170" fontId="4" fillId="0" borderId="0" applyFont="0" applyFill="0" applyBorder="0" applyAlignment="0" applyProtection="0"/>
    <xf numFmtId="9" fontId="4" fillId="0" borderId="0" applyFont="0" applyFill="0" applyBorder="0" applyAlignment="0" applyProtection="0"/>
    <xf numFmtId="0" fontId="3" fillId="0" borderId="0"/>
    <xf numFmtId="0" fontId="26" fillId="0" borderId="0" applyNumberFormat="0" applyFill="0" applyBorder="0" applyAlignment="0" applyProtection="0"/>
    <xf numFmtId="0" fontId="193" fillId="0" borderId="0" applyNumberFormat="0" applyFill="0" applyBorder="0" applyAlignment="0" applyProtection="0"/>
    <xf numFmtId="279" fontId="135" fillId="0" borderId="0">
      <alignment horizontal="right"/>
    </xf>
    <xf numFmtId="0" fontId="45" fillId="0" borderId="0" applyNumberFormat="0" applyFont="0" applyFill="0" applyBorder="0" applyAlignment="0" applyProtection="0"/>
    <xf numFmtId="0" fontId="8" fillId="0" borderId="0"/>
    <xf numFmtId="0" fontId="8" fillId="0" borderId="0"/>
    <xf numFmtId="0" fontId="45" fillId="0" borderId="0" applyNumberFormat="0" applyFont="0" applyFill="0" applyBorder="0" applyAlignment="0" applyProtection="0"/>
    <xf numFmtId="0" fontId="45" fillId="0" borderId="0" applyNumberFormat="0" applyFont="0" applyFill="0" applyBorder="0" applyAlignment="0" applyProtection="0"/>
    <xf numFmtId="0" fontId="8" fillId="0" borderId="0"/>
    <xf numFmtId="0" fontId="45"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3" fontId="27" fillId="0" borderId="0"/>
    <xf numFmtId="278" fontId="8" fillId="0" borderId="0">
      <alignment horizontal="left" wrapText="1"/>
    </xf>
    <xf numFmtId="0" fontId="136" fillId="0" borderId="0">
      <alignment vertical="center"/>
    </xf>
    <xf numFmtId="280" fontId="137" fillId="4" borderId="0" applyNumberFormat="0" applyFont="0" applyBorder="0" applyAlignment="0">
      <protection locked="0"/>
    </xf>
    <xf numFmtId="278" fontId="8" fillId="0" borderId="0">
      <alignment horizontal="left" wrapText="1"/>
    </xf>
    <xf numFmtId="281" fontId="138" fillId="0" borderId="0" applyFont="0" applyFill="0" applyBorder="0" applyAlignment="0" applyProtection="0"/>
    <xf numFmtId="282" fontId="138" fillId="0" borderId="0" applyFont="0" applyFill="0" applyBorder="0" applyAlignment="0" applyProtection="0"/>
    <xf numFmtId="283" fontId="9" fillId="0" borderId="0"/>
    <xf numFmtId="9" fontId="8" fillId="0" borderId="0"/>
    <xf numFmtId="0" fontId="9" fillId="0" borderId="0"/>
    <xf numFmtId="176" fontId="9" fillId="0" borderId="0"/>
    <xf numFmtId="0" fontId="9" fillId="0" borderId="0"/>
    <xf numFmtId="2" fontId="9" fillId="0" borderId="0"/>
    <xf numFmtId="10" fontId="9" fillId="0" borderId="0"/>
    <xf numFmtId="2" fontId="9" fillId="0" borderId="0"/>
    <xf numFmtId="283" fontId="9" fillId="0" borderId="0"/>
    <xf numFmtId="283" fontId="8" fillId="0" borderId="0"/>
    <xf numFmtId="283" fontId="8" fillId="0" borderId="0"/>
    <xf numFmtId="283" fontId="8" fillId="0" borderId="0"/>
    <xf numFmtId="283" fontId="8" fillId="0" borderId="0"/>
    <xf numFmtId="283" fontId="8" fillId="0" borderId="0"/>
    <xf numFmtId="37" fontId="139" fillId="0" borderId="0">
      <alignment horizontal="center"/>
    </xf>
    <xf numFmtId="284" fontId="140" fillId="0" borderId="7">
      <alignment horizontal="centerContinuous"/>
    </xf>
    <xf numFmtId="0" fontId="141" fillId="32" borderId="0" applyNumberFormat="0" applyFont="0" applyBorder="0" applyAlignment="0">
      <alignment horizontal="right"/>
    </xf>
    <xf numFmtId="0" fontId="142" fillId="32" borderId="30" applyFont="0">
      <alignment horizontal="right"/>
    </xf>
    <xf numFmtId="286" fontId="15" fillId="0" borderId="17"/>
    <xf numFmtId="287" fontId="14" fillId="0" borderId="36" applyBorder="0"/>
    <xf numFmtId="0" fontId="143" fillId="0" borderId="0"/>
    <xf numFmtId="0" fontId="144" fillId="0" borderId="44" applyNumberFormat="0" applyFill="0" applyBorder="0" applyAlignment="0" applyProtection="0"/>
    <xf numFmtId="0" fontId="63" fillId="0" borderId="44" applyNumberFormat="0" applyFill="0" applyBorder="0" applyAlignment="0" applyProtection="0"/>
    <xf numFmtId="0" fontId="118" fillId="0" borderId="44" applyNumberFormat="0" applyFill="0" applyBorder="0" applyAlignment="0" applyProtection="0"/>
    <xf numFmtId="0" fontId="26" fillId="0" borderId="44" applyNumberFormat="0" applyFill="0" applyAlignment="0" applyProtection="0"/>
    <xf numFmtId="0" fontId="145" fillId="0" borderId="13">
      <protection hidden="1"/>
    </xf>
    <xf numFmtId="0" fontId="146" fillId="3" borderId="13" applyNumberFormat="0" applyFont="0" applyBorder="0" applyAlignment="0" applyProtection="0">
      <protection hidden="1"/>
    </xf>
    <xf numFmtId="0" fontId="14" fillId="0" borderId="0" applyNumberFormat="0" applyFill="0" applyBorder="0" applyAlignment="0" applyProtection="0"/>
    <xf numFmtId="231" fontId="50" fillId="0" borderId="0" applyFont="0" applyFill="0" applyBorder="0" applyAlignment="0" applyProtection="0"/>
    <xf numFmtId="0" fontId="147" fillId="0" borderId="0"/>
    <xf numFmtId="0" fontId="148" fillId="0" borderId="7" applyNumberFormat="0" applyFill="0" applyAlignment="0" applyProtection="0"/>
    <xf numFmtId="288" fontId="138" fillId="0" borderId="0" applyFont="0" applyFill="0" applyBorder="0" applyAlignment="0" applyProtection="0"/>
    <xf numFmtId="289" fontId="26" fillId="0" borderId="0">
      <alignment horizontal="right" vertical="center"/>
    </xf>
    <xf numFmtId="231" fontId="64" fillId="0" borderId="0" applyFont="0" applyFill="0" applyBorder="0" applyAlignment="0" applyProtection="0"/>
    <xf numFmtId="0" fontId="37" fillId="33" borderId="0" applyNumberFormat="0" applyBorder="0">
      <alignment horizontal="centerContinuous"/>
    </xf>
    <xf numFmtId="37" fontId="14" fillId="0" borderId="0"/>
    <xf numFmtId="290" fontId="8" fillId="0" borderId="0"/>
    <xf numFmtId="291" fontId="8" fillId="0" borderId="0"/>
    <xf numFmtId="0" fontId="149" fillId="0" borderId="7" applyNumberFormat="0" applyFill="0" applyProtection="0">
      <alignment horizontal="left" vertical="center"/>
    </xf>
    <xf numFmtId="0" fontId="8" fillId="0" borderId="0">
      <alignment horizontal="center" wrapText="1"/>
      <protection hidden="1"/>
    </xf>
    <xf numFmtId="0" fontId="121" fillId="0" borderId="45" applyNumberFormat="0" applyFill="0" applyProtection="0">
      <alignment horizontal="center" vertical="center"/>
    </xf>
    <xf numFmtId="0" fontId="122" fillId="0" borderId="7" applyNumberFormat="0" applyFill="0" applyBorder="0" applyProtection="0">
      <alignment horizontal="right" vertical="center"/>
    </xf>
    <xf numFmtId="170" fontId="117" fillId="0" borderId="0" applyFont="0" applyFill="0" applyBorder="0" applyAlignment="0" applyProtection="0"/>
    <xf numFmtId="292" fontId="150" fillId="0" borderId="0"/>
    <xf numFmtId="292" fontId="150" fillId="0" borderId="0"/>
    <xf numFmtId="292" fontId="150" fillId="0" borderId="0"/>
    <xf numFmtId="292" fontId="150" fillId="0" borderId="0"/>
    <xf numFmtId="292" fontId="150" fillId="0" borderId="0"/>
    <xf numFmtId="292" fontId="150" fillId="0" borderId="0"/>
    <xf numFmtId="292" fontId="150" fillId="0" borderId="0"/>
    <xf numFmtId="292" fontId="150" fillId="0" borderId="0"/>
    <xf numFmtId="0" fontId="14" fillId="0" borderId="0"/>
    <xf numFmtId="293" fontId="8" fillId="0" borderId="0" applyFont="0" applyFill="0" applyBorder="0" applyAlignment="0" applyProtection="0">
      <alignment horizontal="right"/>
    </xf>
    <xf numFmtId="294" fontId="8" fillId="0" borderId="0" applyFont="0" applyFill="0" applyBorder="0" applyAlignment="0" applyProtection="0"/>
    <xf numFmtId="295" fontId="151" fillId="0" borderId="0" applyFont="0" applyFill="0" applyBorder="0" applyAlignment="0" applyProtection="0">
      <alignment horizontal="right"/>
    </xf>
    <xf numFmtId="170" fontId="8" fillId="0" borderId="0" applyFont="0" applyFill="0" applyBorder="0" applyAlignment="0" applyProtection="0"/>
    <xf numFmtId="0" fontId="152" fillId="10" borderId="0">
      <alignment horizontal="center" vertical="center" wrapText="1"/>
    </xf>
    <xf numFmtId="0" fontId="153" fillId="0" borderId="0" applyNumberFormat="0" applyFill="0" applyBorder="0">
      <alignment horizontal="right"/>
    </xf>
    <xf numFmtId="0" fontId="152" fillId="10" borderId="0">
      <alignment horizontal="center" vertical="center" wrapText="1"/>
    </xf>
    <xf numFmtId="296" fontId="8" fillId="0" borderId="0" applyFont="0" applyFill="0" applyBorder="0" applyAlignment="0" applyProtection="0"/>
    <xf numFmtId="179" fontId="8" fillId="0" borderId="0" applyFill="0" applyBorder="0">
      <alignment horizontal="right"/>
      <protection locked="0"/>
    </xf>
    <xf numFmtId="169" fontId="117" fillId="0" borderId="0" applyFont="0" applyFill="0" applyBorder="0" applyAlignment="0" applyProtection="0"/>
    <xf numFmtId="164" fontId="154" fillId="0" borderId="39" applyBorder="0"/>
    <xf numFmtId="263" fontId="8" fillId="0" borderId="0" applyFont="0" applyFill="0" applyBorder="0" applyAlignment="0"/>
    <xf numFmtId="165" fontId="8" fillId="0" borderId="0" applyFont="0" applyFill="0" applyBorder="0" applyAlignment="0"/>
    <xf numFmtId="297" fontId="14" fillId="0" borderId="0" applyFont="0" applyFill="0" applyBorder="0" applyAlignment="0" applyProtection="0">
      <alignment horizontal="right"/>
    </xf>
    <xf numFmtId="169" fontId="8" fillId="0" borderId="0" applyFont="0" applyFill="0" applyBorder="0" applyAlignment="0" applyProtection="0"/>
    <xf numFmtId="298" fontId="138" fillId="0" borderId="0" applyFont="0" applyFill="0" applyBorder="0" applyAlignment="0" applyProtection="0"/>
    <xf numFmtId="14" fontId="29" fillId="0" borderId="30" applyFont="0">
      <alignment horizontal="right"/>
    </xf>
    <xf numFmtId="264" fontId="8" fillId="4" borderId="0" applyFont="0" applyFill="0" applyBorder="0" applyAlignment="0" applyProtection="0"/>
    <xf numFmtId="262" fontId="8" fillId="4" borderId="6" applyFont="0" applyFill="0" applyBorder="0" applyAlignment="0" applyProtection="0"/>
    <xf numFmtId="264" fontId="8" fillId="4" borderId="0" applyFont="0" applyFill="0" applyBorder="0" applyAlignment="0" applyProtection="0"/>
    <xf numFmtId="285" fontId="14" fillId="0" borderId="0" applyFont="0" applyFill="0" applyBorder="0" applyAlignment="0" applyProtection="0"/>
    <xf numFmtId="253" fontId="9" fillId="0" borderId="0"/>
    <xf numFmtId="1" fontId="14" fillId="0" borderId="0" applyFont="0" applyFill="0" applyBorder="0" applyAlignment="0" applyProtection="0">
      <alignment horizontal="right"/>
    </xf>
    <xf numFmtId="214" fontId="155" fillId="0" borderId="0"/>
    <xf numFmtId="165" fontId="26" fillId="0" borderId="0"/>
    <xf numFmtId="174" fontId="14" fillId="0" borderId="8" applyNumberFormat="0" applyFont="0" applyFill="0" applyAlignment="0" applyProtection="0"/>
    <xf numFmtId="256" fontId="156" fillId="0" borderId="33" applyNumberFormat="0" applyBorder="0"/>
    <xf numFmtId="231" fontId="119" fillId="0" borderId="9" applyNumberFormat="0" applyAlignment="0" applyProtection="0">
      <alignment vertical="top"/>
    </xf>
    <xf numFmtId="231" fontId="119" fillId="0" borderId="9" applyNumberFormat="0" applyAlignment="0" applyProtection="0">
      <alignment vertical="top"/>
    </xf>
    <xf numFmtId="231" fontId="119" fillId="0" borderId="9" applyNumberFormat="0" applyAlignment="0" applyProtection="0">
      <alignment vertical="top"/>
    </xf>
    <xf numFmtId="231" fontId="119" fillId="0" borderId="9" applyNumberFormat="0" applyAlignment="0" applyProtection="0">
      <alignment vertical="top"/>
    </xf>
    <xf numFmtId="231" fontId="119" fillId="0" borderId="9" applyNumberFormat="0" applyAlignment="0" applyProtection="0">
      <alignment vertical="top"/>
    </xf>
    <xf numFmtId="231" fontId="119" fillId="0" borderId="9" applyNumberFormat="0" applyAlignment="0" applyProtection="0">
      <alignment vertical="top"/>
    </xf>
    <xf numFmtId="231" fontId="119" fillId="0" borderId="9" applyNumberFormat="0" applyAlignment="0" applyProtection="0">
      <alignment vertical="top"/>
    </xf>
    <xf numFmtId="231" fontId="119" fillId="0" borderId="9" applyNumberFormat="0" applyAlignment="0" applyProtection="0">
      <alignment vertical="top"/>
    </xf>
    <xf numFmtId="231" fontId="119" fillId="0" borderId="9" applyNumberFormat="0" applyAlignment="0" applyProtection="0">
      <alignment vertical="top"/>
    </xf>
    <xf numFmtId="231" fontId="119" fillId="0" borderId="9" applyNumberFormat="0" applyAlignment="0" applyProtection="0">
      <alignment vertical="top"/>
    </xf>
    <xf numFmtId="231" fontId="119" fillId="0" borderId="9" applyNumberFormat="0" applyAlignment="0" applyProtection="0">
      <alignment vertical="top"/>
    </xf>
    <xf numFmtId="231" fontId="119" fillId="0" borderId="9" applyNumberFormat="0" applyAlignment="0" applyProtection="0">
      <alignment vertical="top"/>
    </xf>
    <xf numFmtId="231" fontId="119" fillId="0" borderId="9" applyNumberFormat="0" applyAlignment="0" applyProtection="0">
      <alignment vertical="top"/>
    </xf>
    <xf numFmtId="231" fontId="119" fillId="0" borderId="9" applyNumberFormat="0" applyAlignment="0" applyProtection="0">
      <alignment vertical="top"/>
    </xf>
    <xf numFmtId="231" fontId="119" fillId="0" borderId="9" applyNumberFormat="0" applyAlignment="0" applyProtection="0">
      <alignment vertical="top"/>
    </xf>
    <xf numFmtId="231" fontId="119" fillId="0" borderId="9" applyNumberFormat="0" applyAlignment="0" applyProtection="0">
      <alignment vertical="top"/>
    </xf>
    <xf numFmtId="231" fontId="119" fillId="0" borderId="9" applyNumberFormat="0" applyAlignment="0" applyProtection="0">
      <alignment vertical="top"/>
    </xf>
    <xf numFmtId="231" fontId="119" fillId="0" borderId="9" applyNumberFormat="0" applyAlignment="0" applyProtection="0">
      <alignment vertical="top"/>
    </xf>
    <xf numFmtId="231" fontId="119" fillId="0" borderId="9" applyNumberFormat="0" applyAlignment="0" applyProtection="0">
      <alignment vertical="top"/>
    </xf>
    <xf numFmtId="231" fontId="119" fillId="0" borderId="9" applyNumberFormat="0" applyAlignment="0" applyProtection="0">
      <alignment vertical="top"/>
    </xf>
    <xf numFmtId="231" fontId="119" fillId="0" borderId="9" applyNumberFormat="0" applyAlignment="0" applyProtection="0">
      <alignment vertical="top"/>
    </xf>
    <xf numFmtId="9" fontId="134" fillId="0" borderId="4" applyNumberFormat="0" applyBorder="0" applyAlignment="0">
      <protection locked="0"/>
    </xf>
    <xf numFmtId="0" fontId="50" fillId="34" borderId="46" applyNumberFormat="0" applyFont="0" applyAlignment="0">
      <protection locked="0"/>
    </xf>
    <xf numFmtId="265" fontId="45" fillId="0" borderId="0" applyNumberFormat="0" applyFont="0" applyFill="0" applyBorder="0" applyAlignment="0" applyProtection="0"/>
    <xf numFmtId="260" fontId="14" fillId="0" borderId="0" applyFont="0" applyFill="0" applyBorder="0" applyAlignment="0" applyProtection="0"/>
    <xf numFmtId="299" fontId="8" fillId="0" borderId="0" applyFont="0" applyFill="0" applyBorder="0" applyAlignment="0" applyProtection="0"/>
    <xf numFmtId="204" fontId="14" fillId="0" borderId="0" applyFont="0" applyFill="0" applyBorder="0" applyAlignment="0" applyProtection="0">
      <alignment horizontal="right"/>
    </xf>
    <xf numFmtId="231" fontId="8" fillId="4" borderId="0" applyFont="0" applyFill="0" applyBorder="0" applyAlignment="0"/>
    <xf numFmtId="0" fontId="123" fillId="0" borderId="0" applyNumberFormat="0" applyFill="0" applyBorder="0" applyProtection="0">
      <alignment horizontal="left" vertical="center"/>
    </xf>
    <xf numFmtId="0" fontId="157" fillId="13" borderId="0"/>
    <xf numFmtId="37" fontId="15" fillId="13" borderId="0" applyNumberFormat="0" applyBorder="0" applyAlignment="0" applyProtection="0"/>
    <xf numFmtId="300" fontId="63" fillId="0" borderId="0" applyBorder="0" applyProtection="0"/>
    <xf numFmtId="258" fontId="158" fillId="0" borderId="0"/>
    <xf numFmtId="0" fontId="159" fillId="0" borderId="0"/>
    <xf numFmtId="266" fontId="124" fillId="0" borderId="0" applyFill="0" applyBorder="0" applyAlignment="0" applyProtection="0"/>
    <xf numFmtId="278" fontId="14" fillId="0" borderId="0" applyFont="0" applyFill="0" applyBorder="0" applyAlignment="0" applyProtection="0">
      <alignment horizontal="right"/>
    </xf>
    <xf numFmtId="0" fontId="125" fillId="35" borderId="0" applyNumberFormat="0" applyBorder="0" applyProtection="0">
      <alignment horizontal="left" vertical="center"/>
    </xf>
    <xf numFmtId="0" fontId="126" fillId="1" borderId="0" applyNumberFormat="0" applyBorder="0" applyProtection="0">
      <alignment horizontal="left" vertical="center"/>
    </xf>
    <xf numFmtId="0" fontId="160" fillId="0" borderId="0"/>
    <xf numFmtId="0" fontId="37" fillId="0" borderId="38" applyNumberFormat="0" applyAlignment="0" applyProtection="0">
      <alignment horizontal="left" vertical="center"/>
    </xf>
    <xf numFmtId="0" fontId="37" fillId="0" borderId="30">
      <alignment horizontal="left" vertical="center"/>
    </xf>
    <xf numFmtId="0" fontId="37" fillId="0" borderId="0"/>
    <xf numFmtId="301" fontId="14" fillId="0" borderId="0"/>
    <xf numFmtId="233" fontId="135" fillId="14" borderId="0" applyNumberFormat="0" applyFont="0" applyBorder="0" applyAlignment="0" applyProtection="0"/>
    <xf numFmtId="37" fontId="15" fillId="0" borderId="0" applyNumberFormat="0" applyBorder="0" applyAlignment="0" applyProtection="0"/>
    <xf numFmtId="0" fontId="194" fillId="0" borderId="0" applyNumberFormat="0" applyFill="0" applyBorder="0" applyAlignment="0" applyProtection="0">
      <alignment vertical="top"/>
      <protection locked="0"/>
    </xf>
    <xf numFmtId="231" fontId="50" fillId="0" borderId="0" applyFont="0" applyFill="0" applyBorder="0" applyAlignment="0" applyProtection="0"/>
    <xf numFmtId="302" fontId="14" fillId="0" borderId="0"/>
    <xf numFmtId="166" fontId="26" fillId="4" borderId="0" applyFont="0" applyBorder="0" applyAlignment="0" applyProtection="0">
      <protection locked="0"/>
    </xf>
    <xf numFmtId="262" fontId="8" fillId="4" borderId="0" applyFont="0" applyBorder="0" applyAlignment="0" applyProtection="0">
      <protection locked="0"/>
    </xf>
    <xf numFmtId="231" fontId="8" fillId="4" borderId="0" applyFont="0" applyBorder="0" applyAlignment="0">
      <protection locked="0"/>
    </xf>
    <xf numFmtId="267" fontId="8" fillId="4" borderId="0" applyFont="0" applyBorder="0" applyAlignment="0">
      <protection locked="0"/>
    </xf>
    <xf numFmtId="267" fontId="8" fillId="4" borderId="4"/>
    <xf numFmtId="38" fontId="118" fillId="4" borderId="4"/>
    <xf numFmtId="40" fontId="118" fillId="4" borderId="4"/>
    <xf numFmtId="0" fontId="8" fillId="0" borderId="0" applyFill="0" applyBorder="0">
      <alignment horizontal="right"/>
      <protection locked="0"/>
    </xf>
    <xf numFmtId="180" fontId="8" fillId="0" borderId="0" applyFill="0" applyBorder="0">
      <alignment horizontal="right"/>
      <protection locked="0"/>
    </xf>
    <xf numFmtId="0" fontId="29" fillId="17" borderId="14">
      <alignment horizontal="left" vertical="center" wrapText="1"/>
    </xf>
    <xf numFmtId="0" fontId="127" fillId="0" borderId="0" applyNumberFormat="0" applyFill="0" applyBorder="0" applyProtection="0">
      <alignment horizontal="left" vertical="center"/>
    </xf>
    <xf numFmtId="204" fontId="14" fillId="0" borderId="0" applyNumberFormat="0" applyAlignment="0">
      <alignment horizontal="left"/>
    </xf>
    <xf numFmtId="0" fontId="161" fillId="0" borderId="13">
      <alignment horizontal="left"/>
      <protection locked="0"/>
    </xf>
    <xf numFmtId="0" fontId="36" fillId="0" borderId="0"/>
    <xf numFmtId="266" fontId="88" fillId="0" borderId="0" applyFill="0" applyBorder="0" applyAlignment="0" applyProtection="0"/>
    <xf numFmtId="0" fontId="162" fillId="0" borderId="0" applyBorder="0"/>
    <xf numFmtId="204" fontId="29" fillId="0" borderId="30" applyFont="0" applyFill="0" applyBorder="0" applyAlignment="0" applyProtection="0">
      <alignment horizontal="center"/>
    </xf>
    <xf numFmtId="0" fontId="163" fillId="0" borderId="0" applyNumberFormat="0" applyFill="0" applyBorder="0" applyAlignment="0"/>
    <xf numFmtId="38" fontId="163" fillId="0" borderId="0" applyBorder="0"/>
    <xf numFmtId="268" fontId="50" fillId="0" borderId="0" applyFont="0" applyFill="0" applyBorder="0" applyAlignment="0" applyProtection="0"/>
    <xf numFmtId="204" fontId="14" fillId="0" borderId="0" applyFont="0" applyFill="0" applyBorder="0" applyAlignment="0" applyProtection="0">
      <alignment horizontal="right"/>
    </xf>
    <xf numFmtId="269" fontId="8" fillId="13" borderId="0" applyFont="0" applyBorder="0" applyAlignment="0" applyProtection="0">
      <alignment horizontal="right"/>
      <protection hidden="1"/>
    </xf>
    <xf numFmtId="178" fontId="14" fillId="0" borderId="0" applyFill="0" applyBorder="0" applyAlignment="0" applyProtection="0"/>
    <xf numFmtId="303" fontId="14" fillId="0" borderId="33" applyFont="0" applyFill="0" applyBorder="0" applyAlignment="0" applyProtection="0"/>
    <xf numFmtId="258" fontId="14" fillId="0" borderId="0"/>
    <xf numFmtId="302" fontId="14" fillId="0" borderId="0"/>
    <xf numFmtId="233" fontId="164" fillId="0" borderId="0"/>
    <xf numFmtId="37" fontId="154" fillId="0" borderId="0"/>
    <xf numFmtId="38" fontId="165" fillId="0" borderId="0"/>
    <xf numFmtId="222" fontId="164" fillId="0" borderId="0"/>
    <xf numFmtId="304" fontId="14" fillId="0" borderId="0">
      <alignment horizontal="right"/>
    </xf>
    <xf numFmtId="216" fontId="26" fillId="0" borderId="0" applyFont="0" applyFill="0" applyBorder="0" applyAlignment="0"/>
    <xf numFmtId="0" fontId="8" fillId="0" borderId="0" applyNumberFormat="0" applyFont="0" applyFill="0" applyBorder="0" applyAlignment="0" applyProtection="0"/>
    <xf numFmtId="0" fontId="193" fillId="0" borderId="0" applyNumberFormat="0" applyFill="0" applyBorder="0" applyAlignment="0" applyProtection="0"/>
    <xf numFmtId="270" fontId="8" fillId="0" borderId="0" applyFont="0" applyFill="0" applyBorder="0" applyAlignment="0" applyProtection="0"/>
    <xf numFmtId="271" fontId="8" fillId="0" borderId="0" applyFont="0" applyFill="0" applyBorder="0" applyAlignment="0" applyProtection="0"/>
    <xf numFmtId="178" fontId="27" fillId="0" borderId="33" applyBorder="0"/>
    <xf numFmtId="272" fontId="8" fillId="0" borderId="0" applyFont="0" applyFill="0" applyBorder="0" applyAlignment="0" applyProtection="0"/>
    <xf numFmtId="177" fontId="145" fillId="0" borderId="0"/>
    <xf numFmtId="0" fontId="166" fillId="0" borderId="0">
      <alignment horizontal="left"/>
    </xf>
    <xf numFmtId="0" fontId="104" fillId="0" borderId="0" applyNumberFormat="0" applyFill="0" applyBorder="0">
      <alignment horizontal="left"/>
    </xf>
    <xf numFmtId="1" fontId="167" fillId="0" borderId="0" applyProtection="0">
      <alignment horizontal="right" vertical="center"/>
    </xf>
    <xf numFmtId="273" fontId="8" fillId="0" borderId="0"/>
    <xf numFmtId="9" fontId="117" fillId="0" borderId="0" applyFont="0" applyFill="0" applyBorder="0" applyAlignment="0" applyProtection="0"/>
    <xf numFmtId="261" fontId="168" fillId="0" borderId="0"/>
    <xf numFmtId="274" fontId="8" fillId="0" borderId="0" applyFont="0" applyFill="0" applyBorder="0" applyAlignment="0"/>
    <xf numFmtId="267" fontId="8" fillId="0" borderId="0" applyFont="0" applyFill="0" applyBorder="0" applyAlignment="0"/>
    <xf numFmtId="275" fontId="8" fillId="0" borderId="0" applyFont="0" applyFill="0" applyBorder="0" applyAlignment="0"/>
    <xf numFmtId="9" fontId="8" fillId="0" borderId="0" applyFont="0" applyFill="0" applyBorder="0" applyAlignment="0" applyProtection="0"/>
    <xf numFmtId="9" fontId="14" fillId="0" borderId="0" applyFont="0" applyFill="0" applyBorder="0" applyAlignment="0" applyProtection="0"/>
    <xf numFmtId="176" fontId="169" fillId="0" borderId="0"/>
    <xf numFmtId="181" fontId="8" fillId="0" borderId="0" applyFill="0" applyBorder="0">
      <alignment horizontal="right"/>
      <protection locked="0"/>
    </xf>
    <xf numFmtId="276" fontId="8" fillId="0" borderId="0" applyFont="0" applyFill="0" applyBorder="0" applyAlignment="0" applyProtection="0"/>
    <xf numFmtId="0" fontId="104" fillId="0" borderId="0"/>
    <xf numFmtId="0" fontId="104" fillId="0" borderId="47">
      <alignment horizontal="right"/>
    </xf>
    <xf numFmtId="2" fontId="162" fillId="0" borderId="0" applyNumberFormat="0" applyFill="0" applyBorder="0" applyAlignment="0" applyProtection="0"/>
    <xf numFmtId="182" fontId="8" fillId="0" borderId="0">
      <alignment horizontal="right"/>
      <protection locked="0"/>
    </xf>
    <xf numFmtId="0" fontId="108" fillId="0" borderId="0"/>
    <xf numFmtId="0" fontId="170" fillId="0" borderId="13" applyNumberFormat="0" applyFill="0" applyBorder="0" applyAlignment="0" applyProtection="0">
      <protection hidden="1"/>
    </xf>
    <xf numFmtId="49" fontId="27" fillId="0" borderId="0">
      <alignment horizontal="right"/>
    </xf>
    <xf numFmtId="37" fontId="171" fillId="0" borderId="0" applyNumberFormat="0" applyFill="0" applyBorder="0" applyAlignment="0" applyProtection="0"/>
    <xf numFmtId="0" fontId="172" fillId="0" borderId="0"/>
    <xf numFmtId="0" fontId="45" fillId="0" borderId="17" applyNumberFormat="0" applyBorder="0" applyAlignment="0"/>
    <xf numFmtId="0" fontId="127" fillId="0" borderId="0" applyNumberFormat="0" applyFill="0" applyBorder="0" applyProtection="0">
      <alignment horizontal="right" vertical="center"/>
    </xf>
    <xf numFmtId="305" fontId="14" fillId="0" borderId="0" applyNumberFormat="0" applyFill="0" applyBorder="0" applyProtection="0">
      <alignment horizontal="left" vertical="center"/>
      <protection locked="0"/>
    </xf>
    <xf numFmtId="306" fontId="19" fillId="0" borderId="0" applyFill="0" applyBorder="0">
      <alignment horizontal="right"/>
      <protection hidden="1"/>
    </xf>
    <xf numFmtId="0" fontId="37" fillId="10" borderId="4">
      <alignment horizontal="center" vertical="center" wrapText="1"/>
      <protection hidden="1"/>
    </xf>
    <xf numFmtId="1" fontId="150" fillId="36" borderId="0" applyNumberFormat="0" applyFont="0" applyBorder="0" applyAlignment="0">
      <alignment horizontal="left"/>
    </xf>
    <xf numFmtId="178" fontId="14" fillId="0" borderId="7" applyFont="0" applyFill="0" applyBorder="0" applyAlignment="0" applyProtection="0">
      <alignment horizontal="right"/>
    </xf>
    <xf numFmtId="231" fontId="50" fillId="0" borderId="0" applyFont="0" applyFill="0" applyBorder="0" applyAlignment="0" applyProtection="0"/>
    <xf numFmtId="0" fontId="35" fillId="13" borderId="0" applyNumberFormat="0" applyBorder="0">
      <alignment horizontal="centerContinuous"/>
    </xf>
    <xf numFmtId="0" fontId="173" fillId="0" borderId="0" applyNumberFormat="0" applyFill="0" applyBorder="0" applyAlignment="0" applyProtection="0"/>
    <xf numFmtId="3" fontId="26" fillId="0" borderId="0"/>
    <xf numFmtId="204" fontId="136" fillId="0" borderId="0" applyFill="0" applyBorder="0" applyProtection="0">
      <alignment horizontal="right"/>
    </xf>
    <xf numFmtId="231" fontId="26" fillId="14" borderId="0" applyNumberFormat="0" applyFont="0" applyBorder="0" applyAlignment="0">
      <protection hidden="1"/>
    </xf>
    <xf numFmtId="3" fontId="27" fillId="0" borderId="0"/>
    <xf numFmtId="0" fontId="174" fillId="0" borderId="0" applyNumberFormat="0" applyFill="0" applyBorder="0" applyAlignment="0" applyProtection="0">
      <protection locked="0"/>
    </xf>
    <xf numFmtId="307" fontId="174" fillId="0" borderId="0" applyNumberFormat="0" applyFill="0" applyBorder="0" applyAlignment="0" applyProtection="0">
      <alignment horizontal="right" vertical="center" wrapText="1"/>
    </xf>
    <xf numFmtId="0" fontId="174" fillId="0" borderId="0" applyNumberFormat="0" applyFill="0" applyBorder="0" applyAlignment="0" applyProtection="0">
      <protection locked="0"/>
    </xf>
    <xf numFmtId="0" fontId="175" fillId="0" borderId="0" applyNumberFormat="0" applyFill="0" applyBorder="0" applyAlignment="0" applyProtection="0"/>
    <xf numFmtId="0" fontId="176" fillId="0" borderId="30" applyNumberFormat="0" applyFill="0" applyProtection="0">
      <alignment horizontal="right" vertical="center" wrapText="1"/>
    </xf>
    <xf numFmtId="0" fontId="29" fillId="33" borderId="0" applyNumberFormat="0" applyBorder="0">
      <alignment horizontal="centerContinuous"/>
    </xf>
    <xf numFmtId="0" fontId="177" fillId="0" borderId="33" applyNumberFormat="0" applyFill="0" applyProtection="0">
      <alignment horizontal="right"/>
    </xf>
    <xf numFmtId="0" fontId="128" fillId="0" borderId="0" applyNumberFormat="0" applyFill="0" applyBorder="0" applyProtection="0">
      <alignment horizontal="left" vertical="center"/>
    </xf>
    <xf numFmtId="0" fontId="178" fillId="0" borderId="0"/>
    <xf numFmtId="259" fontId="128" fillId="0" borderId="0" applyNumberFormat="0"/>
    <xf numFmtId="0" fontId="179" fillId="0" borderId="44" applyNumberFormat="0" applyFill="0" applyBorder="0" applyAlignment="0" applyProtection="0"/>
    <xf numFmtId="0" fontId="177" fillId="0" borderId="37" applyNumberFormat="0" applyProtection="0">
      <alignment horizontal="right"/>
    </xf>
    <xf numFmtId="0" fontId="180" fillId="0" borderId="7" applyNumberFormat="0" applyFill="0" applyProtection="0"/>
    <xf numFmtId="174" fontId="14" fillId="0" borderId="7" applyBorder="0" applyProtection="0">
      <alignment horizontal="right" vertical="center"/>
    </xf>
    <xf numFmtId="0" fontId="181" fillId="26" borderId="0" applyBorder="0" applyProtection="0">
      <alignment horizontal="centerContinuous" vertical="center"/>
    </xf>
    <xf numFmtId="0" fontId="181" fillId="6" borderId="7" applyBorder="0" applyProtection="0">
      <alignment horizontal="centerContinuous" vertical="center"/>
    </xf>
    <xf numFmtId="3" fontId="34" fillId="0" borderId="0" applyNumberFormat="0"/>
    <xf numFmtId="0" fontId="182" fillId="0" borderId="0" applyFill="0" applyBorder="0" applyProtection="0">
      <alignment horizontal="left"/>
    </xf>
    <xf numFmtId="0" fontId="183" fillId="0" borderId="2" applyFill="0" applyBorder="0" applyProtection="0">
      <alignment horizontal="left" vertical="top"/>
    </xf>
    <xf numFmtId="176" fontId="184" fillId="0" borderId="0" applyNumberFormat="0" applyFill="0" applyBorder="0">
      <alignment horizontal="left"/>
    </xf>
    <xf numFmtId="176" fontId="184" fillId="0" borderId="0" applyNumberFormat="0" applyFill="0" applyBorder="0">
      <alignment horizontal="right"/>
    </xf>
    <xf numFmtId="176" fontId="121" fillId="0" borderId="0" applyNumberFormat="0" applyFill="0" applyBorder="0">
      <alignment horizontal="right"/>
    </xf>
    <xf numFmtId="231" fontId="8" fillId="20" borderId="0" applyNumberFormat="0" applyFont="0" applyBorder="0" applyAlignment="0" applyProtection="0"/>
    <xf numFmtId="277" fontId="8" fillId="0" borderId="0" applyFill="0" applyBorder="0" applyAlignment="0" applyProtection="0">
      <alignment horizontal="right"/>
    </xf>
    <xf numFmtId="308" fontId="63" fillId="0" borderId="0" applyBorder="0" applyProtection="0">
      <alignment horizontal="right"/>
    </xf>
    <xf numFmtId="3" fontId="129" fillId="0" borderId="0"/>
    <xf numFmtId="0" fontId="130" fillId="0" borderId="31"/>
    <xf numFmtId="0" fontId="34" fillId="0" borderId="48"/>
    <xf numFmtId="0" fontId="8" fillId="0" borderId="0" applyBorder="0"/>
    <xf numFmtId="0" fontId="131" fillId="0" borderId="0" applyNumberFormat="0" applyFont="0" applyFill="0" applyBorder="0" applyAlignment="0">
      <alignment horizontal="left" vertical="center"/>
    </xf>
    <xf numFmtId="0" fontId="34" fillId="0" borderId="30">
      <alignment horizontal="right" wrapText="1"/>
    </xf>
    <xf numFmtId="0" fontId="169" fillId="3" borderId="13"/>
    <xf numFmtId="3" fontId="34" fillId="0" borderId="7" applyNumberFormat="0"/>
    <xf numFmtId="257" fontId="26" fillId="0" borderId="0" applyBorder="0" applyProtection="0">
      <alignment horizontal="right"/>
    </xf>
    <xf numFmtId="40" fontId="158" fillId="0" borderId="0"/>
    <xf numFmtId="37" fontId="14" fillId="37" borderId="4" applyNumberFormat="0" applyAlignment="0" applyProtection="0"/>
    <xf numFmtId="231" fontId="185" fillId="0" borderId="0"/>
    <xf numFmtId="0" fontId="186" fillId="0" borderId="0">
      <alignment vertical="top"/>
    </xf>
    <xf numFmtId="0" fontId="187" fillId="0" borderId="0" applyNumberFormat="0"/>
    <xf numFmtId="0" fontId="120" fillId="38" borderId="49">
      <alignment horizontal="left"/>
    </xf>
    <xf numFmtId="231" fontId="42" fillId="0" borderId="0" applyNumberFormat="0" applyFill="0" applyBorder="0" applyAlignment="0" applyProtection="0"/>
    <xf numFmtId="0" fontId="3" fillId="0" borderId="0"/>
    <xf numFmtId="0" fontId="188" fillId="0" borderId="44" applyNumberFormat="0" applyFill="0" applyBorder="0" applyAlignment="0" applyProtection="0"/>
    <xf numFmtId="0" fontId="189" fillId="0" borderId="44" applyNumberFormat="0" applyFill="0" applyBorder="0" applyAlignment="0" applyProtection="0"/>
    <xf numFmtId="0" fontId="190" fillId="0" borderId="44" applyNumberFormat="0" applyFill="0" applyBorder="0" applyAlignment="0" applyProtection="0"/>
    <xf numFmtId="1" fontId="191" fillId="0" borderId="0">
      <alignment horizontal="right"/>
    </xf>
    <xf numFmtId="279" fontId="14" fillId="0" borderId="0"/>
    <xf numFmtId="1" fontId="22" fillId="0" borderId="30" applyFill="0" applyProtection="0">
      <alignment horizontal="right"/>
    </xf>
    <xf numFmtId="0" fontId="192" fillId="0" borderId="0"/>
    <xf numFmtId="309" fontId="8" fillId="0" borderId="0"/>
    <xf numFmtId="0" fontId="8" fillId="0" borderId="0" applyNumberFormat="0" applyFill="0" applyBorder="0" applyAlignment="0" applyProtection="0"/>
    <xf numFmtId="0" fontId="8" fillId="0" borderId="0" applyNumberFormat="0" applyFont="0" applyFill="0" applyBorder="0" applyAlignment="0" applyProtection="0"/>
    <xf numFmtId="37" fontId="8" fillId="0" borderId="0" applyFont="0" applyFill="0" applyBorder="0" applyAlignment="0" applyProtection="0"/>
    <xf numFmtId="0" fontId="8" fillId="0" borderId="0" applyNumberFormat="0" applyFont="0" applyFill="0" applyBorder="0" applyAlignment="0" applyProtection="0"/>
    <xf numFmtId="165" fontId="8" fillId="0" borderId="0" applyFont="0" applyFill="0" applyBorder="0" applyAlignment="0" applyProtection="0"/>
    <xf numFmtId="0" fontId="8" fillId="0" borderId="0"/>
    <xf numFmtId="0" fontId="8" fillId="0" borderId="0"/>
    <xf numFmtId="0" fontId="8" fillId="0" borderId="0"/>
    <xf numFmtId="0" fontId="21" fillId="0" borderId="0" applyNumberFormat="0" applyFill="0" applyBorder="0" applyAlignment="0" applyProtection="0"/>
    <xf numFmtId="9" fontId="3" fillId="0" borderId="0" applyFont="0" applyFill="0" applyBorder="0" applyAlignment="0" applyProtection="0"/>
    <xf numFmtId="170" fontId="3" fillId="0" borderId="0" applyFont="0" applyFill="0" applyBorder="0" applyAlignment="0" applyProtection="0"/>
    <xf numFmtId="0" fontId="21" fillId="0" borderId="0" applyNumberFormat="0" applyFill="0" applyBorder="0" applyAlignment="0" applyProtection="0"/>
    <xf numFmtId="9" fontId="8" fillId="0" borderId="0" applyFont="0" applyFill="0" applyBorder="0" applyAlignment="0" applyProtection="0"/>
    <xf numFmtId="37" fontId="8" fillId="0" borderId="0" applyFont="0" applyFill="0" applyBorder="0" applyAlignment="0" applyProtection="0"/>
    <xf numFmtId="0" fontId="195" fillId="0" borderId="0"/>
    <xf numFmtId="0" fontId="117" fillId="39" borderId="0" applyNumberFormat="0" applyBorder="0" applyAlignment="0" applyProtection="0"/>
    <xf numFmtId="0" fontId="117" fillId="40" borderId="0" applyNumberFormat="0" applyBorder="0" applyAlignment="0" applyProtection="0"/>
    <xf numFmtId="0" fontId="117" fillId="41" borderId="0" applyNumberFormat="0" applyBorder="0" applyAlignment="0" applyProtection="0"/>
    <xf numFmtId="0" fontId="117" fillId="42" borderId="0" applyNumberFormat="0" applyBorder="0" applyAlignment="0" applyProtection="0"/>
    <xf numFmtId="0" fontId="117" fillId="43" borderId="0" applyNumberFormat="0" applyBorder="0" applyAlignment="0" applyProtection="0"/>
    <xf numFmtId="0" fontId="117" fillId="44" borderId="0" applyNumberFormat="0" applyBorder="0" applyAlignment="0" applyProtection="0"/>
    <xf numFmtId="0" fontId="117" fillId="45" borderId="0" applyNumberFormat="0" applyBorder="0" applyAlignment="0" applyProtection="0"/>
    <xf numFmtId="0" fontId="117" fillId="46" borderId="0" applyNumberFormat="0" applyBorder="0" applyAlignment="0" applyProtection="0"/>
    <xf numFmtId="0" fontId="117" fillId="47" borderId="0" applyNumberFormat="0" applyBorder="0" applyAlignment="0" applyProtection="0"/>
    <xf numFmtId="0" fontId="117" fillId="48" borderId="0" applyNumberFormat="0" applyBorder="0" applyAlignment="0" applyProtection="0"/>
    <xf numFmtId="0" fontId="117" fillId="49" borderId="0" applyNumberFormat="0" applyBorder="0" applyAlignment="0" applyProtection="0"/>
    <xf numFmtId="0" fontId="117" fillId="50" borderId="0" applyNumberFormat="0" applyBorder="0" applyAlignment="0" applyProtection="0"/>
    <xf numFmtId="0" fontId="199" fillId="51" borderId="0" applyNumberFormat="0" applyBorder="0" applyAlignment="0" applyProtection="0"/>
    <xf numFmtId="0" fontId="199" fillId="30" borderId="0" applyNumberFormat="0" applyBorder="0" applyAlignment="0" applyProtection="0"/>
    <xf numFmtId="0" fontId="199" fillId="52" borderId="0" applyNumberFormat="0" applyBorder="0" applyAlignment="0" applyProtection="0"/>
    <xf numFmtId="0" fontId="199" fillId="53" borderId="0" applyNumberFormat="0" applyBorder="0" applyAlignment="0" applyProtection="0"/>
    <xf numFmtId="0" fontId="199" fillId="54" borderId="0" applyNumberFormat="0" applyBorder="0" applyAlignment="0" applyProtection="0"/>
    <xf numFmtId="0" fontId="199" fillId="55" borderId="0" applyNumberFormat="0" applyBorder="0" applyAlignment="0" applyProtection="0"/>
    <xf numFmtId="0" fontId="199" fillId="56" borderId="0" applyNumberFormat="0" applyBorder="0" applyAlignment="0" applyProtection="0"/>
    <xf numFmtId="0" fontId="199" fillId="57" borderId="0" applyNumberFormat="0" applyBorder="0" applyAlignment="0" applyProtection="0"/>
    <xf numFmtId="0" fontId="199" fillId="58" borderId="0" applyNumberFormat="0" applyBorder="0" applyAlignment="0" applyProtection="0"/>
    <xf numFmtId="0" fontId="199" fillId="59" borderId="0" applyNumberFormat="0" applyBorder="0" applyAlignment="0" applyProtection="0"/>
    <xf numFmtId="0" fontId="199" fillId="60" borderId="0" applyNumberFormat="0" applyBorder="0" applyAlignment="0" applyProtection="0"/>
    <xf numFmtId="0" fontId="199" fillId="61" borderId="0" applyNumberFormat="0" applyBorder="0" applyAlignment="0" applyProtection="0"/>
    <xf numFmtId="0" fontId="200" fillId="62" borderId="0" applyNumberFormat="0" applyBorder="0" applyAlignment="0" applyProtection="0"/>
    <xf numFmtId="0" fontId="201" fillId="63" borderId="51" applyNumberFormat="0" applyAlignment="0" applyProtection="0"/>
    <xf numFmtId="0" fontId="202" fillId="64" borderId="43" applyNumberFormat="0" applyAlignment="0" applyProtection="0"/>
    <xf numFmtId="170" fontId="20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0" fontId="204" fillId="0" borderId="0" applyNumberFormat="0" applyFill="0" applyBorder="0" applyAlignment="0" applyProtection="0"/>
    <xf numFmtId="0" fontId="205" fillId="65" borderId="0" applyNumberFormat="0" applyBorder="0" applyAlignment="0" applyProtection="0"/>
    <xf numFmtId="0" fontId="196" fillId="0" borderId="41" applyNumberFormat="0" applyFill="0" applyAlignment="0" applyProtection="0"/>
    <xf numFmtId="0" fontId="197" fillId="0" borderId="55" applyNumberFormat="0" applyFill="0" applyAlignment="0" applyProtection="0"/>
    <xf numFmtId="0" fontId="198" fillId="0" borderId="50" applyNumberFormat="0" applyFill="0" applyAlignment="0" applyProtection="0"/>
    <xf numFmtId="0" fontId="198" fillId="0" borderId="0" applyNumberFormat="0" applyFill="0" applyBorder="0" applyAlignment="0" applyProtection="0"/>
    <xf numFmtId="0" fontId="206" fillId="66" borderId="51" applyNumberFormat="0" applyAlignment="0" applyProtection="0"/>
    <xf numFmtId="0" fontId="207" fillId="0" borderId="42" applyNumberFormat="0" applyFill="0" applyAlignment="0" applyProtection="0"/>
    <xf numFmtId="0" fontId="208" fillId="31" borderId="0" applyNumberFormat="0" applyBorder="0" applyAlignment="0" applyProtection="0"/>
    <xf numFmtId="0" fontId="209" fillId="67" borderId="0" applyNumberFormat="0" applyBorder="0" applyAlignment="0" applyProtection="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17" fillId="4" borderId="53" applyNumberFormat="0" applyFont="0" applyAlignment="0" applyProtection="0"/>
    <xf numFmtId="0" fontId="210" fillId="63" borderId="52" applyNumberFormat="0" applyAlignment="0" applyProtection="0"/>
    <xf numFmtId="40" fontId="211" fillId="5" borderId="0">
      <alignment horizontal="right"/>
    </xf>
    <xf numFmtId="0" fontId="212" fillId="5" borderId="0">
      <alignment horizontal="right"/>
    </xf>
    <xf numFmtId="0" fontId="213" fillId="5" borderId="17"/>
    <xf numFmtId="0" fontId="213" fillId="0" borderId="0" applyBorder="0">
      <alignment horizontal="centerContinuous"/>
    </xf>
    <xf numFmtId="0" fontId="214" fillId="0" borderId="0" applyBorder="0">
      <alignment horizontal="centerContinuous"/>
    </xf>
    <xf numFmtId="0" fontId="215" fillId="0" borderId="0" applyNumberFormat="0" applyFill="0" applyBorder="0" applyAlignment="0" applyProtection="0"/>
    <xf numFmtId="0" fontId="133" fillId="0" borderId="54" applyNumberFormat="0" applyFill="0" applyAlignment="0" applyProtection="0"/>
    <xf numFmtId="0" fontId="132" fillId="0" borderId="0" applyNumberFormat="0" applyFill="0" applyBorder="0" applyAlignment="0" applyProtection="0"/>
    <xf numFmtId="170" fontId="117" fillId="0" borderId="0" applyFont="0" applyFill="0" applyBorder="0" applyAlignment="0" applyProtection="0"/>
    <xf numFmtId="169" fontId="117" fillId="0" borderId="0" applyFont="0" applyFill="0" applyBorder="0" applyAlignment="0" applyProtection="0"/>
    <xf numFmtId="14" fontId="29" fillId="0" borderId="30" applyFont="0">
      <alignment horizontal="right"/>
    </xf>
    <xf numFmtId="9" fontId="117" fillId="0" borderId="0" applyFont="0" applyFill="0" applyBorder="0" applyAlignment="0" applyProtection="0"/>
    <xf numFmtId="178" fontId="27" fillId="0" borderId="33" applyBorder="0"/>
    <xf numFmtId="267" fontId="8" fillId="4" borderId="0" applyFont="0" applyBorder="0" applyAlignment="0">
      <protection locked="0"/>
    </xf>
    <xf numFmtId="267" fontId="8" fillId="4" borderId="0" applyFont="0" applyBorder="0" applyAlignment="0">
      <protection locked="0"/>
    </xf>
    <xf numFmtId="178" fontId="27" fillId="0" borderId="33" applyBorder="0"/>
    <xf numFmtId="9" fontId="117" fillId="0" borderId="0" applyFont="0" applyFill="0" applyBorder="0" applyAlignment="0" applyProtection="0"/>
    <xf numFmtId="14" fontId="29" fillId="0" borderId="30" applyFont="0">
      <alignment horizontal="right"/>
    </xf>
    <xf numFmtId="169" fontId="117" fillId="0" borderId="0" applyFont="0" applyFill="0" applyBorder="0" applyAlignment="0" applyProtection="0"/>
    <xf numFmtId="170" fontId="117" fillId="0" borderId="0" applyFont="0" applyFill="0" applyBorder="0" applyAlignment="0" applyProtection="0"/>
    <xf numFmtId="0" fontId="3" fillId="0" borderId="0"/>
    <xf numFmtId="0" fontId="8" fillId="0" borderId="0" applyNumberFormat="0" applyFill="0" applyBorder="0" applyAlignment="0" applyProtection="0"/>
    <xf numFmtId="170" fontId="2" fillId="0" borderId="0" applyFont="0" applyFill="0" applyBorder="0" applyAlignment="0" applyProtection="0"/>
    <xf numFmtId="204" fontId="14" fillId="0" borderId="0" applyNumberFormat="0" applyFont="0" applyAlignment="0" applyProtection="0"/>
    <xf numFmtId="169" fontId="117" fillId="0" borderId="0" applyFont="0" applyFill="0" applyBorder="0" applyAlignment="0" applyProtection="0"/>
    <xf numFmtId="9" fontId="117" fillId="0" borderId="0" applyFont="0" applyFill="0" applyBorder="0" applyAlignment="0" applyProtection="0"/>
    <xf numFmtId="0" fontId="193" fillId="0" borderId="0" applyNumberFormat="0" applyFill="0" applyBorder="0" applyAlignment="0" applyProtection="0"/>
    <xf numFmtId="0" fontId="2" fillId="0" borderId="0"/>
    <xf numFmtId="38" fontId="14" fillId="0" borderId="0" applyFont="0" applyFill="0" applyBorder="0" applyAlignment="0" applyProtection="0"/>
    <xf numFmtId="178" fontId="27" fillId="0" borderId="33" applyBorder="0"/>
    <xf numFmtId="165" fontId="14" fillId="0" borderId="0" applyFont="0" applyFill="0" applyBorder="0" applyAlignment="0" applyProtection="0"/>
    <xf numFmtId="14" fontId="29" fillId="0" borderId="30" applyFont="0">
      <alignment horizontal="right"/>
    </xf>
    <xf numFmtId="0" fontId="117" fillId="68" borderId="0" applyNumberFormat="0" applyBorder="0" applyAlignment="0" applyProtection="0"/>
    <xf numFmtId="0" fontId="117" fillId="69" borderId="0" applyNumberFormat="0" applyBorder="0" applyAlignment="0" applyProtection="0"/>
    <xf numFmtId="0" fontId="117" fillId="70" borderId="0" applyNumberFormat="0" applyBorder="0" applyAlignment="0" applyProtection="0"/>
    <xf numFmtId="0" fontId="117" fillId="71" borderId="0" applyNumberFormat="0" applyBorder="0" applyAlignment="0" applyProtection="0"/>
    <xf numFmtId="0" fontId="117" fillId="72" borderId="0" applyNumberFormat="0" applyBorder="0" applyAlignment="0" applyProtection="0"/>
    <xf numFmtId="0" fontId="117" fillId="73" borderId="0" applyNumberFormat="0" applyBorder="0" applyAlignment="0" applyProtection="0"/>
    <xf numFmtId="0" fontId="117" fillId="74" borderId="0" applyNumberFormat="0" applyBorder="0" applyAlignment="0" applyProtection="0"/>
    <xf numFmtId="0" fontId="117" fillId="75" borderId="0" applyNumberFormat="0" applyBorder="0" applyAlignment="0" applyProtection="0"/>
    <xf numFmtId="0" fontId="117" fillId="76" borderId="0" applyNumberFormat="0" applyBorder="0" applyAlignment="0" applyProtection="0"/>
    <xf numFmtId="0" fontId="117" fillId="71" borderId="0" applyNumberFormat="0" applyBorder="0" applyAlignment="0" applyProtection="0"/>
    <xf numFmtId="0" fontId="117" fillId="74" borderId="0" applyNumberFormat="0" applyBorder="0" applyAlignment="0" applyProtection="0"/>
    <xf numFmtId="0" fontId="117" fillId="77" borderId="0" applyNumberFormat="0" applyBorder="0" applyAlignment="0" applyProtection="0"/>
    <xf numFmtId="0" fontId="199" fillId="78" borderId="0" applyNumberFormat="0" applyBorder="0" applyAlignment="0" applyProtection="0"/>
    <xf numFmtId="0" fontId="199" fillId="75" borderId="0" applyNumberFormat="0" applyBorder="0" applyAlignment="0" applyProtection="0"/>
    <xf numFmtId="0" fontId="199" fillId="76" borderId="0" applyNumberFormat="0" applyBorder="0" applyAlignment="0" applyProtection="0"/>
    <xf numFmtId="0" fontId="199" fillId="79" borderId="0" applyNumberFormat="0" applyBorder="0" applyAlignment="0" applyProtection="0"/>
    <xf numFmtId="0" fontId="199" fillId="80" borderId="0" applyNumberFormat="0" applyBorder="0" applyAlignment="0" applyProtection="0"/>
    <xf numFmtId="0" fontId="199" fillId="81" borderId="0" applyNumberFormat="0" applyBorder="0" applyAlignment="0" applyProtection="0"/>
    <xf numFmtId="0" fontId="199" fillId="82" borderId="0" applyNumberFormat="0" applyBorder="0" applyAlignment="0" applyProtection="0"/>
    <xf numFmtId="0" fontId="199" fillId="83" borderId="0" applyNumberFormat="0" applyBorder="0" applyAlignment="0" applyProtection="0"/>
    <xf numFmtId="0" fontId="199" fillId="84" borderId="0" applyNumberFormat="0" applyBorder="0" applyAlignment="0" applyProtection="0"/>
    <xf numFmtId="0" fontId="199" fillId="79" borderId="0" applyNumberFormat="0" applyBorder="0" applyAlignment="0" applyProtection="0"/>
    <xf numFmtId="0" fontId="199" fillId="80" borderId="0" applyNumberFormat="0" applyBorder="0" applyAlignment="0" applyProtection="0"/>
    <xf numFmtId="0" fontId="199" fillId="85" borderId="0" applyNumberFormat="0" applyBorder="0" applyAlignment="0" applyProtection="0"/>
    <xf numFmtId="170" fontId="8" fillId="0" borderId="0" applyFont="0" applyFill="0" applyBorder="0" applyAlignment="0" applyProtection="0"/>
    <xf numFmtId="284" fontId="140" fillId="0" borderId="7">
      <alignment horizontal="centerContinuous"/>
    </xf>
    <xf numFmtId="169" fontId="8" fillId="0" borderId="0" applyFont="0" applyFill="0" applyBorder="0" applyAlignment="0" applyProtection="0"/>
    <xf numFmtId="278" fontId="8" fillId="0" borderId="0">
      <alignment horizontal="left" wrapText="1"/>
    </xf>
    <xf numFmtId="9" fontId="8" fillId="0" borderId="0" applyFont="0" applyFill="0" applyBorder="0" applyAlignment="0" applyProtection="0"/>
    <xf numFmtId="170" fontId="8" fillId="0" borderId="0" applyFont="0" applyFill="0" applyBorder="0" applyAlignment="0" applyProtection="0"/>
    <xf numFmtId="0" fontId="145" fillId="0" borderId="13">
      <protection hidden="1"/>
    </xf>
    <xf numFmtId="0" fontId="216" fillId="69" borderId="0" applyNumberFormat="0" applyBorder="0" applyAlignment="0" applyProtection="0"/>
    <xf numFmtId="9" fontId="8" fillId="0" borderId="0" applyFont="0" applyFill="0" applyBorder="0" applyAlignment="0" applyProtection="0"/>
    <xf numFmtId="178" fontId="27" fillId="0" borderId="33" applyBorder="0"/>
    <xf numFmtId="38" fontId="14" fillId="0" borderId="0" applyFont="0" applyFill="0" applyBorder="0" applyAlignment="0" applyProtection="0"/>
    <xf numFmtId="170" fontId="8" fillId="0" borderId="0" applyFont="0" applyFill="0" applyBorder="0" applyAlignment="0" applyProtection="0"/>
    <xf numFmtId="0" fontId="217" fillId="3" borderId="56" applyNumberFormat="0" applyAlignment="0" applyProtection="0"/>
    <xf numFmtId="169" fontId="8" fillId="0" borderId="0" applyFont="0" applyFill="0" applyBorder="0" applyAlignment="0" applyProtection="0"/>
    <xf numFmtId="9" fontId="8" fillId="0" borderId="0" applyFont="0" applyFill="0" applyBorder="0" applyAlignment="0" applyProtection="0"/>
    <xf numFmtId="0" fontId="202" fillId="86" borderId="57" applyNumberFormat="0" applyAlignment="0" applyProtection="0"/>
    <xf numFmtId="0" fontId="2" fillId="0" borderId="0"/>
    <xf numFmtId="178" fontId="27" fillId="0" borderId="33" applyBorder="0"/>
    <xf numFmtId="170" fontId="8" fillId="0" borderId="0" applyFont="0" applyFill="0" applyBorder="0" applyAlignment="0" applyProtection="0"/>
    <xf numFmtId="14" fontId="29" fillId="0" borderId="30" applyFont="0">
      <alignment horizontal="right"/>
    </xf>
    <xf numFmtId="9" fontId="117" fillId="0" borderId="0" applyFont="0" applyFill="0" applyBorder="0" applyAlignment="0" applyProtection="0"/>
    <xf numFmtId="170" fontId="117" fillId="0" borderId="0" applyFont="0" applyFill="0" applyBorder="0" applyAlignment="0" applyProtection="0"/>
    <xf numFmtId="310" fontId="8" fillId="0" borderId="0" applyFont="0" applyFill="0" applyBorder="0" applyAlignment="0" applyProtection="0">
      <alignment horizontal="right"/>
    </xf>
    <xf numFmtId="169" fontId="8" fillId="0" borderId="0" applyFont="0" applyFill="0" applyBorder="0" applyAlignment="0" applyProtection="0"/>
    <xf numFmtId="311" fontId="14" fillId="0" borderId="0" applyFont="0" applyFill="0" applyBorder="0" applyAlignment="0" applyProtection="0">
      <alignment horizontal="right"/>
    </xf>
    <xf numFmtId="14" fontId="29" fillId="0" borderId="30" applyFont="0">
      <alignment horizontal="right"/>
    </xf>
    <xf numFmtId="14" fontId="29" fillId="0" borderId="30" applyFont="0">
      <alignment horizontal="right"/>
    </xf>
    <xf numFmtId="165" fontId="14" fillId="0" borderId="0" applyFont="0" applyFill="0" applyBorder="0" applyAlignment="0" applyProtection="0"/>
    <xf numFmtId="178" fontId="27" fillId="0" borderId="33" applyBorder="0"/>
    <xf numFmtId="14" fontId="29" fillId="0" borderId="30" applyFont="0">
      <alignment horizontal="right"/>
    </xf>
    <xf numFmtId="267" fontId="8" fillId="4" borderId="0" applyFont="0" applyBorder="0" applyAlignment="0">
      <protection locked="0"/>
    </xf>
    <xf numFmtId="267" fontId="8" fillId="4" borderId="0" applyFont="0" applyBorder="0" applyAlignment="0">
      <protection locked="0"/>
    </xf>
    <xf numFmtId="176" fontId="119" fillId="0" borderId="9" applyNumberFormat="0" applyAlignment="0" applyProtection="0">
      <alignment vertical="top"/>
    </xf>
    <xf numFmtId="267" fontId="8" fillId="4" borderId="0" applyFont="0" applyBorder="0" applyAlignment="0">
      <protection locked="0"/>
    </xf>
    <xf numFmtId="3" fontId="222" fillId="11" borderId="4"/>
    <xf numFmtId="3" fontId="222" fillId="11" borderId="4"/>
    <xf numFmtId="3" fontId="222" fillId="11" borderId="4"/>
    <xf numFmtId="0" fontId="220" fillId="0" borderId="7"/>
    <xf numFmtId="0" fontId="221" fillId="0" borderId="0"/>
    <xf numFmtId="0" fontId="220" fillId="0" borderId="7"/>
    <xf numFmtId="0" fontId="221" fillId="0" borderId="0"/>
    <xf numFmtId="0" fontId="220" fillId="0" borderId="7"/>
    <xf numFmtId="0" fontId="221" fillId="0" borderId="0"/>
    <xf numFmtId="0" fontId="221" fillId="0" borderId="0"/>
    <xf numFmtId="0" fontId="220" fillId="0" borderId="7"/>
    <xf numFmtId="0" fontId="221" fillId="0" borderId="0"/>
    <xf numFmtId="0" fontId="220" fillId="0" borderId="7"/>
    <xf numFmtId="0" fontId="221" fillId="0" borderId="0"/>
    <xf numFmtId="231" fontId="119" fillId="0" borderId="9" applyNumberFormat="0" applyAlignment="0" applyProtection="0">
      <alignment vertical="top"/>
    </xf>
    <xf numFmtId="0" fontId="220" fillId="0" borderId="7"/>
    <xf numFmtId="267" fontId="8" fillId="4" borderId="0" applyFont="0" applyBorder="0" applyAlignment="0">
      <protection locked="0"/>
    </xf>
    <xf numFmtId="0" fontId="218" fillId="0" borderId="0" applyNumberFormat="0" applyFill="0" applyBorder="0" applyAlignment="0" applyProtection="0"/>
    <xf numFmtId="3" fontId="222" fillId="11" borderId="4"/>
    <xf numFmtId="267" fontId="8" fillId="4" borderId="0" applyFont="0" applyBorder="0" applyAlignment="0">
      <protection locked="0"/>
    </xf>
    <xf numFmtId="3" fontId="222" fillId="11" borderId="4"/>
    <xf numFmtId="3" fontId="222" fillId="11" borderId="4"/>
    <xf numFmtId="0" fontId="219" fillId="70" borderId="0" applyNumberFormat="0" applyBorder="0" applyAlignment="0" applyProtection="0"/>
    <xf numFmtId="267" fontId="8" fillId="4" borderId="0" applyFont="0" applyBorder="0" applyAlignment="0">
      <protection locked="0"/>
    </xf>
    <xf numFmtId="38" fontId="26" fillId="13" borderId="0" applyNumberFormat="0" applyBorder="0" applyAlignment="0" applyProtection="0"/>
    <xf numFmtId="267" fontId="8" fillId="4" borderId="0" applyFont="0" applyBorder="0" applyAlignment="0">
      <protection locked="0"/>
    </xf>
    <xf numFmtId="267" fontId="8" fillId="4" borderId="0" applyFont="0" applyBorder="0" applyAlignment="0">
      <protection locked="0"/>
    </xf>
    <xf numFmtId="267" fontId="8" fillId="4" borderId="0" applyFont="0" applyBorder="0" applyAlignment="0">
      <protection locked="0"/>
    </xf>
    <xf numFmtId="267" fontId="8" fillId="4" borderId="0" applyFont="0" applyBorder="0" applyAlignment="0">
      <protection locked="0"/>
    </xf>
    <xf numFmtId="267" fontId="8" fillId="4" borderId="0" applyFont="0" applyBorder="0" applyAlignment="0">
      <protection locked="0"/>
    </xf>
    <xf numFmtId="0" fontId="220" fillId="0" borderId="7"/>
    <xf numFmtId="0" fontId="221" fillId="0" borderId="0"/>
    <xf numFmtId="0" fontId="22" fillId="0" borderId="0"/>
    <xf numFmtId="0" fontId="107" fillId="0" borderId="0"/>
    <xf numFmtId="267" fontId="8" fillId="4" borderId="0" applyFont="0" applyBorder="0" applyAlignment="0">
      <protection locked="0"/>
    </xf>
    <xf numFmtId="267" fontId="8" fillId="4" borderId="0" applyFont="0" applyBorder="0" applyAlignment="0">
      <protection locked="0"/>
    </xf>
    <xf numFmtId="3" fontId="222" fillId="11" borderId="4"/>
    <xf numFmtId="267" fontId="8" fillId="4" borderId="0" applyFont="0" applyBorder="0" applyAlignment="0">
      <protection locked="0"/>
    </xf>
    <xf numFmtId="267" fontId="8" fillId="4" borderId="0" applyFont="0" applyBorder="0" applyAlignment="0">
      <protection locked="0"/>
    </xf>
    <xf numFmtId="267" fontId="8" fillId="4" borderId="0" applyFont="0" applyBorder="0" applyAlignment="0">
      <protection locked="0"/>
    </xf>
    <xf numFmtId="0" fontId="220" fillId="0" borderId="7"/>
    <xf numFmtId="0" fontId="221" fillId="0" borderId="0"/>
    <xf numFmtId="0" fontId="226" fillId="73" borderId="56" applyNumberFormat="0" applyAlignment="0" applyProtection="0"/>
    <xf numFmtId="0" fontId="223" fillId="0" borderId="58" applyNumberFormat="0" applyFill="0" applyAlignment="0" applyProtection="0"/>
    <xf numFmtId="14" fontId="29" fillId="0" borderId="30" applyFont="0">
      <alignment horizontal="right"/>
    </xf>
    <xf numFmtId="169" fontId="117" fillId="0" borderId="0" applyFont="0" applyFill="0" applyBorder="0" applyAlignment="0" applyProtection="0"/>
    <xf numFmtId="0" fontId="193" fillId="0" borderId="0" applyNumberFormat="0" applyFill="0" applyBorder="0" applyAlignment="0" applyProtection="0"/>
    <xf numFmtId="0" fontId="224" fillId="87" borderId="0" applyNumberFormat="0" applyBorder="0" applyAlignment="0" applyProtection="0"/>
    <xf numFmtId="9" fontId="8" fillId="0" borderId="0"/>
    <xf numFmtId="9" fontId="8" fillId="0" borderId="0" applyFont="0" applyFill="0" applyBorder="0" applyAlignment="0" applyProtection="0"/>
    <xf numFmtId="176" fontId="9" fillId="0" borderId="0"/>
    <xf numFmtId="2" fontId="9" fillId="0" borderId="0"/>
    <xf numFmtId="283" fontId="8" fillId="0" borderId="0"/>
    <xf numFmtId="169" fontId="8" fillId="0" borderId="0" applyFont="0" applyFill="0" applyBorder="0" applyAlignment="0" applyProtection="0"/>
    <xf numFmtId="14" fontId="29" fillId="0" borderId="30" applyFont="0">
      <alignment horizontal="right"/>
    </xf>
    <xf numFmtId="287" fontId="14" fillId="0" borderId="36" applyBorder="0"/>
    <xf numFmtId="9" fontId="8" fillId="0" borderId="0" applyFont="0" applyFill="0" applyBorder="0" applyAlignment="0" applyProtection="0"/>
    <xf numFmtId="0" fontId="14" fillId="0" borderId="0" applyNumberFormat="0" applyFill="0" applyBorder="0" applyAlignment="0" applyProtection="0"/>
    <xf numFmtId="291" fontId="8" fillId="0" borderId="0"/>
    <xf numFmtId="296" fontId="8" fillId="0" borderId="0" applyFont="0" applyFill="0" applyBorder="0" applyAlignment="0" applyProtection="0"/>
    <xf numFmtId="169" fontId="8" fillId="0" borderId="0" applyFont="0" applyFill="0" applyBorder="0" applyAlignment="0" applyProtection="0"/>
    <xf numFmtId="0" fontId="2" fillId="0" borderId="0"/>
    <xf numFmtId="170" fontId="8" fillId="0" borderId="0" applyFont="0" applyFill="0" applyBorder="0" applyAlignment="0" applyProtection="0"/>
    <xf numFmtId="0" fontId="8" fillId="88" borderId="59" applyNumberFormat="0" applyFont="0" applyAlignment="0" applyProtection="0"/>
    <xf numFmtId="178" fontId="27" fillId="0" borderId="33" applyBorder="0"/>
    <xf numFmtId="0" fontId="225" fillId="3" borderId="60" applyNumberFormat="0" applyAlignment="0" applyProtection="0"/>
    <xf numFmtId="9" fontId="14" fillId="0" borderId="0" applyFont="0" applyFill="0" applyBorder="0" applyAlignment="0" applyProtection="0"/>
    <xf numFmtId="170" fontId="117" fillId="0" borderId="0" applyFont="0" applyFill="0" applyBorder="0" applyAlignment="0" applyProtection="0"/>
    <xf numFmtId="9" fontId="8" fillId="0" borderId="0" applyFont="0" applyFill="0" applyBorder="0" applyAlignment="0" applyProtection="0"/>
    <xf numFmtId="170" fontId="8" fillId="0" borderId="0" applyFont="0" applyFill="0" applyBorder="0" applyAlignment="0" applyProtection="0"/>
    <xf numFmtId="10" fontId="8" fillId="0" borderId="0" applyFont="0" applyFill="0" applyBorder="0" applyAlignment="0" applyProtection="0"/>
    <xf numFmtId="9" fontId="14" fillId="0" borderId="0" applyFont="0" applyFill="0" applyBorder="0" applyAlignment="0" applyProtection="0"/>
    <xf numFmtId="0" fontId="2" fillId="0" borderId="0"/>
    <xf numFmtId="178" fontId="27" fillId="0" borderId="33" applyBorder="0"/>
    <xf numFmtId="0" fontId="8" fillId="0" borderId="0" applyNumberFormat="0" applyFill="0" applyBorder="0" applyAlignment="0" applyProtection="0"/>
    <xf numFmtId="169" fontId="8" fillId="0" borderId="0" applyFont="0" applyFill="0" applyBorder="0" applyAlignment="0" applyProtection="0"/>
    <xf numFmtId="0" fontId="180" fillId="0" borderId="7" applyNumberFormat="0" applyFill="0" applyProtection="0"/>
    <xf numFmtId="0" fontId="50" fillId="0" borderId="0"/>
    <xf numFmtId="0" fontId="2" fillId="0" borderId="0"/>
    <xf numFmtId="231" fontId="64" fillId="0" borderId="0" applyBorder="0"/>
    <xf numFmtId="170" fontId="117" fillId="0" borderId="0" applyFont="0" applyFill="0" applyBorder="0" applyAlignment="0" applyProtection="0"/>
    <xf numFmtId="0" fontId="8" fillId="0" borderId="0" applyNumberFormat="0" applyFill="0" applyBorder="0" applyAlignment="0" applyProtection="0"/>
    <xf numFmtId="0" fontId="133" fillId="0" borderId="61" applyNumberFormat="0" applyFill="0" applyAlignment="0" applyProtection="0"/>
    <xf numFmtId="178" fontId="27" fillId="0" borderId="33" applyBorder="0"/>
    <xf numFmtId="14" fontId="29" fillId="0" borderId="30" applyFont="0">
      <alignment horizontal="right"/>
    </xf>
    <xf numFmtId="169" fontId="117" fillId="0" borderId="0" applyFont="0" applyFill="0" applyBorder="0" applyAlignment="0" applyProtection="0"/>
    <xf numFmtId="0" fontId="8" fillId="0" borderId="0" applyNumberFormat="0" applyFill="0" applyBorder="0" applyAlignment="0" applyProtection="0"/>
    <xf numFmtId="178" fontId="27" fillId="0" borderId="33" applyBorder="0"/>
    <xf numFmtId="14" fontId="29" fillId="0" borderId="30" applyFont="0">
      <alignment horizontal="right"/>
    </xf>
    <xf numFmtId="283" fontId="9" fillId="0" borderId="0"/>
    <xf numFmtId="169" fontId="8" fillId="0" borderId="0" applyFont="0" applyFill="0" applyBorder="0" applyAlignment="0" applyProtection="0"/>
    <xf numFmtId="283" fontId="8" fillId="0" borderId="0"/>
    <xf numFmtId="0" fontId="8" fillId="0" borderId="0" applyNumberFormat="0" applyFill="0" applyBorder="0" applyAlignment="0" applyProtection="0"/>
    <xf numFmtId="169" fontId="117" fillId="0" borderId="0" applyFont="0" applyFill="0" applyBorder="0" applyAlignment="0" applyProtection="0"/>
    <xf numFmtId="0" fontId="2" fillId="0" borderId="0"/>
    <xf numFmtId="9" fontId="117" fillId="0" borderId="0" applyFont="0" applyFill="0" applyBorder="0" applyAlignment="0" applyProtection="0"/>
    <xf numFmtId="165" fontId="8" fillId="0" borderId="0" applyFont="0" applyFill="0" applyBorder="0" applyAlignment="0" applyProtection="0"/>
    <xf numFmtId="9" fontId="2" fillId="0" borderId="0" applyFont="0" applyFill="0" applyBorder="0" applyAlignment="0" applyProtection="0"/>
    <xf numFmtId="170" fontId="8" fillId="0" borderId="0" applyFont="0" applyFill="0" applyBorder="0" applyAlignment="0" applyProtection="0"/>
    <xf numFmtId="9" fontId="8" fillId="0" borderId="0" applyFont="0" applyFill="0" applyBorder="0" applyAlignment="0" applyProtection="0"/>
    <xf numFmtId="178" fontId="27" fillId="0" borderId="33" applyBorder="0"/>
    <xf numFmtId="0" fontId="2" fillId="0" borderId="0"/>
    <xf numFmtId="3" fontId="222" fillId="11" borderId="4"/>
    <xf numFmtId="9" fontId="117" fillId="0" borderId="0" applyFont="0" applyFill="0" applyBorder="0" applyAlignment="0" applyProtection="0"/>
    <xf numFmtId="169" fontId="8"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0" fontId="8" fillId="0" borderId="0" applyNumberFormat="0" applyFill="0" applyBorder="0" applyAlignment="0" applyProtection="0"/>
    <xf numFmtId="283" fontId="8" fillId="0" borderId="0"/>
    <xf numFmtId="178" fontId="27" fillId="0" borderId="33" applyBorder="0"/>
    <xf numFmtId="290" fontId="8" fillId="0" borderId="0"/>
    <xf numFmtId="14" fontId="29" fillId="0" borderId="30" applyFont="0">
      <alignment horizontal="right"/>
    </xf>
    <xf numFmtId="38" fontId="14" fillId="0" borderId="0" applyFont="0" applyFill="0" applyBorder="0" applyAlignment="0" applyProtection="0"/>
    <xf numFmtId="170" fontId="117" fillId="0" borderId="0" applyFont="0" applyFill="0" applyBorder="0" applyAlignment="0" applyProtection="0"/>
    <xf numFmtId="0" fontId="8" fillId="0" borderId="0" applyNumberFormat="0" applyFill="0" applyBorder="0" applyAlignment="0" applyProtection="0"/>
    <xf numFmtId="178" fontId="27" fillId="0" borderId="33" applyBorder="0"/>
    <xf numFmtId="38" fontId="14" fillId="0" borderId="0" applyFont="0" applyFill="0" applyBorder="0" applyAlignment="0" applyProtection="0"/>
    <xf numFmtId="14" fontId="29" fillId="0" borderId="30" applyFont="0">
      <alignment horizontal="right"/>
    </xf>
    <xf numFmtId="0" fontId="9" fillId="0" borderId="0"/>
    <xf numFmtId="0" fontId="8" fillId="0" borderId="0" applyNumberFormat="0" applyFill="0" applyBorder="0" applyAlignment="0" applyProtection="0"/>
    <xf numFmtId="169" fontId="8" fillId="0" borderId="0" applyFont="0" applyFill="0" applyBorder="0" applyAlignment="0" applyProtection="0"/>
    <xf numFmtId="178" fontId="27" fillId="0" borderId="33" applyBorder="0"/>
    <xf numFmtId="14" fontId="29" fillId="0" borderId="30" applyFont="0">
      <alignment horizontal="right"/>
    </xf>
    <xf numFmtId="14" fontId="29" fillId="0" borderId="30" applyFont="0">
      <alignment horizontal="right"/>
    </xf>
    <xf numFmtId="169" fontId="8" fillId="0" borderId="0" applyFont="0" applyFill="0" applyBorder="0" applyAlignment="0" applyProtection="0"/>
    <xf numFmtId="169" fontId="8" fillId="0" borderId="0" applyFont="0" applyFill="0" applyBorder="0" applyAlignment="0" applyProtection="0"/>
    <xf numFmtId="0" fontId="193" fillId="0" borderId="0" applyNumberFormat="0" applyFill="0" applyBorder="0" applyAlignment="0" applyProtection="0"/>
    <xf numFmtId="0" fontId="193" fillId="0" borderId="0" applyNumberFormat="0" applyFill="0" applyBorder="0" applyAlignment="0" applyProtection="0"/>
    <xf numFmtId="169" fontId="117" fillId="0" borderId="0" applyFont="0" applyFill="0" applyBorder="0" applyAlignment="0" applyProtection="0"/>
    <xf numFmtId="169" fontId="8" fillId="0" borderId="0" applyFont="0" applyFill="0" applyBorder="0" applyAlignment="0" applyProtection="0"/>
    <xf numFmtId="14" fontId="29" fillId="0" borderId="30" applyFont="0">
      <alignment horizontal="right"/>
    </xf>
    <xf numFmtId="9" fontId="117" fillId="0" borderId="0" applyFont="0" applyFill="0" applyBorder="0" applyAlignment="0" applyProtection="0"/>
    <xf numFmtId="165" fontId="14" fillId="0" borderId="0" applyFont="0" applyFill="0" applyBorder="0" applyAlignment="0" applyProtection="0"/>
    <xf numFmtId="169" fontId="117" fillId="0" borderId="0" applyFont="0" applyFill="0" applyBorder="0" applyAlignment="0" applyProtection="0"/>
    <xf numFmtId="311" fontId="14" fillId="0" borderId="0" applyFont="0" applyFill="0" applyBorder="0" applyAlignment="0" applyProtection="0">
      <alignment horizontal="right"/>
    </xf>
    <xf numFmtId="14" fontId="29" fillId="0" borderId="30" applyFont="0">
      <alignment horizontal="right"/>
    </xf>
    <xf numFmtId="170" fontId="8" fillId="0" borderId="0" applyFont="0" applyFill="0" applyBorder="0" applyAlignment="0" applyProtection="0"/>
    <xf numFmtId="3" fontId="222" fillId="11" borderId="4"/>
    <xf numFmtId="0" fontId="14" fillId="0" borderId="0"/>
    <xf numFmtId="310" fontId="8" fillId="0" borderId="0" applyFont="0" applyFill="0" applyBorder="0" applyAlignment="0" applyProtection="0">
      <alignment horizontal="right"/>
    </xf>
    <xf numFmtId="283" fontId="8" fillId="0" borderId="0"/>
    <xf numFmtId="170" fontId="117" fillId="0" borderId="0" applyFont="0" applyFill="0" applyBorder="0" applyAlignment="0" applyProtection="0"/>
    <xf numFmtId="14" fontId="29" fillId="0" borderId="30" applyFont="0">
      <alignment horizontal="right"/>
    </xf>
    <xf numFmtId="294" fontId="8" fillId="0" borderId="0" applyFont="0" applyFill="0" applyBorder="0" applyAlignment="0" applyProtection="0"/>
    <xf numFmtId="283" fontId="8" fillId="0" borderId="0"/>
    <xf numFmtId="170" fontId="2" fillId="0" borderId="0" applyFont="0" applyFill="0" applyBorder="0" applyAlignment="0" applyProtection="0"/>
    <xf numFmtId="178" fontId="27" fillId="0" borderId="33" applyBorder="0"/>
    <xf numFmtId="283" fontId="9" fillId="0" borderId="0"/>
    <xf numFmtId="9" fontId="117" fillId="0" borderId="0" applyFont="0" applyFill="0" applyBorder="0" applyAlignment="0" applyProtection="0"/>
    <xf numFmtId="170"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267" fontId="8" fillId="4" borderId="0" applyFont="0" applyBorder="0" applyAlignment="0">
      <protection locked="0"/>
    </xf>
    <xf numFmtId="3" fontId="222" fillId="11" borderId="4"/>
    <xf numFmtId="178" fontId="27" fillId="0" borderId="33" applyBorder="0"/>
    <xf numFmtId="0" fontId="2" fillId="0" borderId="0"/>
    <xf numFmtId="0" fontId="2" fillId="0" borderId="0"/>
    <xf numFmtId="0" fontId="2" fillId="0" borderId="0"/>
    <xf numFmtId="0" fontId="2" fillId="0" borderId="0"/>
    <xf numFmtId="0" fontId="2" fillId="0" borderId="0"/>
    <xf numFmtId="0" fontId="2" fillId="0" borderId="0"/>
    <xf numFmtId="169" fontId="8" fillId="0" borderId="0" applyFont="0" applyFill="0" applyBorder="0" applyAlignment="0" applyProtection="0"/>
    <xf numFmtId="178" fontId="27" fillId="0" borderId="33" applyBorder="0"/>
    <xf numFmtId="14" fontId="29" fillId="0" borderId="30" applyFont="0">
      <alignment horizontal="right"/>
    </xf>
    <xf numFmtId="165" fontId="14" fillId="0" borderId="0" applyFont="0" applyFill="0" applyBorder="0" applyAlignment="0" applyProtection="0"/>
    <xf numFmtId="9" fontId="14" fillId="0" borderId="0" applyFont="0" applyFill="0" applyBorder="0" applyAlignment="0" applyProtection="0"/>
    <xf numFmtId="178" fontId="27" fillId="0" borderId="33" applyBorder="0"/>
    <xf numFmtId="278" fontId="8" fillId="0" borderId="0">
      <alignment horizontal="left" wrapText="1"/>
    </xf>
    <xf numFmtId="10" fontId="9" fillId="0" borderId="0"/>
    <xf numFmtId="37" fontId="14" fillId="0" borderId="0"/>
    <xf numFmtId="0" fontId="50" fillId="34" borderId="46" applyNumberFormat="0" applyFont="0" applyAlignment="0">
      <protection locked="0"/>
    </xf>
    <xf numFmtId="260" fontId="14" fillId="0" borderId="0" applyFont="0" applyFill="0" applyBorder="0" applyAlignment="0" applyProtection="0"/>
    <xf numFmtId="299" fontId="8" fillId="0" borderId="0" applyFont="0" applyFill="0" applyBorder="0" applyAlignment="0" applyProtection="0"/>
    <xf numFmtId="204" fontId="14" fillId="0" borderId="0" applyFont="0" applyFill="0" applyBorder="0" applyAlignment="0" applyProtection="0">
      <alignment horizontal="right"/>
    </xf>
    <xf numFmtId="3" fontId="222" fillId="11" borderId="4"/>
    <xf numFmtId="302" fontId="14" fillId="0" borderId="0"/>
    <xf numFmtId="169" fontId="8" fillId="0" borderId="0" applyFont="0" applyFill="0" applyBorder="0" applyAlignment="0" applyProtection="0"/>
    <xf numFmtId="169" fontId="8" fillId="0" borderId="0" applyFont="0" applyFill="0" applyBorder="0" applyAlignment="0" applyProtection="0"/>
    <xf numFmtId="9" fontId="14"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204" fontId="14" fillId="0" borderId="0" applyNumberFormat="0" applyAlignment="0">
      <alignment horizontal="left"/>
    </xf>
    <xf numFmtId="9" fontId="8" fillId="0" borderId="0" applyFont="0" applyFill="0" applyBorder="0" applyAlignment="0" applyProtection="0"/>
    <xf numFmtId="9"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204" fontId="14" fillId="0" borderId="0" applyFont="0" applyFill="0" applyBorder="0" applyAlignment="0" applyProtection="0">
      <alignment horizontal="right"/>
    </xf>
    <xf numFmtId="9" fontId="8" fillId="0" borderId="0" applyFont="0" applyFill="0" applyBorder="0" applyAlignment="0" applyProtection="0"/>
    <xf numFmtId="9" fontId="8" fillId="0" borderId="0" applyFont="0" applyFill="0" applyBorder="0" applyAlignment="0" applyProtection="0"/>
    <xf numFmtId="178" fontId="14" fillId="0" borderId="0" applyFill="0" applyBorder="0" applyAlignment="0" applyProtection="0"/>
    <xf numFmtId="303" fontId="14" fillId="0" borderId="33" applyFont="0" applyFill="0" applyBorder="0" applyAlignment="0" applyProtection="0"/>
    <xf numFmtId="302" fontId="14" fillId="0" borderId="0"/>
    <xf numFmtId="37" fontId="14" fillId="0" borderId="0"/>
    <xf numFmtId="170" fontId="8" fillId="0" borderId="0" applyFont="0" applyFill="0" applyBorder="0" applyAlignment="0" applyProtection="0"/>
    <xf numFmtId="170" fontId="8" fillId="0" borderId="0" applyFont="0" applyFill="0" applyBorder="0" applyAlignment="0" applyProtection="0"/>
    <xf numFmtId="304" fontId="14" fillId="0" borderId="0">
      <alignment horizontal="right"/>
    </xf>
    <xf numFmtId="37" fontId="14" fillId="0" borderId="0"/>
    <xf numFmtId="9"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37" fontId="14" fillId="0" borderId="0"/>
    <xf numFmtId="9" fontId="8" fillId="0" borderId="0" applyFont="0" applyFill="0" applyBorder="0" applyAlignment="0" applyProtection="0"/>
    <xf numFmtId="37" fontId="14" fillId="0" borderId="0"/>
    <xf numFmtId="233" fontId="14" fillId="0" borderId="0" applyFill="0" applyBorder="0" applyAlignment="0" applyProtection="0"/>
    <xf numFmtId="170" fontId="8" fillId="0" borderId="0" applyFont="0" applyFill="0" applyBorder="0" applyAlignment="0" applyProtection="0"/>
    <xf numFmtId="37" fontId="14" fillId="0" borderId="0"/>
    <xf numFmtId="37" fontId="14" fillId="0" borderId="0"/>
    <xf numFmtId="9" fontId="8" fillId="0" borderId="0" applyFont="0" applyFill="0" applyBorder="0" applyAlignment="0" applyProtection="0"/>
    <xf numFmtId="170" fontId="8" fillId="0" borderId="0" applyFont="0" applyFill="0" applyBorder="0" applyAlignment="0" applyProtection="0"/>
    <xf numFmtId="37" fontId="14" fillId="0" borderId="0"/>
    <xf numFmtId="9" fontId="8" fillId="0" borderId="0" applyFont="0" applyFill="0" applyBorder="0" applyAlignment="0" applyProtection="0"/>
    <xf numFmtId="37" fontId="14" fillId="0" borderId="0"/>
    <xf numFmtId="0" fontId="45" fillId="0" borderId="17" applyNumberFormat="0" applyBorder="0" applyAlignment="0"/>
    <xf numFmtId="178" fontId="14" fillId="0" borderId="7" applyFont="0" applyFill="0" applyBorder="0" applyAlignment="0" applyProtection="0">
      <alignment horizontal="right"/>
    </xf>
    <xf numFmtId="0" fontId="8" fillId="0" borderId="0" applyNumberFormat="0" applyFill="0" applyBorder="0" applyAlignment="0" applyProtection="0"/>
    <xf numFmtId="37" fontId="14" fillId="37" borderId="4" applyNumberFormat="0" applyAlignment="0" applyProtection="0"/>
    <xf numFmtId="279" fontId="14" fillId="0" borderId="0"/>
    <xf numFmtId="309"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9" fontId="8" fillId="0" borderId="0" applyFont="0" applyFill="0" applyBorder="0" applyAlignment="0" applyProtection="0"/>
    <xf numFmtId="37" fontId="14" fillId="0" borderId="0"/>
    <xf numFmtId="9" fontId="8" fillId="0" borderId="0" applyFont="0" applyFill="0" applyBorder="0" applyAlignment="0" applyProtection="0"/>
    <xf numFmtId="37" fontId="14" fillId="0" borderId="0"/>
    <xf numFmtId="9" fontId="8" fillId="0" borderId="0" applyFont="0" applyFill="0" applyBorder="0" applyAlignment="0" applyProtection="0"/>
    <xf numFmtId="37" fontId="14" fillId="0" borderId="0"/>
    <xf numFmtId="9" fontId="8" fillId="0" borderId="0" applyFont="0" applyFill="0" applyBorder="0" applyAlignment="0" applyProtection="0"/>
    <xf numFmtId="170" fontId="8" fillId="0" borderId="0" applyFont="0" applyFill="0" applyBorder="0" applyAlignment="0" applyProtection="0"/>
    <xf numFmtId="9"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37" fontId="14" fillId="0" borderId="0"/>
    <xf numFmtId="170" fontId="8" fillId="0" borderId="0" applyFont="0" applyFill="0" applyBorder="0" applyAlignment="0" applyProtection="0"/>
    <xf numFmtId="37" fontId="14" fillId="0" borderId="0"/>
    <xf numFmtId="37" fontId="14" fillId="0" borderId="0"/>
    <xf numFmtId="37" fontId="14" fillId="0" borderId="0"/>
    <xf numFmtId="37" fontId="14"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69" fontId="117" fillId="0" borderId="0" applyFont="0" applyFill="0" applyBorder="0" applyAlignment="0" applyProtection="0"/>
    <xf numFmtId="0" fontId="2" fillId="0" borderId="0"/>
    <xf numFmtId="9" fontId="117" fillId="0" borderId="0" applyFont="0" applyFill="0" applyBorder="0" applyAlignment="0" applyProtection="0"/>
    <xf numFmtId="0" fontId="2" fillId="0" borderId="0"/>
    <xf numFmtId="9" fontId="117" fillId="0" borderId="0" applyFont="0" applyFill="0" applyBorder="0" applyAlignment="0" applyProtection="0"/>
    <xf numFmtId="38" fontId="14" fillId="0" borderId="0" applyFont="0" applyFill="0" applyBorder="0" applyAlignment="0" applyProtection="0"/>
    <xf numFmtId="0" fontId="26" fillId="0" borderId="0" applyNumberFormat="0" applyFill="0" applyBorder="0" applyAlignment="0" applyProtection="0"/>
    <xf numFmtId="0" fontId="8" fillId="0" borderId="0"/>
    <xf numFmtId="0" fontId="8" fillId="0" borderId="0"/>
    <xf numFmtId="0" fontId="8" fillId="0" borderId="0"/>
    <xf numFmtId="0" fontId="8" fillId="0" borderId="0"/>
    <xf numFmtId="0" fontId="227" fillId="0" borderId="0" applyNumberFormat="0" applyFill="0" applyBorder="0" applyAlignment="0" applyProtection="0">
      <alignment vertical="top"/>
      <protection locked="0"/>
    </xf>
    <xf numFmtId="3" fontId="222" fillId="11" borderId="4"/>
    <xf numFmtId="9" fontId="14" fillId="0" borderId="0" applyFont="0" applyFill="0" applyBorder="0" applyAlignment="0" applyProtection="0"/>
    <xf numFmtId="165" fontId="14" fillId="0" borderId="0" applyFont="0" applyFill="0" applyBorder="0" applyAlignment="0" applyProtection="0"/>
    <xf numFmtId="0" fontId="193" fillId="0" borderId="0" applyNumberFormat="0" applyFill="0" applyBorder="0" applyAlignment="0" applyProtection="0"/>
    <xf numFmtId="14" fontId="29" fillId="0" borderId="30" applyFont="0">
      <alignment horizontal="right"/>
    </xf>
    <xf numFmtId="38" fontId="14" fillId="0" borderId="0" applyFont="0" applyFill="0" applyBorder="0" applyAlignment="0" applyProtection="0"/>
    <xf numFmtId="178" fontId="27" fillId="0" borderId="33" applyBorder="0"/>
    <xf numFmtId="0" fontId="8" fillId="0" borderId="0"/>
    <xf numFmtId="0" fontId="6" fillId="0" borderId="0"/>
    <xf numFmtId="0" fontId="1" fillId="0" borderId="0"/>
    <xf numFmtId="0" fontId="6" fillId="0" borderId="0"/>
    <xf numFmtId="0" fontId="6" fillId="0" borderId="0"/>
    <xf numFmtId="0" fontId="27" fillId="0" borderId="0" applyNumberFormat="0" applyAlignment="0">
      <alignment vertical="center"/>
    </xf>
    <xf numFmtId="0" fontId="27" fillId="9" borderId="0" applyNumberFormat="0">
      <alignment horizontal="center" vertical="top" wrapText="1"/>
    </xf>
    <xf numFmtId="43" fontId="6" fillId="0" borderId="0" applyFont="0" applyFill="0" applyBorder="0" applyAlignment="0" applyProtection="0"/>
    <xf numFmtId="43" fontId="6" fillId="0" borderId="0" applyFont="0" applyFill="0" applyBorder="0" applyAlignment="0" applyProtection="0"/>
    <xf numFmtId="187" fontId="27" fillId="0" borderId="0" applyFont="0" applyFill="0" applyBorder="0" applyAlignment="0" applyProtection="0">
      <alignment vertical="center"/>
    </xf>
    <xf numFmtId="192" fontId="27" fillId="0" borderId="0" applyFont="0" applyFill="0" applyBorder="0" applyAlignment="0" applyProtection="0">
      <alignment vertical="center"/>
    </xf>
    <xf numFmtId="193" fontId="27" fillId="0" borderId="0" applyFont="0" applyFill="0" applyBorder="0" applyAlignment="0" applyProtection="0">
      <alignment vertical="center"/>
    </xf>
    <xf numFmtId="190" fontId="27" fillId="0" borderId="0" applyFont="0" applyFill="0" applyBorder="0" applyAlignment="0" applyProtection="0">
      <alignment vertical="center"/>
    </xf>
    <xf numFmtId="191" fontId="27" fillId="0" borderId="0" applyFont="0" applyFill="0" applyBorder="0" applyAlignment="0" applyProtection="0">
      <alignment vertical="center"/>
    </xf>
    <xf numFmtId="188" fontId="27" fillId="0" borderId="0" applyFont="0" applyFill="0" applyBorder="0" applyAlignment="0" applyProtection="0">
      <alignment vertical="center"/>
    </xf>
    <xf numFmtId="189" fontId="27" fillId="0" borderId="0" applyFont="0" applyFill="0" applyBorder="0" applyAlignment="0" applyProtection="0">
      <alignment vertical="center"/>
    </xf>
    <xf numFmtId="198" fontId="27" fillId="0" borderId="0" applyFont="0" applyFill="0" applyBorder="0" applyAlignment="0" applyProtection="0">
      <alignment vertical="center"/>
    </xf>
    <xf numFmtId="199" fontId="27" fillId="0" borderId="0" applyFont="0" applyFill="0" applyBorder="0" applyAlignment="0" applyProtection="0">
      <alignment vertical="center"/>
    </xf>
    <xf numFmtId="196" fontId="27" fillId="0" borderId="0" applyFont="0" applyFill="0" applyBorder="0" applyAlignment="0" applyProtection="0">
      <alignment vertical="center"/>
    </xf>
    <xf numFmtId="197" fontId="27" fillId="0" borderId="0" applyFont="0" applyFill="0" applyBorder="0" applyAlignment="0" applyProtection="0">
      <alignment vertical="center"/>
    </xf>
    <xf numFmtId="194" fontId="27" fillId="0" borderId="0" applyFont="0" applyFill="0" applyBorder="0" applyAlignment="0" applyProtection="0">
      <alignment vertical="center"/>
    </xf>
    <xf numFmtId="195" fontId="27" fillId="0" borderId="0" applyFont="0" applyFill="0" applyBorder="0" applyAlignment="0" applyProtection="0">
      <alignment vertical="center"/>
    </xf>
    <xf numFmtId="200" fontId="27" fillId="0" borderId="0" applyFont="0" applyFill="0" applyBorder="0" applyAlignment="0" applyProtection="0">
      <alignment vertical="center"/>
    </xf>
    <xf numFmtId="201" fontId="27" fillId="0" borderId="0" applyFont="0" applyFill="0" applyBorder="0" applyAlignment="0" applyProtection="0">
      <alignment vertical="center"/>
    </xf>
    <xf numFmtId="0" fontId="8" fillId="0" borderId="0" applyProtection="0">
      <alignment horizontal="left"/>
    </xf>
    <xf numFmtId="0" fontId="8" fillId="0" borderId="0" applyProtection="0">
      <alignment horizontal="left"/>
    </xf>
    <xf numFmtId="0" fontId="27" fillId="17" borderId="0" applyNumberFormat="0" applyFont="0" applyBorder="0" applyAlignment="0" applyProtection="0">
      <alignment vertical="center"/>
    </xf>
    <xf numFmtId="16" fontId="8" fillId="0" borderId="0" applyNumberFormat="0" applyFill="0" applyBorder="0" applyAlignment="0" applyProtection="0">
      <alignment horizontal="right"/>
    </xf>
    <xf numFmtId="0" fontId="27" fillId="0" borderId="10" applyNumberFormat="0" applyAlignment="0">
      <alignment vertical="center"/>
    </xf>
    <xf numFmtId="0" fontId="27" fillId="0" borderId="63" applyNumberFormat="0" applyAlignment="0">
      <alignment vertical="center"/>
      <protection locked="0"/>
    </xf>
    <xf numFmtId="183" fontId="27" fillId="19" borderId="63" applyNumberFormat="0" applyAlignment="0">
      <alignment vertical="center"/>
      <protection locked="0"/>
    </xf>
    <xf numFmtId="0" fontId="27" fillId="14" borderId="0" applyNumberFormat="0" applyAlignment="0">
      <alignment vertical="center"/>
    </xf>
    <xf numFmtId="0" fontId="27" fillId="20" borderId="0" applyNumberFormat="0" applyAlignment="0">
      <alignment vertical="center"/>
    </xf>
    <xf numFmtId="0" fontId="27" fillId="0" borderId="64" applyNumberFormat="0" applyAlignment="0">
      <alignment vertical="center"/>
      <protection locked="0"/>
    </xf>
    <xf numFmtId="0" fontId="17" fillId="22" borderId="65">
      <alignment horizontal="left" vertical="center" wrapText="1"/>
    </xf>
    <xf numFmtId="0" fontId="26" fillId="0" borderId="0" applyNumberFormat="0" applyFill="0" applyBorder="0" applyAlignment="0" applyProtection="0">
      <alignment vertical="center"/>
    </xf>
    <xf numFmtId="183" fontId="27" fillId="0" borderId="0" applyFont="0" applyFill="0" applyBorder="0" applyAlignment="0" applyProtection="0">
      <alignment vertical="center"/>
    </xf>
    <xf numFmtId="184" fontId="27" fillId="0" borderId="0" applyFont="0" applyFill="0" applyBorder="0" applyAlignment="0" applyProtection="0">
      <alignment vertical="center"/>
    </xf>
    <xf numFmtId="0" fontId="11" fillId="0" borderId="0" applyNumberForma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185" fontId="27" fillId="0" borderId="0" applyFont="0" applyFill="0" applyBorder="0" applyAlignment="0" applyProtection="0">
      <alignment horizontal="right" vertical="center"/>
    </xf>
    <xf numFmtId="186" fontId="27" fillId="0" borderId="0" applyFont="0" applyFill="0" applyBorder="0" applyAlignment="0" applyProtection="0">
      <alignment vertical="center"/>
    </xf>
    <xf numFmtId="0" fontId="27" fillId="0" borderId="0" applyNumberFormat="0" applyFill="0" applyBorder="0">
      <alignment horizontal="left" vertical="center" wrapText="1" indent="1"/>
    </xf>
    <xf numFmtId="183" fontId="27" fillId="0" borderId="28" applyNumberFormat="0" applyFont="0" applyFill="0" applyAlignment="0" applyProtection="0">
      <alignment vertical="center"/>
    </xf>
    <xf numFmtId="0" fontId="27" fillId="13" borderId="0" applyNumberFormat="0" applyFont="0" applyBorder="0" applyAlignment="0" applyProtection="0">
      <alignment vertical="center"/>
    </xf>
    <xf numFmtId="0" fontId="27" fillId="0" borderId="0" applyNumberFormat="0" applyFont="0" applyFill="0" applyAlignment="0" applyProtection="0">
      <alignment vertical="center"/>
    </xf>
    <xf numFmtId="183" fontId="27" fillId="0" borderId="0" applyNumberFormat="0" applyFont="0" applyBorder="0" applyAlignment="0" applyProtection="0">
      <alignment vertical="center"/>
    </xf>
    <xf numFmtId="49" fontId="27" fillId="0" borderId="0" applyFont="0" applyFill="0" applyBorder="0" applyAlignment="0" applyProtection="0">
      <alignment horizontal="center" vertical="center"/>
    </xf>
    <xf numFmtId="167" fontId="11" fillId="0" borderId="7" applyFill="0" applyAlignment="0" applyProtection="0"/>
    <xf numFmtId="204" fontId="8" fillId="0" borderId="62" applyNumberFormat="0" applyFont="0" applyFill="0" applyAlignment="0"/>
    <xf numFmtId="183" fontId="34" fillId="0" borderId="0" applyNumberFormat="0" applyFill="0" applyBorder="0" applyAlignment="0" applyProtection="0">
      <alignment vertical="center"/>
    </xf>
    <xf numFmtId="0" fontId="27" fillId="0" borderId="0" applyNumberFormat="0" applyFont="0" applyBorder="0" applyAlignment="0" applyProtection="0">
      <alignment vertical="center"/>
    </xf>
    <xf numFmtId="0" fontId="27" fillId="0" borderId="0" applyNumberFormat="0" applyFont="0" applyAlignment="0" applyProtection="0">
      <alignment vertical="center"/>
    </xf>
    <xf numFmtId="0" fontId="1" fillId="0" borderId="0"/>
    <xf numFmtId="170" fontId="1" fillId="0" borderId="0" applyFont="0" applyFill="0" applyBorder="0" applyAlignment="0" applyProtection="0"/>
    <xf numFmtId="9" fontId="1" fillId="0" borderId="0" applyFont="0" applyFill="0" applyBorder="0" applyAlignment="0" applyProtection="0"/>
    <xf numFmtId="0" fontId="1" fillId="0" borderId="0"/>
    <xf numFmtId="170" fontId="1" fillId="0" borderId="0" applyFont="0" applyFill="0" applyBorder="0" applyAlignment="0" applyProtection="0"/>
    <xf numFmtId="9" fontId="1" fillId="0" borderId="0" applyFont="0" applyFill="0" applyBorder="0" applyAlignment="0" applyProtection="0"/>
    <xf numFmtId="0" fontId="1" fillId="0" borderId="0"/>
    <xf numFmtId="170" fontId="1" fillId="0" borderId="0" applyFont="0" applyFill="0" applyBorder="0" applyAlignment="0" applyProtection="0"/>
    <xf numFmtId="9" fontId="1" fillId="0" borderId="0" applyFont="0" applyFill="0" applyBorder="0" applyAlignment="0" applyProtection="0"/>
    <xf numFmtId="0" fontId="1" fillId="0" borderId="0"/>
    <xf numFmtId="170" fontId="1" fillId="0" borderId="0" applyFont="0" applyFill="0" applyBorder="0" applyAlignment="0" applyProtection="0"/>
    <xf numFmtId="9" fontId="1" fillId="0" borderId="0" applyFont="0" applyFill="0" applyBorder="0" applyAlignment="0" applyProtection="0"/>
    <xf numFmtId="0" fontId="1" fillId="0" borderId="0"/>
    <xf numFmtId="170" fontId="1" fillId="0" borderId="0" applyFont="0" applyFill="0" applyBorder="0" applyAlignment="0" applyProtection="0"/>
    <xf numFmtId="9" fontId="1" fillId="0" borderId="0" applyFont="0" applyFill="0" applyBorder="0" applyAlignment="0" applyProtection="0"/>
    <xf numFmtId="0" fontId="1" fillId="0" borderId="0"/>
    <xf numFmtId="170" fontId="1" fillId="0" borderId="0" applyFont="0" applyFill="0" applyBorder="0" applyAlignment="0" applyProtection="0"/>
    <xf numFmtId="9" fontId="1" fillId="0" borderId="0" applyFont="0" applyFill="0" applyBorder="0" applyAlignment="0" applyProtection="0"/>
    <xf numFmtId="0" fontId="1" fillId="0" borderId="0"/>
    <xf numFmtId="170" fontId="1" fillId="0" borderId="0" applyFont="0" applyFill="0" applyBorder="0" applyAlignment="0" applyProtection="0"/>
    <xf numFmtId="9" fontId="1" fillId="0" borderId="0" applyFont="0" applyFill="0" applyBorder="0" applyAlignment="0" applyProtection="0"/>
    <xf numFmtId="0" fontId="1" fillId="0" borderId="0"/>
    <xf numFmtId="170" fontId="1" fillId="0" borderId="0" applyFont="0" applyFill="0" applyBorder="0" applyAlignment="0" applyProtection="0"/>
    <xf numFmtId="9" fontId="1" fillId="0" borderId="0" applyFont="0" applyFill="0" applyBorder="0" applyAlignment="0" applyProtection="0"/>
    <xf numFmtId="0" fontId="1" fillId="0" borderId="0"/>
    <xf numFmtId="170" fontId="1" fillId="0" borderId="0" applyFont="0" applyFill="0" applyBorder="0" applyAlignment="0" applyProtection="0"/>
    <xf numFmtId="9" fontId="1" fillId="0" borderId="0" applyFont="0" applyFill="0" applyBorder="0" applyAlignment="0" applyProtection="0"/>
    <xf numFmtId="0" fontId="1" fillId="0" borderId="0"/>
    <xf numFmtId="170" fontId="1" fillId="0" borderId="0" applyFont="0" applyFill="0" applyBorder="0" applyAlignment="0" applyProtection="0"/>
    <xf numFmtId="9" fontId="1" fillId="0" borderId="0" applyFont="0" applyFill="0" applyBorder="0" applyAlignment="0" applyProtection="0"/>
    <xf numFmtId="0" fontId="1" fillId="0" borderId="0"/>
    <xf numFmtId="170" fontId="1" fillId="0" borderId="0" applyFont="0" applyFill="0" applyBorder="0" applyAlignment="0" applyProtection="0"/>
    <xf numFmtId="9" fontId="1" fillId="0" borderId="0" applyFont="0" applyFill="0" applyBorder="0" applyAlignment="0" applyProtection="0"/>
    <xf numFmtId="0" fontId="1" fillId="0" borderId="0"/>
    <xf numFmtId="170" fontId="1" fillId="0" borderId="0" applyFont="0" applyFill="0" applyBorder="0" applyAlignment="0" applyProtection="0"/>
    <xf numFmtId="9" fontId="1" fillId="0" borderId="0" applyFont="0" applyFill="0" applyBorder="0" applyAlignment="0" applyProtection="0"/>
    <xf numFmtId="0" fontId="1" fillId="0" borderId="0"/>
    <xf numFmtId="170" fontId="1" fillId="0" borderId="0" applyFont="0" applyFill="0" applyBorder="0" applyAlignment="0" applyProtection="0"/>
    <xf numFmtId="9" fontId="1" fillId="0" borderId="0" applyFont="0" applyFill="0" applyBorder="0" applyAlignment="0" applyProtection="0"/>
    <xf numFmtId="0" fontId="1" fillId="0" borderId="0"/>
    <xf numFmtId="170" fontId="1" fillId="0" borderId="0" applyFont="0" applyFill="0" applyBorder="0" applyAlignment="0" applyProtection="0"/>
    <xf numFmtId="9" fontId="1" fillId="0" borderId="0" applyFont="0" applyFill="0" applyBorder="0" applyAlignment="0" applyProtection="0"/>
    <xf numFmtId="0" fontId="1" fillId="0" borderId="0"/>
    <xf numFmtId="170" fontId="1" fillId="0" borderId="0" applyFont="0" applyFill="0" applyBorder="0" applyAlignment="0" applyProtection="0"/>
    <xf numFmtId="9" fontId="1" fillId="0" borderId="0" applyFont="0" applyFill="0" applyBorder="0" applyAlignment="0" applyProtection="0"/>
    <xf numFmtId="0" fontId="1" fillId="0" borderId="0"/>
    <xf numFmtId="170" fontId="1" fillId="0" borderId="0" applyFont="0" applyFill="0" applyBorder="0" applyAlignment="0" applyProtection="0"/>
    <xf numFmtId="9" fontId="1" fillId="0" borderId="0" applyFont="0" applyFill="0" applyBorder="0" applyAlignment="0" applyProtection="0"/>
    <xf numFmtId="0" fontId="1" fillId="0" borderId="0"/>
    <xf numFmtId="170" fontId="1" fillId="0" borderId="0" applyFont="0" applyFill="0" applyBorder="0" applyAlignment="0" applyProtection="0"/>
    <xf numFmtId="9" fontId="1" fillId="0" borderId="0" applyFont="0" applyFill="0" applyBorder="0" applyAlignment="0" applyProtection="0"/>
    <xf numFmtId="0" fontId="1" fillId="0" borderId="0"/>
    <xf numFmtId="170" fontId="1" fillId="0" borderId="0" applyFont="0" applyFill="0" applyBorder="0" applyAlignment="0" applyProtection="0"/>
    <xf numFmtId="9" fontId="1" fillId="0" borderId="0" applyFont="0" applyFill="0" applyBorder="0" applyAlignment="0" applyProtection="0"/>
    <xf numFmtId="0" fontId="1" fillId="0" borderId="0"/>
    <xf numFmtId="170" fontId="1" fillId="0" borderId="0" applyFont="0" applyFill="0" applyBorder="0" applyAlignment="0" applyProtection="0"/>
    <xf numFmtId="9" fontId="1" fillId="0" borderId="0" applyFont="0" applyFill="0" applyBorder="0" applyAlignment="0" applyProtection="0"/>
    <xf numFmtId="0" fontId="1" fillId="0" borderId="0"/>
    <xf numFmtId="170" fontId="1" fillId="0" borderId="0" applyFont="0" applyFill="0" applyBorder="0" applyAlignment="0" applyProtection="0"/>
    <xf numFmtId="9" fontId="1" fillId="0" borderId="0" applyFont="0" applyFill="0" applyBorder="0" applyAlignment="0" applyProtection="0"/>
    <xf numFmtId="0" fontId="1" fillId="0" borderId="0"/>
    <xf numFmtId="170" fontId="1" fillId="0" borderId="0" applyFont="0" applyFill="0" applyBorder="0" applyAlignment="0" applyProtection="0"/>
    <xf numFmtId="9" fontId="1" fillId="0" borderId="0" applyFont="0" applyFill="0" applyBorder="0" applyAlignment="0" applyProtection="0"/>
    <xf numFmtId="0" fontId="1" fillId="0" borderId="0"/>
    <xf numFmtId="170" fontId="1" fillId="0" borderId="0" applyFont="0" applyFill="0" applyBorder="0" applyAlignment="0" applyProtection="0"/>
    <xf numFmtId="9" fontId="1" fillId="0" borderId="0" applyFont="0" applyFill="0" applyBorder="0" applyAlignment="0" applyProtection="0"/>
    <xf numFmtId="0" fontId="1" fillId="0" borderId="0"/>
    <xf numFmtId="170" fontId="1" fillId="0" borderId="0" applyFont="0" applyFill="0" applyBorder="0" applyAlignment="0" applyProtection="0"/>
    <xf numFmtId="9" fontId="1" fillId="0" borderId="0" applyFont="0" applyFill="0" applyBorder="0" applyAlignment="0" applyProtection="0"/>
    <xf numFmtId="0" fontId="1" fillId="0" borderId="0"/>
    <xf numFmtId="170" fontId="1" fillId="0" borderId="0" applyFont="0" applyFill="0" applyBorder="0" applyAlignment="0" applyProtection="0"/>
    <xf numFmtId="9" fontId="1" fillId="0" borderId="0" applyFont="0" applyFill="0" applyBorder="0" applyAlignment="0" applyProtection="0"/>
    <xf numFmtId="0" fontId="1" fillId="0" borderId="0"/>
    <xf numFmtId="170" fontId="1" fillId="0" borderId="0" applyFont="0" applyFill="0" applyBorder="0" applyAlignment="0" applyProtection="0"/>
    <xf numFmtId="9" fontId="1" fillId="0" borderId="0" applyFont="0" applyFill="0" applyBorder="0" applyAlignment="0" applyProtection="0"/>
    <xf numFmtId="0" fontId="1" fillId="0" borderId="0"/>
    <xf numFmtId="170" fontId="1" fillId="0" borderId="0" applyFont="0" applyFill="0" applyBorder="0" applyAlignment="0" applyProtection="0"/>
    <xf numFmtId="9" fontId="1" fillId="0" borderId="0" applyFont="0" applyFill="0" applyBorder="0" applyAlignment="0" applyProtection="0"/>
    <xf numFmtId="0" fontId="1" fillId="0" borderId="0"/>
    <xf numFmtId="170" fontId="1" fillId="0" borderId="0" applyFont="0" applyFill="0" applyBorder="0" applyAlignment="0" applyProtection="0"/>
    <xf numFmtId="9" fontId="1" fillId="0" borderId="0" applyFont="0" applyFill="0" applyBorder="0" applyAlignment="0" applyProtection="0"/>
    <xf numFmtId="0" fontId="1" fillId="0" borderId="0"/>
    <xf numFmtId="170" fontId="1" fillId="0" borderId="0" applyFont="0" applyFill="0" applyBorder="0" applyAlignment="0" applyProtection="0"/>
    <xf numFmtId="9" fontId="1" fillId="0" borderId="0" applyFont="0" applyFill="0" applyBorder="0" applyAlignment="0" applyProtection="0"/>
    <xf numFmtId="0" fontId="1" fillId="0" borderId="0"/>
    <xf numFmtId="170" fontId="1" fillId="0" borderId="0" applyFont="0" applyFill="0" applyBorder="0" applyAlignment="0" applyProtection="0"/>
    <xf numFmtId="9" fontId="1" fillId="0" borderId="0" applyFont="0" applyFill="0" applyBorder="0" applyAlignment="0" applyProtection="0"/>
    <xf numFmtId="0" fontId="1" fillId="0" borderId="0"/>
    <xf numFmtId="170" fontId="1" fillId="0" borderId="0" applyFont="0" applyFill="0" applyBorder="0" applyAlignment="0" applyProtection="0"/>
    <xf numFmtId="9" fontId="1" fillId="0" borderId="0" applyFont="0" applyFill="0" applyBorder="0" applyAlignment="0" applyProtection="0"/>
    <xf numFmtId="0" fontId="1" fillId="0" borderId="0"/>
    <xf numFmtId="170" fontId="1" fillId="0" borderId="0" applyFont="0" applyFill="0" applyBorder="0" applyAlignment="0" applyProtection="0"/>
    <xf numFmtId="9" fontId="1" fillId="0" borderId="0" applyFont="0" applyFill="0" applyBorder="0" applyAlignment="0" applyProtection="0"/>
    <xf numFmtId="0" fontId="1" fillId="0" borderId="0"/>
    <xf numFmtId="170" fontId="1" fillId="0" borderId="0" applyFont="0" applyFill="0" applyBorder="0" applyAlignment="0" applyProtection="0"/>
    <xf numFmtId="9" fontId="1" fillId="0" borderId="0" applyFont="0" applyFill="0" applyBorder="0" applyAlignment="0" applyProtection="0"/>
    <xf numFmtId="0" fontId="1" fillId="0" borderId="0"/>
    <xf numFmtId="170" fontId="1" fillId="0" borderId="0" applyFont="0" applyFill="0" applyBorder="0" applyAlignment="0" applyProtection="0"/>
    <xf numFmtId="9" fontId="1" fillId="0" borderId="0" applyFont="0" applyFill="0" applyBorder="0" applyAlignment="0" applyProtection="0"/>
    <xf numFmtId="0" fontId="1" fillId="0" borderId="0"/>
    <xf numFmtId="0" fontId="144" fillId="0" borderId="66" applyNumberFormat="0" applyFill="0" applyBorder="0" applyAlignment="0" applyProtection="0"/>
    <xf numFmtId="0" fontId="63" fillId="0" borderId="66" applyNumberFormat="0" applyFill="0" applyBorder="0" applyAlignment="0" applyProtection="0"/>
    <xf numFmtId="0" fontId="118" fillId="0" borderId="66" applyNumberFormat="0" applyFill="0" applyBorder="0" applyAlignment="0" applyProtection="0"/>
    <xf numFmtId="0" fontId="26" fillId="0" borderId="66" applyNumberFormat="0" applyFill="0" applyAlignment="0" applyProtection="0"/>
    <xf numFmtId="256" fontId="156" fillId="0" borderId="62" applyNumberFormat="0" applyBorder="0"/>
    <xf numFmtId="0" fontId="29" fillId="17" borderId="65">
      <alignment horizontal="left" vertical="center" wrapText="1"/>
    </xf>
    <xf numFmtId="303" fontId="14" fillId="0" borderId="62" applyFont="0" applyFill="0" applyBorder="0" applyAlignment="0" applyProtection="0"/>
    <xf numFmtId="178" fontId="27" fillId="0" borderId="62" applyBorder="0"/>
    <xf numFmtId="0" fontId="177" fillId="0" borderId="62" applyNumberFormat="0" applyFill="0" applyProtection="0">
      <alignment horizontal="right"/>
    </xf>
    <xf numFmtId="0" fontId="179" fillId="0" borderId="66" applyNumberFormat="0" applyFill="0" applyBorder="0" applyAlignment="0" applyProtection="0"/>
    <xf numFmtId="0" fontId="1" fillId="0" borderId="0"/>
    <xf numFmtId="0" fontId="188" fillId="0" borderId="66" applyNumberFormat="0" applyFill="0" applyBorder="0" applyAlignment="0" applyProtection="0"/>
    <xf numFmtId="0" fontId="189" fillId="0" borderId="66" applyNumberFormat="0" applyFill="0" applyBorder="0" applyAlignment="0" applyProtection="0"/>
    <xf numFmtId="0" fontId="190" fillId="0" borderId="66" applyNumberFormat="0" applyFill="0" applyBorder="0" applyAlignment="0" applyProtection="0"/>
    <xf numFmtId="9"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8" fontId="27" fillId="0" borderId="62" applyBorder="0"/>
    <xf numFmtId="178" fontId="27" fillId="0" borderId="62" applyBorder="0"/>
    <xf numFmtId="0" fontId="1" fillId="0" borderId="0"/>
    <xf numFmtId="170" fontId="1" fillId="0" borderId="0" applyFont="0" applyFill="0" applyBorder="0" applyAlignment="0" applyProtection="0"/>
    <xf numFmtId="0" fontId="1" fillId="0" borderId="0"/>
    <xf numFmtId="178" fontId="27" fillId="0" borderId="62" applyBorder="0"/>
    <xf numFmtId="178" fontId="27" fillId="0" borderId="62" applyBorder="0"/>
    <xf numFmtId="0" fontId="217" fillId="3" borderId="67" applyNumberFormat="0" applyAlignment="0" applyProtection="0"/>
    <xf numFmtId="0" fontId="1" fillId="0" borderId="0"/>
    <xf numFmtId="178" fontId="27" fillId="0" borderId="62" applyBorder="0"/>
    <xf numFmtId="178" fontId="27" fillId="0" borderId="62" applyBorder="0"/>
    <xf numFmtId="0" fontId="1" fillId="0" borderId="0"/>
    <xf numFmtId="0" fontId="8" fillId="88" borderId="68" applyNumberFormat="0" applyFont="0" applyAlignment="0" applyProtection="0"/>
    <xf numFmtId="178" fontId="27" fillId="0" borderId="62" applyBorder="0"/>
    <xf numFmtId="0" fontId="225" fillId="3" borderId="69" applyNumberFormat="0" applyAlignment="0" applyProtection="0"/>
    <xf numFmtId="0" fontId="1" fillId="0" borderId="0"/>
    <xf numFmtId="178" fontId="27" fillId="0" borderId="62" applyBorder="0"/>
    <xf numFmtId="0" fontId="1" fillId="0" borderId="0"/>
    <xf numFmtId="0" fontId="133" fillId="0" borderId="70" applyNumberFormat="0" applyFill="0" applyAlignment="0" applyProtection="0"/>
    <xf numFmtId="178" fontId="27" fillId="0" borderId="62" applyBorder="0"/>
    <xf numFmtId="178" fontId="27" fillId="0" borderId="62" applyBorder="0"/>
    <xf numFmtId="0" fontId="1" fillId="0" borderId="0"/>
    <xf numFmtId="9" fontId="1" fillId="0" borderId="0" applyFont="0" applyFill="0" applyBorder="0" applyAlignment="0" applyProtection="0"/>
    <xf numFmtId="178" fontId="27" fillId="0" borderId="62" applyBorder="0"/>
    <xf numFmtId="0" fontId="1" fillId="0" borderId="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8" fontId="27" fillId="0" borderId="62" applyBorder="0"/>
    <xf numFmtId="178" fontId="27" fillId="0" borderId="62" applyBorder="0"/>
    <xf numFmtId="178" fontId="27" fillId="0" borderId="62" applyBorder="0"/>
    <xf numFmtId="170" fontId="1" fillId="0" borderId="0" applyFont="0" applyFill="0" applyBorder="0" applyAlignment="0" applyProtection="0"/>
    <xf numFmtId="178" fontId="27" fillId="0" borderId="62" applyBorder="0"/>
    <xf numFmtId="170"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78" fontId="27" fillId="0" borderId="62" applyBorder="0"/>
    <xf numFmtId="0" fontId="1" fillId="0" borderId="0"/>
    <xf numFmtId="0" fontId="1" fillId="0" borderId="0"/>
    <xf numFmtId="0" fontId="1" fillId="0" borderId="0"/>
    <xf numFmtId="0" fontId="1" fillId="0" borderId="0"/>
    <xf numFmtId="0" fontId="1" fillId="0" borderId="0"/>
    <xf numFmtId="0" fontId="1" fillId="0" borderId="0"/>
    <xf numFmtId="178" fontId="27" fillId="0" borderId="62" applyBorder="0"/>
    <xf numFmtId="178" fontId="27" fillId="0" borderId="62" applyBorder="0"/>
    <xf numFmtId="303" fontId="14" fillId="0" borderId="62" applyFont="0" applyFill="0" applyBorder="0" applyAlignment="0" applyProtection="0"/>
    <xf numFmtId="0" fontId="1" fillId="0" borderId="0"/>
    <xf numFmtId="0" fontId="1" fillId="0" borderId="0"/>
    <xf numFmtId="178" fontId="27" fillId="0" borderId="62" applyBorder="0"/>
    <xf numFmtId="43" fontId="6" fillId="0" borderId="0" applyFont="0" applyFill="0" applyBorder="0" applyAlignment="0" applyProtection="0"/>
    <xf numFmtId="9" fontId="6" fillId="0" borderId="0" applyFont="0" applyFill="0" applyBorder="0" applyAlignment="0" applyProtection="0"/>
    <xf numFmtId="0" fontId="8" fillId="0" borderId="0"/>
    <xf numFmtId="0" fontId="6" fillId="0" borderId="0"/>
    <xf numFmtId="0" fontId="8" fillId="0" borderId="0"/>
    <xf numFmtId="0" fontId="6" fillId="0" borderId="0"/>
    <xf numFmtId="0" fontId="6" fillId="0" borderId="0"/>
    <xf numFmtId="0" fontId="8" fillId="0" borderId="0"/>
    <xf numFmtId="0" fontId="8" fillId="0" borderId="0"/>
    <xf numFmtId="0" fontId="9" fillId="0" borderId="0"/>
    <xf numFmtId="0" fontId="8" fillId="0" borderId="0"/>
    <xf numFmtId="0" fontId="9" fillId="0" borderId="0"/>
    <xf numFmtId="0" fontId="7" fillId="0" borderId="0"/>
    <xf numFmtId="0" fontId="6" fillId="0" borderId="0"/>
    <xf numFmtId="0" fontId="8" fillId="0" borderId="0"/>
    <xf numFmtId="237" fontId="229" fillId="0" borderId="0" applyFont="0" applyFill="0" applyBorder="0" applyAlignment="0" applyProtection="0"/>
    <xf numFmtId="237" fontId="229" fillId="0" borderId="0" applyFont="0" applyFill="0" applyBorder="0" applyAlignment="0" applyProtection="0"/>
    <xf numFmtId="0" fontId="8" fillId="0" borderId="0"/>
    <xf numFmtId="0" fontId="8" fillId="0" borderId="0"/>
    <xf numFmtId="0" fontId="8" fillId="0" borderId="0"/>
    <xf numFmtId="0" fontId="8" fillId="0" borderId="0"/>
    <xf numFmtId="0" fontId="6" fillId="0" borderId="0"/>
    <xf numFmtId="0" fontId="6" fillId="0" borderId="0"/>
    <xf numFmtId="0" fontId="6" fillId="0" borderId="0"/>
    <xf numFmtId="0" fontId="6" fillId="0" borderId="0"/>
    <xf numFmtId="0" fontId="6" fillId="0" borderId="0"/>
    <xf numFmtId="0" fontId="8" fillId="0" borderId="0"/>
    <xf numFmtId="0" fontId="45" fillId="0" borderId="0" applyNumberFormat="0" applyFont="0" applyFill="0" applyBorder="0" applyAlignment="0" applyProtection="0"/>
    <xf numFmtId="0" fontId="8" fillId="0" borderId="0"/>
    <xf numFmtId="0" fontId="8" fillId="0" borderId="0"/>
    <xf numFmtId="312" fontId="27" fillId="0" borderId="0" applyFont="0" applyFill="0" applyBorder="0" applyAlignment="0" applyProtection="0"/>
    <xf numFmtId="313" fontId="27"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314" fontId="27"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315" fontId="27" fillId="0" borderId="0" applyFont="0" applyFill="0" applyBorder="0" applyAlignment="0" applyProtection="0"/>
    <xf numFmtId="39" fontId="8" fillId="0" borderId="0" applyFont="0" applyFill="0" applyBorder="0" applyAlignment="0" applyProtection="0"/>
    <xf numFmtId="39" fontId="8" fillId="0" borderId="0" applyFont="0" applyFill="0" applyBorder="0" applyAlignment="0" applyProtection="0"/>
    <xf numFmtId="316" fontId="27" fillId="0" borderId="0" applyFont="0" applyFill="0" applyBorder="0" applyAlignment="0" applyProtection="0"/>
    <xf numFmtId="317" fontId="27" fillId="0" borderId="0" applyFont="0" applyFill="0" applyBorder="0" applyAlignment="0" applyProtection="0"/>
    <xf numFmtId="283" fontId="230" fillId="0" borderId="0" applyNumberFormat="0" applyFill="0" applyBorder="0" applyAlignment="0" applyProtection="0"/>
    <xf numFmtId="283" fontId="27" fillId="87" borderId="0" applyNumberFormat="0" applyFont="0" applyAlignment="0" applyProtection="0"/>
    <xf numFmtId="0" fontId="8" fillId="0" borderId="0" applyFont="0" applyFill="0" applyBorder="0" applyAlignment="0" applyProtection="0"/>
    <xf numFmtId="0" fontId="8" fillId="0" borderId="0" applyFon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318" fontId="27"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319" fontId="27" fillId="0" borderId="0" applyFont="0" applyFill="0" applyBorder="0" applyProtection="0">
      <alignment horizontal="right"/>
    </xf>
    <xf numFmtId="208" fontId="8" fillId="0" borderId="0" applyFont="0" applyFill="0" applyBorder="0" applyAlignment="0" applyProtection="0"/>
    <xf numFmtId="208" fontId="8" fillId="0" borderId="0" applyFont="0" applyFill="0" applyBorder="0" applyAlignment="0" applyProtection="0"/>
    <xf numFmtId="209" fontId="8" fillId="0" borderId="0" applyFont="0" applyFill="0" applyBorder="0" applyAlignment="0" applyProtection="0"/>
    <xf numFmtId="209" fontId="8" fillId="0" borderId="0" applyFont="0" applyFill="0" applyBorder="0" applyAlignment="0" applyProtection="0"/>
    <xf numFmtId="283" fontId="231" fillId="0" borderId="0" applyNumberFormat="0" applyFill="0" applyBorder="0" applyProtection="0">
      <alignment vertical="top"/>
    </xf>
    <xf numFmtId="283" fontId="232" fillId="0" borderId="71" applyNumberFormat="0" applyFill="0" applyAlignment="0" applyProtection="0"/>
    <xf numFmtId="283" fontId="233" fillId="0" borderId="72" applyNumberFormat="0" applyFill="0" applyProtection="0">
      <alignment horizontal="center"/>
    </xf>
    <xf numFmtId="283" fontId="233" fillId="0" borderId="0" applyNumberFormat="0" applyFill="0" applyBorder="0" applyProtection="0">
      <alignment horizontal="left"/>
    </xf>
    <xf numFmtId="283" fontId="234" fillId="0" borderId="0" applyNumberFormat="0" applyFill="0" applyBorder="0" applyProtection="0">
      <alignment horizontal="centerContinuous"/>
    </xf>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xf numFmtId="0" fontId="8" fillId="0" borderId="0"/>
    <xf numFmtId="0" fontId="8" fillId="0" borderId="0"/>
    <xf numFmtId="0" fontId="8" fillId="0" borderId="0"/>
    <xf numFmtId="0" fontId="235" fillId="0" borderId="0"/>
    <xf numFmtId="171" fontId="8" fillId="0" borderId="0">
      <alignment horizontal="center"/>
    </xf>
    <xf numFmtId="0" fontId="117" fillId="68" borderId="0" applyNumberFormat="0" applyBorder="0" applyAlignment="0" applyProtection="0"/>
    <xf numFmtId="0" fontId="117" fillId="2" borderId="0" applyNumberFormat="0" applyBorder="0" applyAlignment="0" applyProtection="0"/>
    <xf numFmtId="0" fontId="117" fillId="69" borderId="0" applyNumberFormat="0" applyBorder="0" applyAlignment="0" applyProtection="0"/>
    <xf numFmtId="0" fontId="117" fillId="73" borderId="0" applyNumberFormat="0" applyBorder="0" applyAlignment="0" applyProtection="0"/>
    <xf numFmtId="0" fontId="117" fillId="70" borderId="0" applyNumberFormat="0" applyBorder="0" applyAlignment="0" applyProtection="0"/>
    <xf numFmtId="0" fontId="117" fillId="88" borderId="0" applyNumberFormat="0" applyBorder="0" applyAlignment="0" applyProtection="0"/>
    <xf numFmtId="0" fontId="117" fillId="71" borderId="0" applyNumberFormat="0" applyBorder="0" applyAlignment="0" applyProtection="0"/>
    <xf numFmtId="0" fontId="117" fillId="2" borderId="0" applyNumberFormat="0" applyBorder="0" applyAlignment="0" applyProtection="0"/>
    <xf numFmtId="0" fontId="117" fillId="72" borderId="0" applyNumberFormat="0" applyBorder="0" applyAlignment="0" applyProtection="0"/>
    <xf numFmtId="0" fontId="117" fillId="74" borderId="0" applyNumberFormat="0" applyBorder="0" applyAlignment="0" applyProtection="0"/>
    <xf numFmtId="0" fontId="117" fillId="3" borderId="0" applyNumberFormat="0" applyBorder="0" applyAlignment="0" applyProtection="0"/>
    <xf numFmtId="0" fontId="117" fillId="75" borderId="0" applyNumberFormat="0" applyBorder="0" applyAlignment="0" applyProtection="0"/>
    <xf numFmtId="0" fontId="117" fillId="76" borderId="0" applyNumberFormat="0" applyBorder="0" applyAlignment="0" applyProtection="0"/>
    <xf numFmtId="0" fontId="117" fillId="87" borderId="0" applyNumberFormat="0" applyBorder="0" applyAlignment="0" applyProtection="0"/>
    <xf numFmtId="0" fontId="117" fillId="71" borderId="0" applyNumberFormat="0" applyBorder="0" applyAlignment="0" applyProtection="0"/>
    <xf numFmtId="0" fontId="117" fillId="3" borderId="0" applyNumberFormat="0" applyBorder="0" applyAlignment="0" applyProtection="0"/>
    <xf numFmtId="0" fontId="117" fillId="74" borderId="0" applyNumberFormat="0" applyBorder="0" applyAlignment="0" applyProtection="0"/>
    <xf numFmtId="0" fontId="117" fillId="73" borderId="0" applyNumberFormat="0" applyBorder="0" applyAlignment="0" applyProtection="0"/>
    <xf numFmtId="0" fontId="199" fillId="78" borderId="0" applyNumberFormat="0" applyBorder="0" applyAlignment="0" applyProtection="0"/>
    <xf numFmtId="0" fontId="199" fillId="80" borderId="0" applyNumberFormat="0" applyBorder="0" applyAlignment="0" applyProtection="0"/>
    <xf numFmtId="0" fontId="199" fillId="75" borderId="0" applyNumberFormat="0" applyBorder="0" applyAlignment="0" applyProtection="0"/>
    <xf numFmtId="0" fontId="199" fillId="76" borderId="0" applyNumberFormat="0" applyBorder="0" applyAlignment="0" applyProtection="0"/>
    <xf numFmtId="0" fontId="199" fillId="87" borderId="0" applyNumberFormat="0" applyBorder="0" applyAlignment="0" applyProtection="0"/>
    <xf numFmtId="0" fontId="199" fillId="79" borderId="0" applyNumberFormat="0" applyBorder="0" applyAlignment="0" applyProtection="0"/>
    <xf numFmtId="0" fontId="199" fillId="3" borderId="0" applyNumberFormat="0" applyBorder="0" applyAlignment="0" applyProtection="0"/>
    <xf numFmtId="0" fontId="199" fillId="80" borderId="0" applyNumberFormat="0" applyBorder="0" applyAlignment="0" applyProtection="0"/>
    <xf numFmtId="0" fontId="199" fillId="81" borderId="0" applyNumberFormat="0" applyBorder="0" applyAlignment="0" applyProtection="0"/>
    <xf numFmtId="0" fontId="199" fillId="73" borderId="0" applyNumberFormat="0" applyBorder="0" applyAlignment="0" applyProtection="0"/>
    <xf numFmtId="173" fontId="8" fillId="0" borderId="0">
      <alignment horizontal="center"/>
    </xf>
    <xf numFmtId="172" fontId="8" fillId="0" borderId="0">
      <alignment horizontal="center"/>
    </xf>
    <xf numFmtId="177" fontId="8" fillId="0" borderId="0" applyNumberFormat="0" applyFill="0" applyBorder="0" applyAlignment="0"/>
    <xf numFmtId="177" fontId="8" fillId="0" borderId="0" applyNumberFormat="0" applyFill="0" applyBorder="0" applyAlignment="0"/>
    <xf numFmtId="0" fontId="199" fillId="82" borderId="0" applyNumberFormat="0" applyBorder="0" applyAlignment="0" applyProtection="0"/>
    <xf numFmtId="0" fontId="199" fillId="80" borderId="0" applyNumberFormat="0" applyBorder="0" applyAlignment="0" applyProtection="0"/>
    <xf numFmtId="0" fontId="199" fillId="83" borderId="0" applyNumberFormat="0" applyBorder="0" applyAlignment="0" applyProtection="0"/>
    <xf numFmtId="0" fontId="199" fillId="89" borderId="0" applyNumberFormat="0" applyBorder="0" applyAlignment="0" applyProtection="0"/>
    <xf numFmtId="0" fontId="199" fillId="84" borderId="0" applyNumberFormat="0" applyBorder="0" applyAlignment="0" applyProtection="0"/>
    <xf numFmtId="0" fontId="199" fillId="89" borderId="0" applyNumberFormat="0" applyBorder="0" applyAlignment="0" applyProtection="0"/>
    <xf numFmtId="0" fontId="199" fillId="79" borderId="0" applyNumberFormat="0" applyBorder="0" applyAlignment="0" applyProtection="0"/>
    <xf numFmtId="0" fontId="199" fillId="90" borderId="0" applyNumberFormat="0" applyBorder="0" applyAlignment="0" applyProtection="0"/>
    <xf numFmtId="0" fontId="199" fillId="80" borderId="0" applyNumberFormat="0" applyBorder="0" applyAlignment="0" applyProtection="0"/>
    <xf numFmtId="0" fontId="199" fillId="85" borderId="0" applyNumberFormat="0" applyBorder="0" applyAlignment="0" applyProtection="0"/>
    <xf numFmtId="211" fontId="8" fillId="0" borderId="0" applyFill="0" applyBorder="0" applyProtection="0">
      <alignment horizontal="right"/>
    </xf>
    <xf numFmtId="211" fontId="8" fillId="0" borderId="0" applyFill="0" applyBorder="0" applyProtection="0">
      <alignment horizontal="right"/>
    </xf>
    <xf numFmtId="284" fontId="177" fillId="13" borderId="7">
      <alignment horizontal="right"/>
    </xf>
    <xf numFmtId="0" fontId="8" fillId="91" borderId="0" applyNumberFormat="0" applyFont="0"/>
    <xf numFmtId="0" fontId="236" fillId="0" borderId="0"/>
    <xf numFmtId="212" fontId="14" fillId="0" borderId="0" applyFont="0" applyFill="0" applyBorder="0" applyAlignment="0" applyProtection="0"/>
    <xf numFmtId="212" fontId="14" fillId="0" borderId="0" applyFont="0" applyFill="0" applyBorder="0" applyAlignment="0" applyProtection="0"/>
    <xf numFmtId="212" fontId="14" fillId="0" borderId="0" applyFont="0" applyFill="0" applyBorder="0" applyAlignment="0" applyProtection="0"/>
    <xf numFmtId="212" fontId="14" fillId="0" borderId="0" applyFont="0" applyFill="0" applyBorder="0" applyAlignment="0" applyProtection="0"/>
    <xf numFmtId="212" fontId="14" fillId="0" borderId="0" applyFont="0" applyFill="0" applyBorder="0" applyAlignment="0" applyProtection="0"/>
    <xf numFmtId="212" fontId="14" fillId="0" borderId="0" applyFont="0" applyFill="0" applyBorder="0" applyAlignment="0" applyProtection="0"/>
    <xf numFmtId="212" fontId="14" fillId="0" borderId="0" applyFont="0" applyFill="0" applyBorder="0" applyAlignment="0" applyProtection="0"/>
    <xf numFmtId="212" fontId="14" fillId="0" borderId="0" applyFont="0" applyFill="0" applyBorder="0" applyAlignment="0" applyProtection="0"/>
    <xf numFmtId="212" fontId="14" fillId="0" borderId="0" applyFont="0" applyFill="0" applyBorder="0" applyAlignment="0" applyProtection="0"/>
    <xf numFmtId="0" fontId="8" fillId="0" borderId="0">
      <alignment horizontal="right"/>
    </xf>
    <xf numFmtId="0" fontId="50" fillId="0" borderId="0">
      <alignment horizontal="center" wrapText="1"/>
      <protection locked="0"/>
    </xf>
    <xf numFmtId="0" fontId="50" fillId="0" borderId="0">
      <alignment horizontal="center" wrapText="1"/>
      <protection locked="0"/>
    </xf>
    <xf numFmtId="0" fontId="50" fillId="0" borderId="0">
      <alignment horizontal="center" wrapText="1"/>
      <protection locked="0"/>
    </xf>
    <xf numFmtId="0" fontId="8" fillId="0" borderId="0" applyNumberFormat="0" applyFill="0" applyBorder="0" applyAlignment="0" applyProtection="0"/>
    <xf numFmtId="0" fontId="52" fillId="0" borderId="1" applyNumberFormat="0" applyFill="0" applyAlignment="0" applyProtection="0"/>
    <xf numFmtId="0" fontId="52" fillId="0" borderId="1" applyNumberFormat="0" applyFill="0" applyAlignment="0" applyProtection="0"/>
    <xf numFmtId="0" fontId="52" fillId="0" borderId="1" applyNumberFormat="0" applyFill="0" applyAlignment="0" applyProtection="0"/>
    <xf numFmtId="215" fontId="8" fillId="0" borderId="0" applyFont="0" applyFill="0" applyBorder="0" applyAlignment="0" applyProtection="0"/>
    <xf numFmtId="215" fontId="8" fillId="0" borderId="0" applyFont="0" applyFill="0" applyBorder="0" applyAlignment="0" applyProtection="0"/>
    <xf numFmtId="215" fontId="8" fillId="0" borderId="0" applyFont="0" applyFill="0" applyBorder="0" applyAlignment="0" applyProtection="0"/>
    <xf numFmtId="0" fontId="8" fillId="0" borderId="0"/>
    <xf numFmtId="0" fontId="8" fillId="0" borderId="0"/>
    <xf numFmtId="0" fontId="8" fillId="0" borderId="0"/>
    <xf numFmtId="0" fontId="163" fillId="0" borderId="0"/>
    <xf numFmtId="0" fontId="216" fillId="69" borderId="0" applyNumberFormat="0" applyBorder="0" applyAlignment="0" applyProtection="0"/>
    <xf numFmtId="0" fontId="237" fillId="69" borderId="0" applyNumberFormat="0" applyBorder="0" applyAlignment="0" applyProtection="0"/>
    <xf numFmtId="216" fontId="50" fillId="0" borderId="0" applyFill="0" applyBorder="0" applyAlignment="0" applyProtection="0">
      <protection locked="0"/>
    </xf>
    <xf numFmtId="0" fontId="54" fillId="6" borderId="0"/>
    <xf numFmtId="0" fontId="54" fillId="6" borderId="0"/>
    <xf numFmtId="0" fontId="202" fillId="92" borderId="0"/>
    <xf numFmtId="0" fontId="228" fillId="7" borderId="73">
      <alignment horizontal="center" vertical="center"/>
    </xf>
    <xf numFmtId="39" fontId="58" fillId="0" borderId="2" applyNumberFormat="0" applyFill="0" applyBorder="0"/>
    <xf numFmtId="39" fontId="58" fillId="0" borderId="2" applyNumberFormat="0" applyFill="0" applyBorder="0"/>
    <xf numFmtId="39" fontId="58" fillId="0" borderId="2" applyNumberFormat="0" applyFill="0" applyBorder="0"/>
    <xf numFmtId="216" fontId="50" fillId="0" borderId="0" applyFont="0" applyFill="0" applyBorder="0" applyAlignment="0" applyProtection="0">
      <protection locked="0"/>
    </xf>
    <xf numFmtId="0" fontId="202" fillId="86" borderId="57" applyNumberFormat="0" applyAlignment="0" applyProtection="0"/>
    <xf numFmtId="0" fontId="9" fillId="0" borderId="0">
      <alignment horizontal="center" wrapText="1"/>
      <protection hidden="1"/>
    </xf>
    <xf numFmtId="0" fontId="9" fillId="0" borderId="0">
      <alignment horizontal="center" wrapText="1"/>
      <protection hidden="1"/>
    </xf>
    <xf numFmtId="0" fontId="22" fillId="8" borderId="0" applyNumberFormat="0" applyBorder="0" applyProtection="0">
      <alignment horizontal="centerContinuous" vertical="center"/>
    </xf>
    <xf numFmtId="0" fontId="22" fillId="8" borderId="0" applyNumberFormat="0" applyBorder="0" applyProtection="0">
      <alignment horizontal="centerContinuous" vertical="center"/>
    </xf>
    <xf numFmtId="0" fontId="22" fillId="8" borderId="0" applyNumberFormat="0" applyBorder="0" applyProtection="0">
      <alignment horizontal="centerContinuous" vertical="center"/>
    </xf>
    <xf numFmtId="0" fontId="22" fillId="8" borderId="3" applyNumberFormat="0" applyProtection="0">
      <alignment horizontal="center" vertical="center" wrapText="1"/>
    </xf>
    <xf numFmtId="0" fontId="22" fillId="8" borderId="3" applyNumberFormat="0" applyProtection="0">
      <alignment horizontal="center" vertical="center" wrapText="1"/>
    </xf>
    <xf numFmtId="0" fontId="22" fillId="8" borderId="3" applyNumberFormat="0" applyProtection="0">
      <alignment horizontal="center" vertical="center" wrapText="1"/>
    </xf>
    <xf numFmtId="0" fontId="22" fillId="8" borderId="3" applyNumberFormat="0" applyProtection="0">
      <alignment horizontal="center" vertical="center" wrapText="1"/>
    </xf>
    <xf numFmtId="0" fontId="22" fillId="8" borderId="3" applyNumberFormat="0" applyProtection="0">
      <alignment horizontal="center" vertical="center" wrapText="1"/>
    </xf>
    <xf numFmtId="0" fontId="22" fillId="8" borderId="3" applyNumberFormat="0" applyProtection="0">
      <alignment horizontal="center" vertical="center" wrapText="1"/>
    </xf>
    <xf numFmtId="0" fontId="22" fillId="8" borderId="3" applyNumberFormat="0" applyProtection="0">
      <alignment horizontal="center" vertical="center" wrapText="1"/>
    </xf>
    <xf numFmtId="0" fontId="22" fillId="8" borderId="3" applyNumberFormat="0" applyProtection="0">
      <alignment horizontal="center" vertical="center" wrapText="1"/>
    </xf>
    <xf numFmtId="0" fontId="22" fillId="8" borderId="3" applyNumberFormat="0" applyProtection="0">
      <alignment horizontal="center" vertical="center" wrapText="1"/>
    </xf>
    <xf numFmtId="0" fontId="34" fillId="9" borderId="0" applyNumberFormat="0">
      <alignment horizontal="left" vertical="top" wrapText="1"/>
    </xf>
    <xf numFmtId="0" fontId="34" fillId="14" borderId="0" applyNumberFormat="0">
      <alignment horizontal="left" vertical="top" wrapText="1"/>
    </xf>
    <xf numFmtId="0" fontId="34" fillId="9" borderId="0" applyNumberFormat="0">
      <alignment horizontal="centerContinuous" vertical="top"/>
    </xf>
    <xf numFmtId="0" fontId="34" fillId="14" borderId="0" applyNumberFormat="0">
      <alignment horizontal="centerContinuous" vertical="top"/>
    </xf>
    <xf numFmtId="0" fontId="27" fillId="14" borderId="0" applyNumberFormat="0">
      <alignment horizontal="center" vertical="top" wrapText="1"/>
    </xf>
    <xf numFmtId="0" fontId="34" fillId="14" borderId="0" applyNumberFormat="0">
      <alignment horizontal="center" vertical="top" wrapText="1"/>
    </xf>
    <xf numFmtId="0" fontId="34" fillId="14" borderId="0" applyNumberFormat="0">
      <alignment horizontal="center" vertical="top" wrapText="1"/>
    </xf>
    <xf numFmtId="0" fontId="34" fillId="9" borderId="0" applyNumberFormat="0">
      <alignment horizontal="center" vertical="top" wrapText="1"/>
    </xf>
    <xf numFmtId="0" fontId="34" fillId="9" borderId="0" applyNumberFormat="0">
      <alignment horizontal="center" vertical="top" wrapText="1"/>
    </xf>
    <xf numFmtId="0" fontId="34" fillId="14" borderId="0" applyNumberFormat="0">
      <alignment horizontal="center" vertical="top" wrapText="1"/>
    </xf>
    <xf numFmtId="0" fontId="34" fillId="14" borderId="0" applyNumberFormat="0">
      <alignment horizontal="center" vertical="top" wrapText="1"/>
    </xf>
    <xf numFmtId="0" fontId="34" fillId="14" borderId="0" applyNumberFormat="0">
      <alignment horizontal="center" vertical="top" wrapText="1"/>
    </xf>
    <xf numFmtId="0" fontId="34" fillId="14" borderId="0" applyNumberFormat="0">
      <alignment horizontal="center" vertical="top" wrapText="1"/>
    </xf>
    <xf numFmtId="0" fontId="34" fillId="14" borderId="0" applyNumberFormat="0">
      <alignment horizontal="center" vertical="top" wrapText="1"/>
    </xf>
    <xf numFmtId="0" fontId="34" fillId="14" borderId="0" applyNumberFormat="0">
      <alignment horizontal="center" vertical="top" wrapText="1"/>
    </xf>
    <xf numFmtId="0" fontId="14" fillId="0" borderId="5" applyNumberFormat="0" applyFont="0" applyFill="0" applyAlignment="0" applyProtection="0">
      <alignment horizontal="left"/>
    </xf>
    <xf numFmtId="0" fontId="14" fillId="0" borderId="5" applyNumberFormat="0" applyFont="0" applyFill="0" applyAlignment="0" applyProtection="0">
      <alignment horizontal="left"/>
    </xf>
    <xf numFmtId="0" fontId="14" fillId="0" borderId="5" applyNumberFormat="0" applyFont="0" applyFill="0" applyAlignment="0" applyProtection="0">
      <alignment horizontal="left"/>
    </xf>
    <xf numFmtId="0" fontId="10" fillId="0" borderId="0" applyFont="0" applyFill="0" applyBorder="0" applyAlignment="0" applyProtection="0"/>
    <xf numFmtId="0" fontId="238" fillId="0" borderId="0" applyFont="0" applyFill="0" applyBorder="0" applyAlignment="0" applyProtection="0"/>
    <xf numFmtId="43" fontId="6" fillId="0" borderId="0" applyFont="0" applyFill="0" applyBorder="0" applyAlignment="0" applyProtection="0"/>
    <xf numFmtId="43" fontId="8" fillId="0" borderId="0" applyFont="0" applyFill="0" applyBorder="0" applyAlignment="0" applyProtection="0"/>
    <xf numFmtId="204" fontId="26" fillId="0" borderId="0"/>
    <xf numFmtId="204" fontId="26" fillId="0" borderId="0"/>
    <xf numFmtId="204" fontId="26" fillId="0" borderId="0"/>
    <xf numFmtId="204" fontId="26" fillId="0" borderId="0"/>
    <xf numFmtId="204" fontId="26" fillId="0" borderId="0"/>
    <xf numFmtId="0" fontId="239" fillId="0" borderId="0"/>
    <xf numFmtId="0" fontId="47" fillId="0" borderId="0"/>
    <xf numFmtId="3" fontId="61" fillId="0" borderId="0" applyFont="0" applyFill="0" applyBorder="0" applyAlignment="0" applyProtection="0"/>
    <xf numFmtId="3" fontId="61" fillId="0" borderId="0" applyFont="0" applyFill="0" applyBorder="0" applyAlignment="0" applyProtection="0"/>
    <xf numFmtId="0" fontId="239" fillId="0" borderId="0"/>
    <xf numFmtId="0" fontId="47" fillId="0" borderId="0"/>
    <xf numFmtId="0" fontId="12" fillId="10" borderId="0">
      <alignment horizontal="center" vertical="center" wrapText="1"/>
    </xf>
    <xf numFmtId="0" fontId="12" fillId="10" borderId="0">
      <alignment horizontal="center" vertical="center" wrapText="1"/>
    </xf>
    <xf numFmtId="204" fontId="8" fillId="0" borderId="0"/>
    <xf numFmtId="0" fontId="8" fillId="0" borderId="0">
      <alignment horizontal="left"/>
    </xf>
    <xf numFmtId="0" fontId="8" fillId="0" borderId="0">
      <alignment horizontal="left"/>
    </xf>
    <xf numFmtId="0" fontId="8" fillId="0" borderId="0"/>
    <xf numFmtId="0" fontId="8" fillId="0" borderId="0"/>
    <xf numFmtId="0" fontId="8" fillId="0" borderId="0">
      <alignment horizontal="left"/>
    </xf>
    <xf numFmtId="0" fontId="8" fillId="0" borderId="0">
      <alignment horizontal="left"/>
    </xf>
    <xf numFmtId="204" fontId="8" fillId="0" borderId="0" applyFill="0" applyBorder="0" applyAlignment="0" applyProtection="0">
      <alignment horizontal="left"/>
    </xf>
    <xf numFmtId="179" fontId="9" fillId="0" borderId="0" applyFill="0" applyBorder="0">
      <alignment horizontal="right"/>
      <protection locked="0"/>
    </xf>
    <xf numFmtId="179" fontId="9" fillId="0" borderId="0" applyFill="0" applyBorder="0">
      <alignment horizontal="right"/>
      <protection locked="0"/>
    </xf>
    <xf numFmtId="0" fontId="9" fillId="0" borderId="0" applyFill="0" applyBorder="0">
      <alignment horizontal="right"/>
      <protection locked="0"/>
    </xf>
    <xf numFmtId="218" fontId="62" fillId="0" borderId="0" applyFont="0"/>
    <xf numFmtId="218" fontId="62" fillId="0" borderId="0" applyFont="0"/>
    <xf numFmtId="218" fontId="62" fillId="0" borderId="0" applyFont="0"/>
    <xf numFmtId="218" fontId="62" fillId="0" borderId="0" applyFont="0"/>
    <xf numFmtId="218" fontId="62" fillId="0" borderId="0" applyFont="0"/>
    <xf numFmtId="218" fontId="62" fillId="0" borderId="0" applyFont="0"/>
    <xf numFmtId="218" fontId="62" fillId="0" borderId="0" applyFont="0"/>
    <xf numFmtId="219" fontId="8" fillId="0" borderId="0"/>
    <xf numFmtId="166" fontId="8" fillId="0" borderId="0" applyFont="0" applyFill="0" applyBorder="0" applyAlignment="0"/>
    <xf numFmtId="220" fontId="8" fillId="0" borderId="0" applyFont="0" applyFill="0" applyBorder="0" applyAlignment="0" applyProtection="0"/>
    <xf numFmtId="220" fontId="8" fillId="0" borderId="0" applyFont="0" applyFill="0" applyBorder="0" applyAlignment="0" applyProtection="0"/>
    <xf numFmtId="0" fontId="240" fillId="0" borderId="0">
      <protection locked="0"/>
    </xf>
    <xf numFmtId="221" fontId="8" fillId="4" borderId="6" applyFont="0" applyFill="0" applyBorder="0" applyAlignment="0" applyProtection="0"/>
    <xf numFmtId="222" fontId="8" fillId="4" borderId="0" applyFont="0" applyFill="0" applyBorder="0" applyAlignment="0" applyProtection="0"/>
    <xf numFmtId="175" fontId="8" fillId="0" borderId="7" applyFont="0" applyFill="0" applyBorder="0" applyAlignment="0" applyProtection="0"/>
    <xf numFmtId="175" fontId="8" fillId="0" borderId="7" applyFont="0" applyFill="0" applyBorder="0" applyAlignment="0" applyProtection="0"/>
    <xf numFmtId="222" fontId="8" fillId="0" borderId="0" applyFill="0" applyBorder="0">
      <alignment horizontal="right"/>
    </xf>
    <xf numFmtId="14" fontId="64" fillId="0" borderId="0" applyFont="0" applyFill="0" applyBorder="0" applyAlignment="0" applyProtection="0">
      <alignment horizontal="center"/>
    </xf>
    <xf numFmtId="14" fontId="64" fillId="0" borderId="0" applyFont="0" applyFill="0" applyBorder="0" applyAlignment="0" applyProtection="0">
      <alignment horizontal="center"/>
    </xf>
    <xf numFmtId="223" fontId="64" fillId="0" borderId="0" applyFont="0" applyFill="0" applyBorder="0" applyAlignment="0" applyProtection="0">
      <alignment horizontal="center"/>
    </xf>
    <xf numFmtId="223" fontId="64" fillId="0" borderId="0" applyFont="0" applyFill="0" applyBorder="0" applyAlignment="0" applyProtection="0">
      <alignment horizontal="center"/>
    </xf>
    <xf numFmtId="0" fontId="118" fillId="5" borderId="0" applyNumberFormat="0" applyFont="0" applyFill="0" applyBorder="0" applyAlignment="0" applyProtection="0"/>
    <xf numFmtId="224" fontId="65" fillId="0" borderId="2" applyNumberFormat="0" applyFill="0" applyBorder="0" applyAlignment="0">
      <alignment horizontal="left"/>
      <protection locked="0"/>
    </xf>
    <xf numFmtId="224" fontId="65" fillId="0" borderId="2" applyNumberFormat="0" applyFill="0" applyBorder="0" applyAlignment="0">
      <alignment horizontal="left"/>
      <protection locked="0"/>
    </xf>
    <xf numFmtId="224" fontId="65" fillId="0" borderId="2" applyNumberFormat="0" applyFill="0" applyBorder="0" applyAlignment="0">
      <alignment horizontal="left"/>
      <protection locked="0"/>
    </xf>
    <xf numFmtId="225" fontId="14" fillId="0" borderId="0" applyFont="0" applyFill="0" applyBorder="0" applyAlignment="0" applyProtection="0"/>
    <xf numFmtId="225" fontId="14" fillId="0" borderId="0" applyFont="0" applyFill="0" applyBorder="0" applyAlignment="0" applyProtection="0"/>
    <xf numFmtId="225" fontId="14" fillId="0" borderId="0" applyFont="0" applyFill="0" applyBorder="0" applyAlignment="0" applyProtection="0"/>
    <xf numFmtId="0" fontId="21" fillId="0" borderId="0">
      <protection locked="0"/>
    </xf>
    <xf numFmtId="0" fontId="21" fillId="0" borderId="0">
      <protection locked="0"/>
    </xf>
    <xf numFmtId="0" fontId="21" fillId="0" borderId="0">
      <protection locked="0"/>
    </xf>
    <xf numFmtId="0" fontId="13" fillId="0" borderId="0">
      <protection locked="0"/>
    </xf>
    <xf numFmtId="0" fontId="21" fillId="0" borderId="0">
      <protection locked="0"/>
    </xf>
    <xf numFmtId="0" fontId="240" fillId="0" borderId="0">
      <protection locked="0"/>
    </xf>
    <xf numFmtId="0" fontId="6" fillId="0" borderId="0"/>
    <xf numFmtId="166" fontId="50" fillId="0" borderId="0" applyFont="0" applyFill="0" applyBorder="0" applyAlignment="0" applyProtection="0"/>
    <xf numFmtId="166" fontId="50" fillId="0" borderId="0" applyFont="0" applyFill="0" applyBorder="0" applyAlignment="0" applyProtection="0"/>
    <xf numFmtId="164" fontId="50" fillId="0" borderId="0" applyFont="0" applyFill="0" applyBorder="0" applyAlignment="0" applyProtection="0"/>
    <xf numFmtId="164" fontId="50" fillId="0" borderId="0" applyFont="0" applyFill="0" applyBorder="0" applyAlignment="0" applyProtection="0"/>
    <xf numFmtId="0" fontId="241" fillId="0" borderId="0">
      <protection locked="0"/>
    </xf>
    <xf numFmtId="0" fontId="241" fillId="0" borderId="0">
      <protection locked="0"/>
    </xf>
    <xf numFmtId="226" fontId="14" fillId="0" borderId="0" applyFont="0" applyFill="0" applyBorder="0" applyAlignment="0"/>
    <xf numFmtId="226" fontId="14" fillId="0" borderId="0" applyFont="0" applyFill="0" applyBorder="0" applyAlignment="0"/>
    <xf numFmtId="226" fontId="14" fillId="0" borderId="0" applyFont="0" applyFill="0" applyBorder="0" applyAlignment="0"/>
    <xf numFmtId="166" fontId="50" fillId="0" borderId="0" applyFont="0" applyFill="0" applyBorder="0" applyAlignment="0" applyProtection="0">
      <alignment horizontal="right"/>
    </xf>
    <xf numFmtId="166" fontId="50" fillId="0" borderId="0" applyFont="0" applyFill="0" applyBorder="0" applyAlignment="0" applyProtection="0">
      <alignment horizontal="right"/>
    </xf>
    <xf numFmtId="227" fontId="14" fillId="0" borderId="0" applyFont="0" applyFill="0" applyBorder="0" applyProtection="0">
      <alignment horizontal="left"/>
      <protection locked="0"/>
    </xf>
    <xf numFmtId="228" fontId="14" fillId="0" borderId="0" applyFont="0" applyFill="0" applyBorder="0" applyProtection="0">
      <alignment horizontal="left"/>
      <protection locked="0"/>
    </xf>
    <xf numFmtId="166" fontId="8" fillId="0" borderId="0"/>
    <xf numFmtId="166" fontId="8" fillId="0" borderId="0"/>
    <xf numFmtId="166" fontId="8" fillId="0" borderId="0"/>
    <xf numFmtId="0" fontId="68" fillId="0" borderId="0"/>
    <xf numFmtId="176" fontId="8" fillId="0" borderId="0"/>
    <xf numFmtId="176" fontId="8" fillId="0" borderId="0"/>
    <xf numFmtId="176" fontId="8" fillId="0" borderId="0"/>
    <xf numFmtId="0" fontId="68" fillId="0" borderId="0"/>
    <xf numFmtId="204" fontId="8" fillId="0" borderId="0"/>
    <xf numFmtId="204" fontId="8" fillId="0" borderId="0"/>
    <xf numFmtId="204" fontId="8" fillId="0" borderId="0"/>
    <xf numFmtId="0" fontId="68" fillId="0" borderId="0"/>
    <xf numFmtId="320" fontId="8" fillId="93" borderId="0" applyFont="0" applyFill="0" applyBorder="0" applyAlignment="0"/>
    <xf numFmtId="229" fontId="8" fillId="0" borderId="0" applyFont="0" applyFill="0" applyBorder="0" applyAlignment="0" applyProtection="0"/>
    <xf numFmtId="321" fontId="8" fillId="0" borderId="0" applyFont="0" applyFill="0" applyBorder="0" applyAlignment="0" applyProtection="0"/>
    <xf numFmtId="0" fontId="218" fillId="0" borderId="0" applyNumberFormat="0" applyFill="0" applyBorder="0" applyAlignment="0" applyProtection="0"/>
    <xf numFmtId="0" fontId="242" fillId="0" borderId="0"/>
    <xf numFmtId="9" fontId="243" fillId="13" borderId="40" applyNumberFormat="0" applyFont="0" applyFill="0" applyBorder="0" applyAlignment="0" applyProtection="0">
      <alignment horizontal="left" vertical="center" wrapText="1"/>
      <protection hidden="1"/>
    </xf>
    <xf numFmtId="9" fontId="243" fillId="13" borderId="40" applyNumberFormat="0" applyFont="0" applyFill="0" applyBorder="0" applyAlignment="0" applyProtection="0">
      <alignment horizontal="left" vertical="center" wrapText="1"/>
      <protection hidden="1"/>
    </xf>
    <xf numFmtId="0" fontId="242" fillId="0" borderId="0"/>
    <xf numFmtId="9" fontId="243" fillId="13" borderId="40" applyNumberFormat="0" applyFont="0" applyFill="0" applyBorder="0" applyAlignment="0" applyProtection="0">
      <alignment horizontal="left" vertical="center" wrapText="1"/>
      <protection hidden="1"/>
    </xf>
    <xf numFmtId="9" fontId="243" fillId="13" borderId="40" applyNumberFormat="0" applyFont="0" applyFill="0" applyBorder="0" applyAlignment="0" applyProtection="0">
      <alignment horizontal="left" vertical="center" wrapText="1"/>
      <protection hidden="1"/>
    </xf>
    <xf numFmtId="9" fontId="243" fillId="13" borderId="40" applyNumberFormat="0" applyFont="0" applyFill="0" applyBorder="0" applyAlignment="0" applyProtection="0">
      <alignment horizontal="left" vertical="center" wrapText="1"/>
      <protection hidden="1"/>
    </xf>
    <xf numFmtId="0" fontId="242" fillId="0" borderId="0"/>
    <xf numFmtId="9" fontId="243" fillId="13" borderId="40" applyNumberFormat="0" applyFont="0" applyFill="0" applyBorder="0" applyAlignment="0" applyProtection="0">
      <alignment horizontal="left" vertical="center" wrapText="1"/>
      <protection hidden="1"/>
    </xf>
    <xf numFmtId="0" fontId="242" fillId="0" borderId="0"/>
    <xf numFmtId="0" fontId="242" fillId="0" borderId="0"/>
    <xf numFmtId="0" fontId="242" fillId="0" borderId="0"/>
    <xf numFmtId="0" fontId="242" fillId="0" borderId="0"/>
    <xf numFmtId="0" fontId="242" fillId="0" borderId="0"/>
    <xf numFmtId="9" fontId="243" fillId="13" borderId="40" applyNumberFormat="0" applyFont="0" applyFill="0" applyBorder="0" applyAlignment="0" applyProtection="0">
      <alignment horizontal="left" vertical="center" wrapText="1"/>
      <protection hidden="1"/>
    </xf>
    <xf numFmtId="9" fontId="243" fillId="13" borderId="40" applyNumberFormat="0" applyFont="0" applyFill="0" applyBorder="0" applyAlignment="0" applyProtection="0">
      <alignment horizontal="left" vertical="center" wrapText="1"/>
      <protection hidden="1"/>
    </xf>
    <xf numFmtId="9" fontId="243" fillId="13" borderId="40" applyNumberFormat="0" applyFont="0" applyFill="0" applyBorder="0" applyAlignment="0" applyProtection="0">
      <alignment horizontal="left" vertical="center" wrapText="1"/>
      <protection hidden="1"/>
    </xf>
    <xf numFmtId="9" fontId="243" fillId="13" borderId="40" applyNumberFormat="0" applyFont="0" applyFill="0" applyBorder="0" applyAlignment="0" applyProtection="0">
      <alignment horizontal="left" vertical="center" wrapText="1"/>
      <protection hidden="1"/>
    </xf>
    <xf numFmtId="9" fontId="243" fillId="13" borderId="40" applyNumberFormat="0" applyFont="0" applyFill="0" applyBorder="0" applyAlignment="0" applyProtection="0">
      <alignment horizontal="left" vertical="center" wrapText="1"/>
      <protection hidden="1"/>
    </xf>
    <xf numFmtId="9" fontId="243" fillId="13" borderId="40" applyNumberFormat="0" applyFont="0" applyFill="0" applyBorder="0" applyAlignment="0" applyProtection="0">
      <alignment horizontal="left" vertical="center" wrapText="1"/>
      <protection hidden="1"/>
    </xf>
    <xf numFmtId="0" fontId="242" fillId="0" borderId="0"/>
    <xf numFmtId="0" fontId="242" fillId="0" borderId="0"/>
    <xf numFmtId="0" fontId="242" fillId="0" borderId="0"/>
    <xf numFmtId="9" fontId="243" fillId="13" borderId="40" applyNumberFormat="0" applyFont="0" applyFill="0" applyBorder="0" applyAlignment="0" applyProtection="0">
      <alignment horizontal="left" vertical="center" wrapText="1"/>
      <protection hidden="1"/>
    </xf>
    <xf numFmtId="9" fontId="243" fillId="13" borderId="40" applyNumberFormat="0" applyFont="0" applyFill="0" applyBorder="0" applyAlignment="0" applyProtection="0">
      <alignment horizontal="left" vertical="center" wrapText="1"/>
      <protection hidden="1"/>
    </xf>
    <xf numFmtId="9" fontId="243" fillId="13" borderId="40" applyNumberFormat="0" applyFont="0" applyFill="0" applyBorder="0" applyAlignment="0" applyProtection="0">
      <alignment horizontal="left" vertical="center" wrapText="1"/>
      <protection hidden="1"/>
    </xf>
    <xf numFmtId="9" fontId="243" fillId="13" borderId="40" applyNumberFormat="0" applyFont="0" applyFill="0" applyBorder="0" applyAlignment="0" applyProtection="0">
      <alignment horizontal="left" vertical="center" wrapText="1"/>
      <protection hidden="1"/>
    </xf>
    <xf numFmtId="9" fontId="243" fillId="13" borderId="40" applyNumberFormat="0" applyFont="0" applyFill="0" applyBorder="0" applyAlignment="0" applyProtection="0">
      <alignment horizontal="left" vertical="center" wrapText="1"/>
      <protection hidden="1"/>
    </xf>
    <xf numFmtId="9" fontId="243" fillId="13" borderId="40" applyNumberFormat="0" applyFont="0" applyFill="0" applyBorder="0" applyAlignment="0" applyProtection="0">
      <alignment horizontal="left" vertical="center" wrapText="1"/>
      <protection hidden="1"/>
    </xf>
    <xf numFmtId="9" fontId="243" fillId="13" borderId="40" applyNumberFormat="0" applyFont="0" applyFill="0" applyBorder="0" applyAlignment="0" applyProtection="0">
      <alignment horizontal="left" vertical="center" wrapText="1"/>
      <protection hidden="1"/>
    </xf>
    <xf numFmtId="9" fontId="243" fillId="13" borderId="40" applyNumberFormat="0" applyFont="0" applyFill="0" applyBorder="0" applyAlignment="0" applyProtection="0">
      <alignment horizontal="left" vertical="center" wrapText="1"/>
      <protection hidden="1"/>
    </xf>
    <xf numFmtId="0" fontId="242" fillId="0" borderId="0"/>
    <xf numFmtId="0" fontId="240" fillId="0" borderId="0">
      <protection locked="0"/>
    </xf>
    <xf numFmtId="0" fontId="240" fillId="0" borderId="0">
      <protection locked="0"/>
    </xf>
    <xf numFmtId="0" fontId="240" fillId="0" borderId="0">
      <protection locked="0"/>
    </xf>
    <xf numFmtId="0" fontId="240" fillId="0" borderId="0">
      <protection locked="0"/>
    </xf>
    <xf numFmtId="0" fontId="240" fillId="0" borderId="0">
      <protection locked="0"/>
    </xf>
    <xf numFmtId="0" fontId="240" fillId="0" borderId="0">
      <protection locked="0"/>
    </xf>
    <xf numFmtId="0" fontId="240" fillId="0" borderId="0">
      <protection locked="0"/>
    </xf>
    <xf numFmtId="0" fontId="69" fillId="0" borderId="0"/>
    <xf numFmtId="0" fontId="69" fillId="0" borderId="0"/>
    <xf numFmtId="0" fontId="69" fillId="0" borderId="0"/>
    <xf numFmtId="0" fontId="240" fillId="0" borderId="0">
      <protection locked="0"/>
    </xf>
    <xf numFmtId="0" fontId="240" fillId="0" borderId="0">
      <protection locked="0"/>
    </xf>
    <xf numFmtId="0" fontId="71" fillId="12" borderId="0"/>
    <xf numFmtId="0" fontId="71" fillId="12" borderId="0"/>
    <xf numFmtId="0" fontId="71" fillId="12" borderId="0"/>
    <xf numFmtId="0" fontId="8" fillId="4" borderId="0" applyFont="0" applyFill="0" applyBorder="0" applyAlignment="0"/>
    <xf numFmtId="2" fontId="61" fillId="0" borderId="0" applyFont="0" applyFill="0" applyBorder="0" applyAlignment="0" applyProtection="0"/>
    <xf numFmtId="2" fontId="61" fillId="0" borderId="0" applyFont="0" applyFill="0" applyBorder="0" applyAlignment="0" applyProtection="0"/>
    <xf numFmtId="2" fontId="61" fillId="0" borderId="0" applyFont="0" applyFill="0" applyBorder="0" applyAlignment="0" applyProtection="0"/>
    <xf numFmtId="2" fontId="61" fillId="0" borderId="0" applyFont="0" applyFill="0" applyBorder="0" applyAlignment="0" applyProtection="0"/>
    <xf numFmtId="322" fontId="240" fillId="0" borderId="0">
      <protection locked="0"/>
    </xf>
    <xf numFmtId="0" fontId="72" fillId="0" borderId="0" applyNumberFormat="0" applyFill="0" applyBorder="0" applyAlignment="0" applyProtection="0">
      <alignment vertical="top"/>
      <protection locked="0"/>
    </xf>
    <xf numFmtId="0" fontId="72" fillId="0" borderId="0" applyNumberFormat="0" applyFill="0" applyBorder="0" applyAlignment="0" applyProtection="0">
      <alignment vertical="top"/>
      <protection locked="0"/>
    </xf>
    <xf numFmtId="0" fontId="8" fillId="0" borderId="0">
      <alignment horizontal="left"/>
    </xf>
    <xf numFmtId="0" fontId="8" fillId="0" borderId="0">
      <alignment horizontal="left"/>
    </xf>
    <xf numFmtId="0" fontId="8" fillId="0" borderId="0">
      <alignment horizontal="left"/>
    </xf>
    <xf numFmtId="0" fontId="8" fillId="0" borderId="0">
      <alignment horizontal="left"/>
    </xf>
    <xf numFmtId="0" fontId="8" fillId="0" borderId="0" applyFill="0" applyBorder="0" applyProtection="0">
      <alignment horizontal="left"/>
    </xf>
    <xf numFmtId="0" fontId="8" fillId="0" borderId="0" applyFill="0" applyBorder="0" applyProtection="0">
      <alignment horizontal="left"/>
    </xf>
    <xf numFmtId="0" fontId="183" fillId="0" borderId="0" applyFill="0" applyBorder="0" applyProtection="0">
      <alignment horizontal="left"/>
    </xf>
    <xf numFmtId="0" fontId="8" fillId="0" borderId="0">
      <alignment horizontal="left"/>
    </xf>
    <xf numFmtId="0" fontId="8" fillId="0" borderId="0">
      <alignment horizontal="left"/>
    </xf>
    <xf numFmtId="231" fontId="50" fillId="0" borderId="0" applyFill="0" applyBorder="0" applyAlignment="0" applyProtection="0">
      <protection locked="0"/>
    </xf>
    <xf numFmtId="0" fontId="219" fillId="70" borderId="0" applyNumberFormat="0" applyBorder="0" applyAlignment="0" applyProtection="0"/>
    <xf numFmtId="38" fontId="26" fillId="13" borderId="0" applyNumberFormat="0" applyFont="0" applyBorder="0" applyAlignment="0">
      <protection hidden="1"/>
    </xf>
    <xf numFmtId="232" fontId="73" fillId="0" borderId="0" applyFill="0" applyBorder="0" applyAlignment="0" applyProtection="0"/>
    <xf numFmtId="232" fontId="74" fillId="0" borderId="0" applyAlignment="0">
      <alignment horizontal="left"/>
      <protection locked="0"/>
    </xf>
    <xf numFmtId="232" fontId="74" fillId="0" borderId="0" applyAlignment="0">
      <alignment horizontal="left"/>
      <protection locked="0"/>
    </xf>
    <xf numFmtId="0" fontId="14" fillId="0" borderId="0"/>
    <xf numFmtId="0" fontId="14" fillId="0" borderId="0"/>
    <xf numFmtId="0" fontId="14" fillId="0" borderId="0"/>
    <xf numFmtId="0" fontId="8" fillId="1" borderId="0" applyNumberFormat="0" applyBorder="0" applyProtection="0">
      <alignment horizontal="left" vertical="center"/>
    </xf>
    <xf numFmtId="0" fontId="8" fillId="0" borderId="0" applyProtection="0">
      <alignment horizontal="right"/>
    </xf>
    <xf numFmtId="0" fontId="8" fillId="0" borderId="0" applyProtection="0">
      <alignment horizontal="right"/>
    </xf>
    <xf numFmtId="0" fontId="244" fillId="0" borderId="0" applyProtection="0">
      <alignment horizontal="right"/>
    </xf>
    <xf numFmtId="0" fontId="8" fillId="0" borderId="0">
      <alignment horizontal="left"/>
    </xf>
    <xf numFmtId="0" fontId="8" fillId="0" borderId="0">
      <alignment horizontal="left"/>
    </xf>
    <xf numFmtId="0" fontId="8" fillId="0" borderId="0">
      <alignment horizontal="left"/>
    </xf>
    <xf numFmtId="0" fontId="8" fillId="0" borderId="0">
      <alignment horizontal="left"/>
    </xf>
    <xf numFmtId="0" fontId="8" fillId="0" borderId="2">
      <alignment horizontal="left" vertical="top"/>
    </xf>
    <xf numFmtId="0" fontId="8" fillId="0" borderId="2">
      <alignment horizontal="left" vertical="top"/>
    </xf>
    <xf numFmtId="0" fontId="245" fillId="0" borderId="0" applyProtection="0">
      <alignment horizontal="left"/>
    </xf>
    <xf numFmtId="0" fontId="8" fillId="0" borderId="0" applyProtection="0">
      <alignment horizontal="left"/>
    </xf>
    <xf numFmtId="0" fontId="8" fillId="0" borderId="0">
      <alignment horizontal="left"/>
    </xf>
    <xf numFmtId="0" fontId="8" fillId="0" borderId="0">
      <alignment horizontal="left"/>
    </xf>
    <xf numFmtId="0" fontId="8" fillId="0" borderId="2">
      <alignment horizontal="left" vertical="top"/>
    </xf>
    <xf numFmtId="0" fontId="8" fillId="0" borderId="2">
      <alignment horizontal="left" vertical="top"/>
    </xf>
    <xf numFmtId="0" fontId="246" fillId="0" borderId="0" applyProtection="0">
      <alignment horizontal="left"/>
    </xf>
    <xf numFmtId="0" fontId="8" fillId="0" borderId="0" applyProtection="0">
      <alignment horizontal="left"/>
    </xf>
    <xf numFmtId="0" fontId="8" fillId="0" borderId="0">
      <alignment horizontal="left"/>
    </xf>
    <xf numFmtId="0" fontId="8" fillId="0" borderId="0">
      <alignment horizontal="left"/>
    </xf>
    <xf numFmtId="0" fontId="247" fillId="0" borderId="0" applyNumberFormat="0" applyFill="0" applyBorder="0" applyAlignment="0" applyProtection="0"/>
    <xf numFmtId="0" fontId="248" fillId="0" borderId="0" applyNumberFormat="0" applyFill="0" applyBorder="0" applyAlignment="0" applyProtection="0"/>
    <xf numFmtId="0" fontId="249" fillId="0" borderId="0" applyNumberFormat="0" applyFill="0" applyBorder="0" applyAlignment="0" applyProtection="0"/>
    <xf numFmtId="0" fontId="77" fillId="0" borderId="0"/>
    <xf numFmtId="0" fontId="77" fillId="0" borderId="0"/>
    <xf numFmtId="0" fontId="8" fillId="3" borderId="0"/>
    <xf numFmtId="0" fontId="8" fillId="3" borderId="0"/>
    <xf numFmtId="0" fontId="8" fillId="3" borderId="0"/>
    <xf numFmtId="0" fontId="8" fillId="3" borderId="0"/>
    <xf numFmtId="0" fontId="78" fillId="0" borderId="0">
      <alignment wrapText="1"/>
    </xf>
    <xf numFmtId="0" fontId="78" fillId="0" borderId="0">
      <alignment wrapText="1"/>
    </xf>
    <xf numFmtId="0" fontId="227" fillId="0" borderId="0" applyNumberFormat="0" applyFill="0" applyBorder="0" applyAlignment="0" applyProtection="0">
      <alignment vertical="top"/>
      <protection locked="0"/>
    </xf>
    <xf numFmtId="0" fontId="72" fillId="0" borderId="0" applyNumberFormat="0" applyFill="0" applyBorder="0" applyAlignment="0" applyProtection="0">
      <alignment vertical="top"/>
      <protection locked="0"/>
    </xf>
    <xf numFmtId="0" fontId="80" fillId="0" borderId="0" applyNumberFormat="0" applyFill="0" applyBorder="0" applyAlignment="0" applyProtection="0">
      <alignment vertical="top"/>
      <protection locked="0"/>
    </xf>
    <xf numFmtId="0" fontId="80" fillId="0" borderId="0" applyNumberFormat="0" applyFill="0" applyBorder="0" applyAlignment="0" applyProtection="0">
      <alignment vertical="top"/>
      <protection locked="0"/>
    </xf>
    <xf numFmtId="0" fontId="250" fillId="0" borderId="0" applyNumberFormat="0" applyFill="0" applyBorder="0" applyAlignment="0" applyProtection="0">
      <alignment vertical="top"/>
      <protection locked="0"/>
    </xf>
    <xf numFmtId="0" fontId="251" fillId="0" borderId="0" applyNumberFormat="0" applyFill="0" applyBorder="0" applyAlignment="0" applyProtection="0">
      <alignment vertical="top"/>
      <protection locked="0"/>
    </xf>
    <xf numFmtId="0" fontId="252" fillId="0" borderId="0" applyNumberFormat="0" applyFill="0" applyBorder="0" applyAlignment="0" applyProtection="0">
      <alignment vertical="top"/>
      <protection locked="0"/>
    </xf>
    <xf numFmtId="0" fontId="253" fillId="0" borderId="0" applyNumberFormat="0" applyFill="0" applyBorder="0" applyAlignment="0" applyProtection="0">
      <alignment vertical="top"/>
      <protection locked="0"/>
    </xf>
    <xf numFmtId="231" fontId="50" fillId="0" borderId="0" applyFill="0" applyBorder="0" applyAlignment="0" applyProtection="0">
      <alignment horizontal="right"/>
      <protection locked="0"/>
    </xf>
    <xf numFmtId="0" fontId="254" fillId="0" borderId="0" applyNumberFormat="0" applyFill="0" applyBorder="0" applyAlignment="0" applyProtection="0"/>
    <xf numFmtId="176" fontId="255" fillId="13" borderId="0">
      <protection locked="0"/>
    </xf>
    <xf numFmtId="3" fontId="8" fillId="13" borderId="0">
      <alignment horizontal="right"/>
      <protection locked="0"/>
    </xf>
    <xf numFmtId="178" fontId="8" fillId="13" borderId="0" applyBorder="0">
      <alignment horizontal="right"/>
      <protection locked="0"/>
    </xf>
    <xf numFmtId="3" fontId="256" fillId="13" borderId="0">
      <alignment horizontal="right"/>
      <protection locked="0"/>
    </xf>
    <xf numFmtId="0" fontId="75" fillId="0" borderId="0" applyNumberFormat="0" applyFill="0" applyBorder="0" applyAlignment="0" applyProtection="0"/>
    <xf numFmtId="3" fontId="257" fillId="0" borderId="15" applyNumberFormat="0" applyFont="0" applyFill="0" applyAlignment="0">
      <alignment horizontal="center" vertical="top"/>
      <protection locked="0"/>
    </xf>
    <xf numFmtId="222" fontId="8" fillId="4" borderId="0" applyFont="0" applyBorder="0" applyAlignment="0" applyProtection="0">
      <protection locked="0"/>
    </xf>
    <xf numFmtId="236" fontId="8" fillId="4" borderId="0" applyFont="0" applyBorder="0" applyAlignment="0">
      <protection locked="0"/>
    </xf>
    <xf numFmtId="236" fontId="8" fillId="4" borderId="0" applyFont="0" applyBorder="0" applyAlignment="0">
      <protection locked="0"/>
    </xf>
    <xf numFmtId="10" fontId="8" fillId="0" borderId="0">
      <protection locked="0"/>
    </xf>
    <xf numFmtId="10" fontId="8" fillId="0" borderId="0">
      <protection locked="0"/>
    </xf>
    <xf numFmtId="0" fontId="8" fillId="4" borderId="4"/>
    <xf numFmtId="176" fontId="26" fillId="4" borderId="7" applyNumberFormat="0" applyFont="0" applyAlignment="0" applyProtection="0">
      <alignment horizontal="center"/>
      <protection locked="0"/>
    </xf>
    <xf numFmtId="0" fontId="8" fillId="4" borderId="4"/>
    <xf numFmtId="0" fontId="21" fillId="0" borderId="0" applyNumberFormat="0" applyFill="0" applyBorder="0" applyAlignment="0">
      <protection locked="0"/>
    </xf>
    <xf numFmtId="0" fontId="21" fillId="0" borderId="0" applyNumberFormat="0" applyFill="0" applyBorder="0" applyAlignment="0">
      <protection locked="0"/>
    </xf>
    <xf numFmtId="0" fontId="21" fillId="0" borderId="0" applyNumberFormat="0" applyFill="0" applyBorder="0" applyAlignment="0">
      <protection locked="0"/>
    </xf>
    <xf numFmtId="0" fontId="16" fillId="0" borderId="0" applyNumberFormat="0" applyFill="0" applyBorder="0" applyAlignment="0">
      <protection locked="0"/>
    </xf>
    <xf numFmtId="0" fontId="21" fillId="0" borderId="0" applyNumberFormat="0" applyFill="0" applyBorder="0" applyAlignment="0">
      <protection locked="0"/>
    </xf>
    <xf numFmtId="15" fontId="8" fillId="0" borderId="0">
      <protection locked="0"/>
    </xf>
    <xf numFmtId="15" fontId="8" fillId="0" borderId="0">
      <protection locked="0"/>
    </xf>
    <xf numFmtId="15" fontId="8" fillId="0" borderId="0">
      <protection locked="0"/>
    </xf>
    <xf numFmtId="2" fontId="8" fillId="0" borderId="13">
      <protection locked="0"/>
    </xf>
    <xf numFmtId="2" fontId="8" fillId="0" borderId="13">
      <protection locked="0"/>
    </xf>
    <xf numFmtId="2" fontId="8" fillId="0" borderId="13">
      <protection locked="0"/>
    </xf>
    <xf numFmtId="0" fontId="8" fillId="0" borderId="0">
      <protection locked="0"/>
    </xf>
    <xf numFmtId="0" fontId="8" fillId="0" borderId="0">
      <protection locked="0"/>
    </xf>
    <xf numFmtId="0" fontId="8" fillId="0" borderId="0">
      <protection locked="0"/>
    </xf>
    <xf numFmtId="0" fontId="9" fillId="0" borderId="0" applyFill="0" applyBorder="0">
      <alignment horizontal="right"/>
      <protection locked="0"/>
    </xf>
    <xf numFmtId="0" fontId="9" fillId="0" borderId="0" applyFill="0" applyBorder="0">
      <alignment horizontal="right"/>
      <protection locked="0"/>
    </xf>
    <xf numFmtId="180" fontId="9" fillId="0" borderId="0" applyFill="0" applyBorder="0">
      <alignment horizontal="right"/>
      <protection locked="0"/>
    </xf>
    <xf numFmtId="180" fontId="9" fillId="0" borderId="0" applyFill="0" applyBorder="0">
      <alignment horizontal="right"/>
      <protection locked="0"/>
    </xf>
    <xf numFmtId="0" fontId="9" fillId="0" borderId="0" applyFill="0" applyBorder="0">
      <alignment horizontal="right"/>
      <protection locked="0"/>
    </xf>
    <xf numFmtId="0" fontId="17" fillId="22" borderId="65">
      <alignment horizontal="left" vertical="center" wrapText="1"/>
    </xf>
    <xf numFmtId="38" fontId="258" fillId="0" borderId="0"/>
    <xf numFmtId="38" fontId="259" fillId="0" borderId="0"/>
    <xf numFmtId="38" fontId="191" fillId="0" borderId="0"/>
    <xf numFmtId="38" fontId="260" fillId="0" borderId="0"/>
    <xf numFmtId="0" fontId="235" fillId="0" borderId="0"/>
    <xf numFmtId="0" fontId="235" fillId="0" borderId="0"/>
    <xf numFmtId="1" fontId="8" fillId="0" borderId="0" applyNumberFormat="0" applyBorder="0" applyAlignment="0">
      <alignment horizontal="right"/>
    </xf>
    <xf numFmtId="37" fontId="84" fillId="0" borderId="0" applyNumberFormat="0" applyFill="0" applyBorder="0" applyAlignment="0" applyProtection="0">
      <alignment horizontal="right"/>
    </xf>
    <xf numFmtId="37" fontId="84" fillId="0" borderId="0" applyNumberFormat="0" applyFill="0" applyBorder="0" applyAlignment="0" applyProtection="0">
      <alignment horizontal="right"/>
    </xf>
    <xf numFmtId="37" fontId="84" fillId="0" borderId="0" applyNumberFormat="0" applyFill="0" applyBorder="0" applyAlignment="0" applyProtection="0">
      <alignment horizontal="right"/>
    </xf>
    <xf numFmtId="1" fontId="84" fillId="0" borderId="0" applyNumberFormat="0" applyFill="0" applyBorder="0" applyAlignment="0" applyProtection="0">
      <alignment horizontal="right"/>
    </xf>
    <xf numFmtId="204" fontId="8" fillId="23" borderId="0"/>
    <xf numFmtId="204" fontId="8" fillId="23" borderId="0"/>
    <xf numFmtId="204" fontId="8" fillId="23" borderId="0"/>
    <xf numFmtId="3" fontId="26" fillId="7" borderId="0" applyFont="0"/>
    <xf numFmtId="0" fontId="86" fillId="0" borderId="0" applyNumberFormat="0" applyFill="0" applyBorder="0" applyProtection="0">
      <alignment horizontal="left" vertical="center"/>
    </xf>
    <xf numFmtId="0" fontId="86" fillId="0" borderId="0" applyNumberFormat="0" applyFill="0" applyBorder="0" applyProtection="0">
      <alignment horizontal="left" vertical="center"/>
    </xf>
    <xf numFmtId="0" fontId="86" fillId="0" borderId="0" applyNumberFormat="0" applyFill="0" applyBorder="0" applyProtection="0">
      <alignment horizontal="left" vertical="center"/>
    </xf>
    <xf numFmtId="0" fontId="87" fillId="0" borderId="0"/>
    <xf numFmtId="0" fontId="87" fillId="0" borderId="0"/>
    <xf numFmtId="0" fontId="11" fillId="21" borderId="0" applyBorder="0" applyAlignment="0">
      <alignment horizontal="right"/>
    </xf>
    <xf numFmtId="323" fontId="51" fillId="21" borderId="0" applyBorder="0" applyAlignment="0">
      <alignment horizontal="right"/>
    </xf>
    <xf numFmtId="237" fontId="88" fillId="0" borderId="0" applyFill="0" applyBorder="0" applyAlignment="0" applyProtection="0"/>
    <xf numFmtId="0" fontId="71" fillId="0" borderId="0"/>
    <xf numFmtId="0" fontId="71" fillId="0" borderId="0"/>
    <xf numFmtId="0" fontId="71" fillId="0" borderId="0"/>
    <xf numFmtId="0" fontId="89" fillId="0" borderId="0"/>
    <xf numFmtId="0" fontId="89" fillId="0" borderId="0"/>
    <xf numFmtId="0" fontId="89" fillId="0" borderId="0"/>
    <xf numFmtId="0" fontId="90" fillId="0" borderId="0"/>
    <xf numFmtId="0" fontId="90" fillId="0" borderId="0"/>
    <xf numFmtId="0" fontId="90" fillId="0" borderId="0"/>
    <xf numFmtId="324" fontId="9" fillId="0" borderId="0" applyFont="0" applyFill="0" applyBorder="0" applyAlignment="0" applyProtection="0"/>
    <xf numFmtId="325" fontId="8" fillId="0" borderId="0" applyFont="0" applyFill="0" applyBorder="0" applyAlignment="0" applyProtection="0"/>
    <xf numFmtId="244" fontId="8" fillId="0" borderId="0" applyFont="0" applyFill="0" applyBorder="0" applyAlignment="0" applyProtection="0"/>
    <xf numFmtId="239" fontId="14" fillId="0" borderId="0" applyFont="0" applyFill="0" applyBorder="0" applyAlignment="0" applyProtection="0"/>
    <xf numFmtId="239" fontId="14" fillId="0" borderId="0" applyFont="0" applyFill="0" applyBorder="0" applyAlignment="0" applyProtection="0"/>
    <xf numFmtId="239" fontId="14" fillId="0" borderId="0" applyFont="0" applyFill="0" applyBorder="0" applyAlignment="0" applyProtection="0"/>
    <xf numFmtId="176" fontId="8" fillId="0" borderId="0"/>
    <xf numFmtId="176" fontId="8" fillId="0" borderId="0"/>
    <xf numFmtId="176" fontId="8" fillId="0" borderId="0"/>
    <xf numFmtId="0" fontId="8" fillId="0" borderId="3"/>
    <xf numFmtId="0" fontId="8" fillId="0" borderId="3"/>
    <xf numFmtId="326" fontId="8" fillId="0" borderId="0" applyFont="0" applyFill="0" applyBorder="0" applyAlignment="0" applyProtection="0"/>
    <xf numFmtId="327" fontId="8" fillId="0" borderId="0" applyFont="0" applyFill="0" applyBorder="0" applyAlignment="0" applyProtection="0"/>
    <xf numFmtId="328" fontId="8" fillId="0" borderId="0" applyFont="0" applyFill="0" applyBorder="0" applyAlignment="0" applyProtection="0"/>
    <xf numFmtId="329"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242" fontId="8" fillId="0" borderId="0" applyFont="0" applyFill="0" applyBorder="0" applyAlignment="0"/>
    <xf numFmtId="242" fontId="8" fillId="0" borderId="0" applyFont="0" applyFill="0" applyBorder="0" applyAlignment="0"/>
    <xf numFmtId="242" fontId="8" fillId="0" borderId="0" applyFont="0" applyFill="0" applyBorder="0" applyAlignment="0"/>
    <xf numFmtId="330" fontId="8" fillId="0" borderId="0" applyFont="0" applyFill="0" applyBorder="0" applyAlignment="0" applyProtection="0"/>
    <xf numFmtId="331"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0" fontId="240" fillId="0" borderId="0">
      <protection locked="0"/>
    </xf>
    <xf numFmtId="177" fontId="8" fillId="13" borderId="0" applyFont="0" applyBorder="0" applyAlignment="0" applyProtection="0">
      <alignment horizontal="right"/>
      <protection hidden="1"/>
    </xf>
    <xf numFmtId="0" fontId="21" fillId="0" borderId="16" applyBorder="0" applyAlignment="0" applyProtection="0">
      <alignment horizontal="center"/>
    </xf>
    <xf numFmtId="0" fontId="21" fillId="0" borderId="16" applyBorder="0" applyAlignment="0" applyProtection="0">
      <alignment horizontal="center"/>
    </xf>
    <xf numFmtId="0" fontId="21" fillId="0" borderId="16" applyBorder="0" applyAlignment="0" applyProtection="0">
      <alignment horizontal="center"/>
    </xf>
    <xf numFmtId="0" fontId="8" fillId="0" borderId="16" applyBorder="0" applyAlignment="0" applyProtection="0">
      <alignment horizontal="center"/>
    </xf>
    <xf numFmtId="0" fontId="21" fillId="0" borderId="16" applyBorder="0" applyAlignment="0" applyProtection="0">
      <alignment horizontal="center"/>
    </xf>
    <xf numFmtId="0" fontId="156" fillId="0" borderId="16" applyBorder="0" applyAlignment="0" applyProtection="0">
      <alignment horizontal="center"/>
    </xf>
    <xf numFmtId="37" fontId="91" fillId="0" borderId="0"/>
    <xf numFmtId="37" fontId="91" fillId="0" borderId="0"/>
    <xf numFmtId="0" fontId="8" fillId="0" borderId="0"/>
    <xf numFmtId="0" fontId="8" fillId="0" borderId="0"/>
    <xf numFmtId="332" fontId="261" fillId="0" borderId="0"/>
    <xf numFmtId="231" fontId="8" fillId="0" borderId="0" applyFont="0" applyFill="0" applyBorder="0" applyAlignment="0"/>
    <xf numFmtId="231" fontId="8" fillId="0" borderId="0" applyFont="0" applyFill="0" applyBorder="0" applyAlignment="0"/>
    <xf numFmtId="244" fontId="8" fillId="0" borderId="0" applyFont="0" applyFill="0" applyBorder="0" applyAlignment="0"/>
    <xf numFmtId="0" fontId="8" fillId="0" borderId="0"/>
    <xf numFmtId="0" fontId="8" fillId="0" borderId="0"/>
    <xf numFmtId="0" fontId="8" fillId="0" borderId="0"/>
    <xf numFmtId="0" fontId="8" fillId="0" borderId="0"/>
    <xf numFmtId="0" fontId="8" fillId="0" borderId="0"/>
    <xf numFmtId="3" fontId="8" fillId="0" borderId="0"/>
    <xf numFmtId="2" fontId="9" fillId="0" borderId="0" applyBorder="0" applyProtection="0"/>
    <xf numFmtId="0" fontId="120" fillId="4" borderId="0" applyNumberFormat="0" applyFont="0" applyFill="0" applyBorder="0" applyAlignment="0" applyProtection="0">
      <alignment horizontal="left"/>
    </xf>
    <xf numFmtId="3" fontId="8" fillId="0" borderId="0">
      <alignment horizontal="left"/>
    </xf>
    <xf numFmtId="0" fontId="18" fillId="0" borderId="0"/>
    <xf numFmtId="0" fontId="8" fillId="0" borderId="0"/>
    <xf numFmtId="0" fontId="8" fillId="0" borderId="0"/>
    <xf numFmtId="174" fontId="8" fillId="0" borderId="0"/>
    <xf numFmtId="174" fontId="8" fillId="0" borderId="0"/>
    <xf numFmtId="245" fontId="8" fillId="0" borderId="0" applyFont="0" applyFill="0" applyBorder="0" applyAlignment="0" applyProtection="0"/>
    <xf numFmtId="203" fontId="8" fillId="0" borderId="0" applyFont="0" applyFill="0" applyBorder="0" applyAlignment="0" applyProtection="0"/>
    <xf numFmtId="246" fontId="95" fillId="24" borderId="2" applyFont="0" applyBorder="0"/>
    <xf numFmtId="246" fontId="95" fillId="24" borderId="2" applyFont="0" applyBorder="0"/>
    <xf numFmtId="246" fontId="95" fillId="24" borderId="2" applyFont="0" applyBorder="0"/>
    <xf numFmtId="0" fontId="8" fillId="0" borderId="4">
      <alignment vertical="center" wrapText="1"/>
    </xf>
    <xf numFmtId="0" fontId="8" fillId="0" borderId="4">
      <alignment vertical="center" wrapText="1"/>
    </xf>
    <xf numFmtId="1" fontId="8" fillId="0" borderId="0" applyProtection="0">
      <alignment horizontal="right" vertical="center"/>
    </xf>
    <xf numFmtId="1" fontId="8" fillId="0" borderId="0" applyProtection="0">
      <alignment horizontal="right" vertical="center"/>
    </xf>
    <xf numFmtId="0" fontId="8" fillId="0" borderId="0">
      <alignment horizontal="left"/>
    </xf>
    <xf numFmtId="1" fontId="262" fillId="0" borderId="0" applyProtection="0">
      <alignment horizontal="right" vertical="center"/>
    </xf>
    <xf numFmtId="0" fontId="90" fillId="0" borderId="0"/>
    <xf numFmtId="0" fontId="90" fillId="0" borderId="0"/>
    <xf numFmtId="0" fontId="90" fillId="0" borderId="0"/>
    <xf numFmtId="0" fontId="22" fillId="0" borderId="18" applyNumberFormat="0" applyAlignment="0" applyProtection="0"/>
    <xf numFmtId="0" fontId="14" fillId="14" borderId="0" applyNumberFormat="0" applyFont="0" applyBorder="0" applyAlignment="0" applyProtection="0"/>
    <xf numFmtId="0" fontId="14" fillId="0" borderId="19" applyNumberFormat="0" applyAlignment="0" applyProtection="0"/>
    <xf numFmtId="0" fontId="14" fillId="0" borderId="20" applyNumberFormat="0" applyAlignment="0" applyProtection="0"/>
    <xf numFmtId="0" fontId="22" fillId="0" borderId="21" applyNumberFormat="0" applyAlignment="0" applyProtection="0"/>
    <xf numFmtId="14" fontId="50" fillId="0" borderId="0">
      <alignment horizontal="center" wrapText="1"/>
      <protection locked="0"/>
    </xf>
    <xf numFmtId="14" fontId="50" fillId="0" borderId="0">
      <alignment horizontal="center" wrapText="1"/>
      <protection locked="0"/>
    </xf>
    <xf numFmtId="14" fontId="50" fillId="0" borderId="0">
      <alignment horizontal="center" wrapText="1"/>
      <protection locked="0"/>
    </xf>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8" fillId="0" borderId="0" applyFont="0" applyFill="0" applyBorder="0" applyAlignment="0"/>
    <xf numFmtId="236" fontId="8" fillId="0" borderId="0" applyFont="0" applyFill="0" applyBorder="0" applyAlignment="0"/>
    <xf numFmtId="10" fontId="8" fillId="0" borderId="0" applyFont="0" applyFill="0" applyBorder="0" applyAlignment="0" applyProtection="0"/>
    <xf numFmtId="247" fontId="8" fillId="11" borderId="0" applyFont="0" applyFill="0" applyBorder="0" applyAlignment="0" applyProtection="0"/>
    <xf numFmtId="9" fontId="14" fillId="0" borderId="0"/>
    <xf numFmtId="9" fontId="14" fillId="0" borderId="0"/>
    <xf numFmtId="9" fontId="14" fillId="0" borderId="0"/>
    <xf numFmtId="10" fontId="14" fillId="0" borderId="0"/>
    <xf numFmtId="10" fontId="14" fillId="0" borderId="0"/>
    <xf numFmtId="10" fontId="14" fillId="0" borderId="0"/>
    <xf numFmtId="9" fontId="8" fillId="0" borderId="0" applyFont="0" applyFill="0" applyBorder="0" applyAlignment="0" applyProtection="0"/>
    <xf numFmtId="9" fontId="8"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8" fillId="0" borderId="0" applyFont="0" applyFill="0" applyBorder="0" applyAlignment="0" applyProtection="0"/>
    <xf numFmtId="181" fontId="9" fillId="0" borderId="0" applyFill="0" applyBorder="0">
      <alignment horizontal="right"/>
      <protection locked="0"/>
    </xf>
    <xf numFmtId="181" fontId="9" fillId="0" borderId="0" applyFill="0" applyBorder="0">
      <alignment horizontal="right"/>
      <protection locked="0"/>
    </xf>
    <xf numFmtId="0" fontId="9" fillId="0" borderId="0" applyFill="0" applyBorder="0">
      <alignment horizontal="right"/>
      <protection locked="0"/>
    </xf>
    <xf numFmtId="232" fontId="50" fillId="0" borderId="0" applyFont="0" applyFill="0" applyBorder="0" applyAlignment="0" applyProtection="0"/>
    <xf numFmtId="232" fontId="50" fillId="0" borderId="0" applyFont="0" applyFill="0" applyBorder="0" applyAlignment="0" applyProtection="0"/>
    <xf numFmtId="210" fontId="8" fillId="0" borderId="0" applyFont="0" applyFill="0" applyBorder="0" applyAlignment="0" applyProtection="0"/>
    <xf numFmtId="333" fontId="240" fillId="0" borderId="0">
      <protection locked="0"/>
    </xf>
    <xf numFmtId="166" fontId="50" fillId="0" borderId="0" applyFont="0" applyFill="0" applyBorder="0" applyAlignment="0" applyProtection="0"/>
    <xf numFmtId="166" fontId="50" fillId="0" borderId="0" applyFont="0" applyFill="0" applyBorder="0" applyAlignment="0" applyProtection="0"/>
    <xf numFmtId="334" fontId="240" fillId="0" borderId="0">
      <protection locked="0"/>
    </xf>
    <xf numFmtId="231" fontId="50" fillId="0" borderId="0" applyFont="0" applyFill="0" applyBorder="0" applyAlignment="0" applyProtection="0">
      <protection locked="0"/>
    </xf>
    <xf numFmtId="231" fontId="50" fillId="0" borderId="0" applyFont="0" applyFill="0" applyBorder="0" applyAlignment="0" applyProtection="0">
      <protection locked="0"/>
    </xf>
    <xf numFmtId="0" fontId="240" fillId="0" borderId="0">
      <protection locked="0"/>
    </xf>
    <xf numFmtId="176" fontId="27" fillId="0" borderId="0" applyBorder="0" applyAlignment="0" applyProtection="0">
      <protection locked="0"/>
    </xf>
    <xf numFmtId="249" fontId="8" fillId="0" borderId="0" applyFont="0" applyFill="0" applyBorder="0" applyAlignment="0"/>
    <xf numFmtId="249" fontId="8" fillId="0" borderId="0" applyFont="0" applyFill="0" applyBorder="0" applyAlignment="0"/>
    <xf numFmtId="249" fontId="8" fillId="0" borderId="0" applyFont="0" applyFill="0" applyBorder="0" applyAlignment="0"/>
    <xf numFmtId="231" fontId="50" fillId="0" borderId="0" applyFill="0" applyBorder="0" applyAlignment="0" applyProtection="0"/>
    <xf numFmtId="231" fontId="50" fillId="0" borderId="0" applyFill="0" applyBorder="0" applyAlignment="0" applyProtection="0"/>
    <xf numFmtId="38" fontId="50" fillId="0" borderId="0" applyFont="0" applyFill="0" applyBorder="0" applyAlignment="0" applyProtection="0"/>
    <xf numFmtId="38" fontId="50" fillId="0" borderId="0" applyFont="0" applyFill="0" applyBorder="0" applyAlignment="0" applyProtection="0"/>
    <xf numFmtId="166" fontId="98" fillId="0" borderId="22">
      <alignment horizontal="right"/>
    </xf>
    <xf numFmtId="166" fontId="98" fillId="0" borderId="22">
      <alignment horizontal="right"/>
    </xf>
    <xf numFmtId="0" fontId="64" fillId="13" borderId="0" applyNumberFormat="0" applyFont="0" applyBorder="0" applyAlignment="0"/>
    <xf numFmtId="0" fontId="9" fillId="0" borderId="0" applyNumberFormat="0" applyFont="0" applyFill="0" applyBorder="0" applyAlignment="0" applyProtection="0">
      <alignment horizontal="left"/>
    </xf>
    <xf numFmtId="0" fontId="8" fillId="0" borderId="0">
      <alignment horizontal="right"/>
    </xf>
    <xf numFmtId="0" fontId="8" fillId="0" borderId="0">
      <alignment horizontal="right"/>
    </xf>
    <xf numFmtId="0" fontId="8" fillId="0" borderId="0">
      <alignment horizontal="right"/>
    </xf>
    <xf numFmtId="0" fontId="8" fillId="0" borderId="0"/>
    <xf numFmtId="0" fontId="8" fillId="0" borderId="0"/>
    <xf numFmtId="250" fontId="8" fillId="0" borderId="0"/>
    <xf numFmtId="250" fontId="8" fillId="0" borderId="0"/>
    <xf numFmtId="250" fontId="8" fillId="0" borderId="0"/>
    <xf numFmtId="250" fontId="8" fillId="0" borderId="0"/>
    <xf numFmtId="250" fontId="8" fillId="0" borderId="0"/>
    <xf numFmtId="250" fontId="8" fillId="0" borderId="0"/>
    <xf numFmtId="250" fontId="8" fillId="0" borderId="0"/>
    <xf numFmtId="250" fontId="8" fillId="0" borderId="0"/>
    <xf numFmtId="250" fontId="8" fillId="0" borderId="0"/>
    <xf numFmtId="250" fontId="8" fillId="0" borderId="0"/>
    <xf numFmtId="250" fontId="8" fillId="0" borderId="0"/>
    <xf numFmtId="250" fontId="8" fillId="0" borderId="0"/>
    <xf numFmtId="250" fontId="8" fillId="0" borderId="0"/>
    <xf numFmtId="250" fontId="8" fillId="0" borderId="0"/>
    <xf numFmtId="250" fontId="8" fillId="0" borderId="0"/>
    <xf numFmtId="250" fontId="8" fillId="0" borderId="0"/>
    <xf numFmtId="250" fontId="8" fillId="0" borderId="0"/>
    <xf numFmtId="250" fontId="8" fillId="0" borderId="0"/>
    <xf numFmtId="250" fontId="8" fillId="0" borderId="0"/>
    <xf numFmtId="25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77" fillId="0" borderId="7">
      <alignment horizontal="right"/>
    </xf>
    <xf numFmtId="182" fontId="9" fillId="0" borderId="0">
      <alignment horizontal="right"/>
      <protection locked="0"/>
    </xf>
    <xf numFmtId="182" fontId="9" fillId="0" borderId="0">
      <alignment horizontal="right"/>
      <protection locked="0"/>
    </xf>
    <xf numFmtId="0" fontId="9" fillId="0" borderId="0">
      <alignment horizontal="right"/>
      <protection locked="0"/>
    </xf>
    <xf numFmtId="231" fontId="64" fillId="0" borderId="0" applyFont="0" applyFill="0" applyBorder="0" applyAlignment="0" applyProtection="0"/>
    <xf numFmtId="231" fontId="64" fillId="0" borderId="0" applyFont="0" applyFill="0" applyBorder="0" applyAlignment="0" applyProtection="0"/>
    <xf numFmtId="38" fontId="263" fillId="0" borderId="0"/>
    <xf numFmtId="0" fontId="8" fillId="0" borderId="0">
      <alignment horizontal="right"/>
    </xf>
    <xf numFmtId="0" fontId="8" fillId="0" borderId="0">
      <alignment horizontal="right"/>
    </xf>
    <xf numFmtId="0" fontId="8" fillId="0" borderId="0">
      <alignment horizontal="right"/>
    </xf>
    <xf numFmtId="0" fontId="8" fillId="0" borderId="0" applyFill="0" applyBorder="0" applyProtection="0">
      <alignment horizontal="right"/>
    </xf>
    <xf numFmtId="0" fontId="8" fillId="0" borderId="0" applyFill="0" applyBorder="0" applyProtection="0">
      <alignment horizontal="right"/>
    </xf>
    <xf numFmtId="0" fontId="8" fillId="0" borderId="0" applyFill="0" applyBorder="0" applyProtection="0">
      <alignment horizontal="right"/>
    </xf>
    <xf numFmtId="0" fontId="8" fillId="0" borderId="0">
      <alignment horizontal="right"/>
    </xf>
    <xf numFmtId="0" fontId="8" fillId="0" borderId="0">
      <alignment horizontal="right"/>
    </xf>
    <xf numFmtId="0" fontId="8" fillId="0" borderId="0">
      <alignment horizontal="right"/>
    </xf>
    <xf numFmtId="0" fontId="8" fillId="0" borderId="0">
      <alignment horizontal="right"/>
    </xf>
    <xf numFmtId="0" fontId="8" fillId="0" borderId="0">
      <alignment horizontal="right"/>
    </xf>
    <xf numFmtId="0" fontId="264" fillId="5" borderId="68" applyNumberFormat="0" applyFont="0" applyAlignment="0" applyProtection="0">
      <alignment horizontal="left"/>
    </xf>
    <xf numFmtId="0" fontId="14" fillId="0" borderId="23" applyNumberFormat="0" applyFont="0" applyFill="0" applyAlignment="0" applyProtection="0"/>
    <xf numFmtId="0" fontId="14" fillId="0" borderId="23" applyNumberFormat="0" applyFont="0" applyFill="0" applyAlignment="0" applyProtection="0"/>
    <xf numFmtId="0" fontId="14" fillId="0" borderId="23" applyNumberFormat="0" applyFont="0" applyFill="0" applyAlignment="0" applyProtection="0"/>
    <xf numFmtId="0" fontId="22" fillId="8" borderId="0" applyNumberFormat="0" applyBorder="0" applyProtection="0">
      <alignment horizontal="left"/>
    </xf>
    <xf numFmtId="0" fontId="22" fillId="8" borderId="0" applyNumberFormat="0" applyBorder="0" applyProtection="0">
      <alignment horizontal="left"/>
    </xf>
    <xf numFmtId="0" fontId="22" fillId="8" borderId="0" applyNumberFormat="0" applyBorder="0" applyProtection="0">
      <alignment horizontal="left"/>
    </xf>
    <xf numFmtId="0" fontId="22" fillId="8" borderId="24" applyNumberFormat="0" applyBorder="0" applyProtection="0">
      <alignment horizontal="left" wrapText="1"/>
    </xf>
    <xf numFmtId="0" fontId="22" fillId="8" borderId="24" applyNumberFormat="0" applyBorder="0" applyProtection="0">
      <alignment horizontal="left" wrapText="1"/>
    </xf>
    <xf numFmtId="0" fontId="22" fillId="8" borderId="24" applyNumberFormat="0" applyBorder="0" applyProtection="0">
      <alignment horizontal="left" wrapText="1"/>
    </xf>
    <xf numFmtId="0" fontId="22" fillId="8" borderId="24" applyNumberFormat="0" applyBorder="0" applyProtection="0">
      <alignment horizontal="left" wrapText="1"/>
    </xf>
    <xf numFmtId="0" fontId="22" fillId="8" borderId="24" applyNumberFormat="0" applyBorder="0" applyProtection="0">
      <alignment horizontal="left" wrapText="1"/>
    </xf>
    <xf numFmtId="0" fontId="22" fillId="8" borderId="24" applyNumberFormat="0" applyBorder="0" applyProtection="0">
      <alignment horizontal="left" wrapText="1"/>
    </xf>
    <xf numFmtId="0" fontId="22" fillId="8" borderId="24" applyNumberFormat="0" applyBorder="0" applyProtection="0">
      <alignment horizontal="left" wrapText="1"/>
    </xf>
    <xf numFmtId="0" fontId="22" fillId="8" borderId="24" applyNumberFormat="0" applyBorder="0" applyProtection="0">
      <alignment horizontal="left" wrapText="1"/>
    </xf>
    <xf numFmtId="0" fontId="22" fillId="8" borderId="24" applyNumberFormat="0" applyBorder="0" applyProtection="0">
      <alignment horizontal="left" wrapText="1"/>
    </xf>
    <xf numFmtId="0" fontId="8" fillId="5" borderId="0" applyNumberFormat="0" applyFont="0" applyAlignment="0"/>
    <xf numFmtId="0" fontId="8" fillId="4" borderId="0" applyNumberFormat="0" applyFont="0" applyFill="0" applyBorder="0" applyAlignment="0" applyProtection="0">
      <alignment horizontal="left" indent="1"/>
    </xf>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02" fillId="2"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02" fillId="2"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02" fillId="2" borderId="0" applyNumberFormat="0" applyFont="0" applyFill="0" applyBorder="0" applyAlignment="0" applyProtection="0"/>
    <xf numFmtId="0" fontId="120" fillId="0" borderId="0" applyNumberFormat="0" applyFont="0" applyFill="0" applyBorder="0" applyAlignment="0" applyProtection="0">
      <alignment vertical="top"/>
    </xf>
    <xf numFmtId="0" fontId="118" fillId="0" borderId="0" applyNumberFormat="0" applyFill="0" applyBorder="0" applyAlignment="0" applyProtection="0">
      <alignment horizontal="left" indent="1"/>
    </xf>
    <xf numFmtId="0" fontId="14" fillId="0" borderId="25" applyNumberFormat="0" applyFont="0" applyFill="0" applyAlignment="0" applyProtection="0"/>
    <xf numFmtId="0" fontId="14" fillId="0" borderId="25" applyNumberFormat="0" applyFont="0" applyFill="0" applyAlignment="0" applyProtection="0"/>
    <xf numFmtId="0" fontId="14" fillId="0" borderId="25" applyNumberFormat="0" applyFont="0" applyFill="0" applyAlignment="0" applyProtection="0"/>
    <xf numFmtId="0" fontId="102" fillId="2" borderId="0"/>
    <xf numFmtId="224" fontId="103" fillId="0" borderId="2" applyNumberFormat="0" applyFill="0" applyBorder="0">
      <protection locked="0"/>
    </xf>
    <xf numFmtId="224" fontId="103" fillId="0" borderId="2" applyNumberFormat="0" applyFill="0" applyBorder="0">
      <protection locked="0"/>
    </xf>
    <xf numFmtId="224" fontId="103" fillId="0" borderId="2" applyNumberFormat="0" applyFill="0" applyBorder="0">
      <protection locked="0"/>
    </xf>
    <xf numFmtId="0" fontId="8" fillId="0" borderId="26">
      <alignment vertical="center"/>
    </xf>
    <xf numFmtId="0" fontId="8" fillId="0" borderId="26">
      <alignment vertical="center"/>
    </xf>
    <xf numFmtId="4" fontId="265" fillId="11" borderId="60" applyNumberFormat="0" applyProtection="0">
      <alignment vertical="center"/>
    </xf>
    <xf numFmtId="4" fontId="266" fillId="11" borderId="60" applyNumberFormat="0" applyProtection="0">
      <alignment vertical="center"/>
    </xf>
    <xf numFmtId="4" fontId="265" fillId="11" borderId="60" applyNumberFormat="0" applyProtection="0">
      <alignment horizontal="left" vertical="center" indent="1"/>
    </xf>
    <xf numFmtId="4" fontId="265" fillId="11" borderId="60" applyNumberFormat="0" applyProtection="0">
      <alignment horizontal="left" vertical="center" indent="1"/>
    </xf>
    <xf numFmtId="0" fontId="8" fillId="94" borderId="60" applyNumberFormat="0" applyProtection="0">
      <alignment horizontal="left" vertical="center" indent="1"/>
    </xf>
    <xf numFmtId="4" fontId="265" fillId="95" borderId="60" applyNumberFormat="0" applyProtection="0">
      <alignment horizontal="right" vertical="center"/>
    </xf>
    <xf numFmtId="4" fontId="265" fillId="96" borderId="60" applyNumberFormat="0" applyProtection="0">
      <alignment horizontal="right" vertical="center"/>
    </xf>
    <xf numFmtId="4" fontId="265" fillId="97" borderId="60" applyNumberFormat="0" applyProtection="0">
      <alignment horizontal="right" vertical="center"/>
    </xf>
    <xf numFmtId="4" fontId="265" fillId="91" borderId="60" applyNumberFormat="0" applyProtection="0">
      <alignment horizontal="right" vertical="center"/>
    </xf>
    <xf numFmtId="4" fontId="265" fillId="98" borderId="60" applyNumberFormat="0" applyProtection="0">
      <alignment horizontal="right" vertical="center"/>
    </xf>
    <xf numFmtId="4" fontId="265" fillId="99" borderId="60" applyNumberFormat="0" applyProtection="0">
      <alignment horizontal="right" vertical="center"/>
    </xf>
    <xf numFmtId="4" fontId="265" fillId="100" borderId="60" applyNumberFormat="0" applyProtection="0">
      <alignment horizontal="right" vertical="center"/>
    </xf>
    <xf numFmtId="4" fontId="265" fillId="101" borderId="60" applyNumberFormat="0" applyProtection="0">
      <alignment horizontal="right" vertical="center"/>
    </xf>
    <xf numFmtId="4" fontId="265" fillId="20" borderId="60" applyNumberFormat="0" applyProtection="0">
      <alignment horizontal="right" vertical="center"/>
    </xf>
    <xf numFmtId="4" fontId="267" fillId="102" borderId="60" applyNumberFormat="0" applyProtection="0">
      <alignment horizontal="left" vertical="center" indent="1"/>
    </xf>
    <xf numFmtId="4" fontId="265" fillId="103" borderId="74" applyNumberFormat="0" applyProtection="0">
      <alignment horizontal="left" vertical="center" indent="1"/>
    </xf>
    <xf numFmtId="4" fontId="268" fillId="27" borderId="0" applyNumberFormat="0" applyProtection="0">
      <alignment horizontal="left" vertical="center" indent="1"/>
    </xf>
    <xf numFmtId="0" fontId="8" fillId="94" borderId="60" applyNumberFormat="0" applyProtection="0">
      <alignment horizontal="left" vertical="center" indent="1"/>
    </xf>
    <xf numFmtId="4" fontId="265" fillId="103" borderId="60" applyNumberFormat="0" applyProtection="0">
      <alignment horizontal="left" vertical="center" indent="1"/>
    </xf>
    <xf numFmtId="4" fontId="265" fillId="104" borderId="60" applyNumberFormat="0" applyProtection="0">
      <alignment horizontal="left" vertical="center" indent="1"/>
    </xf>
    <xf numFmtId="0" fontId="8" fillId="104" borderId="60" applyNumberFormat="0" applyProtection="0">
      <alignment horizontal="left" vertical="center" indent="1"/>
    </xf>
    <xf numFmtId="0" fontId="8" fillId="104" borderId="60" applyNumberFormat="0" applyProtection="0">
      <alignment horizontal="left" vertical="center" indent="1"/>
    </xf>
    <xf numFmtId="0" fontId="8" fillId="105" borderId="60" applyNumberFormat="0" applyProtection="0">
      <alignment horizontal="left" vertical="center" indent="1"/>
    </xf>
    <xf numFmtId="0" fontId="8" fillId="105" borderId="60" applyNumberFormat="0" applyProtection="0">
      <alignment horizontal="left" vertical="center" indent="1"/>
    </xf>
    <xf numFmtId="0" fontId="8" fillId="13" borderId="60" applyNumberFormat="0" applyProtection="0">
      <alignment horizontal="left" vertical="center" indent="1"/>
    </xf>
    <xf numFmtId="0" fontId="8" fillId="13" borderId="60" applyNumberFormat="0" applyProtection="0">
      <alignment horizontal="left" vertical="center" indent="1"/>
    </xf>
    <xf numFmtId="0" fontId="8" fillId="94" borderId="60" applyNumberFormat="0" applyProtection="0">
      <alignment horizontal="left" vertical="center" indent="1"/>
    </xf>
    <xf numFmtId="0" fontId="8" fillId="94" borderId="60" applyNumberFormat="0" applyProtection="0">
      <alignment horizontal="left" vertical="center" indent="1"/>
    </xf>
    <xf numFmtId="4" fontId="265" fillId="4" borderId="60" applyNumberFormat="0" applyProtection="0">
      <alignment vertical="center"/>
    </xf>
    <xf numFmtId="4" fontId="266" fillId="4" borderId="60" applyNumberFormat="0" applyProtection="0">
      <alignment vertical="center"/>
    </xf>
    <xf numFmtId="4" fontId="265" fillId="4" borderId="60" applyNumberFormat="0" applyProtection="0">
      <alignment horizontal="left" vertical="center" indent="1"/>
    </xf>
    <xf numFmtId="4" fontId="265" fillId="4" borderId="60" applyNumberFormat="0" applyProtection="0">
      <alignment horizontal="left" vertical="center" indent="1"/>
    </xf>
    <xf numFmtId="4" fontId="265" fillId="103" borderId="60" applyNumberFormat="0" applyProtection="0">
      <alignment horizontal="right" vertical="center"/>
    </xf>
    <xf numFmtId="4" fontId="266" fillId="103" borderId="60" applyNumberFormat="0" applyProtection="0">
      <alignment horizontal="right" vertical="center"/>
    </xf>
    <xf numFmtId="0" fontId="8" fillId="94" borderId="60" applyNumberFormat="0" applyProtection="0">
      <alignment horizontal="left" vertical="center" indent="1"/>
    </xf>
    <xf numFmtId="0" fontId="8" fillId="94" borderId="60" applyNumberFormat="0" applyProtection="0">
      <alignment horizontal="left" vertical="center" indent="1"/>
    </xf>
    <xf numFmtId="0" fontId="269" fillId="0" borderId="0"/>
    <xf numFmtId="4" fontId="40" fillId="103" borderId="60" applyNumberFormat="0" applyProtection="0">
      <alignment horizontal="right" vertical="center"/>
    </xf>
    <xf numFmtId="306" fontId="19" fillId="0" borderId="0" applyFill="0" applyBorder="0">
      <alignment horizontal="right"/>
      <protection hidden="1"/>
    </xf>
    <xf numFmtId="306" fontId="19" fillId="0" borderId="0" applyFill="0" applyBorder="0">
      <alignment horizontal="right"/>
      <protection hidden="1"/>
    </xf>
    <xf numFmtId="0" fontId="19" fillId="0" borderId="0" applyFill="0" applyBorder="0">
      <alignment horizontal="right"/>
      <protection hidden="1"/>
    </xf>
    <xf numFmtId="306" fontId="19" fillId="0" borderId="0" applyFill="0" applyBorder="0">
      <alignment horizontal="right"/>
      <protection hidden="1"/>
    </xf>
    <xf numFmtId="204" fontId="270" fillId="0" borderId="0">
      <alignment horizontal="left"/>
    </xf>
    <xf numFmtId="0" fontId="104" fillId="0" borderId="0" applyNumberFormat="0" applyFill="0" applyBorder="0" applyProtection="0">
      <alignment horizontal="left" vertical="center"/>
    </xf>
    <xf numFmtId="0" fontId="104" fillId="0" borderId="0" applyNumberFormat="0" applyFill="0" applyBorder="0" applyProtection="0">
      <alignment horizontal="left" vertical="center"/>
    </xf>
    <xf numFmtId="0" fontId="104" fillId="0" borderId="0" applyNumberFormat="0" applyFill="0" applyBorder="0" applyProtection="0">
      <alignment horizontal="left" vertical="center"/>
    </xf>
    <xf numFmtId="0" fontId="20" fillId="10" borderId="4">
      <alignment horizontal="center" vertical="center" wrapText="1"/>
      <protection hidden="1"/>
    </xf>
    <xf numFmtId="0" fontId="20" fillId="10" borderId="4">
      <alignment horizontal="center" vertical="center" wrapText="1"/>
      <protection hidden="1"/>
    </xf>
    <xf numFmtId="335" fontId="8" fillId="0" borderId="0" applyFont="0" applyFill="0" applyBorder="0" applyAlignment="0" applyProtection="0"/>
    <xf numFmtId="40" fontId="9" fillId="0" borderId="0" applyFont="0" applyFill="0" applyBorder="0" applyAlignment="0" applyProtection="0"/>
    <xf numFmtId="216" fontId="50" fillId="0" borderId="0" applyFill="0" applyBorder="0" applyAlignment="0" applyProtection="0">
      <protection locked="0"/>
    </xf>
    <xf numFmtId="40" fontId="14" fillId="0" borderId="0" applyFont="0" applyFill="0" applyBorder="0" applyAlignment="0" applyProtection="0"/>
    <xf numFmtId="40" fontId="14" fillId="0" borderId="0" applyFont="0" applyFill="0" applyBorder="0" applyAlignment="0" applyProtection="0"/>
    <xf numFmtId="40" fontId="14" fillId="0" borderId="0" applyFont="0" applyFill="0" applyBorder="0" applyAlignment="0" applyProtection="0"/>
    <xf numFmtId="252" fontId="14" fillId="0" borderId="0" applyFont="0" applyFill="0" applyBorder="0" applyAlignment="0" applyProtection="0"/>
    <xf numFmtId="252" fontId="14" fillId="0" borderId="0" applyFont="0" applyFill="0" applyBorder="0" applyAlignment="0" applyProtection="0"/>
    <xf numFmtId="252" fontId="14" fillId="0" borderId="0" applyFont="0" applyFill="0" applyBorder="0" applyAlignment="0" applyProtection="0"/>
    <xf numFmtId="204" fontId="8" fillId="0" borderId="0">
      <alignment horizontal="left"/>
    </xf>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8" fillId="0" borderId="0"/>
    <xf numFmtId="0" fontId="8" fillId="0" borderId="0"/>
    <xf numFmtId="0" fontId="8" fillId="0" borderId="0" applyFont="0" applyFill="0" applyBorder="0" applyAlignment="0" applyProtection="0"/>
    <xf numFmtId="0" fontId="45" fillId="0" borderId="0" applyNumberFormat="0" applyFill="0" applyBorder="0" applyAlignment="0" applyProtection="0"/>
    <xf numFmtId="0" fontId="27" fillId="0" borderId="0">
      <alignment vertical="top"/>
    </xf>
    <xf numFmtId="0" fontId="8" fillId="0" borderId="0"/>
    <xf numFmtId="0" fontId="8" fillId="0" borderId="0"/>
    <xf numFmtId="0" fontId="105" fillId="0" borderId="0" applyNumberFormat="0" applyFill="0" applyBorder="0" applyProtection="0">
      <alignment horizontal="left" vertical="center"/>
    </xf>
    <xf numFmtId="0" fontId="105" fillId="0" borderId="0" applyNumberFormat="0" applyFill="0" applyBorder="0" applyProtection="0">
      <alignment horizontal="left" vertical="center"/>
    </xf>
    <xf numFmtId="3" fontId="8" fillId="0" borderId="0"/>
    <xf numFmtId="3" fontId="8" fillId="0" borderId="0"/>
    <xf numFmtId="3" fontId="271" fillId="0" borderId="0"/>
    <xf numFmtId="3" fontId="232" fillId="0" borderId="33"/>
    <xf numFmtId="336" fontId="29" fillId="0" borderId="35"/>
    <xf numFmtId="3" fontId="8" fillId="0" borderId="33"/>
    <xf numFmtId="0" fontId="272" fillId="14" borderId="75">
      <alignment horizontal="right" wrapText="1"/>
    </xf>
    <xf numFmtId="0" fontId="272" fillId="14" borderId="75"/>
    <xf numFmtId="0" fontId="272" fillId="14" borderId="0">
      <alignment horizontal="left"/>
    </xf>
    <xf numFmtId="168" fontId="273" fillId="14" borderId="0" applyNumberFormat="0">
      <alignment horizontal="right"/>
    </xf>
    <xf numFmtId="168" fontId="272" fillId="14" borderId="76" applyNumberFormat="0">
      <alignment horizontal="right"/>
    </xf>
    <xf numFmtId="168" fontId="272" fillId="14" borderId="77" applyNumberFormat="0">
      <alignment horizontal="right"/>
    </xf>
    <xf numFmtId="0" fontId="273" fillId="14" borderId="0">
      <alignment horizontal="left" wrapText="1"/>
    </xf>
    <xf numFmtId="0" fontId="272" fillId="14" borderId="0">
      <alignment horizontal="left" wrapText="1"/>
    </xf>
    <xf numFmtId="0" fontId="272" fillId="14" borderId="76">
      <alignment horizontal="left"/>
    </xf>
    <xf numFmtId="0" fontId="272" fillId="14" borderId="77">
      <alignment horizontal="left"/>
    </xf>
    <xf numFmtId="0" fontId="50" fillId="0" borderId="0"/>
    <xf numFmtId="0" fontId="50" fillId="0" borderId="0"/>
    <xf numFmtId="0" fontId="8" fillId="0" borderId="0" applyBorder="0" applyProtection="0">
      <alignment vertical="center"/>
    </xf>
    <xf numFmtId="0" fontId="8" fillId="0" borderId="0" applyBorder="0" applyProtection="0">
      <alignment vertical="center"/>
    </xf>
    <xf numFmtId="0" fontId="8" fillId="0" borderId="0">
      <alignment horizontal="left"/>
    </xf>
    <xf numFmtId="0" fontId="21" fillId="0" borderId="0" applyBorder="0" applyProtection="0">
      <alignment vertical="center"/>
    </xf>
    <xf numFmtId="0" fontId="8" fillId="26" borderId="0" applyBorder="0" applyProtection="0">
      <alignment horizontal="centerContinuous" vertical="center"/>
    </xf>
    <xf numFmtId="0" fontId="8" fillId="26" borderId="0" applyBorder="0" applyProtection="0">
      <alignment horizontal="centerContinuous" vertical="center"/>
    </xf>
    <xf numFmtId="0" fontId="21" fillId="26" borderId="0" applyBorder="0" applyProtection="0">
      <alignment horizontal="centerContinuous" vertical="center"/>
    </xf>
    <xf numFmtId="0" fontId="8" fillId="6" borderId="7" applyBorder="0" applyProtection="0">
      <alignment horizontal="centerContinuous" vertical="center"/>
    </xf>
    <xf numFmtId="0" fontId="8" fillId="6" borderId="7" applyBorder="0" applyProtection="0">
      <alignment horizontal="centerContinuous" vertical="center"/>
    </xf>
    <xf numFmtId="0" fontId="21" fillId="6" borderId="7" applyBorder="0" applyProtection="0">
      <alignment horizontal="centerContinuous" vertical="center"/>
    </xf>
    <xf numFmtId="0" fontId="8" fillId="0" borderId="0">
      <alignment horizontal="left"/>
    </xf>
    <xf numFmtId="0" fontId="8" fillId="0" borderId="0">
      <alignment horizontal="left"/>
    </xf>
    <xf numFmtId="0" fontId="8" fillId="0" borderId="0"/>
    <xf numFmtId="0" fontId="8" fillId="0" borderId="0"/>
    <xf numFmtId="0" fontId="8" fillId="0" borderId="0"/>
    <xf numFmtId="0" fontId="8" fillId="0" borderId="0" applyFill="0" applyBorder="0" applyProtection="0">
      <alignment horizontal="left"/>
    </xf>
    <xf numFmtId="0" fontId="8" fillId="0" borderId="0" applyFill="0" applyBorder="0" applyProtection="0">
      <alignment horizontal="left"/>
    </xf>
    <xf numFmtId="0" fontId="106" fillId="0" borderId="0">
      <alignment horizontal="centerContinuous"/>
    </xf>
    <xf numFmtId="0" fontId="21" fillId="0" borderId="0" applyFill="0" applyBorder="0" applyProtection="0">
      <alignment horizontal="left"/>
    </xf>
    <xf numFmtId="0" fontId="8" fillId="0" borderId="2" applyFill="0" applyBorder="0" applyProtection="0">
      <alignment horizontal="left" vertical="top"/>
    </xf>
    <xf numFmtId="0" fontId="8" fillId="0" borderId="2" applyFill="0" applyBorder="0" applyProtection="0">
      <alignment horizontal="left" vertical="top"/>
    </xf>
    <xf numFmtId="0" fontId="8" fillId="0" borderId="0"/>
    <xf numFmtId="0" fontId="183" fillId="0" borderId="2" applyFill="0" applyBorder="0" applyProtection="0">
      <alignment horizontal="left" vertical="top"/>
    </xf>
    <xf numFmtId="0" fontId="8" fillId="2" borderId="29" applyNumberFormat="0" applyAlignment="0" applyProtection="0">
      <alignment vertical="center"/>
    </xf>
    <xf numFmtId="0" fontId="8" fillId="2" borderId="29" applyNumberFormat="0" applyAlignment="0" applyProtection="0">
      <alignment vertical="center"/>
    </xf>
    <xf numFmtId="0" fontId="8" fillId="2" borderId="29" applyNumberFormat="0" applyAlignment="0" applyProtection="0">
      <alignment vertical="center"/>
    </xf>
    <xf numFmtId="0" fontId="50" fillId="0" borderId="0"/>
    <xf numFmtId="0" fontId="50" fillId="0" borderId="0"/>
    <xf numFmtId="0" fontId="106" fillId="0" borderId="0">
      <alignment horizontal="centerContinuous"/>
    </xf>
    <xf numFmtId="0" fontId="106" fillId="0" borderId="0">
      <alignment horizontal="centerContinuous"/>
    </xf>
    <xf numFmtId="0" fontId="106" fillId="0" borderId="0">
      <alignment horizontal="centerContinuous"/>
    </xf>
    <xf numFmtId="0" fontId="8" fillId="20" borderId="0" applyNumberFormat="0" applyFon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53" fontId="8" fillId="0" borderId="0" applyFill="0" applyBorder="0" applyAlignment="0" applyProtection="0">
      <alignment horizontal="right"/>
    </xf>
    <xf numFmtId="1" fontId="64" fillId="0" borderId="30" applyFill="0" applyBorder="0" applyProtection="0">
      <alignment horizontal="right"/>
    </xf>
    <xf numFmtId="1" fontId="64" fillId="0" borderId="30" applyFill="0" applyBorder="0" applyProtection="0">
      <alignment horizontal="right"/>
    </xf>
    <xf numFmtId="0" fontId="14" fillId="0" borderId="0" applyNumberFormat="0" applyFill="0" applyBorder="0" applyAlignment="0" applyProtection="0"/>
    <xf numFmtId="254" fontId="8" fillId="0" borderId="0"/>
    <xf numFmtId="254" fontId="8" fillId="0" borderId="0"/>
    <xf numFmtId="254" fontId="8" fillId="0" borderId="0"/>
    <xf numFmtId="254" fontId="8" fillId="0" borderId="0"/>
    <xf numFmtId="0" fontId="8" fillId="0" borderId="7" applyFill="0" applyAlignment="0" applyProtection="0"/>
    <xf numFmtId="0" fontId="8" fillId="0" borderId="7" applyFill="0" applyAlignment="0" applyProtection="0"/>
    <xf numFmtId="0" fontId="8" fillId="0" borderId="7" applyFill="0" applyAlignment="0" applyProtection="0"/>
    <xf numFmtId="0" fontId="8" fillId="0" borderId="7" applyFill="0" applyAlignment="0" applyProtection="0"/>
    <xf numFmtId="0" fontId="274" fillId="0" borderId="0" applyNumberFormat="0" applyFill="0" applyBorder="0" applyAlignment="0" applyProtection="0"/>
    <xf numFmtId="0" fontId="275" fillId="0" borderId="0" applyNumberFormat="0" applyFill="0" applyBorder="0" applyAlignment="0" applyProtection="0"/>
    <xf numFmtId="0" fontId="22" fillId="8" borderId="3" applyNumberFormat="0" applyProtection="0">
      <alignment horizontal="left" vertical="center"/>
    </xf>
    <xf numFmtId="0" fontId="22" fillId="8" borderId="3" applyNumberFormat="0" applyProtection="0">
      <alignment horizontal="left" vertical="center"/>
    </xf>
    <xf numFmtId="0" fontId="22" fillId="8" borderId="3" applyNumberFormat="0" applyProtection="0">
      <alignment horizontal="left" vertical="center"/>
    </xf>
    <xf numFmtId="0" fontId="64" fillId="0" borderId="0" applyFill="0" applyBorder="0" applyProtection="0"/>
    <xf numFmtId="0" fontId="64" fillId="0" borderId="0" applyFill="0" applyBorder="0" applyProtection="0"/>
    <xf numFmtId="0" fontId="8" fillId="0" borderId="31"/>
    <xf numFmtId="231" fontId="107" fillId="0" borderId="32"/>
    <xf numFmtId="231" fontId="98" fillId="0" borderId="0" applyNumberFormat="0" applyFill="0" applyBorder="0" applyAlignment="0" applyProtection="0"/>
    <xf numFmtId="231" fontId="98" fillId="0" borderId="0" applyNumberFormat="0" applyFill="0" applyBorder="0" applyAlignment="0" applyProtection="0"/>
    <xf numFmtId="0" fontId="9" fillId="0" borderId="0" applyBorder="0"/>
    <xf numFmtId="0" fontId="9" fillId="0" borderId="0" applyBorder="0"/>
    <xf numFmtId="204" fontId="276" fillId="24" borderId="0" applyFill="0" applyBorder="0" applyAlignment="0" applyProtection="0">
      <alignment horizontal="left"/>
    </xf>
    <xf numFmtId="204" fontId="8" fillId="0" borderId="0" applyFill="0" applyBorder="0" applyAlignment="0" applyProtection="0">
      <alignment horizontal="left"/>
    </xf>
    <xf numFmtId="337" fontId="241" fillId="0" borderId="0">
      <protection locked="0"/>
    </xf>
    <xf numFmtId="337" fontId="241" fillId="0" borderId="0">
      <protection locked="0"/>
    </xf>
    <xf numFmtId="0" fontId="29"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lignment horizontal="left" vertical="center"/>
    </xf>
    <xf numFmtId="0" fontId="34" fillId="14" borderId="0" applyNumberFormat="0" applyAlignment="0" applyProtection="0">
      <alignment horizontal="left" vertical="center" wrapText="1"/>
    </xf>
    <xf numFmtId="178" fontId="108" fillId="0" borderId="7" applyAlignment="0">
      <alignment horizontal="left"/>
      <protection locked="0"/>
    </xf>
    <xf numFmtId="178" fontId="108" fillId="0" borderId="7" applyAlignment="0">
      <alignment horizontal="left"/>
      <protection locked="0"/>
    </xf>
    <xf numFmtId="0" fontId="8" fillId="0" borderId="0"/>
    <xf numFmtId="0" fontId="8" fillId="0" borderId="0"/>
    <xf numFmtId="0" fontId="109" fillId="0" borderId="0"/>
    <xf numFmtId="0" fontId="109" fillId="0" borderId="0"/>
    <xf numFmtId="256" fontId="8" fillId="0" borderId="0" applyNumberFormat="0"/>
    <xf numFmtId="256" fontId="8" fillId="0" borderId="0" applyNumberFormat="0"/>
    <xf numFmtId="164" fontId="9" fillId="0" borderId="0" applyFont="0" applyFill="0" applyBorder="0" applyAlignment="0" applyProtection="0"/>
    <xf numFmtId="0" fontId="132" fillId="0" borderId="0" applyNumberFormat="0" applyFill="0" applyBorder="0" applyAlignment="0" applyProtection="0"/>
    <xf numFmtId="0" fontId="63" fillId="5" borderId="33" applyNumberFormat="0" applyFont="0" applyAlignment="0" applyProtection="0">
      <protection locked="0"/>
    </xf>
    <xf numFmtId="1" fontId="50" fillId="0" borderId="0" applyFont="0" applyFill="0" applyBorder="0" applyAlignment="0" applyProtection="0"/>
    <xf numFmtId="1" fontId="50" fillId="0" borderId="0" applyFont="0" applyFill="0" applyBorder="0" applyAlignment="0" applyProtection="0"/>
    <xf numFmtId="0" fontId="14" fillId="8" borderId="0" applyNumberFormat="0" applyBorder="0" applyProtection="0">
      <alignment horizontal="left"/>
    </xf>
    <xf numFmtId="0" fontId="14" fillId="8" borderId="0" applyNumberFormat="0" applyBorder="0" applyProtection="0">
      <alignment horizontal="left"/>
    </xf>
    <xf numFmtId="0" fontId="14" fillId="8" borderId="0" applyNumberFormat="0" applyBorder="0" applyProtection="0">
      <alignment horizontal="left"/>
    </xf>
    <xf numFmtId="1" fontId="8" fillId="89" borderId="0"/>
    <xf numFmtId="0" fontId="8" fillId="0" borderId="0">
      <alignment horizontal="right"/>
    </xf>
    <xf numFmtId="0" fontId="8" fillId="0" borderId="0"/>
    <xf numFmtId="0" fontId="277" fillId="0" borderId="0"/>
    <xf numFmtId="0" fontId="278" fillId="0" borderId="0" applyNumberFormat="0" applyFill="0" applyBorder="0" applyAlignment="0" applyProtection="0"/>
  </cellStyleXfs>
  <cellXfs count="626">
    <xf numFmtId="0" fontId="0" fillId="0" borderId="0" xfId="0"/>
    <xf numFmtId="0" fontId="280" fillId="5" borderId="0" xfId="2" applyFont="1" applyFill="1"/>
    <xf numFmtId="0" fontId="280" fillId="5" borderId="0" xfId="2" applyFont="1" applyFill="1" applyAlignment="1">
      <alignment horizontal="center"/>
    </xf>
    <xf numFmtId="0" fontId="282" fillId="5" borderId="0" xfId="2" applyFont="1" applyFill="1" applyAlignment="1">
      <alignment horizontal="center"/>
    </xf>
    <xf numFmtId="0" fontId="280" fillId="5" borderId="0" xfId="2" applyFont="1" applyFill="1" applyAlignment="1">
      <alignment horizontal="right"/>
    </xf>
    <xf numFmtId="0" fontId="280" fillId="0" borderId="0" xfId="2" applyFont="1"/>
    <xf numFmtId="176" fontId="280" fillId="5" borderId="0" xfId="2" applyNumberFormat="1" applyFont="1" applyFill="1" applyAlignment="1">
      <alignment horizontal="right"/>
    </xf>
    <xf numFmtId="9" fontId="280" fillId="5" borderId="0" xfId="284" applyFont="1" applyFill="1"/>
    <xf numFmtId="0" fontId="280" fillId="5" borderId="0" xfId="2" quotePrefix="1" applyFont="1" applyFill="1"/>
    <xf numFmtId="0" fontId="280" fillId="106" borderId="0" xfId="2" applyFont="1" applyFill="1"/>
    <xf numFmtId="9" fontId="280" fillId="0" borderId="0" xfId="2" applyNumberFormat="1" applyFont="1"/>
    <xf numFmtId="9" fontId="280" fillId="5" borderId="0" xfId="2" applyNumberFormat="1" applyFont="1" applyFill="1"/>
    <xf numFmtId="176" fontId="280" fillId="5" borderId="0" xfId="67" applyNumberFormat="1" applyFont="1" applyFill="1" applyBorder="1" applyAlignment="1">
      <alignment horizontal="right"/>
    </xf>
    <xf numFmtId="176" fontId="280" fillId="5" borderId="0" xfId="284" applyNumberFormat="1" applyFont="1" applyFill="1" applyBorder="1" applyAlignment="1">
      <alignment horizontal="right"/>
    </xf>
    <xf numFmtId="176" fontId="280" fillId="5" borderId="0" xfId="284" applyNumberFormat="1" applyFont="1" applyFill="1" applyAlignment="1">
      <alignment horizontal="right"/>
    </xf>
    <xf numFmtId="175" fontId="280" fillId="5" borderId="0" xfId="67" applyNumberFormat="1" applyFont="1" applyFill="1" applyBorder="1"/>
    <xf numFmtId="176" fontId="280" fillId="5" borderId="0" xfId="284" applyNumberFormat="1" applyFont="1" applyFill="1" applyBorder="1"/>
    <xf numFmtId="176" fontId="280" fillId="0" borderId="0" xfId="67" applyNumberFormat="1" applyFont="1" applyFill="1" applyBorder="1" applyAlignment="1">
      <alignment horizontal="right"/>
    </xf>
    <xf numFmtId="176" fontId="280" fillId="0" borderId="0" xfId="284" applyNumberFormat="1" applyFont="1" applyFill="1" applyBorder="1" applyAlignment="1">
      <alignment horizontal="right"/>
    </xf>
    <xf numFmtId="2" fontId="280" fillId="5" borderId="0" xfId="2" applyNumberFormat="1" applyFont="1" applyFill="1"/>
    <xf numFmtId="2" fontId="280" fillId="106" borderId="0" xfId="2" applyNumberFormat="1" applyFont="1" applyFill="1"/>
    <xf numFmtId="177" fontId="280" fillId="0" borderId="0" xfId="2" applyNumberFormat="1" applyFont="1"/>
    <xf numFmtId="177" fontId="280" fillId="5" borderId="0" xfId="2" applyNumberFormat="1" applyFont="1" applyFill="1"/>
    <xf numFmtId="175" fontId="280" fillId="106" borderId="0" xfId="67" applyNumberFormat="1" applyFont="1" applyFill="1" applyBorder="1"/>
    <xf numFmtId="176" fontId="280" fillId="106" borderId="0" xfId="284" applyNumberFormat="1" applyFont="1" applyFill="1" applyBorder="1"/>
    <xf numFmtId="177" fontId="280" fillId="29" borderId="0" xfId="2" applyNumberFormat="1" applyFont="1" applyFill="1" applyAlignment="1">
      <alignment horizontal="center"/>
    </xf>
    <xf numFmtId="176" fontId="280" fillId="29" borderId="0" xfId="2" applyNumberFormat="1" applyFont="1" applyFill="1" applyAlignment="1">
      <alignment horizontal="right"/>
    </xf>
    <xf numFmtId="175" fontId="280" fillId="106" borderId="0" xfId="67" applyNumberFormat="1" applyFont="1" applyFill="1" applyBorder="1" applyAlignment="1">
      <alignment horizontal="right"/>
    </xf>
    <xf numFmtId="176" fontId="280" fillId="106" borderId="0" xfId="284" applyNumberFormat="1" applyFont="1" applyFill="1" applyBorder="1" applyAlignment="1">
      <alignment horizontal="right"/>
    </xf>
    <xf numFmtId="2" fontId="280" fillId="0" borderId="0" xfId="2" applyNumberFormat="1" applyFont="1" applyAlignment="1">
      <alignment horizontal="center"/>
    </xf>
    <xf numFmtId="177" fontId="280" fillId="0" borderId="0" xfId="2" applyNumberFormat="1" applyFont="1" applyAlignment="1">
      <alignment horizontal="center"/>
    </xf>
    <xf numFmtId="176" fontId="280" fillId="0" borderId="0" xfId="2" applyNumberFormat="1" applyFont="1" applyAlignment="1">
      <alignment horizontal="right"/>
    </xf>
    <xf numFmtId="175" fontId="280" fillId="5" borderId="0" xfId="67" applyNumberFormat="1" applyFont="1" applyFill="1" applyBorder="1" applyAlignment="1">
      <alignment horizontal="right"/>
    </xf>
    <xf numFmtId="0" fontId="280" fillId="106" borderId="0" xfId="2" applyFont="1" applyFill="1" applyAlignment="1">
      <alignment horizontal="right"/>
    </xf>
    <xf numFmtId="176" fontId="280" fillId="106" borderId="0" xfId="2" applyNumberFormat="1" applyFont="1" applyFill="1" applyAlignment="1">
      <alignment horizontal="right"/>
    </xf>
    <xf numFmtId="177" fontId="280" fillId="0" borderId="0" xfId="3" applyNumberFormat="1" applyFont="1" applyAlignment="1">
      <alignment horizontal="center"/>
    </xf>
    <xf numFmtId="10" fontId="280" fillId="5" borderId="0" xfId="284" applyNumberFormat="1" applyFont="1" applyFill="1"/>
    <xf numFmtId="176" fontId="280" fillId="106" borderId="0" xfId="67" applyNumberFormat="1" applyFont="1" applyFill="1" applyBorder="1" applyAlignment="1">
      <alignment horizontal="right"/>
    </xf>
    <xf numFmtId="0" fontId="280" fillId="5" borderId="0" xfId="2" applyFont="1" applyFill="1" applyAlignment="1">
      <alignment vertical="center"/>
    </xf>
    <xf numFmtId="0" fontId="280" fillId="0" borderId="0" xfId="0" applyFont="1"/>
    <xf numFmtId="0" fontId="280" fillId="0" borderId="0" xfId="0" applyFont="1" applyAlignment="1">
      <alignment horizontal="center"/>
    </xf>
    <xf numFmtId="0" fontId="283" fillId="0" borderId="0" xfId="2" applyFont="1"/>
    <xf numFmtId="0" fontId="284" fillId="0" borderId="0" xfId="2" applyFont="1"/>
    <xf numFmtId="0" fontId="283" fillId="0" borderId="0" xfId="2" applyFont="1" applyAlignment="1">
      <alignment horizontal="left" vertical="center"/>
    </xf>
    <xf numFmtId="0" fontId="280" fillId="0" borderId="0" xfId="2" applyFont="1" applyAlignment="1">
      <alignment horizontal="right" vertical="center"/>
    </xf>
    <xf numFmtId="176" fontId="280" fillId="0" borderId="0" xfId="284" applyNumberFormat="1" applyFont="1" applyFill="1" applyAlignment="1">
      <alignment horizontal="right" vertical="center"/>
    </xf>
    <xf numFmtId="0" fontId="280" fillId="0" borderId="0" xfId="2" applyFont="1" applyAlignment="1">
      <alignment vertical="center"/>
    </xf>
    <xf numFmtId="177" fontId="280" fillId="0" borderId="0" xfId="67" applyNumberFormat="1" applyFont="1" applyFill="1" applyAlignment="1">
      <alignment horizontal="right" vertical="center"/>
    </xf>
    <xf numFmtId="0" fontId="280" fillId="0" borderId="0" xfId="2" applyFont="1" applyAlignment="1">
      <alignment horizontal="left" vertical="center"/>
    </xf>
    <xf numFmtId="0" fontId="283" fillId="0" borderId="0" xfId="2" applyFont="1" applyAlignment="1">
      <alignment horizontal="right"/>
    </xf>
    <xf numFmtId="0" fontId="283" fillId="0" borderId="0" xfId="2" applyFont="1" applyAlignment="1">
      <alignment horizontal="right" vertical="center"/>
    </xf>
    <xf numFmtId="0" fontId="283" fillId="0" borderId="30" xfId="2" applyFont="1" applyBorder="1" applyAlignment="1">
      <alignment horizontal="left" vertical="center"/>
    </xf>
    <xf numFmtId="0" fontId="280" fillId="0" borderId="30" xfId="2" applyFont="1" applyBorder="1" applyAlignment="1">
      <alignment horizontal="right" vertical="center"/>
    </xf>
    <xf numFmtId="176" fontId="280" fillId="0" borderId="30" xfId="284" applyNumberFormat="1" applyFont="1" applyFill="1" applyBorder="1" applyAlignment="1">
      <alignment horizontal="right" vertical="center"/>
    </xf>
    <xf numFmtId="177" fontId="283" fillId="0" borderId="30" xfId="67" applyNumberFormat="1" applyFont="1" applyFill="1" applyBorder="1" applyAlignment="1">
      <alignment horizontal="right" vertical="center"/>
    </xf>
    <xf numFmtId="176" fontId="283" fillId="0" borderId="30" xfId="284" applyNumberFormat="1" applyFont="1" applyFill="1" applyBorder="1" applyAlignment="1">
      <alignment horizontal="right" vertical="center"/>
    </xf>
    <xf numFmtId="0" fontId="283" fillId="0" borderId="0" xfId="2" applyFont="1" applyAlignment="1">
      <alignment vertical="center"/>
    </xf>
    <xf numFmtId="0" fontId="280" fillId="0" borderId="30" xfId="2" applyFont="1" applyBorder="1" applyAlignment="1">
      <alignment horizontal="left" vertical="center"/>
    </xf>
    <xf numFmtId="0" fontId="283" fillId="0" borderId="30" xfId="2" applyFont="1" applyBorder="1" applyAlignment="1">
      <alignment horizontal="right" vertical="center"/>
    </xf>
    <xf numFmtId="176" fontId="283" fillId="0" borderId="0" xfId="284" applyNumberFormat="1" applyFont="1" applyFill="1" applyAlignment="1">
      <alignment horizontal="right" vertical="center"/>
    </xf>
    <xf numFmtId="177" fontId="283" fillId="0" borderId="0" xfId="67" applyNumberFormat="1" applyFont="1" applyFill="1" applyAlignment="1">
      <alignment horizontal="right" vertical="center"/>
    </xf>
    <xf numFmtId="176" fontId="283" fillId="0" borderId="0" xfId="284" applyNumberFormat="1" applyFont="1" applyFill="1" applyBorder="1" applyAlignment="1">
      <alignment horizontal="right" vertical="center"/>
    </xf>
    <xf numFmtId="177" fontId="283" fillId="0" borderId="0" xfId="67" applyNumberFormat="1" applyFont="1" applyFill="1" applyBorder="1" applyAlignment="1">
      <alignment horizontal="right" vertical="center"/>
    </xf>
    <xf numFmtId="0" fontId="280" fillId="0" borderId="0" xfId="2" applyFont="1" applyAlignment="1">
      <alignment horizontal="left"/>
    </xf>
    <xf numFmtId="174" fontId="280" fillId="0" borderId="0" xfId="67" applyNumberFormat="1" applyFont="1" applyFill="1" applyBorder="1" applyAlignment="1">
      <alignment horizontal="right"/>
    </xf>
    <xf numFmtId="3" fontId="280" fillId="0" borderId="0" xfId="2" applyNumberFormat="1" applyFont="1"/>
    <xf numFmtId="177" fontId="283" fillId="0" borderId="30" xfId="284" applyNumberFormat="1" applyFont="1" applyFill="1" applyBorder="1" applyAlignment="1">
      <alignment horizontal="right" vertical="center"/>
    </xf>
    <xf numFmtId="0" fontId="283" fillId="0" borderId="30" xfId="2" applyFont="1" applyBorder="1"/>
    <xf numFmtId="176" fontId="280" fillId="0" borderId="0" xfId="284" applyNumberFormat="1" applyFont="1" applyFill="1" applyBorder="1" applyAlignment="1">
      <alignment horizontal="right" vertical="center"/>
    </xf>
    <xf numFmtId="0" fontId="280" fillId="0" borderId="0" xfId="2" applyFont="1" applyAlignment="1">
      <alignment horizontal="right"/>
    </xf>
    <xf numFmtId="176" fontId="283" fillId="0" borderId="0" xfId="67" applyNumberFormat="1" applyFont="1" applyFill="1" applyAlignment="1">
      <alignment horizontal="right" vertical="center"/>
    </xf>
    <xf numFmtId="176" fontId="283" fillId="0" borderId="0" xfId="2" applyNumberFormat="1" applyFont="1" applyAlignment="1">
      <alignment vertical="center"/>
    </xf>
    <xf numFmtId="9" fontId="283" fillId="0" borderId="0" xfId="284" applyFont="1" applyFill="1" applyAlignment="1">
      <alignment horizontal="right" vertical="center"/>
    </xf>
    <xf numFmtId="9" fontId="283" fillId="0" borderId="0" xfId="284" applyFont="1" applyFill="1" applyAlignment="1">
      <alignment vertical="center"/>
    </xf>
    <xf numFmtId="177" fontId="280" fillId="0" borderId="0" xfId="2" applyNumberFormat="1" applyFont="1" applyAlignment="1">
      <alignment vertical="center"/>
    </xf>
    <xf numFmtId="177" fontId="280" fillId="0" borderId="0" xfId="284" applyNumberFormat="1" applyFont="1" applyFill="1" applyAlignment="1">
      <alignment horizontal="right" vertical="center"/>
    </xf>
    <xf numFmtId="2" fontId="280" fillId="0" borderId="0" xfId="2" applyNumberFormat="1" applyFont="1"/>
    <xf numFmtId="177" fontId="280" fillId="0" borderId="0" xfId="0" applyNumberFormat="1" applyFont="1"/>
    <xf numFmtId="177" fontId="280" fillId="0" borderId="0" xfId="2" applyNumberFormat="1" applyFont="1" applyAlignment="1">
      <alignment horizontal="right"/>
    </xf>
    <xf numFmtId="176" fontId="280" fillId="0" borderId="0" xfId="284" applyNumberFormat="1" applyFont="1" applyFill="1"/>
    <xf numFmtId="0" fontId="280" fillId="107" borderId="0" xfId="2" applyFont="1" applyFill="1"/>
    <xf numFmtId="0" fontId="280" fillId="107" borderId="0" xfId="2" applyFont="1" applyFill="1" applyAlignment="1">
      <alignment horizontal="center"/>
    </xf>
    <xf numFmtId="4" fontId="280" fillId="29" borderId="0" xfId="2" applyNumberFormat="1" applyFont="1" applyFill="1" applyAlignment="1">
      <alignment horizontal="center"/>
    </xf>
    <xf numFmtId="0" fontId="280" fillId="0" borderId="0" xfId="2371" applyFont="1" applyFill="1"/>
    <xf numFmtId="3" fontId="280" fillId="0" borderId="0" xfId="2" applyNumberFormat="1" applyFont="1" applyAlignment="1">
      <alignment horizontal="center"/>
    </xf>
    <xf numFmtId="0" fontId="280" fillId="5" borderId="0" xfId="2" applyFont="1" applyFill="1" applyAlignment="1">
      <alignment horizontal="right" wrapText="1"/>
    </xf>
    <xf numFmtId="0" fontId="284" fillId="5" borderId="0" xfId="2" applyFont="1" applyFill="1"/>
    <xf numFmtId="0" fontId="284" fillId="5" borderId="0" xfId="2" applyFont="1" applyFill="1" applyAlignment="1">
      <alignment horizontal="right"/>
    </xf>
    <xf numFmtId="0" fontId="284" fillId="0" borderId="0" xfId="0" applyFont="1"/>
    <xf numFmtId="2" fontId="285" fillId="106" borderId="0" xfId="2" applyNumberFormat="1" applyFont="1" applyFill="1"/>
    <xf numFmtId="2" fontId="284" fillId="106" borderId="0" xfId="2" applyNumberFormat="1" applyFont="1" applyFill="1"/>
    <xf numFmtId="3" fontId="284" fillId="0" borderId="0" xfId="2" applyNumberFormat="1" applyFont="1"/>
    <xf numFmtId="0" fontId="284" fillId="106" borderId="0" xfId="2" applyFont="1" applyFill="1"/>
    <xf numFmtId="0" fontId="284" fillId="106" borderId="0" xfId="2" applyFont="1" applyFill="1" applyAlignment="1">
      <alignment horizontal="right"/>
    </xf>
    <xf numFmtId="2" fontId="284" fillId="0" borderId="0" xfId="2" applyNumberFormat="1" applyFont="1"/>
    <xf numFmtId="176" fontId="284" fillId="5" borderId="0" xfId="284" applyNumberFormat="1" applyFont="1" applyFill="1" applyBorder="1" applyAlignment="1">
      <alignment horizontal="right"/>
    </xf>
    <xf numFmtId="175" fontId="284" fillId="5" borderId="0" xfId="67" applyNumberFormat="1" applyFont="1" applyFill="1" applyBorder="1"/>
    <xf numFmtId="175" fontId="284" fillId="0" borderId="0" xfId="67" applyNumberFormat="1" applyFont="1"/>
    <xf numFmtId="176" fontId="284" fillId="5" borderId="0" xfId="284" applyNumberFormat="1" applyFont="1" applyFill="1" applyBorder="1"/>
    <xf numFmtId="175" fontId="284" fillId="5" borderId="0" xfId="67" applyNumberFormat="1" applyFont="1" applyFill="1" applyBorder="1" applyAlignment="1">
      <alignment horizontal="right"/>
    </xf>
    <xf numFmtId="176" fontId="284" fillId="5" borderId="0" xfId="67" applyNumberFormat="1" applyFont="1" applyFill="1" applyBorder="1" applyAlignment="1">
      <alignment horizontal="right"/>
    </xf>
    <xf numFmtId="176" fontId="284" fillId="106" borderId="0" xfId="284" applyNumberFormat="1" applyFont="1" applyFill="1" applyBorder="1"/>
    <xf numFmtId="175" fontId="284" fillId="0" borderId="0" xfId="67" applyNumberFormat="1" applyFont="1" applyFill="1" applyBorder="1"/>
    <xf numFmtId="0" fontId="284" fillId="5" borderId="0" xfId="2" applyFont="1" applyFill="1" applyAlignment="1">
      <alignment horizontal="left"/>
    </xf>
    <xf numFmtId="175" fontId="284" fillId="5" borderId="0" xfId="67" applyNumberFormat="1" applyFont="1" applyFill="1" applyBorder="1" applyAlignment="1">
      <alignment horizontal="left"/>
    </xf>
    <xf numFmtId="176" fontId="284" fillId="5" borderId="0" xfId="284" applyNumberFormat="1" applyFont="1" applyFill="1" applyBorder="1" applyAlignment="1">
      <alignment horizontal="left"/>
    </xf>
    <xf numFmtId="0" fontId="284" fillId="0" borderId="0" xfId="2" applyFont="1" applyAlignment="1">
      <alignment horizontal="left"/>
    </xf>
    <xf numFmtId="176" fontId="284" fillId="5" borderId="0" xfId="67" applyNumberFormat="1" applyFont="1" applyFill="1" applyBorder="1" applyAlignment="1">
      <alignment horizontal="left"/>
    </xf>
    <xf numFmtId="0" fontId="285" fillId="5" borderId="0" xfId="2" applyFont="1" applyFill="1"/>
    <xf numFmtId="1" fontId="280" fillId="108" borderId="0" xfId="2" applyNumberFormat="1" applyFont="1" applyFill="1" applyAlignment="1">
      <alignment horizontal="center"/>
    </xf>
    <xf numFmtId="177" fontId="280" fillId="108" borderId="0" xfId="2" applyNumberFormat="1" applyFont="1" applyFill="1" applyAlignment="1">
      <alignment horizontal="center"/>
    </xf>
    <xf numFmtId="2" fontId="280" fillId="108" borderId="0" xfId="2" applyNumberFormat="1" applyFont="1" applyFill="1" applyAlignment="1">
      <alignment horizontal="center"/>
    </xf>
    <xf numFmtId="178" fontId="280" fillId="108" borderId="0" xfId="2" applyNumberFormat="1" applyFont="1" applyFill="1" applyAlignment="1">
      <alignment horizontal="center"/>
    </xf>
    <xf numFmtId="0" fontId="283" fillId="5" borderId="30" xfId="2" applyFont="1" applyFill="1" applyBorder="1"/>
    <xf numFmtId="0" fontId="283" fillId="5" borderId="30" xfId="2" applyFont="1" applyFill="1" applyBorder="1" applyAlignment="1">
      <alignment horizontal="center"/>
    </xf>
    <xf numFmtId="0" fontId="283" fillId="5" borderId="30" xfId="2" applyFont="1" applyFill="1" applyBorder="1" applyAlignment="1">
      <alignment horizontal="right" wrapText="1"/>
    </xf>
    <xf numFmtId="178" fontId="280" fillId="108" borderId="0" xfId="3" applyNumberFormat="1" applyFont="1" applyFill="1" applyAlignment="1">
      <alignment horizontal="center"/>
    </xf>
    <xf numFmtId="3" fontId="280" fillId="108" borderId="0" xfId="2" applyNumberFormat="1" applyFont="1" applyFill="1" applyAlignment="1">
      <alignment horizontal="center"/>
    </xf>
    <xf numFmtId="4" fontId="280" fillId="108" borderId="0" xfId="2" applyNumberFormat="1" applyFont="1" applyFill="1" applyAlignment="1">
      <alignment horizontal="center"/>
    </xf>
    <xf numFmtId="177" fontId="280" fillId="108" borderId="0" xfId="3" applyNumberFormat="1" applyFont="1" applyFill="1" applyAlignment="1">
      <alignment horizontal="center"/>
    </xf>
    <xf numFmtId="1" fontId="280" fillId="108" borderId="0" xfId="3" applyNumberFormat="1" applyFont="1" applyFill="1" applyAlignment="1">
      <alignment horizontal="center"/>
    </xf>
    <xf numFmtId="177" fontId="280" fillId="108" borderId="0" xfId="438" applyNumberFormat="1" applyFont="1" applyFill="1" applyAlignment="1">
      <alignment horizontal="center"/>
    </xf>
    <xf numFmtId="177" fontId="280" fillId="108" borderId="0" xfId="2" applyNumberFormat="1" applyFont="1" applyFill="1" applyAlignment="1">
      <alignment vertical="center"/>
    </xf>
    <xf numFmtId="177" fontId="280" fillId="108" borderId="0" xfId="2" applyNumberFormat="1" applyFont="1" applyFill="1"/>
    <xf numFmtId="2" fontId="280" fillId="108" borderId="0" xfId="2" applyNumberFormat="1" applyFont="1" applyFill="1" applyAlignment="1">
      <alignment vertical="center"/>
    </xf>
    <xf numFmtId="2" fontId="280" fillId="108" borderId="0" xfId="2" applyNumberFormat="1" applyFont="1" applyFill="1"/>
    <xf numFmtId="2" fontId="282" fillId="108" borderId="0" xfId="2" applyNumberFormat="1" applyFont="1" applyFill="1" applyAlignment="1">
      <alignment vertical="center"/>
    </xf>
    <xf numFmtId="1" fontId="280" fillId="108" borderId="0" xfId="2" applyNumberFormat="1" applyFont="1" applyFill="1" applyAlignment="1">
      <alignment vertical="center"/>
    </xf>
    <xf numFmtId="0" fontId="286" fillId="107" borderId="0" xfId="2" applyFont="1" applyFill="1"/>
    <xf numFmtId="0" fontId="286" fillId="107" borderId="0" xfId="252" applyFont="1" applyFill="1" applyAlignment="1">
      <alignment vertical="top"/>
    </xf>
    <xf numFmtId="0" fontId="286" fillId="107" borderId="0" xfId="2" applyFont="1" applyFill="1" applyAlignment="1">
      <alignment horizontal="center"/>
    </xf>
    <xf numFmtId="0" fontId="287" fillId="107" borderId="0" xfId="2" applyFont="1" applyFill="1"/>
    <xf numFmtId="0" fontId="287" fillId="107" borderId="0" xfId="252" applyFont="1" applyFill="1" applyAlignment="1">
      <alignment vertical="top"/>
    </xf>
    <xf numFmtId="0" fontId="287" fillId="107" borderId="0" xfId="2" applyFont="1" applyFill="1" applyAlignment="1">
      <alignment horizontal="center"/>
    </xf>
    <xf numFmtId="0" fontId="283" fillId="0" borderId="0" xfId="2" applyFont="1" applyAlignment="1">
      <alignment horizontal="left"/>
    </xf>
    <xf numFmtId="0" fontId="283" fillId="0" borderId="0" xfId="2" applyFont="1" applyAlignment="1">
      <alignment horizontal="left" vertical="top"/>
    </xf>
    <xf numFmtId="0" fontId="283" fillId="0" borderId="0" xfId="2" applyFont="1" applyAlignment="1">
      <alignment vertical="top"/>
    </xf>
    <xf numFmtId="0" fontId="283" fillId="0" borderId="0" xfId="253" applyFont="1" applyAlignment="1">
      <alignment horizontal="right"/>
    </xf>
    <xf numFmtId="176" fontId="280" fillId="0" borderId="0" xfId="284" applyNumberFormat="1" applyFont="1" applyFill="1" applyAlignment="1">
      <alignment vertical="center"/>
    </xf>
    <xf numFmtId="174" fontId="280" fillId="0" borderId="0" xfId="67" applyNumberFormat="1" applyFont="1" applyBorder="1" applyAlignment="1">
      <alignment horizontal="right"/>
    </xf>
    <xf numFmtId="0" fontId="280" fillId="0" borderId="0" xfId="253" applyFont="1"/>
    <xf numFmtId="3" fontId="280" fillId="0" borderId="0" xfId="253" applyNumberFormat="1" applyFont="1"/>
    <xf numFmtId="176" fontId="280" fillId="0" borderId="0" xfId="253" applyNumberFormat="1" applyFont="1"/>
    <xf numFmtId="0" fontId="283" fillId="0" borderId="0" xfId="253" applyFont="1"/>
    <xf numFmtId="174" fontId="280" fillId="0" borderId="0" xfId="67" applyNumberFormat="1" applyFont="1" applyFill="1" applyAlignment="1">
      <alignment vertical="center"/>
    </xf>
    <xf numFmtId="9" fontId="283" fillId="0" borderId="0" xfId="2" applyNumberFormat="1" applyFont="1"/>
    <xf numFmtId="0" fontId="283" fillId="0" borderId="0" xfId="0" applyFont="1"/>
    <xf numFmtId="0" fontId="290" fillId="0" borderId="0" xfId="2" applyFont="1"/>
    <xf numFmtId="0" fontId="284" fillId="107" borderId="0" xfId="2" applyFont="1" applyFill="1"/>
    <xf numFmtId="0" fontId="279" fillId="107" borderId="0" xfId="2" applyFont="1" applyFill="1"/>
    <xf numFmtId="0" fontId="281" fillId="107" borderId="0" xfId="2371" applyFont="1" applyFill="1"/>
    <xf numFmtId="0" fontId="279" fillId="107" borderId="0" xfId="2" applyFont="1" applyFill="1" applyAlignment="1">
      <alignment horizontal="right"/>
    </xf>
    <xf numFmtId="0" fontId="279" fillId="107" borderId="0" xfId="2" applyFont="1" applyFill="1" applyAlignment="1">
      <alignment horizontal="left"/>
    </xf>
    <xf numFmtId="0" fontId="287" fillId="107" borderId="0" xfId="2" applyFont="1" applyFill="1" applyAlignment="1">
      <alignment horizontal="right"/>
    </xf>
    <xf numFmtId="0" fontId="289" fillId="107" borderId="0" xfId="2" applyFont="1" applyFill="1"/>
    <xf numFmtId="0" fontId="286" fillId="107" borderId="0" xfId="252" applyFont="1" applyFill="1"/>
    <xf numFmtId="0" fontId="288" fillId="107" borderId="0" xfId="2" applyFont="1" applyFill="1"/>
    <xf numFmtId="0" fontId="288" fillId="107" borderId="0" xfId="2" applyFont="1" applyFill="1" applyAlignment="1">
      <alignment horizontal="left"/>
    </xf>
    <xf numFmtId="0" fontId="290" fillId="107" borderId="0" xfId="2" applyFont="1" applyFill="1"/>
    <xf numFmtId="0" fontId="287" fillId="107" borderId="0" xfId="2" applyFont="1" applyFill="1" applyAlignment="1">
      <alignment horizontal="right" wrapText="1"/>
    </xf>
    <xf numFmtId="0" fontId="287" fillId="107" borderId="0" xfId="2" applyFont="1" applyFill="1" applyAlignment="1">
      <alignment horizontal="left"/>
    </xf>
    <xf numFmtId="0" fontId="287" fillId="107" borderId="0" xfId="2" applyFont="1" applyFill="1" applyAlignment="1">
      <alignment horizontal="left" vertical="top"/>
    </xf>
    <xf numFmtId="0" fontId="287" fillId="107" borderId="0" xfId="2" applyFont="1" applyFill="1" applyAlignment="1">
      <alignment vertical="top"/>
    </xf>
    <xf numFmtId="0" fontId="287" fillId="107" borderId="0" xfId="253" applyFont="1" applyFill="1" applyAlignment="1">
      <alignment horizontal="right"/>
    </xf>
    <xf numFmtId="0" fontId="283" fillId="109" borderId="30" xfId="2" applyFont="1" applyFill="1" applyBorder="1"/>
    <xf numFmtId="0" fontId="283" fillId="109" borderId="30" xfId="2" applyFont="1" applyFill="1" applyBorder="1" applyAlignment="1">
      <alignment horizontal="right"/>
    </xf>
    <xf numFmtId="0" fontId="283" fillId="109" borderId="30" xfId="2" applyFont="1" applyFill="1" applyBorder="1" applyAlignment="1">
      <alignment horizontal="centerContinuous"/>
    </xf>
    <xf numFmtId="0" fontId="283" fillId="109" borderId="30" xfId="2" applyFont="1" applyFill="1" applyBorder="1" applyAlignment="1">
      <alignment horizontal="left"/>
    </xf>
    <xf numFmtId="0" fontId="291" fillId="0" borderId="0" xfId="2" applyFont="1"/>
    <xf numFmtId="9" fontId="280" fillId="0" borderId="0" xfId="284" applyFont="1" applyFill="1" applyAlignment="1">
      <alignment horizontal="right" vertical="center"/>
    </xf>
    <xf numFmtId="10" fontId="280" fillId="0" borderId="0" xfId="67" applyNumberFormat="1" applyFont="1" applyFill="1" applyAlignment="1">
      <alignment horizontal="right" vertical="center"/>
    </xf>
    <xf numFmtId="176" fontId="280" fillId="0" borderId="0" xfId="0" applyNumberFormat="1" applyFont="1"/>
    <xf numFmtId="0" fontId="295" fillId="107" borderId="0" xfId="2" applyFont="1" applyFill="1"/>
    <xf numFmtId="177" fontId="280" fillId="0" borderId="0" xfId="67" applyNumberFormat="1" applyFont="1" applyFill="1" applyBorder="1" applyAlignment="1">
      <alignment horizontal="right" vertical="center"/>
    </xf>
    <xf numFmtId="3" fontId="283" fillId="0" borderId="0" xfId="253" applyNumberFormat="1" applyFont="1"/>
    <xf numFmtId="9" fontId="280" fillId="0" borderId="0" xfId="284" applyFont="1" applyFill="1"/>
    <xf numFmtId="174" fontId="280" fillId="0" borderId="0" xfId="67" applyNumberFormat="1" applyFont="1" applyFill="1" applyBorder="1" applyAlignment="1">
      <alignment vertical="center"/>
    </xf>
    <xf numFmtId="0" fontId="280" fillId="0" borderId="0" xfId="0" applyFont="1" applyAlignment="1">
      <alignment horizontal="right"/>
    </xf>
    <xf numFmtId="3" fontId="280" fillId="0" borderId="0" xfId="67" applyNumberFormat="1" applyFont="1" applyFill="1" applyBorder="1" applyAlignment="1">
      <alignment horizontal="center"/>
    </xf>
    <xf numFmtId="0" fontId="280" fillId="5" borderId="0" xfId="2" applyFont="1" applyFill="1" applyAlignment="1">
      <alignment horizontal="center" vertical="center"/>
    </xf>
    <xf numFmtId="0" fontId="280" fillId="0" borderId="0" xfId="3" applyFont="1" applyAlignment="1">
      <alignment horizontal="right" vertical="center"/>
    </xf>
    <xf numFmtId="177" fontId="280" fillId="0" borderId="0" xfId="3" applyNumberFormat="1" applyFont="1" applyAlignment="1">
      <alignment horizontal="right" vertical="center"/>
    </xf>
    <xf numFmtId="177" fontId="280" fillId="0" borderId="0" xfId="0" applyNumberFormat="1" applyFont="1" applyAlignment="1">
      <alignment horizontal="right"/>
    </xf>
    <xf numFmtId="177" fontId="280" fillId="0" borderId="0" xfId="2" applyNumberFormat="1" applyFont="1" applyAlignment="1">
      <alignment horizontal="right" vertical="center"/>
    </xf>
    <xf numFmtId="0" fontId="280" fillId="0" borderId="7" xfId="2" applyFont="1" applyBorder="1" applyAlignment="1">
      <alignment horizontal="right" vertical="center"/>
    </xf>
    <xf numFmtId="176" fontId="280" fillId="0" borderId="7" xfId="284" applyNumberFormat="1" applyFont="1" applyFill="1" applyBorder="1" applyAlignment="1">
      <alignment horizontal="right" vertical="center"/>
    </xf>
    <xf numFmtId="178" fontId="280" fillId="0" borderId="0" xfId="67" applyNumberFormat="1" applyFont="1" applyFill="1" applyBorder="1" applyAlignment="1">
      <alignment horizontal="center"/>
    </xf>
    <xf numFmtId="0" fontId="280" fillId="29" borderId="0" xfId="0" applyFont="1" applyFill="1"/>
    <xf numFmtId="178" fontId="280" fillId="0" borderId="0" xfId="67" applyNumberFormat="1" applyFont="1" applyFill="1" applyBorder="1" applyAlignment="1">
      <alignment horizontal="right" vertical="center"/>
    </xf>
    <xf numFmtId="177" fontId="280" fillId="0" borderId="0" xfId="284" applyNumberFormat="1" applyFont="1" applyFill="1" applyBorder="1" applyAlignment="1">
      <alignment horizontal="center" vertical="center"/>
    </xf>
    <xf numFmtId="177" fontId="280" fillId="0" borderId="0" xfId="284" applyNumberFormat="1" applyFont="1" applyFill="1"/>
    <xf numFmtId="177" fontId="280" fillId="0" borderId="0" xfId="284" applyNumberFormat="1" applyFont="1" applyFill="1" applyAlignment="1">
      <alignment horizontal="center" vertical="center"/>
    </xf>
    <xf numFmtId="0" fontId="280" fillId="0" borderId="0" xfId="3" applyFont="1"/>
    <xf numFmtId="0" fontId="296" fillId="107" borderId="0" xfId="2" applyFont="1" applyFill="1"/>
    <xf numFmtId="0" fontId="284" fillId="0" borderId="0" xfId="3" applyFont="1"/>
    <xf numFmtId="0" fontId="283" fillId="0" borderId="0" xfId="0" applyFont="1" applyAlignment="1">
      <alignment horizontal="right"/>
    </xf>
    <xf numFmtId="3" fontId="283" fillId="0" borderId="0" xfId="67" applyNumberFormat="1" applyFont="1" applyFill="1" applyBorder="1" applyAlignment="1">
      <alignment horizontal="center"/>
    </xf>
    <xf numFmtId="0" fontId="280" fillId="0" borderId="0" xfId="3" applyFont="1" applyAlignment="1">
      <alignment horizontal="left" vertical="center"/>
    </xf>
    <xf numFmtId="0" fontId="280" fillId="0" borderId="0" xfId="2" applyFont="1" applyAlignment="1">
      <alignment horizontal="center"/>
    </xf>
    <xf numFmtId="0" fontId="280" fillId="0" borderId="7" xfId="2" applyFont="1" applyBorder="1" applyAlignment="1">
      <alignment horizontal="left" vertical="center"/>
    </xf>
    <xf numFmtId="0" fontId="280" fillId="0" borderId="62" xfId="0" applyFont="1" applyBorder="1"/>
    <xf numFmtId="177" fontId="280" fillId="0" borderId="0" xfId="3" applyNumberFormat="1" applyFont="1" applyAlignment="1">
      <alignment horizontal="left" vertical="center"/>
    </xf>
    <xf numFmtId="0" fontId="297" fillId="107" borderId="0" xfId="2371" applyFont="1" applyFill="1"/>
    <xf numFmtId="0" fontId="286" fillId="107" borderId="0" xfId="2" applyFont="1" applyFill="1" applyAlignment="1">
      <alignment horizontal="left"/>
    </xf>
    <xf numFmtId="292" fontId="280" fillId="0" borderId="0" xfId="67" applyNumberFormat="1" applyFont="1" applyFill="1" applyBorder="1" applyAlignment="1">
      <alignment horizontal="right" vertical="center"/>
    </xf>
    <xf numFmtId="292" fontId="280" fillId="0" borderId="0" xfId="67" applyNumberFormat="1" applyFont="1" applyFill="1" applyAlignment="1">
      <alignment horizontal="right" vertical="center"/>
    </xf>
    <xf numFmtId="292" fontId="280" fillId="0" borderId="7" xfId="67" applyNumberFormat="1" applyFont="1" applyFill="1" applyBorder="1" applyAlignment="1">
      <alignment horizontal="right" vertical="center"/>
    </xf>
    <xf numFmtId="178" fontId="283" fillId="0" borderId="4" xfId="67" applyNumberFormat="1" applyFont="1" applyFill="1" applyBorder="1" applyAlignment="1">
      <alignment horizontal="center" vertical="center"/>
    </xf>
    <xf numFmtId="3" fontId="280" fillId="29" borderId="0" xfId="67" applyNumberFormat="1" applyFont="1" applyFill="1" applyBorder="1" applyAlignment="1">
      <alignment horizontal="center" vertical="center"/>
    </xf>
    <xf numFmtId="177" fontId="283" fillId="0" borderId="0" xfId="67" applyNumberFormat="1" applyFont="1" applyFill="1" applyBorder="1" applyAlignment="1">
      <alignment horizontal="left" vertical="center"/>
    </xf>
    <xf numFmtId="3" fontId="283" fillId="0" borderId="0" xfId="67" applyNumberFormat="1" applyFont="1" applyFill="1" applyBorder="1" applyAlignment="1">
      <alignment horizontal="center" vertical="center"/>
    </xf>
    <xf numFmtId="176" fontId="283" fillId="0" borderId="0" xfId="284" applyNumberFormat="1" applyFont="1" applyFill="1" applyBorder="1" applyAlignment="1">
      <alignment horizontal="center" vertical="center"/>
    </xf>
    <xf numFmtId="0" fontId="283" fillId="0" borderId="0" xfId="2" applyFont="1" applyAlignment="1">
      <alignment horizontal="right" wrapText="1"/>
    </xf>
    <xf numFmtId="177" fontId="280" fillId="0" borderId="0" xfId="67" applyNumberFormat="1" applyFont="1" applyFill="1" applyBorder="1" applyAlignment="1">
      <alignment horizontal="left" vertical="center"/>
    </xf>
    <xf numFmtId="178" fontId="280" fillId="0" borderId="0" xfId="67" applyNumberFormat="1" applyFont="1" applyFill="1" applyBorder="1" applyAlignment="1">
      <alignment horizontal="center" vertical="center"/>
    </xf>
    <xf numFmtId="176" fontId="280" fillId="0" borderId="0" xfId="284" applyNumberFormat="1" applyFont="1" applyFill="1" applyBorder="1" applyAlignment="1">
      <alignment horizontal="center" vertical="center"/>
    </xf>
    <xf numFmtId="3" fontId="280" fillId="0" borderId="0" xfId="67" applyNumberFormat="1" applyFont="1" applyFill="1" applyBorder="1" applyAlignment="1">
      <alignment horizontal="center" vertical="center"/>
    </xf>
    <xf numFmtId="2" fontId="280" fillId="0" borderId="0" xfId="284" applyNumberFormat="1" applyFont="1" applyFill="1" applyBorder="1"/>
    <xf numFmtId="0" fontId="280" fillId="0" borderId="0" xfId="0" applyFont="1" applyAlignment="1">
      <alignment horizontal="left"/>
    </xf>
    <xf numFmtId="0" fontId="280" fillId="0" borderId="78" xfId="0" applyFont="1" applyBorder="1"/>
    <xf numFmtId="0" fontId="283" fillId="0" borderId="62" xfId="0" applyFont="1" applyBorder="1" applyAlignment="1">
      <alignment horizontal="centerContinuous"/>
    </xf>
    <xf numFmtId="0" fontId="297" fillId="107" borderId="0" xfId="2371" applyFont="1" applyFill="1" applyAlignment="1">
      <alignment horizontal="right"/>
    </xf>
    <xf numFmtId="0" fontId="286" fillId="107" borderId="0" xfId="2" applyFont="1" applyFill="1" applyAlignment="1">
      <alignment horizontal="right"/>
    </xf>
    <xf numFmtId="0" fontId="287" fillId="107" borderId="0" xfId="2" applyFont="1" applyFill="1" applyAlignment="1">
      <alignment horizontal="right" vertical="top"/>
    </xf>
    <xf numFmtId="0" fontId="283" fillId="0" borderId="0" xfId="252" applyFont="1" applyAlignment="1">
      <alignment horizontal="right" vertical="top"/>
    </xf>
    <xf numFmtId="0" fontId="283" fillId="0" borderId="62" xfId="0" applyFont="1" applyBorder="1" applyAlignment="1">
      <alignment horizontal="right"/>
    </xf>
    <xf numFmtId="0" fontId="283" fillId="0" borderId="78" xfId="0" applyFont="1" applyBorder="1" applyAlignment="1">
      <alignment horizontal="right"/>
    </xf>
    <xf numFmtId="0" fontId="282" fillId="0" borderId="0" xfId="0" applyFont="1" applyAlignment="1">
      <alignment horizontal="right"/>
    </xf>
    <xf numFmtId="3" fontId="280" fillId="0" borderId="0" xfId="67" applyNumberFormat="1" applyFont="1" applyFill="1" applyBorder="1" applyAlignment="1">
      <alignment horizontal="right" vertical="center"/>
    </xf>
    <xf numFmtId="3" fontId="283" fillId="0" borderId="0" xfId="67" applyNumberFormat="1" applyFont="1" applyFill="1" applyBorder="1" applyAlignment="1">
      <alignment horizontal="right" vertical="center"/>
    </xf>
    <xf numFmtId="178" fontId="280" fillId="0" borderId="0" xfId="0" applyNumberFormat="1" applyFont="1" applyAlignment="1">
      <alignment horizontal="right"/>
    </xf>
    <xf numFmtId="0" fontId="283" fillId="0" borderId="0" xfId="0" applyFont="1" applyAlignment="1">
      <alignment horizontal="right" wrapText="1"/>
    </xf>
    <xf numFmtId="0" fontId="282" fillId="0" borderId="78" xfId="0" applyFont="1" applyBorder="1" applyAlignment="1">
      <alignment horizontal="right"/>
    </xf>
    <xf numFmtId="3" fontId="283" fillId="0" borderId="62" xfId="67" applyNumberFormat="1" applyFont="1" applyFill="1" applyBorder="1" applyAlignment="1">
      <alignment horizontal="right" vertical="center"/>
    </xf>
    <xf numFmtId="176" fontId="283" fillId="0" borderId="62" xfId="284" applyNumberFormat="1" applyFont="1" applyFill="1" applyBorder="1" applyAlignment="1">
      <alignment horizontal="right" vertical="center"/>
    </xf>
    <xf numFmtId="178" fontId="283" fillId="0" borderId="62" xfId="67" applyNumberFormat="1" applyFont="1" applyFill="1" applyBorder="1" applyAlignment="1">
      <alignment horizontal="right" vertical="center"/>
    </xf>
    <xf numFmtId="3" fontId="283" fillId="0" borderId="30" xfId="67" applyNumberFormat="1" applyFont="1" applyFill="1" applyBorder="1" applyAlignment="1">
      <alignment horizontal="right" vertical="center"/>
    </xf>
    <xf numFmtId="178" fontId="283" fillId="0" borderId="30" xfId="67" applyNumberFormat="1" applyFont="1" applyFill="1" applyBorder="1" applyAlignment="1">
      <alignment horizontal="right" vertical="center"/>
    </xf>
    <xf numFmtId="177" fontId="283" fillId="0" borderId="78" xfId="67" applyNumberFormat="1" applyFont="1" applyFill="1" applyBorder="1" applyAlignment="1">
      <alignment horizontal="left" vertical="center"/>
    </xf>
    <xf numFmtId="0" fontId="299" fillId="0" borderId="0" xfId="2" applyFont="1"/>
    <xf numFmtId="0" fontId="293" fillId="0" borderId="34" xfId="2" applyFont="1" applyBorder="1"/>
    <xf numFmtId="0" fontId="300" fillId="0" borderId="0" xfId="2" applyFont="1"/>
    <xf numFmtId="0" fontId="293" fillId="0" borderId="0" xfId="2" applyFont="1"/>
    <xf numFmtId="177" fontId="283" fillId="0" borderId="0" xfId="2" applyNumberFormat="1" applyFont="1"/>
    <xf numFmtId="0" fontId="294" fillId="0" borderId="0" xfId="2" applyFont="1"/>
    <xf numFmtId="2" fontId="283" fillId="0" borderId="0" xfId="2" applyNumberFormat="1" applyFont="1"/>
    <xf numFmtId="0" fontId="301" fillId="0" borderId="0" xfId="0" applyFont="1"/>
    <xf numFmtId="175" fontId="280" fillId="0" borderId="0" xfId="67" applyNumberFormat="1" applyFont="1" applyFill="1" applyBorder="1"/>
    <xf numFmtId="176" fontId="280" fillId="0" borderId="0" xfId="284" applyNumberFormat="1" applyFont="1" applyFill="1" applyBorder="1"/>
    <xf numFmtId="175" fontId="283" fillId="0" borderId="0" xfId="67" applyNumberFormat="1" applyFont="1" applyFill="1" applyBorder="1"/>
    <xf numFmtId="176" fontId="283" fillId="0" borderId="0" xfId="284" applyNumberFormat="1" applyFont="1" applyFill="1" applyBorder="1"/>
    <xf numFmtId="176" fontId="283" fillId="0" borderId="0" xfId="284" applyNumberFormat="1" applyFont="1" applyFill="1" applyBorder="1" applyAlignment="1">
      <alignment horizontal="right"/>
    </xf>
    <xf numFmtId="176" fontId="280" fillId="0" borderId="0" xfId="2" applyNumberFormat="1" applyFont="1"/>
    <xf numFmtId="0" fontId="302" fillId="0" borderId="0" xfId="0" applyFont="1"/>
    <xf numFmtId="175" fontId="283" fillId="0" borderId="0" xfId="67" applyNumberFormat="1" applyFont="1" applyFill="1" applyBorder="1" applyAlignment="1">
      <alignment horizontal="right"/>
    </xf>
    <xf numFmtId="9" fontId="291" fillId="0" borderId="0" xfId="2" applyNumberFormat="1" applyFont="1"/>
    <xf numFmtId="1" fontId="283" fillId="0" borderId="0" xfId="2" applyNumberFormat="1" applyFont="1"/>
    <xf numFmtId="174" fontId="280" fillId="0" borderId="0" xfId="67" applyNumberFormat="1" applyFont="1" applyFill="1" applyBorder="1"/>
    <xf numFmtId="9" fontId="291" fillId="0" borderId="0" xfId="284" applyFont="1"/>
    <xf numFmtId="175" fontId="280" fillId="0" borderId="0" xfId="67" applyNumberFormat="1" applyFont="1" applyFill="1" applyBorder="1" applyAlignment="1">
      <alignment horizontal="right"/>
    </xf>
    <xf numFmtId="2" fontId="291" fillId="0" borderId="0" xfId="2" applyNumberFormat="1" applyFont="1"/>
    <xf numFmtId="177" fontId="291" fillId="0" borderId="0" xfId="2" applyNumberFormat="1" applyFont="1"/>
    <xf numFmtId="175" fontId="291" fillId="0" borderId="0" xfId="2" applyNumberFormat="1" applyFont="1"/>
    <xf numFmtId="43" fontId="280" fillId="0" borderId="0" xfId="2" applyNumberFormat="1" applyFont="1"/>
    <xf numFmtId="4" fontId="280" fillId="0" borderId="0" xfId="0" applyNumberFormat="1" applyFont="1"/>
    <xf numFmtId="0" fontId="283" fillId="0" borderId="34" xfId="2" applyFont="1" applyBorder="1" applyAlignment="1">
      <alignment horizontal="right"/>
    </xf>
    <xf numFmtId="0" fontId="280" fillId="0" borderId="34" xfId="2" applyFont="1" applyBorder="1"/>
    <xf numFmtId="43" fontId="283" fillId="0" borderId="4" xfId="67" applyFont="1" applyFill="1" applyBorder="1" applyAlignment="1">
      <alignment vertical="center"/>
    </xf>
    <xf numFmtId="177" fontId="283" fillId="0" borderId="0" xfId="67" applyNumberFormat="1" applyFont="1" applyFill="1" applyBorder="1" applyAlignment="1">
      <alignment horizontal="right"/>
    </xf>
    <xf numFmtId="3" fontId="280" fillId="25" borderId="7" xfId="67" applyNumberFormat="1" applyFont="1" applyFill="1" applyBorder="1" applyAlignment="1">
      <alignment horizontal="right" vertical="center"/>
    </xf>
    <xf numFmtId="3" fontId="280" fillId="0" borderId="0" xfId="0" applyNumberFormat="1" applyFont="1"/>
    <xf numFmtId="3" fontId="283" fillId="0" borderId="0" xfId="67" applyNumberFormat="1" applyFont="1" applyFill="1" applyBorder="1" applyAlignment="1">
      <alignment vertical="center"/>
    </xf>
    <xf numFmtId="3" fontId="280" fillId="25" borderId="0" xfId="67" applyNumberFormat="1" applyFont="1" applyFill="1" applyBorder="1" applyAlignment="1">
      <alignment horizontal="right" vertical="center"/>
    </xf>
    <xf numFmtId="3" fontId="280" fillId="28" borderId="0" xfId="67" applyNumberFormat="1" applyFont="1" applyFill="1" applyBorder="1" applyAlignment="1">
      <alignment horizontal="right" vertical="center"/>
    </xf>
    <xf numFmtId="176" fontId="283" fillId="0" borderId="0" xfId="67" applyNumberFormat="1" applyFont="1" applyFill="1" applyBorder="1"/>
    <xf numFmtId="3" fontId="283" fillId="0" borderId="35" xfId="67" applyNumberFormat="1" applyFont="1" applyFill="1" applyBorder="1" applyAlignment="1">
      <alignment horizontal="right" vertical="center"/>
    </xf>
    <xf numFmtId="176" fontId="283" fillId="0" borderId="0" xfId="284" applyNumberFormat="1" applyFont="1" applyAlignment="1">
      <alignment horizontal="right"/>
    </xf>
    <xf numFmtId="176" fontId="283" fillId="0" borderId="0" xfId="67" applyNumberFormat="1" applyFont="1" applyFill="1" applyBorder="1" applyAlignment="1">
      <alignment horizontal="right"/>
    </xf>
    <xf numFmtId="9" fontId="283" fillId="0" borderId="0" xfId="284" applyFont="1" applyFill="1" applyBorder="1" applyAlignment="1">
      <alignment horizontal="right"/>
    </xf>
    <xf numFmtId="176" fontId="280" fillId="0" borderId="0" xfId="284" applyNumberFormat="1" applyFont="1" applyAlignment="1">
      <alignment horizontal="right"/>
    </xf>
    <xf numFmtId="3" fontId="280" fillId="25" borderId="7" xfId="67" applyNumberFormat="1" applyFont="1" applyFill="1" applyBorder="1" applyAlignment="1">
      <alignment horizontal="right"/>
    </xf>
    <xf numFmtId="3" fontId="283" fillId="0" borderId="0" xfId="67" applyNumberFormat="1" applyFont="1" applyFill="1" applyBorder="1"/>
    <xf numFmtId="0" fontId="283" fillId="0" borderId="34" xfId="2" applyFont="1" applyBorder="1" applyAlignment="1">
      <alignment horizontal="right" wrapText="1"/>
    </xf>
    <xf numFmtId="174" fontId="283" fillId="0" borderId="0" xfId="67" applyNumberFormat="1" applyFont="1" applyFill="1" applyBorder="1" applyAlignment="1">
      <alignment horizontal="right"/>
    </xf>
    <xf numFmtId="9" fontId="283" fillId="0" borderId="0" xfId="284" applyFont="1" applyFill="1" applyBorder="1"/>
    <xf numFmtId="175" fontId="283" fillId="0" borderId="4" xfId="67" applyNumberFormat="1" applyFont="1" applyFill="1" applyBorder="1" applyAlignment="1">
      <alignment vertical="center"/>
    </xf>
    <xf numFmtId="176" fontId="280" fillId="0" borderId="0" xfId="284" applyNumberFormat="1" applyFont="1" applyFill="1" applyAlignment="1">
      <alignment horizontal="right"/>
    </xf>
    <xf numFmtId="174" fontId="283" fillId="0" borderId="4" xfId="67" applyNumberFormat="1" applyFont="1" applyFill="1" applyBorder="1" applyAlignment="1">
      <alignment vertical="center"/>
    </xf>
    <xf numFmtId="9" fontId="284" fillId="0" borderId="0" xfId="2" applyNumberFormat="1" applyFont="1"/>
    <xf numFmtId="9" fontId="284" fillId="0" borderId="0" xfId="284" applyFont="1" applyBorder="1"/>
    <xf numFmtId="175" fontId="283" fillId="0" borderId="4" xfId="67" applyNumberFormat="1" applyFont="1" applyFill="1" applyBorder="1" applyAlignment="1">
      <alignment horizontal="center" vertical="center"/>
    </xf>
    <xf numFmtId="174" fontId="283" fillId="0" borderId="0" xfId="67" applyNumberFormat="1" applyFont="1" applyFill="1" applyBorder="1" applyAlignment="1">
      <alignment vertical="center"/>
    </xf>
    <xf numFmtId="0" fontId="280" fillId="0" borderId="0" xfId="249" applyFont="1"/>
    <xf numFmtId="0" fontId="283" fillId="0" borderId="0" xfId="3" applyFont="1" applyAlignment="1">
      <alignment horizontal="right"/>
    </xf>
    <xf numFmtId="0" fontId="283" fillId="0" borderId="34" xfId="3" applyFont="1" applyBorder="1" applyAlignment="1">
      <alignment horizontal="right"/>
    </xf>
    <xf numFmtId="0" fontId="280" fillId="0" borderId="34" xfId="3" applyFont="1" applyBorder="1"/>
    <xf numFmtId="0" fontId="283" fillId="0" borderId="0" xfId="3" applyFont="1"/>
    <xf numFmtId="176" fontId="280" fillId="0" borderId="0" xfId="3" applyNumberFormat="1" applyFont="1"/>
    <xf numFmtId="0" fontId="280" fillId="0" borderId="0" xfId="3" applyFont="1" applyAlignment="1">
      <alignment horizontal="right"/>
    </xf>
    <xf numFmtId="2" fontId="283" fillId="0" borderId="0" xfId="3" applyNumberFormat="1" applyFont="1"/>
    <xf numFmtId="43" fontId="280" fillId="0" borderId="0" xfId="3" applyNumberFormat="1" applyFont="1"/>
    <xf numFmtId="3" fontId="283" fillId="0" borderId="0" xfId="2" applyNumberFormat="1" applyFont="1"/>
    <xf numFmtId="3" fontId="280" fillId="0" borderId="0" xfId="67" quotePrefix="1" applyNumberFormat="1" applyFont="1" applyFill="1" applyBorder="1" applyAlignment="1">
      <alignment horizontal="right" vertical="center"/>
    </xf>
    <xf numFmtId="9" fontId="280" fillId="0" borderId="0" xfId="284" applyFont="1"/>
    <xf numFmtId="175" fontId="280" fillId="0" borderId="0" xfId="2" applyNumberFormat="1" applyFont="1"/>
    <xf numFmtId="9" fontId="280" fillId="0" borderId="0" xfId="284" applyFont="1" applyFill="1" applyBorder="1"/>
    <xf numFmtId="0" fontId="283" fillId="0" borderId="34" xfId="2" applyFont="1" applyBorder="1"/>
    <xf numFmtId="0" fontId="283" fillId="0" borderId="34" xfId="3" applyFont="1" applyBorder="1"/>
    <xf numFmtId="9" fontId="280" fillId="0" borderId="0" xfId="3" applyNumberFormat="1" applyFont="1"/>
    <xf numFmtId="2" fontId="280" fillId="0" borderId="0" xfId="3" applyNumberFormat="1" applyFont="1"/>
    <xf numFmtId="177" fontId="280" fillId="0" borderId="0" xfId="3" applyNumberFormat="1" applyFont="1"/>
    <xf numFmtId="175" fontId="280" fillId="0" borderId="0" xfId="3" applyNumberFormat="1" applyFont="1"/>
    <xf numFmtId="0" fontId="279" fillId="107" borderId="0" xfId="0" applyFont="1" applyFill="1"/>
    <xf numFmtId="0" fontId="279" fillId="107" borderId="0" xfId="249" applyFont="1" applyFill="1"/>
    <xf numFmtId="0" fontId="279" fillId="107" borderId="0" xfId="3" applyFont="1" applyFill="1"/>
    <xf numFmtId="0" fontId="287" fillId="107" borderId="0" xfId="3" applyFont="1" applyFill="1" applyAlignment="1">
      <alignment horizontal="right"/>
    </xf>
    <xf numFmtId="0" fontId="287" fillId="107" borderId="0" xfId="3" applyFont="1" applyFill="1" applyAlignment="1">
      <alignment vertical="top"/>
    </xf>
    <xf numFmtId="0" fontId="288" fillId="107" borderId="0" xfId="3" applyFont="1" applyFill="1"/>
    <xf numFmtId="0" fontId="286" fillId="107" borderId="0" xfId="3" applyFont="1" applyFill="1" applyAlignment="1">
      <alignment horizontal="right"/>
    </xf>
    <xf numFmtId="3" fontId="280" fillId="108" borderId="7" xfId="67" applyNumberFormat="1" applyFont="1" applyFill="1" applyBorder="1" applyAlignment="1">
      <alignment horizontal="right" vertical="center"/>
    </xf>
    <xf numFmtId="3" fontId="280" fillId="108" borderId="0" xfId="67" applyNumberFormat="1" applyFont="1" applyFill="1" applyBorder="1" applyAlignment="1">
      <alignment horizontal="right" vertical="center"/>
    </xf>
    <xf numFmtId="3" fontId="280" fillId="108" borderId="7" xfId="67" applyNumberFormat="1" applyFont="1" applyFill="1" applyBorder="1" applyAlignment="1">
      <alignment horizontal="right"/>
    </xf>
    <xf numFmtId="3" fontId="280" fillId="108" borderId="0" xfId="67" applyNumberFormat="1" applyFont="1" applyFill="1" applyBorder="1" applyAlignment="1">
      <alignment horizontal="right"/>
    </xf>
    <xf numFmtId="0" fontId="284" fillId="0" borderId="0" xfId="249" applyFont="1"/>
    <xf numFmtId="174" fontId="284" fillId="0" borderId="0" xfId="67" applyNumberFormat="1" applyFont="1" applyFill="1" applyBorder="1"/>
    <xf numFmtId="10" fontId="284" fillId="0" borderId="0" xfId="2" applyNumberFormat="1" applyFont="1"/>
    <xf numFmtId="9" fontId="284" fillId="0" borderId="0" xfId="284" applyFont="1"/>
    <xf numFmtId="3" fontId="284" fillId="0" borderId="0" xfId="0" quotePrefix="1" applyNumberFormat="1" applyFont="1"/>
    <xf numFmtId="9" fontId="284" fillId="0" borderId="0" xfId="3" applyNumberFormat="1" applyFont="1"/>
    <xf numFmtId="0" fontId="290" fillId="0" borderId="0" xfId="3" applyFont="1"/>
    <xf numFmtId="10" fontId="284" fillId="0" borderId="0" xfId="3" applyNumberFormat="1" applyFont="1"/>
    <xf numFmtId="3" fontId="280" fillId="0" borderId="0" xfId="67" applyNumberFormat="1" applyFont="1" applyFill="1" applyBorder="1" applyAlignment="1">
      <alignment horizontal="right"/>
    </xf>
    <xf numFmtId="3" fontId="280" fillId="0" borderId="7" xfId="67" applyNumberFormat="1" applyFont="1" applyFill="1" applyBorder="1" applyAlignment="1">
      <alignment horizontal="right" vertical="center"/>
    </xf>
    <xf numFmtId="176" fontId="283" fillId="0" borderId="0" xfId="284" applyNumberFormat="1" applyFont="1" applyFill="1" applyAlignment="1">
      <alignment horizontal="right"/>
    </xf>
    <xf numFmtId="0" fontId="290" fillId="0" borderId="34" xfId="2" applyFont="1" applyBorder="1" applyAlignment="1">
      <alignment horizontal="right"/>
    </xf>
    <xf numFmtId="3" fontId="280" fillId="0" borderId="7" xfId="67" applyNumberFormat="1" applyFont="1" applyFill="1" applyBorder="1" applyAlignment="1">
      <alignment horizontal="right"/>
    </xf>
    <xf numFmtId="0" fontId="280" fillId="0" borderId="3" xfId="2" applyFont="1" applyBorder="1"/>
    <xf numFmtId="0" fontId="291" fillId="107" borderId="0" xfId="2" applyFont="1" applyFill="1"/>
    <xf numFmtId="0" fontId="299" fillId="107" borderId="0" xfId="2" applyFont="1" applyFill="1"/>
    <xf numFmtId="0" fontId="292" fillId="107" borderId="0" xfId="2" applyFont="1" applyFill="1" applyAlignment="1">
      <alignment horizontal="right"/>
    </xf>
    <xf numFmtId="0" fontId="292" fillId="107" borderId="0" xfId="2" applyFont="1" applyFill="1" applyAlignment="1">
      <alignment vertical="top"/>
    </xf>
    <xf numFmtId="0" fontId="303" fillId="107" borderId="0" xfId="252" applyFont="1" applyFill="1"/>
    <xf numFmtId="0" fontId="304" fillId="107" borderId="0" xfId="2" applyFont="1" applyFill="1"/>
    <xf numFmtId="0" fontId="303" fillId="107" borderId="0" xfId="2" applyFont="1" applyFill="1" applyAlignment="1">
      <alignment horizontal="right"/>
    </xf>
    <xf numFmtId="0" fontId="305" fillId="107" borderId="0" xfId="2" applyFont="1" applyFill="1"/>
    <xf numFmtId="0" fontId="283" fillId="0" borderId="0" xfId="252" applyFont="1" applyAlignment="1">
      <alignment vertical="center"/>
    </xf>
    <xf numFmtId="0" fontId="283" fillId="0" borderId="3" xfId="252" applyFont="1" applyBorder="1" applyAlignment="1">
      <alignment vertical="center"/>
    </xf>
    <xf numFmtId="0" fontId="298" fillId="0" borderId="0" xfId="252" applyFont="1" applyAlignment="1">
      <alignment vertical="center"/>
    </xf>
    <xf numFmtId="3" fontId="280" fillId="0" borderId="0" xfId="67" applyNumberFormat="1" applyFont="1" applyFill="1"/>
    <xf numFmtId="176" fontId="280" fillId="0" borderId="0" xfId="284" applyNumberFormat="1" applyFont="1" applyBorder="1" applyAlignment="1">
      <alignment horizontal="right"/>
    </xf>
    <xf numFmtId="3" fontId="280" fillId="0" borderId="0" xfId="67" applyNumberFormat="1" applyFont="1" applyFill="1" applyBorder="1" applyAlignment="1">
      <alignment vertical="center"/>
    </xf>
    <xf numFmtId="3" fontId="283" fillId="0" borderId="0" xfId="67" quotePrefix="1" applyNumberFormat="1" applyFont="1" applyFill="1" applyBorder="1" applyAlignment="1">
      <alignment vertical="center"/>
    </xf>
    <xf numFmtId="3" fontId="283" fillId="0" borderId="0" xfId="67" applyNumberFormat="1" applyFont="1" applyFill="1" applyBorder="1" applyAlignment="1">
      <alignment horizontal="left" vertical="center"/>
    </xf>
    <xf numFmtId="0" fontId="284" fillId="0" borderId="79" xfId="2" applyFont="1" applyBorder="1"/>
    <xf numFmtId="0" fontId="284" fillId="0" borderId="80" xfId="2" applyFont="1" applyBorder="1"/>
    <xf numFmtId="0" fontId="284" fillId="0" borderId="81" xfId="2" applyFont="1" applyBorder="1"/>
    <xf numFmtId="0" fontId="284" fillId="0" borderId="82" xfId="2" applyFont="1" applyBorder="1"/>
    <xf numFmtId="202" fontId="284" fillId="0" borderId="0" xfId="2" applyNumberFormat="1" applyFont="1"/>
    <xf numFmtId="9" fontId="284" fillId="0" borderId="83" xfId="2" applyNumberFormat="1" applyFont="1" applyBorder="1"/>
    <xf numFmtId="0" fontId="284" fillId="0" borderId="84" xfId="2" applyFont="1" applyBorder="1"/>
    <xf numFmtId="9" fontId="284" fillId="0" borderId="85" xfId="2" applyNumberFormat="1" applyFont="1" applyBorder="1"/>
    <xf numFmtId="9" fontId="284" fillId="0" borderId="86" xfId="2" applyNumberFormat="1" applyFont="1" applyBorder="1"/>
    <xf numFmtId="0" fontId="284" fillId="0" borderId="85" xfId="2" applyFont="1" applyBorder="1"/>
    <xf numFmtId="3" fontId="280" fillId="0" borderId="7" xfId="67" applyNumberFormat="1" applyFont="1" applyFill="1" applyBorder="1" applyAlignment="1">
      <alignment vertical="center"/>
    </xf>
    <xf numFmtId="43" fontId="284" fillId="0" borderId="0" xfId="2" applyNumberFormat="1" applyFont="1"/>
    <xf numFmtId="3" fontId="284" fillId="0" borderId="0" xfId="67" applyNumberFormat="1" applyFont="1" applyFill="1" applyBorder="1" applyAlignment="1">
      <alignment horizontal="right" vertical="center"/>
    </xf>
    <xf numFmtId="3" fontId="284" fillId="0" borderId="0" xfId="67" applyNumberFormat="1" applyFont="1" applyFill="1" applyBorder="1" applyAlignment="1">
      <alignment vertical="center"/>
    </xf>
    <xf numFmtId="0" fontId="280" fillId="0" borderId="0" xfId="252" applyFont="1"/>
    <xf numFmtId="0" fontId="280" fillId="0" borderId="34" xfId="252" applyFont="1" applyBorder="1"/>
    <xf numFmtId="176" fontId="283" fillId="0" borderId="0" xfId="284" applyNumberFormat="1" applyFont="1" applyFill="1" applyBorder="1" applyAlignment="1">
      <alignment horizontal="center"/>
    </xf>
    <xf numFmtId="0" fontId="280" fillId="0" borderId="0" xfId="252" applyFont="1" applyAlignment="1">
      <alignment vertical="center"/>
    </xf>
    <xf numFmtId="176" fontId="283" fillId="0" borderId="0" xfId="284" applyNumberFormat="1" applyFont="1" applyBorder="1" applyAlignment="1">
      <alignment horizontal="center" vertical="center"/>
    </xf>
    <xf numFmtId="177" fontId="283" fillId="0" borderId="0" xfId="252" applyNumberFormat="1" applyFont="1" applyAlignment="1">
      <alignment horizontal="center" vertical="center"/>
    </xf>
    <xf numFmtId="177" fontId="280" fillId="0" borderId="0" xfId="252" applyNumberFormat="1" applyFont="1" applyAlignment="1">
      <alignment horizontal="center" vertical="center"/>
    </xf>
    <xf numFmtId="3" fontId="283" fillId="0" borderId="7" xfId="67" applyNumberFormat="1" applyFont="1" applyFill="1" applyBorder="1" applyAlignment="1">
      <alignment horizontal="center" vertical="center"/>
    </xf>
    <xf numFmtId="0" fontId="283" fillId="0" borderId="0" xfId="252" applyFont="1" applyAlignment="1">
      <alignment horizontal="center"/>
    </xf>
    <xf numFmtId="177" fontId="283" fillId="0" borderId="0" xfId="252" applyNumberFormat="1" applyFont="1" applyAlignment="1">
      <alignment horizontal="center"/>
    </xf>
    <xf numFmtId="9" fontId="283" fillId="0" borderId="0" xfId="284" applyFont="1" applyFill="1" applyBorder="1" applyAlignment="1">
      <alignment horizontal="center" vertical="center"/>
    </xf>
    <xf numFmtId="9" fontId="283" fillId="0" borderId="0" xfId="284" applyFont="1" applyFill="1" applyBorder="1" applyAlignment="1">
      <alignment horizontal="center"/>
    </xf>
    <xf numFmtId="0" fontId="280" fillId="0" borderId="7" xfId="252" applyFont="1" applyBorder="1"/>
    <xf numFmtId="3" fontId="280" fillId="0" borderId="0" xfId="252" applyNumberFormat="1" applyFont="1"/>
    <xf numFmtId="0" fontId="283" fillId="0" borderId="0" xfId="252" applyFont="1"/>
    <xf numFmtId="0" fontId="283" fillId="0" borderId="0" xfId="252" applyFont="1" applyAlignment="1">
      <alignment horizontal="left" vertical="center"/>
    </xf>
    <xf numFmtId="3" fontId="280" fillId="0" borderId="0" xfId="252" applyNumberFormat="1" applyFont="1" applyAlignment="1">
      <alignment horizontal="left" vertical="center"/>
    </xf>
    <xf numFmtId="0" fontId="280" fillId="0" borderId="0" xfId="252" applyFont="1" applyAlignment="1">
      <alignment horizontal="left" vertical="center"/>
    </xf>
    <xf numFmtId="3" fontId="280" fillId="0" borderId="7" xfId="67" applyNumberFormat="1" applyFont="1" applyFill="1" applyBorder="1" applyAlignment="1">
      <alignment horizontal="center" vertical="center"/>
    </xf>
    <xf numFmtId="2" fontId="283" fillId="0" borderId="0" xfId="252" applyNumberFormat="1" applyFont="1" applyAlignment="1">
      <alignment horizontal="center"/>
    </xf>
    <xf numFmtId="176" fontId="283" fillId="0" borderId="0" xfId="284" applyNumberFormat="1" applyFont="1" applyAlignment="1">
      <alignment horizontal="center" vertical="center"/>
    </xf>
    <xf numFmtId="176" fontId="280" fillId="0" borderId="0" xfId="67" applyNumberFormat="1" applyFont="1" applyFill="1" applyBorder="1"/>
    <xf numFmtId="175" fontId="283" fillId="0" borderId="0" xfId="252" applyNumberFormat="1" applyFont="1"/>
    <xf numFmtId="9" fontId="280" fillId="0" borderId="0" xfId="67" applyNumberFormat="1" applyFont="1" applyFill="1" applyBorder="1"/>
    <xf numFmtId="176" fontId="283" fillId="0" borderId="0" xfId="252" applyNumberFormat="1" applyFont="1"/>
    <xf numFmtId="176" fontId="280" fillId="0" borderId="0" xfId="252" applyNumberFormat="1" applyFont="1"/>
    <xf numFmtId="176" fontId="280" fillId="0" borderId="0" xfId="284" applyNumberFormat="1" applyFont="1" applyFill="1" applyBorder="1" applyAlignment="1">
      <alignment horizontal="center"/>
    </xf>
    <xf numFmtId="176" fontId="280" fillId="0" borderId="0" xfId="284" applyNumberFormat="1" applyFont="1" applyAlignment="1">
      <alignment horizontal="center" vertical="center"/>
    </xf>
    <xf numFmtId="176" fontId="280" fillId="0" borderId="7" xfId="284" applyNumberFormat="1" applyFont="1" applyBorder="1" applyAlignment="1">
      <alignment horizontal="center" vertical="center"/>
    </xf>
    <xf numFmtId="177" fontId="280" fillId="0" borderId="7" xfId="252" applyNumberFormat="1" applyFont="1" applyBorder="1" applyAlignment="1">
      <alignment horizontal="center" vertical="center"/>
    </xf>
    <xf numFmtId="176" fontId="280" fillId="0" borderId="0" xfId="284" applyNumberFormat="1" applyFont="1" applyBorder="1" applyAlignment="1">
      <alignment horizontal="center" vertical="center"/>
    </xf>
    <xf numFmtId="3" fontId="283" fillId="0" borderId="33" xfId="67" applyNumberFormat="1" applyFont="1" applyFill="1" applyBorder="1" applyAlignment="1">
      <alignment horizontal="center" vertical="center"/>
    </xf>
    <xf numFmtId="3" fontId="283" fillId="0" borderId="0" xfId="252" applyNumberFormat="1" applyFont="1" applyAlignment="1">
      <alignment horizontal="center"/>
    </xf>
    <xf numFmtId="1" fontId="280" fillId="0" borderId="0" xfId="252" applyNumberFormat="1" applyFont="1" applyAlignment="1">
      <alignment horizontal="center" vertical="center"/>
    </xf>
    <xf numFmtId="3" fontId="283" fillId="29" borderId="0" xfId="67" applyNumberFormat="1" applyFont="1" applyFill="1" applyBorder="1" applyAlignment="1">
      <alignment horizontal="center" vertical="center"/>
    </xf>
    <xf numFmtId="3" fontId="280" fillId="0" borderId="0" xfId="1497" applyNumberFormat="1" applyFont="1" applyFill="1" applyBorder="1" applyAlignment="1">
      <alignment horizontal="center" vertical="center"/>
    </xf>
    <xf numFmtId="177" fontId="280" fillId="0" borderId="0" xfId="252" applyNumberFormat="1" applyFont="1" applyAlignment="1">
      <alignment horizontal="center"/>
    </xf>
    <xf numFmtId="3" fontId="280" fillId="0" borderId="0" xfId="1497" applyNumberFormat="1" applyFont="1" applyFill="1" applyBorder="1" applyAlignment="1">
      <alignment horizontal="center"/>
    </xf>
    <xf numFmtId="176" fontId="280" fillId="0" borderId="0" xfId="1498" applyNumberFormat="1" applyFont="1" applyFill="1" applyBorder="1" applyAlignment="1">
      <alignment horizontal="center"/>
    </xf>
    <xf numFmtId="176" fontId="280" fillId="0" borderId="0" xfId="1498" applyNumberFormat="1" applyFont="1" applyBorder="1" applyAlignment="1">
      <alignment horizontal="center" vertical="center"/>
    </xf>
    <xf numFmtId="3" fontId="283" fillId="0" borderId="0" xfId="1497" applyNumberFormat="1" applyFont="1" applyFill="1" applyBorder="1" applyAlignment="1">
      <alignment horizontal="center" vertical="center"/>
    </xf>
    <xf numFmtId="3" fontId="283" fillId="0" borderId="0" xfId="1497" applyNumberFormat="1" applyFont="1" applyFill="1" applyBorder="1" applyAlignment="1">
      <alignment horizontal="center"/>
    </xf>
    <xf numFmtId="3" fontId="283" fillId="0" borderId="33" xfId="1497" applyNumberFormat="1" applyFont="1" applyFill="1" applyBorder="1" applyAlignment="1">
      <alignment horizontal="center"/>
    </xf>
    <xf numFmtId="3" fontId="283" fillId="0" borderId="33" xfId="1497" applyNumberFormat="1" applyFont="1" applyFill="1" applyBorder="1" applyAlignment="1">
      <alignment horizontal="center" vertical="center"/>
    </xf>
    <xf numFmtId="9" fontId="283" fillId="0" borderId="0" xfId="1498" applyFont="1" applyFill="1" applyBorder="1" applyAlignment="1">
      <alignment horizontal="center" vertical="center"/>
    </xf>
    <xf numFmtId="9" fontId="283" fillId="0" borderId="0" xfId="1498" applyFont="1" applyFill="1" applyBorder="1" applyAlignment="1">
      <alignment horizontal="center"/>
    </xf>
    <xf numFmtId="176" fontId="283" fillId="0" borderId="0" xfId="1498" applyNumberFormat="1" applyFont="1" applyBorder="1" applyAlignment="1">
      <alignment horizontal="center" vertical="center"/>
    </xf>
    <xf numFmtId="0" fontId="280" fillId="0" borderId="0" xfId="252" applyFont="1" applyAlignment="1">
      <alignment horizontal="center"/>
    </xf>
    <xf numFmtId="9" fontId="280" fillId="0" borderId="0" xfId="1498" applyFont="1" applyFill="1" applyBorder="1" applyAlignment="1">
      <alignment horizontal="center"/>
    </xf>
    <xf numFmtId="177" fontId="283" fillId="0" borderId="33" xfId="252" applyNumberFormat="1" applyFont="1" applyBorder="1" applyAlignment="1">
      <alignment horizontal="center" vertical="center"/>
    </xf>
    <xf numFmtId="176" fontId="280" fillId="0" borderId="0" xfId="1498" applyNumberFormat="1" applyFont="1" applyFill="1" applyBorder="1" applyAlignment="1">
      <alignment horizontal="center" vertical="center"/>
    </xf>
    <xf numFmtId="9" fontId="283" fillId="0" borderId="33" xfId="1498" applyFont="1" applyFill="1" applyBorder="1" applyAlignment="1">
      <alignment horizontal="center" vertical="center"/>
    </xf>
    <xf numFmtId="3" fontId="283" fillId="0" borderId="78" xfId="1497" applyNumberFormat="1" applyFont="1" applyFill="1" applyBorder="1" applyAlignment="1">
      <alignment horizontal="center" vertical="center"/>
    </xf>
    <xf numFmtId="3" fontId="280" fillId="0" borderId="78" xfId="1497" applyNumberFormat="1" applyFont="1" applyFill="1" applyBorder="1" applyAlignment="1">
      <alignment horizontal="center" vertical="center"/>
    </xf>
    <xf numFmtId="176" fontId="283" fillId="0" borderId="0" xfId="1498" applyNumberFormat="1" applyFont="1" applyAlignment="1">
      <alignment horizontal="center" vertical="center"/>
    </xf>
    <xf numFmtId="175" fontId="283" fillId="0" borderId="0" xfId="1497" applyNumberFormat="1" applyFont="1" applyFill="1" applyBorder="1"/>
    <xf numFmtId="176" fontId="280" fillId="0" borderId="0" xfId="1497" applyNumberFormat="1" applyFont="1" applyFill="1" applyBorder="1"/>
    <xf numFmtId="2" fontId="280" fillId="0" borderId="0" xfId="252" applyNumberFormat="1" applyFont="1" applyAlignment="1">
      <alignment horizontal="center"/>
    </xf>
    <xf numFmtId="176" fontId="280" fillId="0" borderId="0" xfId="252" applyNumberFormat="1" applyFont="1" applyAlignment="1">
      <alignment horizontal="center"/>
    </xf>
    <xf numFmtId="1" fontId="280" fillId="0" borderId="0" xfId="252" applyNumberFormat="1" applyFont="1"/>
    <xf numFmtId="2" fontId="280" fillId="0" borderId="0" xfId="252" applyNumberFormat="1" applyFont="1" applyAlignment="1">
      <alignment horizontal="center" vertical="center"/>
    </xf>
    <xf numFmtId="2" fontId="283" fillId="0" borderId="0" xfId="252" applyNumberFormat="1" applyFont="1" applyAlignment="1">
      <alignment horizontal="center" vertical="center"/>
    </xf>
    <xf numFmtId="338" fontId="283" fillId="0" borderId="7" xfId="67" applyNumberFormat="1" applyFont="1" applyFill="1" applyBorder="1" applyAlignment="1">
      <alignment horizontal="center" vertical="center"/>
    </xf>
    <xf numFmtId="338" fontId="283" fillId="0" borderId="33" xfId="67" applyNumberFormat="1" applyFont="1" applyFill="1" applyBorder="1" applyAlignment="1">
      <alignment horizontal="center" vertical="center"/>
    </xf>
    <xf numFmtId="1" fontId="283" fillId="0" borderId="0" xfId="252" applyNumberFormat="1" applyFont="1" applyAlignment="1">
      <alignment horizontal="center"/>
    </xf>
    <xf numFmtId="178" fontId="283" fillId="0" borderId="0" xfId="67" applyNumberFormat="1" applyFont="1" applyFill="1" applyBorder="1" applyAlignment="1">
      <alignment horizontal="center"/>
    </xf>
    <xf numFmtId="1" fontId="283" fillId="0" borderId="4" xfId="252" applyNumberFormat="1" applyFont="1" applyBorder="1" applyAlignment="1">
      <alignment horizontal="center" vertical="center"/>
    </xf>
    <xf numFmtId="3" fontId="283" fillId="0" borderId="62" xfId="67" applyNumberFormat="1" applyFont="1" applyFill="1" applyBorder="1" applyAlignment="1">
      <alignment horizontal="center" vertical="center"/>
    </xf>
    <xf numFmtId="177" fontId="283" fillId="0" borderId="62" xfId="252" applyNumberFormat="1" applyFont="1" applyBorder="1" applyAlignment="1">
      <alignment horizontal="center" vertical="center"/>
    </xf>
    <xf numFmtId="176" fontId="283" fillId="0" borderId="33" xfId="284" applyNumberFormat="1" applyFont="1" applyBorder="1" applyAlignment="1">
      <alignment horizontal="center" vertical="center"/>
    </xf>
    <xf numFmtId="1" fontId="283" fillId="0" borderId="0" xfId="252" applyNumberFormat="1" applyFont="1" applyAlignment="1">
      <alignment horizontal="center" vertical="center"/>
    </xf>
    <xf numFmtId="176" fontId="283" fillId="0" borderId="0" xfId="284" applyNumberFormat="1" applyFont="1" applyFill="1" applyAlignment="1">
      <alignment horizontal="center" vertical="center"/>
    </xf>
    <xf numFmtId="176" fontId="283" fillId="0" borderId="33" xfId="284" applyNumberFormat="1" applyFont="1" applyFill="1" applyBorder="1" applyAlignment="1">
      <alignment horizontal="center" vertical="center"/>
    </xf>
    <xf numFmtId="0" fontId="283" fillId="0" borderId="0" xfId="252" applyFont="1" applyAlignment="1">
      <alignment horizontal="right"/>
    </xf>
    <xf numFmtId="3" fontId="283" fillId="0" borderId="0" xfId="67" quotePrefix="1" applyNumberFormat="1" applyFont="1" applyFill="1" applyBorder="1" applyAlignment="1">
      <alignment horizontal="center" vertical="center"/>
    </xf>
    <xf numFmtId="3" fontId="283" fillId="0" borderId="0" xfId="67" applyNumberFormat="1" applyFont="1" applyAlignment="1">
      <alignment horizontal="center"/>
    </xf>
    <xf numFmtId="3" fontId="283" fillId="0" borderId="0" xfId="67" applyNumberFormat="1" applyFont="1" applyAlignment="1">
      <alignment horizontal="center" vertical="center"/>
    </xf>
    <xf numFmtId="2" fontId="280" fillId="0" borderId="0" xfId="252" applyNumberFormat="1" applyFont="1"/>
    <xf numFmtId="3" fontId="280" fillId="29" borderId="7" xfId="67" applyNumberFormat="1" applyFont="1" applyFill="1" applyBorder="1" applyAlignment="1">
      <alignment horizontal="center" vertical="center"/>
    </xf>
    <xf numFmtId="3" fontId="280" fillId="0" borderId="78" xfId="67" applyNumberFormat="1" applyFont="1" applyFill="1" applyBorder="1" applyAlignment="1">
      <alignment horizontal="center" vertical="center"/>
    </xf>
    <xf numFmtId="3" fontId="283" fillId="0" borderId="35" xfId="67" applyNumberFormat="1" applyFont="1" applyFill="1" applyBorder="1" applyAlignment="1">
      <alignment horizontal="center" vertical="center"/>
    </xf>
    <xf numFmtId="0" fontId="280" fillId="0" borderId="7" xfId="252" applyFont="1" applyBorder="1" applyAlignment="1">
      <alignment vertical="center"/>
    </xf>
    <xf numFmtId="176" fontId="283" fillId="0" borderId="62" xfId="284" applyNumberFormat="1" applyFont="1" applyBorder="1" applyAlignment="1">
      <alignment horizontal="center" vertical="center"/>
    </xf>
    <xf numFmtId="176" fontId="280" fillId="0" borderId="0" xfId="284" applyNumberFormat="1" applyFont="1" applyFill="1" applyAlignment="1">
      <alignment horizontal="center" vertical="center"/>
    </xf>
    <xf numFmtId="175" fontId="283" fillId="0" borderId="0" xfId="67" applyNumberFormat="1" applyFont="1" applyFill="1" applyBorder="1" applyAlignment="1">
      <alignment horizontal="center" vertical="center"/>
    </xf>
    <xf numFmtId="177" fontId="280" fillId="0" borderId="0" xfId="284" applyNumberFormat="1" applyFont="1" applyAlignment="1">
      <alignment horizontal="center" vertical="center"/>
    </xf>
    <xf numFmtId="176" fontId="280" fillId="0" borderId="0" xfId="67" applyNumberFormat="1" applyFont="1" applyFill="1" applyBorder="1" applyAlignment="1">
      <alignment horizontal="center" vertical="center"/>
    </xf>
    <xf numFmtId="178" fontId="283" fillId="0" borderId="33" xfId="252" applyNumberFormat="1" applyFont="1" applyBorder="1" applyAlignment="1">
      <alignment horizontal="center" vertical="center"/>
    </xf>
    <xf numFmtId="178" fontId="280" fillId="0" borderId="0" xfId="252" applyNumberFormat="1" applyFont="1" applyAlignment="1">
      <alignment horizontal="center" vertical="center"/>
    </xf>
    <xf numFmtId="0" fontId="283" fillId="0" borderId="0" xfId="252" applyFont="1" applyAlignment="1">
      <alignment vertical="top"/>
    </xf>
    <xf numFmtId="0" fontId="283" fillId="0" borderId="34" xfId="252" applyFont="1" applyBorder="1" applyAlignment="1">
      <alignment vertical="center"/>
    </xf>
    <xf numFmtId="0" fontId="283" fillId="0" borderId="0" xfId="252" applyFont="1" applyAlignment="1">
      <alignment horizontal="center" vertical="center"/>
    </xf>
    <xf numFmtId="0" fontId="283" fillId="0" borderId="0" xfId="252" applyFont="1" applyAlignment="1">
      <alignment horizontal="right" vertical="center"/>
    </xf>
    <xf numFmtId="0" fontId="283" fillId="0" borderId="34" xfId="2" applyFont="1" applyBorder="1" applyAlignment="1">
      <alignment horizontal="left"/>
    </xf>
    <xf numFmtId="177" fontId="283" fillId="0" borderId="15" xfId="252" applyNumberFormat="1" applyFont="1" applyBorder="1" applyAlignment="1">
      <alignment horizontal="center" vertical="center"/>
    </xf>
    <xf numFmtId="1" fontId="283" fillId="0" borderId="15" xfId="252" applyNumberFormat="1" applyFont="1" applyBorder="1" applyAlignment="1">
      <alignment horizontal="center" vertical="center"/>
    </xf>
    <xf numFmtId="0" fontId="283" fillId="0" borderId="34" xfId="1256" applyFont="1" applyBorder="1"/>
    <xf numFmtId="0" fontId="283" fillId="0" borderId="34" xfId="1256" applyFont="1" applyBorder="1" applyAlignment="1">
      <alignment horizontal="left"/>
    </xf>
    <xf numFmtId="0" fontId="283" fillId="0" borderId="0" xfId="252" quotePrefix="1" applyFont="1" applyAlignment="1">
      <alignment vertical="center"/>
    </xf>
    <xf numFmtId="2" fontId="283" fillId="0" borderId="15" xfId="252" applyNumberFormat="1" applyFont="1" applyBorder="1" applyAlignment="1">
      <alignment horizontal="center" vertical="center"/>
    </xf>
    <xf numFmtId="178" fontId="283" fillId="0" borderId="15" xfId="252" applyNumberFormat="1" applyFont="1" applyBorder="1" applyAlignment="1">
      <alignment horizontal="center" vertical="center"/>
    </xf>
    <xf numFmtId="0" fontId="280" fillId="0" borderId="0" xfId="252" applyFont="1" applyAlignment="1">
      <alignment horizontal="center" vertical="center"/>
    </xf>
    <xf numFmtId="177" fontId="283" fillId="0" borderId="15" xfId="252" applyNumberFormat="1" applyFont="1" applyBorder="1" applyAlignment="1">
      <alignment horizontal="center"/>
    </xf>
    <xf numFmtId="176" fontId="280" fillId="0" borderId="0" xfId="284" applyNumberFormat="1" applyFont="1"/>
    <xf numFmtId="178" fontId="283" fillId="0" borderId="4" xfId="252" applyNumberFormat="1" applyFont="1" applyBorder="1" applyAlignment="1">
      <alignment horizontal="center" vertical="center"/>
    </xf>
    <xf numFmtId="0" fontId="279" fillId="107" borderId="0" xfId="252" applyFont="1" applyFill="1"/>
    <xf numFmtId="0" fontId="287" fillId="107" borderId="0" xfId="252" applyFont="1" applyFill="1" applyAlignment="1">
      <alignment horizontal="right"/>
    </xf>
    <xf numFmtId="0" fontId="279" fillId="107" borderId="0" xfId="1256" applyFont="1" applyFill="1" applyAlignment="1">
      <alignment horizontal="right" vertical="top" indent="1"/>
    </xf>
    <xf numFmtId="0" fontId="279" fillId="107" borderId="0" xfId="1256" quotePrefix="1" applyFont="1" applyFill="1" applyAlignment="1">
      <alignment horizontal="right" vertical="top" indent="1"/>
    </xf>
    <xf numFmtId="0" fontId="306" fillId="107" borderId="0" xfId="252" applyFont="1" applyFill="1"/>
    <xf numFmtId="0" fontId="288" fillId="107" borderId="0" xfId="252" applyFont="1" applyFill="1"/>
    <xf numFmtId="0" fontId="286" fillId="107" borderId="0" xfId="1256" quotePrefix="1" applyFont="1" applyFill="1" applyAlignment="1">
      <alignment horizontal="right" vertical="top" indent="1"/>
    </xf>
    <xf numFmtId="0" fontId="286" fillId="107" borderId="0" xfId="249" applyFont="1" applyFill="1"/>
    <xf numFmtId="3" fontId="283" fillId="108" borderId="0" xfId="67" applyNumberFormat="1" applyFont="1" applyFill="1" applyBorder="1" applyAlignment="1">
      <alignment horizontal="center" vertical="center"/>
    </xf>
    <xf numFmtId="177" fontId="283" fillId="108" borderId="0" xfId="252" applyNumberFormat="1" applyFont="1" applyFill="1" applyAlignment="1">
      <alignment horizontal="center" vertical="center"/>
    </xf>
    <xf numFmtId="3" fontId="283" fillId="108" borderId="78" xfId="67" applyNumberFormat="1" applyFont="1" applyFill="1" applyBorder="1" applyAlignment="1">
      <alignment horizontal="center" vertical="center"/>
    </xf>
    <xf numFmtId="176" fontId="283" fillId="108" borderId="0" xfId="284" applyNumberFormat="1" applyFont="1" applyFill="1" applyBorder="1" applyAlignment="1">
      <alignment horizontal="center" vertical="center"/>
    </xf>
    <xf numFmtId="3" fontId="280" fillId="108" borderId="0" xfId="67" applyNumberFormat="1" applyFont="1" applyFill="1" applyBorder="1" applyAlignment="1">
      <alignment horizontal="center" vertical="center"/>
    </xf>
    <xf numFmtId="4" fontId="280" fillId="108" borderId="0" xfId="67" applyNumberFormat="1" applyFont="1" applyFill="1" applyBorder="1" applyAlignment="1">
      <alignment horizontal="center" vertical="center"/>
    </xf>
    <xf numFmtId="178" fontId="280" fillId="108" borderId="0" xfId="67" applyNumberFormat="1" applyFont="1" applyFill="1" applyBorder="1" applyAlignment="1">
      <alignment horizontal="center" vertical="center"/>
    </xf>
    <xf numFmtId="177" fontId="280" fillId="108" borderId="0" xfId="252" applyNumberFormat="1" applyFont="1" applyFill="1" applyAlignment="1">
      <alignment horizontal="center" vertical="center"/>
    </xf>
    <xf numFmtId="341" fontId="280" fillId="108" borderId="0" xfId="252" applyNumberFormat="1" applyFont="1" applyFill="1" applyAlignment="1">
      <alignment horizontal="center" vertical="center"/>
    </xf>
    <xf numFmtId="340" fontId="280" fillId="108" borderId="0" xfId="252" applyNumberFormat="1" applyFont="1" applyFill="1" applyAlignment="1">
      <alignment horizontal="center" vertical="center"/>
    </xf>
    <xf numFmtId="176" fontId="280" fillId="108" borderId="0" xfId="284" applyNumberFormat="1" applyFont="1" applyFill="1" applyBorder="1" applyAlignment="1">
      <alignment horizontal="center" vertical="center"/>
    </xf>
    <xf numFmtId="338" fontId="280" fillId="108" borderId="0" xfId="67" applyNumberFormat="1" applyFont="1" applyFill="1" applyBorder="1" applyAlignment="1">
      <alignment horizontal="center" vertical="center"/>
    </xf>
    <xf numFmtId="9" fontId="280" fillId="108" borderId="0" xfId="284" applyFont="1" applyFill="1" applyBorder="1" applyAlignment="1">
      <alignment horizontal="center" vertical="center"/>
    </xf>
    <xf numFmtId="9" fontId="280" fillId="0" borderId="0" xfId="284" applyFont="1" applyFill="1" applyBorder="1" applyAlignment="1">
      <alignment horizontal="center" vertical="center"/>
    </xf>
    <xf numFmtId="9" fontId="280" fillId="0" borderId="0" xfId="284" applyFont="1" applyFill="1" applyBorder="1" applyAlignment="1">
      <alignment horizontal="center"/>
    </xf>
    <xf numFmtId="3" fontId="280" fillId="0" borderId="33" xfId="67" applyNumberFormat="1" applyFont="1" applyFill="1" applyBorder="1" applyAlignment="1">
      <alignment horizontal="center" vertical="center"/>
    </xf>
    <xf numFmtId="0" fontId="280" fillId="0" borderId="0" xfId="3" applyFont="1" applyAlignment="1">
      <alignment horizontal="left"/>
    </xf>
    <xf numFmtId="3" fontId="280" fillId="0" borderId="7" xfId="67" applyNumberFormat="1" applyFont="1" applyFill="1" applyBorder="1" applyAlignment="1">
      <alignment horizontal="center"/>
    </xf>
    <xf numFmtId="3" fontId="280" fillId="108" borderId="7" xfId="67" applyNumberFormat="1" applyFont="1" applyFill="1" applyBorder="1" applyAlignment="1">
      <alignment horizontal="center" vertical="center"/>
    </xf>
    <xf numFmtId="177" fontId="280" fillId="29" borderId="0" xfId="252" applyNumberFormat="1" applyFont="1" applyFill="1" applyAlignment="1">
      <alignment horizontal="center" vertical="center"/>
    </xf>
    <xf numFmtId="3" fontId="280" fillId="29" borderId="0" xfId="67" applyNumberFormat="1" applyFont="1" applyFill="1" applyBorder="1" applyAlignment="1">
      <alignment horizontal="center"/>
    </xf>
    <xf numFmtId="3" fontId="280" fillId="0" borderId="33" xfId="67" applyNumberFormat="1" applyFont="1" applyFill="1" applyBorder="1" applyAlignment="1">
      <alignment horizontal="center"/>
    </xf>
    <xf numFmtId="176" fontId="280" fillId="0" borderId="33" xfId="284" applyNumberFormat="1" applyFont="1" applyFill="1" applyBorder="1" applyAlignment="1">
      <alignment horizontal="center"/>
    </xf>
    <xf numFmtId="178" fontId="280" fillId="0" borderId="33" xfId="67" applyNumberFormat="1" applyFont="1" applyFill="1" applyBorder="1" applyAlignment="1">
      <alignment horizontal="center"/>
    </xf>
    <xf numFmtId="3" fontId="280" fillId="0" borderId="0" xfId="67" applyNumberFormat="1" applyFont="1" applyAlignment="1">
      <alignment horizontal="center"/>
    </xf>
    <xf numFmtId="0" fontId="280" fillId="0" borderId="0" xfId="252" quotePrefix="1" applyFont="1" applyAlignment="1">
      <alignment vertical="center"/>
    </xf>
    <xf numFmtId="3" fontId="280" fillId="108" borderId="0" xfId="67" applyNumberFormat="1" applyFont="1" applyFill="1" applyBorder="1" applyAlignment="1">
      <alignment horizontal="center"/>
    </xf>
    <xf numFmtId="339" fontId="280" fillId="108" borderId="0" xfId="252" applyNumberFormat="1" applyFont="1" applyFill="1" applyAlignment="1">
      <alignment horizontal="center" vertical="center"/>
    </xf>
    <xf numFmtId="176" fontId="280" fillId="0" borderId="0" xfId="1498" applyNumberFormat="1" applyFont="1" applyAlignment="1">
      <alignment horizontal="center" vertical="center"/>
    </xf>
    <xf numFmtId="9" fontId="280" fillId="0" borderId="0" xfId="1498" applyFont="1" applyFill="1" applyBorder="1" applyAlignment="1">
      <alignment horizontal="center" vertical="center"/>
    </xf>
    <xf numFmtId="3" fontId="280" fillId="108" borderId="0" xfId="1497" applyNumberFormat="1" applyFont="1" applyFill="1" applyBorder="1" applyAlignment="1">
      <alignment horizontal="center" vertical="center"/>
    </xf>
    <xf numFmtId="176" fontId="280" fillId="108" borderId="0" xfId="1498" applyNumberFormat="1" applyFont="1" applyFill="1" applyBorder="1" applyAlignment="1">
      <alignment horizontal="center" vertical="center"/>
    </xf>
    <xf numFmtId="341" fontId="280" fillId="108" borderId="0" xfId="1497" applyNumberFormat="1" applyFont="1" applyFill="1" applyBorder="1" applyAlignment="1">
      <alignment horizontal="center" vertical="center"/>
    </xf>
    <xf numFmtId="1" fontId="280" fillId="108" borderId="0" xfId="252" applyNumberFormat="1" applyFont="1" applyFill="1" applyAlignment="1">
      <alignment horizontal="center" vertical="center"/>
    </xf>
    <xf numFmtId="178" fontId="280" fillId="108" borderId="0" xfId="1497" applyNumberFormat="1" applyFont="1" applyFill="1" applyBorder="1" applyAlignment="1">
      <alignment horizontal="center" vertical="center"/>
    </xf>
    <xf numFmtId="9" fontId="280" fillId="108" borderId="0" xfId="1498" applyFont="1" applyFill="1" applyBorder="1" applyAlignment="1">
      <alignment horizontal="center" vertical="center"/>
    </xf>
    <xf numFmtId="3" fontId="280" fillId="0" borderId="0" xfId="252" applyNumberFormat="1" applyFont="1" applyAlignment="1">
      <alignment horizontal="center" vertical="center"/>
    </xf>
    <xf numFmtId="176" fontId="280" fillId="0" borderId="0" xfId="252" applyNumberFormat="1" applyFont="1" applyAlignment="1">
      <alignment horizontal="center" vertical="center"/>
    </xf>
    <xf numFmtId="3" fontId="280" fillId="0" borderId="7" xfId="252" applyNumberFormat="1" applyFont="1" applyBorder="1" applyAlignment="1">
      <alignment horizontal="center" vertical="center"/>
    </xf>
    <xf numFmtId="0" fontId="280" fillId="0" borderId="0" xfId="252" applyFont="1" applyAlignment="1">
      <alignment horizontal="right" vertical="center"/>
    </xf>
    <xf numFmtId="3" fontId="280" fillId="0" borderId="0" xfId="67" applyNumberFormat="1" applyFont="1" applyFill="1" applyBorder="1" applyAlignment="1"/>
    <xf numFmtId="3" fontId="280" fillId="0" borderId="0" xfId="284" applyNumberFormat="1" applyFont="1" applyFill="1" applyBorder="1" applyAlignment="1">
      <alignment horizontal="center" vertical="center"/>
    </xf>
    <xf numFmtId="176" fontId="280" fillId="108" borderId="15" xfId="284" applyNumberFormat="1" applyFont="1" applyFill="1" applyBorder="1" applyAlignment="1">
      <alignment horizontal="center" vertical="center"/>
    </xf>
    <xf numFmtId="2" fontId="280" fillId="108" borderId="0" xfId="252" applyNumberFormat="1" applyFont="1" applyFill="1" applyAlignment="1">
      <alignment horizontal="center" vertical="center"/>
    </xf>
    <xf numFmtId="0" fontId="283" fillId="0" borderId="34" xfId="252" applyFont="1" applyBorder="1"/>
    <xf numFmtId="3" fontId="280" fillId="108" borderId="78" xfId="67" applyNumberFormat="1" applyFont="1" applyFill="1" applyBorder="1" applyAlignment="1">
      <alignment horizontal="center" vertical="center"/>
    </xf>
    <xf numFmtId="177" fontId="280" fillId="108" borderId="7" xfId="252" applyNumberFormat="1" applyFont="1" applyFill="1" applyBorder="1" applyAlignment="1">
      <alignment horizontal="center" vertical="center"/>
    </xf>
    <xf numFmtId="176" fontId="280" fillId="0" borderId="0" xfId="284" applyNumberFormat="1" applyFont="1" applyAlignment="1">
      <alignment horizontal="right" vertical="center"/>
    </xf>
    <xf numFmtId="3" fontId="280" fillId="108" borderId="0" xfId="67" applyNumberFormat="1" applyFont="1" applyFill="1" applyAlignment="1">
      <alignment horizontal="center" vertical="center"/>
    </xf>
    <xf numFmtId="177" fontId="280" fillId="0" borderId="0" xfId="67" applyNumberFormat="1" applyFont="1" applyFill="1" applyBorder="1" applyAlignment="1">
      <alignment horizontal="right"/>
    </xf>
    <xf numFmtId="338" fontId="280" fillId="0" borderId="0" xfId="67" applyNumberFormat="1" applyFont="1" applyFill="1" applyBorder="1" applyAlignment="1">
      <alignment horizontal="right" vertical="center"/>
    </xf>
    <xf numFmtId="338" fontId="280" fillId="108" borderId="7" xfId="67" applyNumberFormat="1" applyFont="1" applyFill="1" applyBorder="1" applyAlignment="1">
      <alignment horizontal="right" vertical="center"/>
    </xf>
    <xf numFmtId="338" fontId="283" fillId="0" borderId="0" xfId="67" applyNumberFormat="1" applyFont="1" applyFill="1" applyBorder="1" applyAlignment="1">
      <alignment vertical="center"/>
    </xf>
    <xf numFmtId="338" fontId="280" fillId="108" borderId="0" xfId="67" applyNumberFormat="1" applyFont="1" applyFill="1" applyBorder="1" applyAlignment="1">
      <alignment horizontal="right" vertical="center"/>
    </xf>
    <xf numFmtId="338" fontId="283" fillId="0" borderId="35" xfId="67" applyNumberFormat="1" applyFont="1" applyFill="1" applyBorder="1" applyAlignment="1">
      <alignment horizontal="right" vertical="center"/>
    </xf>
    <xf numFmtId="338" fontId="280" fillId="0" borderId="0" xfId="2" applyNumberFormat="1" applyFont="1"/>
    <xf numFmtId="338" fontId="283" fillId="0" borderId="0" xfId="67" applyNumberFormat="1" applyFont="1" applyFill="1" applyBorder="1"/>
    <xf numFmtId="338" fontId="280" fillId="0" borderId="2" xfId="67" applyNumberFormat="1" applyFont="1" applyFill="1" applyBorder="1" applyAlignment="1">
      <alignment horizontal="right" vertical="center"/>
    </xf>
    <xf numFmtId="338" fontId="280" fillId="109" borderId="0" xfId="67" applyNumberFormat="1" applyFont="1" applyFill="1" applyBorder="1" applyAlignment="1">
      <alignment horizontal="right" vertical="center"/>
    </xf>
    <xf numFmtId="338" fontId="280" fillId="108" borderId="2" xfId="67" applyNumberFormat="1" applyFont="1" applyFill="1" applyBorder="1" applyAlignment="1">
      <alignment horizontal="right"/>
    </xf>
    <xf numFmtId="338" fontId="280" fillId="108" borderId="0" xfId="67" applyNumberFormat="1" applyFont="1" applyFill="1" applyBorder="1" applyAlignment="1">
      <alignment horizontal="right"/>
    </xf>
    <xf numFmtId="338" fontId="280" fillId="108" borderId="7" xfId="67" applyNumberFormat="1" applyFont="1" applyFill="1" applyBorder="1" applyAlignment="1">
      <alignment horizontal="right"/>
    </xf>
    <xf numFmtId="338" fontId="280" fillId="0" borderId="0" xfId="3" applyNumberFormat="1" applyFont="1"/>
    <xf numFmtId="338" fontId="280" fillId="0" borderId="0" xfId="67" applyNumberFormat="1" applyFont="1" applyFill="1" applyBorder="1"/>
    <xf numFmtId="338" fontId="283" fillId="0" borderId="2" xfId="67" applyNumberFormat="1" applyFont="1" applyFill="1" applyBorder="1" applyAlignment="1">
      <alignment horizontal="right" vertical="center"/>
    </xf>
    <xf numFmtId="338" fontId="283" fillId="0" borderId="0" xfId="67" applyNumberFormat="1" applyFont="1" applyFill="1" applyBorder="1" applyAlignment="1">
      <alignment horizontal="right" vertical="center"/>
    </xf>
    <xf numFmtId="338" fontId="280" fillId="108" borderId="0" xfId="67" quotePrefix="1" applyNumberFormat="1" applyFont="1" applyFill="1" applyBorder="1" applyAlignment="1">
      <alignment horizontal="right" vertical="center"/>
    </xf>
    <xf numFmtId="338" fontId="280" fillId="108" borderId="0" xfId="67" applyNumberFormat="1" applyFont="1" applyFill="1" applyBorder="1"/>
    <xf numFmtId="338" fontId="284" fillId="0" borderId="0" xfId="67" applyNumberFormat="1" applyFont="1" applyFill="1" applyBorder="1"/>
    <xf numFmtId="338" fontId="290" fillId="0" borderId="0" xfId="67" applyNumberFormat="1" applyFont="1" applyFill="1" applyBorder="1"/>
    <xf numFmtId="338" fontId="284" fillId="0" borderId="0" xfId="0" applyNumberFormat="1" applyFont="1"/>
    <xf numFmtId="338" fontId="284" fillId="0" borderId="0" xfId="249" applyNumberFormat="1" applyFont="1"/>
    <xf numFmtId="9" fontId="280" fillId="0" borderId="0" xfId="284" applyFont="1" applyFill="1" applyBorder="1" applyAlignment="1">
      <alignment horizontal="right"/>
    </xf>
    <xf numFmtId="0" fontId="307" fillId="0" borderId="0" xfId="0" applyFont="1"/>
    <xf numFmtId="0" fontId="280" fillId="0" borderId="22" xfId="0" applyFont="1" applyBorder="1"/>
    <xf numFmtId="15" fontId="308" fillId="0" borderId="0" xfId="0" applyNumberFormat="1" applyFont="1" applyAlignment="1">
      <alignment horizontal="left"/>
    </xf>
    <xf numFmtId="0" fontId="308" fillId="0" borderId="0" xfId="0" applyFont="1"/>
    <xf numFmtId="178" fontId="280" fillId="0" borderId="0" xfId="67" applyNumberFormat="1" applyFont="1" applyFill="1" applyBorder="1" applyAlignment="1">
      <alignment horizontal="right"/>
    </xf>
    <xf numFmtId="0" fontId="282" fillId="0" borderId="0" xfId="0" applyFont="1"/>
    <xf numFmtId="0" fontId="282" fillId="0" borderId="0" xfId="0" quotePrefix="1" applyFont="1"/>
    <xf numFmtId="0" fontId="283" fillId="0" borderId="7" xfId="0" applyFont="1" applyBorder="1"/>
    <xf numFmtId="338" fontId="280" fillId="0" borderId="0" xfId="0" applyNumberFormat="1" applyFont="1"/>
    <xf numFmtId="338" fontId="280" fillId="0" borderId="0" xfId="0" applyNumberFormat="1" applyFont="1" applyAlignment="1">
      <alignment horizontal="right"/>
    </xf>
    <xf numFmtId="338" fontId="280" fillId="0" borderId="0" xfId="3" applyNumberFormat="1" applyFont="1" applyAlignment="1">
      <alignment horizontal="right" vertical="center"/>
    </xf>
    <xf numFmtId="338" fontId="280" fillId="0" borderId="0" xfId="67" applyNumberFormat="1" applyFont="1" applyFill="1" applyAlignment="1">
      <alignment horizontal="right" vertical="center"/>
    </xf>
    <xf numFmtId="338" fontId="280" fillId="0" borderId="0" xfId="2" applyNumberFormat="1" applyFont="1" applyAlignment="1">
      <alignment horizontal="right" vertical="center"/>
    </xf>
    <xf numFmtId="338" fontId="280" fillId="0" borderId="7" xfId="67" applyNumberFormat="1" applyFont="1" applyFill="1" applyBorder="1" applyAlignment="1">
      <alignment horizontal="right" vertical="center"/>
    </xf>
    <xf numFmtId="342" fontId="280" fillId="0" borderId="0" xfId="67" applyNumberFormat="1" applyFont="1" applyFill="1" applyBorder="1" applyAlignment="1">
      <alignment horizontal="right" vertical="center"/>
    </xf>
    <xf numFmtId="342" fontId="280" fillId="0" borderId="0" xfId="67" applyNumberFormat="1" applyFont="1" applyFill="1" applyAlignment="1">
      <alignment horizontal="right" vertical="center"/>
    </xf>
    <xf numFmtId="342" fontId="280" fillId="0" borderId="7" xfId="67" applyNumberFormat="1" applyFont="1" applyFill="1" applyBorder="1" applyAlignment="1">
      <alignment horizontal="right" vertical="center"/>
    </xf>
    <xf numFmtId="343" fontId="280" fillId="0" borderId="0" xfId="67" applyNumberFormat="1" applyFont="1" applyFill="1" applyBorder="1" applyAlignment="1">
      <alignment horizontal="right" vertical="center"/>
    </xf>
    <xf numFmtId="343" fontId="280" fillId="0" borderId="0" xfId="0" applyNumberFormat="1" applyFont="1" applyAlignment="1">
      <alignment horizontal="right"/>
    </xf>
    <xf numFmtId="343" fontId="280" fillId="0" borderId="0" xfId="3" applyNumberFormat="1" applyFont="1" applyAlignment="1">
      <alignment horizontal="right" vertical="center"/>
    </xf>
    <xf numFmtId="343" fontId="280" fillId="0" borderId="0" xfId="67" applyNumberFormat="1" applyFont="1" applyFill="1" applyAlignment="1">
      <alignment horizontal="right" vertical="center"/>
    </xf>
    <xf numFmtId="343" fontId="280" fillId="0" borderId="7" xfId="67" applyNumberFormat="1" applyFont="1" applyFill="1" applyBorder="1" applyAlignment="1">
      <alignment horizontal="right" vertical="center"/>
    </xf>
    <xf numFmtId="343" fontId="280" fillId="0" borderId="0" xfId="0" applyNumberFormat="1" applyFont="1"/>
    <xf numFmtId="343" fontId="280" fillId="0" borderId="0" xfId="2" applyNumberFormat="1" applyFont="1" applyAlignment="1">
      <alignment horizontal="right" vertical="center"/>
    </xf>
    <xf numFmtId="342" fontId="280" fillId="0" borderId="0" xfId="0" applyNumberFormat="1" applyFont="1"/>
    <xf numFmtId="342" fontId="280" fillId="0" borderId="0" xfId="0" applyNumberFormat="1" applyFont="1" applyAlignment="1">
      <alignment horizontal="right"/>
    </xf>
    <xf numFmtId="342" fontId="280" fillId="0" borderId="0" xfId="3" applyNumberFormat="1" applyFont="1" applyAlignment="1">
      <alignment horizontal="right" vertical="center"/>
    </xf>
    <xf numFmtId="342" fontId="280" fillId="0" borderId="0" xfId="2" applyNumberFormat="1" applyFont="1" applyAlignment="1">
      <alignment horizontal="right" vertical="center"/>
    </xf>
    <xf numFmtId="3" fontId="283" fillId="0" borderId="0" xfId="252" applyNumberFormat="1" applyFont="1" applyAlignment="1">
      <alignment horizontal="center" vertical="center"/>
    </xf>
    <xf numFmtId="176" fontId="283" fillId="0" borderId="0" xfId="252" applyNumberFormat="1" applyFont="1" applyAlignment="1">
      <alignment horizontal="center" vertical="center"/>
    </xf>
    <xf numFmtId="0" fontId="283" fillId="0" borderId="0" xfId="252" applyFont="1" applyAlignment="1">
      <alignment horizontal="left" vertical="center" indent="1"/>
    </xf>
    <xf numFmtId="3" fontId="283" fillId="0" borderId="33" xfId="252" applyNumberFormat="1" applyFont="1" applyBorder="1" applyAlignment="1">
      <alignment horizontal="center" vertical="center"/>
    </xf>
    <xf numFmtId="3" fontId="283" fillId="108" borderId="0" xfId="67" applyNumberFormat="1" applyFont="1" applyFill="1" applyAlignment="1">
      <alignment horizontal="center" vertical="center"/>
    </xf>
    <xf numFmtId="176" fontId="283" fillId="0" borderId="7" xfId="284" applyNumberFormat="1" applyFont="1" applyBorder="1" applyAlignment="1">
      <alignment horizontal="center" vertical="center"/>
    </xf>
    <xf numFmtId="177" fontId="283" fillId="0" borderId="7" xfId="252" applyNumberFormat="1" applyFont="1" applyBorder="1" applyAlignment="1">
      <alignment horizontal="center" vertical="center"/>
    </xf>
    <xf numFmtId="178" fontId="283" fillId="108" borderId="0" xfId="67" applyNumberFormat="1" applyFont="1" applyFill="1" applyBorder="1" applyAlignment="1">
      <alignment horizontal="center" vertical="center"/>
    </xf>
    <xf numFmtId="3" fontId="283" fillId="0" borderId="4" xfId="67" applyNumberFormat="1" applyFont="1" applyFill="1" applyBorder="1" applyAlignment="1">
      <alignment horizontal="center" vertical="center"/>
    </xf>
    <xf numFmtId="178" fontId="283" fillId="0" borderId="0" xfId="67" applyNumberFormat="1" applyFont="1" applyFill="1" applyBorder="1" applyAlignment="1">
      <alignment horizontal="center" vertical="center"/>
    </xf>
    <xf numFmtId="3" fontId="283" fillId="108" borderId="4" xfId="67" applyNumberFormat="1" applyFont="1" applyFill="1" applyBorder="1" applyAlignment="1">
      <alignment horizontal="center" vertical="center"/>
    </xf>
    <xf numFmtId="0" fontId="290" fillId="0" borderId="0" xfId="0" applyFont="1" applyAlignment="1">
      <alignment horizontal="center"/>
    </xf>
    <xf numFmtId="0" fontId="284" fillId="0" borderId="0" xfId="0" applyFont="1" applyAlignment="1">
      <alignment horizontal="center"/>
    </xf>
    <xf numFmtId="176" fontId="284" fillId="0" borderId="0" xfId="284" applyNumberFormat="1" applyFont="1" applyFill="1" applyBorder="1" applyAlignment="1">
      <alignment horizontal="center" vertical="center"/>
    </xf>
    <xf numFmtId="176" fontId="290" fillId="0" borderId="0" xfId="284" applyNumberFormat="1" applyFont="1" applyFill="1" applyBorder="1" applyAlignment="1">
      <alignment horizontal="center" vertical="center"/>
    </xf>
    <xf numFmtId="3" fontId="280" fillId="0" borderId="0" xfId="67" applyNumberFormat="1" applyFont="1" applyBorder="1" applyAlignment="1">
      <alignment horizontal="center" vertical="center"/>
    </xf>
    <xf numFmtId="3" fontId="280" fillId="0" borderId="7" xfId="67" applyNumberFormat="1" applyFont="1" applyBorder="1" applyAlignment="1">
      <alignment horizontal="center" vertical="center"/>
    </xf>
    <xf numFmtId="176" fontId="280" fillId="108" borderId="7" xfId="284" applyNumberFormat="1" applyFont="1" applyFill="1" applyBorder="1" applyAlignment="1">
      <alignment horizontal="center" vertical="center"/>
    </xf>
    <xf numFmtId="3" fontId="283" fillId="0" borderId="7" xfId="67" applyNumberFormat="1" applyFont="1" applyFill="1" applyBorder="1" applyAlignment="1">
      <alignment horizontal="center"/>
    </xf>
    <xf numFmtId="0" fontId="309" fillId="0" borderId="0" xfId="252" applyFont="1" applyAlignment="1">
      <alignment vertical="center"/>
    </xf>
    <xf numFmtId="0" fontId="282" fillId="0" borderId="0" xfId="252" applyFont="1" applyAlignment="1">
      <alignment horizontal="left" vertical="center"/>
    </xf>
    <xf numFmtId="0" fontId="309" fillId="0" borderId="0" xfId="252" applyFont="1"/>
    <xf numFmtId="3" fontId="282" fillId="108" borderId="0" xfId="67" applyNumberFormat="1" applyFont="1" applyFill="1" applyBorder="1" applyAlignment="1">
      <alignment horizontal="center" vertical="center"/>
    </xf>
    <xf numFmtId="3" fontId="309" fillId="0" borderId="0" xfId="67" applyNumberFormat="1" applyFont="1" applyFill="1" applyBorder="1" applyAlignment="1">
      <alignment horizontal="center" vertical="center"/>
    </xf>
    <xf numFmtId="176" fontId="282" fillId="108" borderId="0" xfId="284" applyNumberFormat="1" applyFont="1" applyFill="1" applyBorder="1" applyAlignment="1">
      <alignment horizontal="center" vertical="center"/>
    </xf>
    <xf numFmtId="3" fontId="282" fillId="0" borderId="0" xfId="67" applyNumberFormat="1" applyFont="1" applyFill="1" applyBorder="1" applyAlignment="1">
      <alignment horizontal="center" vertical="center"/>
    </xf>
    <xf numFmtId="176" fontId="309" fillId="0" borderId="0" xfId="284" applyNumberFormat="1" applyFont="1" applyBorder="1" applyAlignment="1">
      <alignment horizontal="center" vertical="center"/>
    </xf>
    <xf numFmtId="177" fontId="309" fillId="0" borderId="0" xfId="252" applyNumberFormat="1" applyFont="1" applyAlignment="1">
      <alignment horizontal="center" vertical="center"/>
    </xf>
    <xf numFmtId="341" fontId="280" fillId="0" borderId="0" xfId="1497" applyNumberFormat="1" applyFont="1" applyFill="1" applyBorder="1" applyAlignment="1">
      <alignment horizontal="center" vertical="center"/>
    </xf>
    <xf numFmtId="0" fontId="310" fillId="107" borderId="0" xfId="2371" applyFont="1" applyFill="1"/>
    <xf numFmtId="0" fontId="311" fillId="107" borderId="0" xfId="2" applyFont="1" applyFill="1" applyAlignment="1">
      <alignment horizontal="right"/>
    </xf>
    <xf numFmtId="338" fontId="280" fillId="29" borderId="0" xfId="67" applyNumberFormat="1" applyFont="1" applyFill="1" applyBorder="1" applyAlignment="1">
      <alignment horizontal="right" vertical="center"/>
    </xf>
    <xf numFmtId="0" fontId="283" fillId="5" borderId="30" xfId="3" applyFont="1" applyFill="1" applyBorder="1"/>
    <xf numFmtId="0" fontId="283" fillId="5" borderId="30" xfId="3" applyFont="1" applyFill="1" applyBorder="1" applyAlignment="1">
      <alignment horizontal="center"/>
    </xf>
    <xf numFmtId="0" fontId="280" fillId="5" borderId="0" xfId="3" applyFont="1" applyFill="1" applyAlignment="1">
      <alignment vertical="center"/>
    </xf>
    <xf numFmtId="2" fontId="280" fillId="0" borderId="0" xfId="3" applyNumberFormat="1" applyFont="1" applyAlignment="1">
      <alignment vertical="center"/>
    </xf>
    <xf numFmtId="0" fontId="282" fillId="5" borderId="0" xfId="3" applyFont="1" applyFill="1" applyAlignment="1">
      <alignment vertical="center"/>
    </xf>
    <xf numFmtId="2" fontId="282" fillId="0" borderId="0" xfId="3" applyNumberFormat="1" applyFont="1" applyAlignment="1">
      <alignment vertical="center"/>
    </xf>
    <xf numFmtId="0" fontId="280" fillId="0" borderId="0" xfId="0" applyFont="1" applyAlignment="1">
      <alignment horizontal="left" indent="1"/>
    </xf>
    <xf numFmtId="0" fontId="280" fillId="108" borderId="0" xfId="67" applyNumberFormat="1" applyFont="1" applyFill="1" applyBorder="1" applyAlignment="1">
      <alignment horizontal="right" vertical="center"/>
    </xf>
    <xf numFmtId="343" fontId="280" fillId="0" borderId="0" xfId="284" applyNumberFormat="1" applyFont="1" applyFill="1" applyAlignment="1">
      <alignment horizontal="right" vertical="center"/>
    </xf>
    <xf numFmtId="343" fontId="283" fillId="0" borderId="30" xfId="284" applyNumberFormat="1" applyFont="1" applyFill="1" applyBorder="1" applyAlignment="1">
      <alignment horizontal="right" vertical="center"/>
    </xf>
    <xf numFmtId="343" fontId="283" fillId="0" borderId="0" xfId="284" applyNumberFormat="1" applyFont="1" applyFill="1" applyBorder="1" applyAlignment="1">
      <alignment horizontal="right" vertical="center"/>
    </xf>
    <xf numFmtId="343" fontId="283" fillId="0" borderId="0" xfId="284" applyNumberFormat="1" applyFont="1" applyFill="1" applyAlignment="1">
      <alignment horizontal="right" vertical="center"/>
    </xf>
    <xf numFmtId="0" fontId="283" fillId="0" borderId="0" xfId="2" applyFont="1" applyAlignment="1">
      <alignment horizontal="center" vertical="center"/>
    </xf>
  </cellXfs>
  <cellStyles count="2372">
    <cellStyle name="_x000a_386grabber=M" xfId="1" xr:uid="{00000000-0005-0000-0000-000000000000}"/>
    <cellStyle name="_x000a_386grabber=M 2" xfId="540" xr:uid="{00000000-0005-0000-0000-000001000000}"/>
    <cellStyle name="_x000a_386grabber=M 3" xfId="811" xr:uid="{00000000-0005-0000-0000-000002000000}"/>
    <cellStyle name="_x000a_386grabber=M 4" xfId="539" xr:uid="{00000000-0005-0000-0000-000003000000}"/>
    <cellStyle name="_x000d_386grabber=M" xfId="1243" xr:uid="{00000000-0005-0000-0000-000004000000}"/>
    <cellStyle name="&quot;X&quot; Men" xfId="541" xr:uid="{00000000-0005-0000-0000-000005000000}"/>
    <cellStyle name="%" xfId="2" xr:uid="{00000000-0005-0000-0000-000006000000}"/>
    <cellStyle name="% 2" xfId="3" xr:uid="{00000000-0005-0000-0000-000007000000}"/>
    <cellStyle name="% 2 2" xfId="1499" xr:uid="{00000000-0005-0000-0000-000008000000}"/>
    <cellStyle name="% 2 3" xfId="438" xr:uid="{00000000-0005-0000-0000-000009000000}"/>
    <cellStyle name="% 2 3 2" xfId="1257" xr:uid="{00000000-0005-0000-0000-00000A000000}"/>
    <cellStyle name="% 2 4" xfId="1500" xr:uid="{00000000-0005-0000-0000-00000B000000}"/>
    <cellStyle name="% 2 4 2" xfId="1501" xr:uid="{00000000-0005-0000-0000-00000C000000}"/>
    <cellStyle name="% 3" xfId="542" xr:uid="{00000000-0005-0000-0000-00000D000000}"/>
    <cellStyle name="% 3 2" xfId="1502" xr:uid="{00000000-0005-0000-0000-00000E000000}"/>
    <cellStyle name="% 3 3" xfId="1503" xr:uid="{00000000-0005-0000-0000-00000F000000}"/>
    <cellStyle name="% 3 4" xfId="1504" xr:uid="{00000000-0005-0000-0000-000010000000}"/>
    <cellStyle name="% 4" xfId="1256" xr:uid="{00000000-0005-0000-0000-000011000000}"/>
    <cellStyle name="% 4 2" xfId="1505" xr:uid="{00000000-0005-0000-0000-000012000000}"/>
    <cellStyle name="% 4 3" xfId="1506" xr:uid="{00000000-0005-0000-0000-000013000000}"/>
    <cellStyle name="% 5" xfId="1507" xr:uid="{00000000-0005-0000-0000-000014000000}"/>
    <cellStyle name="% 5 2" xfId="1508" xr:uid="{00000000-0005-0000-0000-000015000000}"/>
    <cellStyle name="% 6" xfId="1509" xr:uid="{00000000-0005-0000-0000-000016000000}"/>
    <cellStyle name="%_BeatriceF" xfId="1510" xr:uid="{00000000-0005-0000-0000-000017000000}"/>
    <cellStyle name="%_LEAP Model New" xfId="543" xr:uid="{00000000-0005-0000-0000-000018000000}"/>
    <cellStyle name="%_LEAP Model New_AT&amp;T Model New New - THESIS" xfId="1244" xr:uid="{00000000-0005-0000-0000-000019000000}"/>
    <cellStyle name="%_LEAP Model New_S Model New 03-30-2012" xfId="816" xr:uid="{00000000-0005-0000-0000-00001A000000}"/>
    <cellStyle name="%_LEAP Model WIP" xfId="544" xr:uid="{00000000-0005-0000-0000-00001B000000}"/>
    <cellStyle name="%_LEAP Model WIP_AT&amp;T Model New New - THESIS" xfId="1245" xr:uid="{00000000-0005-0000-0000-00001C000000}"/>
    <cellStyle name="%_LEAP Model WIP_S Model New 03-30-2012" xfId="817" xr:uid="{00000000-0005-0000-0000-00001D000000}"/>
    <cellStyle name="%_Millicom_rollforward" xfId="4" xr:uid="{00000000-0005-0000-0000-00001E000000}"/>
    <cellStyle name="%_MTN WIP 1" xfId="5" xr:uid="{00000000-0005-0000-0000-00001F000000}"/>
    <cellStyle name="%_multmod" xfId="6" xr:uid="{00000000-0005-0000-0000-000020000000}"/>
    <cellStyle name="%_multmod 2" xfId="1260" xr:uid="{00000000-0005-0000-0000-000021000000}"/>
    <cellStyle name="%_PCS Model New" xfId="545" xr:uid="{00000000-0005-0000-0000-000022000000}"/>
    <cellStyle name="%_Pedro" xfId="1511" xr:uid="{00000000-0005-0000-0000-000023000000}"/>
    <cellStyle name="%_S Model New" xfId="546" xr:uid="{00000000-0005-0000-0000-000024000000}"/>
    <cellStyle name="%_T Model New" xfId="547" xr:uid="{00000000-0005-0000-0000-000025000000}"/>
    <cellStyle name="%_T Model New_AT&amp;T Model New New - THESIS" xfId="1246" xr:uid="{00000000-0005-0000-0000-000026000000}"/>
    <cellStyle name="%_T Model New_S Model New 03-30-2012" xfId="818" xr:uid="{00000000-0005-0000-0000-000027000000}"/>
    <cellStyle name="%_TNOR_current" xfId="1512" xr:uid="{00000000-0005-0000-0000-000028000000}"/>
    <cellStyle name="%_TNOR_preQ410a" xfId="1513" xr:uid="{00000000-0005-0000-0000-000029000000}"/>
    <cellStyle name="%_VIP WIP" xfId="1514" xr:uid="{00000000-0005-0000-0000-00002A000000}"/>
    <cellStyle name="%_VIP WIP 2" xfId="1515" xr:uid="{00000000-0005-0000-0000-00002B000000}"/>
    <cellStyle name="%_VIP WIP 3" xfId="1516" xr:uid="{00000000-0005-0000-0000-00002C000000}"/>
    <cellStyle name="%_VIP WIP 3 2" xfId="1517" xr:uid="{00000000-0005-0000-0000-00002D000000}"/>
    <cellStyle name="%_VIP_WIP" xfId="7" xr:uid="{00000000-0005-0000-0000-00002E000000}"/>
    <cellStyle name="%_VIP_WIP 2" xfId="1518" xr:uid="{00000000-0005-0000-0000-00002F000000}"/>
    <cellStyle name="%_VIP_WIP 2 2" xfId="1519" xr:uid="{00000000-0005-0000-0000-000030000000}"/>
    <cellStyle name="%_VIP_WIP 3" xfId="1520" xr:uid="{00000000-0005-0000-0000-000031000000}"/>
    <cellStyle name="%_VIP_WIP 3 2" xfId="1521" xr:uid="{00000000-0005-0000-0000-000032000000}"/>
    <cellStyle name="%_VIP_WIP 4" xfId="1522" xr:uid="{00000000-0005-0000-0000-000033000000}"/>
    <cellStyle name="%_vod" xfId="1523" xr:uid="{00000000-0005-0000-0000-000034000000}"/>
    <cellStyle name="%_Vodacom WIP" xfId="8" xr:uid="{00000000-0005-0000-0000-000035000000}"/>
    <cellStyle name="%_VZ Model New" xfId="548" xr:uid="{00000000-0005-0000-0000-000036000000}"/>
    <cellStyle name="******************************************" xfId="9" xr:uid="{00000000-0005-0000-0000-000037000000}"/>
    <cellStyle name="****************************************** 2" xfId="549" xr:uid="{00000000-0005-0000-0000-000038000000}"/>
    <cellStyle name="****************************************** 2 2" xfId="1524" xr:uid="{00000000-0005-0000-0000-000039000000}"/>
    <cellStyle name="****************************************** 3" xfId="1525" xr:uid="{00000000-0005-0000-0000-00003A000000}"/>
    <cellStyle name="?Q\?1@" xfId="10" xr:uid="{00000000-0005-0000-0000-00003B000000}"/>
    <cellStyle name="?Q\?1@ 2" xfId="1526" xr:uid="{00000000-0005-0000-0000-00003C000000}"/>
    <cellStyle name="]_x000a__x000a_Extension=conv.dll_x000a__x000a_MS-DOS Tools Extentions=C:\DOS\MSTOOLS.DLL_x000a__x000a__x000a__x000a_[Settings]_x000a__x000a_UNDELETE.DLL=C:\DOS\MSTOOLS.DLL_x000a__x000a_W" xfId="550" xr:uid="{00000000-0005-0000-0000-00003D000000}"/>
    <cellStyle name="]_x000d__x000d_Extension=conv.dll_x000d__x000d_MS-DOS Tools Extentions=C:\DOS\MSTOOLS.DLL_x000d__x000d__x000d__x000d_[Settings]_x000d__x000d_UNDELETE.DLL=C:\DOS\MSTOOLS.DLL_x000d__x000d_W" xfId="1247" xr:uid="{00000000-0005-0000-0000-00003E000000}"/>
    <cellStyle name="_%(SignOnly)" xfId="1527" xr:uid="{00000000-0005-0000-0000-00003F000000}"/>
    <cellStyle name="_%(SignSpaceOnly)" xfId="1528" xr:uid="{00000000-0005-0000-0000-000040000000}"/>
    <cellStyle name="_Comma" xfId="11" xr:uid="{00000000-0005-0000-0000-000041000000}"/>
    <cellStyle name="_Comma 2" xfId="1529" xr:uid="{00000000-0005-0000-0000-000042000000}"/>
    <cellStyle name="_Comma 2 2" xfId="1530" xr:uid="{00000000-0005-0000-0000-000043000000}"/>
    <cellStyle name="_Comma 3" xfId="1531" xr:uid="{00000000-0005-0000-0000-000044000000}"/>
    <cellStyle name="_Currency" xfId="12" xr:uid="{00000000-0005-0000-0000-000045000000}"/>
    <cellStyle name="_Currency 2" xfId="1532" xr:uid="{00000000-0005-0000-0000-000046000000}"/>
    <cellStyle name="_Currency 2 2" xfId="1533" xr:uid="{00000000-0005-0000-0000-000047000000}"/>
    <cellStyle name="_Currency 3" xfId="1534" xr:uid="{00000000-0005-0000-0000-000048000000}"/>
    <cellStyle name="_CurrencySpace" xfId="13" xr:uid="{00000000-0005-0000-0000-000049000000}"/>
    <cellStyle name="_CurrencySpace 2" xfId="1535" xr:uid="{00000000-0005-0000-0000-00004A000000}"/>
    <cellStyle name="_CurrencySpace 2 2" xfId="1536" xr:uid="{00000000-0005-0000-0000-00004B000000}"/>
    <cellStyle name="_CurrencySpace 3" xfId="1537" xr:uid="{00000000-0005-0000-0000-00004C000000}"/>
    <cellStyle name="_ere_KADS_Core_Items" xfId="551" xr:uid="{00000000-0005-0000-0000-00004D000000}"/>
    <cellStyle name="_Euro" xfId="1538" xr:uid="{00000000-0005-0000-0000-00004E000000}"/>
    <cellStyle name="_Heading" xfId="1539" xr:uid="{00000000-0005-0000-0000-00004F000000}"/>
    <cellStyle name="_Highlight" xfId="1540" xr:uid="{00000000-0005-0000-0000-000050000000}"/>
    <cellStyle name="_Innsamling" xfId="14" xr:uid="{00000000-0005-0000-0000-000051000000}"/>
    <cellStyle name="_Innsamling 2" xfId="1541" xr:uid="{00000000-0005-0000-0000-000052000000}"/>
    <cellStyle name="_Innsamling 2 2" xfId="1542" xr:uid="{00000000-0005-0000-0000-000053000000}"/>
    <cellStyle name="_Jazz model 28 Oct 09" xfId="1543" xr:uid="{00000000-0005-0000-0000-000054000000}"/>
    <cellStyle name="_JP Morgan" xfId="15" xr:uid="{00000000-0005-0000-0000-000055000000}"/>
    <cellStyle name="_JP Morgan 2" xfId="1544" xr:uid="{00000000-0005-0000-0000-000056000000}"/>
    <cellStyle name="_JP Morgan 2 2" xfId="1545" xr:uid="{00000000-0005-0000-0000-000057000000}"/>
    <cellStyle name="_JP Morgan_TNOR_preQ410a" xfId="1546" xr:uid="{00000000-0005-0000-0000-000058000000}"/>
    <cellStyle name="_JP Morgan_TNOR_preQ410a 2" xfId="1547" xr:uid="{00000000-0005-0000-0000-000059000000}"/>
    <cellStyle name="_Mal for innhenting av estimater Q4- 2002" xfId="16" xr:uid="{00000000-0005-0000-0000-00005A000000}"/>
    <cellStyle name="_Mal for innhenting av estimater Q4- 2002 2" xfId="1548" xr:uid="{00000000-0005-0000-0000-00005B000000}"/>
    <cellStyle name="_Mal for innhenting av estimater Q4- 2002 2 2" xfId="1549" xr:uid="{00000000-0005-0000-0000-00005C000000}"/>
    <cellStyle name="_Multiple" xfId="17" xr:uid="{00000000-0005-0000-0000-00005D000000}"/>
    <cellStyle name="_Multiple 2" xfId="1550" xr:uid="{00000000-0005-0000-0000-00005E000000}"/>
    <cellStyle name="_Multiple 2 2" xfId="1551" xr:uid="{00000000-0005-0000-0000-00005F000000}"/>
    <cellStyle name="_Multiple 3" xfId="1552" xr:uid="{00000000-0005-0000-0000-000060000000}"/>
    <cellStyle name="_MultipleSpace" xfId="18" xr:uid="{00000000-0005-0000-0000-000061000000}"/>
    <cellStyle name="_MultipleSpace 2" xfId="1553" xr:uid="{00000000-0005-0000-0000-000062000000}"/>
    <cellStyle name="_MultipleSpace 2 2" xfId="1554" xr:uid="{00000000-0005-0000-0000-000063000000}"/>
    <cellStyle name="_MultipleSpace 3" xfId="1555" xr:uid="{00000000-0005-0000-0000-000064000000}"/>
    <cellStyle name="_Percent" xfId="19" xr:uid="{00000000-0005-0000-0000-000065000000}"/>
    <cellStyle name="_Percent 2" xfId="1556" xr:uid="{00000000-0005-0000-0000-000066000000}"/>
    <cellStyle name="_Percent 2 2" xfId="1557" xr:uid="{00000000-0005-0000-0000-000067000000}"/>
    <cellStyle name="_PercentSpace" xfId="20" xr:uid="{00000000-0005-0000-0000-000068000000}"/>
    <cellStyle name="_PercentSpace 2" xfId="1558" xr:uid="{00000000-0005-0000-0000-000069000000}"/>
    <cellStyle name="_PercentSpace 2 2" xfId="1559" xr:uid="{00000000-0005-0000-0000-00006A000000}"/>
    <cellStyle name="_SubHeading" xfId="1560" xr:uid="{00000000-0005-0000-0000-00006B000000}"/>
    <cellStyle name="_Table" xfId="1561" xr:uid="{00000000-0005-0000-0000-00006C000000}"/>
    <cellStyle name="_TableHead" xfId="1562" xr:uid="{00000000-0005-0000-0000-00006D000000}"/>
    <cellStyle name="_TableRowHead" xfId="1563" xr:uid="{00000000-0005-0000-0000-00006E000000}"/>
    <cellStyle name="_TableSuperHead" xfId="1564" xr:uid="{00000000-0005-0000-0000-00006F000000}"/>
    <cellStyle name="_TNOR_current" xfId="1565" xr:uid="{00000000-0005-0000-0000-000070000000}"/>
    <cellStyle name="_TNOR_current 2" xfId="1566" xr:uid="{00000000-0005-0000-0000-000071000000}"/>
    <cellStyle name="_TNOR_current 3" xfId="1567" xr:uid="{00000000-0005-0000-0000-000072000000}"/>
    <cellStyle name="_TNOR_current 3 2" xfId="1568" xr:uid="{00000000-0005-0000-0000-000073000000}"/>
    <cellStyle name="_usr_KADS_Full_Upload_Items" xfId="552" xr:uid="{00000000-0005-0000-0000-000074000000}"/>
    <cellStyle name="_usr_KADS_Full_Upload_Items 2" xfId="1147" xr:uid="{00000000-0005-0000-0000-000075000000}"/>
    <cellStyle name="_VOD NEW STRUCTURE workbook" xfId="1569" xr:uid="{00000000-0005-0000-0000-000076000000}"/>
    <cellStyle name="_Vodacom WIP" xfId="21" xr:uid="{00000000-0005-0000-0000-000077000000}"/>
    <cellStyle name="_XOM model" xfId="553" xr:uid="{00000000-0005-0000-0000-000078000000}"/>
    <cellStyle name="“ü—Í—“" xfId="554" xr:uid="{00000000-0005-0000-0000-000079000000}"/>
    <cellStyle name="£ BP" xfId="556" xr:uid="{00000000-0005-0000-0000-00007A000000}"/>
    <cellStyle name="¤@¯ë_Sheet1 (2)" xfId="22" xr:uid="{00000000-0005-0000-0000-00007B000000}"/>
    <cellStyle name="¥ JY" xfId="557" xr:uid="{00000000-0005-0000-0000-00007C000000}"/>
    <cellStyle name="=C:\WINNT35\SYSTEM32\COMMAND.COM" xfId="555" xr:uid="{00000000-0005-0000-0000-00007D000000}"/>
    <cellStyle name="=C:\WINNT35\SYSTEM32\COMMAND.COM 2" xfId="944" xr:uid="{00000000-0005-0000-0000-00007E000000}"/>
    <cellStyle name="§Q\òm1@À" xfId="23" xr:uid="{00000000-0005-0000-0000-00007F000000}"/>
    <cellStyle name="§Q\òm1@À 2" xfId="1570" xr:uid="{00000000-0005-0000-0000-000080000000}"/>
    <cellStyle name="§Q\òm1@À 3" xfId="1571" xr:uid="{00000000-0005-0000-0000-000081000000}"/>
    <cellStyle name="§Q\òm1@À 3 2" xfId="1572" xr:uid="{00000000-0005-0000-0000-000082000000}"/>
    <cellStyle name="•W€_VALUE" xfId="24" xr:uid="{00000000-0005-0000-0000-000083000000}"/>
    <cellStyle name="‰p•¶" xfId="1573" xr:uid="{00000000-0005-0000-0000-000084000000}"/>
    <cellStyle name="0" xfId="558" xr:uid="{00000000-0005-0000-0000-000085000000}"/>
    <cellStyle name="0 2" xfId="1064" xr:uid="{00000000-0005-0000-0000-000086000000}"/>
    <cellStyle name="0%" xfId="559" xr:uid="{00000000-0005-0000-0000-000087000000}"/>
    <cellStyle name="0% 2" xfId="1023" xr:uid="{00000000-0005-0000-0000-000088000000}"/>
    <cellStyle name="0.0" xfId="560" xr:uid="{00000000-0005-0000-0000-000089000000}"/>
    <cellStyle name="0.0 2" xfId="1095" xr:uid="{00000000-0005-0000-0000-00008A000000}"/>
    <cellStyle name="0.0%" xfId="561" xr:uid="{00000000-0005-0000-0000-00008B000000}"/>
    <cellStyle name="0.0% 2" xfId="1025" xr:uid="{00000000-0005-0000-0000-00008C000000}"/>
    <cellStyle name="0.0_BPCitigroupWIP" xfId="562" xr:uid="{00000000-0005-0000-0000-00008D000000}"/>
    <cellStyle name="0.00" xfId="563" xr:uid="{00000000-0005-0000-0000-00008E000000}"/>
    <cellStyle name="0.00 2" xfId="1026" xr:uid="{00000000-0005-0000-0000-00008F000000}"/>
    <cellStyle name="0.00%" xfId="564" xr:uid="{00000000-0005-0000-0000-000090000000}"/>
    <cellStyle name="0.00% 2" xfId="1148" xr:uid="{00000000-0005-0000-0000-000091000000}"/>
    <cellStyle name="0.00_BPCitigroupWIP" xfId="565" xr:uid="{00000000-0005-0000-0000-000092000000}"/>
    <cellStyle name="0_BPCitigroupWIP" xfId="566" xr:uid="{00000000-0005-0000-0000-000093000000}"/>
    <cellStyle name="0_BPCitigroupWIP 2" xfId="1124" xr:uid="{00000000-0005-0000-0000-000094000000}"/>
    <cellStyle name="0_RDSCitigroupWIP" xfId="567" xr:uid="{00000000-0005-0000-0000-000095000000}"/>
    <cellStyle name="0_RDSCitigroupWIP 2" xfId="1121" xr:uid="{00000000-0005-0000-0000-000096000000}"/>
    <cellStyle name="0_rdshell_E&amp;P_analysis" xfId="568" xr:uid="{00000000-0005-0000-0000-000097000000}"/>
    <cellStyle name="0_rdshell_E&amp;P_analysis 2" xfId="1085" xr:uid="{00000000-0005-0000-0000-000098000000}"/>
    <cellStyle name="0_TotalCitigroupWIP" xfId="569" xr:uid="{00000000-0005-0000-0000-000099000000}"/>
    <cellStyle name="0_TotalCitigroupWIP 2" xfId="1066" xr:uid="{00000000-0005-0000-0000-00009A000000}"/>
    <cellStyle name="0_TotalCitigroupWIP_old" xfId="570" xr:uid="{00000000-0005-0000-0000-00009B000000}"/>
    <cellStyle name="0_TotalCitigroupWIP_old 2" xfId="1117" xr:uid="{00000000-0005-0000-0000-00009C000000}"/>
    <cellStyle name="0_TotalCitigroupWIP_Q104" xfId="571" xr:uid="{00000000-0005-0000-0000-00009D000000}"/>
    <cellStyle name="0_TotalCitigroupWIP_Q104 2" xfId="1027" xr:uid="{00000000-0005-0000-0000-00009E000000}"/>
    <cellStyle name="000 PN" xfId="1574" xr:uid="{00000000-0005-0000-0000-00009F000000}"/>
    <cellStyle name="20% - Accent1 2" xfId="826" xr:uid="{00000000-0005-0000-0000-0000A0000000}"/>
    <cellStyle name="20% - Accent1 3" xfId="917" xr:uid="{00000000-0005-0000-0000-0000A1000000}"/>
    <cellStyle name="20% - Accent1 4" xfId="1575" xr:uid="{00000000-0005-0000-0000-0000A2000000}"/>
    <cellStyle name="20% - Accent1 5" xfId="1576" xr:uid="{00000000-0005-0000-0000-0000A3000000}"/>
    <cellStyle name="20% - Accent2 2" xfId="827" xr:uid="{00000000-0005-0000-0000-0000A4000000}"/>
    <cellStyle name="20% - Accent2 3" xfId="918" xr:uid="{00000000-0005-0000-0000-0000A5000000}"/>
    <cellStyle name="20% - Accent2 4" xfId="1577" xr:uid="{00000000-0005-0000-0000-0000A6000000}"/>
    <cellStyle name="20% - Accent2 5" xfId="1578" xr:uid="{00000000-0005-0000-0000-0000A7000000}"/>
    <cellStyle name="20% - Accent3 2" xfId="828" xr:uid="{00000000-0005-0000-0000-0000A8000000}"/>
    <cellStyle name="20% - Accent3 3" xfId="919" xr:uid="{00000000-0005-0000-0000-0000A9000000}"/>
    <cellStyle name="20% - Accent3 4" xfId="1579" xr:uid="{00000000-0005-0000-0000-0000AA000000}"/>
    <cellStyle name="20% - Accent3 5" xfId="1580" xr:uid="{00000000-0005-0000-0000-0000AB000000}"/>
    <cellStyle name="20% - Accent4 2" xfId="829" xr:uid="{00000000-0005-0000-0000-0000AC000000}"/>
    <cellStyle name="20% - Accent4 3" xfId="920" xr:uid="{00000000-0005-0000-0000-0000AD000000}"/>
    <cellStyle name="20% - Accent4 4" xfId="1581" xr:uid="{00000000-0005-0000-0000-0000AE000000}"/>
    <cellStyle name="20% - Accent4 5" xfId="1582" xr:uid="{00000000-0005-0000-0000-0000AF000000}"/>
    <cellStyle name="20% - Accent5 2" xfId="830" xr:uid="{00000000-0005-0000-0000-0000B0000000}"/>
    <cellStyle name="20% - Accent5 3" xfId="921" xr:uid="{00000000-0005-0000-0000-0000B1000000}"/>
    <cellStyle name="20% - Accent5 4" xfId="1583" xr:uid="{00000000-0005-0000-0000-0000B2000000}"/>
    <cellStyle name="20% - Accent6 2" xfId="831" xr:uid="{00000000-0005-0000-0000-0000B3000000}"/>
    <cellStyle name="20% - Accent6 3" xfId="922" xr:uid="{00000000-0005-0000-0000-0000B4000000}"/>
    <cellStyle name="3f1o [0]_J-Hwang242" xfId="25" xr:uid="{00000000-0005-0000-0000-0000B5000000}"/>
    <cellStyle name="3f1o_J-Hwang2an" xfId="26" xr:uid="{00000000-0005-0000-0000-0000B6000000}"/>
    <cellStyle name="40% - Accent1 2" xfId="832" xr:uid="{00000000-0005-0000-0000-0000B7000000}"/>
    <cellStyle name="40% - Accent1 3" xfId="923" xr:uid="{00000000-0005-0000-0000-0000B8000000}"/>
    <cellStyle name="40% - Accent1 4" xfId="1584" xr:uid="{00000000-0005-0000-0000-0000B9000000}"/>
    <cellStyle name="40% - Accent1 5" xfId="1585" xr:uid="{00000000-0005-0000-0000-0000BA000000}"/>
    <cellStyle name="40% - Accent2 2" xfId="833" xr:uid="{00000000-0005-0000-0000-0000BB000000}"/>
    <cellStyle name="40% - Accent2 3" xfId="924" xr:uid="{00000000-0005-0000-0000-0000BC000000}"/>
    <cellStyle name="40% - Accent2 4" xfId="1586" xr:uid="{00000000-0005-0000-0000-0000BD000000}"/>
    <cellStyle name="40% - Accent3 2" xfId="834" xr:uid="{00000000-0005-0000-0000-0000BE000000}"/>
    <cellStyle name="40% - Accent3 3" xfId="925" xr:uid="{00000000-0005-0000-0000-0000BF000000}"/>
    <cellStyle name="40% - Accent3 4" xfId="1587" xr:uid="{00000000-0005-0000-0000-0000C0000000}"/>
    <cellStyle name="40% - Accent3 5" xfId="1588" xr:uid="{00000000-0005-0000-0000-0000C1000000}"/>
    <cellStyle name="40% - Accent4 2" xfId="835" xr:uid="{00000000-0005-0000-0000-0000C2000000}"/>
    <cellStyle name="40% - Accent4 3" xfId="926" xr:uid="{00000000-0005-0000-0000-0000C3000000}"/>
    <cellStyle name="40% - Accent4 4" xfId="1589" xr:uid="{00000000-0005-0000-0000-0000C4000000}"/>
    <cellStyle name="40% - Accent4 5" xfId="1590" xr:uid="{00000000-0005-0000-0000-0000C5000000}"/>
    <cellStyle name="40% - Accent5 2" xfId="836" xr:uid="{00000000-0005-0000-0000-0000C6000000}"/>
    <cellStyle name="40% - Accent5 3" xfId="927" xr:uid="{00000000-0005-0000-0000-0000C7000000}"/>
    <cellStyle name="40% - Accent5 4" xfId="1591" xr:uid="{00000000-0005-0000-0000-0000C8000000}"/>
    <cellStyle name="40% - Accent6 2" xfId="837" xr:uid="{00000000-0005-0000-0000-0000C9000000}"/>
    <cellStyle name="40% - Accent6 3" xfId="928" xr:uid="{00000000-0005-0000-0000-0000CA000000}"/>
    <cellStyle name="40% - Accent6 4" xfId="1592" xr:uid="{00000000-0005-0000-0000-0000CB000000}"/>
    <cellStyle name="60% - Accent1 2" xfId="838" xr:uid="{00000000-0005-0000-0000-0000CC000000}"/>
    <cellStyle name="60% - Accent1 3" xfId="929" xr:uid="{00000000-0005-0000-0000-0000CD000000}"/>
    <cellStyle name="60% - Accent1 4" xfId="1593" xr:uid="{00000000-0005-0000-0000-0000CE000000}"/>
    <cellStyle name="60% - Accent1 5" xfId="1594" xr:uid="{00000000-0005-0000-0000-0000CF000000}"/>
    <cellStyle name="60% - Accent2 2" xfId="839" xr:uid="{00000000-0005-0000-0000-0000D0000000}"/>
    <cellStyle name="60% - Accent2 3" xfId="930" xr:uid="{00000000-0005-0000-0000-0000D1000000}"/>
    <cellStyle name="60% - Accent2 4" xfId="1595" xr:uid="{00000000-0005-0000-0000-0000D2000000}"/>
    <cellStyle name="60% - Accent3 2" xfId="840" xr:uid="{00000000-0005-0000-0000-0000D3000000}"/>
    <cellStyle name="60% - Accent3 3" xfId="931" xr:uid="{00000000-0005-0000-0000-0000D4000000}"/>
    <cellStyle name="60% - Accent3 4" xfId="1596" xr:uid="{00000000-0005-0000-0000-0000D5000000}"/>
    <cellStyle name="60% - Accent3 5" xfId="1597" xr:uid="{00000000-0005-0000-0000-0000D6000000}"/>
    <cellStyle name="60% - Accent4 2" xfId="841" xr:uid="{00000000-0005-0000-0000-0000D7000000}"/>
    <cellStyle name="60% - Accent4 3" xfId="932" xr:uid="{00000000-0005-0000-0000-0000D8000000}"/>
    <cellStyle name="60% - Accent4 4" xfId="1598" xr:uid="{00000000-0005-0000-0000-0000D9000000}"/>
    <cellStyle name="60% - Accent4 5" xfId="1599" xr:uid="{00000000-0005-0000-0000-0000DA000000}"/>
    <cellStyle name="60% - Accent5 2" xfId="842" xr:uid="{00000000-0005-0000-0000-0000DB000000}"/>
    <cellStyle name="60% - Accent5 3" xfId="933" xr:uid="{00000000-0005-0000-0000-0000DC000000}"/>
    <cellStyle name="60% - Accent5 4" xfId="1600" xr:uid="{00000000-0005-0000-0000-0000DD000000}"/>
    <cellStyle name="60% - Accent6 2" xfId="843" xr:uid="{00000000-0005-0000-0000-0000DE000000}"/>
    <cellStyle name="60% - Accent6 3" xfId="934" xr:uid="{00000000-0005-0000-0000-0000DF000000}"/>
    <cellStyle name="60% - Accent6 4" xfId="1601" xr:uid="{00000000-0005-0000-0000-0000E0000000}"/>
    <cellStyle name="60% - Accent6 5" xfId="1602" xr:uid="{00000000-0005-0000-0000-0000E1000000}"/>
    <cellStyle name="600 PN" xfId="1603" xr:uid="{00000000-0005-0000-0000-0000E2000000}"/>
    <cellStyle name="6mal" xfId="27" xr:uid="{00000000-0005-0000-0000-0000E3000000}"/>
    <cellStyle name="700 PN" xfId="1604" xr:uid="{00000000-0005-0000-0000-0000E4000000}"/>
    <cellStyle name="752131" xfId="572" xr:uid="{00000000-0005-0000-0000-0000E5000000}"/>
    <cellStyle name="aaa" xfId="28" xr:uid="{00000000-0005-0000-0000-0000E6000000}"/>
    <cellStyle name="aaa 2" xfId="1605" xr:uid="{00000000-0005-0000-0000-0000E7000000}"/>
    <cellStyle name="aaa 2 2" xfId="1606" xr:uid="{00000000-0005-0000-0000-0000E8000000}"/>
    <cellStyle name="Accent1 2" xfId="844" xr:uid="{00000000-0005-0000-0000-0000E9000000}"/>
    <cellStyle name="Accent1 3" xfId="935" xr:uid="{00000000-0005-0000-0000-0000EA000000}"/>
    <cellStyle name="Accent1 4" xfId="1607" xr:uid="{00000000-0005-0000-0000-0000EB000000}"/>
    <cellStyle name="Accent1 5" xfId="1608" xr:uid="{00000000-0005-0000-0000-0000EC000000}"/>
    <cellStyle name="Accent2 2" xfId="845" xr:uid="{00000000-0005-0000-0000-0000ED000000}"/>
    <cellStyle name="Accent2 3" xfId="936" xr:uid="{00000000-0005-0000-0000-0000EE000000}"/>
    <cellStyle name="Accent2 4" xfId="1609" xr:uid="{00000000-0005-0000-0000-0000EF000000}"/>
    <cellStyle name="Accent2 5" xfId="1610" xr:uid="{00000000-0005-0000-0000-0000F0000000}"/>
    <cellStyle name="Accent3 2" xfId="846" xr:uid="{00000000-0005-0000-0000-0000F1000000}"/>
    <cellStyle name="Accent3 3" xfId="937" xr:uid="{00000000-0005-0000-0000-0000F2000000}"/>
    <cellStyle name="Accent3 4" xfId="1611" xr:uid="{00000000-0005-0000-0000-0000F3000000}"/>
    <cellStyle name="Accent3 5" xfId="1612" xr:uid="{00000000-0005-0000-0000-0000F4000000}"/>
    <cellStyle name="Accent4 2" xfId="847" xr:uid="{00000000-0005-0000-0000-0000F5000000}"/>
    <cellStyle name="Accent4 3" xfId="938" xr:uid="{00000000-0005-0000-0000-0000F6000000}"/>
    <cellStyle name="Accent4 4" xfId="1613" xr:uid="{00000000-0005-0000-0000-0000F7000000}"/>
    <cellStyle name="Accent4 5" xfId="1614" xr:uid="{00000000-0005-0000-0000-0000F8000000}"/>
    <cellStyle name="Accent5 2" xfId="848" xr:uid="{00000000-0005-0000-0000-0000F9000000}"/>
    <cellStyle name="Accent5 3" xfId="939" xr:uid="{00000000-0005-0000-0000-0000FA000000}"/>
    <cellStyle name="Accent5 4" xfId="1615" xr:uid="{00000000-0005-0000-0000-0000FB000000}"/>
    <cellStyle name="Accent6 2" xfId="849" xr:uid="{00000000-0005-0000-0000-0000FC000000}"/>
    <cellStyle name="Accent6 3" xfId="940" xr:uid="{00000000-0005-0000-0000-0000FD000000}"/>
    <cellStyle name="Accent6 4" xfId="1616" xr:uid="{00000000-0005-0000-0000-0000FE000000}"/>
    <cellStyle name="Acquisition" xfId="29" xr:uid="{00000000-0005-0000-0000-0000FF000000}"/>
    <cellStyle name="Acquisition 2" xfId="1617" xr:uid="{00000000-0005-0000-0000-000000010000}"/>
    <cellStyle name="Acquisition 2 2" xfId="1618" xr:uid="{00000000-0005-0000-0000-000001010000}"/>
    <cellStyle name="Actual" xfId="573" xr:uid="{00000000-0005-0000-0000-000002010000}"/>
    <cellStyle name="Actual data" xfId="574" xr:uid="{00000000-0005-0000-0000-000003010000}"/>
    <cellStyle name="Actual header" xfId="1619" xr:uid="{00000000-0005-0000-0000-000004010000}"/>
    <cellStyle name="Actual year" xfId="575" xr:uid="{00000000-0005-0000-0000-000005010000}"/>
    <cellStyle name="Actual_AMT Model New 11-16-2011" xfId="942" xr:uid="{00000000-0005-0000-0000-000006010000}"/>
    <cellStyle name="adj_share" xfId="576" xr:uid="{00000000-0005-0000-0000-000007010000}"/>
    <cellStyle name="Admin" xfId="1620" xr:uid="{00000000-0005-0000-0000-000008010000}"/>
    <cellStyle name="ÅëÈ­ [0]_TestResults" xfId="30" xr:uid="{00000000-0005-0000-0000-000009010000}"/>
    <cellStyle name="ÅëÈ­_TestResults" xfId="31" xr:uid="{00000000-0005-0000-0000-00000A010000}"/>
    <cellStyle name="AFE" xfId="1621" xr:uid="{00000000-0005-0000-0000-00000B010000}"/>
    <cellStyle name="Afjusted" xfId="577" xr:uid="{00000000-0005-0000-0000-00000C010000}"/>
    <cellStyle name="Afjusted 2" xfId="1030" xr:uid="{00000000-0005-0000-0000-00000D010000}"/>
    <cellStyle name="ales" xfId="578" xr:uid="{00000000-0005-0000-0000-00000E010000}"/>
    <cellStyle name="ANALYST" xfId="32" xr:uid="{00000000-0005-0000-0000-00000F010000}"/>
    <cellStyle name="Année" xfId="33" xr:uid="{00000000-0005-0000-0000-000010010000}"/>
    <cellStyle name="Année (e)" xfId="34" xr:uid="{00000000-0005-0000-0000-000011010000}"/>
    <cellStyle name="Année 2" xfId="1622" xr:uid="{00000000-0005-0000-0000-000012010000}"/>
    <cellStyle name="Année 3" xfId="1623" xr:uid="{00000000-0005-0000-0000-000013010000}"/>
    <cellStyle name="Année 3 2" xfId="1624" xr:uid="{00000000-0005-0000-0000-000014010000}"/>
    <cellStyle name="Année 4" xfId="1625" xr:uid="{00000000-0005-0000-0000-000015010000}"/>
    <cellStyle name="Année 4 2" xfId="1626" xr:uid="{00000000-0005-0000-0000-000016010000}"/>
    <cellStyle name="Année 5" xfId="1627" xr:uid="{00000000-0005-0000-0000-000017010000}"/>
    <cellStyle name="Année 5 2" xfId="1628" xr:uid="{00000000-0005-0000-0000-000018010000}"/>
    <cellStyle name="Année 6" xfId="1629" xr:uid="{00000000-0005-0000-0000-000019010000}"/>
    <cellStyle name="Année 6 2" xfId="1630" xr:uid="{00000000-0005-0000-0000-00001A010000}"/>
    <cellStyle name="Año" xfId="1631" xr:uid="{00000000-0005-0000-0000-00001B010000}"/>
    <cellStyle name="args.style" xfId="35" xr:uid="{00000000-0005-0000-0000-00001C010000}"/>
    <cellStyle name="args.style 2" xfId="1632" xr:uid="{00000000-0005-0000-0000-00001D010000}"/>
    <cellStyle name="args.style 3" xfId="1633" xr:uid="{00000000-0005-0000-0000-00001E010000}"/>
    <cellStyle name="args.style 3 2" xfId="1634" xr:uid="{00000000-0005-0000-0000-00001F010000}"/>
    <cellStyle name="Arial 10" xfId="36" xr:uid="{00000000-0005-0000-0000-000020010000}"/>
    <cellStyle name="Arial 10 2" xfId="1635" xr:uid="{00000000-0005-0000-0000-000021010000}"/>
    <cellStyle name="Arial 12" xfId="37" xr:uid="{00000000-0005-0000-0000-000022010000}"/>
    <cellStyle name="Arial6Bold" xfId="579" xr:uid="{00000000-0005-0000-0000-000023010000}"/>
    <cellStyle name="Arial6Bold 2" xfId="1410" xr:uid="{00000000-0005-0000-0000-000024010000}"/>
    <cellStyle name="Arial8Bold" xfId="580" xr:uid="{00000000-0005-0000-0000-000025010000}"/>
    <cellStyle name="Arial8Bold 2" xfId="1411" xr:uid="{00000000-0005-0000-0000-000026010000}"/>
    <cellStyle name="Arial8Italic" xfId="581" xr:uid="{00000000-0005-0000-0000-000027010000}"/>
    <cellStyle name="Arial8Italic 2" xfId="1412" xr:uid="{00000000-0005-0000-0000-000028010000}"/>
    <cellStyle name="ArialNormal" xfId="582" xr:uid="{00000000-0005-0000-0000-000029010000}"/>
    <cellStyle name="ArialNormal 2" xfId="1413" xr:uid="{00000000-0005-0000-0000-00002A010000}"/>
    <cellStyle name="Array" xfId="583" xr:uid="{00000000-0005-0000-0000-00002B010000}"/>
    <cellStyle name="Array Enter" xfId="584" xr:uid="{00000000-0005-0000-0000-00002C010000}"/>
    <cellStyle name="Array_AMT Model New 11-16-2011" xfId="947" xr:uid="{00000000-0005-0000-0000-00002D010000}"/>
    <cellStyle name="Assumption" xfId="38" xr:uid="{00000000-0005-0000-0000-00002E010000}"/>
    <cellStyle name="Assumption 2" xfId="1636" xr:uid="{00000000-0005-0000-0000-00002F010000}"/>
    <cellStyle name="Assumption 3" xfId="1637" xr:uid="{00000000-0005-0000-0000-000030010000}"/>
    <cellStyle name="Assumption 3 2" xfId="1638" xr:uid="{00000000-0005-0000-0000-000031010000}"/>
    <cellStyle name="Assumptions" xfId="39" xr:uid="{00000000-0005-0000-0000-000032010000}"/>
    <cellStyle name="ÄÞ¸¶ [0]_TestResults" xfId="40" xr:uid="{00000000-0005-0000-0000-000033010000}"/>
    <cellStyle name="ÄÞ¸¶_TestResults" xfId="41" xr:uid="{00000000-0005-0000-0000-000034010000}"/>
    <cellStyle name="auf tausender" xfId="42" xr:uid="{00000000-0005-0000-0000-000035010000}"/>
    <cellStyle name="auf tausender 2" xfId="1639" xr:uid="{00000000-0005-0000-0000-000036010000}"/>
    <cellStyle name="auf tausender 3" xfId="1640" xr:uid="{00000000-0005-0000-0000-000037010000}"/>
    <cellStyle name="auf tausender 3 2" xfId="1641" xr:uid="{00000000-0005-0000-0000-000038010000}"/>
    <cellStyle name="Auto" xfId="585" xr:uid="{00000000-0005-0000-0000-000039010000}"/>
    <cellStyle name="Auto 2" xfId="1032" xr:uid="{00000000-0005-0000-0000-00003A010000}"/>
    <cellStyle name="Availability" xfId="43" xr:uid="{00000000-0005-0000-0000-00003B010000}"/>
    <cellStyle name="Availability 2" xfId="1642" xr:uid="{00000000-0005-0000-0000-00003C010000}"/>
    <cellStyle name="Availability 3" xfId="1643" xr:uid="{00000000-0005-0000-0000-00003D010000}"/>
    <cellStyle name="Availability 3 2" xfId="1644" xr:uid="{00000000-0005-0000-0000-00003E010000}"/>
    <cellStyle name="Availability 4" xfId="1645" xr:uid="{00000000-0005-0000-0000-00003F010000}"/>
    <cellStyle name="Bad 2" xfId="850" xr:uid="{00000000-0005-0000-0000-000040010000}"/>
    <cellStyle name="Bad 3" xfId="948" xr:uid="{00000000-0005-0000-0000-000041010000}"/>
    <cellStyle name="Bad 4" xfId="1646" xr:uid="{00000000-0005-0000-0000-000042010000}"/>
    <cellStyle name="Bad 5" xfId="1647" xr:uid="{00000000-0005-0000-0000-000043010000}"/>
    <cellStyle name="BalanceSheet" xfId="44" xr:uid="{00000000-0005-0000-0000-000044010000}"/>
    <cellStyle name="BalanceSheet 2" xfId="586" xr:uid="{00000000-0005-0000-0000-000045010000}"/>
    <cellStyle name="BalanceSheet 2 2" xfId="1648" xr:uid="{00000000-0005-0000-0000-000046010000}"/>
    <cellStyle name="BlackTitle" xfId="45" xr:uid="{00000000-0005-0000-0000-000047010000}"/>
    <cellStyle name="BlackTitle 2" xfId="1649" xr:uid="{00000000-0005-0000-0000-000048010000}"/>
    <cellStyle name="BlackTitle 2 2" xfId="1650" xr:uid="{00000000-0005-0000-0000-000049010000}"/>
    <cellStyle name="Blank" xfId="46" xr:uid="{00000000-0005-0000-0000-00004A010000}"/>
    <cellStyle name="Blank 2" xfId="908" xr:uid="{00000000-0005-0000-0000-00004B010000}"/>
    <cellStyle name="block" xfId="47" xr:uid="{00000000-0005-0000-0000-00004C010000}"/>
    <cellStyle name="blp_column_header" xfId="1651" xr:uid="{00000000-0005-0000-0000-00004D010000}"/>
    <cellStyle name="Blue" xfId="48" xr:uid="{00000000-0005-0000-0000-00004E010000}"/>
    <cellStyle name="Blue 2" xfId="587" xr:uid="{00000000-0005-0000-0000-00004F010000}"/>
    <cellStyle name="blue shading" xfId="1652" xr:uid="{00000000-0005-0000-0000-000050010000}"/>
    <cellStyle name="Bold/Border" xfId="588" xr:uid="{00000000-0005-0000-0000-000051010000}"/>
    <cellStyle name="British Pound" xfId="49" xr:uid="{00000000-0005-0000-0000-000052010000}"/>
    <cellStyle name="Bullet" xfId="589" xr:uid="{00000000-0005-0000-0000-000053010000}"/>
    <cellStyle name="Ç¥ÁØ_TestResults" xfId="50" xr:uid="{00000000-0005-0000-0000-000054010000}"/>
    <cellStyle name="C10_2001 Figs Black" xfId="590" xr:uid="{00000000-0005-0000-0000-000055010000}"/>
    <cellStyle name="Calcul" xfId="51" xr:uid="{00000000-0005-0000-0000-000056010000}"/>
    <cellStyle name="Calcul 2" xfId="1653" xr:uid="{00000000-0005-0000-0000-000057010000}"/>
    <cellStyle name="Calcul 3" xfId="1654" xr:uid="{00000000-0005-0000-0000-000058010000}"/>
    <cellStyle name="Calcul 3 2" xfId="1655" xr:uid="{00000000-0005-0000-0000-000059010000}"/>
    <cellStyle name="Calculation" xfId="52" builtinId="22" customBuiltin="1"/>
    <cellStyle name="Calculation 2" xfId="851" xr:uid="{00000000-0005-0000-0000-00005B010000}"/>
    <cellStyle name="Calculation 3" xfId="953" xr:uid="{00000000-0005-0000-0000-00005C010000}"/>
    <cellStyle name="Calculation 3 2" xfId="1451" xr:uid="{00000000-0005-0000-0000-00005D010000}"/>
    <cellStyle name="Calculation 4" xfId="1261" xr:uid="{00000000-0005-0000-0000-00005E010000}"/>
    <cellStyle name="CashFlow" xfId="53" xr:uid="{00000000-0005-0000-0000-00005F010000}"/>
    <cellStyle name="CashFlow 2" xfId="591" xr:uid="{00000000-0005-0000-0000-000060010000}"/>
    <cellStyle name="CashFlow 2 2" xfId="1656" xr:uid="{00000000-0005-0000-0000-000061010000}"/>
    <cellStyle name="category" xfId="54" xr:uid="{00000000-0005-0000-0000-000062010000}"/>
    <cellStyle name="Category Title" xfId="592" xr:uid="{00000000-0005-0000-0000-000063010000}"/>
    <cellStyle name="CComma" xfId="593" xr:uid="{00000000-0005-0000-0000-000064010000}"/>
    <cellStyle name="CComma (0)" xfId="594" xr:uid="{00000000-0005-0000-0000-000065010000}"/>
    <cellStyle name="CComma (0) 2" xfId="1087" xr:uid="{00000000-0005-0000-0000-000066010000}"/>
    <cellStyle name="CComma 10" xfId="1216" xr:uid="{00000000-0005-0000-0000-000067010000}"/>
    <cellStyle name="CComma 11" xfId="1185" xr:uid="{00000000-0005-0000-0000-000068010000}"/>
    <cellStyle name="CComma 12" xfId="1218" xr:uid="{00000000-0005-0000-0000-000069010000}"/>
    <cellStyle name="CComma 13" xfId="1186" xr:uid="{00000000-0005-0000-0000-00006A010000}"/>
    <cellStyle name="CComma 14" xfId="1219" xr:uid="{00000000-0005-0000-0000-00006B010000}"/>
    <cellStyle name="CComma 15" xfId="1189" xr:uid="{00000000-0005-0000-0000-00006C010000}"/>
    <cellStyle name="CComma 16" xfId="1221" xr:uid="{00000000-0005-0000-0000-00006D010000}"/>
    <cellStyle name="CComma 17" xfId="1191" xr:uid="{00000000-0005-0000-0000-00006E010000}"/>
    <cellStyle name="CComma 18" xfId="1220" xr:uid="{00000000-0005-0000-0000-00006F010000}"/>
    <cellStyle name="CComma 2" xfId="1149" xr:uid="{00000000-0005-0000-0000-000070010000}"/>
    <cellStyle name="CComma 3" xfId="1172" xr:uid="{00000000-0005-0000-0000-000071010000}"/>
    <cellStyle name="CComma 4" xfId="1205" xr:uid="{00000000-0005-0000-0000-000072010000}"/>
    <cellStyle name="CComma 5" xfId="1176" xr:uid="{00000000-0005-0000-0000-000073010000}"/>
    <cellStyle name="CComma 6" xfId="1207" xr:uid="{00000000-0005-0000-0000-000074010000}"/>
    <cellStyle name="CComma 7" xfId="1180" xr:uid="{00000000-0005-0000-0000-000075010000}"/>
    <cellStyle name="CComma 8" xfId="1209" xr:uid="{00000000-0005-0000-0000-000076010000}"/>
    <cellStyle name="CComma 9" xfId="1182" xr:uid="{00000000-0005-0000-0000-000077010000}"/>
    <cellStyle name="CCurrency (0)" xfId="595" xr:uid="{00000000-0005-0000-0000-000078010000}"/>
    <cellStyle name="CCurrency (0) 2" xfId="1033" xr:uid="{00000000-0005-0000-0000-000079010000}"/>
    <cellStyle name="Changeable" xfId="55" xr:uid="{00000000-0005-0000-0000-00007A010000}"/>
    <cellStyle name="Check Cell 2" xfId="852" xr:uid="{00000000-0005-0000-0000-00007B010000}"/>
    <cellStyle name="Check Cell 3" xfId="956" xr:uid="{00000000-0005-0000-0000-00007C010000}"/>
    <cellStyle name="Check Cell 4" xfId="1657" xr:uid="{00000000-0005-0000-0000-00007D010000}"/>
    <cellStyle name="Checksum" xfId="56" xr:uid="{00000000-0005-0000-0000-00007E010000}"/>
    <cellStyle name="Colhead_left" xfId="596" xr:uid="{00000000-0005-0000-0000-00007F010000}"/>
    <cellStyle name="ColHeading" xfId="57" xr:uid="{00000000-0005-0000-0000-000080010000}"/>
    <cellStyle name="ColHeading 2" xfId="597" xr:uid="{00000000-0005-0000-0000-000081010000}"/>
    <cellStyle name="ColHeading 3" xfId="1658" xr:uid="{00000000-0005-0000-0000-000082010000}"/>
    <cellStyle name="ColHeading 3 2" xfId="1659" xr:uid="{00000000-0005-0000-0000-000083010000}"/>
    <cellStyle name="colheadleft" xfId="598" xr:uid="{00000000-0005-0000-0000-000084010000}"/>
    <cellStyle name="colheadright" xfId="599" xr:uid="{00000000-0005-0000-0000-000085010000}"/>
    <cellStyle name="Column Heading" xfId="58" xr:uid="{00000000-0005-0000-0000-000086010000}"/>
    <cellStyle name="Column Heading (No Wrap)" xfId="59" xr:uid="{00000000-0005-0000-0000-000087010000}"/>
    <cellStyle name="Column Heading (No Wrap) 2" xfId="1660" xr:uid="{00000000-0005-0000-0000-000088010000}"/>
    <cellStyle name="Column Heading (No Wrap) 3" xfId="1661" xr:uid="{00000000-0005-0000-0000-000089010000}"/>
    <cellStyle name="Column Heading (No Wrap) 3 2" xfId="1662" xr:uid="{00000000-0005-0000-0000-00008A010000}"/>
    <cellStyle name="Column Heading 2" xfId="1663" xr:uid="{00000000-0005-0000-0000-00008B010000}"/>
    <cellStyle name="Column Heading 3" xfId="1664" xr:uid="{00000000-0005-0000-0000-00008C010000}"/>
    <cellStyle name="Column Heading 3 2" xfId="1665" xr:uid="{00000000-0005-0000-0000-00008D010000}"/>
    <cellStyle name="Column Heading 4" xfId="1666" xr:uid="{00000000-0005-0000-0000-00008E010000}"/>
    <cellStyle name="Column Heading 4 2" xfId="1667" xr:uid="{00000000-0005-0000-0000-00008F010000}"/>
    <cellStyle name="Column Heading 5" xfId="1668" xr:uid="{00000000-0005-0000-0000-000090010000}"/>
    <cellStyle name="Column Heading 5 2" xfId="1669" xr:uid="{00000000-0005-0000-0000-000091010000}"/>
    <cellStyle name="Column Heading 6" xfId="1670" xr:uid="{00000000-0005-0000-0000-000092010000}"/>
    <cellStyle name="Column Heading 6 2" xfId="1671" xr:uid="{00000000-0005-0000-0000-000093010000}"/>
    <cellStyle name="Column Heading_SHEET" xfId="60" xr:uid="{00000000-0005-0000-0000-000094010000}"/>
    <cellStyle name="Column label" xfId="61" xr:uid="{00000000-0005-0000-0000-000095010000}"/>
    <cellStyle name="Column label (left aligned)" xfId="62" xr:uid="{00000000-0005-0000-0000-000096010000}"/>
    <cellStyle name="Column label (left aligned) 2" xfId="1672" xr:uid="{00000000-0005-0000-0000-000097010000}"/>
    <cellStyle name="Column label (left aligned) 3" xfId="1673" xr:uid="{00000000-0005-0000-0000-000098010000}"/>
    <cellStyle name="Column label (no wrap)" xfId="63" xr:uid="{00000000-0005-0000-0000-000099010000}"/>
    <cellStyle name="Column label (no wrap) 2" xfId="1674" xr:uid="{00000000-0005-0000-0000-00009A010000}"/>
    <cellStyle name="Column label (no wrap) 3" xfId="1675" xr:uid="{00000000-0005-0000-0000-00009B010000}"/>
    <cellStyle name="Column label (not bold)" xfId="64" xr:uid="{00000000-0005-0000-0000-00009C010000}"/>
    <cellStyle name="Column label (not bold) 2" xfId="1262" xr:uid="{00000000-0005-0000-0000-00009D010000}"/>
    <cellStyle name="Column label (not bold) 3" xfId="1676" xr:uid="{00000000-0005-0000-0000-00009E010000}"/>
    <cellStyle name="Column label 10" xfId="1677" xr:uid="{00000000-0005-0000-0000-00009F010000}"/>
    <cellStyle name="Column label 11" xfId="1678" xr:uid="{00000000-0005-0000-0000-0000A0010000}"/>
    <cellStyle name="Column label 2" xfId="1679" xr:uid="{00000000-0005-0000-0000-0000A1010000}"/>
    <cellStyle name="Column label 3" xfId="1680" xr:uid="{00000000-0005-0000-0000-0000A2010000}"/>
    <cellStyle name="Column label 4" xfId="1681" xr:uid="{00000000-0005-0000-0000-0000A3010000}"/>
    <cellStyle name="Column label 5" xfId="1682" xr:uid="{00000000-0005-0000-0000-0000A4010000}"/>
    <cellStyle name="Column label 6" xfId="1683" xr:uid="{00000000-0005-0000-0000-0000A5010000}"/>
    <cellStyle name="Column label 7" xfId="1684" xr:uid="{00000000-0005-0000-0000-0000A6010000}"/>
    <cellStyle name="Column label 8" xfId="1685" xr:uid="{00000000-0005-0000-0000-0000A7010000}"/>
    <cellStyle name="Column label 9" xfId="1686" xr:uid="{00000000-0005-0000-0000-0000A8010000}"/>
    <cellStyle name="Column label_sheet" xfId="65" xr:uid="{00000000-0005-0000-0000-0000A9010000}"/>
    <cellStyle name="Column Total" xfId="66" xr:uid="{00000000-0005-0000-0000-0000AA010000}"/>
    <cellStyle name="Column Total 2" xfId="1687" xr:uid="{00000000-0005-0000-0000-0000AB010000}"/>
    <cellStyle name="Column Total 3" xfId="1688" xr:uid="{00000000-0005-0000-0000-0000AC010000}"/>
    <cellStyle name="Column Total 3 2" xfId="1689" xr:uid="{00000000-0005-0000-0000-0000AD010000}"/>
    <cellStyle name="Comma" xfId="67" builtinId="3"/>
    <cellStyle name="Comma  - Style1" xfId="601" xr:uid="{00000000-0005-0000-0000-0000AF010000}"/>
    <cellStyle name="Comma  - Style2" xfId="602" xr:uid="{00000000-0005-0000-0000-0000B0010000}"/>
    <cellStyle name="Comma  - Style3" xfId="603" xr:uid="{00000000-0005-0000-0000-0000B1010000}"/>
    <cellStyle name="Comma  - Style4" xfId="604" xr:uid="{00000000-0005-0000-0000-0000B2010000}"/>
    <cellStyle name="Comma  - Style5" xfId="605" xr:uid="{00000000-0005-0000-0000-0000B3010000}"/>
    <cellStyle name="Comma  - Style6" xfId="606" xr:uid="{00000000-0005-0000-0000-0000B4010000}"/>
    <cellStyle name="Comma  - Style7" xfId="607" xr:uid="{00000000-0005-0000-0000-0000B5010000}"/>
    <cellStyle name="Comma  - Style8" xfId="608" xr:uid="{00000000-0005-0000-0000-0000B6010000}"/>
    <cellStyle name="comma - number" xfId="68" xr:uid="{00000000-0005-0000-0000-0000B7010000}"/>
    <cellStyle name="comma - number 2" xfId="1690" xr:uid="{00000000-0005-0000-0000-0000B8010000}"/>
    <cellStyle name="Comma (1)" xfId="609" xr:uid="{00000000-0005-0000-0000-0000B9010000}"/>
    <cellStyle name="Comma (1) 2" xfId="1115" xr:uid="{00000000-0005-0000-0000-0000BA010000}"/>
    <cellStyle name="Comma [2]" xfId="69" xr:uid="{00000000-0005-0000-0000-0000BB010000}"/>
    <cellStyle name="Comma [2] 2" xfId="1691" xr:uid="{00000000-0005-0000-0000-0000BC010000}"/>
    <cellStyle name="Comma 0" xfId="70" xr:uid="{00000000-0005-0000-0000-0000BD010000}"/>
    <cellStyle name="Comma 0 2" xfId="610" xr:uid="{00000000-0005-0000-0000-0000BE010000}"/>
    <cellStyle name="Comma 0*" xfId="611" xr:uid="{00000000-0005-0000-0000-0000BF010000}"/>
    <cellStyle name="Comma 0* 2" xfId="1120" xr:uid="{00000000-0005-0000-0000-0000C0010000}"/>
    <cellStyle name="Comma 0_XOM model" xfId="612" xr:uid="{00000000-0005-0000-0000-0000C1010000}"/>
    <cellStyle name="Comma 10" xfId="455" xr:uid="{00000000-0005-0000-0000-0000C2010000}"/>
    <cellStyle name="Comma 10 2" xfId="1174" xr:uid="{00000000-0005-0000-0000-0000C3010000}"/>
    <cellStyle name="Comma 10 3" xfId="1326" xr:uid="{00000000-0005-0000-0000-0000C4010000}"/>
    <cellStyle name="Comma 11" xfId="458" xr:uid="{00000000-0005-0000-0000-0000C5010000}"/>
    <cellStyle name="Comma 11 2" xfId="1211" xr:uid="{00000000-0005-0000-0000-0000C6010000}"/>
    <cellStyle name="Comma 11 3" xfId="1329" xr:uid="{00000000-0005-0000-0000-0000C7010000}"/>
    <cellStyle name="Comma 12" xfId="461" xr:uid="{00000000-0005-0000-0000-0000C8010000}"/>
    <cellStyle name="Comma 12 2" xfId="1178" xr:uid="{00000000-0005-0000-0000-0000C9010000}"/>
    <cellStyle name="Comma 12 3" xfId="1332" xr:uid="{00000000-0005-0000-0000-0000CA010000}"/>
    <cellStyle name="Comma 13" xfId="464" xr:uid="{00000000-0005-0000-0000-0000CB010000}"/>
    <cellStyle name="Comma 13 2" xfId="1214" xr:uid="{00000000-0005-0000-0000-0000CC010000}"/>
    <cellStyle name="Comma 13 3" xfId="1335" xr:uid="{00000000-0005-0000-0000-0000CD010000}"/>
    <cellStyle name="Comma 14" xfId="467" xr:uid="{00000000-0005-0000-0000-0000CE010000}"/>
    <cellStyle name="Comma 14 2" xfId="1179" xr:uid="{00000000-0005-0000-0000-0000CF010000}"/>
    <cellStyle name="Comma 14 3" xfId="1338" xr:uid="{00000000-0005-0000-0000-0000D0010000}"/>
    <cellStyle name="Comma 15" xfId="470" xr:uid="{00000000-0005-0000-0000-0000D1010000}"/>
    <cellStyle name="Comma 15 2" xfId="1215" xr:uid="{00000000-0005-0000-0000-0000D2010000}"/>
    <cellStyle name="Comma 15 3" xfId="1341" xr:uid="{00000000-0005-0000-0000-0000D3010000}"/>
    <cellStyle name="Comma 16" xfId="473" xr:uid="{00000000-0005-0000-0000-0000D4010000}"/>
    <cellStyle name="Comma 16 2" xfId="1184" xr:uid="{00000000-0005-0000-0000-0000D5010000}"/>
    <cellStyle name="Comma 16 3" xfId="1344" xr:uid="{00000000-0005-0000-0000-0000D6010000}"/>
    <cellStyle name="Comma 17" xfId="476" xr:uid="{00000000-0005-0000-0000-0000D7010000}"/>
    <cellStyle name="Comma 17 2" xfId="1217" xr:uid="{00000000-0005-0000-0000-0000D8010000}"/>
    <cellStyle name="Comma 17 3" xfId="1347" xr:uid="{00000000-0005-0000-0000-0000D9010000}"/>
    <cellStyle name="Comma 18" xfId="479" xr:uid="{00000000-0005-0000-0000-0000DA010000}"/>
    <cellStyle name="Comma 18 2" xfId="1188" xr:uid="{00000000-0005-0000-0000-0000DB010000}"/>
    <cellStyle name="Comma 18 3" xfId="1350" xr:uid="{00000000-0005-0000-0000-0000DC010000}"/>
    <cellStyle name="Comma 19" xfId="482" xr:uid="{00000000-0005-0000-0000-0000DD010000}"/>
    <cellStyle name="Comma 19 2" xfId="1213" xr:uid="{00000000-0005-0000-0000-0000DE010000}"/>
    <cellStyle name="Comma 19 3" xfId="1353" xr:uid="{00000000-0005-0000-0000-0000DF010000}"/>
    <cellStyle name="Comma 2" xfId="71" xr:uid="{00000000-0005-0000-0000-0000E0010000}"/>
    <cellStyle name="Comma 2 2" xfId="853" xr:uid="{00000000-0005-0000-0000-0000E1010000}"/>
    <cellStyle name="Comma 2 2 2" xfId="1116" xr:uid="{00000000-0005-0000-0000-0000E2010000}"/>
    <cellStyle name="Comma 2 3" xfId="854" xr:uid="{00000000-0005-0000-0000-0000E3010000}"/>
    <cellStyle name="Comma 2 3 2" xfId="1080" xr:uid="{00000000-0005-0000-0000-0000E4010000}"/>
    <cellStyle name="Comma 2 3 2 2" xfId="1469" xr:uid="{00000000-0005-0000-0000-0000E5010000}"/>
    <cellStyle name="Comma 2 3 3" xfId="1426" xr:uid="{00000000-0005-0000-0000-0000E6010000}"/>
    <cellStyle name="Comma 2 4" xfId="855" xr:uid="{00000000-0005-0000-0000-0000E7010000}"/>
    <cellStyle name="Comma 2 4 2" xfId="1081" xr:uid="{00000000-0005-0000-0000-0000E8010000}"/>
    <cellStyle name="Comma 2 4 2 2" xfId="1470" xr:uid="{00000000-0005-0000-0000-0000E9010000}"/>
    <cellStyle name="Comma 2 4 3" xfId="1427" xr:uid="{00000000-0005-0000-0000-0000EA010000}"/>
    <cellStyle name="Comma 2 5" xfId="856" xr:uid="{00000000-0005-0000-0000-0000EB010000}"/>
    <cellStyle name="Comma 2 5 2" xfId="1122" xr:uid="{00000000-0005-0000-0000-0000EC010000}"/>
    <cellStyle name="Comma 2 5 2 2" xfId="1476" xr:uid="{00000000-0005-0000-0000-0000ED010000}"/>
    <cellStyle name="Comma 2 5 3" xfId="1428" xr:uid="{00000000-0005-0000-0000-0000EE010000}"/>
    <cellStyle name="Comma 2 6" xfId="857" xr:uid="{00000000-0005-0000-0000-0000EF010000}"/>
    <cellStyle name="Comma 2 6 2" xfId="1082" xr:uid="{00000000-0005-0000-0000-0000F0010000}"/>
    <cellStyle name="Comma 2 6 2 2" xfId="1471" xr:uid="{00000000-0005-0000-0000-0000F1010000}"/>
    <cellStyle name="Comma 2 6 3" xfId="1429" xr:uid="{00000000-0005-0000-0000-0000F2010000}"/>
    <cellStyle name="Comma 2 7" xfId="613" xr:uid="{00000000-0005-0000-0000-0000F3010000}"/>
    <cellStyle name="Comma 2 8" xfId="963" xr:uid="{00000000-0005-0000-0000-0000F4010000}"/>
    <cellStyle name="Comma 20" xfId="485" xr:uid="{00000000-0005-0000-0000-0000F5010000}"/>
    <cellStyle name="Comma 20 2" xfId="1356" xr:uid="{00000000-0005-0000-0000-0000F6010000}"/>
    <cellStyle name="Comma 21" xfId="488" xr:uid="{00000000-0005-0000-0000-0000F7010000}"/>
    <cellStyle name="Comma 21 2" xfId="1359" xr:uid="{00000000-0005-0000-0000-0000F8010000}"/>
    <cellStyle name="Comma 22" xfId="491" xr:uid="{00000000-0005-0000-0000-0000F9010000}"/>
    <cellStyle name="Comma 22 2" xfId="1362" xr:uid="{00000000-0005-0000-0000-0000FA010000}"/>
    <cellStyle name="Comma 23" xfId="494" xr:uid="{00000000-0005-0000-0000-0000FB010000}"/>
    <cellStyle name="Comma 23 2" xfId="1365" xr:uid="{00000000-0005-0000-0000-0000FC010000}"/>
    <cellStyle name="Comma 24" xfId="497" xr:uid="{00000000-0005-0000-0000-0000FD010000}"/>
    <cellStyle name="Comma 24 2" xfId="1368" xr:uid="{00000000-0005-0000-0000-0000FE010000}"/>
    <cellStyle name="Comma 25" xfId="500" xr:uid="{00000000-0005-0000-0000-0000FF010000}"/>
    <cellStyle name="Comma 25 2" xfId="1371" xr:uid="{00000000-0005-0000-0000-000000020000}"/>
    <cellStyle name="Comma 26" xfId="503" xr:uid="{00000000-0005-0000-0000-000001020000}"/>
    <cellStyle name="Comma 26 2" xfId="1374" xr:uid="{00000000-0005-0000-0000-000002020000}"/>
    <cellStyle name="Comma 27" xfId="506" xr:uid="{00000000-0005-0000-0000-000003020000}"/>
    <cellStyle name="Comma 27 2" xfId="1377" xr:uid="{00000000-0005-0000-0000-000004020000}"/>
    <cellStyle name="Comma 28" xfId="509" xr:uid="{00000000-0005-0000-0000-000005020000}"/>
    <cellStyle name="Comma 28 2" xfId="1380" xr:uid="{00000000-0005-0000-0000-000006020000}"/>
    <cellStyle name="Comma 29" xfId="512" xr:uid="{00000000-0005-0000-0000-000007020000}"/>
    <cellStyle name="Comma 29 2" xfId="1383" xr:uid="{00000000-0005-0000-0000-000008020000}"/>
    <cellStyle name="Comma 3" xfId="72" xr:uid="{00000000-0005-0000-0000-000009020000}"/>
    <cellStyle name="Comma 3 2" xfId="824" xr:uid="{00000000-0005-0000-0000-00000A020000}"/>
    <cellStyle name="Comma 3 3" xfId="813" xr:uid="{00000000-0005-0000-0000-00000B020000}"/>
    <cellStyle name="Comma 3 3 2" xfId="1242" xr:uid="{00000000-0005-0000-0000-00000C020000}"/>
    <cellStyle name="Comma 3 4" xfId="1113" xr:uid="{00000000-0005-0000-0000-00000D020000}"/>
    <cellStyle name="Comma 30" xfId="515" xr:uid="{00000000-0005-0000-0000-00000E020000}"/>
    <cellStyle name="Comma 30 2" xfId="1386" xr:uid="{00000000-0005-0000-0000-00000F020000}"/>
    <cellStyle name="Comma 31" xfId="518" xr:uid="{00000000-0005-0000-0000-000010020000}"/>
    <cellStyle name="Comma 31 2" xfId="1389" xr:uid="{00000000-0005-0000-0000-000011020000}"/>
    <cellStyle name="Comma 32" xfId="521" xr:uid="{00000000-0005-0000-0000-000012020000}"/>
    <cellStyle name="Comma 32 2" xfId="1392" xr:uid="{00000000-0005-0000-0000-000013020000}"/>
    <cellStyle name="Comma 33" xfId="524" xr:uid="{00000000-0005-0000-0000-000014020000}"/>
    <cellStyle name="Comma 33 2" xfId="1395" xr:uid="{00000000-0005-0000-0000-000015020000}"/>
    <cellStyle name="Comma 34" xfId="527" xr:uid="{00000000-0005-0000-0000-000016020000}"/>
    <cellStyle name="Comma 34 2" xfId="1398" xr:uid="{00000000-0005-0000-0000-000017020000}"/>
    <cellStyle name="Comma 35" xfId="530" xr:uid="{00000000-0005-0000-0000-000018020000}"/>
    <cellStyle name="Comma 35 2" xfId="1401" xr:uid="{00000000-0005-0000-0000-000019020000}"/>
    <cellStyle name="Comma 36" xfId="533" xr:uid="{00000000-0005-0000-0000-00001A020000}"/>
    <cellStyle name="Comma 36 2" xfId="1404" xr:uid="{00000000-0005-0000-0000-00001B020000}"/>
    <cellStyle name="Comma 37" xfId="536" xr:uid="{00000000-0005-0000-0000-00001C020000}"/>
    <cellStyle name="Comma 37 2" xfId="1407" xr:uid="{00000000-0005-0000-0000-00001D020000}"/>
    <cellStyle name="Comma 38" xfId="600" xr:uid="{00000000-0005-0000-0000-00001E020000}"/>
    <cellStyle name="Comma 39" xfId="893" xr:uid="{00000000-0005-0000-0000-00001F020000}"/>
    <cellStyle name="Comma 4" xfId="73" xr:uid="{00000000-0005-0000-0000-000020020000}"/>
    <cellStyle name="Comma 4 2" xfId="821" xr:uid="{00000000-0005-0000-0000-000021020000}"/>
    <cellStyle name="Comma 4 2 2" xfId="1425" xr:uid="{00000000-0005-0000-0000-000022020000}"/>
    <cellStyle name="Comma 4 3" xfId="907" xr:uid="{00000000-0005-0000-0000-000023020000}"/>
    <cellStyle name="Comma 4 3 2" xfId="1447" xr:uid="{00000000-0005-0000-0000-000024020000}"/>
    <cellStyle name="Comma 4 4" xfId="1164" xr:uid="{00000000-0005-0000-0000-000025020000}"/>
    <cellStyle name="Comma 4 5" xfId="1264" xr:uid="{00000000-0005-0000-0000-000026020000}"/>
    <cellStyle name="Comma 40" xfId="904" xr:uid="{00000000-0005-0000-0000-000027020000}"/>
    <cellStyle name="Comma 41" xfId="959" xr:uid="{00000000-0005-0000-0000-000028020000}"/>
    <cellStyle name="Comma 42" xfId="1044" xr:uid="{00000000-0005-0000-0000-000029020000}"/>
    <cellStyle name="Comma 43" xfId="941" xr:uid="{00000000-0005-0000-0000-00002A020000}"/>
    <cellStyle name="Comma 44" xfId="1037" xr:uid="{00000000-0005-0000-0000-00002B020000}"/>
    <cellStyle name="Comma 45" xfId="946" xr:uid="{00000000-0005-0000-0000-00002C020000}"/>
    <cellStyle name="Comma 46" xfId="1073" xr:uid="{00000000-0005-0000-0000-00002D020000}"/>
    <cellStyle name="Comma 47" xfId="952" xr:uid="{00000000-0005-0000-0000-00002E020000}"/>
    <cellStyle name="Comma 48" xfId="1042" xr:uid="{00000000-0005-0000-0000-00002F020000}"/>
    <cellStyle name="Comma 49" xfId="1090" xr:uid="{00000000-0005-0000-0000-000030020000}"/>
    <cellStyle name="Comma 5" xfId="440" xr:uid="{00000000-0005-0000-0000-000031020000}"/>
    <cellStyle name="Comma 5 2" xfId="858" xr:uid="{00000000-0005-0000-0000-000032020000}"/>
    <cellStyle name="Comma 5 2 2" xfId="1430" xr:uid="{00000000-0005-0000-0000-000033020000}"/>
    <cellStyle name="Comma 5 3" xfId="1083" xr:uid="{00000000-0005-0000-0000-000034020000}"/>
    <cellStyle name="Comma 5 3 2" xfId="1472" xr:uid="{00000000-0005-0000-0000-000035020000}"/>
    <cellStyle name="Comma 5 4" xfId="1201" xr:uid="{00000000-0005-0000-0000-000036020000}"/>
    <cellStyle name="Comma 5 5" xfId="1311" xr:uid="{00000000-0005-0000-0000-000037020000}"/>
    <cellStyle name="Comma 50" xfId="1118" xr:uid="{00000000-0005-0000-0000-000038020000}"/>
    <cellStyle name="Comma 51" xfId="962" xr:uid="{00000000-0005-0000-0000-000039020000}"/>
    <cellStyle name="Comma 52" xfId="1055" xr:uid="{00000000-0005-0000-0000-00003A020000}"/>
    <cellStyle name="Comma 53" xfId="1093" xr:uid="{00000000-0005-0000-0000-00003B020000}"/>
    <cellStyle name="Comma 54" xfId="1089" xr:uid="{00000000-0005-0000-0000-00003C020000}"/>
    <cellStyle name="Comma 55" xfId="913" xr:uid="{00000000-0005-0000-0000-00003D020000}"/>
    <cellStyle name="Comma 56" xfId="951" xr:uid="{00000000-0005-0000-0000-00003E020000}"/>
    <cellStyle name="Comma 57" xfId="1254" xr:uid="{00000000-0005-0000-0000-00003F020000}"/>
    <cellStyle name="Comma 58" xfId="1263" xr:uid="{00000000-0005-0000-0000-000040020000}"/>
    <cellStyle name="Comma 6" xfId="443" xr:uid="{00000000-0005-0000-0000-000041020000}"/>
    <cellStyle name="Comma 6 2" xfId="1165" xr:uid="{00000000-0005-0000-0000-000042020000}"/>
    <cellStyle name="Comma 6 3" xfId="1314" xr:uid="{00000000-0005-0000-0000-000043020000}"/>
    <cellStyle name="Comma 6 3 2" xfId="1692" xr:uid="{00000000-0005-0000-0000-000044020000}"/>
    <cellStyle name="Comma 6 4" xfId="1693" xr:uid="{00000000-0005-0000-0000-000045020000}"/>
    <cellStyle name="Comma 64" xfId="859" xr:uid="{00000000-0005-0000-0000-000046020000}"/>
    <cellStyle name="Comma 64 2" xfId="1126" xr:uid="{00000000-0005-0000-0000-000047020000}"/>
    <cellStyle name="Comma 64 2 2" xfId="1478" xr:uid="{00000000-0005-0000-0000-000048020000}"/>
    <cellStyle name="Comma 64 3" xfId="1431" xr:uid="{00000000-0005-0000-0000-000049020000}"/>
    <cellStyle name="Comma 7" xfId="446" xr:uid="{00000000-0005-0000-0000-00004A020000}"/>
    <cellStyle name="Comma 7 2" xfId="1202" xr:uid="{00000000-0005-0000-0000-00004B020000}"/>
    <cellStyle name="Comma 7 3" xfId="1317" xr:uid="{00000000-0005-0000-0000-00004C020000}"/>
    <cellStyle name="Comma 8" xfId="449" xr:uid="{00000000-0005-0000-0000-00004D020000}"/>
    <cellStyle name="Comma 8 2" xfId="1173" xr:uid="{00000000-0005-0000-0000-00004E020000}"/>
    <cellStyle name="Comma 8 3" xfId="1320" xr:uid="{00000000-0005-0000-0000-00004F020000}"/>
    <cellStyle name="Comma 9" xfId="452" xr:uid="{00000000-0005-0000-0000-000050020000}"/>
    <cellStyle name="Comma 9 2" xfId="1203" xr:uid="{00000000-0005-0000-0000-000051020000}"/>
    <cellStyle name="Comma 9 3" xfId="1323" xr:uid="{00000000-0005-0000-0000-000052020000}"/>
    <cellStyle name="Comma 9 4" xfId="1497" xr:uid="{00000000-0005-0000-0000-000053020000}"/>
    <cellStyle name="Comma(1)" xfId="74" xr:uid="{00000000-0005-0000-0000-000054020000}"/>
    <cellStyle name="Comma, 1 dec" xfId="75" xr:uid="{00000000-0005-0000-0000-000055020000}"/>
    <cellStyle name="Comma, 1 dec 2" xfId="1694" xr:uid="{00000000-0005-0000-0000-000056020000}"/>
    <cellStyle name="Comma, 1 dec 2 2" xfId="1695" xr:uid="{00000000-0005-0000-0000-000057020000}"/>
    <cellStyle name="Comma, 1 dec 2 3" xfId="1696" xr:uid="{00000000-0005-0000-0000-000058020000}"/>
    <cellStyle name="Comma, 1 dec 2 3 2" xfId="1697" xr:uid="{00000000-0005-0000-0000-000059020000}"/>
    <cellStyle name="Comma, 1 dec 3" xfId="1698" xr:uid="{00000000-0005-0000-0000-00005A020000}"/>
    <cellStyle name="Comma0" xfId="76" xr:uid="{00000000-0005-0000-0000-00005B020000}"/>
    <cellStyle name="Comma0 - Modelo1" xfId="1699" xr:uid="{00000000-0005-0000-0000-00005C020000}"/>
    <cellStyle name="Comma0 - Style1" xfId="1700" xr:uid="{00000000-0005-0000-0000-00005D020000}"/>
    <cellStyle name="Comma0 2" xfId="1701" xr:uid="{00000000-0005-0000-0000-00005E020000}"/>
    <cellStyle name="Comma0 2 2" xfId="1702" xr:uid="{00000000-0005-0000-0000-00005F020000}"/>
    <cellStyle name="Comma1 - Modelo2" xfId="1703" xr:uid="{00000000-0005-0000-0000-000060020000}"/>
    <cellStyle name="Comma1 - Style2" xfId="1704" xr:uid="{00000000-0005-0000-0000-000061020000}"/>
    <cellStyle name="Company" xfId="77" xr:uid="{00000000-0005-0000-0000-000062020000}"/>
    <cellStyle name="Company 2" xfId="614" xr:uid="{00000000-0005-0000-0000-000063020000}"/>
    <cellStyle name="Company 3" xfId="1705" xr:uid="{00000000-0005-0000-0000-000064020000}"/>
    <cellStyle name="Company 3 2" xfId="1706" xr:uid="{00000000-0005-0000-0000-000065020000}"/>
    <cellStyle name="Company name" xfId="615" xr:uid="{00000000-0005-0000-0000-000066020000}"/>
    <cellStyle name="Company Name 2" xfId="1707" xr:uid="{00000000-0005-0000-0000-000067020000}"/>
    <cellStyle name="Company_XOM model" xfId="616" xr:uid="{00000000-0005-0000-0000-000068020000}"/>
    <cellStyle name="Comps" xfId="617" xr:uid="{00000000-0005-0000-0000-000069020000}"/>
    <cellStyle name="Comps 2" xfId="1034" xr:uid="{00000000-0005-0000-0000-00006A020000}"/>
    <cellStyle name="Cover Date" xfId="78" xr:uid="{00000000-0005-0000-0000-00006B020000}"/>
    <cellStyle name="Cover Date 2" xfId="1708" xr:uid="{00000000-0005-0000-0000-00006C020000}"/>
    <cellStyle name="Cover Date 2 2" xfId="1709" xr:uid="{00000000-0005-0000-0000-00006D020000}"/>
    <cellStyle name="Cover Subtitle" xfId="79" xr:uid="{00000000-0005-0000-0000-00006E020000}"/>
    <cellStyle name="Cover Subtitle 2" xfId="1710" xr:uid="{00000000-0005-0000-0000-00006F020000}"/>
    <cellStyle name="Cover Subtitle 2 2" xfId="1711" xr:uid="{00000000-0005-0000-0000-000070020000}"/>
    <cellStyle name="Cover Title" xfId="80" xr:uid="{00000000-0005-0000-0000-000071020000}"/>
    <cellStyle name="Cover Title 2" xfId="1712" xr:uid="{00000000-0005-0000-0000-000072020000}"/>
    <cellStyle name="Cover Title 2 2" xfId="1713" xr:uid="{00000000-0005-0000-0000-000073020000}"/>
    <cellStyle name="Cuadro 1" xfId="1714" xr:uid="{00000000-0005-0000-0000-000074020000}"/>
    <cellStyle name="CurRatio" xfId="81" xr:uid="{00000000-0005-0000-0000-000075020000}"/>
    <cellStyle name="CurRatio 2" xfId="618" xr:uid="{00000000-0005-0000-0000-000076020000}"/>
    <cellStyle name="CurRatio 3" xfId="1715" xr:uid="{00000000-0005-0000-0000-000077020000}"/>
    <cellStyle name="CurRatio 3 2" xfId="1716" xr:uid="{00000000-0005-0000-0000-000078020000}"/>
    <cellStyle name="CurRatio 4" xfId="1717" xr:uid="{00000000-0005-0000-0000-000079020000}"/>
    <cellStyle name="Currency - Euro" xfId="82" xr:uid="{00000000-0005-0000-0000-00007A020000}"/>
    <cellStyle name="Currency (2dp)" xfId="83" xr:uid="{00000000-0005-0000-0000-00007B020000}"/>
    <cellStyle name="Currency (2dp) 2" xfId="1265" xr:uid="{00000000-0005-0000-0000-00007C020000}"/>
    <cellStyle name="Currency (B)" xfId="620" xr:uid="{00000000-0005-0000-0000-00007D020000}"/>
    <cellStyle name="Currency [0] - Euro" xfId="84" xr:uid="{00000000-0005-0000-0000-00007E020000}"/>
    <cellStyle name="Currency [0] - Euro 2" xfId="1718" xr:uid="{00000000-0005-0000-0000-00007F020000}"/>
    <cellStyle name="Currency [0] - Euro 3" xfId="1719" xr:uid="{00000000-0005-0000-0000-000080020000}"/>
    <cellStyle name="Currency [0] - Euro 3 2" xfId="1720" xr:uid="{00000000-0005-0000-0000-000081020000}"/>
    <cellStyle name="Currency [0] - Euro 3 3" xfId="1721" xr:uid="{00000000-0005-0000-0000-000082020000}"/>
    <cellStyle name="Currency [0] - Euro 3 3 2" xfId="1722" xr:uid="{00000000-0005-0000-0000-000083020000}"/>
    <cellStyle name="Currency [0] - Euro 4" xfId="1723" xr:uid="{00000000-0005-0000-0000-000084020000}"/>
    <cellStyle name="Currency [0] - Euro 4 2" xfId="1724" xr:uid="{00000000-0005-0000-0000-000085020000}"/>
    <cellStyle name="Currency [1]" xfId="85" xr:uid="{00000000-0005-0000-0000-000086020000}"/>
    <cellStyle name="Currency [1] 2" xfId="621" xr:uid="{00000000-0005-0000-0000-000087020000}"/>
    <cellStyle name="Currency [1] 2 2" xfId="1725" xr:uid="{00000000-0005-0000-0000-000088020000}"/>
    <cellStyle name="Currency [2]" xfId="86" xr:uid="{00000000-0005-0000-0000-000089020000}"/>
    <cellStyle name="Currency [2] 2" xfId="622" xr:uid="{00000000-0005-0000-0000-00008A020000}"/>
    <cellStyle name="Currency [2] 2 2" xfId="1726" xr:uid="{00000000-0005-0000-0000-00008B020000}"/>
    <cellStyle name="Currency 0" xfId="87" xr:uid="{00000000-0005-0000-0000-00008C020000}"/>
    <cellStyle name="Currency 0 2" xfId="623" xr:uid="{00000000-0005-0000-0000-00008D020000}"/>
    <cellStyle name="Currency 10" xfId="954" xr:uid="{00000000-0005-0000-0000-00008E020000}"/>
    <cellStyle name="Currency 11" xfId="1028" xr:uid="{00000000-0005-0000-0000-00008F020000}"/>
    <cellStyle name="Currency 12" xfId="1097" xr:uid="{00000000-0005-0000-0000-000090020000}"/>
    <cellStyle name="Currency 13" xfId="1101" xr:uid="{00000000-0005-0000-0000-000091020000}"/>
    <cellStyle name="Currency 14" xfId="1106" xr:uid="{00000000-0005-0000-0000-000092020000}"/>
    <cellStyle name="Currency 15" xfId="1110" xr:uid="{00000000-0005-0000-0000-000093020000}"/>
    <cellStyle name="Currency 15 2" xfId="1050" xr:uid="{00000000-0005-0000-0000-000094020000}"/>
    <cellStyle name="Currency 16" xfId="1105" xr:uid="{00000000-0005-0000-0000-000095020000}"/>
    <cellStyle name="Currency 16 2" xfId="1159" xr:uid="{00000000-0005-0000-0000-000096020000}"/>
    <cellStyle name="Currency 17" xfId="1060" xr:uid="{00000000-0005-0000-0000-000097020000}"/>
    <cellStyle name="Currency 17 2" xfId="1102" xr:uid="{00000000-0005-0000-0000-000098020000}"/>
    <cellStyle name="Currency 18" xfId="909" xr:uid="{00000000-0005-0000-0000-000099020000}"/>
    <cellStyle name="Currency 18 2" xfId="1160" xr:uid="{00000000-0005-0000-0000-00009A020000}"/>
    <cellStyle name="Currency 19" xfId="1020" xr:uid="{00000000-0005-0000-0000-00009B020000}"/>
    <cellStyle name="Currency 19 2" xfId="1065" xr:uid="{00000000-0005-0000-0000-00009C020000}"/>
    <cellStyle name="Currency 2" xfId="88" xr:uid="{00000000-0005-0000-0000-00009D020000}"/>
    <cellStyle name="Currency 2 2" xfId="860" xr:uid="{00000000-0005-0000-0000-00009E020000}"/>
    <cellStyle name="Currency 2 2 2" xfId="1127" xr:uid="{00000000-0005-0000-0000-00009F020000}"/>
    <cellStyle name="Currency 2 2 2 2" xfId="1479" xr:uid="{00000000-0005-0000-0000-0000A0020000}"/>
    <cellStyle name="Currency 2 2 3" xfId="1111" xr:uid="{00000000-0005-0000-0000-0000A1020000}"/>
    <cellStyle name="Currency 2 2 4" xfId="1432" xr:uid="{00000000-0005-0000-0000-0000A2020000}"/>
    <cellStyle name="Currency 2 3" xfId="861" xr:uid="{00000000-0005-0000-0000-0000A3020000}"/>
    <cellStyle name="Currency 2 3 2" xfId="1128" xr:uid="{00000000-0005-0000-0000-0000A4020000}"/>
    <cellStyle name="Currency 2 3 2 2" xfId="1480" xr:uid="{00000000-0005-0000-0000-0000A5020000}"/>
    <cellStyle name="Currency 2 3 3" xfId="1433" xr:uid="{00000000-0005-0000-0000-0000A6020000}"/>
    <cellStyle name="Currency 2 4" xfId="862" xr:uid="{00000000-0005-0000-0000-0000A7020000}"/>
    <cellStyle name="Currency 2 4 2" xfId="1129" xr:uid="{00000000-0005-0000-0000-0000A8020000}"/>
    <cellStyle name="Currency 2 4 2 2" xfId="1481" xr:uid="{00000000-0005-0000-0000-0000A9020000}"/>
    <cellStyle name="Currency 2 4 3" xfId="1434" xr:uid="{00000000-0005-0000-0000-0000AA020000}"/>
    <cellStyle name="Currency 2 5" xfId="863" xr:uid="{00000000-0005-0000-0000-0000AB020000}"/>
    <cellStyle name="Currency 2 5 2" xfId="1130" xr:uid="{00000000-0005-0000-0000-0000AC020000}"/>
    <cellStyle name="Currency 2 5 2 2" xfId="1482" xr:uid="{00000000-0005-0000-0000-0000AD020000}"/>
    <cellStyle name="Currency 2 5 3" xfId="1435" xr:uid="{00000000-0005-0000-0000-0000AE020000}"/>
    <cellStyle name="Currency 2 6" xfId="624" xr:uid="{00000000-0005-0000-0000-0000AF020000}"/>
    <cellStyle name="Currency 2 7" xfId="965" xr:uid="{00000000-0005-0000-0000-0000B0020000}"/>
    <cellStyle name="Currency 20" xfId="1237" xr:uid="{00000000-0005-0000-0000-0000B1020000}"/>
    <cellStyle name="Currency 21" xfId="915" xr:uid="{00000000-0005-0000-0000-0000B2020000}"/>
    <cellStyle name="Currency 22" xfId="1144" xr:uid="{00000000-0005-0000-0000-0000B3020000}"/>
    <cellStyle name="Currency 23" xfId="1251" xr:uid="{00000000-0005-0000-0000-0000B4020000}"/>
    <cellStyle name="Currency 24" xfId="1109" xr:uid="{00000000-0005-0000-0000-0000B5020000}"/>
    <cellStyle name="Currency 25" xfId="968" xr:uid="{00000000-0005-0000-0000-0000B6020000}"/>
    <cellStyle name="Currency 3" xfId="815" xr:uid="{00000000-0005-0000-0000-0000B7020000}"/>
    <cellStyle name="Currency 3 2" xfId="1071" xr:uid="{00000000-0005-0000-0000-0000B8020000}"/>
    <cellStyle name="Currency 3 3" xfId="1068" xr:uid="{00000000-0005-0000-0000-0000B9020000}"/>
    <cellStyle name="Currency 3 4" xfId="1079" xr:uid="{00000000-0005-0000-0000-0000BA020000}"/>
    <cellStyle name="Currency 4" xfId="864" xr:uid="{00000000-0005-0000-0000-0000BB020000}"/>
    <cellStyle name="Currency 4 2" xfId="1131" xr:uid="{00000000-0005-0000-0000-0000BC020000}"/>
    <cellStyle name="Currency 4 2 2" xfId="1483" xr:uid="{00000000-0005-0000-0000-0000BD020000}"/>
    <cellStyle name="Currency 4 3" xfId="1156" xr:uid="{00000000-0005-0000-0000-0000BE020000}"/>
    <cellStyle name="Currency 4 4" xfId="1436" xr:uid="{00000000-0005-0000-0000-0000BF020000}"/>
    <cellStyle name="Currency 5" xfId="619" xr:uid="{00000000-0005-0000-0000-0000C0020000}"/>
    <cellStyle name="Currency 5 2" xfId="1141" xr:uid="{00000000-0005-0000-0000-0000C1020000}"/>
    <cellStyle name="Currency 6" xfId="894" xr:uid="{00000000-0005-0000-0000-0000C2020000}"/>
    <cellStyle name="Currency 6 2" xfId="1157" xr:uid="{00000000-0005-0000-0000-0000C3020000}"/>
    <cellStyle name="Currency 7" xfId="903" xr:uid="{00000000-0005-0000-0000-0000C4020000}"/>
    <cellStyle name="Currency 7 2" xfId="943" xr:uid="{00000000-0005-0000-0000-0000C5020000}"/>
    <cellStyle name="Currency 8" xfId="964" xr:uid="{00000000-0005-0000-0000-0000C6020000}"/>
    <cellStyle name="Currency 9" xfId="1035" xr:uid="{00000000-0005-0000-0000-0000C7020000}"/>
    <cellStyle name="Currency Dollar" xfId="89" xr:uid="{00000000-0005-0000-0000-0000C8020000}"/>
    <cellStyle name="Currency Dollar (2dp)" xfId="90" xr:uid="{00000000-0005-0000-0000-0000C9020000}"/>
    <cellStyle name="Currency Dollar (2dp) 2" xfId="1267" xr:uid="{00000000-0005-0000-0000-0000CA020000}"/>
    <cellStyle name="Currency Dollar 2" xfId="1266" xr:uid="{00000000-0005-0000-0000-0000CB020000}"/>
    <cellStyle name="Currency EUR" xfId="91" xr:uid="{00000000-0005-0000-0000-0000CC020000}"/>
    <cellStyle name="Currency EUR (2dp)" xfId="92" xr:uid="{00000000-0005-0000-0000-0000CD020000}"/>
    <cellStyle name="Currency EUR (2dp) 2" xfId="1269" xr:uid="{00000000-0005-0000-0000-0000CE020000}"/>
    <cellStyle name="Currency EUR 2" xfId="1268" xr:uid="{00000000-0005-0000-0000-0000CF020000}"/>
    <cellStyle name="Currency Euro" xfId="93" xr:uid="{00000000-0005-0000-0000-0000D0020000}"/>
    <cellStyle name="Currency Euro (2dp)" xfId="94" xr:uid="{00000000-0005-0000-0000-0000D1020000}"/>
    <cellStyle name="Currency Euro (2dp) 2" xfId="1271" xr:uid="{00000000-0005-0000-0000-0000D2020000}"/>
    <cellStyle name="Currency Euro 2" xfId="1270" xr:uid="{00000000-0005-0000-0000-0000D3020000}"/>
    <cellStyle name="Currency GBP" xfId="95" xr:uid="{00000000-0005-0000-0000-0000D4020000}"/>
    <cellStyle name="Currency GBP (2dp)" xfId="96" xr:uid="{00000000-0005-0000-0000-0000D5020000}"/>
    <cellStyle name="Currency GBP (2dp) 2" xfId="1273" xr:uid="{00000000-0005-0000-0000-0000D6020000}"/>
    <cellStyle name="Currency GBP 2" xfId="1272" xr:uid="{00000000-0005-0000-0000-0000D7020000}"/>
    <cellStyle name="Currency Pound" xfId="97" xr:uid="{00000000-0005-0000-0000-0000D8020000}"/>
    <cellStyle name="Currency Pound (2dp)" xfId="98" xr:uid="{00000000-0005-0000-0000-0000D9020000}"/>
    <cellStyle name="Currency Pound (2dp) 2" xfId="1275" xr:uid="{00000000-0005-0000-0000-0000DA020000}"/>
    <cellStyle name="Currency Pound 2" xfId="1274" xr:uid="{00000000-0005-0000-0000-0000DB020000}"/>
    <cellStyle name="Currency USD" xfId="99" xr:uid="{00000000-0005-0000-0000-0000DC020000}"/>
    <cellStyle name="Currency USD (2dp)" xfId="100" xr:uid="{00000000-0005-0000-0000-0000DD020000}"/>
    <cellStyle name="Currency USD (2dp) 2" xfId="1277" xr:uid="{00000000-0005-0000-0000-0000DE020000}"/>
    <cellStyle name="Currency USD 2" xfId="1276" xr:uid="{00000000-0005-0000-0000-0000DF020000}"/>
    <cellStyle name="Currency0" xfId="101" xr:uid="{00000000-0005-0000-0000-0000E0020000}"/>
    <cellStyle name="Currency0 2" xfId="1727" xr:uid="{00000000-0005-0000-0000-0000E1020000}"/>
    <cellStyle name="Currency0 2 2" xfId="1728" xr:uid="{00000000-0005-0000-0000-0000E2020000}"/>
    <cellStyle name="Dash" xfId="625" xr:uid="{00000000-0005-0000-0000-0000E3020000}"/>
    <cellStyle name="Data" xfId="1729" xr:uid="{00000000-0005-0000-0000-0000E4020000}"/>
    <cellStyle name="Date" xfId="102" xr:uid="{00000000-0005-0000-0000-0000E5020000}"/>
    <cellStyle name="Date (Month)" xfId="103" xr:uid="{00000000-0005-0000-0000-0000E6020000}"/>
    <cellStyle name="Date (Month) 2" xfId="1278" xr:uid="{00000000-0005-0000-0000-0000E7020000}"/>
    <cellStyle name="Date (Year)" xfId="104" xr:uid="{00000000-0005-0000-0000-0000E8020000}"/>
    <cellStyle name="Date (Year) 2" xfId="1279" xr:uid="{00000000-0005-0000-0000-0000E9020000}"/>
    <cellStyle name="Date [d-mmm-yy]" xfId="105" xr:uid="{00000000-0005-0000-0000-0000EA020000}"/>
    <cellStyle name="Date [mm-d-yy]" xfId="106" xr:uid="{00000000-0005-0000-0000-0000EB020000}"/>
    <cellStyle name="Date [mm-d-yy] 2" xfId="627" xr:uid="{00000000-0005-0000-0000-0000EC020000}"/>
    <cellStyle name="Date [mm-d-yyyy]" xfId="107" xr:uid="{00000000-0005-0000-0000-0000ED020000}"/>
    <cellStyle name="Date [mm-d-yyyy] 2" xfId="628" xr:uid="{00000000-0005-0000-0000-0000EE020000}"/>
    <cellStyle name="Date [mm-d-yyyy] 2 2" xfId="1730" xr:uid="{00000000-0005-0000-0000-0000EF020000}"/>
    <cellStyle name="Date [mmm-d-yyyy]" xfId="108" xr:uid="{00000000-0005-0000-0000-0000F0020000}"/>
    <cellStyle name="Date [mmm-d-yyyy] 2" xfId="629" xr:uid="{00000000-0005-0000-0000-0000F1020000}"/>
    <cellStyle name="Date [mmm-d-yyyy] 2 2" xfId="1731" xr:uid="{00000000-0005-0000-0000-0000F2020000}"/>
    <cellStyle name="Date [mmm-yy]" xfId="109" xr:uid="{00000000-0005-0000-0000-0000F3020000}"/>
    <cellStyle name="Date [mmm-yyyy]" xfId="110" xr:uid="{00000000-0005-0000-0000-0000F4020000}"/>
    <cellStyle name="Date [mmm-yyyy] 2" xfId="1732" xr:uid="{00000000-0005-0000-0000-0000F5020000}"/>
    <cellStyle name="Date [mmm-yyyy] 2 2" xfId="1733" xr:uid="{00000000-0005-0000-0000-0000F6020000}"/>
    <cellStyle name="Date 10" xfId="1059" xr:uid="{00000000-0005-0000-0000-0000F7020000}"/>
    <cellStyle name="Date 11" xfId="1088" xr:uid="{00000000-0005-0000-0000-0000F8020000}"/>
    <cellStyle name="Date 12" xfId="1100" xr:uid="{00000000-0005-0000-0000-0000F9020000}"/>
    <cellStyle name="Date 13" xfId="1112" xr:uid="{00000000-0005-0000-0000-0000FA020000}"/>
    <cellStyle name="Date 14" xfId="1119" xr:uid="{00000000-0005-0000-0000-0000FB020000}"/>
    <cellStyle name="Date 15" xfId="966" xr:uid="{00000000-0005-0000-0000-0000FC020000}"/>
    <cellStyle name="Date 16" xfId="1019" xr:uid="{00000000-0005-0000-0000-0000FD020000}"/>
    <cellStyle name="Date 17" xfId="916" xr:uid="{00000000-0005-0000-0000-0000FE020000}"/>
    <cellStyle name="Date 18" xfId="1143" xr:uid="{00000000-0005-0000-0000-0000FF020000}"/>
    <cellStyle name="Date 19" xfId="1253" xr:uid="{00000000-0005-0000-0000-000000030000}"/>
    <cellStyle name="Date 2" xfId="626" xr:uid="{00000000-0005-0000-0000-000001030000}"/>
    <cellStyle name="Date 20" xfId="960" xr:uid="{00000000-0005-0000-0000-000002030000}"/>
    <cellStyle name="Date 21" xfId="1107" xr:uid="{00000000-0005-0000-0000-000003030000}"/>
    <cellStyle name="Date 3" xfId="895" xr:uid="{00000000-0005-0000-0000-000004030000}"/>
    <cellStyle name="Date 4" xfId="902" xr:uid="{00000000-0005-0000-0000-000005030000}"/>
    <cellStyle name="Date 5" xfId="967" xr:uid="{00000000-0005-0000-0000-000006030000}"/>
    <cellStyle name="Date 6" xfId="1029" xr:uid="{00000000-0005-0000-0000-000007030000}"/>
    <cellStyle name="Date 7" xfId="1099" xr:uid="{00000000-0005-0000-0000-000008030000}"/>
    <cellStyle name="Date 8" xfId="1063" xr:uid="{00000000-0005-0000-0000-000009030000}"/>
    <cellStyle name="Date 9" xfId="1094" xr:uid="{00000000-0005-0000-0000-00000A030000}"/>
    <cellStyle name="Date Aligned" xfId="111" xr:uid="{00000000-0005-0000-0000-00000B030000}"/>
    <cellStyle name="Date Aligned 2" xfId="630" xr:uid="{00000000-0005-0000-0000-00000C030000}"/>
    <cellStyle name="Date_AMT Model New 11-16-2011" xfId="970" xr:uid="{00000000-0005-0000-0000-00000D030000}"/>
    <cellStyle name="Date2" xfId="112" xr:uid="{00000000-0005-0000-0000-00000E030000}"/>
    <cellStyle name="Date2 2" xfId="631" xr:uid="{00000000-0005-0000-0000-00000F030000}"/>
    <cellStyle name="Date2 2 2" xfId="1734" xr:uid="{00000000-0005-0000-0000-000010030000}"/>
    <cellStyle name="Dates" xfId="113" xr:uid="{00000000-0005-0000-0000-000011030000}"/>
    <cellStyle name="Dates 2" xfId="1735" xr:uid="{00000000-0005-0000-0000-000012030000}"/>
    <cellStyle name="Dates 2 2" xfId="1736" xr:uid="{00000000-0005-0000-0000-000013030000}"/>
    <cellStyle name="DateYear" xfId="114" xr:uid="{00000000-0005-0000-0000-000014030000}"/>
    <cellStyle name="DateYear 2" xfId="1737" xr:uid="{00000000-0005-0000-0000-000015030000}"/>
    <cellStyle name="DateYear 2 2" xfId="1738" xr:uid="{00000000-0005-0000-0000-000016030000}"/>
    <cellStyle name="Dec_0" xfId="632" xr:uid="{00000000-0005-0000-0000-000017030000}"/>
    <cellStyle name="Definition" xfId="1739" xr:uid="{00000000-0005-0000-0000-000018030000}"/>
    <cellStyle name="Déprotégée" xfId="115" xr:uid="{00000000-0005-0000-0000-000019030000}"/>
    <cellStyle name="Déprotégée 2" xfId="1740" xr:uid="{00000000-0005-0000-0000-00001A030000}"/>
    <cellStyle name="Déprotégée 3" xfId="1741" xr:uid="{00000000-0005-0000-0000-00001B030000}"/>
    <cellStyle name="Déprotégée 3 2" xfId="1742" xr:uid="{00000000-0005-0000-0000-00001C030000}"/>
    <cellStyle name="Devise" xfId="116" xr:uid="{00000000-0005-0000-0000-00001D030000}"/>
    <cellStyle name="Devise 2" xfId="1743" xr:uid="{00000000-0005-0000-0000-00001E030000}"/>
    <cellStyle name="Devise 3" xfId="1744" xr:uid="{00000000-0005-0000-0000-00001F030000}"/>
    <cellStyle name="Devise 3 2" xfId="1745" xr:uid="{00000000-0005-0000-0000-000020030000}"/>
    <cellStyle name="Dezimal (0.0)" xfId="117" xr:uid="{00000000-0005-0000-0000-000021030000}"/>
    <cellStyle name="Dezimal (0.0) 2" xfId="1746" xr:uid="{00000000-0005-0000-0000-000022030000}"/>
    <cellStyle name="Dezimal (0.0) 3" xfId="1747" xr:uid="{00000000-0005-0000-0000-000023030000}"/>
    <cellStyle name="Dezimal (0.0) 3 2" xfId="1748" xr:uid="{00000000-0005-0000-0000-000024030000}"/>
    <cellStyle name="Dezimal (0.0) 4" xfId="1749" xr:uid="{00000000-0005-0000-0000-000025030000}"/>
    <cellStyle name="Dezimal (0.0) 5" xfId="1750" xr:uid="{00000000-0005-0000-0000-000026030000}"/>
    <cellStyle name="Dia" xfId="1751" xr:uid="{00000000-0005-0000-0000-000027030000}"/>
    <cellStyle name="Diseño" xfId="1752" xr:uid="{00000000-0005-0000-0000-000028030000}"/>
    <cellStyle name="DOH" xfId="633" xr:uid="{00000000-0005-0000-0000-000029030000}"/>
    <cellStyle name="Dollar" xfId="118" xr:uid="{00000000-0005-0000-0000-00002A030000}"/>
    <cellStyle name="Dollar 2" xfId="1753" xr:uid="{00000000-0005-0000-0000-00002B030000}"/>
    <cellStyle name="Dollar 2 2" xfId="1754" xr:uid="{00000000-0005-0000-0000-00002C030000}"/>
    <cellStyle name="dollars" xfId="119" xr:uid="{00000000-0005-0000-0000-00002D030000}"/>
    <cellStyle name="dollars 2" xfId="634" xr:uid="{00000000-0005-0000-0000-00002E030000}"/>
    <cellStyle name="DollarWhole" xfId="120" xr:uid="{00000000-0005-0000-0000-00002F030000}"/>
    <cellStyle name="DollarWhole 2" xfId="1755" xr:uid="{00000000-0005-0000-0000-000030030000}"/>
    <cellStyle name="DollarWhole 2 2" xfId="1756" xr:uid="{00000000-0005-0000-0000-000031030000}"/>
    <cellStyle name="Dotted Line" xfId="121" xr:uid="{00000000-0005-0000-0000-000032030000}"/>
    <cellStyle name="Dotted Line 2" xfId="635" xr:uid="{00000000-0005-0000-0000-000033030000}"/>
    <cellStyle name="Double Accounting" xfId="122" xr:uid="{00000000-0005-0000-0000-000034030000}"/>
    <cellStyle name="Download" xfId="636" xr:uid="{00000000-0005-0000-0000-000035030000}"/>
    <cellStyle name="Download 2" xfId="1414" xr:uid="{00000000-0005-0000-0000-000036030000}"/>
    <cellStyle name="Driver" xfId="123" xr:uid="{00000000-0005-0000-0000-000037030000}"/>
    <cellStyle name="Driver 10" xfId="638" xr:uid="{00000000-0005-0000-0000-000038030000}"/>
    <cellStyle name="Driver 11" xfId="639" xr:uid="{00000000-0005-0000-0000-000039030000}"/>
    <cellStyle name="Driver 12" xfId="640" xr:uid="{00000000-0005-0000-0000-00003A030000}"/>
    <cellStyle name="Driver 13" xfId="641" xr:uid="{00000000-0005-0000-0000-00003B030000}"/>
    <cellStyle name="Driver 14" xfId="642" xr:uid="{00000000-0005-0000-0000-00003C030000}"/>
    <cellStyle name="Driver 15" xfId="643" xr:uid="{00000000-0005-0000-0000-00003D030000}"/>
    <cellStyle name="Driver 16" xfId="644" xr:uid="{00000000-0005-0000-0000-00003E030000}"/>
    <cellStyle name="Driver 17" xfId="645" xr:uid="{00000000-0005-0000-0000-00003F030000}"/>
    <cellStyle name="Driver 18" xfId="646" xr:uid="{00000000-0005-0000-0000-000040030000}"/>
    <cellStyle name="Driver 19" xfId="647" xr:uid="{00000000-0005-0000-0000-000041030000}"/>
    <cellStyle name="Driver 2" xfId="648" xr:uid="{00000000-0005-0000-0000-000042030000}"/>
    <cellStyle name="Driver 20" xfId="649" xr:uid="{00000000-0005-0000-0000-000043030000}"/>
    <cellStyle name="Driver 21" xfId="650" xr:uid="{00000000-0005-0000-0000-000044030000}"/>
    <cellStyle name="Driver 22" xfId="637" xr:uid="{00000000-0005-0000-0000-000045030000}"/>
    <cellStyle name="Driver 23" xfId="973" xr:uid="{00000000-0005-0000-0000-000046030000}"/>
    <cellStyle name="Driver 3" xfId="651" xr:uid="{00000000-0005-0000-0000-000047030000}"/>
    <cellStyle name="Driver 4" xfId="652" xr:uid="{00000000-0005-0000-0000-000048030000}"/>
    <cellStyle name="Driver 5" xfId="653" xr:uid="{00000000-0005-0000-0000-000049030000}"/>
    <cellStyle name="Driver 6" xfId="654" xr:uid="{00000000-0005-0000-0000-00004A030000}"/>
    <cellStyle name="Driver 7" xfId="655" xr:uid="{00000000-0005-0000-0000-00004B030000}"/>
    <cellStyle name="Driver 8" xfId="656" xr:uid="{00000000-0005-0000-0000-00004C030000}"/>
    <cellStyle name="Driver 9" xfId="657" xr:uid="{00000000-0005-0000-0000-00004D030000}"/>
    <cellStyle name="Driver Lable" xfId="124" xr:uid="{00000000-0005-0000-0000-00004E030000}"/>
    <cellStyle name="Driver_AMT Model New 11-16-2011" xfId="989" xr:uid="{00000000-0005-0000-0000-00004F030000}"/>
    <cellStyle name="drivers" xfId="125" xr:uid="{00000000-0005-0000-0000-000050030000}"/>
    <cellStyle name="Encabez1" xfId="1757" xr:uid="{00000000-0005-0000-0000-000051030000}"/>
    <cellStyle name="Encabez2" xfId="1758" xr:uid="{00000000-0005-0000-0000-000052030000}"/>
    <cellStyle name="Entités" xfId="126" xr:uid="{00000000-0005-0000-0000-000053030000}"/>
    <cellStyle name="Entités 2" xfId="1759" xr:uid="{00000000-0005-0000-0000-000054030000}"/>
    <cellStyle name="Entités 3" xfId="1760" xr:uid="{00000000-0005-0000-0000-000055030000}"/>
    <cellStyle name="Entités 3 2" xfId="1761" xr:uid="{00000000-0005-0000-0000-000056030000}"/>
    <cellStyle name="Entries" xfId="658" xr:uid="{00000000-0005-0000-0000-000057030000}"/>
    <cellStyle name="Entry" xfId="659" xr:uid="{00000000-0005-0000-0000-000058030000}"/>
    <cellStyle name="Entry 2" xfId="1150" xr:uid="{00000000-0005-0000-0000-000059030000}"/>
    <cellStyle name="EPS" xfId="127" xr:uid="{00000000-0005-0000-0000-00005A030000}"/>
    <cellStyle name="EPS 2" xfId="1762" xr:uid="{00000000-0005-0000-0000-00005B030000}"/>
    <cellStyle name="EPS 2 2" xfId="1763" xr:uid="{00000000-0005-0000-0000-00005C030000}"/>
    <cellStyle name="EPSActual" xfId="128" xr:uid="{00000000-0005-0000-0000-00005D030000}"/>
    <cellStyle name="EPSActual 2" xfId="1764" xr:uid="{00000000-0005-0000-0000-00005E030000}"/>
    <cellStyle name="EPSEstimate" xfId="129" xr:uid="{00000000-0005-0000-0000-00005F030000}"/>
    <cellStyle name="EPSEstimate 2" xfId="1765" xr:uid="{00000000-0005-0000-0000-000060030000}"/>
    <cellStyle name="Est - $" xfId="130" xr:uid="{00000000-0005-0000-0000-000061030000}"/>
    <cellStyle name="Est - $ 2" xfId="1766" xr:uid="{00000000-0005-0000-0000-000062030000}"/>
    <cellStyle name="Est - $ 2 2" xfId="1767" xr:uid="{00000000-0005-0000-0000-000063030000}"/>
    <cellStyle name="Est - $ 3" xfId="1768" xr:uid="{00000000-0005-0000-0000-000064030000}"/>
    <cellStyle name="Est - $ 4" xfId="1769" xr:uid="{00000000-0005-0000-0000-000065030000}"/>
    <cellStyle name="Est - %" xfId="131" xr:uid="{00000000-0005-0000-0000-000066030000}"/>
    <cellStyle name="Est - % 2" xfId="1770" xr:uid="{00000000-0005-0000-0000-000067030000}"/>
    <cellStyle name="Est - % 2 2" xfId="1771" xr:uid="{00000000-0005-0000-0000-000068030000}"/>
    <cellStyle name="Est - % 3" xfId="1772" xr:uid="{00000000-0005-0000-0000-000069030000}"/>
    <cellStyle name="Est - % 4" xfId="1773" xr:uid="{00000000-0005-0000-0000-00006A030000}"/>
    <cellStyle name="Est 0,000.0" xfId="132" xr:uid="{00000000-0005-0000-0000-00006B030000}"/>
    <cellStyle name="Est 0,000.0 2" xfId="1774" xr:uid="{00000000-0005-0000-0000-00006C030000}"/>
    <cellStyle name="Est 0,000.0 2 2" xfId="1775" xr:uid="{00000000-0005-0000-0000-00006D030000}"/>
    <cellStyle name="Est 0,000.0 3" xfId="1776" xr:uid="{00000000-0005-0000-0000-00006E030000}"/>
    <cellStyle name="Est 0,000.0 4" xfId="1777" xr:uid="{00000000-0005-0000-0000-00006F030000}"/>
    <cellStyle name="estimate" xfId="1778" xr:uid="{00000000-0005-0000-0000-000070030000}"/>
    <cellStyle name="Euro" xfId="133" xr:uid="{00000000-0005-0000-0000-000071030000}"/>
    <cellStyle name="Euro 2" xfId="660" xr:uid="{00000000-0005-0000-0000-000072030000}"/>
    <cellStyle name="Euro 2 2" xfId="1779" xr:uid="{00000000-0005-0000-0000-000073030000}"/>
    <cellStyle name="Euro 3" xfId="1780" xr:uid="{00000000-0005-0000-0000-000074030000}"/>
    <cellStyle name="ExchRate" xfId="661" xr:uid="{00000000-0005-0000-0000-000075030000}"/>
    <cellStyle name="ExchRate 2" xfId="1151" xr:uid="{00000000-0005-0000-0000-000076030000}"/>
    <cellStyle name="Explanatory Text 2" xfId="865" xr:uid="{00000000-0005-0000-0000-000077030000}"/>
    <cellStyle name="Explanatory Text 3" xfId="992" xr:uid="{00000000-0005-0000-0000-000078030000}"/>
    <cellStyle name="Explanatory Text 4" xfId="1781" xr:uid="{00000000-0005-0000-0000-000079030000}"/>
    <cellStyle name="f" xfId="1782" xr:uid="{00000000-0005-0000-0000-00007A030000}"/>
    <cellStyle name="f_BASE VIVO 311203 - Val II" xfId="1783" xr:uid="{00000000-0005-0000-0000-00007B030000}"/>
    <cellStyle name="f_Brasilcel mar05 FINAL v0904" xfId="1784" xr:uid="{00000000-0005-0000-0000-00007C030000}"/>
    <cellStyle name="f_Concessão Licença" xfId="1785" xr:uid="{00000000-0005-0000-0000-00007D030000}"/>
    <cellStyle name="f_leasing TCO dez.03 a set.04 V.T-gestiona FEV.05 (ESTIMATIVA)" xfId="1786" xr:uid="{00000000-0005-0000-0000-00007E030000}"/>
    <cellStyle name="f_Minoritários 0604 da v. ALEJANDRO final II" xfId="1787" xr:uid="{00000000-0005-0000-0000-00007F030000}"/>
    <cellStyle name="f_Minoritários 0604 da v. ALEJANDRO final III" xfId="1788" xr:uid="{00000000-0005-0000-0000-000080030000}"/>
    <cellStyle name="f_Minoritários Brasilcel mar 05" xfId="1789" xr:uid="{00000000-0005-0000-0000-000081030000}"/>
    <cellStyle name="f_Mod.proposto Espanha Brasilcel dez.03 IV" xfId="1790" xr:uid="{00000000-0005-0000-0000-000082030000}"/>
    <cellStyle name="f_Planilha TCP Holding IAS set.04 - após revisão espanha" xfId="1791" xr:uid="{00000000-0005-0000-0000-000083030000}"/>
    <cellStyle name="f_Planilha TCP Holding IAS set.04 - após revisão espanha I" xfId="1792" xr:uid="{00000000-0005-0000-0000-000084030000}"/>
    <cellStyle name="f_Recon. GT  set.04 após revisão Espanha" xfId="1793" xr:uid="{00000000-0005-0000-0000-000085030000}"/>
    <cellStyle name="f_Recon. GT  set.04 após revisão Espanha I" xfId="1794" xr:uid="{00000000-0005-0000-0000-000086030000}"/>
    <cellStyle name="f_Recon. set.04 TCO após revisão Spanish I" xfId="1795" xr:uid="{00000000-0005-0000-0000-000087030000}"/>
    <cellStyle name="f_Template IAS TCP - março.04 após rev.Esp." xfId="1796" xr:uid="{00000000-0005-0000-0000-000088030000}"/>
    <cellStyle name="f_Template IAS TCP - março.04 após rev.Esp.1" xfId="1797" xr:uid="{00000000-0005-0000-0000-000089030000}"/>
    <cellStyle name="f_Template IAS TCP Consol. set.04" xfId="1798" xr:uid="{00000000-0005-0000-0000-00008A030000}"/>
    <cellStyle name="f_Template IAS TCP Consol. set.04 após rev.Esp." xfId="1799" xr:uid="{00000000-0005-0000-0000-00008B030000}"/>
    <cellStyle name="f_Template IAS TCP Consol. set.041" xfId="1800" xr:uid="{00000000-0005-0000-0000-00008C030000}"/>
    <cellStyle name="f_Template IAS TCP Consol. set.042" xfId="1801" xr:uid="{00000000-0005-0000-0000-00008D030000}"/>
    <cellStyle name="f_Template TC set.04 após revisão espanha" xfId="1802" xr:uid="{00000000-0005-0000-0000-00008E030000}"/>
    <cellStyle name="f_Template TC set.04 após revisão espanha I" xfId="1803" xr:uid="{00000000-0005-0000-0000-00008F030000}"/>
    <cellStyle name="f_Template TCP MAR 05" xfId="1804" xr:uid="{00000000-0005-0000-0000-000090030000}"/>
    <cellStyle name="f_Templates IAS TCP - junho.04 c. e_sif" xfId="1805" xr:uid="{00000000-0005-0000-0000-000091030000}"/>
    <cellStyle name="f_Templates IAS TCP - junho.04 c. e_sif reclassif. 14.09" xfId="1806" xr:uid="{00000000-0005-0000-0000-000092030000}"/>
    <cellStyle name="f_Templates IAS TCP jun.04 Consol.após rev.espanha" xfId="1807" xr:uid="{00000000-0005-0000-0000-000093030000}"/>
    <cellStyle name="f_Templates IAS TCP jun.04 Consol.após rev.espanha1" xfId="1808" xr:uid="{00000000-0005-0000-0000-000094030000}"/>
    <cellStyle name="f_Worksheet in (C)   IAS Dezembro_03" xfId="1809" xr:uid="{00000000-0005-0000-0000-000095030000}"/>
    <cellStyle name="f_Worksheet in (C) 2241 IAS Dezembro_03" xfId="1810" xr:uid="{00000000-0005-0000-0000-000096030000}"/>
    <cellStyle name="f_Worksheet in (C) 2441-1 Resumo Ajustes" xfId="1811" xr:uid="{00000000-0005-0000-0000-000097030000}"/>
    <cellStyle name="f_Worksheet in 2241 IAS Dezembro_03" xfId="1812" xr:uid="{00000000-0005-0000-0000-000098030000}"/>
    <cellStyle name="f_Worksheet in 2242 IAS JUNHO 2004" xfId="1813" xr:uid="{00000000-0005-0000-0000-000099030000}"/>
    <cellStyle name="F2" xfId="1814" xr:uid="{00000000-0005-0000-0000-00009A030000}"/>
    <cellStyle name="F3" xfId="1815" xr:uid="{00000000-0005-0000-0000-00009B030000}"/>
    <cellStyle name="F4" xfId="1816" xr:uid="{00000000-0005-0000-0000-00009C030000}"/>
    <cellStyle name="F5" xfId="1817" xr:uid="{00000000-0005-0000-0000-00009D030000}"/>
    <cellStyle name="F6" xfId="1818" xr:uid="{00000000-0005-0000-0000-00009E030000}"/>
    <cellStyle name="F7" xfId="1819" xr:uid="{00000000-0005-0000-0000-00009F030000}"/>
    <cellStyle name="F8" xfId="1820" xr:uid="{00000000-0005-0000-0000-0000A0030000}"/>
    <cellStyle name="fact_Feuil1 (8)" xfId="134" xr:uid="{00000000-0005-0000-0000-0000A1030000}"/>
    <cellStyle name="Fail" xfId="135" xr:uid="{00000000-0005-0000-0000-0000A2030000}"/>
    <cellStyle name="Fail 2" xfId="1821" xr:uid="{00000000-0005-0000-0000-0000A3030000}"/>
    <cellStyle name="Fail 3" xfId="1822" xr:uid="{00000000-0005-0000-0000-0000A4030000}"/>
    <cellStyle name="Fail 3 2" xfId="1823" xr:uid="{00000000-0005-0000-0000-0000A5030000}"/>
    <cellStyle name="FAS Number" xfId="662" xr:uid="{00000000-0005-0000-0000-0000A6030000}"/>
    <cellStyle name="FAS Number 2" xfId="1152" xr:uid="{00000000-0005-0000-0000-0000A7030000}"/>
    <cellStyle name="FF_EURO" xfId="136" xr:uid="{00000000-0005-0000-0000-0000A8030000}"/>
    <cellStyle name="Fijo" xfId="1824" xr:uid="{00000000-0005-0000-0000-0000A9030000}"/>
    <cellStyle name="Financial" xfId="663" xr:uid="{00000000-0005-0000-0000-0000AA030000}"/>
    <cellStyle name="Financial 2" xfId="1153" xr:uid="{00000000-0005-0000-0000-0000AB030000}"/>
    <cellStyle name="Financiero" xfId="1825" xr:uid="{00000000-0005-0000-0000-0000AC030000}"/>
    <cellStyle name="FiscalPeriod" xfId="137" xr:uid="{00000000-0005-0000-0000-0000AD030000}"/>
    <cellStyle name="FiscalPeriod 2" xfId="1826" xr:uid="{00000000-0005-0000-0000-0000AE030000}"/>
    <cellStyle name="FiscalPeriod 3" xfId="1827" xr:uid="{00000000-0005-0000-0000-0000AF030000}"/>
    <cellStyle name="FiscalPeriod 3 2" xfId="1828" xr:uid="{00000000-0005-0000-0000-0000B0030000}"/>
    <cellStyle name="Fixed" xfId="138" xr:uid="{00000000-0005-0000-0000-0000B1030000}"/>
    <cellStyle name="Fixed [0]" xfId="139" xr:uid="{00000000-0005-0000-0000-0000B2030000}"/>
    <cellStyle name="Fixed [0] 2" xfId="664" xr:uid="{00000000-0005-0000-0000-0000B3030000}"/>
    <cellStyle name="Fixed [0] 2 2" xfId="1829" xr:uid="{00000000-0005-0000-0000-0000B4030000}"/>
    <cellStyle name="Fixed 2" xfId="1830" xr:uid="{00000000-0005-0000-0000-0000B5030000}"/>
    <cellStyle name="Fixed 2 2" xfId="1831" xr:uid="{00000000-0005-0000-0000-0000B6030000}"/>
    <cellStyle name="Fixed 3" xfId="1832" xr:uid="{00000000-0005-0000-0000-0000B7030000}"/>
    <cellStyle name="Fixed 3 2" xfId="1833" xr:uid="{00000000-0005-0000-0000-0000B8030000}"/>
    <cellStyle name="Fixo" xfId="1834" xr:uid="{00000000-0005-0000-0000-0000B9030000}"/>
    <cellStyle name="fo]_x000d__x000a_UserName=Murat Zelef_x000d__x000a_UserCompany=Bumerang_x000d__x000a__x000d__x000a_[File Paths]_x000d__x000a_WorkingDirectory=C:\EQUIS\DLWIN_x000d__x000a_DownLoader=C" xfId="140" xr:uid="{00000000-0005-0000-0000-0000BA030000}"/>
    <cellStyle name="Följde hyperlänken" xfId="141" xr:uid="{00000000-0005-0000-0000-0000BB030000}"/>
    <cellStyle name="Följde hyperlänken 2" xfId="1835" xr:uid="{00000000-0005-0000-0000-0000BC030000}"/>
    <cellStyle name="Följde hyperlänken 2 2" xfId="1836" xr:uid="{00000000-0005-0000-0000-0000BD030000}"/>
    <cellStyle name="Footer SBILogo1" xfId="142" xr:uid="{00000000-0005-0000-0000-0000BE030000}"/>
    <cellStyle name="Footer SBILogo1 2" xfId="1837" xr:uid="{00000000-0005-0000-0000-0000BF030000}"/>
    <cellStyle name="Footer SBILogo1 2 2" xfId="1838" xr:uid="{00000000-0005-0000-0000-0000C0030000}"/>
    <cellStyle name="Footer SBILogo2" xfId="143" xr:uid="{00000000-0005-0000-0000-0000C1030000}"/>
    <cellStyle name="Footer SBILogo2 2" xfId="1839" xr:uid="{00000000-0005-0000-0000-0000C2030000}"/>
    <cellStyle name="Footer SBILogo2 2 2" xfId="1840" xr:uid="{00000000-0005-0000-0000-0000C3030000}"/>
    <cellStyle name="Footnote" xfId="144" xr:uid="{00000000-0005-0000-0000-0000C4030000}"/>
    <cellStyle name="Footnote 2" xfId="665" xr:uid="{00000000-0005-0000-0000-0000C5030000}"/>
    <cellStyle name="Footnote 3" xfId="1841" xr:uid="{00000000-0005-0000-0000-0000C6030000}"/>
    <cellStyle name="Footnote 3 2" xfId="1842" xr:uid="{00000000-0005-0000-0000-0000C7030000}"/>
    <cellStyle name="Footnote 4" xfId="1843" xr:uid="{00000000-0005-0000-0000-0000C8030000}"/>
    <cellStyle name="Footnote Reference" xfId="145" xr:uid="{00000000-0005-0000-0000-0000C9030000}"/>
    <cellStyle name="Footnote Reference 2" xfId="1844" xr:uid="{00000000-0005-0000-0000-0000CA030000}"/>
    <cellStyle name="Footnote Reference 2 2" xfId="1845" xr:uid="{00000000-0005-0000-0000-0000CB030000}"/>
    <cellStyle name="Footnote_Innsamling" xfId="146" xr:uid="{00000000-0005-0000-0000-0000CC030000}"/>
    <cellStyle name="Forecast" xfId="666" xr:uid="{00000000-0005-0000-0000-0000CD030000}"/>
    <cellStyle name="ForecastData" xfId="667" xr:uid="{00000000-0005-0000-0000-0000CE030000}"/>
    <cellStyle name="fourdecplace" xfId="668" xr:uid="{00000000-0005-0000-0000-0000CF030000}"/>
    <cellStyle name="front page small" xfId="147" xr:uid="{00000000-0005-0000-0000-0000D0030000}"/>
    <cellStyle name="General" xfId="148" xr:uid="{00000000-0005-0000-0000-0000D1030000}"/>
    <cellStyle name="General 2" xfId="669" xr:uid="{00000000-0005-0000-0000-0000D2030000}"/>
    <cellStyle name="General 2 2" xfId="1846" xr:uid="{00000000-0005-0000-0000-0000D3030000}"/>
    <cellStyle name="Good 2" xfId="866" xr:uid="{00000000-0005-0000-0000-0000D4030000}"/>
    <cellStyle name="Good 3" xfId="997" xr:uid="{00000000-0005-0000-0000-0000D5030000}"/>
    <cellStyle name="Good 4" xfId="1847" xr:uid="{00000000-0005-0000-0000-0000D6030000}"/>
    <cellStyle name="Green" xfId="670" xr:uid="{00000000-0005-0000-0000-0000D7030000}"/>
    <cellStyle name="Grey" xfId="149" xr:uid="{00000000-0005-0000-0000-0000D8030000}"/>
    <cellStyle name="Grey 2" xfId="999" xr:uid="{00000000-0005-0000-0000-0000D9030000}"/>
    <cellStyle name="Grey 3" xfId="1848" xr:uid="{00000000-0005-0000-0000-0000DA030000}"/>
    <cellStyle name="GrowthRate" xfId="150" xr:uid="{00000000-0005-0000-0000-0000DB030000}"/>
    <cellStyle name="GrowthRate 2" xfId="671" xr:uid="{00000000-0005-0000-0000-0000DC030000}"/>
    <cellStyle name="GrowthRate 2 2" xfId="1849" xr:uid="{00000000-0005-0000-0000-0000DD030000}"/>
    <cellStyle name="GrowthSeq" xfId="151" xr:uid="{00000000-0005-0000-0000-0000DE030000}"/>
    <cellStyle name="GrowthSeq 2" xfId="1850" xr:uid="{00000000-0005-0000-0000-0000DF030000}"/>
    <cellStyle name="GrowthSeq 2 2" xfId="1851" xr:uid="{00000000-0005-0000-0000-0000E0030000}"/>
    <cellStyle name="GWN Table Body" xfId="152" xr:uid="{00000000-0005-0000-0000-0000E1030000}"/>
    <cellStyle name="GWN Table Header" xfId="153" xr:uid="{00000000-0005-0000-0000-0000E2030000}"/>
    <cellStyle name="GWN Table Left Header" xfId="154" xr:uid="{00000000-0005-0000-0000-0000E3030000}"/>
    <cellStyle name="GWN Table Note" xfId="155" xr:uid="{00000000-0005-0000-0000-0000E4030000}"/>
    <cellStyle name="GWN Table Title" xfId="156" xr:uid="{00000000-0005-0000-0000-0000E5030000}"/>
    <cellStyle name="H0" xfId="157" xr:uid="{00000000-0005-0000-0000-0000E6030000}"/>
    <cellStyle name="H1" xfId="158" xr:uid="{00000000-0005-0000-0000-0000E7030000}"/>
    <cellStyle name="H2" xfId="159" xr:uid="{00000000-0005-0000-0000-0000E8030000}"/>
    <cellStyle name="H3" xfId="160" xr:uid="{00000000-0005-0000-0000-0000E9030000}"/>
    <cellStyle name="H4" xfId="161" xr:uid="{00000000-0005-0000-0000-0000EA030000}"/>
    <cellStyle name="haeding 2" xfId="162" xr:uid="{00000000-0005-0000-0000-0000EB030000}"/>
    <cellStyle name="haeding 2 2" xfId="1852" xr:uid="{00000000-0005-0000-0000-0000EC030000}"/>
    <cellStyle name="haeding 2 2 2" xfId="1853" xr:uid="{00000000-0005-0000-0000-0000ED030000}"/>
    <cellStyle name="haeding 2 3" xfId="1854" xr:uid="{00000000-0005-0000-0000-0000EE030000}"/>
    <cellStyle name="Hard" xfId="163" xr:uid="{00000000-0005-0000-0000-0000EF030000}"/>
    <cellStyle name="Hard input" xfId="164" xr:uid="{00000000-0005-0000-0000-0000F0030000}"/>
    <cellStyle name="hard no." xfId="165" xr:uid="{00000000-0005-0000-0000-0000F1030000}"/>
    <cellStyle name="Hard Percent" xfId="166" xr:uid="{00000000-0005-0000-0000-0000F2030000}"/>
    <cellStyle name="Hard Percent 2" xfId="672" xr:uid="{00000000-0005-0000-0000-0000F3030000}"/>
    <cellStyle name="head1" xfId="673" xr:uid="{00000000-0005-0000-0000-0000F4030000}"/>
    <cellStyle name="head2" xfId="167" xr:uid="{00000000-0005-0000-0000-0000F5030000}"/>
    <cellStyle name="head2 2" xfId="674" xr:uid="{00000000-0005-0000-0000-0000F6030000}"/>
    <cellStyle name="head2 2 2" xfId="1855" xr:uid="{00000000-0005-0000-0000-0000F7030000}"/>
    <cellStyle name="Header" xfId="168" xr:uid="{00000000-0005-0000-0000-0000F8030000}"/>
    <cellStyle name="Header 2" xfId="675" xr:uid="{00000000-0005-0000-0000-0000F9030000}"/>
    <cellStyle name="Header 3" xfId="1856" xr:uid="{00000000-0005-0000-0000-0000FA030000}"/>
    <cellStyle name="Header 3 2" xfId="1857" xr:uid="{00000000-0005-0000-0000-0000FB030000}"/>
    <cellStyle name="Header 4" xfId="1858" xr:uid="{00000000-0005-0000-0000-0000FC030000}"/>
    <cellStyle name="Header Draft Stamp" xfId="169" xr:uid="{00000000-0005-0000-0000-0000FD030000}"/>
    <cellStyle name="Header Draft Stamp 2" xfId="1859" xr:uid="{00000000-0005-0000-0000-0000FE030000}"/>
    <cellStyle name="Header Draft Stamp 2 2" xfId="1860" xr:uid="{00000000-0005-0000-0000-0000FF030000}"/>
    <cellStyle name="Header_Innsamling" xfId="170" xr:uid="{00000000-0005-0000-0000-000000040000}"/>
    <cellStyle name="Header1" xfId="676" xr:uid="{00000000-0005-0000-0000-000001040000}"/>
    <cellStyle name="Header2" xfId="677" xr:uid="{00000000-0005-0000-0000-000002040000}"/>
    <cellStyle name="Heading" xfId="171" xr:uid="{00000000-0005-0000-0000-000003040000}"/>
    <cellStyle name="heading 1 10" xfId="1015" xr:uid="{00000000-0005-0000-0000-000004040000}"/>
    <cellStyle name="Heading 1 2" xfId="867" xr:uid="{00000000-0005-0000-0000-000005040000}"/>
    <cellStyle name="heading 1 3" xfId="1005" xr:uid="{00000000-0005-0000-0000-000006040000}"/>
    <cellStyle name="heading 1 4" xfId="985" xr:uid="{00000000-0005-0000-0000-000007040000}"/>
    <cellStyle name="heading 1 5" xfId="982" xr:uid="{00000000-0005-0000-0000-000008040000}"/>
    <cellStyle name="heading 1 6" xfId="987" xr:uid="{00000000-0005-0000-0000-000009040000}"/>
    <cellStyle name="heading 1 7" xfId="980" xr:uid="{00000000-0005-0000-0000-00000A040000}"/>
    <cellStyle name="heading 1 8" xfId="990" xr:uid="{00000000-0005-0000-0000-00000B040000}"/>
    <cellStyle name="heading 1 9" xfId="978" xr:uid="{00000000-0005-0000-0000-00000C040000}"/>
    <cellStyle name="Heading 1 Above" xfId="172" xr:uid="{00000000-0005-0000-0000-00000D040000}"/>
    <cellStyle name="Heading 1 Above 2" xfId="1861" xr:uid="{00000000-0005-0000-0000-00000E040000}"/>
    <cellStyle name="Heading 1 Above 2 2" xfId="1862" xr:uid="{00000000-0005-0000-0000-00000F040000}"/>
    <cellStyle name="Heading 1+" xfId="173" xr:uid="{00000000-0005-0000-0000-000010040000}"/>
    <cellStyle name="Heading 1+ 2" xfId="1863" xr:uid="{00000000-0005-0000-0000-000011040000}"/>
    <cellStyle name="Heading 1+ 2 2" xfId="1864" xr:uid="{00000000-0005-0000-0000-000012040000}"/>
    <cellStyle name="Heading 2" xfId="174" builtinId="17" customBuiltin="1"/>
    <cellStyle name="heading 2 10" xfId="1016" xr:uid="{00000000-0005-0000-0000-000014040000}"/>
    <cellStyle name="Heading 2 11" xfId="1280" xr:uid="{00000000-0005-0000-0000-000015040000}"/>
    <cellStyle name="Heading 2 2" xfId="868" xr:uid="{00000000-0005-0000-0000-000016040000}"/>
    <cellStyle name="Heading 2 2 2" xfId="1865" xr:uid="{00000000-0005-0000-0000-000017040000}"/>
    <cellStyle name="heading 2 3" xfId="1006" xr:uid="{00000000-0005-0000-0000-000018040000}"/>
    <cellStyle name="Heading 2 3 2" xfId="1866" xr:uid="{00000000-0005-0000-0000-000019040000}"/>
    <cellStyle name="heading 2 4" xfId="984" xr:uid="{00000000-0005-0000-0000-00001A040000}"/>
    <cellStyle name="heading 2 5" xfId="983" xr:uid="{00000000-0005-0000-0000-00001B040000}"/>
    <cellStyle name="heading 2 6" xfId="986" xr:uid="{00000000-0005-0000-0000-00001C040000}"/>
    <cellStyle name="heading 2 7" xfId="981" xr:uid="{00000000-0005-0000-0000-00001D040000}"/>
    <cellStyle name="heading 2 8" xfId="988" xr:uid="{00000000-0005-0000-0000-00001E040000}"/>
    <cellStyle name="heading 2 9" xfId="979" xr:uid="{00000000-0005-0000-0000-00001F040000}"/>
    <cellStyle name="Heading 2 Below" xfId="175" xr:uid="{00000000-0005-0000-0000-000020040000}"/>
    <cellStyle name="Heading 2 Below 2" xfId="1867" xr:uid="{00000000-0005-0000-0000-000021040000}"/>
    <cellStyle name="Heading 2 Below 2 2" xfId="1868" xr:uid="{00000000-0005-0000-0000-000022040000}"/>
    <cellStyle name="Heading 2+" xfId="176" xr:uid="{00000000-0005-0000-0000-000023040000}"/>
    <cellStyle name="Heading 2+ 2" xfId="1869" xr:uid="{00000000-0005-0000-0000-000024040000}"/>
    <cellStyle name="Heading 2+ 2 2" xfId="1870" xr:uid="{00000000-0005-0000-0000-000025040000}"/>
    <cellStyle name="Heading 3" xfId="177" builtinId="18" customBuiltin="1"/>
    <cellStyle name="Heading 3 2" xfId="869" xr:uid="{00000000-0005-0000-0000-000027040000}"/>
    <cellStyle name="Heading 3 2 2" xfId="1871" xr:uid="{00000000-0005-0000-0000-000028040000}"/>
    <cellStyle name="Heading 3 3" xfId="1007" xr:uid="{00000000-0005-0000-0000-000029040000}"/>
    <cellStyle name="Heading 3 3 2" xfId="1872" xr:uid="{00000000-0005-0000-0000-00002A040000}"/>
    <cellStyle name="Heading 3 4" xfId="1281" xr:uid="{00000000-0005-0000-0000-00002B040000}"/>
    <cellStyle name="Heading 3+" xfId="178" xr:uid="{00000000-0005-0000-0000-00002C040000}"/>
    <cellStyle name="Heading 3+ 2" xfId="1873" xr:uid="{00000000-0005-0000-0000-00002D040000}"/>
    <cellStyle name="Heading 3+ 2 2" xfId="1874" xr:uid="{00000000-0005-0000-0000-00002E040000}"/>
    <cellStyle name="Heading 4 2" xfId="870" xr:uid="{00000000-0005-0000-0000-00002F040000}"/>
    <cellStyle name="Heading 4 3" xfId="1008" xr:uid="{00000000-0005-0000-0000-000030040000}"/>
    <cellStyle name="Heading 4 4" xfId="1875" xr:uid="{00000000-0005-0000-0000-000031040000}"/>
    <cellStyle name="Heading 4 5" xfId="1876" xr:uid="{00000000-0005-0000-0000-000032040000}"/>
    <cellStyle name="Heading 4 6" xfId="1877" xr:uid="{00000000-0005-0000-0000-000033040000}"/>
    <cellStyle name="Heading 5" xfId="179" xr:uid="{00000000-0005-0000-0000-000034040000}"/>
    <cellStyle name="Heading 5 2" xfId="1878" xr:uid="{00000000-0005-0000-0000-000035040000}"/>
    <cellStyle name="Heading 5 2 2" xfId="1879" xr:uid="{00000000-0005-0000-0000-000036040000}"/>
    <cellStyle name="Heading 6" xfId="1880" xr:uid="{00000000-0005-0000-0000-000037040000}"/>
    <cellStyle name="Heading 6 2" xfId="1881" xr:uid="{00000000-0005-0000-0000-000038040000}"/>
    <cellStyle name="Heading 7" xfId="1882" xr:uid="{00000000-0005-0000-0000-000039040000}"/>
    <cellStyle name="Heading 7 2" xfId="1883" xr:uid="{00000000-0005-0000-0000-00003A040000}"/>
    <cellStyle name="Heading1" xfId="678" xr:uid="{00000000-0005-0000-0000-00003B040000}"/>
    <cellStyle name="Hidden" xfId="180" xr:uid="{00000000-0005-0000-0000-00003C040000}"/>
    <cellStyle name="Hidden 2" xfId="679" xr:uid="{00000000-0005-0000-0000-00003D040000}"/>
    <cellStyle name="Hidden 3" xfId="1884" xr:uid="{00000000-0005-0000-0000-00003E040000}"/>
    <cellStyle name="Hidden 3 2" xfId="1885" xr:uid="{00000000-0005-0000-0000-00003F040000}"/>
    <cellStyle name="Highlight" xfId="181" xr:uid="{00000000-0005-0000-0000-000040040000}"/>
    <cellStyle name="Highlight 2" xfId="1282" xr:uid="{00000000-0005-0000-0000-000041040000}"/>
    <cellStyle name="Hipervínculo" xfId="1886" xr:uid="{00000000-0005-0000-0000-000042040000}"/>
    <cellStyle name="Hipervínculo visitado" xfId="1887" xr:uid="{00000000-0005-0000-0000-000043040000}"/>
    <cellStyle name="Hist inmatning" xfId="182" xr:uid="{00000000-0005-0000-0000-000044040000}"/>
    <cellStyle name="Historic" xfId="680" xr:uid="{00000000-0005-0000-0000-000045040000}"/>
    <cellStyle name="HistoricData" xfId="681" xr:uid="{00000000-0005-0000-0000-000046040000}"/>
    <cellStyle name="Hyperlänk" xfId="183" xr:uid="{00000000-0005-0000-0000-000047040000}"/>
    <cellStyle name="Hyperlänk 2" xfId="1888" xr:uid="{00000000-0005-0000-0000-000048040000}"/>
    <cellStyle name="Hyperlänk 2 2" xfId="1889" xr:uid="{00000000-0005-0000-0000-000049040000}"/>
    <cellStyle name="Hyperlink" xfId="2371" builtinId="8"/>
    <cellStyle name="Hyperlink 2" xfId="682" xr:uid="{00000000-0005-0000-0000-00004B040000}"/>
    <cellStyle name="Hyperlink 2 2" xfId="1248" xr:uid="{00000000-0005-0000-0000-00004C040000}"/>
    <cellStyle name="Hyperlink 3" xfId="1890" xr:uid="{00000000-0005-0000-0000-00004D040000}"/>
    <cellStyle name="Hyperlink 4" xfId="1891" xr:uid="{00000000-0005-0000-0000-00004E040000}"/>
    <cellStyle name="Hyperlink black" xfId="1892" xr:uid="{00000000-0005-0000-0000-00004F040000}"/>
    <cellStyle name="Hyperlink seguido" xfId="1893" xr:uid="{00000000-0005-0000-0000-000050040000}"/>
    <cellStyle name="IncomeStatement" xfId="184" xr:uid="{00000000-0005-0000-0000-000052040000}"/>
    <cellStyle name="IncomeStatement 2" xfId="683" xr:uid="{00000000-0005-0000-0000-000053040000}"/>
    <cellStyle name="IncomeStatement 2 2" xfId="1894" xr:uid="{00000000-0005-0000-0000-000054040000}"/>
    <cellStyle name="InLink" xfId="185" xr:uid="{00000000-0005-0000-0000-000055040000}"/>
    <cellStyle name="InLink 2" xfId="1895" xr:uid="{00000000-0005-0000-0000-000056040000}"/>
    <cellStyle name="input" xfId="186" xr:uid="{00000000-0005-0000-0000-000057040000}"/>
    <cellStyle name="Input %" xfId="1896" xr:uid="{00000000-0005-0000-0000-000058040000}"/>
    <cellStyle name="Input (%)" xfId="684" xr:uid="{00000000-0005-0000-0000-000059040000}"/>
    <cellStyle name="Input (%) 2" xfId="1155" xr:uid="{00000000-0005-0000-0000-00005A040000}"/>
    <cellStyle name="Input [yellow]" xfId="187" xr:uid="{00000000-0005-0000-0000-00005B040000}"/>
    <cellStyle name="Input 0" xfId="1897" xr:uid="{00000000-0005-0000-0000-00005C040000}"/>
    <cellStyle name="Input 0,0" xfId="1898" xr:uid="{00000000-0005-0000-0000-00005D040000}"/>
    <cellStyle name="Input 0_Analise PDD 2003 " xfId="1899" xr:uid="{00000000-0005-0000-0000-00005E040000}"/>
    <cellStyle name="iNPUT 10" xfId="1133" xr:uid="{00000000-0005-0000-0000-00005F040000}"/>
    <cellStyle name="iNPUT 11" xfId="1154" xr:uid="{00000000-0005-0000-0000-000060040000}"/>
    <cellStyle name="iNPUT 12" xfId="1249" xr:uid="{00000000-0005-0000-0000-000061040000}"/>
    <cellStyle name="iNPUT 13" xfId="1114" xr:uid="{00000000-0005-0000-0000-000062040000}"/>
    <cellStyle name="iNPUT 14" xfId="1077" xr:uid="{00000000-0005-0000-0000-000063040000}"/>
    <cellStyle name="input 15" xfId="1283" xr:uid="{00000000-0005-0000-0000-000064040000}"/>
    <cellStyle name="Input 2" xfId="871" xr:uid="{00000000-0005-0000-0000-000065040000}"/>
    <cellStyle name="Input 2 2" xfId="1900" xr:uid="{00000000-0005-0000-0000-000066040000}"/>
    <cellStyle name="iNPUT 3" xfId="1011" xr:uid="{00000000-0005-0000-0000-000067040000}"/>
    <cellStyle name="iNPUT 4" xfId="977" xr:uid="{00000000-0005-0000-0000-000068040000}"/>
    <cellStyle name="iNPUT 5" xfId="993" xr:uid="{00000000-0005-0000-0000-000069040000}"/>
    <cellStyle name="iNPUT 6" xfId="976" xr:uid="{00000000-0005-0000-0000-00006A040000}"/>
    <cellStyle name="iNPUT 7" xfId="995" xr:uid="{00000000-0005-0000-0000-00006B040000}"/>
    <cellStyle name="iNPUT 8" xfId="975" xr:uid="{00000000-0005-0000-0000-00006C040000}"/>
    <cellStyle name="iNPUT 9" xfId="996" xr:uid="{00000000-0005-0000-0000-00006D040000}"/>
    <cellStyle name="Input calculation" xfId="188" xr:uid="{00000000-0005-0000-0000-00006E040000}"/>
    <cellStyle name="Input calculation 2" xfId="1284" xr:uid="{00000000-0005-0000-0000-00006F040000}"/>
    <cellStyle name="Input Cell" xfId="1901" xr:uid="{00000000-0005-0000-0000-000070040000}"/>
    <cellStyle name="Input Cells" xfId="189" xr:uid="{00000000-0005-0000-0000-000071040000}"/>
    <cellStyle name="Input Currency" xfId="190" xr:uid="{00000000-0005-0000-0000-000072040000}"/>
    <cellStyle name="Input Currency 2" xfId="685" xr:uid="{00000000-0005-0000-0000-000073040000}"/>
    <cellStyle name="Input data" xfId="191" xr:uid="{00000000-0005-0000-0000-000074040000}"/>
    <cellStyle name="Input data 2" xfId="1285" xr:uid="{00000000-0005-0000-0000-000075040000}"/>
    <cellStyle name="Input Date" xfId="192" xr:uid="{00000000-0005-0000-0000-000076040000}"/>
    <cellStyle name="Input Date 2" xfId="686" xr:uid="{00000000-0005-0000-0000-000077040000}"/>
    <cellStyle name="Input Date 2 2" xfId="1902" xr:uid="{00000000-0005-0000-0000-000078040000}"/>
    <cellStyle name="Input estimate" xfId="193" xr:uid="{00000000-0005-0000-0000-000079040000}"/>
    <cellStyle name="Input estimate 2" xfId="1286" xr:uid="{00000000-0005-0000-0000-00007A040000}"/>
    <cellStyle name="Input Fixed [0]" xfId="194" xr:uid="{00000000-0005-0000-0000-00007B040000}"/>
    <cellStyle name="Input Fixed [0] 2" xfId="687" xr:uid="{00000000-0005-0000-0000-00007C040000}"/>
    <cellStyle name="Input link" xfId="195" xr:uid="{00000000-0005-0000-0000-00007D040000}"/>
    <cellStyle name="Input link (different workbook)" xfId="196" xr:uid="{00000000-0005-0000-0000-00007E040000}"/>
    <cellStyle name="Input link (different workbook) 2" xfId="1288" xr:uid="{00000000-0005-0000-0000-00007F040000}"/>
    <cellStyle name="Input link 2" xfId="1287" xr:uid="{00000000-0005-0000-0000-000080040000}"/>
    <cellStyle name="Input Link_Copy of ESA5 ForecastScaling" xfId="197" xr:uid="{00000000-0005-0000-0000-000081040000}"/>
    <cellStyle name="Input Normal" xfId="198" xr:uid="{00000000-0005-0000-0000-000082040000}"/>
    <cellStyle name="Input parameter" xfId="199" xr:uid="{00000000-0005-0000-0000-000083040000}"/>
    <cellStyle name="Input parameter 2" xfId="1289" xr:uid="{00000000-0005-0000-0000-000084040000}"/>
    <cellStyle name="Input Percent" xfId="200" xr:uid="{00000000-0005-0000-0000-000085040000}"/>
    <cellStyle name="Input Percent [2]" xfId="201" xr:uid="{00000000-0005-0000-0000-000086040000}"/>
    <cellStyle name="Input Percent 10" xfId="971" xr:uid="{00000000-0005-0000-0000-000087040000}"/>
    <cellStyle name="Input Percent 11" xfId="1003" xr:uid="{00000000-0005-0000-0000-000088040000}"/>
    <cellStyle name="Input Percent 12" xfId="1010" xr:uid="{00000000-0005-0000-0000-000089040000}"/>
    <cellStyle name="Input Percent 13" xfId="1000" xr:uid="{00000000-0005-0000-0000-00008A040000}"/>
    <cellStyle name="Input Percent 14" xfId="1013" xr:uid="{00000000-0005-0000-0000-00008B040000}"/>
    <cellStyle name="Input Percent 15" xfId="1001" xr:uid="{00000000-0005-0000-0000-00008C040000}"/>
    <cellStyle name="Input Percent 16" xfId="1012" xr:uid="{00000000-0005-0000-0000-00008D040000}"/>
    <cellStyle name="Input Percent 17" xfId="1132" xr:uid="{00000000-0005-0000-0000-00008E040000}"/>
    <cellStyle name="Input Percent 18" xfId="1009" xr:uid="{00000000-0005-0000-0000-00008F040000}"/>
    <cellStyle name="Input Percent 19" xfId="991" xr:uid="{00000000-0005-0000-0000-000090040000}"/>
    <cellStyle name="Input Percent 2" xfId="688" xr:uid="{00000000-0005-0000-0000-000091040000}"/>
    <cellStyle name="Input Percent 2 2" xfId="1903" xr:uid="{00000000-0005-0000-0000-000092040000}"/>
    <cellStyle name="Input Percent 20" xfId="1004" xr:uid="{00000000-0005-0000-0000-000093040000}"/>
    <cellStyle name="Input Percent 21" xfId="994" xr:uid="{00000000-0005-0000-0000-000094040000}"/>
    <cellStyle name="Input Percent 3" xfId="898" xr:uid="{00000000-0005-0000-0000-000095040000}"/>
    <cellStyle name="Input Percent 3 2" xfId="1904" xr:uid="{00000000-0005-0000-0000-000096040000}"/>
    <cellStyle name="Input Percent 4" xfId="899" xr:uid="{00000000-0005-0000-0000-000097040000}"/>
    <cellStyle name="Input Percent 5" xfId="1014" xr:uid="{00000000-0005-0000-0000-000098040000}"/>
    <cellStyle name="Input Percent 6" xfId="974" xr:uid="{00000000-0005-0000-0000-000099040000}"/>
    <cellStyle name="Input Percent 7" xfId="998" xr:uid="{00000000-0005-0000-0000-00009A040000}"/>
    <cellStyle name="Input Percent 8" xfId="972" xr:uid="{00000000-0005-0000-0000-00009B040000}"/>
    <cellStyle name="Input Percent 9" xfId="1002" xr:uid="{00000000-0005-0000-0000-00009C040000}"/>
    <cellStyle name="Input Percent_Book1" xfId="202" xr:uid="{00000000-0005-0000-0000-00009D040000}"/>
    <cellStyle name="Input Titles" xfId="203" xr:uid="{00000000-0005-0000-0000-00009E040000}"/>
    <cellStyle name="Input%" xfId="204" xr:uid="{00000000-0005-0000-0000-00009F040000}"/>
    <cellStyle name="Input% 2" xfId="689" xr:uid="{00000000-0005-0000-0000-0000A0040000}"/>
    <cellStyle name="Input% 3" xfId="1905" xr:uid="{00000000-0005-0000-0000-0000A1040000}"/>
    <cellStyle name="Input% 3 2" xfId="1906" xr:uid="{00000000-0005-0000-0000-0000A2040000}"/>
    <cellStyle name="Input_AMT Model New 11-16-2011" xfId="1017" xr:uid="{00000000-0005-0000-0000-0000A3040000}"/>
    <cellStyle name="Input0dec" xfId="205" xr:uid="{00000000-0005-0000-0000-0000A4040000}"/>
    <cellStyle name="Input0dec 2" xfId="690" xr:uid="{00000000-0005-0000-0000-0000A5040000}"/>
    <cellStyle name="Input0dec 2 2" xfId="1907" xr:uid="{00000000-0005-0000-0000-0000A6040000}"/>
    <cellStyle name="Input2" xfId="1908" xr:uid="{00000000-0005-0000-0000-0000A7040000}"/>
    <cellStyle name="Input2dec" xfId="206" xr:uid="{00000000-0005-0000-0000-0000A8040000}"/>
    <cellStyle name="Input2dec 2" xfId="691" xr:uid="{00000000-0005-0000-0000-0000A9040000}"/>
    <cellStyle name="Input2dec 2 2" xfId="1909" xr:uid="{00000000-0005-0000-0000-0000AA040000}"/>
    <cellStyle name="InputBlueFont" xfId="207" xr:uid="{00000000-0005-0000-0000-0000AB040000}"/>
    <cellStyle name="InputBlueFont 2" xfId="1910" xr:uid="{00000000-0005-0000-0000-0000AC040000}"/>
    <cellStyle name="InputBlueFont 3" xfId="1911" xr:uid="{00000000-0005-0000-0000-0000AD040000}"/>
    <cellStyle name="InputBlueFont 3 2" xfId="1912" xr:uid="{00000000-0005-0000-0000-0000AE040000}"/>
    <cellStyle name="InputBlueFont 4" xfId="1913" xr:uid="{00000000-0005-0000-0000-0000AF040000}"/>
    <cellStyle name="InputBlueFont 5" xfId="1914" xr:uid="{00000000-0005-0000-0000-0000B0040000}"/>
    <cellStyle name="InputDate" xfId="208" xr:uid="{00000000-0005-0000-0000-0000B1040000}"/>
    <cellStyle name="InputDate 2" xfId="1915" xr:uid="{00000000-0005-0000-0000-0000B2040000}"/>
    <cellStyle name="InputDate 3" xfId="1916" xr:uid="{00000000-0005-0000-0000-0000B3040000}"/>
    <cellStyle name="InputDate 3 2" xfId="1917" xr:uid="{00000000-0005-0000-0000-0000B4040000}"/>
    <cellStyle name="InputDecimal" xfId="209" xr:uid="{00000000-0005-0000-0000-0000B5040000}"/>
    <cellStyle name="InputDecimal 2" xfId="1918" xr:uid="{00000000-0005-0000-0000-0000B6040000}"/>
    <cellStyle name="InputDecimal 3" xfId="1919" xr:uid="{00000000-0005-0000-0000-0000B7040000}"/>
    <cellStyle name="InputDecimal 3 2" xfId="1920" xr:uid="{00000000-0005-0000-0000-0000B8040000}"/>
    <cellStyle name="InputValue" xfId="210" xr:uid="{00000000-0005-0000-0000-0000B9040000}"/>
    <cellStyle name="InputValue 2" xfId="1921" xr:uid="{00000000-0005-0000-0000-0000BA040000}"/>
    <cellStyle name="InputValue 3" xfId="1922" xr:uid="{00000000-0005-0000-0000-0000BB040000}"/>
    <cellStyle name="InputValue 3 2" xfId="1923" xr:uid="{00000000-0005-0000-0000-0000BC040000}"/>
    <cellStyle name="Integer" xfId="211" xr:uid="{00000000-0005-0000-0000-0000BD040000}"/>
    <cellStyle name="Integer 2" xfId="692" xr:uid="{00000000-0005-0000-0000-0000BE040000}"/>
    <cellStyle name="Integer 3" xfId="1924" xr:uid="{00000000-0005-0000-0000-0000BF040000}"/>
    <cellStyle name="Integer 3 2" xfId="1925" xr:uid="{00000000-0005-0000-0000-0000C0040000}"/>
    <cellStyle name="Item" xfId="212" xr:uid="{00000000-0005-0000-0000-0000C1040000}"/>
    <cellStyle name="Item 2" xfId="693" xr:uid="{00000000-0005-0000-0000-0000C2040000}"/>
    <cellStyle name="Item 3" xfId="1926" xr:uid="{00000000-0005-0000-0000-0000C3040000}"/>
    <cellStyle name="Item 3 2" xfId="1927" xr:uid="{00000000-0005-0000-0000-0000C4040000}"/>
    <cellStyle name="Item 4" xfId="1928" xr:uid="{00000000-0005-0000-0000-0000C5040000}"/>
    <cellStyle name="Items_Optional" xfId="213" xr:uid="{00000000-0005-0000-0000-0000C6040000}"/>
    <cellStyle name="ItemTypeClass" xfId="214" xr:uid="{00000000-0005-0000-0000-0000C7040000}"/>
    <cellStyle name="ItemTypeClass 2" xfId="694" xr:uid="{00000000-0005-0000-0000-0000C8040000}"/>
    <cellStyle name="ItemTypeClass 2 2" xfId="1415" xr:uid="{00000000-0005-0000-0000-0000C9040000}"/>
    <cellStyle name="ItemTypeClass 3" xfId="1290" xr:uid="{00000000-0005-0000-0000-0000CA040000}"/>
    <cellStyle name="ItemTypeClass 3 2" xfId="1929" xr:uid="{00000000-0005-0000-0000-0000CB040000}"/>
    <cellStyle name="James" xfId="215" xr:uid="{00000000-0005-0000-0000-0000CC040000}"/>
    <cellStyle name="kopregel" xfId="216" xr:uid="{00000000-0005-0000-0000-0000CD040000}"/>
    <cellStyle name="KP_Normal" xfId="695" xr:uid="{00000000-0005-0000-0000-0000CE040000}"/>
    <cellStyle name="KPMG Heading 1" xfId="1930" xr:uid="{00000000-0005-0000-0000-0000CF040000}"/>
    <cellStyle name="KPMG Heading 2" xfId="1931" xr:uid="{00000000-0005-0000-0000-0000D0040000}"/>
    <cellStyle name="KPMG Heading 3" xfId="1932" xr:uid="{00000000-0005-0000-0000-0000D1040000}"/>
    <cellStyle name="KPMG Heading 4" xfId="1933" xr:uid="{00000000-0005-0000-0000-0000D2040000}"/>
    <cellStyle name="KPMG Normal" xfId="1934" xr:uid="{00000000-0005-0000-0000-0000D3040000}"/>
    <cellStyle name="KPMG Normal Text" xfId="1935" xr:uid="{00000000-0005-0000-0000-0000D4040000}"/>
    <cellStyle name="LEVERS69" xfId="696" xr:uid="{00000000-0005-0000-0000-0000D5040000}"/>
    <cellStyle name="LEVERS69 2" xfId="1161" xr:uid="{00000000-0005-0000-0000-0000D6040000}"/>
    <cellStyle name="Libellés" xfId="217" xr:uid="{00000000-0005-0000-0000-0000D7040000}"/>
    <cellStyle name="Link" xfId="1936" xr:uid="{00000000-0005-0000-0000-0000D8040000}"/>
    <cellStyle name="Linked" xfId="218" xr:uid="{00000000-0005-0000-0000-0000D9040000}"/>
    <cellStyle name="Linked 2" xfId="1937" xr:uid="{00000000-0005-0000-0000-0000DA040000}"/>
    <cellStyle name="Linked 2 2" xfId="1938" xr:uid="{00000000-0005-0000-0000-0000DB040000}"/>
    <cellStyle name="Linked 3" xfId="1939" xr:uid="{00000000-0005-0000-0000-0000DC040000}"/>
    <cellStyle name="Linked 4" xfId="1940" xr:uid="{00000000-0005-0000-0000-0000DD040000}"/>
    <cellStyle name="Linked Cell 2" xfId="872" xr:uid="{00000000-0005-0000-0000-0000DE040000}"/>
    <cellStyle name="Linked Cell 3" xfId="1018" xr:uid="{00000000-0005-0000-0000-0000DF040000}"/>
    <cellStyle name="Linked Cells" xfId="219" xr:uid="{00000000-0005-0000-0000-0000E0040000}"/>
    <cellStyle name="Linked Cells 2" xfId="1941" xr:uid="{00000000-0005-0000-0000-0000E1040000}"/>
    <cellStyle name="Linked Cells 3" xfId="1942" xr:uid="{00000000-0005-0000-0000-0000E2040000}"/>
    <cellStyle name="Linked Cells 3 2" xfId="1943" xr:uid="{00000000-0005-0000-0000-0000E3040000}"/>
    <cellStyle name="Locked" xfId="220" xr:uid="{00000000-0005-0000-0000-0000E4040000}"/>
    <cellStyle name="Lookup_target" xfId="1944" xr:uid="{00000000-0005-0000-0000-0000E5040000}"/>
    <cellStyle name="MacroCode" xfId="697" xr:uid="{00000000-0005-0000-0000-0000E6040000}"/>
    <cellStyle name="Main Title" xfId="221" xr:uid="{00000000-0005-0000-0000-0000E7040000}"/>
    <cellStyle name="Main Title 2" xfId="1945" xr:uid="{00000000-0005-0000-0000-0000E8040000}"/>
    <cellStyle name="Main Title 3" xfId="1946" xr:uid="{00000000-0005-0000-0000-0000E9040000}"/>
    <cellStyle name="Main Title 3 2" xfId="1947" xr:uid="{00000000-0005-0000-0000-0000EA040000}"/>
    <cellStyle name="Mainhead" xfId="698" xr:uid="{00000000-0005-0000-0000-0000EB040000}"/>
    <cellStyle name="margenta-f" xfId="222" xr:uid="{00000000-0005-0000-0000-0000EC040000}"/>
    <cellStyle name="margenta-f 2" xfId="1948" xr:uid="{00000000-0005-0000-0000-0000ED040000}"/>
    <cellStyle name="margenta-f 2 2" xfId="1949" xr:uid="{00000000-0005-0000-0000-0000EE040000}"/>
    <cellStyle name="Margin" xfId="223" xr:uid="{00000000-0005-0000-0000-0000EF040000}"/>
    <cellStyle name="Margin 2" xfId="1950" xr:uid="{00000000-0005-0000-0000-0000F0040000}"/>
    <cellStyle name="Margin 3" xfId="1951" xr:uid="{00000000-0005-0000-0000-0000F1040000}"/>
    <cellStyle name="Margins" xfId="224" xr:uid="{00000000-0005-0000-0000-0000F2040000}"/>
    <cellStyle name="Margins 2" xfId="699" xr:uid="{00000000-0005-0000-0000-0000F3040000}"/>
    <cellStyle name="Margins 2 2" xfId="1952" xr:uid="{00000000-0005-0000-0000-0000F4040000}"/>
    <cellStyle name="MetricLabel" xfId="225" xr:uid="{00000000-0005-0000-0000-0000F5040000}"/>
    <cellStyle name="MetricLabel 2" xfId="1953" xr:uid="{00000000-0005-0000-0000-0000F6040000}"/>
    <cellStyle name="MetricLabel 3" xfId="1954" xr:uid="{00000000-0005-0000-0000-0000F7040000}"/>
    <cellStyle name="MetricLabel 3 2" xfId="1955" xr:uid="{00000000-0005-0000-0000-0000F8040000}"/>
    <cellStyle name="MetricLabelBlue" xfId="226" xr:uid="{00000000-0005-0000-0000-0000F9040000}"/>
    <cellStyle name="MetricLabelBlue 2" xfId="1956" xr:uid="{00000000-0005-0000-0000-0000FA040000}"/>
    <cellStyle name="MetricLabelBlue 3" xfId="1957" xr:uid="{00000000-0005-0000-0000-0000FB040000}"/>
    <cellStyle name="MetricLabelBlue 3 2" xfId="1958" xr:uid="{00000000-0005-0000-0000-0000FC040000}"/>
    <cellStyle name="MetricValue" xfId="227" xr:uid="{00000000-0005-0000-0000-0000FD040000}"/>
    <cellStyle name="MetricValue 2" xfId="1959" xr:uid="{00000000-0005-0000-0000-0000FE040000}"/>
    <cellStyle name="MetricValue 3" xfId="1960" xr:uid="{00000000-0005-0000-0000-0000FF040000}"/>
    <cellStyle name="MetricValue 3 2" xfId="1961" xr:uid="{00000000-0005-0000-0000-000000050000}"/>
    <cellStyle name="Migliaia (0)" xfId="1962" xr:uid="{00000000-0005-0000-0000-000001050000}"/>
    <cellStyle name="Migliaia_Foglio1" xfId="228" xr:uid="{00000000-0005-0000-0000-000002050000}"/>
    <cellStyle name="Mike" xfId="700" xr:uid="{00000000-0005-0000-0000-000003050000}"/>
    <cellStyle name="Millares [0]_10 AVERIAS MASIVAS + ANT" xfId="1963" xr:uid="{00000000-0005-0000-0000-000004050000}"/>
    <cellStyle name="Millares_10 AVERIAS MASIVAS + ANT" xfId="1964" xr:uid="{00000000-0005-0000-0000-000005050000}"/>
    <cellStyle name="Milliers [0]_Aimants permanents" xfId="229" xr:uid="{00000000-0005-0000-0000-000006050000}"/>
    <cellStyle name="Milliers [00]" xfId="230" xr:uid="{00000000-0005-0000-0000-000007050000}"/>
    <cellStyle name="Milliers [00] 2" xfId="1965" xr:uid="{00000000-0005-0000-0000-000008050000}"/>
    <cellStyle name="Milliers [00] 3" xfId="1966" xr:uid="{00000000-0005-0000-0000-000009050000}"/>
    <cellStyle name="Milliers [00] 3 2" xfId="1967" xr:uid="{00000000-0005-0000-0000-00000A050000}"/>
    <cellStyle name="Milliers_Aimants permanents" xfId="231" xr:uid="{00000000-0005-0000-0000-00000B050000}"/>
    <cellStyle name="Millions" xfId="701" xr:uid="{00000000-0005-0000-0000-00000C050000}"/>
    <cellStyle name="mine" xfId="232" xr:uid="{00000000-0005-0000-0000-00000D050000}"/>
    <cellStyle name="mine 2" xfId="1968" xr:uid="{00000000-0005-0000-0000-00000E050000}"/>
    <cellStyle name="mine 3" xfId="1969" xr:uid="{00000000-0005-0000-0000-00000F050000}"/>
    <cellStyle name="mine 3 2" xfId="1970" xr:uid="{00000000-0005-0000-0000-000010050000}"/>
    <cellStyle name="Model" xfId="233" xr:uid="{00000000-0005-0000-0000-000011050000}"/>
    <cellStyle name="Model 2" xfId="702" xr:uid="{00000000-0005-0000-0000-000012050000}"/>
    <cellStyle name="Model 3" xfId="1971" xr:uid="{00000000-0005-0000-0000-000013050000}"/>
    <cellStyle name="Model 3 2" xfId="1972" xr:uid="{00000000-0005-0000-0000-000014050000}"/>
    <cellStyle name="Models" xfId="703" xr:uid="{00000000-0005-0000-0000-000015050000}"/>
    <cellStyle name="Moneda [0]_10 AVERIAS MASIVAS + ANT" xfId="1973" xr:uid="{00000000-0005-0000-0000-000016050000}"/>
    <cellStyle name="Moneda_10 AVERIAS MASIVAS + ANT" xfId="1974" xr:uid="{00000000-0005-0000-0000-000017050000}"/>
    <cellStyle name="Monétaire [0]_Aimants permanents" xfId="234" xr:uid="{00000000-0005-0000-0000-000018050000}"/>
    <cellStyle name="Monetaire [0]_laroux" xfId="1975" xr:uid="{00000000-0005-0000-0000-000019050000}"/>
    <cellStyle name="Monétaire [0]_laroux" xfId="1976" xr:uid="{00000000-0005-0000-0000-00001A050000}"/>
    <cellStyle name="Monetaire [0]_laroux_1" xfId="1977" xr:uid="{00000000-0005-0000-0000-00001B050000}"/>
    <cellStyle name="Monétaire [0]_laroux_1" xfId="1978" xr:uid="{00000000-0005-0000-0000-00001C050000}"/>
    <cellStyle name="Monetaire [0]_laroux_2" xfId="1979" xr:uid="{00000000-0005-0000-0000-00001D050000}"/>
    <cellStyle name="Monétaire [0]_laroux_2" xfId="1980" xr:uid="{00000000-0005-0000-0000-00001E050000}"/>
    <cellStyle name="Monétaire [00]" xfId="235" xr:uid="{00000000-0005-0000-0000-00001F050000}"/>
    <cellStyle name="Monétaire [00] 2" xfId="1981" xr:uid="{00000000-0005-0000-0000-000020050000}"/>
    <cellStyle name="Monétaire [00] 3" xfId="1982" xr:uid="{00000000-0005-0000-0000-000021050000}"/>
    <cellStyle name="Monétaire [00] 3 2" xfId="1983" xr:uid="{00000000-0005-0000-0000-000022050000}"/>
    <cellStyle name="Monétaire_Aimants permanents" xfId="236" xr:uid="{00000000-0005-0000-0000-000023050000}"/>
    <cellStyle name="Monetaire_laroux" xfId="1984" xr:uid="{00000000-0005-0000-0000-000024050000}"/>
    <cellStyle name="Monétaire_laroux" xfId="1985" xr:uid="{00000000-0005-0000-0000-000025050000}"/>
    <cellStyle name="Monetaire_laroux_1" xfId="1986" xr:uid="{00000000-0005-0000-0000-000026050000}"/>
    <cellStyle name="Monétaire_laroux_1" xfId="1987" xr:uid="{00000000-0005-0000-0000-000027050000}"/>
    <cellStyle name="Monetaire_laroux_2" xfId="1988" xr:uid="{00000000-0005-0000-0000-000028050000}"/>
    <cellStyle name="Monétaire_laroux_2" xfId="1989" xr:uid="{00000000-0005-0000-0000-000029050000}"/>
    <cellStyle name="Monetario" xfId="1990" xr:uid="{00000000-0005-0000-0000-00002A050000}"/>
    <cellStyle name="Multiple" xfId="237" xr:uid="{00000000-0005-0000-0000-00002B050000}"/>
    <cellStyle name="Multiple 2" xfId="704" xr:uid="{00000000-0005-0000-0000-00002C050000}"/>
    <cellStyle name="MultipleBelow" xfId="705" xr:uid="{00000000-0005-0000-0000-00002D050000}"/>
    <cellStyle name="MultipleBelow 2" xfId="1166" xr:uid="{00000000-0005-0000-0000-00002E050000}"/>
    <cellStyle name="NA is zero" xfId="238" xr:uid="{00000000-0005-0000-0000-00002F050000}"/>
    <cellStyle name="NA is zero 2" xfId="706" xr:uid="{00000000-0005-0000-0000-000030050000}"/>
    <cellStyle name="NA is zero 2 2" xfId="1991" xr:uid="{00000000-0005-0000-0000-000031050000}"/>
    <cellStyle name="Name" xfId="239" xr:uid="{00000000-0005-0000-0000-000032050000}"/>
    <cellStyle name="neg0.0" xfId="240" xr:uid="{00000000-0005-0000-0000-000033050000}"/>
    <cellStyle name="neg0.0 2" xfId="1992" xr:uid="{00000000-0005-0000-0000-000034050000}"/>
    <cellStyle name="neg0.0 3" xfId="1993" xr:uid="{00000000-0005-0000-0000-000035050000}"/>
    <cellStyle name="neg0.0 3 2" xfId="1994" xr:uid="{00000000-0005-0000-0000-000036050000}"/>
    <cellStyle name="neg0.0 4" xfId="1995" xr:uid="{00000000-0005-0000-0000-000037050000}"/>
    <cellStyle name="neg0.0 5" xfId="1996" xr:uid="{00000000-0005-0000-0000-000038050000}"/>
    <cellStyle name="neg0.0 6" xfId="1997" xr:uid="{00000000-0005-0000-0000-000039050000}"/>
    <cellStyle name="Neutral 2" xfId="873" xr:uid="{00000000-0005-0000-0000-00003A050000}"/>
    <cellStyle name="Neutral 3" xfId="874" xr:uid="{00000000-0005-0000-0000-00003B050000}"/>
    <cellStyle name="Neutral 4" xfId="1022" xr:uid="{00000000-0005-0000-0000-00003C050000}"/>
    <cellStyle name="no dec" xfId="241" xr:uid="{00000000-0005-0000-0000-00003D050000}"/>
    <cellStyle name="no dec 2" xfId="1998" xr:uid="{00000000-0005-0000-0000-00003E050000}"/>
    <cellStyle name="no dec 2 2" xfId="1999" xr:uid="{00000000-0005-0000-0000-00003F050000}"/>
    <cellStyle name="No zero - 1dp" xfId="707" xr:uid="{00000000-0005-0000-0000-000040050000}"/>
    <cellStyle name="No zero - 1dp 2" xfId="1169" xr:uid="{00000000-0005-0000-0000-000041050000}"/>
    <cellStyle name="No zero - percent" xfId="708" xr:uid="{00000000-0005-0000-0000-000042050000}"/>
    <cellStyle name="No zero - percent 2" xfId="1170" xr:uid="{00000000-0005-0000-0000-000043050000}"/>
    <cellStyle name="No zero - percent 2 2" xfId="1493" xr:uid="{00000000-0005-0000-0000-000044050000}"/>
    <cellStyle name="No zero - percent 3" xfId="1416" xr:uid="{00000000-0005-0000-0000-000045050000}"/>
    <cellStyle name="Normal" xfId="0" builtinId="0"/>
    <cellStyle name="Normal - Style1" xfId="242" xr:uid="{00000000-0005-0000-0000-000047050000}"/>
    <cellStyle name="Normal - Style1 2" xfId="709" xr:uid="{00000000-0005-0000-0000-000048050000}"/>
    <cellStyle name="Normal - Style1 3" xfId="2000" xr:uid="{00000000-0005-0000-0000-000049050000}"/>
    <cellStyle name="Normal - Style1 3 2" xfId="2001" xr:uid="{00000000-0005-0000-0000-00004A050000}"/>
    <cellStyle name="Normal - Style1 4" xfId="2002" xr:uid="{00000000-0005-0000-0000-00004B050000}"/>
    <cellStyle name="Normal (%)" xfId="710" xr:uid="{00000000-0005-0000-0000-00004C050000}"/>
    <cellStyle name="Normal (%) 2" xfId="1171" xr:uid="{00000000-0005-0000-0000-00004D050000}"/>
    <cellStyle name="Normal (£m)" xfId="711" xr:uid="{00000000-0005-0000-0000-00004E050000}"/>
    <cellStyle name="Normal (B)" xfId="712" xr:uid="{00000000-0005-0000-0000-00004F050000}"/>
    <cellStyle name="Normal (G)" xfId="713" xr:uid="{00000000-0005-0000-0000-000050050000}"/>
    <cellStyle name="Normal (No)" xfId="714" xr:uid="{00000000-0005-0000-0000-000051050000}"/>
    <cellStyle name="Normal (no,)" xfId="243" xr:uid="{00000000-0005-0000-0000-000052050000}"/>
    <cellStyle name="Normal (x)" xfId="715" xr:uid="{00000000-0005-0000-0000-000053050000}"/>
    <cellStyle name="Normal (x) 2" xfId="1175" xr:uid="{00000000-0005-0000-0000-000054050000}"/>
    <cellStyle name="Normal [0]" xfId="244" xr:uid="{00000000-0005-0000-0000-000055050000}"/>
    <cellStyle name="Normal [1]" xfId="245" xr:uid="{00000000-0005-0000-0000-000056050000}"/>
    <cellStyle name="Normal [1] 2" xfId="2003" xr:uid="{00000000-0005-0000-0000-000057050000}"/>
    <cellStyle name="Normal [1] 2 2" xfId="2004" xr:uid="{00000000-0005-0000-0000-000058050000}"/>
    <cellStyle name="Normal [2]" xfId="246" xr:uid="{00000000-0005-0000-0000-000059050000}"/>
    <cellStyle name="Normal [3]" xfId="247" xr:uid="{00000000-0005-0000-0000-00005A050000}"/>
    <cellStyle name="Normal [3] 2" xfId="716" xr:uid="{00000000-0005-0000-0000-00005B050000}"/>
    <cellStyle name="Normal [3] 2 2" xfId="2005" xr:uid="{00000000-0005-0000-0000-00005C050000}"/>
    <cellStyle name="Normal 1" xfId="248" xr:uid="{00000000-0005-0000-0000-00005D050000}"/>
    <cellStyle name="Normal 1 2" xfId="2006" xr:uid="{00000000-0005-0000-0000-00005E050000}"/>
    <cellStyle name="Normal 1 3" xfId="2007" xr:uid="{00000000-0005-0000-0000-00005F050000}"/>
    <cellStyle name="Normal 1 3 2" xfId="2008" xr:uid="{00000000-0005-0000-0000-000060050000}"/>
    <cellStyle name="Normal 10" xfId="460" xr:uid="{00000000-0005-0000-0000-000061050000}"/>
    <cellStyle name="Normal 10 2" xfId="1226" xr:uid="{00000000-0005-0000-0000-000062050000}"/>
    <cellStyle name="Normal 10 3" xfId="1331" xr:uid="{00000000-0005-0000-0000-000063050000}"/>
    <cellStyle name="Normal 11" xfId="463" xr:uid="{00000000-0005-0000-0000-000064050000}"/>
    <cellStyle name="Normal 11 2" xfId="1227" xr:uid="{00000000-0005-0000-0000-000065050000}"/>
    <cellStyle name="Normal 11 3" xfId="1334" xr:uid="{00000000-0005-0000-0000-000066050000}"/>
    <cellStyle name="Normal 12" xfId="466" xr:uid="{00000000-0005-0000-0000-000067050000}"/>
    <cellStyle name="Normal 12 2" xfId="1228" xr:uid="{00000000-0005-0000-0000-000068050000}"/>
    <cellStyle name="Normal 12 3" xfId="1337" xr:uid="{00000000-0005-0000-0000-000069050000}"/>
    <cellStyle name="Normal 13" xfId="469" xr:uid="{00000000-0005-0000-0000-00006A050000}"/>
    <cellStyle name="Normal 13 2" xfId="1229" xr:uid="{00000000-0005-0000-0000-00006B050000}"/>
    <cellStyle name="Normal 13 3" xfId="1340" xr:uid="{00000000-0005-0000-0000-00006C050000}"/>
    <cellStyle name="Normal 14" xfId="472" xr:uid="{00000000-0005-0000-0000-00006D050000}"/>
    <cellStyle name="Normal 14 2" xfId="1230" xr:uid="{00000000-0005-0000-0000-00006E050000}"/>
    <cellStyle name="Normal 14 3" xfId="1343" xr:uid="{00000000-0005-0000-0000-00006F050000}"/>
    <cellStyle name="Normal 144" xfId="875" xr:uid="{00000000-0005-0000-0000-000070050000}"/>
    <cellStyle name="Normal 15" xfId="475" xr:uid="{00000000-0005-0000-0000-000071050000}"/>
    <cellStyle name="Normal 15 2" xfId="1231" xr:uid="{00000000-0005-0000-0000-000072050000}"/>
    <cellStyle name="Normal 15 3" xfId="1346" xr:uid="{00000000-0005-0000-0000-000073050000}"/>
    <cellStyle name="Normal 16" xfId="478" xr:uid="{00000000-0005-0000-0000-000074050000}"/>
    <cellStyle name="Normal 16 2" xfId="1232" xr:uid="{00000000-0005-0000-0000-000075050000}"/>
    <cellStyle name="Normal 16 3" xfId="1349" xr:uid="{00000000-0005-0000-0000-000076050000}"/>
    <cellStyle name="Normal 17" xfId="481" xr:uid="{00000000-0005-0000-0000-000077050000}"/>
    <cellStyle name="Normal 17 2" xfId="1233" xr:uid="{00000000-0005-0000-0000-000078050000}"/>
    <cellStyle name="Normal 17 3" xfId="1352" xr:uid="{00000000-0005-0000-0000-000079050000}"/>
    <cellStyle name="Normal 18" xfId="484" xr:uid="{00000000-0005-0000-0000-00007A050000}"/>
    <cellStyle name="Normal 18 2" xfId="1234" xr:uid="{00000000-0005-0000-0000-00007B050000}"/>
    <cellStyle name="Normal 18 3" xfId="1355" xr:uid="{00000000-0005-0000-0000-00007C050000}"/>
    <cellStyle name="Normal 19" xfId="487" xr:uid="{00000000-0005-0000-0000-00007D050000}"/>
    <cellStyle name="Normal 19 2" xfId="822" xr:uid="{00000000-0005-0000-0000-00007E050000}"/>
    <cellStyle name="Normal 19 3" xfId="1235" xr:uid="{00000000-0005-0000-0000-00007F050000}"/>
    <cellStyle name="Normal 19 4" xfId="1358" xr:uid="{00000000-0005-0000-0000-000080050000}"/>
    <cellStyle name="Normal 2" xfId="249" xr:uid="{00000000-0005-0000-0000-000081050000}"/>
    <cellStyle name="Normal 2 2" xfId="812" xr:uid="{00000000-0005-0000-0000-000082050000}"/>
    <cellStyle name="Normal 2 3" xfId="876" xr:uid="{00000000-0005-0000-0000-000083050000}"/>
    <cellStyle name="Normal 2 3 2" xfId="1135" xr:uid="{00000000-0005-0000-0000-000084050000}"/>
    <cellStyle name="Normal 2 3 2 2" xfId="1485" xr:uid="{00000000-0005-0000-0000-000085050000}"/>
    <cellStyle name="Normal 2 3 3" xfId="1437" xr:uid="{00000000-0005-0000-0000-000086050000}"/>
    <cellStyle name="Normal 2 4" xfId="877" xr:uid="{00000000-0005-0000-0000-000087050000}"/>
    <cellStyle name="Normal 2 4 2" xfId="1136" xr:uid="{00000000-0005-0000-0000-000088050000}"/>
    <cellStyle name="Normal 2 4 2 2" xfId="1486" xr:uid="{00000000-0005-0000-0000-000089050000}"/>
    <cellStyle name="Normal 2 4 3" xfId="1438" xr:uid="{00000000-0005-0000-0000-00008A050000}"/>
    <cellStyle name="Normal 2 5" xfId="878" xr:uid="{00000000-0005-0000-0000-00008B050000}"/>
    <cellStyle name="Normal 2 5 2" xfId="1137" xr:uid="{00000000-0005-0000-0000-00008C050000}"/>
    <cellStyle name="Normal 2 5 2 2" xfId="1487" xr:uid="{00000000-0005-0000-0000-00008D050000}"/>
    <cellStyle name="Normal 2 5 3" xfId="1439" xr:uid="{00000000-0005-0000-0000-00008E050000}"/>
    <cellStyle name="Normal 2 6" xfId="879" xr:uid="{00000000-0005-0000-0000-00008F050000}"/>
    <cellStyle name="Normal 2 6 2" xfId="1138" xr:uid="{00000000-0005-0000-0000-000090050000}"/>
    <cellStyle name="Normal 2 6 2 2" xfId="1488" xr:uid="{00000000-0005-0000-0000-000091050000}"/>
    <cellStyle name="Normal 2 6 3" xfId="1440" xr:uid="{00000000-0005-0000-0000-000092050000}"/>
    <cellStyle name="Normal 2 7" xfId="880" xr:uid="{00000000-0005-0000-0000-000093050000}"/>
    <cellStyle name="Normal 2 7 2" xfId="1139" xr:uid="{00000000-0005-0000-0000-000094050000}"/>
    <cellStyle name="Normal 2 7 2 2" xfId="1489" xr:uid="{00000000-0005-0000-0000-000095050000}"/>
    <cellStyle name="Normal 2 7 3" xfId="1441" xr:uid="{00000000-0005-0000-0000-000096050000}"/>
    <cellStyle name="Normal 2 8" xfId="881" xr:uid="{00000000-0005-0000-0000-000097050000}"/>
    <cellStyle name="Normal 2 8 2" xfId="1140" xr:uid="{00000000-0005-0000-0000-000098050000}"/>
    <cellStyle name="Normal 2 8 2 2" xfId="1490" xr:uid="{00000000-0005-0000-0000-000099050000}"/>
    <cellStyle name="Normal 2 8 3" xfId="1442" xr:uid="{00000000-0005-0000-0000-00009A050000}"/>
    <cellStyle name="Normal 2 9" xfId="717" xr:uid="{00000000-0005-0000-0000-00009B050000}"/>
    <cellStyle name="Normal 20" xfId="490" xr:uid="{00000000-0005-0000-0000-00009C050000}"/>
    <cellStyle name="Normal 20 2" xfId="1236" xr:uid="{00000000-0005-0000-0000-00009D050000}"/>
    <cellStyle name="Normal 20 3" xfId="1361" xr:uid="{00000000-0005-0000-0000-00009E050000}"/>
    <cellStyle name="Normal 21" xfId="493" xr:uid="{00000000-0005-0000-0000-00009F050000}"/>
    <cellStyle name="Normal 21 2" xfId="1238" xr:uid="{00000000-0005-0000-0000-0000A0050000}"/>
    <cellStyle name="Normal 21 2 2" xfId="1494" xr:uid="{00000000-0005-0000-0000-0000A1050000}"/>
    <cellStyle name="Normal 21 3" xfId="1364" xr:uid="{00000000-0005-0000-0000-0000A2050000}"/>
    <cellStyle name="Normal 22" xfId="496" xr:uid="{00000000-0005-0000-0000-0000A3050000}"/>
    <cellStyle name="Normal 22 2" xfId="1240" xr:uid="{00000000-0005-0000-0000-0000A4050000}"/>
    <cellStyle name="Normal 22 2 2" xfId="1495" xr:uid="{00000000-0005-0000-0000-0000A5050000}"/>
    <cellStyle name="Normal 22 3" xfId="1367" xr:uid="{00000000-0005-0000-0000-0000A6050000}"/>
    <cellStyle name="Normal 23" xfId="499" xr:uid="{00000000-0005-0000-0000-0000A7050000}"/>
    <cellStyle name="Normal 23 2" xfId="1370" xr:uid="{00000000-0005-0000-0000-0000A8050000}"/>
    <cellStyle name="Normal 24" xfId="502" xr:uid="{00000000-0005-0000-0000-0000A9050000}"/>
    <cellStyle name="Normal 24 2" xfId="1373" xr:uid="{00000000-0005-0000-0000-0000AA050000}"/>
    <cellStyle name="Normal 25" xfId="505" xr:uid="{00000000-0005-0000-0000-0000AB050000}"/>
    <cellStyle name="Normal 25 2" xfId="1376" xr:uid="{00000000-0005-0000-0000-0000AC050000}"/>
    <cellStyle name="Normal 26" xfId="508" xr:uid="{00000000-0005-0000-0000-0000AD050000}"/>
    <cellStyle name="Normal 26 2" xfId="1379" xr:uid="{00000000-0005-0000-0000-0000AE050000}"/>
    <cellStyle name="Normal 27" xfId="511" xr:uid="{00000000-0005-0000-0000-0000AF050000}"/>
    <cellStyle name="Normal 27 2" xfId="1382" xr:uid="{00000000-0005-0000-0000-0000B0050000}"/>
    <cellStyle name="Normal 28" xfId="514" xr:uid="{00000000-0005-0000-0000-0000B1050000}"/>
    <cellStyle name="Normal 28 2" xfId="1385" xr:uid="{00000000-0005-0000-0000-0000B2050000}"/>
    <cellStyle name="Normal 29" xfId="517" xr:uid="{00000000-0005-0000-0000-0000B3050000}"/>
    <cellStyle name="Normal 29 2" xfId="1388" xr:uid="{00000000-0005-0000-0000-0000B4050000}"/>
    <cellStyle name="Normal 3" xfId="439" xr:uid="{00000000-0005-0000-0000-0000B5050000}"/>
    <cellStyle name="Normal 3 2" xfId="819" xr:uid="{00000000-0005-0000-0000-0000B6050000}"/>
    <cellStyle name="Normal 3 2 2" xfId="2009" xr:uid="{00000000-0005-0000-0000-0000B7050000}"/>
    <cellStyle name="Normal 3 3" xfId="718" xr:uid="{00000000-0005-0000-0000-0000B8050000}"/>
    <cellStyle name="Normal 3 4" xfId="1310" xr:uid="{00000000-0005-0000-0000-0000B9050000}"/>
    <cellStyle name="Normal 30" xfId="520" xr:uid="{00000000-0005-0000-0000-0000BA050000}"/>
    <cellStyle name="Normal 30 2" xfId="1391" xr:uid="{00000000-0005-0000-0000-0000BB050000}"/>
    <cellStyle name="Normal 31" xfId="523" xr:uid="{00000000-0005-0000-0000-0000BC050000}"/>
    <cellStyle name="Normal 31 2" xfId="1394" xr:uid="{00000000-0005-0000-0000-0000BD050000}"/>
    <cellStyle name="Normal 32" xfId="526" xr:uid="{00000000-0005-0000-0000-0000BE050000}"/>
    <cellStyle name="Normal 32 2" xfId="1397" xr:uid="{00000000-0005-0000-0000-0000BF050000}"/>
    <cellStyle name="Normal 33" xfId="529" xr:uid="{00000000-0005-0000-0000-0000C0050000}"/>
    <cellStyle name="Normal 33 2" xfId="1400" xr:uid="{00000000-0005-0000-0000-0000C1050000}"/>
    <cellStyle name="Normal 34" xfId="532" xr:uid="{00000000-0005-0000-0000-0000C2050000}"/>
    <cellStyle name="Normal 34 2" xfId="1403" xr:uid="{00000000-0005-0000-0000-0000C3050000}"/>
    <cellStyle name="Normal 35" xfId="535" xr:uid="{00000000-0005-0000-0000-0000C4050000}"/>
    <cellStyle name="Normal 35 2" xfId="1406" xr:uid="{00000000-0005-0000-0000-0000C5050000}"/>
    <cellStyle name="Normal 36" xfId="538" xr:uid="{00000000-0005-0000-0000-0000C6050000}"/>
    <cellStyle name="Normal 36 2" xfId="1409" xr:uid="{00000000-0005-0000-0000-0000C7050000}"/>
    <cellStyle name="Normal 37" xfId="802" xr:uid="{00000000-0005-0000-0000-0000C8050000}"/>
    <cellStyle name="Normal 37 2" xfId="1420" xr:uid="{00000000-0005-0000-0000-0000C9050000}"/>
    <cellStyle name="Normal 38" xfId="905" xr:uid="{00000000-0005-0000-0000-0000CA050000}"/>
    <cellStyle name="Normal 38 2" xfId="1446" xr:uid="{00000000-0005-0000-0000-0000CB050000}"/>
    <cellStyle name="Normal 39" xfId="906" xr:uid="{00000000-0005-0000-0000-0000CC050000}"/>
    <cellStyle name="Normal 4" xfId="442" xr:uid="{00000000-0005-0000-0000-0000CD050000}"/>
    <cellStyle name="Normal 4 2" xfId="814" xr:uid="{00000000-0005-0000-0000-0000CE050000}"/>
    <cellStyle name="Normal 4 2 2" xfId="2010" xr:uid="{00000000-0005-0000-0000-0000CF050000}"/>
    <cellStyle name="Normal 4 3" xfId="1049" xr:uid="{00000000-0005-0000-0000-0000D0050000}"/>
    <cellStyle name="Normal 4 4" xfId="1313" xr:uid="{00000000-0005-0000-0000-0000D1050000}"/>
    <cellStyle name="Normal 40" xfId="1067" xr:uid="{00000000-0005-0000-0000-0000D2050000}"/>
    <cellStyle name="Normal 41" xfId="1096" xr:uid="{00000000-0005-0000-0000-0000D3050000}"/>
    <cellStyle name="Normal 42" xfId="1061" xr:uid="{00000000-0005-0000-0000-0000D4050000}"/>
    <cellStyle name="Normal 43" xfId="1091" xr:uid="{00000000-0005-0000-0000-0000D5050000}"/>
    <cellStyle name="Normal 44" xfId="1056" xr:uid="{00000000-0005-0000-0000-0000D6050000}"/>
    <cellStyle name="Normal 45" xfId="1084" xr:uid="{00000000-0005-0000-0000-0000D7050000}"/>
    <cellStyle name="Normal 46" xfId="1053" xr:uid="{00000000-0005-0000-0000-0000D8050000}"/>
    <cellStyle name="Normal 46 2" xfId="1461" xr:uid="{00000000-0005-0000-0000-0000D9050000}"/>
    <cellStyle name="Normal 47" xfId="912" xr:uid="{00000000-0005-0000-0000-0000DA050000}"/>
    <cellStyle name="Normal 47 2" xfId="1448" xr:uid="{00000000-0005-0000-0000-0000DB050000}"/>
    <cellStyle name="Normal 48" xfId="1047" xr:uid="{00000000-0005-0000-0000-0000DC050000}"/>
    <cellStyle name="Normal 48 2" xfId="1459" xr:uid="{00000000-0005-0000-0000-0000DD050000}"/>
    <cellStyle name="Normal 49" xfId="957" xr:uid="{00000000-0005-0000-0000-0000DE050000}"/>
    <cellStyle name="Normal 49 2" xfId="1452" xr:uid="{00000000-0005-0000-0000-0000DF050000}"/>
    <cellStyle name="Normal 5" xfId="445" xr:uid="{00000000-0005-0000-0000-0000E0050000}"/>
    <cellStyle name="Normal 5 2" xfId="825" xr:uid="{00000000-0005-0000-0000-0000E1050000}"/>
    <cellStyle name="Normal 5 3" xfId="1069" xr:uid="{00000000-0005-0000-0000-0000E2050000}"/>
    <cellStyle name="Normal 5 3 2" xfId="1465" xr:uid="{00000000-0005-0000-0000-0000E3050000}"/>
    <cellStyle name="Normal 5 4" xfId="1194" xr:uid="{00000000-0005-0000-0000-0000E4050000}"/>
    <cellStyle name="Normal 5 5" xfId="1316" xr:uid="{00000000-0005-0000-0000-0000E5050000}"/>
    <cellStyle name="Normal 50" xfId="1036" xr:uid="{00000000-0005-0000-0000-0000E6050000}"/>
    <cellStyle name="Normal 50 2" xfId="1455" xr:uid="{00000000-0005-0000-0000-0000E7050000}"/>
    <cellStyle name="Normal 51" xfId="911" xr:uid="{00000000-0005-0000-0000-0000E8050000}"/>
    <cellStyle name="Normal 52" xfId="1104" xr:uid="{00000000-0005-0000-0000-0000E9050000}"/>
    <cellStyle name="Normal 53" xfId="1252" xr:uid="{00000000-0005-0000-0000-0000EA050000}"/>
    <cellStyle name="Normal 54" xfId="1021" xr:uid="{00000000-0005-0000-0000-0000EB050000}"/>
    <cellStyle name="Normal 55" xfId="1103" xr:uid="{00000000-0005-0000-0000-0000EC050000}"/>
    <cellStyle name="Normal 56" xfId="1259" xr:uid="{00000000-0005-0000-0000-0000ED050000}"/>
    <cellStyle name="Normal 57" xfId="1258" xr:uid="{00000000-0005-0000-0000-0000EE050000}"/>
    <cellStyle name="Normal 6" xfId="448" xr:uid="{00000000-0005-0000-0000-0000EF050000}"/>
    <cellStyle name="Normal 6 2" xfId="882" xr:uid="{00000000-0005-0000-0000-0000F0050000}"/>
    <cellStyle name="Normal 6 2 2" xfId="1076" xr:uid="{00000000-0005-0000-0000-0000F1050000}"/>
    <cellStyle name="Normal 6 2 2 2" xfId="1468" xr:uid="{00000000-0005-0000-0000-0000F2050000}"/>
    <cellStyle name="Normal 6 2 3" xfId="1443" xr:uid="{00000000-0005-0000-0000-0000F3050000}"/>
    <cellStyle name="Normal 6 3" xfId="1222" xr:uid="{00000000-0005-0000-0000-0000F4050000}"/>
    <cellStyle name="Normal 6 4" xfId="1319" xr:uid="{00000000-0005-0000-0000-0000F5050000}"/>
    <cellStyle name="Normal 7" xfId="451" xr:uid="{00000000-0005-0000-0000-0000F6050000}"/>
    <cellStyle name="Normal 7 2" xfId="1223" xr:uid="{00000000-0005-0000-0000-0000F7050000}"/>
    <cellStyle name="Normal 7 3" xfId="1322" xr:uid="{00000000-0005-0000-0000-0000F8050000}"/>
    <cellStyle name="Normal 8" xfId="454" xr:uid="{00000000-0005-0000-0000-0000F9050000}"/>
    <cellStyle name="Normal 8 2" xfId="1224" xr:uid="{00000000-0005-0000-0000-0000FA050000}"/>
    <cellStyle name="Normal 8 3" xfId="1325" xr:uid="{00000000-0005-0000-0000-0000FB050000}"/>
    <cellStyle name="Normal 9" xfId="457" xr:uid="{00000000-0005-0000-0000-0000FC050000}"/>
    <cellStyle name="Normal 9 2" xfId="1225" xr:uid="{00000000-0005-0000-0000-0000FD050000}"/>
    <cellStyle name="Normal 9 3" xfId="1328" xr:uid="{00000000-0005-0000-0000-0000FE050000}"/>
    <cellStyle name="Normal Bold" xfId="250" xr:uid="{00000000-0005-0000-0000-0000FF050000}"/>
    <cellStyle name="Normal bold 2" xfId="2011" xr:uid="{00000000-0005-0000-0000-000000060000}"/>
    <cellStyle name="Normal Cells" xfId="2012" xr:uid="{00000000-0005-0000-0000-000001060000}"/>
    <cellStyle name="Normal Italic" xfId="2013" xr:uid="{00000000-0005-0000-0000-000002060000}"/>
    <cellStyle name="Normal Italics" xfId="2014" xr:uid="{00000000-0005-0000-0000-000003060000}"/>
    <cellStyle name="Normal Pct" xfId="251" xr:uid="{00000000-0005-0000-0000-000004060000}"/>
    <cellStyle name="Normal Pct 2" xfId="719" xr:uid="{00000000-0005-0000-0000-000005060000}"/>
    <cellStyle name="Normal_FTsummod1" xfId="252" xr:uid="{00000000-0005-0000-0000-000006060000}"/>
    <cellStyle name="Normal_Thegeorge" xfId="253" xr:uid="{00000000-0005-0000-0000-000007060000}"/>
    <cellStyle name="NormalE" xfId="254" xr:uid="{00000000-0005-0000-0000-000008060000}"/>
    <cellStyle name="NormalE 2" xfId="1183" xr:uid="{00000000-0005-0000-0000-000009060000}"/>
    <cellStyle name="Normale_Astelit bp fix" xfId="2015" xr:uid="{00000000-0005-0000-0000-00000A060000}"/>
    <cellStyle name="NormalGB" xfId="255" xr:uid="{00000000-0005-0000-0000-00000B060000}"/>
    <cellStyle name="NormalGB 2" xfId="2016" xr:uid="{00000000-0005-0000-0000-00000C060000}"/>
    <cellStyle name="NormalGB 2 2" xfId="2017" xr:uid="{00000000-0005-0000-0000-00000D060000}"/>
    <cellStyle name="NormalMultiple" xfId="256" xr:uid="{00000000-0005-0000-0000-00000E060000}"/>
    <cellStyle name="NormalMultiple 2" xfId="2018" xr:uid="{00000000-0005-0000-0000-00000F060000}"/>
    <cellStyle name="NormalMultiple 2 2" xfId="2019" xr:uid="{00000000-0005-0000-0000-000010060000}"/>
    <cellStyle name="NOT" xfId="257" xr:uid="{00000000-0005-0000-0000-000011060000}"/>
    <cellStyle name="Note" xfId="258" builtinId="10" customBuiltin="1"/>
    <cellStyle name="Note 2" xfId="883" xr:uid="{00000000-0005-0000-0000-000013060000}"/>
    <cellStyle name="Note 3" xfId="1038" xr:uid="{00000000-0005-0000-0000-000014060000}"/>
    <cellStyle name="Note 3 2" xfId="1456" xr:uid="{00000000-0005-0000-0000-000015060000}"/>
    <cellStyle name="Note 4" xfId="1291" xr:uid="{00000000-0005-0000-0000-000016060000}"/>
    <cellStyle name="Notes" xfId="259" xr:uid="{00000000-0005-0000-0000-000017060000}"/>
    <cellStyle name="NPPESalesPct" xfId="260" xr:uid="{00000000-0005-0000-0000-000018060000}"/>
    <cellStyle name="NPPESalesPct 2" xfId="720" xr:uid="{00000000-0005-0000-0000-000019060000}"/>
    <cellStyle name="NPPESalesPct 2 2" xfId="2020" xr:uid="{00000000-0005-0000-0000-00001A060000}"/>
    <cellStyle name="Number" xfId="261" xr:uid="{00000000-0005-0000-0000-00001B060000}"/>
    <cellStyle name="Number (2dp)" xfId="262" xr:uid="{00000000-0005-0000-0000-00001C060000}"/>
    <cellStyle name="Number (2dp) 2" xfId="1293" xr:uid="{00000000-0005-0000-0000-00001D060000}"/>
    <cellStyle name="Number 10" xfId="1058" xr:uid="{00000000-0005-0000-0000-00001E060000}"/>
    <cellStyle name="Number 10 2" xfId="1463" xr:uid="{00000000-0005-0000-0000-00001F060000}"/>
    <cellStyle name="Number 11" xfId="1086" xr:uid="{00000000-0005-0000-0000-000020060000}"/>
    <cellStyle name="Number 11 2" xfId="1473" xr:uid="{00000000-0005-0000-0000-000021060000}"/>
    <cellStyle name="Number 12" xfId="1075" xr:uid="{00000000-0005-0000-0000-000022060000}"/>
    <cellStyle name="Number 12 2" xfId="1467" xr:uid="{00000000-0005-0000-0000-000023060000}"/>
    <cellStyle name="Number 13" xfId="1123" xr:uid="{00000000-0005-0000-0000-000024060000}"/>
    <cellStyle name="Number 13 2" xfId="1477" xr:uid="{00000000-0005-0000-0000-000025060000}"/>
    <cellStyle name="Number 14" xfId="969" xr:uid="{00000000-0005-0000-0000-000026060000}"/>
    <cellStyle name="Number 14 2" xfId="1454" xr:uid="{00000000-0005-0000-0000-000027060000}"/>
    <cellStyle name="Number 15" xfId="1142" xr:uid="{00000000-0005-0000-0000-000028060000}"/>
    <cellStyle name="Number 15 2" xfId="1491" xr:uid="{00000000-0005-0000-0000-000029060000}"/>
    <cellStyle name="Number 16" xfId="914" xr:uid="{00000000-0005-0000-0000-00002A060000}"/>
    <cellStyle name="Number 16 2" xfId="1449" xr:uid="{00000000-0005-0000-0000-00002B060000}"/>
    <cellStyle name="Number 17" xfId="1146" xr:uid="{00000000-0005-0000-0000-00002C060000}"/>
    <cellStyle name="Number 17 2" xfId="1492" xr:uid="{00000000-0005-0000-0000-00002D060000}"/>
    <cellStyle name="Number 18" xfId="1134" xr:uid="{00000000-0005-0000-0000-00002E060000}"/>
    <cellStyle name="Number 18 2" xfId="1484" xr:uid="{00000000-0005-0000-0000-00002F060000}"/>
    <cellStyle name="Number 19" xfId="958" xr:uid="{00000000-0005-0000-0000-000030060000}"/>
    <cellStyle name="Number 19 2" xfId="1453" xr:uid="{00000000-0005-0000-0000-000031060000}"/>
    <cellStyle name="Number 2" xfId="721" xr:uid="{00000000-0005-0000-0000-000032060000}"/>
    <cellStyle name="Number 2 2" xfId="1417" xr:uid="{00000000-0005-0000-0000-000033060000}"/>
    <cellStyle name="Number 20" xfId="1255" xr:uid="{00000000-0005-0000-0000-000034060000}"/>
    <cellStyle name="Number 20 2" xfId="1496" xr:uid="{00000000-0005-0000-0000-000035060000}"/>
    <cellStyle name="Number 21" xfId="1048" xr:uid="{00000000-0005-0000-0000-000036060000}"/>
    <cellStyle name="Number 21 2" xfId="1460" xr:uid="{00000000-0005-0000-0000-000037060000}"/>
    <cellStyle name="Number 22" xfId="1292" xr:uid="{00000000-0005-0000-0000-000038060000}"/>
    <cellStyle name="Number 3" xfId="900" xr:uid="{00000000-0005-0000-0000-000039060000}"/>
    <cellStyle name="Number 3 2" xfId="1445" xr:uid="{00000000-0005-0000-0000-00003A060000}"/>
    <cellStyle name="Number 4" xfId="897" xr:uid="{00000000-0005-0000-0000-00003B060000}"/>
    <cellStyle name="Number 4 2" xfId="1444" xr:uid="{00000000-0005-0000-0000-00003C060000}"/>
    <cellStyle name="Number 5" xfId="1039" xr:uid="{00000000-0005-0000-0000-00003D060000}"/>
    <cellStyle name="Number 5 2" xfId="1457" xr:uid="{00000000-0005-0000-0000-00003E060000}"/>
    <cellStyle name="Number 6" xfId="950" xr:uid="{00000000-0005-0000-0000-00003F060000}"/>
    <cellStyle name="Number 6 2" xfId="1450" xr:uid="{00000000-0005-0000-0000-000040060000}"/>
    <cellStyle name="Number 7" xfId="1098" xr:uid="{00000000-0005-0000-0000-000041060000}"/>
    <cellStyle name="Number 7 2" xfId="1475" xr:uid="{00000000-0005-0000-0000-000042060000}"/>
    <cellStyle name="Number 8" xfId="1062" xr:uid="{00000000-0005-0000-0000-000043060000}"/>
    <cellStyle name="Number 8 2" xfId="1464" xr:uid="{00000000-0005-0000-0000-000044060000}"/>
    <cellStyle name="Number 9" xfId="1092" xr:uid="{00000000-0005-0000-0000-000045060000}"/>
    <cellStyle name="Number 9 2" xfId="1474" xr:uid="{00000000-0005-0000-0000-000046060000}"/>
    <cellStyle name="Number_Copy of ESA5 ForecastScaling" xfId="263" xr:uid="{00000000-0005-0000-0000-000047060000}"/>
    <cellStyle name="NWI%S" xfId="264" xr:uid="{00000000-0005-0000-0000-000048060000}"/>
    <cellStyle name="NWI%S 2" xfId="722" xr:uid="{00000000-0005-0000-0000-000049060000}"/>
    <cellStyle name="NWI%S 2 2" xfId="2021" xr:uid="{00000000-0005-0000-0000-00004A060000}"/>
    <cellStyle name="Œ…‹æØ‚è [0.00]_GE 3 MINIMUM" xfId="265" xr:uid="{00000000-0005-0000-0000-00004B060000}"/>
    <cellStyle name="Œ…‹æØ‚è_GE 3 MINIMUM" xfId="266" xr:uid="{00000000-0005-0000-0000-00004C060000}"/>
    <cellStyle name="Ombrée" xfId="267" xr:uid="{00000000-0005-0000-0000-00004D060000}"/>
    <cellStyle name="Ombrée 2" xfId="2022" xr:uid="{00000000-0005-0000-0000-00004E060000}"/>
    <cellStyle name="Ombrée 3" xfId="2023" xr:uid="{00000000-0005-0000-0000-00004F060000}"/>
    <cellStyle name="Ombrée 3 2" xfId="2024" xr:uid="{00000000-0005-0000-0000-000050060000}"/>
    <cellStyle name="Onedec" xfId="268" xr:uid="{00000000-0005-0000-0000-000051060000}"/>
    <cellStyle name="Onedec 2" xfId="723" xr:uid="{00000000-0005-0000-0000-000052060000}"/>
    <cellStyle name="Option" xfId="269" xr:uid="{00000000-0005-0000-0000-000053060000}"/>
    <cellStyle name="Option 2" xfId="2025" xr:uid="{00000000-0005-0000-0000-000054060000}"/>
    <cellStyle name="Option 2 2" xfId="2026" xr:uid="{00000000-0005-0000-0000-000055060000}"/>
    <cellStyle name="outh America" xfId="724" xr:uid="{00000000-0005-0000-0000-000056060000}"/>
    <cellStyle name="Output" xfId="270" builtinId="21" customBuiltin="1"/>
    <cellStyle name="Output 2" xfId="884" xr:uid="{00000000-0005-0000-0000-000058060000}"/>
    <cellStyle name="Output 3" xfId="1040" xr:uid="{00000000-0005-0000-0000-000059060000}"/>
    <cellStyle name="Output 3 2" xfId="1458" xr:uid="{00000000-0005-0000-0000-00005A060000}"/>
    <cellStyle name="Output 4" xfId="1294" xr:uid="{00000000-0005-0000-0000-00005B060000}"/>
    <cellStyle name="Output Amounts" xfId="885" xr:uid="{00000000-0005-0000-0000-00005C060000}"/>
    <cellStyle name="Output Column Headings" xfId="886" xr:uid="{00000000-0005-0000-0000-00005D060000}"/>
    <cellStyle name="Output Line Items" xfId="887" xr:uid="{00000000-0005-0000-0000-00005E060000}"/>
    <cellStyle name="Output Report Heading" xfId="888" xr:uid="{00000000-0005-0000-0000-00005F060000}"/>
    <cellStyle name="Output Report Title" xfId="889" xr:uid="{00000000-0005-0000-0000-000060060000}"/>
    <cellStyle name="Page header" xfId="725" xr:uid="{00000000-0005-0000-0000-000061060000}"/>
    <cellStyle name="Page Number" xfId="271" xr:uid="{00000000-0005-0000-0000-000062060000}"/>
    <cellStyle name="Page Number 2" xfId="726" xr:uid="{00000000-0005-0000-0000-000063060000}"/>
    <cellStyle name="Page Number 2 2" xfId="2027" xr:uid="{00000000-0005-0000-0000-000064060000}"/>
    <cellStyle name="Page Number 3" xfId="2028" xr:uid="{00000000-0005-0000-0000-000065060000}"/>
    <cellStyle name="Page Number 4" xfId="2029" xr:uid="{00000000-0005-0000-0000-000066060000}"/>
    <cellStyle name="Page Number 5" xfId="2030" xr:uid="{00000000-0005-0000-0000-000067060000}"/>
    <cellStyle name="Pass" xfId="272" xr:uid="{00000000-0005-0000-0000-000068060000}"/>
    <cellStyle name="Pass 2" xfId="2031" xr:uid="{00000000-0005-0000-0000-000069060000}"/>
    <cellStyle name="Pass 3" xfId="2032" xr:uid="{00000000-0005-0000-0000-00006A060000}"/>
    <cellStyle name="Pass 3 2" xfId="2033" xr:uid="{00000000-0005-0000-0000-00006B060000}"/>
    <cellStyle name="PB Table Heading" xfId="273" xr:uid="{00000000-0005-0000-0000-00006C060000}"/>
    <cellStyle name="PB Table Heading 2" xfId="2034" xr:uid="{00000000-0005-0000-0000-00006D060000}"/>
    <cellStyle name="PB Table Highlight1" xfId="274" xr:uid="{00000000-0005-0000-0000-00006E060000}"/>
    <cellStyle name="PB Table Highlight1 2" xfId="2035" xr:uid="{00000000-0005-0000-0000-00006F060000}"/>
    <cellStyle name="PB Table Highlight2" xfId="275" xr:uid="{00000000-0005-0000-0000-000070060000}"/>
    <cellStyle name="PB Table Highlight3" xfId="276" xr:uid="{00000000-0005-0000-0000-000071060000}"/>
    <cellStyle name="PB Table Standard Row" xfId="277" xr:uid="{00000000-0005-0000-0000-000072060000}"/>
    <cellStyle name="PB Table Standard Row 2" xfId="2036" xr:uid="{00000000-0005-0000-0000-000073060000}"/>
    <cellStyle name="PB Table Subtotal Row" xfId="278" xr:uid="{00000000-0005-0000-0000-000074060000}"/>
    <cellStyle name="PB Table Subtotal Row 2" xfId="2037" xr:uid="{00000000-0005-0000-0000-000075060000}"/>
    <cellStyle name="PB Table Total Row" xfId="279" xr:uid="{00000000-0005-0000-0000-000076060000}"/>
    <cellStyle name="PB Table Total Row 2" xfId="2038" xr:uid="{00000000-0005-0000-0000-000077060000}"/>
    <cellStyle name="pb_page_heading_LS" xfId="280" xr:uid="{00000000-0005-0000-0000-000078060000}"/>
    <cellStyle name="pc1" xfId="281" xr:uid="{00000000-0005-0000-0000-000079060000}"/>
    <cellStyle name="pc1 2" xfId="727" xr:uid="{00000000-0005-0000-0000-00007A060000}"/>
    <cellStyle name="PctLine" xfId="282" xr:uid="{00000000-0005-0000-0000-00007B060000}"/>
    <cellStyle name="per.style" xfId="283" xr:uid="{00000000-0005-0000-0000-00007C060000}"/>
    <cellStyle name="per.style 2" xfId="2039" xr:uid="{00000000-0005-0000-0000-00007D060000}"/>
    <cellStyle name="per.style 3" xfId="2040" xr:uid="{00000000-0005-0000-0000-00007E060000}"/>
    <cellStyle name="per.style 3 2" xfId="2041" xr:uid="{00000000-0005-0000-0000-00007F060000}"/>
    <cellStyle name="Percent" xfId="284" builtinId="5"/>
    <cellStyle name="Percent (0)" xfId="285" xr:uid="{00000000-0005-0000-0000-000081060000}"/>
    <cellStyle name="Percent (0) 2" xfId="2042" xr:uid="{00000000-0005-0000-0000-000082060000}"/>
    <cellStyle name="Percent (0) 3" xfId="2043" xr:uid="{00000000-0005-0000-0000-000083060000}"/>
    <cellStyle name="Percent (0) 3 2" xfId="2044" xr:uid="{00000000-0005-0000-0000-000084060000}"/>
    <cellStyle name="Percent (0.0)" xfId="286" xr:uid="{00000000-0005-0000-0000-000085060000}"/>
    <cellStyle name="Percent (0.00)" xfId="287" xr:uid="{00000000-0005-0000-0000-000086060000}"/>
    <cellStyle name="Percent (M)" xfId="729" xr:uid="{00000000-0005-0000-0000-000087060000}"/>
    <cellStyle name="Percent [0]" xfId="288" xr:uid="{00000000-0005-0000-0000-000088060000}"/>
    <cellStyle name="Percent [0] 2" xfId="730" xr:uid="{00000000-0005-0000-0000-000089060000}"/>
    <cellStyle name="Percent [0] 2 2" xfId="2045" xr:uid="{00000000-0005-0000-0000-00008A060000}"/>
    <cellStyle name="Percent [1]" xfId="289" xr:uid="{00000000-0005-0000-0000-00008B060000}"/>
    <cellStyle name="Percent [1] 2" xfId="731" xr:uid="{00000000-0005-0000-0000-00008C060000}"/>
    <cellStyle name="Percent [1] 2 2" xfId="2046" xr:uid="{00000000-0005-0000-0000-00008D060000}"/>
    <cellStyle name="Percent [2]" xfId="290" xr:uid="{00000000-0005-0000-0000-00008E060000}"/>
    <cellStyle name="Percent [2] 2" xfId="732" xr:uid="{00000000-0005-0000-0000-00008F060000}"/>
    <cellStyle name="Percent [2] 2 2" xfId="2047" xr:uid="{00000000-0005-0000-0000-000090060000}"/>
    <cellStyle name="Percent [2] 3" xfId="1045" xr:uid="{00000000-0005-0000-0000-000091060000}"/>
    <cellStyle name="Percent [2] 4" xfId="2048" xr:uid="{00000000-0005-0000-0000-000092060000}"/>
    <cellStyle name="Percent 0" xfId="291" xr:uid="{00000000-0005-0000-0000-000093060000}"/>
    <cellStyle name="Percent 0 2" xfId="2049" xr:uid="{00000000-0005-0000-0000-000094060000}"/>
    <cellStyle name="Percent 0 2 2" xfId="2050" xr:uid="{00000000-0005-0000-0000-000095060000}"/>
    <cellStyle name="Percent 0 3" xfId="2051" xr:uid="{00000000-0005-0000-0000-000096060000}"/>
    <cellStyle name="Percent 0.00" xfId="292" xr:uid="{00000000-0005-0000-0000-000097060000}"/>
    <cellStyle name="Percent 0.00 2" xfId="2052" xr:uid="{00000000-0005-0000-0000-000098060000}"/>
    <cellStyle name="Percent 0.00 2 2" xfId="2053" xr:uid="{00000000-0005-0000-0000-000099060000}"/>
    <cellStyle name="Percent 0.00 3" xfId="2054" xr:uid="{00000000-0005-0000-0000-00009A060000}"/>
    <cellStyle name="Percent 0_3q" xfId="293" xr:uid="{00000000-0005-0000-0000-00009B060000}"/>
    <cellStyle name="Percent 10" xfId="459" xr:uid="{00000000-0005-0000-0000-00009C060000}"/>
    <cellStyle name="Percent 10 2" xfId="823" xr:uid="{00000000-0005-0000-0000-00009D060000}"/>
    <cellStyle name="Percent 10 3" xfId="1330" xr:uid="{00000000-0005-0000-0000-00009E060000}"/>
    <cellStyle name="Percent 11" xfId="462" xr:uid="{00000000-0005-0000-0000-00009F060000}"/>
    <cellStyle name="Percent 11 2" xfId="1204" xr:uid="{00000000-0005-0000-0000-0000A0060000}"/>
    <cellStyle name="Percent 11 3" xfId="1333" xr:uid="{00000000-0005-0000-0000-0000A1060000}"/>
    <cellStyle name="Percent 12" xfId="465" xr:uid="{00000000-0005-0000-0000-0000A2060000}"/>
    <cellStyle name="Percent 12 2" xfId="1167" xr:uid="{00000000-0005-0000-0000-0000A3060000}"/>
    <cellStyle name="Percent 12 3" xfId="1336" xr:uid="{00000000-0005-0000-0000-0000A4060000}"/>
    <cellStyle name="Percent 13" xfId="468" xr:uid="{00000000-0005-0000-0000-0000A5060000}"/>
    <cellStyle name="Percent 13 2" xfId="1206" xr:uid="{00000000-0005-0000-0000-0000A6060000}"/>
    <cellStyle name="Percent 13 3" xfId="1339" xr:uid="{00000000-0005-0000-0000-0000A7060000}"/>
    <cellStyle name="Percent 14" xfId="471" xr:uid="{00000000-0005-0000-0000-0000A8060000}"/>
    <cellStyle name="Percent 14 2" xfId="1168" xr:uid="{00000000-0005-0000-0000-0000A9060000}"/>
    <cellStyle name="Percent 14 3" xfId="1342" xr:uid="{00000000-0005-0000-0000-0000AA060000}"/>
    <cellStyle name="Percent 15" xfId="474" xr:uid="{00000000-0005-0000-0000-0000AB060000}"/>
    <cellStyle name="Percent 15 2" xfId="1212" xr:uid="{00000000-0005-0000-0000-0000AC060000}"/>
    <cellStyle name="Percent 15 3" xfId="1345" xr:uid="{00000000-0005-0000-0000-0000AD060000}"/>
    <cellStyle name="Percent 16" xfId="477" xr:uid="{00000000-0005-0000-0000-0000AE060000}"/>
    <cellStyle name="Percent 16 2" xfId="1177" xr:uid="{00000000-0005-0000-0000-0000AF060000}"/>
    <cellStyle name="Percent 16 3" xfId="1348" xr:uid="{00000000-0005-0000-0000-0000B0060000}"/>
    <cellStyle name="Percent 17" xfId="480" xr:uid="{00000000-0005-0000-0000-0000B1060000}"/>
    <cellStyle name="Percent 17 2" xfId="1210" xr:uid="{00000000-0005-0000-0000-0000B2060000}"/>
    <cellStyle name="Percent 17 3" xfId="1351" xr:uid="{00000000-0005-0000-0000-0000B3060000}"/>
    <cellStyle name="Percent 18" xfId="483" xr:uid="{00000000-0005-0000-0000-0000B4060000}"/>
    <cellStyle name="Percent 18 2" xfId="1181" xr:uid="{00000000-0005-0000-0000-0000B5060000}"/>
    <cellStyle name="Percent 18 3" xfId="1354" xr:uid="{00000000-0005-0000-0000-0000B6060000}"/>
    <cellStyle name="Percent 19" xfId="486" xr:uid="{00000000-0005-0000-0000-0000B7060000}"/>
    <cellStyle name="Percent 19 2" xfId="1208" xr:uid="{00000000-0005-0000-0000-0000B8060000}"/>
    <cellStyle name="Percent 19 3" xfId="1357" xr:uid="{00000000-0005-0000-0000-0000B9060000}"/>
    <cellStyle name="Percent 2" xfId="294" xr:uid="{00000000-0005-0000-0000-0000BA060000}"/>
    <cellStyle name="Percent 2 2" xfId="733" xr:uid="{00000000-0005-0000-0000-0000BB060000}"/>
    <cellStyle name="Percent 2 3" xfId="2055" xr:uid="{00000000-0005-0000-0000-0000BC060000}"/>
    <cellStyle name="Percent 2 3 2" xfId="2056" xr:uid="{00000000-0005-0000-0000-0000BD060000}"/>
    <cellStyle name="Percent 20" xfId="489" xr:uid="{00000000-0005-0000-0000-0000BE060000}"/>
    <cellStyle name="Percent 20 2" xfId="1187" xr:uid="{00000000-0005-0000-0000-0000BF060000}"/>
    <cellStyle name="Percent 20 3" xfId="1360" xr:uid="{00000000-0005-0000-0000-0000C0060000}"/>
    <cellStyle name="Percent 21" xfId="492" xr:uid="{00000000-0005-0000-0000-0000C1060000}"/>
    <cellStyle name="Percent 21 2" xfId="1239" xr:uid="{00000000-0005-0000-0000-0000C2060000}"/>
    <cellStyle name="Percent 21 3" xfId="1363" xr:uid="{00000000-0005-0000-0000-0000C3060000}"/>
    <cellStyle name="Percent 22" xfId="495" xr:uid="{00000000-0005-0000-0000-0000C4060000}"/>
    <cellStyle name="Percent 22 2" xfId="1366" xr:uid="{00000000-0005-0000-0000-0000C5060000}"/>
    <cellStyle name="Percent 23" xfId="498" xr:uid="{00000000-0005-0000-0000-0000C6060000}"/>
    <cellStyle name="Percent 23 2" xfId="1369" xr:uid="{00000000-0005-0000-0000-0000C7060000}"/>
    <cellStyle name="Percent 24" xfId="501" xr:uid="{00000000-0005-0000-0000-0000C8060000}"/>
    <cellStyle name="Percent 24 2" xfId="1372" xr:uid="{00000000-0005-0000-0000-0000C9060000}"/>
    <cellStyle name="Percent 25" xfId="504" xr:uid="{00000000-0005-0000-0000-0000CA060000}"/>
    <cellStyle name="Percent 25 2" xfId="1375" xr:uid="{00000000-0005-0000-0000-0000CB060000}"/>
    <cellStyle name="Percent 26" xfId="507" xr:uid="{00000000-0005-0000-0000-0000CC060000}"/>
    <cellStyle name="Percent 26 2" xfId="1378" xr:uid="{00000000-0005-0000-0000-0000CD060000}"/>
    <cellStyle name="Percent 27" xfId="510" xr:uid="{00000000-0005-0000-0000-0000CE060000}"/>
    <cellStyle name="Percent 27 2" xfId="1381" xr:uid="{00000000-0005-0000-0000-0000CF060000}"/>
    <cellStyle name="Percent 28" xfId="513" xr:uid="{00000000-0005-0000-0000-0000D0060000}"/>
    <cellStyle name="Percent 28 2" xfId="1384" xr:uid="{00000000-0005-0000-0000-0000D1060000}"/>
    <cellStyle name="Percent 29" xfId="516" xr:uid="{00000000-0005-0000-0000-0000D2060000}"/>
    <cellStyle name="Percent 29 2" xfId="1387" xr:uid="{00000000-0005-0000-0000-0000D3060000}"/>
    <cellStyle name="Percent 3" xfId="295" xr:uid="{00000000-0005-0000-0000-0000D4060000}"/>
    <cellStyle name="Percent 3 2" xfId="734" xr:uid="{00000000-0005-0000-0000-0000D5060000}"/>
    <cellStyle name="Percent 3 3" xfId="1296" xr:uid="{00000000-0005-0000-0000-0000D6060000}"/>
    <cellStyle name="Percent 30" xfId="519" xr:uid="{00000000-0005-0000-0000-0000D7060000}"/>
    <cellStyle name="Percent 30 2" xfId="1390" xr:uid="{00000000-0005-0000-0000-0000D8060000}"/>
    <cellStyle name="Percent 31" xfId="522" xr:uid="{00000000-0005-0000-0000-0000D9060000}"/>
    <cellStyle name="Percent 31 2" xfId="1393" xr:uid="{00000000-0005-0000-0000-0000DA060000}"/>
    <cellStyle name="Percent 32" xfId="525" xr:uid="{00000000-0005-0000-0000-0000DB060000}"/>
    <cellStyle name="Percent 32 2" xfId="1396" xr:uid="{00000000-0005-0000-0000-0000DC060000}"/>
    <cellStyle name="Percent 33" xfId="528" xr:uid="{00000000-0005-0000-0000-0000DD060000}"/>
    <cellStyle name="Percent 33 2" xfId="1399" xr:uid="{00000000-0005-0000-0000-0000DE060000}"/>
    <cellStyle name="Percent 34" xfId="531" xr:uid="{00000000-0005-0000-0000-0000DF060000}"/>
    <cellStyle name="Percent 34 2" xfId="1402" xr:uid="{00000000-0005-0000-0000-0000E0060000}"/>
    <cellStyle name="Percent 35" xfId="534" xr:uid="{00000000-0005-0000-0000-0000E1060000}"/>
    <cellStyle name="Percent 35 2" xfId="1405" xr:uid="{00000000-0005-0000-0000-0000E2060000}"/>
    <cellStyle name="Percent 36" xfId="537" xr:uid="{00000000-0005-0000-0000-0000E3060000}"/>
    <cellStyle name="Percent 36 2" xfId="1408" xr:uid="{00000000-0005-0000-0000-0000E4060000}"/>
    <cellStyle name="Percent 37" xfId="728" xr:uid="{00000000-0005-0000-0000-0000E5060000}"/>
    <cellStyle name="Percent 38" xfId="901" xr:uid="{00000000-0005-0000-0000-0000E6060000}"/>
    <cellStyle name="Percent 39" xfId="896" xr:uid="{00000000-0005-0000-0000-0000E7060000}"/>
    <cellStyle name="Percent 4" xfId="441" xr:uid="{00000000-0005-0000-0000-0000E8060000}"/>
    <cellStyle name="Percent 4 2" xfId="820" xr:uid="{00000000-0005-0000-0000-0000E9060000}"/>
    <cellStyle name="Percent 4 2 2" xfId="1241" xr:uid="{00000000-0005-0000-0000-0000EA060000}"/>
    <cellStyle name="Percent 4 2 3" xfId="1424" xr:uid="{00000000-0005-0000-0000-0000EB060000}"/>
    <cellStyle name="Percent 4 3" xfId="1070" xr:uid="{00000000-0005-0000-0000-0000EC060000}"/>
    <cellStyle name="Percent 4 3 2" xfId="2057" xr:uid="{00000000-0005-0000-0000-0000ED060000}"/>
    <cellStyle name="Percent 4 4" xfId="1072" xr:uid="{00000000-0005-0000-0000-0000EE060000}"/>
    <cellStyle name="Percent 4 4 2" xfId="1466" xr:uid="{00000000-0005-0000-0000-0000EF060000}"/>
    <cellStyle name="Percent 4 5" xfId="1190" xr:uid="{00000000-0005-0000-0000-0000F0060000}"/>
    <cellStyle name="Percent 4 6" xfId="1312" xr:uid="{00000000-0005-0000-0000-0000F1060000}"/>
    <cellStyle name="Percent 40" xfId="1043" xr:uid="{00000000-0005-0000-0000-0000F2060000}"/>
    <cellStyle name="Percent 41" xfId="945" xr:uid="{00000000-0005-0000-0000-0000F3060000}"/>
    <cellStyle name="Percent 42" xfId="1074" xr:uid="{00000000-0005-0000-0000-0000F4060000}"/>
    <cellStyle name="Percent 43" xfId="949" xr:uid="{00000000-0005-0000-0000-0000F5060000}"/>
    <cellStyle name="Percent 44" xfId="1031" xr:uid="{00000000-0005-0000-0000-0000F6060000}"/>
    <cellStyle name="Percent 45" xfId="955" xr:uid="{00000000-0005-0000-0000-0000F7060000}"/>
    <cellStyle name="Percent 46" xfId="1024" xr:uid="{00000000-0005-0000-0000-0000F8060000}"/>
    <cellStyle name="Percent 47" xfId="961" xr:uid="{00000000-0005-0000-0000-0000F9060000}"/>
    <cellStyle name="Percent 48" xfId="1125" xr:uid="{00000000-0005-0000-0000-0000FA060000}"/>
    <cellStyle name="Percent 49" xfId="910" xr:uid="{00000000-0005-0000-0000-0000FB060000}"/>
    <cellStyle name="Percent 5" xfId="444" xr:uid="{00000000-0005-0000-0000-0000FC060000}"/>
    <cellStyle name="Percent 5 2" xfId="1198" xr:uid="{00000000-0005-0000-0000-0000FD060000}"/>
    <cellStyle name="Percent 5 3" xfId="1315" xr:uid="{00000000-0005-0000-0000-0000FE060000}"/>
    <cellStyle name="Percent 5 3 2" xfId="2058" xr:uid="{00000000-0005-0000-0000-0000FF060000}"/>
    <cellStyle name="Percent 5 4" xfId="2059" xr:uid="{00000000-0005-0000-0000-000000070000}"/>
    <cellStyle name="Percent 50" xfId="1078" xr:uid="{00000000-0005-0000-0000-000001070000}"/>
    <cellStyle name="Percent 51" xfId="1108" xr:uid="{00000000-0005-0000-0000-000002070000}"/>
    <cellStyle name="Percent 52" xfId="1041" xr:uid="{00000000-0005-0000-0000-000003070000}"/>
    <cellStyle name="Percent 53" xfId="1158" xr:uid="{00000000-0005-0000-0000-000004070000}"/>
    <cellStyle name="Percent 54" xfId="1046" xr:uid="{00000000-0005-0000-0000-000005070000}"/>
    <cellStyle name="Percent 55" xfId="1250" xr:uid="{00000000-0005-0000-0000-000006070000}"/>
    <cellStyle name="Percent 56" xfId="1145" xr:uid="{00000000-0005-0000-0000-000007070000}"/>
    <cellStyle name="Percent 57" xfId="1295" xr:uid="{00000000-0005-0000-0000-000008070000}"/>
    <cellStyle name="Percent 6" xfId="447" xr:uid="{00000000-0005-0000-0000-000009070000}"/>
    <cellStyle name="Percent 6 2" xfId="1162" xr:uid="{00000000-0005-0000-0000-00000A070000}"/>
    <cellStyle name="Percent 6 3" xfId="1318" xr:uid="{00000000-0005-0000-0000-00000B070000}"/>
    <cellStyle name="Percent 7" xfId="450" xr:uid="{00000000-0005-0000-0000-00000C070000}"/>
    <cellStyle name="Percent 7 2" xfId="1199" xr:uid="{00000000-0005-0000-0000-00000D070000}"/>
    <cellStyle name="Percent 7 3" xfId="1321" xr:uid="{00000000-0005-0000-0000-00000E070000}"/>
    <cellStyle name="Percent 8" xfId="453" xr:uid="{00000000-0005-0000-0000-00000F070000}"/>
    <cellStyle name="Percent 8 2" xfId="1163" xr:uid="{00000000-0005-0000-0000-000010070000}"/>
    <cellStyle name="Percent 8 3" xfId="1324" xr:uid="{00000000-0005-0000-0000-000011070000}"/>
    <cellStyle name="Percent 8 4" xfId="1498" xr:uid="{00000000-0005-0000-0000-000012070000}"/>
    <cellStyle name="Percent 9" xfId="456" xr:uid="{00000000-0005-0000-0000-000013070000}"/>
    <cellStyle name="Percent 9 2" xfId="1200" xr:uid="{00000000-0005-0000-0000-000014070000}"/>
    <cellStyle name="Percent 9 3" xfId="1327" xr:uid="{00000000-0005-0000-0000-000015070000}"/>
    <cellStyle name="Percent1" xfId="735" xr:uid="{00000000-0005-0000-0000-000016070000}"/>
    <cellStyle name="Percentage" xfId="296" xr:uid="{00000000-0005-0000-0000-000017070000}"/>
    <cellStyle name="Percentage (2dp)" xfId="297" xr:uid="{00000000-0005-0000-0000-000018070000}"/>
    <cellStyle name="Percentage (2dp) 2" xfId="1298" xr:uid="{00000000-0005-0000-0000-000019070000}"/>
    <cellStyle name="Percentage 2" xfId="1297" xr:uid="{00000000-0005-0000-0000-00001A070000}"/>
    <cellStyle name="Percentage_Copy of ESA5 ForecastScaling" xfId="298" xr:uid="{00000000-0005-0000-0000-00001B070000}"/>
    <cellStyle name="PercentChange" xfId="299" xr:uid="{00000000-0005-0000-0000-00001C070000}"/>
    <cellStyle name="PercentChange 2" xfId="736" xr:uid="{00000000-0005-0000-0000-00001D070000}"/>
    <cellStyle name="PercentChange 3" xfId="2060" xr:uid="{00000000-0005-0000-0000-00001E070000}"/>
    <cellStyle name="PercentChange 3 2" xfId="2061" xr:uid="{00000000-0005-0000-0000-00001F070000}"/>
    <cellStyle name="PercentChange 4" xfId="2062" xr:uid="{00000000-0005-0000-0000-000020070000}"/>
    <cellStyle name="PercentPresentation" xfId="300" xr:uid="{00000000-0005-0000-0000-000021070000}"/>
    <cellStyle name="PercentPresentation 2" xfId="2063" xr:uid="{00000000-0005-0000-0000-000022070000}"/>
    <cellStyle name="PercentPresentation 2 2" xfId="2064" xr:uid="{00000000-0005-0000-0000-000023070000}"/>
    <cellStyle name="PercentSales" xfId="301" xr:uid="{00000000-0005-0000-0000-000024070000}"/>
    <cellStyle name="PercentSales 2" xfId="737" xr:uid="{00000000-0005-0000-0000-000025070000}"/>
    <cellStyle name="PercentSales 2 2" xfId="2065" xr:uid="{00000000-0005-0000-0000-000026070000}"/>
    <cellStyle name="Percentual" xfId="2066" xr:uid="{00000000-0005-0000-0000-000027070000}"/>
    <cellStyle name="PerShare" xfId="302" xr:uid="{00000000-0005-0000-0000-000028070000}"/>
    <cellStyle name="PerShare 2" xfId="2067" xr:uid="{00000000-0005-0000-0000-000029070000}"/>
    <cellStyle name="PerShare 2 2" xfId="2068" xr:uid="{00000000-0005-0000-0000-00002A070000}"/>
    <cellStyle name="Ponto" xfId="2069" xr:uid="{00000000-0005-0000-0000-00002B070000}"/>
    <cellStyle name="POPS" xfId="303" xr:uid="{00000000-0005-0000-0000-00002C070000}"/>
    <cellStyle name="POPS 2" xfId="2070" xr:uid="{00000000-0005-0000-0000-00002D070000}"/>
    <cellStyle name="POPS 2 2" xfId="2071" xr:uid="{00000000-0005-0000-0000-00002E070000}"/>
    <cellStyle name="Porcentaje" xfId="2072" xr:uid="{00000000-0005-0000-0000-00002F070000}"/>
    <cellStyle name="Porcentual_Modelo_19-06" xfId="2073" xr:uid="{00000000-0005-0000-0000-000030070000}"/>
    <cellStyle name="Pourcentage [0]" xfId="304" xr:uid="{00000000-0005-0000-0000-000031070000}"/>
    <cellStyle name="Pourcentage [00]" xfId="305" xr:uid="{00000000-0005-0000-0000-000032070000}"/>
    <cellStyle name="Pourcentage [00] 2" xfId="2074" xr:uid="{00000000-0005-0000-0000-000033070000}"/>
    <cellStyle name="Pourcentage [00] 3" xfId="2075" xr:uid="{00000000-0005-0000-0000-000034070000}"/>
    <cellStyle name="Pourcentage [00] 3 2" xfId="2076" xr:uid="{00000000-0005-0000-0000-000035070000}"/>
    <cellStyle name="Pourcentage_BASCULER" xfId="306" xr:uid="{00000000-0005-0000-0000-000036070000}"/>
    <cellStyle name="Presentation" xfId="307" xr:uid="{00000000-0005-0000-0000-000037070000}"/>
    <cellStyle name="Presentation 2" xfId="2077" xr:uid="{00000000-0005-0000-0000-000038070000}"/>
    <cellStyle name="Presentation 2 2" xfId="2078" xr:uid="{00000000-0005-0000-0000-000039070000}"/>
    <cellStyle name="PresentationZero" xfId="308" xr:uid="{00000000-0005-0000-0000-00003A070000}"/>
    <cellStyle name="PresentationZero 2" xfId="2079" xr:uid="{00000000-0005-0000-0000-00003B070000}"/>
    <cellStyle name="PresentationZero 2 2" xfId="2080" xr:uid="{00000000-0005-0000-0000-00003C070000}"/>
    <cellStyle name="Price" xfId="309" xr:uid="{00000000-0005-0000-0000-00003D070000}"/>
    <cellStyle name="Price 2" xfId="2081" xr:uid="{00000000-0005-0000-0000-00003E070000}"/>
    <cellStyle name="Price 2 2" xfId="2082" xr:uid="{00000000-0005-0000-0000-00003F070000}"/>
    <cellStyle name="PROJECT" xfId="738" xr:uid="{00000000-0005-0000-0000-000040070000}"/>
    <cellStyle name="PROJECT R" xfId="739" xr:uid="{00000000-0005-0000-0000-000041070000}"/>
    <cellStyle name="Protected" xfId="2083" xr:uid="{00000000-0005-0000-0000-000042070000}"/>
    <cellStyle name="PSChar" xfId="2084" xr:uid="{00000000-0005-0000-0000-000043070000}"/>
    <cellStyle name="Pub percent" xfId="310" xr:uid="{00000000-0005-0000-0000-000044070000}"/>
    <cellStyle name="Pub percent 2" xfId="2085" xr:uid="{00000000-0005-0000-0000-000045070000}"/>
    <cellStyle name="Pub percent 3" xfId="2086" xr:uid="{00000000-0005-0000-0000-000046070000}"/>
    <cellStyle name="Pub percent 3 2" xfId="2087" xr:uid="{00000000-0005-0000-0000-000047070000}"/>
    <cellStyle name="Purple" xfId="740" xr:uid="{00000000-0005-0000-0000-000048070000}"/>
    <cellStyle name="r" xfId="311" xr:uid="{00000000-0005-0000-0000-000049070000}"/>
    <cellStyle name="r 2" xfId="2088" xr:uid="{00000000-0005-0000-0000-00004A070000}"/>
    <cellStyle name="r 2 2" xfId="2089" xr:uid="{00000000-0005-0000-0000-00004B070000}"/>
    <cellStyle name="r_Canal Digital" xfId="312" xr:uid="{00000000-0005-0000-0000-00004C070000}"/>
    <cellStyle name="r_Canal Digital 2" xfId="2090" xr:uid="{00000000-0005-0000-0000-00004D070000}"/>
    <cellStyle name="r_Canal Digital 2 2" xfId="2091" xr:uid="{00000000-0005-0000-0000-00004E070000}"/>
    <cellStyle name="r_Canal Digital_Deutsche" xfId="313" xr:uid="{00000000-0005-0000-0000-00004F070000}"/>
    <cellStyle name="r_Canal Digital_Fixed" xfId="314" xr:uid="{00000000-0005-0000-0000-000050070000}"/>
    <cellStyle name="r_Canal Digital_Fixed 2" xfId="2092" xr:uid="{00000000-0005-0000-0000-000051070000}"/>
    <cellStyle name="r_Canal Digital_Fixed 2 2" xfId="2093" xr:uid="{00000000-0005-0000-0000-000052070000}"/>
    <cellStyle name="r_Canal Digital_Fixed_Deutsche" xfId="315" xr:uid="{00000000-0005-0000-0000-000053070000}"/>
    <cellStyle name="r_Canal Digital_Fixed_Innsamling" xfId="316" xr:uid="{00000000-0005-0000-0000-000054070000}"/>
    <cellStyle name="r_Canal Digital_Fixed_TNOR_preQ410a" xfId="2094" xr:uid="{00000000-0005-0000-0000-000055070000}"/>
    <cellStyle name="r_Canal Digital_Fixed_TNOR_preQ410a 2" xfId="2095" xr:uid="{00000000-0005-0000-0000-000056070000}"/>
    <cellStyle name="r_Canal Digital_Group" xfId="317" xr:uid="{00000000-0005-0000-0000-000057070000}"/>
    <cellStyle name="r_Canal Digital_Group 2" xfId="2096" xr:uid="{00000000-0005-0000-0000-000058070000}"/>
    <cellStyle name="r_Canal Digital_Group 2 2" xfId="2097" xr:uid="{00000000-0005-0000-0000-000059070000}"/>
    <cellStyle name="r_Canal Digital_Group_Deutsche" xfId="318" xr:uid="{00000000-0005-0000-0000-00005A070000}"/>
    <cellStyle name="r_Canal Digital_Group_Innsamling" xfId="319" xr:uid="{00000000-0005-0000-0000-00005B070000}"/>
    <cellStyle name="r_Canal Digital_Group_TNOR_preQ410a" xfId="2098" xr:uid="{00000000-0005-0000-0000-00005C070000}"/>
    <cellStyle name="r_Canal Digital_Group_TNOR_preQ410a 2" xfId="2099" xr:uid="{00000000-0005-0000-0000-00005D070000}"/>
    <cellStyle name="r_Canal Digital_Innsamling" xfId="320" xr:uid="{00000000-0005-0000-0000-00005E070000}"/>
    <cellStyle name="r_Canal Digital_Mobile" xfId="321" xr:uid="{00000000-0005-0000-0000-00005F070000}"/>
    <cellStyle name="r_Canal Digital_Mobile 2" xfId="2100" xr:uid="{00000000-0005-0000-0000-000060070000}"/>
    <cellStyle name="r_Canal Digital_Mobile 2 2" xfId="2101" xr:uid="{00000000-0005-0000-0000-000061070000}"/>
    <cellStyle name="r_Canal Digital_Mobile_Deutsche" xfId="322" xr:uid="{00000000-0005-0000-0000-000062070000}"/>
    <cellStyle name="r_Canal Digital_Mobile_Innsamling" xfId="323" xr:uid="{00000000-0005-0000-0000-000063070000}"/>
    <cellStyle name="r_Canal Digital_Mobile_TNOR_preQ410a" xfId="2102" xr:uid="{00000000-0005-0000-0000-000064070000}"/>
    <cellStyle name="r_Canal Digital_Mobile_TNOR_preQ410a 2" xfId="2103" xr:uid="{00000000-0005-0000-0000-000065070000}"/>
    <cellStyle name="r_Canal Digital_Special items" xfId="324" xr:uid="{00000000-0005-0000-0000-000066070000}"/>
    <cellStyle name="r_Canal Digital_Special items 2" xfId="2104" xr:uid="{00000000-0005-0000-0000-000067070000}"/>
    <cellStyle name="r_Canal Digital_Special items 2 2" xfId="2105" xr:uid="{00000000-0005-0000-0000-000068070000}"/>
    <cellStyle name="r_Canal Digital_Special items_Deutsche" xfId="325" xr:uid="{00000000-0005-0000-0000-000069070000}"/>
    <cellStyle name="r_Canal Digital_Special items_Innsamling" xfId="326" xr:uid="{00000000-0005-0000-0000-00006A070000}"/>
    <cellStyle name="r_Canal Digital_Special items_TNOR_preQ410a" xfId="2106" xr:uid="{00000000-0005-0000-0000-00006B070000}"/>
    <cellStyle name="r_Canal Digital_Special items_TNOR_preQ410a 2" xfId="2107" xr:uid="{00000000-0005-0000-0000-00006C070000}"/>
    <cellStyle name="r_Canal Digital_TNOR_preQ410a" xfId="2108" xr:uid="{00000000-0005-0000-0000-00006D070000}"/>
    <cellStyle name="r_Canal Digital_TNOR_preQ410a 2" xfId="2109" xr:uid="{00000000-0005-0000-0000-00006E070000}"/>
    <cellStyle name="r_tel" xfId="327" xr:uid="{00000000-0005-0000-0000-00006F070000}"/>
    <cellStyle name="r_tel 2" xfId="2110" xr:uid="{00000000-0005-0000-0000-000070070000}"/>
    <cellStyle name="r_tel 2 2" xfId="2111" xr:uid="{00000000-0005-0000-0000-000071070000}"/>
    <cellStyle name="r_tel.xls Chart 680" xfId="328" xr:uid="{00000000-0005-0000-0000-000072070000}"/>
    <cellStyle name="r_tel.xls Chart 680 2" xfId="2112" xr:uid="{00000000-0005-0000-0000-000073070000}"/>
    <cellStyle name="r_tel.xls Chart 680 2 2" xfId="2113" xr:uid="{00000000-0005-0000-0000-000074070000}"/>
    <cellStyle name="r_tel.xls Chart 680_TNOR_preQ410a" xfId="2114" xr:uid="{00000000-0005-0000-0000-000075070000}"/>
    <cellStyle name="r_tel.xls Chart 680_TNOR_preQ410a 2" xfId="2115" xr:uid="{00000000-0005-0000-0000-000076070000}"/>
    <cellStyle name="r_tel_TNOR_preQ410a" xfId="2116" xr:uid="{00000000-0005-0000-0000-000077070000}"/>
    <cellStyle name="r_tel_TNOR_preQ410a 2" xfId="2117" xr:uid="{00000000-0005-0000-0000-000078070000}"/>
    <cellStyle name="r_Telenor" xfId="329" xr:uid="{00000000-0005-0000-0000-000079070000}"/>
    <cellStyle name="r_Telenor 2" xfId="2118" xr:uid="{00000000-0005-0000-0000-00007A070000}"/>
    <cellStyle name="r_Telenor 2 2" xfId="2119" xr:uid="{00000000-0005-0000-0000-00007B070000}"/>
    <cellStyle name="r_Telenor_TNOR_preQ410a" xfId="2120" xr:uid="{00000000-0005-0000-0000-00007C070000}"/>
    <cellStyle name="r_Telenor_TNOR_preQ410a 2" xfId="2121" xr:uid="{00000000-0005-0000-0000-00007D070000}"/>
    <cellStyle name="r_TNOR_preQ410a" xfId="2122" xr:uid="{00000000-0005-0000-0000-00007E070000}"/>
    <cellStyle name="r_TNOR_preQ410a 2" xfId="2123" xr:uid="{00000000-0005-0000-0000-00007F070000}"/>
    <cellStyle name="Rating header" xfId="2124" xr:uid="{00000000-0005-0000-0000-000080070000}"/>
    <cellStyle name="RatioX" xfId="330" xr:uid="{00000000-0005-0000-0000-000081070000}"/>
    <cellStyle name="RatioX 2" xfId="741" xr:uid="{00000000-0005-0000-0000-000082070000}"/>
    <cellStyle name="RatioX 3" xfId="2125" xr:uid="{00000000-0005-0000-0000-000083070000}"/>
    <cellStyle name="RatioX 3 2" xfId="2126" xr:uid="{00000000-0005-0000-0000-000084070000}"/>
    <cellStyle name="RatioX 4" xfId="2127" xr:uid="{00000000-0005-0000-0000-000085070000}"/>
    <cellStyle name="RED" xfId="742" xr:uid="{00000000-0005-0000-0000-000086070000}"/>
    <cellStyle name="Red font" xfId="331" xr:uid="{00000000-0005-0000-0000-000087070000}"/>
    <cellStyle name="Red Text" xfId="743" xr:uid="{00000000-0005-0000-0000-000088070000}"/>
    <cellStyle name="Ref Numbers" xfId="744" xr:uid="{00000000-0005-0000-0000-000089070000}"/>
    <cellStyle name="Reference" xfId="745" xr:uid="{00000000-0005-0000-0000-00008A070000}"/>
    <cellStyle name="Report" xfId="332" xr:uid="{00000000-0005-0000-0000-00008B070000}"/>
    <cellStyle name="Report 2" xfId="2128" xr:uid="{00000000-0005-0000-0000-00008C070000}"/>
    <cellStyle name="Report 2 2" xfId="2129" xr:uid="{00000000-0005-0000-0000-00008D070000}"/>
    <cellStyle name="Restruct" xfId="746" xr:uid="{00000000-0005-0000-0000-00008E070000}"/>
    <cellStyle name="results" xfId="747" xr:uid="{00000000-0005-0000-0000-00008F070000}"/>
    <cellStyle name="results 2" xfId="1192" xr:uid="{00000000-0005-0000-0000-000090070000}"/>
    <cellStyle name="Right" xfId="333" xr:uid="{00000000-0005-0000-0000-000091070000}"/>
    <cellStyle name="Right 2" xfId="748" xr:uid="{00000000-0005-0000-0000-000092070000}"/>
    <cellStyle name="RM" xfId="2130" xr:uid="{00000000-0005-0000-0000-000093070000}"/>
    <cellStyle name="Rmess" xfId="334" xr:uid="{00000000-0005-0000-0000-000094070000}"/>
    <cellStyle name="Rmess 2" xfId="2131" xr:uid="{00000000-0005-0000-0000-000095070000}"/>
    <cellStyle name="Rmess 3" xfId="2132" xr:uid="{00000000-0005-0000-0000-000096070000}"/>
    <cellStyle name="Rmess 3 2" xfId="2133" xr:uid="{00000000-0005-0000-0000-000097070000}"/>
    <cellStyle name="Rnumber" xfId="335" xr:uid="{00000000-0005-0000-0000-000098070000}"/>
    <cellStyle name="Rnumber 0d" xfId="336" xr:uid="{00000000-0005-0000-0000-000099070000}"/>
    <cellStyle name="Rnumber 0d 2" xfId="2134" xr:uid="{00000000-0005-0000-0000-00009A070000}"/>
    <cellStyle name="Rnumber 0d 3" xfId="2135" xr:uid="{00000000-0005-0000-0000-00009B070000}"/>
    <cellStyle name="Rnumber 0d 3 2" xfId="2136" xr:uid="{00000000-0005-0000-0000-00009C070000}"/>
    <cellStyle name="Rnumber 2" xfId="2137" xr:uid="{00000000-0005-0000-0000-00009D070000}"/>
    <cellStyle name="Rnumber 3" xfId="2138" xr:uid="{00000000-0005-0000-0000-00009E070000}"/>
    <cellStyle name="Rnumber 3 2" xfId="2139" xr:uid="{00000000-0005-0000-0000-00009F070000}"/>
    <cellStyle name="Rnumber 4" xfId="2140" xr:uid="{00000000-0005-0000-0000-0000A0070000}"/>
    <cellStyle name="Rnumber 4 2" xfId="2141" xr:uid="{00000000-0005-0000-0000-0000A1070000}"/>
    <cellStyle name="Rnumber_eurosubs10" xfId="337" xr:uid="{00000000-0005-0000-0000-0000A2070000}"/>
    <cellStyle name="robs" xfId="2142" xr:uid="{00000000-0005-0000-0000-0000A3070000}"/>
    <cellStyle name="Row and Column Total" xfId="338" xr:uid="{00000000-0005-0000-0000-0000A4070000}"/>
    <cellStyle name="Row and Column Total 2" xfId="2143" xr:uid="{00000000-0005-0000-0000-0000A5070000}"/>
    <cellStyle name="Row and Column Total 3" xfId="2144" xr:uid="{00000000-0005-0000-0000-0000A6070000}"/>
    <cellStyle name="Row and Column Total 3 2" xfId="2145" xr:uid="{00000000-0005-0000-0000-0000A7070000}"/>
    <cellStyle name="Row Heading" xfId="339" xr:uid="{00000000-0005-0000-0000-0000A8070000}"/>
    <cellStyle name="Row Heading (No Wrap)" xfId="340" xr:uid="{00000000-0005-0000-0000-0000A9070000}"/>
    <cellStyle name="Row Heading (No Wrap) 2" xfId="2146" xr:uid="{00000000-0005-0000-0000-0000AA070000}"/>
    <cellStyle name="Row Heading (No Wrap) 3" xfId="2147" xr:uid="{00000000-0005-0000-0000-0000AB070000}"/>
    <cellStyle name="Row Heading (No Wrap) 3 2" xfId="2148" xr:uid="{00000000-0005-0000-0000-0000AC070000}"/>
    <cellStyle name="Row Heading 2" xfId="2149" xr:uid="{00000000-0005-0000-0000-0000AD070000}"/>
    <cellStyle name="Row Heading 3" xfId="2150" xr:uid="{00000000-0005-0000-0000-0000AE070000}"/>
    <cellStyle name="Row Heading 3 2" xfId="2151" xr:uid="{00000000-0005-0000-0000-0000AF070000}"/>
    <cellStyle name="Row Heading 4" xfId="2152" xr:uid="{00000000-0005-0000-0000-0000B0070000}"/>
    <cellStyle name="Row Heading 4 2" xfId="2153" xr:uid="{00000000-0005-0000-0000-0000B1070000}"/>
    <cellStyle name="Row Heading 5" xfId="2154" xr:uid="{00000000-0005-0000-0000-0000B2070000}"/>
    <cellStyle name="Row Heading 5 2" xfId="2155" xr:uid="{00000000-0005-0000-0000-0000B3070000}"/>
    <cellStyle name="Row Heading 6" xfId="2156" xr:uid="{00000000-0005-0000-0000-0000B4070000}"/>
    <cellStyle name="Row Heading 6 2" xfId="2157" xr:uid="{00000000-0005-0000-0000-0000B5070000}"/>
    <cellStyle name="Row Ignore" xfId="341" xr:uid="{00000000-0005-0000-0000-0000B6070000}"/>
    <cellStyle name="row ignroe" xfId="2158" xr:uid="{00000000-0005-0000-0000-0000B7070000}"/>
    <cellStyle name="Row label" xfId="342" xr:uid="{00000000-0005-0000-0000-0000B8070000}"/>
    <cellStyle name="Row label (indent)" xfId="343" xr:uid="{00000000-0005-0000-0000-0000B9070000}"/>
    <cellStyle name="Row label (indent) 2" xfId="1299" xr:uid="{00000000-0005-0000-0000-0000BA070000}"/>
    <cellStyle name="Row Normal Indent" xfId="2159" xr:uid="{00000000-0005-0000-0000-0000BB070000}"/>
    <cellStyle name="Row Sub total" xfId="344" xr:uid="{00000000-0005-0000-0000-0000BC070000}"/>
    <cellStyle name="Row Title 1" xfId="345" xr:uid="{00000000-0005-0000-0000-0000BD070000}"/>
    <cellStyle name="Row Title 1 2" xfId="2160" xr:uid="{00000000-0005-0000-0000-0000BE070000}"/>
    <cellStyle name="Row Title 1 2 2" xfId="2161" xr:uid="{00000000-0005-0000-0000-0000BF070000}"/>
    <cellStyle name="Row Title 1 3" xfId="2162" xr:uid="{00000000-0005-0000-0000-0000C0070000}"/>
    <cellStyle name="Row Title 1 4" xfId="2163" xr:uid="{00000000-0005-0000-0000-0000C1070000}"/>
    <cellStyle name="Row Title 2" xfId="346" xr:uid="{00000000-0005-0000-0000-0000C2070000}"/>
    <cellStyle name="Row Title 2 2" xfId="2164" xr:uid="{00000000-0005-0000-0000-0000C3070000}"/>
    <cellStyle name="Row Title 2 2 2" xfId="2165" xr:uid="{00000000-0005-0000-0000-0000C4070000}"/>
    <cellStyle name="Row Title 2 3" xfId="2166" xr:uid="{00000000-0005-0000-0000-0000C5070000}"/>
    <cellStyle name="Row Title 2 4" xfId="2167" xr:uid="{00000000-0005-0000-0000-0000C6070000}"/>
    <cellStyle name="Row Title 3" xfId="347" xr:uid="{00000000-0005-0000-0000-0000C7070000}"/>
    <cellStyle name="Row Title 3 2" xfId="2168" xr:uid="{00000000-0005-0000-0000-0000C8070000}"/>
    <cellStyle name="Row Title 3 2 2" xfId="2169" xr:uid="{00000000-0005-0000-0000-0000C9070000}"/>
    <cellStyle name="Row Title 3 3" xfId="2170" xr:uid="{00000000-0005-0000-0000-0000CA070000}"/>
    <cellStyle name="Row Title 3 4" xfId="2171" xr:uid="{00000000-0005-0000-0000-0000CB070000}"/>
    <cellStyle name="Row Title 4" xfId="2172" xr:uid="{00000000-0005-0000-0000-0000CC070000}"/>
    <cellStyle name="Row Title 4 Indent" xfId="2173" xr:uid="{00000000-0005-0000-0000-0000CD070000}"/>
    <cellStyle name="Row Total" xfId="348" xr:uid="{00000000-0005-0000-0000-0000CE070000}"/>
    <cellStyle name="Row Total 2" xfId="2174" xr:uid="{00000000-0005-0000-0000-0000CF070000}"/>
    <cellStyle name="Row Total 3" xfId="2175" xr:uid="{00000000-0005-0000-0000-0000D0070000}"/>
    <cellStyle name="Row Total 3 2" xfId="2176" xr:uid="{00000000-0005-0000-0000-0000D1070000}"/>
    <cellStyle name="Row Total 4" xfId="2177" xr:uid="{00000000-0005-0000-0000-0000D2070000}"/>
    <cellStyle name="Saisie" xfId="349" xr:uid="{00000000-0005-0000-0000-0000D3070000}"/>
    <cellStyle name="Saisie 2" xfId="2178" xr:uid="{00000000-0005-0000-0000-0000D4070000}"/>
    <cellStyle name="Saisie 3" xfId="2179" xr:uid="{00000000-0005-0000-0000-0000D5070000}"/>
    <cellStyle name="Saisie 3 2" xfId="2180" xr:uid="{00000000-0005-0000-0000-0000D6070000}"/>
    <cellStyle name="Salomon Logo" xfId="350" xr:uid="{00000000-0005-0000-0000-0000D7070000}"/>
    <cellStyle name="Salomon Logo 2" xfId="2181" xr:uid="{00000000-0005-0000-0000-0000D8070000}"/>
    <cellStyle name="Salomon Logo 2 2" xfId="2182" xr:uid="{00000000-0005-0000-0000-0000D9070000}"/>
    <cellStyle name="SAPBEXaggData" xfId="2183" xr:uid="{00000000-0005-0000-0000-0000DA070000}"/>
    <cellStyle name="SAPBEXaggDataEmph" xfId="2184" xr:uid="{00000000-0005-0000-0000-0000DB070000}"/>
    <cellStyle name="SAPBEXaggItem" xfId="2185" xr:uid="{00000000-0005-0000-0000-0000DC070000}"/>
    <cellStyle name="SAPBEXaggItemX" xfId="2186" xr:uid="{00000000-0005-0000-0000-0000DD070000}"/>
    <cellStyle name="SAPBEXchaText" xfId="2187" xr:uid="{00000000-0005-0000-0000-0000DE070000}"/>
    <cellStyle name="SAPBEXexcBad7" xfId="2188" xr:uid="{00000000-0005-0000-0000-0000DF070000}"/>
    <cellStyle name="SAPBEXexcBad8" xfId="2189" xr:uid="{00000000-0005-0000-0000-0000E0070000}"/>
    <cellStyle name="SAPBEXexcBad9" xfId="2190" xr:uid="{00000000-0005-0000-0000-0000E1070000}"/>
    <cellStyle name="SAPBEXexcCritical4" xfId="2191" xr:uid="{00000000-0005-0000-0000-0000E2070000}"/>
    <cellStyle name="SAPBEXexcCritical5" xfId="2192" xr:uid="{00000000-0005-0000-0000-0000E3070000}"/>
    <cellStyle name="SAPBEXexcCritical6" xfId="2193" xr:uid="{00000000-0005-0000-0000-0000E4070000}"/>
    <cellStyle name="SAPBEXexcGood1" xfId="2194" xr:uid="{00000000-0005-0000-0000-0000E5070000}"/>
    <cellStyle name="SAPBEXexcGood2" xfId="2195" xr:uid="{00000000-0005-0000-0000-0000E6070000}"/>
    <cellStyle name="SAPBEXexcGood3" xfId="2196" xr:uid="{00000000-0005-0000-0000-0000E7070000}"/>
    <cellStyle name="SAPBEXfilterDrill" xfId="2197" xr:uid="{00000000-0005-0000-0000-0000E8070000}"/>
    <cellStyle name="SAPBEXfilterItem" xfId="2198" xr:uid="{00000000-0005-0000-0000-0000E9070000}"/>
    <cellStyle name="SAPBEXfilterText" xfId="2199" xr:uid="{00000000-0005-0000-0000-0000EA070000}"/>
    <cellStyle name="SAPBEXformats" xfId="2200" xr:uid="{00000000-0005-0000-0000-0000EB070000}"/>
    <cellStyle name="SAPBEXheaderItem" xfId="2201" xr:uid="{00000000-0005-0000-0000-0000EC070000}"/>
    <cellStyle name="SAPBEXheaderText" xfId="2202" xr:uid="{00000000-0005-0000-0000-0000ED070000}"/>
    <cellStyle name="SAPBEXHLevel0" xfId="2203" xr:uid="{00000000-0005-0000-0000-0000EE070000}"/>
    <cellStyle name="SAPBEXHLevel0X" xfId="2204" xr:uid="{00000000-0005-0000-0000-0000EF070000}"/>
    <cellStyle name="SAPBEXHLevel1" xfId="2205" xr:uid="{00000000-0005-0000-0000-0000F0070000}"/>
    <cellStyle name="SAPBEXHLevel1X" xfId="2206" xr:uid="{00000000-0005-0000-0000-0000F1070000}"/>
    <cellStyle name="SAPBEXHLevel2" xfId="2207" xr:uid="{00000000-0005-0000-0000-0000F2070000}"/>
    <cellStyle name="SAPBEXHLevel2X" xfId="2208" xr:uid="{00000000-0005-0000-0000-0000F3070000}"/>
    <cellStyle name="SAPBEXHLevel3" xfId="2209" xr:uid="{00000000-0005-0000-0000-0000F4070000}"/>
    <cellStyle name="SAPBEXHLevel3X" xfId="2210" xr:uid="{00000000-0005-0000-0000-0000F5070000}"/>
    <cellStyle name="SAPBEXresData" xfId="2211" xr:uid="{00000000-0005-0000-0000-0000F6070000}"/>
    <cellStyle name="SAPBEXresDataEmph" xfId="2212" xr:uid="{00000000-0005-0000-0000-0000F7070000}"/>
    <cellStyle name="SAPBEXresItem" xfId="2213" xr:uid="{00000000-0005-0000-0000-0000F8070000}"/>
    <cellStyle name="SAPBEXresItemX" xfId="2214" xr:uid="{00000000-0005-0000-0000-0000F9070000}"/>
    <cellStyle name="SAPBEXstdData" xfId="2215" xr:uid="{00000000-0005-0000-0000-0000FA070000}"/>
    <cellStyle name="SAPBEXstdDataEmph" xfId="2216" xr:uid="{00000000-0005-0000-0000-0000FB070000}"/>
    <cellStyle name="SAPBEXstdItem" xfId="2217" xr:uid="{00000000-0005-0000-0000-0000FC070000}"/>
    <cellStyle name="SAPBEXstdItemX" xfId="2218" xr:uid="{00000000-0005-0000-0000-0000FD070000}"/>
    <cellStyle name="SAPBEXtitle" xfId="2219" xr:uid="{00000000-0005-0000-0000-0000FE070000}"/>
    <cellStyle name="SAPBEXundefined" xfId="2220" xr:uid="{00000000-0005-0000-0000-0000FF070000}"/>
    <cellStyle name="SB_Normal" xfId="749" xr:uid="{00000000-0005-0000-0000-000000080000}"/>
    <cellStyle name="ScripFactor" xfId="351" xr:uid="{00000000-0005-0000-0000-000001080000}"/>
    <cellStyle name="ScripFactor 2" xfId="750" xr:uid="{00000000-0005-0000-0000-000002080000}"/>
    <cellStyle name="ScripFactor 3" xfId="2221" xr:uid="{00000000-0005-0000-0000-000003080000}"/>
    <cellStyle name="ScripFactor 3 2" xfId="2222" xr:uid="{00000000-0005-0000-0000-000004080000}"/>
    <cellStyle name="ScripFactor 4" xfId="2223" xr:uid="{00000000-0005-0000-0000-000005080000}"/>
    <cellStyle name="ScripFactor 5" xfId="2224" xr:uid="{00000000-0005-0000-0000-000006080000}"/>
    <cellStyle name="Section name" xfId="2225" xr:uid="{00000000-0005-0000-0000-000007080000}"/>
    <cellStyle name="Section Title" xfId="352" xr:uid="{00000000-0005-0000-0000-000008080000}"/>
    <cellStyle name="Section Title 2" xfId="2226" xr:uid="{00000000-0005-0000-0000-000009080000}"/>
    <cellStyle name="Section Title 3" xfId="2227" xr:uid="{00000000-0005-0000-0000-00000A080000}"/>
    <cellStyle name="Section Title 3 2" xfId="2228" xr:uid="{00000000-0005-0000-0000-00000B080000}"/>
    <cellStyle name="SectionHeading" xfId="353" xr:uid="{00000000-0005-0000-0000-00000C080000}"/>
    <cellStyle name="SectionHeading 2" xfId="751" xr:uid="{00000000-0005-0000-0000-00000D080000}"/>
    <cellStyle name="SectionHeading 3" xfId="2229" xr:uid="{00000000-0005-0000-0000-00000E080000}"/>
    <cellStyle name="SectionHeading 3 2" xfId="2230" xr:uid="{00000000-0005-0000-0000-00000F080000}"/>
    <cellStyle name="Separador de milhares_Balancete_TSD_2003" xfId="2231" xr:uid="{00000000-0005-0000-0000-000010080000}"/>
    <cellStyle name="Separador de milhar㳥s_gerencial 99 Telesp Celular.xls Gráfico 1" xfId="2232" xr:uid="{00000000-0005-0000-0000-000011080000}"/>
    <cellStyle name="ShadedCells_Database" xfId="752" xr:uid="{00000000-0005-0000-0000-000012080000}"/>
    <cellStyle name="Share" xfId="753" xr:uid="{00000000-0005-0000-0000-000013080000}"/>
    <cellStyle name="Share 2" xfId="1193" xr:uid="{00000000-0005-0000-0000-000014080000}"/>
    <cellStyle name="Shares" xfId="354" xr:uid="{00000000-0005-0000-0000-000015080000}"/>
    <cellStyle name="Shares 2" xfId="754" xr:uid="{00000000-0005-0000-0000-000016080000}"/>
    <cellStyle name="Shares 2 2" xfId="2233" xr:uid="{00000000-0005-0000-0000-000017080000}"/>
    <cellStyle name="Sheet Title" xfId="755" xr:uid="{00000000-0005-0000-0000-000018080000}"/>
    <cellStyle name="Single Accounting" xfId="355" xr:uid="{00000000-0005-0000-0000-000019080000}"/>
    <cellStyle name="Small Number" xfId="356" xr:uid="{00000000-0005-0000-0000-00001A080000}"/>
    <cellStyle name="Small Number 2" xfId="2234" xr:uid="{00000000-0005-0000-0000-00001B080000}"/>
    <cellStyle name="Small Number 3" xfId="2235" xr:uid="{00000000-0005-0000-0000-00001C080000}"/>
    <cellStyle name="Small Number 3 2" xfId="2236" xr:uid="{00000000-0005-0000-0000-00001D080000}"/>
    <cellStyle name="Small Percentage" xfId="357" xr:uid="{00000000-0005-0000-0000-00001E080000}"/>
    <cellStyle name="Small Percentage 2" xfId="2237" xr:uid="{00000000-0005-0000-0000-00001F080000}"/>
    <cellStyle name="Small Percentage 3" xfId="2238" xr:uid="{00000000-0005-0000-0000-000020080000}"/>
    <cellStyle name="Small Percentage 3 2" xfId="2239" xr:uid="{00000000-0005-0000-0000-000021080000}"/>
    <cellStyle name="Source" xfId="756" xr:uid="{00000000-0005-0000-0000-000022080000}"/>
    <cellStyle name="Source Line" xfId="757" xr:uid="{00000000-0005-0000-0000-000023080000}"/>
    <cellStyle name="Sous titre" xfId="358" xr:uid="{00000000-0005-0000-0000-000024080000}"/>
    <cellStyle name="Spreadsheet title" xfId="2240" xr:uid="{00000000-0005-0000-0000-000025080000}"/>
    <cellStyle name="SS1000" xfId="758" xr:uid="{00000000-0005-0000-0000-000026080000}"/>
    <cellStyle name="Standaard_KPN" xfId="359" xr:uid="{00000000-0005-0000-0000-000027080000}"/>
    <cellStyle name="Standard" xfId="360" xr:uid="{00000000-0005-0000-0000-000028080000}"/>
    <cellStyle name="Standard 2" xfId="2241" xr:uid="{00000000-0005-0000-0000-000029080000}"/>
    <cellStyle name="Standard 3" xfId="2242" xr:uid="{00000000-0005-0000-0000-00002A080000}"/>
    <cellStyle name="Standard 3 2" xfId="2243" xr:uid="{00000000-0005-0000-0000-00002B080000}"/>
    <cellStyle name="Strange" xfId="361" xr:uid="{00000000-0005-0000-0000-00002C080000}"/>
    <cellStyle name="Strange 2" xfId="759" xr:uid="{00000000-0005-0000-0000-00002D080000}"/>
    <cellStyle name="STYL1 - Style1" xfId="362" xr:uid="{00000000-0005-0000-0000-00002E080000}"/>
    <cellStyle name="Style 1" xfId="363" xr:uid="{00000000-0005-0000-0000-00002F080000}"/>
    <cellStyle name="Style 1 2" xfId="760" xr:uid="{00000000-0005-0000-0000-000030080000}"/>
    <cellStyle name="Style 1 3" xfId="2244" xr:uid="{00000000-0005-0000-0000-000031080000}"/>
    <cellStyle name="Style 1 3 2" xfId="2245" xr:uid="{00000000-0005-0000-0000-000032080000}"/>
    <cellStyle name="Style 1 4" xfId="2246" xr:uid="{00000000-0005-0000-0000-000033080000}"/>
    <cellStyle name="Style 1 5" xfId="2247" xr:uid="{00000000-0005-0000-0000-000034080000}"/>
    <cellStyle name="Style 2" xfId="2248" xr:uid="{00000000-0005-0000-0000-000035080000}"/>
    <cellStyle name="Style D" xfId="761" xr:uid="{00000000-0005-0000-0000-000036080000}"/>
    <cellStyle name="Style D green" xfId="762" xr:uid="{00000000-0005-0000-0000-000037080000}"/>
    <cellStyle name="Style D_BPCitigroupWIP" xfId="763" xr:uid="{00000000-0005-0000-0000-000038080000}"/>
    <cellStyle name="Style E" xfId="764" xr:uid="{00000000-0005-0000-0000-000039080000}"/>
    <cellStyle name="Style G" xfId="765" xr:uid="{00000000-0005-0000-0000-00003A080000}"/>
    <cellStyle name="Sub Category Title" xfId="766" xr:uid="{00000000-0005-0000-0000-00003B080000}"/>
    <cellStyle name="Sub total" xfId="767" xr:uid="{00000000-0005-0000-0000-00003C080000}"/>
    <cellStyle name="Sub total 2" xfId="1418" xr:uid="{00000000-0005-0000-0000-00003D080000}"/>
    <cellStyle name="Subhead" xfId="364" xr:uid="{00000000-0005-0000-0000-00003E080000}"/>
    <cellStyle name="Subhead 2" xfId="768" xr:uid="{00000000-0005-0000-0000-00003F080000}"/>
    <cellStyle name="subhead 2 2" xfId="2249" xr:uid="{00000000-0005-0000-0000-000040080000}"/>
    <cellStyle name="subhead 3" xfId="2250" xr:uid="{00000000-0005-0000-0000-000041080000}"/>
    <cellStyle name="Subhead 4" xfId="2251" xr:uid="{00000000-0005-0000-0000-000042080000}"/>
    <cellStyle name="Subhead 5" xfId="2252" xr:uid="{00000000-0005-0000-0000-000043080000}"/>
    <cellStyle name="Subtitle" xfId="769" xr:uid="{00000000-0005-0000-0000-000044080000}"/>
    <cellStyle name="Sub-titulo" xfId="2253" xr:uid="{00000000-0005-0000-0000-000045080000}"/>
    <cellStyle name="Sub-titulo 2" xfId="2254" xr:uid="{00000000-0005-0000-0000-000046080000}"/>
    <cellStyle name="Sub-titulo_Analise PDD 2003 " xfId="2255" xr:uid="{00000000-0005-0000-0000-000047080000}"/>
    <cellStyle name="Subtotal" xfId="2256" xr:uid="{00000000-0005-0000-0000-000048080000}"/>
    <cellStyle name="Sub-total" xfId="2257" xr:uid="{00000000-0005-0000-0000-000049080000}"/>
    <cellStyle name="Sub-total row" xfId="365" xr:uid="{00000000-0005-0000-0000-00004A080000}"/>
    <cellStyle name="Subtotal_Informe Orcamento 2002" xfId="2258" xr:uid="{00000000-0005-0000-0000-00004B080000}"/>
    <cellStyle name="subtots" xfId="770" xr:uid="{00000000-0005-0000-0000-00004C080000}"/>
    <cellStyle name="SymbolBlue" xfId="771" xr:uid="{00000000-0005-0000-0000-00004D080000}"/>
    <cellStyle name="SymbolBlue 2" xfId="1419" xr:uid="{00000000-0005-0000-0000-00004E080000}"/>
    <cellStyle name="Table" xfId="366" xr:uid="{00000000-0005-0000-0000-00004F080000}"/>
    <cellStyle name="Table - ColumnHeading Number" xfId="2259" xr:uid="{00000000-0005-0000-0000-000050080000}"/>
    <cellStyle name="Table - ColumnHeading Text" xfId="2260" xr:uid="{00000000-0005-0000-0000-000051080000}"/>
    <cellStyle name="Table - Heading Left" xfId="2261" xr:uid="{00000000-0005-0000-0000-000052080000}"/>
    <cellStyle name="Table - Number" xfId="2262" xr:uid="{00000000-0005-0000-0000-000053080000}"/>
    <cellStyle name="Table - Number Subtotal" xfId="2263" xr:uid="{00000000-0005-0000-0000-000054080000}"/>
    <cellStyle name="Table - Number Total" xfId="2264" xr:uid="{00000000-0005-0000-0000-000055080000}"/>
    <cellStyle name="Table - Text" xfId="2265" xr:uid="{00000000-0005-0000-0000-000056080000}"/>
    <cellStyle name="Table - Text Bold" xfId="2266" xr:uid="{00000000-0005-0000-0000-000057080000}"/>
    <cellStyle name="Table - Text Subtotal" xfId="2267" xr:uid="{00000000-0005-0000-0000-000058080000}"/>
    <cellStyle name="Table - Text Total" xfId="2268" xr:uid="{00000000-0005-0000-0000-000059080000}"/>
    <cellStyle name="Table 2" xfId="2269" xr:uid="{00000000-0005-0000-0000-00005A080000}"/>
    <cellStyle name="Table 2 2" xfId="2270" xr:uid="{00000000-0005-0000-0000-00005B080000}"/>
    <cellStyle name="Table end" xfId="772" xr:uid="{00000000-0005-0000-0000-00005C080000}"/>
    <cellStyle name="Table finish row" xfId="367" xr:uid="{00000000-0005-0000-0000-00005D080000}"/>
    <cellStyle name="Table finish row 2" xfId="1300" xr:uid="{00000000-0005-0000-0000-00005E080000}"/>
    <cellStyle name="Table Head" xfId="368" xr:uid="{00000000-0005-0000-0000-00005F080000}"/>
    <cellStyle name="Table head 2" xfId="773" xr:uid="{00000000-0005-0000-0000-000060080000}"/>
    <cellStyle name="Table Head 2 2" xfId="2271" xr:uid="{00000000-0005-0000-0000-000061080000}"/>
    <cellStyle name="Table Head 3" xfId="2272" xr:uid="{00000000-0005-0000-0000-000062080000}"/>
    <cellStyle name="Table Head 4" xfId="2273" xr:uid="{00000000-0005-0000-0000-000063080000}"/>
    <cellStyle name="Table Head 5" xfId="2274" xr:uid="{00000000-0005-0000-0000-000064080000}"/>
    <cellStyle name="Table Head Aligned" xfId="369" xr:uid="{00000000-0005-0000-0000-000065080000}"/>
    <cellStyle name="Table Head Aligned 2" xfId="774" xr:uid="{00000000-0005-0000-0000-000066080000}"/>
    <cellStyle name="Table Head Blue" xfId="370" xr:uid="{00000000-0005-0000-0000-000067080000}"/>
    <cellStyle name="Table Head Blue 2" xfId="775" xr:uid="{00000000-0005-0000-0000-000068080000}"/>
    <cellStyle name="Table Head Blue 3" xfId="2275" xr:uid="{00000000-0005-0000-0000-000069080000}"/>
    <cellStyle name="Table Head Blue 3 2" xfId="2276" xr:uid="{00000000-0005-0000-0000-00006A080000}"/>
    <cellStyle name="Table Head Blue 4" xfId="2277" xr:uid="{00000000-0005-0000-0000-00006B080000}"/>
    <cellStyle name="Table Head Green" xfId="371" xr:uid="{00000000-0005-0000-0000-00006C080000}"/>
    <cellStyle name="Table Head Green 2" xfId="776" xr:uid="{00000000-0005-0000-0000-00006D080000}"/>
    <cellStyle name="Table Head Green 3" xfId="2278" xr:uid="{00000000-0005-0000-0000-00006E080000}"/>
    <cellStyle name="Table Head Green 3 2" xfId="2279" xr:uid="{00000000-0005-0000-0000-00006F080000}"/>
    <cellStyle name="Table Head Green 4" xfId="2280" xr:uid="{00000000-0005-0000-0000-000070080000}"/>
    <cellStyle name="Table head_AMT Model New 11-16-2011" xfId="1051" xr:uid="{00000000-0005-0000-0000-000071080000}"/>
    <cellStyle name="Table Heading" xfId="777" xr:uid="{00000000-0005-0000-0000-000072080000}"/>
    <cellStyle name="table numbers 1" xfId="372" xr:uid="{00000000-0005-0000-0000-000073080000}"/>
    <cellStyle name="Table numbers 2" xfId="373" xr:uid="{00000000-0005-0000-0000-000074080000}"/>
    <cellStyle name="Table shading" xfId="374" xr:uid="{00000000-0005-0000-0000-000075080000}"/>
    <cellStyle name="Table shading 2" xfId="1301" xr:uid="{00000000-0005-0000-0000-000076080000}"/>
    <cellStyle name="Table Source" xfId="375" xr:uid="{00000000-0005-0000-0000-000077080000}"/>
    <cellStyle name="Table Source 2" xfId="2281" xr:uid="{00000000-0005-0000-0000-000078080000}"/>
    <cellStyle name="Table Source 2 2" xfId="2282" xr:uid="{00000000-0005-0000-0000-000079080000}"/>
    <cellStyle name="Table sub head" xfId="2283" xr:uid="{00000000-0005-0000-0000-00007A080000}"/>
    <cellStyle name="Table Text" xfId="376" xr:uid="{00000000-0005-0000-0000-00007B080000}"/>
    <cellStyle name="Table Text 2" xfId="2284" xr:uid="{00000000-0005-0000-0000-00007C080000}"/>
    <cellStyle name="Table Text 2 2" xfId="2285" xr:uid="{00000000-0005-0000-0000-00007D080000}"/>
    <cellStyle name="Table Title" xfId="377" xr:uid="{00000000-0005-0000-0000-00007E080000}"/>
    <cellStyle name="Table Title 2" xfId="778" xr:uid="{00000000-0005-0000-0000-00007F080000}"/>
    <cellStyle name="Table Title 2 2" xfId="2286" xr:uid="{00000000-0005-0000-0000-000080080000}"/>
    <cellStyle name="Table Title 3" xfId="2287" xr:uid="{00000000-0005-0000-0000-000081080000}"/>
    <cellStyle name="Table Title 4" xfId="2288" xr:uid="{00000000-0005-0000-0000-000082080000}"/>
    <cellStyle name="Table Title 5" xfId="2289" xr:uid="{00000000-0005-0000-0000-000083080000}"/>
    <cellStyle name="Table unfinish row" xfId="378" xr:uid="{00000000-0005-0000-0000-000084080000}"/>
    <cellStyle name="Table unfinish row 2" xfId="1302" xr:uid="{00000000-0005-0000-0000-000085080000}"/>
    <cellStyle name="Table Units" xfId="379" xr:uid="{00000000-0005-0000-0000-000086080000}"/>
    <cellStyle name="Table Units 2" xfId="779" xr:uid="{00000000-0005-0000-0000-000087080000}"/>
    <cellStyle name="Table Units 2 2" xfId="2290" xr:uid="{00000000-0005-0000-0000-000088080000}"/>
    <cellStyle name="Table Units 3" xfId="2291" xr:uid="{00000000-0005-0000-0000-000089080000}"/>
    <cellStyle name="Table Units 4" xfId="2292" xr:uid="{00000000-0005-0000-0000-00008A080000}"/>
    <cellStyle name="Table Units 5" xfId="2293" xr:uid="{00000000-0005-0000-0000-00008B080000}"/>
    <cellStyle name="Table unshading" xfId="380" xr:uid="{00000000-0005-0000-0000-00008C080000}"/>
    <cellStyle name="Table unshading 2" xfId="1303" xr:uid="{00000000-0005-0000-0000-00008D080000}"/>
    <cellStyle name="Table_AMT Model New 11-16-2011" xfId="1052" xr:uid="{00000000-0005-0000-0000-00008E080000}"/>
    <cellStyle name="TableBody" xfId="780" xr:uid="{00000000-0005-0000-0000-00008F080000}"/>
    <cellStyle name="TableBodyR" xfId="781" xr:uid="{00000000-0005-0000-0000-000090080000}"/>
    <cellStyle name="TableBorder" xfId="381" xr:uid="{00000000-0005-0000-0000-000091080000}"/>
    <cellStyle name="TableBorder 2" xfId="2294" xr:uid="{00000000-0005-0000-0000-000092080000}"/>
    <cellStyle name="TableBorder 3" xfId="2295" xr:uid="{00000000-0005-0000-0000-000093080000}"/>
    <cellStyle name="TableBorder 3 2" xfId="2296" xr:uid="{00000000-0005-0000-0000-000094080000}"/>
    <cellStyle name="TableColHeads" xfId="782" xr:uid="{00000000-0005-0000-0000-000095080000}"/>
    <cellStyle name="TableFootnotes" xfId="382" xr:uid="{00000000-0005-0000-0000-000096080000}"/>
    <cellStyle name="TableFootnotes 2" xfId="2297" xr:uid="{00000000-0005-0000-0000-000097080000}"/>
    <cellStyle name="TableFootnotes 2 2" xfId="2298" xr:uid="{00000000-0005-0000-0000-000098080000}"/>
    <cellStyle name="TableTitleFormat" xfId="383" xr:uid="{00000000-0005-0000-0000-000099080000}"/>
    <cellStyle name="TableTitleFormat 2" xfId="2299" xr:uid="{00000000-0005-0000-0000-00009A080000}"/>
    <cellStyle name="TableTitleFormat 2 2" xfId="2300" xr:uid="{00000000-0005-0000-0000-00009B080000}"/>
    <cellStyle name="TableTitleFormat 3" xfId="2301" xr:uid="{00000000-0005-0000-0000-00009C080000}"/>
    <cellStyle name="Test [green]" xfId="384" xr:uid="{00000000-0005-0000-0000-00009D080000}"/>
    <cellStyle name="Test [green] 2" xfId="783" xr:uid="{00000000-0005-0000-0000-00009E080000}"/>
    <cellStyle name="Test [green] 2 2" xfId="2302" xr:uid="{00000000-0005-0000-0000-00009F080000}"/>
    <cellStyle name="test a style" xfId="385" xr:uid="{00000000-0005-0000-0000-0000A0080000}"/>
    <cellStyle name="Text" xfId="386" xr:uid="{00000000-0005-0000-0000-0000A1080000}"/>
    <cellStyle name="Text 1" xfId="387" xr:uid="{00000000-0005-0000-0000-0000A2080000}"/>
    <cellStyle name="Text 1 2" xfId="2303" xr:uid="{00000000-0005-0000-0000-0000A3080000}"/>
    <cellStyle name="Text 1 2 2" xfId="2304" xr:uid="{00000000-0005-0000-0000-0000A4080000}"/>
    <cellStyle name="Text 2" xfId="388" xr:uid="{00000000-0005-0000-0000-0000A5080000}"/>
    <cellStyle name="Text 2 2" xfId="2305" xr:uid="{00000000-0005-0000-0000-0000A6080000}"/>
    <cellStyle name="Text 2 2 2" xfId="2306" xr:uid="{00000000-0005-0000-0000-0000A7080000}"/>
    <cellStyle name="Text 3" xfId="1304" xr:uid="{00000000-0005-0000-0000-0000A8080000}"/>
    <cellStyle name="Text Head 1" xfId="389" xr:uid="{00000000-0005-0000-0000-0000A9080000}"/>
    <cellStyle name="Text Head 1 2" xfId="2307" xr:uid="{00000000-0005-0000-0000-0000AA080000}"/>
    <cellStyle name="Text Head 1 2 2" xfId="2308" xr:uid="{00000000-0005-0000-0000-0000AB080000}"/>
    <cellStyle name="Text Head 2" xfId="390" xr:uid="{00000000-0005-0000-0000-0000AC080000}"/>
    <cellStyle name="Text Head 2 2" xfId="2309" xr:uid="{00000000-0005-0000-0000-0000AD080000}"/>
    <cellStyle name="Text Head 2 2 2" xfId="2310" xr:uid="{00000000-0005-0000-0000-0000AE080000}"/>
    <cellStyle name="Text Indent 1" xfId="391" xr:uid="{00000000-0005-0000-0000-0000AF080000}"/>
    <cellStyle name="Text Indent 1 2" xfId="2311" xr:uid="{00000000-0005-0000-0000-0000B0080000}"/>
    <cellStyle name="Text Indent 1 2 2" xfId="2312" xr:uid="{00000000-0005-0000-0000-0000B1080000}"/>
    <cellStyle name="Text Indent 2" xfId="392" xr:uid="{00000000-0005-0000-0000-0000B2080000}"/>
    <cellStyle name="Text Indent 2 2" xfId="2313" xr:uid="{00000000-0005-0000-0000-0000B3080000}"/>
    <cellStyle name="Text Indent 2 2 2" xfId="2314" xr:uid="{00000000-0005-0000-0000-0000B4080000}"/>
    <cellStyle name="TFCF" xfId="393" xr:uid="{00000000-0005-0000-0000-0000B5080000}"/>
    <cellStyle name="TFCF 2" xfId="784" xr:uid="{00000000-0005-0000-0000-0000B6080000}"/>
    <cellStyle name="TFCF 2 2" xfId="2315" xr:uid="{00000000-0005-0000-0000-0000B7080000}"/>
    <cellStyle name="threedecplace" xfId="785" xr:uid="{00000000-0005-0000-0000-0000B8080000}"/>
    <cellStyle name="Time Strip" xfId="394" xr:uid="{00000000-0005-0000-0000-0000B9080000}"/>
    <cellStyle name="Time Strip 2" xfId="2316" xr:uid="{00000000-0005-0000-0000-0000BA080000}"/>
    <cellStyle name="Time Strip 2 2" xfId="2317" xr:uid="{00000000-0005-0000-0000-0000BB080000}"/>
    <cellStyle name="times" xfId="395" xr:uid="{00000000-0005-0000-0000-0000BC080000}"/>
    <cellStyle name="Times 10" xfId="396" xr:uid="{00000000-0005-0000-0000-0000BD080000}"/>
    <cellStyle name="Times 10 2" xfId="2318" xr:uid="{00000000-0005-0000-0000-0000BE080000}"/>
    <cellStyle name="Times 12" xfId="397" xr:uid="{00000000-0005-0000-0000-0000BF080000}"/>
    <cellStyle name="times 2" xfId="2319" xr:uid="{00000000-0005-0000-0000-0000C0080000}"/>
    <cellStyle name="times 2 2" xfId="2320" xr:uid="{00000000-0005-0000-0000-0000C1080000}"/>
    <cellStyle name="times 3" xfId="2321" xr:uid="{00000000-0005-0000-0000-0000C2080000}"/>
    <cellStyle name="times 3 2" xfId="2322" xr:uid="{00000000-0005-0000-0000-0000C3080000}"/>
    <cellStyle name="times_Deutsche" xfId="398" xr:uid="{00000000-0005-0000-0000-0000C4080000}"/>
    <cellStyle name="Title" xfId="399" builtinId="15" customBuiltin="1"/>
    <cellStyle name="Title 2" xfId="890" xr:uid="{00000000-0005-0000-0000-0000C6080000}"/>
    <cellStyle name="Title 2 2" xfId="2323" xr:uid="{00000000-0005-0000-0000-0000C7080000}"/>
    <cellStyle name="Title 2 3" xfId="2324" xr:uid="{00000000-0005-0000-0000-0000C8080000}"/>
    <cellStyle name="Title 2 3 2" xfId="2325" xr:uid="{00000000-0005-0000-0000-0000C9080000}"/>
    <cellStyle name="Title 3" xfId="1054" xr:uid="{00000000-0005-0000-0000-0000CA080000}"/>
    <cellStyle name="Title 4" xfId="1305" xr:uid="{00000000-0005-0000-0000-0000CB080000}"/>
    <cellStyle name="Title 5" xfId="2326" xr:uid="{00000000-0005-0000-0000-0000CC080000}"/>
    <cellStyle name="Title 6" xfId="2327" xr:uid="{00000000-0005-0000-0000-0000CD080000}"/>
    <cellStyle name="Title 7" xfId="2328" xr:uid="{00000000-0005-0000-0000-0000CE080000}"/>
    <cellStyle name="Title Heading" xfId="400" xr:uid="{00000000-0005-0000-0000-0000CF080000}"/>
    <cellStyle name="Title Heading 2" xfId="2329" xr:uid="{00000000-0005-0000-0000-0000D0080000}"/>
    <cellStyle name="Title Heading 3" xfId="2330" xr:uid="{00000000-0005-0000-0000-0000D1080000}"/>
    <cellStyle name="Title Heading 3 2" xfId="2331" xr:uid="{00000000-0005-0000-0000-0000D2080000}"/>
    <cellStyle name="Title II" xfId="401" xr:uid="{00000000-0005-0000-0000-0000D3080000}"/>
    <cellStyle name="Title II 2" xfId="2332" xr:uid="{00000000-0005-0000-0000-0000D4080000}"/>
    <cellStyle name="Title II 2 2" xfId="2333" xr:uid="{00000000-0005-0000-0000-0000D5080000}"/>
    <cellStyle name="Title Line" xfId="786" xr:uid="{00000000-0005-0000-0000-0000D6080000}"/>
    <cellStyle name="title1" xfId="402" xr:uid="{00000000-0005-0000-0000-0000D7080000}"/>
    <cellStyle name="Title1 2" xfId="787" xr:uid="{00000000-0005-0000-0000-0000D8080000}"/>
    <cellStyle name="title1 2 2" xfId="2334" xr:uid="{00000000-0005-0000-0000-0000D9080000}"/>
    <cellStyle name="Title2" xfId="403" xr:uid="{00000000-0005-0000-0000-0000DA080000}"/>
    <cellStyle name="Title2 2" xfId="788" xr:uid="{00000000-0005-0000-0000-0000DB080000}"/>
    <cellStyle name="Title2 2 2" xfId="2335" xr:uid="{00000000-0005-0000-0000-0000DC080000}"/>
    <cellStyle name="TitleII" xfId="404" xr:uid="{00000000-0005-0000-0000-0000DD080000}"/>
    <cellStyle name="TitleII 2" xfId="2336" xr:uid="{00000000-0005-0000-0000-0000DE080000}"/>
    <cellStyle name="TitleII 2 2" xfId="2337" xr:uid="{00000000-0005-0000-0000-0000DF080000}"/>
    <cellStyle name="Titles" xfId="405" xr:uid="{00000000-0005-0000-0000-0000E0080000}"/>
    <cellStyle name="Titles 2" xfId="789" xr:uid="{00000000-0005-0000-0000-0000E1080000}"/>
    <cellStyle name="Titles 3" xfId="2338" xr:uid="{00000000-0005-0000-0000-0000E2080000}"/>
    <cellStyle name="Titles 3 2" xfId="2339" xr:uid="{00000000-0005-0000-0000-0000E3080000}"/>
    <cellStyle name="Titre" xfId="406" xr:uid="{00000000-0005-0000-0000-0000E4080000}"/>
    <cellStyle name="Título 1" xfId="2340" xr:uid="{00000000-0005-0000-0000-0000E5080000}"/>
    <cellStyle name="Título 2" xfId="2341" xr:uid="{00000000-0005-0000-0000-0000E6080000}"/>
    <cellStyle name="Titulo1" xfId="2342" xr:uid="{00000000-0005-0000-0000-0000E7080000}"/>
    <cellStyle name="Titulo2" xfId="2343" xr:uid="{00000000-0005-0000-0000-0000E8080000}"/>
    <cellStyle name="Titulo-Seccion" xfId="2344" xr:uid="{00000000-0005-0000-0000-0000E9080000}"/>
    <cellStyle name="TOC 1" xfId="407" xr:uid="{00000000-0005-0000-0000-0000EA080000}"/>
    <cellStyle name="TOC 1 2" xfId="2345" xr:uid="{00000000-0005-0000-0000-0000EB080000}"/>
    <cellStyle name="TOC 1 2 2" xfId="2346" xr:uid="{00000000-0005-0000-0000-0000EC080000}"/>
    <cellStyle name="TOC 2" xfId="408" xr:uid="{00000000-0005-0000-0000-0000ED080000}"/>
    <cellStyle name="TOC 2 2" xfId="2347" xr:uid="{00000000-0005-0000-0000-0000EE080000}"/>
    <cellStyle name="TOC 2 2 2" xfId="2348" xr:uid="{00000000-0005-0000-0000-0000EF080000}"/>
    <cellStyle name="tom" xfId="409" xr:uid="{00000000-0005-0000-0000-0000F0080000}"/>
    <cellStyle name="tom 2" xfId="790" xr:uid="{00000000-0005-0000-0000-0000F1080000}"/>
    <cellStyle name="tom 2 2" xfId="2349" xr:uid="{00000000-0005-0000-0000-0000F2080000}"/>
    <cellStyle name="Top Row" xfId="791" xr:uid="{00000000-0005-0000-0000-0000F3080000}"/>
    <cellStyle name="TopGrey" xfId="792" xr:uid="{00000000-0005-0000-0000-0000F4080000}"/>
    <cellStyle name="Topline" xfId="410" xr:uid="{00000000-0005-0000-0000-0000F5080000}"/>
    <cellStyle name="Topline 2" xfId="1306" xr:uid="{00000000-0005-0000-0000-0000F6080000}"/>
    <cellStyle name="Total" xfId="411" builtinId="25" customBuiltin="1"/>
    <cellStyle name="Total 2" xfId="891" xr:uid="{00000000-0005-0000-0000-0000F8080000}"/>
    <cellStyle name="Total 3" xfId="1057" xr:uid="{00000000-0005-0000-0000-0000F9080000}"/>
    <cellStyle name="Total 3 2" xfId="1462" xr:uid="{00000000-0005-0000-0000-0000FA080000}"/>
    <cellStyle name="Total 4" xfId="1307" xr:uid="{00000000-0005-0000-0000-0000FB080000}"/>
    <cellStyle name="Total row" xfId="412" xr:uid="{00000000-0005-0000-0000-0000FC080000}"/>
    <cellStyle name="Total Row 2" xfId="793" xr:uid="{00000000-0005-0000-0000-0000FD080000}"/>
    <cellStyle name="Total row 3" xfId="2350" xr:uid="{00000000-0005-0000-0000-0000FE080000}"/>
    <cellStyle name="Tusenskille_Korrigeringer for å nettoføre VØT" xfId="413" xr:uid="{00000000-0005-0000-0000-0000FF080000}"/>
    <cellStyle name="Tusental (0)_1998-Q2" xfId="414" xr:uid="{00000000-0005-0000-0000-000000090000}"/>
    <cellStyle name="Tusental_1998-Q4-NORGE" xfId="415" xr:uid="{00000000-0005-0000-0000-000001090000}"/>
    <cellStyle name="twodecplace" xfId="794" xr:uid="{00000000-0005-0000-0000-000002090000}"/>
    <cellStyle name="Twodig" xfId="795" xr:uid="{00000000-0005-0000-0000-000003090000}"/>
    <cellStyle name="Ugly" xfId="796" xr:uid="{00000000-0005-0000-0000-000004090000}"/>
    <cellStyle name="Ugly 2" xfId="1195" xr:uid="{00000000-0005-0000-0000-000005090000}"/>
    <cellStyle name="ul" xfId="416" xr:uid="{00000000-0005-0000-0000-000006090000}"/>
    <cellStyle name="ul 2" xfId="2351" xr:uid="{00000000-0005-0000-0000-000007090000}"/>
    <cellStyle name="ul 2 2" xfId="2352" xr:uid="{00000000-0005-0000-0000-000008090000}"/>
    <cellStyle name="Underline" xfId="797" xr:uid="{00000000-0005-0000-0000-000009090000}"/>
    <cellStyle name="Unhighlight" xfId="417" xr:uid="{00000000-0005-0000-0000-00000A090000}"/>
    <cellStyle name="Unhighlight 2" xfId="1308" xr:uid="{00000000-0005-0000-0000-00000B090000}"/>
    <cellStyle name="Unit" xfId="418" xr:uid="{00000000-0005-0000-0000-00000C090000}"/>
    <cellStyle name="Unit 2" xfId="2353" xr:uid="{00000000-0005-0000-0000-00000D090000}"/>
    <cellStyle name="Unit 2 2" xfId="2354" xr:uid="{00000000-0005-0000-0000-00000E090000}"/>
    <cellStyle name="units" xfId="419" xr:uid="{00000000-0005-0000-0000-00000F090000}"/>
    <cellStyle name="units 2" xfId="2355" xr:uid="{00000000-0005-0000-0000-000010090000}"/>
    <cellStyle name="units 2 2" xfId="2356" xr:uid="{00000000-0005-0000-0000-000011090000}"/>
    <cellStyle name="Untotal row" xfId="420" xr:uid="{00000000-0005-0000-0000-000012090000}"/>
    <cellStyle name="Untotal row 2" xfId="1309" xr:uid="{00000000-0005-0000-0000-000013090000}"/>
    <cellStyle name="Update" xfId="798" xr:uid="{00000000-0005-0000-0000-000014090000}"/>
    <cellStyle name="Upload Only" xfId="421" xr:uid="{00000000-0005-0000-0000-000015090000}"/>
    <cellStyle name="Upload Only 2" xfId="799" xr:uid="{00000000-0005-0000-0000-000016090000}"/>
    <cellStyle name="Upload Only 3" xfId="2357" xr:uid="{00000000-0005-0000-0000-000017090000}"/>
    <cellStyle name="Upload Only 3 2" xfId="2358" xr:uid="{00000000-0005-0000-0000-000018090000}"/>
    <cellStyle name="Validation" xfId="800" xr:uid="{00000000-0005-0000-0000-000019090000}"/>
    <cellStyle name="Valuta (0)" xfId="2359" xr:uid="{00000000-0005-0000-0000-00001A090000}"/>
    <cellStyle name="Warning Text 2" xfId="892" xr:uid="{00000000-0005-0000-0000-00001B090000}"/>
    <cellStyle name="Warning Text 3" xfId="2360" xr:uid="{00000000-0005-0000-0000-00001C090000}"/>
    <cellStyle name="web_ normal" xfId="422" xr:uid="{00000000-0005-0000-0000-00001D090000}"/>
    <cellStyle name="White" xfId="423" xr:uid="{00000000-0005-0000-0000-00001E090000}"/>
    <cellStyle name="White 2" xfId="801" xr:uid="{00000000-0005-0000-0000-00001F090000}"/>
    <cellStyle name="WhitePattern1" xfId="2361" xr:uid="{00000000-0005-0000-0000-000020090000}"/>
    <cellStyle name="WholeNumber" xfId="424" xr:uid="{00000000-0005-0000-0000-000021090000}"/>
    <cellStyle name="WholeNumber 2" xfId="2362" xr:uid="{00000000-0005-0000-0000-000022090000}"/>
    <cellStyle name="WholeNumber 2 2" xfId="2363" xr:uid="{00000000-0005-0000-0000-000023090000}"/>
    <cellStyle name="WingdingsBlack" xfId="803" xr:uid="{00000000-0005-0000-0000-000024090000}"/>
    <cellStyle name="WingdingsBlack 2" xfId="1421" xr:uid="{00000000-0005-0000-0000-000025090000}"/>
    <cellStyle name="WingdingsRed" xfId="804" xr:uid="{00000000-0005-0000-0000-000026090000}"/>
    <cellStyle name="WingdingsRed 2" xfId="1422" xr:uid="{00000000-0005-0000-0000-000027090000}"/>
    <cellStyle name="WingdingsWhite" xfId="805" xr:uid="{00000000-0005-0000-0000-000028090000}"/>
    <cellStyle name="WingdingsWhite 2" xfId="1423" xr:uid="{00000000-0005-0000-0000-000029090000}"/>
    <cellStyle name="WP" xfId="806" xr:uid="{00000000-0005-0000-0000-00002A090000}"/>
    <cellStyle name="WP Header" xfId="425" xr:uid="{00000000-0005-0000-0000-00002B090000}"/>
    <cellStyle name="WP Header 2" xfId="2364" xr:uid="{00000000-0005-0000-0000-00002C090000}"/>
    <cellStyle name="WP Header 3" xfId="2365" xr:uid="{00000000-0005-0000-0000-00002D090000}"/>
    <cellStyle name="WP Header 3 2" xfId="2366" xr:uid="{00000000-0005-0000-0000-00002E090000}"/>
    <cellStyle name="x Men" xfId="807" xr:uid="{00000000-0005-0000-0000-00002F090000}"/>
    <cellStyle name="x Men 2" xfId="1196" xr:uid="{00000000-0005-0000-0000-000030090000}"/>
    <cellStyle name="Year" xfId="426" xr:uid="{00000000-0005-0000-0000-000031090000}"/>
    <cellStyle name="Year 2" xfId="808" xr:uid="{00000000-0005-0000-0000-000032090000}"/>
    <cellStyle name="Year 3" xfId="2367" xr:uid="{00000000-0005-0000-0000-000033090000}"/>
    <cellStyle name="Year 4" xfId="2368" xr:uid="{00000000-0005-0000-0000-000034090000}"/>
    <cellStyle name="years" xfId="809" xr:uid="{00000000-0005-0000-0000-000035090000}"/>
    <cellStyle name="Yen" xfId="427" xr:uid="{00000000-0005-0000-0000-000036090000}"/>
    <cellStyle name="Zero" xfId="810" xr:uid="{00000000-0005-0000-0000-000037090000}"/>
    <cellStyle name="Zero 2" xfId="1197" xr:uid="{00000000-0005-0000-0000-000038090000}"/>
    <cellStyle name="Βασικό_cosmote us gaap 30.12.2000TEST1" xfId="2369" xr:uid="{00000000-0005-0000-0000-000039090000}"/>
    <cellStyle name="똿뗦먛귟 [0.00]_PRODUCT DETAIL Q1_x0013_" xfId="428" xr:uid="{00000000-0005-0000-0000-00003A090000}"/>
    <cellStyle name="똿뗦먛귟_PRODUCT DETAIL Q1TAIL" xfId="429" xr:uid="{00000000-0005-0000-0000-00003B090000}"/>
    <cellStyle name="믅됞 [0.00]_PRODUCT DETAIL Q1Q3" xfId="430" xr:uid="{00000000-0005-0000-0000-00003C090000}"/>
    <cellStyle name="믅됞_PRODUCT DETAIL Q1TA" xfId="431" xr:uid="{00000000-0005-0000-0000-00003D090000}"/>
    <cellStyle name="뷭?_BOOKSHIP_상세일정 (2) (2) " xfId="432" xr:uid="{00000000-0005-0000-0000-00003E090000}"/>
    <cellStyle name="콤마 [0]_97년도 프로젝트 현황 (2)OMMENTS_총무" xfId="433" xr:uid="{00000000-0005-0000-0000-00003F090000}"/>
    <cellStyle name="콤마_97년도 프로젝트 현황 (2) (2)OMMENT" xfId="434" xr:uid="{00000000-0005-0000-0000-000040090000}"/>
    <cellStyle name="통화 [0]_97년도 프로젝트 현황 (2)OMMENT" xfId="435" xr:uid="{00000000-0005-0000-0000-000041090000}"/>
    <cellStyle name="통화_97년도 프로젝트 현황 (2) (2)OMMENT" xfId="436" xr:uid="{00000000-0005-0000-0000-000042090000}"/>
    <cellStyle name="표준_97년 프로젝트 현황) (2) (2)" xfId="437" xr:uid="{00000000-0005-0000-0000-000043090000}"/>
    <cellStyle name="標準_Financial Analysis_BP-Monthly(Final)_BP-ver.2.0_991204(Heavy_PP)" xfId="2370" xr:uid="{00000000-0005-0000-0000-000044090000}"/>
  </cellStyles>
  <dxfs count="4">
    <dxf>
      <fill>
        <patternFill>
          <bgColor theme="2" tint="0.89996032593768116"/>
        </patternFill>
      </fill>
    </dxf>
    <dxf>
      <fill>
        <patternFill>
          <bgColor theme="2" tint="0.89996032593768116"/>
        </patternFill>
      </fill>
    </dxf>
    <dxf>
      <fill>
        <patternFill>
          <bgColor theme="2" tint="0.89996032593768116"/>
        </patternFill>
      </fill>
    </dxf>
    <dxf>
      <fill>
        <patternFill>
          <bgColor theme="2" tint="0.89996032593768116"/>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1F5395"/>
      <rgbColor rgb="00969696"/>
      <rgbColor rgb="00003366"/>
      <rgbColor rgb="00339966"/>
      <rgbColor rgb="00003300"/>
      <rgbColor rgb="00333300"/>
      <rgbColor rgb="00993300"/>
      <rgbColor rgb="00993366"/>
      <rgbColor rgb="00333399"/>
      <rgbColor rgb="00333333"/>
    </indexedColors>
    <mruColors>
      <color rgb="FF99CCFF"/>
      <color rgb="FF666699"/>
      <color rgb="FFCCECFF"/>
      <color rgb="FFFFFFCC"/>
      <color rgb="FF0000FF"/>
      <color rgb="FFFF9966"/>
      <color rgb="FF88AB7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5" Type="http://schemas.openxmlformats.org/officeDocument/2006/relationships/worksheet" Target="worksheets/sheet5.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worksheet" Target="worksheets/sheet134.xml"/><Relationship Id="rId139" Type="http://schemas.openxmlformats.org/officeDocument/2006/relationships/worksheet" Target="worksheets/sheet139.xml"/><Relationship Id="rId80" Type="http://schemas.openxmlformats.org/officeDocument/2006/relationships/worksheet" Target="worksheets/sheet80.xml"/><Relationship Id="rId85" Type="http://schemas.openxmlformats.org/officeDocument/2006/relationships/worksheet" Target="worksheets/sheet85.xml"/><Relationship Id="rId150" Type="http://schemas.openxmlformats.org/officeDocument/2006/relationships/externalLink" Target="externalLinks/externalLink1.xml"/><Relationship Id="rId155" Type="http://schemas.openxmlformats.org/officeDocument/2006/relationships/calcChain" Target="calcChain.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worksheet" Target="worksheets/sheet140.xml"/><Relationship Id="rId145" Type="http://schemas.openxmlformats.org/officeDocument/2006/relationships/worksheet" Target="worksheets/sheet145.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worksheet" Target="worksheets/sheet135.xml"/><Relationship Id="rId151" Type="http://schemas.openxmlformats.org/officeDocument/2006/relationships/theme" Target="theme/theme1.xml"/><Relationship Id="rId156" Type="http://schemas.openxmlformats.org/officeDocument/2006/relationships/customXml" Target="../customXml/item1.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styles" Target="styles.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sharedStrings" Target="sharedStrings.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sheetMetadata" Target="metadata.xml"/><Relationship Id="rId16" Type="http://schemas.openxmlformats.org/officeDocument/2006/relationships/worksheet" Target="worksheets/sheet16.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s>
</file>

<file path=xl/charts/_rels/chart122.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123.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133.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14.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80.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6008090119481486"/>
          <c:y val="7.1428679743121323E-2"/>
          <c:w val="0.53225858849171148"/>
          <c:h val="0.81987701966017612"/>
        </c:manualLayout>
      </c:layout>
      <c:radarChart>
        <c:radarStyle val="marker"/>
        <c:varyColors val="0"/>
        <c:ser>
          <c:idx val="0"/>
          <c:order val="0"/>
          <c:tx>
            <c:strRef>
              <c:f>AAF!$W$24</c:f>
              <c:strCache>
                <c:ptCount val="1"/>
                <c:pt idx="0">
                  <c:v>AMX</c:v>
                </c:pt>
              </c:strCache>
            </c:strRef>
          </c:tx>
          <c:spPr>
            <a:ln w="25400">
              <a:solidFill>
                <a:srgbClr val="263238"/>
              </a:solidFill>
              <a:prstDash val="solid"/>
            </a:ln>
            <a:effectLst/>
          </c:spPr>
          <c:marker>
            <c:symbol val="diamond"/>
            <c:size val="6"/>
            <c:spPr>
              <a:solidFill>
                <a:srgbClr val="263238"/>
              </a:solidFill>
              <a:ln w="6350">
                <a:noFill/>
              </a:ln>
            </c:spPr>
          </c:marker>
          <c:cat>
            <c:strRef>
              <c:f>AAF!$V$25:$V$34</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AAF!$W$25:$W$34</c:f>
              <c:numCache>
                <c:formatCode>0%</c:formatCode>
                <c:ptCount val="10"/>
                <c:pt idx="0">
                  <c:v>0.73830333833954198</c:v>
                </c:pt>
                <c:pt idx="1">
                  <c:v>0.72420060501422179</c:v>
                </c:pt>
                <c:pt idx="2">
                  <c:v>0.60392112837179079</c:v>
                </c:pt>
                <c:pt idx="3">
                  <c:v>0.6777519257240322</c:v>
                </c:pt>
                <c:pt idx="4">
                  <c:v>0.58725688575500967</c:v>
                </c:pt>
                <c:pt idx="5">
                  <c:v>0.63042898974418082</c:v>
                </c:pt>
                <c:pt idx="6">
                  <c:v>0.18495178234989226</c:v>
                </c:pt>
                <c:pt idx="7">
                  <c:v>-0.43407925415122839</c:v>
                </c:pt>
                <c:pt idx="8">
                  <c:v>-1.8289662137763523</c:v>
                </c:pt>
                <c:pt idx="9">
                  <c:v>5.4068146156504584</c:v>
                </c:pt>
              </c:numCache>
            </c:numRef>
          </c:val>
          <c:extLst>
            <c:ext xmlns:c16="http://schemas.microsoft.com/office/drawing/2014/chart" uri="{C3380CC4-5D6E-409C-BE32-E72D297353CC}">
              <c16:uniqueId val="{00000000-CD3C-4E1F-8917-599838078678}"/>
            </c:ext>
          </c:extLst>
        </c:ser>
        <c:ser>
          <c:idx val="1"/>
          <c:order val="1"/>
          <c:tx>
            <c:strRef>
              <c:f>AAF!$X$24</c:f>
              <c:strCache>
                <c:ptCount val="1"/>
                <c:pt idx="0">
                  <c:v>Agg. LatAm Incumbent</c:v>
                </c:pt>
              </c:strCache>
            </c:strRef>
          </c:tx>
          <c:spPr>
            <a:ln w="25400">
              <a:solidFill>
                <a:srgbClr val="799098"/>
              </a:solidFill>
              <a:prstDash val="solid"/>
            </a:ln>
            <a:effectLst/>
          </c:spPr>
          <c:marker>
            <c:symbol val="diamond"/>
            <c:size val="6"/>
            <c:spPr>
              <a:solidFill>
                <a:srgbClr val="799098"/>
              </a:solidFill>
              <a:ln w="6350">
                <a:noFill/>
              </a:ln>
            </c:spPr>
          </c:marker>
          <c:cat>
            <c:strRef>
              <c:f>AAF!$V$25:$V$34</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AAF!$X$25:$X$34</c:f>
              <c:numCache>
                <c:formatCode>0%</c:formatCode>
                <c:ptCount val="10"/>
                <c:pt idx="0">
                  <c:v>1</c:v>
                </c:pt>
                <c:pt idx="1">
                  <c:v>1</c:v>
                </c:pt>
                <c:pt idx="2">
                  <c:v>1</c:v>
                </c:pt>
                <c:pt idx="3">
                  <c:v>1</c:v>
                </c:pt>
                <c:pt idx="4">
                  <c:v>1</c:v>
                </c:pt>
                <c:pt idx="5">
                  <c:v>1</c:v>
                </c:pt>
                <c:pt idx="6">
                  <c:v>1</c:v>
                </c:pt>
                <c:pt idx="7">
                  <c:v>1</c:v>
                </c:pt>
                <c:pt idx="8">
                  <c:v>1</c:v>
                </c:pt>
                <c:pt idx="9">
                  <c:v>1</c:v>
                </c:pt>
              </c:numCache>
            </c:numRef>
          </c:val>
          <c:extLst>
            <c:ext xmlns:c16="http://schemas.microsoft.com/office/drawing/2014/chart" uri="{C3380CC4-5D6E-409C-BE32-E72D297353CC}">
              <c16:uniqueId val="{00000001-CD3C-4E1F-8917-599838078678}"/>
            </c:ext>
          </c:extLst>
        </c:ser>
        <c:dLbls>
          <c:showLegendKey val="0"/>
          <c:showVal val="0"/>
          <c:showCatName val="0"/>
          <c:showSerName val="0"/>
          <c:showPercent val="0"/>
          <c:showBubbleSize val="0"/>
        </c:dLbls>
        <c:axId val="342873984"/>
        <c:axId val="342876160"/>
      </c:radarChart>
      <c:catAx>
        <c:axId val="342873984"/>
        <c:scaling>
          <c:orientation val="minMax"/>
        </c:scaling>
        <c:delete val="0"/>
        <c:axPos val="b"/>
        <c:numFmt formatCode="General" sourceLinked="1"/>
        <c:majorTickMark val="out"/>
        <c:minorTickMark val="none"/>
        <c:tickLblPos val="nextTo"/>
        <c:spPr>
          <a:ln>
            <a:solidFill>
              <a:srgbClr val="B3B3B3"/>
            </a:solidFill>
          </a:ln>
        </c:spPr>
        <c:txPr>
          <a:bodyPr rot="0" vert="horz"/>
          <a:lstStyle/>
          <a:p>
            <a:pPr>
              <a:defRPr/>
            </a:pPr>
            <a:endParaRPr lang="en-US"/>
          </a:p>
        </c:txPr>
        <c:crossAx val="342876160"/>
        <c:crosses val="autoZero"/>
        <c:auto val="0"/>
        <c:lblAlgn val="ctr"/>
        <c:lblOffset val="100"/>
        <c:noMultiLvlLbl val="0"/>
      </c:catAx>
      <c:valAx>
        <c:axId val="342876160"/>
        <c:scaling>
          <c:orientation val="minMax"/>
        </c:scaling>
        <c:delete val="0"/>
        <c:axPos val="l"/>
        <c:numFmt formatCode="0%" sourceLinked="1"/>
        <c:majorTickMark val="cross"/>
        <c:minorTickMark val="none"/>
        <c:tickLblPos val="nextTo"/>
        <c:spPr>
          <a:ln w="3175">
            <a:solidFill>
              <a:srgbClr val="B3B3B3"/>
            </a:solidFill>
            <a:prstDash val="solid"/>
          </a:ln>
        </c:spPr>
        <c:txPr>
          <a:bodyPr rot="0" vert="horz"/>
          <a:lstStyle/>
          <a:p>
            <a:pPr>
              <a:defRPr/>
            </a:pPr>
            <a:endParaRPr lang="en-US"/>
          </a:p>
        </c:txPr>
        <c:crossAx val="342873984"/>
        <c:crosses val="autoZero"/>
        <c:crossBetween val="between"/>
      </c:valAx>
      <c:spPr>
        <a:noFill/>
        <a:ln w="25400">
          <a:noFill/>
        </a:ln>
      </c:spPr>
    </c:plotArea>
    <c:legend>
      <c:legendPos val="b"/>
      <c:overlay val="0"/>
      <c:spPr>
        <a:noFill/>
        <a:ln w="25400">
          <a:noFill/>
        </a:ln>
      </c:spPr>
    </c:legend>
    <c:plotVisOnly val="1"/>
    <c:dispBlanksAs val="gap"/>
    <c:showDLblsOverMax val="0"/>
  </c:chart>
  <c:spPr>
    <a:noFill/>
    <a:ln w="25400">
      <a:noFill/>
    </a:ln>
    <a:effectLst/>
  </c:spPr>
  <c:txPr>
    <a:bodyPr/>
    <a:lstStyle/>
    <a:p>
      <a:pPr>
        <a:defRPr sz="1000" b="0" i="0" u="none" strike="noStrike" baseline="0">
          <a:solidFill>
            <a:srgbClr val="595959"/>
          </a:solidFill>
          <a:latin typeface="Arial Narrow"/>
          <a:ea typeface="Arial Narrow"/>
          <a:cs typeface="Arial Narrow"/>
        </a:defRPr>
      </a:pPr>
      <a:endParaRPr lang="en-US"/>
    </a:p>
  </c:txPr>
  <c:printSettings>
    <c:headerFooter alignWithMargins="0"/>
    <c:pageMargins b="1" l="0.75000000000000111" r="0.75000000000000111" t="1" header="0.5" footer="0.5"/>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9349527416776011"/>
          <c:y val="0.17145466287259617"/>
          <c:w val="0.40691034528918546"/>
          <c:h val="0.60195429961050384"/>
        </c:manualLayout>
      </c:layout>
      <c:radarChart>
        <c:radarStyle val="marker"/>
        <c:varyColors val="0"/>
        <c:ser>
          <c:idx val="0"/>
          <c:order val="0"/>
          <c:tx>
            <c:strRef>
              <c:f>BHIN!$W$24</c:f>
              <c:strCache>
                <c:ptCount val="1"/>
                <c:pt idx="0">
                  <c:v>Bharti Infratel</c:v>
                </c:pt>
              </c:strCache>
            </c:strRef>
          </c:tx>
          <c:spPr>
            <a:ln w="25400">
              <a:solidFill>
                <a:srgbClr val="263238"/>
              </a:solidFill>
              <a:prstDash val="solid"/>
            </a:ln>
            <a:effectLst/>
          </c:spPr>
          <c:marker>
            <c:symbol val="diamond"/>
            <c:size val="6"/>
            <c:spPr>
              <a:solidFill>
                <a:srgbClr val="263238"/>
              </a:solidFill>
              <a:ln w="6350">
                <a:noFill/>
              </a:ln>
            </c:spPr>
          </c:marker>
          <c:cat>
            <c:strRef>
              <c:f>BHIN!$V$25:$V$34</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BHIN!$W$25:$W$34</c:f>
              <c:numCache>
                <c:formatCode>0%</c:formatCode>
                <c:ptCount val="10"/>
                <c:pt idx="0">
                  <c:v>1.7292987076514901</c:v>
                </c:pt>
                <c:pt idx="1">
                  <c:v>1.071301937916245</c:v>
                </c:pt>
                <c:pt idx="2">
                  <c:v>0.74777335392828759</c:v>
                </c:pt>
                <c:pt idx="3">
                  <c:v>0.96895773138259245</c:v>
                </c:pt>
                <c:pt idx="4">
                  <c:v>5.0730052328126964</c:v>
                </c:pt>
                <c:pt idx="5">
                  <c:v>1.7740745320861027</c:v>
                </c:pt>
                <c:pt idx="6">
                  <c:v>0.67461975104972216</c:v>
                </c:pt>
                <c:pt idx="7">
                  <c:v>0.70966386455641994</c:v>
                </c:pt>
                <c:pt idx="8">
                  <c:v>0.7575179058080117</c:v>
                </c:pt>
                <c:pt idx="9">
                  <c:v>1.4823165174811135</c:v>
                </c:pt>
              </c:numCache>
            </c:numRef>
          </c:val>
          <c:extLst>
            <c:ext xmlns:c16="http://schemas.microsoft.com/office/drawing/2014/chart" uri="{C3380CC4-5D6E-409C-BE32-E72D297353CC}">
              <c16:uniqueId val="{00000000-E797-4D6B-81C5-82723E44B8BA}"/>
            </c:ext>
          </c:extLst>
        </c:ser>
        <c:ser>
          <c:idx val="1"/>
          <c:order val="1"/>
          <c:tx>
            <c:strRef>
              <c:f>BHIN!$X$24</c:f>
              <c:strCache>
                <c:ptCount val="1"/>
                <c:pt idx="0">
                  <c:v>Agg. Asia Cellular</c:v>
                </c:pt>
              </c:strCache>
            </c:strRef>
          </c:tx>
          <c:spPr>
            <a:ln w="25400">
              <a:solidFill>
                <a:srgbClr val="799098"/>
              </a:solidFill>
              <a:prstDash val="solid"/>
            </a:ln>
            <a:effectLst/>
          </c:spPr>
          <c:marker>
            <c:symbol val="diamond"/>
            <c:size val="6"/>
            <c:spPr>
              <a:solidFill>
                <a:srgbClr val="799098"/>
              </a:solidFill>
              <a:ln w="6350">
                <a:noFill/>
              </a:ln>
            </c:spPr>
          </c:marker>
          <c:cat>
            <c:strRef>
              <c:f>BHIN!$V$25:$V$34</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BHIN!$X$25:$X$34</c:f>
              <c:numCache>
                <c:formatCode>0%</c:formatCode>
                <c:ptCount val="10"/>
                <c:pt idx="0">
                  <c:v>1</c:v>
                </c:pt>
                <c:pt idx="1">
                  <c:v>1</c:v>
                </c:pt>
                <c:pt idx="2">
                  <c:v>1</c:v>
                </c:pt>
                <c:pt idx="3">
                  <c:v>1</c:v>
                </c:pt>
                <c:pt idx="4">
                  <c:v>1</c:v>
                </c:pt>
                <c:pt idx="5">
                  <c:v>1</c:v>
                </c:pt>
                <c:pt idx="6">
                  <c:v>1</c:v>
                </c:pt>
                <c:pt idx="7">
                  <c:v>1</c:v>
                </c:pt>
                <c:pt idx="8">
                  <c:v>1</c:v>
                </c:pt>
                <c:pt idx="9">
                  <c:v>1</c:v>
                </c:pt>
              </c:numCache>
            </c:numRef>
          </c:val>
          <c:extLst>
            <c:ext xmlns:c16="http://schemas.microsoft.com/office/drawing/2014/chart" uri="{C3380CC4-5D6E-409C-BE32-E72D297353CC}">
              <c16:uniqueId val="{00000001-E797-4D6B-81C5-82723E44B8BA}"/>
            </c:ext>
          </c:extLst>
        </c:ser>
        <c:dLbls>
          <c:showLegendKey val="0"/>
          <c:showVal val="0"/>
          <c:showCatName val="0"/>
          <c:showSerName val="0"/>
          <c:showPercent val="0"/>
          <c:showBubbleSize val="0"/>
        </c:dLbls>
        <c:axId val="358625664"/>
        <c:axId val="358627584"/>
      </c:radarChart>
      <c:catAx>
        <c:axId val="358625664"/>
        <c:scaling>
          <c:orientation val="minMax"/>
        </c:scaling>
        <c:delete val="0"/>
        <c:axPos val="b"/>
        <c:numFmt formatCode="General" sourceLinked="1"/>
        <c:majorTickMark val="out"/>
        <c:minorTickMark val="none"/>
        <c:tickLblPos val="nextTo"/>
        <c:spPr>
          <a:ln>
            <a:solidFill>
              <a:srgbClr val="B3B3B3"/>
            </a:solidFill>
          </a:ln>
        </c:spPr>
        <c:txPr>
          <a:bodyPr rot="0" vert="horz"/>
          <a:lstStyle/>
          <a:p>
            <a:pPr>
              <a:defRPr/>
            </a:pPr>
            <a:endParaRPr lang="en-US"/>
          </a:p>
        </c:txPr>
        <c:crossAx val="358627584"/>
        <c:crosses val="autoZero"/>
        <c:auto val="0"/>
        <c:lblAlgn val="ctr"/>
        <c:lblOffset val="100"/>
        <c:noMultiLvlLbl val="0"/>
      </c:catAx>
      <c:valAx>
        <c:axId val="358627584"/>
        <c:scaling>
          <c:orientation val="minMax"/>
        </c:scaling>
        <c:delete val="0"/>
        <c:axPos val="l"/>
        <c:numFmt formatCode="0%" sourceLinked="1"/>
        <c:majorTickMark val="cross"/>
        <c:minorTickMark val="none"/>
        <c:tickLblPos val="nextTo"/>
        <c:spPr>
          <a:ln w="3175">
            <a:solidFill>
              <a:srgbClr val="B3B3B3"/>
            </a:solidFill>
            <a:prstDash val="solid"/>
          </a:ln>
        </c:spPr>
        <c:txPr>
          <a:bodyPr rot="0" vert="horz"/>
          <a:lstStyle/>
          <a:p>
            <a:pPr>
              <a:defRPr/>
            </a:pPr>
            <a:endParaRPr lang="en-US"/>
          </a:p>
        </c:txPr>
        <c:crossAx val="358625664"/>
        <c:crosses val="autoZero"/>
        <c:crossBetween val="between"/>
      </c:valAx>
      <c:spPr>
        <a:noFill/>
        <a:ln w="25400">
          <a:noFill/>
        </a:ln>
      </c:spPr>
    </c:plotArea>
    <c:legend>
      <c:legendPos val="b"/>
      <c:overlay val="0"/>
      <c:spPr>
        <a:noFill/>
        <a:ln w="25400">
          <a:noFill/>
        </a:ln>
      </c:spPr>
    </c:legend>
    <c:plotVisOnly val="1"/>
    <c:dispBlanksAs val="gap"/>
    <c:showDLblsOverMax val="0"/>
  </c:chart>
  <c:spPr>
    <a:noFill/>
    <a:ln w="25400">
      <a:noFill/>
    </a:ln>
    <a:effectLst/>
  </c:spPr>
  <c:txPr>
    <a:bodyPr/>
    <a:lstStyle/>
    <a:p>
      <a:pPr>
        <a:defRPr sz="1000" b="0" i="0" u="none" strike="noStrike" baseline="0">
          <a:solidFill>
            <a:srgbClr val="595959"/>
          </a:solidFill>
          <a:latin typeface="Arial Narrow"/>
          <a:ea typeface="Arial Narrow"/>
          <a:cs typeface="Arial Narrow"/>
        </a:defRPr>
      </a:pPr>
      <a:endParaRPr lang="en-US"/>
    </a:p>
  </c:txPr>
  <c:printSettings>
    <c:headerFooter alignWithMargins="0"/>
    <c:pageMargins b="1" l="0.75000000000000111" r="0.75000000000000111" t="1" header="0.5" footer="0.5"/>
    <c:pageSetup/>
  </c:printSettings>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0078061378193732"/>
          <c:y val="6.8750000000000019E-2"/>
          <c:w val="0.47772477642382488"/>
          <c:h val="0.71769986457449353"/>
        </c:manualLayout>
      </c:layout>
      <c:radarChart>
        <c:radarStyle val="marker"/>
        <c:varyColors val="0"/>
        <c:ser>
          <c:idx val="0"/>
          <c:order val="0"/>
          <c:tx>
            <c:strRef>
              <c:f>'AGG DM ASIA'!$W$23</c:f>
              <c:strCache>
                <c:ptCount val="1"/>
                <c:pt idx="0">
                  <c:v>Developed Asia</c:v>
                </c:pt>
              </c:strCache>
            </c:strRef>
          </c:tx>
          <c:spPr>
            <a:ln w="25400">
              <a:solidFill>
                <a:srgbClr val="263238"/>
              </a:solidFill>
              <a:prstDash val="solid"/>
            </a:ln>
            <a:effectLst/>
          </c:spPr>
          <c:marker>
            <c:symbol val="diamond"/>
            <c:size val="6"/>
            <c:spPr>
              <a:solidFill>
                <a:srgbClr val="263238"/>
              </a:solidFill>
              <a:ln w="6350">
                <a:noFill/>
              </a:ln>
            </c:spPr>
          </c:marker>
          <c:cat>
            <c:strRef>
              <c:f>'AGG DM ASIA'!$V$24:$V$33</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'AGG DM ASIA'!$W$24:$W$33</c:f>
              <c:numCache>
                <c:formatCode>0%</c:formatCode>
                <c:ptCount val="10"/>
                <c:pt idx="0">
                  <c:v>0.76941783064235902</c:v>
                </c:pt>
                <c:pt idx="1">
                  <c:v>0.95375084655672893</c:v>
                </c:pt>
                <c:pt idx="2">
                  <c:v>0.93412605976609464</c:v>
                </c:pt>
                <c:pt idx="3">
                  <c:v>0.92600185957862957</c:v>
                </c:pt>
                <c:pt idx="4">
                  <c:v>1.0182863504762787</c:v>
                </c:pt>
                <c:pt idx="5">
                  <c:v>0.89206215002700628</c:v>
                </c:pt>
                <c:pt idx="6">
                  <c:v>0.94477497944043487</c:v>
                </c:pt>
                <c:pt idx="7">
                  <c:v>1.0907172591775625</c:v>
                </c:pt>
                <c:pt idx="8">
                  <c:v>0.98657612959848917</c:v>
                </c:pt>
                <c:pt idx="9">
                  <c:v>0.94477497944043487</c:v>
                </c:pt>
              </c:numCache>
            </c:numRef>
          </c:val>
          <c:extLst>
            <c:ext xmlns:c16="http://schemas.microsoft.com/office/drawing/2014/chart" uri="{C3380CC4-5D6E-409C-BE32-E72D297353CC}">
              <c16:uniqueId val="{00000000-706F-4A4B-85CD-50628975A80A}"/>
            </c:ext>
          </c:extLst>
        </c:ser>
        <c:ser>
          <c:idx val="1"/>
          <c:order val="1"/>
          <c:tx>
            <c:strRef>
              <c:f>'AGG DM ASIA'!$X$23</c:f>
              <c:strCache>
                <c:ptCount val="1"/>
                <c:pt idx="0">
                  <c:v>DM Aggregate</c:v>
                </c:pt>
              </c:strCache>
            </c:strRef>
          </c:tx>
          <c:spPr>
            <a:ln w="25400">
              <a:solidFill>
                <a:srgbClr val="799098"/>
              </a:solidFill>
              <a:prstDash val="solid"/>
            </a:ln>
            <a:effectLst/>
          </c:spPr>
          <c:marker>
            <c:symbol val="diamond"/>
            <c:size val="6"/>
            <c:spPr>
              <a:solidFill>
                <a:srgbClr val="799098"/>
              </a:solidFill>
              <a:ln w="6350">
                <a:noFill/>
              </a:ln>
            </c:spPr>
          </c:marker>
          <c:cat>
            <c:strRef>
              <c:f>'AGG DM ASIA'!$V$24:$V$33</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'AGG DM ASIA'!$X$24:$X$33</c:f>
              <c:numCache>
                <c:formatCode>0%</c:formatCode>
                <c:ptCount val="10"/>
                <c:pt idx="0">
                  <c:v>1</c:v>
                </c:pt>
                <c:pt idx="1">
                  <c:v>1</c:v>
                </c:pt>
                <c:pt idx="2">
                  <c:v>1</c:v>
                </c:pt>
                <c:pt idx="3">
                  <c:v>1</c:v>
                </c:pt>
                <c:pt idx="4">
                  <c:v>1</c:v>
                </c:pt>
                <c:pt idx="5">
                  <c:v>1</c:v>
                </c:pt>
                <c:pt idx="6">
                  <c:v>1</c:v>
                </c:pt>
                <c:pt idx="7">
                  <c:v>1</c:v>
                </c:pt>
                <c:pt idx="8">
                  <c:v>1</c:v>
                </c:pt>
                <c:pt idx="9">
                  <c:v>1</c:v>
                </c:pt>
              </c:numCache>
            </c:numRef>
          </c:val>
          <c:extLst>
            <c:ext xmlns:c16="http://schemas.microsoft.com/office/drawing/2014/chart" uri="{C3380CC4-5D6E-409C-BE32-E72D297353CC}">
              <c16:uniqueId val="{00000001-706F-4A4B-85CD-50628975A80A}"/>
            </c:ext>
          </c:extLst>
        </c:ser>
        <c:dLbls>
          <c:showLegendKey val="0"/>
          <c:showVal val="0"/>
          <c:showCatName val="0"/>
          <c:showSerName val="0"/>
          <c:showPercent val="0"/>
          <c:showBubbleSize val="0"/>
        </c:dLbls>
        <c:axId val="355212288"/>
        <c:axId val="355218560"/>
      </c:radarChart>
      <c:catAx>
        <c:axId val="355212288"/>
        <c:scaling>
          <c:orientation val="minMax"/>
        </c:scaling>
        <c:delete val="0"/>
        <c:axPos val="b"/>
        <c:numFmt formatCode="General" sourceLinked="1"/>
        <c:majorTickMark val="out"/>
        <c:minorTickMark val="none"/>
        <c:tickLblPos val="nextTo"/>
        <c:spPr>
          <a:ln>
            <a:solidFill>
              <a:srgbClr val="B3B3B3"/>
            </a:solidFill>
          </a:ln>
        </c:spPr>
        <c:txPr>
          <a:bodyPr rot="0" vert="horz"/>
          <a:lstStyle/>
          <a:p>
            <a:pPr>
              <a:defRPr/>
            </a:pPr>
            <a:endParaRPr lang="en-US"/>
          </a:p>
        </c:txPr>
        <c:crossAx val="355218560"/>
        <c:crosses val="autoZero"/>
        <c:auto val="0"/>
        <c:lblAlgn val="ctr"/>
        <c:lblOffset val="100"/>
        <c:noMultiLvlLbl val="0"/>
      </c:catAx>
      <c:valAx>
        <c:axId val="355218560"/>
        <c:scaling>
          <c:orientation val="minMax"/>
        </c:scaling>
        <c:delete val="0"/>
        <c:axPos val="l"/>
        <c:numFmt formatCode="0%" sourceLinked="1"/>
        <c:majorTickMark val="cross"/>
        <c:minorTickMark val="none"/>
        <c:tickLblPos val="nextTo"/>
        <c:spPr>
          <a:ln w="3175">
            <a:solidFill>
              <a:srgbClr val="B3B3B3"/>
            </a:solidFill>
            <a:prstDash val="solid"/>
          </a:ln>
        </c:spPr>
        <c:txPr>
          <a:bodyPr rot="0" vert="horz"/>
          <a:lstStyle/>
          <a:p>
            <a:pPr>
              <a:defRPr/>
            </a:pPr>
            <a:endParaRPr lang="en-US"/>
          </a:p>
        </c:txPr>
        <c:crossAx val="355212288"/>
        <c:crosses val="autoZero"/>
        <c:crossBetween val="between"/>
      </c:valAx>
      <c:spPr>
        <a:noFill/>
        <a:ln w="25400">
          <a:noFill/>
        </a:ln>
      </c:spPr>
    </c:plotArea>
    <c:legend>
      <c:legendPos val="b"/>
      <c:overlay val="0"/>
      <c:spPr>
        <a:noFill/>
        <a:ln w="25400">
          <a:noFill/>
        </a:ln>
      </c:spPr>
    </c:legend>
    <c:plotVisOnly val="1"/>
    <c:dispBlanksAs val="gap"/>
    <c:showDLblsOverMax val="0"/>
  </c:chart>
  <c:spPr>
    <a:noFill/>
    <a:ln w="25400">
      <a:noFill/>
    </a:ln>
    <a:effectLst/>
  </c:spPr>
  <c:txPr>
    <a:bodyPr/>
    <a:lstStyle/>
    <a:p>
      <a:pPr>
        <a:defRPr sz="1000" b="0" i="0" u="none" strike="noStrike" baseline="0">
          <a:solidFill>
            <a:srgbClr val="595959"/>
          </a:solidFill>
          <a:latin typeface="Arial Narrow"/>
          <a:ea typeface="Arial Narrow"/>
          <a:cs typeface="Arial Narrow"/>
        </a:defRPr>
      </a:pPr>
      <a:endParaRPr lang="en-US"/>
    </a:p>
  </c:txPr>
  <c:printSettings>
    <c:headerFooter alignWithMargins="0"/>
    <c:pageMargins b="1" l="0.75000000000000111" r="0.75000000000000111" t="1" header="0.5" footer="0.5"/>
    <c:pageSetup orientation="landscape"/>
  </c:printSettings>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7914953230237954"/>
          <c:y val="6.8750000000000019E-2"/>
          <c:w val="0.49935585790338188"/>
          <c:h val="0.7501968691566967"/>
        </c:manualLayout>
      </c:layout>
      <c:radarChart>
        <c:radarStyle val="marker"/>
        <c:varyColors val="0"/>
        <c:ser>
          <c:idx val="0"/>
          <c:order val="0"/>
          <c:tx>
            <c:strRef>
              <c:f>'LATAM INCUMB'!$W$23</c:f>
              <c:strCache>
                <c:ptCount val="1"/>
                <c:pt idx="0">
                  <c:v>LatAm incumbents</c:v>
                </c:pt>
              </c:strCache>
            </c:strRef>
          </c:tx>
          <c:spPr>
            <a:ln w="25400">
              <a:solidFill>
                <a:srgbClr val="263238"/>
              </a:solidFill>
              <a:prstDash val="solid"/>
            </a:ln>
            <a:effectLst/>
          </c:spPr>
          <c:marker>
            <c:symbol val="diamond"/>
            <c:size val="6"/>
            <c:spPr>
              <a:solidFill>
                <a:srgbClr val="263238"/>
              </a:solidFill>
              <a:ln w="6350">
                <a:noFill/>
              </a:ln>
            </c:spPr>
          </c:marker>
          <c:cat>
            <c:strRef>
              <c:f>'LATAM INCUMB'!$V$24:$V$33</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'LATAM INCUMB'!$W$24:$W$33</c:f>
              <c:numCache>
                <c:formatCode>0%</c:formatCode>
                <c:ptCount val="10"/>
                <c:pt idx="0">
                  <c:v>2.1256720709146491E-2</c:v>
                </c:pt>
                <c:pt idx="1">
                  <c:v>1.6940613392923094E-2</c:v>
                </c:pt>
                <c:pt idx="2">
                  <c:v>1.3600146152631377E-2</c:v>
                </c:pt>
                <c:pt idx="3">
                  <c:v>1.4768744305691748E-2</c:v>
                </c:pt>
                <c:pt idx="4">
                  <c:v>1.6507568290362901E-2</c:v>
                </c:pt>
                <c:pt idx="5">
                  <c:v>2.2722289562790082E-2</c:v>
                </c:pt>
                <c:pt idx="6">
                  <c:v>1.4080818924807192</c:v>
                </c:pt>
                <c:pt idx="7">
                  <c:v>2.0011667398056317E-2</c:v>
                </c:pt>
                <c:pt idx="8">
                  <c:v>2.8565723760473262E-2</c:v>
                </c:pt>
                <c:pt idx="9">
                  <c:v>1.4080818924807195</c:v>
                </c:pt>
              </c:numCache>
            </c:numRef>
          </c:val>
          <c:extLst>
            <c:ext xmlns:c16="http://schemas.microsoft.com/office/drawing/2014/chart" uri="{C3380CC4-5D6E-409C-BE32-E72D297353CC}">
              <c16:uniqueId val="{00000000-97A4-46ED-A43D-DA2286A816F4}"/>
            </c:ext>
          </c:extLst>
        </c:ser>
        <c:ser>
          <c:idx val="1"/>
          <c:order val="1"/>
          <c:tx>
            <c:strRef>
              <c:f>'LATAM INCUMB'!$X$23</c:f>
              <c:strCache>
                <c:ptCount val="1"/>
                <c:pt idx="0">
                  <c:v>EM incumbents</c:v>
                </c:pt>
              </c:strCache>
            </c:strRef>
          </c:tx>
          <c:spPr>
            <a:ln w="25400">
              <a:solidFill>
                <a:srgbClr val="799098"/>
              </a:solidFill>
              <a:prstDash val="solid"/>
            </a:ln>
            <a:effectLst/>
          </c:spPr>
          <c:marker>
            <c:symbol val="diamond"/>
            <c:size val="6"/>
            <c:spPr>
              <a:solidFill>
                <a:srgbClr val="799098"/>
              </a:solidFill>
              <a:ln w="6350">
                <a:noFill/>
              </a:ln>
            </c:spPr>
          </c:marker>
          <c:cat>
            <c:strRef>
              <c:f>'LATAM INCUMB'!$V$24:$V$33</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'LATAM INCUMB'!$X$24:$X$33</c:f>
              <c:numCache>
                <c:formatCode>0%</c:formatCode>
                <c:ptCount val="10"/>
                <c:pt idx="0">
                  <c:v>1</c:v>
                </c:pt>
                <c:pt idx="1">
                  <c:v>1</c:v>
                </c:pt>
                <c:pt idx="2">
                  <c:v>1</c:v>
                </c:pt>
                <c:pt idx="3">
                  <c:v>1</c:v>
                </c:pt>
                <c:pt idx="4">
                  <c:v>1</c:v>
                </c:pt>
                <c:pt idx="5">
                  <c:v>1</c:v>
                </c:pt>
                <c:pt idx="6">
                  <c:v>1</c:v>
                </c:pt>
                <c:pt idx="7">
                  <c:v>1</c:v>
                </c:pt>
                <c:pt idx="8">
                  <c:v>1</c:v>
                </c:pt>
                <c:pt idx="9">
                  <c:v>1</c:v>
                </c:pt>
              </c:numCache>
            </c:numRef>
          </c:val>
          <c:extLst>
            <c:ext xmlns:c16="http://schemas.microsoft.com/office/drawing/2014/chart" uri="{C3380CC4-5D6E-409C-BE32-E72D297353CC}">
              <c16:uniqueId val="{00000001-97A4-46ED-A43D-DA2286A816F4}"/>
            </c:ext>
          </c:extLst>
        </c:ser>
        <c:dLbls>
          <c:showLegendKey val="0"/>
          <c:showVal val="0"/>
          <c:showCatName val="0"/>
          <c:showSerName val="0"/>
          <c:showPercent val="0"/>
          <c:showBubbleSize val="0"/>
        </c:dLbls>
        <c:axId val="355269248"/>
        <c:axId val="356422400"/>
      </c:radarChart>
      <c:catAx>
        <c:axId val="355269248"/>
        <c:scaling>
          <c:orientation val="minMax"/>
        </c:scaling>
        <c:delete val="0"/>
        <c:axPos val="b"/>
        <c:numFmt formatCode="General" sourceLinked="1"/>
        <c:majorTickMark val="out"/>
        <c:minorTickMark val="none"/>
        <c:tickLblPos val="nextTo"/>
        <c:spPr>
          <a:ln>
            <a:solidFill>
              <a:srgbClr val="B3B3B3"/>
            </a:solidFill>
          </a:ln>
        </c:spPr>
        <c:txPr>
          <a:bodyPr rot="0" vert="horz"/>
          <a:lstStyle/>
          <a:p>
            <a:pPr>
              <a:defRPr/>
            </a:pPr>
            <a:endParaRPr lang="en-US"/>
          </a:p>
        </c:txPr>
        <c:crossAx val="356422400"/>
        <c:crosses val="autoZero"/>
        <c:auto val="0"/>
        <c:lblAlgn val="ctr"/>
        <c:lblOffset val="100"/>
        <c:noMultiLvlLbl val="0"/>
      </c:catAx>
      <c:valAx>
        <c:axId val="356422400"/>
        <c:scaling>
          <c:orientation val="minMax"/>
        </c:scaling>
        <c:delete val="0"/>
        <c:axPos val="l"/>
        <c:numFmt formatCode="0%" sourceLinked="1"/>
        <c:majorTickMark val="cross"/>
        <c:minorTickMark val="none"/>
        <c:tickLblPos val="nextTo"/>
        <c:spPr>
          <a:ln w="3175">
            <a:solidFill>
              <a:srgbClr val="B3B3B3"/>
            </a:solidFill>
            <a:prstDash val="solid"/>
          </a:ln>
        </c:spPr>
        <c:txPr>
          <a:bodyPr rot="0" vert="horz"/>
          <a:lstStyle/>
          <a:p>
            <a:pPr>
              <a:defRPr/>
            </a:pPr>
            <a:endParaRPr lang="en-US"/>
          </a:p>
        </c:txPr>
        <c:crossAx val="355269248"/>
        <c:crosses val="autoZero"/>
        <c:crossBetween val="between"/>
      </c:valAx>
      <c:spPr>
        <a:noFill/>
        <a:ln w="25400">
          <a:noFill/>
        </a:ln>
      </c:spPr>
    </c:plotArea>
    <c:legend>
      <c:legendPos val="b"/>
      <c:overlay val="0"/>
      <c:spPr>
        <a:noFill/>
        <a:ln w="25400">
          <a:noFill/>
        </a:ln>
      </c:spPr>
    </c:legend>
    <c:plotVisOnly val="1"/>
    <c:dispBlanksAs val="gap"/>
    <c:showDLblsOverMax val="0"/>
  </c:chart>
  <c:spPr>
    <a:noFill/>
    <a:ln w="25400">
      <a:noFill/>
    </a:ln>
    <a:effectLst/>
  </c:spPr>
  <c:txPr>
    <a:bodyPr/>
    <a:lstStyle/>
    <a:p>
      <a:pPr>
        <a:defRPr sz="1000" b="0" i="0" u="none" strike="noStrike" baseline="0">
          <a:solidFill>
            <a:srgbClr val="595959"/>
          </a:solidFill>
          <a:latin typeface="Arial Narrow"/>
          <a:ea typeface="Arial Narrow"/>
          <a:cs typeface="Arial Narrow"/>
        </a:defRPr>
      </a:pPr>
      <a:endParaRPr lang="en-US"/>
    </a:p>
  </c:txPr>
  <c:printSettings>
    <c:headerFooter alignWithMargins="0"/>
    <c:pageMargins b="1" l="0.75000000000000111" r="0.75000000000000111" t="1" header="0.5" footer="0.5"/>
    <c:pageSetup orientation="landscape"/>
  </c:printSettings>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2177441187154648"/>
          <c:y val="5.9375000000000004E-2"/>
          <c:w val="0.52098693938293805"/>
          <c:h val="0.78269387373890265"/>
        </c:manualLayout>
      </c:layout>
      <c:radarChart>
        <c:radarStyle val="marker"/>
        <c:varyColors val="0"/>
        <c:ser>
          <c:idx val="0"/>
          <c:order val="0"/>
          <c:tx>
            <c:strRef>
              <c:f>'LATAM CELLULAR'!$W$23</c:f>
              <c:strCache>
                <c:ptCount val="1"/>
                <c:pt idx="0">
                  <c:v>LatAm cellular</c:v>
                </c:pt>
              </c:strCache>
            </c:strRef>
          </c:tx>
          <c:spPr>
            <a:ln w="25400">
              <a:solidFill>
                <a:srgbClr val="263238"/>
              </a:solidFill>
              <a:prstDash val="solid"/>
            </a:ln>
            <a:effectLst/>
          </c:spPr>
          <c:marker>
            <c:symbol val="diamond"/>
            <c:size val="6"/>
            <c:spPr>
              <a:solidFill>
                <a:srgbClr val="263238"/>
              </a:solidFill>
              <a:ln w="6350">
                <a:noFill/>
              </a:ln>
            </c:spPr>
          </c:marker>
          <c:cat>
            <c:strRef>
              <c:f>'LATAM CELLULAR'!$V$24:$V$33</c:f>
              <c:strCache>
                <c:ptCount val="10"/>
                <c:pt idx="0">
                  <c:v>EV/Revenue</c:v>
                </c:pt>
                <c:pt idx="1">
                  <c:v>EV/EBITDA</c:v>
                </c:pt>
                <c:pt idx="2">
                  <c:v>EV/OpFCF</c:v>
                </c:pt>
                <c:pt idx="3">
                  <c:v>EV/FCF</c:v>
                </c:pt>
                <c:pt idx="4">
                  <c:v>EV/Invested capital</c:v>
                </c:pt>
                <c:pt idx="5">
                  <c:v>EV/NFA</c:v>
                </c:pt>
                <c:pt idx="6">
                  <c:v>P/EFCF (08)</c:v>
                </c:pt>
                <c:pt idx="7">
                  <c:v>Adjusted P/E</c:v>
                </c:pt>
                <c:pt idx="8">
                  <c:v>Dividend yield</c:v>
                </c:pt>
                <c:pt idx="9">
                  <c:v>EFCF yield (08)</c:v>
                </c:pt>
              </c:strCache>
            </c:strRef>
          </c:cat>
          <c:val>
            <c:numRef>
              <c:f>'LATAM CELLULAR'!$W$24:$W$33</c:f>
              <c:numCache>
                <c:formatCode>0%</c:formatCode>
                <c:ptCount val="10"/>
                <c:pt idx="0">
                  <c:v>0.92600749466954135</c:v>
                </c:pt>
                <c:pt idx="1">
                  <c:v>0.84307244513741797</c:v>
                </c:pt>
                <c:pt idx="2">
                  <c:v>0.75621013677091697</c:v>
                </c:pt>
                <c:pt idx="3">
                  <c:v>0.72543688437656906</c:v>
                </c:pt>
                <c:pt idx="4">
                  <c:v>1.1840078057005847</c:v>
                </c:pt>
                <c:pt idx="5">
                  <c:v>0.5237404759971872</c:v>
                </c:pt>
                <c:pt idx="6">
                  <c:v>0.45725685259127541</c:v>
                </c:pt>
                <c:pt idx="7">
                  <c:v>0.49758310363412261</c:v>
                </c:pt>
                <c:pt idx="8">
                  <c:v>0.80862476434951447</c:v>
                </c:pt>
                <c:pt idx="9">
                  <c:v>0.45725685259127541</c:v>
                </c:pt>
              </c:numCache>
            </c:numRef>
          </c:val>
          <c:extLst>
            <c:ext xmlns:c16="http://schemas.microsoft.com/office/drawing/2014/chart" uri="{C3380CC4-5D6E-409C-BE32-E72D297353CC}">
              <c16:uniqueId val="{00000000-B02F-4CF0-83C7-B14F5823FF49}"/>
            </c:ext>
          </c:extLst>
        </c:ser>
        <c:ser>
          <c:idx val="1"/>
          <c:order val="1"/>
          <c:tx>
            <c:strRef>
              <c:f>'LATAM CELLULAR'!$X$23</c:f>
              <c:strCache>
                <c:ptCount val="1"/>
                <c:pt idx="0">
                  <c:v>EM cellular</c:v>
                </c:pt>
              </c:strCache>
            </c:strRef>
          </c:tx>
          <c:spPr>
            <a:ln w="25400">
              <a:solidFill>
                <a:srgbClr val="799098"/>
              </a:solidFill>
              <a:prstDash val="solid"/>
            </a:ln>
            <a:effectLst/>
          </c:spPr>
          <c:marker>
            <c:symbol val="diamond"/>
            <c:size val="6"/>
            <c:spPr>
              <a:solidFill>
                <a:srgbClr val="799098"/>
              </a:solidFill>
              <a:ln w="6350">
                <a:noFill/>
              </a:ln>
            </c:spPr>
          </c:marker>
          <c:cat>
            <c:strRef>
              <c:f>'LATAM CELLULAR'!$V$24:$V$33</c:f>
              <c:strCache>
                <c:ptCount val="10"/>
                <c:pt idx="0">
                  <c:v>EV/Revenue</c:v>
                </c:pt>
                <c:pt idx="1">
                  <c:v>EV/EBITDA</c:v>
                </c:pt>
                <c:pt idx="2">
                  <c:v>EV/OpFCF</c:v>
                </c:pt>
                <c:pt idx="3">
                  <c:v>EV/FCF</c:v>
                </c:pt>
                <c:pt idx="4">
                  <c:v>EV/Invested capital</c:v>
                </c:pt>
                <c:pt idx="5">
                  <c:v>EV/NFA</c:v>
                </c:pt>
                <c:pt idx="6">
                  <c:v>P/EFCF (08)</c:v>
                </c:pt>
                <c:pt idx="7">
                  <c:v>Adjusted P/E</c:v>
                </c:pt>
                <c:pt idx="8">
                  <c:v>Dividend yield</c:v>
                </c:pt>
                <c:pt idx="9">
                  <c:v>EFCF yield (08)</c:v>
                </c:pt>
              </c:strCache>
            </c:strRef>
          </c:cat>
          <c:val>
            <c:numRef>
              <c:f>'LATAM CELLULAR'!$X$24:$X$33</c:f>
              <c:numCache>
                <c:formatCode>0%</c:formatCode>
                <c:ptCount val="10"/>
                <c:pt idx="0">
                  <c:v>1</c:v>
                </c:pt>
                <c:pt idx="1">
                  <c:v>1</c:v>
                </c:pt>
                <c:pt idx="2">
                  <c:v>1</c:v>
                </c:pt>
                <c:pt idx="3">
                  <c:v>1</c:v>
                </c:pt>
                <c:pt idx="4">
                  <c:v>1</c:v>
                </c:pt>
                <c:pt idx="5">
                  <c:v>1</c:v>
                </c:pt>
                <c:pt idx="6">
                  <c:v>1</c:v>
                </c:pt>
                <c:pt idx="7">
                  <c:v>1</c:v>
                </c:pt>
                <c:pt idx="8">
                  <c:v>1</c:v>
                </c:pt>
                <c:pt idx="9">
                  <c:v>1</c:v>
                </c:pt>
              </c:numCache>
            </c:numRef>
          </c:val>
          <c:extLst>
            <c:ext xmlns:c16="http://schemas.microsoft.com/office/drawing/2014/chart" uri="{C3380CC4-5D6E-409C-BE32-E72D297353CC}">
              <c16:uniqueId val="{00000001-B02F-4CF0-83C7-B14F5823FF49}"/>
            </c:ext>
          </c:extLst>
        </c:ser>
        <c:dLbls>
          <c:showLegendKey val="0"/>
          <c:showVal val="0"/>
          <c:showCatName val="0"/>
          <c:showSerName val="0"/>
          <c:showPercent val="0"/>
          <c:showBubbleSize val="0"/>
        </c:dLbls>
        <c:axId val="353306880"/>
        <c:axId val="353317248"/>
      </c:radarChart>
      <c:catAx>
        <c:axId val="353306880"/>
        <c:scaling>
          <c:orientation val="minMax"/>
        </c:scaling>
        <c:delete val="0"/>
        <c:axPos val="b"/>
        <c:numFmt formatCode="General" sourceLinked="1"/>
        <c:majorTickMark val="out"/>
        <c:minorTickMark val="none"/>
        <c:tickLblPos val="nextTo"/>
        <c:spPr>
          <a:ln>
            <a:solidFill>
              <a:srgbClr val="B3B3B3"/>
            </a:solidFill>
          </a:ln>
        </c:spPr>
        <c:txPr>
          <a:bodyPr rot="0" vert="horz"/>
          <a:lstStyle/>
          <a:p>
            <a:pPr>
              <a:defRPr/>
            </a:pPr>
            <a:endParaRPr lang="en-US"/>
          </a:p>
        </c:txPr>
        <c:crossAx val="353317248"/>
        <c:crosses val="autoZero"/>
        <c:auto val="0"/>
        <c:lblAlgn val="ctr"/>
        <c:lblOffset val="100"/>
        <c:noMultiLvlLbl val="0"/>
      </c:catAx>
      <c:valAx>
        <c:axId val="353317248"/>
        <c:scaling>
          <c:orientation val="minMax"/>
          <c:max val="2"/>
          <c:min val="-1"/>
        </c:scaling>
        <c:delete val="0"/>
        <c:axPos val="l"/>
        <c:numFmt formatCode="0%" sourceLinked="1"/>
        <c:majorTickMark val="cross"/>
        <c:minorTickMark val="none"/>
        <c:tickLblPos val="nextTo"/>
        <c:spPr>
          <a:ln w="3175">
            <a:solidFill>
              <a:srgbClr val="B3B3B3"/>
            </a:solidFill>
            <a:prstDash val="solid"/>
          </a:ln>
        </c:spPr>
        <c:txPr>
          <a:bodyPr rot="0" vert="horz"/>
          <a:lstStyle/>
          <a:p>
            <a:pPr>
              <a:defRPr/>
            </a:pPr>
            <a:endParaRPr lang="en-US"/>
          </a:p>
        </c:txPr>
        <c:crossAx val="353306880"/>
        <c:crosses val="autoZero"/>
        <c:crossBetween val="between"/>
        <c:majorUnit val="0.5"/>
        <c:minorUnit val="0.5"/>
      </c:valAx>
      <c:spPr>
        <a:noFill/>
        <a:ln w="25400">
          <a:noFill/>
        </a:ln>
      </c:spPr>
    </c:plotArea>
    <c:legend>
      <c:legendPos val="b"/>
      <c:overlay val="0"/>
      <c:spPr>
        <a:noFill/>
        <a:ln w="25400">
          <a:noFill/>
        </a:ln>
      </c:spPr>
    </c:legend>
    <c:plotVisOnly val="1"/>
    <c:dispBlanksAs val="gap"/>
    <c:showDLblsOverMax val="0"/>
  </c:chart>
  <c:spPr>
    <a:noFill/>
    <a:ln w="25400">
      <a:noFill/>
    </a:ln>
    <a:effectLst/>
  </c:spPr>
  <c:txPr>
    <a:bodyPr/>
    <a:lstStyle/>
    <a:p>
      <a:pPr>
        <a:defRPr sz="1000" b="0" i="0" u="none" strike="noStrike" baseline="0">
          <a:solidFill>
            <a:srgbClr val="595959"/>
          </a:solidFill>
          <a:latin typeface="Arial Narrow"/>
          <a:ea typeface="Arial Narrow"/>
          <a:cs typeface="Arial Narrow"/>
        </a:defRPr>
      </a:pPr>
      <a:endParaRPr lang="en-US"/>
    </a:p>
  </c:txPr>
  <c:printSettings>
    <c:headerFooter alignWithMargins="0"/>
    <c:pageMargins b="1" l="0.75000000000000111" r="0.75000000000000111" t="1" header="0.5" footer="0.5"/>
    <c:pageSetup orientation="landscape"/>
  </c:printSettings>
</c:chartSpace>
</file>

<file path=xl/charts/chart1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8219509329203551"/>
          <c:y val="6.8750000000000019E-2"/>
          <c:w val="0.45197586208062596"/>
          <c:h val="0.71914035231660978"/>
        </c:manualLayout>
      </c:layout>
      <c:radarChart>
        <c:radarStyle val="marker"/>
        <c:varyColors val="0"/>
        <c:ser>
          <c:idx val="0"/>
          <c:order val="0"/>
          <c:tx>
            <c:strRef>
              <c:f>'LATAM ALTNET &amp; CABLE'!$W$23</c:f>
              <c:strCache>
                <c:ptCount val="1"/>
                <c:pt idx="0">
                  <c:v>W. Europe Altnet</c:v>
                </c:pt>
              </c:strCache>
            </c:strRef>
          </c:tx>
          <c:spPr>
            <a:ln w="25400">
              <a:solidFill>
                <a:srgbClr val="263238"/>
              </a:solidFill>
              <a:prstDash val="solid"/>
            </a:ln>
            <a:effectLst/>
          </c:spPr>
          <c:marker>
            <c:symbol val="diamond"/>
            <c:size val="6"/>
            <c:spPr>
              <a:solidFill>
                <a:srgbClr val="263238"/>
              </a:solidFill>
              <a:ln w="6350">
                <a:noFill/>
              </a:ln>
            </c:spPr>
          </c:marker>
          <c:cat>
            <c:strRef>
              <c:f>'LATAM ALTNET &amp; CABLE'!$V$24:$V$33</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'LATAM ALTNET &amp; CABLE'!$W$24:$W$33</c:f>
              <c:numCache>
                <c:formatCode>0%</c:formatCode>
                <c:ptCount val="10"/>
                <c:pt idx="0">
                  <c:v>1</c:v>
                </c:pt>
                <c:pt idx="1">
                  <c:v>1</c:v>
                </c:pt>
                <c:pt idx="2">
                  <c:v>1</c:v>
                </c:pt>
                <c:pt idx="3">
                  <c:v>1</c:v>
                </c:pt>
                <c:pt idx="4">
                  <c:v>1</c:v>
                </c:pt>
                <c:pt idx="5">
                  <c:v>1</c:v>
                </c:pt>
                <c:pt idx="6">
                  <c:v>1</c:v>
                </c:pt>
                <c:pt idx="7">
                  <c:v>1</c:v>
                </c:pt>
                <c:pt idx="8">
                  <c:v>1</c:v>
                </c:pt>
                <c:pt idx="9">
                  <c:v>1</c:v>
                </c:pt>
              </c:numCache>
            </c:numRef>
          </c:val>
          <c:extLst>
            <c:ext xmlns:c16="http://schemas.microsoft.com/office/drawing/2014/chart" uri="{C3380CC4-5D6E-409C-BE32-E72D297353CC}">
              <c16:uniqueId val="{00000000-4F20-45DE-A99D-1DAAEBBA5952}"/>
            </c:ext>
          </c:extLst>
        </c:ser>
        <c:ser>
          <c:idx val="1"/>
          <c:order val="1"/>
          <c:tx>
            <c:strRef>
              <c:f>'LATAM ALTNET &amp; CABLE'!$X$23</c:f>
              <c:strCache>
                <c:ptCount val="1"/>
                <c:pt idx="0">
                  <c:v>DM Aggregate</c:v>
                </c:pt>
              </c:strCache>
            </c:strRef>
          </c:tx>
          <c:spPr>
            <a:ln w="25400">
              <a:solidFill>
                <a:srgbClr val="799098"/>
              </a:solidFill>
              <a:prstDash val="solid"/>
            </a:ln>
            <a:effectLst/>
          </c:spPr>
          <c:marker>
            <c:symbol val="diamond"/>
            <c:size val="6"/>
            <c:spPr>
              <a:solidFill>
                <a:srgbClr val="799098"/>
              </a:solidFill>
              <a:ln w="6350">
                <a:noFill/>
              </a:ln>
            </c:spPr>
          </c:marker>
          <c:cat>
            <c:strRef>
              <c:f>'LATAM ALTNET &amp; CABLE'!$V$24:$V$33</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'LATAM ALTNET &amp; CABLE'!$X$24:$X$33</c:f>
              <c:numCache>
                <c:formatCode>0%</c:formatCode>
                <c:ptCount val="10"/>
                <c:pt idx="0">
                  <c:v>1</c:v>
                </c:pt>
                <c:pt idx="1">
                  <c:v>1</c:v>
                </c:pt>
                <c:pt idx="2">
                  <c:v>1</c:v>
                </c:pt>
                <c:pt idx="3">
                  <c:v>1</c:v>
                </c:pt>
                <c:pt idx="4">
                  <c:v>1</c:v>
                </c:pt>
                <c:pt idx="5">
                  <c:v>1</c:v>
                </c:pt>
                <c:pt idx="6">
                  <c:v>1</c:v>
                </c:pt>
                <c:pt idx="7">
                  <c:v>1</c:v>
                </c:pt>
                <c:pt idx="8">
                  <c:v>1</c:v>
                </c:pt>
                <c:pt idx="9">
                  <c:v>1</c:v>
                </c:pt>
              </c:numCache>
            </c:numRef>
          </c:val>
          <c:extLst>
            <c:ext xmlns:c16="http://schemas.microsoft.com/office/drawing/2014/chart" uri="{C3380CC4-5D6E-409C-BE32-E72D297353CC}">
              <c16:uniqueId val="{00000001-4F20-45DE-A99D-1DAAEBBA5952}"/>
            </c:ext>
          </c:extLst>
        </c:ser>
        <c:dLbls>
          <c:showLegendKey val="0"/>
          <c:showVal val="0"/>
          <c:showCatName val="0"/>
          <c:showSerName val="0"/>
          <c:showPercent val="0"/>
          <c:showBubbleSize val="0"/>
        </c:dLbls>
        <c:axId val="353449856"/>
        <c:axId val="353452032"/>
      </c:radarChart>
      <c:catAx>
        <c:axId val="353449856"/>
        <c:scaling>
          <c:orientation val="minMax"/>
        </c:scaling>
        <c:delete val="0"/>
        <c:axPos val="b"/>
        <c:numFmt formatCode="General" sourceLinked="1"/>
        <c:majorTickMark val="out"/>
        <c:minorTickMark val="none"/>
        <c:tickLblPos val="nextTo"/>
        <c:spPr>
          <a:ln>
            <a:solidFill>
              <a:srgbClr val="B3B3B3"/>
            </a:solidFill>
          </a:ln>
        </c:spPr>
        <c:txPr>
          <a:bodyPr rot="0" vert="horz"/>
          <a:lstStyle/>
          <a:p>
            <a:pPr>
              <a:defRPr/>
            </a:pPr>
            <a:endParaRPr lang="en-US"/>
          </a:p>
        </c:txPr>
        <c:crossAx val="353452032"/>
        <c:crosses val="autoZero"/>
        <c:auto val="0"/>
        <c:lblAlgn val="ctr"/>
        <c:lblOffset val="100"/>
        <c:noMultiLvlLbl val="0"/>
      </c:catAx>
      <c:valAx>
        <c:axId val="353452032"/>
        <c:scaling>
          <c:orientation val="minMax"/>
        </c:scaling>
        <c:delete val="0"/>
        <c:axPos val="l"/>
        <c:numFmt formatCode="0%" sourceLinked="1"/>
        <c:majorTickMark val="cross"/>
        <c:minorTickMark val="none"/>
        <c:tickLblPos val="nextTo"/>
        <c:spPr>
          <a:ln w="3175">
            <a:solidFill>
              <a:srgbClr val="B3B3B3"/>
            </a:solidFill>
            <a:prstDash val="solid"/>
          </a:ln>
        </c:spPr>
        <c:txPr>
          <a:bodyPr rot="0" vert="horz"/>
          <a:lstStyle/>
          <a:p>
            <a:pPr>
              <a:defRPr/>
            </a:pPr>
            <a:endParaRPr lang="en-US"/>
          </a:p>
        </c:txPr>
        <c:crossAx val="353449856"/>
        <c:crosses val="autoZero"/>
        <c:crossBetween val="between"/>
      </c:valAx>
      <c:spPr>
        <a:noFill/>
        <a:ln w="25400">
          <a:noFill/>
        </a:ln>
      </c:spPr>
    </c:plotArea>
    <c:legend>
      <c:legendPos val="b"/>
      <c:overlay val="0"/>
      <c:spPr>
        <a:noFill/>
        <a:ln w="25400">
          <a:noFill/>
        </a:ln>
      </c:spPr>
    </c:legend>
    <c:plotVisOnly val="1"/>
    <c:dispBlanksAs val="gap"/>
    <c:showDLblsOverMax val="0"/>
  </c:chart>
  <c:spPr>
    <a:noFill/>
    <a:ln w="25400">
      <a:noFill/>
    </a:ln>
    <a:effectLst/>
  </c:spPr>
  <c:txPr>
    <a:bodyPr/>
    <a:lstStyle/>
    <a:p>
      <a:pPr>
        <a:defRPr sz="1000" b="0" i="0" u="none" strike="noStrike" baseline="0">
          <a:solidFill>
            <a:srgbClr val="595959"/>
          </a:solidFill>
          <a:latin typeface="Arial Narrow"/>
          <a:ea typeface="Arial Narrow"/>
          <a:cs typeface="Arial Narrow"/>
        </a:defRPr>
      </a:pPr>
      <a:endParaRPr lang="en-US"/>
    </a:p>
  </c:txPr>
  <c:printSettings>
    <c:headerFooter alignWithMargins="0"/>
    <c:pageMargins b="1" l="0.75000000000000111" r="0.75000000000000111" t="1" header="0.5" footer="0.5"/>
    <c:pageSetup orientation="landscape"/>
  </c:printSettings>
</c:chartSpace>
</file>

<file path=xl/charts/chart1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1553403329185326"/>
          <c:y val="8.1250000000000003E-2"/>
          <c:w val="0.46857180571626927"/>
          <c:h val="0.70394908973203407"/>
        </c:manualLayout>
      </c:layout>
      <c:radarChart>
        <c:radarStyle val="marker"/>
        <c:varyColors val="0"/>
        <c:ser>
          <c:idx val="0"/>
          <c:order val="0"/>
          <c:tx>
            <c:strRef>
              <c:f>'LATAM AGG'!$W$23</c:f>
              <c:strCache>
                <c:ptCount val="1"/>
                <c:pt idx="0">
                  <c:v>LatAm sector</c:v>
                </c:pt>
              </c:strCache>
            </c:strRef>
          </c:tx>
          <c:spPr>
            <a:ln w="25400">
              <a:solidFill>
                <a:srgbClr val="263238"/>
              </a:solidFill>
              <a:prstDash val="solid"/>
            </a:ln>
            <a:effectLst/>
          </c:spPr>
          <c:marker>
            <c:symbol val="diamond"/>
            <c:size val="6"/>
            <c:spPr>
              <a:solidFill>
                <a:srgbClr val="263238"/>
              </a:solidFill>
              <a:ln w="6350">
                <a:noFill/>
              </a:ln>
            </c:spPr>
          </c:marker>
          <c:cat>
            <c:strRef>
              <c:f>'LATAM AGG'!$V$24:$V$33</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'LATAM AGG'!$W$24:$W$33</c:f>
              <c:numCache>
                <c:formatCode>0%</c:formatCode>
                <c:ptCount val="10"/>
                <c:pt idx="0">
                  <c:v>4.8432353986535108E-2</c:v>
                </c:pt>
                <c:pt idx="1">
                  <c:v>4.2646530524434512E-2</c:v>
                </c:pt>
                <c:pt idx="2">
                  <c:v>3.8353375793521466E-2</c:v>
                </c:pt>
                <c:pt idx="3">
                  <c:v>4.1157411155611306E-2</c:v>
                </c:pt>
                <c:pt idx="4">
                  <c:v>4.6964814199289648E-2</c:v>
                </c:pt>
                <c:pt idx="5">
                  <c:v>4.5873956946005316E-2</c:v>
                </c:pt>
                <c:pt idx="6">
                  <c:v>0.82925294318821507</c:v>
                </c:pt>
                <c:pt idx="7">
                  <c:v>4.6880628417541391E-2</c:v>
                </c:pt>
                <c:pt idx="8">
                  <c:v>7.8014598414032715E-2</c:v>
                </c:pt>
                <c:pt idx="9">
                  <c:v>0.82925294318821519</c:v>
                </c:pt>
              </c:numCache>
            </c:numRef>
          </c:val>
          <c:extLst>
            <c:ext xmlns:c16="http://schemas.microsoft.com/office/drawing/2014/chart" uri="{C3380CC4-5D6E-409C-BE32-E72D297353CC}">
              <c16:uniqueId val="{00000000-5891-4655-B508-84DE9833A1CB}"/>
            </c:ext>
          </c:extLst>
        </c:ser>
        <c:ser>
          <c:idx val="1"/>
          <c:order val="1"/>
          <c:tx>
            <c:strRef>
              <c:f>'LATAM AGG'!$X$23</c:f>
              <c:strCache>
                <c:ptCount val="1"/>
                <c:pt idx="0">
                  <c:v>EM sector</c:v>
                </c:pt>
              </c:strCache>
            </c:strRef>
          </c:tx>
          <c:spPr>
            <a:ln w="25400">
              <a:solidFill>
                <a:srgbClr val="799098"/>
              </a:solidFill>
              <a:prstDash val="solid"/>
            </a:ln>
            <a:effectLst/>
          </c:spPr>
          <c:marker>
            <c:symbol val="diamond"/>
            <c:size val="6"/>
            <c:spPr>
              <a:solidFill>
                <a:srgbClr val="799098"/>
              </a:solidFill>
              <a:ln w="6350">
                <a:noFill/>
              </a:ln>
            </c:spPr>
          </c:marker>
          <c:cat>
            <c:strRef>
              <c:f>'LATAM AGG'!$V$24:$V$33</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'LATAM AGG'!$X$24:$X$33</c:f>
              <c:numCache>
                <c:formatCode>0%</c:formatCode>
                <c:ptCount val="10"/>
                <c:pt idx="0">
                  <c:v>1</c:v>
                </c:pt>
                <c:pt idx="1">
                  <c:v>1</c:v>
                </c:pt>
                <c:pt idx="2">
                  <c:v>1</c:v>
                </c:pt>
                <c:pt idx="3">
                  <c:v>1</c:v>
                </c:pt>
                <c:pt idx="4">
                  <c:v>1</c:v>
                </c:pt>
                <c:pt idx="5">
                  <c:v>1</c:v>
                </c:pt>
                <c:pt idx="6">
                  <c:v>1</c:v>
                </c:pt>
                <c:pt idx="7">
                  <c:v>1</c:v>
                </c:pt>
                <c:pt idx="8">
                  <c:v>1</c:v>
                </c:pt>
                <c:pt idx="9">
                  <c:v>1</c:v>
                </c:pt>
              </c:numCache>
            </c:numRef>
          </c:val>
          <c:extLst>
            <c:ext xmlns:c16="http://schemas.microsoft.com/office/drawing/2014/chart" uri="{C3380CC4-5D6E-409C-BE32-E72D297353CC}">
              <c16:uniqueId val="{00000001-5891-4655-B508-84DE9833A1CB}"/>
            </c:ext>
          </c:extLst>
        </c:ser>
        <c:dLbls>
          <c:showLegendKey val="0"/>
          <c:showVal val="0"/>
          <c:showCatName val="0"/>
          <c:showSerName val="0"/>
          <c:showPercent val="0"/>
          <c:showBubbleSize val="0"/>
        </c:dLbls>
        <c:axId val="356513280"/>
        <c:axId val="356515200"/>
      </c:radarChart>
      <c:catAx>
        <c:axId val="356513280"/>
        <c:scaling>
          <c:orientation val="minMax"/>
        </c:scaling>
        <c:delete val="0"/>
        <c:axPos val="b"/>
        <c:numFmt formatCode="General" sourceLinked="1"/>
        <c:majorTickMark val="out"/>
        <c:minorTickMark val="none"/>
        <c:tickLblPos val="nextTo"/>
        <c:spPr>
          <a:ln>
            <a:solidFill>
              <a:srgbClr val="B3B3B3"/>
            </a:solidFill>
          </a:ln>
        </c:spPr>
        <c:txPr>
          <a:bodyPr rot="0" vert="horz"/>
          <a:lstStyle/>
          <a:p>
            <a:pPr>
              <a:defRPr/>
            </a:pPr>
            <a:endParaRPr lang="en-US"/>
          </a:p>
        </c:txPr>
        <c:crossAx val="356515200"/>
        <c:crosses val="autoZero"/>
        <c:auto val="0"/>
        <c:lblAlgn val="ctr"/>
        <c:lblOffset val="100"/>
        <c:noMultiLvlLbl val="0"/>
      </c:catAx>
      <c:valAx>
        <c:axId val="356515200"/>
        <c:scaling>
          <c:orientation val="minMax"/>
        </c:scaling>
        <c:delete val="0"/>
        <c:axPos val="l"/>
        <c:numFmt formatCode="0%" sourceLinked="1"/>
        <c:majorTickMark val="cross"/>
        <c:minorTickMark val="none"/>
        <c:tickLblPos val="nextTo"/>
        <c:spPr>
          <a:ln w="3175">
            <a:solidFill>
              <a:srgbClr val="B3B3B3"/>
            </a:solidFill>
            <a:prstDash val="solid"/>
          </a:ln>
        </c:spPr>
        <c:txPr>
          <a:bodyPr rot="0" vert="horz"/>
          <a:lstStyle/>
          <a:p>
            <a:pPr>
              <a:defRPr/>
            </a:pPr>
            <a:endParaRPr lang="en-US"/>
          </a:p>
        </c:txPr>
        <c:crossAx val="356513280"/>
        <c:crosses val="autoZero"/>
        <c:crossBetween val="between"/>
      </c:valAx>
      <c:spPr>
        <a:noFill/>
        <a:ln w="25400">
          <a:noFill/>
        </a:ln>
      </c:spPr>
    </c:plotArea>
    <c:legend>
      <c:legendPos val="b"/>
      <c:overlay val="0"/>
      <c:spPr>
        <a:noFill/>
        <a:ln w="25400">
          <a:noFill/>
        </a:ln>
      </c:spPr>
    </c:legend>
    <c:plotVisOnly val="1"/>
    <c:dispBlanksAs val="gap"/>
    <c:showDLblsOverMax val="0"/>
  </c:chart>
  <c:spPr>
    <a:noFill/>
    <a:ln w="25400">
      <a:noFill/>
    </a:ln>
    <a:effectLst/>
  </c:spPr>
  <c:txPr>
    <a:bodyPr/>
    <a:lstStyle/>
    <a:p>
      <a:pPr>
        <a:defRPr sz="1000" b="0" i="0" u="none" strike="noStrike" baseline="0">
          <a:solidFill>
            <a:srgbClr val="595959"/>
          </a:solidFill>
          <a:latin typeface="Arial Narrow"/>
          <a:ea typeface="Arial Narrow"/>
          <a:cs typeface="Arial Narrow"/>
        </a:defRPr>
      </a:pPr>
      <a:endParaRPr lang="en-US"/>
    </a:p>
  </c:txPr>
  <c:printSettings>
    <c:headerFooter alignWithMargins="0"/>
    <c:pageMargins b="1" l="0.75000000000000111" r="0.75000000000000111" t="1" header="0.5" footer="0.5"/>
    <c:pageSetup orientation="landscape"/>
  </c:printSettings>
</c:chartSpace>
</file>

<file path=xl/charts/chart1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4193572204168706"/>
          <c:y val="8.4375000000000006E-2"/>
          <c:w val="0.55645216069588022"/>
          <c:h val="0.86250000000000004"/>
        </c:manualLayout>
      </c:layout>
      <c:radarChart>
        <c:radarStyle val="marker"/>
        <c:varyColors val="0"/>
        <c:ser>
          <c:idx val="0"/>
          <c:order val="0"/>
          <c:tx>
            <c:strRef>
              <c:f>'EMEA INCUMB'!$W$23</c:f>
              <c:strCache>
                <c:ptCount val="1"/>
                <c:pt idx="0">
                  <c:v>EMEA incumbents</c:v>
                </c:pt>
              </c:strCache>
            </c:strRef>
          </c:tx>
          <c:spPr>
            <a:ln w="25400">
              <a:solidFill>
                <a:srgbClr val="263238"/>
              </a:solidFill>
              <a:prstDash val="solid"/>
            </a:ln>
            <a:effectLst/>
          </c:spPr>
          <c:marker>
            <c:symbol val="diamond"/>
            <c:size val="6"/>
            <c:spPr>
              <a:solidFill>
                <a:srgbClr val="263238"/>
              </a:solidFill>
              <a:ln w="6350">
                <a:noFill/>
              </a:ln>
            </c:spPr>
          </c:marker>
          <c:cat>
            <c:strRef>
              <c:f>'EMEA INCUMB'!$V$24:$V$33</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'EMEA INCUMB'!$W$24:$W$33</c:f>
              <c:numCache>
                <c:formatCode>0%</c:formatCode>
                <c:ptCount val="10"/>
                <c:pt idx="0">
                  <c:v>4.7081606156676161E-3</c:v>
                </c:pt>
                <c:pt idx="1">
                  <c:v>5.5203582854628282E-3</c:v>
                </c:pt>
                <c:pt idx="2">
                  <c:v>5.4301354351005034E-3</c:v>
                </c:pt>
                <c:pt idx="3">
                  <c:v>5.5562002214870013E-3</c:v>
                </c:pt>
                <c:pt idx="4">
                  <c:v>5.2043489962234251E-3</c:v>
                </c:pt>
                <c:pt idx="5">
                  <c:v>4.2165251345296674E-3</c:v>
                </c:pt>
                <c:pt idx="6">
                  <c:v>0.39269147245931302</c:v>
                </c:pt>
                <c:pt idx="7">
                  <c:v>6.2758922232253296E-3</c:v>
                </c:pt>
                <c:pt idx="8">
                  <c:v>6.5417900043713345E-3</c:v>
                </c:pt>
                <c:pt idx="9">
                  <c:v>0.39269147245931302</c:v>
                </c:pt>
              </c:numCache>
            </c:numRef>
          </c:val>
          <c:extLst>
            <c:ext xmlns:c16="http://schemas.microsoft.com/office/drawing/2014/chart" uri="{C3380CC4-5D6E-409C-BE32-E72D297353CC}">
              <c16:uniqueId val="{00000000-EE05-455A-A08A-3B4C91D92598}"/>
            </c:ext>
          </c:extLst>
        </c:ser>
        <c:ser>
          <c:idx val="1"/>
          <c:order val="1"/>
          <c:tx>
            <c:strRef>
              <c:f>'EMEA INCUMB'!$X$23</c:f>
              <c:strCache>
                <c:ptCount val="1"/>
                <c:pt idx="0">
                  <c:v>EM incumbents</c:v>
                </c:pt>
              </c:strCache>
            </c:strRef>
          </c:tx>
          <c:spPr>
            <a:ln w="25400">
              <a:solidFill>
                <a:srgbClr val="799098"/>
              </a:solidFill>
              <a:prstDash val="solid"/>
            </a:ln>
            <a:effectLst/>
          </c:spPr>
          <c:marker>
            <c:symbol val="diamond"/>
            <c:size val="6"/>
            <c:spPr>
              <a:solidFill>
                <a:srgbClr val="799098"/>
              </a:solidFill>
              <a:ln w="6350">
                <a:noFill/>
              </a:ln>
            </c:spPr>
          </c:marker>
          <c:cat>
            <c:strRef>
              <c:f>'EMEA INCUMB'!$V$24:$V$33</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'EMEA INCUMB'!$X$24:$X$33</c:f>
              <c:numCache>
                <c:formatCode>0%</c:formatCode>
                <c:ptCount val="10"/>
                <c:pt idx="0">
                  <c:v>1</c:v>
                </c:pt>
                <c:pt idx="1">
                  <c:v>1</c:v>
                </c:pt>
                <c:pt idx="2">
                  <c:v>1</c:v>
                </c:pt>
                <c:pt idx="3">
                  <c:v>1</c:v>
                </c:pt>
                <c:pt idx="4">
                  <c:v>1</c:v>
                </c:pt>
                <c:pt idx="5">
                  <c:v>1</c:v>
                </c:pt>
                <c:pt idx="6">
                  <c:v>1</c:v>
                </c:pt>
                <c:pt idx="7">
                  <c:v>1</c:v>
                </c:pt>
                <c:pt idx="8">
                  <c:v>1</c:v>
                </c:pt>
                <c:pt idx="9">
                  <c:v>1</c:v>
                </c:pt>
              </c:numCache>
            </c:numRef>
          </c:val>
          <c:extLst>
            <c:ext xmlns:c16="http://schemas.microsoft.com/office/drawing/2014/chart" uri="{C3380CC4-5D6E-409C-BE32-E72D297353CC}">
              <c16:uniqueId val="{00000001-EE05-455A-A08A-3B4C91D92598}"/>
            </c:ext>
          </c:extLst>
        </c:ser>
        <c:dLbls>
          <c:showLegendKey val="0"/>
          <c:showVal val="0"/>
          <c:showCatName val="0"/>
          <c:showSerName val="0"/>
          <c:showPercent val="0"/>
          <c:showBubbleSize val="0"/>
        </c:dLbls>
        <c:axId val="358167680"/>
        <c:axId val="358169600"/>
      </c:radarChart>
      <c:catAx>
        <c:axId val="358167680"/>
        <c:scaling>
          <c:orientation val="minMax"/>
        </c:scaling>
        <c:delete val="0"/>
        <c:axPos val="b"/>
        <c:numFmt formatCode="General" sourceLinked="1"/>
        <c:majorTickMark val="out"/>
        <c:minorTickMark val="none"/>
        <c:tickLblPos val="nextTo"/>
        <c:spPr>
          <a:ln>
            <a:solidFill>
              <a:srgbClr val="B3B3B3"/>
            </a:solidFill>
          </a:ln>
        </c:spPr>
        <c:txPr>
          <a:bodyPr rot="0" vert="horz"/>
          <a:lstStyle/>
          <a:p>
            <a:pPr>
              <a:defRPr/>
            </a:pPr>
            <a:endParaRPr lang="en-US"/>
          </a:p>
        </c:txPr>
        <c:crossAx val="358169600"/>
        <c:crosses val="autoZero"/>
        <c:auto val="0"/>
        <c:lblAlgn val="ctr"/>
        <c:lblOffset val="100"/>
        <c:noMultiLvlLbl val="0"/>
      </c:catAx>
      <c:valAx>
        <c:axId val="358169600"/>
        <c:scaling>
          <c:orientation val="minMax"/>
          <c:max val="4"/>
          <c:min val="-4"/>
        </c:scaling>
        <c:delete val="0"/>
        <c:axPos val="l"/>
        <c:numFmt formatCode="0%" sourceLinked="1"/>
        <c:majorTickMark val="cross"/>
        <c:minorTickMark val="none"/>
        <c:tickLblPos val="nextTo"/>
        <c:spPr>
          <a:ln w="3175">
            <a:solidFill>
              <a:srgbClr val="B3B3B3"/>
            </a:solidFill>
            <a:prstDash val="solid"/>
          </a:ln>
        </c:spPr>
        <c:txPr>
          <a:bodyPr rot="0" vert="horz"/>
          <a:lstStyle/>
          <a:p>
            <a:pPr>
              <a:defRPr/>
            </a:pPr>
            <a:endParaRPr lang="en-US"/>
          </a:p>
        </c:txPr>
        <c:crossAx val="358167680"/>
        <c:crosses val="autoZero"/>
        <c:crossBetween val="between"/>
      </c:valAx>
      <c:spPr>
        <a:noFill/>
        <a:ln w="25400">
          <a:noFill/>
        </a:ln>
      </c:spPr>
    </c:plotArea>
    <c:legend>
      <c:legendPos val="b"/>
      <c:overlay val="0"/>
      <c:spPr>
        <a:noFill/>
        <a:ln w="25400">
          <a:noFill/>
        </a:ln>
      </c:spPr>
    </c:legend>
    <c:plotVisOnly val="1"/>
    <c:dispBlanksAs val="gap"/>
    <c:showDLblsOverMax val="0"/>
  </c:chart>
  <c:spPr>
    <a:noFill/>
    <a:ln w="25400">
      <a:noFill/>
    </a:ln>
    <a:effectLst/>
  </c:spPr>
  <c:txPr>
    <a:bodyPr/>
    <a:lstStyle/>
    <a:p>
      <a:pPr>
        <a:defRPr sz="1000" b="0" i="0" u="none" strike="noStrike" baseline="0">
          <a:solidFill>
            <a:srgbClr val="595959"/>
          </a:solidFill>
          <a:latin typeface="Arial Narrow"/>
          <a:ea typeface="Arial Narrow"/>
          <a:cs typeface="Arial Narrow"/>
        </a:defRPr>
      </a:pPr>
      <a:endParaRPr lang="en-US"/>
    </a:p>
  </c:txPr>
  <c:printSettings>
    <c:headerFooter alignWithMargins="0"/>
    <c:pageMargins b="1" l="0.75000000000000111" r="0.75000000000000111" t="1" header="0.5" footer="0.5"/>
    <c:pageSetup orientation="landscape"/>
  </c:printSettings>
</c:chartSpace>
</file>

<file path=xl/charts/chart1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7545369550074777"/>
          <c:y val="5.9375000000000004E-2"/>
          <c:w val="0.45623237460184352"/>
          <c:h val="0.72591290406319475"/>
        </c:manualLayout>
      </c:layout>
      <c:radarChart>
        <c:radarStyle val="marker"/>
        <c:varyColors val="0"/>
        <c:ser>
          <c:idx val="0"/>
          <c:order val="0"/>
          <c:tx>
            <c:strRef>
              <c:f>'EMEA CELLULAR'!$W$23</c:f>
              <c:strCache>
                <c:ptCount val="1"/>
                <c:pt idx="0">
                  <c:v>EMEA cellular</c:v>
                </c:pt>
              </c:strCache>
            </c:strRef>
          </c:tx>
          <c:spPr>
            <a:ln w="25400">
              <a:solidFill>
                <a:srgbClr val="263238"/>
              </a:solidFill>
              <a:prstDash val="solid"/>
            </a:ln>
            <a:effectLst/>
          </c:spPr>
          <c:marker>
            <c:symbol val="diamond"/>
            <c:size val="6"/>
            <c:spPr>
              <a:solidFill>
                <a:srgbClr val="263238"/>
              </a:solidFill>
              <a:ln w="6350">
                <a:noFill/>
              </a:ln>
            </c:spPr>
          </c:marker>
          <c:cat>
            <c:strRef>
              <c:f>'EMEA CELLULAR'!$V$24:$V$33</c:f>
              <c:strCache>
                <c:ptCount val="10"/>
                <c:pt idx="0">
                  <c:v>EV/Revenue</c:v>
                </c:pt>
                <c:pt idx="1">
                  <c:v>EV/EBITDA</c:v>
                </c:pt>
                <c:pt idx="2">
                  <c:v>EV/OpFCF</c:v>
                </c:pt>
                <c:pt idx="3">
                  <c:v>EV/FCF</c:v>
                </c:pt>
                <c:pt idx="4">
                  <c:v>EV/Invested capital</c:v>
                </c:pt>
                <c:pt idx="5">
                  <c:v>EV/NFA</c:v>
                </c:pt>
                <c:pt idx="6">
                  <c:v>P/EFCF (08)</c:v>
                </c:pt>
                <c:pt idx="7">
                  <c:v>Adjusted P/E</c:v>
                </c:pt>
                <c:pt idx="8">
                  <c:v>Dividend yield</c:v>
                </c:pt>
                <c:pt idx="9">
                  <c:v>EFCF yield (08)</c:v>
                </c:pt>
              </c:strCache>
            </c:strRef>
          </c:cat>
          <c:val>
            <c:numRef>
              <c:f>'EMEA CELLULAR'!$W$24:$W$33</c:f>
              <c:numCache>
                <c:formatCode>0%</c:formatCode>
                <c:ptCount val="10"/>
                <c:pt idx="0">
                  <c:v>1.4185653522299257</c:v>
                </c:pt>
                <c:pt idx="1">
                  <c:v>1.2783701479845604</c:v>
                </c:pt>
                <c:pt idx="2">
                  <c:v>1.3198026258981994</c:v>
                </c:pt>
                <c:pt idx="3">
                  <c:v>1.4853961877790474</c:v>
                </c:pt>
                <c:pt idx="4">
                  <c:v>1.8762420599140521</c:v>
                </c:pt>
                <c:pt idx="5">
                  <c:v>1.5821495211526526</c:v>
                </c:pt>
                <c:pt idx="6">
                  <c:v>1.7358537335571727</c:v>
                </c:pt>
                <c:pt idx="7">
                  <c:v>1.5079004528403819</c:v>
                </c:pt>
                <c:pt idx="8">
                  <c:v>1.8625965312198607</c:v>
                </c:pt>
                <c:pt idx="9">
                  <c:v>1.7358537335571729</c:v>
                </c:pt>
              </c:numCache>
            </c:numRef>
          </c:val>
          <c:extLst>
            <c:ext xmlns:c16="http://schemas.microsoft.com/office/drawing/2014/chart" uri="{C3380CC4-5D6E-409C-BE32-E72D297353CC}">
              <c16:uniqueId val="{00000000-59A5-4089-86DD-1520E36439E1}"/>
            </c:ext>
          </c:extLst>
        </c:ser>
        <c:ser>
          <c:idx val="1"/>
          <c:order val="1"/>
          <c:tx>
            <c:strRef>
              <c:f>'EMEA CELLULAR'!$X$23</c:f>
              <c:strCache>
                <c:ptCount val="1"/>
                <c:pt idx="0">
                  <c:v>EM cellular</c:v>
                </c:pt>
              </c:strCache>
            </c:strRef>
          </c:tx>
          <c:spPr>
            <a:ln w="25400">
              <a:solidFill>
                <a:srgbClr val="799098"/>
              </a:solidFill>
              <a:prstDash val="solid"/>
            </a:ln>
            <a:effectLst/>
          </c:spPr>
          <c:marker>
            <c:symbol val="diamond"/>
            <c:size val="6"/>
            <c:spPr>
              <a:solidFill>
                <a:srgbClr val="799098"/>
              </a:solidFill>
              <a:ln w="6350">
                <a:noFill/>
              </a:ln>
            </c:spPr>
          </c:marker>
          <c:cat>
            <c:strRef>
              <c:f>'EMEA CELLULAR'!$V$24:$V$33</c:f>
              <c:strCache>
                <c:ptCount val="10"/>
                <c:pt idx="0">
                  <c:v>EV/Revenue</c:v>
                </c:pt>
                <c:pt idx="1">
                  <c:v>EV/EBITDA</c:v>
                </c:pt>
                <c:pt idx="2">
                  <c:v>EV/OpFCF</c:v>
                </c:pt>
                <c:pt idx="3">
                  <c:v>EV/FCF</c:v>
                </c:pt>
                <c:pt idx="4">
                  <c:v>EV/Invested capital</c:v>
                </c:pt>
                <c:pt idx="5">
                  <c:v>EV/NFA</c:v>
                </c:pt>
                <c:pt idx="6">
                  <c:v>P/EFCF (08)</c:v>
                </c:pt>
                <c:pt idx="7">
                  <c:v>Adjusted P/E</c:v>
                </c:pt>
                <c:pt idx="8">
                  <c:v>Dividend yield</c:v>
                </c:pt>
                <c:pt idx="9">
                  <c:v>EFCF yield (08)</c:v>
                </c:pt>
              </c:strCache>
            </c:strRef>
          </c:cat>
          <c:val>
            <c:numRef>
              <c:f>'EMEA CELLULAR'!$X$24:$X$33</c:f>
              <c:numCache>
                <c:formatCode>0%</c:formatCode>
                <c:ptCount val="10"/>
                <c:pt idx="0">
                  <c:v>1</c:v>
                </c:pt>
                <c:pt idx="1">
                  <c:v>1</c:v>
                </c:pt>
                <c:pt idx="2">
                  <c:v>1</c:v>
                </c:pt>
                <c:pt idx="3">
                  <c:v>1</c:v>
                </c:pt>
                <c:pt idx="4">
                  <c:v>1</c:v>
                </c:pt>
                <c:pt idx="5">
                  <c:v>1</c:v>
                </c:pt>
                <c:pt idx="6">
                  <c:v>1</c:v>
                </c:pt>
                <c:pt idx="7">
                  <c:v>1</c:v>
                </c:pt>
                <c:pt idx="8">
                  <c:v>1</c:v>
                </c:pt>
                <c:pt idx="9">
                  <c:v>1</c:v>
                </c:pt>
              </c:numCache>
            </c:numRef>
          </c:val>
          <c:extLst>
            <c:ext xmlns:c16="http://schemas.microsoft.com/office/drawing/2014/chart" uri="{C3380CC4-5D6E-409C-BE32-E72D297353CC}">
              <c16:uniqueId val="{00000001-59A5-4089-86DD-1520E36439E1}"/>
            </c:ext>
          </c:extLst>
        </c:ser>
        <c:dLbls>
          <c:showLegendKey val="0"/>
          <c:showVal val="0"/>
          <c:showCatName val="0"/>
          <c:showSerName val="0"/>
          <c:showPercent val="0"/>
          <c:showBubbleSize val="0"/>
        </c:dLbls>
        <c:axId val="358023936"/>
        <c:axId val="358025856"/>
      </c:radarChart>
      <c:catAx>
        <c:axId val="358023936"/>
        <c:scaling>
          <c:orientation val="minMax"/>
        </c:scaling>
        <c:delete val="0"/>
        <c:axPos val="b"/>
        <c:numFmt formatCode="General" sourceLinked="1"/>
        <c:majorTickMark val="out"/>
        <c:minorTickMark val="none"/>
        <c:tickLblPos val="nextTo"/>
        <c:spPr>
          <a:ln>
            <a:solidFill>
              <a:srgbClr val="B3B3B3"/>
            </a:solidFill>
          </a:ln>
        </c:spPr>
        <c:txPr>
          <a:bodyPr rot="0" vert="horz"/>
          <a:lstStyle/>
          <a:p>
            <a:pPr>
              <a:defRPr/>
            </a:pPr>
            <a:endParaRPr lang="en-US"/>
          </a:p>
        </c:txPr>
        <c:crossAx val="358025856"/>
        <c:crosses val="autoZero"/>
        <c:auto val="0"/>
        <c:lblAlgn val="ctr"/>
        <c:lblOffset val="100"/>
        <c:noMultiLvlLbl val="0"/>
      </c:catAx>
      <c:valAx>
        <c:axId val="358025856"/>
        <c:scaling>
          <c:orientation val="minMax"/>
          <c:max val="2"/>
          <c:min val="-1"/>
        </c:scaling>
        <c:delete val="0"/>
        <c:axPos val="l"/>
        <c:numFmt formatCode="0%" sourceLinked="1"/>
        <c:majorTickMark val="cross"/>
        <c:minorTickMark val="none"/>
        <c:tickLblPos val="nextTo"/>
        <c:spPr>
          <a:ln w="3175">
            <a:solidFill>
              <a:srgbClr val="B3B3B3"/>
            </a:solidFill>
            <a:prstDash val="solid"/>
          </a:ln>
        </c:spPr>
        <c:txPr>
          <a:bodyPr rot="0" vert="horz"/>
          <a:lstStyle/>
          <a:p>
            <a:pPr>
              <a:defRPr/>
            </a:pPr>
            <a:endParaRPr lang="en-US"/>
          </a:p>
        </c:txPr>
        <c:crossAx val="358023936"/>
        <c:crosses val="autoZero"/>
        <c:crossBetween val="between"/>
        <c:majorUnit val="0.5"/>
        <c:minorUnit val="0.5"/>
      </c:valAx>
      <c:spPr>
        <a:noFill/>
        <a:ln w="25400">
          <a:noFill/>
        </a:ln>
      </c:spPr>
    </c:plotArea>
    <c:legend>
      <c:legendPos val="b"/>
      <c:overlay val="0"/>
      <c:spPr>
        <a:noFill/>
        <a:ln w="25400">
          <a:noFill/>
        </a:ln>
      </c:spPr>
    </c:legend>
    <c:plotVisOnly val="1"/>
    <c:dispBlanksAs val="gap"/>
    <c:showDLblsOverMax val="0"/>
  </c:chart>
  <c:spPr>
    <a:noFill/>
    <a:ln w="25400">
      <a:noFill/>
    </a:ln>
    <a:effectLst/>
  </c:spPr>
  <c:txPr>
    <a:bodyPr/>
    <a:lstStyle/>
    <a:p>
      <a:pPr>
        <a:defRPr sz="1000" b="0" i="0" u="none" strike="noStrike" baseline="0">
          <a:solidFill>
            <a:srgbClr val="595959"/>
          </a:solidFill>
          <a:latin typeface="Arial Narrow"/>
          <a:ea typeface="Arial Narrow"/>
          <a:cs typeface="Arial Narrow"/>
        </a:defRPr>
      </a:pPr>
      <a:endParaRPr lang="en-US"/>
    </a:p>
  </c:txPr>
  <c:printSettings>
    <c:headerFooter alignWithMargins="0"/>
    <c:pageMargins b="1" l="0.75000000000000111" r="0.75000000000000111" t="1" header="0.5" footer="0.5"/>
    <c:pageSetup orientation="landscape"/>
  </c:printSettings>
</c:chartSpace>
</file>

<file path=xl/charts/chart1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0201460736712993"/>
          <c:y val="8.1250000000000003E-2"/>
          <c:w val="0.48209123164099216"/>
          <c:h val="0.72425971759591379"/>
        </c:manualLayout>
      </c:layout>
      <c:radarChart>
        <c:radarStyle val="marker"/>
        <c:varyColors val="0"/>
        <c:ser>
          <c:idx val="0"/>
          <c:order val="0"/>
          <c:tx>
            <c:strRef>
              <c:f>'EMEA AGG'!$W$23</c:f>
              <c:strCache>
                <c:ptCount val="1"/>
                <c:pt idx="0">
                  <c:v>EMEA sector</c:v>
                </c:pt>
              </c:strCache>
            </c:strRef>
          </c:tx>
          <c:spPr>
            <a:ln w="25400">
              <a:solidFill>
                <a:srgbClr val="263238"/>
              </a:solidFill>
              <a:prstDash val="solid"/>
            </a:ln>
            <a:effectLst/>
          </c:spPr>
          <c:marker>
            <c:symbol val="diamond"/>
            <c:size val="6"/>
            <c:spPr>
              <a:solidFill>
                <a:srgbClr val="263238"/>
              </a:solidFill>
              <a:ln w="6350">
                <a:noFill/>
              </a:ln>
            </c:spPr>
          </c:marker>
          <c:cat>
            <c:strRef>
              <c:f>'EMEA AGG'!$V$24:$V$33</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'EMEA AGG'!$W$24:$W$33</c:f>
              <c:numCache>
                <c:formatCode>0%</c:formatCode>
                <c:ptCount val="10"/>
                <c:pt idx="0">
                  <c:v>8.5172851889062734E-2</c:v>
                </c:pt>
                <c:pt idx="1">
                  <c:v>7.263703968700462E-2</c:v>
                </c:pt>
                <c:pt idx="2">
                  <c:v>7.0258451496040805E-2</c:v>
                </c:pt>
                <c:pt idx="3">
                  <c:v>7.7877349968345624E-2</c:v>
                </c:pt>
                <c:pt idx="4">
                  <c:v>9.8382944428808253E-2</c:v>
                </c:pt>
                <c:pt idx="5">
                  <c:v>9.112020209651002E-2</c:v>
                </c:pt>
                <c:pt idx="6">
                  <c:v>2.3933777175937698</c:v>
                </c:pt>
                <c:pt idx="7">
                  <c:v>0.11864096829985585</c:v>
                </c:pt>
                <c:pt idx="8">
                  <c:v>0.13603260656877655</c:v>
                </c:pt>
                <c:pt idx="9">
                  <c:v>2.3933777175937694</c:v>
                </c:pt>
              </c:numCache>
            </c:numRef>
          </c:val>
          <c:extLst>
            <c:ext xmlns:c16="http://schemas.microsoft.com/office/drawing/2014/chart" uri="{C3380CC4-5D6E-409C-BE32-E72D297353CC}">
              <c16:uniqueId val="{00000000-487C-4BC3-8AAC-E2DE0C8E850A}"/>
            </c:ext>
          </c:extLst>
        </c:ser>
        <c:ser>
          <c:idx val="1"/>
          <c:order val="1"/>
          <c:tx>
            <c:strRef>
              <c:f>'EMEA AGG'!$X$23</c:f>
              <c:strCache>
                <c:ptCount val="1"/>
                <c:pt idx="0">
                  <c:v>EM sector</c:v>
                </c:pt>
              </c:strCache>
            </c:strRef>
          </c:tx>
          <c:spPr>
            <a:ln w="25400">
              <a:solidFill>
                <a:srgbClr val="799098"/>
              </a:solidFill>
              <a:prstDash val="solid"/>
            </a:ln>
            <a:effectLst/>
          </c:spPr>
          <c:marker>
            <c:symbol val="diamond"/>
            <c:size val="6"/>
            <c:spPr>
              <a:solidFill>
                <a:srgbClr val="799098"/>
              </a:solidFill>
              <a:ln w="6350">
                <a:noFill/>
              </a:ln>
            </c:spPr>
          </c:marker>
          <c:cat>
            <c:strRef>
              <c:f>'EMEA AGG'!$V$24:$V$33</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'EMEA AGG'!$X$24:$X$33</c:f>
              <c:numCache>
                <c:formatCode>0%</c:formatCode>
                <c:ptCount val="10"/>
                <c:pt idx="0">
                  <c:v>1</c:v>
                </c:pt>
                <c:pt idx="1">
                  <c:v>1</c:v>
                </c:pt>
                <c:pt idx="2">
                  <c:v>1</c:v>
                </c:pt>
                <c:pt idx="3">
                  <c:v>1</c:v>
                </c:pt>
                <c:pt idx="4">
                  <c:v>1</c:v>
                </c:pt>
                <c:pt idx="5">
                  <c:v>1</c:v>
                </c:pt>
                <c:pt idx="6">
                  <c:v>1</c:v>
                </c:pt>
                <c:pt idx="7">
                  <c:v>1</c:v>
                </c:pt>
                <c:pt idx="8">
                  <c:v>1</c:v>
                </c:pt>
                <c:pt idx="9">
                  <c:v>1</c:v>
                </c:pt>
              </c:numCache>
            </c:numRef>
          </c:val>
          <c:extLst>
            <c:ext xmlns:c16="http://schemas.microsoft.com/office/drawing/2014/chart" uri="{C3380CC4-5D6E-409C-BE32-E72D297353CC}">
              <c16:uniqueId val="{00000001-487C-4BC3-8AAC-E2DE0C8E850A}"/>
            </c:ext>
          </c:extLst>
        </c:ser>
        <c:dLbls>
          <c:showLegendKey val="0"/>
          <c:showVal val="0"/>
          <c:showCatName val="0"/>
          <c:showSerName val="0"/>
          <c:showPercent val="0"/>
          <c:showBubbleSize val="0"/>
        </c:dLbls>
        <c:axId val="358101376"/>
        <c:axId val="358103296"/>
      </c:radarChart>
      <c:catAx>
        <c:axId val="358101376"/>
        <c:scaling>
          <c:orientation val="minMax"/>
        </c:scaling>
        <c:delete val="0"/>
        <c:axPos val="b"/>
        <c:numFmt formatCode="General" sourceLinked="1"/>
        <c:majorTickMark val="out"/>
        <c:minorTickMark val="none"/>
        <c:tickLblPos val="nextTo"/>
        <c:spPr>
          <a:ln>
            <a:solidFill>
              <a:srgbClr val="B3B3B3"/>
            </a:solidFill>
          </a:ln>
        </c:spPr>
        <c:txPr>
          <a:bodyPr rot="0" vert="horz"/>
          <a:lstStyle/>
          <a:p>
            <a:pPr>
              <a:defRPr/>
            </a:pPr>
            <a:endParaRPr lang="en-US"/>
          </a:p>
        </c:txPr>
        <c:crossAx val="358103296"/>
        <c:crosses val="autoZero"/>
        <c:auto val="0"/>
        <c:lblAlgn val="ctr"/>
        <c:lblOffset val="100"/>
        <c:noMultiLvlLbl val="0"/>
      </c:catAx>
      <c:valAx>
        <c:axId val="358103296"/>
        <c:scaling>
          <c:orientation val="minMax"/>
        </c:scaling>
        <c:delete val="0"/>
        <c:axPos val="l"/>
        <c:numFmt formatCode="0%" sourceLinked="1"/>
        <c:majorTickMark val="cross"/>
        <c:minorTickMark val="none"/>
        <c:tickLblPos val="nextTo"/>
        <c:spPr>
          <a:ln w="3175">
            <a:solidFill>
              <a:srgbClr val="B3B3B3"/>
            </a:solidFill>
            <a:prstDash val="solid"/>
          </a:ln>
        </c:spPr>
        <c:txPr>
          <a:bodyPr rot="0" vert="horz"/>
          <a:lstStyle/>
          <a:p>
            <a:pPr>
              <a:defRPr/>
            </a:pPr>
            <a:endParaRPr lang="en-US"/>
          </a:p>
        </c:txPr>
        <c:crossAx val="358101376"/>
        <c:crosses val="autoZero"/>
        <c:crossBetween val="between"/>
      </c:valAx>
      <c:spPr>
        <a:noFill/>
        <a:ln w="25400">
          <a:noFill/>
        </a:ln>
      </c:spPr>
    </c:plotArea>
    <c:legend>
      <c:legendPos val="b"/>
      <c:overlay val="0"/>
      <c:spPr>
        <a:noFill/>
        <a:ln w="25400">
          <a:noFill/>
        </a:ln>
      </c:spPr>
    </c:legend>
    <c:plotVisOnly val="1"/>
    <c:dispBlanksAs val="gap"/>
    <c:showDLblsOverMax val="0"/>
  </c:chart>
  <c:spPr>
    <a:noFill/>
    <a:ln w="25400">
      <a:noFill/>
    </a:ln>
    <a:effectLst/>
  </c:spPr>
  <c:txPr>
    <a:bodyPr/>
    <a:lstStyle/>
    <a:p>
      <a:pPr>
        <a:defRPr sz="1000" b="0" i="0" u="none" strike="noStrike" baseline="0">
          <a:solidFill>
            <a:srgbClr val="595959"/>
          </a:solidFill>
          <a:latin typeface="Arial Narrow"/>
          <a:ea typeface="Arial Narrow"/>
          <a:cs typeface="Arial Narrow"/>
        </a:defRPr>
      </a:pPr>
      <a:endParaRPr lang="en-US"/>
    </a:p>
  </c:txPr>
  <c:printSettings>
    <c:headerFooter alignWithMargins="0"/>
    <c:pageMargins b="1" l="0.75000000000000111" r="0.75000000000000111" t="1" header="0.5" footer="0.5"/>
    <c:pageSetup orientation="landscape"/>
  </c:printSettings>
</c:chartSpace>
</file>

<file path=xl/charts/chart1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043473023419378"/>
          <c:y val="9.6875000000000044E-2"/>
          <c:w val="0.47392920422806722"/>
          <c:h val="0.75407039069025483"/>
        </c:manualLayout>
      </c:layout>
      <c:radarChart>
        <c:radarStyle val="marker"/>
        <c:varyColors val="0"/>
        <c:ser>
          <c:idx val="0"/>
          <c:order val="0"/>
          <c:tx>
            <c:strRef>
              <c:f>'EM ASIA INCUMB'!$W$23</c:f>
              <c:strCache>
                <c:ptCount val="1"/>
                <c:pt idx="0">
                  <c:v>EM Asia incumbents</c:v>
                </c:pt>
              </c:strCache>
            </c:strRef>
          </c:tx>
          <c:spPr>
            <a:ln w="25400">
              <a:solidFill>
                <a:srgbClr val="263238"/>
              </a:solidFill>
              <a:prstDash val="solid"/>
            </a:ln>
            <a:effectLst/>
          </c:spPr>
          <c:marker>
            <c:symbol val="diamond"/>
            <c:size val="6"/>
            <c:spPr>
              <a:solidFill>
                <a:srgbClr val="263238"/>
              </a:solidFill>
              <a:ln w="6350">
                <a:noFill/>
              </a:ln>
            </c:spPr>
          </c:marker>
          <c:cat>
            <c:strRef>
              <c:f>'EM ASIA INCUMB'!$V$24:$V$33</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'EM ASIA INCUMB'!$W$24:$W$33</c:f>
              <c:numCache>
                <c:formatCode>0%</c:formatCode>
                <c:ptCount val="10"/>
                <c:pt idx="0">
                  <c:v>1.4169970731250778</c:v>
                </c:pt>
                <c:pt idx="1">
                  <c:v>1.5777021824819188</c:v>
                </c:pt>
                <c:pt idx="2">
                  <c:v>1.8360635226340174</c:v>
                </c:pt>
                <c:pt idx="3">
                  <c:v>1.7223688764539475</c:v>
                </c:pt>
                <c:pt idx="4">
                  <c:v>1.603275392543607</c:v>
                </c:pt>
                <c:pt idx="5">
                  <c:v>1.3831378266733148</c:v>
                </c:pt>
                <c:pt idx="6">
                  <c:v>0.85668417336135239</c:v>
                </c:pt>
                <c:pt idx="7">
                  <c:v>1.5643273367825457</c:v>
                </c:pt>
                <c:pt idx="8">
                  <c:v>1.3397344170642604</c:v>
                </c:pt>
                <c:pt idx="9">
                  <c:v>0.85668417336135239</c:v>
                </c:pt>
              </c:numCache>
            </c:numRef>
          </c:val>
          <c:extLst>
            <c:ext xmlns:c16="http://schemas.microsoft.com/office/drawing/2014/chart" uri="{C3380CC4-5D6E-409C-BE32-E72D297353CC}">
              <c16:uniqueId val="{00000000-7D12-456B-9C46-35BF4C01A319}"/>
            </c:ext>
          </c:extLst>
        </c:ser>
        <c:ser>
          <c:idx val="1"/>
          <c:order val="1"/>
          <c:tx>
            <c:strRef>
              <c:f>'EM ASIA INCUMB'!$X$23</c:f>
              <c:strCache>
                <c:ptCount val="1"/>
                <c:pt idx="0">
                  <c:v>EM incumbents</c:v>
                </c:pt>
              </c:strCache>
            </c:strRef>
          </c:tx>
          <c:spPr>
            <a:ln w="25400">
              <a:solidFill>
                <a:srgbClr val="799098"/>
              </a:solidFill>
              <a:prstDash val="solid"/>
            </a:ln>
            <a:effectLst/>
          </c:spPr>
          <c:marker>
            <c:symbol val="diamond"/>
            <c:size val="6"/>
            <c:spPr>
              <a:solidFill>
                <a:srgbClr val="799098"/>
              </a:solidFill>
              <a:ln w="6350">
                <a:noFill/>
              </a:ln>
            </c:spPr>
          </c:marker>
          <c:cat>
            <c:strRef>
              <c:f>'EM ASIA INCUMB'!$V$24:$V$33</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'EM ASIA INCUMB'!$X$24:$X$33</c:f>
              <c:numCache>
                <c:formatCode>0%</c:formatCode>
                <c:ptCount val="10"/>
                <c:pt idx="0">
                  <c:v>1</c:v>
                </c:pt>
                <c:pt idx="1">
                  <c:v>1</c:v>
                </c:pt>
                <c:pt idx="2">
                  <c:v>1</c:v>
                </c:pt>
                <c:pt idx="3">
                  <c:v>1</c:v>
                </c:pt>
                <c:pt idx="4">
                  <c:v>1</c:v>
                </c:pt>
                <c:pt idx="5">
                  <c:v>1</c:v>
                </c:pt>
                <c:pt idx="6">
                  <c:v>1</c:v>
                </c:pt>
                <c:pt idx="7">
                  <c:v>1</c:v>
                </c:pt>
                <c:pt idx="8">
                  <c:v>1</c:v>
                </c:pt>
                <c:pt idx="9">
                  <c:v>1</c:v>
                </c:pt>
              </c:numCache>
            </c:numRef>
          </c:val>
          <c:extLst>
            <c:ext xmlns:c16="http://schemas.microsoft.com/office/drawing/2014/chart" uri="{C3380CC4-5D6E-409C-BE32-E72D297353CC}">
              <c16:uniqueId val="{00000001-7D12-456B-9C46-35BF4C01A319}"/>
            </c:ext>
          </c:extLst>
        </c:ser>
        <c:dLbls>
          <c:showLegendKey val="0"/>
          <c:showVal val="0"/>
          <c:showCatName val="0"/>
          <c:showSerName val="0"/>
          <c:showPercent val="0"/>
          <c:showBubbleSize val="0"/>
        </c:dLbls>
        <c:axId val="355016704"/>
        <c:axId val="355018624"/>
      </c:radarChart>
      <c:catAx>
        <c:axId val="355016704"/>
        <c:scaling>
          <c:orientation val="minMax"/>
        </c:scaling>
        <c:delete val="0"/>
        <c:axPos val="b"/>
        <c:numFmt formatCode="General" sourceLinked="1"/>
        <c:majorTickMark val="out"/>
        <c:minorTickMark val="none"/>
        <c:tickLblPos val="nextTo"/>
        <c:spPr>
          <a:ln>
            <a:solidFill>
              <a:srgbClr val="B3B3B3"/>
            </a:solidFill>
          </a:ln>
        </c:spPr>
        <c:txPr>
          <a:bodyPr rot="0" vert="horz"/>
          <a:lstStyle/>
          <a:p>
            <a:pPr>
              <a:defRPr/>
            </a:pPr>
            <a:endParaRPr lang="en-US"/>
          </a:p>
        </c:txPr>
        <c:crossAx val="355018624"/>
        <c:crosses val="autoZero"/>
        <c:auto val="0"/>
        <c:lblAlgn val="ctr"/>
        <c:lblOffset val="100"/>
        <c:noMultiLvlLbl val="0"/>
      </c:catAx>
      <c:valAx>
        <c:axId val="355018624"/>
        <c:scaling>
          <c:orientation val="minMax"/>
        </c:scaling>
        <c:delete val="0"/>
        <c:axPos val="l"/>
        <c:numFmt formatCode="0%" sourceLinked="1"/>
        <c:majorTickMark val="cross"/>
        <c:minorTickMark val="none"/>
        <c:tickLblPos val="nextTo"/>
        <c:spPr>
          <a:ln w="3175">
            <a:solidFill>
              <a:srgbClr val="B3B3B3"/>
            </a:solidFill>
            <a:prstDash val="solid"/>
          </a:ln>
        </c:spPr>
        <c:txPr>
          <a:bodyPr rot="0" vert="horz"/>
          <a:lstStyle/>
          <a:p>
            <a:pPr>
              <a:defRPr/>
            </a:pPr>
            <a:endParaRPr lang="en-US"/>
          </a:p>
        </c:txPr>
        <c:crossAx val="355016704"/>
        <c:crosses val="autoZero"/>
        <c:crossBetween val="between"/>
      </c:valAx>
      <c:spPr>
        <a:noFill/>
        <a:ln w="25400">
          <a:noFill/>
        </a:ln>
      </c:spPr>
    </c:plotArea>
    <c:legend>
      <c:legendPos val="b"/>
      <c:overlay val="0"/>
      <c:spPr>
        <a:noFill/>
        <a:ln w="25400">
          <a:noFill/>
        </a:ln>
      </c:spPr>
    </c:legend>
    <c:plotVisOnly val="1"/>
    <c:dispBlanksAs val="gap"/>
    <c:showDLblsOverMax val="0"/>
  </c:chart>
  <c:spPr>
    <a:noFill/>
    <a:ln w="25400">
      <a:noFill/>
    </a:ln>
    <a:effectLst/>
  </c:spPr>
  <c:txPr>
    <a:bodyPr/>
    <a:lstStyle/>
    <a:p>
      <a:pPr>
        <a:defRPr sz="1000" b="0" i="0" u="none" strike="noStrike" baseline="0">
          <a:solidFill>
            <a:srgbClr val="595959"/>
          </a:solidFill>
          <a:latin typeface="Arial Narrow"/>
          <a:ea typeface="Arial Narrow"/>
          <a:cs typeface="Arial Narrow"/>
        </a:defRPr>
      </a:pPr>
      <a:endParaRPr lang="en-US"/>
    </a:p>
  </c:txPr>
  <c:printSettings>
    <c:headerFooter alignWithMargins="0"/>
    <c:pageMargins b="1" l="0.75000000000000111" r="0.75000000000000111" t="1" header="0.5" footer="0.5"/>
    <c:pageSetup orientation="landscape"/>
  </c:printSettings>
</c:chartSpace>
</file>

<file path=xl/charts/chart1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8937149572754312"/>
          <c:y val="5.9375000000000004E-2"/>
          <c:w val="0.47502089123888097"/>
          <c:h val="0.71363773900171501"/>
        </c:manualLayout>
      </c:layout>
      <c:radarChart>
        <c:radarStyle val="marker"/>
        <c:varyColors val="0"/>
        <c:ser>
          <c:idx val="0"/>
          <c:order val="0"/>
          <c:tx>
            <c:strRef>
              <c:f>'EM ASIA CELLULAR'!$W$23</c:f>
              <c:strCache>
                <c:ptCount val="1"/>
                <c:pt idx="0">
                  <c:v>Asia cellular</c:v>
                </c:pt>
              </c:strCache>
            </c:strRef>
          </c:tx>
          <c:spPr>
            <a:ln w="25400">
              <a:solidFill>
                <a:srgbClr val="263238"/>
              </a:solidFill>
              <a:prstDash val="solid"/>
            </a:ln>
            <a:effectLst/>
          </c:spPr>
          <c:marker>
            <c:symbol val="diamond"/>
            <c:size val="6"/>
            <c:spPr>
              <a:solidFill>
                <a:srgbClr val="263238"/>
              </a:solidFill>
              <a:ln w="6350">
                <a:noFill/>
              </a:ln>
            </c:spPr>
          </c:marker>
          <c:cat>
            <c:strRef>
              <c:f>'EM ASIA CELLULAR'!$V$24:$V$33</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 (08)</c:v>
                </c:pt>
              </c:strCache>
            </c:strRef>
          </c:cat>
          <c:val>
            <c:numRef>
              <c:f>'EM ASIA CELLULAR'!$W$24:$W$33</c:f>
              <c:numCache>
                <c:formatCode>0%</c:formatCode>
                <c:ptCount val="10"/>
                <c:pt idx="0">
                  <c:v>0.93966128525572246</c:v>
                </c:pt>
                <c:pt idx="1">
                  <c:v>0.96142610257778671</c:v>
                </c:pt>
                <c:pt idx="2">
                  <c:v>0.9633357472807843</c:v>
                </c:pt>
                <c:pt idx="3">
                  <c:v>0.94827754157609911</c:v>
                </c:pt>
                <c:pt idx="4">
                  <c:v>0.89465876668874778</c:v>
                </c:pt>
                <c:pt idx="5">
                  <c:v>0.96730254719437125</c:v>
                </c:pt>
                <c:pt idx="6">
                  <c:v>0.93980545435473639</c:v>
                </c:pt>
                <c:pt idx="7">
                  <c:v>0.95351355972842644</c:v>
                </c:pt>
                <c:pt idx="8">
                  <c:v>0.90896708387501746</c:v>
                </c:pt>
                <c:pt idx="9">
                  <c:v>0.9537204966143118</c:v>
                </c:pt>
              </c:numCache>
            </c:numRef>
          </c:val>
          <c:extLst>
            <c:ext xmlns:c16="http://schemas.microsoft.com/office/drawing/2014/chart" uri="{C3380CC4-5D6E-409C-BE32-E72D297353CC}">
              <c16:uniqueId val="{00000000-81FD-4F65-B962-B58ACB1C6C11}"/>
            </c:ext>
          </c:extLst>
        </c:ser>
        <c:ser>
          <c:idx val="1"/>
          <c:order val="1"/>
          <c:tx>
            <c:strRef>
              <c:f>'EM ASIA CELLULAR'!$X$23</c:f>
              <c:strCache>
                <c:ptCount val="1"/>
                <c:pt idx="0">
                  <c:v>EM cellular</c:v>
                </c:pt>
              </c:strCache>
            </c:strRef>
          </c:tx>
          <c:spPr>
            <a:ln w="25400">
              <a:solidFill>
                <a:srgbClr val="799098"/>
              </a:solidFill>
              <a:prstDash val="solid"/>
            </a:ln>
            <a:effectLst/>
          </c:spPr>
          <c:marker>
            <c:symbol val="diamond"/>
            <c:size val="6"/>
            <c:spPr>
              <a:solidFill>
                <a:srgbClr val="799098"/>
              </a:solidFill>
              <a:ln w="6350">
                <a:noFill/>
              </a:ln>
            </c:spPr>
          </c:marker>
          <c:cat>
            <c:strRef>
              <c:f>'EM ASIA CELLULAR'!$V$24:$V$33</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 (08)</c:v>
                </c:pt>
              </c:strCache>
            </c:strRef>
          </c:cat>
          <c:val>
            <c:numRef>
              <c:f>'EM ASIA CELLULAR'!$X$24:$X$33</c:f>
              <c:numCache>
                <c:formatCode>0%</c:formatCode>
                <c:ptCount val="10"/>
                <c:pt idx="0">
                  <c:v>1</c:v>
                </c:pt>
                <c:pt idx="1">
                  <c:v>1</c:v>
                </c:pt>
                <c:pt idx="2">
                  <c:v>1</c:v>
                </c:pt>
                <c:pt idx="3">
                  <c:v>1</c:v>
                </c:pt>
                <c:pt idx="4">
                  <c:v>1</c:v>
                </c:pt>
                <c:pt idx="5">
                  <c:v>1</c:v>
                </c:pt>
                <c:pt idx="6">
                  <c:v>1</c:v>
                </c:pt>
                <c:pt idx="7">
                  <c:v>1</c:v>
                </c:pt>
                <c:pt idx="8">
                  <c:v>1</c:v>
                </c:pt>
                <c:pt idx="9">
                  <c:v>1</c:v>
                </c:pt>
              </c:numCache>
            </c:numRef>
          </c:val>
          <c:extLst>
            <c:ext xmlns:c16="http://schemas.microsoft.com/office/drawing/2014/chart" uri="{C3380CC4-5D6E-409C-BE32-E72D297353CC}">
              <c16:uniqueId val="{00000001-81FD-4F65-B962-B58ACB1C6C11}"/>
            </c:ext>
          </c:extLst>
        </c:ser>
        <c:dLbls>
          <c:showLegendKey val="0"/>
          <c:showVal val="0"/>
          <c:showCatName val="0"/>
          <c:showSerName val="0"/>
          <c:showPercent val="0"/>
          <c:showBubbleSize val="0"/>
        </c:dLbls>
        <c:axId val="355128832"/>
        <c:axId val="355130752"/>
      </c:radarChart>
      <c:catAx>
        <c:axId val="355128832"/>
        <c:scaling>
          <c:orientation val="minMax"/>
        </c:scaling>
        <c:delete val="0"/>
        <c:axPos val="b"/>
        <c:numFmt formatCode="General" sourceLinked="1"/>
        <c:majorTickMark val="out"/>
        <c:minorTickMark val="none"/>
        <c:tickLblPos val="nextTo"/>
        <c:spPr>
          <a:ln>
            <a:solidFill>
              <a:srgbClr val="B3B3B3"/>
            </a:solidFill>
          </a:ln>
        </c:spPr>
        <c:txPr>
          <a:bodyPr rot="0" vert="horz"/>
          <a:lstStyle/>
          <a:p>
            <a:pPr>
              <a:defRPr/>
            </a:pPr>
            <a:endParaRPr lang="en-US"/>
          </a:p>
        </c:txPr>
        <c:crossAx val="355130752"/>
        <c:crosses val="autoZero"/>
        <c:auto val="0"/>
        <c:lblAlgn val="ctr"/>
        <c:lblOffset val="100"/>
        <c:noMultiLvlLbl val="0"/>
      </c:catAx>
      <c:valAx>
        <c:axId val="355130752"/>
        <c:scaling>
          <c:orientation val="minMax"/>
        </c:scaling>
        <c:delete val="0"/>
        <c:axPos val="l"/>
        <c:numFmt formatCode="0%" sourceLinked="1"/>
        <c:majorTickMark val="cross"/>
        <c:minorTickMark val="none"/>
        <c:tickLblPos val="nextTo"/>
        <c:spPr>
          <a:ln w="3175">
            <a:solidFill>
              <a:srgbClr val="B3B3B3"/>
            </a:solidFill>
            <a:prstDash val="solid"/>
          </a:ln>
        </c:spPr>
        <c:txPr>
          <a:bodyPr rot="0" vert="horz"/>
          <a:lstStyle/>
          <a:p>
            <a:pPr>
              <a:defRPr/>
            </a:pPr>
            <a:endParaRPr lang="en-US"/>
          </a:p>
        </c:txPr>
        <c:crossAx val="355128832"/>
        <c:crosses val="autoZero"/>
        <c:crossBetween val="between"/>
      </c:valAx>
      <c:spPr>
        <a:noFill/>
        <a:ln w="25400">
          <a:noFill/>
        </a:ln>
      </c:spPr>
    </c:plotArea>
    <c:legend>
      <c:legendPos val="b"/>
      <c:overlay val="0"/>
      <c:spPr>
        <a:noFill/>
        <a:ln w="25400">
          <a:noFill/>
        </a:ln>
      </c:spPr>
    </c:legend>
    <c:plotVisOnly val="1"/>
    <c:dispBlanksAs val="gap"/>
    <c:showDLblsOverMax val="0"/>
  </c:chart>
  <c:spPr>
    <a:noFill/>
    <a:ln w="25400">
      <a:noFill/>
    </a:ln>
    <a:effectLst/>
  </c:spPr>
  <c:txPr>
    <a:bodyPr/>
    <a:lstStyle/>
    <a:p>
      <a:pPr>
        <a:defRPr sz="1000" b="0" i="0" u="none" strike="noStrike" baseline="0">
          <a:solidFill>
            <a:srgbClr val="595959"/>
          </a:solidFill>
          <a:latin typeface="Arial Narrow"/>
          <a:ea typeface="Arial Narrow"/>
          <a:cs typeface="Arial Narrow"/>
        </a:defRPr>
      </a:pPr>
      <a:endParaRPr lang="en-US"/>
    </a:p>
  </c:txPr>
  <c:printSettings>
    <c:headerFooter alignWithMargins="0"/>
    <c:pageMargins b="1" l="0.75000000000000111" r="0.75000000000000111" t="1" header="0.5" footer="0.5"/>
    <c:pageSetup orientation="landscape"/>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6008090119481486"/>
          <c:y val="9.2024539877300623E-2"/>
          <c:w val="0.47379078899830385"/>
          <c:h val="0.72085889570552164"/>
        </c:manualLayout>
      </c:layout>
      <c:radarChart>
        <c:radarStyle val="marker"/>
        <c:varyColors val="0"/>
        <c:ser>
          <c:idx val="0"/>
          <c:order val="0"/>
          <c:tx>
            <c:strRef>
              <c:f>BT!$W$24</c:f>
              <c:strCache>
                <c:ptCount val="1"/>
                <c:pt idx="0">
                  <c:v>BT</c:v>
                </c:pt>
              </c:strCache>
            </c:strRef>
          </c:tx>
          <c:spPr>
            <a:ln w="25400">
              <a:solidFill>
                <a:srgbClr val="263238"/>
              </a:solidFill>
              <a:prstDash val="solid"/>
            </a:ln>
            <a:effectLst/>
          </c:spPr>
          <c:marker>
            <c:symbol val="diamond"/>
            <c:size val="6"/>
            <c:spPr>
              <a:solidFill>
                <a:srgbClr val="263238"/>
              </a:solidFill>
              <a:ln w="6350">
                <a:noFill/>
              </a:ln>
            </c:spPr>
          </c:marker>
          <c:cat>
            <c:strRef>
              <c:f>BT!$V$25:$V$34</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BT!$W$25:$W$34</c:f>
              <c:numCache>
                <c:formatCode>0%</c:formatCode>
                <c:ptCount val="10"/>
                <c:pt idx="0">
                  <c:v>0.67891260092069372</c:v>
                </c:pt>
                <c:pt idx="1">
                  <c:v>0.66273284682308631</c:v>
                </c:pt>
                <c:pt idx="2">
                  <c:v>1.1983432977278499</c:v>
                </c:pt>
                <c:pt idx="3">
                  <c:v>1.179656958284429</c:v>
                </c:pt>
                <c:pt idx="4">
                  <c:v>0.72094615454343969</c:v>
                </c:pt>
                <c:pt idx="5">
                  <c:v>0.41758980017189962</c:v>
                </c:pt>
                <c:pt idx="6">
                  <c:v>1.1456252664833562</c:v>
                </c:pt>
                <c:pt idx="7">
                  <c:v>0.5303071273654637</c:v>
                </c:pt>
                <c:pt idx="8">
                  <c:v>1.2376156594006849</c:v>
                </c:pt>
                <c:pt idx="9">
                  <c:v>0.87288577622735952</c:v>
                </c:pt>
              </c:numCache>
            </c:numRef>
          </c:val>
          <c:extLst>
            <c:ext xmlns:c16="http://schemas.microsoft.com/office/drawing/2014/chart" uri="{C3380CC4-5D6E-409C-BE32-E72D297353CC}">
              <c16:uniqueId val="{00000000-D998-41E1-A8B5-946D1A29D914}"/>
            </c:ext>
          </c:extLst>
        </c:ser>
        <c:ser>
          <c:idx val="1"/>
          <c:order val="1"/>
          <c:tx>
            <c:strRef>
              <c:f>BT!$X$24</c:f>
              <c:strCache>
                <c:ptCount val="1"/>
                <c:pt idx="0">
                  <c:v>Agg. W. Eur. Incumbent</c:v>
                </c:pt>
              </c:strCache>
            </c:strRef>
          </c:tx>
          <c:spPr>
            <a:ln w="25400">
              <a:solidFill>
                <a:srgbClr val="799098"/>
              </a:solidFill>
              <a:prstDash val="solid"/>
            </a:ln>
            <a:effectLst/>
          </c:spPr>
          <c:marker>
            <c:symbol val="diamond"/>
            <c:size val="6"/>
            <c:spPr>
              <a:solidFill>
                <a:srgbClr val="799098"/>
              </a:solidFill>
              <a:ln w="6350">
                <a:noFill/>
              </a:ln>
            </c:spPr>
          </c:marker>
          <c:cat>
            <c:strRef>
              <c:f>BT!$V$25:$V$34</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BT!$X$25:$X$34</c:f>
              <c:numCache>
                <c:formatCode>0%</c:formatCode>
                <c:ptCount val="10"/>
                <c:pt idx="0">
                  <c:v>1</c:v>
                </c:pt>
                <c:pt idx="1">
                  <c:v>1</c:v>
                </c:pt>
                <c:pt idx="2">
                  <c:v>1</c:v>
                </c:pt>
                <c:pt idx="3">
                  <c:v>1</c:v>
                </c:pt>
                <c:pt idx="4">
                  <c:v>1</c:v>
                </c:pt>
                <c:pt idx="5">
                  <c:v>1</c:v>
                </c:pt>
                <c:pt idx="6">
                  <c:v>1</c:v>
                </c:pt>
                <c:pt idx="7">
                  <c:v>1</c:v>
                </c:pt>
                <c:pt idx="8">
                  <c:v>1</c:v>
                </c:pt>
                <c:pt idx="9">
                  <c:v>1</c:v>
                </c:pt>
              </c:numCache>
            </c:numRef>
          </c:val>
          <c:extLst>
            <c:ext xmlns:c16="http://schemas.microsoft.com/office/drawing/2014/chart" uri="{C3380CC4-5D6E-409C-BE32-E72D297353CC}">
              <c16:uniqueId val="{00000001-D998-41E1-A8B5-946D1A29D914}"/>
            </c:ext>
          </c:extLst>
        </c:ser>
        <c:dLbls>
          <c:showLegendKey val="0"/>
          <c:showVal val="0"/>
          <c:showCatName val="0"/>
          <c:showSerName val="0"/>
          <c:showPercent val="0"/>
          <c:showBubbleSize val="0"/>
        </c:dLbls>
        <c:axId val="358813056"/>
        <c:axId val="358815232"/>
      </c:radarChart>
      <c:catAx>
        <c:axId val="358813056"/>
        <c:scaling>
          <c:orientation val="minMax"/>
        </c:scaling>
        <c:delete val="0"/>
        <c:axPos val="b"/>
        <c:numFmt formatCode="General" sourceLinked="1"/>
        <c:majorTickMark val="out"/>
        <c:minorTickMark val="none"/>
        <c:tickLblPos val="nextTo"/>
        <c:spPr>
          <a:ln>
            <a:solidFill>
              <a:srgbClr val="B3B3B3"/>
            </a:solidFill>
          </a:ln>
        </c:spPr>
        <c:txPr>
          <a:bodyPr rot="0" vert="horz"/>
          <a:lstStyle/>
          <a:p>
            <a:pPr>
              <a:defRPr/>
            </a:pPr>
            <a:endParaRPr lang="en-US"/>
          </a:p>
        </c:txPr>
        <c:crossAx val="358815232"/>
        <c:crosses val="autoZero"/>
        <c:auto val="0"/>
        <c:lblAlgn val="ctr"/>
        <c:lblOffset val="100"/>
        <c:noMultiLvlLbl val="0"/>
      </c:catAx>
      <c:valAx>
        <c:axId val="358815232"/>
        <c:scaling>
          <c:orientation val="minMax"/>
        </c:scaling>
        <c:delete val="0"/>
        <c:axPos val="l"/>
        <c:numFmt formatCode="0%" sourceLinked="1"/>
        <c:majorTickMark val="cross"/>
        <c:minorTickMark val="none"/>
        <c:tickLblPos val="nextTo"/>
        <c:spPr>
          <a:ln w="3175">
            <a:solidFill>
              <a:srgbClr val="B3B3B3"/>
            </a:solidFill>
            <a:prstDash val="solid"/>
          </a:ln>
        </c:spPr>
        <c:txPr>
          <a:bodyPr rot="0" vert="horz"/>
          <a:lstStyle/>
          <a:p>
            <a:pPr>
              <a:defRPr/>
            </a:pPr>
            <a:endParaRPr lang="en-US"/>
          </a:p>
        </c:txPr>
        <c:crossAx val="358813056"/>
        <c:crosses val="autoZero"/>
        <c:crossBetween val="between"/>
      </c:valAx>
      <c:spPr>
        <a:noFill/>
        <a:ln w="25400">
          <a:noFill/>
        </a:ln>
      </c:spPr>
    </c:plotArea>
    <c:legend>
      <c:legendPos val="b"/>
      <c:overlay val="0"/>
      <c:spPr>
        <a:noFill/>
        <a:ln w="25400">
          <a:noFill/>
        </a:ln>
      </c:spPr>
    </c:legend>
    <c:plotVisOnly val="1"/>
    <c:dispBlanksAs val="gap"/>
    <c:showDLblsOverMax val="0"/>
  </c:chart>
  <c:spPr>
    <a:noFill/>
    <a:ln w="25400">
      <a:noFill/>
    </a:ln>
    <a:effectLst/>
  </c:spPr>
  <c:txPr>
    <a:bodyPr/>
    <a:lstStyle/>
    <a:p>
      <a:pPr>
        <a:defRPr sz="1000" b="0" i="0" u="none" strike="noStrike" baseline="0">
          <a:solidFill>
            <a:srgbClr val="595959"/>
          </a:solidFill>
          <a:latin typeface="Arial Narrow"/>
          <a:ea typeface="Arial Narrow"/>
          <a:cs typeface="Arial Narrow"/>
        </a:defRPr>
      </a:pPr>
      <a:endParaRPr lang="en-US"/>
    </a:p>
  </c:txPr>
  <c:printSettings>
    <c:headerFooter alignWithMargins="0"/>
    <c:pageMargins b="1" l="0.75000000000000111" r="0.75000000000000111" t="1" header="0.5" footer="0.5"/>
    <c:pageSetup/>
  </c:printSettings>
</c:chartSpace>
</file>

<file path=xl/charts/chart1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9660683699724044"/>
          <c:y val="8.1250000000000003E-2"/>
          <c:w val="0.48749900201088181"/>
          <c:h val="0.73238396874146239"/>
        </c:manualLayout>
      </c:layout>
      <c:radarChart>
        <c:radarStyle val="marker"/>
        <c:varyColors val="0"/>
        <c:ser>
          <c:idx val="0"/>
          <c:order val="0"/>
          <c:tx>
            <c:strRef>
              <c:f>'AGG EM ASIA'!$W$23</c:f>
              <c:strCache>
                <c:ptCount val="1"/>
                <c:pt idx="0">
                  <c:v>LatAm sector</c:v>
                </c:pt>
              </c:strCache>
            </c:strRef>
          </c:tx>
          <c:spPr>
            <a:ln w="25400">
              <a:solidFill>
                <a:srgbClr val="263238"/>
              </a:solidFill>
              <a:prstDash val="solid"/>
            </a:ln>
            <a:effectLst/>
          </c:spPr>
          <c:marker>
            <c:symbol val="diamond"/>
            <c:size val="6"/>
            <c:spPr>
              <a:solidFill>
                <a:srgbClr val="263238"/>
              </a:solidFill>
              <a:ln w="6350">
                <a:noFill/>
              </a:ln>
            </c:spPr>
          </c:marker>
          <c:cat>
            <c:strRef>
              <c:f>'AGG EM ASIA'!$V$24:$V$33</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'AGG EM ASIA'!$W$24:$W$33</c:f>
              <c:numCache>
                <c:formatCode>0%</c:formatCode>
                <c:ptCount val="10"/>
                <c:pt idx="0">
                  <c:v>1.2990653292629106</c:v>
                </c:pt>
                <c:pt idx="1">
                  <c:v>1.3627413184048023</c:v>
                </c:pt>
                <c:pt idx="2">
                  <c:v>1.4100012790593064</c:v>
                </c:pt>
                <c:pt idx="3">
                  <c:v>1.3647918884996721</c:v>
                </c:pt>
                <c:pt idx="4">
                  <c:v>1.2911728649918539</c:v>
                </c:pt>
                <c:pt idx="5">
                  <c:v>1.306906137783018</c:v>
                </c:pt>
                <c:pt idx="6">
                  <c:v>0.95010180564495073</c:v>
                </c:pt>
                <c:pt idx="7">
                  <c:v>1.3204645711042784</c:v>
                </c:pt>
                <c:pt idx="8">
                  <c:v>1.1911199793096667</c:v>
                </c:pt>
                <c:pt idx="9">
                  <c:v>0.95010180564495061</c:v>
                </c:pt>
              </c:numCache>
            </c:numRef>
          </c:val>
          <c:extLst>
            <c:ext xmlns:c16="http://schemas.microsoft.com/office/drawing/2014/chart" uri="{C3380CC4-5D6E-409C-BE32-E72D297353CC}">
              <c16:uniqueId val="{00000000-1B66-46F9-A7A4-003631B06056}"/>
            </c:ext>
          </c:extLst>
        </c:ser>
        <c:ser>
          <c:idx val="1"/>
          <c:order val="1"/>
          <c:tx>
            <c:strRef>
              <c:f>'AGG EM ASIA'!$X$23</c:f>
              <c:strCache>
                <c:ptCount val="1"/>
                <c:pt idx="0">
                  <c:v>EM sector</c:v>
                </c:pt>
              </c:strCache>
            </c:strRef>
          </c:tx>
          <c:spPr>
            <a:ln w="25400">
              <a:solidFill>
                <a:srgbClr val="799098"/>
              </a:solidFill>
              <a:prstDash val="solid"/>
            </a:ln>
            <a:effectLst/>
          </c:spPr>
          <c:marker>
            <c:symbol val="diamond"/>
            <c:size val="6"/>
            <c:spPr>
              <a:solidFill>
                <a:srgbClr val="799098"/>
              </a:solidFill>
              <a:ln w="6350">
                <a:noFill/>
              </a:ln>
            </c:spPr>
          </c:marker>
          <c:cat>
            <c:strRef>
              <c:f>'AGG EM ASIA'!$V$24:$V$33</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'AGG EM ASIA'!$X$24:$X$33</c:f>
              <c:numCache>
                <c:formatCode>0%</c:formatCode>
                <c:ptCount val="10"/>
                <c:pt idx="0">
                  <c:v>1</c:v>
                </c:pt>
                <c:pt idx="1">
                  <c:v>1</c:v>
                </c:pt>
                <c:pt idx="2">
                  <c:v>1</c:v>
                </c:pt>
                <c:pt idx="3">
                  <c:v>1</c:v>
                </c:pt>
                <c:pt idx="4">
                  <c:v>1</c:v>
                </c:pt>
                <c:pt idx="5">
                  <c:v>1</c:v>
                </c:pt>
                <c:pt idx="6">
                  <c:v>1</c:v>
                </c:pt>
                <c:pt idx="7">
                  <c:v>1</c:v>
                </c:pt>
                <c:pt idx="8">
                  <c:v>1</c:v>
                </c:pt>
                <c:pt idx="9">
                  <c:v>1</c:v>
                </c:pt>
              </c:numCache>
            </c:numRef>
          </c:val>
          <c:extLst>
            <c:ext xmlns:c16="http://schemas.microsoft.com/office/drawing/2014/chart" uri="{C3380CC4-5D6E-409C-BE32-E72D297353CC}">
              <c16:uniqueId val="{00000001-1B66-46F9-A7A4-003631B06056}"/>
            </c:ext>
          </c:extLst>
        </c:ser>
        <c:dLbls>
          <c:showLegendKey val="0"/>
          <c:showVal val="0"/>
          <c:showCatName val="0"/>
          <c:showSerName val="0"/>
          <c:showPercent val="0"/>
          <c:showBubbleSize val="0"/>
        </c:dLbls>
        <c:axId val="358458112"/>
        <c:axId val="358460032"/>
      </c:radarChart>
      <c:catAx>
        <c:axId val="358458112"/>
        <c:scaling>
          <c:orientation val="minMax"/>
        </c:scaling>
        <c:delete val="0"/>
        <c:axPos val="b"/>
        <c:numFmt formatCode="General" sourceLinked="1"/>
        <c:majorTickMark val="out"/>
        <c:minorTickMark val="none"/>
        <c:tickLblPos val="nextTo"/>
        <c:spPr>
          <a:ln>
            <a:solidFill>
              <a:srgbClr val="B3B3B3"/>
            </a:solidFill>
          </a:ln>
        </c:spPr>
        <c:txPr>
          <a:bodyPr rot="0" vert="horz"/>
          <a:lstStyle/>
          <a:p>
            <a:pPr>
              <a:defRPr/>
            </a:pPr>
            <a:endParaRPr lang="en-US"/>
          </a:p>
        </c:txPr>
        <c:crossAx val="358460032"/>
        <c:crosses val="autoZero"/>
        <c:auto val="0"/>
        <c:lblAlgn val="ctr"/>
        <c:lblOffset val="100"/>
        <c:noMultiLvlLbl val="0"/>
      </c:catAx>
      <c:valAx>
        <c:axId val="358460032"/>
        <c:scaling>
          <c:orientation val="minMax"/>
        </c:scaling>
        <c:delete val="0"/>
        <c:axPos val="l"/>
        <c:numFmt formatCode="0%" sourceLinked="1"/>
        <c:majorTickMark val="cross"/>
        <c:minorTickMark val="none"/>
        <c:tickLblPos val="nextTo"/>
        <c:spPr>
          <a:ln w="3175">
            <a:solidFill>
              <a:srgbClr val="B3B3B3"/>
            </a:solidFill>
            <a:prstDash val="solid"/>
          </a:ln>
        </c:spPr>
        <c:txPr>
          <a:bodyPr rot="0" vert="horz"/>
          <a:lstStyle/>
          <a:p>
            <a:pPr>
              <a:defRPr/>
            </a:pPr>
            <a:endParaRPr lang="en-US"/>
          </a:p>
        </c:txPr>
        <c:crossAx val="358458112"/>
        <c:crosses val="autoZero"/>
        <c:crossBetween val="between"/>
      </c:valAx>
      <c:spPr>
        <a:noFill/>
        <a:ln w="25400">
          <a:noFill/>
        </a:ln>
      </c:spPr>
    </c:plotArea>
    <c:legend>
      <c:legendPos val="b"/>
      <c:overlay val="0"/>
      <c:spPr>
        <a:noFill/>
        <a:ln w="25400">
          <a:noFill/>
        </a:ln>
      </c:spPr>
    </c:legend>
    <c:plotVisOnly val="1"/>
    <c:dispBlanksAs val="gap"/>
    <c:showDLblsOverMax val="0"/>
  </c:chart>
  <c:spPr>
    <a:noFill/>
    <a:ln w="25400">
      <a:noFill/>
    </a:ln>
    <a:effectLst/>
  </c:spPr>
  <c:txPr>
    <a:bodyPr/>
    <a:lstStyle/>
    <a:p>
      <a:pPr>
        <a:defRPr sz="1000" b="0" i="0" u="none" strike="noStrike" baseline="0">
          <a:solidFill>
            <a:srgbClr val="595959"/>
          </a:solidFill>
          <a:latin typeface="Arial Narrow"/>
          <a:ea typeface="Arial Narrow"/>
          <a:cs typeface="Arial Narrow"/>
        </a:defRPr>
      </a:pPr>
      <a:endParaRPr lang="en-US"/>
    </a:p>
  </c:txPr>
  <c:printSettings>
    <c:headerFooter alignWithMargins="0"/>
    <c:pageMargins b="1" l="0.75000000000000111" r="0.75000000000000111" t="1" header="0.5" footer="0.5"/>
    <c:pageSetup orientation="landscape"/>
  </c:printSettings>
</c:chartSpace>
</file>

<file path=xl/charts/chart1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9527852678709282"/>
          <c:y val="0.10937500000000012"/>
          <c:w val="0.48899635827117416"/>
          <c:h val="0.7346334907220412"/>
        </c:manualLayout>
      </c:layout>
      <c:radarChart>
        <c:radarStyle val="marker"/>
        <c:varyColors val="0"/>
        <c:ser>
          <c:idx val="0"/>
          <c:order val="0"/>
          <c:tx>
            <c:strRef>
              <c:f>'AGG ASIA INCUMB'!$W$23</c:f>
              <c:strCache>
                <c:ptCount val="1"/>
                <c:pt idx="0">
                  <c:v>Asia incumbents</c:v>
                </c:pt>
              </c:strCache>
            </c:strRef>
          </c:tx>
          <c:spPr>
            <a:ln w="25400">
              <a:solidFill>
                <a:srgbClr val="263238"/>
              </a:solidFill>
              <a:prstDash val="solid"/>
            </a:ln>
            <a:effectLst/>
          </c:spPr>
          <c:marker>
            <c:symbol val="diamond"/>
            <c:size val="6"/>
            <c:spPr>
              <a:solidFill>
                <a:srgbClr val="263238"/>
              </a:solidFill>
              <a:ln w="6350">
                <a:noFill/>
              </a:ln>
            </c:spPr>
          </c:marker>
          <c:cat>
            <c:strRef>
              <c:f>'AGG ASIA INCUMB'!$V$24:$V$33</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'AGG ASIA INCUMB'!$W$24:$W$33</c:f>
              <c:numCache>
                <c:formatCode>0%</c:formatCode>
                <c:ptCount val="10"/>
                <c:pt idx="0">
                  <c:v>0.82379864883038934</c:v>
                </c:pt>
                <c:pt idx="1">
                  <c:v>0.89681362897509753</c:v>
                </c:pt>
                <c:pt idx="2">
                  <c:v>0.86545131588585733</c:v>
                </c:pt>
                <c:pt idx="3">
                  <c:v>0.86089708430946676</c:v>
                </c:pt>
                <c:pt idx="4">
                  <c:v>0.75469743161657865</c:v>
                </c:pt>
                <c:pt idx="5">
                  <c:v>0.81167747759321518</c:v>
                </c:pt>
                <c:pt idx="6">
                  <c:v>0.99702357427315824</c:v>
                </c:pt>
                <c:pt idx="7">
                  <c:v>0.69831264047421004</c:v>
                </c:pt>
                <c:pt idx="8">
                  <c:v>0.71285405962461512</c:v>
                </c:pt>
                <c:pt idx="9">
                  <c:v>0.99702357427315824</c:v>
                </c:pt>
              </c:numCache>
            </c:numRef>
          </c:val>
          <c:extLst>
            <c:ext xmlns:c16="http://schemas.microsoft.com/office/drawing/2014/chart" uri="{C3380CC4-5D6E-409C-BE32-E72D297353CC}">
              <c16:uniqueId val="{00000000-17BA-448F-AD3F-ACFAD2C46594}"/>
            </c:ext>
          </c:extLst>
        </c:ser>
        <c:ser>
          <c:idx val="1"/>
          <c:order val="1"/>
          <c:tx>
            <c:strRef>
              <c:f>'AGG ASIA INCUMB'!$X$23</c:f>
              <c:strCache>
                <c:ptCount val="1"/>
                <c:pt idx="0">
                  <c:v>EM incumbents</c:v>
                </c:pt>
              </c:strCache>
            </c:strRef>
          </c:tx>
          <c:spPr>
            <a:ln w="25400">
              <a:solidFill>
                <a:srgbClr val="799098"/>
              </a:solidFill>
              <a:prstDash val="solid"/>
            </a:ln>
            <a:effectLst/>
          </c:spPr>
          <c:marker>
            <c:symbol val="diamond"/>
            <c:size val="6"/>
            <c:spPr>
              <a:solidFill>
                <a:srgbClr val="799098"/>
              </a:solidFill>
              <a:ln w="6350">
                <a:noFill/>
              </a:ln>
            </c:spPr>
          </c:marker>
          <c:cat>
            <c:strRef>
              <c:f>'AGG ASIA INCUMB'!$V$24:$V$33</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'AGG ASIA INCUMB'!$X$24:$X$33</c:f>
              <c:numCache>
                <c:formatCode>0%</c:formatCode>
                <c:ptCount val="10"/>
                <c:pt idx="0">
                  <c:v>1</c:v>
                </c:pt>
                <c:pt idx="1">
                  <c:v>1</c:v>
                </c:pt>
                <c:pt idx="2">
                  <c:v>1</c:v>
                </c:pt>
                <c:pt idx="3">
                  <c:v>1</c:v>
                </c:pt>
                <c:pt idx="4">
                  <c:v>1</c:v>
                </c:pt>
                <c:pt idx="5">
                  <c:v>1</c:v>
                </c:pt>
                <c:pt idx="6">
                  <c:v>1</c:v>
                </c:pt>
                <c:pt idx="7">
                  <c:v>1</c:v>
                </c:pt>
                <c:pt idx="8">
                  <c:v>1</c:v>
                </c:pt>
                <c:pt idx="9">
                  <c:v>1</c:v>
                </c:pt>
              </c:numCache>
            </c:numRef>
          </c:val>
          <c:extLst>
            <c:ext xmlns:c16="http://schemas.microsoft.com/office/drawing/2014/chart" uri="{C3380CC4-5D6E-409C-BE32-E72D297353CC}">
              <c16:uniqueId val="{00000001-17BA-448F-AD3F-ACFAD2C46594}"/>
            </c:ext>
          </c:extLst>
        </c:ser>
        <c:dLbls>
          <c:showLegendKey val="0"/>
          <c:showVal val="0"/>
          <c:showCatName val="0"/>
          <c:showSerName val="0"/>
          <c:showPercent val="0"/>
          <c:showBubbleSize val="0"/>
        </c:dLbls>
        <c:axId val="357835136"/>
        <c:axId val="357837056"/>
      </c:radarChart>
      <c:catAx>
        <c:axId val="357835136"/>
        <c:scaling>
          <c:orientation val="minMax"/>
        </c:scaling>
        <c:delete val="0"/>
        <c:axPos val="b"/>
        <c:numFmt formatCode="General" sourceLinked="1"/>
        <c:majorTickMark val="out"/>
        <c:minorTickMark val="none"/>
        <c:tickLblPos val="nextTo"/>
        <c:spPr>
          <a:ln>
            <a:solidFill>
              <a:srgbClr val="B3B3B3"/>
            </a:solidFill>
          </a:ln>
        </c:spPr>
        <c:txPr>
          <a:bodyPr rot="0" vert="horz"/>
          <a:lstStyle/>
          <a:p>
            <a:pPr>
              <a:defRPr/>
            </a:pPr>
            <a:endParaRPr lang="en-US"/>
          </a:p>
        </c:txPr>
        <c:crossAx val="357837056"/>
        <c:crosses val="autoZero"/>
        <c:auto val="0"/>
        <c:lblAlgn val="ctr"/>
        <c:lblOffset val="100"/>
        <c:noMultiLvlLbl val="0"/>
      </c:catAx>
      <c:valAx>
        <c:axId val="357837056"/>
        <c:scaling>
          <c:orientation val="minMax"/>
        </c:scaling>
        <c:delete val="0"/>
        <c:axPos val="l"/>
        <c:numFmt formatCode="0%" sourceLinked="1"/>
        <c:majorTickMark val="cross"/>
        <c:minorTickMark val="none"/>
        <c:tickLblPos val="nextTo"/>
        <c:spPr>
          <a:ln w="3175">
            <a:solidFill>
              <a:srgbClr val="B3B3B3"/>
            </a:solidFill>
            <a:prstDash val="solid"/>
          </a:ln>
        </c:spPr>
        <c:txPr>
          <a:bodyPr rot="0" vert="horz"/>
          <a:lstStyle/>
          <a:p>
            <a:pPr>
              <a:defRPr/>
            </a:pPr>
            <a:endParaRPr lang="en-US"/>
          </a:p>
        </c:txPr>
        <c:crossAx val="357835136"/>
        <c:crosses val="autoZero"/>
        <c:crossBetween val="between"/>
      </c:valAx>
      <c:spPr>
        <a:noFill/>
        <a:ln w="25400">
          <a:noFill/>
        </a:ln>
      </c:spPr>
    </c:plotArea>
    <c:legend>
      <c:legendPos val="b"/>
      <c:overlay val="0"/>
      <c:spPr>
        <a:noFill/>
        <a:ln w="25400">
          <a:noFill/>
        </a:ln>
      </c:spPr>
    </c:legend>
    <c:plotVisOnly val="1"/>
    <c:dispBlanksAs val="gap"/>
    <c:showDLblsOverMax val="0"/>
  </c:chart>
  <c:spPr>
    <a:noFill/>
    <a:ln w="25400">
      <a:noFill/>
    </a:ln>
    <a:effectLst/>
  </c:spPr>
  <c:txPr>
    <a:bodyPr/>
    <a:lstStyle/>
    <a:p>
      <a:pPr>
        <a:defRPr sz="1000" b="0" i="0" u="none" strike="noStrike" baseline="0">
          <a:solidFill>
            <a:srgbClr val="595959"/>
          </a:solidFill>
          <a:latin typeface="Arial Narrow"/>
          <a:ea typeface="Arial Narrow"/>
          <a:cs typeface="Arial Narrow"/>
        </a:defRPr>
      </a:pPr>
      <a:endParaRPr lang="en-US"/>
    </a:p>
  </c:txPr>
  <c:printSettings>
    <c:headerFooter alignWithMargins="0"/>
    <c:pageMargins b="1" l="0.75000000000000111" r="0.75000000000000111" t="1" header="0.5" footer="0.5"/>
    <c:pageSetup orientation="landscape"/>
  </c:printSettings>
</c:chartSpace>
</file>

<file path=xl/charts/chart1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9399726843725038"/>
          <c:y val="9.0625000000000289E-2"/>
          <c:w val="0.48422921707620592"/>
          <c:h val="0.72747167547007274"/>
        </c:manualLayout>
      </c:layout>
      <c:radarChart>
        <c:radarStyle val="marker"/>
        <c:varyColors val="0"/>
        <c:ser>
          <c:idx val="0"/>
          <c:order val="0"/>
          <c:tx>
            <c:strRef>
              <c:f>'AGG ASIA CELLULAR'!$W$23</c:f>
              <c:strCache>
                <c:ptCount val="1"/>
                <c:pt idx="0">
                  <c:v>ASIA cellular</c:v>
                </c:pt>
              </c:strCache>
            </c:strRef>
          </c:tx>
          <c:spPr>
            <a:ln w="25400">
              <a:solidFill>
                <a:srgbClr val="263238"/>
              </a:solidFill>
              <a:prstDash val="solid"/>
            </a:ln>
            <a:effectLst/>
          </c:spPr>
          <c:marker>
            <c:symbol val="diamond"/>
            <c:size val="6"/>
            <c:spPr>
              <a:solidFill>
                <a:srgbClr val="263238"/>
              </a:solidFill>
              <a:ln w="6350">
                <a:noFill/>
              </a:ln>
            </c:spPr>
          </c:marker>
          <c:cat>
            <c:strRef>
              <c:f>'AGG ASIA CELLULAR'!$V$24:$V$33</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 (08)</c:v>
                </c:pt>
              </c:strCache>
            </c:strRef>
          </c:cat>
          <c:val>
            <c:numRef>
              <c:f>'AGG ASIA CELLULAR'!$W$24:$W$33</c:f>
              <c:numCache>
                <c:formatCode>0%</c:formatCode>
                <c:ptCount val="10"/>
                <c:pt idx="0">
                  <c:v>0.88437923080973646</c:v>
                </c:pt>
                <c:pt idx="1">
                  <c:v>1.0047767562668788</c:v>
                </c:pt>
                <c:pt idx="2">
                  <c:v>0.98018081304372018</c:v>
                </c:pt>
                <c:pt idx="3">
                  <c:v>0.98156642419310913</c:v>
                </c:pt>
                <c:pt idx="4">
                  <c:v>0.94690001085329589</c:v>
                </c:pt>
                <c:pt idx="5">
                  <c:v>1.0897842585683084</c:v>
                </c:pt>
                <c:pt idx="6">
                  <c:v>0.76043888035428209</c:v>
                </c:pt>
                <c:pt idx="7">
                  <c:v>0.98218963025356321</c:v>
                </c:pt>
                <c:pt idx="8">
                  <c:v>0.9423437241264101</c:v>
                </c:pt>
                <c:pt idx="9">
                  <c:v>0.79493559707061912</c:v>
                </c:pt>
              </c:numCache>
            </c:numRef>
          </c:val>
          <c:extLst>
            <c:ext xmlns:c16="http://schemas.microsoft.com/office/drawing/2014/chart" uri="{C3380CC4-5D6E-409C-BE32-E72D297353CC}">
              <c16:uniqueId val="{00000000-5C27-441B-A309-09DFD0DA1126}"/>
            </c:ext>
          </c:extLst>
        </c:ser>
        <c:ser>
          <c:idx val="1"/>
          <c:order val="1"/>
          <c:tx>
            <c:strRef>
              <c:f>'AGG ASIA CELLULAR'!$X$23</c:f>
              <c:strCache>
                <c:ptCount val="1"/>
                <c:pt idx="0">
                  <c:v>EM cellular</c:v>
                </c:pt>
              </c:strCache>
            </c:strRef>
          </c:tx>
          <c:spPr>
            <a:ln w="25400">
              <a:solidFill>
                <a:srgbClr val="799098"/>
              </a:solidFill>
              <a:prstDash val="solid"/>
            </a:ln>
            <a:effectLst/>
          </c:spPr>
          <c:marker>
            <c:symbol val="diamond"/>
            <c:size val="6"/>
            <c:spPr>
              <a:solidFill>
                <a:srgbClr val="799098"/>
              </a:solidFill>
              <a:ln w="6350">
                <a:noFill/>
              </a:ln>
            </c:spPr>
          </c:marker>
          <c:cat>
            <c:strRef>
              <c:f>'AGG ASIA CELLULAR'!$V$24:$V$33</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 (08)</c:v>
                </c:pt>
              </c:strCache>
            </c:strRef>
          </c:cat>
          <c:val>
            <c:numRef>
              <c:f>'AGG ASIA CELLULAR'!$X$24:$X$33</c:f>
              <c:numCache>
                <c:formatCode>0%</c:formatCode>
                <c:ptCount val="10"/>
                <c:pt idx="0">
                  <c:v>1</c:v>
                </c:pt>
                <c:pt idx="1">
                  <c:v>1</c:v>
                </c:pt>
                <c:pt idx="2">
                  <c:v>1</c:v>
                </c:pt>
                <c:pt idx="3">
                  <c:v>1</c:v>
                </c:pt>
                <c:pt idx="4">
                  <c:v>1</c:v>
                </c:pt>
                <c:pt idx="5">
                  <c:v>1</c:v>
                </c:pt>
                <c:pt idx="6">
                  <c:v>1</c:v>
                </c:pt>
                <c:pt idx="7">
                  <c:v>1</c:v>
                </c:pt>
                <c:pt idx="8">
                  <c:v>1</c:v>
                </c:pt>
                <c:pt idx="9">
                  <c:v>1</c:v>
                </c:pt>
              </c:numCache>
            </c:numRef>
          </c:val>
          <c:extLst>
            <c:ext xmlns:c16="http://schemas.microsoft.com/office/drawing/2014/chart" uri="{C3380CC4-5D6E-409C-BE32-E72D297353CC}">
              <c16:uniqueId val="{00000001-5C27-441B-A309-09DFD0DA1126}"/>
            </c:ext>
          </c:extLst>
        </c:ser>
        <c:dLbls>
          <c:showLegendKey val="0"/>
          <c:showVal val="0"/>
          <c:showCatName val="0"/>
          <c:showSerName val="0"/>
          <c:showPercent val="0"/>
          <c:showBubbleSize val="0"/>
        </c:dLbls>
        <c:axId val="357916672"/>
        <c:axId val="357918592"/>
      </c:radarChart>
      <c:catAx>
        <c:axId val="357916672"/>
        <c:scaling>
          <c:orientation val="minMax"/>
        </c:scaling>
        <c:delete val="0"/>
        <c:axPos val="b"/>
        <c:numFmt formatCode="General" sourceLinked="1"/>
        <c:majorTickMark val="out"/>
        <c:minorTickMark val="none"/>
        <c:tickLblPos val="nextTo"/>
        <c:spPr>
          <a:ln>
            <a:solidFill>
              <a:srgbClr val="B3B3B3"/>
            </a:solidFill>
          </a:ln>
        </c:spPr>
        <c:txPr>
          <a:bodyPr rot="0" vert="horz"/>
          <a:lstStyle/>
          <a:p>
            <a:pPr>
              <a:defRPr/>
            </a:pPr>
            <a:endParaRPr lang="en-US"/>
          </a:p>
        </c:txPr>
        <c:crossAx val="357918592"/>
        <c:crosses val="autoZero"/>
        <c:auto val="0"/>
        <c:lblAlgn val="ctr"/>
        <c:lblOffset val="100"/>
        <c:noMultiLvlLbl val="0"/>
      </c:catAx>
      <c:valAx>
        <c:axId val="357918592"/>
        <c:scaling>
          <c:orientation val="minMax"/>
        </c:scaling>
        <c:delete val="0"/>
        <c:axPos val="l"/>
        <c:numFmt formatCode="0%" sourceLinked="1"/>
        <c:majorTickMark val="cross"/>
        <c:minorTickMark val="none"/>
        <c:tickLblPos val="nextTo"/>
        <c:spPr>
          <a:ln w="3175">
            <a:solidFill>
              <a:srgbClr val="B3B3B3"/>
            </a:solidFill>
            <a:prstDash val="solid"/>
          </a:ln>
        </c:spPr>
        <c:txPr>
          <a:bodyPr rot="0" vert="horz"/>
          <a:lstStyle/>
          <a:p>
            <a:pPr>
              <a:defRPr/>
            </a:pPr>
            <a:endParaRPr lang="en-US"/>
          </a:p>
        </c:txPr>
        <c:crossAx val="357916672"/>
        <c:crosses val="autoZero"/>
        <c:crossBetween val="between"/>
      </c:valAx>
      <c:spPr>
        <a:noFill/>
        <a:ln w="25400">
          <a:noFill/>
        </a:ln>
      </c:spPr>
    </c:plotArea>
    <c:legend>
      <c:legendPos val="b"/>
      <c:overlay val="0"/>
      <c:spPr>
        <a:noFill/>
        <a:ln w="25400">
          <a:noFill/>
        </a:ln>
      </c:spPr>
    </c:legend>
    <c:plotVisOnly val="1"/>
    <c:dispBlanksAs val="gap"/>
    <c:showDLblsOverMax val="0"/>
  </c:chart>
  <c:spPr>
    <a:noFill/>
    <a:ln w="25400">
      <a:noFill/>
    </a:ln>
    <a:effectLst/>
  </c:spPr>
  <c:txPr>
    <a:bodyPr/>
    <a:lstStyle/>
    <a:p>
      <a:pPr>
        <a:defRPr sz="1000" b="0" i="0" u="none" strike="noStrike" baseline="0">
          <a:solidFill>
            <a:srgbClr val="595959"/>
          </a:solidFill>
          <a:latin typeface="Arial Narrow"/>
          <a:ea typeface="Arial Narrow"/>
          <a:cs typeface="Arial Narrow"/>
        </a:defRPr>
      </a:pPr>
      <a:endParaRPr lang="en-US"/>
    </a:p>
  </c:txPr>
  <c:printSettings>
    <c:headerFooter alignWithMargins="0"/>
    <c:pageMargins b="1" l="0.75000000000000111" r="0.75000000000000111" t="1" header="0.5" footer="0.5"/>
    <c:pageSetup orientation="landscape"/>
  </c:printSettings>
</c:chartSpace>
</file>

<file path=xl/charts/chart1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0471849255207434"/>
          <c:y val="8.1250000000000003E-2"/>
          <c:w val="0.46055340226466407"/>
          <c:h val="0.69190280836810791"/>
        </c:manualLayout>
      </c:layout>
      <c:radarChart>
        <c:radarStyle val="marker"/>
        <c:varyColors val="0"/>
        <c:ser>
          <c:idx val="0"/>
          <c:order val="0"/>
          <c:tx>
            <c:strRef>
              <c:f>'AGG ASIA'!$W$23</c:f>
              <c:strCache>
                <c:ptCount val="1"/>
                <c:pt idx="0">
                  <c:v>Asia sector</c:v>
                </c:pt>
              </c:strCache>
            </c:strRef>
          </c:tx>
          <c:spPr>
            <a:ln w="25400">
              <a:solidFill>
                <a:srgbClr val="263238"/>
              </a:solidFill>
              <a:prstDash val="solid"/>
            </a:ln>
            <a:effectLst/>
          </c:spPr>
          <c:marker>
            <c:symbol val="diamond"/>
            <c:size val="6"/>
            <c:spPr>
              <a:solidFill>
                <a:srgbClr val="263238"/>
              </a:solidFill>
              <a:ln w="6350">
                <a:noFill/>
              </a:ln>
            </c:spPr>
          </c:marker>
          <c:cat>
            <c:strRef>
              <c:f>'AGG ASIA'!$V$24:$V$33</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'AGG ASIA'!$W$24:$W$33</c:f>
              <c:numCache>
                <c:formatCode>0%</c:formatCode>
                <c:ptCount val="10"/>
                <c:pt idx="0">
                  <c:v>0.85079587421130898</c:v>
                </c:pt>
                <c:pt idx="1">
                  <c:v>0.95284972796328382</c:v>
                </c:pt>
                <c:pt idx="2">
                  <c:v>0.92667540805685622</c:v>
                </c:pt>
                <c:pt idx="3">
                  <c:v>0.92576038199192745</c:v>
                </c:pt>
                <c:pt idx="4">
                  <c:v>0.86204129806327634</c:v>
                </c:pt>
                <c:pt idx="5">
                  <c:v>0.9446200114434069</c:v>
                </c:pt>
                <c:pt idx="6">
                  <c:v>0.82389637533754045</c:v>
                </c:pt>
                <c:pt idx="7">
                  <c:v>0.85179457193326968</c:v>
                </c:pt>
                <c:pt idx="8">
                  <c:v>0.83579363897670145</c:v>
                </c:pt>
                <c:pt idx="9">
                  <c:v>0.82389637533754045</c:v>
                </c:pt>
              </c:numCache>
            </c:numRef>
          </c:val>
          <c:extLst>
            <c:ext xmlns:c16="http://schemas.microsoft.com/office/drawing/2014/chart" uri="{C3380CC4-5D6E-409C-BE32-E72D297353CC}">
              <c16:uniqueId val="{00000000-B610-4339-A4A6-278FC9F82A99}"/>
            </c:ext>
          </c:extLst>
        </c:ser>
        <c:ser>
          <c:idx val="1"/>
          <c:order val="1"/>
          <c:tx>
            <c:strRef>
              <c:f>'AGG ASIA'!$X$23</c:f>
              <c:strCache>
                <c:ptCount val="1"/>
                <c:pt idx="0">
                  <c:v>EM sector</c:v>
                </c:pt>
              </c:strCache>
            </c:strRef>
          </c:tx>
          <c:spPr>
            <a:ln w="25400">
              <a:solidFill>
                <a:srgbClr val="799098"/>
              </a:solidFill>
              <a:prstDash val="solid"/>
            </a:ln>
            <a:effectLst/>
          </c:spPr>
          <c:marker>
            <c:symbol val="diamond"/>
            <c:size val="6"/>
            <c:spPr>
              <a:solidFill>
                <a:srgbClr val="799098"/>
              </a:solidFill>
              <a:ln w="6350">
                <a:noFill/>
              </a:ln>
            </c:spPr>
          </c:marker>
          <c:cat>
            <c:strRef>
              <c:f>'AGG ASIA'!$V$24:$V$33</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'AGG ASIA'!$X$24:$X$33</c:f>
              <c:numCache>
                <c:formatCode>0%</c:formatCode>
                <c:ptCount val="10"/>
                <c:pt idx="0">
                  <c:v>1</c:v>
                </c:pt>
                <c:pt idx="1">
                  <c:v>1</c:v>
                </c:pt>
                <c:pt idx="2">
                  <c:v>1</c:v>
                </c:pt>
                <c:pt idx="3">
                  <c:v>1</c:v>
                </c:pt>
                <c:pt idx="4">
                  <c:v>1</c:v>
                </c:pt>
                <c:pt idx="5">
                  <c:v>1</c:v>
                </c:pt>
                <c:pt idx="6">
                  <c:v>1</c:v>
                </c:pt>
                <c:pt idx="7">
                  <c:v>1</c:v>
                </c:pt>
                <c:pt idx="8">
                  <c:v>1</c:v>
                </c:pt>
                <c:pt idx="9">
                  <c:v>1</c:v>
                </c:pt>
              </c:numCache>
            </c:numRef>
          </c:val>
          <c:extLst>
            <c:ext xmlns:c16="http://schemas.microsoft.com/office/drawing/2014/chart" uri="{C3380CC4-5D6E-409C-BE32-E72D297353CC}">
              <c16:uniqueId val="{00000001-B610-4339-A4A6-278FC9F82A99}"/>
            </c:ext>
          </c:extLst>
        </c:ser>
        <c:dLbls>
          <c:showLegendKey val="0"/>
          <c:showVal val="0"/>
          <c:showCatName val="0"/>
          <c:showSerName val="0"/>
          <c:showPercent val="0"/>
          <c:showBubbleSize val="0"/>
        </c:dLbls>
        <c:axId val="358558720"/>
        <c:axId val="358560896"/>
      </c:radarChart>
      <c:catAx>
        <c:axId val="358558720"/>
        <c:scaling>
          <c:orientation val="minMax"/>
        </c:scaling>
        <c:delete val="0"/>
        <c:axPos val="b"/>
        <c:numFmt formatCode="General" sourceLinked="1"/>
        <c:majorTickMark val="out"/>
        <c:minorTickMark val="none"/>
        <c:tickLblPos val="nextTo"/>
        <c:spPr>
          <a:ln>
            <a:solidFill>
              <a:srgbClr val="B3B3B3"/>
            </a:solidFill>
          </a:ln>
        </c:spPr>
        <c:txPr>
          <a:bodyPr rot="0" vert="horz"/>
          <a:lstStyle/>
          <a:p>
            <a:pPr>
              <a:defRPr/>
            </a:pPr>
            <a:endParaRPr lang="en-US"/>
          </a:p>
        </c:txPr>
        <c:crossAx val="358560896"/>
        <c:crosses val="autoZero"/>
        <c:auto val="0"/>
        <c:lblAlgn val="ctr"/>
        <c:lblOffset val="100"/>
        <c:noMultiLvlLbl val="0"/>
      </c:catAx>
      <c:valAx>
        <c:axId val="358560896"/>
        <c:scaling>
          <c:orientation val="minMax"/>
          <c:max val="1.5"/>
          <c:min val="0"/>
        </c:scaling>
        <c:delete val="0"/>
        <c:axPos val="l"/>
        <c:numFmt formatCode="0%" sourceLinked="1"/>
        <c:majorTickMark val="cross"/>
        <c:minorTickMark val="none"/>
        <c:tickLblPos val="nextTo"/>
        <c:spPr>
          <a:ln w="3175">
            <a:solidFill>
              <a:srgbClr val="B3B3B3"/>
            </a:solidFill>
            <a:prstDash val="solid"/>
          </a:ln>
        </c:spPr>
        <c:txPr>
          <a:bodyPr rot="0" vert="horz"/>
          <a:lstStyle/>
          <a:p>
            <a:pPr>
              <a:defRPr/>
            </a:pPr>
            <a:endParaRPr lang="en-US"/>
          </a:p>
        </c:txPr>
        <c:crossAx val="358558720"/>
        <c:crosses val="autoZero"/>
        <c:crossBetween val="between"/>
        <c:majorUnit val="0.5"/>
        <c:minorUnit val="0.5"/>
      </c:valAx>
      <c:spPr>
        <a:noFill/>
        <a:ln w="25400">
          <a:noFill/>
        </a:ln>
      </c:spPr>
    </c:plotArea>
    <c:legend>
      <c:legendPos val="b"/>
      <c:overlay val="0"/>
      <c:spPr>
        <a:noFill/>
        <a:ln w="25400">
          <a:noFill/>
        </a:ln>
      </c:spPr>
    </c:legend>
    <c:plotVisOnly val="1"/>
    <c:dispBlanksAs val="gap"/>
    <c:showDLblsOverMax val="0"/>
  </c:chart>
  <c:spPr>
    <a:noFill/>
    <a:ln w="25400">
      <a:noFill/>
    </a:ln>
    <a:effectLst/>
  </c:spPr>
  <c:txPr>
    <a:bodyPr/>
    <a:lstStyle/>
    <a:p>
      <a:pPr>
        <a:defRPr sz="1000" b="0" i="0" u="none" strike="noStrike" baseline="0">
          <a:solidFill>
            <a:srgbClr val="595959"/>
          </a:solidFill>
          <a:latin typeface="Arial Narrow"/>
          <a:ea typeface="Arial Narrow"/>
          <a:cs typeface="Arial Narrow"/>
        </a:defRPr>
      </a:pPr>
      <a:endParaRPr lang="en-US"/>
    </a:p>
  </c:txPr>
  <c:printSettings>
    <c:headerFooter alignWithMargins="0"/>
    <c:pageMargins b="1" l="0.75000000000000111" r="0.75000000000000111" t="1" header="0.5" footer="0.5"/>
    <c:pageSetup orientation="landscape"/>
  </c:printSettings>
</c:chartSpace>
</file>

<file path=xl/charts/chart1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0260818468174538"/>
          <c:y val="0.11874999999999998"/>
          <c:w val="0.48973130407105026"/>
          <c:h val="0.73573762123205866"/>
        </c:manualLayout>
      </c:layout>
      <c:radarChart>
        <c:radarStyle val="marker"/>
        <c:varyColors val="0"/>
        <c:ser>
          <c:idx val="0"/>
          <c:order val="0"/>
          <c:tx>
            <c:strRef>
              <c:f>'AGG DM INCUMB'!$W$23</c:f>
              <c:strCache>
                <c:ptCount val="1"/>
                <c:pt idx="0">
                  <c:v>DM sector</c:v>
                </c:pt>
              </c:strCache>
            </c:strRef>
          </c:tx>
          <c:spPr>
            <a:ln w="25400">
              <a:solidFill>
                <a:srgbClr val="263238"/>
              </a:solidFill>
              <a:prstDash val="solid"/>
            </a:ln>
            <a:effectLst/>
          </c:spPr>
          <c:marker>
            <c:symbol val="diamond"/>
            <c:size val="6"/>
            <c:spPr>
              <a:solidFill>
                <a:srgbClr val="263238"/>
              </a:solidFill>
              <a:ln w="6350">
                <a:noFill/>
              </a:ln>
            </c:spPr>
          </c:marker>
          <c:cat>
            <c:strRef>
              <c:f>'AGG DM INCUMB'!$V$24:$V$33</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'AGG DM INCUMB'!$W$24:$W$33</c:f>
              <c:numCache>
                <c:formatCode>_(* #,##0.00_);_(* \(#,##0.00\);_(* "-"??_);_(@_)</c:formatCode>
                <c:ptCount val="10"/>
                <c:pt idx="0">
                  <c:v>0.97426441651781959</c:v>
                </c:pt>
                <c:pt idx="1">
                  <c:v>0.95340008669178689</c:v>
                </c:pt>
                <c:pt idx="2">
                  <c:v>0.95398445375864249</c:v>
                </c:pt>
                <c:pt idx="3">
                  <c:v>0.96441606010732828</c:v>
                </c:pt>
                <c:pt idx="4">
                  <c:v>1.0391948328251774</c:v>
                </c:pt>
                <c:pt idx="5">
                  <c:v>0.94047162316539124</c:v>
                </c:pt>
                <c:pt idx="6">
                  <c:v>1.2449033708461918</c:v>
                </c:pt>
                <c:pt idx="7">
                  <c:v>0.92131249343002353</c:v>
                </c:pt>
                <c:pt idx="8" formatCode="0%">
                  <c:v>0.92775240711612617</c:v>
                </c:pt>
                <c:pt idx="9" formatCode="0%">
                  <c:v>1.2449033708461918</c:v>
                </c:pt>
              </c:numCache>
            </c:numRef>
          </c:val>
          <c:extLst>
            <c:ext xmlns:c16="http://schemas.microsoft.com/office/drawing/2014/chart" uri="{C3380CC4-5D6E-409C-BE32-E72D297353CC}">
              <c16:uniqueId val="{00000000-EA9A-422B-B570-6E09230B3BB9}"/>
            </c:ext>
          </c:extLst>
        </c:ser>
        <c:ser>
          <c:idx val="1"/>
          <c:order val="1"/>
          <c:tx>
            <c:strRef>
              <c:f>'AGG DM INCUMB'!$X$23</c:f>
              <c:strCache>
                <c:ptCount val="1"/>
                <c:pt idx="0">
                  <c:v>DM Incumbent sector</c:v>
                </c:pt>
              </c:strCache>
            </c:strRef>
          </c:tx>
          <c:spPr>
            <a:ln w="25400">
              <a:solidFill>
                <a:srgbClr val="799098"/>
              </a:solidFill>
              <a:prstDash val="solid"/>
            </a:ln>
            <a:effectLst/>
          </c:spPr>
          <c:marker>
            <c:symbol val="diamond"/>
            <c:size val="6"/>
            <c:spPr>
              <a:solidFill>
                <a:srgbClr val="799098"/>
              </a:solidFill>
              <a:ln w="6350">
                <a:noFill/>
              </a:ln>
            </c:spPr>
          </c:marker>
          <c:cat>
            <c:strRef>
              <c:f>'AGG DM INCUMB'!$V$24:$V$33</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'AGG DM INCUMB'!$X$24:$X$33</c:f>
              <c:numCache>
                <c:formatCode>0%</c:formatCode>
                <c:ptCount val="10"/>
                <c:pt idx="0">
                  <c:v>1</c:v>
                </c:pt>
                <c:pt idx="1">
                  <c:v>1</c:v>
                </c:pt>
                <c:pt idx="2">
                  <c:v>1</c:v>
                </c:pt>
                <c:pt idx="3">
                  <c:v>1</c:v>
                </c:pt>
                <c:pt idx="4">
                  <c:v>1</c:v>
                </c:pt>
                <c:pt idx="5">
                  <c:v>1</c:v>
                </c:pt>
                <c:pt idx="6">
                  <c:v>1</c:v>
                </c:pt>
                <c:pt idx="7">
                  <c:v>1</c:v>
                </c:pt>
                <c:pt idx="8">
                  <c:v>1</c:v>
                </c:pt>
                <c:pt idx="9">
                  <c:v>1</c:v>
                </c:pt>
              </c:numCache>
            </c:numRef>
          </c:val>
          <c:extLst>
            <c:ext xmlns:c16="http://schemas.microsoft.com/office/drawing/2014/chart" uri="{C3380CC4-5D6E-409C-BE32-E72D297353CC}">
              <c16:uniqueId val="{00000001-EA9A-422B-B570-6E09230B3BB9}"/>
            </c:ext>
          </c:extLst>
        </c:ser>
        <c:dLbls>
          <c:showLegendKey val="0"/>
          <c:showVal val="0"/>
          <c:showCatName val="0"/>
          <c:showSerName val="0"/>
          <c:showPercent val="0"/>
          <c:showBubbleSize val="0"/>
        </c:dLbls>
        <c:axId val="358800000"/>
        <c:axId val="358945536"/>
      </c:radarChart>
      <c:catAx>
        <c:axId val="358800000"/>
        <c:scaling>
          <c:orientation val="minMax"/>
        </c:scaling>
        <c:delete val="0"/>
        <c:axPos val="b"/>
        <c:numFmt formatCode="General" sourceLinked="1"/>
        <c:majorTickMark val="out"/>
        <c:minorTickMark val="none"/>
        <c:tickLblPos val="nextTo"/>
        <c:spPr>
          <a:ln>
            <a:solidFill>
              <a:srgbClr val="B3B3B3"/>
            </a:solidFill>
          </a:ln>
        </c:spPr>
        <c:txPr>
          <a:bodyPr rot="0" vert="horz"/>
          <a:lstStyle/>
          <a:p>
            <a:pPr>
              <a:defRPr/>
            </a:pPr>
            <a:endParaRPr lang="en-US"/>
          </a:p>
        </c:txPr>
        <c:crossAx val="358945536"/>
        <c:crosses val="autoZero"/>
        <c:auto val="0"/>
        <c:lblAlgn val="ctr"/>
        <c:lblOffset val="100"/>
        <c:noMultiLvlLbl val="0"/>
      </c:catAx>
      <c:valAx>
        <c:axId val="358945536"/>
        <c:scaling>
          <c:orientation val="minMax"/>
        </c:scaling>
        <c:delete val="0"/>
        <c:axPos val="l"/>
        <c:numFmt formatCode="0%" sourceLinked="0"/>
        <c:majorTickMark val="cross"/>
        <c:minorTickMark val="none"/>
        <c:tickLblPos val="nextTo"/>
        <c:spPr>
          <a:ln w="3175">
            <a:solidFill>
              <a:srgbClr val="B3B3B3"/>
            </a:solidFill>
            <a:prstDash val="solid"/>
          </a:ln>
        </c:spPr>
        <c:txPr>
          <a:bodyPr rot="0" vert="horz"/>
          <a:lstStyle/>
          <a:p>
            <a:pPr>
              <a:defRPr/>
            </a:pPr>
            <a:endParaRPr lang="en-US"/>
          </a:p>
        </c:txPr>
        <c:crossAx val="358800000"/>
        <c:crosses val="autoZero"/>
        <c:crossBetween val="between"/>
      </c:valAx>
      <c:spPr>
        <a:noFill/>
        <a:ln w="25400">
          <a:noFill/>
        </a:ln>
      </c:spPr>
    </c:plotArea>
    <c:legend>
      <c:legendPos val="b"/>
      <c:overlay val="0"/>
      <c:spPr>
        <a:noFill/>
        <a:ln w="25400">
          <a:noFill/>
        </a:ln>
      </c:spPr>
    </c:legend>
    <c:plotVisOnly val="1"/>
    <c:dispBlanksAs val="gap"/>
    <c:showDLblsOverMax val="0"/>
  </c:chart>
  <c:spPr>
    <a:noFill/>
    <a:ln w="25400">
      <a:noFill/>
    </a:ln>
    <a:effectLst/>
  </c:spPr>
  <c:txPr>
    <a:bodyPr/>
    <a:lstStyle/>
    <a:p>
      <a:pPr>
        <a:defRPr sz="1000" b="0" i="0" u="none" strike="noStrike" baseline="0">
          <a:solidFill>
            <a:srgbClr val="595959"/>
          </a:solidFill>
          <a:latin typeface="Arial Narrow"/>
          <a:ea typeface="Arial Narrow"/>
          <a:cs typeface="Arial Narrow"/>
        </a:defRPr>
      </a:pPr>
      <a:endParaRPr lang="en-US"/>
    </a:p>
  </c:txPr>
  <c:printSettings>
    <c:headerFooter alignWithMargins="0"/>
    <c:pageMargins b="1" l="0.75000000000000111" r="0.75000000000000111" t="1" header="0.5" footer="0.5"/>
    <c:pageSetup orientation="landscape"/>
  </c:printSettings>
</c:chartSpace>
</file>

<file path=xl/charts/chart1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0260818468174538"/>
          <c:y val="0.11874999999999998"/>
          <c:w val="0.48973130407105026"/>
          <c:h val="0.73573762123205866"/>
        </c:manualLayout>
      </c:layout>
      <c:radarChart>
        <c:radarStyle val="marker"/>
        <c:varyColors val="0"/>
        <c:ser>
          <c:idx val="0"/>
          <c:order val="0"/>
          <c:tx>
            <c:strRef>
              <c:f>'AGG DM CELLULAR'!$W$23</c:f>
              <c:strCache>
                <c:ptCount val="1"/>
                <c:pt idx="0">
                  <c:v>DM sector</c:v>
                </c:pt>
              </c:strCache>
            </c:strRef>
          </c:tx>
          <c:spPr>
            <a:ln w="25400">
              <a:solidFill>
                <a:srgbClr val="263238"/>
              </a:solidFill>
              <a:prstDash val="solid"/>
            </a:ln>
            <a:effectLst/>
          </c:spPr>
          <c:marker>
            <c:symbol val="diamond"/>
            <c:size val="6"/>
            <c:spPr>
              <a:solidFill>
                <a:srgbClr val="263238"/>
              </a:solidFill>
              <a:ln w="6350">
                <a:noFill/>
              </a:ln>
            </c:spPr>
          </c:marker>
          <c:cat>
            <c:strRef>
              <c:f>'AGG DM CELLULAR'!$V$24:$V$33</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'AGG DM CELLULAR'!$W$24:$W$33</c:f>
              <c:numCache>
                <c:formatCode>_(* #,##0.00_);_(* \(#,##0.00\);_(* "-"??_);_(@_)</c:formatCode>
                <c:ptCount val="10"/>
                <c:pt idx="0">
                  <c:v>0.71206199542263393</c:v>
                </c:pt>
                <c:pt idx="1">
                  <c:v>0.89774730444811701</c:v>
                </c:pt>
                <c:pt idx="2">
                  <c:v>0.99611242295748403</c:v>
                </c:pt>
                <c:pt idx="3">
                  <c:v>0.96889050540242527</c:v>
                </c:pt>
                <c:pt idx="4">
                  <c:v>0.78806876896473455</c:v>
                </c:pt>
                <c:pt idx="5">
                  <c:v>0.8325679616835493</c:v>
                </c:pt>
                <c:pt idx="6">
                  <c:v>0.89970861656724521</c:v>
                </c:pt>
                <c:pt idx="7">
                  <c:v>1.3012784071986991</c:v>
                </c:pt>
                <c:pt idx="8" formatCode="0%">
                  <c:v>1.0492163550604718</c:v>
                </c:pt>
                <c:pt idx="9" formatCode="0%">
                  <c:v>0.89970861656724521</c:v>
                </c:pt>
              </c:numCache>
            </c:numRef>
          </c:val>
          <c:extLst>
            <c:ext xmlns:c16="http://schemas.microsoft.com/office/drawing/2014/chart" uri="{C3380CC4-5D6E-409C-BE32-E72D297353CC}">
              <c16:uniqueId val="{00000000-D475-484F-B09A-61EACEBFD39E}"/>
            </c:ext>
          </c:extLst>
        </c:ser>
        <c:ser>
          <c:idx val="1"/>
          <c:order val="1"/>
          <c:tx>
            <c:strRef>
              <c:f>'AGG DM CELLULAR'!$X$23</c:f>
              <c:strCache>
                <c:ptCount val="1"/>
                <c:pt idx="0">
                  <c:v>DM Incumbent sector</c:v>
                </c:pt>
              </c:strCache>
            </c:strRef>
          </c:tx>
          <c:spPr>
            <a:ln w="25400">
              <a:solidFill>
                <a:srgbClr val="799098"/>
              </a:solidFill>
              <a:prstDash val="solid"/>
            </a:ln>
            <a:effectLst/>
          </c:spPr>
          <c:marker>
            <c:symbol val="diamond"/>
            <c:size val="6"/>
            <c:spPr>
              <a:solidFill>
                <a:srgbClr val="799098"/>
              </a:solidFill>
              <a:ln w="6350">
                <a:noFill/>
              </a:ln>
            </c:spPr>
          </c:marker>
          <c:cat>
            <c:strRef>
              <c:f>'AGG DM CELLULAR'!$V$24:$V$33</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'AGG DM CELLULAR'!$X$24:$X$33</c:f>
              <c:numCache>
                <c:formatCode>0%</c:formatCode>
                <c:ptCount val="10"/>
                <c:pt idx="0">
                  <c:v>1</c:v>
                </c:pt>
                <c:pt idx="1">
                  <c:v>1</c:v>
                </c:pt>
                <c:pt idx="2">
                  <c:v>1</c:v>
                </c:pt>
                <c:pt idx="3">
                  <c:v>1</c:v>
                </c:pt>
                <c:pt idx="4">
                  <c:v>1</c:v>
                </c:pt>
                <c:pt idx="5">
                  <c:v>1</c:v>
                </c:pt>
                <c:pt idx="6">
                  <c:v>1</c:v>
                </c:pt>
                <c:pt idx="7">
                  <c:v>1</c:v>
                </c:pt>
                <c:pt idx="8">
                  <c:v>1</c:v>
                </c:pt>
                <c:pt idx="9">
                  <c:v>1</c:v>
                </c:pt>
              </c:numCache>
            </c:numRef>
          </c:val>
          <c:extLst>
            <c:ext xmlns:c16="http://schemas.microsoft.com/office/drawing/2014/chart" uri="{C3380CC4-5D6E-409C-BE32-E72D297353CC}">
              <c16:uniqueId val="{00000001-D475-484F-B09A-61EACEBFD39E}"/>
            </c:ext>
          </c:extLst>
        </c:ser>
        <c:dLbls>
          <c:showLegendKey val="0"/>
          <c:showVal val="0"/>
          <c:showCatName val="0"/>
          <c:showSerName val="0"/>
          <c:showPercent val="0"/>
          <c:showBubbleSize val="0"/>
        </c:dLbls>
        <c:axId val="358996224"/>
        <c:axId val="360001920"/>
      </c:radarChart>
      <c:catAx>
        <c:axId val="358996224"/>
        <c:scaling>
          <c:orientation val="minMax"/>
        </c:scaling>
        <c:delete val="0"/>
        <c:axPos val="b"/>
        <c:numFmt formatCode="General" sourceLinked="1"/>
        <c:majorTickMark val="out"/>
        <c:minorTickMark val="none"/>
        <c:tickLblPos val="nextTo"/>
        <c:spPr>
          <a:ln>
            <a:solidFill>
              <a:srgbClr val="B3B3B3"/>
            </a:solidFill>
          </a:ln>
        </c:spPr>
        <c:txPr>
          <a:bodyPr rot="0" vert="horz"/>
          <a:lstStyle/>
          <a:p>
            <a:pPr>
              <a:defRPr/>
            </a:pPr>
            <a:endParaRPr lang="en-US"/>
          </a:p>
        </c:txPr>
        <c:crossAx val="360001920"/>
        <c:crosses val="autoZero"/>
        <c:auto val="0"/>
        <c:lblAlgn val="ctr"/>
        <c:lblOffset val="100"/>
        <c:noMultiLvlLbl val="0"/>
      </c:catAx>
      <c:valAx>
        <c:axId val="360001920"/>
        <c:scaling>
          <c:orientation val="minMax"/>
        </c:scaling>
        <c:delete val="0"/>
        <c:axPos val="l"/>
        <c:numFmt formatCode="0%" sourceLinked="0"/>
        <c:majorTickMark val="cross"/>
        <c:minorTickMark val="none"/>
        <c:tickLblPos val="nextTo"/>
        <c:spPr>
          <a:ln w="3175">
            <a:solidFill>
              <a:srgbClr val="B3B3B3"/>
            </a:solidFill>
            <a:prstDash val="solid"/>
          </a:ln>
        </c:spPr>
        <c:txPr>
          <a:bodyPr rot="0" vert="horz"/>
          <a:lstStyle/>
          <a:p>
            <a:pPr>
              <a:defRPr/>
            </a:pPr>
            <a:endParaRPr lang="en-US"/>
          </a:p>
        </c:txPr>
        <c:crossAx val="358996224"/>
        <c:crosses val="autoZero"/>
        <c:crossBetween val="between"/>
      </c:valAx>
      <c:spPr>
        <a:noFill/>
        <a:ln w="25400">
          <a:noFill/>
        </a:ln>
      </c:spPr>
    </c:plotArea>
    <c:legend>
      <c:legendPos val="b"/>
      <c:overlay val="0"/>
      <c:spPr>
        <a:noFill/>
        <a:ln w="25400">
          <a:noFill/>
        </a:ln>
      </c:spPr>
    </c:legend>
    <c:plotVisOnly val="1"/>
    <c:dispBlanksAs val="gap"/>
    <c:showDLblsOverMax val="0"/>
  </c:chart>
  <c:spPr>
    <a:noFill/>
    <a:ln w="25400">
      <a:noFill/>
    </a:ln>
    <a:effectLst/>
  </c:spPr>
  <c:txPr>
    <a:bodyPr/>
    <a:lstStyle/>
    <a:p>
      <a:pPr>
        <a:defRPr sz="1000" b="0" i="0" u="none" strike="noStrike" baseline="0">
          <a:solidFill>
            <a:srgbClr val="595959"/>
          </a:solidFill>
          <a:latin typeface="Arial Narrow"/>
          <a:ea typeface="Arial Narrow"/>
          <a:cs typeface="Arial Narrow"/>
        </a:defRPr>
      </a:pPr>
      <a:endParaRPr lang="en-US"/>
    </a:p>
  </c:txPr>
  <c:printSettings>
    <c:headerFooter alignWithMargins="0"/>
    <c:pageMargins b="1" l="0.75000000000000111" r="0.75000000000000111" t="1" header="0.5" footer="0.5"/>
    <c:pageSetup orientation="landscape"/>
  </c:printSettings>
</c:chartSpace>
</file>

<file path=xl/charts/chart1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0260818468174538"/>
          <c:y val="0.11874999999999998"/>
          <c:w val="0.48973130407105026"/>
          <c:h val="0.73573762123205866"/>
        </c:manualLayout>
      </c:layout>
      <c:radarChart>
        <c:radarStyle val="marker"/>
        <c:varyColors val="0"/>
        <c:ser>
          <c:idx val="0"/>
          <c:order val="0"/>
          <c:tx>
            <c:strRef>
              <c:f>'AGG DM'!$W$23</c:f>
              <c:strCache>
                <c:ptCount val="1"/>
                <c:pt idx="0">
                  <c:v>EM sector</c:v>
                </c:pt>
              </c:strCache>
            </c:strRef>
          </c:tx>
          <c:spPr>
            <a:ln w="25400">
              <a:solidFill>
                <a:srgbClr val="263238"/>
              </a:solidFill>
              <a:prstDash val="solid"/>
            </a:ln>
            <a:effectLst/>
          </c:spPr>
          <c:marker>
            <c:symbol val="diamond"/>
            <c:size val="6"/>
            <c:spPr>
              <a:solidFill>
                <a:srgbClr val="263238"/>
              </a:solidFill>
              <a:ln w="6350">
                <a:noFill/>
              </a:ln>
            </c:spPr>
          </c:marker>
          <c:cat>
            <c:strRef>
              <c:f>'AGG DM'!$V$24:$V$33</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'AGG DM'!$W$24:$W$33</c:f>
              <c:numCache>
                <c:formatCode>_-* #,##0.0_-;\-* #,##0.0_-;_-* "-"?_-;_-@_-</c:formatCode>
                <c:ptCount val="10"/>
                <c:pt idx="0">
                  <c:v>6.5198767000287358E-2</c:v>
                </c:pt>
                <c:pt idx="1">
                  <c:v>6.6998379591764898E-2</c:v>
                </c:pt>
                <c:pt idx="2">
                  <c:v>5.8859318368841111E-2</c:v>
                </c:pt>
                <c:pt idx="3">
                  <c:v>6.296282259000939E-2</c:v>
                </c:pt>
                <c:pt idx="4">
                  <c:v>5.1708043934930586E-2</c:v>
                </c:pt>
                <c:pt idx="5">
                  <c:v>7.6615251264889148E-2</c:v>
                </c:pt>
                <c:pt idx="6">
                  <c:v>0.68299553080927267</c:v>
                </c:pt>
                <c:pt idx="7">
                  <c:v>5.8527134315608229E-2</c:v>
                </c:pt>
                <c:pt idx="8" formatCode="0%">
                  <c:v>7.4479716059543899E-2</c:v>
                </c:pt>
                <c:pt idx="9" formatCode="0%">
                  <c:v>0.68299553080927267</c:v>
                </c:pt>
              </c:numCache>
            </c:numRef>
          </c:val>
          <c:extLst>
            <c:ext xmlns:c16="http://schemas.microsoft.com/office/drawing/2014/chart" uri="{C3380CC4-5D6E-409C-BE32-E72D297353CC}">
              <c16:uniqueId val="{00000000-F963-4EFE-82CA-4557A353CA68}"/>
            </c:ext>
          </c:extLst>
        </c:ser>
        <c:ser>
          <c:idx val="1"/>
          <c:order val="1"/>
          <c:tx>
            <c:strRef>
              <c:f>'AGG DM'!$X$23</c:f>
              <c:strCache>
                <c:ptCount val="1"/>
                <c:pt idx="0">
                  <c:v>W.European telecoms sector</c:v>
                </c:pt>
              </c:strCache>
            </c:strRef>
          </c:tx>
          <c:spPr>
            <a:ln w="25400">
              <a:solidFill>
                <a:srgbClr val="799098"/>
              </a:solidFill>
              <a:prstDash val="solid"/>
            </a:ln>
            <a:effectLst/>
          </c:spPr>
          <c:marker>
            <c:symbol val="diamond"/>
            <c:size val="6"/>
            <c:spPr>
              <a:solidFill>
                <a:srgbClr val="799098"/>
              </a:solidFill>
              <a:ln w="6350">
                <a:noFill/>
              </a:ln>
            </c:spPr>
          </c:marker>
          <c:cat>
            <c:strRef>
              <c:f>'AGG DM'!$V$24:$V$33</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'AGG DM'!$X$24:$X$33</c:f>
              <c:numCache>
                <c:formatCode>0%</c:formatCode>
                <c:ptCount val="10"/>
                <c:pt idx="0">
                  <c:v>1</c:v>
                </c:pt>
                <c:pt idx="1">
                  <c:v>1</c:v>
                </c:pt>
                <c:pt idx="2">
                  <c:v>1</c:v>
                </c:pt>
                <c:pt idx="3">
                  <c:v>1</c:v>
                </c:pt>
                <c:pt idx="4">
                  <c:v>1</c:v>
                </c:pt>
                <c:pt idx="5">
                  <c:v>1</c:v>
                </c:pt>
                <c:pt idx="6">
                  <c:v>1</c:v>
                </c:pt>
                <c:pt idx="7">
                  <c:v>1</c:v>
                </c:pt>
                <c:pt idx="8">
                  <c:v>1</c:v>
                </c:pt>
                <c:pt idx="9">
                  <c:v>1</c:v>
                </c:pt>
              </c:numCache>
            </c:numRef>
          </c:val>
          <c:extLst>
            <c:ext xmlns:c16="http://schemas.microsoft.com/office/drawing/2014/chart" uri="{C3380CC4-5D6E-409C-BE32-E72D297353CC}">
              <c16:uniqueId val="{00000001-F963-4EFE-82CA-4557A353CA68}"/>
            </c:ext>
          </c:extLst>
        </c:ser>
        <c:dLbls>
          <c:showLegendKey val="0"/>
          <c:showVal val="0"/>
          <c:showCatName val="0"/>
          <c:showSerName val="0"/>
          <c:showPercent val="0"/>
          <c:showBubbleSize val="0"/>
        </c:dLbls>
        <c:axId val="359774080"/>
        <c:axId val="359776256"/>
      </c:radarChart>
      <c:catAx>
        <c:axId val="359774080"/>
        <c:scaling>
          <c:orientation val="minMax"/>
        </c:scaling>
        <c:delete val="0"/>
        <c:axPos val="b"/>
        <c:numFmt formatCode="General" sourceLinked="1"/>
        <c:majorTickMark val="out"/>
        <c:minorTickMark val="none"/>
        <c:tickLblPos val="nextTo"/>
        <c:spPr>
          <a:ln>
            <a:solidFill>
              <a:srgbClr val="B3B3B3"/>
            </a:solidFill>
          </a:ln>
        </c:spPr>
        <c:txPr>
          <a:bodyPr rot="0" vert="horz"/>
          <a:lstStyle/>
          <a:p>
            <a:pPr>
              <a:defRPr/>
            </a:pPr>
            <a:endParaRPr lang="en-US"/>
          </a:p>
        </c:txPr>
        <c:crossAx val="359776256"/>
        <c:crosses val="autoZero"/>
        <c:auto val="0"/>
        <c:lblAlgn val="ctr"/>
        <c:lblOffset val="100"/>
        <c:noMultiLvlLbl val="0"/>
      </c:catAx>
      <c:valAx>
        <c:axId val="359776256"/>
        <c:scaling>
          <c:orientation val="minMax"/>
        </c:scaling>
        <c:delete val="0"/>
        <c:axPos val="l"/>
        <c:numFmt formatCode="0%" sourceLinked="0"/>
        <c:majorTickMark val="cross"/>
        <c:minorTickMark val="none"/>
        <c:tickLblPos val="nextTo"/>
        <c:spPr>
          <a:ln w="3175">
            <a:solidFill>
              <a:srgbClr val="B3B3B3"/>
            </a:solidFill>
            <a:prstDash val="solid"/>
          </a:ln>
        </c:spPr>
        <c:txPr>
          <a:bodyPr rot="0" vert="horz"/>
          <a:lstStyle/>
          <a:p>
            <a:pPr>
              <a:defRPr/>
            </a:pPr>
            <a:endParaRPr lang="en-US"/>
          </a:p>
        </c:txPr>
        <c:crossAx val="359774080"/>
        <c:crosses val="autoZero"/>
        <c:crossBetween val="between"/>
      </c:valAx>
      <c:spPr>
        <a:noFill/>
        <a:ln w="25400">
          <a:noFill/>
        </a:ln>
      </c:spPr>
    </c:plotArea>
    <c:legend>
      <c:legendPos val="b"/>
      <c:overlay val="0"/>
      <c:spPr>
        <a:noFill/>
        <a:ln w="25400">
          <a:noFill/>
        </a:ln>
      </c:spPr>
    </c:legend>
    <c:plotVisOnly val="1"/>
    <c:dispBlanksAs val="gap"/>
    <c:showDLblsOverMax val="0"/>
  </c:chart>
  <c:spPr>
    <a:noFill/>
    <a:ln w="25400">
      <a:noFill/>
    </a:ln>
    <a:effectLst/>
  </c:spPr>
  <c:txPr>
    <a:bodyPr/>
    <a:lstStyle/>
    <a:p>
      <a:pPr>
        <a:defRPr sz="1000" b="0" i="0" u="none" strike="noStrike" baseline="0">
          <a:solidFill>
            <a:srgbClr val="595959"/>
          </a:solidFill>
          <a:latin typeface="Arial Narrow"/>
          <a:ea typeface="Arial Narrow"/>
          <a:cs typeface="Arial Narrow"/>
        </a:defRPr>
      </a:pPr>
      <a:endParaRPr lang="en-US"/>
    </a:p>
  </c:txPr>
  <c:printSettings>
    <c:headerFooter alignWithMargins="0"/>
    <c:pageMargins b="1" l="0.75000000000000111" r="0.75000000000000111" t="1" header="0.5" footer="0.5"/>
    <c:pageSetup orientation="landscape"/>
  </c:printSettings>
</c:chartSpace>
</file>

<file path=xl/charts/chart1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0014743809528477"/>
          <c:y val="6.8750000000000019E-2"/>
          <c:w val="0.42495797300427557"/>
          <c:h val="0.66300519133812996"/>
        </c:manualLayout>
      </c:layout>
      <c:radarChart>
        <c:radarStyle val="marker"/>
        <c:varyColors val="0"/>
        <c:ser>
          <c:idx val="0"/>
          <c:order val="0"/>
          <c:tx>
            <c:strRef>
              <c:f>'EM INCUMB'!$W$23</c:f>
              <c:strCache>
                <c:ptCount val="1"/>
                <c:pt idx="0">
                  <c:v>EM incumbents</c:v>
                </c:pt>
              </c:strCache>
            </c:strRef>
          </c:tx>
          <c:spPr>
            <a:ln w="25400">
              <a:solidFill>
                <a:srgbClr val="263238"/>
              </a:solidFill>
              <a:prstDash val="solid"/>
            </a:ln>
            <a:effectLst/>
          </c:spPr>
          <c:marker>
            <c:symbol val="diamond"/>
            <c:size val="6"/>
            <c:spPr>
              <a:solidFill>
                <a:srgbClr val="263238"/>
              </a:solidFill>
              <a:ln w="6350">
                <a:noFill/>
              </a:ln>
            </c:spPr>
          </c:marker>
          <c:cat>
            <c:strRef>
              <c:f>'EM INCUMB'!$V$24:$V$33</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'EM INCUMB'!$W$24:$W$33</c:f>
              <c:numCache>
                <c:formatCode>0%</c:formatCode>
                <c:ptCount val="10"/>
                <c:pt idx="0">
                  <c:v>2.142132369801816</c:v>
                </c:pt>
                <c:pt idx="1">
                  <c:v>2.3948484055226587</c:v>
                </c:pt>
                <c:pt idx="2">
                  <c:v>2.6628170555307689</c:v>
                </c:pt>
                <c:pt idx="3">
                  <c:v>2.718474308085018</c:v>
                </c:pt>
                <c:pt idx="4">
                  <c:v>2.6661798540873178</c:v>
                </c:pt>
                <c:pt idx="5">
                  <c:v>2.2311221056319375</c:v>
                </c:pt>
                <c:pt idx="6">
                  <c:v>0.67553737643501854</c:v>
                </c:pt>
                <c:pt idx="7">
                  <c:v>2.5903743657612561</c:v>
                </c:pt>
                <c:pt idx="8">
                  <c:v>2.8500851308966468</c:v>
                </c:pt>
                <c:pt idx="9">
                  <c:v>0.67553737643501854</c:v>
                </c:pt>
              </c:numCache>
            </c:numRef>
          </c:val>
          <c:extLst>
            <c:ext xmlns:c16="http://schemas.microsoft.com/office/drawing/2014/chart" uri="{C3380CC4-5D6E-409C-BE32-E72D297353CC}">
              <c16:uniqueId val="{00000000-2209-42CD-AE70-3D20949BDEE8}"/>
            </c:ext>
          </c:extLst>
        </c:ser>
        <c:ser>
          <c:idx val="1"/>
          <c:order val="1"/>
          <c:tx>
            <c:strRef>
              <c:f>'EM INCUMB'!$X$23</c:f>
              <c:strCache>
                <c:ptCount val="1"/>
                <c:pt idx="0">
                  <c:v>EM sector</c:v>
                </c:pt>
              </c:strCache>
            </c:strRef>
          </c:tx>
          <c:spPr>
            <a:ln w="25400">
              <a:solidFill>
                <a:srgbClr val="799098"/>
              </a:solidFill>
              <a:prstDash val="solid"/>
            </a:ln>
            <a:effectLst/>
          </c:spPr>
          <c:marker>
            <c:symbol val="diamond"/>
            <c:size val="6"/>
            <c:spPr>
              <a:solidFill>
                <a:srgbClr val="799098"/>
              </a:solidFill>
              <a:ln w="6350">
                <a:noFill/>
              </a:ln>
            </c:spPr>
          </c:marker>
          <c:cat>
            <c:strRef>
              <c:f>'EM INCUMB'!$V$24:$V$33</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'EM INCUMB'!$X$24:$X$33</c:f>
              <c:numCache>
                <c:formatCode>0%</c:formatCode>
                <c:ptCount val="10"/>
                <c:pt idx="0">
                  <c:v>1</c:v>
                </c:pt>
                <c:pt idx="1">
                  <c:v>1</c:v>
                </c:pt>
                <c:pt idx="2">
                  <c:v>1</c:v>
                </c:pt>
                <c:pt idx="3">
                  <c:v>1</c:v>
                </c:pt>
                <c:pt idx="4">
                  <c:v>1</c:v>
                </c:pt>
                <c:pt idx="5">
                  <c:v>1</c:v>
                </c:pt>
                <c:pt idx="6">
                  <c:v>1</c:v>
                </c:pt>
                <c:pt idx="7">
                  <c:v>1</c:v>
                </c:pt>
                <c:pt idx="8">
                  <c:v>1</c:v>
                </c:pt>
                <c:pt idx="9">
                  <c:v>1</c:v>
                </c:pt>
              </c:numCache>
            </c:numRef>
          </c:val>
          <c:extLst>
            <c:ext xmlns:c16="http://schemas.microsoft.com/office/drawing/2014/chart" uri="{C3380CC4-5D6E-409C-BE32-E72D297353CC}">
              <c16:uniqueId val="{00000001-2209-42CD-AE70-3D20949BDEE8}"/>
            </c:ext>
          </c:extLst>
        </c:ser>
        <c:dLbls>
          <c:showLegendKey val="0"/>
          <c:showVal val="0"/>
          <c:showCatName val="0"/>
          <c:showSerName val="0"/>
          <c:showPercent val="0"/>
          <c:showBubbleSize val="0"/>
        </c:dLbls>
        <c:axId val="359261696"/>
        <c:axId val="359263616"/>
      </c:radarChart>
      <c:catAx>
        <c:axId val="359261696"/>
        <c:scaling>
          <c:orientation val="minMax"/>
        </c:scaling>
        <c:delete val="0"/>
        <c:axPos val="b"/>
        <c:numFmt formatCode="General" sourceLinked="1"/>
        <c:majorTickMark val="out"/>
        <c:minorTickMark val="none"/>
        <c:tickLblPos val="nextTo"/>
        <c:spPr>
          <a:ln>
            <a:solidFill>
              <a:srgbClr val="B3B3B3"/>
            </a:solidFill>
          </a:ln>
        </c:spPr>
        <c:txPr>
          <a:bodyPr rot="0" vert="horz"/>
          <a:lstStyle/>
          <a:p>
            <a:pPr>
              <a:defRPr/>
            </a:pPr>
            <a:endParaRPr lang="en-US"/>
          </a:p>
        </c:txPr>
        <c:crossAx val="359263616"/>
        <c:crosses val="autoZero"/>
        <c:auto val="0"/>
        <c:lblAlgn val="ctr"/>
        <c:lblOffset val="100"/>
        <c:noMultiLvlLbl val="0"/>
      </c:catAx>
      <c:valAx>
        <c:axId val="359263616"/>
        <c:scaling>
          <c:orientation val="minMax"/>
          <c:max val="1.2"/>
          <c:min val="0.4"/>
        </c:scaling>
        <c:delete val="0"/>
        <c:axPos val="l"/>
        <c:numFmt formatCode="0%" sourceLinked="1"/>
        <c:majorTickMark val="cross"/>
        <c:minorTickMark val="none"/>
        <c:tickLblPos val="nextTo"/>
        <c:spPr>
          <a:ln w="3175">
            <a:solidFill>
              <a:srgbClr val="B3B3B3"/>
            </a:solidFill>
            <a:prstDash val="solid"/>
          </a:ln>
        </c:spPr>
        <c:txPr>
          <a:bodyPr rot="0" vert="horz"/>
          <a:lstStyle/>
          <a:p>
            <a:pPr>
              <a:defRPr/>
            </a:pPr>
            <a:endParaRPr lang="en-US"/>
          </a:p>
        </c:txPr>
        <c:crossAx val="359261696"/>
        <c:crosses val="autoZero"/>
        <c:crossBetween val="between"/>
        <c:majorUnit val="0.2"/>
      </c:valAx>
      <c:spPr>
        <a:noFill/>
        <a:ln w="25400">
          <a:noFill/>
        </a:ln>
      </c:spPr>
    </c:plotArea>
    <c:legend>
      <c:legendPos val="b"/>
      <c:overlay val="0"/>
      <c:spPr>
        <a:noFill/>
        <a:ln w="25400">
          <a:noFill/>
        </a:ln>
      </c:spPr>
    </c:legend>
    <c:plotVisOnly val="1"/>
    <c:dispBlanksAs val="gap"/>
    <c:showDLblsOverMax val="0"/>
  </c:chart>
  <c:spPr>
    <a:noFill/>
    <a:ln w="25400">
      <a:noFill/>
    </a:ln>
    <a:effectLst/>
  </c:spPr>
  <c:txPr>
    <a:bodyPr/>
    <a:lstStyle/>
    <a:p>
      <a:pPr>
        <a:defRPr sz="1000" b="0" i="0" u="none" strike="noStrike" baseline="0">
          <a:solidFill>
            <a:srgbClr val="595959"/>
          </a:solidFill>
          <a:latin typeface="Arial Narrow"/>
          <a:ea typeface="Arial Narrow"/>
          <a:cs typeface="Arial Narrow"/>
        </a:defRPr>
      </a:pPr>
      <a:endParaRPr lang="en-US"/>
    </a:p>
  </c:txPr>
  <c:printSettings>
    <c:headerFooter alignWithMargins="0"/>
    <c:pageMargins b="1" l="0.75000000000000111" r="0.75000000000000111" t="1" header="0.5" footer="0.5"/>
    <c:pageSetup orientation="landscape"/>
  </c:printSettings>
</c:chartSpace>
</file>

<file path=xl/charts/chart1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1653256967120791"/>
          <c:y val="8.4375000000000006E-2"/>
          <c:w val="0.44556495476010699"/>
          <c:h val="0.69062500000000127"/>
        </c:manualLayout>
      </c:layout>
      <c:radarChart>
        <c:radarStyle val="marker"/>
        <c:varyColors val="0"/>
        <c:ser>
          <c:idx val="0"/>
          <c:order val="0"/>
          <c:tx>
            <c:strRef>
              <c:f>'EM CELLULAR'!$W$23</c:f>
              <c:strCache>
                <c:ptCount val="1"/>
                <c:pt idx="0">
                  <c:v>EM cellular</c:v>
                </c:pt>
              </c:strCache>
            </c:strRef>
          </c:tx>
          <c:spPr>
            <a:ln w="25400">
              <a:solidFill>
                <a:srgbClr val="263238"/>
              </a:solidFill>
              <a:prstDash val="solid"/>
            </a:ln>
            <a:effectLst/>
          </c:spPr>
          <c:marker>
            <c:symbol val="diamond"/>
            <c:size val="6"/>
            <c:spPr>
              <a:solidFill>
                <a:srgbClr val="263238"/>
              </a:solidFill>
              <a:ln w="6350">
                <a:noFill/>
              </a:ln>
            </c:spPr>
          </c:marker>
          <c:cat>
            <c:strRef>
              <c:f>'EM CELLULAR'!$V$24:$V$33</c:f>
              <c:strCache>
                <c:ptCount val="10"/>
                <c:pt idx="0">
                  <c:v>EV/Revenue</c:v>
                </c:pt>
                <c:pt idx="1">
                  <c:v>EV/EBITDA</c:v>
                </c:pt>
                <c:pt idx="2">
                  <c:v>EV/OpFCF</c:v>
                </c:pt>
                <c:pt idx="3">
                  <c:v>EV/FCF</c:v>
                </c:pt>
                <c:pt idx="4">
                  <c:v>EV/Invested capital</c:v>
                </c:pt>
                <c:pt idx="5">
                  <c:v>EV/NFA</c:v>
                </c:pt>
                <c:pt idx="6">
                  <c:v>P/EFCF (08)</c:v>
                </c:pt>
                <c:pt idx="7">
                  <c:v>Adjusted P/E</c:v>
                </c:pt>
                <c:pt idx="8">
                  <c:v>Dividend yield</c:v>
                </c:pt>
                <c:pt idx="9">
                  <c:v>EFCF yield (08)</c:v>
                </c:pt>
              </c:strCache>
            </c:strRef>
          </c:cat>
          <c:val>
            <c:numRef>
              <c:f>'EM CELLULAR'!$W$24:$W$33</c:f>
              <c:numCache>
                <c:formatCode>0%</c:formatCode>
                <c:ptCount val="10"/>
                <c:pt idx="0">
                  <c:v>6.4069226626141285E-2</c:v>
                </c:pt>
                <c:pt idx="1">
                  <c:v>5.9061351670354992E-2</c:v>
                </c:pt>
                <c:pt idx="2">
                  <c:v>5.5027089877328218E-2</c:v>
                </c:pt>
                <c:pt idx="3">
                  <c:v>5.4335401926473098E-2</c:v>
                </c:pt>
                <c:pt idx="4">
                  <c:v>5.5278887411724154E-2</c:v>
                </c:pt>
                <c:pt idx="5">
                  <c:v>6.2150879852942979E-2</c:v>
                </c:pt>
                <c:pt idx="6">
                  <c:v>1.2658871798818703</c:v>
                </c:pt>
                <c:pt idx="7">
                  <c:v>8.2536568745840741E-2</c:v>
                </c:pt>
                <c:pt idx="8">
                  <c:v>7.6613003814203301E-2</c:v>
                </c:pt>
                <c:pt idx="9">
                  <c:v>1.2658871798818703</c:v>
                </c:pt>
              </c:numCache>
            </c:numRef>
          </c:val>
          <c:extLst>
            <c:ext xmlns:c16="http://schemas.microsoft.com/office/drawing/2014/chart" uri="{C3380CC4-5D6E-409C-BE32-E72D297353CC}">
              <c16:uniqueId val="{00000000-F1D4-4B51-AAA9-D97E24E8B2C6}"/>
            </c:ext>
          </c:extLst>
        </c:ser>
        <c:ser>
          <c:idx val="1"/>
          <c:order val="1"/>
          <c:tx>
            <c:strRef>
              <c:f>'EM CELLULAR'!$X$23</c:f>
              <c:strCache>
                <c:ptCount val="1"/>
                <c:pt idx="0">
                  <c:v>EM sector</c:v>
                </c:pt>
              </c:strCache>
            </c:strRef>
          </c:tx>
          <c:spPr>
            <a:ln w="25400">
              <a:solidFill>
                <a:srgbClr val="799098"/>
              </a:solidFill>
              <a:prstDash val="solid"/>
            </a:ln>
            <a:effectLst/>
          </c:spPr>
          <c:marker>
            <c:symbol val="diamond"/>
            <c:size val="6"/>
            <c:spPr>
              <a:solidFill>
                <a:srgbClr val="799098"/>
              </a:solidFill>
              <a:ln w="6350">
                <a:noFill/>
              </a:ln>
            </c:spPr>
          </c:marker>
          <c:cat>
            <c:strRef>
              <c:f>'EM CELLULAR'!$V$24:$V$33</c:f>
              <c:strCache>
                <c:ptCount val="10"/>
                <c:pt idx="0">
                  <c:v>EV/Revenue</c:v>
                </c:pt>
                <c:pt idx="1">
                  <c:v>EV/EBITDA</c:v>
                </c:pt>
                <c:pt idx="2">
                  <c:v>EV/OpFCF</c:v>
                </c:pt>
                <c:pt idx="3">
                  <c:v>EV/FCF</c:v>
                </c:pt>
                <c:pt idx="4">
                  <c:v>EV/Invested capital</c:v>
                </c:pt>
                <c:pt idx="5">
                  <c:v>EV/NFA</c:v>
                </c:pt>
                <c:pt idx="6">
                  <c:v>P/EFCF (08)</c:v>
                </c:pt>
                <c:pt idx="7">
                  <c:v>Adjusted P/E</c:v>
                </c:pt>
                <c:pt idx="8">
                  <c:v>Dividend yield</c:v>
                </c:pt>
                <c:pt idx="9">
                  <c:v>EFCF yield (08)</c:v>
                </c:pt>
              </c:strCache>
            </c:strRef>
          </c:cat>
          <c:val>
            <c:numRef>
              <c:f>'EM CELLULAR'!$X$24:$X$33</c:f>
              <c:numCache>
                <c:formatCode>0%</c:formatCode>
                <c:ptCount val="10"/>
                <c:pt idx="0">
                  <c:v>1</c:v>
                </c:pt>
                <c:pt idx="1">
                  <c:v>1</c:v>
                </c:pt>
                <c:pt idx="2">
                  <c:v>1</c:v>
                </c:pt>
                <c:pt idx="3">
                  <c:v>1</c:v>
                </c:pt>
                <c:pt idx="4">
                  <c:v>1</c:v>
                </c:pt>
                <c:pt idx="5">
                  <c:v>1</c:v>
                </c:pt>
                <c:pt idx="6">
                  <c:v>1</c:v>
                </c:pt>
                <c:pt idx="7">
                  <c:v>1</c:v>
                </c:pt>
                <c:pt idx="8">
                  <c:v>1</c:v>
                </c:pt>
                <c:pt idx="9">
                  <c:v>1</c:v>
                </c:pt>
              </c:numCache>
            </c:numRef>
          </c:val>
          <c:extLst>
            <c:ext xmlns:c16="http://schemas.microsoft.com/office/drawing/2014/chart" uri="{C3380CC4-5D6E-409C-BE32-E72D297353CC}">
              <c16:uniqueId val="{00000001-F1D4-4B51-AAA9-D97E24E8B2C6}"/>
            </c:ext>
          </c:extLst>
        </c:ser>
        <c:dLbls>
          <c:showLegendKey val="0"/>
          <c:showVal val="0"/>
          <c:showCatName val="0"/>
          <c:showSerName val="0"/>
          <c:showPercent val="0"/>
          <c:showBubbleSize val="0"/>
        </c:dLbls>
        <c:axId val="359441536"/>
        <c:axId val="359443456"/>
      </c:radarChart>
      <c:catAx>
        <c:axId val="359441536"/>
        <c:scaling>
          <c:orientation val="minMax"/>
        </c:scaling>
        <c:delete val="0"/>
        <c:axPos val="b"/>
        <c:numFmt formatCode="General" sourceLinked="1"/>
        <c:majorTickMark val="out"/>
        <c:minorTickMark val="none"/>
        <c:tickLblPos val="nextTo"/>
        <c:spPr>
          <a:ln>
            <a:solidFill>
              <a:srgbClr val="B3B3B3"/>
            </a:solidFill>
          </a:ln>
        </c:spPr>
        <c:txPr>
          <a:bodyPr rot="0" vert="horz"/>
          <a:lstStyle/>
          <a:p>
            <a:pPr>
              <a:defRPr/>
            </a:pPr>
            <a:endParaRPr lang="en-US"/>
          </a:p>
        </c:txPr>
        <c:crossAx val="359443456"/>
        <c:crosses val="autoZero"/>
        <c:auto val="0"/>
        <c:lblAlgn val="ctr"/>
        <c:lblOffset val="100"/>
        <c:noMultiLvlLbl val="0"/>
      </c:catAx>
      <c:valAx>
        <c:axId val="359443456"/>
        <c:scaling>
          <c:orientation val="minMax"/>
        </c:scaling>
        <c:delete val="0"/>
        <c:axPos val="l"/>
        <c:numFmt formatCode="0%" sourceLinked="1"/>
        <c:majorTickMark val="cross"/>
        <c:minorTickMark val="none"/>
        <c:tickLblPos val="nextTo"/>
        <c:spPr>
          <a:ln w="3175">
            <a:solidFill>
              <a:srgbClr val="B3B3B3"/>
            </a:solidFill>
            <a:prstDash val="solid"/>
          </a:ln>
        </c:spPr>
        <c:txPr>
          <a:bodyPr rot="0" vert="horz"/>
          <a:lstStyle/>
          <a:p>
            <a:pPr>
              <a:defRPr/>
            </a:pPr>
            <a:endParaRPr lang="en-US"/>
          </a:p>
        </c:txPr>
        <c:crossAx val="359441536"/>
        <c:crosses val="autoZero"/>
        <c:crossBetween val="between"/>
      </c:valAx>
      <c:spPr>
        <a:noFill/>
        <a:ln w="25400">
          <a:noFill/>
        </a:ln>
      </c:spPr>
    </c:plotArea>
    <c:legend>
      <c:legendPos val="b"/>
      <c:overlay val="0"/>
      <c:spPr>
        <a:noFill/>
        <a:ln w="25400">
          <a:noFill/>
        </a:ln>
      </c:spPr>
    </c:legend>
    <c:plotVisOnly val="1"/>
    <c:dispBlanksAs val="gap"/>
    <c:showDLblsOverMax val="0"/>
  </c:chart>
  <c:spPr>
    <a:noFill/>
    <a:ln w="25400">
      <a:noFill/>
    </a:ln>
    <a:effectLst/>
  </c:spPr>
  <c:txPr>
    <a:bodyPr/>
    <a:lstStyle/>
    <a:p>
      <a:pPr>
        <a:defRPr sz="1000" b="0" i="0" u="none" strike="noStrike" baseline="0">
          <a:solidFill>
            <a:srgbClr val="595959"/>
          </a:solidFill>
          <a:latin typeface="Arial Narrow"/>
          <a:ea typeface="Arial Narrow"/>
          <a:cs typeface="Arial Narrow"/>
        </a:defRPr>
      </a:pPr>
      <a:endParaRPr lang="en-US"/>
    </a:p>
  </c:txPr>
  <c:printSettings>
    <c:headerFooter alignWithMargins="0"/>
    <c:pageMargins b="1" l="0.75000000000000111" r="0.75000000000000111" t="1" header="0.5" footer="0.5"/>
    <c:pageSetup orientation="landscape"/>
  </c:printSettings>
</c:chartSpace>
</file>

<file path=xl/charts/chart1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1653256967120791"/>
          <c:y val="8.4375000000000006E-2"/>
          <c:w val="0.44556495476010699"/>
          <c:h val="0.69062500000000127"/>
        </c:manualLayout>
      </c:layout>
      <c:radarChart>
        <c:radarStyle val="marker"/>
        <c:varyColors val="0"/>
        <c:ser>
          <c:idx val="0"/>
          <c:order val="0"/>
          <c:tx>
            <c:strRef>
              <c:f>'EM ALTNET &amp; CABLE'!$W$23</c:f>
              <c:strCache>
                <c:ptCount val="1"/>
                <c:pt idx="0">
                  <c:v>EM cellular</c:v>
                </c:pt>
              </c:strCache>
            </c:strRef>
          </c:tx>
          <c:spPr>
            <a:ln w="25400">
              <a:solidFill>
                <a:srgbClr val="263238"/>
              </a:solidFill>
              <a:prstDash val="solid"/>
            </a:ln>
            <a:effectLst/>
          </c:spPr>
          <c:marker>
            <c:symbol val="diamond"/>
            <c:size val="6"/>
            <c:spPr>
              <a:solidFill>
                <a:srgbClr val="263238"/>
              </a:solidFill>
              <a:ln w="6350">
                <a:noFill/>
              </a:ln>
            </c:spPr>
          </c:marker>
          <c:cat>
            <c:strRef>
              <c:f>'EM ALTNET &amp; CABLE'!$V$24:$V$33</c:f>
              <c:strCache>
                <c:ptCount val="10"/>
                <c:pt idx="0">
                  <c:v>EV/Revenue</c:v>
                </c:pt>
                <c:pt idx="1">
                  <c:v>EV/EBITDA</c:v>
                </c:pt>
                <c:pt idx="2">
                  <c:v>EV/OpFCF</c:v>
                </c:pt>
                <c:pt idx="3">
                  <c:v>EV/FCF</c:v>
                </c:pt>
                <c:pt idx="4">
                  <c:v>EV/Invested capital</c:v>
                </c:pt>
                <c:pt idx="5">
                  <c:v>EV/NFA</c:v>
                </c:pt>
                <c:pt idx="6">
                  <c:v>P/EFCF (08)</c:v>
                </c:pt>
                <c:pt idx="7">
                  <c:v>Adjusted P/E</c:v>
                </c:pt>
                <c:pt idx="8">
                  <c:v>Dividend yield</c:v>
                </c:pt>
                <c:pt idx="9">
                  <c:v>EFCF yield (08)</c:v>
                </c:pt>
              </c:strCache>
            </c:strRef>
          </c:cat>
          <c:val>
            <c:numRef>
              <c:f>'EM ALTNET &amp; CABLE'!$W$24:$W$33</c:f>
              <c:numCache>
                <c:formatCode>0%</c:formatCode>
                <c:ptCount val="10"/>
                <c:pt idx="0">
                  <c:v>5.5885789129984181E-2</c:v>
                </c:pt>
                <c:pt idx="1">
                  <c:v>4.8254405691334594E-2</c:v>
                </c:pt>
                <c:pt idx="2">
                  <c:v>5.6483969265946288E-2</c:v>
                </c:pt>
                <c:pt idx="3">
                  <c:v>5.9003304725132724E-2</c:v>
                </c:pt>
                <c:pt idx="4">
                  <c:v>4.4748492960269358E-2</c:v>
                </c:pt>
                <c:pt idx="5">
                  <c:v>5.0363783605648457E-2</c:v>
                </c:pt>
                <c:pt idx="6">
                  <c:v>0.26729300290441538</c:v>
                </c:pt>
                <c:pt idx="7">
                  <c:v>2.2187884454375986E-2</c:v>
                </c:pt>
                <c:pt idx="8">
                  <c:v>8.1742616412935107E-2</c:v>
                </c:pt>
                <c:pt idx="9">
                  <c:v>0.26729300290441532</c:v>
                </c:pt>
              </c:numCache>
            </c:numRef>
          </c:val>
          <c:extLst>
            <c:ext xmlns:c16="http://schemas.microsoft.com/office/drawing/2014/chart" uri="{C3380CC4-5D6E-409C-BE32-E72D297353CC}">
              <c16:uniqueId val="{00000000-E564-4C08-A559-947FDE7020A0}"/>
            </c:ext>
          </c:extLst>
        </c:ser>
        <c:ser>
          <c:idx val="1"/>
          <c:order val="1"/>
          <c:tx>
            <c:strRef>
              <c:f>'EM ALTNET &amp; CABLE'!$X$23</c:f>
              <c:strCache>
                <c:ptCount val="1"/>
                <c:pt idx="0">
                  <c:v>EM sector</c:v>
                </c:pt>
              </c:strCache>
            </c:strRef>
          </c:tx>
          <c:spPr>
            <a:ln w="25400">
              <a:solidFill>
                <a:srgbClr val="799098"/>
              </a:solidFill>
              <a:prstDash val="solid"/>
            </a:ln>
            <a:effectLst/>
          </c:spPr>
          <c:marker>
            <c:symbol val="diamond"/>
            <c:size val="6"/>
            <c:spPr>
              <a:solidFill>
                <a:srgbClr val="799098"/>
              </a:solidFill>
              <a:ln w="6350">
                <a:noFill/>
              </a:ln>
            </c:spPr>
          </c:marker>
          <c:cat>
            <c:strRef>
              <c:f>'EM ALTNET &amp; CABLE'!$V$24:$V$33</c:f>
              <c:strCache>
                <c:ptCount val="10"/>
                <c:pt idx="0">
                  <c:v>EV/Revenue</c:v>
                </c:pt>
                <c:pt idx="1">
                  <c:v>EV/EBITDA</c:v>
                </c:pt>
                <c:pt idx="2">
                  <c:v>EV/OpFCF</c:v>
                </c:pt>
                <c:pt idx="3">
                  <c:v>EV/FCF</c:v>
                </c:pt>
                <c:pt idx="4">
                  <c:v>EV/Invested capital</c:v>
                </c:pt>
                <c:pt idx="5">
                  <c:v>EV/NFA</c:v>
                </c:pt>
                <c:pt idx="6">
                  <c:v>P/EFCF (08)</c:v>
                </c:pt>
                <c:pt idx="7">
                  <c:v>Adjusted P/E</c:v>
                </c:pt>
                <c:pt idx="8">
                  <c:v>Dividend yield</c:v>
                </c:pt>
                <c:pt idx="9">
                  <c:v>EFCF yield (08)</c:v>
                </c:pt>
              </c:strCache>
            </c:strRef>
          </c:cat>
          <c:val>
            <c:numRef>
              <c:f>'EM ALTNET &amp; CABLE'!$X$24:$X$33</c:f>
              <c:numCache>
                <c:formatCode>0%</c:formatCode>
                <c:ptCount val="10"/>
                <c:pt idx="0">
                  <c:v>1</c:v>
                </c:pt>
                <c:pt idx="1">
                  <c:v>1</c:v>
                </c:pt>
                <c:pt idx="2">
                  <c:v>1</c:v>
                </c:pt>
                <c:pt idx="3">
                  <c:v>1</c:v>
                </c:pt>
                <c:pt idx="4">
                  <c:v>1</c:v>
                </c:pt>
                <c:pt idx="5">
                  <c:v>1</c:v>
                </c:pt>
                <c:pt idx="6">
                  <c:v>1</c:v>
                </c:pt>
                <c:pt idx="7">
                  <c:v>1</c:v>
                </c:pt>
                <c:pt idx="8">
                  <c:v>1</c:v>
                </c:pt>
                <c:pt idx="9">
                  <c:v>1</c:v>
                </c:pt>
              </c:numCache>
            </c:numRef>
          </c:val>
          <c:extLst>
            <c:ext xmlns:c16="http://schemas.microsoft.com/office/drawing/2014/chart" uri="{C3380CC4-5D6E-409C-BE32-E72D297353CC}">
              <c16:uniqueId val="{00000001-E564-4C08-A559-947FDE7020A0}"/>
            </c:ext>
          </c:extLst>
        </c:ser>
        <c:dLbls>
          <c:showLegendKey val="0"/>
          <c:showVal val="0"/>
          <c:showCatName val="0"/>
          <c:showSerName val="0"/>
          <c:showPercent val="0"/>
          <c:showBubbleSize val="0"/>
        </c:dLbls>
        <c:axId val="359916288"/>
        <c:axId val="359918208"/>
      </c:radarChart>
      <c:catAx>
        <c:axId val="359916288"/>
        <c:scaling>
          <c:orientation val="minMax"/>
        </c:scaling>
        <c:delete val="0"/>
        <c:axPos val="b"/>
        <c:numFmt formatCode="General" sourceLinked="1"/>
        <c:majorTickMark val="out"/>
        <c:minorTickMark val="none"/>
        <c:tickLblPos val="nextTo"/>
        <c:spPr>
          <a:ln>
            <a:solidFill>
              <a:srgbClr val="B3B3B3"/>
            </a:solidFill>
          </a:ln>
        </c:spPr>
        <c:txPr>
          <a:bodyPr rot="0" vert="horz"/>
          <a:lstStyle/>
          <a:p>
            <a:pPr>
              <a:defRPr/>
            </a:pPr>
            <a:endParaRPr lang="en-US"/>
          </a:p>
        </c:txPr>
        <c:crossAx val="359918208"/>
        <c:crosses val="autoZero"/>
        <c:auto val="0"/>
        <c:lblAlgn val="ctr"/>
        <c:lblOffset val="100"/>
        <c:noMultiLvlLbl val="0"/>
      </c:catAx>
      <c:valAx>
        <c:axId val="359918208"/>
        <c:scaling>
          <c:orientation val="minMax"/>
          <c:max val="2"/>
          <c:min val="-1"/>
        </c:scaling>
        <c:delete val="0"/>
        <c:axPos val="l"/>
        <c:numFmt formatCode="0%" sourceLinked="1"/>
        <c:majorTickMark val="cross"/>
        <c:minorTickMark val="none"/>
        <c:tickLblPos val="nextTo"/>
        <c:spPr>
          <a:ln w="3175">
            <a:solidFill>
              <a:srgbClr val="B3B3B3"/>
            </a:solidFill>
            <a:prstDash val="solid"/>
          </a:ln>
        </c:spPr>
        <c:txPr>
          <a:bodyPr rot="0" vert="horz"/>
          <a:lstStyle/>
          <a:p>
            <a:pPr>
              <a:defRPr/>
            </a:pPr>
            <a:endParaRPr lang="en-US"/>
          </a:p>
        </c:txPr>
        <c:crossAx val="359916288"/>
        <c:crosses val="autoZero"/>
        <c:crossBetween val="between"/>
        <c:majorUnit val="0.5"/>
        <c:minorUnit val="0.5"/>
      </c:valAx>
      <c:spPr>
        <a:noFill/>
        <a:ln w="25400">
          <a:noFill/>
        </a:ln>
      </c:spPr>
    </c:plotArea>
    <c:legend>
      <c:legendPos val="b"/>
      <c:overlay val="0"/>
      <c:spPr>
        <a:noFill/>
        <a:ln w="25400">
          <a:noFill/>
        </a:ln>
      </c:spPr>
    </c:legend>
    <c:plotVisOnly val="1"/>
    <c:dispBlanksAs val="gap"/>
    <c:showDLblsOverMax val="0"/>
  </c:chart>
  <c:spPr>
    <a:noFill/>
    <a:ln w="25400">
      <a:noFill/>
    </a:ln>
    <a:effectLst/>
  </c:spPr>
  <c:txPr>
    <a:bodyPr/>
    <a:lstStyle/>
    <a:p>
      <a:pPr>
        <a:defRPr sz="1000" b="0" i="0" u="none" strike="noStrike" baseline="0">
          <a:solidFill>
            <a:srgbClr val="595959"/>
          </a:solidFill>
          <a:latin typeface="Arial Narrow"/>
          <a:ea typeface="Arial Narrow"/>
          <a:cs typeface="Arial Narrow"/>
        </a:defRPr>
      </a:pPr>
      <a:endParaRPr lang="en-US"/>
    </a:p>
  </c:txPr>
  <c:printSettings>
    <c:headerFooter alignWithMargins="0"/>
    <c:pageMargins b="1" l="0.75000000000000111" r="0.75000000000000111" t="1" header="0.5" footer="0.5"/>
    <c:pageSetup orientation="landscape"/>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0728230483687885"/>
          <c:y val="8.3851058828881678E-2"/>
          <c:w val="0.46733235906653675"/>
          <c:h val="0.7328720952749167"/>
        </c:manualLayout>
      </c:layout>
      <c:radarChart>
        <c:radarStyle val="marker"/>
        <c:varyColors val="0"/>
        <c:ser>
          <c:idx val="0"/>
          <c:order val="0"/>
          <c:tx>
            <c:strRef>
              <c:f>CCI!$W$24</c:f>
              <c:strCache>
                <c:ptCount val="1"/>
                <c:pt idx="0">
                  <c:v>CCI</c:v>
                </c:pt>
              </c:strCache>
            </c:strRef>
          </c:tx>
          <c:spPr>
            <a:ln w="25400">
              <a:solidFill>
                <a:srgbClr val="263238"/>
              </a:solidFill>
              <a:prstDash val="solid"/>
            </a:ln>
            <a:effectLst/>
          </c:spPr>
          <c:marker>
            <c:symbol val="diamond"/>
            <c:size val="6"/>
            <c:spPr>
              <a:solidFill>
                <a:srgbClr val="263238"/>
              </a:solidFill>
              <a:ln w="6350">
                <a:noFill/>
              </a:ln>
            </c:spPr>
          </c:marker>
          <c:cat>
            <c:strRef>
              <c:f>CCI!$V$25:$V$34</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CCI!$W$25:$W$34</c:f>
              <c:numCache>
                <c:formatCode>0%</c:formatCode>
                <c:ptCount val="10"/>
                <c:pt idx="0">
                  <c:v>0.84629082016981105</c:v>
                </c:pt>
                <c:pt idx="1">
                  <c:v>0.87020050339611532</c:v>
                </c:pt>
                <c:pt idx="2">
                  <c:v>1.0017697270969244</c:v>
                </c:pt>
                <c:pt idx="3">
                  <c:v>1.0017697270969244</c:v>
                </c:pt>
                <c:pt idx="4">
                  <c:v>0.79167844606426219</c:v>
                </c:pt>
                <c:pt idx="5">
                  <c:v>0.70274820070593225</c:v>
                </c:pt>
                <c:pt idx="6">
                  <c:v>0.99883735931178919</c:v>
                </c:pt>
                <c:pt idx="7">
                  <c:v>0.78414129799881516</c:v>
                </c:pt>
                <c:pt idx="8">
                  <c:v>1.6246472477892584</c:v>
                </c:pt>
                <c:pt idx="9">
                  <c:v>1.0011639939949903</c:v>
                </c:pt>
              </c:numCache>
            </c:numRef>
          </c:val>
          <c:extLst>
            <c:ext xmlns:c16="http://schemas.microsoft.com/office/drawing/2014/chart" uri="{C3380CC4-5D6E-409C-BE32-E72D297353CC}">
              <c16:uniqueId val="{00000000-ADE3-49FD-AA6F-B7F6D4D7BBC5}"/>
            </c:ext>
          </c:extLst>
        </c:ser>
        <c:ser>
          <c:idx val="1"/>
          <c:order val="1"/>
          <c:tx>
            <c:strRef>
              <c:f>CCI!$X$24</c:f>
              <c:strCache>
                <c:ptCount val="1"/>
                <c:pt idx="0">
                  <c:v>Agg. US Towers</c:v>
                </c:pt>
              </c:strCache>
            </c:strRef>
          </c:tx>
          <c:spPr>
            <a:ln w="25400">
              <a:solidFill>
                <a:srgbClr val="799098"/>
              </a:solidFill>
              <a:prstDash val="solid"/>
            </a:ln>
            <a:effectLst/>
          </c:spPr>
          <c:marker>
            <c:symbol val="diamond"/>
            <c:size val="6"/>
            <c:spPr>
              <a:solidFill>
                <a:srgbClr val="799098"/>
              </a:solidFill>
              <a:ln w="6350">
                <a:noFill/>
              </a:ln>
            </c:spPr>
          </c:marker>
          <c:cat>
            <c:strRef>
              <c:f>CCI!$V$25:$V$34</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CCI!$X$25:$X$34</c:f>
              <c:numCache>
                <c:formatCode>0%</c:formatCode>
                <c:ptCount val="10"/>
                <c:pt idx="0">
                  <c:v>1</c:v>
                </c:pt>
                <c:pt idx="1">
                  <c:v>1</c:v>
                </c:pt>
                <c:pt idx="2">
                  <c:v>1</c:v>
                </c:pt>
                <c:pt idx="3">
                  <c:v>1</c:v>
                </c:pt>
                <c:pt idx="4">
                  <c:v>1</c:v>
                </c:pt>
                <c:pt idx="5">
                  <c:v>1</c:v>
                </c:pt>
                <c:pt idx="6">
                  <c:v>1</c:v>
                </c:pt>
                <c:pt idx="7">
                  <c:v>1</c:v>
                </c:pt>
                <c:pt idx="8">
                  <c:v>1</c:v>
                </c:pt>
                <c:pt idx="9">
                  <c:v>1</c:v>
                </c:pt>
              </c:numCache>
            </c:numRef>
          </c:val>
          <c:extLst>
            <c:ext xmlns:c16="http://schemas.microsoft.com/office/drawing/2014/chart" uri="{C3380CC4-5D6E-409C-BE32-E72D297353CC}">
              <c16:uniqueId val="{00000001-ADE3-49FD-AA6F-B7F6D4D7BBC5}"/>
            </c:ext>
          </c:extLst>
        </c:ser>
        <c:dLbls>
          <c:showLegendKey val="0"/>
          <c:showVal val="0"/>
          <c:showCatName val="0"/>
          <c:showSerName val="0"/>
          <c:showPercent val="0"/>
          <c:showBubbleSize val="0"/>
        </c:dLbls>
        <c:axId val="358845440"/>
        <c:axId val="358876288"/>
      </c:radarChart>
      <c:catAx>
        <c:axId val="358845440"/>
        <c:scaling>
          <c:orientation val="minMax"/>
        </c:scaling>
        <c:delete val="0"/>
        <c:axPos val="b"/>
        <c:numFmt formatCode="General" sourceLinked="1"/>
        <c:majorTickMark val="out"/>
        <c:minorTickMark val="none"/>
        <c:tickLblPos val="nextTo"/>
        <c:spPr>
          <a:ln>
            <a:solidFill>
              <a:srgbClr val="B3B3B3"/>
            </a:solidFill>
          </a:ln>
        </c:spPr>
        <c:txPr>
          <a:bodyPr rot="0" vert="horz"/>
          <a:lstStyle/>
          <a:p>
            <a:pPr>
              <a:defRPr/>
            </a:pPr>
            <a:endParaRPr lang="en-US"/>
          </a:p>
        </c:txPr>
        <c:crossAx val="358876288"/>
        <c:crosses val="autoZero"/>
        <c:auto val="0"/>
        <c:lblAlgn val="ctr"/>
        <c:lblOffset val="100"/>
        <c:noMultiLvlLbl val="0"/>
      </c:catAx>
      <c:valAx>
        <c:axId val="358876288"/>
        <c:scaling>
          <c:orientation val="minMax"/>
        </c:scaling>
        <c:delete val="0"/>
        <c:axPos val="l"/>
        <c:numFmt formatCode="0%" sourceLinked="1"/>
        <c:majorTickMark val="cross"/>
        <c:minorTickMark val="none"/>
        <c:tickLblPos val="nextTo"/>
        <c:spPr>
          <a:ln w="3175">
            <a:solidFill>
              <a:srgbClr val="B3B3B3"/>
            </a:solidFill>
            <a:prstDash val="solid"/>
          </a:ln>
        </c:spPr>
        <c:txPr>
          <a:bodyPr rot="0" vert="horz"/>
          <a:lstStyle/>
          <a:p>
            <a:pPr>
              <a:defRPr/>
            </a:pPr>
            <a:endParaRPr lang="en-US"/>
          </a:p>
        </c:txPr>
        <c:crossAx val="358845440"/>
        <c:crosses val="autoZero"/>
        <c:crossBetween val="between"/>
      </c:valAx>
      <c:spPr>
        <a:noFill/>
        <a:ln w="25400">
          <a:noFill/>
        </a:ln>
      </c:spPr>
    </c:plotArea>
    <c:legend>
      <c:legendPos val="b"/>
      <c:overlay val="0"/>
      <c:spPr>
        <a:noFill/>
        <a:ln w="25400">
          <a:noFill/>
        </a:ln>
      </c:spPr>
    </c:legend>
    <c:plotVisOnly val="1"/>
    <c:dispBlanksAs val="gap"/>
    <c:showDLblsOverMax val="0"/>
  </c:chart>
  <c:spPr>
    <a:noFill/>
    <a:ln w="25400">
      <a:noFill/>
    </a:ln>
    <a:effectLst/>
  </c:spPr>
  <c:txPr>
    <a:bodyPr/>
    <a:lstStyle/>
    <a:p>
      <a:pPr>
        <a:defRPr sz="1000" b="0" i="0" u="none" strike="noStrike" baseline="0">
          <a:solidFill>
            <a:srgbClr val="595959"/>
          </a:solidFill>
          <a:latin typeface="Arial Narrow"/>
          <a:ea typeface="Arial Narrow"/>
          <a:cs typeface="Arial Narrow"/>
        </a:defRPr>
      </a:pPr>
      <a:endParaRPr lang="en-US"/>
    </a:p>
  </c:txPr>
  <c:printSettings>
    <c:headerFooter alignWithMargins="0"/>
    <c:pageMargins b="1" l="0.75000000000000111" r="0.75000000000000111" t="1" header="0.5" footer="0.5"/>
    <c:pageSetup/>
  </c:printSettings>
</c:chartSpace>
</file>

<file path=xl/charts/chart1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8219509329203551"/>
          <c:y val="6.8750000000000019E-2"/>
          <c:w val="0.45197586208062596"/>
          <c:h val="0.71914035231660978"/>
        </c:manualLayout>
      </c:layout>
      <c:radarChart>
        <c:radarStyle val="marker"/>
        <c:varyColors val="0"/>
        <c:ser>
          <c:idx val="0"/>
          <c:order val="0"/>
          <c:tx>
            <c:strRef>
              <c:f>'EM TOWERS'!$W$23</c:f>
              <c:strCache>
                <c:ptCount val="1"/>
                <c:pt idx="0">
                  <c:v>EM Towers</c:v>
                </c:pt>
              </c:strCache>
            </c:strRef>
          </c:tx>
          <c:spPr>
            <a:ln w="25400">
              <a:solidFill>
                <a:srgbClr val="263238"/>
              </a:solidFill>
              <a:prstDash val="solid"/>
            </a:ln>
            <a:effectLst/>
          </c:spPr>
          <c:marker>
            <c:symbol val="diamond"/>
            <c:size val="6"/>
            <c:spPr>
              <a:solidFill>
                <a:srgbClr val="263238"/>
              </a:solidFill>
              <a:ln w="6350">
                <a:noFill/>
              </a:ln>
            </c:spPr>
          </c:marker>
          <c:cat>
            <c:strRef>
              <c:f>'EM TOWERS'!$V$24:$V$33</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'EM TOWERS'!$W$24:$W$33</c:f>
              <c:numCache>
                <c:formatCode>0%</c:formatCode>
                <c:ptCount val="10"/>
                <c:pt idx="0">
                  <c:v>7.2861350679981049E-2</c:v>
                </c:pt>
                <c:pt idx="1">
                  <c:v>3.8482347546927351E-2</c:v>
                </c:pt>
                <c:pt idx="2">
                  <c:v>2.7963482492160768E-2</c:v>
                </c:pt>
                <c:pt idx="3">
                  <c:v>2.348351874407989E-2</c:v>
                </c:pt>
                <c:pt idx="4">
                  <c:v>0</c:v>
                </c:pt>
                <c:pt idx="5">
                  <c:v>0</c:v>
                </c:pt>
                <c:pt idx="6">
                  <c:v>0.3405425426020191</c:v>
                </c:pt>
                <c:pt idx="7">
                  <c:v>5.5425686702574931E-2</c:v>
                </c:pt>
                <c:pt idx="8">
                  <c:v>7.3373413699260481E-2</c:v>
                </c:pt>
                <c:pt idx="9">
                  <c:v>0.34054254260201905</c:v>
                </c:pt>
              </c:numCache>
            </c:numRef>
          </c:val>
          <c:extLst>
            <c:ext xmlns:c16="http://schemas.microsoft.com/office/drawing/2014/chart" uri="{C3380CC4-5D6E-409C-BE32-E72D297353CC}">
              <c16:uniqueId val="{00000000-2564-4BE1-820B-ABF83F0782F1}"/>
            </c:ext>
          </c:extLst>
        </c:ser>
        <c:ser>
          <c:idx val="1"/>
          <c:order val="1"/>
          <c:tx>
            <c:strRef>
              <c:f>'EM TOWERS'!$X$23</c:f>
              <c:strCache>
                <c:ptCount val="1"/>
                <c:pt idx="0">
                  <c:v>EM Aggregate</c:v>
                </c:pt>
              </c:strCache>
            </c:strRef>
          </c:tx>
          <c:spPr>
            <a:ln w="25400">
              <a:solidFill>
                <a:srgbClr val="799098"/>
              </a:solidFill>
              <a:prstDash val="solid"/>
            </a:ln>
            <a:effectLst/>
          </c:spPr>
          <c:marker>
            <c:symbol val="diamond"/>
            <c:size val="6"/>
            <c:spPr>
              <a:solidFill>
                <a:srgbClr val="799098"/>
              </a:solidFill>
              <a:ln w="6350">
                <a:noFill/>
              </a:ln>
            </c:spPr>
          </c:marker>
          <c:cat>
            <c:strRef>
              <c:f>'EM TOWERS'!$V$24:$V$33</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'EM TOWERS'!$X$24:$X$33</c:f>
              <c:numCache>
                <c:formatCode>0%</c:formatCode>
                <c:ptCount val="10"/>
                <c:pt idx="0">
                  <c:v>1</c:v>
                </c:pt>
                <c:pt idx="1">
                  <c:v>1</c:v>
                </c:pt>
                <c:pt idx="2">
                  <c:v>1</c:v>
                </c:pt>
                <c:pt idx="3">
                  <c:v>1</c:v>
                </c:pt>
                <c:pt idx="4">
                  <c:v>1</c:v>
                </c:pt>
                <c:pt idx="5">
                  <c:v>1</c:v>
                </c:pt>
                <c:pt idx="6">
                  <c:v>1</c:v>
                </c:pt>
                <c:pt idx="7">
                  <c:v>1</c:v>
                </c:pt>
                <c:pt idx="8">
                  <c:v>1</c:v>
                </c:pt>
                <c:pt idx="9">
                  <c:v>1</c:v>
                </c:pt>
              </c:numCache>
            </c:numRef>
          </c:val>
          <c:extLst>
            <c:ext xmlns:c16="http://schemas.microsoft.com/office/drawing/2014/chart" uri="{C3380CC4-5D6E-409C-BE32-E72D297353CC}">
              <c16:uniqueId val="{00000001-2564-4BE1-820B-ABF83F0782F1}"/>
            </c:ext>
          </c:extLst>
        </c:ser>
        <c:dLbls>
          <c:showLegendKey val="0"/>
          <c:showVal val="0"/>
          <c:showCatName val="0"/>
          <c:showSerName val="0"/>
          <c:showPercent val="0"/>
          <c:showBubbleSize val="0"/>
        </c:dLbls>
        <c:axId val="353080832"/>
        <c:axId val="353082752"/>
      </c:radarChart>
      <c:catAx>
        <c:axId val="353080832"/>
        <c:scaling>
          <c:orientation val="minMax"/>
        </c:scaling>
        <c:delete val="0"/>
        <c:axPos val="b"/>
        <c:numFmt formatCode="General" sourceLinked="1"/>
        <c:majorTickMark val="out"/>
        <c:minorTickMark val="none"/>
        <c:tickLblPos val="nextTo"/>
        <c:spPr>
          <a:ln>
            <a:solidFill>
              <a:srgbClr val="B3B3B3"/>
            </a:solidFill>
          </a:ln>
        </c:spPr>
        <c:txPr>
          <a:bodyPr rot="0" vert="horz"/>
          <a:lstStyle/>
          <a:p>
            <a:pPr>
              <a:defRPr/>
            </a:pPr>
            <a:endParaRPr lang="en-US"/>
          </a:p>
        </c:txPr>
        <c:crossAx val="353082752"/>
        <c:crosses val="autoZero"/>
        <c:auto val="0"/>
        <c:lblAlgn val="ctr"/>
        <c:lblOffset val="100"/>
        <c:noMultiLvlLbl val="0"/>
      </c:catAx>
      <c:valAx>
        <c:axId val="353082752"/>
        <c:scaling>
          <c:orientation val="minMax"/>
          <c:max val="4"/>
          <c:min val="-4"/>
        </c:scaling>
        <c:delete val="0"/>
        <c:axPos val="l"/>
        <c:numFmt formatCode="0%" sourceLinked="1"/>
        <c:majorTickMark val="cross"/>
        <c:minorTickMark val="none"/>
        <c:tickLblPos val="nextTo"/>
        <c:spPr>
          <a:ln w="3175">
            <a:solidFill>
              <a:srgbClr val="B3B3B3"/>
            </a:solidFill>
            <a:prstDash val="solid"/>
          </a:ln>
        </c:spPr>
        <c:txPr>
          <a:bodyPr rot="0" vert="horz"/>
          <a:lstStyle/>
          <a:p>
            <a:pPr>
              <a:defRPr/>
            </a:pPr>
            <a:endParaRPr lang="en-US"/>
          </a:p>
        </c:txPr>
        <c:crossAx val="353080832"/>
        <c:crosses val="autoZero"/>
        <c:crossBetween val="between"/>
      </c:valAx>
      <c:spPr>
        <a:noFill/>
        <a:ln w="25400">
          <a:noFill/>
        </a:ln>
      </c:spPr>
    </c:plotArea>
    <c:legend>
      <c:legendPos val="b"/>
      <c:overlay val="0"/>
      <c:spPr>
        <a:noFill/>
        <a:ln w="25400">
          <a:noFill/>
        </a:ln>
      </c:spPr>
    </c:legend>
    <c:plotVisOnly val="1"/>
    <c:dispBlanksAs val="gap"/>
    <c:showDLblsOverMax val="0"/>
  </c:chart>
  <c:spPr>
    <a:noFill/>
    <a:ln w="25400">
      <a:noFill/>
    </a:ln>
    <a:effectLst/>
  </c:spPr>
  <c:txPr>
    <a:bodyPr/>
    <a:lstStyle/>
    <a:p>
      <a:pPr>
        <a:defRPr sz="1000" b="0" i="0" u="none" strike="noStrike" baseline="0">
          <a:solidFill>
            <a:srgbClr val="595959"/>
          </a:solidFill>
          <a:latin typeface="Arial Narrow"/>
          <a:ea typeface="Arial Narrow"/>
          <a:cs typeface="Arial Narrow"/>
        </a:defRPr>
      </a:pPr>
      <a:endParaRPr lang="en-US"/>
    </a:p>
  </c:txPr>
  <c:printSettings>
    <c:headerFooter alignWithMargins="0"/>
    <c:pageMargins b="1" l="0.75000000000000111" r="0.75000000000000111" t="1" header="0.5" footer="0.5"/>
    <c:pageSetup orientation="landscape"/>
  </c:printSettings>
</c:chartSpace>
</file>

<file path=xl/charts/chart1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0939153002643205"/>
          <c:y val="0.10625000000000002"/>
          <c:w val="0.45983399848199175"/>
          <c:h val="0.69082202708382356"/>
        </c:manualLayout>
      </c:layout>
      <c:radarChart>
        <c:radarStyle val="marker"/>
        <c:varyColors val="0"/>
        <c:ser>
          <c:idx val="0"/>
          <c:order val="0"/>
          <c:tx>
            <c:strRef>
              <c:f>'AGG EM'!$W$23</c:f>
              <c:strCache>
                <c:ptCount val="1"/>
                <c:pt idx="0">
                  <c:v>EM sector</c:v>
                </c:pt>
              </c:strCache>
            </c:strRef>
          </c:tx>
          <c:spPr>
            <a:ln w="25400">
              <a:solidFill>
                <a:srgbClr val="263238"/>
              </a:solidFill>
              <a:prstDash val="solid"/>
            </a:ln>
            <a:effectLst/>
          </c:spPr>
          <c:marker>
            <c:symbol val="diamond"/>
            <c:size val="6"/>
            <c:spPr>
              <a:solidFill>
                <a:srgbClr val="263238"/>
              </a:solidFill>
              <a:ln w="6350">
                <a:noFill/>
              </a:ln>
            </c:spPr>
          </c:marker>
          <c:cat>
            <c:strRef>
              <c:f>'AGG EM'!$V$24:$V$33</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'AGG EM'!$W$24:$W$33</c:f>
              <c:numCache>
                <c:formatCode>_-* #,##0.0_-;\-* #,##0.0_-;_-* "-"?_-;_-@_-</c:formatCode>
                <c:ptCount val="10"/>
                <c:pt idx="0">
                  <c:v>15.337713364971957</c:v>
                </c:pt>
                <c:pt idx="1">
                  <c:v>14.925734116156372</c:v>
                </c:pt>
                <c:pt idx="2">
                  <c:v>16.989663280391962</c:v>
                </c:pt>
                <c:pt idx="3">
                  <c:v>15.882388350211523</c:v>
                </c:pt>
                <c:pt idx="4">
                  <c:v>19.33935078376587</c:v>
                </c:pt>
                <c:pt idx="5">
                  <c:v>13.052231552992048</c:v>
                </c:pt>
                <c:pt idx="6">
                  <c:v>1.4641384238856039</c:v>
                </c:pt>
                <c:pt idx="7">
                  <c:v>17.0860919758601</c:v>
                </c:pt>
                <c:pt idx="8" formatCode="0%">
                  <c:v>13.426474386671067</c:v>
                </c:pt>
                <c:pt idx="9" formatCode="0%">
                  <c:v>1.4641384238856041</c:v>
                </c:pt>
              </c:numCache>
            </c:numRef>
          </c:val>
          <c:extLst>
            <c:ext xmlns:c16="http://schemas.microsoft.com/office/drawing/2014/chart" uri="{C3380CC4-5D6E-409C-BE32-E72D297353CC}">
              <c16:uniqueId val="{00000000-74BA-4914-892D-73F262633CF6}"/>
            </c:ext>
          </c:extLst>
        </c:ser>
        <c:ser>
          <c:idx val="1"/>
          <c:order val="1"/>
          <c:tx>
            <c:strRef>
              <c:f>'AGG EM'!$X$23</c:f>
              <c:strCache>
                <c:ptCount val="1"/>
                <c:pt idx="0">
                  <c:v>DM sector</c:v>
                </c:pt>
              </c:strCache>
            </c:strRef>
          </c:tx>
          <c:spPr>
            <a:ln w="25400">
              <a:solidFill>
                <a:srgbClr val="799098"/>
              </a:solidFill>
              <a:prstDash val="solid"/>
            </a:ln>
            <a:effectLst/>
          </c:spPr>
          <c:marker>
            <c:symbol val="diamond"/>
            <c:size val="6"/>
            <c:spPr>
              <a:solidFill>
                <a:srgbClr val="799098"/>
              </a:solidFill>
              <a:ln w="6350">
                <a:noFill/>
              </a:ln>
            </c:spPr>
          </c:marker>
          <c:cat>
            <c:strRef>
              <c:f>'AGG EM'!$V$24:$V$33</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'AGG EM'!$X$24:$X$33</c:f>
              <c:numCache>
                <c:formatCode>0%</c:formatCode>
                <c:ptCount val="10"/>
                <c:pt idx="0">
                  <c:v>1</c:v>
                </c:pt>
                <c:pt idx="1">
                  <c:v>1</c:v>
                </c:pt>
                <c:pt idx="2">
                  <c:v>1</c:v>
                </c:pt>
                <c:pt idx="3">
                  <c:v>1</c:v>
                </c:pt>
                <c:pt idx="4">
                  <c:v>1</c:v>
                </c:pt>
                <c:pt idx="5">
                  <c:v>1</c:v>
                </c:pt>
                <c:pt idx="6">
                  <c:v>1</c:v>
                </c:pt>
                <c:pt idx="7">
                  <c:v>1</c:v>
                </c:pt>
                <c:pt idx="8">
                  <c:v>1</c:v>
                </c:pt>
                <c:pt idx="9">
                  <c:v>1</c:v>
                </c:pt>
              </c:numCache>
            </c:numRef>
          </c:val>
          <c:extLst>
            <c:ext xmlns:c16="http://schemas.microsoft.com/office/drawing/2014/chart" uri="{C3380CC4-5D6E-409C-BE32-E72D297353CC}">
              <c16:uniqueId val="{00000001-74BA-4914-892D-73F262633CF6}"/>
            </c:ext>
          </c:extLst>
        </c:ser>
        <c:dLbls>
          <c:showLegendKey val="0"/>
          <c:showVal val="0"/>
          <c:showCatName val="0"/>
          <c:showSerName val="0"/>
          <c:showPercent val="0"/>
          <c:showBubbleSize val="0"/>
        </c:dLbls>
        <c:axId val="360079744"/>
        <c:axId val="360081664"/>
      </c:radarChart>
      <c:catAx>
        <c:axId val="360079744"/>
        <c:scaling>
          <c:orientation val="minMax"/>
        </c:scaling>
        <c:delete val="0"/>
        <c:axPos val="b"/>
        <c:numFmt formatCode="General" sourceLinked="1"/>
        <c:majorTickMark val="out"/>
        <c:minorTickMark val="none"/>
        <c:tickLblPos val="nextTo"/>
        <c:spPr>
          <a:ln>
            <a:solidFill>
              <a:srgbClr val="B3B3B3"/>
            </a:solidFill>
          </a:ln>
        </c:spPr>
        <c:txPr>
          <a:bodyPr rot="0" vert="horz"/>
          <a:lstStyle/>
          <a:p>
            <a:pPr>
              <a:defRPr/>
            </a:pPr>
            <a:endParaRPr lang="en-US"/>
          </a:p>
        </c:txPr>
        <c:crossAx val="360081664"/>
        <c:crosses val="autoZero"/>
        <c:auto val="0"/>
        <c:lblAlgn val="ctr"/>
        <c:lblOffset val="100"/>
        <c:noMultiLvlLbl val="0"/>
      </c:catAx>
      <c:valAx>
        <c:axId val="360081664"/>
        <c:scaling>
          <c:orientation val="minMax"/>
        </c:scaling>
        <c:delete val="0"/>
        <c:axPos val="l"/>
        <c:numFmt formatCode="_-* #,##0.0_-;\-* #,##0.0_-;_-* &quot;-&quot;?_-;_-@_-" sourceLinked="1"/>
        <c:majorTickMark val="cross"/>
        <c:minorTickMark val="none"/>
        <c:tickLblPos val="nextTo"/>
        <c:spPr>
          <a:ln w="3175">
            <a:solidFill>
              <a:srgbClr val="B3B3B3"/>
            </a:solidFill>
            <a:prstDash val="solid"/>
          </a:ln>
        </c:spPr>
        <c:txPr>
          <a:bodyPr rot="0" vert="horz"/>
          <a:lstStyle/>
          <a:p>
            <a:pPr>
              <a:defRPr/>
            </a:pPr>
            <a:endParaRPr lang="en-US"/>
          </a:p>
        </c:txPr>
        <c:crossAx val="360079744"/>
        <c:crosses val="autoZero"/>
        <c:crossBetween val="between"/>
      </c:valAx>
      <c:spPr>
        <a:noFill/>
        <a:ln w="25400">
          <a:noFill/>
        </a:ln>
      </c:spPr>
    </c:plotArea>
    <c:legend>
      <c:legendPos val="b"/>
      <c:overlay val="0"/>
      <c:spPr>
        <a:noFill/>
        <a:ln w="25400">
          <a:noFill/>
        </a:ln>
      </c:spPr>
    </c:legend>
    <c:plotVisOnly val="1"/>
    <c:dispBlanksAs val="gap"/>
    <c:showDLblsOverMax val="0"/>
  </c:chart>
  <c:spPr>
    <a:noFill/>
    <a:ln w="25400">
      <a:noFill/>
    </a:ln>
    <a:effectLst/>
  </c:spPr>
  <c:txPr>
    <a:bodyPr/>
    <a:lstStyle/>
    <a:p>
      <a:pPr>
        <a:defRPr sz="1000" b="0" i="0" u="none" strike="noStrike" baseline="0">
          <a:solidFill>
            <a:srgbClr val="595959"/>
          </a:solidFill>
          <a:latin typeface="Arial Narrow"/>
          <a:ea typeface="Arial Narrow"/>
          <a:cs typeface="Arial Narrow"/>
        </a:defRPr>
      </a:pPr>
      <a:endParaRPr lang="en-US"/>
    </a:p>
  </c:txPr>
  <c:printSettings>
    <c:headerFooter alignWithMargins="0"/>
    <c:pageMargins b="1" l="0.75000000000000111" r="0.75000000000000111" t="1" header="0.5" footer="0.5"/>
    <c:pageSetup orientation="landscape"/>
  </c:printSettings>
</c:chartSpace>
</file>

<file path=xl/charts/chart1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Pt>
            <c:idx val="0"/>
            <c:bubble3D val="0"/>
            <c:spPr>
              <a:solidFill>
                <a:srgbClr val="263238"/>
              </a:solidFill>
              <a:ln w="25400">
                <a:noFill/>
              </a:ln>
              <a:effectLst/>
            </c:spPr>
            <c:extLst>
              <c:ext xmlns:c16="http://schemas.microsoft.com/office/drawing/2014/chart" uri="{C3380CC4-5D6E-409C-BE32-E72D297353CC}">
                <c16:uniqueId val="{00000004-F77B-49DD-913D-FBADE3F2E44A}"/>
              </c:ext>
            </c:extLst>
          </c:dPt>
          <c:dPt>
            <c:idx val="1"/>
            <c:bubble3D val="0"/>
            <c:spPr>
              <a:solidFill>
                <a:srgbClr val="799098"/>
              </a:solidFill>
              <a:ln w="25400">
                <a:noFill/>
              </a:ln>
              <a:effectLst/>
            </c:spPr>
            <c:extLst>
              <c:ext xmlns:c16="http://schemas.microsoft.com/office/drawing/2014/chart" uri="{C3380CC4-5D6E-409C-BE32-E72D297353CC}">
                <c16:uniqueId val="{00000005-F77B-49DD-913D-FBADE3F2E44A}"/>
              </c:ext>
            </c:extLst>
          </c:dPt>
          <c:dPt>
            <c:idx val="2"/>
            <c:bubble3D val="0"/>
            <c:spPr>
              <a:solidFill>
                <a:srgbClr val="F9663E"/>
              </a:solidFill>
              <a:ln w="25400">
                <a:noFill/>
              </a:ln>
              <a:effectLst/>
            </c:spPr>
            <c:extLst>
              <c:ext xmlns:c16="http://schemas.microsoft.com/office/drawing/2014/chart" uri="{C3380CC4-5D6E-409C-BE32-E72D297353CC}">
                <c16:uniqueId val="{00000006-F77B-49DD-913D-FBADE3F2E44A}"/>
              </c:ext>
            </c:extLst>
          </c:dPt>
          <c:dPt>
            <c:idx val="3"/>
            <c:bubble3D val="0"/>
            <c:spPr>
              <a:solidFill>
                <a:srgbClr val="C7FE02"/>
              </a:solidFill>
              <a:ln w="25400">
                <a:noFill/>
              </a:ln>
              <a:effectLst/>
            </c:spPr>
            <c:extLst>
              <c:ext xmlns:c16="http://schemas.microsoft.com/office/drawing/2014/chart" uri="{C3380CC4-5D6E-409C-BE32-E72D297353CC}">
                <c16:uniqueId val="{00000007-F77B-49DD-913D-FBADE3F2E44A}"/>
              </c:ext>
            </c:extLst>
          </c:dPt>
          <c:dPt>
            <c:idx val="4"/>
            <c:bubble3D val="0"/>
            <c:spPr>
              <a:solidFill>
                <a:srgbClr val="00C994"/>
              </a:solidFill>
              <a:ln w="25400">
                <a:noFill/>
              </a:ln>
              <a:effectLst/>
            </c:spPr>
            <c:extLst>
              <c:ext xmlns:c16="http://schemas.microsoft.com/office/drawing/2014/chart" uri="{C3380CC4-5D6E-409C-BE32-E72D297353CC}">
                <c16:uniqueId val="{00000008-F77B-49DD-913D-FBADE3F2E44A}"/>
              </c:ext>
            </c:extLst>
          </c:dPt>
          <c:dPt>
            <c:idx val="5"/>
            <c:bubble3D val="0"/>
            <c:spPr>
              <a:solidFill>
                <a:srgbClr val="465A63"/>
              </a:solidFill>
              <a:ln w="25400">
                <a:noFill/>
              </a:ln>
              <a:effectLst/>
            </c:spPr>
            <c:extLst>
              <c:ext xmlns:c16="http://schemas.microsoft.com/office/drawing/2014/chart" uri="{C3380CC4-5D6E-409C-BE32-E72D297353CC}">
                <c16:uniqueId val="{00000009-F77B-49DD-913D-FBADE3F2E44A}"/>
              </c:ext>
            </c:extLst>
          </c:dPt>
          <c:dPt>
            <c:idx val="6"/>
            <c:bubble3D val="0"/>
            <c:spPr>
              <a:solidFill>
                <a:srgbClr val="B0BEC5"/>
              </a:solidFill>
              <a:ln w="25400">
                <a:noFill/>
              </a:ln>
              <a:effectLst/>
            </c:spPr>
            <c:extLst>
              <c:ext xmlns:c16="http://schemas.microsoft.com/office/drawing/2014/chart" uri="{C3380CC4-5D6E-409C-BE32-E72D297353CC}">
                <c16:uniqueId val="{0000000A-F77B-49DD-913D-FBADE3F2E44A}"/>
              </c:ext>
            </c:extLst>
          </c:dPt>
          <c:dPt>
            <c:idx val="7"/>
            <c:bubble3D val="0"/>
            <c:spPr>
              <a:solidFill>
                <a:srgbClr val="F19375"/>
              </a:solidFill>
              <a:ln w="25400">
                <a:noFill/>
              </a:ln>
              <a:effectLst/>
            </c:spPr>
            <c:extLst>
              <c:ext xmlns:c16="http://schemas.microsoft.com/office/drawing/2014/chart" uri="{C3380CC4-5D6E-409C-BE32-E72D297353CC}">
                <c16:uniqueId val="{0000000B-F77B-49DD-913D-FBADE3F2E44A}"/>
              </c:ext>
            </c:extLst>
          </c:dPt>
          <c:dPt>
            <c:idx val="8"/>
            <c:bubble3D val="0"/>
            <c:spPr>
              <a:solidFill>
                <a:srgbClr val="E3F982"/>
              </a:solidFill>
              <a:ln w="25400">
                <a:noFill/>
              </a:ln>
              <a:effectLst/>
            </c:spPr>
            <c:extLst>
              <c:ext xmlns:c16="http://schemas.microsoft.com/office/drawing/2014/chart" uri="{C3380CC4-5D6E-409C-BE32-E72D297353CC}">
                <c16:uniqueId val="{0000000C-F77B-49DD-913D-FBADE3F2E44A}"/>
              </c:ext>
            </c:extLst>
          </c:dPt>
          <c:dLbls>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FFFFFF"/>
                      </a:solidFill>
                      <a:latin typeface="Arial Narrow"/>
                      <a:ea typeface="Arial Narrow"/>
                      <a:cs typeface="Arial Narrow"/>
                    </a:defRPr>
                  </a:pPr>
                  <a:endParaRPr lang="en-US"/>
                </a:p>
              </c:txPr>
              <c:showLegendKey val="0"/>
              <c:showVal val="1"/>
              <c:showCatName val="0"/>
              <c:showSerName val="0"/>
              <c:showPercent val="0"/>
              <c:showBubbleSize val="0"/>
              <c:extLst>
                <c:ext xmlns:c16="http://schemas.microsoft.com/office/drawing/2014/chart" uri="{C3380CC4-5D6E-409C-BE32-E72D297353CC}">
                  <c16:uniqueId val="{00000004-F77B-49DD-913D-FBADE3F2E44A}"/>
                </c:ext>
              </c:extLst>
            </c:dLbl>
            <c:dLbl>
              <c:idx val="1"/>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FFFFFF"/>
                      </a:solidFill>
                      <a:latin typeface="Arial Narrow"/>
                      <a:ea typeface="Arial Narrow"/>
                      <a:cs typeface="Arial Narrow"/>
                    </a:defRPr>
                  </a:pPr>
                  <a:endParaRPr lang="en-US"/>
                </a:p>
              </c:txPr>
              <c:showLegendKey val="0"/>
              <c:showVal val="1"/>
              <c:showCatName val="0"/>
              <c:showSerName val="0"/>
              <c:showPercent val="0"/>
              <c:showBubbleSize val="0"/>
              <c:extLst>
                <c:ext xmlns:c16="http://schemas.microsoft.com/office/drawing/2014/chart" uri="{C3380CC4-5D6E-409C-BE32-E72D297353CC}">
                  <c16:uniqueId val="{00000005-F77B-49DD-913D-FBADE3F2E44A}"/>
                </c:ext>
              </c:extLst>
            </c:dLbl>
            <c:dLbl>
              <c:idx val="5"/>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FFFFFF"/>
                      </a:solidFill>
                      <a:latin typeface="Arial Narrow"/>
                      <a:ea typeface="Arial Narrow"/>
                      <a:cs typeface="Arial Narrow"/>
                    </a:defRPr>
                  </a:pPr>
                  <a:endParaRPr lang="en-US"/>
                </a:p>
              </c:txPr>
              <c:showLegendKey val="0"/>
              <c:showVal val="1"/>
              <c:showCatName val="0"/>
              <c:showSerName val="0"/>
              <c:showPercent val="0"/>
              <c:showBubbleSize val="0"/>
              <c:extLst>
                <c:ext xmlns:c16="http://schemas.microsoft.com/office/drawing/2014/chart" uri="{C3380CC4-5D6E-409C-BE32-E72D297353CC}">
                  <c16:uniqueId val="{00000009-F77B-49DD-913D-FBADE3F2E44A}"/>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595959"/>
                    </a:solidFill>
                    <a:latin typeface="Arial Narrow"/>
                    <a:ea typeface="Arial Narrow"/>
                    <a:cs typeface="Arial Narrow"/>
                  </a:defRPr>
                </a:pPr>
                <a:endParaRPr lang="en-US"/>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AXISOP!$T$48:$T$56</c:f>
              <c:strCache>
                <c:ptCount val="9"/>
                <c:pt idx="0">
                  <c:v>Malaysia</c:v>
                </c:pt>
                <c:pt idx="1">
                  <c:v>XL Axiata</c:v>
                </c:pt>
                <c:pt idx="2">
                  <c:v>Sri Lanka</c:v>
                </c:pt>
                <c:pt idx="3">
                  <c:v>Bangladesh</c:v>
                </c:pt>
                <c:pt idx="4">
                  <c:v>Nepal</c:v>
                </c:pt>
                <c:pt idx="5">
                  <c:v>Cambodia</c:v>
                </c:pt>
                <c:pt idx="6">
                  <c:v>Other</c:v>
                </c:pt>
                <c:pt idx="7">
                  <c:v>Mobileone (Singapore)</c:v>
                </c:pt>
                <c:pt idx="8">
                  <c:v>IDEA Cellular</c:v>
                </c:pt>
              </c:strCache>
            </c:strRef>
          </c:cat>
          <c:val>
            <c:numRef>
              <c:f>AXISOP!$X$48:$X$56</c:f>
              <c:numCache>
                <c:formatCode>0.0%</c:formatCode>
                <c:ptCount val="9"/>
                <c:pt idx="0">
                  <c:v>0.21619774150752116</c:v>
                </c:pt>
                <c:pt idx="1">
                  <c:v>0.22918869875245498</c:v>
                </c:pt>
                <c:pt idx="2">
                  <c:v>9.6835063637659383E-2</c:v>
                </c:pt>
                <c:pt idx="3">
                  <c:v>6.4558011370594678E-2</c:v>
                </c:pt>
                <c:pt idx="4">
                  <c:v>4.313423324596323E-2</c:v>
                </c:pt>
                <c:pt idx="5">
                  <c:v>2.0213298185228157E-2</c:v>
                </c:pt>
                <c:pt idx="6">
                  <c:v>0.14253685616576622</c:v>
                </c:pt>
                <c:pt idx="7">
                  <c:v>0</c:v>
                </c:pt>
                <c:pt idx="8">
                  <c:v>0</c:v>
                </c:pt>
              </c:numCache>
            </c:numRef>
          </c:val>
          <c:extLst>
            <c:ext xmlns:c16="http://schemas.microsoft.com/office/drawing/2014/chart" uri="{C3380CC4-5D6E-409C-BE32-E72D297353CC}">
              <c16:uniqueId val="{00000000-F77B-49DD-913D-FBADE3F2E44A}"/>
            </c:ext>
          </c:extLst>
        </c:ser>
        <c:dLbls>
          <c:showLegendKey val="0"/>
          <c:showVal val="0"/>
          <c:showCatName val="0"/>
          <c:showSerName val="0"/>
          <c:showPercent val="0"/>
          <c:showBubbleSize val="0"/>
          <c:showLeaderLines val="1"/>
        </c:dLbls>
        <c:firstSliceAng val="0"/>
      </c:pieChart>
      <c:spPr>
        <a:noFill/>
        <a:ln w="25400">
          <a:noFill/>
        </a:ln>
        <a:effectLst/>
      </c:spPr>
    </c:plotArea>
    <c:legend>
      <c:legendPos val="b"/>
      <c:overlay val="0"/>
      <c:spPr>
        <a:noFill/>
        <a:ln w="25400">
          <a:noFill/>
        </a:ln>
        <a:effectLst/>
      </c:spPr>
      <c:txPr>
        <a:bodyPr rot="0" spcFirstLastPara="1" vertOverflow="ellipsis" vert="horz" wrap="square" anchor="ctr" anchorCtr="1"/>
        <a:lstStyle/>
        <a:p>
          <a:pPr>
            <a:defRPr sz="1000" b="0" i="0" u="none" strike="noStrike" kern="1200" baseline="0">
              <a:solidFill>
                <a:srgbClr val="595959"/>
              </a:solidFill>
              <a:latin typeface="Arial Narrow"/>
              <a:ea typeface="Arial Narrow"/>
              <a:cs typeface="Arial Narrow"/>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sz="1000" b="0" i="0" u="none" strike="noStrike" baseline="0">
          <a:solidFill>
            <a:srgbClr val="595959"/>
          </a:solidFill>
          <a:latin typeface="Arial Narrow"/>
          <a:ea typeface="Arial Narrow"/>
          <a:cs typeface="Arial Narrow"/>
        </a:defRPr>
      </a:pPr>
      <a:endParaRPr lang="en-US"/>
    </a:p>
  </c:txPr>
  <c:printSettings>
    <c:headerFooter/>
    <c:pageMargins b="0.75" l="0.7" r="0.7" t="0.75" header="0.3" footer="0.3"/>
    <c:pageSetup/>
  </c:printSettings>
</c:chartSpace>
</file>

<file path=xl/charts/chart1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Pt>
            <c:idx val="0"/>
            <c:bubble3D val="0"/>
            <c:spPr>
              <a:solidFill>
                <a:srgbClr val="263238"/>
              </a:solidFill>
              <a:ln w="25400">
                <a:noFill/>
              </a:ln>
              <a:effectLst/>
            </c:spPr>
            <c:extLst>
              <c:ext xmlns:c16="http://schemas.microsoft.com/office/drawing/2014/chart" uri="{C3380CC4-5D6E-409C-BE32-E72D297353CC}">
                <c16:uniqueId val="{00000001-A034-46DB-8EB7-D97E4DA6C701}"/>
              </c:ext>
            </c:extLst>
          </c:dPt>
          <c:dPt>
            <c:idx val="1"/>
            <c:bubble3D val="0"/>
            <c:spPr>
              <a:solidFill>
                <a:srgbClr val="799098"/>
              </a:solidFill>
              <a:ln w="25400">
                <a:noFill/>
              </a:ln>
              <a:effectLst/>
            </c:spPr>
            <c:extLst>
              <c:ext xmlns:c16="http://schemas.microsoft.com/office/drawing/2014/chart" uri="{C3380CC4-5D6E-409C-BE32-E72D297353CC}">
                <c16:uniqueId val="{00000002-A034-46DB-8EB7-D97E4DA6C701}"/>
              </c:ext>
            </c:extLst>
          </c:dPt>
          <c:dPt>
            <c:idx val="2"/>
            <c:bubble3D val="0"/>
            <c:spPr>
              <a:solidFill>
                <a:srgbClr val="F9663E"/>
              </a:solidFill>
              <a:ln w="25400">
                <a:noFill/>
              </a:ln>
              <a:effectLst/>
            </c:spPr>
            <c:extLst>
              <c:ext xmlns:c16="http://schemas.microsoft.com/office/drawing/2014/chart" uri="{C3380CC4-5D6E-409C-BE32-E72D297353CC}">
                <c16:uniqueId val="{00000003-A034-46DB-8EB7-D97E4DA6C701}"/>
              </c:ext>
            </c:extLst>
          </c:dPt>
          <c:dPt>
            <c:idx val="3"/>
            <c:bubble3D val="0"/>
            <c:spPr>
              <a:solidFill>
                <a:srgbClr val="C7FE02"/>
              </a:solidFill>
              <a:ln w="25400">
                <a:noFill/>
              </a:ln>
              <a:effectLst/>
            </c:spPr>
            <c:extLst>
              <c:ext xmlns:c16="http://schemas.microsoft.com/office/drawing/2014/chart" uri="{C3380CC4-5D6E-409C-BE32-E72D297353CC}">
                <c16:uniqueId val="{00000004-A034-46DB-8EB7-D97E4DA6C701}"/>
              </c:ext>
            </c:extLst>
          </c:dPt>
          <c:dPt>
            <c:idx val="4"/>
            <c:bubble3D val="0"/>
            <c:spPr>
              <a:solidFill>
                <a:srgbClr val="00C994"/>
              </a:solidFill>
              <a:ln w="25400">
                <a:noFill/>
              </a:ln>
              <a:effectLst/>
            </c:spPr>
            <c:extLst>
              <c:ext xmlns:c16="http://schemas.microsoft.com/office/drawing/2014/chart" uri="{C3380CC4-5D6E-409C-BE32-E72D297353CC}">
                <c16:uniqueId val="{00000005-A034-46DB-8EB7-D97E4DA6C701}"/>
              </c:ext>
            </c:extLst>
          </c:dPt>
          <c:dPt>
            <c:idx val="5"/>
            <c:bubble3D val="0"/>
            <c:spPr>
              <a:solidFill>
                <a:srgbClr val="465A63"/>
              </a:solidFill>
              <a:ln w="25400">
                <a:noFill/>
              </a:ln>
              <a:effectLst/>
            </c:spPr>
            <c:extLst>
              <c:ext xmlns:c16="http://schemas.microsoft.com/office/drawing/2014/chart" uri="{C3380CC4-5D6E-409C-BE32-E72D297353CC}">
                <c16:uniqueId val="{00000006-A034-46DB-8EB7-D97E4DA6C701}"/>
              </c:ext>
            </c:extLst>
          </c:dPt>
          <c:dPt>
            <c:idx val="6"/>
            <c:bubble3D val="0"/>
            <c:spPr>
              <a:solidFill>
                <a:srgbClr val="B0BEC5"/>
              </a:solidFill>
              <a:ln w="25400">
                <a:noFill/>
              </a:ln>
              <a:effectLst/>
            </c:spPr>
            <c:extLst>
              <c:ext xmlns:c16="http://schemas.microsoft.com/office/drawing/2014/chart" uri="{C3380CC4-5D6E-409C-BE32-E72D297353CC}">
                <c16:uniqueId val="{00000007-A034-46DB-8EB7-D97E4DA6C701}"/>
              </c:ext>
            </c:extLst>
          </c:dPt>
          <c:dPt>
            <c:idx val="7"/>
            <c:bubble3D val="0"/>
            <c:spPr>
              <a:solidFill>
                <a:srgbClr val="F19375"/>
              </a:solidFill>
              <a:ln w="25400">
                <a:noFill/>
              </a:ln>
              <a:effectLst/>
            </c:spPr>
            <c:extLst>
              <c:ext xmlns:c16="http://schemas.microsoft.com/office/drawing/2014/chart" uri="{C3380CC4-5D6E-409C-BE32-E72D297353CC}">
                <c16:uniqueId val="{00000008-A034-46DB-8EB7-D97E4DA6C701}"/>
              </c:ext>
            </c:extLst>
          </c:dPt>
          <c:dPt>
            <c:idx val="8"/>
            <c:bubble3D val="0"/>
            <c:spPr>
              <a:solidFill>
                <a:srgbClr val="E3F982"/>
              </a:solidFill>
              <a:ln w="25400">
                <a:noFill/>
              </a:ln>
              <a:effectLst/>
            </c:spPr>
            <c:extLst>
              <c:ext xmlns:c16="http://schemas.microsoft.com/office/drawing/2014/chart" uri="{C3380CC4-5D6E-409C-BE32-E72D297353CC}">
                <c16:uniqueId val="{00000009-A034-46DB-8EB7-D97E4DA6C701}"/>
              </c:ext>
            </c:extLst>
          </c:dPt>
          <c:dLbls>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FFFFFF"/>
                      </a:solidFill>
                      <a:latin typeface="Arial Narrow"/>
                      <a:ea typeface="Arial Narrow"/>
                      <a:cs typeface="Arial Narrow"/>
                    </a:defRPr>
                  </a:pPr>
                  <a:endParaRPr lang="en-US"/>
                </a:p>
              </c:txPr>
              <c:showLegendKey val="0"/>
              <c:showVal val="1"/>
              <c:showCatName val="0"/>
              <c:showSerName val="0"/>
              <c:showPercent val="0"/>
              <c:showBubbleSize val="0"/>
              <c:extLst>
                <c:ext xmlns:c16="http://schemas.microsoft.com/office/drawing/2014/chart" uri="{C3380CC4-5D6E-409C-BE32-E72D297353CC}">
                  <c16:uniqueId val="{00000001-A034-46DB-8EB7-D97E4DA6C701}"/>
                </c:ext>
              </c:extLst>
            </c:dLbl>
            <c:dLbl>
              <c:idx val="1"/>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FFFFFF"/>
                      </a:solidFill>
                      <a:latin typeface="Arial Narrow"/>
                      <a:ea typeface="Arial Narrow"/>
                      <a:cs typeface="Arial Narrow"/>
                    </a:defRPr>
                  </a:pPr>
                  <a:endParaRPr lang="en-US"/>
                </a:p>
              </c:txPr>
              <c:showLegendKey val="0"/>
              <c:showVal val="1"/>
              <c:showCatName val="0"/>
              <c:showSerName val="0"/>
              <c:showPercent val="0"/>
              <c:showBubbleSize val="0"/>
              <c:extLst>
                <c:ext xmlns:c16="http://schemas.microsoft.com/office/drawing/2014/chart" uri="{C3380CC4-5D6E-409C-BE32-E72D297353CC}">
                  <c16:uniqueId val="{00000002-A034-46DB-8EB7-D97E4DA6C701}"/>
                </c:ext>
              </c:extLst>
            </c:dLbl>
            <c:dLbl>
              <c:idx val="5"/>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FFFFFF"/>
                      </a:solidFill>
                      <a:latin typeface="Arial Narrow"/>
                      <a:ea typeface="Arial Narrow"/>
                      <a:cs typeface="Arial Narrow"/>
                    </a:defRPr>
                  </a:pPr>
                  <a:endParaRPr lang="en-US"/>
                </a:p>
              </c:txPr>
              <c:showLegendKey val="0"/>
              <c:showVal val="1"/>
              <c:showCatName val="0"/>
              <c:showSerName val="0"/>
              <c:showPercent val="0"/>
              <c:showBubbleSize val="0"/>
              <c:extLst>
                <c:ext xmlns:c16="http://schemas.microsoft.com/office/drawing/2014/chart" uri="{C3380CC4-5D6E-409C-BE32-E72D297353CC}">
                  <c16:uniqueId val="{00000006-A034-46DB-8EB7-D97E4DA6C701}"/>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595959"/>
                    </a:solidFill>
                    <a:latin typeface="Arial Narrow"/>
                    <a:ea typeface="Arial Narrow"/>
                    <a:cs typeface="Arial Narrow"/>
                  </a:defRPr>
                </a:pPr>
                <a:endParaRPr lang="en-US"/>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BHARTSOP!$T$42:$T$50</c:f>
              <c:strCache>
                <c:ptCount val="9"/>
                <c:pt idx="0">
                  <c:v>Indian Mobile</c:v>
                </c:pt>
                <c:pt idx="1">
                  <c:v>South Asian Mobile</c:v>
                </c:pt>
                <c:pt idx="2">
                  <c:v>Digital TV</c:v>
                </c:pt>
                <c:pt idx="3">
                  <c:v>Home services</c:v>
                </c:pt>
                <c:pt idx="4">
                  <c:v>Enterprise</c:v>
                </c:pt>
                <c:pt idx="5">
                  <c:v>Infratel</c:v>
                </c:pt>
                <c:pt idx="6">
                  <c:v>Africa</c:v>
                </c:pt>
                <c:pt idx="7">
                  <c:v>Bangladesh (ROBI)</c:v>
                </c:pt>
                <c:pt idx="8">
                  <c:v>Overhead</c:v>
                </c:pt>
              </c:strCache>
            </c:strRef>
          </c:cat>
          <c:val>
            <c:numRef>
              <c:f>BHARTSOP!$X$42:$X$50</c:f>
              <c:numCache>
                <c:formatCode>0.0%</c:formatCode>
                <c:ptCount val="9"/>
                <c:pt idx="0">
                  <c:v>0.67223829584795225</c:v>
                </c:pt>
                <c:pt idx="1">
                  <c:v>-3.9357380669427484E-4</c:v>
                </c:pt>
                <c:pt idx="2">
                  <c:v>4.3374228391439236E-2</c:v>
                </c:pt>
                <c:pt idx="3">
                  <c:v>2.0253117253242362E-2</c:v>
                </c:pt>
                <c:pt idx="4">
                  <c:v>0.12906507172079479</c:v>
                </c:pt>
                <c:pt idx="5">
                  <c:v>7.2656672249528403E-2</c:v>
                </c:pt>
                <c:pt idx="6">
                  <c:v>7.5288440722208139E-2</c:v>
                </c:pt>
                <c:pt idx="7">
                  <c:v>2.4007025111790598E-3</c:v>
                </c:pt>
                <c:pt idx="8">
                  <c:v>-1.4882954889650033E-2</c:v>
                </c:pt>
              </c:numCache>
            </c:numRef>
          </c:val>
          <c:extLst>
            <c:ext xmlns:c16="http://schemas.microsoft.com/office/drawing/2014/chart" uri="{C3380CC4-5D6E-409C-BE32-E72D297353CC}">
              <c16:uniqueId val="{00000000-A034-46DB-8EB7-D97E4DA6C701}"/>
            </c:ext>
          </c:extLst>
        </c:ser>
        <c:dLbls>
          <c:showLegendKey val="0"/>
          <c:showVal val="0"/>
          <c:showCatName val="0"/>
          <c:showSerName val="0"/>
          <c:showPercent val="0"/>
          <c:showBubbleSize val="0"/>
          <c:showLeaderLines val="1"/>
        </c:dLbls>
        <c:firstSliceAng val="0"/>
      </c:pieChart>
      <c:spPr>
        <a:noFill/>
        <a:ln w="25400">
          <a:noFill/>
        </a:ln>
        <a:effectLst/>
      </c:spPr>
    </c:plotArea>
    <c:legend>
      <c:legendPos val="b"/>
      <c:overlay val="0"/>
      <c:spPr>
        <a:noFill/>
        <a:ln w="25400">
          <a:noFill/>
        </a:ln>
        <a:effectLst/>
      </c:spPr>
      <c:txPr>
        <a:bodyPr rot="0" spcFirstLastPara="1" vertOverflow="ellipsis" vert="horz" wrap="square" anchor="ctr" anchorCtr="1"/>
        <a:lstStyle/>
        <a:p>
          <a:pPr>
            <a:defRPr sz="1000" b="0" i="0" u="none" strike="noStrike" kern="1200" baseline="0">
              <a:solidFill>
                <a:srgbClr val="595959"/>
              </a:solidFill>
              <a:latin typeface="Arial Narrow"/>
              <a:ea typeface="Arial Narrow"/>
              <a:cs typeface="Arial Narrow"/>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sz="1000" b="0" i="0" u="none" strike="noStrike" baseline="0">
          <a:solidFill>
            <a:srgbClr val="595959"/>
          </a:solidFill>
          <a:latin typeface="Arial Narrow"/>
          <a:ea typeface="Arial Narrow"/>
          <a:cs typeface="Arial Narrow"/>
        </a:defRPr>
      </a:pPr>
      <a:endParaRPr lang="en-US"/>
    </a:p>
  </c:txPr>
  <c:printSettings>
    <c:headerFooter/>
    <c:pageMargins b="0.75" l="0.7" r="0.7" t="0.75" header="0.3" footer="0.3"/>
    <c:pageSetup/>
  </c:printSettings>
</c:chartSpace>
</file>

<file path=xl/charts/chart1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108340612871371"/>
          <c:y val="8.8700630794068355E-2"/>
          <c:w val="0.6917293233082723"/>
          <c:h val="0.6917293233082723"/>
        </c:manualLayout>
      </c:layout>
      <c:pieChart>
        <c:varyColors val="1"/>
        <c:ser>
          <c:idx val="0"/>
          <c:order val="0"/>
          <c:spPr>
            <a:solidFill>
              <a:srgbClr val="9999FF"/>
            </a:solidFill>
            <a:ln w="25400">
              <a:noFill/>
            </a:ln>
          </c:spPr>
          <c:dPt>
            <c:idx val="0"/>
            <c:bubble3D val="0"/>
            <c:spPr>
              <a:solidFill>
                <a:srgbClr val="263238"/>
              </a:solidFill>
              <a:ln w="25400">
                <a:noFill/>
              </a:ln>
              <a:effectLst/>
            </c:spPr>
            <c:extLst>
              <c:ext xmlns:c16="http://schemas.microsoft.com/office/drawing/2014/chart" uri="{C3380CC4-5D6E-409C-BE32-E72D297353CC}">
                <c16:uniqueId val="{00000001-C4B9-439A-AA69-B54B8596768F}"/>
              </c:ext>
            </c:extLst>
          </c:dPt>
          <c:dPt>
            <c:idx val="1"/>
            <c:bubble3D val="0"/>
            <c:spPr>
              <a:solidFill>
                <a:srgbClr val="F9663E"/>
              </a:solidFill>
              <a:ln w="25400">
                <a:noFill/>
              </a:ln>
              <a:effectLst/>
            </c:spPr>
            <c:extLst>
              <c:ext xmlns:c16="http://schemas.microsoft.com/office/drawing/2014/chart" uri="{C3380CC4-5D6E-409C-BE32-E72D297353CC}">
                <c16:uniqueId val="{00000003-C4B9-439A-AA69-B54B8596768F}"/>
              </c:ext>
            </c:extLst>
          </c:dPt>
          <c:dPt>
            <c:idx val="2"/>
            <c:bubble3D val="0"/>
            <c:spPr>
              <a:solidFill>
                <a:srgbClr val="C7FE02"/>
              </a:solidFill>
              <a:ln w="25400">
                <a:noFill/>
              </a:ln>
              <a:effectLst/>
            </c:spPr>
            <c:extLst>
              <c:ext xmlns:c16="http://schemas.microsoft.com/office/drawing/2014/chart" uri="{C3380CC4-5D6E-409C-BE32-E72D297353CC}">
                <c16:uniqueId val="{00000005-C4B9-439A-AA69-B54B8596768F}"/>
              </c:ext>
            </c:extLst>
          </c:dPt>
          <c:dLbls>
            <c:dLbl>
              <c:idx val="0"/>
              <c:layout>
                <c:manualLayout>
                  <c:x val="-1.4038411749935861E-2"/>
                  <c:y val="1.7218264733784926E-2"/>
                </c:manualLayout>
              </c:layout>
              <c:numFmt formatCode="0%" sourceLinked="0"/>
              <c:spPr>
                <a:noFill/>
                <a:ln w="25400">
                  <a:noFill/>
                </a:ln>
                <a:effectLst/>
              </c:spPr>
              <c:txPr>
                <a:bodyPr wrap="square" lIns="38100" tIns="19050" rIns="38100" bIns="19050" anchor="ctr">
                  <a:spAutoFit/>
                </a:bodyPr>
                <a:lstStyle/>
                <a:p>
                  <a:pPr>
                    <a:defRPr sz="800">
                      <a:solidFill>
                        <a:srgbClr val="FFFFFF"/>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4B9-439A-AA69-B54B8596768F}"/>
                </c:ext>
              </c:extLst>
            </c:dLbl>
            <c:dLbl>
              <c:idx val="1"/>
              <c:layout>
                <c:manualLayout>
                  <c:x val="-2.2246684767561792E-3"/>
                  <c:y val="-2.7452856881314248E-2"/>
                </c:manualLayout>
              </c:layout>
              <c:numFmt formatCode="0%" sourceLinked="0"/>
              <c:spPr>
                <a:noFill/>
                <a:ln w="25400">
                  <a:noFill/>
                </a:ln>
                <a:effectLst/>
              </c:spPr>
              <c:txPr>
                <a:bodyPr wrap="square" lIns="38100" tIns="19050" rIns="38100" bIns="19050" anchor="ctr">
                  <a:spAutoFit/>
                </a:bodyPr>
                <a:lstStyle/>
                <a:p>
                  <a:pPr>
                    <a:defRPr sz="800">
                      <a:solidFill>
                        <a:srgbClr val="595959"/>
                      </a:solidFill>
                    </a:defRPr>
                  </a:pPr>
                  <a:endParaRPr lang="en-US"/>
                </a:p>
              </c:txPr>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4B9-439A-AA69-B54B8596768F}"/>
                </c:ext>
              </c:extLst>
            </c:dLbl>
            <c:dLbl>
              <c:idx val="2"/>
              <c:layout>
                <c:manualLayout>
                  <c:x val="1.7989668197549935E-2"/>
                  <c:y val="-2.8564236140006284E-2"/>
                </c:manualLayout>
              </c:layout>
              <c:numFmt formatCode="0%" sourceLinked="0"/>
              <c:spPr>
                <a:noFill/>
                <a:ln w="25400">
                  <a:noFill/>
                </a:ln>
                <a:effectLst/>
              </c:spPr>
              <c:txPr>
                <a:bodyPr wrap="square" lIns="38100" tIns="19050" rIns="38100" bIns="19050" anchor="ctr">
                  <a:spAutoFit/>
                </a:bodyPr>
                <a:lstStyle/>
                <a:p>
                  <a:pPr>
                    <a:defRPr sz="800">
                      <a:solidFill>
                        <a:srgbClr val="595959"/>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4B9-439A-AA69-B54B8596768F}"/>
                </c:ext>
              </c:extLst>
            </c:dLbl>
            <c:numFmt formatCode="0%" sourceLinked="0"/>
            <c:spPr>
              <a:noFill/>
              <a:ln w="25400">
                <a:noFill/>
              </a:ln>
              <a:effectLst/>
            </c:spPr>
            <c:txPr>
              <a:bodyPr wrap="square" lIns="38100" tIns="19050" rIns="38100" bIns="19050" anchor="ctr">
                <a:spAutoFit/>
              </a:bodyPr>
              <a:lstStyle/>
              <a:p>
                <a:pPr>
                  <a:defRPr sz="800"/>
                </a:pPr>
                <a:endParaRPr lang="en-US"/>
              </a:p>
            </c:txPr>
            <c:showLegendKey val="0"/>
            <c:showVal val="1"/>
            <c:showCatName val="0"/>
            <c:showSerName val="0"/>
            <c:showPercent val="0"/>
            <c:showBubbleSize val="0"/>
            <c:showLeaderLines val="1"/>
            <c:extLst>
              <c:ext xmlns:c15="http://schemas.microsoft.com/office/drawing/2012/chart" uri="{CE6537A1-D6FC-4f65-9D91-7224C49458BB}"/>
            </c:extLst>
          </c:dLbls>
          <c:cat>
            <c:strRef>
              <c:f>ELISASOP!$T$39:$T$41</c:f>
              <c:strCache>
                <c:ptCount val="3"/>
                <c:pt idx="0">
                  <c:v>Finnish mobile</c:v>
                </c:pt>
                <c:pt idx="1">
                  <c:v>Estonia mobile</c:v>
                </c:pt>
                <c:pt idx="2">
                  <c:v>Wireline</c:v>
                </c:pt>
              </c:strCache>
            </c:strRef>
          </c:cat>
          <c:val>
            <c:numRef>
              <c:f>ELISASOP!$X$39:$X$41</c:f>
              <c:numCache>
                <c:formatCode>0.0%</c:formatCode>
                <c:ptCount val="3"/>
                <c:pt idx="0">
                  <c:v>0.74241099682097622</c:v>
                </c:pt>
                <c:pt idx="1">
                  <c:v>9.2864368374441231E-2</c:v>
                </c:pt>
                <c:pt idx="2">
                  <c:v>0.25758900317902383</c:v>
                </c:pt>
              </c:numCache>
            </c:numRef>
          </c:val>
          <c:extLst>
            <c:ext xmlns:c16="http://schemas.microsoft.com/office/drawing/2014/chart" uri="{C3380CC4-5D6E-409C-BE32-E72D297353CC}">
              <c16:uniqueId val="{00000006-C4B9-439A-AA69-B54B8596768F}"/>
            </c:ext>
          </c:extLst>
        </c:ser>
        <c:dLbls>
          <c:showLegendKey val="0"/>
          <c:showVal val="0"/>
          <c:showCatName val="0"/>
          <c:showSerName val="0"/>
          <c:showPercent val="0"/>
          <c:showBubbleSize val="0"/>
          <c:showLeaderLines val="1"/>
        </c:dLbls>
        <c:firstSliceAng val="0"/>
      </c:pieChart>
      <c:spPr>
        <a:noFill/>
        <a:ln w="25400">
          <a:noFill/>
        </a:ln>
      </c:spPr>
    </c:plotArea>
    <c:legend>
      <c:legendPos val="b"/>
      <c:overlay val="0"/>
      <c:spPr>
        <a:solidFill>
          <a:srgbClr val="FFFFFF"/>
        </a:solidFill>
        <a:ln w="25400">
          <a:noFill/>
        </a:ln>
      </c:spPr>
    </c:legend>
    <c:plotVisOnly val="1"/>
    <c:dispBlanksAs val="zero"/>
    <c:showDLblsOverMax val="0"/>
  </c:chart>
  <c:spPr>
    <a:solidFill>
      <a:srgbClr val="FFFFFF"/>
    </a:solidFill>
    <a:ln w="25400">
      <a:noFill/>
    </a:ln>
    <a:effectLst/>
  </c:spPr>
  <c:txPr>
    <a:bodyPr/>
    <a:lstStyle/>
    <a:p>
      <a:pPr>
        <a:defRPr sz="1000" b="0" i="0" u="none" strike="noStrike" baseline="0">
          <a:solidFill>
            <a:srgbClr val="595959"/>
          </a:solidFill>
          <a:latin typeface="Arial Narrow"/>
          <a:ea typeface="Arial Narrow"/>
          <a:cs typeface="Arial Narrow"/>
        </a:defRPr>
      </a:pPr>
      <a:endParaRPr lang="en-US"/>
    </a:p>
  </c:txPr>
  <c:printSettings>
    <c:headerFooter alignWithMargins="0"/>
    <c:pageMargins b="1" l="0.75000000000000111" r="0.75000000000000111" t="1" header="0.5" footer="0.5"/>
    <c:pageSetup/>
  </c:printSettings>
</c:chartSpace>
</file>

<file path=xl/charts/chart1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1335157957606873"/>
          <c:y val="0.13319793767583291"/>
          <c:w val="0.65789473684210709"/>
          <c:h val="0.60344827586206851"/>
        </c:manualLayout>
      </c:layout>
      <c:pieChart>
        <c:varyColors val="1"/>
        <c:ser>
          <c:idx val="0"/>
          <c:order val="0"/>
          <c:spPr>
            <a:solidFill>
              <a:srgbClr val="9999FF"/>
            </a:solidFill>
            <a:ln w="25400">
              <a:noFill/>
            </a:ln>
          </c:spPr>
          <c:dPt>
            <c:idx val="0"/>
            <c:bubble3D val="0"/>
            <c:spPr>
              <a:solidFill>
                <a:srgbClr val="263238"/>
              </a:solidFill>
              <a:ln w="25400">
                <a:noFill/>
              </a:ln>
              <a:effectLst/>
            </c:spPr>
            <c:extLst>
              <c:ext xmlns:c16="http://schemas.microsoft.com/office/drawing/2014/chart" uri="{C3380CC4-5D6E-409C-BE32-E72D297353CC}">
                <c16:uniqueId val="{00000001-92AC-40A7-9DFA-F22CD5F86242}"/>
              </c:ext>
            </c:extLst>
          </c:dPt>
          <c:dPt>
            <c:idx val="1"/>
            <c:bubble3D val="0"/>
            <c:spPr>
              <a:solidFill>
                <a:srgbClr val="799098"/>
              </a:solidFill>
              <a:ln w="25400">
                <a:noFill/>
              </a:ln>
              <a:effectLst/>
            </c:spPr>
            <c:extLst>
              <c:ext xmlns:c16="http://schemas.microsoft.com/office/drawing/2014/chart" uri="{C3380CC4-5D6E-409C-BE32-E72D297353CC}">
                <c16:uniqueId val="{00000002-92AC-40A7-9DFA-F22CD5F86242}"/>
              </c:ext>
            </c:extLst>
          </c:dPt>
          <c:dLbls>
            <c:dLbl>
              <c:idx val="0"/>
              <c:layout>
                <c:manualLayout>
                  <c:x val="-1.7098612542264972E-2"/>
                  <c:y val="-1.81321580632826E-2"/>
                </c:manualLayout>
              </c:layout>
              <c:numFmt formatCode="0%" sourceLinked="0"/>
              <c:spPr>
                <a:noFill/>
                <a:ln w="25400">
                  <a:noFill/>
                </a:ln>
                <a:effectLst/>
              </c:spPr>
              <c:txPr>
                <a:bodyPr wrap="square" lIns="38100" tIns="19050" rIns="38100" bIns="19050" anchor="ctr">
                  <a:spAutoFit/>
                </a:bodyPr>
                <a:lstStyle/>
                <a:p>
                  <a:pPr>
                    <a:defRPr sz="800">
                      <a:solidFill>
                        <a:srgbClr val="FFFFFF"/>
                      </a:solidFill>
                    </a:defRPr>
                  </a:pPr>
                  <a:endParaRPr lang="en-US"/>
                </a:p>
              </c:txPr>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2AC-40A7-9DFA-F22CD5F86242}"/>
                </c:ext>
              </c:extLst>
            </c:dLbl>
            <c:dLbl>
              <c:idx val="1"/>
              <c:layout>
                <c:manualLayout>
                  <c:x val="8.0827369754493273E-3"/>
                  <c:y val="2.5282121069051391E-2"/>
                </c:manualLayout>
              </c:layout>
              <c:numFmt formatCode="0%" sourceLinked="0"/>
              <c:spPr>
                <a:noFill/>
                <a:ln w="25400">
                  <a:noFill/>
                </a:ln>
                <a:effectLst/>
              </c:spPr>
              <c:txPr>
                <a:bodyPr wrap="square" lIns="38100" tIns="19050" rIns="38100" bIns="19050" anchor="ctr">
                  <a:spAutoFit/>
                </a:bodyPr>
                <a:lstStyle/>
                <a:p>
                  <a:pPr>
                    <a:defRPr sz="800">
                      <a:solidFill>
                        <a:srgbClr val="FFFFFF"/>
                      </a:solidFill>
                    </a:defRPr>
                  </a:pPr>
                  <a:endParaRPr lang="en-US"/>
                </a:p>
              </c:txPr>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2AC-40A7-9DFA-F22CD5F86242}"/>
                </c:ext>
              </c:extLst>
            </c:dLbl>
            <c:numFmt formatCode="0%" sourceLinked="0"/>
            <c:spPr>
              <a:noFill/>
              <a:ln w="25400">
                <a:noFill/>
              </a:ln>
              <a:effectLst/>
            </c:spPr>
            <c:txPr>
              <a:bodyPr wrap="square" lIns="38100" tIns="19050" rIns="38100" bIns="19050" anchor="ctr">
                <a:spAutoFit/>
              </a:bodyPr>
              <a:lstStyle/>
              <a:p>
                <a:pPr>
                  <a:defRPr sz="800"/>
                </a:pPr>
                <a:endParaRPr lang="en-US"/>
              </a:p>
            </c:txPr>
            <c:showLegendKey val="0"/>
            <c:showVal val="1"/>
            <c:showCatName val="0"/>
            <c:showSerName val="0"/>
            <c:showPercent val="0"/>
            <c:showBubbleSize val="0"/>
            <c:showLeaderLines val="1"/>
            <c:extLst>
              <c:ext xmlns:c15="http://schemas.microsoft.com/office/drawing/2012/chart" uri="{CE6537A1-D6FC-4f65-9D91-7224C49458BB}"/>
            </c:extLst>
          </c:dLbls>
          <c:cat>
            <c:strRef>
              <c:f>IDEASOP!$T$36:$T$37</c:f>
              <c:strCache>
                <c:ptCount val="2"/>
                <c:pt idx="0">
                  <c:v>Mobile</c:v>
                </c:pt>
                <c:pt idx="1">
                  <c:v>Indus</c:v>
                </c:pt>
              </c:strCache>
            </c:strRef>
          </c:cat>
          <c:val>
            <c:numRef>
              <c:f>IDEASOP!$X$36:$X$37</c:f>
              <c:numCache>
                <c:formatCode>0.0%</c:formatCode>
                <c:ptCount val="2"/>
                <c:pt idx="0">
                  <c:v>0.56709032286189187</c:v>
                </c:pt>
                <c:pt idx="1">
                  <c:v>0.43290967713810813</c:v>
                </c:pt>
              </c:numCache>
            </c:numRef>
          </c:val>
          <c:extLst>
            <c:ext xmlns:c16="http://schemas.microsoft.com/office/drawing/2014/chart" uri="{C3380CC4-5D6E-409C-BE32-E72D297353CC}">
              <c16:uniqueId val="{00000003-92AC-40A7-9DFA-F22CD5F86242}"/>
            </c:ext>
          </c:extLst>
        </c:ser>
        <c:dLbls>
          <c:showLegendKey val="0"/>
          <c:showVal val="0"/>
          <c:showCatName val="0"/>
          <c:showSerName val="0"/>
          <c:showPercent val="0"/>
          <c:showBubbleSize val="0"/>
          <c:showLeaderLines val="1"/>
        </c:dLbls>
        <c:firstSliceAng val="0"/>
      </c:pieChart>
      <c:spPr>
        <a:noFill/>
        <a:ln w="25400">
          <a:noFill/>
        </a:ln>
      </c:spPr>
    </c:plotArea>
    <c:legend>
      <c:legendPos val="b"/>
      <c:overlay val="0"/>
      <c:spPr>
        <a:solidFill>
          <a:srgbClr val="FFFFFF"/>
        </a:solidFill>
        <a:ln w="25400">
          <a:noFill/>
        </a:ln>
      </c:spPr>
    </c:legend>
    <c:plotVisOnly val="1"/>
    <c:dispBlanksAs val="zero"/>
    <c:showDLblsOverMax val="0"/>
  </c:chart>
  <c:spPr>
    <a:solidFill>
      <a:srgbClr val="FFFFFF"/>
    </a:solidFill>
    <a:ln w="25400">
      <a:noFill/>
    </a:ln>
    <a:effectLst/>
  </c:spPr>
  <c:txPr>
    <a:bodyPr/>
    <a:lstStyle/>
    <a:p>
      <a:pPr>
        <a:defRPr sz="1000" b="0" i="0" u="none" strike="noStrike" baseline="0">
          <a:solidFill>
            <a:srgbClr val="595959"/>
          </a:solidFill>
          <a:latin typeface="Arial Narrow"/>
          <a:ea typeface="Arial Narrow"/>
          <a:cs typeface="Arial Narrow"/>
        </a:defRPr>
      </a:pPr>
      <a:endParaRPr lang="en-US"/>
    </a:p>
  </c:txPr>
  <c:printSettings>
    <c:headerFooter alignWithMargins="0"/>
    <c:pageMargins b="1" l="0.75000000000000111" r="0.75000000000000111" t="1" header="0.5" footer="0.5"/>
    <c:pageSetup/>
  </c:printSettings>
</c:chartSpace>
</file>

<file path=xl/charts/chart1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6792666371125611"/>
          <c:y val="0.11603977211053276"/>
          <c:w val="0.68545681422797267"/>
          <c:h val="0.55598856646279871"/>
        </c:manualLayout>
      </c:layout>
      <c:pieChart>
        <c:varyColors val="1"/>
        <c:ser>
          <c:idx val="0"/>
          <c:order val="0"/>
          <c:spPr>
            <a:solidFill>
              <a:srgbClr val="9999FF"/>
            </a:solidFill>
            <a:ln w="25400">
              <a:noFill/>
            </a:ln>
          </c:spPr>
          <c:dPt>
            <c:idx val="0"/>
            <c:bubble3D val="0"/>
            <c:spPr>
              <a:solidFill>
                <a:srgbClr val="263238"/>
              </a:solidFill>
              <a:ln w="25400">
                <a:noFill/>
              </a:ln>
              <a:effectLst/>
            </c:spPr>
            <c:extLst>
              <c:ext xmlns:c16="http://schemas.microsoft.com/office/drawing/2014/chart" uri="{C3380CC4-5D6E-409C-BE32-E72D297353CC}">
                <c16:uniqueId val="{00000001-0C0F-4C79-B5AB-AE4B7D4DDC3B}"/>
              </c:ext>
            </c:extLst>
          </c:dPt>
          <c:dPt>
            <c:idx val="1"/>
            <c:bubble3D val="0"/>
            <c:spPr>
              <a:solidFill>
                <a:srgbClr val="F9663E"/>
              </a:solidFill>
              <a:ln w="25400">
                <a:noFill/>
              </a:ln>
              <a:effectLst/>
            </c:spPr>
            <c:extLst>
              <c:ext xmlns:c16="http://schemas.microsoft.com/office/drawing/2014/chart" uri="{C3380CC4-5D6E-409C-BE32-E72D297353CC}">
                <c16:uniqueId val="{00000003-0C0F-4C79-B5AB-AE4B7D4DDC3B}"/>
              </c:ext>
            </c:extLst>
          </c:dPt>
          <c:dPt>
            <c:idx val="2"/>
            <c:bubble3D val="0"/>
            <c:spPr>
              <a:solidFill>
                <a:srgbClr val="C7FE02"/>
              </a:solidFill>
              <a:ln w="25400">
                <a:noFill/>
              </a:ln>
              <a:effectLst/>
            </c:spPr>
            <c:extLst>
              <c:ext xmlns:c16="http://schemas.microsoft.com/office/drawing/2014/chart" uri="{C3380CC4-5D6E-409C-BE32-E72D297353CC}">
                <c16:uniqueId val="{00000005-0C0F-4C79-B5AB-AE4B7D4DDC3B}"/>
              </c:ext>
            </c:extLst>
          </c:dPt>
          <c:dLbls>
            <c:dLbl>
              <c:idx val="0"/>
              <c:layout>
                <c:manualLayout>
                  <c:x val="-2.2457698877351977E-3"/>
                  <c:y val="2.6344716599857911E-2"/>
                </c:manualLayout>
              </c:layout>
              <c:numFmt formatCode="0%" sourceLinked="0"/>
              <c:spPr>
                <a:noFill/>
                <a:ln w="25400">
                  <a:noFill/>
                </a:ln>
                <a:effectLst/>
              </c:spPr>
              <c:txPr>
                <a:bodyPr wrap="square" lIns="38100" tIns="19050" rIns="38100" bIns="19050" anchor="ctr">
                  <a:spAutoFit/>
                </a:bodyPr>
                <a:lstStyle/>
                <a:p>
                  <a:pPr>
                    <a:defRPr sz="800">
                      <a:solidFill>
                        <a:srgbClr val="FFFFFF"/>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C0F-4C79-B5AB-AE4B7D4DDC3B}"/>
                </c:ext>
              </c:extLst>
            </c:dLbl>
            <c:dLbl>
              <c:idx val="1"/>
              <c:layout>
                <c:manualLayout>
                  <c:x val="-2.2227555821533782E-2"/>
                  <c:y val="-1.1370778904118483E-2"/>
                </c:manualLayout>
              </c:layout>
              <c:numFmt formatCode="0%" sourceLinked="0"/>
              <c:spPr>
                <a:noFill/>
                <a:ln w="25400">
                  <a:noFill/>
                </a:ln>
                <a:effectLst/>
              </c:spPr>
              <c:txPr>
                <a:bodyPr wrap="square" lIns="38100" tIns="19050" rIns="38100" bIns="19050" anchor="ctr">
                  <a:spAutoFit/>
                </a:bodyPr>
                <a:lstStyle/>
                <a:p>
                  <a:pPr>
                    <a:defRPr sz="800">
                      <a:solidFill>
                        <a:srgbClr val="595959"/>
                      </a:solidFill>
                    </a:defRPr>
                  </a:pPr>
                  <a:endParaRPr lang="en-US"/>
                </a:p>
              </c:txPr>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C0F-4C79-B5AB-AE4B7D4DDC3B}"/>
                </c:ext>
              </c:extLst>
            </c:dLbl>
            <c:dLbl>
              <c:idx val="2"/>
              <c:layout>
                <c:manualLayout>
                  <c:x val="1.3919115176927901E-3"/>
                  <c:y val="-2.59198173093149E-3"/>
                </c:manualLayout>
              </c:layout>
              <c:numFmt formatCode="0%" sourceLinked="0"/>
              <c:spPr>
                <a:noFill/>
                <a:ln w="25400">
                  <a:noFill/>
                </a:ln>
                <a:effectLst/>
              </c:spPr>
              <c:txPr>
                <a:bodyPr wrap="square" lIns="38100" tIns="19050" rIns="38100" bIns="19050" anchor="ctr">
                  <a:spAutoFit/>
                </a:bodyPr>
                <a:lstStyle/>
                <a:p>
                  <a:pPr>
                    <a:defRPr sz="800">
                      <a:solidFill>
                        <a:srgbClr val="595959"/>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C0F-4C79-B5AB-AE4B7D4DDC3B}"/>
                </c:ext>
              </c:extLst>
            </c:dLbl>
            <c:numFmt formatCode="0%" sourceLinked="0"/>
            <c:spPr>
              <a:noFill/>
              <a:ln w="25400">
                <a:noFill/>
              </a:ln>
              <a:effectLst/>
            </c:spPr>
            <c:txPr>
              <a:bodyPr wrap="square" lIns="38100" tIns="19050" rIns="38100" bIns="19050" anchor="ctr">
                <a:spAutoFit/>
              </a:bodyPr>
              <a:lstStyle/>
              <a:p>
                <a:pPr>
                  <a:defRPr sz="800"/>
                </a:pPr>
                <a:endParaRPr lang="en-US"/>
              </a:p>
            </c:txPr>
            <c:showLegendKey val="0"/>
            <c:showVal val="1"/>
            <c:showCatName val="0"/>
            <c:showSerName val="0"/>
            <c:showPercent val="0"/>
            <c:showBubbleSize val="0"/>
            <c:showLeaderLines val="1"/>
            <c:extLst>
              <c:ext xmlns:c15="http://schemas.microsoft.com/office/drawing/2012/chart" uri="{CE6537A1-D6FC-4f65-9D91-7224C49458BB}"/>
            </c:extLst>
          </c:dLbls>
          <c:cat>
            <c:strRef>
              <c:f>KPNSOP!$T$58:$T$60</c:f>
              <c:strCache>
                <c:ptCount val="3"/>
                <c:pt idx="0">
                  <c:v>Domestic Mobile</c:v>
                </c:pt>
                <c:pt idx="1">
                  <c:v>Domestic wireline</c:v>
                </c:pt>
                <c:pt idx="2">
                  <c:v>Other</c:v>
                </c:pt>
              </c:strCache>
            </c:strRef>
          </c:cat>
          <c:val>
            <c:numRef>
              <c:f>KPNSOP!$X$58:$X$60</c:f>
              <c:numCache>
                <c:formatCode>0.0%</c:formatCode>
                <c:ptCount val="3"/>
                <c:pt idx="0">
                  <c:v>0.3400290241213178</c:v>
                </c:pt>
                <c:pt idx="1">
                  <c:v>0.66756609740510631</c:v>
                </c:pt>
                <c:pt idx="2">
                  <c:v>-7.595121526424109E-3</c:v>
                </c:pt>
              </c:numCache>
            </c:numRef>
          </c:val>
          <c:extLst>
            <c:ext xmlns:c16="http://schemas.microsoft.com/office/drawing/2014/chart" uri="{C3380CC4-5D6E-409C-BE32-E72D297353CC}">
              <c16:uniqueId val="{00000006-0C0F-4C79-B5AB-AE4B7D4DDC3B}"/>
            </c:ext>
          </c:extLst>
        </c:ser>
        <c:ser>
          <c:idx val="1"/>
          <c:order val="1"/>
          <c:spPr>
            <a:solidFill>
              <a:srgbClr val="993366"/>
            </a:solidFill>
            <a:ln w="12700">
              <a:solidFill>
                <a:srgbClr val="000000"/>
              </a:solidFill>
              <a:prstDash val="solid"/>
            </a:ln>
          </c:spPr>
          <c:dPt>
            <c:idx val="0"/>
            <c:bubble3D val="0"/>
            <c:spPr>
              <a:solidFill>
                <a:srgbClr val="9999FF"/>
              </a:solidFill>
              <a:ln w="12700">
                <a:solidFill>
                  <a:srgbClr val="000000"/>
                </a:solidFill>
                <a:prstDash val="solid"/>
              </a:ln>
            </c:spPr>
            <c:extLst>
              <c:ext xmlns:c16="http://schemas.microsoft.com/office/drawing/2014/chart" uri="{C3380CC4-5D6E-409C-BE32-E72D297353CC}">
                <c16:uniqueId val="{00000008-0C0F-4C79-B5AB-AE4B7D4DDC3B}"/>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A-0C0F-4C79-B5AB-AE4B7D4DDC3B}"/>
              </c:ext>
            </c:extLst>
          </c:dPt>
          <c:dLbls>
            <c:numFmt formatCode="0%" sourceLinked="0"/>
            <c:spPr>
              <a:noFill/>
              <a:ln w="25400">
                <a:noFill/>
              </a:ln>
            </c:spPr>
            <c:showLegendKey val="0"/>
            <c:showVal val="0"/>
            <c:showCatName val="0"/>
            <c:showSerName val="0"/>
            <c:showPercent val="1"/>
            <c:showBubbleSize val="0"/>
            <c:showLeaderLines val="1"/>
            <c:extLst>
              <c:ext xmlns:c15="http://schemas.microsoft.com/office/drawing/2012/chart" uri="{CE6537A1-D6FC-4f65-9D91-7224C49458BB}"/>
            </c:extLst>
          </c:dLbls>
          <c:cat>
            <c:strRef>
              <c:f>KPNSOP!$T$58:$T$60</c:f>
              <c:strCache>
                <c:ptCount val="3"/>
                <c:pt idx="0">
                  <c:v>Domestic Mobile</c:v>
                </c:pt>
                <c:pt idx="1">
                  <c:v>Domestic wireline</c:v>
                </c:pt>
                <c:pt idx="2">
                  <c:v>Other</c:v>
                </c:pt>
              </c:strCache>
            </c:strRef>
          </c:cat>
          <c:val>
            <c:numRef>
              <c:f>KPNSOP!$X$58:$X$60</c:f>
              <c:numCache>
                <c:formatCode>0.0%</c:formatCode>
                <c:ptCount val="3"/>
                <c:pt idx="0">
                  <c:v>0.3400290241213178</c:v>
                </c:pt>
                <c:pt idx="1">
                  <c:v>0.66756609740510631</c:v>
                </c:pt>
                <c:pt idx="2">
                  <c:v>-7.595121526424109E-3</c:v>
                </c:pt>
              </c:numCache>
            </c:numRef>
          </c:val>
          <c:extLst>
            <c:ext xmlns:c16="http://schemas.microsoft.com/office/drawing/2014/chart" uri="{C3380CC4-5D6E-409C-BE32-E72D297353CC}">
              <c16:uniqueId val="{0000000B-0C0F-4C79-B5AB-AE4B7D4DDC3B}"/>
            </c:ext>
          </c:extLst>
        </c:ser>
        <c:dLbls>
          <c:showLegendKey val="0"/>
          <c:showVal val="0"/>
          <c:showCatName val="0"/>
          <c:showSerName val="0"/>
          <c:showPercent val="0"/>
          <c:showBubbleSize val="0"/>
          <c:showLeaderLines val="1"/>
        </c:dLbls>
        <c:firstSliceAng val="0"/>
      </c:pieChart>
      <c:spPr>
        <a:noFill/>
        <a:ln w="25400">
          <a:noFill/>
        </a:ln>
      </c:spPr>
    </c:plotArea>
    <c:legend>
      <c:legendPos val="b"/>
      <c:overlay val="0"/>
      <c:spPr>
        <a:solidFill>
          <a:srgbClr val="FFFFFF"/>
        </a:solidFill>
        <a:ln w="25400">
          <a:noFill/>
        </a:ln>
      </c:spPr>
    </c:legend>
    <c:plotVisOnly val="1"/>
    <c:dispBlanksAs val="zero"/>
    <c:showDLblsOverMax val="0"/>
  </c:chart>
  <c:spPr>
    <a:solidFill>
      <a:srgbClr val="FFFFFF"/>
    </a:solidFill>
    <a:ln w="25400">
      <a:noFill/>
    </a:ln>
    <a:effectLst/>
  </c:spPr>
  <c:txPr>
    <a:bodyPr/>
    <a:lstStyle/>
    <a:p>
      <a:pPr>
        <a:defRPr sz="1000" b="0" i="0" u="none" strike="noStrike" baseline="0">
          <a:solidFill>
            <a:srgbClr val="595959"/>
          </a:solidFill>
          <a:latin typeface="Arial Narrow"/>
          <a:ea typeface="Arial Narrow"/>
          <a:cs typeface="Arial Narrow"/>
        </a:defRPr>
      </a:pPr>
      <a:endParaRPr lang="en-US"/>
    </a:p>
  </c:txPr>
  <c:printSettings>
    <c:headerFooter alignWithMargins="0"/>
    <c:pageMargins b="1" l="0.75000000000000111" r="0.75000000000000111" t="1" header="0.5" footer="0.5"/>
    <c:pageSetup/>
  </c:printSettings>
</c:chartSpace>
</file>

<file path=xl/charts/chart1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4381667509226498"/>
          <c:y val="0.10188698018680016"/>
          <c:w val="0.5265026751992371"/>
          <c:h val="0.56226518695678607"/>
        </c:manualLayout>
      </c:layout>
      <c:pieChart>
        <c:varyColors val="1"/>
        <c:ser>
          <c:idx val="0"/>
          <c:order val="0"/>
          <c:spPr>
            <a:solidFill>
              <a:srgbClr val="9999FF"/>
            </a:solidFill>
            <a:ln w="25400">
              <a:noFill/>
            </a:ln>
          </c:spPr>
          <c:dPt>
            <c:idx val="0"/>
            <c:bubble3D val="0"/>
            <c:spPr>
              <a:solidFill>
                <a:srgbClr val="263238"/>
              </a:solidFill>
              <a:ln w="25400">
                <a:noFill/>
              </a:ln>
              <a:effectLst/>
            </c:spPr>
            <c:extLst>
              <c:ext xmlns:c16="http://schemas.microsoft.com/office/drawing/2014/chart" uri="{C3380CC4-5D6E-409C-BE32-E72D297353CC}">
                <c16:uniqueId val="{00000001-92DA-4E2D-B0C8-2976A9E8A265}"/>
              </c:ext>
            </c:extLst>
          </c:dPt>
          <c:dPt>
            <c:idx val="1"/>
            <c:bubble3D val="0"/>
            <c:spPr>
              <a:solidFill>
                <a:srgbClr val="799098"/>
              </a:solidFill>
              <a:ln w="25400">
                <a:noFill/>
              </a:ln>
              <a:effectLst/>
            </c:spPr>
            <c:extLst>
              <c:ext xmlns:c16="http://schemas.microsoft.com/office/drawing/2014/chart" uri="{C3380CC4-5D6E-409C-BE32-E72D297353CC}">
                <c16:uniqueId val="{00000003-92DA-4E2D-B0C8-2976A9E8A265}"/>
              </c:ext>
            </c:extLst>
          </c:dPt>
          <c:dPt>
            <c:idx val="2"/>
            <c:bubble3D val="0"/>
            <c:spPr>
              <a:solidFill>
                <a:srgbClr val="F9663E"/>
              </a:solidFill>
              <a:ln w="25400">
                <a:noFill/>
              </a:ln>
              <a:effectLst/>
            </c:spPr>
            <c:extLst>
              <c:ext xmlns:c16="http://schemas.microsoft.com/office/drawing/2014/chart" uri="{C3380CC4-5D6E-409C-BE32-E72D297353CC}">
                <c16:uniqueId val="{00000005-92DA-4E2D-B0C8-2976A9E8A265}"/>
              </c:ext>
            </c:extLst>
          </c:dPt>
          <c:dPt>
            <c:idx val="3"/>
            <c:bubble3D val="0"/>
            <c:spPr>
              <a:solidFill>
                <a:srgbClr val="C7FE02"/>
              </a:solidFill>
              <a:ln w="25400">
                <a:noFill/>
              </a:ln>
              <a:effectLst/>
            </c:spPr>
            <c:extLst>
              <c:ext xmlns:c16="http://schemas.microsoft.com/office/drawing/2014/chart" uri="{C3380CC4-5D6E-409C-BE32-E72D297353CC}">
                <c16:uniqueId val="{00000007-92DA-4E2D-B0C8-2976A9E8A265}"/>
              </c:ext>
            </c:extLst>
          </c:dPt>
          <c:dPt>
            <c:idx val="4"/>
            <c:bubble3D val="0"/>
            <c:spPr>
              <a:solidFill>
                <a:srgbClr val="00C994"/>
              </a:solidFill>
              <a:ln w="25400">
                <a:noFill/>
              </a:ln>
              <a:effectLst/>
            </c:spPr>
            <c:extLst>
              <c:ext xmlns:c16="http://schemas.microsoft.com/office/drawing/2014/chart" uri="{C3380CC4-5D6E-409C-BE32-E72D297353CC}">
                <c16:uniqueId val="{00000009-92DA-4E2D-B0C8-2976A9E8A265}"/>
              </c:ext>
            </c:extLst>
          </c:dPt>
          <c:dPt>
            <c:idx val="5"/>
            <c:bubble3D val="0"/>
            <c:spPr>
              <a:solidFill>
                <a:srgbClr val="465A63"/>
              </a:solidFill>
              <a:ln w="25400">
                <a:noFill/>
              </a:ln>
              <a:effectLst/>
            </c:spPr>
            <c:extLst>
              <c:ext xmlns:c16="http://schemas.microsoft.com/office/drawing/2014/chart" uri="{C3380CC4-5D6E-409C-BE32-E72D297353CC}">
                <c16:uniqueId val="{0000000B-92DA-4E2D-B0C8-2976A9E8A265}"/>
              </c:ext>
            </c:extLst>
          </c:dPt>
          <c:dPt>
            <c:idx val="6"/>
            <c:bubble3D val="0"/>
            <c:spPr>
              <a:solidFill>
                <a:srgbClr val="B0BEC5"/>
              </a:solidFill>
              <a:ln w="25400">
                <a:noFill/>
              </a:ln>
              <a:effectLst/>
            </c:spPr>
            <c:extLst>
              <c:ext xmlns:c16="http://schemas.microsoft.com/office/drawing/2014/chart" uri="{C3380CC4-5D6E-409C-BE32-E72D297353CC}">
                <c16:uniqueId val="{0000000D-92DA-4E2D-B0C8-2976A9E8A265}"/>
              </c:ext>
            </c:extLst>
          </c:dPt>
          <c:dPt>
            <c:idx val="7"/>
            <c:bubble3D val="0"/>
            <c:spPr>
              <a:solidFill>
                <a:srgbClr val="F19375"/>
              </a:solidFill>
              <a:ln w="25400">
                <a:noFill/>
              </a:ln>
              <a:effectLst/>
            </c:spPr>
            <c:extLst>
              <c:ext xmlns:c16="http://schemas.microsoft.com/office/drawing/2014/chart" uri="{C3380CC4-5D6E-409C-BE32-E72D297353CC}">
                <c16:uniqueId val="{0000000F-92DA-4E2D-B0C8-2976A9E8A265}"/>
              </c:ext>
            </c:extLst>
          </c:dPt>
          <c:dLbls>
            <c:dLbl>
              <c:idx val="0"/>
              <c:layout>
                <c:manualLayout>
                  <c:x val="-4.4424849965598199E-3"/>
                  <c:y val="1.1157866996144494E-2"/>
                </c:manualLayout>
              </c:layout>
              <c:numFmt formatCode="0%" sourceLinked="0"/>
              <c:spPr>
                <a:noFill/>
                <a:ln w="25400">
                  <a:noFill/>
                </a:ln>
                <a:effectLst/>
              </c:spPr>
              <c:txPr>
                <a:bodyPr wrap="square" lIns="38100" tIns="19050" rIns="38100" bIns="19050" anchor="ctr">
                  <a:spAutoFit/>
                </a:bodyPr>
                <a:lstStyle/>
                <a:p>
                  <a:pPr>
                    <a:defRPr sz="800">
                      <a:solidFill>
                        <a:srgbClr val="FFFFFF"/>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2DA-4E2D-B0C8-2976A9E8A265}"/>
                </c:ext>
              </c:extLst>
            </c:dLbl>
            <c:dLbl>
              <c:idx val="1"/>
              <c:layout>
                <c:manualLayout>
                  <c:x val="1.076297279991922E-2"/>
                  <c:y val="-8.5396134910217074E-3"/>
                </c:manualLayout>
              </c:layout>
              <c:numFmt formatCode="0%" sourceLinked="0"/>
              <c:spPr>
                <a:noFill/>
                <a:ln w="25400">
                  <a:noFill/>
                </a:ln>
                <a:effectLst/>
              </c:spPr>
              <c:txPr>
                <a:bodyPr wrap="square" lIns="38100" tIns="19050" rIns="38100" bIns="19050" anchor="ctr">
                  <a:spAutoFit/>
                </a:bodyPr>
                <a:lstStyle/>
                <a:p>
                  <a:pPr>
                    <a:defRPr sz="800">
                      <a:solidFill>
                        <a:srgbClr val="FFFFFF"/>
                      </a:solidFill>
                    </a:defRPr>
                  </a:pPr>
                  <a:endParaRPr lang="en-US"/>
                </a:p>
              </c:txPr>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2DA-4E2D-B0C8-2976A9E8A265}"/>
                </c:ext>
              </c:extLst>
            </c:dLbl>
            <c:dLbl>
              <c:idx val="2"/>
              <c:numFmt formatCode="0%" sourceLinked="0"/>
              <c:spPr>
                <a:noFill/>
                <a:ln w="25400">
                  <a:noFill/>
                </a:ln>
                <a:effectLst/>
              </c:spPr>
              <c:txPr>
                <a:bodyPr wrap="square" lIns="38100" tIns="19050" rIns="38100" bIns="19050" anchor="ctr">
                  <a:spAutoFit/>
                </a:bodyPr>
                <a:lstStyle/>
                <a:p>
                  <a:pPr>
                    <a:defRPr sz="800">
                      <a:solidFill>
                        <a:srgbClr val="595959"/>
                      </a:solidFill>
                    </a:defRPr>
                  </a:pPr>
                  <a:endParaRPr lang="en-US"/>
                </a:p>
              </c:txPr>
              <c:showLegendKey val="0"/>
              <c:showVal val="1"/>
              <c:showCatName val="0"/>
              <c:showSerName val="0"/>
              <c:showPercent val="0"/>
              <c:showBubbleSize val="0"/>
              <c:extLst>
                <c:ext xmlns:c16="http://schemas.microsoft.com/office/drawing/2014/chart" uri="{C3380CC4-5D6E-409C-BE32-E72D297353CC}">
                  <c16:uniqueId val="{00000005-92DA-4E2D-B0C8-2976A9E8A265}"/>
                </c:ext>
              </c:extLst>
            </c:dLbl>
            <c:dLbl>
              <c:idx val="3"/>
              <c:layout>
                <c:manualLayout>
                  <c:x val="2.7196275680711249E-3"/>
                  <c:y val="1.331989410619157E-2"/>
                </c:manualLayout>
              </c:layout>
              <c:numFmt formatCode="0%" sourceLinked="0"/>
              <c:spPr>
                <a:noFill/>
                <a:ln w="25400">
                  <a:noFill/>
                </a:ln>
                <a:effectLst/>
              </c:spPr>
              <c:txPr>
                <a:bodyPr wrap="square" lIns="38100" tIns="19050" rIns="38100" bIns="19050" anchor="ctr">
                  <a:spAutoFit/>
                </a:bodyPr>
                <a:lstStyle/>
                <a:p>
                  <a:pPr>
                    <a:defRPr sz="800">
                      <a:solidFill>
                        <a:srgbClr val="595959"/>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92DA-4E2D-B0C8-2976A9E8A265}"/>
                </c:ext>
              </c:extLst>
            </c:dLbl>
            <c:dLbl>
              <c:idx val="4"/>
              <c:numFmt formatCode="0%" sourceLinked="0"/>
              <c:spPr>
                <a:noFill/>
                <a:ln w="25400">
                  <a:noFill/>
                </a:ln>
                <a:effectLst/>
              </c:spPr>
              <c:txPr>
                <a:bodyPr wrap="square" lIns="38100" tIns="19050" rIns="38100" bIns="19050" anchor="ctr">
                  <a:spAutoFit/>
                </a:bodyPr>
                <a:lstStyle/>
                <a:p>
                  <a:pPr>
                    <a:defRPr sz="800">
                      <a:solidFill>
                        <a:srgbClr val="595959"/>
                      </a:solidFill>
                    </a:defRPr>
                  </a:pPr>
                  <a:endParaRPr lang="en-US"/>
                </a:p>
              </c:txPr>
              <c:showLegendKey val="0"/>
              <c:showVal val="1"/>
              <c:showCatName val="0"/>
              <c:showSerName val="0"/>
              <c:showPercent val="0"/>
              <c:showBubbleSize val="0"/>
              <c:extLst>
                <c:ext xmlns:c16="http://schemas.microsoft.com/office/drawing/2014/chart" uri="{C3380CC4-5D6E-409C-BE32-E72D297353CC}">
                  <c16:uniqueId val="{00000009-92DA-4E2D-B0C8-2976A9E8A265}"/>
                </c:ext>
              </c:extLst>
            </c:dLbl>
            <c:dLbl>
              <c:idx val="5"/>
              <c:layout>
                <c:manualLayout>
                  <c:x val="3.9108569594204029E-2"/>
                  <c:y val="2.9601666099093255E-3"/>
                </c:manualLayout>
              </c:layout>
              <c:numFmt formatCode="0%" sourceLinked="0"/>
              <c:spPr>
                <a:noFill/>
                <a:ln w="25400">
                  <a:noFill/>
                </a:ln>
                <a:effectLst/>
              </c:spPr>
              <c:txPr>
                <a:bodyPr wrap="square" lIns="38100" tIns="19050" rIns="38100" bIns="19050" anchor="ctr">
                  <a:spAutoFit/>
                </a:bodyPr>
                <a:lstStyle/>
                <a:p>
                  <a:pPr>
                    <a:defRPr sz="800">
                      <a:solidFill>
                        <a:srgbClr val="FFFFFF"/>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92DA-4E2D-B0C8-2976A9E8A265}"/>
                </c:ext>
              </c:extLst>
            </c:dLbl>
            <c:dLbl>
              <c:idx val="6"/>
              <c:layout>
                <c:manualLayout>
                  <c:x val="2.0130674956768575E-2"/>
                  <c:y val="2.0961771787548409E-2"/>
                </c:manualLayout>
              </c:layout>
              <c:numFmt formatCode="0%" sourceLinked="0"/>
              <c:spPr>
                <a:noFill/>
                <a:ln w="25400">
                  <a:noFill/>
                </a:ln>
                <a:effectLst/>
              </c:spPr>
              <c:txPr>
                <a:bodyPr wrap="square" lIns="38100" tIns="19050" rIns="38100" bIns="19050" anchor="ctr">
                  <a:spAutoFit/>
                </a:bodyPr>
                <a:lstStyle/>
                <a:p>
                  <a:pPr>
                    <a:defRPr sz="800">
                      <a:solidFill>
                        <a:srgbClr val="595959"/>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92DA-4E2D-B0C8-2976A9E8A265}"/>
                </c:ext>
              </c:extLst>
            </c:dLbl>
            <c:dLbl>
              <c:idx val="7"/>
              <c:numFmt formatCode="0%" sourceLinked="0"/>
              <c:spPr>
                <a:noFill/>
                <a:ln w="25400">
                  <a:noFill/>
                </a:ln>
                <a:effectLst/>
              </c:spPr>
              <c:txPr>
                <a:bodyPr wrap="square" lIns="38100" tIns="19050" rIns="38100" bIns="19050" anchor="ctr">
                  <a:spAutoFit/>
                </a:bodyPr>
                <a:lstStyle/>
                <a:p>
                  <a:pPr>
                    <a:defRPr sz="800">
                      <a:solidFill>
                        <a:srgbClr val="595959"/>
                      </a:solidFill>
                    </a:defRPr>
                  </a:pPr>
                  <a:endParaRPr lang="en-US"/>
                </a:p>
              </c:txPr>
              <c:showLegendKey val="0"/>
              <c:showVal val="1"/>
              <c:showCatName val="0"/>
              <c:showSerName val="0"/>
              <c:showPercent val="0"/>
              <c:showBubbleSize val="0"/>
              <c:extLst>
                <c:ext xmlns:c16="http://schemas.microsoft.com/office/drawing/2014/chart" uri="{C3380CC4-5D6E-409C-BE32-E72D297353CC}">
                  <c16:uniqueId val="{0000000F-92DA-4E2D-B0C8-2976A9E8A265}"/>
                </c:ext>
              </c:extLst>
            </c:dLbl>
            <c:numFmt formatCode="0%" sourceLinked="0"/>
            <c:spPr>
              <a:noFill/>
              <a:ln w="25400">
                <a:noFill/>
              </a:ln>
              <a:effectLst/>
            </c:spPr>
            <c:txPr>
              <a:bodyPr wrap="square" lIns="38100" tIns="19050" rIns="38100" bIns="19050" anchor="ctr">
                <a:spAutoFit/>
              </a:bodyPr>
              <a:lstStyle/>
              <a:p>
                <a:pPr>
                  <a:defRPr sz="800"/>
                </a:pPr>
                <a:endParaRPr lang="en-US"/>
              </a:p>
            </c:txPr>
            <c:showLegendKey val="0"/>
            <c:showVal val="1"/>
            <c:showCatName val="0"/>
            <c:showSerName val="0"/>
            <c:showPercent val="0"/>
            <c:showBubbleSize val="0"/>
            <c:showLeaderLines val="1"/>
            <c:extLst>
              <c:ext xmlns:c15="http://schemas.microsoft.com/office/drawing/2012/chart" uri="{CE6537A1-D6FC-4f65-9D91-7224C49458BB}"/>
            </c:extLst>
          </c:dLbls>
          <c:cat>
            <c:strRef>
              <c:f>MTNSOP!$T$45:$T$51</c:f>
              <c:strCache>
                <c:ptCount val="7"/>
                <c:pt idx="0">
                  <c:v>South Africa</c:v>
                </c:pt>
                <c:pt idx="1">
                  <c:v>Nigeria</c:v>
                </c:pt>
                <c:pt idx="2">
                  <c:v>Ghana</c:v>
                </c:pt>
                <c:pt idx="3">
                  <c:v>Iran</c:v>
                </c:pt>
                <c:pt idx="4">
                  <c:v>Syria</c:v>
                </c:pt>
                <c:pt idx="5">
                  <c:v>Other Large Opco</c:v>
                </c:pt>
                <c:pt idx="6">
                  <c:v>Small Opco</c:v>
                </c:pt>
              </c:strCache>
            </c:strRef>
          </c:cat>
          <c:val>
            <c:numRef>
              <c:f>MTNSOP!$X$45:$X$51</c:f>
              <c:numCache>
                <c:formatCode>0.0%</c:formatCode>
                <c:ptCount val="7"/>
                <c:pt idx="0">
                  <c:v>0.3895778569247651</c:v>
                </c:pt>
                <c:pt idx="1">
                  <c:v>0.2280827377346003</c:v>
                </c:pt>
                <c:pt idx="2">
                  <c:v>8.6488803471361425E-2</c:v>
                </c:pt>
                <c:pt idx="3">
                  <c:v>0.14214825711893186</c:v>
                </c:pt>
                <c:pt idx="4">
                  <c:v>1.0970986364242361E-2</c:v>
                </c:pt>
                <c:pt idx="5">
                  <c:v>0.11980080310332858</c:v>
                </c:pt>
                <c:pt idx="6">
                  <c:v>2.2930555282770351E-2</c:v>
                </c:pt>
              </c:numCache>
            </c:numRef>
          </c:val>
          <c:extLst>
            <c:ext xmlns:c16="http://schemas.microsoft.com/office/drawing/2014/chart" uri="{C3380CC4-5D6E-409C-BE32-E72D297353CC}">
              <c16:uniqueId val="{00000010-92DA-4E2D-B0C8-2976A9E8A265}"/>
            </c:ext>
          </c:extLst>
        </c:ser>
        <c:ser>
          <c:idx val="1"/>
          <c:order val="1"/>
          <c:spPr>
            <a:solidFill>
              <a:srgbClr val="993366"/>
            </a:solidFill>
            <a:ln w="12700">
              <a:solidFill>
                <a:srgbClr val="000000"/>
              </a:solidFill>
              <a:prstDash val="solid"/>
            </a:ln>
          </c:spPr>
          <c:dPt>
            <c:idx val="0"/>
            <c:bubble3D val="0"/>
            <c:spPr>
              <a:solidFill>
                <a:srgbClr val="9999FF"/>
              </a:solidFill>
              <a:ln w="12700">
                <a:solidFill>
                  <a:srgbClr val="000000"/>
                </a:solidFill>
                <a:prstDash val="solid"/>
              </a:ln>
            </c:spPr>
            <c:extLst>
              <c:ext xmlns:c16="http://schemas.microsoft.com/office/drawing/2014/chart" uri="{C3380CC4-5D6E-409C-BE32-E72D297353CC}">
                <c16:uniqueId val="{00000012-92DA-4E2D-B0C8-2976A9E8A265}"/>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14-92DA-4E2D-B0C8-2976A9E8A265}"/>
              </c:ext>
            </c:extLst>
          </c:dPt>
          <c:dLbls>
            <c:numFmt formatCode="0%" sourceLinked="0"/>
            <c:spPr>
              <a:noFill/>
              <a:ln w="25400">
                <a:noFill/>
              </a:ln>
            </c:spPr>
            <c:showLegendKey val="0"/>
            <c:showVal val="0"/>
            <c:showCatName val="0"/>
            <c:showSerName val="0"/>
            <c:showPercent val="1"/>
            <c:showBubbleSize val="0"/>
            <c:showLeaderLines val="1"/>
            <c:extLst>
              <c:ext xmlns:c15="http://schemas.microsoft.com/office/drawing/2012/chart" uri="{CE6537A1-D6FC-4f65-9D91-7224C49458BB}"/>
            </c:extLst>
          </c:dLbls>
          <c:cat>
            <c:strRef>
              <c:f>MTNSOP!$T$45:$T$51</c:f>
              <c:strCache>
                <c:ptCount val="7"/>
                <c:pt idx="0">
                  <c:v>South Africa</c:v>
                </c:pt>
                <c:pt idx="1">
                  <c:v>Nigeria</c:v>
                </c:pt>
                <c:pt idx="2">
                  <c:v>Ghana</c:v>
                </c:pt>
                <c:pt idx="3">
                  <c:v>Iran</c:v>
                </c:pt>
                <c:pt idx="4">
                  <c:v>Syria</c:v>
                </c:pt>
                <c:pt idx="5">
                  <c:v>Other Large Opco</c:v>
                </c:pt>
                <c:pt idx="6">
                  <c:v>Small Opco</c:v>
                </c:pt>
              </c:strCache>
            </c:strRef>
          </c:cat>
          <c:val>
            <c:numRef>
              <c:f>MTNSOP!$X$45:$X$47</c:f>
              <c:numCache>
                <c:formatCode>0.0%</c:formatCode>
                <c:ptCount val="3"/>
                <c:pt idx="0">
                  <c:v>0.3895778569247651</c:v>
                </c:pt>
                <c:pt idx="1">
                  <c:v>0.2280827377346003</c:v>
                </c:pt>
                <c:pt idx="2">
                  <c:v>8.6488803471361425E-2</c:v>
                </c:pt>
              </c:numCache>
            </c:numRef>
          </c:val>
          <c:extLst>
            <c:ext xmlns:c16="http://schemas.microsoft.com/office/drawing/2014/chart" uri="{C3380CC4-5D6E-409C-BE32-E72D297353CC}">
              <c16:uniqueId val="{00000015-92DA-4E2D-B0C8-2976A9E8A265}"/>
            </c:ext>
          </c:extLst>
        </c:ser>
        <c:dLbls>
          <c:showLegendKey val="0"/>
          <c:showVal val="0"/>
          <c:showCatName val="0"/>
          <c:showSerName val="0"/>
          <c:showPercent val="0"/>
          <c:showBubbleSize val="0"/>
          <c:showLeaderLines val="1"/>
        </c:dLbls>
        <c:firstSliceAng val="0"/>
      </c:pieChart>
      <c:spPr>
        <a:noFill/>
        <a:ln w="25400">
          <a:noFill/>
        </a:ln>
      </c:spPr>
    </c:plotArea>
    <c:legend>
      <c:legendPos val="b"/>
      <c:overlay val="0"/>
      <c:spPr>
        <a:solidFill>
          <a:srgbClr val="FFFFFF"/>
        </a:solidFill>
        <a:ln w="25400">
          <a:noFill/>
        </a:ln>
      </c:spPr>
    </c:legend>
    <c:plotVisOnly val="1"/>
    <c:dispBlanksAs val="zero"/>
    <c:showDLblsOverMax val="0"/>
  </c:chart>
  <c:spPr>
    <a:solidFill>
      <a:srgbClr val="FFFFFF"/>
    </a:solidFill>
    <a:ln w="25400">
      <a:noFill/>
    </a:ln>
    <a:effectLst/>
  </c:spPr>
  <c:txPr>
    <a:bodyPr/>
    <a:lstStyle/>
    <a:p>
      <a:pPr>
        <a:defRPr sz="1000" b="0" i="0" u="none" strike="noStrike" baseline="0">
          <a:solidFill>
            <a:srgbClr val="595959"/>
          </a:solidFill>
          <a:latin typeface="Arial Narrow"/>
          <a:ea typeface="Arial Narrow"/>
          <a:cs typeface="Arial Narrow"/>
        </a:defRPr>
      </a:pPr>
      <a:endParaRPr lang="en-US"/>
    </a:p>
  </c:txPr>
  <c:printSettings>
    <c:headerFooter alignWithMargins="0"/>
    <c:pageMargins b="1" l="0.75000000000000111" r="0.75000000000000111" t="1" header="0.5" footer="0.5"/>
    <c:pageSetup/>
  </c:printSettings>
</c:chartSpace>
</file>

<file path=xl/charts/chart1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992481203007519"/>
          <c:y val="0.10150375939849621"/>
          <c:w val="0.62030075187969924"/>
          <c:h val="0.62030075187969924"/>
        </c:manualLayout>
      </c:layout>
      <c:pieChart>
        <c:varyColors val="1"/>
        <c:ser>
          <c:idx val="0"/>
          <c:order val="0"/>
          <c:spPr>
            <a:solidFill>
              <a:srgbClr val="9999FF"/>
            </a:solidFill>
            <a:ln w="25400">
              <a:noFill/>
            </a:ln>
          </c:spPr>
          <c:dPt>
            <c:idx val="0"/>
            <c:bubble3D val="0"/>
            <c:spPr>
              <a:solidFill>
                <a:srgbClr val="263238"/>
              </a:solidFill>
              <a:ln w="25400">
                <a:noFill/>
              </a:ln>
              <a:effectLst/>
            </c:spPr>
            <c:extLst>
              <c:ext xmlns:c16="http://schemas.microsoft.com/office/drawing/2014/chart" uri="{C3380CC4-5D6E-409C-BE32-E72D297353CC}">
                <c16:uniqueId val="{00000001-E751-42F1-A74B-A5AE2F365BF2}"/>
              </c:ext>
            </c:extLst>
          </c:dPt>
          <c:dPt>
            <c:idx val="1"/>
            <c:bubble3D val="0"/>
            <c:spPr>
              <a:solidFill>
                <a:srgbClr val="799098"/>
              </a:solidFill>
              <a:ln w="25400">
                <a:noFill/>
              </a:ln>
              <a:effectLst/>
            </c:spPr>
            <c:extLst>
              <c:ext xmlns:c16="http://schemas.microsoft.com/office/drawing/2014/chart" uri="{C3380CC4-5D6E-409C-BE32-E72D297353CC}">
                <c16:uniqueId val="{00000003-E751-42F1-A74B-A5AE2F365BF2}"/>
              </c:ext>
            </c:extLst>
          </c:dPt>
          <c:dPt>
            <c:idx val="2"/>
            <c:bubble3D val="0"/>
            <c:spPr>
              <a:pattFill prst="wdDnDiag">
                <a:fgClr>
                  <a:srgbClr val="3366FF"/>
                </a:fgClr>
                <a:bgClr>
                  <a:srgbClr val="3366FF"/>
                </a:bgClr>
              </a:pattFill>
              <a:ln w="25400">
                <a:noFill/>
              </a:ln>
              <a:effectLst/>
            </c:spPr>
            <c:extLst>
              <c:ext xmlns:c16="http://schemas.microsoft.com/office/drawing/2014/chart" uri="{C3380CC4-5D6E-409C-BE32-E72D297353CC}">
                <c16:uniqueId val="{00000005-E751-42F1-A74B-A5AE2F365BF2}"/>
              </c:ext>
            </c:extLst>
          </c:dPt>
          <c:dLbls>
            <c:dLbl>
              <c:idx val="0"/>
              <c:layout>
                <c:manualLayout>
                  <c:x val="-1.5596298806444316E-2"/>
                  <c:y val="-1.1210606870862453E-2"/>
                </c:manualLayout>
              </c:layout>
              <c:numFmt formatCode="0%" sourceLinked="0"/>
              <c:spPr>
                <a:noFill/>
                <a:ln w="25400">
                  <a:noFill/>
                </a:ln>
                <a:effectLst/>
              </c:spPr>
              <c:txPr>
                <a:bodyPr wrap="square" lIns="38100" tIns="19050" rIns="38100" bIns="19050" anchor="ctr">
                  <a:spAutoFit/>
                </a:bodyPr>
                <a:lstStyle/>
                <a:p>
                  <a:pPr>
                    <a:defRPr sz="800">
                      <a:solidFill>
                        <a:srgbClr val="FFFFFF"/>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751-42F1-A74B-A5AE2F365BF2}"/>
                </c:ext>
              </c:extLst>
            </c:dLbl>
            <c:dLbl>
              <c:idx val="1"/>
              <c:layout>
                <c:manualLayout>
                  <c:x val="1.0570220208321261E-3"/>
                  <c:y val="1.9342658491144565E-2"/>
                </c:manualLayout>
              </c:layout>
              <c:numFmt formatCode="0%" sourceLinked="0"/>
              <c:spPr>
                <a:noFill/>
                <a:ln w="25400">
                  <a:noFill/>
                </a:ln>
                <a:effectLst/>
              </c:spPr>
              <c:txPr>
                <a:bodyPr wrap="square" lIns="38100" tIns="19050" rIns="38100" bIns="19050" anchor="ctr">
                  <a:spAutoFit/>
                </a:bodyPr>
                <a:lstStyle/>
                <a:p>
                  <a:pPr>
                    <a:defRPr sz="800">
                      <a:solidFill>
                        <a:srgbClr val="FFFFFF"/>
                      </a:solidFill>
                    </a:defRPr>
                  </a:pPr>
                  <a:endParaRPr lang="en-US"/>
                </a:p>
              </c:txPr>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751-42F1-A74B-A5AE2F365BF2}"/>
                </c:ext>
              </c:extLst>
            </c:dLbl>
            <c:dLbl>
              <c:idx val="3"/>
              <c:layout>
                <c:manualLayout>
                  <c:x val="4.7465256462875485E-2"/>
                  <c:y val="1.0581018052896799E-2"/>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751-42F1-A74B-A5AE2F365BF2}"/>
                </c:ext>
              </c:extLst>
            </c:dLbl>
            <c:numFmt formatCode="0%" sourceLinked="0"/>
            <c:spPr>
              <a:noFill/>
              <a:ln w="25400">
                <a:noFill/>
              </a:ln>
              <a:effectLst/>
            </c:spPr>
            <c:txPr>
              <a:bodyPr wrap="square" lIns="38100" tIns="19050" rIns="38100" bIns="19050" anchor="ctr">
                <a:spAutoFit/>
              </a:bodyPr>
              <a:lstStyle/>
              <a:p>
                <a:pPr>
                  <a:defRPr sz="800"/>
                </a:pPr>
                <a:endParaRPr lang="en-US"/>
              </a:p>
            </c:txPr>
            <c:showLegendKey val="0"/>
            <c:showVal val="1"/>
            <c:showCatName val="0"/>
            <c:showSerName val="0"/>
            <c:showPercent val="0"/>
            <c:showBubbleSize val="0"/>
            <c:showLeaderLines val="1"/>
            <c:extLst>
              <c:ext xmlns:c15="http://schemas.microsoft.com/office/drawing/2012/chart" uri="{CE6537A1-D6FC-4f65-9D91-7224C49458BB}"/>
            </c:extLst>
          </c:dLbls>
          <c:cat>
            <c:strRef>
              <c:f>OBELSOP!$T$40:$T$41</c:f>
              <c:strCache>
                <c:ptCount val="2"/>
                <c:pt idx="0">
                  <c:v>Belgium</c:v>
                </c:pt>
                <c:pt idx="1">
                  <c:v>Vox group (Luxembourg)</c:v>
                </c:pt>
              </c:strCache>
            </c:strRef>
          </c:cat>
          <c:val>
            <c:numRef>
              <c:f>OBELSOP!$X$40:$X$41</c:f>
              <c:numCache>
                <c:formatCode>0.0%</c:formatCode>
                <c:ptCount val="2"/>
                <c:pt idx="0">
                  <c:v>0.84743113536605508</c:v>
                </c:pt>
                <c:pt idx="1">
                  <c:v>2.3529893671241846E-2</c:v>
                </c:pt>
              </c:numCache>
            </c:numRef>
          </c:val>
          <c:extLst>
            <c:ext xmlns:c16="http://schemas.microsoft.com/office/drawing/2014/chart" uri="{C3380CC4-5D6E-409C-BE32-E72D297353CC}">
              <c16:uniqueId val="{00000007-E751-42F1-A74B-A5AE2F365BF2}"/>
            </c:ext>
          </c:extLst>
        </c:ser>
        <c:dLbls>
          <c:showLegendKey val="0"/>
          <c:showVal val="0"/>
          <c:showCatName val="0"/>
          <c:showSerName val="0"/>
          <c:showPercent val="0"/>
          <c:showBubbleSize val="0"/>
          <c:showLeaderLines val="1"/>
        </c:dLbls>
        <c:firstSliceAng val="0"/>
      </c:pieChart>
      <c:spPr>
        <a:noFill/>
        <a:ln w="25400">
          <a:noFill/>
        </a:ln>
      </c:spPr>
    </c:plotArea>
    <c:legend>
      <c:legendPos val="b"/>
      <c:overlay val="0"/>
      <c:spPr>
        <a:solidFill>
          <a:srgbClr val="FFFFFF"/>
        </a:solidFill>
        <a:ln w="25400">
          <a:noFill/>
        </a:ln>
      </c:spPr>
    </c:legend>
    <c:plotVisOnly val="1"/>
    <c:dispBlanksAs val="zero"/>
    <c:showDLblsOverMax val="0"/>
  </c:chart>
  <c:spPr>
    <a:solidFill>
      <a:srgbClr val="FFFFFF"/>
    </a:solidFill>
    <a:ln w="25400">
      <a:noFill/>
    </a:ln>
    <a:effectLst/>
  </c:spPr>
  <c:txPr>
    <a:bodyPr/>
    <a:lstStyle/>
    <a:p>
      <a:pPr>
        <a:defRPr sz="1000" b="0" i="0" u="none" strike="noStrike" baseline="0">
          <a:solidFill>
            <a:srgbClr val="595959"/>
          </a:solidFill>
          <a:latin typeface="Arial Narrow"/>
          <a:ea typeface="Arial Narrow"/>
          <a:cs typeface="Arial Narrow"/>
        </a:defRPr>
      </a:pPr>
      <a:endParaRPr lang="en-US"/>
    </a:p>
  </c:txPr>
  <c:printSettings>
    <c:headerFooter alignWithMargins="0"/>
    <c:pageMargins b="1" l="0.75000000000000111" r="0.75000000000000111" t="1" header="0.5" footer="0.5"/>
    <c:pageSetup/>
  </c:printSettings>
</c:chartSpace>
</file>

<file path=xl/charts/chart1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661654135338345"/>
          <c:y val="8.6956689562533898E-2"/>
          <c:w val="0.60902255639097869"/>
          <c:h val="0.64031744132411361"/>
        </c:manualLayout>
      </c:layout>
      <c:pieChart>
        <c:varyColors val="1"/>
        <c:ser>
          <c:idx val="0"/>
          <c:order val="0"/>
          <c:spPr>
            <a:solidFill>
              <a:srgbClr val="9999FF"/>
            </a:solidFill>
            <a:ln w="25400">
              <a:noFill/>
            </a:ln>
          </c:spPr>
          <c:dPt>
            <c:idx val="0"/>
            <c:bubble3D val="0"/>
            <c:spPr>
              <a:solidFill>
                <a:srgbClr val="263238"/>
              </a:solidFill>
              <a:ln w="25400">
                <a:noFill/>
              </a:ln>
              <a:effectLst/>
            </c:spPr>
            <c:extLst>
              <c:ext xmlns:c16="http://schemas.microsoft.com/office/drawing/2014/chart" uri="{C3380CC4-5D6E-409C-BE32-E72D297353CC}">
                <c16:uniqueId val="{0000000A-BDC4-46AA-8F47-F5E8E0C4CF1D}"/>
              </c:ext>
            </c:extLst>
          </c:dPt>
          <c:dPt>
            <c:idx val="1"/>
            <c:bubble3D val="0"/>
            <c:spPr>
              <a:solidFill>
                <a:srgbClr val="799098"/>
              </a:solidFill>
              <a:ln w="25400">
                <a:noFill/>
              </a:ln>
              <a:effectLst/>
            </c:spPr>
            <c:extLst>
              <c:ext xmlns:c16="http://schemas.microsoft.com/office/drawing/2014/chart" uri="{C3380CC4-5D6E-409C-BE32-E72D297353CC}">
                <c16:uniqueId val="{00000001-7E30-4A80-A954-D844E8829F4A}"/>
              </c:ext>
            </c:extLst>
          </c:dPt>
          <c:dPt>
            <c:idx val="2"/>
            <c:bubble3D val="0"/>
            <c:spPr>
              <a:solidFill>
                <a:srgbClr val="F9663E"/>
              </a:solidFill>
              <a:ln w="25400">
                <a:noFill/>
              </a:ln>
              <a:effectLst/>
            </c:spPr>
            <c:extLst>
              <c:ext xmlns:c16="http://schemas.microsoft.com/office/drawing/2014/chart" uri="{C3380CC4-5D6E-409C-BE32-E72D297353CC}">
                <c16:uniqueId val="{00000003-7E30-4A80-A954-D844E8829F4A}"/>
              </c:ext>
            </c:extLst>
          </c:dPt>
          <c:dPt>
            <c:idx val="3"/>
            <c:bubble3D val="0"/>
            <c:spPr>
              <a:solidFill>
                <a:srgbClr val="C7FE02"/>
              </a:solidFill>
              <a:ln w="25400">
                <a:noFill/>
              </a:ln>
              <a:effectLst/>
            </c:spPr>
            <c:extLst>
              <c:ext xmlns:c16="http://schemas.microsoft.com/office/drawing/2014/chart" uri="{C3380CC4-5D6E-409C-BE32-E72D297353CC}">
                <c16:uniqueId val="{00000005-7E30-4A80-A954-D844E8829F4A}"/>
              </c:ext>
            </c:extLst>
          </c:dPt>
          <c:dPt>
            <c:idx val="4"/>
            <c:bubble3D val="0"/>
            <c:spPr>
              <a:solidFill>
                <a:srgbClr val="00C994"/>
              </a:solidFill>
              <a:ln w="25400">
                <a:noFill/>
              </a:ln>
              <a:effectLst/>
            </c:spPr>
            <c:extLst>
              <c:ext xmlns:c16="http://schemas.microsoft.com/office/drawing/2014/chart" uri="{C3380CC4-5D6E-409C-BE32-E72D297353CC}">
                <c16:uniqueId val="{00000007-7E30-4A80-A954-D844E8829F4A}"/>
              </c:ext>
            </c:extLst>
          </c:dPt>
          <c:dPt>
            <c:idx val="5"/>
            <c:bubble3D val="0"/>
            <c:spPr>
              <a:solidFill>
                <a:srgbClr val="465A63"/>
              </a:solidFill>
              <a:ln w="25400">
                <a:noFill/>
              </a:ln>
              <a:effectLst/>
            </c:spPr>
            <c:extLst>
              <c:ext xmlns:c16="http://schemas.microsoft.com/office/drawing/2014/chart" uri="{C3380CC4-5D6E-409C-BE32-E72D297353CC}">
                <c16:uniqueId val="{00000009-7E30-4A80-A954-D844E8829F4A}"/>
              </c:ext>
            </c:extLst>
          </c:dPt>
          <c:dLbls>
            <c:dLbl>
              <c:idx val="0"/>
              <c:numFmt formatCode="0%" sourceLinked="0"/>
              <c:spPr>
                <a:noFill/>
                <a:ln w="25400">
                  <a:noFill/>
                </a:ln>
                <a:effectLst/>
              </c:spPr>
              <c:txPr>
                <a:bodyPr wrap="square" lIns="38100" tIns="19050" rIns="38100" bIns="19050" anchor="ctr">
                  <a:spAutoFit/>
                </a:bodyPr>
                <a:lstStyle/>
                <a:p>
                  <a:pPr>
                    <a:defRPr sz="800">
                      <a:solidFill>
                        <a:srgbClr val="FFFFFF"/>
                      </a:solidFill>
                    </a:defRPr>
                  </a:pPr>
                  <a:endParaRPr lang="en-US"/>
                </a:p>
              </c:txPr>
              <c:showLegendKey val="0"/>
              <c:showVal val="1"/>
              <c:showCatName val="0"/>
              <c:showSerName val="0"/>
              <c:showPercent val="0"/>
              <c:showBubbleSize val="0"/>
              <c:extLst>
                <c:ext xmlns:c16="http://schemas.microsoft.com/office/drawing/2014/chart" uri="{C3380CC4-5D6E-409C-BE32-E72D297353CC}">
                  <c16:uniqueId val="{0000000A-BDC4-46AA-8F47-F5E8E0C4CF1D}"/>
                </c:ext>
              </c:extLst>
            </c:dLbl>
            <c:dLbl>
              <c:idx val="1"/>
              <c:layout>
                <c:manualLayout>
                  <c:x val="-2.0158686189772936E-2"/>
                  <c:y val="2.3216530270074886E-3"/>
                </c:manualLayout>
              </c:layout>
              <c:numFmt formatCode="0%" sourceLinked="0"/>
              <c:spPr>
                <a:noFill/>
                <a:ln w="25400">
                  <a:noFill/>
                </a:ln>
                <a:effectLst/>
              </c:spPr>
              <c:txPr>
                <a:bodyPr wrap="square" lIns="38100" tIns="19050" rIns="38100" bIns="19050" anchor="ctr">
                  <a:spAutoFit/>
                </a:bodyPr>
                <a:lstStyle/>
                <a:p>
                  <a:pPr>
                    <a:defRPr sz="800">
                      <a:solidFill>
                        <a:srgbClr val="FFFFFF"/>
                      </a:solidFill>
                    </a:defRPr>
                  </a:pPr>
                  <a:endParaRPr lang="en-US"/>
                </a:p>
              </c:txPr>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E30-4A80-A954-D844E8829F4A}"/>
                </c:ext>
              </c:extLst>
            </c:dLbl>
            <c:dLbl>
              <c:idx val="2"/>
              <c:numFmt formatCode="0%" sourceLinked="0"/>
              <c:spPr>
                <a:noFill/>
                <a:ln w="25400">
                  <a:noFill/>
                </a:ln>
                <a:effectLst/>
              </c:spPr>
              <c:txPr>
                <a:bodyPr wrap="square" lIns="38100" tIns="19050" rIns="38100" bIns="19050" anchor="ctr">
                  <a:spAutoFit/>
                </a:bodyPr>
                <a:lstStyle/>
                <a:p>
                  <a:pPr>
                    <a:defRPr sz="800">
                      <a:solidFill>
                        <a:srgbClr val="595959"/>
                      </a:solidFill>
                    </a:defRPr>
                  </a:pPr>
                  <a:endParaRPr lang="en-US"/>
                </a:p>
              </c:txPr>
              <c:showLegendKey val="0"/>
              <c:showVal val="1"/>
              <c:showCatName val="0"/>
              <c:showSerName val="0"/>
              <c:showPercent val="0"/>
              <c:showBubbleSize val="0"/>
              <c:extLst>
                <c:ext xmlns:c16="http://schemas.microsoft.com/office/drawing/2014/chart" uri="{C3380CC4-5D6E-409C-BE32-E72D297353CC}">
                  <c16:uniqueId val="{00000003-7E30-4A80-A954-D844E8829F4A}"/>
                </c:ext>
              </c:extLst>
            </c:dLbl>
            <c:dLbl>
              <c:idx val="3"/>
              <c:numFmt formatCode="0%" sourceLinked="0"/>
              <c:spPr>
                <a:noFill/>
                <a:ln w="25400">
                  <a:noFill/>
                </a:ln>
                <a:effectLst/>
              </c:spPr>
              <c:txPr>
                <a:bodyPr wrap="square" lIns="38100" tIns="19050" rIns="38100" bIns="19050" anchor="ctr">
                  <a:spAutoFit/>
                </a:bodyPr>
                <a:lstStyle/>
                <a:p>
                  <a:pPr>
                    <a:defRPr sz="800">
                      <a:solidFill>
                        <a:srgbClr val="595959"/>
                      </a:solidFill>
                    </a:defRPr>
                  </a:pPr>
                  <a:endParaRPr lang="en-US"/>
                </a:p>
              </c:txPr>
              <c:showLegendKey val="0"/>
              <c:showVal val="1"/>
              <c:showCatName val="0"/>
              <c:showSerName val="0"/>
              <c:showPercent val="0"/>
              <c:showBubbleSize val="0"/>
              <c:extLst>
                <c:ext xmlns:c16="http://schemas.microsoft.com/office/drawing/2014/chart" uri="{C3380CC4-5D6E-409C-BE32-E72D297353CC}">
                  <c16:uniqueId val="{00000005-7E30-4A80-A954-D844E8829F4A}"/>
                </c:ext>
              </c:extLst>
            </c:dLbl>
            <c:dLbl>
              <c:idx val="4"/>
              <c:numFmt formatCode="0%" sourceLinked="0"/>
              <c:spPr>
                <a:noFill/>
                <a:ln w="25400">
                  <a:noFill/>
                </a:ln>
                <a:effectLst/>
              </c:spPr>
              <c:txPr>
                <a:bodyPr wrap="square" lIns="38100" tIns="19050" rIns="38100" bIns="19050" anchor="ctr">
                  <a:spAutoFit/>
                </a:bodyPr>
                <a:lstStyle/>
                <a:p>
                  <a:pPr>
                    <a:defRPr sz="800">
                      <a:solidFill>
                        <a:srgbClr val="595959"/>
                      </a:solidFill>
                    </a:defRPr>
                  </a:pPr>
                  <a:endParaRPr lang="en-US"/>
                </a:p>
              </c:txPr>
              <c:showLegendKey val="0"/>
              <c:showVal val="1"/>
              <c:showCatName val="0"/>
              <c:showSerName val="0"/>
              <c:showPercent val="0"/>
              <c:showBubbleSize val="0"/>
              <c:extLst>
                <c:ext xmlns:c16="http://schemas.microsoft.com/office/drawing/2014/chart" uri="{C3380CC4-5D6E-409C-BE32-E72D297353CC}">
                  <c16:uniqueId val="{00000007-7E30-4A80-A954-D844E8829F4A}"/>
                </c:ext>
              </c:extLst>
            </c:dLbl>
            <c:dLbl>
              <c:idx val="5"/>
              <c:numFmt formatCode="0%" sourceLinked="0"/>
              <c:spPr>
                <a:noFill/>
                <a:ln w="25400">
                  <a:noFill/>
                </a:ln>
                <a:effectLst/>
              </c:spPr>
              <c:txPr>
                <a:bodyPr wrap="square" lIns="38100" tIns="19050" rIns="38100" bIns="19050" anchor="ctr">
                  <a:spAutoFit/>
                </a:bodyPr>
                <a:lstStyle/>
                <a:p>
                  <a:pPr>
                    <a:defRPr sz="800">
                      <a:solidFill>
                        <a:srgbClr val="FFFFFF"/>
                      </a:solidFill>
                    </a:defRPr>
                  </a:pPr>
                  <a:endParaRPr lang="en-US"/>
                </a:p>
              </c:txPr>
              <c:showLegendKey val="0"/>
              <c:showVal val="1"/>
              <c:showCatName val="0"/>
              <c:showSerName val="0"/>
              <c:showPercent val="0"/>
              <c:showBubbleSize val="0"/>
              <c:extLst>
                <c:ext xmlns:c16="http://schemas.microsoft.com/office/drawing/2014/chart" uri="{C3380CC4-5D6E-409C-BE32-E72D297353CC}">
                  <c16:uniqueId val="{00000009-7E30-4A80-A954-D844E8829F4A}"/>
                </c:ext>
              </c:extLst>
            </c:dLbl>
            <c:numFmt formatCode="0%" sourceLinked="0"/>
            <c:spPr>
              <a:noFill/>
              <a:ln w="25400">
                <a:noFill/>
              </a:ln>
              <a:effectLst/>
            </c:spPr>
            <c:txPr>
              <a:bodyPr wrap="square" lIns="38100" tIns="19050" rIns="38100" bIns="19050" anchor="ctr">
                <a:spAutoFit/>
              </a:bodyPr>
              <a:lstStyle/>
              <a:p>
                <a:pPr>
                  <a:defRPr sz="800"/>
                </a:pPr>
                <a:endParaRPr lang="en-US"/>
              </a:p>
            </c:txPr>
            <c:showLegendKey val="0"/>
            <c:showVal val="1"/>
            <c:showCatName val="0"/>
            <c:showSerName val="0"/>
            <c:showPercent val="0"/>
            <c:showBubbleSize val="0"/>
            <c:showLeaderLines val="1"/>
            <c:extLst>
              <c:ext xmlns:c15="http://schemas.microsoft.com/office/drawing/2012/chart" uri="{CE6537A1-D6FC-4f65-9D91-7224C49458BB}"/>
            </c:extLst>
          </c:dLbls>
          <c:cat>
            <c:strRef>
              <c:f>ORASOP!$T$67:$T$72</c:f>
              <c:strCache>
                <c:ptCount val="6"/>
                <c:pt idx="0">
                  <c:v>Domestic wireline</c:v>
                </c:pt>
                <c:pt idx="1">
                  <c:v>Domestic mobile</c:v>
                </c:pt>
                <c:pt idx="2">
                  <c:v>Entreprise / ICSS</c:v>
                </c:pt>
                <c:pt idx="3">
                  <c:v>Europe</c:v>
                </c:pt>
                <c:pt idx="4">
                  <c:v>AME</c:v>
                </c:pt>
                <c:pt idx="5">
                  <c:v>Other</c:v>
                </c:pt>
              </c:strCache>
            </c:strRef>
          </c:cat>
          <c:val>
            <c:numRef>
              <c:f>ORASOP!$X$67:$X$72</c:f>
              <c:numCache>
                <c:formatCode>0.0%</c:formatCode>
                <c:ptCount val="6"/>
                <c:pt idx="0">
                  <c:v>0.27098538791546528</c:v>
                </c:pt>
                <c:pt idx="1">
                  <c:v>0.21582863619158624</c:v>
                </c:pt>
                <c:pt idx="2">
                  <c:v>3.3182529452328337E-2</c:v>
                </c:pt>
                <c:pt idx="3">
                  <c:v>0.19298824780952001</c:v>
                </c:pt>
                <c:pt idx="4">
                  <c:v>0.16898182522847882</c:v>
                </c:pt>
                <c:pt idx="5">
                  <c:v>0.11803337340262121</c:v>
                </c:pt>
              </c:numCache>
            </c:numRef>
          </c:val>
          <c:extLst>
            <c:ext xmlns:c16="http://schemas.microsoft.com/office/drawing/2014/chart" uri="{C3380CC4-5D6E-409C-BE32-E72D297353CC}">
              <c16:uniqueId val="{0000000A-7E30-4A80-A954-D844E8829F4A}"/>
            </c:ext>
          </c:extLst>
        </c:ser>
        <c:dLbls>
          <c:showLegendKey val="0"/>
          <c:showVal val="0"/>
          <c:showCatName val="0"/>
          <c:showSerName val="0"/>
          <c:showPercent val="0"/>
          <c:showBubbleSize val="0"/>
          <c:showLeaderLines val="1"/>
        </c:dLbls>
        <c:firstSliceAng val="0"/>
      </c:pieChart>
      <c:spPr>
        <a:noFill/>
        <a:ln w="25400">
          <a:noFill/>
        </a:ln>
      </c:spPr>
    </c:plotArea>
    <c:legend>
      <c:legendPos val="b"/>
      <c:overlay val="0"/>
      <c:spPr>
        <a:solidFill>
          <a:srgbClr val="FFFFFF"/>
        </a:solidFill>
        <a:ln w="25400">
          <a:noFill/>
        </a:ln>
      </c:spPr>
    </c:legend>
    <c:plotVisOnly val="1"/>
    <c:dispBlanksAs val="zero"/>
    <c:showDLblsOverMax val="0"/>
  </c:chart>
  <c:spPr>
    <a:solidFill>
      <a:srgbClr val="FFFFFF"/>
    </a:solidFill>
    <a:ln w="25400">
      <a:noFill/>
    </a:ln>
    <a:effectLst/>
  </c:spPr>
  <c:txPr>
    <a:bodyPr/>
    <a:lstStyle/>
    <a:p>
      <a:pPr>
        <a:defRPr sz="1000" b="0" i="0" u="none" strike="noStrike" baseline="0">
          <a:solidFill>
            <a:srgbClr val="595959"/>
          </a:solidFill>
          <a:latin typeface="Arial Narrow"/>
          <a:ea typeface="Arial Narrow"/>
          <a:cs typeface="Arial Narrow"/>
        </a:defRPr>
      </a:pPr>
      <a:endParaRPr lang="en-US"/>
    </a:p>
  </c:txPr>
  <c:printSettings>
    <c:headerFooter alignWithMargins="0"/>
    <c:pageMargins b="1" l="0.75000000000000111" r="0.75000000000000111" t="1" header="0.5" footer="0.5"/>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9349527416776011"/>
          <c:y val="0.17145466287259617"/>
          <c:w val="0.40691034528918546"/>
          <c:h val="0.60195429961050384"/>
        </c:manualLayout>
      </c:layout>
      <c:radarChart>
        <c:radarStyle val="marker"/>
        <c:varyColors val="0"/>
        <c:ser>
          <c:idx val="0"/>
          <c:order val="0"/>
          <c:tx>
            <c:strRef>
              <c:f>ChinaTow!$W$24</c:f>
              <c:strCache>
                <c:ptCount val="1"/>
                <c:pt idx="0">
                  <c:v>China Tower</c:v>
                </c:pt>
              </c:strCache>
            </c:strRef>
          </c:tx>
          <c:spPr>
            <a:ln w="25400">
              <a:solidFill>
                <a:srgbClr val="263238"/>
              </a:solidFill>
              <a:prstDash val="solid"/>
            </a:ln>
            <a:effectLst/>
          </c:spPr>
          <c:marker>
            <c:symbol val="diamond"/>
            <c:size val="6"/>
            <c:spPr>
              <a:solidFill>
                <a:srgbClr val="263238"/>
              </a:solidFill>
              <a:ln w="6350">
                <a:noFill/>
              </a:ln>
            </c:spPr>
          </c:marker>
          <c:cat>
            <c:strRef>
              <c:f>ChinaTow!$V$25:$V$34</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ChinaTow!$W$25:$W$34</c:f>
              <c:numCache>
                <c:formatCode>0%</c:formatCode>
                <c:ptCount val="10"/>
                <c:pt idx="0">
                  <c:v>1.0582575921801418</c:v>
                </c:pt>
                <c:pt idx="1">
                  <c:v>0.51196002526127227</c:v>
                </c:pt>
                <c:pt idx="2">
                  <c:v>0.40003719821705258</c:v>
                </c:pt>
                <c:pt idx="3">
                  <c:v>0.30814229325869652</c:v>
                </c:pt>
                <c:pt idx="4">
                  <c:v>0.55734210735099854</c:v>
                </c:pt>
                <c:pt idx="5">
                  <c:v>0.39415835718275477</c:v>
                </c:pt>
                <c:pt idx="6">
                  <c:v>0.20288602730398678</c:v>
                </c:pt>
                <c:pt idx="7">
                  <c:v>0.72318816192755941</c:v>
                </c:pt>
                <c:pt idx="8">
                  <c:v>1.0390547258245582</c:v>
                </c:pt>
                <c:pt idx="9">
                  <c:v>4.9288756514596592</c:v>
                </c:pt>
              </c:numCache>
            </c:numRef>
          </c:val>
          <c:extLst>
            <c:ext xmlns:c16="http://schemas.microsoft.com/office/drawing/2014/chart" uri="{C3380CC4-5D6E-409C-BE32-E72D297353CC}">
              <c16:uniqueId val="{00000000-CE09-4B47-8129-0D0C4B4A700A}"/>
            </c:ext>
          </c:extLst>
        </c:ser>
        <c:ser>
          <c:idx val="1"/>
          <c:order val="1"/>
          <c:tx>
            <c:strRef>
              <c:f>ChinaTow!$X$24</c:f>
              <c:strCache>
                <c:ptCount val="1"/>
                <c:pt idx="0">
                  <c:v>Agg. Asia Cellular</c:v>
                </c:pt>
              </c:strCache>
            </c:strRef>
          </c:tx>
          <c:spPr>
            <a:ln w="25400">
              <a:solidFill>
                <a:srgbClr val="799098"/>
              </a:solidFill>
              <a:prstDash val="solid"/>
            </a:ln>
            <a:effectLst/>
          </c:spPr>
          <c:marker>
            <c:symbol val="diamond"/>
            <c:size val="6"/>
            <c:spPr>
              <a:solidFill>
                <a:srgbClr val="799098"/>
              </a:solidFill>
              <a:ln w="6350">
                <a:noFill/>
              </a:ln>
            </c:spPr>
          </c:marker>
          <c:cat>
            <c:strRef>
              <c:f>ChinaTow!$V$25:$V$34</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ChinaTow!$X$25:$X$34</c:f>
              <c:numCache>
                <c:formatCode>0%</c:formatCode>
                <c:ptCount val="10"/>
                <c:pt idx="0">
                  <c:v>1</c:v>
                </c:pt>
                <c:pt idx="1">
                  <c:v>1</c:v>
                </c:pt>
                <c:pt idx="2">
                  <c:v>1</c:v>
                </c:pt>
                <c:pt idx="3">
                  <c:v>1</c:v>
                </c:pt>
                <c:pt idx="4">
                  <c:v>1</c:v>
                </c:pt>
                <c:pt idx="5">
                  <c:v>1</c:v>
                </c:pt>
                <c:pt idx="6">
                  <c:v>1</c:v>
                </c:pt>
                <c:pt idx="7">
                  <c:v>1</c:v>
                </c:pt>
                <c:pt idx="8">
                  <c:v>1</c:v>
                </c:pt>
                <c:pt idx="9">
                  <c:v>1</c:v>
                </c:pt>
              </c:numCache>
            </c:numRef>
          </c:val>
          <c:extLst>
            <c:ext xmlns:c16="http://schemas.microsoft.com/office/drawing/2014/chart" uri="{C3380CC4-5D6E-409C-BE32-E72D297353CC}">
              <c16:uniqueId val="{00000001-CE09-4B47-8129-0D0C4B4A700A}"/>
            </c:ext>
          </c:extLst>
        </c:ser>
        <c:dLbls>
          <c:showLegendKey val="0"/>
          <c:showVal val="0"/>
          <c:showCatName val="0"/>
          <c:showSerName val="0"/>
          <c:showPercent val="0"/>
          <c:showBubbleSize val="0"/>
        </c:dLbls>
        <c:axId val="359111296"/>
        <c:axId val="359117568"/>
      </c:radarChart>
      <c:catAx>
        <c:axId val="359111296"/>
        <c:scaling>
          <c:orientation val="minMax"/>
        </c:scaling>
        <c:delete val="0"/>
        <c:axPos val="b"/>
        <c:numFmt formatCode="General" sourceLinked="1"/>
        <c:majorTickMark val="out"/>
        <c:minorTickMark val="none"/>
        <c:tickLblPos val="nextTo"/>
        <c:spPr>
          <a:ln>
            <a:solidFill>
              <a:srgbClr val="B3B3B3"/>
            </a:solidFill>
          </a:ln>
        </c:spPr>
        <c:txPr>
          <a:bodyPr rot="0" vert="horz"/>
          <a:lstStyle/>
          <a:p>
            <a:pPr>
              <a:defRPr/>
            </a:pPr>
            <a:endParaRPr lang="en-US"/>
          </a:p>
        </c:txPr>
        <c:crossAx val="359117568"/>
        <c:crosses val="autoZero"/>
        <c:auto val="0"/>
        <c:lblAlgn val="ctr"/>
        <c:lblOffset val="100"/>
        <c:noMultiLvlLbl val="0"/>
      </c:catAx>
      <c:valAx>
        <c:axId val="359117568"/>
        <c:scaling>
          <c:orientation val="minMax"/>
        </c:scaling>
        <c:delete val="0"/>
        <c:axPos val="l"/>
        <c:numFmt formatCode="0%" sourceLinked="1"/>
        <c:majorTickMark val="cross"/>
        <c:minorTickMark val="none"/>
        <c:tickLblPos val="nextTo"/>
        <c:spPr>
          <a:ln w="3175">
            <a:solidFill>
              <a:srgbClr val="B3B3B3"/>
            </a:solidFill>
            <a:prstDash val="solid"/>
          </a:ln>
        </c:spPr>
        <c:txPr>
          <a:bodyPr rot="0" vert="horz"/>
          <a:lstStyle/>
          <a:p>
            <a:pPr>
              <a:defRPr/>
            </a:pPr>
            <a:endParaRPr lang="en-US"/>
          </a:p>
        </c:txPr>
        <c:crossAx val="359111296"/>
        <c:crosses val="autoZero"/>
        <c:crossBetween val="between"/>
      </c:valAx>
      <c:spPr>
        <a:noFill/>
        <a:ln w="25400">
          <a:noFill/>
        </a:ln>
      </c:spPr>
    </c:plotArea>
    <c:legend>
      <c:legendPos val="b"/>
      <c:overlay val="0"/>
      <c:spPr>
        <a:noFill/>
        <a:ln w="25400">
          <a:noFill/>
        </a:ln>
      </c:spPr>
    </c:legend>
    <c:plotVisOnly val="1"/>
    <c:dispBlanksAs val="gap"/>
    <c:showDLblsOverMax val="0"/>
  </c:chart>
  <c:spPr>
    <a:noFill/>
    <a:ln w="25400">
      <a:noFill/>
    </a:ln>
    <a:effectLst/>
  </c:spPr>
  <c:txPr>
    <a:bodyPr/>
    <a:lstStyle/>
    <a:p>
      <a:pPr>
        <a:defRPr sz="1000" b="0" i="0" u="none" strike="noStrike" baseline="0">
          <a:solidFill>
            <a:srgbClr val="595959"/>
          </a:solidFill>
          <a:latin typeface="Arial Narrow"/>
          <a:ea typeface="Arial Narrow"/>
          <a:cs typeface="Arial Narrow"/>
        </a:defRPr>
      </a:pPr>
      <a:endParaRPr lang="en-US"/>
    </a:p>
  </c:txPr>
  <c:printSettings>
    <c:headerFooter alignWithMargins="0"/>
    <c:pageMargins b="1" l="0.75000000000000111" r="0.75000000000000111" t="1" header="0.5" footer="0.5"/>
    <c:pageSetup/>
  </c:printSettings>
</c:chartSpace>
</file>

<file path=xl/charts/chart1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657088241999874"/>
          <c:y val="7.8871456681185267E-2"/>
          <c:w val="0.65037593984962405"/>
          <c:h val="0.64312267657992694"/>
        </c:manualLayout>
      </c:layout>
      <c:pieChart>
        <c:varyColors val="1"/>
        <c:ser>
          <c:idx val="0"/>
          <c:order val="0"/>
          <c:spPr>
            <a:solidFill>
              <a:srgbClr val="9999FF"/>
            </a:solidFill>
            <a:ln w="25400">
              <a:noFill/>
            </a:ln>
          </c:spPr>
          <c:dPt>
            <c:idx val="0"/>
            <c:bubble3D val="0"/>
            <c:spPr>
              <a:solidFill>
                <a:srgbClr val="263238"/>
              </a:solidFill>
              <a:ln w="25400">
                <a:noFill/>
              </a:ln>
              <a:effectLst/>
            </c:spPr>
            <c:extLst>
              <c:ext xmlns:c16="http://schemas.microsoft.com/office/drawing/2014/chart" uri="{C3380CC4-5D6E-409C-BE32-E72D297353CC}">
                <c16:uniqueId val="{00000001-9DCC-451B-B3B6-506FF2C5D2A7}"/>
              </c:ext>
            </c:extLst>
          </c:dPt>
          <c:dPt>
            <c:idx val="1"/>
            <c:bubble3D val="0"/>
            <c:spPr>
              <a:solidFill>
                <a:srgbClr val="F9663E"/>
              </a:solidFill>
              <a:ln w="25400">
                <a:noFill/>
              </a:ln>
              <a:effectLst/>
            </c:spPr>
            <c:extLst>
              <c:ext xmlns:c16="http://schemas.microsoft.com/office/drawing/2014/chart" uri="{C3380CC4-5D6E-409C-BE32-E72D297353CC}">
                <c16:uniqueId val="{00000003-9DCC-451B-B3B6-506FF2C5D2A7}"/>
              </c:ext>
            </c:extLst>
          </c:dPt>
          <c:dPt>
            <c:idx val="2"/>
            <c:bubble3D val="0"/>
            <c:spPr>
              <a:solidFill>
                <a:srgbClr val="C7FE02"/>
              </a:solidFill>
              <a:ln w="25400">
                <a:noFill/>
              </a:ln>
              <a:effectLst/>
            </c:spPr>
            <c:extLst>
              <c:ext xmlns:c16="http://schemas.microsoft.com/office/drawing/2014/chart" uri="{C3380CC4-5D6E-409C-BE32-E72D297353CC}">
                <c16:uniqueId val="{00000005-9DCC-451B-B3B6-506FF2C5D2A7}"/>
              </c:ext>
            </c:extLst>
          </c:dPt>
          <c:dLbls>
            <c:dLbl>
              <c:idx val="0"/>
              <c:layout>
                <c:manualLayout>
                  <c:x val="-8.4395666988279633E-3"/>
                  <c:y val="-4.364758618547776E-2"/>
                </c:manualLayout>
              </c:layout>
              <c:numFmt formatCode="0%" sourceLinked="0"/>
              <c:spPr>
                <a:noFill/>
                <a:ln w="25400">
                  <a:noFill/>
                </a:ln>
                <a:effectLst/>
              </c:spPr>
              <c:txPr>
                <a:bodyPr wrap="square" lIns="38100" tIns="19050" rIns="38100" bIns="19050" anchor="ctr">
                  <a:spAutoFit/>
                </a:bodyPr>
                <a:lstStyle/>
                <a:p>
                  <a:pPr>
                    <a:defRPr sz="800">
                      <a:solidFill>
                        <a:srgbClr val="FFFFFF"/>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DCC-451B-B3B6-506FF2C5D2A7}"/>
                </c:ext>
              </c:extLst>
            </c:dLbl>
            <c:dLbl>
              <c:idx val="1"/>
              <c:layout>
                <c:manualLayout>
                  <c:x val="6.4237032876264923E-3"/>
                  <c:y val="-2.9667505739593282E-3"/>
                </c:manualLayout>
              </c:layout>
              <c:numFmt formatCode="0%" sourceLinked="0"/>
              <c:spPr>
                <a:noFill/>
                <a:ln w="25400">
                  <a:noFill/>
                </a:ln>
                <a:effectLst/>
              </c:spPr>
              <c:txPr>
                <a:bodyPr wrap="square" lIns="38100" tIns="19050" rIns="38100" bIns="19050" anchor="ctr">
                  <a:spAutoFit/>
                </a:bodyPr>
                <a:lstStyle/>
                <a:p>
                  <a:pPr>
                    <a:defRPr sz="800">
                      <a:solidFill>
                        <a:srgbClr val="595959"/>
                      </a:solidFill>
                    </a:defRPr>
                  </a:pPr>
                  <a:endParaRPr lang="en-US"/>
                </a:p>
              </c:txPr>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DCC-451B-B3B6-506FF2C5D2A7}"/>
                </c:ext>
              </c:extLst>
            </c:dLbl>
            <c:dLbl>
              <c:idx val="2"/>
              <c:layout>
                <c:manualLayout>
                  <c:x val="1.6105803935243083E-2"/>
                  <c:y val="1.9100522316924332E-2"/>
                </c:manualLayout>
              </c:layout>
              <c:numFmt formatCode="0%" sourceLinked="0"/>
              <c:spPr>
                <a:noFill/>
                <a:ln w="25400">
                  <a:noFill/>
                </a:ln>
                <a:effectLst/>
              </c:spPr>
              <c:txPr>
                <a:bodyPr wrap="square" lIns="38100" tIns="19050" rIns="38100" bIns="19050" anchor="ctr">
                  <a:spAutoFit/>
                </a:bodyPr>
                <a:lstStyle/>
                <a:p>
                  <a:pPr>
                    <a:defRPr sz="800">
                      <a:solidFill>
                        <a:srgbClr val="595959"/>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DCC-451B-B3B6-506FF2C5D2A7}"/>
                </c:ext>
              </c:extLst>
            </c:dLbl>
            <c:numFmt formatCode="0%" sourceLinked="0"/>
            <c:spPr>
              <a:noFill/>
              <a:ln w="25400">
                <a:noFill/>
              </a:ln>
              <a:effectLst/>
            </c:spPr>
            <c:txPr>
              <a:bodyPr wrap="square" lIns="38100" tIns="19050" rIns="38100" bIns="19050" anchor="ctr">
                <a:spAutoFit/>
              </a:bodyPr>
              <a:lstStyle/>
              <a:p>
                <a:pPr>
                  <a:defRPr sz="800"/>
                </a:pPr>
                <a:endParaRPr lang="en-US"/>
              </a:p>
            </c:txPr>
            <c:showLegendKey val="0"/>
            <c:showVal val="1"/>
            <c:showCatName val="0"/>
            <c:showSerName val="0"/>
            <c:showPercent val="0"/>
            <c:showBubbleSize val="0"/>
            <c:showLeaderLines val="1"/>
            <c:extLst>
              <c:ext xmlns:c15="http://schemas.microsoft.com/office/drawing/2012/chart" uri="{CE6537A1-D6FC-4f65-9D91-7224C49458BB}"/>
            </c:extLst>
          </c:dLbls>
          <c:cat>
            <c:strRef>
              <c:f>OTESOP!$T$45:$T$47</c:f>
              <c:strCache>
                <c:ptCount val="3"/>
                <c:pt idx="0">
                  <c:v>Domestic mobile</c:v>
                </c:pt>
                <c:pt idx="1">
                  <c:v>Domestic wireline</c:v>
                </c:pt>
                <c:pt idx="2">
                  <c:v>Other</c:v>
                </c:pt>
              </c:strCache>
            </c:strRef>
          </c:cat>
          <c:val>
            <c:numRef>
              <c:f>OTESOP!$X$45:$X$47</c:f>
              <c:numCache>
                <c:formatCode>0.0%</c:formatCode>
                <c:ptCount val="3"/>
                <c:pt idx="0">
                  <c:v>0.9461545322756183</c:v>
                </c:pt>
                <c:pt idx="1">
                  <c:v>0.85538336174763385</c:v>
                </c:pt>
                <c:pt idx="2">
                  <c:v>-0.80153789402325215</c:v>
                </c:pt>
              </c:numCache>
            </c:numRef>
          </c:val>
          <c:extLst>
            <c:ext xmlns:c16="http://schemas.microsoft.com/office/drawing/2014/chart" uri="{C3380CC4-5D6E-409C-BE32-E72D297353CC}">
              <c16:uniqueId val="{00000006-9DCC-451B-B3B6-506FF2C5D2A7}"/>
            </c:ext>
          </c:extLst>
        </c:ser>
        <c:ser>
          <c:idx val="1"/>
          <c:order val="1"/>
          <c:spPr>
            <a:solidFill>
              <a:srgbClr val="993366"/>
            </a:solidFill>
            <a:ln w="12700">
              <a:solidFill>
                <a:srgbClr val="000000"/>
              </a:solidFill>
              <a:prstDash val="solid"/>
            </a:ln>
          </c:spPr>
          <c:dPt>
            <c:idx val="0"/>
            <c:bubble3D val="0"/>
            <c:spPr>
              <a:solidFill>
                <a:srgbClr val="9999FF"/>
              </a:solidFill>
              <a:ln w="12700">
                <a:solidFill>
                  <a:srgbClr val="000000"/>
                </a:solidFill>
                <a:prstDash val="solid"/>
              </a:ln>
            </c:spPr>
            <c:extLst>
              <c:ext xmlns:c16="http://schemas.microsoft.com/office/drawing/2014/chart" uri="{C3380CC4-5D6E-409C-BE32-E72D297353CC}">
                <c16:uniqueId val="{00000008-9DCC-451B-B3B6-506FF2C5D2A7}"/>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A-9DCC-451B-B3B6-506FF2C5D2A7}"/>
              </c:ext>
            </c:extLst>
          </c:dPt>
          <c:dLbls>
            <c:numFmt formatCode="0%" sourceLinked="0"/>
            <c:spPr>
              <a:noFill/>
              <a:ln w="25400">
                <a:noFill/>
              </a:ln>
            </c:spPr>
            <c:showLegendKey val="0"/>
            <c:showVal val="0"/>
            <c:showCatName val="0"/>
            <c:showSerName val="0"/>
            <c:showPercent val="1"/>
            <c:showBubbleSize val="0"/>
            <c:showLeaderLines val="1"/>
            <c:extLst>
              <c:ext xmlns:c15="http://schemas.microsoft.com/office/drawing/2012/chart" uri="{CE6537A1-D6FC-4f65-9D91-7224C49458BB}"/>
            </c:extLst>
          </c:dLbls>
          <c:cat>
            <c:strRef>
              <c:f>OTESOP!$T$45:$T$47</c:f>
              <c:strCache>
                <c:ptCount val="3"/>
                <c:pt idx="0">
                  <c:v>Domestic mobile</c:v>
                </c:pt>
                <c:pt idx="1">
                  <c:v>Domestic wireline</c:v>
                </c:pt>
                <c:pt idx="2">
                  <c:v>Other</c:v>
                </c:pt>
              </c:strCache>
            </c:strRef>
          </c:cat>
          <c:val>
            <c:numRef>
              <c:f>OTESOP!$X$45:$X$47</c:f>
              <c:numCache>
                <c:formatCode>0.0%</c:formatCode>
                <c:ptCount val="3"/>
                <c:pt idx="0">
                  <c:v>0.9461545322756183</c:v>
                </c:pt>
                <c:pt idx="1">
                  <c:v>0.85538336174763385</c:v>
                </c:pt>
                <c:pt idx="2">
                  <c:v>-0.80153789402325215</c:v>
                </c:pt>
              </c:numCache>
            </c:numRef>
          </c:val>
          <c:extLst>
            <c:ext xmlns:c16="http://schemas.microsoft.com/office/drawing/2014/chart" uri="{C3380CC4-5D6E-409C-BE32-E72D297353CC}">
              <c16:uniqueId val="{0000000B-9DCC-451B-B3B6-506FF2C5D2A7}"/>
            </c:ext>
          </c:extLst>
        </c:ser>
        <c:dLbls>
          <c:showLegendKey val="0"/>
          <c:showVal val="0"/>
          <c:showCatName val="0"/>
          <c:showSerName val="0"/>
          <c:showPercent val="0"/>
          <c:showBubbleSize val="0"/>
          <c:showLeaderLines val="1"/>
        </c:dLbls>
        <c:firstSliceAng val="0"/>
      </c:pieChart>
      <c:spPr>
        <a:noFill/>
        <a:ln w="25400">
          <a:noFill/>
        </a:ln>
      </c:spPr>
    </c:plotArea>
    <c:legend>
      <c:legendPos val="b"/>
      <c:overlay val="0"/>
      <c:spPr>
        <a:solidFill>
          <a:srgbClr val="FFFFFF"/>
        </a:solidFill>
        <a:ln w="25400">
          <a:noFill/>
        </a:ln>
      </c:spPr>
    </c:legend>
    <c:plotVisOnly val="1"/>
    <c:dispBlanksAs val="zero"/>
    <c:showDLblsOverMax val="0"/>
  </c:chart>
  <c:spPr>
    <a:solidFill>
      <a:srgbClr val="FFFFFF"/>
    </a:solidFill>
    <a:ln w="25400">
      <a:noFill/>
    </a:ln>
    <a:effectLst/>
  </c:spPr>
  <c:txPr>
    <a:bodyPr/>
    <a:lstStyle/>
    <a:p>
      <a:pPr>
        <a:defRPr sz="1000" b="0" i="0" u="none" strike="noStrike" baseline="0">
          <a:solidFill>
            <a:srgbClr val="595959"/>
          </a:solidFill>
          <a:latin typeface="Arial Narrow"/>
          <a:ea typeface="Arial Narrow"/>
          <a:cs typeface="Arial Narrow"/>
        </a:defRPr>
      </a:pPr>
      <a:endParaRPr lang="en-US"/>
    </a:p>
  </c:txPr>
  <c:printSettings>
    <c:headerFooter alignWithMargins="0"/>
    <c:pageMargins b="1" l="0.75000000000000111" r="0.75000000000000111" t="1" header="0.5" footer="0.5"/>
    <c:pageSetup/>
  </c:printSettings>
</c:chartSpace>
</file>

<file path=xl/charts/chart1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789473684210581"/>
          <c:y val="9.8039591144267788E-2"/>
          <c:w val="0.71804511278195493"/>
          <c:h val="0.74902247634220465"/>
        </c:manualLayout>
      </c:layout>
      <c:pieChart>
        <c:varyColors val="1"/>
        <c:ser>
          <c:idx val="0"/>
          <c:order val="0"/>
          <c:spPr>
            <a:solidFill>
              <a:srgbClr val="9999FF"/>
            </a:solidFill>
            <a:ln w="25400">
              <a:noFill/>
            </a:ln>
          </c:spPr>
          <c:dPt>
            <c:idx val="0"/>
            <c:bubble3D val="0"/>
            <c:spPr>
              <a:solidFill>
                <a:srgbClr val="263238"/>
              </a:solidFill>
              <a:ln w="25400">
                <a:noFill/>
              </a:ln>
              <a:effectLst/>
            </c:spPr>
            <c:extLst>
              <c:ext xmlns:c16="http://schemas.microsoft.com/office/drawing/2014/chart" uri="{C3380CC4-5D6E-409C-BE32-E72D297353CC}">
                <c16:uniqueId val="{00000004-23FA-4C2D-88F9-82F28EA75597}"/>
              </c:ext>
            </c:extLst>
          </c:dPt>
          <c:dPt>
            <c:idx val="1"/>
            <c:bubble3D val="0"/>
            <c:spPr>
              <a:solidFill>
                <a:srgbClr val="799098"/>
              </a:solidFill>
              <a:ln w="25400">
                <a:noFill/>
              </a:ln>
              <a:effectLst/>
            </c:spPr>
            <c:extLst>
              <c:ext xmlns:c16="http://schemas.microsoft.com/office/drawing/2014/chart" uri="{C3380CC4-5D6E-409C-BE32-E72D297353CC}">
                <c16:uniqueId val="{00000001-23FA-4C2D-88F9-82F28EA75597}"/>
              </c:ext>
            </c:extLst>
          </c:dPt>
          <c:dPt>
            <c:idx val="2"/>
            <c:bubble3D val="0"/>
            <c:spPr>
              <a:solidFill>
                <a:srgbClr val="F9663E"/>
              </a:solidFill>
              <a:ln w="25400">
                <a:noFill/>
              </a:ln>
              <a:effectLst/>
            </c:spPr>
            <c:extLst>
              <c:ext xmlns:c16="http://schemas.microsoft.com/office/drawing/2014/chart" uri="{C3380CC4-5D6E-409C-BE32-E72D297353CC}">
                <c16:uniqueId val="{00000003-23FA-4C2D-88F9-82F28EA75597}"/>
              </c:ext>
            </c:extLst>
          </c:dPt>
          <c:dPt>
            <c:idx val="3"/>
            <c:bubble3D val="0"/>
            <c:spPr>
              <a:solidFill>
                <a:srgbClr val="C7FE02"/>
              </a:solidFill>
              <a:ln w="25400">
                <a:noFill/>
              </a:ln>
              <a:effectLst/>
            </c:spPr>
            <c:extLst>
              <c:ext xmlns:c16="http://schemas.microsoft.com/office/drawing/2014/chart" uri="{C3380CC4-5D6E-409C-BE32-E72D297353CC}">
                <c16:uniqueId val="{00000008-A441-473C-98DB-D8DED9CF9FC3}"/>
              </c:ext>
            </c:extLst>
          </c:dPt>
          <c:dLbls>
            <c:dLbl>
              <c:idx val="0"/>
              <c:layout>
                <c:manualLayout>
                  <c:x val="-1.7971223129584411E-2"/>
                  <c:y val="-6.4657286691622564E-3"/>
                </c:manualLayout>
              </c:layout>
              <c:numFmt formatCode="0%" sourceLinked="0"/>
              <c:spPr>
                <a:noFill/>
                <a:ln w="25400">
                  <a:noFill/>
                </a:ln>
                <a:effectLst/>
              </c:spPr>
              <c:txPr>
                <a:bodyPr wrap="square" lIns="38100" tIns="19050" rIns="38100" bIns="19050" anchor="ctr">
                  <a:spAutoFit/>
                </a:bodyPr>
                <a:lstStyle/>
                <a:p>
                  <a:pPr>
                    <a:defRPr sz="800">
                      <a:solidFill>
                        <a:srgbClr val="FFFFFF"/>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3FA-4C2D-88F9-82F28EA75597}"/>
                </c:ext>
              </c:extLst>
            </c:dLbl>
            <c:dLbl>
              <c:idx val="1"/>
              <c:layout>
                <c:manualLayout>
                  <c:x val="2.621609951372221E-2"/>
                  <c:y val="-5.8035368529753455E-3"/>
                </c:manualLayout>
              </c:layout>
              <c:numFmt formatCode="0%" sourceLinked="0"/>
              <c:spPr>
                <a:noFill/>
                <a:ln w="25400">
                  <a:noFill/>
                </a:ln>
                <a:effectLst/>
              </c:spPr>
              <c:txPr>
                <a:bodyPr wrap="square" lIns="38100" tIns="19050" rIns="38100" bIns="19050" anchor="ctr">
                  <a:spAutoFit/>
                </a:bodyPr>
                <a:lstStyle/>
                <a:p>
                  <a:pPr>
                    <a:defRPr sz="800">
                      <a:solidFill>
                        <a:srgbClr val="FFFFFF"/>
                      </a:solidFill>
                    </a:defRPr>
                  </a:pPr>
                  <a:endParaRPr lang="en-US"/>
                </a:p>
              </c:txPr>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3FA-4C2D-88F9-82F28EA75597}"/>
                </c:ext>
              </c:extLst>
            </c:dLbl>
            <c:dLbl>
              <c:idx val="2"/>
              <c:layout>
                <c:manualLayout>
                  <c:x val="2.7034661270690742E-2"/>
                  <c:y val="4.7760423389699375E-3"/>
                </c:manualLayout>
              </c:layout>
              <c:numFmt formatCode="0%" sourceLinked="0"/>
              <c:spPr>
                <a:noFill/>
                <a:ln w="25400">
                  <a:noFill/>
                </a:ln>
                <a:effectLst/>
              </c:spPr>
              <c:txPr>
                <a:bodyPr wrap="square" lIns="38100" tIns="19050" rIns="38100" bIns="19050" anchor="ctr">
                  <a:spAutoFit/>
                </a:bodyPr>
                <a:lstStyle/>
                <a:p>
                  <a:pPr>
                    <a:defRPr sz="800">
                      <a:solidFill>
                        <a:srgbClr val="595959"/>
                      </a:solidFill>
                    </a:defRPr>
                  </a:pPr>
                  <a:endParaRPr lang="en-US"/>
                </a:p>
              </c:txPr>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3FA-4C2D-88F9-82F28EA75597}"/>
                </c:ext>
              </c:extLst>
            </c:dLbl>
            <c:dLbl>
              <c:idx val="3"/>
              <c:numFmt formatCode="0%" sourceLinked="0"/>
              <c:spPr>
                <a:noFill/>
                <a:ln w="25400">
                  <a:noFill/>
                </a:ln>
                <a:effectLst/>
              </c:spPr>
              <c:txPr>
                <a:bodyPr wrap="square" lIns="38100" tIns="19050" rIns="38100" bIns="19050" anchor="ctr">
                  <a:spAutoFit/>
                </a:bodyPr>
                <a:lstStyle/>
                <a:p>
                  <a:pPr>
                    <a:defRPr sz="800">
                      <a:solidFill>
                        <a:srgbClr val="595959"/>
                      </a:solidFill>
                    </a:defRPr>
                  </a:pPr>
                  <a:endParaRPr lang="en-US"/>
                </a:p>
              </c:txPr>
              <c:showLegendKey val="0"/>
              <c:showVal val="1"/>
              <c:showCatName val="0"/>
              <c:showSerName val="0"/>
              <c:showPercent val="0"/>
              <c:showBubbleSize val="0"/>
              <c:extLst>
                <c:ext xmlns:c16="http://schemas.microsoft.com/office/drawing/2014/chart" uri="{C3380CC4-5D6E-409C-BE32-E72D297353CC}">
                  <c16:uniqueId val="{00000008-A441-473C-98DB-D8DED9CF9FC3}"/>
                </c:ext>
              </c:extLst>
            </c:dLbl>
            <c:numFmt formatCode="0%" sourceLinked="0"/>
            <c:spPr>
              <a:noFill/>
              <a:ln w="25400">
                <a:noFill/>
              </a:ln>
              <a:effectLst/>
            </c:spPr>
            <c:txPr>
              <a:bodyPr wrap="square" lIns="38100" tIns="19050" rIns="38100" bIns="19050" anchor="ctr">
                <a:spAutoFit/>
              </a:bodyPr>
              <a:lstStyle/>
              <a:p>
                <a:pPr>
                  <a:defRPr sz="800"/>
                </a:pPr>
                <a:endParaRPr lang="en-US"/>
              </a:p>
            </c:txPr>
            <c:showLegendKey val="0"/>
            <c:showVal val="1"/>
            <c:showCatName val="0"/>
            <c:showSerName val="0"/>
            <c:showPercent val="0"/>
            <c:showBubbleSize val="0"/>
            <c:showLeaderLines val="1"/>
            <c:extLst>
              <c:ext xmlns:c15="http://schemas.microsoft.com/office/drawing/2012/chart" uri="{CE6537A1-D6FC-4f65-9D91-7224C49458BB}"/>
            </c:extLst>
          </c:dLbls>
          <c:cat>
            <c:strRef>
              <c:f>PROXSOP!$T$46:$T$48</c:f>
              <c:strCache>
                <c:ptCount val="3"/>
                <c:pt idx="0">
                  <c:v>Domestic</c:v>
                </c:pt>
                <c:pt idx="1">
                  <c:v>BICS/Telesign</c:v>
                </c:pt>
                <c:pt idx="2">
                  <c:v>Fibre JVs</c:v>
                </c:pt>
              </c:strCache>
            </c:strRef>
          </c:cat>
          <c:val>
            <c:numRef>
              <c:f>PROXSOP!$X$46:$X$48</c:f>
              <c:numCache>
                <c:formatCode>0.0%</c:formatCode>
                <c:ptCount val="3"/>
                <c:pt idx="0">
                  <c:v>0.6866478964208883</c:v>
                </c:pt>
                <c:pt idx="1">
                  <c:v>0.24072323063754933</c:v>
                </c:pt>
                <c:pt idx="2">
                  <c:v>7.2628872941562381E-2</c:v>
                </c:pt>
              </c:numCache>
            </c:numRef>
          </c:val>
          <c:extLst>
            <c:ext xmlns:c16="http://schemas.microsoft.com/office/drawing/2014/chart" uri="{C3380CC4-5D6E-409C-BE32-E72D297353CC}">
              <c16:uniqueId val="{00000005-23FA-4C2D-88F9-82F28EA75597}"/>
            </c:ext>
          </c:extLst>
        </c:ser>
        <c:ser>
          <c:idx val="1"/>
          <c:order val="1"/>
          <c:spPr>
            <a:solidFill>
              <a:srgbClr val="993366"/>
            </a:solidFill>
            <a:ln w="12700">
              <a:solidFill>
                <a:srgbClr val="000000"/>
              </a:solidFill>
              <a:prstDash val="solid"/>
            </a:ln>
          </c:spPr>
          <c:dPt>
            <c:idx val="0"/>
            <c:bubble3D val="0"/>
            <c:spPr>
              <a:solidFill>
                <a:srgbClr val="9999FF"/>
              </a:solidFill>
              <a:ln w="12700">
                <a:solidFill>
                  <a:srgbClr val="000000"/>
                </a:solidFill>
                <a:prstDash val="solid"/>
              </a:ln>
            </c:spPr>
            <c:extLst>
              <c:ext xmlns:c16="http://schemas.microsoft.com/office/drawing/2014/chart" uri="{C3380CC4-5D6E-409C-BE32-E72D297353CC}">
                <c16:uniqueId val="{00000007-23FA-4C2D-88F9-82F28EA75597}"/>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9-23FA-4C2D-88F9-82F28EA75597}"/>
              </c:ext>
            </c:extLst>
          </c:dPt>
          <c:dLbls>
            <c:numFmt formatCode="0%" sourceLinked="0"/>
            <c:spPr>
              <a:noFill/>
              <a:ln w="25400">
                <a:noFill/>
              </a:ln>
            </c:spPr>
            <c:showLegendKey val="0"/>
            <c:showVal val="0"/>
            <c:showCatName val="0"/>
            <c:showSerName val="0"/>
            <c:showPercent val="1"/>
            <c:showBubbleSize val="0"/>
            <c:showLeaderLines val="1"/>
            <c:extLst>
              <c:ext xmlns:c15="http://schemas.microsoft.com/office/drawing/2012/chart" uri="{CE6537A1-D6FC-4f65-9D91-7224C49458BB}"/>
            </c:extLst>
          </c:dLbls>
          <c:cat>
            <c:strRef>
              <c:f>PROXSOP!$T$46:$T$48</c:f>
              <c:strCache>
                <c:ptCount val="3"/>
                <c:pt idx="0">
                  <c:v>Domestic</c:v>
                </c:pt>
                <c:pt idx="1">
                  <c:v>BICS/Telesign</c:v>
                </c:pt>
                <c:pt idx="2">
                  <c:v>Fibre JVs</c:v>
                </c:pt>
              </c:strCache>
            </c:strRef>
          </c:cat>
          <c:val>
            <c:numRef>
              <c:f>PROXSOP!$X$46:$X$48</c:f>
              <c:numCache>
                <c:formatCode>0.0%</c:formatCode>
                <c:ptCount val="3"/>
                <c:pt idx="0">
                  <c:v>0.6866478964208883</c:v>
                </c:pt>
                <c:pt idx="1">
                  <c:v>0.24072323063754933</c:v>
                </c:pt>
                <c:pt idx="2">
                  <c:v>7.2628872941562381E-2</c:v>
                </c:pt>
              </c:numCache>
            </c:numRef>
          </c:val>
          <c:extLst>
            <c:ext xmlns:c16="http://schemas.microsoft.com/office/drawing/2014/chart" uri="{C3380CC4-5D6E-409C-BE32-E72D297353CC}">
              <c16:uniqueId val="{0000000A-23FA-4C2D-88F9-82F28EA75597}"/>
            </c:ext>
          </c:extLst>
        </c:ser>
        <c:dLbls>
          <c:showLegendKey val="0"/>
          <c:showVal val="0"/>
          <c:showCatName val="0"/>
          <c:showSerName val="0"/>
          <c:showPercent val="0"/>
          <c:showBubbleSize val="0"/>
          <c:showLeaderLines val="1"/>
        </c:dLbls>
        <c:firstSliceAng val="0"/>
      </c:pieChart>
      <c:spPr>
        <a:noFill/>
        <a:ln w="25400">
          <a:noFill/>
        </a:ln>
      </c:spPr>
    </c:plotArea>
    <c:legend>
      <c:legendPos val="b"/>
      <c:overlay val="0"/>
      <c:spPr>
        <a:solidFill>
          <a:srgbClr val="FFFFFF"/>
        </a:solidFill>
        <a:ln w="25400">
          <a:noFill/>
        </a:ln>
      </c:spPr>
    </c:legend>
    <c:plotVisOnly val="1"/>
    <c:dispBlanksAs val="zero"/>
    <c:showDLblsOverMax val="0"/>
  </c:chart>
  <c:spPr>
    <a:solidFill>
      <a:srgbClr val="FFFFFF"/>
    </a:solidFill>
    <a:ln w="25400">
      <a:noFill/>
    </a:ln>
    <a:effectLst/>
  </c:spPr>
  <c:txPr>
    <a:bodyPr/>
    <a:lstStyle/>
    <a:p>
      <a:pPr>
        <a:defRPr sz="1000" b="0" i="0" u="none" strike="noStrike" baseline="0">
          <a:solidFill>
            <a:srgbClr val="595959"/>
          </a:solidFill>
          <a:latin typeface="Arial Narrow"/>
          <a:ea typeface="Arial Narrow"/>
          <a:cs typeface="Arial Narrow"/>
        </a:defRPr>
      </a:pPr>
      <a:endParaRPr lang="en-US"/>
    </a:p>
  </c:txPr>
  <c:printSettings>
    <c:headerFooter alignWithMargins="0"/>
    <c:pageMargins b="1" l="0.75000000000000111" r="0.75000000000000111" t="1" header="0.5" footer="0.5"/>
    <c:pageSetup/>
  </c:printSettings>
</c:chartSpace>
</file>

<file path=xl/charts/chart1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0676691729323321"/>
          <c:y val="9.5022624434389164E-2"/>
          <c:w val="0.59774436090225425"/>
          <c:h val="0.71945701357466063"/>
        </c:manualLayout>
      </c:layout>
      <c:pieChart>
        <c:varyColors val="1"/>
        <c:ser>
          <c:idx val="0"/>
          <c:order val="0"/>
          <c:spPr>
            <a:solidFill>
              <a:srgbClr val="9999FF"/>
            </a:solidFill>
            <a:ln w="25400">
              <a:noFill/>
            </a:ln>
          </c:spPr>
          <c:dPt>
            <c:idx val="0"/>
            <c:bubble3D val="0"/>
            <c:spPr>
              <a:solidFill>
                <a:srgbClr val="263238"/>
              </a:solidFill>
              <a:ln w="25400">
                <a:noFill/>
              </a:ln>
              <a:effectLst/>
            </c:spPr>
            <c:extLst>
              <c:ext xmlns:c16="http://schemas.microsoft.com/office/drawing/2014/chart" uri="{C3380CC4-5D6E-409C-BE32-E72D297353CC}">
                <c16:uniqueId val="{00000001-C276-4EFF-A643-4A6D0C0F6139}"/>
              </c:ext>
            </c:extLst>
          </c:dPt>
          <c:dPt>
            <c:idx val="1"/>
            <c:bubble3D val="0"/>
            <c:spPr>
              <a:solidFill>
                <a:srgbClr val="799098"/>
              </a:solidFill>
              <a:ln w="25400">
                <a:noFill/>
              </a:ln>
              <a:effectLst/>
            </c:spPr>
            <c:extLst>
              <c:ext xmlns:c16="http://schemas.microsoft.com/office/drawing/2014/chart" uri="{C3380CC4-5D6E-409C-BE32-E72D297353CC}">
                <c16:uniqueId val="{00000003-C276-4EFF-A643-4A6D0C0F6139}"/>
              </c:ext>
            </c:extLst>
          </c:dPt>
          <c:dLbls>
            <c:dLbl>
              <c:idx val="0"/>
              <c:layout>
                <c:manualLayout>
                  <c:x val="-1.4251376472677759E-2"/>
                  <c:y val="-3.3600663223236266E-2"/>
                </c:manualLayout>
              </c:layout>
              <c:numFmt formatCode="0%" sourceLinked="0"/>
              <c:spPr>
                <a:noFill/>
                <a:ln w="25400">
                  <a:noFill/>
                </a:ln>
                <a:effectLst/>
              </c:spPr>
              <c:txPr>
                <a:bodyPr wrap="square" lIns="38100" tIns="19050" rIns="38100" bIns="19050" anchor="ctr">
                  <a:spAutoFit/>
                </a:bodyPr>
                <a:lstStyle/>
                <a:p>
                  <a:pPr>
                    <a:defRPr sz="800">
                      <a:solidFill>
                        <a:srgbClr val="FFFFFF"/>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276-4EFF-A643-4A6D0C0F6139}"/>
                </c:ext>
              </c:extLst>
            </c:dLbl>
            <c:dLbl>
              <c:idx val="1"/>
              <c:layout>
                <c:manualLayout>
                  <c:x val="1.1742545339727321E-2"/>
                  <c:y val="2.0366979014501008E-2"/>
                </c:manualLayout>
              </c:layout>
              <c:numFmt formatCode="0%" sourceLinked="0"/>
              <c:spPr>
                <a:noFill/>
                <a:ln w="25400">
                  <a:noFill/>
                </a:ln>
                <a:effectLst/>
              </c:spPr>
              <c:txPr>
                <a:bodyPr wrap="square" lIns="38100" tIns="19050" rIns="38100" bIns="19050" anchor="ctr">
                  <a:spAutoFit/>
                </a:bodyPr>
                <a:lstStyle/>
                <a:p>
                  <a:pPr>
                    <a:defRPr sz="800">
                      <a:solidFill>
                        <a:srgbClr val="FFFFFF"/>
                      </a:solidFill>
                    </a:defRPr>
                  </a:pPr>
                  <a:endParaRPr lang="en-US"/>
                </a:p>
              </c:txPr>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276-4EFF-A643-4A6D0C0F6139}"/>
                </c:ext>
              </c:extLst>
            </c:dLbl>
            <c:numFmt formatCode="0%" sourceLinked="0"/>
            <c:spPr>
              <a:noFill/>
              <a:ln w="25400">
                <a:noFill/>
              </a:ln>
              <a:effectLst/>
            </c:spPr>
            <c:txPr>
              <a:bodyPr wrap="square" lIns="38100" tIns="19050" rIns="38100" bIns="19050" anchor="ctr">
                <a:spAutoFit/>
              </a:bodyPr>
              <a:lstStyle/>
              <a:p>
                <a:pPr>
                  <a:defRPr sz="800"/>
                </a:pPr>
                <a:endParaRPr lang="en-US"/>
              </a:p>
            </c:txPr>
            <c:showLegendKey val="0"/>
            <c:showVal val="1"/>
            <c:showCatName val="0"/>
            <c:showSerName val="0"/>
            <c:showPercent val="0"/>
            <c:showBubbleSize val="0"/>
            <c:showLeaderLines val="1"/>
            <c:extLst>
              <c:ext xmlns:c15="http://schemas.microsoft.com/office/drawing/2012/chart" uri="{CE6537A1-D6FC-4f65-9D91-7224C49458BB}"/>
            </c:extLst>
          </c:dLbls>
          <c:cat>
            <c:strRef>
              <c:f>SWISSSOP!$T$36:$T$37</c:f>
              <c:strCache>
                <c:ptCount val="2"/>
                <c:pt idx="0">
                  <c:v>Switzerland</c:v>
                </c:pt>
                <c:pt idx="1">
                  <c:v>Italy</c:v>
                </c:pt>
              </c:strCache>
            </c:strRef>
          </c:cat>
          <c:val>
            <c:numRef>
              <c:f>SWISSSOP!$X$36:$X$37</c:f>
              <c:numCache>
                <c:formatCode>0.0%</c:formatCode>
                <c:ptCount val="2"/>
                <c:pt idx="0">
                  <c:v>0.88804052495735686</c:v>
                </c:pt>
                <c:pt idx="1">
                  <c:v>0.11195947504264318</c:v>
                </c:pt>
              </c:numCache>
            </c:numRef>
          </c:val>
          <c:extLst>
            <c:ext xmlns:c16="http://schemas.microsoft.com/office/drawing/2014/chart" uri="{C3380CC4-5D6E-409C-BE32-E72D297353CC}">
              <c16:uniqueId val="{00000004-C276-4EFF-A643-4A6D0C0F6139}"/>
            </c:ext>
          </c:extLst>
        </c:ser>
        <c:dLbls>
          <c:showLegendKey val="0"/>
          <c:showVal val="0"/>
          <c:showCatName val="0"/>
          <c:showSerName val="0"/>
          <c:showPercent val="0"/>
          <c:showBubbleSize val="0"/>
          <c:showLeaderLines val="1"/>
        </c:dLbls>
        <c:firstSliceAng val="0"/>
      </c:pieChart>
      <c:spPr>
        <a:noFill/>
        <a:ln w="25400">
          <a:noFill/>
        </a:ln>
      </c:spPr>
    </c:plotArea>
    <c:legend>
      <c:legendPos val="b"/>
      <c:overlay val="0"/>
      <c:spPr>
        <a:solidFill>
          <a:srgbClr val="FFFFFF"/>
        </a:solidFill>
        <a:ln w="25400">
          <a:noFill/>
        </a:ln>
      </c:spPr>
    </c:legend>
    <c:plotVisOnly val="1"/>
    <c:dispBlanksAs val="zero"/>
    <c:showDLblsOverMax val="0"/>
  </c:chart>
  <c:spPr>
    <a:solidFill>
      <a:srgbClr val="FFFFFF"/>
    </a:solidFill>
    <a:ln w="25400">
      <a:noFill/>
    </a:ln>
    <a:effectLst/>
  </c:spPr>
  <c:txPr>
    <a:bodyPr/>
    <a:lstStyle/>
    <a:p>
      <a:pPr>
        <a:defRPr sz="1000" b="0" i="0" u="none" strike="noStrike" baseline="0">
          <a:solidFill>
            <a:srgbClr val="595959"/>
          </a:solidFill>
          <a:latin typeface="Arial Narrow"/>
          <a:ea typeface="Arial Narrow"/>
          <a:cs typeface="Arial Narrow"/>
        </a:defRPr>
      </a:pPr>
      <a:endParaRPr lang="en-US"/>
    </a:p>
  </c:txPr>
  <c:printSettings>
    <c:headerFooter alignWithMargins="0"/>
    <c:pageMargins b="1" l="0.75000000000000111" r="0.75000000000000111" t="1" header="0.5" footer="0.5"/>
    <c:pageSetup/>
  </c:printSettings>
</c:chartSpace>
</file>

<file path=xl/charts/chart1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Pt>
            <c:idx val="0"/>
            <c:bubble3D val="0"/>
            <c:spPr>
              <a:solidFill>
                <a:srgbClr val="263238"/>
              </a:solidFill>
              <a:ln w="25400">
                <a:noFill/>
              </a:ln>
              <a:effectLst/>
            </c:spPr>
            <c:extLst>
              <c:ext xmlns:c16="http://schemas.microsoft.com/office/drawing/2014/chart" uri="{C3380CC4-5D6E-409C-BE32-E72D297353CC}">
                <c16:uniqueId val="{00000002-498E-45C2-B77A-F6C463FF2E47}"/>
              </c:ext>
            </c:extLst>
          </c:dPt>
          <c:dPt>
            <c:idx val="1"/>
            <c:bubble3D val="0"/>
            <c:spPr>
              <a:solidFill>
                <a:srgbClr val="799098"/>
              </a:solidFill>
              <a:ln w="25400">
                <a:noFill/>
              </a:ln>
              <a:effectLst/>
            </c:spPr>
            <c:extLst>
              <c:ext xmlns:c16="http://schemas.microsoft.com/office/drawing/2014/chart" uri="{C3380CC4-5D6E-409C-BE32-E72D297353CC}">
                <c16:uniqueId val="{00000003-498E-45C2-B77A-F6C463FF2E47}"/>
              </c:ext>
            </c:extLst>
          </c:dPt>
          <c:dLbls>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FFFFFF"/>
                      </a:solidFill>
                      <a:latin typeface="Arial Narrow"/>
                      <a:ea typeface="Arial Narrow"/>
                      <a:cs typeface="Arial Narrow"/>
                    </a:defRPr>
                  </a:pPr>
                  <a:endParaRPr lang="en-US"/>
                </a:p>
              </c:txPr>
              <c:showLegendKey val="0"/>
              <c:showVal val="1"/>
              <c:showCatName val="0"/>
              <c:showSerName val="0"/>
              <c:showPercent val="0"/>
              <c:showBubbleSize val="0"/>
              <c:extLst>
                <c:ext xmlns:c16="http://schemas.microsoft.com/office/drawing/2014/chart" uri="{C3380CC4-5D6E-409C-BE32-E72D297353CC}">
                  <c16:uniqueId val="{00000002-498E-45C2-B77A-F6C463FF2E47}"/>
                </c:ext>
              </c:extLst>
            </c:dLbl>
            <c:dLbl>
              <c:idx val="1"/>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FFFFFF"/>
                      </a:solidFill>
                      <a:latin typeface="Arial Narrow"/>
                      <a:ea typeface="Arial Narrow"/>
                      <a:cs typeface="Arial Narrow"/>
                    </a:defRPr>
                  </a:pPr>
                  <a:endParaRPr lang="en-US"/>
                </a:p>
              </c:txPr>
              <c:showLegendKey val="0"/>
              <c:showVal val="1"/>
              <c:showCatName val="0"/>
              <c:showSerName val="0"/>
              <c:showPercent val="0"/>
              <c:showBubbleSize val="0"/>
              <c:extLst>
                <c:ext xmlns:c16="http://schemas.microsoft.com/office/drawing/2014/chart" uri="{C3380CC4-5D6E-409C-BE32-E72D297353CC}">
                  <c16:uniqueId val="{00000003-498E-45C2-B77A-F6C463FF2E47}"/>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595959"/>
                    </a:solidFill>
                    <a:latin typeface="Arial Narrow"/>
                    <a:ea typeface="Arial Narrow"/>
                    <a:cs typeface="Arial Narrow"/>
                  </a:defRPr>
                </a:pPr>
                <a:endParaRPr lang="en-US"/>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TEFSOP!$T$56:$T$57</c:f>
              <c:strCache>
                <c:ptCount val="2"/>
                <c:pt idx="0">
                  <c:v>Europe</c:v>
                </c:pt>
                <c:pt idx="1">
                  <c:v>Latam</c:v>
                </c:pt>
              </c:strCache>
            </c:strRef>
          </c:cat>
          <c:val>
            <c:numRef>
              <c:f>TEFSOP!$X$56:$X$57</c:f>
              <c:numCache>
                <c:formatCode>0.0%</c:formatCode>
                <c:ptCount val="2"/>
                <c:pt idx="0">
                  <c:v>0.63043523495583131</c:v>
                </c:pt>
                <c:pt idx="1">
                  <c:v>0.36956476504416869</c:v>
                </c:pt>
              </c:numCache>
            </c:numRef>
          </c:val>
          <c:extLst>
            <c:ext xmlns:c16="http://schemas.microsoft.com/office/drawing/2014/chart" uri="{C3380CC4-5D6E-409C-BE32-E72D297353CC}">
              <c16:uniqueId val="{00000000-498E-45C2-B77A-F6C463FF2E47}"/>
            </c:ext>
          </c:extLst>
        </c:ser>
        <c:dLbls>
          <c:showLegendKey val="0"/>
          <c:showVal val="0"/>
          <c:showCatName val="0"/>
          <c:showSerName val="0"/>
          <c:showPercent val="0"/>
          <c:showBubbleSize val="0"/>
          <c:showLeaderLines val="1"/>
        </c:dLbls>
        <c:firstSliceAng val="0"/>
      </c:pieChart>
      <c:spPr>
        <a:noFill/>
        <a:ln w="25400">
          <a:noFill/>
        </a:ln>
        <a:effectLst/>
      </c:spPr>
    </c:plotArea>
    <c:legend>
      <c:legendPos val="b"/>
      <c:overlay val="0"/>
      <c:spPr>
        <a:noFill/>
        <a:ln w="25400">
          <a:noFill/>
        </a:ln>
        <a:effectLst/>
      </c:spPr>
      <c:txPr>
        <a:bodyPr rot="0" spcFirstLastPara="1" vertOverflow="ellipsis" vert="horz" wrap="square" anchor="ctr" anchorCtr="1"/>
        <a:lstStyle/>
        <a:p>
          <a:pPr rtl="0">
            <a:defRPr sz="1000" b="0" i="0" u="none" strike="noStrike" kern="1200" baseline="0">
              <a:solidFill>
                <a:srgbClr val="595959"/>
              </a:solidFill>
              <a:latin typeface="Arial Narrow"/>
              <a:ea typeface="Arial Narrow"/>
              <a:cs typeface="Arial Narrow"/>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sz="1000" b="0" i="0" u="none" strike="noStrike" baseline="0">
          <a:solidFill>
            <a:srgbClr val="595959"/>
          </a:solidFill>
          <a:latin typeface="Arial Narrow"/>
          <a:ea typeface="Arial Narrow"/>
          <a:cs typeface="Arial Narrow"/>
        </a:defRPr>
      </a:pPr>
      <a:endParaRPr lang="en-US"/>
    </a:p>
  </c:txPr>
  <c:printSettings>
    <c:headerFooter/>
    <c:pageMargins b="0.75" l="0.7" r="0.7" t="0.75" header="0.3" footer="0.3"/>
    <c:pageSetup/>
  </c:printSettings>
</c:chartSpace>
</file>

<file path=xl/charts/chart1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421052631578938"/>
          <c:y val="9.2936802973977869E-2"/>
          <c:w val="0.60150375939849665"/>
          <c:h val="0.59479553903345761"/>
        </c:manualLayout>
      </c:layout>
      <c:pieChart>
        <c:varyColors val="1"/>
        <c:ser>
          <c:idx val="0"/>
          <c:order val="0"/>
          <c:spPr>
            <a:solidFill>
              <a:srgbClr val="9999FF"/>
            </a:solidFill>
            <a:ln w="25400">
              <a:noFill/>
            </a:ln>
          </c:spPr>
          <c:dPt>
            <c:idx val="0"/>
            <c:bubble3D val="0"/>
            <c:spPr>
              <a:solidFill>
                <a:srgbClr val="263238"/>
              </a:solidFill>
              <a:ln w="25400">
                <a:noFill/>
              </a:ln>
              <a:effectLst/>
            </c:spPr>
            <c:extLst>
              <c:ext xmlns:c16="http://schemas.microsoft.com/office/drawing/2014/chart" uri="{C3380CC4-5D6E-409C-BE32-E72D297353CC}">
                <c16:uniqueId val="{00000001-7483-41B2-92F0-85D15F0E5615}"/>
              </c:ext>
            </c:extLst>
          </c:dPt>
          <c:dPt>
            <c:idx val="1"/>
            <c:bubble3D val="0"/>
            <c:spPr>
              <a:solidFill>
                <a:srgbClr val="799098"/>
              </a:solidFill>
              <a:ln w="25400">
                <a:noFill/>
              </a:ln>
              <a:effectLst/>
            </c:spPr>
            <c:extLst>
              <c:ext xmlns:c16="http://schemas.microsoft.com/office/drawing/2014/chart" uri="{C3380CC4-5D6E-409C-BE32-E72D297353CC}">
                <c16:uniqueId val="{00000003-7483-41B2-92F0-85D15F0E5615}"/>
              </c:ext>
            </c:extLst>
          </c:dPt>
          <c:dPt>
            <c:idx val="2"/>
            <c:bubble3D val="0"/>
            <c:spPr>
              <a:solidFill>
                <a:srgbClr val="F9663E"/>
              </a:solidFill>
              <a:ln w="25400">
                <a:noFill/>
              </a:ln>
              <a:effectLst/>
            </c:spPr>
            <c:extLst>
              <c:ext xmlns:c16="http://schemas.microsoft.com/office/drawing/2014/chart" uri="{C3380CC4-5D6E-409C-BE32-E72D297353CC}">
                <c16:uniqueId val="{00000005-7483-41B2-92F0-85D15F0E5615}"/>
              </c:ext>
            </c:extLst>
          </c:dPt>
          <c:dPt>
            <c:idx val="3"/>
            <c:bubble3D val="0"/>
            <c:spPr>
              <a:solidFill>
                <a:srgbClr val="C7FE02"/>
              </a:solidFill>
              <a:ln w="25400">
                <a:noFill/>
              </a:ln>
              <a:effectLst/>
            </c:spPr>
            <c:extLst>
              <c:ext xmlns:c16="http://schemas.microsoft.com/office/drawing/2014/chart" uri="{C3380CC4-5D6E-409C-BE32-E72D297353CC}">
                <c16:uniqueId val="{00000007-7483-41B2-92F0-85D15F0E5615}"/>
              </c:ext>
            </c:extLst>
          </c:dPt>
          <c:dPt>
            <c:idx val="4"/>
            <c:bubble3D val="0"/>
            <c:spPr>
              <a:pattFill prst="wdDnDiag">
                <a:fgClr>
                  <a:srgbClr val="969696"/>
                </a:fgClr>
                <a:bgClr>
                  <a:srgbClr val="969696"/>
                </a:bgClr>
              </a:pattFill>
              <a:ln w="25400">
                <a:noFill/>
              </a:ln>
              <a:effectLst/>
            </c:spPr>
            <c:extLst>
              <c:ext xmlns:c16="http://schemas.microsoft.com/office/drawing/2014/chart" uri="{C3380CC4-5D6E-409C-BE32-E72D297353CC}">
                <c16:uniqueId val="{00000008-9DDE-4FAA-BCE1-B35E7DC3744B}"/>
              </c:ext>
            </c:extLst>
          </c:dPt>
          <c:dPt>
            <c:idx val="5"/>
            <c:bubble3D val="0"/>
            <c:spPr>
              <a:pattFill prst="wdDnDiag">
                <a:fgClr>
                  <a:srgbClr val="C0C0C0"/>
                </a:fgClr>
                <a:bgClr>
                  <a:srgbClr val="C0C0C0"/>
                </a:bgClr>
              </a:pattFill>
              <a:ln w="25400">
                <a:noFill/>
              </a:ln>
              <a:effectLst/>
            </c:spPr>
            <c:extLst>
              <c:ext xmlns:c16="http://schemas.microsoft.com/office/drawing/2014/chart" uri="{C3380CC4-5D6E-409C-BE32-E72D297353CC}">
                <c16:uniqueId val="{00000009-9DDE-4FAA-BCE1-B35E7DC3744B}"/>
              </c:ext>
            </c:extLst>
          </c:dPt>
          <c:dPt>
            <c:idx val="6"/>
            <c:bubble3D val="0"/>
            <c:spPr>
              <a:pattFill prst="wdDnDiag">
                <a:fgClr>
                  <a:srgbClr val="0000FF"/>
                </a:fgClr>
                <a:bgClr>
                  <a:srgbClr val="0000FF"/>
                </a:bgClr>
              </a:pattFill>
              <a:ln w="25400">
                <a:noFill/>
              </a:ln>
              <a:effectLst/>
            </c:spPr>
            <c:extLst>
              <c:ext xmlns:c16="http://schemas.microsoft.com/office/drawing/2014/chart" uri="{C3380CC4-5D6E-409C-BE32-E72D297353CC}">
                <c16:uniqueId val="{0000000A-9DDE-4FAA-BCE1-B35E7DC3744B}"/>
              </c:ext>
            </c:extLst>
          </c:dPt>
          <c:dPt>
            <c:idx val="7"/>
            <c:bubble3D val="0"/>
            <c:spPr>
              <a:pattFill prst="wdDnDiag">
                <a:fgClr>
                  <a:srgbClr val="333399"/>
                </a:fgClr>
                <a:bgClr>
                  <a:srgbClr val="333399"/>
                </a:bgClr>
              </a:pattFill>
              <a:ln w="25400">
                <a:noFill/>
              </a:ln>
              <a:effectLst/>
            </c:spPr>
            <c:extLst>
              <c:ext xmlns:c16="http://schemas.microsoft.com/office/drawing/2014/chart" uri="{C3380CC4-5D6E-409C-BE32-E72D297353CC}">
                <c16:uniqueId val="{0000000B-9DDE-4FAA-BCE1-B35E7DC3744B}"/>
              </c:ext>
            </c:extLst>
          </c:dPt>
          <c:dLbls>
            <c:dLbl>
              <c:idx val="0"/>
              <c:layout>
                <c:manualLayout>
                  <c:x val="-6.2762412148762523E-3"/>
                  <c:y val="-3.3357104234093743E-2"/>
                </c:manualLayout>
              </c:layout>
              <c:numFmt formatCode="0%" sourceLinked="0"/>
              <c:spPr>
                <a:noFill/>
                <a:ln w="25400">
                  <a:noFill/>
                </a:ln>
                <a:effectLst/>
              </c:spPr>
              <c:txPr>
                <a:bodyPr wrap="square" lIns="38100" tIns="19050" rIns="38100" bIns="19050" anchor="ctr">
                  <a:spAutoFit/>
                </a:bodyPr>
                <a:lstStyle/>
                <a:p>
                  <a:pPr>
                    <a:defRPr sz="800">
                      <a:solidFill>
                        <a:srgbClr val="FFFFFF"/>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483-41B2-92F0-85D15F0E5615}"/>
                </c:ext>
              </c:extLst>
            </c:dLbl>
            <c:dLbl>
              <c:idx val="1"/>
              <c:layout>
                <c:manualLayout>
                  <c:x val="3.5831338220277918E-2"/>
                  <c:y val="-1.6650732326596505E-2"/>
                </c:manualLayout>
              </c:layout>
              <c:numFmt formatCode="0%" sourceLinked="0"/>
              <c:spPr>
                <a:noFill/>
                <a:ln w="25400">
                  <a:noFill/>
                </a:ln>
                <a:effectLst/>
              </c:spPr>
              <c:txPr>
                <a:bodyPr wrap="square" lIns="38100" tIns="19050" rIns="38100" bIns="19050" anchor="ctr">
                  <a:spAutoFit/>
                </a:bodyPr>
                <a:lstStyle/>
                <a:p>
                  <a:pPr>
                    <a:defRPr sz="800">
                      <a:solidFill>
                        <a:srgbClr val="FFFFFF"/>
                      </a:solidFill>
                    </a:defRPr>
                  </a:pPr>
                  <a:endParaRPr lang="en-US"/>
                </a:p>
              </c:txPr>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483-41B2-92F0-85D15F0E5615}"/>
                </c:ext>
              </c:extLst>
            </c:dLbl>
            <c:dLbl>
              <c:idx val="2"/>
              <c:layout>
                <c:manualLayout>
                  <c:x val="2.0089955258556419E-2"/>
                  <c:y val="-9.1145256488561806E-3"/>
                </c:manualLayout>
              </c:layout>
              <c:numFmt formatCode="0%" sourceLinked="0"/>
              <c:spPr>
                <a:noFill/>
                <a:ln w="25400">
                  <a:noFill/>
                </a:ln>
                <a:effectLst/>
              </c:spPr>
              <c:txPr>
                <a:bodyPr wrap="square" lIns="38100" tIns="19050" rIns="38100" bIns="19050" anchor="ctr">
                  <a:spAutoFit/>
                </a:bodyPr>
                <a:lstStyle/>
                <a:p>
                  <a:pPr>
                    <a:defRPr sz="800">
                      <a:solidFill>
                        <a:srgbClr val="595959"/>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483-41B2-92F0-85D15F0E5615}"/>
                </c:ext>
              </c:extLst>
            </c:dLbl>
            <c:dLbl>
              <c:idx val="3"/>
              <c:numFmt formatCode="0%" sourceLinked="0"/>
              <c:spPr>
                <a:noFill/>
                <a:ln w="25400">
                  <a:noFill/>
                </a:ln>
                <a:effectLst/>
              </c:spPr>
              <c:txPr>
                <a:bodyPr wrap="square" lIns="38100" tIns="19050" rIns="38100" bIns="19050" anchor="ctr">
                  <a:spAutoFit/>
                </a:bodyPr>
                <a:lstStyle/>
                <a:p>
                  <a:pPr>
                    <a:defRPr sz="800">
                      <a:solidFill>
                        <a:srgbClr val="595959"/>
                      </a:solidFill>
                    </a:defRPr>
                  </a:pPr>
                  <a:endParaRPr lang="en-US"/>
                </a:p>
              </c:txPr>
              <c:showLegendKey val="0"/>
              <c:showVal val="1"/>
              <c:showCatName val="0"/>
              <c:showSerName val="0"/>
              <c:showPercent val="0"/>
              <c:showBubbleSize val="0"/>
              <c:extLst>
                <c:ext xmlns:c16="http://schemas.microsoft.com/office/drawing/2014/chart" uri="{C3380CC4-5D6E-409C-BE32-E72D297353CC}">
                  <c16:uniqueId val="{00000007-7483-41B2-92F0-85D15F0E5615}"/>
                </c:ext>
              </c:extLst>
            </c:dLbl>
            <c:numFmt formatCode="0%" sourceLinked="0"/>
            <c:spPr>
              <a:noFill/>
              <a:ln w="25400">
                <a:noFill/>
              </a:ln>
              <a:effectLst/>
            </c:spPr>
            <c:txPr>
              <a:bodyPr wrap="square" lIns="38100" tIns="19050" rIns="38100" bIns="19050" anchor="ctr">
                <a:spAutoFit/>
              </a:bodyPr>
              <a:lstStyle/>
              <a:p>
                <a:pPr>
                  <a:defRPr sz="800"/>
                </a:pPr>
                <a:endParaRPr lang="en-US"/>
              </a:p>
            </c:txPr>
            <c:showLegendKey val="0"/>
            <c:showVal val="1"/>
            <c:showCatName val="0"/>
            <c:showSerName val="0"/>
            <c:showPercent val="0"/>
            <c:showBubbleSize val="0"/>
            <c:showLeaderLines val="1"/>
            <c:extLst>
              <c:ext xmlns:c15="http://schemas.microsoft.com/office/drawing/2012/chart" uri="{CE6537A1-D6FC-4f65-9D91-7224C49458BB}"/>
            </c:extLst>
          </c:dLbls>
          <c:cat>
            <c:strRef>
              <c:f>TELE2SOP!$T$45:$T$48</c:f>
              <c:strCache>
                <c:ptCount val="4"/>
                <c:pt idx="0">
                  <c:v>Sweden</c:v>
                </c:pt>
                <c:pt idx="1">
                  <c:v>Lithuania</c:v>
                </c:pt>
                <c:pt idx="2">
                  <c:v>Latvia</c:v>
                </c:pt>
                <c:pt idx="3">
                  <c:v>Estonia</c:v>
                </c:pt>
              </c:strCache>
            </c:strRef>
          </c:cat>
          <c:val>
            <c:numRef>
              <c:f>TELE2SOP!$X$45:$X$48</c:f>
              <c:numCache>
                <c:formatCode>0.0%</c:formatCode>
                <c:ptCount val="4"/>
                <c:pt idx="0">
                  <c:v>0.66137201986975003</c:v>
                </c:pt>
                <c:pt idx="1">
                  <c:v>0.23928693844496829</c:v>
                </c:pt>
                <c:pt idx="2">
                  <c:v>8.566956855687935E-2</c:v>
                </c:pt>
                <c:pt idx="3">
                  <c:v>1.3671473128402349E-2</c:v>
                </c:pt>
              </c:numCache>
            </c:numRef>
          </c:val>
          <c:extLst>
            <c:ext xmlns:c16="http://schemas.microsoft.com/office/drawing/2014/chart" uri="{C3380CC4-5D6E-409C-BE32-E72D297353CC}">
              <c16:uniqueId val="{00000008-7483-41B2-92F0-85D15F0E5615}"/>
            </c:ext>
          </c:extLst>
        </c:ser>
        <c:dLbls>
          <c:showLegendKey val="0"/>
          <c:showVal val="0"/>
          <c:showCatName val="0"/>
          <c:showSerName val="0"/>
          <c:showPercent val="0"/>
          <c:showBubbleSize val="0"/>
          <c:showLeaderLines val="1"/>
        </c:dLbls>
        <c:firstSliceAng val="0"/>
      </c:pieChart>
      <c:spPr>
        <a:noFill/>
        <a:ln w="25400">
          <a:noFill/>
        </a:ln>
      </c:spPr>
    </c:plotArea>
    <c:legend>
      <c:legendPos val="b"/>
      <c:overlay val="0"/>
      <c:spPr>
        <a:solidFill>
          <a:srgbClr val="FFFFFF"/>
        </a:solidFill>
        <a:ln w="25400">
          <a:noFill/>
        </a:ln>
      </c:spPr>
    </c:legend>
    <c:plotVisOnly val="1"/>
    <c:dispBlanksAs val="zero"/>
    <c:showDLblsOverMax val="0"/>
  </c:chart>
  <c:spPr>
    <a:solidFill>
      <a:srgbClr val="FFFFFF"/>
    </a:solidFill>
    <a:ln w="25400">
      <a:noFill/>
    </a:ln>
    <a:effectLst/>
  </c:spPr>
  <c:txPr>
    <a:bodyPr/>
    <a:lstStyle/>
    <a:p>
      <a:pPr>
        <a:defRPr sz="1000" b="0" i="0" u="none" strike="noStrike" baseline="0">
          <a:solidFill>
            <a:srgbClr val="595959"/>
          </a:solidFill>
          <a:latin typeface="Arial Narrow"/>
          <a:ea typeface="Arial Narrow"/>
          <a:cs typeface="Arial Narrow"/>
        </a:defRPr>
      </a:pPr>
      <a:endParaRPr lang="en-US"/>
    </a:p>
  </c:txPr>
  <c:printSettings>
    <c:headerFooter alignWithMargins="0"/>
    <c:pageMargins b="1" l="0.75000000000000111" r="0.75000000000000111" t="1" header="0.5" footer="0.5"/>
    <c:pageSetup/>
  </c:printSettings>
</c:chartSpace>
</file>

<file path=xl/charts/chart1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885516529331388"/>
          <c:y val="0.10582167473225559"/>
          <c:w val="0.67302340811923533"/>
          <c:h val="0.63027799349823443"/>
        </c:manualLayout>
      </c:layout>
      <c:pieChart>
        <c:varyColors val="1"/>
        <c:ser>
          <c:idx val="0"/>
          <c:order val="0"/>
          <c:spPr>
            <a:solidFill>
              <a:srgbClr val="9999FF"/>
            </a:solidFill>
            <a:ln w="25400">
              <a:noFill/>
            </a:ln>
          </c:spPr>
          <c:dPt>
            <c:idx val="0"/>
            <c:bubble3D val="0"/>
            <c:spPr>
              <a:solidFill>
                <a:srgbClr val="263238"/>
              </a:solidFill>
              <a:ln w="25400">
                <a:noFill/>
              </a:ln>
              <a:effectLst/>
            </c:spPr>
            <c:extLst>
              <c:ext xmlns:c16="http://schemas.microsoft.com/office/drawing/2014/chart" uri="{C3380CC4-5D6E-409C-BE32-E72D297353CC}">
                <c16:uniqueId val="{00000001-C55B-4C73-9D11-5833F6BA802A}"/>
              </c:ext>
            </c:extLst>
          </c:dPt>
          <c:dPt>
            <c:idx val="1"/>
            <c:bubble3D val="0"/>
            <c:spPr>
              <a:solidFill>
                <a:srgbClr val="F9663E"/>
              </a:solidFill>
              <a:ln w="25400">
                <a:noFill/>
              </a:ln>
              <a:effectLst/>
            </c:spPr>
            <c:extLst>
              <c:ext xmlns:c16="http://schemas.microsoft.com/office/drawing/2014/chart" uri="{C3380CC4-5D6E-409C-BE32-E72D297353CC}">
                <c16:uniqueId val="{00000003-C55B-4C73-9D11-5833F6BA802A}"/>
              </c:ext>
            </c:extLst>
          </c:dPt>
          <c:dPt>
            <c:idx val="2"/>
            <c:bubble3D val="0"/>
            <c:spPr>
              <a:solidFill>
                <a:srgbClr val="C7FE02"/>
              </a:solidFill>
              <a:ln w="25400">
                <a:noFill/>
              </a:ln>
              <a:effectLst/>
            </c:spPr>
            <c:extLst>
              <c:ext xmlns:c16="http://schemas.microsoft.com/office/drawing/2014/chart" uri="{C3380CC4-5D6E-409C-BE32-E72D297353CC}">
                <c16:uniqueId val="{00000005-C55B-4C73-9D11-5833F6BA802A}"/>
              </c:ext>
            </c:extLst>
          </c:dPt>
          <c:dPt>
            <c:idx val="3"/>
            <c:bubble3D val="0"/>
            <c:spPr>
              <a:solidFill>
                <a:srgbClr val="C7FE02"/>
              </a:solidFill>
              <a:ln w="25400">
                <a:noFill/>
              </a:ln>
              <a:effectLst/>
            </c:spPr>
            <c:extLst>
              <c:ext xmlns:c16="http://schemas.microsoft.com/office/drawing/2014/chart" uri="{C3380CC4-5D6E-409C-BE32-E72D297353CC}">
                <c16:uniqueId val="{00000008-1EFE-41CA-ACC2-2BBA98B4786C}"/>
              </c:ext>
            </c:extLst>
          </c:dPt>
          <c:dLbls>
            <c:dLbl>
              <c:idx val="0"/>
              <c:layout>
                <c:manualLayout>
                  <c:x val="-2.6974267221218259E-2"/>
                  <c:y val="-4.3215333332472995E-2"/>
                </c:manualLayout>
              </c:layout>
              <c:numFmt formatCode="0%" sourceLinked="0"/>
              <c:spPr>
                <a:noFill/>
                <a:ln w="25400">
                  <a:noFill/>
                </a:ln>
                <a:effectLst/>
              </c:spPr>
              <c:txPr>
                <a:bodyPr wrap="square" lIns="38100" tIns="19050" rIns="38100" bIns="19050" anchor="ctr">
                  <a:spAutoFit/>
                </a:bodyPr>
                <a:lstStyle/>
                <a:p>
                  <a:pPr>
                    <a:defRPr sz="800">
                      <a:solidFill>
                        <a:srgbClr val="FFFFFF"/>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55B-4C73-9D11-5833F6BA802A}"/>
                </c:ext>
              </c:extLst>
            </c:dLbl>
            <c:dLbl>
              <c:idx val="1"/>
              <c:layout>
                <c:manualLayout>
                  <c:x val="3.9748471836949982E-2"/>
                  <c:y val="2.8713864085989312E-3"/>
                </c:manualLayout>
              </c:layout>
              <c:numFmt formatCode="0%" sourceLinked="0"/>
              <c:spPr>
                <a:noFill/>
                <a:ln w="25400">
                  <a:noFill/>
                </a:ln>
                <a:effectLst/>
              </c:spPr>
              <c:txPr>
                <a:bodyPr wrap="square" lIns="38100" tIns="19050" rIns="38100" bIns="19050" anchor="ctr">
                  <a:spAutoFit/>
                </a:bodyPr>
                <a:lstStyle/>
                <a:p>
                  <a:pPr>
                    <a:defRPr sz="800">
                      <a:solidFill>
                        <a:srgbClr val="595959"/>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55B-4C73-9D11-5833F6BA802A}"/>
                </c:ext>
              </c:extLst>
            </c:dLbl>
            <c:dLbl>
              <c:idx val="2"/>
              <c:layout>
                <c:manualLayout>
                  <c:x val="2.1353200354791151E-2"/>
                  <c:y val="1.4573307677979708E-2"/>
                </c:manualLayout>
              </c:layout>
              <c:numFmt formatCode="0%" sourceLinked="0"/>
              <c:spPr>
                <a:noFill/>
                <a:ln w="25400">
                  <a:noFill/>
                </a:ln>
                <a:effectLst/>
              </c:spPr>
              <c:txPr>
                <a:bodyPr wrap="square" lIns="38100" tIns="19050" rIns="38100" bIns="19050" anchor="ctr">
                  <a:spAutoFit/>
                </a:bodyPr>
                <a:lstStyle/>
                <a:p>
                  <a:pPr>
                    <a:defRPr sz="800">
                      <a:solidFill>
                        <a:srgbClr val="595959"/>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55B-4C73-9D11-5833F6BA802A}"/>
                </c:ext>
              </c:extLst>
            </c:dLbl>
            <c:dLbl>
              <c:idx val="3"/>
              <c:numFmt formatCode="0%" sourceLinked="0"/>
              <c:spPr>
                <a:noFill/>
                <a:ln w="25400">
                  <a:noFill/>
                </a:ln>
                <a:effectLst/>
              </c:spPr>
              <c:txPr>
                <a:bodyPr wrap="square" lIns="38100" tIns="19050" rIns="38100" bIns="19050" anchor="ctr">
                  <a:spAutoFit/>
                </a:bodyPr>
                <a:lstStyle/>
                <a:p>
                  <a:pPr>
                    <a:defRPr sz="800">
                      <a:solidFill>
                        <a:srgbClr val="595959"/>
                      </a:solidFill>
                    </a:defRPr>
                  </a:pPr>
                  <a:endParaRPr lang="en-US"/>
                </a:p>
              </c:txPr>
              <c:showLegendKey val="0"/>
              <c:showVal val="1"/>
              <c:showCatName val="0"/>
              <c:showSerName val="0"/>
              <c:showPercent val="0"/>
              <c:showBubbleSize val="0"/>
              <c:extLst>
                <c:ext xmlns:c16="http://schemas.microsoft.com/office/drawing/2014/chart" uri="{C3380CC4-5D6E-409C-BE32-E72D297353CC}">
                  <c16:uniqueId val="{00000008-1EFE-41CA-ACC2-2BBA98B4786C}"/>
                </c:ext>
              </c:extLst>
            </c:dLbl>
            <c:numFmt formatCode="0%" sourceLinked="0"/>
            <c:spPr>
              <a:noFill/>
              <a:ln w="25400">
                <a:noFill/>
              </a:ln>
              <a:effectLst/>
            </c:spPr>
            <c:txPr>
              <a:bodyPr wrap="square" lIns="38100" tIns="19050" rIns="38100" bIns="19050" anchor="ctr">
                <a:spAutoFit/>
              </a:bodyPr>
              <a:lstStyle/>
              <a:p>
                <a:pPr>
                  <a:defRPr sz="800"/>
                </a:pPr>
                <a:endParaRPr lang="en-US"/>
              </a:p>
            </c:txPr>
            <c:showLegendKey val="0"/>
            <c:showVal val="1"/>
            <c:showCatName val="0"/>
            <c:showSerName val="0"/>
            <c:showPercent val="0"/>
            <c:showBubbleSize val="0"/>
            <c:showLeaderLines val="1"/>
            <c:extLst>
              <c:ext xmlns:c15="http://schemas.microsoft.com/office/drawing/2012/chart" uri="{CE6537A1-D6FC-4f65-9D91-7224C49458BB}"/>
            </c:extLst>
          </c:dLbls>
          <c:cat>
            <c:strRef>
              <c:f>TISOP!$T$41:$T$43</c:f>
              <c:strCache>
                <c:ptCount val="3"/>
                <c:pt idx="0">
                  <c:v>Italy (ex. FiberCop)</c:v>
                </c:pt>
                <c:pt idx="1">
                  <c:v>FiberCop</c:v>
                </c:pt>
                <c:pt idx="2">
                  <c:v>Brazil</c:v>
                </c:pt>
              </c:strCache>
            </c:strRef>
          </c:cat>
          <c:val>
            <c:numRef>
              <c:f>TISOP!$X$41:$X$43</c:f>
              <c:numCache>
                <c:formatCode>0.0%</c:formatCode>
                <c:ptCount val="3"/>
                <c:pt idx="0">
                  <c:v>-0.51757034604302243</c:v>
                </c:pt>
                <c:pt idx="1">
                  <c:v>0.47011635038539734</c:v>
                </c:pt>
                <c:pt idx="2">
                  <c:v>1.047453995657625</c:v>
                </c:pt>
              </c:numCache>
            </c:numRef>
          </c:val>
          <c:extLst>
            <c:ext xmlns:c16="http://schemas.microsoft.com/office/drawing/2014/chart" uri="{C3380CC4-5D6E-409C-BE32-E72D297353CC}">
              <c16:uniqueId val="{00000006-C55B-4C73-9D11-5833F6BA802A}"/>
            </c:ext>
          </c:extLst>
        </c:ser>
        <c:ser>
          <c:idx val="1"/>
          <c:order val="1"/>
          <c:spPr>
            <a:solidFill>
              <a:srgbClr val="993366"/>
            </a:solidFill>
            <a:ln w="12700">
              <a:solidFill>
                <a:srgbClr val="000000"/>
              </a:solidFill>
              <a:prstDash val="solid"/>
            </a:ln>
          </c:spPr>
          <c:dPt>
            <c:idx val="0"/>
            <c:bubble3D val="0"/>
            <c:spPr>
              <a:solidFill>
                <a:srgbClr val="9999FF"/>
              </a:solidFill>
              <a:ln w="12700">
                <a:solidFill>
                  <a:srgbClr val="000000"/>
                </a:solidFill>
                <a:prstDash val="solid"/>
              </a:ln>
            </c:spPr>
            <c:extLst>
              <c:ext xmlns:c16="http://schemas.microsoft.com/office/drawing/2014/chart" uri="{C3380CC4-5D6E-409C-BE32-E72D297353CC}">
                <c16:uniqueId val="{00000008-C55B-4C73-9D11-5833F6BA802A}"/>
              </c:ext>
            </c:extLst>
          </c:dPt>
          <c:dLbls>
            <c:numFmt formatCode="0%" sourceLinked="0"/>
            <c:spPr>
              <a:noFill/>
              <a:ln w="25400">
                <a:noFill/>
              </a:ln>
            </c:spPr>
            <c:showLegendKey val="0"/>
            <c:showVal val="0"/>
            <c:showCatName val="0"/>
            <c:showSerName val="0"/>
            <c:showPercent val="1"/>
            <c:showBubbleSize val="0"/>
            <c:showLeaderLines val="1"/>
            <c:extLst>
              <c:ext xmlns:c15="http://schemas.microsoft.com/office/drawing/2012/chart" uri="{CE6537A1-D6FC-4f65-9D91-7224C49458BB}"/>
            </c:extLst>
          </c:dLbls>
          <c:cat>
            <c:strRef>
              <c:f>TISOP!$T$41:$T$43</c:f>
              <c:strCache>
                <c:ptCount val="3"/>
                <c:pt idx="0">
                  <c:v>Italy (ex. FiberCop)</c:v>
                </c:pt>
                <c:pt idx="1">
                  <c:v>FiberCop</c:v>
                </c:pt>
                <c:pt idx="2">
                  <c:v>Brazil</c:v>
                </c:pt>
              </c:strCache>
            </c:strRef>
          </c:cat>
          <c:val>
            <c:numRef>
              <c:f>TISOP!$X$43:$X$44</c:f>
              <c:numCache>
                <c:formatCode>0.0%</c:formatCode>
                <c:ptCount val="2"/>
                <c:pt idx="0">
                  <c:v>1.047453995657625</c:v>
                </c:pt>
                <c:pt idx="1">
                  <c:v>1</c:v>
                </c:pt>
              </c:numCache>
            </c:numRef>
          </c:val>
          <c:extLst>
            <c:ext xmlns:c16="http://schemas.microsoft.com/office/drawing/2014/chart" uri="{C3380CC4-5D6E-409C-BE32-E72D297353CC}">
              <c16:uniqueId val="{00000009-C55B-4C73-9D11-5833F6BA802A}"/>
            </c:ext>
          </c:extLst>
        </c:ser>
        <c:dLbls>
          <c:showLegendKey val="0"/>
          <c:showVal val="0"/>
          <c:showCatName val="0"/>
          <c:showSerName val="0"/>
          <c:showPercent val="0"/>
          <c:showBubbleSize val="0"/>
          <c:showLeaderLines val="1"/>
        </c:dLbls>
        <c:firstSliceAng val="0"/>
      </c:pieChart>
      <c:spPr>
        <a:noFill/>
        <a:ln w="25400">
          <a:noFill/>
        </a:ln>
      </c:spPr>
    </c:plotArea>
    <c:legend>
      <c:legendPos val="b"/>
      <c:overlay val="0"/>
      <c:spPr>
        <a:solidFill>
          <a:srgbClr val="FFFFFF"/>
        </a:solidFill>
        <a:ln w="25400">
          <a:noFill/>
        </a:ln>
      </c:spPr>
    </c:legend>
    <c:plotVisOnly val="1"/>
    <c:dispBlanksAs val="zero"/>
    <c:showDLblsOverMax val="0"/>
  </c:chart>
  <c:spPr>
    <a:solidFill>
      <a:srgbClr val="FFFFFF"/>
    </a:solidFill>
    <a:ln w="25400">
      <a:noFill/>
    </a:ln>
    <a:effectLst/>
  </c:spPr>
  <c:txPr>
    <a:bodyPr/>
    <a:lstStyle/>
    <a:p>
      <a:pPr>
        <a:defRPr sz="1000" b="0" i="0" u="none" strike="noStrike" baseline="0">
          <a:solidFill>
            <a:srgbClr val="595959"/>
          </a:solidFill>
          <a:latin typeface="Arial Narrow"/>
          <a:ea typeface="Arial Narrow"/>
          <a:cs typeface="Arial Narrow"/>
        </a:defRPr>
      </a:pPr>
      <a:endParaRPr lang="en-US"/>
    </a:p>
  </c:txPr>
  <c:printSettings>
    <c:headerFooter alignWithMargins="0"/>
    <c:pageMargins b="1" l="0.75000000000000111" r="0.75000000000000111" t="1" header="0.5" footer="0.5"/>
    <c:pageSetup/>
  </c:printSettings>
</c:chartSpace>
</file>

<file path=xl/charts/chart1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793896473000047"/>
          <c:y val="0.10887096774193561"/>
          <c:w val="0.59923775800214196"/>
          <c:h val="0.63306451612903358"/>
        </c:manualLayout>
      </c:layout>
      <c:pieChart>
        <c:varyColors val="1"/>
        <c:ser>
          <c:idx val="0"/>
          <c:order val="0"/>
          <c:spPr>
            <a:solidFill>
              <a:srgbClr val="9999FF"/>
            </a:solidFill>
            <a:ln w="25400">
              <a:noFill/>
            </a:ln>
          </c:spPr>
          <c:dPt>
            <c:idx val="0"/>
            <c:bubble3D val="0"/>
            <c:spPr>
              <a:solidFill>
                <a:srgbClr val="263238"/>
              </a:solidFill>
              <a:ln w="25400">
                <a:noFill/>
              </a:ln>
              <a:effectLst/>
            </c:spPr>
            <c:extLst>
              <c:ext xmlns:c16="http://schemas.microsoft.com/office/drawing/2014/chart" uri="{C3380CC4-5D6E-409C-BE32-E72D297353CC}">
                <c16:uniqueId val="{00000001-D714-48F2-97A9-85796B2B67F0}"/>
              </c:ext>
            </c:extLst>
          </c:dPt>
          <c:dPt>
            <c:idx val="1"/>
            <c:bubble3D val="0"/>
            <c:spPr>
              <a:solidFill>
                <a:srgbClr val="F9663E"/>
              </a:solidFill>
              <a:ln w="25400">
                <a:noFill/>
              </a:ln>
              <a:effectLst/>
            </c:spPr>
            <c:extLst>
              <c:ext xmlns:c16="http://schemas.microsoft.com/office/drawing/2014/chart" uri="{C3380CC4-5D6E-409C-BE32-E72D297353CC}">
                <c16:uniqueId val="{00000003-D714-48F2-97A9-85796B2B67F0}"/>
              </c:ext>
            </c:extLst>
          </c:dPt>
          <c:dPt>
            <c:idx val="2"/>
            <c:bubble3D val="0"/>
            <c:spPr>
              <a:solidFill>
                <a:srgbClr val="C7FE02"/>
              </a:solidFill>
              <a:ln w="25400">
                <a:noFill/>
              </a:ln>
              <a:effectLst/>
            </c:spPr>
            <c:extLst>
              <c:ext xmlns:c16="http://schemas.microsoft.com/office/drawing/2014/chart" uri="{C3380CC4-5D6E-409C-BE32-E72D297353CC}">
                <c16:uniqueId val="{00000005-D714-48F2-97A9-85796B2B67F0}"/>
              </c:ext>
            </c:extLst>
          </c:dPt>
          <c:dPt>
            <c:idx val="3"/>
            <c:bubble3D val="0"/>
            <c:spPr>
              <a:pattFill prst="wdDnDiag">
                <a:fgClr>
                  <a:srgbClr val="CCCCFF"/>
                </a:fgClr>
                <a:bgClr>
                  <a:srgbClr val="CCCCFF"/>
                </a:bgClr>
              </a:pattFill>
              <a:ln w="25400">
                <a:noFill/>
              </a:ln>
              <a:effectLst/>
            </c:spPr>
            <c:extLst>
              <c:ext xmlns:c16="http://schemas.microsoft.com/office/drawing/2014/chart" uri="{C3380CC4-5D6E-409C-BE32-E72D297353CC}">
                <c16:uniqueId val="{00000007-D714-48F2-97A9-85796B2B67F0}"/>
              </c:ext>
            </c:extLst>
          </c:dPt>
          <c:dLbls>
            <c:dLbl>
              <c:idx val="0"/>
              <c:layout>
                <c:manualLayout>
                  <c:x val="-1.2007078361522385E-3"/>
                  <c:y val="2.8063238789985852E-2"/>
                </c:manualLayout>
              </c:layout>
              <c:numFmt formatCode="0%" sourceLinked="0"/>
              <c:spPr>
                <a:noFill/>
                <a:ln w="25400">
                  <a:noFill/>
                </a:ln>
                <a:effectLst/>
              </c:spPr>
              <c:txPr>
                <a:bodyPr wrap="square" lIns="38100" tIns="19050" rIns="38100" bIns="19050" anchor="ctr">
                  <a:spAutoFit/>
                </a:bodyPr>
                <a:lstStyle/>
                <a:p>
                  <a:pPr>
                    <a:defRPr sz="800">
                      <a:solidFill>
                        <a:srgbClr val="FFFFFF"/>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714-48F2-97A9-85796B2B67F0}"/>
                </c:ext>
              </c:extLst>
            </c:dLbl>
            <c:dLbl>
              <c:idx val="1"/>
              <c:layout>
                <c:manualLayout>
                  <c:x val="-1.6782334788276603E-2"/>
                  <c:y val="-6.5261788193092495E-3"/>
                </c:manualLayout>
              </c:layout>
              <c:numFmt formatCode="0%" sourceLinked="0"/>
              <c:spPr>
                <a:noFill/>
                <a:ln w="25400">
                  <a:noFill/>
                </a:ln>
                <a:effectLst/>
              </c:spPr>
              <c:txPr>
                <a:bodyPr wrap="square" lIns="38100" tIns="19050" rIns="38100" bIns="19050" anchor="ctr">
                  <a:spAutoFit/>
                </a:bodyPr>
                <a:lstStyle/>
                <a:p>
                  <a:pPr>
                    <a:defRPr sz="800">
                      <a:solidFill>
                        <a:srgbClr val="595959"/>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714-48F2-97A9-85796B2B67F0}"/>
                </c:ext>
              </c:extLst>
            </c:dLbl>
            <c:dLbl>
              <c:idx val="2"/>
              <c:layout>
                <c:manualLayout>
                  <c:x val="1.8526947888200893E-2"/>
                  <c:y val="7.5108832447015768E-4"/>
                </c:manualLayout>
              </c:layout>
              <c:numFmt formatCode="0%" sourceLinked="0"/>
              <c:spPr>
                <a:noFill/>
                <a:ln w="25400">
                  <a:noFill/>
                </a:ln>
                <a:effectLst/>
              </c:spPr>
              <c:txPr>
                <a:bodyPr wrap="square" lIns="38100" tIns="19050" rIns="38100" bIns="19050" anchor="ctr">
                  <a:spAutoFit/>
                </a:bodyPr>
                <a:lstStyle/>
                <a:p>
                  <a:pPr>
                    <a:defRPr sz="800">
                      <a:solidFill>
                        <a:srgbClr val="595959"/>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714-48F2-97A9-85796B2B67F0}"/>
                </c:ext>
              </c:extLst>
            </c:dLbl>
            <c:numFmt formatCode="0%" sourceLinked="0"/>
            <c:spPr>
              <a:noFill/>
              <a:ln w="25400">
                <a:noFill/>
              </a:ln>
              <a:effectLst/>
            </c:spPr>
            <c:txPr>
              <a:bodyPr wrap="square" lIns="38100" tIns="19050" rIns="38100" bIns="19050" anchor="ctr">
                <a:spAutoFit/>
              </a:bodyPr>
              <a:lstStyle/>
              <a:p>
                <a:pPr>
                  <a:defRPr sz="800"/>
                </a:pPr>
                <a:endParaRPr lang="en-US"/>
              </a:p>
            </c:txPr>
            <c:showLegendKey val="0"/>
            <c:showVal val="1"/>
            <c:showCatName val="0"/>
            <c:showSerName val="0"/>
            <c:showPercent val="0"/>
            <c:showBubbleSize val="0"/>
            <c:showLeaderLines val="1"/>
            <c:extLst>
              <c:ext xmlns:c15="http://schemas.microsoft.com/office/drawing/2012/chart" uri="{CE6537A1-D6FC-4f65-9D91-7224C49458BB}"/>
            </c:extLst>
          </c:dLbls>
          <c:cat>
            <c:strRef>
              <c:f>TNORSOP!$T$64:$T$66</c:f>
              <c:strCache>
                <c:ptCount val="3"/>
                <c:pt idx="0">
                  <c:v>Europe</c:v>
                </c:pt>
                <c:pt idx="1">
                  <c:v>Asia</c:v>
                </c:pt>
                <c:pt idx="2">
                  <c:v>Other</c:v>
                </c:pt>
              </c:strCache>
            </c:strRef>
          </c:cat>
          <c:val>
            <c:numRef>
              <c:f>TNORSOP!$X$64:$X$66</c:f>
              <c:numCache>
                <c:formatCode>0.0%</c:formatCode>
                <c:ptCount val="3"/>
                <c:pt idx="0">
                  <c:v>0.57012195088193274</c:v>
                </c:pt>
                <c:pt idx="1">
                  <c:v>0.33385236268747104</c:v>
                </c:pt>
                <c:pt idx="2">
                  <c:v>9.602568643059628E-2</c:v>
                </c:pt>
              </c:numCache>
            </c:numRef>
          </c:val>
          <c:extLst>
            <c:ext xmlns:c16="http://schemas.microsoft.com/office/drawing/2014/chart" uri="{C3380CC4-5D6E-409C-BE32-E72D297353CC}">
              <c16:uniqueId val="{00000008-D714-48F2-97A9-85796B2B67F0}"/>
            </c:ext>
          </c:extLst>
        </c:ser>
        <c:ser>
          <c:idx val="1"/>
          <c:order val="1"/>
          <c:spPr>
            <a:solidFill>
              <a:srgbClr val="993366"/>
            </a:solidFill>
            <a:ln w="12700">
              <a:solidFill>
                <a:srgbClr val="000000"/>
              </a:solidFill>
              <a:prstDash val="solid"/>
            </a:ln>
          </c:spPr>
          <c:dPt>
            <c:idx val="0"/>
            <c:bubble3D val="0"/>
            <c:spPr>
              <a:solidFill>
                <a:srgbClr val="9999FF"/>
              </a:solidFill>
              <a:ln w="12700">
                <a:solidFill>
                  <a:srgbClr val="000000"/>
                </a:solidFill>
                <a:prstDash val="solid"/>
              </a:ln>
            </c:spPr>
            <c:extLst>
              <c:ext xmlns:c16="http://schemas.microsoft.com/office/drawing/2014/chart" uri="{C3380CC4-5D6E-409C-BE32-E72D297353CC}">
                <c16:uniqueId val="{0000000A-D714-48F2-97A9-85796B2B67F0}"/>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C-D714-48F2-97A9-85796B2B67F0}"/>
              </c:ext>
            </c:extLst>
          </c:dPt>
          <c:dLbls>
            <c:numFmt formatCode="0%" sourceLinked="0"/>
            <c:spPr>
              <a:noFill/>
              <a:ln w="25400">
                <a:noFill/>
              </a:ln>
            </c:spPr>
            <c:showLegendKey val="0"/>
            <c:showVal val="0"/>
            <c:showCatName val="0"/>
            <c:showSerName val="0"/>
            <c:showPercent val="1"/>
            <c:showBubbleSize val="0"/>
            <c:showLeaderLines val="1"/>
            <c:extLst>
              <c:ext xmlns:c15="http://schemas.microsoft.com/office/drawing/2012/chart" uri="{CE6537A1-D6FC-4f65-9D91-7224C49458BB}"/>
            </c:extLst>
          </c:dLbls>
          <c:cat>
            <c:strRef>
              <c:f>TNORSOP!$T$64:$T$66</c:f>
              <c:strCache>
                <c:ptCount val="3"/>
                <c:pt idx="0">
                  <c:v>Europe</c:v>
                </c:pt>
                <c:pt idx="1">
                  <c:v>Asia</c:v>
                </c:pt>
                <c:pt idx="2">
                  <c:v>Other</c:v>
                </c:pt>
              </c:strCache>
            </c:strRef>
          </c:cat>
          <c:val>
            <c:numRef>
              <c:f>TNORSOP!$X$64:$X$66</c:f>
              <c:numCache>
                <c:formatCode>0.0%</c:formatCode>
                <c:ptCount val="3"/>
                <c:pt idx="0">
                  <c:v>0.57012195088193274</c:v>
                </c:pt>
                <c:pt idx="1">
                  <c:v>0.33385236268747104</c:v>
                </c:pt>
                <c:pt idx="2">
                  <c:v>9.602568643059628E-2</c:v>
                </c:pt>
              </c:numCache>
            </c:numRef>
          </c:val>
          <c:extLst>
            <c:ext xmlns:c16="http://schemas.microsoft.com/office/drawing/2014/chart" uri="{C3380CC4-5D6E-409C-BE32-E72D297353CC}">
              <c16:uniqueId val="{0000000D-D714-48F2-97A9-85796B2B67F0}"/>
            </c:ext>
          </c:extLst>
        </c:ser>
        <c:dLbls>
          <c:showLegendKey val="0"/>
          <c:showVal val="0"/>
          <c:showCatName val="0"/>
          <c:showSerName val="0"/>
          <c:showPercent val="0"/>
          <c:showBubbleSize val="0"/>
          <c:showLeaderLines val="1"/>
        </c:dLbls>
        <c:firstSliceAng val="0"/>
      </c:pieChart>
      <c:spPr>
        <a:noFill/>
        <a:ln w="25400">
          <a:noFill/>
        </a:ln>
      </c:spPr>
    </c:plotArea>
    <c:legend>
      <c:legendPos val="b"/>
      <c:overlay val="0"/>
      <c:spPr>
        <a:solidFill>
          <a:srgbClr val="FFFFFF"/>
        </a:solidFill>
        <a:ln w="25400">
          <a:noFill/>
        </a:ln>
      </c:spPr>
    </c:legend>
    <c:plotVisOnly val="1"/>
    <c:dispBlanksAs val="zero"/>
    <c:showDLblsOverMax val="0"/>
  </c:chart>
  <c:spPr>
    <a:solidFill>
      <a:srgbClr val="FFFFFF"/>
    </a:solidFill>
    <a:ln w="25400">
      <a:noFill/>
    </a:ln>
    <a:effectLst/>
  </c:spPr>
  <c:txPr>
    <a:bodyPr/>
    <a:lstStyle/>
    <a:p>
      <a:pPr>
        <a:defRPr sz="1000" b="0" i="0" u="none" strike="noStrike" baseline="0">
          <a:solidFill>
            <a:srgbClr val="595959"/>
          </a:solidFill>
          <a:latin typeface="Arial Narrow"/>
          <a:ea typeface="Arial Narrow"/>
          <a:cs typeface="Arial Narrow"/>
        </a:defRPr>
      </a:pPr>
      <a:endParaRPr lang="en-US"/>
    </a:p>
  </c:txPr>
  <c:printSettings>
    <c:headerFooter alignWithMargins="0"/>
    <c:pageMargins b="1" l="0.75000000000000111" r="0.75000000000000111" t="1" header="0.5" footer="0.5"/>
    <c:pageSetup/>
  </c:printSettings>
</c:chartSpace>
</file>

<file path=xl/charts/chart1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6412244327447234"/>
          <c:y val="7.3529411764705885E-2"/>
          <c:w val="0.65267297209150821"/>
          <c:h val="0.62867647058823684"/>
        </c:manualLayout>
      </c:layout>
      <c:pieChart>
        <c:varyColors val="1"/>
        <c:ser>
          <c:idx val="0"/>
          <c:order val="0"/>
          <c:spPr>
            <a:solidFill>
              <a:srgbClr val="9999FF"/>
            </a:solidFill>
            <a:ln w="25400">
              <a:noFill/>
            </a:ln>
          </c:spPr>
          <c:dPt>
            <c:idx val="0"/>
            <c:bubble3D val="0"/>
            <c:spPr>
              <a:solidFill>
                <a:srgbClr val="263238"/>
              </a:solidFill>
              <a:ln w="25400">
                <a:noFill/>
              </a:ln>
              <a:effectLst/>
            </c:spPr>
            <c:extLst>
              <c:ext xmlns:c16="http://schemas.microsoft.com/office/drawing/2014/chart" uri="{C3380CC4-5D6E-409C-BE32-E72D297353CC}">
                <c16:uniqueId val="{00000001-EC4A-4B09-AB53-6A3918D8DD9C}"/>
              </c:ext>
            </c:extLst>
          </c:dPt>
          <c:dPt>
            <c:idx val="1"/>
            <c:bubble3D val="0"/>
            <c:spPr>
              <a:solidFill>
                <a:srgbClr val="F9663E"/>
              </a:solidFill>
              <a:ln w="25400">
                <a:noFill/>
              </a:ln>
              <a:effectLst/>
            </c:spPr>
            <c:extLst>
              <c:ext xmlns:c16="http://schemas.microsoft.com/office/drawing/2014/chart" uri="{C3380CC4-5D6E-409C-BE32-E72D297353CC}">
                <c16:uniqueId val="{00000003-EC4A-4B09-AB53-6A3918D8DD9C}"/>
              </c:ext>
            </c:extLst>
          </c:dPt>
          <c:dPt>
            <c:idx val="2"/>
            <c:bubble3D val="0"/>
            <c:spPr>
              <a:solidFill>
                <a:srgbClr val="C7FE02"/>
              </a:solidFill>
              <a:ln w="25400">
                <a:noFill/>
              </a:ln>
              <a:effectLst/>
            </c:spPr>
            <c:extLst>
              <c:ext xmlns:c16="http://schemas.microsoft.com/office/drawing/2014/chart" uri="{C3380CC4-5D6E-409C-BE32-E72D297353CC}">
                <c16:uniqueId val="{00000005-EC4A-4B09-AB53-6A3918D8DD9C}"/>
              </c:ext>
            </c:extLst>
          </c:dPt>
          <c:dLbls>
            <c:dLbl>
              <c:idx val="0"/>
              <c:layout>
                <c:manualLayout>
                  <c:x val="-3.7630239401893022E-2"/>
                  <c:y val="2.4410058551599306E-2"/>
                </c:manualLayout>
              </c:layout>
              <c:numFmt formatCode="0%" sourceLinked="0"/>
              <c:spPr>
                <a:noFill/>
                <a:ln w="25400">
                  <a:noFill/>
                </a:ln>
                <a:effectLst/>
              </c:spPr>
              <c:txPr>
                <a:bodyPr wrap="square" lIns="38100" tIns="19050" rIns="38100" bIns="19050" anchor="ctr">
                  <a:spAutoFit/>
                </a:bodyPr>
                <a:lstStyle/>
                <a:p>
                  <a:pPr>
                    <a:defRPr sz="800">
                      <a:solidFill>
                        <a:srgbClr val="FFFFFF"/>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C4A-4B09-AB53-6A3918D8DD9C}"/>
                </c:ext>
              </c:extLst>
            </c:dLbl>
            <c:dLbl>
              <c:idx val="1"/>
              <c:layout>
                <c:manualLayout>
                  <c:x val="1.1675813250616401E-2"/>
                  <c:y val="1.5664228837095787E-2"/>
                </c:manualLayout>
              </c:layout>
              <c:numFmt formatCode="0%" sourceLinked="0"/>
              <c:spPr>
                <a:noFill/>
                <a:ln w="25400">
                  <a:noFill/>
                </a:ln>
                <a:effectLst/>
              </c:spPr>
              <c:txPr>
                <a:bodyPr wrap="square" lIns="38100" tIns="19050" rIns="38100" bIns="19050" anchor="ctr">
                  <a:spAutoFit/>
                </a:bodyPr>
                <a:lstStyle/>
                <a:p>
                  <a:pPr>
                    <a:defRPr sz="800">
                      <a:solidFill>
                        <a:srgbClr val="595959"/>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C4A-4B09-AB53-6A3918D8DD9C}"/>
                </c:ext>
              </c:extLst>
            </c:dLbl>
            <c:dLbl>
              <c:idx val="2"/>
              <c:layout>
                <c:manualLayout>
                  <c:x val="1.7259603913147219E-2"/>
                  <c:y val="1.4813788137067862E-2"/>
                </c:manualLayout>
              </c:layout>
              <c:numFmt formatCode="0%" sourceLinked="0"/>
              <c:spPr>
                <a:noFill/>
                <a:ln w="25400">
                  <a:noFill/>
                </a:ln>
                <a:effectLst/>
              </c:spPr>
              <c:txPr>
                <a:bodyPr wrap="square" lIns="38100" tIns="19050" rIns="38100" bIns="19050" anchor="ctr">
                  <a:spAutoFit/>
                </a:bodyPr>
                <a:lstStyle/>
                <a:p>
                  <a:pPr>
                    <a:defRPr sz="800">
                      <a:solidFill>
                        <a:srgbClr val="595959"/>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C4A-4B09-AB53-6A3918D8DD9C}"/>
                </c:ext>
              </c:extLst>
            </c:dLbl>
            <c:numFmt formatCode="0%" sourceLinked="0"/>
            <c:spPr>
              <a:noFill/>
              <a:ln w="25400">
                <a:noFill/>
              </a:ln>
              <a:effectLst/>
            </c:spPr>
            <c:txPr>
              <a:bodyPr wrap="square" lIns="38100" tIns="19050" rIns="38100" bIns="19050" anchor="ctr">
                <a:spAutoFit/>
              </a:bodyPr>
              <a:lstStyle/>
              <a:p>
                <a:pPr>
                  <a:defRPr sz="800"/>
                </a:pPr>
                <a:endParaRPr lang="en-US"/>
              </a:p>
            </c:txPr>
            <c:showLegendKey val="0"/>
            <c:showVal val="1"/>
            <c:showCatName val="0"/>
            <c:showSerName val="0"/>
            <c:showPercent val="0"/>
            <c:showBubbleSize val="0"/>
            <c:showLeaderLines val="1"/>
            <c:extLst>
              <c:ext xmlns:c15="http://schemas.microsoft.com/office/drawing/2012/chart" uri="{CE6537A1-D6FC-4f65-9D91-7224C49458BB}"/>
            </c:extLst>
          </c:dLbls>
          <c:cat>
            <c:strRef>
              <c:f>TSONSOP!$T$72:$T$74</c:f>
              <c:strCache>
                <c:ptCount val="3"/>
                <c:pt idx="0">
                  <c:v>Mobile</c:v>
                </c:pt>
                <c:pt idx="1">
                  <c:v>Fixed</c:v>
                </c:pt>
                <c:pt idx="2">
                  <c:v>Other</c:v>
                </c:pt>
              </c:strCache>
            </c:strRef>
          </c:cat>
          <c:val>
            <c:numRef>
              <c:f>TSONSOP!$X$72:$X$74</c:f>
              <c:numCache>
                <c:formatCode>0.0%</c:formatCode>
                <c:ptCount val="3"/>
                <c:pt idx="0">
                  <c:v>0.75597932742487883</c:v>
                </c:pt>
                <c:pt idx="1">
                  <c:v>0.37689776104223582</c:v>
                </c:pt>
                <c:pt idx="2">
                  <c:v>-0.13287708846711466</c:v>
                </c:pt>
              </c:numCache>
            </c:numRef>
          </c:val>
          <c:extLst>
            <c:ext xmlns:c16="http://schemas.microsoft.com/office/drawing/2014/chart" uri="{C3380CC4-5D6E-409C-BE32-E72D297353CC}">
              <c16:uniqueId val="{00000006-EC4A-4B09-AB53-6A3918D8DD9C}"/>
            </c:ext>
          </c:extLst>
        </c:ser>
        <c:ser>
          <c:idx val="1"/>
          <c:order val="1"/>
          <c:spPr>
            <a:solidFill>
              <a:srgbClr val="993366"/>
            </a:solidFill>
            <a:ln w="12700">
              <a:solidFill>
                <a:srgbClr val="000000"/>
              </a:solidFill>
              <a:prstDash val="solid"/>
            </a:ln>
          </c:spPr>
          <c:dPt>
            <c:idx val="0"/>
            <c:bubble3D val="0"/>
            <c:spPr>
              <a:solidFill>
                <a:srgbClr val="9999FF"/>
              </a:solidFill>
              <a:ln w="12700">
                <a:solidFill>
                  <a:srgbClr val="000000"/>
                </a:solidFill>
                <a:prstDash val="solid"/>
              </a:ln>
            </c:spPr>
            <c:extLst>
              <c:ext xmlns:c16="http://schemas.microsoft.com/office/drawing/2014/chart" uri="{C3380CC4-5D6E-409C-BE32-E72D297353CC}">
                <c16:uniqueId val="{00000008-EC4A-4B09-AB53-6A3918D8DD9C}"/>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A-EC4A-4B09-AB53-6A3918D8DD9C}"/>
              </c:ext>
            </c:extLst>
          </c:dPt>
          <c:dLbls>
            <c:numFmt formatCode="0%" sourceLinked="0"/>
            <c:spPr>
              <a:noFill/>
              <a:ln w="25400">
                <a:noFill/>
              </a:ln>
            </c:spPr>
            <c:showLegendKey val="0"/>
            <c:showVal val="0"/>
            <c:showCatName val="0"/>
            <c:showSerName val="0"/>
            <c:showPercent val="1"/>
            <c:showBubbleSize val="0"/>
            <c:showLeaderLines val="1"/>
            <c:extLst>
              <c:ext xmlns:c15="http://schemas.microsoft.com/office/drawing/2012/chart" uri="{CE6537A1-D6FC-4f65-9D91-7224C49458BB}"/>
            </c:extLst>
          </c:dLbls>
          <c:cat>
            <c:strRef>
              <c:f>TSONSOP!$T$72:$T$74</c:f>
              <c:strCache>
                <c:ptCount val="3"/>
                <c:pt idx="0">
                  <c:v>Mobile</c:v>
                </c:pt>
                <c:pt idx="1">
                  <c:v>Fixed</c:v>
                </c:pt>
                <c:pt idx="2">
                  <c:v>Other</c:v>
                </c:pt>
              </c:strCache>
            </c:strRef>
          </c:cat>
          <c:val>
            <c:numRef>
              <c:f>TSONSOP!$X$72:$X$74</c:f>
              <c:numCache>
                <c:formatCode>0.0%</c:formatCode>
                <c:ptCount val="3"/>
                <c:pt idx="0">
                  <c:v>0.75597932742487883</c:v>
                </c:pt>
                <c:pt idx="1">
                  <c:v>0.37689776104223582</c:v>
                </c:pt>
                <c:pt idx="2">
                  <c:v>-0.13287708846711466</c:v>
                </c:pt>
              </c:numCache>
            </c:numRef>
          </c:val>
          <c:extLst>
            <c:ext xmlns:c16="http://schemas.microsoft.com/office/drawing/2014/chart" uri="{C3380CC4-5D6E-409C-BE32-E72D297353CC}">
              <c16:uniqueId val="{0000000B-EC4A-4B09-AB53-6A3918D8DD9C}"/>
            </c:ext>
          </c:extLst>
        </c:ser>
        <c:dLbls>
          <c:showLegendKey val="0"/>
          <c:showVal val="0"/>
          <c:showCatName val="0"/>
          <c:showSerName val="0"/>
          <c:showPercent val="0"/>
          <c:showBubbleSize val="0"/>
          <c:showLeaderLines val="1"/>
        </c:dLbls>
        <c:firstSliceAng val="0"/>
      </c:pieChart>
      <c:spPr>
        <a:noFill/>
        <a:ln w="25400">
          <a:noFill/>
        </a:ln>
      </c:spPr>
    </c:plotArea>
    <c:legend>
      <c:legendPos val="b"/>
      <c:overlay val="0"/>
      <c:spPr>
        <a:solidFill>
          <a:srgbClr val="FFFFFF"/>
        </a:solidFill>
        <a:ln w="25400">
          <a:noFill/>
        </a:ln>
      </c:spPr>
    </c:legend>
    <c:plotVisOnly val="1"/>
    <c:dispBlanksAs val="zero"/>
    <c:showDLblsOverMax val="0"/>
  </c:chart>
  <c:spPr>
    <a:solidFill>
      <a:srgbClr val="FFFFFF"/>
    </a:solidFill>
    <a:ln w="25400">
      <a:noFill/>
    </a:ln>
    <a:effectLst/>
  </c:spPr>
  <c:txPr>
    <a:bodyPr/>
    <a:lstStyle/>
    <a:p>
      <a:pPr>
        <a:defRPr sz="1000" b="0" i="0" u="none" strike="noStrike" baseline="0">
          <a:solidFill>
            <a:srgbClr val="595959"/>
          </a:solidFill>
          <a:latin typeface="Arial Narrow"/>
          <a:ea typeface="Arial Narrow"/>
          <a:cs typeface="Arial Narrow"/>
        </a:defRPr>
      </a:pPr>
      <a:endParaRPr lang="en-US"/>
    </a:p>
  </c:txPr>
  <c:printSettings>
    <c:headerFooter alignWithMargins="0"/>
    <c:pageMargins b="1" l="0.75000000000000111" r="0.75000000000000111" t="1" header="0.5" footer="0.5"/>
    <c:pageSetup/>
  </c:printSettings>
</c:chartSpace>
</file>

<file path=xl/charts/chart1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9069501695079091"/>
          <c:y val="7.9964967430658188E-2"/>
          <c:w val="0.65368532979817862"/>
          <c:h val="0.56948316734367832"/>
        </c:manualLayout>
      </c:layout>
      <c:pieChart>
        <c:varyColors val="1"/>
        <c:ser>
          <c:idx val="0"/>
          <c:order val="0"/>
          <c:dPt>
            <c:idx val="0"/>
            <c:bubble3D val="0"/>
            <c:spPr>
              <a:solidFill>
                <a:srgbClr val="263238"/>
              </a:solidFill>
              <a:ln w="25400">
                <a:noFill/>
              </a:ln>
              <a:effectLst/>
            </c:spPr>
            <c:extLst>
              <c:ext xmlns:c16="http://schemas.microsoft.com/office/drawing/2014/chart" uri="{C3380CC4-5D6E-409C-BE32-E72D297353CC}">
                <c16:uniqueId val="{00000001-94D4-43F2-BC20-49581323EA2D}"/>
              </c:ext>
            </c:extLst>
          </c:dPt>
          <c:dPt>
            <c:idx val="1"/>
            <c:bubble3D val="0"/>
            <c:spPr>
              <a:solidFill>
                <a:srgbClr val="799098"/>
              </a:solidFill>
              <a:ln w="25400">
                <a:noFill/>
              </a:ln>
              <a:effectLst/>
            </c:spPr>
            <c:extLst>
              <c:ext xmlns:c16="http://schemas.microsoft.com/office/drawing/2014/chart" uri="{C3380CC4-5D6E-409C-BE32-E72D297353CC}">
                <c16:uniqueId val="{00000003-94D4-43F2-BC20-49581323EA2D}"/>
              </c:ext>
            </c:extLst>
          </c:dPt>
          <c:dPt>
            <c:idx val="2"/>
            <c:bubble3D val="0"/>
            <c:spPr>
              <a:solidFill>
                <a:srgbClr val="F9663E"/>
              </a:solidFill>
              <a:ln w="25400">
                <a:noFill/>
              </a:ln>
              <a:effectLst/>
            </c:spPr>
            <c:extLst>
              <c:ext xmlns:c16="http://schemas.microsoft.com/office/drawing/2014/chart" uri="{C3380CC4-5D6E-409C-BE32-E72D297353CC}">
                <c16:uniqueId val="{00000005-94D4-43F2-BC20-49581323EA2D}"/>
              </c:ext>
            </c:extLst>
          </c:dPt>
          <c:dPt>
            <c:idx val="3"/>
            <c:bubble3D val="0"/>
            <c:spPr>
              <a:solidFill>
                <a:srgbClr val="C7FE02"/>
              </a:solidFill>
              <a:ln w="25400">
                <a:noFill/>
              </a:ln>
              <a:effectLst/>
            </c:spPr>
            <c:extLst>
              <c:ext xmlns:c16="http://schemas.microsoft.com/office/drawing/2014/chart" uri="{C3380CC4-5D6E-409C-BE32-E72D297353CC}">
                <c16:uniqueId val="{00000007-94D4-43F2-BC20-49581323EA2D}"/>
              </c:ext>
            </c:extLst>
          </c:dPt>
          <c:dPt>
            <c:idx val="4"/>
            <c:bubble3D val="0"/>
            <c:spPr>
              <a:pattFill prst="wdDnDiag">
                <a:fgClr>
                  <a:srgbClr val="969696"/>
                </a:fgClr>
                <a:bgClr>
                  <a:srgbClr val="969696"/>
                </a:bgClr>
              </a:pattFill>
              <a:ln w="25400">
                <a:noFill/>
              </a:ln>
              <a:effectLst/>
            </c:spPr>
            <c:extLst>
              <c:ext xmlns:c16="http://schemas.microsoft.com/office/drawing/2014/chart" uri="{C3380CC4-5D6E-409C-BE32-E72D297353CC}">
                <c16:uniqueId val="{00000009-94D4-43F2-BC20-49581323EA2D}"/>
              </c:ext>
            </c:extLst>
          </c:dPt>
          <c:dPt>
            <c:idx val="5"/>
            <c:bubble3D val="0"/>
            <c:spPr>
              <a:pattFill prst="wdDnDiag">
                <a:fgClr>
                  <a:srgbClr val="C0C0C0"/>
                </a:fgClr>
                <a:bgClr>
                  <a:srgbClr val="C0C0C0"/>
                </a:bgClr>
              </a:pattFill>
              <a:ln w="25400">
                <a:noFill/>
              </a:ln>
              <a:effectLst/>
            </c:spPr>
            <c:extLst>
              <c:ext xmlns:c16="http://schemas.microsoft.com/office/drawing/2014/chart" uri="{C3380CC4-5D6E-409C-BE32-E72D297353CC}">
                <c16:uniqueId val="{0000000B-94D4-43F2-BC20-49581323EA2D}"/>
              </c:ext>
            </c:extLst>
          </c:dPt>
          <c:dPt>
            <c:idx val="6"/>
            <c:bubble3D val="0"/>
            <c:spPr>
              <a:pattFill prst="wdDnDiag">
                <a:fgClr>
                  <a:srgbClr val="0000FF"/>
                </a:fgClr>
                <a:bgClr>
                  <a:srgbClr val="0000FF"/>
                </a:bgClr>
              </a:pattFill>
              <a:ln w="25400">
                <a:noFill/>
              </a:ln>
              <a:effectLst/>
            </c:spPr>
            <c:extLst>
              <c:ext xmlns:c16="http://schemas.microsoft.com/office/drawing/2014/chart" uri="{C3380CC4-5D6E-409C-BE32-E72D297353CC}">
                <c16:uniqueId val="{0000000D-94D4-43F2-BC20-49581323EA2D}"/>
              </c:ext>
            </c:extLst>
          </c:dPt>
          <c:dLbls>
            <c:dLbl>
              <c:idx val="0"/>
              <c:spPr>
                <a:noFill/>
                <a:ln>
                  <a:noFill/>
                </a:ln>
                <a:effectLst/>
              </c:spPr>
              <c:txPr>
                <a:bodyPr/>
                <a:lstStyle/>
                <a:p>
                  <a:pPr>
                    <a:defRPr sz="800">
                      <a:solidFill>
                        <a:srgbClr val="FFFFFF"/>
                      </a:solidFill>
                    </a:defRPr>
                  </a:pPr>
                  <a:endParaRPr lang="en-US"/>
                </a:p>
              </c:txPr>
              <c:showLegendKey val="0"/>
              <c:showVal val="1"/>
              <c:showCatName val="0"/>
              <c:showSerName val="0"/>
              <c:showPercent val="0"/>
              <c:showBubbleSize val="0"/>
              <c:extLst>
                <c:ext xmlns:c16="http://schemas.microsoft.com/office/drawing/2014/chart" uri="{C3380CC4-5D6E-409C-BE32-E72D297353CC}">
                  <c16:uniqueId val="{00000001-94D4-43F2-BC20-49581323EA2D}"/>
                </c:ext>
              </c:extLst>
            </c:dLbl>
            <c:dLbl>
              <c:idx val="1"/>
              <c:spPr>
                <a:noFill/>
                <a:ln>
                  <a:noFill/>
                </a:ln>
                <a:effectLst/>
              </c:spPr>
              <c:txPr>
                <a:bodyPr wrap="square" lIns="38100" tIns="19050" rIns="38100" bIns="19050" anchor="ctr">
                  <a:spAutoFit/>
                </a:bodyPr>
                <a:lstStyle/>
                <a:p>
                  <a:pPr>
                    <a:defRPr sz="800">
                      <a:solidFill>
                        <a:srgbClr val="FFFFFF"/>
                      </a:solidFill>
                    </a:defRPr>
                  </a:pPr>
                  <a:endParaRPr lang="en-US"/>
                </a:p>
              </c:txPr>
              <c:showLegendKey val="0"/>
              <c:showVal val="1"/>
              <c:showCatName val="0"/>
              <c:showSerName val="0"/>
              <c:showPercent val="0"/>
              <c:showBubbleSize val="0"/>
              <c:extLst>
                <c:ext xmlns:c16="http://schemas.microsoft.com/office/drawing/2014/chart" uri="{C3380CC4-5D6E-409C-BE32-E72D297353CC}">
                  <c16:uniqueId val="{00000003-94D4-43F2-BC20-49581323EA2D}"/>
                </c:ext>
              </c:extLst>
            </c:dLbl>
            <c:dLbl>
              <c:idx val="2"/>
              <c:spPr>
                <a:noFill/>
                <a:ln>
                  <a:noFill/>
                </a:ln>
                <a:effectLst/>
              </c:spPr>
              <c:txPr>
                <a:bodyPr wrap="square" lIns="38100" tIns="19050" rIns="38100" bIns="19050" anchor="ctr">
                  <a:spAutoFit/>
                </a:bodyPr>
                <a:lstStyle/>
                <a:p>
                  <a:pPr>
                    <a:defRPr sz="800">
                      <a:solidFill>
                        <a:srgbClr val="595959"/>
                      </a:solidFill>
                    </a:defRPr>
                  </a:pPr>
                  <a:endParaRPr lang="en-US"/>
                </a:p>
              </c:txPr>
              <c:showLegendKey val="0"/>
              <c:showVal val="1"/>
              <c:showCatName val="0"/>
              <c:showSerName val="0"/>
              <c:showPercent val="0"/>
              <c:showBubbleSize val="0"/>
              <c:extLst>
                <c:ext xmlns:c16="http://schemas.microsoft.com/office/drawing/2014/chart" uri="{C3380CC4-5D6E-409C-BE32-E72D297353CC}">
                  <c16:uniqueId val="{00000005-94D4-43F2-BC20-49581323EA2D}"/>
                </c:ext>
              </c:extLst>
            </c:dLbl>
            <c:dLbl>
              <c:idx val="3"/>
              <c:spPr>
                <a:noFill/>
                <a:ln>
                  <a:noFill/>
                </a:ln>
                <a:effectLst/>
              </c:spPr>
              <c:txPr>
                <a:bodyPr wrap="square" lIns="38100" tIns="19050" rIns="38100" bIns="19050" anchor="ctr">
                  <a:spAutoFit/>
                </a:bodyPr>
                <a:lstStyle/>
                <a:p>
                  <a:pPr>
                    <a:defRPr sz="800">
                      <a:solidFill>
                        <a:srgbClr val="595959"/>
                      </a:solidFill>
                    </a:defRPr>
                  </a:pPr>
                  <a:endParaRPr lang="en-US"/>
                </a:p>
              </c:txPr>
              <c:showLegendKey val="0"/>
              <c:showVal val="1"/>
              <c:showCatName val="0"/>
              <c:showSerName val="0"/>
              <c:showPercent val="0"/>
              <c:showBubbleSize val="0"/>
              <c:extLst>
                <c:ext xmlns:c16="http://schemas.microsoft.com/office/drawing/2014/chart" uri="{C3380CC4-5D6E-409C-BE32-E72D297353CC}">
                  <c16:uniqueId val="{00000007-94D4-43F2-BC20-49581323EA2D}"/>
                </c:ext>
              </c:extLst>
            </c:dLbl>
            <c:dLbl>
              <c:idx val="5"/>
              <c:layout>
                <c:manualLayout>
                  <c:x val="-3.571537691289596E-2"/>
                  <c:y val="1.21810022089884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94D4-43F2-BC20-49581323EA2D}"/>
                </c:ext>
              </c:extLst>
            </c:dLbl>
            <c:dLbl>
              <c:idx val="6"/>
              <c:layout>
                <c:manualLayout>
                  <c:x val="4.0441804493317794E-2"/>
                  <c:y val="8.699884034235643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94D4-43F2-BC20-49581323EA2D}"/>
                </c:ext>
              </c:extLst>
            </c:dLbl>
            <c:spPr>
              <a:noFill/>
              <a:ln>
                <a:noFill/>
              </a:ln>
              <a:effectLst/>
            </c:spPr>
            <c:txPr>
              <a:bodyPr wrap="square" lIns="38100" tIns="19050" rIns="38100" bIns="19050" anchor="ctr">
                <a:spAutoFit/>
              </a:bodyPr>
              <a:lstStyle/>
              <a:p>
                <a:pPr>
                  <a:defRPr sz="800"/>
                </a:pPr>
                <a:endParaRPr lang="en-US"/>
              </a:p>
            </c:txPr>
            <c:showLegendKey val="0"/>
            <c:showVal val="1"/>
            <c:showCatName val="0"/>
            <c:showSerName val="0"/>
            <c:showPercent val="0"/>
            <c:showBubbleSize val="0"/>
            <c:showLeaderLines val="1"/>
            <c:extLst>
              <c:ext xmlns:c15="http://schemas.microsoft.com/office/drawing/2012/chart" uri="{CE6537A1-D6FC-4f65-9D91-7224C49458BB}"/>
            </c:extLst>
          </c:dLbls>
          <c:cat>
            <c:strRef>
              <c:f>UTDISOP!$R$47:$R$50</c:f>
              <c:strCache>
                <c:ptCount val="4"/>
                <c:pt idx="0">
                  <c:v>Consumer Applications</c:v>
                </c:pt>
                <c:pt idx="1">
                  <c:v>Business Applications</c:v>
                </c:pt>
                <c:pt idx="2">
                  <c:v>Business Access (Versatel)</c:v>
                </c:pt>
                <c:pt idx="3">
                  <c:v>Consumer Access (Drillisch)</c:v>
                </c:pt>
              </c:strCache>
            </c:strRef>
          </c:cat>
          <c:val>
            <c:numRef>
              <c:f>UTDISOP!$X$47:$X$50</c:f>
              <c:numCache>
                <c:formatCode>0.0%</c:formatCode>
                <c:ptCount val="4"/>
                <c:pt idx="0">
                  <c:v>0.9094025404207795</c:v>
                </c:pt>
                <c:pt idx="1">
                  <c:v>0.10536382036909239</c:v>
                </c:pt>
                <c:pt idx="2">
                  <c:v>0.17781689776705487</c:v>
                </c:pt>
                <c:pt idx="3">
                  <c:v>0.43261409069253104</c:v>
                </c:pt>
              </c:numCache>
            </c:numRef>
          </c:val>
          <c:extLst>
            <c:ext xmlns:c16="http://schemas.microsoft.com/office/drawing/2014/chart" uri="{C3380CC4-5D6E-409C-BE32-E72D297353CC}">
              <c16:uniqueId val="{0000000E-94D4-43F2-BC20-49581323EA2D}"/>
            </c:ext>
          </c:extLst>
        </c:ser>
        <c:dLbls>
          <c:showLegendKey val="0"/>
          <c:showVal val="1"/>
          <c:showCatName val="0"/>
          <c:showSerName val="0"/>
          <c:showPercent val="0"/>
          <c:showBubbleSize val="0"/>
          <c:showLeaderLines val="1"/>
        </c:dLbls>
        <c:firstSliceAng val="0"/>
      </c:pieChart>
      <c:spPr>
        <a:noFill/>
        <a:ln w="25400">
          <a:noFill/>
        </a:ln>
      </c:spPr>
    </c:plotArea>
    <c:legend>
      <c:legendPos val="b"/>
      <c:overlay val="0"/>
      <c:spPr>
        <a:ln w="25400">
          <a:noFill/>
        </a:ln>
      </c:spPr>
    </c:legend>
    <c:plotVisOnly val="1"/>
    <c:dispBlanksAs val="zero"/>
    <c:showDLblsOverMax val="0"/>
  </c:chart>
  <c:spPr>
    <a:ln w="25400">
      <a:noFill/>
    </a:ln>
    <a:effectLst/>
  </c:spPr>
  <c:txPr>
    <a:bodyPr/>
    <a:lstStyle/>
    <a:p>
      <a:pPr>
        <a:defRPr sz="1000" b="0" i="0" u="none" strike="noStrike" baseline="0">
          <a:solidFill>
            <a:srgbClr val="595959"/>
          </a:solidFill>
          <a:latin typeface="Arial Narrow"/>
          <a:ea typeface="Arial Narrow"/>
          <a:cs typeface="Arial Narrow"/>
        </a:defRPr>
      </a:pPr>
      <a:endParaRPr lang="en-US"/>
    </a:p>
  </c:txPr>
  <c:printSettings>
    <c:headerFooter/>
    <c:pageMargins b="0.75000000000000078" l="0.70000000000000062" r="0.70000000000000062" t="0.75000000000000078" header="0.30000000000000032" footer="0.30000000000000032"/>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radarChart>
        <c:radarStyle val="marker"/>
        <c:varyColors val="0"/>
        <c:ser>
          <c:idx val="0"/>
          <c:order val="0"/>
          <c:tx>
            <c:strRef>
              <c:f>CHTR!$W$24</c:f>
              <c:strCache>
                <c:ptCount val="1"/>
                <c:pt idx="0">
                  <c:v>Charter</c:v>
                </c:pt>
              </c:strCache>
            </c:strRef>
          </c:tx>
          <c:spPr>
            <a:ln w="25400" cap="rnd">
              <a:solidFill>
                <a:srgbClr val="263238"/>
              </a:solidFill>
              <a:prstDash val="solid"/>
              <a:round/>
            </a:ln>
            <a:effectLst/>
          </c:spPr>
          <c:marker>
            <c:symbol val="diamond"/>
            <c:size val="6"/>
            <c:spPr>
              <a:solidFill>
                <a:srgbClr val="263238"/>
              </a:solidFill>
              <a:ln w="25400">
                <a:noFill/>
              </a:ln>
              <a:effectLst/>
            </c:spPr>
          </c:marker>
          <c:cat>
            <c:strRef>
              <c:f>CHTR!$V$25:$V$34</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CHTR!$W$25:$W$34</c:f>
              <c:numCache>
                <c:formatCode>0%</c:formatCode>
                <c:ptCount val="10"/>
                <c:pt idx="0">
                  <c:v>1.3177741096706925</c:v>
                </c:pt>
                <c:pt idx="1">
                  <c:v>1.0555816855248321</c:v>
                </c:pt>
                <c:pt idx="2">
                  <c:v>1.1436394100411753</c:v>
                </c:pt>
                <c:pt idx="3">
                  <c:v>1.0880543963326443</c:v>
                </c:pt>
                <c:pt idx="4">
                  <c:v>1.1261334317084142</c:v>
                </c:pt>
                <c:pt idx="5">
                  <c:v>1.1277472321778319</c:v>
                </c:pt>
                <c:pt idx="6">
                  <c:v>4.4956309635763043</c:v>
                </c:pt>
                <c:pt idx="7">
                  <c:v>0.97344288113746702</c:v>
                </c:pt>
                <c:pt idx="8">
                  <c:v>0</c:v>
                </c:pt>
                <c:pt idx="9">
                  <c:v>0.22243818678668706</c:v>
                </c:pt>
              </c:numCache>
            </c:numRef>
          </c:val>
          <c:extLst>
            <c:ext xmlns:c16="http://schemas.microsoft.com/office/drawing/2014/chart" uri="{C3380CC4-5D6E-409C-BE32-E72D297353CC}">
              <c16:uniqueId val="{00000000-4C42-4AF8-AA87-6D1B86DCC73F}"/>
            </c:ext>
          </c:extLst>
        </c:ser>
        <c:ser>
          <c:idx val="1"/>
          <c:order val="1"/>
          <c:tx>
            <c:strRef>
              <c:f>CHTR!$X$24</c:f>
              <c:strCache>
                <c:ptCount val="1"/>
                <c:pt idx="0">
                  <c:v>Agg. US CATV</c:v>
                </c:pt>
              </c:strCache>
            </c:strRef>
          </c:tx>
          <c:spPr>
            <a:ln w="25400" cap="rnd">
              <a:solidFill>
                <a:srgbClr val="799098"/>
              </a:solidFill>
              <a:prstDash val="solid"/>
              <a:round/>
            </a:ln>
            <a:effectLst/>
          </c:spPr>
          <c:marker>
            <c:symbol val="diamond"/>
            <c:size val="6"/>
            <c:spPr>
              <a:solidFill>
                <a:srgbClr val="799098"/>
              </a:solidFill>
              <a:ln w="25400">
                <a:noFill/>
              </a:ln>
              <a:effectLst/>
            </c:spPr>
          </c:marker>
          <c:cat>
            <c:strRef>
              <c:f>CHTR!$V$25:$V$34</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CHTR!$X$25:$X$34</c:f>
              <c:numCache>
                <c:formatCode>0%</c:formatCode>
                <c:ptCount val="10"/>
                <c:pt idx="0">
                  <c:v>1</c:v>
                </c:pt>
                <c:pt idx="1">
                  <c:v>1</c:v>
                </c:pt>
                <c:pt idx="2">
                  <c:v>1</c:v>
                </c:pt>
                <c:pt idx="3">
                  <c:v>1</c:v>
                </c:pt>
                <c:pt idx="4">
                  <c:v>1</c:v>
                </c:pt>
                <c:pt idx="5">
                  <c:v>1</c:v>
                </c:pt>
                <c:pt idx="6">
                  <c:v>1</c:v>
                </c:pt>
                <c:pt idx="7">
                  <c:v>1</c:v>
                </c:pt>
                <c:pt idx="8">
                  <c:v>1</c:v>
                </c:pt>
                <c:pt idx="9">
                  <c:v>1</c:v>
                </c:pt>
              </c:numCache>
            </c:numRef>
          </c:val>
          <c:extLst>
            <c:ext xmlns:c16="http://schemas.microsoft.com/office/drawing/2014/chart" uri="{C3380CC4-5D6E-409C-BE32-E72D297353CC}">
              <c16:uniqueId val="{00000001-4C42-4AF8-AA87-6D1B86DCC73F}"/>
            </c:ext>
          </c:extLst>
        </c:ser>
        <c:dLbls>
          <c:showLegendKey val="0"/>
          <c:showVal val="0"/>
          <c:showCatName val="0"/>
          <c:showSerName val="0"/>
          <c:showPercent val="0"/>
          <c:showBubbleSize val="0"/>
        </c:dLbls>
        <c:axId val="2076031568"/>
        <c:axId val="2076033648"/>
      </c:radarChart>
      <c:catAx>
        <c:axId val="2076031568"/>
        <c:scaling>
          <c:orientation val="minMax"/>
        </c:scaling>
        <c:delete val="0"/>
        <c:axPos val="b"/>
        <c:numFmt formatCode="General" sourceLinked="1"/>
        <c:majorTickMark val="none"/>
        <c:minorTickMark val="none"/>
        <c:tickLblPos val="nextTo"/>
        <c:spPr>
          <a:noFill/>
          <a:ln w="9525" cap="flat" cmpd="sng" algn="ctr">
            <a:solidFill>
              <a:srgbClr val="B3B3B3"/>
            </a:solidFill>
            <a:round/>
          </a:ln>
          <a:effectLst/>
        </c:spPr>
        <c:txPr>
          <a:bodyPr rot="-60000000" spcFirstLastPara="1" vertOverflow="ellipsis" vert="horz" wrap="square" anchor="ctr" anchorCtr="1"/>
          <a:lstStyle/>
          <a:p>
            <a:pPr>
              <a:defRPr sz="1000" b="0" i="0" u="none" strike="noStrike" kern="1200" baseline="0">
                <a:solidFill>
                  <a:srgbClr val="595959"/>
                </a:solidFill>
                <a:latin typeface="Arial Narrow"/>
                <a:ea typeface="Arial Narrow"/>
                <a:cs typeface="Arial Narrow"/>
              </a:defRPr>
            </a:pPr>
            <a:endParaRPr lang="en-US"/>
          </a:p>
        </c:txPr>
        <c:crossAx val="2076033648"/>
        <c:crosses val="autoZero"/>
        <c:auto val="1"/>
        <c:lblAlgn val="ctr"/>
        <c:lblOffset val="100"/>
        <c:noMultiLvlLbl val="0"/>
      </c:catAx>
      <c:valAx>
        <c:axId val="2076033648"/>
        <c:scaling>
          <c:orientation val="minMax"/>
        </c:scaling>
        <c:delete val="0"/>
        <c:axPos val="l"/>
        <c:numFmt formatCode="0%" sourceLinked="1"/>
        <c:majorTickMark val="none"/>
        <c:minorTickMark val="none"/>
        <c:tickLblPos val="nextTo"/>
        <c:spPr>
          <a:noFill/>
          <a:ln>
            <a:solidFill>
              <a:srgbClr val="B3B3B3"/>
            </a:solidFill>
          </a:ln>
          <a:effectLst/>
        </c:spPr>
        <c:txPr>
          <a:bodyPr rot="-60000000" spcFirstLastPara="1" vertOverflow="ellipsis" vert="horz" wrap="square" anchor="ctr" anchorCtr="1"/>
          <a:lstStyle/>
          <a:p>
            <a:pPr>
              <a:defRPr sz="1000" b="0" i="0" u="none" strike="noStrike" kern="1200" baseline="0">
                <a:solidFill>
                  <a:srgbClr val="595959"/>
                </a:solidFill>
                <a:latin typeface="Arial Narrow"/>
                <a:ea typeface="Arial Narrow"/>
                <a:cs typeface="Arial Narrow"/>
              </a:defRPr>
            </a:pPr>
            <a:endParaRPr lang="en-US"/>
          </a:p>
        </c:txPr>
        <c:crossAx val="2076031568"/>
        <c:crosses val="autoZero"/>
        <c:crossBetween val="between"/>
      </c:valAx>
      <c:spPr>
        <a:noFill/>
        <a:ln w="25400">
          <a:noFill/>
        </a:ln>
        <a:effectLst/>
      </c:spPr>
    </c:plotArea>
    <c:legend>
      <c:legendPos val="b"/>
      <c:overlay val="0"/>
      <c:spPr>
        <a:noFill/>
        <a:ln w="25400">
          <a:noFill/>
        </a:ln>
        <a:effectLst/>
      </c:spPr>
      <c:txPr>
        <a:bodyPr rot="0" spcFirstLastPara="1" vertOverflow="ellipsis" vert="horz" wrap="square" anchor="ctr" anchorCtr="1"/>
        <a:lstStyle/>
        <a:p>
          <a:pPr>
            <a:defRPr sz="1000" b="0" i="0" u="none" strike="noStrike" kern="1200" baseline="0">
              <a:solidFill>
                <a:srgbClr val="595959"/>
              </a:solidFill>
              <a:latin typeface="Arial Narrow"/>
              <a:ea typeface="Arial Narrow"/>
              <a:cs typeface="Arial Narrow"/>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sz="1000" b="0" i="0" u="none" strike="noStrike" baseline="0">
          <a:solidFill>
            <a:srgbClr val="595959"/>
          </a:solidFill>
          <a:latin typeface="Arial Narrow"/>
          <a:ea typeface="Arial Narrow"/>
          <a:cs typeface="Arial Narrow"/>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7620994933092607"/>
          <c:y val="0.11692325258902152"/>
          <c:w val="0.44354882374309296"/>
          <c:h val="0.67692409393644049"/>
        </c:manualLayout>
      </c:layout>
      <c:radarChart>
        <c:radarStyle val="marker"/>
        <c:varyColors val="0"/>
        <c:ser>
          <c:idx val="0"/>
          <c:order val="0"/>
          <c:tx>
            <c:strRef>
              <c:f>CHUNG!$W$24</c:f>
              <c:strCache>
                <c:ptCount val="1"/>
                <c:pt idx="0">
                  <c:v>Chungwha</c:v>
                </c:pt>
              </c:strCache>
            </c:strRef>
          </c:tx>
          <c:spPr>
            <a:ln w="25400">
              <a:solidFill>
                <a:srgbClr val="263238"/>
              </a:solidFill>
              <a:prstDash val="solid"/>
            </a:ln>
            <a:effectLst/>
          </c:spPr>
          <c:marker>
            <c:symbol val="diamond"/>
            <c:size val="6"/>
            <c:spPr>
              <a:solidFill>
                <a:srgbClr val="263238"/>
              </a:solidFill>
              <a:ln w="6350">
                <a:noFill/>
              </a:ln>
            </c:spPr>
          </c:marker>
          <c:cat>
            <c:strRef>
              <c:f>CHUNG!$V$25:$V$34</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CHUNG!$W$25:$W$34</c:f>
              <c:numCache>
                <c:formatCode>0%</c:formatCode>
                <c:ptCount val="10"/>
                <c:pt idx="0">
                  <c:v>6.3821828258782659E-2</c:v>
                </c:pt>
                <c:pt idx="1">
                  <c:v>4.6765849941134773E-2</c:v>
                </c:pt>
                <c:pt idx="2">
                  <c:v>2.8429906597025104E-2</c:v>
                </c:pt>
                <c:pt idx="3">
                  <c:v>2.6173974372029285E-2</c:v>
                </c:pt>
                <c:pt idx="4">
                  <c:v>3.9110293216509114E-2</c:v>
                </c:pt>
                <c:pt idx="5">
                  <c:v>3.9929462443482666E-2</c:v>
                </c:pt>
                <c:pt idx="6">
                  <c:v>1.6215555002413271</c:v>
                </c:pt>
                <c:pt idx="7">
                  <c:v>7.1498126210253699E-2</c:v>
                </c:pt>
                <c:pt idx="8">
                  <c:v>25.352455200207384</c:v>
                </c:pt>
                <c:pt idx="9">
                  <c:v>0.61669181218353331</c:v>
                </c:pt>
              </c:numCache>
            </c:numRef>
          </c:val>
          <c:extLst>
            <c:ext xmlns:c16="http://schemas.microsoft.com/office/drawing/2014/chart" uri="{C3380CC4-5D6E-409C-BE32-E72D297353CC}">
              <c16:uniqueId val="{00000000-BE51-4234-85F3-45F1EBC208FE}"/>
            </c:ext>
          </c:extLst>
        </c:ser>
        <c:ser>
          <c:idx val="1"/>
          <c:order val="1"/>
          <c:tx>
            <c:strRef>
              <c:f>CHUNG!$X$24</c:f>
              <c:strCache>
                <c:ptCount val="1"/>
                <c:pt idx="0">
                  <c:v>Agg. Asia Incumbent</c:v>
                </c:pt>
              </c:strCache>
            </c:strRef>
          </c:tx>
          <c:spPr>
            <a:ln w="25400">
              <a:solidFill>
                <a:srgbClr val="799098"/>
              </a:solidFill>
              <a:prstDash val="solid"/>
            </a:ln>
            <a:effectLst/>
          </c:spPr>
          <c:marker>
            <c:symbol val="diamond"/>
            <c:size val="6"/>
            <c:spPr>
              <a:solidFill>
                <a:srgbClr val="799098"/>
              </a:solidFill>
              <a:ln w="6350">
                <a:noFill/>
              </a:ln>
            </c:spPr>
          </c:marker>
          <c:cat>
            <c:strRef>
              <c:f>CHUNG!$V$25:$V$34</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CHUNG!$X$25:$X$34</c:f>
              <c:numCache>
                <c:formatCode>0%</c:formatCode>
                <c:ptCount val="10"/>
                <c:pt idx="0">
                  <c:v>1</c:v>
                </c:pt>
                <c:pt idx="1">
                  <c:v>1</c:v>
                </c:pt>
                <c:pt idx="2">
                  <c:v>1</c:v>
                </c:pt>
                <c:pt idx="3">
                  <c:v>1</c:v>
                </c:pt>
                <c:pt idx="4">
                  <c:v>1</c:v>
                </c:pt>
                <c:pt idx="5">
                  <c:v>1</c:v>
                </c:pt>
                <c:pt idx="6">
                  <c:v>1</c:v>
                </c:pt>
                <c:pt idx="7">
                  <c:v>1</c:v>
                </c:pt>
                <c:pt idx="8">
                  <c:v>1</c:v>
                </c:pt>
                <c:pt idx="9">
                  <c:v>1</c:v>
                </c:pt>
              </c:numCache>
            </c:numRef>
          </c:val>
          <c:extLst>
            <c:ext xmlns:c16="http://schemas.microsoft.com/office/drawing/2014/chart" uri="{C3380CC4-5D6E-409C-BE32-E72D297353CC}">
              <c16:uniqueId val="{00000001-BE51-4234-85F3-45F1EBC208FE}"/>
            </c:ext>
          </c:extLst>
        </c:ser>
        <c:dLbls>
          <c:showLegendKey val="0"/>
          <c:showVal val="0"/>
          <c:showCatName val="0"/>
          <c:showSerName val="0"/>
          <c:showPercent val="0"/>
          <c:showBubbleSize val="0"/>
        </c:dLbls>
        <c:axId val="375224192"/>
        <c:axId val="375234560"/>
      </c:radarChart>
      <c:catAx>
        <c:axId val="375224192"/>
        <c:scaling>
          <c:orientation val="minMax"/>
        </c:scaling>
        <c:delete val="0"/>
        <c:axPos val="b"/>
        <c:numFmt formatCode="General" sourceLinked="1"/>
        <c:majorTickMark val="out"/>
        <c:minorTickMark val="none"/>
        <c:tickLblPos val="nextTo"/>
        <c:spPr>
          <a:ln>
            <a:solidFill>
              <a:srgbClr val="B3B3B3"/>
            </a:solidFill>
          </a:ln>
        </c:spPr>
        <c:txPr>
          <a:bodyPr rot="0" vert="horz"/>
          <a:lstStyle/>
          <a:p>
            <a:pPr>
              <a:defRPr/>
            </a:pPr>
            <a:endParaRPr lang="en-US"/>
          </a:p>
        </c:txPr>
        <c:crossAx val="375234560"/>
        <c:crosses val="autoZero"/>
        <c:auto val="0"/>
        <c:lblAlgn val="ctr"/>
        <c:lblOffset val="100"/>
        <c:noMultiLvlLbl val="0"/>
      </c:catAx>
      <c:valAx>
        <c:axId val="375234560"/>
        <c:scaling>
          <c:orientation val="minMax"/>
        </c:scaling>
        <c:delete val="0"/>
        <c:axPos val="l"/>
        <c:numFmt formatCode="0%" sourceLinked="1"/>
        <c:majorTickMark val="cross"/>
        <c:minorTickMark val="none"/>
        <c:tickLblPos val="nextTo"/>
        <c:spPr>
          <a:ln w="3175">
            <a:solidFill>
              <a:srgbClr val="B3B3B3"/>
            </a:solidFill>
            <a:prstDash val="solid"/>
          </a:ln>
        </c:spPr>
        <c:txPr>
          <a:bodyPr rot="0" vert="horz"/>
          <a:lstStyle/>
          <a:p>
            <a:pPr>
              <a:defRPr/>
            </a:pPr>
            <a:endParaRPr lang="en-US"/>
          </a:p>
        </c:txPr>
        <c:crossAx val="375224192"/>
        <c:crosses val="autoZero"/>
        <c:crossBetween val="between"/>
      </c:valAx>
      <c:spPr>
        <a:noFill/>
        <a:ln w="25400">
          <a:noFill/>
        </a:ln>
      </c:spPr>
    </c:plotArea>
    <c:legend>
      <c:legendPos val="b"/>
      <c:overlay val="0"/>
      <c:spPr>
        <a:noFill/>
        <a:ln w="25400">
          <a:noFill/>
        </a:ln>
      </c:spPr>
    </c:legend>
    <c:plotVisOnly val="1"/>
    <c:dispBlanksAs val="gap"/>
    <c:showDLblsOverMax val="0"/>
  </c:chart>
  <c:spPr>
    <a:noFill/>
    <a:ln w="25400">
      <a:noFill/>
    </a:ln>
    <a:effectLst/>
  </c:spPr>
  <c:txPr>
    <a:bodyPr/>
    <a:lstStyle/>
    <a:p>
      <a:pPr>
        <a:defRPr sz="1000" b="0" i="0" u="none" strike="noStrike" baseline="0">
          <a:solidFill>
            <a:srgbClr val="595959"/>
          </a:solidFill>
          <a:latin typeface="Arial Narrow"/>
          <a:ea typeface="Arial Narrow"/>
          <a:cs typeface="Arial Narrow"/>
        </a:defRPr>
      </a:pPr>
      <a:endParaRPr lang="en-US"/>
    </a:p>
  </c:txPr>
  <c:printSettings>
    <c:headerFooter alignWithMargins="0"/>
    <c:pageMargins b="1" l="0.75000000000000111" r="0.75000000000000111" t="1" header="0.5" footer="0.5"/>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520163771267579"/>
          <c:y val="0.10769246948988818"/>
          <c:w val="0.51814567137261314"/>
          <c:h val="0.79077041882574961"/>
        </c:manualLayout>
      </c:layout>
      <c:radarChart>
        <c:radarStyle val="marker"/>
        <c:varyColors val="0"/>
        <c:ser>
          <c:idx val="0"/>
          <c:order val="0"/>
          <c:tx>
            <c:strRef>
              <c:f>CMCSA!$W$24</c:f>
              <c:strCache>
                <c:ptCount val="1"/>
                <c:pt idx="0">
                  <c:v>CMCSA</c:v>
                </c:pt>
              </c:strCache>
            </c:strRef>
          </c:tx>
          <c:spPr>
            <a:ln w="25400">
              <a:solidFill>
                <a:srgbClr val="263238"/>
              </a:solidFill>
              <a:prstDash val="solid"/>
            </a:ln>
            <a:effectLst/>
          </c:spPr>
          <c:marker>
            <c:symbol val="diamond"/>
            <c:size val="6"/>
            <c:spPr>
              <a:solidFill>
                <a:srgbClr val="263238"/>
              </a:solidFill>
              <a:ln w="6350">
                <a:noFill/>
              </a:ln>
            </c:spPr>
          </c:marker>
          <c:cat>
            <c:strRef>
              <c:f>CMCSA!$V$25:$V$34</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CMCSA!$W$25:$W$34</c:f>
              <c:numCache>
                <c:formatCode>0%</c:formatCode>
                <c:ptCount val="10"/>
                <c:pt idx="0">
                  <c:v>0.83590872667326432</c:v>
                </c:pt>
                <c:pt idx="1">
                  <c:v>0.8672583943658716</c:v>
                </c:pt>
                <c:pt idx="2">
                  <c:v>0.68557888287178737</c:v>
                </c:pt>
                <c:pt idx="3">
                  <c:v>0.65225726832430042</c:v>
                </c:pt>
                <c:pt idx="4">
                  <c:v>1.0136283226513503</c:v>
                </c:pt>
                <c:pt idx="5">
                  <c:v>1.1008396023650662</c:v>
                </c:pt>
                <c:pt idx="6">
                  <c:v>0.75662845254772904</c:v>
                </c:pt>
                <c:pt idx="7">
                  <c:v>0.94233572738415683</c:v>
                </c:pt>
                <c:pt idx="8">
                  <c:v>1.3584403911057525</c:v>
                </c:pt>
                <c:pt idx="9">
                  <c:v>1.3216526508258937</c:v>
                </c:pt>
              </c:numCache>
            </c:numRef>
          </c:val>
          <c:extLst>
            <c:ext xmlns:c16="http://schemas.microsoft.com/office/drawing/2014/chart" uri="{C3380CC4-5D6E-409C-BE32-E72D297353CC}">
              <c16:uniqueId val="{00000000-A78D-4090-9CDA-EBCD3E826271}"/>
            </c:ext>
          </c:extLst>
        </c:ser>
        <c:ser>
          <c:idx val="1"/>
          <c:order val="1"/>
          <c:tx>
            <c:strRef>
              <c:f>CMCSA!$X$24</c:f>
              <c:strCache>
                <c:ptCount val="1"/>
                <c:pt idx="0">
                  <c:v>Agg. US CATV</c:v>
                </c:pt>
              </c:strCache>
            </c:strRef>
          </c:tx>
          <c:spPr>
            <a:ln w="25400">
              <a:solidFill>
                <a:srgbClr val="799098"/>
              </a:solidFill>
              <a:prstDash val="solid"/>
            </a:ln>
            <a:effectLst/>
          </c:spPr>
          <c:marker>
            <c:symbol val="diamond"/>
            <c:size val="6"/>
            <c:spPr>
              <a:solidFill>
                <a:srgbClr val="799098"/>
              </a:solidFill>
              <a:ln w="6350">
                <a:noFill/>
              </a:ln>
            </c:spPr>
          </c:marker>
          <c:cat>
            <c:strRef>
              <c:f>CMCSA!$V$25:$V$34</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CMCSA!$X$25:$X$34</c:f>
              <c:numCache>
                <c:formatCode>0%</c:formatCode>
                <c:ptCount val="10"/>
                <c:pt idx="0">
                  <c:v>1</c:v>
                </c:pt>
                <c:pt idx="1">
                  <c:v>1</c:v>
                </c:pt>
                <c:pt idx="2">
                  <c:v>1</c:v>
                </c:pt>
                <c:pt idx="3">
                  <c:v>1</c:v>
                </c:pt>
                <c:pt idx="4">
                  <c:v>1</c:v>
                </c:pt>
                <c:pt idx="5">
                  <c:v>1</c:v>
                </c:pt>
                <c:pt idx="6">
                  <c:v>1</c:v>
                </c:pt>
                <c:pt idx="7">
                  <c:v>1</c:v>
                </c:pt>
                <c:pt idx="8">
                  <c:v>1</c:v>
                </c:pt>
                <c:pt idx="9">
                  <c:v>1</c:v>
                </c:pt>
              </c:numCache>
            </c:numRef>
          </c:val>
          <c:extLst>
            <c:ext xmlns:c16="http://schemas.microsoft.com/office/drawing/2014/chart" uri="{C3380CC4-5D6E-409C-BE32-E72D297353CC}">
              <c16:uniqueId val="{00000001-A78D-4090-9CDA-EBCD3E826271}"/>
            </c:ext>
          </c:extLst>
        </c:ser>
        <c:dLbls>
          <c:showLegendKey val="0"/>
          <c:showVal val="0"/>
          <c:showCatName val="0"/>
          <c:showSerName val="0"/>
          <c:showPercent val="0"/>
          <c:showBubbleSize val="0"/>
        </c:dLbls>
        <c:axId val="375961088"/>
        <c:axId val="375963008"/>
      </c:radarChart>
      <c:catAx>
        <c:axId val="375961088"/>
        <c:scaling>
          <c:orientation val="minMax"/>
        </c:scaling>
        <c:delete val="0"/>
        <c:axPos val="b"/>
        <c:numFmt formatCode="General" sourceLinked="1"/>
        <c:majorTickMark val="out"/>
        <c:minorTickMark val="none"/>
        <c:tickLblPos val="nextTo"/>
        <c:spPr>
          <a:ln>
            <a:solidFill>
              <a:srgbClr val="B3B3B3"/>
            </a:solidFill>
          </a:ln>
        </c:spPr>
        <c:txPr>
          <a:bodyPr rot="0" vert="horz"/>
          <a:lstStyle/>
          <a:p>
            <a:pPr>
              <a:defRPr/>
            </a:pPr>
            <a:endParaRPr lang="en-US"/>
          </a:p>
        </c:txPr>
        <c:crossAx val="375963008"/>
        <c:crosses val="autoZero"/>
        <c:auto val="0"/>
        <c:lblAlgn val="ctr"/>
        <c:lblOffset val="100"/>
        <c:noMultiLvlLbl val="0"/>
      </c:catAx>
      <c:valAx>
        <c:axId val="375963008"/>
        <c:scaling>
          <c:orientation val="minMax"/>
          <c:max val="1.5"/>
        </c:scaling>
        <c:delete val="0"/>
        <c:axPos val="l"/>
        <c:numFmt formatCode="0%" sourceLinked="1"/>
        <c:majorTickMark val="cross"/>
        <c:minorTickMark val="none"/>
        <c:tickLblPos val="nextTo"/>
        <c:spPr>
          <a:ln w="3175">
            <a:solidFill>
              <a:srgbClr val="B3B3B3"/>
            </a:solidFill>
            <a:prstDash val="solid"/>
          </a:ln>
        </c:spPr>
        <c:txPr>
          <a:bodyPr rot="0" vert="horz"/>
          <a:lstStyle/>
          <a:p>
            <a:pPr>
              <a:defRPr/>
            </a:pPr>
            <a:endParaRPr lang="en-US"/>
          </a:p>
        </c:txPr>
        <c:crossAx val="375961088"/>
        <c:crosses val="autoZero"/>
        <c:crossBetween val="between"/>
        <c:majorUnit val="0.5"/>
        <c:minorUnit val="0.5"/>
      </c:valAx>
      <c:spPr>
        <a:noFill/>
        <a:ln w="25400">
          <a:noFill/>
        </a:ln>
      </c:spPr>
    </c:plotArea>
    <c:legend>
      <c:legendPos val="b"/>
      <c:overlay val="0"/>
      <c:spPr>
        <a:noFill/>
        <a:ln w="25400">
          <a:noFill/>
        </a:ln>
      </c:spPr>
    </c:legend>
    <c:plotVisOnly val="1"/>
    <c:dispBlanksAs val="gap"/>
    <c:showDLblsOverMax val="0"/>
  </c:chart>
  <c:spPr>
    <a:noFill/>
    <a:ln w="25400">
      <a:noFill/>
    </a:ln>
    <a:effectLst/>
  </c:spPr>
  <c:txPr>
    <a:bodyPr/>
    <a:lstStyle/>
    <a:p>
      <a:pPr>
        <a:defRPr sz="1000" b="0" i="0" u="none" strike="noStrike" baseline="0">
          <a:solidFill>
            <a:srgbClr val="595959"/>
          </a:solidFill>
          <a:latin typeface="Arial Narrow"/>
          <a:ea typeface="Arial Narrow"/>
          <a:cs typeface="Arial Narrow"/>
        </a:defRPr>
      </a:pPr>
      <a:endParaRPr lang="en-US"/>
    </a:p>
  </c:txPr>
  <c:printSettings>
    <c:headerFooter alignWithMargins="0"/>
    <c:pageMargins b="1" l="0.75000000000000111" r="0.75000000000000111" t="1" header="0.5" footer="0.5"/>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9349527416776011"/>
          <c:y val="0.17145466287259617"/>
          <c:w val="0.40691034528918546"/>
          <c:h val="0.60195429961050384"/>
        </c:manualLayout>
      </c:layout>
      <c:radarChart>
        <c:radarStyle val="marker"/>
        <c:varyColors val="0"/>
        <c:ser>
          <c:idx val="0"/>
          <c:order val="0"/>
          <c:tx>
            <c:strRef>
              <c:f>CLNX!$W$24</c:f>
              <c:strCache>
                <c:ptCount val="1"/>
                <c:pt idx="0">
                  <c:v>Cellnex</c:v>
                </c:pt>
              </c:strCache>
            </c:strRef>
          </c:tx>
          <c:spPr>
            <a:ln w="25400">
              <a:solidFill>
                <a:srgbClr val="263238"/>
              </a:solidFill>
              <a:prstDash val="solid"/>
            </a:ln>
            <a:effectLst/>
          </c:spPr>
          <c:marker>
            <c:symbol val="diamond"/>
            <c:size val="6"/>
            <c:spPr>
              <a:solidFill>
                <a:srgbClr val="263238"/>
              </a:solidFill>
              <a:ln w="6350">
                <a:noFill/>
              </a:ln>
            </c:spPr>
          </c:marker>
          <c:cat>
            <c:strRef>
              <c:f>CLNX!$V$25:$V$32</c:f>
              <c:strCache>
                <c:ptCount val="8"/>
                <c:pt idx="0">
                  <c:v>EV/Revenue</c:v>
                </c:pt>
                <c:pt idx="1">
                  <c:v>EV/EBITDA</c:v>
                </c:pt>
                <c:pt idx="2">
                  <c:v>EV/OpFCF</c:v>
                </c:pt>
                <c:pt idx="3">
                  <c:v>EV/FCF</c:v>
                </c:pt>
                <c:pt idx="4">
                  <c:v>P/EFCF</c:v>
                </c:pt>
                <c:pt idx="5">
                  <c:v>Adjusted P/E</c:v>
                </c:pt>
                <c:pt idx="6">
                  <c:v>Dividend yield</c:v>
                </c:pt>
                <c:pt idx="7">
                  <c:v>EFCF yield</c:v>
                </c:pt>
              </c:strCache>
            </c:strRef>
          </c:cat>
          <c:val>
            <c:numRef>
              <c:f>CLNX!$W$25:$W$32</c:f>
              <c:numCache>
                <c:formatCode>0%</c:formatCode>
                <c:ptCount val="8"/>
                <c:pt idx="0">
                  <c:v>0.96273887678449555</c:v>
                </c:pt>
                <c:pt idx="1">
                  <c:v>1.0384931063781093</c:v>
                </c:pt>
                <c:pt idx="2">
                  <c:v>1.3781604643517626</c:v>
                </c:pt>
                <c:pt idx="3">
                  <c:v>1.3436094884159304</c:v>
                </c:pt>
                <c:pt idx="4">
                  <c:v>2.1151944122315176</c:v>
                </c:pt>
                <c:pt idx="5">
                  <c:v>-0.10159931719568346</c:v>
                </c:pt>
                <c:pt idx="6">
                  <c:v>0.11404145771640399</c:v>
                </c:pt>
                <c:pt idx="7">
                  <c:v>0.4727697814523848</c:v>
                </c:pt>
              </c:numCache>
            </c:numRef>
          </c:val>
          <c:extLst>
            <c:ext xmlns:c16="http://schemas.microsoft.com/office/drawing/2014/chart" uri="{C3380CC4-5D6E-409C-BE32-E72D297353CC}">
              <c16:uniqueId val="{00000000-1D62-4FF8-BC61-E9BD5EFFD5EE}"/>
            </c:ext>
          </c:extLst>
        </c:ser>
        <c:ser>
          <c:idx val="1"/>
          <c:order val="1"/>
          <c:tx>
            <c:strRef>
              <c:f>CLNX!$X$24</c:f>
              <c:strCache>
                <c:ptCount val="1"/>
                <c:pt idx="0">
                  <c:v>Agg. West Europ TOWER</c:v>
                </c:pt>
              </c:strCache>
            </c:strRef>
          </c:tx>
          <c:spPr>
            <a:ln w="25400">
              <a:solidFill>
                <a:srgbClr val="799098"/>
              </a:solidFill>
              <a:prstDash val="solid"/>
            </a:ln>
            <a:effectLst/>
          </c:spPr>
          <c:marker>
            <c:symbol val="diamond"/>
            <c:size val="6"/>
            <c:spPr>
              <a:solidFill>
                <a:srgbClr val="799098"/>
              </a:solidFill>
              <a:ln w="6350">
                <a:noFill/>
              </a:ln>
            </c:spPr>
          </c:marker>
          <c:cat>
            <c:strRef>
              <c:f>CLNX!$V$25:$V$32</c:f>
              <c:strCache>
                <c:ptCount val="8"/>
                <c:pt idx="0">
                  <c:v>EV/Revenue</c:v>
                </c:pt>
                <c:pt idx="1">
                  <c:v>EV/EBITDA</c:v>
                </c:pt>
                <c:pt idx="2">
                  <c:v>EV/OpFCF</c:v>
                </c:pt>
                <c:pt idx="3">
                  <c:v>EV/FCF</c:v>
                </c:pt>
                <c:pt idx="4">
                  <c:v>P/EFCF</c:v>
                </c:pt>
                <c:pt idx="5">
                  <c:v>Adjusted P/E</c:v>
                </c:pt>
                <c:pt idx="6">
                  <c:v>Dividend yield</c:v>
                </c:pt>
                <c:pt idx="7">
                  <c:v>EFCF yield</c:v>
                </c:pt>
              </c:strCache>
            </c:strRef>
          </c:cat>
          <c:val>
            <c:numRef>
              <c:f>CLNX!$X$25:$X$32</c:f>
              <c:numCache>
                <c:formatCode>0%</c:formatCode>
                <c:ptCount val="8"/>
                <c:pt idx="0">
                  <c:v>1</c:v>
                </c:pt>
                <c:pt idx="1">
                  <c:v>1</c:v>
                </c:pt>
                <c:pt idx="2">
                  <c:v>1</c:v>
                </c:pt>
                <c:pt idx="3">
                  <c:v>1</c:v>
                </c:pt>
                <c:pt idx="4">
                  <c:v>1</c:v>
                </c:pt>
                <c:pt idx="5">
                  <c:v>1</c:v>
                </c:pt>
                <c:pt idx="6">
                  <c:v>1</c:v>
                </c:pt>
                <c:pt idx="7">
                  <c:v>1</c:v>
                </c:pt>
              </c:numCache>
            </c:numRef>
          </c:val>
          <c:extLst>
            <c:ext xmlns:c16="http://schemas.microsoft.com/office/drawing/2014/chart" uri="{C3380CC4-5D6E-409C-BE32-E72D297353CC}">
              <c16:uniqueId val="{00000001-1D62-4FF8-BC61-E9BD5EFFD5EE}"/>
            </c:ext>
          </c:extLst>
        </c:ser>
        <c:dLbls>
          <c:showLegendKey val="0"/>
          <c:showVal val="0"/>
          <c:showCatName val="0"/>
          <c:showSerName val="0"/>
          <c:showPercent val="0"/>
          <c:showBubbleSize val="0"/>
        </c:dLbls>
        <c:axId val="376476800"/>
        <c:axId val="376478720"/>
      </c:radarChart>
      <c:catAx>
        <c:axId val="376476800"/>
        <c:scaling>
          <c:orientation val="minMax"/>
        </c:scaling>
        <c:delete val="0"/>
        <c:axPos val="b"/>
        <c:numFmt formatCode="General" sourceLinked="1"/>
        <c:majorTickMark val="out"/>
        <c:minorTickMark val="none"/>
        <c:tickLblPos val="nextTo"/>
        <c:spPr>
          <a:ln>
            <a:solidFill>
              <a:srgbClr val="B3B3B3"/>
            </a:solidFill>
          </a:ln>
        </c:spPr>
        <c:txPr>
          <a:bodyPr rot="0" vert="horz"/>
          <a:lstStyle/>
          <a:p>
            <a:pPr>
              <a:defRPr/>
            </a:pPr>
            <a:endParaRPr lang="en-US"/>
          </a:p>
        </c:txPr>
        <c:crossAx val="376478720"/>
        <c:crosses val="autoZero"/>
        <c:auto val="0"/>
        <c:lblAlgn val="ctr"/>
        <c:lblOffset val="100"/>
        <c:noMultiLvlLbl val="0"/>
      </c:catAx>
      <c:valAx>
        <c:axId val="376478720"/>
        <c:scaling>
          <c:orientation val="minMax"/>
        </c:scaling>
        <c:delete val="0"/>
        <c:axPos val="l"/>
        <c:numFmt formatCode="0%" sourceLinked="1"/>
        <c:majorTickMark val="cross"/>
        <c:minorTickMark val="none"/>
        <c:tickLblPos val="nextTo"/>
        <c:spPr>
          <a:ln w="3175">
            <a:solidFill>
              <a:srgbClr val="B3B3B3"/>
            </a:solidFill>
            <a:prstDash val="solid"/>
          </a:ln>
        </c:spPr>
        <c:txPr>
          <a:bodyPr rot="0" vert="horz"/>
          <a:lstStyle/>
          <a:p>
            <a:pPr>
              <a:defRPr/>
            </a:pPr>
            <a:endParaRPr lang="en-US"/>
          </a:p>
        </c:txPr>
        <c:crossAx val="376476800"/>
        <c:crosses val="autoZero"/>
        <c:crossBetween val="between"/>
      </c:valAx>
      <c:spPr>
        <a:noFill/>
        <a:ln w="25400">
          <a:noFill/>
        </a:ln>
      </c:spPr>
    </c:plotArea>
    <c:legend>
      <c:legendPos val="b"/>
      <c:overlay val="0"/>
      <c:spPr>
        <a:noFill/>
        <a:ln w="25400">
          <a:noFill/>
        </a:ln>
      </c:spPr>
    </c:legend>
    <c:plotVisOnly val="1"/>
    <c:dispBlanksAs val="gap"/>
    <c:showDLblsOverMax val="0"/>
  </c:chart>
  <c:spPr>
    <a:noFill/>
    <a:ln w="25400">
      <a:noFill/>
    </a:ln>
    <a:effectLst/>
  </c:spPr>
  <c:txPr>
    <a:bodyPr/>
    <a:lstStyle/>
    <a:p>
      <a:pPr>
        <a:defRPr sz="1000" b="0" i="0" u="none" strike="noStrike" baseline="0">
          <a:solidFill>
            <a:srgbClr val="595959"/>
          </a:solidFill>
          <a:latin typeface="Arial Narrow"/>
          <a:ea typeface="Arial Narrow"/>
          <a:cs typeface="Arial Narrow"/>
        </a:defRPr>
      </a:pPr>
      <a:endParaRPr lang="en-US"/>
    </a:p>
  </c:txPr>
  <c:printSettings>
    <c:headerFooter alignWithMargins="0"/>
    <c:pageMargins b="1" l="0.75000000000000111" r="0.75000000000000111" t="1" header="0.5" footer="0.5"/>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3752425058685237"/>
          <c:y val="0.13538481878728784"/>
          <c:w val="0.40479236575401345"/>
          <c:h val="0.63046767681006788"/>
        </c:manualLayout>
      </c:layout>
      <c:radarChart>
        <c:radarStyle val="marker"/>
        <c:varyColors val="0"/>
        <c:ser>
          <c:idx val="0"/>
          <c:order val="0"/>
          <c:tx>
            <c:strRef>
              <c:f>CNU!$W$24</c:f>
              <c:strCache>
                <c:ptCount val="1"/>
                <c:pt idx="0">
                  <c:v>Telstra</c:v>
                </c:pt>
              </c:strCache>
            </c:strRef>
          </c:tx>
          <c:spPr>
            <a:ln w="25400">
              <a:solidFill>
                <a:srgbClr val="263238"/>
              </a:solidFill>
              <a:prstDash val="solid"/>
            </a:ln>
            <a:effectLst/>
          </c:spPr>
          <c:marker>
            <c:symbol val="diamond"/>
            <c:size val="6"/>
            <c:spPr>
              <a:solidFill>
                <a:srgbClr val="263238"/>
              </a:solidFill>
              <a:ln w="6350">
                <a:noFill/>
              </a:ln>
            </c:spPr>
          </c:marker>
          <c:cat>
            <c:strRef>
              <c:f>CNU!$V$25:$V$34</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CNU!$W$25:$W$34</c:f>
              <c:numCache>
                <c:formatCode>0%</c:formatCode>
                <c:ptCount val="10"/>
                <c:pt idx="0">
                  <c:v>7.2318727421206944E-2</c:v>
                </c:pt>
                <c:pt idx="1">
                  <c:v>3.1226936788609872E-2</c:v>
                </c:pt>
                <c:pt idx="2">
                  <c:v>-0.1609684444691114</c:v>
                </c:pt>
                <c:pt idx="3">
                  <c:v>-0.17121088141684984</c:v>
                </c:pt>
                <c:pt idx="4">
                  <c:v>2.1807466605568655E-2</c:v>
                </c:pt>
                <c:pt idx="5">
                  <c:v>1.1356869954939886E-2</c:v>
                </c:pt>
                <c:pt idx="6">
                  <c:v>-0.92133923459889866</c:v>
                </c:pt>
                <c:pt idx="7">
                  <c:v>0.20850864415958836</c:v>
                </c:pt>
                <c:pt idx="8">
                  <c:v>23.157589244106425</c:v>
                </c:pt>
                <c:pt idx="9">
                  <c:v>-1.0853765501860408</c:v>
                </c:pt>
              </c:numCache>
            </c:numRef>
          </c:val>
          <c:extLst>
            <c:ext xmlns:c16="http://schemas.microsoft.com/office/drawing/2014/chart" uri="{C3380CC4-5D6E-409C-BE32-E72D297353CC}">
              <c16:uniqueId val="{00000000-284D-475D-A94E-443DB87E9A07}"/>
            </c:ext>
          </c:extLst>
        </c:ser>
        <c:ser>
          <c:idx val="1"/>
          <c:order val="1"/>
          <c:tx>
            <c:strRef>
              <c:f>CNU!$X$24</c:f>
              <c:strCache>
                <c:ptCount val="1"/>
                <c:pt idx="0">
                  <c:v>Agg. Asia Incumbent</c:v>
                </c:pt>
              </c:strCache>
            </c:strRef>
          </c:tx>
          <c:spPr>
            <a:ln w="25400">
              <a:solidFill>
                <a:srgbClr val="799098"/>
              </a:solidFill>
              <a:prstDash val="solid"/>
            </a:ln>
            <a:effectLst/>
          </c:spPr>
          <c:marker>
            <c:symbol val="diamond"/>
            <c:size val="6"/>
            <c:spPr>
              <a:solidFill>
                <a:srgbClr val="799098"/>
              </a:solidFill>
              <a:ln w="6350">
                <a:noFill/>
              </a:ln>
            </c:spPr>
          </c:marker>
          <c:cat>
            <c:strRef>
              <c:f>CNU!$V$25:$V$34</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CNU!$X$25:$X$34</c:f>
              <c:numCache>
                <c:formatCode>0%</c:formatCode>
                <c:ptCount val="10"/>
                <c:pt idx="0">
                  <c:v>1</c:v>
                </c:pt>
                <c:pt idx="1">
                  <c:v>1</c:v>
                </c:pt>
                <c:pt idx="2">
                  <c:v>1</c:v>
                </c:pt>
                <c:pt idx="3">
                  <c:v>1</c:v>
                </c:pt>
                <c:pt idx="4">
                  <c:v>1</c:v>
                </c:pt>
                <c:pt idx="5">
                  <c:v>1</c:v>
                </c:pt>
                <c:pt idx="6">
                  <c:v>1</c:v>
                </c:pt>
                <c:pt idx="7">
                  <c:v>1</c:v>
                </c:pt>
                <c:pt idx="8">
                  <c:v>1</c:v>
                </c:pt>
                <c:pt idx="9">
                  <c:v>1</c:v>
                </c:pt>
              </c:numCache>
            </c:numRef>
          </c:val>
          <c:extLst>
            <c:ext xmlns:c16="http://schemas.microsoft.com/office/drawing/2014/chart" uri="{C3380CC4-5D6E-409C-BE32-E72D297353CC}">
              <c16:uniqueId val="{00000001-284D-475D-A94E-443DB87E9A07}"/>
            </c:ext>
          </c:extLst>
        </c:ser>
        <c:dLbls>
          <c:showLegendKey val="0"/>
          <c:showVal val="0"/>
          <c:showCatName val="0"/>
          <c:showSerName val="0"/>
          <c:showPercent val="0"/>
          <c:showBubbleSize val="0"/>
        </c:dLbls>
        <c:axId val="376730368"/>
        <c:axId val="376732288"/>
      </c:radarChart>
      <c:catAx>
        <c:axId val="376730368"/>
        <c:scaling>
          <c:orientation val="minMax"/>
        </c:scaling>
        <c:delete val="0"/>
        <c:axPos val="b"/>
        <c:numFmt formatCode="General" sourceLinked="1"/>
        <c:majorTickMark val="out"/>
        <c:minorTickMark val="none"/>
        <c:tickLblPos val="nextTo"/>
        <c:spPr>
          <a:ln>
            <a:solidFill>
              <a:srgbClr val="B3B3B3"/>
            </a:solidFill>
          </a:ln>
        </c:spPr>
        <c:txPr>
          <a:bodyPr rot="0" vert="horz"/>
          <a:lstStyle/>
          <a:p>
            <a:pPr>
              <a:defRPr/>
            </a:pPr>
            <a:endParaRPr lang="en-US"/>
          </a:p>
        </c:txPr>
        <c:crossAx val="376732288"/>
        <c:crosses val="autoZero"/>
        <c:auto val="0"/>
        <c:lblAlgn val="ctr"/>
        <c:lblOffset val="100"/>
        <c:noMultiLvlLbl val="0"/>
      </c:catAx>
      <c:valAx>
        <c:axId val="376732288"/>
        <c:scaling>
          <c:orientation val="minMax"/>
        </c:scaling>
        <c:delete val="0"/>
        <c:axPos val="l"/>
        <c:numFmt formatCode="0%" sourceLinked="1"/>
        <c:majorTickMark val="cross"/>
        <c:minorTickMark val="none"/>
        <c:tickLblPos val="nextTo"/>
        <c:spPr>
          <a:ln w="3175">
            <a:solidFill>
              <a:srgbClr val="B3B3B3"/>
            </a:solidFill>
            <a:prstDash val="solid"/>
          </a:ln>
        </c:spPr>
        <c:txPr>
          <a:bodyPr rot="0" vert="horz"/>
          <a:lstStyle/>
          <a:p>
            <a:pPr>
              <a:defRPr/>
            </a:pPr>
            <a:endParaRPr lang="en-US"/>
          </a:p>
        </c:txPr>
        <c:crossAx val="376730368"/>
        <c:crosses val="autoZero"/>
        <c:crossBetween val="between"/>
      </c:valAx>
      <c:spPr>
        <a:noFill/>
        <a:ln w="25400">
          <a:noFill/>
        </a:ln>
      </c:spPr>
    </c:plotArea>
    <c:legend>
      <c:legendPos val="b"/>
      <c:overlay val="0"/>
      <c:spPr>
        <a:noFill/>
        <a:ln w="25400">
          <a:noFill/>
        </a:ln>
      </c:spPr>
    </c:legend>
    <c:plotVisOnly val="1"/>
    <c:dispBlanksAs val="gap"/>
    <c:showDLblsOverMax val="0"/>
  </c:chart>
  <c:spPr>
    <a:noFill/>
    <a:ln w="25400">
      <a:noFill/>
    </a:ln>
    <a:effectLst/>
  </c:spPr>
  <c:txPr>
    <a:bodyPr/>
    <a:lstStyle/>
    <a:p>
      <a:pPr>
        <a:defRPr sz="1000" b="0" i="0" u="none" strike="noStrike" baseline="0">
          <a:solidFill>
            <a:srgbClr val="595959"/>
          </a:solidFill>
          <a:latin typeface="Arial Narrow"/>
          <a:ea typeface="Arial Narrow"/>
          <a:cs typeface="Arial Narrow"/>
        </a:defRPr>
      </a:pPr>
      <a:endParaRPr lang="en-US"/>
    </a:p>
  </c:txPr>
  <c:printSettings>
    <c:headerFooter alignWithMargins="0"/>
    <c:pageMargins b="1" l="0.75000000000000111" r="0.75000000000000111" t="1" header="0.5" footer="0.5"/>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2056483170523603"/>
          <c:y val="0.21846186667948744"/>
          <c:w val="0.3669358450965588"/>
          <c:h val="0.5600008413474179"/>
        </c:manualLayout>
      </c:layout>
      <c:radarChart>
        <c:radarStyle val="marker"/>
        <c:varyColors val="0"/>
        <c:ser>
          <c:idx val="0"/>
          <c:order val="0"/>
          <c:tx>
            <c:strRef>
              <c:f>_CM!$W$24</c:f>
              <c:strCache>
                <c:ptCount val="1"/>
                <c:pt idx="0">
                  <c:v>CM</c:v>
                </c:pt>
              </c:strCache>
            </c:strRef>
          </c:tx>
          <c:spPr>
            <a:ln w="25400">
              <a:solidFill>
                <a:srgbClr val="263238"/>
              </a:solidFill>
              <a:prstDash val="solid"/>
            </a:ln>
            <a:effectLst/>
          </c:spPr>
          <c:marker>
            <c:symbol val="diamond"/>
            <c:size val="6"/>
            <c:spPr>
              <a:solidFill>
                <a:srgbClr val="263238"/>
              </a:solidFill>
              <a:ln w="6350">
                <a:noFill/>
              </a:ln>
            </c:spPr>
          </c:marker>
          <c:cat>
            <c:strRef>
              <c:f>_CM!$V$25:$V$34</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_CM!$W$25:$W$34</c:f>
              <c:numCache>
                <c:formatCode>0%</c:formatCode>
                <c:ptCount val="10"/>
                <c:pt idx="0">
                  <c:v>0.60541341552946393</c:v>
                </c:pt>
                <c:pt idx="1">
                  <c:v>0.5863398542016881</c:v>
                </c:pt>
                <c:pt idx="2">
                  <c:v>0.60738719579785649</c:v>
                </c:pt>
                <c:pt idx="3">
                  <c:v>0.60321590991635143</c:v>
                </c:pt>
                <c:pt idx="4">
                  <c:v>0.52788857134784173</c:v>
                </c:pt>
                <c:pt idx="5">
                  <c:v>0.61146566801577718</c:v>
                </c:pt>
                <c:pt idx="6">
                  <c:v>0.98096972682863193</c:v>
                </c:pt>
                <c:pt idx="7">
                  <c:v>0.53792958743563668</c:v>
                </c:pt>
                <c:pt idx="8">
                  <c:v>1.5620566937494369</c:v>
                </c:pt>
                <c:pt idx="9">
                  <c:v>1.0193994500043246</c:v>
                </c:pt>
              </c:numCache>
            </c:numRef>
          </c:val>
          <c:extLst>
            <c:ext xmlns:c16="http://schemas.microsoft.com/office/drawing/2014/chart" uri="{C3380CC4-5D6E-409C-BE32-E72D297353CC}">
              <c16:uniqueId val="{00000000-016D-4A26-B1B8-685459B3C9AF}"/>
            </c:ext>
          </c:extLst>
        </c:ser>
        <c:ser>
          <c:idx val="1"/>
          <c:order val="1"/>
          <c:tx>
            <c:strRef>
              <c:f>_CM!$X$24</c:f>
              <c:strCache>
                <c:ptCount val="1"/>
                <c:pt idx="0">
                  <c:v>Agg. Asia Cellular</c:v>
                </c:pt>
              </c:strCache>
            </c:strRef>
          </c:tx>
          <c:spPr>
            <a:ln w="25400">
              <a:solidFill>
                <a:srgbClr val="799098"/>
              </a:solidFill>
              <a:prstDash val="solid"/>
            </a:ln>
            <a:effectLst/>
          </c:spPr>
          <c:marker>
            <c:symbol val="diamond"/>
            <c:size val="6"/>
            <c:spPr>
              <a:solidFill>
                <a:srgbClr val="799098"/>
              </a:solidFill>
              <a:ln w="6350">
                <a:noFill/>
              </a:ln>
            </c:spPr>
          </c:marker>
          <c:cat>
            <c:strRef>
              <c:f>_CM!$V$25:$V$34</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_CM!$X$25:$X$34</c:f>
              <c:numCache>
                <c:formatCode>0%</c:formatCode>
                <c:ptCount val="10"/>
                <c:pt idx="0">
                  <c:v>1</c:v>
                </c:pt>
                <c:pt idx="1">
                  <c:v>1</c:v>
                </c:pt>
                <c:pt idx="2">
                  <c:v>1</c:v>
                </c:pt>
                <c:pt idx="3">
                  <c:v>1</c:v>
                </c:pt>
                <c:pt idx="4">
                  <c:v>1</c:v>
                </c:pt>
                <c:pt idx="5">
                  <c:v>1</c:v>
                </c:pt>
                <c:pt idx="6">
                  <c:v>1</c:v>
                </c:pt>
                <c:pt idx="7">
                  <c:v>1</c:v>
                </c:pt>
                <c:pt idx="8">
                  <c:v>1</c:v>
                </c:pt>
                <c:pt idx="9">
                  <c:v>1</c:v>
                </c:pt>
              </c:numCache>
            </c:numRef>
          </c:val>
          <c:extLst>
            <c:ext xmlns:c16="http://schemas.microsoft.com/office/drawing/2014/chart" uri="{C3380CC4-5D6E-409C-BE32-E72D297353CC}">
              <c16:uniqueId val="{00000001-016D-4A26-B1B8-685459B3C9AF}"/>
            </c:ext>
          </c:extLst>
        </c:ser>
        <c:dLbls>
          <c:showLegendKey val="0"/>
          <c:showVal val="0"/>
          <c:showCatName val="0"/>
          <c:showSerName val="0"/>
          <c:showPercent val="0"/>
          <c:showBubbleSize val="0"/>
        </c:dLbls>
        <c:axId val="377692544"/>
        <c:axId val="377694464"/>
      </c:radarChart>
      <c:catAx>
        <c:axId val="377692544"/>
        <c:scaling>
          <c:orientation val="minMax"/>
        </c:scaling>
        <c:delete val="0"/>
        <c:axPos val="b"/>
        <c:numFmt formatCode="General" sourceLinked="1"/>
        <c:majorTickMark val="out"/>
        <c:minorTickMark val="none"/>
        <c:tickLblPos val="nextTo"/>
        <c:spPr>
          <a:ln>
            <a:solidFill>
              <a:srgbClr val="B3B3B3"/>
            </a:solidFill>
          </a:ln>
        </c:spPr>
        <c:txPr>
          <a:bodyPr rot="0" vert="horz"/>
          <a:lstStyle/>
          <a:p>
            <a:pPr>
              <a:defRPr/>
            </a:pPr>
            <a:endParaRPr lang="en-US"/>
          </a:p>
        </c:txPr>
        <c:crossAx val="377694464"/>
        <c:crosses val="autoZero"/>
        <c:auto val="0"/>
        <c:lblAlgn val="ctr"/>
        <c:lblOffset val="100"/>
        <c:noMultiLvlLbl val="0"/>
      </c:catAx>
      <c:valAx>
        <c:axId val="377694464"/>
        <c:scaling>
          <c:orientation val="minMax"/>
          <c:max val="2"/>
        </c:scaling>
        <c:delete val="0"/>
        <c:axPos val="l"/>
        <c:numFmt formatCode="0%" sourceLinked="1"/>
        <c:majorTickMark val="cross"/>
        <c:minorTickMark val="none"/>
        <c:tickLblPos val="nextTo"/>
        <c:spPr>
          <a:ln w="3175">
            <a:solidFill>
              <a:srgbClr val="B3B3B3"/>
            </a:solidFill>
            <a:prstDash val="solid"/>
          </a:ln>
        </c:spPr>
        <c:txPr>
          <a:bodyPr rot="0" vert="horz"/>
          <a:lstStyle/>
          <a:p>
            <a:pPr>
              <a:defRPr/>
            </a:pPr>
            <a:endParaRPr lang="en-US"/>
          </a:p>
        </c:txPr>
        <c:crossAx val="377692544"/>
        <c:crosses val="autoZero"/>
        <c:crossBetween val="between"/>
        <c:majorUnit val="0.5"/>
        <c:minorUnit val="0.5"/>
      </c:valAx>
      <c:spPr>
        <a:noFill/>
        <a:ln w="25400">
          <a:noFill/>
        </a:ln>
      </c:spPr>
    </c:plotArea>
    <c:legend>
      <c:legendPos val="b"/>
      <c:overlay val="0"/>
      <c:spPr>
        <a:noFill/>
        <a:ln w="25400">
          <a:noFill/>
        </a:ln>
      </c:spPr>
    </c:legend>
    <c:plotVisOnly val="1"/>
    <c:dispBlanksAs val="gap"/>
    <c:showDLblsOverMax val="0"/>
  </c:chart>
  <c:spPr>
    <a:noFill/>
    <a:ln w="25400">
      <a:noFill/>
    </a:ln>
    <a:effectLst/>
  </c:spPr>
  <c:txPr>
    <a:bodyPr/>
    <a:lstStyle/>
    <a:p>
      <a:pPr>
        <a:defRPr sz="1000" b="0" i="0" u="none" strike="noStrike" baseline="0">
          <a:solidFill>
            <a:srgbClr val="595959"/>
          </a:solidFill>
          <a:latin typeface="Arial Narrow"/>
          <a:ea typeface="Arial Narrow"/>
          <a:cs typeface="Arial Narrow"/>
        </a:defRPr>
      </a:pPr>
      <a:endParaRPr lang="en-US"/>
    </a:p>
  </c:txPr>
  <c:printSettings>
    <c:headerFooter alignWithMargins="0"/>
    <c:pageMargins b="1" l="0.75000000000000111" r="0.75000000000000111"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2652229768023741"/>
          <c:y val="8.4456860103731754E-2"/>
          <c:w val="0.46982486066478202"/>
          <c:h val="0.69585565881616962"/>
        </c:manualLayout>
      </c:layout>
      <c:radarChart>
        <c:radarStyle val="marker"/>
        <c:varyColors val="0"/>
        <c:ser>
          <c:idx val="0"/>
          <c:order val="0"/>
          <c:tx>
            <c:strRef>
              <c:f>ADVANCED!$W$24</c:f>
              <c:strCache>
                <c:ptCount val="1"/>
                <c:pt idx="0">
                  <c:v>AIS</c:v>
                </c:pt>
              </c:strCache>
            </c:strRef>
          </c:tx>
          <c:spPr>
            <a:ln w="25400">
              <a:solidFill>
                <a:srgbClr val="263238"/>
              </a:solidFill>
              <a:prstDash val="solid"/>
            </a:ln>
            <a:effectLst/>
          </c:spPr>
          <c:marker>
            <c:symbol val="diamond"/>
            <c:size val="6"/>
            <c:spPr>
              <a:solidFill>
                <a:srgbClr val="263238"/>
              </a:solidFill>
              <a:ln w="6350">
                <a:noFill/>
              </a:ln>
            </c:spPr>
          </c:marker>
          <c:cat>
            <c:strRef>
              <c:f>ADVANCED!$V$25:$V$34</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ADVANCED!$W$25:$W$34</c:f>
              <c:numCache>
                <c:formatCode>0%</c:formatCode>
                <c:ptCount val="10"/>
                <c:pt idx="0">
                  <c:v>2.1981883253704693</c:v>
                </c:pt>
                <c:pt idx="1">
                  <c:v>1.4569972196826213</c:v>
                </c:pt>
                <c:pt idx="2">
                  <c:v>1.2538501425523858</c:v>
                </c:pt>
                <c:pt idx="3">
                  <c:v>1.192250874319825</c:v>
                </c:pt>
                <c:pt idx="4">
                  <c:v>1.7821836052686411</c:v>
                </c:pt>
                <c:pt idx="5">
                  <c:v>2.1326442302881103</c:v>
                </c:pt>
                <c:pt idx="6">
                  <c:v>0.73869632451370193</c:v>
                </c:pt>
                <c:pt idx="7">
                  <c:v>1.0386034474635795</c:v>
                </c:pt>
                <c:pt idx="8">
                  <c:v>0.99649780294578505</c:v>
                </c:pt>
                <c:pt idx="9">
                  <c:v>1.3537362605104597</c:v>
                </c:pt>
              </c:numCache>
            </c:numRef>
          </c:val>
          <c:extLst>
            <c:ext xmlns:c16="http://schemas.microsoft.com/office/drawing/2014/chart" uri="{C3380CC4-5D6E-409C-BE32-E72D297353CC}">
              <c16:uniqueId val="{00000000-2228-4FCE-8895-2827E3AD9E50}"/>
            </c:ext>
          </c:extLst>
        </c:ser>
        <c:ser>
          <c:idx val="1"/>
          <c:order val="1"/>
          <c:tx>
            <c:strRef>
              <c:f>ADVANCED!$X$24</c:f>
              <c:strCache>
                <c:ptCount val="1"/>
                <c:pt idx="0">
                  <c:v>Agg. Asia Cellular</c:v>
                </c:pt>
              </c:strCache>
            </c:strRef>
          </c:tx>
          <c:spPr>
            <a:ln w="25400">
              <a:solidFill>
                <a:srgbClr val="799098"/>
              </a:solidFill>
              <a:prstDash val="solid"/>
            </a:ln>
            <a:effectLst/>
          </c:spPr>
          <c:marker>
            <c:symbol val="diamond"/>
            <c:size val="6"/>
            <c:spPr>
              <a:solidFill>
                <a:srgbClr val="799098"/>
              </a:solidFill>
              <a:ln w="6350">
                <a:noFill/>
              </a:ln>
            </c:spPr>
          </c:marker>
          <c:cat>
            <c:strRef>
              <c:f>ADVANCED!$V$25:$V$34</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ADVANCED!$X$25:$X$34</c:f>
              <c:numCache>
                <c:formatCode>0%</c:formatCode>
                <c:ptCount val="10"/>
                <c:pt idx="0">
                  <c:v>1</c:v>
                </c:pt>
                <c:pt idx="1">
                  <c:v>1</c:v>
                </c:pt>
                <c:pt idx="2">
                  <c:v>1</c:v>
                </c:pt>
                <c:pt idx="3">
                  <c:v>1</c:v>
                </c:pt>
                <c:pt idx="4">
                  <c:v>1</c:v>
                </c:pt>
                <c:pt idx="5">
                  <c:v>1</c:v>
                </c:pt>
                <c:pt idx="6">
                  <c:v>1</c:v>
                </c:pt>
                <c:pt idx="7">
                  <c:v>1</c:v>
                </c:pt>
                <c:pt idx="8">
                  <c:v>1</c:v>
                </c:pt>
                <c:pt idx="9">
                  <c:v>1</c:v>
                </c:pt>
              </c:numCache>
            </c:numRef>
          </c:val>
          <c:extLst>
            <c:ext xmlns:c16="http://schemas.microsoft.com/office/drawing/2014/chart" uri="{C3380CC4-5D6E-409C-BE32-E72D297353CC}">
              <c16:uniqueId val="{00000001-2228-4FCE-8895-2827E3AD9E50}"/>
            </c:ext>
          </c:extLst>
        </c:ser>
        <c:dLbls>
          <c:showLegendKey val="0"/>
          <c:showVal val="0"/>
          <c:showCatName val="0"/>
          <c:showSerName val="0"/>
          <c:showPercent val="0"/>
          <c:showBubbleSize val="0"/>
        </c:dLbls>
        <c:axId val="342354560"/>
        <c:axId val="342373120"/>
      </c:radarChart>
      <c:catAx>
        <c:axId val="342354560"/>
        <c:scaling>
          <c:orientation val="minMax"/>
        </c:scaling>
        <c:delete val="0"/>
        <c:axPos val="b"/>
        <c:numFmt formatCode="General" sourceLinked="1"/>
        <c:majorTickMark val="out"/>
        <c:minorTickMark val="none"/>
        <c:tickLblPos val="nextTo"/>
        <c:spPr>
          <a:ln>
            <a:solidFill>
              <a:srgbClr val="B3B3B3"/>
            </a:solidFill>
          </a:ln>
        </c:spPr>
        <c:txPr>
          <a:bodyPr rot="0" vert="horz"/>
          <a:lstStyle/>
          <a:p>
            <a:pPr>
              <a:defRPr/>
            </a:pPr>
            <a:endParaRPr lang="en-US"/>
          </a:p>
        </c:txPr>
        <c:crossAx val="342373120"/>
        <c:crosses val="autoZero"/>
        <c:auto val="0"/>
        <c:lblAlgn val="ctr"/>
        <c:lblOffset val="100"/>
        <c:noMultiLvlLbl val="0"/>
      </c:catAx>
      <c:valAx>
        <c:axId val="342373120"/>
        <c:scaling>
          <c:orientation val="minMax"/>
          <c:max val="5"/>
        </c:scaling>
        <c:delete val="0"/>
        <c:axPos val="l"/>
        <c:numFmt formatCode="0%" sourceLinked="1"/>
        <c:majorTickMark val="cross"/>
        <c:minorTickMark val="none"/>
        <c:tickLblPos val="nextTo"/>
        <c:spPr>
          <a:ln w="3175">
            <a:solidFill>
              <a:srgbClr val="B3B3B3"/>
            </a:solidFill>
            <a:prstDash val="solid"/>
          </a:ln>
        </c:spPr>
        <c:txPr>
          <a:bodyPr rot="0" vert="horz"/>
          <a:lstStyle/>
          <a:p>
            <a:pPr>
              <a:defRPr/>
            </a:pPr>
            <a:endParaRPr lang="en-US"/>
          </a:p>
        </c:txPr>
        <c:crossAx val="342354560"/>
        <c:crosses val="autoZero"/>
        <c:crossBetween val="between"/>
        <c:majorUnit val="1"/>
        <c:minorUnit val="0.5"/>
      </c:valAx>
      <c:spPr>
        <a:noFill/>
        <a:ln w="25400">
          <a:noFill/>
        </a:ln>
      </c:spPr>
    </c:plotArea>
    <c:legend>
      <c:legendPos val="b"/>
      <c:overlay val="0"/>
      <c:spPr>
        <a:noFill/>
        <a:ln w="25400">
          <a:noFill/>
        </a:ln>
      </c:spPr>
    </c:legend>
    <c:plotVisOnly val="1"/>
    <c:dispBlanksAs val="gap"/>
    <c:showDLblsOverMax val="0"/>
  </c:chart>
  <c:spPr>
    <a:noFill/>
    <a:ln w="25400">
      <a:noFill/>
    </a:ln>
    <a:effectLst/>
  </c:spPr>
  <c:txPr>
    <a:bodyPr/>
    <a:lstStyle/>
    <a:p>
      <a:pPr>
        <a:defRPr sz="1000" b="0" i="0" u="none" strike="noStrike" baseline="0">
          <a:solidFill>
            <a:srgbClr val="595959"/>
          </a:solidFill>
          <a:latin typeface="Arial Narrow"/>
          <a:ea typeface="Arial Narrow"/>
          <a:cs typeface="Arial Narrow"/>
        </a:defRPr>
      </a:pPr>
      <a:endParaRPr lang="en-US"/>
    </a:p>
  </c:txPr>
  <c:printSettings>
    <c:headerFooter alignWithMargins="0"/>
    <c:pageMargins b="1" l="0.75000000000000111" r="0.75000000000000111" t="1" header="0.5" footer="0.5"/>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7907055397877495"/>
          <c:y val="9.3167843143201895E-2"/>
          <c:w val="0.47214174056077879"/>
          <c:h val="0.71263839726456324"/>
        </c:manualLayout>
      </c:layout>
      <c:radarChart>
        <c:radarStyle val="marker"/>
        <c:varyColors val="0"/>
        <c:ser>
          <c:idx val="0"/>
          <c:order val="0"/>
          <c:tx>
            <c:strRef>
              <c:f>_CT!$W$24</c:f>
              <c:strCache>
                <c:ptCount val="1"/>
                <c:pt idx="0">
                  <c:v>CT</c:v>
                </c:pt>
              </c:strCache>
            </c:strRef>
          </c:tx>
          <c:spPr>
            <a:ln w="25400">
              <a:solidFill>
                <a:srgbClr val="263238"/>
              </a:solidFill>
              <a:prstDash val="solid"/>
            </a:ln>
            <a:effectLst/>
          </c:spPr>
          <c:marker>
            <c:symbol val="diamond"/>
            <c:size val="6"/>
            <c:spPr>
              <a:solidFill>
                <a:srgbClr val="263238"/>
              </a:solidFill>
              <a:ln w="6350">
                <a:noFill/>
              </a:ln>
            </c:spPr>
          </c:marker>
          <c:cat>
            <c:strRef>
              <c:f>_CT!$V$25:$V$34</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_CT!$W$25:$W$34</c:f>
              <c:numCache>
                <c:formatCode>0%</c:formatCode>
                <c:ptCount val="10"/>
                <c:pt idx="0">
                  <c:v>6.7949921637767219E-3</c:v>
                </c:pt>
                <c:pt idx="1">
                  <c:v>7.0233570242238313E-3</c:v>
                </c:pt>
                <c:pt idx="2">
                  <c:v>1.0058316002489723E-2</c:v>
                </c:pt>
                <c:pt idx="3">
                  <c:v>9.6487466809203094E-3</c:v>
                </c:pt>
                <c:pt idx="4">
                  <c:v>9.5082535716272953E-3</c:v>
                </c:pt>
                <c:pt idx="5">
                  <c:v>7.0929273800062797E-3</c:v>
                </c:pt>
                <c:pt idx="6">
                  <c:v>0.89579196957956853</c:v>
                </c:pt>
                <c:pt idx="7">
                  <c:v>3.3299554440357065E-2</c:v>
                </c:pt>
                <c:pt idx="8">
                  <c:v>39.927040157480228</c:v>
                </c:pt>
                <c:pt idx="9">
                  <c:v>1.1163306146507883</c:v>
                </c:pt>
              </c:numCache>
            </c:numRef>
          </c:val>
          <c:extLst>
            <c:ext xmlns:c16="http://schemas.microsoft.com/office/drawing/2014/chart" uri="{C3380CC4-5D6E-409C-BE32-E72D297353CC}">
              <c16:uniqueId val="{00000000-393D-453E-AC89-DB049841EB9B}"/>
            </c:ext>
          </c:extLst>
        </c:ser>
        <c:ser>
          <c:idx val="1"/>
          <c:order val="1"/>
          <c:tx>
            <c:strRef>
              <c:f>_CT!$X$24</c:f>
              <c:strCache>
                <c:ptCount val="1"/>
                <c:pt idx="0">
                  <c:v>Agg. Asia Incumbent</c:v>
                </c:pt>
              </c:strCache>
            </c:strRef>
          </c:tx>
          <c:spPr>
            <a:ln w="25400">
              <a:solidFill>
                <a:srgbClr val="799098"/>
              </a:solidFill>
              <a:prstDash val="solid"/>
            </a:ln>
            <a:effectLst/>
          </c:spPr>
          <c:marker>
            <c:symbol val="diamond"/>
            <c:size val="6"/>
            <c:spPr>
              <a:solidFill>
                <a:srgbClr val="799098"/>
              </a:solidFill>
              <a:ln w="6350">
                <a:noFill/>
              </a:ln>
            </c:spPr>
          </c:marker>
          <c:cat>
            <c:strRef>
              <c:f>_CT!$V$25:$V$34</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_CT!$X$25:$X$34</c:f>
              <c:numCache>
                <c:formatCode>0%</c:formatCode>
                <c:ptCount val="10"/>
                <c:pt idx="0">
                  <c:v>1</c:v>
                </c:pt>
                <c:pt idx="1">
                  <c:v>1</c:v>
                </c:pt>
                <c:pt idx="2">
                  <c:v>1</c:v>
                </c:pt>
                <c:pt idx="3">
                  <c:v>1</c:v>
                </c:pt>
                <c:pt idx="4">
                  <c:v>1</c:v>
                </c:pt>
                <c:pt idx="5">
                  <c:v>1</c:v>
                </c:pt>
                <c:pt idx="6">
                  <c:v>1</c:v>
                </c:pt>
                <c:pt idx="7">
                  <c:v>1</c:v>
                </c:pt>
                <c:pt idx="8">
                  <c:v>1</c:v>
                </c:pt>
                <c:pt idx="9">
                  <c:v>1</c:v>
                </c:pt>
              </c:numCache>
            </c:numRef>
          </c:val>
          <c:extLst>
            <c:ext xmlns:c16="http://schemas.microsoft.com/office/drawing/2014/chart" uri="{C3380CC4-5D6E-409C-BE32-E72D297353CC}">
              <c16:uniqueId val="{00000001-393D-453E-AC89-DB049841EB9B}"/>
            </c:ext>
          </c:extLst>
        </c:ser>
        <c:dLbls>
          <c:showLegendKey val="0"/>
          <c:showVal val="0"/>
          <c:showCatName val="0"/>
          <c:showSerName val="0"/>
          <c:showPercent val="0"/>
          <c:showBubbleSize val="0"/>
        </c:dLbls>
        <c:axId val="379486592"/>
        <c:axId val="379488512"/>
      </c:radarChart>
      <c:catAx>
        <c:axId val="379486592"/>
        <c:scaling>
          <c:orientation val="minMax"/>
        </c:scaling>
        <c:delete val="0"/>
        <c:axPos val="b"/>
        <c:numFmt formatCode="General" sourceLinked="1"/>
        <c:majorTickMark val="out"/>
        <c:minorTickMark val="none"/>
        <c:tickLblPos val="nextTo"/>
        <c:spPr>
          <a:ln>
            <a:solidFill>
              <a:srgbClr val="B3B3B3"/>
            </a:solidFill>
          </a:ln>
        </c:spPr>
        <c:txPr>
          <a:bodyPr rot="0" vert="horz"/>
          <a:lstStyle/>
          <a:p>
            <a:pPr>
              <a:defRPr/>
            </a:pPr>
            <a:endParaRPr lang="en-US"/>
          </a:p>
        </c:txPr>
        <c:crossAx val="379488512"/>
        <c:crosses val="autoZero"/>
        <c:auto val="0"/>
        <c:lblAlgn val="ctr"/>
        <c:lblOffset val="100"/>
        <c:noMultiLvlLbl val="0"/>
      </c:catAx>
      <c:valAx>
        <c:axId val="379488512"/>
        <c:scaling>
          <c:orientation val="minMax"/>
        </c:scaling>
        <c:delete val="0"/>
        <c:axPos val="l"/>
        <c:numFmt formatCode="0%" sourceLinked="1"/>
        <c:majorTickMark val="cross"/>
        <c:minorTickMark val="none"/>
        <c:tickLblPos val="nextTo"/>
        <c:spPr>
          <a:ln w="3175">
            <a:solidFill>
              <a:srgbClr val="B3B3B3"/>
            </a:solidFill>
            <a:prstDash val="solid"/>
          </a:ln>
        </c:spPr>
        <c:txPr>
          <a:bodyPr rot="0" vert="horz"/>
          <a:lstStyle/>
          <a:p>
            <a:pPr>
              <a:defRPr/>
            </a:pPr>
            <a:endParaRPr lang="en-US"/>
          </a:p>
        </c:txPr>
        <c:crossAx val="379486592"/>
        <c:crosses val="autoZero"/>
        <c:crossBetween val="between"/>
      </c:valAx>
      <c:spPr>
        <a:noFill/>
        <a:ln w="25400">
          <a:noFill/>
        </a:ln>
      </c:spPr>
    </c:plotArea>
    <c:legend>
      <c:legendPos val="b"/>
      <c:overlay val="0"/>
      <c:spPr>
        <a:noFill/>
        <a:ln w="25400">
          <a:noFill/>
        </a:ln>
      </c:spPr>
    </c:legend>
    <c:plotVisOnly val="1"/>
    <c:dispBlanksAs val="gap"/>
    <c:showDLblsOverMax val="0"/>
  </c:chart>
  <c:spPr>
    <a:noFill/>
    <a:ln w="25400">
      <a:noFill/>
    </a:ln>
    <a:effectLst/>
  </c:spPr>
  <c:txPr>
    <a:bodyPr/>
    <a:lstStyle/>
    <a:p>
      <a:pPr>
        <a:defRPr sz="1000" b="0" i="0" u="none" strike="noStrike" baseline="0">
          <a:solidFill>
            <a:srgbClr val="595959"/>
          </a:solidFill>
          <a:latin typeface="Arial Narrow"/>
          <a:ea typeface="Arial Narrow"/>
          <a:cs typeface="Arial Narrow"/>
        </a:defRPr>
      </a:pPr>
      <a:endParaRPr lang="en-US"/>
    </a:p>
  </c:txPr>
  <c:printSettings>
    <c:headerFooter alignWithMargins="0"/>
    <c:pageMargins b="1" l="0.75000000000000111" r="0.75000000000000111" t="1" header="0.5" footer="0.5"/>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2258096272225101"/>
          <c:y val="0.10869581700040198"/>
          <c:w val="0.41330685848788262"/>
          <c:h val="0.63664692814521084"/>
        </c:manualLayout>
      </c:layout>
      <c:radarChart>
        <c:radarStyle val="marker"/>
        <c:varyColors val="0"/>
        <c:ser>
          <c:idx val="0"/>
          <c:order val="0"/>
          <c:tx>
            <c:strRef>
              <c:f>_CU!$W$24</c:f>
              <c:strCache>
                <c:ptCount val="1"/>
                <c:pt idx="0">
                  <c:v>CU</c:v>
                </c:pt>
              </c:strCache>
            </c:strRef>
          </c:tx>
          <c:spPr>
            <a:ln w="25400">
              <a:solidFill>
                <a:srgbClr val="263238"/>
              </a:solidFill>
              <a:prstDash val="solid"/>
            </a:ln>
            <a:effectLst/>
          </c:spPr>
          <c:marker>
            <c:symbol val="diamond"/>
            <c:size val="6"/>
            <c:spPr>
              <a:solidFill>
                <a:srgbClr val="263238"/>
              </a:solidFill>
              <a:ln w="6350">
                <a:noFill/>
              </a:ln>
            </c:spPr>
          </c:marker>
          <c:cat>
            <c:strRef>
              <c:f>_CU!$V$25:$V$34</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_CU!$W$25:$W$34</c:f>
              <c:numCache>
                <c:formatCode>0%</c:formatCode>
                <c:ptCount val="10"/>
                <c:pt idx="0">
                  <c:v>3.7007184581129308E-3</c:v>
                </c:pt>
                <c:pt idx="1">
                  <c:v>3.8044876223213247E-3</c:v>
                </c:pt>
                <c:pt idx="2">
                  <c:v>5.82732658081761E-3</c:v>
                </c:pt>
                <c:pt idx="3">
                  <c:v>5.2611300549904299E-3</c:v>
                </c:pt>
                <c:pt idx="4">
                  <c:v>4.3489034978348457E-3</c:v>
                </c:pt>
                <c:pt idx="5">
                  <c:v>3.2274383168208079E-3</c:v>
                </c:pt>
                <c:pt idx="6">
                  <c:v>0.4279483616450242</c:v>
                </c:pt>
                <c:pt idx="7">
                  <c:v>2.5427985688137335E-2</c:v>
                </c:pt>
                <c:pt idx="8">
                  <c:v>41.270902190778266</c:v>
                </c:pt>
                <c:pt idx="9">
                  <c:v>2.336730525514858</c:v>
                </c:pt>
              </c:numCache>
            </c:numRef>
          </c:val>
          <c:extLst>
            <c:ext xmlns:c16="http://schemas.microsoft.com/office/drawing/2014/chart" uri="{C3380CC4-5D6E-409C-BE32-E72D297353CC}">
              <c16:uniqueId val="{00000000-3999-4E1E-AE09-7F7D5AD81DD3}"/>
            </c:ext>
          </c:extLst>
        </c:ser>
        <c:ser>
          <c:idx val="1"/>
          <c:order val="1"/>
          <c:tx>
            <c:strRef>
              <c:f>_CU!$X$24</c:f>
              <c:strCache>
                <c:ptCount val="1"/>
                <c:pt idx="0">
                  <c:v>Agg. Asia Incumbent</c:v>
                </c:pt>
              </c:strCache>
            </c:strRef>
          </c:tx>
          <c:spPr>
            <a:ln w="25400">
              <a:solidFill>
                <a:srgbClr val="799098"/>
              </a:solidFill>
              <a:prstDash val="solid"/>
            </a:ln>
            <a:effectLst/>
          </c:spPr>
          <c:marker>
            <c:symbol val="diamond"/>
            <c:size val="6"/>
            <c:spPr>
              <a:solidFill>
                <a:srgbClr val="799098"/>
              </a:solidFill>
              <a:ln w="6350">
                <a:noFill/>
              </a:ln>
            </c:spPr>
          </c:marker>
          <c:cat>
            <c:strRef>
              <c:f>_CU!$V$25:$V$34</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_CU!$X$25:$X$34</c:f>
              <c:numCache>
                <c:formatCode>0%</c:formatCode>
                <c:ptCount val="10"/>
                <c:pt idx="0">
                  <c:v>1</c:v>
                </c:pt>
                <c:pt idx="1">
                  <c:v>1</c:v>
                </c:pt>
                <c:pt idx="2">
                  <c:v>1</c:v>
                </c:pt>
                <c:pt idx="3">
                  <c:v>1</c:v>
                </c:pt>
                <c:pt idx="4">
                  <c:v>1</c:v>
                </c:pt>
                <c:pt idx="5">
                  <c:v>1</c:v>
                </c:pt>
                <c:pt idx="6">
                  <c:v>1</c:v>
                </c:pt>
                <c:pt idx="7">
                  <c:v>1</c:v>
                </c:pt>
                <c:pt idx="8">
                  <c:v>1</c:v>
                </c:pt>
                <c:pt idx="9">
                  <c:v>1</c:v>
                </c:pt>
              </c:numCache>
            </c:numRef>
          </c:val>
          <c:extLst>
            <c:ext xmlns:c16="http://schemas.microsoft.com/office/drawing/2014/chart" uri="{C3380CC4-5D6E-409C-BE32-E72D297353CC}">
              <c16:uniqueId val="{00000001-3999-4E1E-AE09-7F7D5AD81DD3}"/>
            </c:ext>
          </c:extLst>
        </c:ser>
        <c:dLbls>
          <c:showLegendKey val="0"/>
          <c:showVal val="0"/>
          <c:showCatName val="0"/>
          <c:showSerName val="0"/>
          <c:showPercent val="0"/>
          <c:showBubbleSize val="0"/>
        </c:dLbls>
        <c:axId val="412696576"/>
        <c:axId val="412698496"/>
      </c:radarChart>
      <c:catAx>
        <c:axId val="412696576"/>
        <c:scaling>
          <c:orientation val="minMax"/>
        </c:scaling>
        <c:delete val="0"/>
        <c:axPos val="b"/>
        <c:numFmt formatCode="General" sourceLinked="1"/>
        <c:majorTickMark val="out"/>
        <c:minorTickMark val="none"/>
        <c:tickLblPos val="nextTo"/>
        <c:spPr>
          <a:ln>
            <a:solidFill>
              <a:srgbClr val="B3B3B3"/>
            </a:solidFill>
          </a:ln>
        </c:spPr>
        <c:txPr>
          <a:bodyPr rot="0" vert="horz"/>
          <a:lstStyle/>
          <a:p>
            <a:pPr>
              <a:defRPr/>
            </a:pPr>
            <a:endParaRPr lang="en-US"/>
          </a:p>
        </c:txPr>
        <c:crossAx val="412698496"/>
        <c:crosses val="autoZero"/>
        <c:auto val="0"/>
        <c:lblAlgn val="ctr"/>
        <c:lblOffset val="100"/>
        <c:noMultiLvlLbl val="0"/>
      </c:catAx>
      <c:valAx>
        <c:axId val="412698496"/>
        <c:scaling>
          <c:orientation val="minMax"/>
        </c:scaling>
        <c:delete val="0"/>
        <c:axPos val="l"/>
        <c:numFmt formatCode="0%" sourceLinked="1"/>
        <c:majorTickMark val="cross"/>
        <c:minorTickMark val="none"/>
        <c:tickLblPos val="nextTo"/>
        <c:spPr>
          <a:ln w="3175">
            <a:solidFill>
              <a:srgbClr val="B3B3B3"/>
            </a:solidFill>
            <a:prstDash val="solid"/>
          </a:ln>
        </c:spPr>
        <c:txPr>
          <a:bodyPr rot="0" vert="horz"/>
          <a:lstStyle/>
          <a:p>
            <a:pPr>
              <a:defRPr/>
            </a:pPr>
            <a:endParaRPr lang="en-US"/>
          </a:p>
        </c:txPr>
        <c:crossAx val="412696576"/>
        <c:crosses val="autoZero"/>
        <c:crossBetween val="between"/>
      </c:valAx>
      <c:spPr>
        <a:noFill/>
        <a:ln w="25400">
          <a:noFill/>
        </a:ln>
      </c:spPr>
    </c:plotArea>
    <c:legend>
      <c:legendPos val="b"/>
      <c:overlay val="0"/>
      <c:spPr>
        <a:noFill/>
        <a:ln w="25400">
          <a:noFill/>
        </a:ln>
      </c:spPr>
    </c:legend>
    <c:plotVisOnly val="1"/>
    <c:dispBlanksAs val="gap"/>
    <c:showDLblsOverMax val="0"/>
  </c:chart>
  <c:spPr>
    <a:noFill/>
    <a:ln w="25400">
      <a:noFill/>
    </a:ln>
    <a:effectLst/>
  </c:spPr>
  <c:txPr>
    <a:bodyPr/>
    <a:lstStyle/>
    <a:p>
      <a:pPr>
        <a:defRPr sz="1000" b="0" i="0" u="none" strike="noStrike" baseline="0">
          <a:solidFill>
            <a:srgbClr val="595959"/>
          </a:solidFill>
          <a:latin typeface="Arial Narrow"/>
          <a:ea typeface="Arial Narrow"/>
          <a:cs typeface="Arial Narrow"/>
        </a:defRPr>
      </a:pPr>
      <a:endParaRPr lang="en-US"/>
    </a:p>
  </c:txPr>
  <c:printSettings>
    <c:headerFooter alignWithMargins="0"/>
    <c:pageMargins b="1" l="0.75000000000000111" r="0.75000000000000111" t="1" header="0.5" footer="0.5"/>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1048417662016586"/>
          <c:y val="0.20615415588064284"/>
          <c:w val="0.35887132102850294"/>
          <c:h val="0.54769313054857582"/>
        </c:manualLayout>
      </c:layout>
      <c:radarChart>
        <c:radarStyle val="marker"/>
        <c:varyColors val="0"/>
        <c:ser>
          <c:idx val="0"/>
          <c:order val="0"/>
          <c:tx>
            <c:strRef>
              <c:f>DIGI!$W$24</c:f>
              <c:strCache>
                <c:ptCount val="1"/>
                <c:pt idx="0">
                  <c:v>DiGi</c:v>
                </c:pt>
              </c:strCache>
            </c:strRef>
          </c:tx>
          <c:spPr>
            <a:ln w="25400">
              <a:solidFill>
                <a:srgbClr val="263238"/>
              </a:solidFill>
              <a:prstDash val="solid"/>
            </a:ln>
            <a:effectLst/>
          </c:spPr>
          <c:marker>
            <c:symbol val="diamond"/>
            <c:size val="6"/>
            <c:spPr>
              <a:solidFill>
                <a:srgbClr val="263238"/>
              </a:solidFill>
              <a:ln w="6350">
                <a:noFill/>
              </a:ln>
            </c:spPr>
          </c:marker>
          <c:cat>
            <c:strRef>
              <c:f>DIGI!$V$25:$V$34</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DIGI!$W$25:$W$34</c:f>
              <c:numCache>
                <c:formatCode>0%</c:formatCode>
                <c:ptCount val="10"/>
                <c:pt idx="0">
                  <c:v>2.3727926338107563</c:v>
                </c:pt>
                <c:pt idx="1">
                  <c:v>1.6021392579982079</c:v>
                </c:pt>
                <c:pt idx="2">
                  <c:v>1.1626890723104113</c:v>
                </c:pt>
                <c:pt idx="3">
                  <c:v>1.1911492047527996</c:v>
                </c:pt>
                <c:pt idx="4">
                  <c:v>1.3937167893034073</c:v>
                </c:pt>
                <c:pt idx="5">
                  <c:v>3.4399024768975464</c:v>
                </c:pt>
                <c:pt idx="6">
                  <c:v>0.87087417002909917</c:v>
                </c:pt>
                <c:pt idx="7">
                  <c:v>1.0780356847144585</c:v>
                </c:pt>
                <c:pt idx="8">
                  <c:v>0.78084070970277553</c:v>
                </c:pt>
                <c:pt idx="9">
                  <c:v>1.1482715120217497</c:v>
                </c:pt>
              </c:numCache>
            </c:numRef>
          </c:val>
          <c:extLst>
            <c:ext xmlns:c16="http://schemas.microsoft.com/office/drawing/2014/chart" uri="{C3380CC4-5D6E-409C-BE32-E72D297353CC}">
              <c16:uniqueId val="{00000000-0894-4623-88FB-C3E0E5356280}"/>
            </c:ext>
          </c:extLst>
        </c:ser>
        <c:ser>
          <c:idx val="1"/>
          <c:order val="1"/>
          <c:tx>
            <c:strRef>
              <c:f>DIGI!$X$24</c:f>
              <c:strCache>
                <c:ptCount val="1"/>
                <c:pt idx="0">
                  <c:v>Agg. Asia Cellular</c:v>
                </c:pt>
              </c:strCache>
            </c:strRef>
          </c:tx>
          <c:spPr>
            <a:ln w="25400">
              <a:solidFill>
                <a:srgbClr val="799098"/>
              </a:solidFill>
              <a:prstDash val="solid"/>
            </a:ln>
            <a:effectLst/>
          </c:spPr>
          <c:marker>
            <c:symbol val="diamond"/>
            <c:size val="6"/>
            <c:spPr>
              <a:solidFill>
                <a:srgbClr val="799098"/>
              </a:solidFill>
              <a:ln w="6350">
                <a:noFill/>
              </a:ln>
            </c:spPr>
          </c:marker>
          <c:cat>
            <c:strRef>
              <c:f>DIGI!$V$25:$V$34</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DIGI!$X$25:$X$34</c:f>
              <c:numCache>
                <c:formatCode>0%</c:formatCode>
                <c:ptCount val="10"/>
                <c:pt idx="0">
                  <c:v>1</c:v>
                </c:pt>
                <c:pt idx="1">
                  <c:v>1</c:v>
                </c:pt>
                <c:pt idx="2">
                  <c:v>1</c:v>
                </c:pt>
                <c:pt idx="3">
                  <c:v>1</c:v>
                </c:pt>
                <c:pt idx="4">
                  <c:v>1</c:v>
                </c:pt>
                <c:pt idx="5">
                  <c:v>1</c:v>
                </c:pt>
                <c:pt idx="6">
                  <c:v>1</c:v>
                </c:pt>
                <c:pt idx="7">
                  <c:v>1</c:v>
                </c:pt>
                <c:pt idx="8">
                  <c:v>1</c:v>
                </c:pt>
                <c:pt idx="9">
                  <c:v>1</c:v>
                </c:pt>
              </c:numCache>
            </c:numRef>
          </c:val>
          <c:extLst>
            <c:ext xmlns:c16="http://schemas.microsoft.com/office/drawing/2014/chart" uri="{C3380CC4-5D6E-409C-BE32-E72D297353CC}">
              <c16:uniqueId val="{00000001-0894-4623-88FB-C3E0E5356280}"/>
            </c:ext>
          </c:extLst>
        </c:ser>
        <c:dLbls>
          <c:showLegendKey val="0"/>
          <c:showVal val="0"/>
          <c:showCatName val="0"/>
          <c:showSerName val="0"/>
          <c:showPercent val="0"/>
          <c:showBubbleSize val="0"/>
        </c:dLbls>
        <c:axId val="413248512"/>
        <c:axId val="413357184"/>
      </c:radarChart>
      <c:catAx>
        <c:axId val="413248512"/>
        <c:scaling>
          <c:orientation val="minMax"/>
        </c:scaling>
        <c:delete val="0"/>
        <c:axPos val="b"/>
        <c:numFmt formatCode="General" sourceLinked="1"/>
        <c:majorTickMark val="out"/>
        <c:minorTickMark val="none"/>
        <c:tickLblPos val="nextTo"/>
        <c:spPr>
          <a:ln>
            <a:solidFill>
              <a:srgbClr val="B3B3B3"/>
            </a:solidFill>
          </a:ln>
        </c:spPr>
        <c:txPr>
          <a:bodyPr rot="0" vert="horz"/>
          <a:lstStyle/>
          <a:p>
            <a:pPr>
              <a:defRPr/>
            </a:pPr>
            <a:endParaRPr lang="en-US"/>
          </a:p>
        </c:txPr>
        <c:crossAx val="413357184"/>
        <c:crosses val="autoZero"/>
        <c:auto val="0"/>
        <c:lblAlgn val="ctr"/>
        <c:lblOffset val="100"/>
        <c:noMultiLvlLbl val="0"/>
      </c:catAx>
      <c:valAx>
        <c:axId val="413357184"/>
        <c:scaling>
          <c:orientation val="minMax"/>
          <c:min val="0"/>
        </c:scaling>
        <c:delete val="0"/>
        <c:axPos val="l"/>
        <c:numFmt formatCode="0%" sourceLinked="1"/>
        <c:majorTickMark val="cross"/>
        <c:minorTickMark val="none"/>
        <c:tickLblPos val="nextTo"/>
        <c:spPr>
          <a:ln w="3175">
            <a:solidFill>
              <a:srgbClr val="B3B3B3"/>
            </a:solidFill>
            <a:prstDash val="solid"/>
          </a:ln>
        </c:spPr>
        <c:txPr>
          <a:bodyPr rot="0" vert="horz"/>
          <a:lstStyle/>
          <a:p>
            <a:pPr>
              <a:defRPr/>
            </a:pPr>
            <a:endParaRPr lang="en-US"/>
          </a:p>
        </c:txPr>
        <c:crossAx val="413248512"/>
        <c:crosses val="autoZero"/>
        <c:crossBetween val="between"/>
        <c:majorUnit val="1"/>
      </c:valAx>
      <c:spPr>
        <a:noFill/>
        <a:ln w="25400">
          <a:noFill/>
        </a:ln>
      </c:spPr>
    </c:plotArea>
    <c:legend>
      <c:legendPos val="b"/>
      <c:overlay val="0"/>
      <c:spPr>
        <a:noFill/>
        <a:ln w="25400">
          <a:noFill/>
        </a:ln>
      </c:spPr>
    </c:legend>
    <c:plotVisOnly val="1"/>
    <c:dispBlanksAs val="gap"/>
    <c:showDLblsOverMax val="0"/>
  </c:chart>
  <c:spPr>
    <a:noFill/>
    <a:ln w="25400">
      <a:noFill/>
    </a:ln>
    <a:effectLst/>
  </c:spPr>
  <c:txPr>
    <a:bodyPr/>
    <a:lstStyle/>
    <a:p>
      <a:pPr>
        <a:defRPr sz="1000" b="0" i="0" u="none" strike="noStrike" baseline="0">
          <a:solidFill>
            <a:srgbClr val="595959"/>
          </a:solidFill>
          <a:latin typeface="Arial Narrow"/>
          <a:ea typeface="Arial Narrow"/>
          <a:cs typeface="Arial Narrow"/>
        </a:defRPr>
      </a:pPr>
      <a:endParaRPr lang="en-US"/>
    </a:p>
  </c:txPr>
  <c:printSettings>
    <c:headerFooter alignWithMargins="0"/>
    <c:pageMargins b="1" l="0.75000000000000111" r="0.75000000000000111" t="1" header="0.5" footer="0.5"/>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1780509314725197"/>
          <c:y val="0.14153867418671001"/>
          <c:w val="0.41690947373404241"/>
          <c:h val="0.65174920453160345"/>
        </c:manualLayout>
      </c:layout>
      <c:radarChart>
        <c:radarStyle val="marker"/>
        <c:varyColors val="0"/>
        <c:ser>
          <c:idx val="0"/>
          <c:order val="0"/>
          <c:tx>
            <c:strRef>
              <c:f>DRI!$W$24</c:f>
              <c:strCache>
                <c:ptCount val="1"/>
                <c:pt idx="0">
                  <c:v>Drillisch</c:v>
                </c:pt>
              </c:strCache>
            </c:strRef>
          </c:tx>
          <c:spPr>
            <a:ln w="25400">
              <a:solidFill>
                <a:srgbClr val="263238"/>
              </a:solidFill>
              <a:prstDash val="solid"/>
            </a:ln>
            <a:effectLst/>
          </c:spPr>
          <c:marker>
            <c:symbol val="diamond"/>
            <c:size val="6"/>
            <c:spPr>
              <a:solidFill>
                <a:srgbClr val="263238"/>
              </a:solidFill>
              <a:ln w="6350">
                <a:noFill/>
              </a:ln>
            </c:spPr>
          </c:marker>
          <c:cat>
            <c:strRef>
              <c:f>DRI!$V$25:$V$34</c:f>
              <c:strCache>
                <c:ptCount val="10"/>
                <c:pt idx="0">
                  <c:v>EV/Revenue</c:v>
                </c:pt>
                <c:pt idx="1">
                  <c:v>EV/EBITDA</c:v>
                </c:pt>
                <c:pt idx="2">
                  <c:v>EV/OpFCF</c:v>
                </c:pt>
                <c:pt idx="3">
                  <c:v>EV/FCF</c:v>
                </c:pt>
                <c:pt idx="4">
                  <c:v>EV/Invested capital</c:v>
                </c:pt>
                <c:pt idx="5">
                  <c:v>EV/NFA</c:v>
                </c:pt>
                <c:pt idx="6">
                  <c:v>P/EFCF </c:v>
                </c:pt>
                <c:pt idx="7">
                  <c:v>Adjusted P/E</c:v>
                </c:pt>
                <c:pt idx="8">
                  <c:v>Dividend yield</c:v>
                </c:pt>
                <c:pt idx="9">
                  <c:v>EFCF yield (2012)</c:v>
                </c:pt>
              </c:strCache>
            </c:strRef>
          </c:cat>
          <c:val>
            <c:numRef>
              <c:f>DRI!$W$25:$W$34</c:f>
              <c:numCache>
                <c:formatCode>0%</c:formatCode>
                <c:ptCount val="10"/>
                <c:pt idx="0">
                  <c:v>0.62175760385829859</c:v>
                </c:pt>
                <c:pt idx="1">
                  <c:v>1.274473655983213</c:v>
                </c:pt>
                <c:pt idx="2">
                  <c:v>1.0000814418481925</c:v>
                </c:pt>
                <c:pt idx="3">
                  <c:v>1.0450411638780948</c:v>
                </c:pt>
                <c:pt idx="4">
                  <c:v>1.0255666394243126</c:v>
                </c:pt>
                <c:pt idx="5">
                  <c:v>1.166337650223725</c:v>
                </c:pt>
                <c:pt idx="6">
                  <c:v>-2.1359203913790186</c:v>
                </c:pt>
                <c:pt idx="7">
                  <c:v>0.65600571833254262</c:v>
                </c:pt>
                <c:pt idx="8">
                  <c:v>4.067603180812044E-2</c:v>
                </c:pt>
                <c:pt idx="9">
                  <c:v>-0.46818224313798884</c:v>
                </c:pt>
              </c:numCache>
            </c:numRef>
          </c:val>
          <c:extLst>
            <c:ext xmlns:c16="http://schemas.microsoft.com/office/drawing/2014/chart" uri="{C3380CC4-5D6E-409C-BE32-E72D297353CC}">
              <c16:uniqueId val="{00000000-2608-432B-B923-0B1042645ACC}"/>
            </c:ext>
          </c:extLst>
        </c:ser>
        <c:ser>
          <c:idx val="1"/>
          <c:order val="1"/>
          <c:tx>
            <c:strRef>
              <c:f>DRI!$X$24</c:f>
              <c:strCache>
                <c:ptCount val="1"/>
                <c:pt idx="0">
                  <c:v>Agg.W.Eur.Altnet</c:v>
                </c:pt>
              </c:strCache>
            </c:strRef>
          </c:tx>
          <c:spPr>
            <a:ln w="25400">
              <a:solidFill>
                <a:srgbClr val="799098"/>
              </a:solidFill>
              <a:prstDash val="solid"/>
            </a:ln>
            <a:effectLst/>
          </c:spPr>
          <c:marker>
            <c:symbol val="diamond"/>
            <c:size val="6"/>
            <c:spPr>
              <a:solidFill>
                <a:srgbClr val="799098"/>
              </a:solidFill>
              <a:ln w="6350">
                <a:noFill/>
              </a:ln>
            </c:spPr>
          </c:marker>
          <c:cat>
            <c:strRef>
              <c:f>DRI!$V$25:$V$34</c:f>
              <c:strCache>
                <c:ptCount val="10"/>
                <c:pt idx="0">
                  <c:v>EV/Revenue</c:v>
                </c:pt>
                <c:pt idx="1">
                  <c:v>EV/EBITDA</c:v>
                </c:pt>
                <c:pt idx="2">
                  <c:v>EV/OpFCF</c:v>
                </c:pt>
                <c:pt idx="3">
                  <c:v>EV/FCF</c:v>
                </c:pt>
                <c:pt idx="4">
                  <c:v>EV/Invested capital</c:v>
                </c:pt>
                <c:pt idx="5">
                  <c:v>EV/NFA</c:v>
                </c:pt>
                <c:pt idx="6">
                  <c:v>P/EFCF </c:v>
                </c:pt>
                <c:pt idx="7">
                  <c:v>Adjusted P/E</c:v>
                </c:pt>
                <c:pt idx="8">
                  <c:v>Dividend yield</c:v>
                </c:pt>
                <c:pt idx="9">
                  <c:v>EFCF yield (2012)</c:v>
                </c:pt>
              </c:strCache>
            </c:strRef>
          </c:cat>
          <c:val>
            <c:numRef>
              <c:f>DRI!$X$25:$X$34</c:f>
              <c:numCache>
                <c:formatCode>0%</c:formatCode>
                <c:ptCount val="10"/>
                <c:pt idx="0">
                  <c:v>1</c:v>
                </c:pt>
                <c:pt idx="1">
                  <c:v>1</c:v>
                </c:pt>
                <c:pt idx="2">
                  <c:v>1</c:v>
                </c:pt>
                <c:pt idx="3">
                  <c:v>1</c:v>
                </c:pt>
                <c:pt idx="4">
                  <c:v>1</c:v>
                </c:pt>
                <c:pt idx="5">
                  <c:v>1</c:v>
                </c:pt>
                <c:pt idx="6">
                  <c:v>1</c:v>
                </c:pt>
                <c:pt idx="7">
                  <c:v>1</c:v>
                </c:pt>
                <c:pt idx="8">
                  <c:v>1</c:v>
                </c:pt>
                <c:pt idx="9">
                  <c:v>1</c:v>
                </c:pt>
              </c:numCache>
            </c:numRef>
          </c:val>
          <c:extLst>
            <c:ext xmlns:c16="http://schemas.microsoft.com/office/drawing/2014/chart" uri="{C3380CC4-5D6E-409C-BE32-E72D297353CC}">
              <c16:uniqueId val="{00000001-2608-432B-B923-0B1042645ACC}"/>
            </c:ext>
          </c:extLst>
        </c:ser>
        <c:dLbls>
          <c:showLegendKey val="0"/>
          <c:showVal val="0"/>
          <c:showCatName val="0"/>
          <c:showSerName val="0"/>
          <c:showPercent val="0"/>
          <c:showBubbleSize val="0"/>
        </c:dLbls>
        <c:axId val="414317184"/>
        <c:axId val="414462720"/>
      </c:radarChart>
      <c:catAx>
        <c:axId val="414317184"/>
        <c:scaling>
          <c:orientation val="minMax"/>
        </c:scaling>
        <c:delete val="0"/>
        <c:axPos val="b"/>
        <c:numFmt formatCode="General" sourceLinked="1"/>
        <c:majorTickMark val="out"/>
        <c:minorTickMark val="none"/>
        <c:tickLblPos val="nextTo"/>
        <c:spPr>
          <a:ln>
            <a:solidFill>
              <a:srgbClr val="B3B3B3"/>
            </a:solidFill>
          </a:ln>
        </c:spPr>
        <c:txPr>
          <a:bodyPr rot="0" vert="horz"/>
          <a:lstStyle/>
          <a:p>
            <a:pPr>
              <a:defRPr/>
            </a:pPr>
            <a:endParaRPr lang="en-US"/>
          </a:p>
        </c:txPr>
        <c:crossAx val="414462720"/>
        <c:crosses val="autoZero"/>
        <c:auto val="0"/>
        <c:lblAlgn val="ctr"/>
        <c:lblOffset val="100"/>
        <c:noMultiLvlLbl val="0"/>
      </c:catAx>
      <c:valAx>
        <c:axId val="414462720"/>
        <c:scaling>
          <c:orientation val="minMax"/>
          <c:max val="5"/>
          <c:min val="0"/>
        </c:scaling>
        <c:delete val="0"/>
        <c:axPos val="l"/>
        <c:numFmt formatCode="0%" sourceLinked="1"/>
        <c:majorTickMark val="cross"/>
        <c:minorTickMark val="none"/>
        <c:tickLblPos val="nextTo"/>
        <c:spPr>
          <a:ln w="3175">
            <a:solidFill>
              <a:srgbClr val="B3B3B3"/>
            </a:solidFill>
            <a:prstDash val="solid"/>
          </a:ln>
        </c:spPr>
        <c:txPr>
          <a:bodyPr rot="0" vert="horz"/>
          <a:lstStyle/>
          <a:p>
            <a:pPr>
              <a:defRPr/>
            </a:pPr>
            <a:endParaRPr lang="en-US"/>
          </a:p>
        </c:txPr>
        <c:crossAx val="414317184"/>
        <c:crosses val="autoZero"/>
        <c:crossBetween val="between"/>
      </c:valAx>
      <c:spPr>
        <a:noFill/>
        <a:ln w="25400">
          <a:noFill/>
        </a:ln>
      </c:spPr>
    </c:plotArea>
    <c:legend>
      <c:legendPos val="b"/>
      <c:overlay val="0"/>
      <c:spPr>
        <a:noFill/>
        <a:ln w="25400">
          <a:noFill/>
        </a:ln>
      </c:spPr>
    </c:legend>
    <c:plotVisOnly val="1"/>
    <c:dispBlanksAs val="gap"/>
    <c:showDLblsOverMax val="0"/>
  </c:chart>
  <c:spPr>
    <a:noFill/>
    <a:ln w="25400">
      <a:noFill/>
    </a:ln>
    <a:effectLst/>
  </c:spPr>
  <c:txPr>
    <a:bodyPr/>
    <a:lstStyle/>
    <a:p>
      <a:pPr>
        <a:defRPr sz="1000" b="0" i="0" u="none" strike="noStrike" baseline="0">
          <a:solidFill>
            <a:srgbClr val="595959"/>
          </a:solidFill>
          <a:latin typeface="Arial Narrow"/>
          <a:ea typeface="Arial Narrow"/>
          <a:cs typeface="Arial Narrow"/>
        </a:defRPr>
      </a:pPr>
      <a:endParaRPr lang="en-US"/>
    </a:p>
  </c:txPr>
  <c:printSettings>
    <c:headerFooter alignWithMargins="0"/>
    <c:pageMargins b="1" l="0.75000000000000111" r="0.75000000000000111" t="1" header="0.5" footer="0.5"/>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6008090119481486"/>
          <c:y val="9.6875000000000044E-2"/>
          <c:w val="0.48973141270944992"/>
          <c:h val="0.735737941084466"/>
        </c:manualLayout>
      </c:layout>
      <c:radarChart>
        <c:radarStyle val="marker"/>
        <c:varyColors val="0"/>
        <c:ser>
          <c:idx val="0"/>
          <c:order val="0"/>
          <c:tx>
            <c:strRef>
              <c:f>DT!$W$24</c:f>
              <c:strCache>
                <c:ptCount val="1"/>
                <c:pt idx="0">
                  <c:v>DT</c:v>
                </c:pt>
              </c:strCache>
            </c:strRef>
          </c:tx>
          <c:spPr>
            <a:ln w="25400">
              <a:solidFill>
                <a:srgbClr val="263238"/>
              </a:solidFill>
              <a:prstDash val="solid"/>
            </a:ln>
            <a:effectLst/>
          </c:spPr>
          <c:marker>
            <c:symbol val="diamond"/>
            <c:size val="6"/>
            <c:spPr>
              <a:solidFill>
                <a:srgbClr val="263238"/>
              </a:solidFill>
              <a:ln w="6350">
                <a:noFill/>
              </a:ln>
            </c:spPr>
          </c:marker>
          <c:cat>
            <c:strRef>
              <c:f>DT!$V$25:$V$34</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DT!$W$25:$W$34</c:f>
              <c:numCache>
                <c:formatCode>0%</c:formatCode>
                <c:ptCount val="10"/>
                <c:pt idx="0">
                  <c:v>1.1798346887569013</c:v>
                </c:pt>
                <c:pt idx="1">
                  <c:v>1.1075568829141988</c:v>
                </c:pt>
                <c:pt idx="2">
                  <c:v>0.96761196428048479</c:v>
                </c:pt>
                <c:pt idx="3">
                  <c:v>0.98916099339425989</c:v>
                </c:pt>
                <c:pt idx="4">
                  <c:v>1.0749246403048542</c:v>
                </c:pt>
                <c:pt idx="5">
                  <c:v>1.3220859440408099</c:v>
                </c:pt>
                <c:pt idx="6">
                  <c:v>0.77689004316741028</c:v>
                </c:pt>
                <c:pt idx="7">
                  <c:v>1.0490265528947378</c:v>
                </c:pt>
                <c:pt idx="8">
                  <c:v>0.70871607514159396</c:v>
                </c:pt>
                <c:pt idx="9">
                  <c:v>1.2871834422320072</c:v>
                </c:pt>
              </c:numCache>
            </c:numRef>
          </c:val>
          <c:extLst>
            <c:ext xmlns:c16="http://schemas.microsoft.com/office/drawing/2014/chart" uri="{C3380CC4-5D6E-409C-BE32-E72D297353CC}">
              <c16:uniqueId val="{00000000-D84C-468A-BB15-CFAE84D6B67A}"/>
            </c:ext>
          </c:extLst>
        </c:ser>
        <c:ser>
          <c:idx val="1"/>
          <c:order val="1"/>
          <c:tx>
            <c:strRef>
              <c:f>DT!$X$24</c:f>
              <c:strCache>
                <c:ptCount val="1"/>
                <c:pt idx="0">
                  <c:v>Agg. W. Eur. Incumbent</c:v>
                </c:pt>
              </c:strCache>
            </c:strRef>
          </c:tx>
          <c:spPr>
            <a:ln w="25400">
              <a:solidFill>
                <a:srgbClr val="799098"/>
              </a:solidFill>
              <a:prstDash val="solid"/>
            </a:ln>
            <a:effectLst/>
          </c:spPr>
          <c:marker>
            <c:symbol val="diamond"/>
            <c:size val="6"/>
            <c:spPr>
              <a:solidFill>
                <a:srgbClr val="799098"/>
              </a:solidFill>
              <a:ln w="6350">
                <a:noFill/>
              </a:ln>
            </c:spPr>
          </c:marker>
          <c:cat>
            <c:strRef>
              <c:f>DT!$V$25:$V$34</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DT!$X$25:$X$34</c:f>
              <c:numCache>
                <c:formatCode>0%</c:formatCode>
                <c:ptCount val="10"/>
                <c:pt idx="0">
                  <c:v>1</c:v>
                </c:pt>
                <c:pt idx="1">
                  <c:v>1</c:v>
                </c:pt>
                <c:pt idx="2">
                  <c:v>1</c:v>
                </c:pt>
                <c:pt idx="3">
                  <c:v>1</c:v>
                </c:pt>
                <c:pt idx="4">
                  <c:v>1</c:v>
                </c:pt>
                <c:pt idx="5">
                  <c:v>1</c:v>
                </c:pt>
                <c:pt idx="6">
                  <c:v>1</c:v>
                </c:pt>
                <c:pt idx="7">
                  <c:v>1</c:v>
                </c:pt>
                <c:pt idx="8">
                  <c:v>1</c:v>
                </c:pt>
                <c:pt idx="9">
                  <c:v>1</c:v>
                </c:pt>
              </c:numCache>
            </c:numRef>
          </c:val>
          <c:extLst>
            <c:ext xmlns:c16="http://schemas.microsoft.com/office/drawing/2014/chart" uri="{C3380CC4-5D6E-409C-BE32-E72D297353CC}">
              <c16:uniqueId val="{00000001-D84C-468A-BB15-CFAE84D6B67A}"/>
            </c:ext>
          </c:extLst>
        </c:ser>
        <c:dLbls>
          <c:showLegendKey val="0"/>
          <c:showVal val="0"/>
          <c:showCatName val="0"/>
          <c:showSerName val="0"/>
          <c:showPercent val="0"/>
          <c:showBubbleSize val="0"/>
        </c:dLbls>
        <c:axId val="414612096"/>
        <c:axId val="414638848"/>
      </c:radarChart>
      <c:catAx>
        <c:axId val="414612096"/>
        <c:scaling>
          <c:orientation val="minMax"/>
        </c:scaling>
        <c:delete val="0"/>
        <c:axPos val="b"/>
        <c:numFmt formatCode="General" sourceLinked="1"/>
        <c:majorTickMark val="out"/>
        <c:minorTickMark val="none"/>
        <c:tickLblPos val="nextTo"/>
        <c:spPr>
          <a:ln>
            <a:solidFill>
              <a:srgbClr val="B3B3B3"/>
            </a:solidFill>
          </a:ln>
        </c:spPr>
        <c:txPr>
          <a:bodyPr rot="0" vert="horz"/>
          <a:lstStyle/>
          <a:p>
            <a:pPr>
              <a:defRPr/>
            </a:pPr>
            <a:endParaRPr lang="en-US"/>
          </a:p>
        </c:txPr>
        <c:crossAx val="414638848"/>
        <c:crosses val="autoZero"/>
        <c:auto val="0"/>
        <c:lblAlgn val="ctr"/>
        <c:lblOffset val="100"/>
        <c:noMultiLvlLbl val="0"/>
      </c:catAx>
      <c:valAx>
        <c:axId val="414638848"/>
        <c:scaling>
          <c:orientation val="minMax"/>
        </c:scaling>
        <c:delete val="0"/>
        <c:axPos val="l"/>
        <c:numFmt formatCode="0%" sourceLinked="1"/>
        <c:majorTickMark val="cross"/>
        <c:minorTickMark val="none"/>
        <c:tickLblPos val="nextTo"/>
        <c:spPr>
          <a:ln w="3175">
            <a:solidFill>
              <a:srgbClr val="B3B3B3"/>
            </a:solidFill>
            <a:prstDash val="solid"/>
          </a:ln>
        </c:spPr>
        <c:txPr>
          <a:bodyPr rot="0" vert="horz"/>
          <a:lstStyle/>
          <a:p>
            <a:pPr>
              <a:defRPr/>
            </a:pPr>
            <a:endParaRPr lang="en-US"/>
          </a:p>
        </c:txPr>
        <c:crossAx val="414612096"/>
        <c:crosses val="autoZero"/>
        <c:crossBetween val="between"/>
      </c:valAx>
      <c:spPr>
        <a:noFill/>
        <a:ln w="25400">
          <a:noFill/>
        </a:ln>
      </c:spPr>
    </c:plotArea>
    <c:legend>
      <c:legendPos val="b"/>
      <c:overlay val="0"/>
      <c:spPr>
        <a:noFill/>
        <a:ln w="25400">
          <a:noFill/>
        </a:ln>
      </c:spPr>
    </c:legend>
    <c:plotVisOnly val="1"/>
    <c:dispBlanksAs val="gap"/>
    <c:showDLblsOverMax val="0"/>
  </c:chart>
  <c:spPr>
    <a:noFill/>
    <a:ln w="25400">
      <a:noFill/>
    </a:ln>
    <a:effectLst/>
  </c:spPr>
  <c:txPr>
    <a:bodyPr/>
    <a:lstStyle/>
    <a:p>
      <a:pPr>
        <a:defRPr sz="1000" b="0" i="0" u="none" strike="noStrike" baseline="0">
          <a:solidFill>
            <a:srgbClr val="595959"/>
          </a:solidFill>
          <a:latin typeface="Arial Narrow"/>
          <a:ea typeface="Arial Narrow"/>
          <a:cs typeface="Arial Narrow"/>
        </a:defRPr>
      </a:pPr>
      <a:endParaRPr lang="en-US"/>
    </a:p>
  </c:txPr>
  <c:printSettings>
    <c:headerFooter alignWithMargins="0"/>
    <c:pageMargins b="1" l="0.75000000000000111" r="0.75000000000000111" t="1" header="0.5" footer="0.5"/>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2258096272225101"/>
          <c:y val="0.10869581700040198"/>
          <c:w val="0.41330685848788262"/>
          <c:h val="0.63664692814521084"/>
        </c:manualLayout>
      </c:layout>
      <c:radarChart>
        <c:radarStyle val="marker"/>
        <c:varyColors val="0"/>
        <c:ser>
          <c:idx val="0"/>
          <c:order val="0"/>
          <c:tx>
            <c:strRef>
              <c:f>ELISA!$W$24</c:f>
              <c:strCache>
                <c:ptCount val="1"/>
                <c:pt idx="0">
                  <c:v>Elisa</c:v>
                </c:pt>
              </c:strCache>
            </c:strRef>
          </c:tx>
          <c:spPr>
            <a:ln w="25400">
              <a:solidFill>
                <a:srgbClr val="263238"/>
              </a:solidFill>
              <a:prstDash val="solid"/>
            </a:ln>
            <a:effectLst/>
          </c:spPr>
          <c:marker>
            <c:symbol val="diamond"/>
            <c:size val="6"/>
            <c:spPr>
              <a:solidFill>
                <a:srgbClr val="263238"/>
              </a:solidFill>
              <a:ln w="6350">
                <a:noFill/>
              </a:ln>
            </c:spPr>
          </c:marker>
          <c:cat>
            <c:strRef>
              <c:f>ELISA!$V$25:$V$34</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ELISA!$W$25:$W$34</c:f>
              <c:numCache>
                <c:formatCode>0%</c:formatCode>
                <c:ptCount val="10"/>
                <c:pt idx="0">
                  <c:v>2.1799161149726967</c:v>
                </c:pt>
                <c:pt idx="1">
                  <c:v>2.0812138638131921</c:v>
                </c:pt>
                <c:pt idx="2">
                  <c:v>1.3159057287580695</c:v>
                </c:pt>
                <c:pt idx="3">
                  <c:v>1.1945865603663903</c:v>
                </c:pt>
                <c:pt idx="4">
                  <c:v>4.5012631267456591</c:v>
                </c:pt>
                <c:pt idx="5">
                  <c:v>5.3902156140429645</c:v>
                </c:pt>
                <c:pt idx="6">
                  <c:v>1.0932951340418937</c:v>
                </c:pt>
                <c:pt idx="7">
                  <c:v>1.1875573370429005</c:v>
                </c:pt>
                <c:pt idx="8">
                  <c:v>0.76963899684994819</c:v>
                </c:pt>
                <c:pt idx="9">
                  <c:v>0.91466610328998432</c:v>
                </c:pt>
              </c:numCache>
            </c:numRef>
          </c:val>
          <c:extLst>
            <c:ext xmlns:c16="http://schemas.microsoft.com/office/drawing/2014/chart" uri="{C3380CC4-5D6E-409C-BE32-E72D297353CC}">
              <c16:uniqueId val="{00000000-0364-42FB-A55A-AFBD8486FA8D}"/>
            </c:ext>
          </c:extLst>
        </c:ser>
        <c:ser>
          <c:idx val="1"/>
          <c:order val="1"/>
          <c:tx>
            <c:strRef>
              <c:f>ELISA!$X$24</c:f>
              <c:strCache>
                <c:ptCount val="1"/>
                <c:pt idx="0">
                  <c:v>Agg. W. Eur Cellular</c:v>
                </c:pt>
              </c:strCache>
            </c:strRef>
          </c:tx>
          <c:spPr>
            <a:ln w="25400">
              <a:solidFill>
                <a:srgbClr val="799098"/>
              </a:solidFill>
              <a:prstDash val="solid"/>
            </a:ln>
            <a:effectLst/>
          </c:spPr>
          <c:marker>
            <c:symbol val="diamond"/>
            <c:size val="6"/>
            <c:spPr>
              <a:solidFill>
                <a:srgbClr val="799098"/>
              </a:solidFill>
              <a:ln w="6350">
                <a:noFill/>
              </a:ln>
            </c:spPr>
          </c:marker>
          <c:cat>
            <c:strRef>
              <c:f>ELISA!$V$25:$V$34</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ELISA!$X$25:$X$34</c:f>
              <c:numCache>
                <c:formatCode>0%</c:formatCode>
                <c:ptCount val="10"/>
                <c:pt idx="0">
                  <c:v>1</c:v>
                </c:pt>
                <c:pt idx="1">
                  <c:v>1</c:v>
                </c:pt>
                <c:pt idx="2">
                  <c:v>1</c:v>
                </c:pt>
                <c:pt idx="3">
                  <c:v>1</c:v>
                </c:pt>
                <c:pt idx="4">
                  <c:v>1</c:v>
                </c:pt>
                <c:pt idx="5">
                  <c:v>1</c:v>
                </c:pt>
                <c:pt idx="6">
                  <c:v>1</c:v>
                </c:pt>
                <c:pt idx="7">
                  <c:v>1</c:v>
                </c:pt>
                <c:pt idx="8">
                  <c:v>1</c:v>
                </c:pt>
                <c:pt idx="9">
                  <c:v>1</c:v>
                </c:pt>
              </c:numCache>
            </c:numRef>
          </c:val>
          <c:extLst>
            <c:ext xmlns:c16="http://schemas.microsoft.com/office/drawing/2014/chart" uri="{C3380CC4-5D6E-409C-BE32-E72D297353CC}">
              <c16:uniqueId val="{00000001-0364-42FB-A55A-AFBD8486FA8D}"/>
            </c:ext>
          </c:extLst>
        </c:ser>
        <c:dLbls>
          <c:showLegendKey val="0"/>
          <c:showVal val="0"/>
          <c:showCatName val="0"/>
          <c:showSerName val="0"/>
          <c:showPercent val="0"/>
          <c:showBubbleSize val="0"/>
        </c:dLbls>
        <c:axId val="415197824"/>
        <c:axId val="415200000"/>
      </c:radarChart>
      <c:catAx>
        <c:axId val="415197824"/>
        <c:scaling>
          <c:orientation val="minMax"/>
        </c:scaling>
        <c:delete val="0"/>
        <c:axPos val="b"/>
        <c:numFmt formatCode="General" sourceLinked="1"/>
        <c:majorTickMark val="out"/>
        <c:minorTickMark val="none"/>
        <c:tickLblPos val="nextTo"/>
        <c:spPr>
          <a:ln>
            <a:solidFill>
              <a:srgbClr val="B3B3B3"/>
            </a:solidFill>
          </a:ln>
        </c:spPr>
        <c:txPr>
          <a:bodyPr rot="0" vert="horz"/>
          <a:lstStyle/>
          <a:p>
            <a:pPr>
              <a:defRPr/>
            </a:pPr>
            <a:endParaRPr lang="en-US"/>
          </a:p>
        </c:txPr>
        <c:crossAx val="415200000"/>
        <c:crosses val="autoZero"/>
        <c:auto val="0"/>
        <c:lblAlgn val="ctr"/>
        <c:lblOffset val="100"/>
        <c:noMultiLvlLbl val="0"/>
      </c:catAx>
      <c:valAx>
        <c:axId val="415200000"/>
        <c:scaling>
          <c:orientation val="minMax"/>
        </c:scaling>
        <c:delete val="0"/>
        <c:axPos val="l"/>
        <c:numFmt formatCode="0%" sourceLinked="1"/>
        <c:majorTickMark val="cross"/>
        <c:minorTickMark val="none"/>
        <c:tickLblPos val="nextTo"/>
        <c:spPr>
          <a:ln w="3175">
            <a:solidFill>
              <a:srgbClr val="B3B3B3"/>
            </a:solidFill>
            <a:prstDash val="solid"/>
          </a:ln>
        </c:spPr>
        <c:txPr>
          <a:bodyPr rot="0" vert="horz"/>
          <a:lstStyle/>
          <a:p>
            <a:pPr>
              <a:defRPr/>
            </a:pPr>
            <a:endParaRPr lang="en-US"/>
          </a:p>
        </c:txPr>
        <c:crossAx val="415197824"/>
        <c:crosses val="autoZero"/>
        <c:crossBetween val="between"/>
      </c:valAx>
      <c:spPr>
        <a:noFill/>
        <a:ln w="25400">
          <a:noFill/>
        </a:ln>
      </c:spPr>
    </c:plotArea>
    <c:legend>
      <c:legendPos val="b"/>
      <c:overlay val="0"/>
      <c:spPr>
        <a:noFill/>
        <a:ln w="25400">
          <a:noFill/>
        </a:ln>
      </c:spPr>
    </c:legend>
    <c:plotVisOnly val="1"/>
    <c:dispBlanksAs val="gap"/>
    <c:showDLblsOverMax val="0"/>
  </c:chart>
  <c:spPr>
    <a:noFill/>
    <a:ln w="25400">
      <a:noFill/>
    </a:ln>
    <a:effectLst/>
  </c:spPr>
  <c:txPr>
    <a:bodyPr/>
    <a:lstStyle/>
    <a:p>
      <a:pPr>
        <a:defRPr sz="1000" b="0" i="0" u="none" strike="noStrike" baseline="0">
          <a:solidFill>
            <a:srgbClr val="595959"/>
          </a:solidFill>
          <a:latin typeface="Arial Narrow"/>
          <a:ea typeface="Arial Narrow"/>
          <a:cs typeface="Arial Narrow"/>
        </a:defRPr>
      </a:pPr>
      <a:endParaRPr lang="en-US"/>
    </a:p>
  </c:txPr>
  <c:printSettings>
    <c:headerFooter alignWithMargins="0"/>
    <c:pageMargins b="1" l="0.75000000000000111" r="0.75000000000000111" t="1" header="0.5" footer="0.5"/>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6437668221010052"/>
          <c:y val="0.1408684799091747"/>
          <c:w val="0.4211078858475279"/>
          <c:h val="0.61287288979559962"/>
        </c:manualLayout>
      </c:layout>
      <c:radarChart>
        <c:radarStyle val="marker"/>
        <c:varyColors val="0"/>
        <c:ser>
          <c:idx val="0"/>
          <c:order val="0"/>
          <c:tx>
            <c:strRef>
              <c:f>ENTEL!$W$24</c:f>
              <c:strCache>
                <c:ptCount val="1"/>
                <c:pt idx="0">
                  <c:v>Entel</c:v>
                </c:pt>
              </c:strCache>
            </c:strRef>
          </c:tx>
          <c:spPr>
            <a:ln w="25400">
              <a:solidFill>
                <a:srgbClr val="263238"/>
              </a:solidFill>
              <a:prstDash val="solid"/>
            </a:ln>
            <a:effectLst/>
          </c:spPr>
          <c:marker>
            <c:symbol val="diamond"/>
            <c:size val="6"/>
            <c:spPr>
              <a:solidFill>
                <a:srgbClr val="263238"/>
              </a:solidFill>
              <a:ln w="6350">
                <a:noFill/>
              </a:ln>
            </c:spPr>
          </c:marker>
          <c:cat>
            <c:strRef>
              <c:f>ENTEL!$V$25:$V$34</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ENTEL!$W$25:$W$34</c:f>
              <c:numCache>
                <c:formatCode>0%</c:formatCode>
                <c:ptCount val="10"/>
                <c:pt idx="0">
                  <c:v>0.49453615701074688</c:v>
                </c:pt>
                <c:pt idx="1">
                  <c:v>0.65798124181785855</c:v>
                </c:pt>
                <c:pt idx="2">
                  <c:v>0.94413567954835909</c:v>
                </c:pt>
                <c:pt idx="3">
                  <c:v>1.0348151506168666</c:v>
                </c:pt>
                <c:pt idx="4">
                  <c:v>0.38993761238125074</c:v>
                </c:pt>
                <c:pt idx="5">
                  <c:v>0.70745726651827079</c:v>
                </c:pt>
                <c:pt idx="6">
                  <c:v>0.76037394785909196</c:v>
                </c:pt>
                <c:pt idx="7">
                  <c:v>0.47427396111648751</c:v>
                </c:pt>
                <c:pt idx="8">
                  <c:v>0.77703562264600312</c:v>
                </c:pt>
                <c:pt idx="9">
                  <c:v>1.3151423754267213</c:v>
                </c:pt>
              </c:numCache>
            </c:numRef>
          </c:val>
          <c:extLst>
            <c:ext xmlns:c16="http://schemas.microsoft.com/office/drawing/2014/chart" uri="{C3380CC4-5D6E-409C-BE32-E72D297353CC}">
              <c16:uniqueId val="{00000000-6059-49C1-BC06-8C801756D38F}"/>
            </c:ext>
          </c:extLst>
        </c:ser>
        <c:ser>
          <c:idx val="1"/>
          <c:order val="1"/>
          <c:tx>
            <c:strRef>
              <c:f>ENTEL!$X$24</c:f>
              <c:strCache>
                <c:ptCount val="1"/>
                <c:pt idx="0">
                  <c:v>Agg. LatAm Cellular</c:v>
                </c:pt>
              </c:strCache>
            </c:strRef>
          </c:tx>
          <c:spPr>
            <a:ln w="25400">
              <a:solidFill>
                <a:srgbClr val="799098"/>
              </a:solidFill>
              <a:prstDash val="solid"/>
            </a:ln>
            <a:effectLst/>
          </c:spPr>
          <c:marker>
            <c:symbol val="diamond"/>
            <c:size val="6"/>
            <c:spPr>
              <a:solidFill>
                <a:srgbClr val="799098"/>
              </a:solidFill>
              <a:ln w="6350">
                <a:noFill/>
              </a:ln>
            </c:spPr>
          </c:marker>
          <c:cat>
            <c:strRef>
              <c:f>ENTEL!$V$25:$V$34</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ENTEL!$X$25:$X$34</c:f>
              <c:numCache>
                <c:formatCode>0%</c:formatCode>
                <c:ptCount val="10"/>
                <c:pt idx="0">
                  <c:v>1</c:v>
                </c:pt>
                <c:pt idx="1">
                  <c:v>1</c:v>
                </c:pt>
                <c:pt idx="2">
                  <c:v>1</c:v>
                </c:pt>
                <c:pt idx="3">
                  <c:v>1</c:v>
                </c:pt>
                <c:pt idx="4">
                  <c:v>1</c:v>
                </c:pt>
                <c:pt idx="5">
                  <c:v>1</c:v>
                </c:pt>
                <c:pt idx="6">
                  <c:v>1</c:v>
                </c:pt>
                <c:pt idx="7">
                  <c:v>1</c:v>
                </c:pt>
                <c:pt idx="8">
                  <c:v>1</c:v>
                </c:pt>
                <c:pt idx="9">
                  <c:v>1</c:v>
                </c:pt>
              </c:numCache>
            </c:numRef>
          </c:val>
          <c:extLst>
            <c:ext xmlns:c16="http://schemas.microsoft.com/office/drawing/2014/chart" uri="{C3380CC4-5D6E-409C-BE32-E72D297353CC}">
              <c16:uniqueId val="{00000001-6059-49C1-BC06-8C801756D38F}"/>
            </c:ext>
          </c:extLst>
        </c:ser>
        <c:dLbls>
          <c:showLegendKey val="0"/>
          <c:showVal val="0"/>
          <c:showCatName val="0"/>
          <c:showSerName val="0"/>
          <c:showPercent val="0"/>
          <c:showBubbleSize val="0"/>
        </c:dLbls>
        <c:axId val="422091392"/>
        <c:axId val="422105856"/>
      </c:radarChart>
      <c:catAx>
        <c:axId val="422091392"/>
        <c:scaling>
          <c:orientation val="minMax"/>
        </c:scaling>
        <c:delete val="0"/>
        <c:axPos val="b"/>
        <c:numFmt formatCode="General" sourceLinked="1"/>
        <c:majorTickMark val="out"/>
        <c:minorTickMark val="none"/>
        <c:tickLblPos val="nextTo"/>
        <c:spPr>
          <a:ln>
            <a:solidFill>
              <a:srgbClr val="B3B3B3"/>
            </a:solidFill>
          </a:ln>
        </c:spPr>
        <c:txPr>
          <a:bodyPr rot="0" vert="horz"/>
          <a:lstStyle/>
          <a:p>
            <a:pPr>
              <a:defRPr/>
            </a:pPr>
            <a:endParaRPr lang="en-US"/>
          </a:p>
        </c:txPr>
        <c:crossAx val="422105856"/>
        <c:crosses val="autoZero"/>
        <c:auto val="0"/>
        <c:lblAlgn val="ctr"/>
        <c:lblOffset val="100"/>
        <c:noMultiLvlLbl val="0"/>
      </c:catAx>
      <c:valAx>
        <c:axId val="422105856"/>
        <c:scaling>
          <c:orientation val="minMax"/>
        </c:scaling>
        <c:delete val="0"/>
        <c:axPos val="l"/>
        <c:numFmt formatCode="0%" sourceLinked="1"/>
        <c:majorTickMark val="cross"/>
        <c:minorTickMark val="none"/>
        <c:tickLblPos val="nextTo"/>
        <c:spPr>
          <a:ln w="3175">
            <a:solidFill>
              <a:srgbClr val="B3B3B3"/>
            </a:solidFill>
            <a:prstDash val="solid"/>
          </a:ln>
        </c:spPr>
        <c:txPr>
          <a:bodyPr rot="0" vert="horz"/>
          <a:lstStyle/>
          <a:p>
            <a:pPr>
              <a:defRPr/>
            </a:pPr>
            <a:endParaRPr lang="en-US"/>
          </a:p>
        </c:txPr>
        <c:crossAx val="422091392"/>
        <c:crosses val="autoZero"/>
        <c:crossBetween val="between"/>
      </c:valAx>
      <c:spPr>
        <a:noFill/>
        <a:ln w="25400">
          <a:noFill/>
        </a:ln>
      </c:spPr>
    </c:plotArea>
    <c:legend>
      <c:legendPos val="b"/>
      <c:overlay val="0"/>
      <c:spPr>
        <a:noFill/>
        <a:ln w="25400">
          <a:noFill/>
        </a:ln>
      </c:spPr>
    </c:legend>
    <c:plotVisOnly val="1"/>
    <c:dispBlanksAs val="gap"/>
    <c:showDLblsOverMax val="0"/>
  </c:chart>
  <c:spPr>
    <a:noFill/>
    <a:ln w="25400">
      <a:noFill/>
    </a:ln>
    <a:effectLst/>
  </c:spPr>
  <c:txPr>
    <a:bodyPr/>
    <a:lstStyle/>
    <a:p>
      <a:pPr>
        <a:defRPr sz="1000" b="0" i="0" u="none" strike="noStrike" baseline="0">
          <a:solidFill>
            <a:srgbClr val="595959"/>
          </a:solidFill>
          <a:latin typeface="Arial Narrow"/>
          <a:ea typeface="Arial Narrow"/>
          <a:cs typeface="Arial Narrow"/>
        </a:defRPr>
      </a:pPr>
      <a:endParaRPr lang="en-US"/>
    </a:p>
  </c:txPr>
  <c:printSettings>
    <c:headerFooter alignWithMargins="0"/>
    <c:pageMargins b="1" l="0.75000000000000111" r="0.75000000000000111" t="1" header="0.5" footer="0.5"/>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6290358306253112"/>
          <c:y val="0.22461572207890937"/>
          <c:w val="0.31653256967120791"/>
          <c:h val="0.48307764885464166"/>
        </c:manualLayout>
      </c:layout>
      <c:radarChart>
        <c:radarStyle val="marker"/>
        <c:varyColors val="0"/>
        <c:ser>
          <c:idx val="0"/>
          <c:order val="0"/>
          <c:tx>
            <c:strRef>
              <c:f>FAR!$W$24</c:f>
              <c:strCache>
                <c:ptCount val="1"/>
                <c:pt idx="0">
                  <c:v>Far</c:v>
                </c:pt>
              </c:strCache>
            </c:strRef>
          </c:tx>
          <c:spPr>
            <a:ln w="25400">
              <a:solidFill>
                <a:srgbClr val="263238"/>
              </a:solidFill>
              <a:prstDash val="solid"/>
            </a:ln>
            <a:effectLst/>
          </c:spPr>
          <c:marker>
            <c:symbol val="diamond"/>
            <c:size val="6"/>
            <c:spPr>
              <a:solidFill>
                <a:srgbClr val="263238"/>
              </a:solidFill>
              <a:ln w="6350">
                <a:noFill/>
              </a:ln>
            </c:spPr>
          </c:marker>
          <c:cat>
            <c:strRef>
              <c:f>FAR!$V$25:$V$34</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FAR!$W$25:$W$34</c:f>
              <c:numCache>
                <c:formatCode>0%</c:formatCode>
                <c:ptCount val="10"/>
                <c:pt idx="0">
                  <c:v>1.68675507701743</c:v>
                </c:pt>
                <c:pt idx="1">
                  <c:v>1.6351926680799449</c:v>
                </c:pt>
                <c:pt idx="2">
                  <c:v>1.2046470592439065</c:v>
                </c:pt>
                <c:pt idx="3">
                  <c:v>1.128781310791001</c:v>
                </c:pt>
                <c:pt idx="4">
                  <c:v>1.7132377648280226</c:v>
                </c:pt>
                <c:pt idx="5">
                  <c:v>2.6078057236955607</c:v>
                </c:pt>
                <c:pt idx="6">
                  <c:v>0.88570149586847091</c:v>
                </c:pt>
                <c:pt idx="7">
                  <c:v>1.0438899729485753</c:v>
                </c:pt>
                <c:pt idx="8">
                  <c:v>0.95213283738367283</c:v>
                </c:pt>
                <c:pt idx="9">
                  <c:v>1.1290485616934114</c:v>
                </c:pt>
              </c:numCache>
            </c:numRef>
          </c:val>
          <c:extLst>
            <c:ext xmlns:c16="http://schemas.microsoft.com/office/drawing/2014/chart" uri="{C3380CC4-5D6E-409C-BE32-E72D297353CC}">
              <c16:uniqueId val="{00000000-B65F-45FF-8420-2E9015FD0AB3}"/>
            </c:ext>
          </c:extLst>
        </c:ser>
        <c:ser>
          <c:idx val="1"/>
          <c:order val="1"/>
          <c:tx>
            <c:strRef>
              <c:f>FAR!$X$24</c:f>
              <c:strCache>
                <c:ptCount val="1"/>
                <c:pt idx="0">
                  <c:v>Agg. Asia Cellular</c:v>
                </c:pt>
              </c:strCache>
            </c:strRef>
          </c:tx>
          <c:spPr>
            <a:ln w="25400">
              <a:solidFill>
                <a:srgbClr val="799098"/>
              </a:solidFill>
              <a:prstDash val="solid"/>
            </a:ln>
            <a:effectLst/>
          </c:spPr>
          <c:marker>
            <c:symbol val="diamond"/>
            <c:size val="6"/>
            <c:spPr>
              <a:solidFill>
                <a:srgbClr val="799098"/>
              </a:solidFill>
              <a:ln w="6350">
                <a:noFill/>
              </a:ln>
            </c:spPr>
          </c:marker>
          <c:cat>
            <c:strRef>
              <c:f>FAR!$V$25:$V$34</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FAR!$X$25:$X$34</c:f>
              <c:numCache>
                <c:formatCode>0%</c:formatCode>
                <c:ptCount val="10"/>
                <c:pt idx="0">
                  <c:v>1</c:v>
                </c:pt>
                <c:pt idx="1">
                  <c:v>1</c:v>
                </c:pt>
                <c:pt idx="2">
                  <c:v>1</c:v>
                </c:pt>
                <c:pt idx="3">
                  <c:v>1</c:v>
                </c:pt>
                <c:pt idx="4">
                  <c:v>1</c:v>
                </c:pt>
                <c:pt idx="5">
                  <c:v>1</c:v>
                </c:pt>
                <c:pt idx="6">
                  <c:v>1</c:v>
                </c:pt>
                <c:pt idx="7">
                  <c:v>1</c:v>
                </c:pt>
                <c:pt idx="8">
                  <c:v>1</c:v>
                </c:pt>
                <c:pt idx="9">
                  <c:v>1</c:v>
                </c:pt>
              </c:numCache>
            </c:numRef>
          </c:val>
          <c:extLst>
            <c:ext xmlns:c16="http://schemas.microsoft.com/office/drawing/2014/chart" uri="{C3380CC4-5D6E-409C-BE32-E72D297353CC}">
              <c16:uniqueId val="{00000001-B65F-45FF-8420-2E9015FD0AB3}"/>
            </c:ext>
          </c:extLst>
        </c:ser>
        <c:dLbls>
          <c:showLegendKey val="0"/>
          <c:showVal val="0"/>
          <c:showCatName val="0"/>
          <c:showSerName val="0"/>
          <c:showPercent val="0"/>
          <c:showBubbleSize val="0"/>
        </c:dLbls>
        <c:axId val="422500992"/>
        <c:axId val="422929152"/>
      </c:radarChart>
      <c:catAx>
        <c:axId val="422500992"/>
        <c:scaling>
          <c:orientation val="minMax"/>
        </c:scaling>
        <c:delete val="0"/>
        <c:axPos val="b"/>
        <c:numFmt formatCode="General" sourceLinked="1"/>
        <c:majorTickMark val="out"/>
        <c:minorTickMark val="none"/>
        <c:tickLblPos val="nextTo"/>
        <c:spPr>
          <a:ln>
            <a:solidFill>
              <a:srgbClr val="B3B3B3"/>
            </a:solidFill>
          </a:ln>
        </c:spPr>
        <c:txPr>
          <a:bodyPr rot="0" vert="horz"/>
          <a:lstStyle/>
          <a:p>
            <a:pPr>
              <a:defRPr/>
            </a:pPr>
            <a:endParaRPr lang="en-US"/>
          </a:p>
        </c:txPr>
        <c:crossAx val="422929152"/>
        <c:crosses val="autoZero"/>
        <c:auto val="0"/>
        <c:lblAlgn val="ctr"/>
        <c:lblOffset val="100"/>
        <c:noMultiLvlLbl val="0"/>
      </c:catAx>
      <c:valAx>
        <c:axId val="422929152"/>
        <c:scaling>
          <c:orientation val="minMax"/>
        </c:scaling>
        <c:delete val="0"/>
        <c:axPos val="l"/>
        <c:numFmt formatCode="0%" sourceLinked="1"/>
        <c:majorTickMark val="cross"/>
        <c:minorTickMark val="none"/>
        <c:tickLblPos val="nextTo"/>
        <c:spPr>
          <a:ln w="3175">
            <a:solidFill>
              <a:srgbClr val="B3B3B3"/>
            </a:solidFill>
            <a:prstDash val="solid"/>
          </a:ln>
        </c:spPr>
        <c:txPr>
          <a:bodyPr rot="0" vert="horz"/>
          <a:lstStyle/>
          <a:p>
            <a:pPr>
              <a:defRPr/>
            </a:pPr>
            <a:endParaRPr lang="en-US"/>
          </a:p>
        </c:txPr>
        <c:crossAx val="422500992"/>
        <c:crosses val="autoZero"/>
        <c:crossBetween val="between"/>
        <c:majorUnit val="0.5"/>
        <c:minorUnit val="0.5"/>
      </c:valAx>
      <c:spPr>
        <a:noFill/>
        <a:ln w="25400">
          <a:noFill/>
        </a:ln>
      </c:spPr>
    </c:plotArea>
    <c:legend>
      <c:legendPos val="b"/>
      <c:overlay val="0"/>
      <c:spPr>
        <a:noFill/>
        <a:ln w="25400">
          <a:noFill/>
        </a:ln>
      </c:spPr>
    </c:legend>
    <c:plotVisOnly val="1"/>
    <c:dispBlanksAs val="gap"/>
    <c:showDLblsOverMax val="0"/>
  </c:chart>
  <c:spPr>
    <a:noFill/>
    <a:ln w="25400">
      <a:noFill/>
    </a:ln>
    <a:effectLst/>
  </c:spPr>
  <c:txPr>
    <a:bodyPr/>
    <a:lstStyle/>
    <a:p>
      <a:pPr>
        <a:defRPr sz="1000" b="0" i="0" u="none" strike="noStrike" baseline="0">
          <a:solidFill>
            <a:srgbClr val="595959"/>
          </a:solidFill>
          <a:latin typeface="Arial Narrow"/>
          <a:ea typeface="Arial Narrow"/>
          <a:cs typeface="Arial Narrow"/>
        </a:defRPr>
      </a:pPr>
      <a:endParaRPr lang="en-US"/>
    </a:p>
  </c:txPr>
  <c:printSettings>
    <c:headerFooter alignWithMargins="0"/>
    <c:pageMargins b="1" l="0.75000000000000111" r="0.75000000000000111" t="1" header="0.5" footer="0.5"/>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0034031382078247"/>
          <c:y val="7.1428679743121323E-2"/>
          <c:w val="0.47869641399304225"/>
          <c:h val="0.75627286455834464"/>
        </c:manualLayout>
      </c:layout>
      <c:radarChart>
        <c:radarStyle val="marker"/>
        <c:varyColors val="0"/>
        <c:ser>
          <c:idx val="0"/>
          <c:order val="0"/>
          <c:tx>
            <c:strRef>
              <c:f>HKBN!$W$24</c:f>
              <c:strCache>
                <c:ptCount val="1"/>
                <c:pt idx="0">
                  <c:v>HKBN</c:v>
                </c:pt>
              </c:strCache>
            </c:strRef>
          </c:tx>
          <c:spPr>
            <a:ln w="25400">
              <a:solidFill>
                <a:srgbClr val="263238"/>
              </a:solidFill>
              <a:prstDash val="solid"/>
            </a:ln>
            <a:effectLst/>
          </c:spPr>
          <c:marker>
            <c:symbol val="diamond"/>
            <c:size val="6"/>
            <c:spPr>
              <a:solidFill>
                <a:srgbClr val="263238"/>
              </a:solidFill>
              <a:ln w="6350">
                <a:noFill/>
              </a:ln>
            </c:spPr>
          </c:marker>
          <c:cat>
            <c:strRef>
              <c:f>HKBN!$V$25:$V$34</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HKBN!$W$25:$W$34</c:f>
              <c:numCache>
                <c:formatCode>0%</c:formatCode>
                <c:ptCount val="10"/>
                <c:pt idx="0">
                  <c:v>0.20701154191059895</c:v>
                </c:pt>
                <c:pt idx="1">
                  <c:v>0.29494969828260598</c:v>
                </c:pt>
                <c:pt idx="2">
                  <c:v>0.2222468020262317</c:v>
                </c:pt>
                <c:pt idx="3">
                  <c:v>0.21293106780956336</c:v>
                </c:pt>
                <c:pt idx="4">
                  <c:v>0.31030009807593834</c:v>
                </c:pt>
                <c:pt idx="5">
                  <c:v>0.53157040513234222</c:v>
                </c:pt>
                <c:pt idx="6">
                  <c:v>6.0778708561496524E-2</c:v>
                </c:pt>
                <c:pt idx="7">
                  <c:v>0.23950833976941588</c:v>
                </c:pt>
                <c:pt idx="8">
                  <c:v>34.538225896289497</c:v>
                </c:pt>
                <c:pt idx="9">
                  <c:v>16.45313011197317</c:v>
                </c:pt>
              </c:numCache>
            </c:numRef>
          </c:val>
          <c:extLst>
            <c:ext xmlns:c16="http://schemas.microsoft.com/office/drawing/2014/chart" uri="{C3380CC4-5D6E-409C-BE32-E72D297353CC}">
              <c16:uniqueId val="{00000000-AF6E-40C4-929D-0CA4A7FB30E8}"/>
            </c:ext>
          </c:extLst>
        </c:ser>
        <c:ser>
          <c:idx val="1"/>
          <c:order val="1"/>
          <c:tx>
            <c:strRef>
              <c:f>HKBN!$X$24</c:f>
              <c:strCache>
                <c:ptCount val="1"/>
              </c:strCache>
            </c:strRef>
          </c:tx>
          <c:spPr>
            <a:ln w="25400">
              <a:solidFill>
                <a:srgbClr val="799098"/>
              </a:solidFill>
              <a:prstDash val="solid"/>
            </a:ln>
            <a:effectLst/>
          </c:spPr>
          <c:marker>
            <c:symbol val="diamond"/>
            <c:size val="6"/>
            <c:spPr>
              <a:solidFill>
                <a:srgbClr val="799098"/>
              </a:solidFill>
              <a:ln w="6350">
                <a:noFill/>
              </a:ln>
            </c:spPr>
          </c:marker>
          <c:cat>
            <c:strRef>
              <c:f>HKBN!$V$25:$V$34</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HKBN!$X$25:$X$34</c:f>
              <c:numCache>
                <c:formatCode>0%</c:formatCode>
                <c:ptCount val="10"/>
                <c:pt idx="0">
                  <c:v>1</c:v>
                </c:pt>
                <c:pt idx="1">
                  <c:v>1</c:v>
                </c:pt>
                <c:pt idx="2">
                  <c:v>1</c:v>
                </c:pt>
                <c:pt idx="3">
                  <c:v>1</c:v>
                </c:pt>
                <c:pt idx="4">
                  <c:v>1</c:v>
                </c:pt>
                <c:pt idx="5">
                  <c:v>1</c:v>
                </c:pt>
                <c:pt idx="6">
                  <c:v>1</c:v>
                </c:pt>
                <c:pt idx="7">
                  <c:v>1</c:v>
                </c:pt>
                <c:pt idx="8">
                  <c:v>1</c:v>
                </c:pt>
                <c:pt idx="9">
                  <c:v>1</c:v>
                </c:pt>
              </c:numCache>
            </c:numRef>
          </c:val>
          <c:extLst>
            <c:ext xmlns:c16="http://schemas.microsoft.com/office/drawing/2014/chart" uri="{C3380CC4-5D6E-409C-BE32-E72D297353CC}">
              <c16:uniqueId val="{00000001-AF6E-40C4-929D-0CA4A7FB30E8}"/>
            </c:ext>
          </c:extLst>
        </c:ser>
        <c:dLbls>
          <c:showLegendKey val="0"/>
          <c:showVal val="0"/>
          <c:showCatName val="0"/>
          <c:showSerName val="0"/>
          <c:showPercent val="0"/>
          <c:showBubbleSize val="0"/>
        </c:dLbls>
        <c:axId val="423725696"/>
        <c:axId val="424030976"/>
      </c:radarChart>
      <c:catAx>
        <c:axId val="423725696"/>
        <c:scaling>
          <c:orientation val="minMax"/>
        </c:scaling>
        <c:delete val="0"/>
        <c:axPos val="b"/>
        <c:numFmt formatCode="General" sourceLinked="1"/>
        <c:majorTickMark val="out"/>
        <c:minorTickMark val="none"/>
        <c:tickLblPos val="nextTo"/>
        <c:spPr>
          <a:ln>
            <a:solidFill>
              <a:srgbClr val="B3B3B3"/>
            </a:solidFill>
          </a:ln>
        </c:spPr>
        <c:txPr>
          <a:bodyPr rot="0" vert="horz"/>
          <a:lstStyle/>
          <a:p>
            <a:pPr>
              <a:defRPr/>
            </a:pPr>
            <a:endParaRPr lang="en-US"/>
          </a:p>
        </c:txPr>
        <c:crossAx val="424030976"/>
        <c:crosses val="autoZero"/>
        <c:auto val="0"/>
        <c:lblAlgn val="ctr"/>
        <c:lblOffset val="100"/>
        <c:noMultiLvlLbl val="0"/>
      </c:catAx>
      <c:valAx>
        <c:axId val="424030976"/>
        <c:scaling>
          <c:orientation val="minMax"/>
        </c:scaling>
        <c:delete val="0"/>
        <c:axPos val="l"/>
        <c:numFmt formatCode="0%" sourceLinked="1"/>
        <c:majorTickMark val="cross"/>
        <c:minorTickMark val="none"/>
        <c:tickLblPos val="nextTo"/>
        <c:spPr>
          <a:ln w="3175">
            <a:solidFill>
              <a:srgbClr val="B3B3B3"/>
            </a:solidFill>
            <a:prstDash val="solid"/>
          </a:ln>
        </c:spPr>
        <c:txPr>
          <a:bodyPr rot="0" vert="horz"/>
          <a:lstStyle/>
          <a:p>
            <a:pPr>
              <a:defRPr/>
            </a:pPr>
            <a:endParaRPr lang="en-US"/>
          </a:p>
        </c:txPr>
        <c:crossAx val="423725696"/>
        <c:crosses val="autoZero"/>
        <c:crossBetween val="between"/>
      </c:valAx>
      <c:spPr>
        <a:noFill/>
        <a:ln w="25400">
          <a:noFill/>
        </a:ln>
      </c:spPr>
    </c:plotArea>
    <c:legend>
      <c:legendPos val="b"/>
      <c:overlay val="0"/>
      <c:spPr>
        <a:noFill/>
        <a:ln w="25400">
          <a:noFill/>
        </a:ln>
      </c:spPr>
    </c:legend>
    <c:plotVisOnly val="1"/>
    <c:dispBlanksAs val="gap"/>
    <c:showDLblsOverMax val="0"/>
  </c:chart>
  <c:spPr>
    <a:noFill/>
    <a:ln w="25400">
      <a:noFill/>
    </a:ln>
    <a:effectLst/>
  </c:spPr>
  <c:txPr>
    <a:bodyPr/>
    <a:lstStyle/>
    <a:p>
      <a:pPr>
        <a:defRPr sz="1000" b="0" i="0" u="none" strike="noStrike" baseline="0">
          <a:solidFill>
            <a:srgbClr val="595959"/>
          </a:solidFill>
          <a:latin typeface="Arial Narrow"/>
          <a:ea typeface="Arial Narrow"/>
          <a:cs typeface="Arial Narrow"/>
        </a:defRPr>
      </a:pPr>
      <a:endParaRPr lang="en-US"/>
    </a:p>
  </c:txPr>
  <c:printSettings>
    <c:headerFooter alignWithMargins="0"/>
    <c:pageMargins b="1" l="0.75000000000000111" r="0.75000000000000111" t="1" header="0.5" footer="0.5"/>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0435991816237784"/>
          <c:y val="0.11076939718959915"/>
          <c:w val="0.45162220199505188"/>
          <c:h val="0.70601516502562156"/>
        </c:manualLayout>
      </c:layout>
      <c:radarChart>
        <c:radarStyle val="marker"/>
        <c:varyColors val="0"/>
        <c:ser>
          <c:idx val="0"/>
          <c:order val="0"/>
          <c:tx>
            <c:strRef>
              <c:f>IDEA!$W$24</c:f>
              <c:strCache>
                <c:ptCount val="1"/>
                <c:pt idx="0">
                  <c:v>IDEA</c:v>
                </c:pt>
              </c:strCache>
            </c:strRef>
          </c:tx>
          <c:spPr>
            <a:ln w="25400">
              <a:solidFill>
                <a:srgbClr val="263238"/>
              </a:solidFill>
              <a:prstDash val="solid"/>
            </a:ln>
            <a:effectLst/>
          </c:spPr>
          <c:marker>
            <c:symbol val="diamond"/>
            <c:size val="6"/>
            <c:spPr>
              <a:solidFill>
                <a:srgbClr val="263238"/>
              </a:solidFill>
              <a:ln w="6350">
                <a:noFill/>
              </a:ln>
            </c:spPr>
          </c:marker>
          <c:cat>
            <c:strRef>
              <c:f>IDEA!$V$25:$V$34</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IDEA!$W$25:$W$34</c:f>
              <c:numCache>
                <c:formatCode>0%</c:formatCode>
                <c:ptCount val="10"/>
                <c:pt idx="0">
                  <c:v>3.187120352577657</c:v>
                </c:pt>
                <c:pt idx="1">
                  <c:v>2.6008471359807799</c:v>
                </c:pt>
                <c:pt idx="2">
                  <c:v>1.5125622460715307</c:v>
                </c:pt>
                <c:pt idx="3">
                  <c:v>1.614152627816472</c:v>
                </c:pt>
                <c:pt idx="4">
                  <c:v>1.9206251978426907</c:v>
                </c:pt>
                <c:pt idx="5">
                  <c:v>0.69377235977896545</c:v>
                </c:pt>
                <c:pt idx="6">
                  <c:v>-0.37601013018148571</c:v>
                </c:pt>
                <c:pt idx="7">
                  <c:v>-0.11828642552260125</c:v>
                </c:pt>
                <c:pt idx="8">
                  <c:v>0</c:v>
                </c:pt>
                <c:pt idx="9">
                  <c:v>-2.6595028158346108</c:v>
                </c:pt>
              </c:numCache>
            </c:numRef>
          </c:val>
          <c:extLst>
            <c:ext xmlns:c16="http://schemas.microsoft.com/office/drawing/2014/chart" uri="{C3380CC4-5D6E-409C-BE32-E72D297353CC}">
              <c16:uniqueId val="{00000000-CB54-4F91-8411-758B1DD930A7}"/>
            </c:ext>
          </c:extLst>
        </c:ser>
        <c:ser>
          <c:idx val="1"/>
          <c:order val="1"/>
          <c:tx>
            <c:strRef>
              <c:f>IDEA!$X$24</c:f>
              <c:strCache>
                <c:ptCount val="1"/>
                <c:pt idx="0">
                  <c:v>Agg. Asia Cellular</c:v>
                </c:pt>
              </c:strCache>
            </c:strRef>
          </c:tx>
          <c:spPr>
            <a:ln w="25400">
              <a:solidFill>
                <a:srgbClr val="799098"/>
              </a:solidFill>
              <a:prstDash val="solid"/>
            </a:ln>
            <a:effectLst/>
          </c:spPr>
          <c:marker>
            <c:symbol val="diamond"/>
            <c:size val="6"/>
            <c:spPr>
              <a:solidFill>
                <a:srgbClr val="799098"/>
              </a:solidFill>
              <a:ln w="6350">
                <a:noFill/>
              </a:ln>
            </c:spPr>
          </c:marker>
          <c:cat>
            <c:strRef>
              <c:f>IDEA!$V$25:$V$34</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IDEA!$X$25:$X$34</c:f>
              <c:numCache>
                <c:formatCode>0%</c:formatCode>
                <c:ptCount val="10"/>
                <c:pt idx="0">
                  <c:v>1</c:v>
                </c:pt>
                <c:pt idx="1">
                  <c:v>1</c:v>
                </c:pt>
                <c:pt idx="2">
                  <c:v>1</c:v>
                </c:pt>
                <c:pt idx="3">
                  <c:v>1</c:v>
                </c:pt>
                <c:pt idx="4">
                  <c:v>1</c:v>
                </c:pt>
                <c:pt idx="5">
                  <c:v>1</c:v>
                </c:pt>
                <c:pt idx="6">
                  <c:v>1</c:v>
                </c:pt>
                <c:pt idx="7">
                  <c:v>1</c:v>
                </c:pt>
                <c:pt idx="8">
                  <c:v>1</c:v>
                </c:pt>
                <c:pt idx="9">
                  <c:v>1</c:v>
                </c:pt>
              </c:numCache>
            </c:numRef>
          </c:val>
          <c:extLst>
            <c:ext xmlns:c16="http://schemas.microsoft.com/office/drawing/2014/chart" uri="{C3380CC4-5D6E-409C-BE32-E72D297353CC}">
              <c16:uniqueId val="{00000001-CB54-4F91-8411-758B1DD930A7}"/>
            </c:ext>
          </c:extLst>
        </c:ser>
        <c:dLbls>
          <c:showLegendKey val="0"/>
          <c:showVal val="0"/>
          <c:showCatName val="0"/>
          <c:showSerName val="0"/>
          <c:showPercent val="0"/>
          <c:showBubbleSize val="0"/>
        </c:dLbls>
        <c:axId val="424888960"/>
        <c:axId val="424899328"/>
      </c:radarChart>
      <c:catAx>
        <c:axId val="424888960"/>
        <c:scaling>
          <c:orientation val="minMax"/>
        </c:scaling>
        <c:delete val="0"/>
        <c:axPos val="b"/>
        <c:numFmt formatCode="General" sourceLinked="1"/>
        <c:majorTickMark val="out"/>
        <c:minorTickMark val="none"/>
        <c:tickLblPos val="nextTo"/>
        <c:spPr>
          <a:ln>
            <a:solidFill>
              <a:srgbClr val="B3B3B3"/>
            </a:solidFill>
          </a:ln>
        </c:spPr>
        <c:txPr>
          <a:bodyPr rot="0" vert="horz"/>
          <a:lstStyle/>
          <a:p>
            <a:pPr>
              <a:defRPr/>
            </a:pPr>
            <a:endParaRPr lang="en-US"/>
          </a:p>
        </c:txPr>
        <c:crossAx val="424899328"/>
        <c:crosses val="autoZero"/>
        <c:auto val="0"/>
        <c:lblAlgn val="ctr"/>
        <c:lblOffset val="100"/>
        <c:noMultiLvlLbl val="0"/>
      </c:catAx>
      <c:valAx>
        <c:axId val="424899328"/>
        <c:scaling>
          <c:orientation val="minMax"/>
        </c:scaling>
        <c:delete val="0"/>
        <c:axPos val="l"/>
        <c:numFmt formatCode="0%" sourceLinked="1"/>
        <c:majorTickMark val="cross"/>
        <c:minorTickMark val="none"/>
        <c:tickLblPos val="nextTo"/>
        <c:spPr>
          <a:ln w="3175">
            <a:solidFill>
              <a:srgbClr val="B3B3B3"/>
            </a:solidFill>
            <a:prstDash val="solid"/>
          </a:ln>
        </c:spPr>
        <c:txPr>
          <a:bodyPr rot="0" vert="horz"/>
          <a:lstStyle/>
          <a:p>
            <a:pPr>
              <a:defRPr/>
            </a:pPr>
            <a:endParaRPr lang="en-US"/>
          </a:p>
        </c:txPr>
        <c:crossAx val="424888960"/>
        <c:crosses val="autoZero"/>
        <c:crossBetween val="between"/>
      </c:valAx>
      <c:spPr>
        <a:noFill/>
        <a:ln w="25400">
          <a:noFill/>
        </a:ln>
      </c:spPr>
    </c:plotArea>
    <c:legend>
      <c:legendPos val="b"/>
      <c:overlay val="0"/>
      <c:spPr>
        <a:noFill/>
        <a:ln w="25400">
          <a:noFill/>
        </a:ln>
      </c:spPr>
    </c:legend>
    <c:plotVisOnly val="1"/>
    <c:dispBlanksAs val="gap"/>
    <c:showDLblsOverMax val="0"/>
  </c:chart>
  <c:spPr>
    <a:noFill/>
    <a:ln w="25400">
      <a:noFill/>
    </a:ln>
    <a:effectLst/>
  </c:spPr>
  <c:txPr>
    <a:bodyPr/>
    <a:lstStyle/>
    <a:p>
      <a:pPr>
        <a:defRPr sz="1000" b="0" i="0" u="none" strike="noStrike" baseline="0">
          <a:solidFill>
            <a:srgbClr val="595959"/>
          </a:solidFill>
          <a:latin typeface="Arial Narrow"/>
          <a:ea typeface="Arial Narrow"/>
          <a:cs typeface="Arial Narrow"/>
        </a:defRPr>
      </a:pPr>
      <a:endParaRPr lang="en-US"/>
    </a:p>
  </c:txPr>
  <c:printSettings>
    <c:headerFooter alignWithMargins="0"/>
    <c:pageMargins b="1" l="0.75000000000000111" r="0.75000000000000111"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0728230483687885"/>
          <c:y val="8.3851058828881678E-2"/>
          <c:w val="0.46733235906653675"/>
          <c:h val="0.7328720952749167"/>
        </c:manualLayout>
      </c:layout>
      <c:radarChart>
        <c:radarStyle val="marker"/>
        <c:varyColors val="0"/>
        <c:ser>
          <c:idx val="0"/>
          <c:order val="0"/>
          <c:tx>
            <c:strRef>
              <c:f>AMT!$W$24</c:f>
              <c:strCache>
                <c:ptCount val="1"/>
                <c:pt idx="0">
                  <c:v>AMT</c:v>
                </c:pt>
              </c:strCache>
            </c:strRef>
          </c:tx>
          <c:spPr>
            <a:ln w="25400">
              <a:solidFill>
                <a:srgbClr val="263238"/>
              </a:solidFill>
              <a:prstDash val="solid"/>
            </a:ln>
            <a:effectLst/>
          </c:spPr>
          <c:marker>
            <c:symbol val="diamond"/>
            <c:size val="6"/>
            <c:spPr>
              <a:solidFill>
                <a:srgbClr val="263238"/>
              </a:solidFill>
              <a:ln w="6350">
                <a:noFill/>
              </a:ln>
            </c:spPr>
          </c:marker>
          <c:cat>
            <c:strRef>
              <c:f>AMT!$V$25:$V$34</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AMT!$W$25:$W$34</c:f>
              <c:numCache>
                <c:formatCode>0%</c:formatCode>
                <c:ptCount val="10"/>
                <c:pt idx="0">
                  <c:v>1.0556416200072014</c:v>
                </c:pt>
                <c:pt idx="1">
                  <c:v>1.0579869901526884</c:v>
                </c:pt>
                <c:pt idx="2">
                  <c:v>1.0154227929020074</c:v>
                </c:pt>
                <c:pt idx="3">
                  <c:v>1.0154227929020074</c:v>
                </c:pt>
                <c:pt idx="4">
                  <c:v>0.93811941948513133</c:v>
                </c:pt>
                <c:pt idx="5">
                  <c:v>1.0843902849104643</c:v>
                </c:pt>
                <c:pt idx="6">
                  <c:v>0.99268991861114175</c:v>
                </c:pt>
                <c:pt idx="7">
                  <c:v>1.0982563520306416</c:v>
                </c:pt>
                <c:pt idx="8">
                  <c:v>0.8628488262892412</c:v>
                </c:pt>
                <c:pt idx="9">
                  <c:v>1.0073639121862803</c:v>
                </c:pt>
              </c:numCache>
            </c:numRef>
          </c:val>
          <c:extLst>
            <c:ext xmlns:c16="http://schemas.microsoft.com/office/drawing/2014/chart" uri="{C3380CC4-5D6E-409C-BE32-E72D297353CC}">
              <c16:uniqueId val="{00000000-76D8-4EB5-ABCE-E79856387B7D}"/>
            </c:ext>
          </c:extLst>
        </c:ser>
        <c:ser>
          <c:idx val="1"/>
          <c:order val="1"/>
          <c:tx>
            <c:strRef>
              <c:f>AMT!$X$24</c:f>
              <c:strCache>
                <c:ptCount val="1"/>
                <c:pt idx="0">
                  <c:v>Agg. US Towers</c:v>
                </c:pt>
              </c:strCache>
            </c:strRef>
          </c:tx>
          <c:spPr>
            <a:ln w="25400">
              <a:solidFill>
                <a:srgbClr val="799098"/>
              </a:solidFill>
              <a:prstDash val="solid"/>
            </a:ln>
            <a:effectLst/>
          </c:spPr>
          <c:marker>
            <c:symbol val="diamond"/>
            <c:size val="6"/>
            <c:spPr>
              <a:solidFill>
                <a:srgbClr val="799098"/>
              </a:solidFill>
              <a:ln w="6350">
                <a:noFill/>
              </a:ln>
            </c:spPr>
          </c:marker>
          <c:cat>
            <c:strRef>
              <c:f>AMT!$V$25:$V$34</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AMT!$X$25:$X$34</c:f>
              <c:numCache>
                <c:formatCode>0%</c:formatCode>
                <c:ptCount val="10"/>
                <c:pt idx="0">
                  <c:v>1</c:v>
                </c:pt>
                <c:pt idx="1">
                  <c:v>1</c:v>
                </c:pt>
                <c:pt idx="2">
                  <c:v>1</c:v>
                </c:pt>
                <c:pt idx="3">
                  <c:v>1</c:v>
                </c:pt>
                <c:pt idx="4">
                  <c:v>1</c:v>
                </c:pt>
                <c:pt idx="5">
                  <c:v>1</c:v>
                </c:pt>
                <c:pt idx="6">
                  <c:v>1</c:v>
                </c:pt>
                <c:pt idx="7">
                  <c:v>1</c:v>
                </c:pt>
                <c:pt idx="8">
                  <c:v>1</c:v>
                </c:pt>
                <c:pt idx="9">
                  <c:v>1</c:v>
                </c:pt>
              </c:numCache>
            </c:numRef>
          </c:val>
          <c:extLst>
            <c:ext xmlns:c16="http://schemas.microsoft.com/office/drawing/2014/chart" uri="{C3380CC4-5D6E-409C-BE32-E72D297353CC}">
              <c16:uniqueId val="{00000001-76D8-4EB5-ABCE-E79856387B7D}"/>
            </c:ext>
          </c:extLst>
        </c:ser>
        <c:dLbls>
          <c:showLegendKey val="0"/>
          <c:showVal val="0"/>
          <c:showCatName val="0"/>
          <c:showSerName val="0"/>
          <c:showPercent val="0"/>
          <c:showBubbleSize val="0"/>
        </c:dLbls>
        <c:axId val="342673664"/>
        <c:axId val="342675840"/>
      </c:radarChart>
      <c:catAx>
        <c:axId val="342673664"/>
        <c:scaling>
          <c:orientation val="minMax"/>
        </c:scaling>
        <c:delete val="0"/>
        <c:axPos val="b"/>
        <c:numFmt formatCode="General" sourceLinked="1"/>
        <c:majorTickMark val="out"/>
        <c:minorTickMark val="none"/>
        <c:tickLblPos val="nextTo"/>
        <c:spPr>
          <a:ln>
            <a:solidFill>
              <a:srgbClr val="B3B3B3"/>
            </a:solidFill>
          </a:ln>
        </c:spPr>
        <c:txPr>
          <a:bodyPr rot="0" vert="horz"/>
          <a:lstStyle/>
          <a:p>
            <a:pPr>
              <a:defRPr/>
            </a:pPr>
            <a:endParaRPr lang="en-US"/>
          </a:p>
        </c:txPr>
        <c:crossAx val="342675840"/>
        <c:crosses val="autoZero"/>
        <c:auto val="0"/>
        <c:lblAlgn val="ctr"/>
        <c:lblOffset val="100"/>
        <c:noMultiLvlLbl val="0"/>
      </c:catAx>
      <c:valAx>
        <c:axId val="342675840"/>
        <c:scaling>
          <c:orientation val="minMax"/>
        </c:scaling>
        <c:delete val="0"/>
        <c:axPos val="l"/>
        <c:numFmt formatCode="0%" sourceLinked="1"/>
        <c:majorTickMark val="cross"/>
        <c:minorTickMark val="none"/>
        <c:tickLblPos val="nextTo"/>
        <c:spPr>
          <a:ln w="3175">
            <a:solidFill>
              <a:srgbClr val="B3B3B3"/>
            </a:solidFill>
            <a:prstDash val="solid"/>
          </a:ln>
        </c:spPr>
        <c:txPr>
          <a:bodyPr rot="0" vert="horz"/>
          <a:lstStyle/>
          <a:p>
            <a:pPr>
              <a:defRPr/>
            </a:pPr>
            <a:endParaRPr lang="en-US"/>
          </a:p>
        </c:txPr>
        <c:crossAx val="342673664"/>
        <c:crosses val="autoZero"/>
        <c:crossBetween val="between"/>
      </c:valAx>
      <c:spPr>
        <a:noFill/>
        <a:ln w="25400">
          <a:noFill/>
        </a:ln>
      </c:spPr>
    </c:plotArea>
    <c:legend>
      <c:legendPos val="b"/>
      <c:overlay val="0"/>
      <c:spPr>
        <a:noFill/>
        <a:ln w="25400">
          <a:noFill/>
        </a:ln>
      </c:spPr>
    </c:legend>
    <c:plotVisOnly val="1"/>
    <c:dispBlanksAs val="gap"/>
    <c:showDLblsOverMax val="0"/>
  </c:chart>
  <c:spPr>
    <a:noFill/>
    <a:ln w="25400">
      <a:noFill/>
    </a:ln>
    <a:effectLst/>
  </c:spPr>
  <c:txPr>
    <a:bodyPr/>
    <a:lstStyle/>
    <a:p>
      <a:pPr>
        <a:defRPr sz="1000" b="0" i="0" u="none" strike="noStrike" baseline="0">
          <a:solidFill>
            <a:srgbClr val="595959"/>
          </a:solidFill>
          <a:latin typeface="Arial Narrow"/>
          <a:ea typeface="Arial Narrow"/>
          <a:cs typeface="Arial Narrow"/>
        </a:defRPr>
      </a:pPr>
      <a:endParaRPr lang="en-US"/>
    </a:p>
  </c:txPr>
  <c:printSettings>
    <c:headerFooter alignWithMargins="0"/>
    <c:pageMargins b="1" l="0.75000000000000111" r="0.75000000000000111" t="1" header="0.5" footer="0.5"/>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9349527416776011"/>
          <c:y val="0.17145466287259617"/>
          <c:w val="0.40691034528918546"/>
          <c:h val="0.60195429961050384"/>
        </c:manualLayout>
      </c:layout>
      <c:radarChart>
        <c:radarStyle val="marker"/>
        <c:varyColors val="0"/>
        <c:ser>
          <c:idx val="0"/>
          <c:order val="0"/>
          <c:tx>
            <c:strRef>
              <c:f>IHS!$W$24</c:f>
              <c:strCache>
                <c:ptCount val="1"/>
                <c:pt idx="0">
                  <c:v>IHS Towers</c:v>
                </c:pt>
              </c:strCache>
            </c:strRef>
          </c:tx>
          <c:spPr>
            <a:ln w="25400">
              <a:solidFill>
                <a:srgbClr val="263238"/>
              </a:solidFill>
              <a:prstDash val="solid"/>
            </a:ln>
            <a:effectLst/>
          </c:spPr>
          <c:marker>
            <c:symbol val="diamond"/>
            <c:size val="6"/>
            <c:spPr>
              <a:solidFill>
                <a:srgbClr val="263238"/>
              </a:solidFill>
              <a:ln w="6350">
                <a:noFill/>
              </a:ln>
            </c:spPr>
          </c:marker>
          <c:cat>
            <c:strRef>
              <c:f>IHS!$V$25:$V$34</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IHS!$W$25:$W$34</c:f>
              <c:numCache>
                <c:formatCode>0%</c:formatCode>
                <c:ptCount val="10"/>
                <c:pt idx="0">
                  <c:v>0.86852685227387882</c:v>
                </c:pt>
                <c:pt idx="1">
                  <c:v>1.0495951856251158</c:v>
                </c:pt>
                <c:pt idx="2">
                  <c:v>1.4587220419977707</c:v>
                </c:pt>
                <c:pt idx="3">
                  <c:v>1.8564570246021372</c:v>
                </c:pt>
                <c:pt idx="4">
                  <c:v>0.95283759728075967</c:v>
                </c:pt>
                <c:pt idx="5">
                  <c:v>1.712467286333655</c:v>
                </c:pt>
                <c:pt idx="6">
                  <c:v>-0.75462488232378422</c:v>
                </c:pt>
                <c:pt idx="7">
                  <c:v>0.39496582006614267</c:v>
                </c:pt>
                <c:pt idx="8">
                  <c:v>0</c:v>
                </c:pt>
                <c:pt idx="9">
                  <c:v>-1.3251617107040123</c:v>
                </c:pt>
              </c:numCache>
            </c:numRef>
          </c:val>
          <c:extLst>
            <c:ext xmlns:c16="http://schemas.microsoft.com/office/drawing/2014/chart" uri="{C3380CC4-5D6E-409C-BE32-E72D297353CC}">
              <c16:uniqueId val="{00000000-BC46-4D15-85E3-8B762D4B00E7}"/>
            </c:ext>
          </c:extLst>
        </c:ser>
        <c:ser>
          <c:idx val="1"/>
          <c:order val="1"/>
          <c:tx>
            <c:strRef>
              <c:f>IHS!$X$24</c:f>
              <c:strCache>
                <c:ptCount val="1"/>
                <c:pt idx="0">
                  <c:v>Agg. Asia Cellular</c:v>
                </c:pt>
              </c:strCache>
            </c:strRef>
          </c:tx>
          <c:spPr>
            <a:ln w="25400">
              <a:solidFill>
                <a:srgbClr val="799098"/>
              </a:solidFill>
              <a:prstDash val="solid"/>
            </a:ln>
            <a:effectLst/>
          </c:spPr>
          <c:marker>
            <c:symbol val="diamond"/>
            <c:size val="6"/>
            <c:spPr>
              <a:solidFill>
                <a:srgbClr val="799098"/>
              </a:solidFill>
              <a:ln w="6350">
                <a:noFill/>
              </a:ln>
            </c:spPr>
          </c:marker>
          <c:cat>
            <c:strRef>
              <c:f>IHS!$V$25:$V$34</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IHS!$X$25:$X$34</c:f>
              <c:numCache>
                <c:formatCode>0%</c:formatCode>
                <c:ptCount val="10"/>
                <c:pt idx="0">
                  <c:v>1</c:v>
                </c:pt>
                <c:pt idx="1">
                  <c:v>1</c:v>
                </c:pt>
                <c:pt idx="2">
                  <c:v>1</c:v>
                </c:pt>
                <c:pt idx="3">
                  <c:v>1</c:v>
                </c:pt>
                <c:pt idx="4">
                  <c:v>1</c:v>
                </c:pt>
                <c:pt idx="5">
                  <c:v>1</c:v>
                </c:pt>
                <c:pt idx="6">
                  <c:v>1</c:v>
                </c:pt>
                <c:pt idx="7">
                  <c:v>1</c:v>
                </c:pt>
                <c:pt idx="8">
                  <c:v>1</c:v>
                </c:pt>
                <c:pt idx="9">
                  <c:v>1</c:v>
                </c:pt>
              </c:numCache>
            </c:numRef>
          </c:val>
          <c:extLst>
            <c:ext xmlns:c16="http://schemas.microsoft.com/office/drawing/2014/chart" uri="{C3380CC4-5D6E-409C-BE32-E72D297353CC}">
              <c16:uniqueId val="{00000001-BC46-4D15-85E3-8B762D4B00E7}"/>
            </c:ext>
          </c:extLst>
        </c:ser>
        <c:dLbls>
          <c:showLegendKey val="0"/>
          <c:showVal val="0"/>
          <c:showCatName val="0"/>
          <c:showSerName val="0"/>
          <c:showPercent val="0"/>
          <c:showBubbleSize val="0"/>
        </c:dLbls>
        <c:axId val="358625664"/>
        <c:axId val="358627584"/>
      </c:radarChart>
      <c:catAx>
        <c:axId val="358625664"/>
        <c:scaling>
          <c:orientation val="minMax"/>
        </c:scaling>
        <c:delete val="0"/>
        <c:axPos val="b"/>
        <c:numFmt formatCode="General" sourceLinked="1"/>
        <c:majorTickMark val="out"/>
        <c:minorTickMark val="none"/>
        <c:tickLblPos val="nextTo"/>
        <c:spPr>
          <a:ln>
            <a:solidFill>
              <a:srgbClr val="B3B3B3"/>
            </a:solidFill>
          </a:ln>
        </c:spPr>
        <c:txPr>
          <a:bodyPr rot="0" vert="horz"/>
          <a:lstStyle/>
          <a:p>
            <a:pPr>
              <a:defRPr/>
            </a:pPr>
            <a:endParaRPr lang="en-US"/>
          </a:p>
        </c:txPr>
        <c:crossAx val="358627584"/>
        <c:crosses val="autoZero"/>
        <c:auto val="0"/>
        <c:lblAlgn val="ctr"/>
        <c:lblOffset val="100"/>
        <c:noMultiLvlLbl val="0"/>
      </c:catAx>
      <c:valAx>
        <c:axId val="358627584"/>
        <c:scaling>
          <c:orientation val="minMax"/>
        </c:scaling>
        <c:delete val="0"/>
        <c:axPos val="l"/>
        <c:numFmt formatCode="0%" sourceLinked="1"/>
        <c:majorTickMark val="cross"/>
        <c:minorTickMark val="none"/>
        <c:tickLblPos val="nextTo"/>
        <c:spPr>
          <a:ln w="3175">
            <a:solidFill>
              <a:srgbClr val="B3B3B3"/>
            </a:solidFill>
            <a:prstDash val="solid"/>
          </a:ln>
        </c:spPr>
        <c:txPr>
          <a:bodyPr rot="0" vert="horz"/>
          <a:lstStyle/>
          <a:p>
            <a:pPr>
              <a:defRPr/>
            </a:pPr>
            <a:endParaRPr lang="en-US"/>
          </a:p>
        </c:txPr>
        <c:crossAx val="358625664"/>
        <c:crosses val="autoZero"/>
        <c:crossBetween val="between"/>
      </c:valAx>
      <c:spPr>
        <a:noFill/>
        <a:ln w="25400">
          <a:noFill/>
        </a:ln>
      </c:spPr>
    </c:plotArea>
    <c:legend>
      <c:legendPos val="b"/>
      <c:overlay val="0"/>
      <c:spPr>
        <a:noFill/>
        <a:ln w="25400">
          <a:noFill/>
        </a:ln>
      </c:spPr>
    </c:legend>
    <c:plotVisOnly val="1"/>
    <c:dispBlanksAs val="gap"/>
    <c:showDLblsOverMax val="0"/>
  </c:chart>
  <c:spPr>
    <a:noFill/>
    <a:ln w="25400">
      <a:noFill/>
    </a:ln>
    <a:effectLst/>
  </c:spPr>
  <c:txPr>
    <a:bodyPr/>
    <a:lstStyle/>
    <a:p>
      <a:pPr>
        <a:defRPr sz="1000" b="0" i="0" u="none" strike="noStrike" baseline="0">
          <a:solidFill>
            <a:srgbClr val="595959"/>
          </a:solidFill>
          <a:latin typeface="Arial Narrow"/>
          <a:ea typeface="Arial Narrow"/>
          <a:cs typeface="Arial Narrow"/>
        </a:defRPr>
      </a:pPr>
      <a:endParaRPr lang="en-US"/>
    </a:p>
  </c:txPr>
  <c:printSettings>
    <c:headerFooter alignWithMargins="0"/>
    <c:pageMargins b="1" l="0.75000000000000111" r="0.75000000000000111" t="1" header="0.5" footer="0.5"/>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9349527416776011"/>
          <c:y val="0.17145466287259617"/>
          <c:w val="0.40691034528918546"/>
          <c:h val="0.60195429961050384"/>
        </c:manualLayout>
      </c:layout>
      <c:radarChart>
        <c:radarStyle val="marker"/>
        <c:varyColors val="0"/>
        <c:ser>
          <c:idx val="0"/>
          <c:order val="0"/>
          <c:tx>
            <c:strRef>
              <c:f>INWIT!$W$24</c:f>
              <c:strCache>
                <c:ptCount val="1"/>
                <c:pt idx="0">
                  <c:v>INWIT</c:v>
                </c:pt>
              </c:strCache>
            </c:strRef>
          </c:tx>
          <c:spPr>
            <a:ln w="25400">
              <a:solidFill>
                <a:srgbClr val="263238"/>
              </a:solidFill>
              <a:prstDash val="solid"/>
            </a:ln>
            <a:effectLst/>
          </c:spPr>
          <c:marker>
            <c:symbol val="diamond"/>
            <c:size val="6"/>
            <c:spPr>
              <a:solidFill>
                <a:srgbClr val="263238"/>
              </a:solidFill>
              <a:ln w="6350">
                <a:noFill/>
              </a:ln>
            </c:spPr>
          </c:marker>
          <c:cat>
            <c:strRef>
              <c:f>INWIT!$V$25:$V$32</c:f>
              <c:strCache>
                <c:ptCount val="8"/>
                <c:pt idx="0">
                  <c:v>EV/Revenue</c:v>
                </c:pt>
                <c:pt idx="1">
                  <c:v>EV/EBITDA</c:v>
                </c:pt>
                <c:pt idx="2">
                  <c:v>EV/OpFCF</c:v>
                </c:pt>
                <c:pt idx="3">
                  <c:v>EV/FCF</c:v>
                </c:pt>
                <c:pt idx="4">
                  <c:v>P/EFCF</c:v>
                </c:pt>
                <c:pt idx="5">
                  <c:v>Adjusted P/E</c:v>
                </c:pt>
                <c:pt idx="6">
                  <c:v>Dividend yield</c:v>
                </c:pt>
                <c:pt idx="7">
                  <c:v>EFCF yield</c:v>
                </c:pt>
              </c:strCache>
            </c:strRef>
          </c:cat>
          <c:val>
            <c:numRef>
              <c:f>INWIT!$W$25:$W$32</c:f>
              <c:numCache>
                <c:formatCode>0%</c:formatCode>
                <c:ptCount val="8"/>
                <c:pt idx="0">
                  <c:v>1.1537588551143469</c:v>
                </c:pt>
                <c:pt idx="1">
                  <c:v>0.88681473335670813</c:v>
                </c:pt>
                <c:pt idx="2">
                  <c:v>0.51418357624584299</c:v>
                </c:pt>
                <c:pt idx="3">
                  <c:v>0.53175031250020732</c:v>
                </c:pt>
                <c:pt idx="4">
                  <c:v>0.43464909181735117</c:v>
                </c:pt>
                <c:pt idx="5">
                  <c:v>3.5673705837898889E-2</c:v>
                </c:pt>
                <c:pt idx="6">
                  <c:v>3.2087995900693578</c:v>
                </c:pt>
                <c:pt idx="7">
                  <c:v>2.3007065212509898</c:v>
                </c:pt>
              </c:numCache>
            </c:numRef>
          </c:val>
          <c:extLst>
            <c:ext xmlns:c16="http://schemas.microsoft.com/office/drawing/2014/chart" uri="{C3380CC4-5D6E-409C-BE32-E72D297353CC}">
              <c16:uniqueId val="{00000000-01AF-4C12-B987-F0891E247C5D}"/>
            </c:ext>
          </c:extLst>
        </c:ser>
        <c:ser>
          <c:idx val="1"/>
          <c:order val="1"/>
          <c:tx>
            <c:strRef>
              <c:f>INWIT!$X$24</c:f>
              <c:strCache>
                <c:ptCount val="1"/>
                <c:pt idx="0">
                  <c:v>Agg. W.Euro TOWER</c:v>
                </c:pt>
              </c:strCache>
            </c:strRef>
          </c:tx>
          <c:spPr>
            <a:ln w="25400">
              <a:solidFill>
                <a:srgbClr val="799098"/>
              </a:solidFill>
              <a:prstDash val="solid"/>
            </a:ln>
            <a:effectLst/>
          </c:spPr>
          <c:marker>
            <c:symbol val="diamond"/>
            <c:size val="6"/>
            <c:spPr>
              <a:solidFill>
                <a:srgbClr val="799098"/>
              </a:solidFill>
              <a:ln w="6350">
                <a:noFill/>
              </a:ln>
            </c:spPr>
          </c:marker>
          <c:cat>
            <c:strRef>
              <c:f>INWIT!$V$25:$V$32</c:f>
              <c:strCache>
                <c:ptCount val="8"/>
                <c:pt idx="0">
                  <c:v>EV/Revenue</c:v>
                </c:pt>
                <c:pt idx="1">
                  <c:v>EV/EBITDA</c:v>
                </c:pt>
                <c:pt idx="2">
                  <c:v>EV/OpFCF</c:v>
                </c:pt>
                <c:pt idx="3">
                  <c:v>EV/FCF</c:v>
                </c:pt>
                <c:pt idx="4">
                  <c:v>P/EFCF</c:v>
                </c:pt>
                <c:pt idx="5">
                  <c:v>Adjusted P/E</c:v>
                </c:pt>
                <c:pt idx="6">
                  <c:v>Dividend yield</c:v>
                </c:pt>
                <c:pt idx="7">
                  <c:v>EFCF yield</c:v>
                </c:pt>
              </c:strCache>
            </c:strRef>
          </c:cat>
          <c:val>
            <c:numRef>
              <c:f>INWIT!$X$25:$X$32</c:f>
              <c:numCache>
                <c:formatCode>0%</c:formatCode>
                <c:ptCount val="8"/>
                <c:pt idx="0">
                  <c:v>1</c:v>
                </c:pt>
                <c:pt idx="1">
                  <c:v>1</c:v>
                </c:pt>
                <c:pt idx="2">
                  <c:v>1</c:v>
                </c:pt>
                <c:pt idx="3">
                  <c:v>1</c:v>
                </c:pt>
                <c:pt idx="4">
                  <c:v>1</c:v>
                </c:pt>
                <c:pt idx="5">
                  <c:v>1</c:v>
                </c:pt>
                <c:pt idx="6">
                  <c:v>1</c:v>
                </c:pt>
                <c:pt idx="7">
                  <c:v>1</c:v>
                </c:pt>
              </c:numCache>
            </c:numRef>
          </c:val>
          <c:extLst>
            <c:ext xmlns:c16="http://schemas.microsoft.com/office/drawing/2014/chart" uri="{C3380CC4-5D6E-409C-BE32-E72D297353CC}">
              <c16:uniqueId val="{00000001-01AF-4C12-B987-F0891E247C5D}"/>
            </c:ext>
          </c:extLst>
        </c:ser>
        <c:dLbls>
          <c:showLegendKey val="0"/>
          <c:showVal val="0"/>
          <c:showCatName val="0"/>
          <c:showSerName val="0"/>
          <c:showPercent val="0"/>
          <c:showBubbleSize val="0"/>
        </c:dLbls>
        <c:axId val="425171584"/>
        <c:axId val="425218816"/>
      </c:radarChart>
      <c:catAx>
        <c:axId val="425171584"/>
        <c:scaling>
          <c:orientation val="minMax"/>
        </c:scaling>
        <c:delete val="0"/>
        <c:axPos val="b"/>
        <c:numFmt formatCode="General" sourceLinked="1"/>
        <c:majorTickMark val="out"/>
        <c:minorTickMark val="none"/>
        <c:tickLblPos val="nextTo"/>
        <c:spPr>
          <a:ln>
            <a:solidFill>
              <a:srgbClr val="B3B3B3"/>
            </a:solidFill>
          </a:ln>
        </c:spPr>
        <c:txPr>
          <a:bodyPr rot="0" vert="horz"/>
          <a:lstStyle/>
          <a:p>
            <a:pPr>
              <a:defRPr/>
            </a:pPr>
            <a:endParaRPr lang="en-US"/>
          </a:p>
        </c:txPr>
        <c:crossAx val="425218816"/>
        <c:crosses val="autoZero"/>
        <c:auto val="0"/>
        <c:lblAlgn val="ctr"/>
        <c:lblOffset val="100"/>
        <c:noMultiLvlLbl val="0"/>
      </c:catAx>
      <c:valAx>
        <c:axId val="425218816"/>
        <c:scaling>
          <c:orientation val="minMax"/>
          <c:max val="4"/>
        </c:scaling>
        <c:delete val="0"/>
        <c:axPos val="l"/>
        <c:numFmt formatCode="0%" sourceLinked="1"/>
        <c:majorTickMark val="cross"/>
        <c:minorTickMark val="none"/>
        <c:tickLblPos val="nextTo"/>
        <c:spPr>
          <a:ln w="3175">
            <a:solidFill>
              <a:srgbClr val="B3B3B3"/>
            </a:solidFill>
            <a:prstDash val="solid"/>
          </a:ln>
        </c:spPr>
        <c:txPr>
          <a:bodyPr rot="0" vert="horz"/>
          <a:lstStyle/>
          <a:p>
            <a:pPr>
              <a:defRPr/>
            </a:pPr>
            <a:endParaRPr lang="en-US"/>
          </a:p>
        </c:txPr>
        <c:crossAx val="425171584"/>
        <c:crosses val="autoZero"/>
        <c:crossBetween val="between"/>
      </c:valAx>
      <c:spPr>
        <a:noFill/>
        <a:ln w="25400">
          <a:noFill/>
        </a:ln>
      </c:spPr>
    </c:plotArea>
    <c:legend>
      <c:legendPos val="b"/>
      <c:overlay val="0"/>
      <c:spPr>
        <a:noFill/>
        <a:ln w="25400">
          <a:noFill/>
        </a:ln>
      </c:spPr>
    </c:legend>
    <c:plotVisOnly val="1"/>
    <c:dispBlanksAs val="gap"/>
    <c:showDLblsOverMax val="0"/>
  </c:chart>
  <c:spPr>
    <a:noFill/>
    <a:ln w="25400">
      <a:noFill/>
    </a:ln>
    <a:effectLst/>
  </c:spPr>
  <c:txPr>
    <a:bodyPr/>
    <a:lstStyle/>
    <a:p>
      <a:pPr>
        <a:defRPr sz="1000" b="0" i="0" u="none" strike="noStrike" baseline="0">
          <a:solidFill>
            <a:srgbClr val="595959"/>
          </a:solidFill>
          <a:latin typeface="Arial Narrow"/>
          <a:ea typeface="Arial Narrow"/>
          <a:cs typeface="Arial Narrow"/>
        </a:defRPr>
      </a:pPr>
      <a:endParaRPr lang="en-US"/>
    </a:p>
  </c:txPr>
  <c:printSettings>
    <c:headerFooter alignWithMargins="0"/>
    <c:pageMargins b="1" l="0.75000000000000111" r="0.75000000000000111" t="1" header="0.5" footer="0.5"/>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084680456031515"/>
          <c:y val="0.14769252958613224"/>
          <c:w val="0.3870971552666993"/>
          <c:h val="0.59077011834452875"/>
        </c:manualLayout>
      </c:layout>
      <c:radarChart>
        <c:radarStyle val="marker"/>
        <c:varyColors val="0"/>
        <c:ser>
          <c:idx val="0"/>
          <c:order val="0"/>
          <c:tx>
            <c:strRef>
              <c:f>INDO!$W$24</c:f>
              <c:strCache>
                <c:ptCount val="1"/>
                <c:pt idx="0">
                  <c:v>Indosat</c:v>
                </c:pt>
              </c:strCache>
            </c:strRef>
          </c:tx>
          <c:spPr>
            <a:ln w="25400">
              <a:solidFill>
                <a:srgbClr val="263238"/>
              </a:solidFill>
              <a:prstDash val="solid"/>
            </a:ln>
            <a:effectLst/>
          </c:spPr>
          <c:marker>
            <c:symbol val="diamond"/>
            <c:size val="6"/>
            <c:spPr>
              <a:solidFill>
                <a:srgbClr val="263238"/>
              </a:solidFill>
              <a:ln w="6350">
                <a:noFill/>
              </a:ln>
            </c:spPr>
          </c:marker>
          <c:cat>
            <c:strRef>
              <c:f>INDO!$V$25:$V$34</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INDO!$W$25:$W$34</c:f>
              <c:numCache>
                <c:formatCode>0%</c:formatCode>
                <c:ptCount val="10"/>
                <c:pt idx="0">
                  <c:v>1.2171186651153707</c:v>
                </c:pt>
                <c:pt idx="1">
                  <c:v>0.85348428120442665</c:v>
                </c:pt>
                <c:pt idx="2">
                  <c:v>0.95012752866260086</c:v>
                </c:pt>
                <c:pt idx="3">
                  <c:v>1.0429120830441561</c:v>
                </c:pt>
                <c:pt idx="4">
                  <c:v>1.104715835279485</c:v>
                </c:pt>
                <c:pt idx="5">
                  <c:v>0.61199834320363533</c:v>
                </c:pt>
                <c:pt idx="6">
                  <c:v>0.66416924562374346</c:v>
                </c:pt>
                <c:pt idx="7">
                  <c:v>0.87930754046997606</c:v>
                </c:pt>
                <c:pt idx="8">
                  <c:v>0.63823555775705765</c:v>
                </c:pt>
                <c:pt idx="9">
                  <c:v>1.5056403267526588</c:v>
                </c:pt>
              </c:numCache>
            </c:numRef>
          </c:val>
          <c:extLst>
            <c:ext xmlns:c16="http://schemas.microsoft.com/office/drawing/2014/chart" uri="{C3380CC4-5D6E-409C-BE32-E72D297353CC}">
              <c16:uniqueId val="{00000000-E5A3-4062-A3EF-138AAC091158}"/>
            </c:ext>
          </c:extLst>
        </c:ser>
        <c:ser>
          <c:idx val="1"/>
          <c:order val="1"/>
          <c:tx>
            <c:strRef>
              <c:f>INDO!$X$24</c:f>
              <c:strCache>
                <c:ptCount val="1"/>
                <c:pt idx="0">
                  <c:v>Agg. Asia Cellular</c:v>
                </c:pt>
              </c:strCache>
            </c:strRef>
          </c:tx>
          <c:spPr>
            <a:ln w="25400">
              <a:solidFill>
                <a:srgbClr val="799098"/>
              </a:solidFill>
              <a:prstDash val="solid"/>
            </a:ln>
            <a:effectLst/>
          </c:spPr>
          <c:marker>
            <c:symbol val="diamond"/>
            <c:size val="6"/>
            <c:spPr>
              <a:solidFill>
                <a:srgbClr val="799098"/>
              </a:solidFill>
              <a:ln w="6350">
                <a:noFill/>
              </a:ln>
            </c:spPr>
          </c:marker>
          <c:cat>
            <c:strRef>
              <c:f>INDO!$V$25:$V$34</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INDO!$X$25:$X$34</c:f>
              <c:numCache>
                <c:formatCode>0%</c:formatCode>
                <c:ptCount val="10"/>
                <c:pt idx="0">
                  <c:v>1</c:v>
                </c:pt>
                <c:pt idx="1">
                  <c:v>1</c:v>
                </c:pt>
                <c:pt idx="2">
                  <c:v>1</c:v>
                </c:pt>
                <c:pt idx="3">
                  <c:v>1</c:v>
                </c:pt>
                <c:pt idx="4">
                  <c:v>1</c:v>
                </c:pt>
                <c:pt idx="5">
                  <c:v>1</c:v>
                </c:pt>
                <c:pt idx="6">
                  <c:v>1</c:v>
                </c:pt>
                <c:pt idx="7">
                  <c:v>1</c:v>
                </c:pt>
                <c:pt idx="8">
                  <c:v>1</c:v>
                </c:pt>
                <c:pt idx="9">
                  <c:v>1</c:v>
                </c:pt>
              </c:numCache>
            </c:numRef>
          </c:val>
          <c:extLst>
            <c:ext xmlns:c16="http://schemas.microsoft.com/office/drawing/2014/chart" uri="{C3380CC4-5D6E-409C-BE32-E72D297353CC}">
              <c16:uniqueId val="{00000001-E5A3-4062-A3EF-138AAC091158}"/>
            </c:ext>
          </c:extLst>
        </c:ser>
        <c:dLbls>
          <c:showLegendKey val="0"/>
          <c:showVal val="0"/>
          <c:showCatName val="0"/>
          <c:showSerName val="0"/>
          <c:showPercent val="0"/>
          <c:showBubbleSize val="0"/>
        </c:dLbls>
        <c:axId val="425286272"/>
        <c:axId val="425296640"/>
      </c:radarChart>
      <c:catAx>
        <c:axId val="425286272"/>
        <c:scaling>
          <c:orientation val="minMax"/>
        </c:scaling>
        <c:delete val="0"/>
        <c:axPos val="b"/>
        <c:numFmt formatCode="General" sourceLinked="1"/>
        <c:majorTickMark val="out"/>
        <c:minorTickMark val="none"/>
        <c:tickLblPos val="nextTo"/>
        <c:spPr>
          <a:ln>
            <a:solidFill>
              <a:srgbClr val="B3B3B3"/>
            </a:solidFill>
          </a:ln>
        </c:spPr>
        <c:txPr>
          <a:bodyPr rot="0" vert="horz"/>
          <a:lstStyle/>
          <a:p>
            <a:pPr>
              <a:defRPr/>
            </a:pPr>
            <a:endParaRPr lang="en-US"/>
          </a:p>
        </c:txPr>
        <c:crossAx val="425296640"/>
        <c:crosses val="autoZero"/>
        <c:auto val="0"/>
        <c:lblAlgn val="ctr"/>
        <c:lblOffset val="100"/>
        <c:noMultiLvlLbl val="0"/>
      </c:catAx>
      <c:valAx>
        <c:axId val="425296640"/>
        <c:scaling>
          <c:orientation val="minMax"/>
        </c:scaling>
        <c:delete val="0"/>
        <c:axPos val="l"/>
        <c:numFmt formatCode="0%" sourceLinked="1"/>
        <c:majorTickMark val="cross"/>
        <c:minorTickMark val="none"/>
        <c:tickLblPos val="nextTo"/>
        <c:spPr>
          <a:ln w="3175">
            <a:solidFill>
              <a:srgbClr val="B3B3B3"/>
            </a:solidFill>
            <a:prstDash val="solid"/>
          </a:ln>
        </c:spPr>
        <c:txPr>
          <a:bodyPr rot="0" vert="horz"/>
          <a:lstStyle/>
          <a:p>
            <a:pPr>
              <a:defRPr/>
            </a:pPr>
            <a:endParaRPr lang="en-US"/>
          </a:p>
        </c:txPr>
        <c:crossAx val="425286272"/>
        <c:crosses val="autoZero"/>
        <c:crossBetween val="between"/>
      </c:valAx>
      <c:spPr>
        <a:noFill/>
        <a:ln w="25400">
          <a:noFill/>
        </a:ln>
      </c:spPr>
    </c:plotArea>
    <c:legend>
      <c:legendPos val="b"/>
      <c:overlay val="0"/>
      <c:spPr>
        <a:noFill/>
        <a:ln w="25400">
          <a:noFill/>
        </a:ln>
      </c:spPr>
    </c:legend>
    <c:plotVisOnly val="1"/>
    <c:dispBlanksAs val="gap"/>
    <c:showDLblsOverMax val="0"/>
  </c:chart>
  <c:spPr>
    <a:noFill/>
    <a:ln w="25400">
      <a:noFill/>
    </a:ln>
    <a:effectLst/>
  </c:spPr>
  <c:txPr>
    <a:bodyPr/>
    <a:lstStyle/>
    <a:p>
      <a:pPr>
        <a:defRPr sz="1000" b="0" i="0" u="none" strike="noStrike" baseline="0">
          <a:solidFill>
            <a:srgbClr val="595959"/>
          </a:solidFill>
          <a:latin typeface="Arial Narrow"/>
          <a:ea typeface="Arial Narrow"/>
          <a:cs typeface="Arial Narrow"/>
        </a:defRPr>
      </a:pPr>
      <a:endParaRPr lang="en-US"/>
    </a:p>
  </c:txPr>
  <c:printSettings>
    <c:headerFooter alignWithMargins="0"/>
    <c:pageMargins b="1" l="0.75000000000000111" r="0.75000000000000111" t="1" header="0.5" footer="0.5"/>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231730190292979"/>
          <c:y val="0.14153867418671001"/>
          <c:w val="0.41154154785199476"/>
          <c:h val="0.64335759521585767"/>
        </c:manualLayout>
      </c:layout>
      <c:radarChart>
        <c:radarStyle val="marker"/>
        <c:varyColors val="0"/>
        <c:ser>
          <c:idx val="0"/>
          <c:order val="0"/>
          <c:tx>
            <c:strRef>
              <c:f>KDDI!$W$24</c:f>
              <c:strCache>
                <c:ptCount val="1"/>
                <c:pt idx="0">
                  <c:v>KDDI</c:v>
                </c:pt>
              </c:strCache>
            </c:strRef>
          </c:tx>
          <c:spPr>
            <a:ln w="25400">
              <a:solidFill>
                <a:srgbClr val="263238"/>
              </a:solidFill>
              <a:prstDash val="solid"/>
            </a:ln>
            <a:effectLst/>
          </c:spPr>
          <c:marker>
            <c:symbol val="diamond"/>
            <c:size val="6"/>
            <c:spPr>
              <a:solidFill>
                <a:srgbClr val="263238"/>
              </a:solidFill>
              <a:ln w="6350">
                <a:noFill/>
              </a:ln>
            </c:spPr>
          </c:marker>
          <c:cat>
            <c:strRef>
              <c:f>KDDI!$V$25:$V$34</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KDDI!$W$25:$W$34</c:f>
              <c:numCache>
                <c:formatCode>0%</c:formatCode>
                <c:ptCount val="10"/>
                <c:pt idx="0">
                  <c:v>0.87577638456169793</c:v>
                </c:pt>
                <c:pt idx="1">
                  <c:v>0.9936868111717887</c:v>
                </c:pt>
                <c:pt idx="2">
                  <c:v>0.93878718015921192</c:v>
                </c:pt>
                <c:pt idx="3">
                  <c:v>1.1717284597011357</c:v>
                </c:pt>
                <c:pt idx="4">
                  <c:v>0.96625305229364322</c:v>
                </c:pt>
                <c:pt idx="5">
                  <c:v>1.3637059505792635</c:v>
                </c:pt>
                <c:pt idx="6">
                  <c:v>0.78930274380505072</c:v>
                </c:pt>
                <c:pt idx="7">
                  <c:v>0.68484500300086448</c:v>
                </c:pt>
                <c:pt idx="8">
                  <c:v>0.83534214379576111</c:v>
                </c:pt>
                <c:pt idx="9">
                  <c:v>1.2669409904483866</c:v>
                </c:pt>
              </c:numCache>
            </c:numRef>
          </c:val>
          <c:extLst>
            <c:ext xmlns:c16="http://schemas.microsoft.com/office/drawing/2014/chart" uri="{C3380CC4-5D6E-409C-BE32-E72D297353CC}">
              <c16:uniqueId val="{00000000-4537-40B0-8056-1CC8F2F57AD7}"/>
            </c:ext>
          </c:extLst>
        </c:ser>
        <c:ser>
          <c:idx val="1"/>
          <c:order val="1"/>
          <c:tx>
            <c:strRef>
              <c:f>KDDI!$X$24</c:f>
              <c:strCache>
                <c:ptCount val="1"/>
                <c:pt idx="0">
                  <c:v>Agg. Asia Cellular</c:v>
                </c:pt>
              </c:strCache>
            </c:strRef>
          </c:tx>
          <c:spPr>
            <a:ln w="25400">
              <a:solidFill>
                <a:srgbClr val="799098"/>
              </a:solidFill>
              <a:prstDash val="solid"/>
            </a:ln>
            <a:effectLst/>
          </c:spPr>
          <c:marker>
            <c:symbol val="diamond"/>
            <c:size val="6"/>
            <c:spPr>
              <a:solidFill>
                <a:srgbClr val="799098"/>
              </a:solidFill>
              <a:ln w="6350">
                <a:noFill/>
              </a:ln>
            </c:spPr>
          </c:marker>
          <c:cat>
            <c:strRef>
              <c:f>KDDI!$V$25:$V$34</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KDDI!$X$25:$X$34</c:f>
              <c:numCache>
                <c:formatCode>0%</c:formatCode>
                <c:ptCount val="10"/>
                <c:pt idx="0">
                  <c:v>1</c:v>
                </c:pt>
                <c:pt idx="1">
                  <c:v>1</c:v>
                </c:pt>
                <c:pt idx="2">
                  <c:v>1</c:v>
                </c:pt>
                <c:pt idx="3">
                  <c:v>1</c:v>
                </c:pt>
                <c:pt idx="4">
                  <c:v>1</c:v>
                </c:pt>
                <c:pt idx="5">
                  <c:v>1</c:v>
                </c:pt>
                <c:pt idx="6">
                  <c:v>1</c:v>
                </c:pt>
                <c:pt idx="7">
                  <c:v>1</c:v>
                </c:pt>
                <c:pt idx="8">
                  <c:v>1</c:v>
                </c:pt>
                <c:pt idx="9">
                  <c:v>1</c:v>
                </c:pt>
              </c:numCache>
            </c:numRef>
          </c:val>
          <c:extLst>
            <c:ext xmlns:c16="http://schemas.microsoft.com/office/drawing/2014/chart" uri="{C3380CC4-5D6E-409C-BE32-E72D297353CC}">
              <c16:uniqueId val="{00000001-4537-40B0-8056-1CC8F2F57AD7}"/>
            </c:ext>
          </c:extLst>
        </c:ser>
        <c:dLbls>
          <c:showLegendKey val="0"/>
          <c:showVal val="0"/>
          <c:showCatName val="0"/>
          <c:showSerName val="0"/>
          <c:showPercent val="0"/>
          <c:showBubbleSize val="0"/>
        </c:dLbls>
        <c:axId val="427383424"/>
        <c:axId val="427401984"/>
      </c:radarChart>
      <c:catAx>
        <c:axId val="427383424"/>
        <c:scaling>
          <c:orientation val="minMax"/>
        </c:scaling>
        <c:delete val="0"/>
        <c:axPos val="b"/>
        <c:numFmt formatCode="General" sourceLinked="1"/>
        <c:majorTickMark val="out"/>
        <c:minorTickMark val="none"/>
        <c:tickLblPos val="nextTo"/>
        <c:spPr>
          <a:ln>
            <a:solidFill>
              <a:srgbClr val="B3B3B3"/>
            </a:solidFill>
          </a:ln>
        </c:spPr>
        <c:txPr>
          <a:bodyPr rot="0" vert="horz"/>
          <a:lstStyle/>
          <a:p>
            <a:pPr>
              <a:defRPr/>
            </a:pPr>
            <a:endParaRPr lang="en-US"/>
          </a:p>
        </c:txPr>
        <c:crossAx val="427401984"/>
        <c:crosses val="autoZero"/>
        <c:auto val="0"/>
        <c:lblAlgn val="ctr"/>
        <c:lblOffset val="100"/>
        <c:noMultiLvlLbl val="0"/>
      </c:catAx>
      <c:valAx>
        <c:axId val="427401984"/>
        <c:scaling>
          <c:orientation val="minMax"/>
        </c:scaling>
        <c:delete val="0"/>
        <c:axPos val="l"/>
        <c:numFmt formatCode="0%" sourceLinked="1"/>
        <c:majorTickMark val="cross"/>
        <c:minorTickMark val="none"/>
        <c:tickLblPos val="nextTo"/>
        <c:spPr>
          <a:ln w="3175">
            <a:solidFill>
              <a:srgbClr val="B3B3B3"/>
            </a:solidFill>
            <a:prstDash val="solid"/>
          </a:ln>
        </c:spPr>
        <c:txPr>
          <a:bodyPr rot="0" vert="horz"/>
          <a:lstStyle/>
          <a:p>
            <a:pPr>
              <a:defRPr/>
            </a:pPr>
            <a:endParaRPr lang="en-US"/>
          </a:p>
        </c:txPr>
        <c:crossAx val="427383424"/>
        <c:crosses val="autoZero"/>
        <c:crossBetween val="between"/>
      </c:valAx>
      <c:spPr>
        <a:noFill/>
        <a:ln w="25400">
          <a:noFill/>
        </a:ln>
      </c:spPr>
    </c:plotArea>
    <c:legend>
      <c:legendPos val="b"/>
      <c:overlay val="0"/>
      <c:spPr>
        <a:noFill/>
        <a:ln w="25400">
          <a:noFill/>
        </a:ln>
      </c:spPr>
    </c:legend>
    <c:plotVisOnly val="1"/>
    <c:dispBlanksAs val="gap"/>
    <c:showDLblsOverMax val="0"/>
  </c:chart>
  <c:spPr>
    <a:noFill/>
    <a:ln w="25400">
      <a:noFill/>
    </a:ln>
    <a:effectLst/>
  </c:spPr>
  <c:txPr>
    <a:bodyPr/>
    <a:lstStyle/>
    <a:p>
      <a:pPr>
        <a:defRPr sz="1000" b="0" i="0" u="none" strike="noStrike" baseline="0">
          <a:solidFill>
            <a:srgbClr val="595959"/>
          </a:solidFill>
          <a:latin typeface="Arial Narrow"/>
          <a:ea typeface="Arial Narrow"/>
          <a:cs typeface="Arial Narrow"/>
        </a:defRPr>
      </a:pPr>
      <a:endParaRPr lang="en-US"/>
    </a:p>
  </c:txPr>
  <c:printSettings>
    <c:headerFooter alignWithMargins="0"/>
    <c:pageMargins b="1" l="0.75000000000000111" r="0.75000000000000111" t="1" header="0.5" footer="0.5"/>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0132686217810573"/>
          <c:y val="8.7774429023849548E-2"/>
          <c:w val="0.47286747601526674"/>
          <c:h val="0.71257367456368081"/>
        </c:manualLayout>
      </c:layout>
      <c:radarChart>
        <c:radarStyle val="marker"/>
        <c:varyColors val="0"/>
        <c:ser>
          <c:idx val="0"/>
          <c:order val="0"/>
          <c:tx>
            <c:strRef>
              <c:f>KPN!$W$24</c:f>
              <c:strCache>
                <c:ptCount val="1"/>
                <c:pt idx="0">
                  <c:v>KPN</c:v>
                </c:pt>
              </c:strCache>
            </c:strRef>
          </c:tx>
          <c:spPr>
            <a:ln w="25400">
              <a:solidFill>
                <a:srgbClr val="263238"/>
              </a:solidFill>
              <a:prstDash val="solid"/>
            </a:ln>
            <a:effectLst/>
          </c:spPr>
          <c:marker>
            <c:symbol val="diamond"/>
            <c:size val="6"/>
            <c:spPr>
              <a:solidFill>
                <a:srgbClr val="263238"/>
              </a:solidFill>
              <a:ln w="6350">
                <a:noFill/>
              </a:ln>
            </c:spPr>
          </c:marker>
          <c:cat>
            <c:strRef>
              <c:f>KPN!$V$25:$V$34</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KPN!$W$25:$W$34</c:f>
              <c:numCache>
                <c:formatCode>0%</c:formatCode>
                <c:ptCount val="10"/>
                <c:pt idx="0">
                  <c:v>1.6907216247754218</c:v>
                </c:pt>
                <c:pt idx="1">
                  <c:v>1.2920731658367293</c:v>
                </c:pt>
                <c:pt idx="2">
                  <c:v>1.2459861289172696</c:v>
                </c:pt>
                <c:pt idx="3">
                  <c:v>1.1946982519967395</c:v>
                </c:pt>
                <c:pt idx="4">
                  <c:v>1.7645432863606254</c:v>
                </c:pt>
                <c:pt idx="5">
                  <c:v>1.1433010085928315</c:v>
                </c:pt>
                <c:pt idx="6">
                  <c:v>1.0998334819883662</c:v>
                </c:pt>
                <c:pt idx="7">
                  <c:v>1.8583237778895905</c:v>
                </c:pt>
                <c:pt idx="8">
                  <c:v>0.87317771487828466</c:v>
                </c:pt>
                <c:pt idx="9">
                  <c:v>0.90922854811813947</c:v>
                </c:pt>
              </c:numCache>
            </c:numRef>
          </c:val>
          <c:extLst>
            <c:ext xmlns:c16="http://schemas.microsoft.com/office/drawing/2014/chart" uri="{C3380CC4-5D6E-409C-BE32-E72D297353CC}">
              <c16:uniqueId val="{00000000-4F49-404F-AB8D-A4ED8F518395}"/>
            </c:ext>
          </c:extLst>
        </c:ser>
        <c:ser>
          <c:idx val="1"/>
          <c:order val="1"/>
          <c:tx>
            <c:strRef>
              <c:f>KPN!$X$24</c:f>
              <c:strCache>
                <c:ptCount val="1"/>
                <c:pt idx="0">
                  <c:v>Agg. W. Eur. Incumbent</c:v>
                </c:pt>
              </c:strCache>
            </c:strRef>
          </c:tx>
          <c:spPr>
            <a:ln w="25400">
              <a:solidFill>
                <a:srgbClr val="799098"/>
              </a:solidFill>
              <a:prstDash val="solid"/>
            </a:ln>
            <a:effectLst/>
          </c:spPr>
          <c:marker>
            <c:symbol val="diamond"/>
            <c:size val="6"/>
            <c:spPr>
              <a:solidFill>
                <a:srgbClr val="799098"/>
              </a:solidFill>
              <a:ln w="6350">
                <a:noFill/>
              </a:ln>
            </c:spPr>
          </c:marker>
          <c:cat>
            <c:strRef>
              <c:f>KPN!$V$25:$V$34</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KPN!$X$25:$X$34</c:f>
              <c:numCache>
                <c:formatCode>0%</c:formatCode>
                <c:ptCount val="10"/>
                <c:pt idx="0">
                  <c:v>1</c:v>
                </c:pt>
                <c:pt idx="1">
                  <c:v>1</c:v>
                </c:pt>
                <c:pt idx="2">
                  <c:v>1</c:v>
                </c:pt>
                <c:pt idx="3">
                  <c:v>1</c:v>
                </c:pt>
                <c:pt idx="4">
                  <c:v>1</c:v>
                </c:pt>
                <c:pt idx="5">
                  <c:v>1</c:v>
                </c:pt>
                <c:pt idx="6">
                  <c:v>1</c:v>
                </c:pt>
                <c:pt idx="7">
                  <c:v>1</c:v>
                </c:pt>
                <c:pt idx="8">
                  <c:v>1</c:v>
                </c:pt>
                <c:pt idx="9">
                  <c:v>1</c:v>
                </c:pt>
              </c:numCache>
            </c:numRef>
          </c:val>
          <c:extLst>
            <c:ext xmlns:c16="http://schemas.microsoft.com/office/drawing/2014/chart" uri="{C3380CC4-5D6E-409C-BE32-E72D297353CC}">
              <c16:uniqueId val="{00000001-4F49-404F-AB8D-A4ED8F518395}"/>
            </c:ext>
          </c:extLst>
        </c:ser>
        <c:dLbls>
          <c:showLegendKey val="0"/>
          <c:showVal val="0"/>
          <c:showCatName val="0"/>
          <c:showSerName val="0"/>
          <c:showPercent val="0"/>
          <c:showBubbleSize val="0"/>
        </c:dLbls>
        <c:axId val="427805312"/>
        <c:axId val="427823872"/>
      </c:radarChart>
      <c:catAx>
        <c:axId val="427805312"/>
        <c:scaling>
          <c:orientation val="minMax"/>
        </c:scaling>
        <c:delete val="0"/>
        <c:axPos val="b"/>
        <c:numFmt formatCode="General" sourceLinked="1"/>
        <c:majorTickMark val="out"/>
        <c:minorTickMark val="none"/>
        <c:tickLblPos val="nextTo"/>
        <c:spPr>
          <a:ln>
            <a:solidFill>
              <a:srgbClr val="B3B3B3"/>
            </a:solidFill>
          </a:ln>
        </c:spPr>
        <c:txPr>
          <a:bodyPr rot="0" vert="horz"/>
          <a:lstStyle/>
          <a:p>
            <a:pPr>
              <a:defRPr/>
            </a:pPr>
            <a:endParaRPr lang="en-US"/>
          </a:p>
        </c:txPr>
        <c:crossAx val="427823872"/>
        <c:crosses val="autoZero"/>
        <c:auto val="0"/>
        <c:lblAlgn val="ctr"/>
        <c:lblOffset val="100"/>
        <c:noMultiLvlLbl val="0"/>
      </c:catAx>
      <c:valAx>
        <c:axId val="427823872"/>
        <c:scaling>
          <c:orientation val="minMax"/>
        </c:scaling>
        <c:delete val="0"/>
        <c:axPos val="l"/>
        <c:numFmt formatCode="0%" sourceLinked="1"/>
        <c:majorTickMark val="cross"/>
        <c:minorTickMark val="none"/>
        <c:tickLblPos val="nextTo"/>
        <c:spPr>
          <a:ln w="3175">
            <a:solidFill>
              <a:srgbClr val="B3B3B3"/>
            </a:solidFill>
            <a:prstDash val="solid"/>
          </a:ln>
        </c:spPr>
        <c:txPr>
          <a:bodyPr rot="0" vert="horz"/>
          <a:lstStyle/>
          <a:p>
            <a:pPr>
              <a:defRPr/>
            </a:pPr>
            <a:endParaRPr lang="en-US"/>
          </a:p>
        </c:txPr>
        <c:crossAx val="427805312"/>
        <c:crosses val="autoZero"/>
        <c:crossBetween val="between"/>
      </c:valAx>
      <c:spPr>
        <a:noFill/>
        <a:ln w="25400">
          <a:noFill/>
        </a:ln>
      </c:spPr>
    </c:plotArea>
    <c:legend>
      <c:legendPos val="b"/>
      <c:overlay val="0"/>
      <c:spPr>
        <a:noFill/>
        <a:ln w="25400">
          <a:noFill/>
        </a:ln>
      </c:spPr>
    </c:legend>
    <c:plotVisOnly val="1"/>
    <c:dispBlanksAs val="gap"/>
    <c:showDLblsOverMax val="0"/>
  </c:chart>
  <c:spPr>
    <a:noFill/>
    <a:ln w="25400">
      <a:noFill/>
    </a:ln>
    <a:effectLst/>
  </c:spPr>
  <c:txPr>
    <a:bodyPr/>
    <a:lstStyle/>
    <a:p>
      <a:pPr>
        <a:defRPr sz="1000" b="0" i="0" u="none" strike="noStrike" baseline="0">
          <a:solidFill>
            <a:srgbClr val="595959"/>
          </a:solidFill>
          <a:latin typeface="Arial Narrow"/>
          <a:ea typeface="Arial Narrow"/>
          <a:cs typeface="Arial Narrow"/>
        </a:defRPr>
      </a:pPr>
      <a:endParaRPr lang="en-US"/>
    </a:p>
  </c:txPr>
  <c:printSettings>
    <c:headerFooter alignWithMargins="0"/>
    <c:pageMargins b="1" l="0.75000000000000111" r="0.75000000000000111" t="1" header="0.5" footer="0.5"/>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2056483170523603"/>
          <c:y val="0.21846186667948744"/>
          <c:w val="0.3669358450965588"/>
          <c:h val="0.5600008413474179"/>
        </c:manualLayout>
      </c:layout>
      <c:radarChart>
        <c:radarStyle val="marker"/>
        <c:varyColors val="0"/>
        <c:ser>
          <c:idx val="0"/>
          <c:order val="0"/>
          <c:tx>
            <c:strRef>
              <c:f>_KT!$W$24</c:f>
              <c:strCache>
                <c:ptCount val="1"/>
                <c:pt idx="0">
                  <c:v>KT</c:v>
                </c:pt>
              </c:strCache>
            </c:strRef>
          </c:tx>
          <c:spPr>
            <a:ln w="25400">
              <a:solidFill>
                <a:srgbClr val="263238"/>
              </a:solidFill>
              <a:prstDash val="solid"/>
            </a:ln>
            <a:effectLst/>
          </c:spPr>
          <c:marker>
            <c:symbol val="diamond"/>
            <c:size val="6"/>
            <c:spPr>
              <a:solidFill>
                <a:srgbClr val="263238"/>
              </a:solidFill>
              <a:ln w="6350">
                <a:noFill/>
              </a:ln>
            </c:spPr>
          </c:marker>
          <c:cat>
            <c:strRef>
              <c:f>_KT!$V$25:$V$34</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_KT!$W$25:$W$34</c:f>
              <c:numCache>
                <c:formatCode>0%</c:formatCode>
                <c:ptCount val="10"/>
                <c:pt idx="0">
                  <c:v>0.31267629621136156</c:v>
                </c:pt>
                <c:pt idx="1">
                  <c:v>0.49514938620544729</c:v>
                </c:pt>
                <c:pt idx="2">
                  <c:v>0.65505337726722879</c:v>
                </c:pt>
                <c:pt idx="3">
                  <c:v>0.69422863208434926</c:v>
                </c:pt>
                <c:pt idx="4">
                  <c:v>0.46492086474268318</c:v>
                </c:pt>
                <c:pt idx="5">
                  <c:v>0.39674354411546586</c:v>
                </c:pt>
                <c:pt idx="6">
                  <c:v>0.40624937543374723</c:v>
                </c:pt>
                <c:pt idx="7">
                  <c:v>0.36221234878143788</c:v>
                </c:pt>
                <c:pt idx="8">
                  <c:v>1.2917997485766812</c:v>
                </c:pt>
                <c:pt idx="9">
                  <c:v>2.4615422458983796</c:v>
                </c:pt>
              </c:numCache>
            </c:numRef>
          </c:val>
          <c:extLst>
            <c:ext xmlns:c16="http://schemas.microsoft.com/office/drawing/2014/chart" uri="{C3380CC4-5D6E-409C-BE32-E72D297353CC}">
              <c16:uniqueId val="{00000000-D0A9-4C7F-BDDB-DEEBF96F1D93}"/>
            </c:ext>
          </c:extLst>
        </c:ser>
        <c:ser>
          <c:idx val="1"/>
          <c:order val="1"/>
          <c:tx>
            <c:strRef>
              <c:f>_KT!$X$24</c:f>
              <c:strCache>
                <c:ptCount val="1"/>
                <c:pt idx="0">
                  <c:v>Agg. Asia Cellular</c:v>
                </c:pt>
              </c:strCache>
            </c:strRef>
          </c:tx>
          <c:spPr>
            <a:ln w="25400">
              <a:solidFill>
                <a:srgbClr val="799098"/>
              </a:solidFill>
              <a:prstDash val="solid"/>
            </a:ln>
            <a:effectLst/>
          </c:spPr>
          <c:marker>
            <c:symbol val="diamond"/>
            <c:size val="6"/>
            <c:spPr>
              <a:solidFill>
                <a:srgbClr val="799098"/>
              </a:solidFill>
              <a:ln w="6350">
                <a:noFill/>
              </a:ln>
            </c:spPr>
          </c:marker>
          <c:cat>
            <c:strRef>
              <c:f>_KT!$V$25:$V$34</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_KT!$X$25:$X$34</c:f>
              <c:numCache>
                <c:formatCode>0%</c:formatCode>
                <c:ptCount val="10"/>
                <c:pt idx="0">
                  <c:v>1</c:v>
                </c:pt>
                <c:pt idx="1">
                  <c:v>1</c:v>
                </c:pt>
                <c:pt idx="2">
                  <c:v>1</c:v>
                </c:pt>
                <c:pt idx="3">
                  <c:v>1</c:v>
                </c:pt>
                <c:pt idx="4">
                  <c:v>1</c:v>
                </c:pt>
                <c:pt idx="5">
                  <c:v>1</c:v>
                </c:pt>
                <c:pt idx="6">
                  <c:v>1</c:v>
                </c:pt>
                <c:pt idx="7">
                  <c:v>1</c:v>
                </c:pt>
                <c:pt idx="8">
                  <c:v>1</c:v>
                </c:pt>
                <c:pt idx="9">
                  <c:v>1</c:v>
                </c:pt>
              </c:numCache>
            </c:numRef>
          </c:val>
          <c:extLst>
            <c:ext xmlns:c16="http://schemas.microsoft.com/office/drawing/2014/chart" uri="{C3380CC4-5D6E-409C-BE32-E72D297353CC}">
              <c16:uniqueId val="{00000001-D0A9-4C7F-BDDB-DEEBF96F1D93}"/>
            </c:ext>
          </c:extLst>
        </c:ser>
        <c:dLbls>
          <c:showLegendKey val="0"/>
          <c:showVal val="0"/>
          <c:showCatName val="0"/>
          <c:showSerName val="0"/>
          <c:showPercent val="0"/>
          <c:showBubbleSize val="0"/>
        </c:dLbls>
        <c:axId val="428239488"/>
        <c:axId val="428299008"/>
      </c:radarChart>
      <c:catAx>
        <c:axId val="428239488"/>
        <c:scaling>
          <c:orientation val="minMax"/>
        </c:scaling>
        <c:delete val="0"/>
        <c:axPos val="b"/>
        <c:numFmt formatCode="General" sourceLinked="1"/>
        <c:majorTickMark val="out"/>
        <c:minorTickMark val="none"/>
        <c:tickLblPos val="nextTo"/>
        <c:spPr>
          <a:ln>
            <a:solidFill>
              <a:srgbClr val="B3B3B3"/>
            </a:solidFill>
          </a:ln>
        </c:spPr>
        <c:txPr>
          <a:bodyPr rot="0" vert="horz"/>
          <a:lstStyle/>
          <a:p>
            <a:pPr>
              <a:defRPr/>
            </a:pPr>
            <a:endParaRPr lang="en-US"/>
          </a:p>
        </c:txPr>
        <c:crossAx val="428299008"/>
        <c:crosses val="autoZero"/>
        <c:auto val="0"/>
        <c:lblAlgn val="ctr"/>
        <c:lblOffset val="100"/>
        <c:noMultiLvlLbl val="0"/>
      </c:catAx>
      <c:valAx>
        <c:axId val="428299008"/>
        <c:scaling>
          <c:orientation val="minMax"/>
        </c:scaling>
        <c:delete val="0"/>
        <c:axPos val="l"/>
        <c:numFmt formatCode="0%" sourceLinked="1"/>
        <c:majorTickMark val="cross"/>
        <c:minorTickMark val="none"/>
        <c:tickLblPos val="nextTo"/>
        <c:spPr>
          <a:ln w="3175">
            <a:solidFill>
              <a:srgbClr val="B3B3B3"/>
            </a:solidFill>
            <a:prstDash val="solid"/>
          </a:ln>
        </c:spPr>
        <c:txPr>
          <a:bodyPr rot="0" vert="horz"/>
          <a:lstStyle/>
          <a:p>
            <a:pPr>
              <a:defRPr/>
            </a:pPr>
            <a:endParaRPr lang="en-US"/>
          </a:p>
        </c:txPr>
        <c:crossAx val="428239488"/>
        <c:crosses val="autoZero"/>
        <c:crossBetween val="between"/>
      </c:valAx>
      <c:spPr>
        <a:noFill/>
        <a:ln w="25400">
          <a:noFill/>
        </a:ln>
      </c:spPr>
    </c:plotArea>
    <c:legend>
      <c:legendPos val="b"/>
      <c:overlay val="0"/>
      <c:spPr>
        <a:noFill/>
        <a:ln w="25400">
          <a:noFill/>
        </a:ln>
      </c:spPr>
    </c:legend>
    <c:plotVisOnly val="1"/>
    <c:dispBlanksAs val="gap"/>
    <c:showDLblsOverMax val="0"/>
  </c:chart>
  <c:spPr>
    <a:noFill/>
    <a:ln w="25400">
      <a:noFill/>
    </a:ln>
    <a:effectLst/>
  </c:spPr>
  <c:txPr>
    <a:bodyPr/>
    <a:lstStyle/>
    <a:p>
      <a:pPr>
        <a:defRPr sz="1000" b="0" i="0" u="none" strike="noStrike" baseline="0">
          <a:solidFill>
            <a:srgbClr val="595959"/>
          </a:solidFill>
          <a:latin typeface="Arial Narrow"/>
          <a:ea typeface="Arial Narrow"/>
          <a:cs typeface="Arial Narrow"/>
        </a:defRPr>
      </a:pPr>
      <a:endParaRPr lang="en-US"/>
    </a:p>
  </c:txPr>
  <c:printSettings>
    <c:headerFooter alignWithMargins="0"/>
    <c:pageMargins b="1" l="0.75000000000000111" r="0.75000000000000111" t="1" header="0.5" footer="0.5"/>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2056483170523603"/>
          <c:y val="0.21846186667948744"/>
          <c:w val="0.3669358450965588"/>
          <c:h val="0.5600008413474179"/>
        </c:manualLayout>
      </c:layout>
      <c:radarChart>
        <c:radarStyle val="marker"/>
        <c:varyColors val="0"/>
        <c:ser>
          <c:idx val="0"/>
          <c:order val="0"/>
          <c:tx>
            <c:strRef>
              <c:f>_LG!$W$24</c:f>
              <c:strCache>
                <c:ptCount val="1"/>
                <c:pt idx="0">
                  <c:v>LG</c:v>
                </c:pt>
              </c:strCache>
            </c:strRef>
          </c:tx>
          <c:spPr>
            <a:ln w="25400">
              <a:solidFill>
                <a:srgbClr val="263238"/>
              </a:solidFill>
              <a:prstDash val="solid"/>
            </a:ln>
            <a:effectLst/>
          </c:spPr>
          <c:marker>
            <c:symbol val="diamond"/>
            <c:size val="6"/>
            <c:spPr>
              <a:solidFill>
                <a:srgbClr val="263238"/>
              </a:solidFill>
              <a:ln w="6350">
                <a:noFill/>
              </a:ln>
            </c:spPr>
          </c:marker>
          <c:cat>
            <c:strRef>
              <c:f>_LG!$V$25:$V$34</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_LG!$W$25:$W$34</c:f>
              <c:numCache>
                <c:formatCode>0%</c:formatCode>
                <c:ptCount val="10"/>
                <c:pt idx="0">
                  <c:v>0.40252007074969409</c:v>
                </c:pt>
                <c:pt idx="1">
                  <c:v>0.53110047698570517</c:v>
                </c:pt>
                <c:pt idx="2">
                  <c:v>0.93209337787125091</c:v>
                </c:pt>
                <c:pt idx="3">
                  <c:v>0.87607065624265212</c:v>
                </c:pt>
                <c:pt idx="4">
                  <c:v>0.58315406966691952</c:v>
                </c:pt>
                <c:pt idx="5">
                  <c:v>0.37386786981301157</c:v>
                </c:pt>
                <c:pt idx="6">
                  <c:v>2.3345677910845155</c:v>
                </c:pt>
                <c:pt idx="7">
                  <c:v>0.28284176942779082</c:v>
                </c:pt>
                <c:pt idx="8">
                  <c:v>1.5939046309765179</c:v>
                </c:pt>
                <c:pt idx="9">
                  <c:v>0.42834481132606284</c:v>
                </c:pt>
              </c:numCache>
            </c:numRef>
          </c:val>
          <c:extLst>
            <c:ext xmlns:c16="http://schemas.microsoft.com/office/drawing/2014/chart" uri="{C3380CC4-5D6E-409C-BE32-E72D297353CC}">
              <c16:uniqueId val="{00000000-5F4D-44A6-8795-FAC94B689382}"/>
            </c:ext>
          </c:extLst>
        </c:ser>
        <c:ser>
          <c:idx val="1"/>
          <c:order val="1"/>
          <c:tx>
            <c:strRef>
              <c:f>_LG!$X$24</c:f>
              <c:strCache>
                <c:ptCount val="1"/>
                <c:pt idx="0">
                  <c:v>Agg. Asia Cellular</c:v>
                </c:pt>
              </c:strCache>
            </c:strRef>
          </c:tx>
          <c:spPr>
            <a:ln w="25400">
              <a:solidFill>
                <a:srgbClr val="799098"/>
              </a:solidFill>
              <a:prstDash val="solid"/>
            </a:ln>
            <a:effectLst/>
          </c:spPr>
          <c:marker>
            <c:symbol val="diamond"/>
            <c:size val="6"/>
            <c:spPr>
              <a:solidFill>
                <a:srgbClr val="799098"/>
              </a:solidFill>
              <a:ln w="6350">
                <a:noFill/>
              </a:ln>
            </c:spPr>
          </c:marker>
          <c:cat>
            <c:strRef>
              <c:f>_LG!$V$25:$V$34</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_LG!$X$25:$X$34</c:f>
              <c:numCache>
                <c:formatCode>0%</c:formatCode>
                <c:ptCount val="10"/>
                <c:pt idx="0">
                  <c:v>1</c:v>
                </c:pt>
                <c:pt idx="1">
                  <c:v>1</c:v>
                </c:pt>
                <c:pt idx="2">
                  <c:v>1</c:v>
                </c:pt>
                <c:pt idx="3">
                  <c:v>1</c:v>
                </c:pt>
                <c:pt idx="4">
                  <c:v>1</c:v>
                </c:pt>
                <c:pt idx="5">
                  <c:v>1</c:v>
                </c:pt>
                <c:pt idx="6">
                  <c:v>1</c:v>
                </c:pt>
                <c:pt idx="7">
                  <c:v>1</c:v>
                </c:pt>
                <c:pt idx="8">
                  <c:v>1</c:v>
                </c:pt>
                <c:pt idx="9">
                  <c:v>1</c:v>
                </c:pt>
              </c:numCache>
            </c:numRef>
          </c:val>
          <c:extLst>
            <c:ext xmlns:c16="http://schemas.microsoft.com/office/drawing/2014/chart" uri="{C3380CC4-5D6E-409C-BE32-E72D297353CC}">
              <c16:uniqueId val="{00000001-5F4D-44A6-8795-FAC94B689382}"/>
            </c:ext>
          </c:extLst>
        </c:ser>
        <c:dLbls>
          <c:showLegendKey val="0"/>
          <c:showVal val="0"/>
          <c:showCatName val="0"/>
          <c:showSerName val="0"/>
          <c:showPercent val="0"/>
          <c:showBubbleSize val="0"/>
        </c:dLbls>
        <c:axId val="428817024"/>
        <c:axId val="428950272"/>
      </c:radarChart>
      <c:catAx>
        <c:axId val="428817024"/>
        <c:scaling>
          <c:orientation val="minMax"/>
        </c:scaling>
        <c:delete val="0"/>
        <c:axPos val="b"/>
        <c:numFmt formatCode="General" sourceLinked="1"/>
        <c:majorTickMark val="out"/>
        <c:minorTickMark val="none"/>
        <c:tickLblPos val="nextTo"/>
        <c:spPr>
          <a:ln>
            <a:solidFill>
              <a:srgbClr val="B3B3B3"/>
            </a:solidFill>
          </a:ln>
        </c:spPr>
        <c:txPr>
          <a:bodyPr rot="0" vert="horz"/>
          <a:lstStyle/>
          <a:p>
            <a:pPr>
              <a:defRPr/>
            </a:pPr>
            <a:endParaRPr lang="en-US"/>
          </a:p>
        </c:txPr>
        <c:crossAx val="428950272"/>
        <c:crosses val="autoZero"/>
        <c:auto val="0"/>
        <c:lblAlgn val="ctr"/>
        <c:lblOffset val="100"/>
        <c:noMultiLvlLbl val="0"/>
      </c:catAx>
      <c:valAx>
        <c:axId val="428950272"/>
        <c:scaling>
          <c:orientation val="minMax"/>
        </c:scaling>
        <c:delete val="0"/>
        <c:axPos val="l"/>
        <c:numFmt formatCode="0%" sourceLinked="1"/>
        <c:majorTickMark val="cross"/>
        <c:minorTickMark val="none"/>
        <c:tickLblPos val="nextTo"/>
        <c:spPr>
          <a:ln w="3175">
            <a:solidFill>
              <a:srgbClr val="B3B3B3"/>
            </a:solidFill>
            <a:prstDash val="solid"/>
          </a:ln>
        </c:spPr>
        <c:txPr>
          <a:bodyPr rot="0" vert="horz"/>
          <a:lstStyle/>
          <a:p>
            <a:pPr>
              <a:defRPr/>
            </a:pPr>
            <a:endParaRPr lang="en-US"/>
          </a:p>
        </c:txPr>
        <c:crossAx val="428817024"/>
        <c:crosses val="autoZero"/>
        <c:crossBetween val="between"/>
      </c:valAx>
      <c:spPr>
        <a:noFill/>
        <a:ln w="25400">
          <a:noFill/>
        </a:ln>
      </c:spPr>
    </c:plotArea>
    <c:legend>
      <c:legendPos val="b"/>
      <c:overlay val="0"/>
      <c:spPr>
        <a:noFill/>
        <a:ln w="25400">
          <a:noFill/>
        </a:ln>
      </c:spPr>
    </c:legend>
    <c:plotVisOnly val="1"/>
    <c:dispBlanksAs val="gap"/>
    <c:showDLblsOverMax val="0"/>
  </c:chart>
  <c:spPr>
    <a:noFill/>
    <a:ln w="25400">
      <a:noFill/>
    </a:ln>
    <a:effectLst/>
  </c:spPr>
  <c:txPr>
    <a:bodyPr/>
    <a:lstStyle/>
    <a:p>
      <a:pPr>
        <a:defRPr sz="1000" b="0" i="0" u="none" strike="noStrike" baseline="0">
          <a:solidFill>
            <a:srgbClr val="595959"/>
          </a:solidFill>
          <a:latin typeface="Arial Narrow"/>
          <a:ea typeface="Arial Narrow"/>
          <a:cs typeface="Arial Narrow"/>
        </a:defRPr>
      </a:pPr>
      <a:endParaRPr lang="en-US"/>
    </a:p>
  </c:txPr>
  <c:printSettings>
    <c:headerFooter alignWithMargins="0"/>
    <c:pageMargins b="1" l="0.75000000000000111" r="0.75000000000000111" t="1" header="0.5" footer="0.5"/>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9233899746703906"/>
          <c:y val="0.10248462745752179"/>
          <c:w val="0.44959721679413461"/>
          <c:h val="0.69254763403113173"/>
        </c:manualLayout>
      </c:layout>
      <c:radarChart>
        <c:radarStyle val="marker"/>
        <c:varyColors val="0"/>
        <c:ser>
          <c:idx val="0"/>
          <c:order val="0"/>
          <c:tx>
            <c:strRef>
              <c:f>LBTY!$W$24</c:f>
              <c:strCache>
                <c:ptCount val="1"/>
                <c:pt idx="0">
                  <c:v>Liberty</c:v>
                </c:pt>
              </c:strCache>
            </c:strRef>
          </c:tx>
          <c:spPr>
            <a:ln w="25400">
              <a:solidFill>
                <a:srgbClr val="263238"/>
              </a:solidFill>
              <a:prstDash val="solid"/>
            </a:ln>
            <a:effectLst/>
          </c:spPr>
          <c:marker>
            <c:symbol val="diamond"/>
            <c:size val="6"/>
            <c:spPr>
              <a:solidFill>
                <a:srgbClr val="263238"/>
              </a:solidFill>
              <a:ln w="6350">
                <a:noFill/>
              </a:ln>
            </c:spPr>
          </c:marker>
          <c:cat>
            <c:strRef>
              <c:f>LBTY!$V$25:$V$34</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LBTY!$W$25:$W$34</c:f>
              <c:numCache>
                <c:formatCode>0%</c:formatCode>
                <c:ptCount val="10"/>
                <c:pt idx="0">
                  <c:v>0.87153778432445506</c:v>
                </c:pt>
                <c:pt idx="1">
                  <c:v>0.85302331248620888</c:v>
                </c:pt>
                <c:pt idx="2">
                  <c:v>1.1465895057329392</c:v>
                </c:pt>
                <c:pt idx="3">
                  <c:v>1.0956635249471161</c:v>
                </c:pt>
                <c:pt idx="4">
                  <c:v>0.61781390173709394</c:v>
                </c:pt>
                <c:pt idx="5">
                  <c:v>0.43354128975982981</c:v>
                </c:pt>
                <c:pt idx="6">
                  <c:v>0.59305061206422305</c:v>
                </c:pt>
                <c:pt idx="7">
                  <c:v>-0.40994171378159483</c:v>
                </c:pt>
                <c:pt idx="8">
                  <c:v>0</c:v>
                </c:pt>
                <c:pt idx="9">
                  <c:v>1.6861967253002472</c:v>
                </c:pt>
              </c:numCache>
            </c:numRef>
          </c:val>
          <c:extLst>
            <c:ext xmlns:c16="http://schemas.microsoft.com/office/drawing/2014/chart" uri="{C3380CC4-5D6E-409C-BE32-E72D297353CC}">
              <c16:uniqueId val="{00000000-5DD4-4A7D-B57E-EA4E776F52DF}"/>
            </c:ext>
          </c:extLst>
        </c:ser>
        <c:ser>
          <c:idx val="1"/>
          <c:order val="1"/>
          <c:tx>
            <c:strRef>
              <c:f>LBTY!$X$24</c:f>
              <c:strCache>
                <c:ptCount val="1"/>
                <c:pt idx="0">
                  <c:v>Agg. W. Eur. CATV</c:v>
                </c:pt>
              </c:strCache>
            </c:strRef>
          </c:tx>
          <c:spPr>
            <a:ln w="25400">
              <a:solidFill>
                <a:srgbClr val="799098"/>
              </a:solidFill>
              <a:prstDash val="solid"/>
            </a:ln>
            <a:effectLst/>
          </c:spPr>
          <c:marker>
            <c:symbol val="diamond"/>
            <c:size val="6"/>
            <c:spPr>
              <a:solidFill>
                <a:srgbClr val="799098"/>
              </a:solidFill>
              <a:ln w="6350">
                <a:noFill/>
              </a:ln>
            </c:spPr>
          </c:marker>
          <c:cat>
            <c:strRef>
              <c:f>LBTY!$V$25:$V$34</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LBTY!$X$25:$X$34</c:f>
              <c:numCache>
                <c:formatCode>0%</c:formatCode>
                <c:ptCount val="10"/>
                <c:pt idx="0">
                  <c:v>1</c:v>
                </c:pt>
                <c:pt idx="1">
                  <c:v>1</c:v>
                </c:pt>
                <c:pt idx="2">
                  <c:v>1</c:v>
                </c:pt>
                <c:pt idx="3">
                  <c:v>1</c:v>
                </c:pt>
                <c:pt idx="4">
                  <c:v>1</c:v>
                </c:pt>
                <c:pt idx="5">
                  <c:v>1</c:v>
                </c:pt>
                <c:pt idx="6">
                  <c:v>1</c:v>
                </c:pt>
                <c:pt idx="7">
                  <c:v>1</c:v>
                </c:pt>
                <c:pt idx="8">
                  <c:v>1</c:v>
                </c:pt>
                <c:pt idx="9">
                  <c:v>1</c:v>
                </c:pt>
              </c:numCache>
            </c:numRef>
          </c:val>
          <c:extLst>
            <c:ext xmlns:c16="http://schemas.microsoft.com/office/drawing/2014/chart" uri="{C3380CC4-5D6E-409C-BE32-E72D297353CC}">
              <c16:uniqueId val="{00000001-5DD4-4A7D-B57E-EA4E776F52DF}"/>
            </c:ext>
          </c:extLst>
        </c:ser>
        <c:dLbls>
          <c:showLegendKey val="0"/>
          <c:showVal val="0"/>
          <c:showCatName val="0"/>
          <c:showSerName val="0"/>
          <c:showPercent val="0"/>
          <c:showBubbleSize val="0"/>
        </c:dLbls>
        <c:axId val="430336640"/>
        <c:axId val="430347008"/>
      </c:radarChart>
      <c:catAx>
        <c:axId val="430336640"/>
        <c:scaling>
          <c:orientation val="minMax"/>
        </c:scaling>
        <c:delete val="0"/>
        <c:axPos val="b"/>
        <c:numFmt formatCode="General" sourceLinked="1"/>
        <c:majorTickMark val="out"/>
        <c:minorTickMark val="none"/>
        <c:tickLblPos val="nextTo"/>
        <c:spPr>
          <a:ln>
            <a:solidFill>
              <a:srgbClr val="B3B3B3"/>
            </a:solidFill>
          </a:ln>
        </c:spPr>
        <c:txPr>
          <a:bodyPr rot="0" vert="horz"/>
          <a:lstStyle/>
          <a:p>
            <a:pPr>
              <a:defRPr/>
            </a:pPr>
            <a:endParaRPr lang="en-US"/>
          </a:p>
        </c:txPr>
        <c:crossAx val="430347008"/>
        <c:crosses val="autoZero"/>
        <c:auto val="0"/>
        <c:lblAlgn val="ctr"/>
        <c:lblOffset val="100"/>
        <c:noMultiLvlLbl val="0"/>
      </c:catAx>
      <c:valAx>
        <c:axId val="430347008"/>
        <c:scaling>
          <c:orientation val="minMax"/>
        </c:scaling>
        <c:delete val="0"/>
        <c:axPos val="l"/>
        <c:numFmt formatCode="0%" sourceLinked="1"/>
        <c:majorTickMark val="cross"/>
        <c:minorTickMark val="none"/>
        <c:tickLblPos val="nextTo"/>
        <c:spPr>
          <a:ln w="3175">
            <a:solidFill>
              <a:srgbClr val="B3B3B3"/>
            </a:solidFill>
            <a:prstDash val="solid"/>
          </a:ln>
        </c:spPr>
        <c:txPr>
          <a:bodyPr rot="0" vert="horz"/>
          <a:lstStyle/>
          <a:p>
            <a:pPr>
              <a:defRPr/>
            </a:pPr>
            <a:endParaRPr lang="en-US"/>
          </a:p>
        </c:txPr>
        <c:crossAx val="430336640"/>
        <c:crosses val="autoZero"/>
        <c:crossBetween val="between"/>
      </c:valAx>
      <c:spPr>
        <a:noFill/>
        <a:ln w="25400">
          <a:noFill/>
        </a:ln>
      </c:spPr>
    </c:plotArea>
    <c:legend>
      <c:legendPos val="b"/>
      <c:overlay val="0"/>
      <c:spPr>
        <a:noFill/>
        <a:ln w="25400">
          <a:noFill/>
        </a:ln>
      </c:spPr>
    </c:legend>
    <c:plotVisOnly val="1"/>
    <c:dispBlanksAs val="gap"/>
    <c:showDLblsOverMax val="0"/>
  </c:chart>
  <c:spPr>
    <a:noFill/>
    <a:ln w="25400">
      <a:noFill/>
    </a:ln>
    <a:effectLst/>
  </c:spPr>
  <c:txPr>
    <a:bodyPr/>
    <a:lstStyle/>
    <a:p>
      <a:pPr>
        <a:defRPr sz="1000" b="0" i="0" u="none" strike="noStrike" baseline="0">
          <a:solidFill>
            <a:srgbClr val="595959"/>
          </a:solidFill>
          <a:latin typeface="Arial Narrow"/>
          <a:ea typeface="Arial Narrow"/>
          <a:cs typeface="Arial Narrow"/>
        </a:defRPr>
      </a:pPr>
      <a:endParaRPr lang="en-US"/>
    </a:p>
  </c:txPr>
  <c:printSettings>
    <c:headerFooter alignWithMargins="0"/>
    <c:pageMargins b="1" l="0.75000000000000111" r="0.75000000000000111" t="1" header="0.5" footer="0.5"/>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204763759483964"/>
          <c:y val="0.1"/>
          <c:w val="0.44839637440987212"/>
          <c:h val="0.71344516792000845"/>
        </c:manualLayout>
      </c:layout>
      <c:radarChart>
        <c:radarStyle val="marker"/>
        <c:varyColors val="0"/>
        <c:ser>
          <c:idx val="0"/>
          <c:order val="0"/>
          <c:tx>
            <c:strRef>
              <c:f>LiLAC!$W$25</c:f>
              <c:strCache>
                <c:ptCount val="1"/>
                <c:pt idx="0">
                  <c:v>LiLAC</c:v>
                </c:pt>
              </c:strCache>
            </c:strRef>
          </c:tx>
          <c:spPr>
            <a:ln w="25400">
              <a:solidFill>
                <a:srgbClr val="263238"/>
              </a:solidFill>
              <a:prstDash val="solid"/>
            </a:ln>
            <a:effectLst/>
          </c:spPr>
          <c:marker>
            <c:symbol val="diamond"/>
            <c:size val="6"/>
            <c:spPr>
              <a:solidFill>
                <a:srgbClr val="263238"/>
              </a:solidFill>
              <a:ln w="6350">
                <a:noFill/>
              </a:ln>
            </c:spPr>
          </c:marker>
          <c:cat>
            <c:strRef>
              <c:f>LiLAC!$V$26:$V$35</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LiLAC!$W$26:$W$35</c:f>
              <c:numCache>
                <c:formatCode>0%</c:formatCode>
                <c:ptCount val="10"/>
                <c:pt idx="0">
                  <c:v>4.6259867224136091</c:v>
                </c:pt>
                <c:pt idx="1">
                  <c:v>3.4270791033690364</c:v>
                </c:pt>
                <c:pt idx="2">
                  <c:v>2.8446319184519355</c:v>
                </c:pt>
                <c:pt idx="3">
                  <c:v>2.844631918451936</c:v>
                </c:pt>
                <c:pt idx="4">
                  <c:v>2.7638115672421675</c:v>
                </c:pt>
                <c:pt idx="5">
                  <c:v>7.5475706378950829</c:v>
                </c:pt>
                <c:pt idx="6">
                  <c:v>1.41233567610208</c:v>
                </c:pt>
                <c:pt idx="7">
                  <c:v>3.4322377219834945</c:v>
                </c:pt>
                <c:pt idx="8">
                  <c:v>0</c:v>
                </c:pt>
                <c:pt idx="9">
                  <c:v>0.70804697277060247</c:v>
                </c:pt>
              </c:numCache>
            </c:numRef>
          </c:val>
          <c:extLst>
            <c:ext xmlns:c16="http://schemas.microsoft.com/office/drawing/2014/chart" uri="{C3380CC4-5D6E-409C-BE32-E72D297353CC}">
              <c16:uniqueId val="{00000000-A637-49F8-AE87-9F33CC4F0659}"/>
            </c:ext>
          </c:extLst>
        </c:ser>
        <c:ser>
          <c:idx val="1"/>
          <c:order val="1"/>
          <c:tx>
            <c:strRef>
              <c:f>LiLAC!$X$25</c:f>
              <c:strCache>
                <c:ptCount val="1"/>
                <c:pt idx="0">
                  <c:v>Agg. EMEA Incumbent</c:v>
                </c:pt>
              </c:strCache>
            </c:strRef>
          </c:tx>
          <c:spPr>
            <a:ln w="25400">
              <a:solidFill>
                <a:srgbClr val="799098"/>
              </a:solidFill>
              <a:prstDash val="solid"/>
            </a:ln>
            <a:effectLst/>
          </c:spPr>
          <c:marker>
            <c:symbol val="diamond"/>
            <c:size val="6"/>
            <c:spPr>
              <a:solidFill>
                <a:srgbClr val="799098"/>
              </a:solidFill>
              <a:ln w="6350">
                <a:noFill/>
              </a:ln>
            </c:spPr>
          </c:marker>
          <c:cat>
            <c:strRef>
              <c:f>LiLAC!$V$26:$V$35</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LiLAC!$X$26:$X$35</c:f>
              <c:numCache>
                <c:formatCode>0%</c:formatCode>
                <c:ptCount val="10"/>
                <c:pt idx="0">
                  <c:v>1</c:v>
                </c:pt>
                <c:pt idx="1">
                  <c:v>1</c:v>
                </c:pt>
                <c:pt idx="2">
                  <c:v>1</c:v>
                </c:pt>
                <c:pt idx="3">
                  <c:v>1</c:v>
                </c:pt>
                <c:pt idx="4">
                  <c:v>1</c:v>
                </c:pt>
                <c:pt idx="5">
                  <c:v>1</c:v>
                </c:pt>
                <c:pt idx="6">
                  <c:v>1</c:v>
                </c:pt>
                <c:pt idx="7">
                  <c:v>1</c:v>
                </c:pt>
                <c:pt idx="8">
                  <c:v>1</c:v>
                </c:pt>
                <c:pt idx="9">
                  <c:v>1</c:v>
                </c:pt>
              </c:numCache>
            </c:numRef>
          </c:val>
          <c:extLst>
            <c:ext xmlns:c16="http://schemas.microsoft.com/office/drawing/2014/chart" uri="{C3380CC4-5D6E-409C-BE32-E72D297353CC}">
              <c16:uniqueId val="{00000001-A637-49F8-AE87-9F33CC4F0659}"/>
            </c:ext>
          </c:extLst>
        </c:ser>
        <c:dLbls>
          <c:showLegendKey val="0"/>
          <c:showVal val="0"/>
          <c:showCatName val="0"/>
          <c:showSerName val="0"/>
          <c:showPercent val="0"/>
          <c:showBubbleSize val="0"/>
        </c:dLbls>
        <c:axId val="431941888"/>
        <c:axId val="433127808"/>
      </c:radarChart>
      <c:catAx>
        <c:axId val="431941888"/>
        <c:scaling>
          <c:orientation val="minMax"/>
        </c:scaling>
        <c:delete val="0"/>
        <c:axPos val="b"/>
        <c:numFmt formatCode="General" sourceLinked="1"/>
        <c:majorTickMark val="out"/>
        <c:minorTickMark val="none"/>
        <c:tickLblPos val="nextTo"/>
        <c:spPr>
          <a:ln>
            <a:solidFill>
              <a:srgbClr val="B3B3B3"/>
            </a:solidFill>
          </a:ln>
        </c:spPr>
        <c:txPr>
          <a:bodyPr rot="0" vert="horz"/>
          <a:lstStyle/>
          <a:p>
            <a:pPr>
              <a:defRPr/>
            </a:pPr>
            <a:endParaRPr lang="en-US"/>
          </a:p>
        </c:txPr>
        <c:crossAx val="433127808"/>
        <c:crosses val="autoZero"/>
        <c:auto val="0"/>
        <c:lblAlgn val="ctr"/>
        <c:lblOffset val="100"/>
        <c:noMultiLvlLbl val="0"/>
      </c:catAx>
      <c:valAx>
        <c:axId val="433127808"/>
        <c:scaling>
          <c:orientation val="minMax"/>
        </c:scaling>
        <c:delete val="0"/>
        <c:axPos val="l"/>
        <c:numFmt formatCode="0%" sourceLinked="1"/>
        <c:majorTickMark val="cross"/>
        <c:minorTickMark val="none"/>
        <c:tickLblPos val="nextTo"/>
        <c:spPr>
          <a:ln w="3175">
            <a:solidFill>
              <a:srgbClr val="B3B3B3"/>
            </a:solidFill>
            <a:prstDash val="solid"/>
          </a:ln>
        </c:spPr>
        <c:txPr>
          <a:bodyPr rot="0" vert="horz"/>
          <a:lstStyle/>
          <a:p>
            <a:pPr>
              <a:defRPr/>
            </a:pPr>
            <a:endParaRPr lang="en-US"/>
          </a:p>
        </c:txPr>
        <c:crossAx val="431941888"/>
        <c:crosses val="autoZero"/>
        <c:crossBetween val="between"/>
      </c:valAx>
      <c:spPr>
        <a:noFill/>
        <a:ln w="25400">
          <a:noFill/>
        </a:ln>
      </c:spPr>
    </c:plotArea>
    <c:legend>
      <c:legendPos val="b"/>
      <c:overlay val="0"/>
      <c:spPr>
        <a:noFill/>
        <a:ln w="25400">
          <a:noFill/>
        </a:ln>
      </c:spPr>
    </c:legend>
    <c:plotVisOnly val="1"/>
    <c:dispBlanksAs val="gap"/>
    <c:showDLblsOverMax val="0"/>
  </c:chart>
  <c:spPr>
    <a:noFill/>
    <a:ln w="25400">
      <a:noFill/>
    </a:ln>
    <a:effectLst/>
  </c:spPr>
  <c:txPr>
    <a:bodyPr/>
    <a:lstStyle/>
    <a:p>
      <a:pPr>
        <a:defRPr sz="1000" b="0" i="0" u="none" strike="noStrike" baseline="0">
          <a:solidFill>
            <a:srgbClr val="595959"/>
          </a:solidFill>
          <a:latin typeface="Arial Narrow"/>
          <a:ea typeface="Arial Narrow"/>
          <a:cs typeface="Arial Narrow"/>
        </a:defRPr>
      </a:pPr>
      <a:endParaRPr lang="en-US"/>
    </a:p>
  </c:txPr>
  <c:printSettings>
    <c:headerFooter alignWithMargins="0"/>
    <c:pageMargins b="1" l="0.75000000000000111" r="0.75000000000000111" t="1" header="0.5" footer="0.5"/>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3752425058685237"/>
          <c:y val="0.13538481878728784"/>
          <c:w val="0.40479236575401345"/>
          <c:h val="0.63046767681006788"/>
        </c:manualLayout>
      </c:layout>
      <c:radarChart>
        <c:radarStyle val="marker"/>
        <c:varyColors val="0"/>
        <c:ser>
          <c:idx val="0"/>
          <c:order val="0"/>
          <c:tx>
            <c:strRef>
              <c:f>MAQ!$W$24</c:f>
              <c:strCache>
                <c:ptCount val="1"/>
                <c:pt idx="0">
                  <c:v>Telstra</c:v>
                </c:pt>
              </c:strCache>
            </c:strRef>
          </c:tx>
          <c:spPr>
            <a:ln w="25400">
              <a:solidFill>
                <a:srgbClr val="263238"/>
              </a:solidFill>
              <a:prstDash val="solid"/>
            </a:ln>
            <a:effectLst/>
          </c:spPr>
          <c:marker>
            <c:symbol val="diamond"/>
            <c:size val="6"/>
            <c:spPr>
              <a:solidFill>
                <a:srgbClr val="263238"/>
              </a:solidFill>
              <a:ln w="6350">
                <a:noFill/>
              </a:ln>
            </c:spPr>
          </c:marker>
          <c:cat>
            <c:strRef>
              <c:f>MAQ!$V$25:$V$34</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MAQ!$W$25:$W$34</c:f>
              <c:numCache>
                <c:formatCode>0%</c:formatCode>
                <c:ptCount val="10"/>
                <c:pt idx="0">
                  <c:v>3.7158152231575881</c:v>
                </c:pt>
                <c:pt idx="1">
                  <c:v>4.2451173862259131</c:v>
                </c:pt>
                <c:pt idx="2">
                  <c:v>27.183170501160291</c:v>
                </c:pt>
                <c:pt idx="3">
                  <c:v>20.363495951665271</c:v>
                </c:pt>
                <c:pt idx="4">
                  <c:v>9.3791597655404022</c:v>
                </c:pt>
                <c:pt idx="5">
                  <c:v>4.025665310494559</c:v>
                </c:pt>
                <c:pt idx="6">
                  <c:v>15.845058983678628</c:v>
                </c:pt>
                <c:pt idx="7">
                  <c:v>4.3981014743326217</c:v>
                </c:pt>
                <c:pt idx="8">
                  <c:v>0</c:v>
                </c:pt>
                <c:pt idx="9">
                  <c:v>6.3111156672250993E-2</c:v>
                </c:pt>
              </c:numCache>
            </c:numRef>
          </c:val>
          <c:extLst>
            <c:ext xmlns:c16="http://schemas.microsoft.com/office/drawing/2014/chart" uri="{C3380CC4-5D6E-409C-BE32-E72D297353CC}">
              <c16:uniqueId val="{00000000-AA03-4EC6-9374-FB2883F654D8}"/>
            </c:ext>
          </c:extLst>
        </c:ser>
        <c:ser>
          <c:idx val="1"/>
          <c:order val="1"/>
          <c:tx>
            <c:strRef>
              <c:f>MAQ!$X$24</c:f>
              <c:strCache>
                <c:ptCount val="1"/>
                <c:pt idx="0">
                  <c:v>Agg. Asia Incumbent</c:v>
                </c:pt>
              </c:strCache>
            </c:strRef>
          </c:tx>
          <c:spPr>
            <a:ln w="25400">
              <a:solidFill>
                <a:srgbClr val="799098"/>
              </a:solidFill>
              <a:prstDash val="solid"/>
            </a:ln>
            <a:effectLst/>
          </c:spPr>
          <c:marker>
            <c:symbol val="diamond"/>
            <c:size val="6"/>
            <c:spPr>
              <a:solidFill>
                <a:srgbClr val="799098"/>
              </a:solidFill>
              <a:ln w="6350">
                <a:noFill/>
              </a:ln>
            </c:spPr>
          </c:marker>
          <c:cat>
            <c:strRef>
              <c:f>MAQ!$V$25:$V$34</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MAQ!$X$25:$X$34</c:f>
              <c:numCache>
                <c:formatCode>0%</c:formatCode>
                <c:ptCount val="10"/>
                <c:pt idx="0">
                  <c:v>1</c:v>
                </c:pt>
                <c:pt idx="1">
                  <c:v>1</c:v>
                </c:pt>
                <c:pt idx="2">
                  <c:v>1</c:v>
                </c:pt>
                <c:pt idx="3">
                  <c:v>1</c:v>
                </c:pt>
                <c:pt idx="4">
                  <c:v>1</c:v>
                </c:pt>
                <c:pt idx="5">
                  <c:v>1</c:v>
                </c:pt>
                <c:pt idx="6">
                  <c:v>1</c:v>
                </c:pt>
                <c:pt idx="7">
                  <c:v>1</c:v>
                </c:pt>
                <c:pt idx="8">
                  <c:v>1</c:v>
                </c:pt>
                <c:pt idx="9">
                  <c:v>1</c:v>
                </c:pt>
              </c:numCache>
            </c:numRef>
          </c:val>
          <c:extLst>
            <c:ext xmlns:c16="http://schemas.microsoft.com/office/drawing/2014/chart" uri="{C3380CC4-5D6E-409C-BE32-E72D297353CC}">
              <c16:uniqueId val="{00000001-AA03-4EC6-9374-FB2883F654D8}"/>
            </c:ext>
          </c:extLst>
        </c:ser>
        <c:dLbls>
          <c:showLegendKey val="0"/>
          <c:showVal val="0"/>
          <c:showCatName val="0"/>
          <c:showSerName val="0"/>
          <c:showPercent val="0"/>
          <c:showBubbleSize val="0"/>
        </c:dLbls>
        <c:axId val="433174784"/>
        <c:axId val="433983872"/>
      </c:radarChart>
      <c:catAx>
        <c:axId val="433174784"/>
        <c:scaling>
          <c:orientation val="minMax"/>
        </c:scaling>
        <c:delete val="0"/>
        <c:axPos val="b"/>
        <c:numFmt formatCode="General" sourceLinked="1"/>
        <c:majorTickMark val="out"/>
        <c:minorTickMark val="none"/>
        <c:tickLblPos val="nextTo"/>
        <c:spPr>
          <a:ln>
            <a:solidFill>
              <a:srgbClr val="B3B3B3"/>
            </a:solidFill>
          </a:ln>
        </c:spPr>
        <c:txPr>
          <a:bodyPr rot="0" vert="horz"/>
          <a:lstStyle/>
          <a:p>
            <a:pPr>
              <a:defRPr/>
            </a:pPr>
            <a:endParaRPr lang="en-US"/>
          </a:p>
        </c:txPr>
        <c:crossAx val="433983872"/>
        <c:crosses val="autoZero"/>
        <c:auto val="0"/>
        <c:lblAlgn val="ctr"/>
        <c:lblOffset val="100"/>
        <c:noMultiLvlLbl val="0"/>
      </c:catAx>
      <c:valAx>
        <c:axId val="433983872"/>
        <c:scaling>
          <c:orientation val="minMax"/>
        </c:scaling>
        <c:delete val="0"/>
        <c:axPos val="l"/>
        <c:numFmt formatCode="0%" sourceLinked="1"/>
        <c:majorTickMark val="cross"/>
        <c:minorTickMark val="none"/>
        <c:tickLblPos val="nextTo"/>
        <c:spPr>
          <a:ln w="3175">
            <a:solidFill>
              <a:srgbClr val="B3B3B3"/>
            </a:solidFill>
            <a:prstDash val="solid"/>
          </a:ln>
        </c:spPr>
        <c:txPr>
          <a:bodyPr rot="0" vert="horz"/>
          <a:lstStyle/>
          <a:p>
            <a:pPr>
              <a:defRPr/>
            </a:pPr>
            <a:endParaRPr lang="en-US"/>
          </a:p>
        </c:txPr>
        <c:crossAx val="433174784"/>
        <c:crosses val="autoZero"/>
        <c:crossBetween val="between"/>
      </c:valAx>
      <c:spPr>
        <a:noFill/>
        <a:ln w="25400">
          <a:noFill/>
        </a:ln>
      </c:spPr>
    </c:plotArea>
    <c:legend>
      <c:legendPos val="b"/>
      <c:overlay val="0"/>
      <c:spPr>
        <a:noFill/>
        <a:ln w="25400">
          <a:noFill/>
        </a:ln>
      </c:spPr>
    </c:legend>
    <c:plotVisOnly val="1"/>
    <c:dispBlanksAs val="gap"/>
    <c:showDLblsOverMax val="0"/>
  </c:chart>
  <c:spPr>
    <a:noFill/>
    <a:ln w="25400">
      <a:noFill/>
    </a:ln>
    <a:effectLst/>
  </c:spPr>
  <c:txPr>
    <a:bodyPr/>
    <a:lstStyle/>
    <a:p>
      <a:pPr>
        <a:defRPr sz="1000" b="0" i="0" u="none" strike="noStrike" baseline="0">
          <a:solidFill>
            <a:srgbClr val="595959"/>
          </a:solidFill>
          <a:latin typeface="Arial Narrow"/>
          <a:ea typeface="Arial Narrow"/>
          <a:cs typeface="Arial Narrow"/>
        </a:defRPr>
      </a:pPr>
      <a:endParaRPr lang="en-US"/>
    </a:p>
  </c:txPr>
  <c:printSettings>
    <c:headerFooter alignWithMargins="0"/>
    <c:pageMargins b="1" l="0.75000000000000111" r="0.75000000000000111" t="1" header="0.5" footer="0.5"/>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6008090119481486"/>
          <c:y val="7.1428679743121323E-2"/>
          <c:w val="0.53225858849171148"/>
          <c:h val="0.81987701966017612"/>
        </c:manualLayout>
      </c:layout>
      <c:radarChart>
        <c:radarStyle val="marker"/>
        <c:varyColors val="0"/>
        <c:ser>
          <c:idx val="0"/>
          <c:order val="0"/>
          <c:tx>
            <c:strRef>
              <c:f>AMX!$W$24</c:f>
              <c:strCache>
                <c:ptCount val="1"/>
                <c:pt idx="0">
                  <c:v>AMX</c:v>
                </c:pt>
              </c:strCache>
            </c:strRef>
          </c:tx>
          <c:spPr>
            <a:ln w="25400">
              <a:solidFill>
                <a:srgbClr val="263238"/>
              </a:solidFill>
              <a:prstDash val="solid"/>
            </a:ln>
            <a:effectLst/>
          </c:spPr>
          <c:marker>
            <c:symbol val="diamond"/>
            <c:size val="6"/>
            <c:spPr>
              <a:solidFill>
                <a:srgbClr val="263238"/>
              </a:solidFill>
              <a:ln w="6350">
                <a:noFill/>
              </a:ln>
            </c:spPr>
          </c:marker>
          <c:cat>
            <c:strRef>
              <c:f>AMX!$V$25:$V$34</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AMX!$W$25:$W$34</c:f>
              <c:numCache>
                <c:formatCode>0%</c:formatCode>
                <c:ptCount val="10"/>
                <c:pt idx="0">
                  <c:v>1.1210919379503865</c:v>
                </c:pt>
                <c:pt idx="1">
                  <c:v>1.0882981726800212</c:v>
                </c:pt>
                <c:pt idx="2">
                  <c:v>0.99708366383374225</c:v>
                </c:pt>
                <c:pt idx="3">
                  <c:v>1.0227104305859618</c:v>
                </c:pt>
                <c:pt idx="4">
                  <c:v>1.2781764427072682</c:v>
                </c:pt>
                <c:pt idx="5">
                  <c:v>1.1148648406990485</c:v>
                </c:pt>
                <c:pt idx="6">
                  <c:v>0.80210437320500472</c:v>
                </c:pt>
                <c:pt idx="7">
                  <c:v>0.79671006349185114</c:v>
                </c:pt>
                <c:pt idx="8">
                  <c:v>0.8891769720129632</c:v>
                </c:pt>
                <c:pt idx="9">
                  <c:v>1.2467205433680093</c:v>
                </c:pt>
              </c:numCache>
            </c:numRef>
          </c:val>
          <c:extLst>
            <c:ext xmlns:c16="http://schemas.microsoft.com/office/drawing/2014/chart" uri="{C3380CC4-5D6E-409C-BE32-E72D297353CC}">
              <c16:uniqueId val="{00000000-1435-47FA-8547-0117C063A0E3}"/>
            </c:ext>
          </c:extLst>
        </c:ser>
        <c:ser>
          <c:idx val="1"/>
          <c:order val="1"/>
          <c:tx>
            <c:strRef>
              <c:f>AMX!$X$24</c:f>
              <c:strCache>
                <c:ptCount val="1"/>
                <c:pt idx="0">
                  <c:v>Agg. LatAm Incumbent</c:v>
                </c:pt>
              </c:strCache>
            </c:strRef>
          </c:tx>
          <c:spPr>
            <a:ln w="25400">
              <a:solidFill>
                <a:srgbClr val="799098"/>
              </a:solidFill>
              <a:prstDash val="solid"/>
            </a:ln>
            <a:effectLst/>
          </c:spPr>
          <c:marker>
            <c:symbol val="diamond"/>
            <c:size val="6"/>
            <c:spPr>
              <a:solidFill>
                <a:srgbClr val="799098"/>
              </a:solidFill>
              <a:ln w="6350">
                <a:noFill/>
              </a:ln>
            </c:spPr>
          </c:marker>
          <c:cat>
            <c:strRef>
              <c:f>AMX!$V$25:$V$34</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AMX!$X$25:$X$34</c:f>
              <c:numCache>
                <c:formatCode>0%</c:formatCode>
                <c:ptCount val="10"/>
                <c:pt idx="0">
                  <c:v>1</c:v>
                </c:pt>
                <c:pt idx="1">
                  <c:v>1</c:v>
                </c:pt>
                <c:pt idx="2">
                  <c:v>1</c:v>
                </c:pt>
                <c:pt idx="3">
                  <c:v>1</c:v>
                </c:pt>
                <c:pt idx="4">
                  <c:v>1</c:v>
                </c:pt>
                <c:pt idx="5">
                  <c:v>1</c:v>
                </c:pt>
                <c:pt idx="6">
                  <c:v>1</c:v>
                </c:pt>
                <c:pt idx="7">
                  <c:v>1</c:v>
                </c:pt>
                <c:pt idx="8">
                  <c:v>1</c:v>
                </c:pt>
                <c:pt idx="9">
                  <c:v>1</c:v>
                </c:pt>
              </c:numCache>
            </c:numRef>
          </c:val>
          <c:extLst>
            <c:ext xmlns:c16="http://schemas.microsoft.com/office/drawing/2014/chart" uri="{C3380CC4-5D6E-409C-BE32-E72D297353CC}">
              <c16:uniqueId val="{00000001-1435-47FA-8547-0117C063A0E3}"/>
            </c:ext>
          </c:extLst>
        </c:ser>
        <c:dLbls>
          <c:showLegendKey val="0"/>
          <c:showVal val="0"/>
          <c:showCatName val="0"/>
          <c:showSerName val="0"/>
          <c:showPercent val="0"/>
          <c:showBubbleSize val="0"/>
        </c:dLbls>
        <c:axId val="342873984"/>
        <c:axId val="342876160"/>
      </c:radarChart>
      <c:catAx>
        <c:axId val="342873984"/>
        <c:scaling>
          <c:orientation val="minMax"/>
        </c:scaling>
        <c:delete val="0"/>
        <c:axPos val="b"/>
        <c:numFmt formatCode="General" sourceLinked="1"/>
        <c:majorTickMark val="out"/>
        <c:minorTickMark val="none"/>
        <c:tickLblPos val="nextTo"/>
        <c:spPr>
          <a:ln>
            <a:solidFill>
              <a:srgbClr val="B3B3B3"/>
            </a:solidFill>
          </a:ln>
        </c:spPr>
        <c:txPr>
          <a:bodyPr rot="0" vert="horz"/>
          <a:lstStyle/>
          <a:p>
            <a:pPr>
              <a:defRPr/>
            </a:pPr>
            <a:endParaRPr lang="en-US"/>
          </a:p>
        </c:txPr>
        <c:crossAx val="342876160"/>
        <c:crosses val="autoZero"/>
        <c:auto val="0"/>
        <c:lblAlgn val="ctr"/>
        <c:lblOffset val="100"/>
        <c:noMultiLvlLbl val="0"/>
      </c:catAx>
      <c:valAx>
        <c:axId val="342876160"/>
        <c:scaling>
          <c:orientation val="minMax"/>
        </c:scaling>
        <c:delete val="0"/>
        <c:axPos val="l"/>
        <c:numFmt formatCode="0%" sourceLinked="1"/>
        <c:majorTickMark val="cross"/>
        <c:minorTickMark val="none"/>
        <c:tickLblPos val="nextTo"/>
        <c:spPr>
          <a:ln w="3175">
            <a:solidFill>
              <a:srgbClr val="B3B3B3"/>
            </a:solidFill>
            <a:prstDash val="solid"/>
          </a:ln>
        </c:spPr>
        <c:txPr>
          <a:bodyPr rot="0" vert="horz"/>
          <a:lstStyle/>
          <a:p>
            <a:pPr>
              <a:defRPr/>
            </a:pPr>
            <a:endParaRPr lang="en-US"/>
          </a:p>
        </c:txPr>
        <c:crossAx val="342873984"/>
        <c:crosses val="autoZero"/>
        <c:crossBetween val="between"/>
      </c:valAx>
      <c:spPr>
        <a:noFill/>
        <a:ln w="25400">
          <a:noFill/>
        </a:ln>
      </c:spPr>
    </c:plotArea>
    <c:legend>
      <c:legendPos val="b"/>
      <c:overlay val="0"/>
      <c:spPr>
        <a:noFill/>
        <a:ln w="25400">
          <a:noFill/>
        </a:ln>
      </c:spPr>
    </c:legend>
    <c:plotVisOnly val="1"/>
    <c:dispBlanksAs val="gap"/>
    <c:showDLblsOverMax val="0"/>
  </c:chart>
  <c:spPr>
    <a:noFill/>
    <a:ln w="25400">
      <a:noFill/>
    </a:ln>
    <a:effectLst/>
  </c:spPr>
  <c:txPr>
    <a:bodyPr/>
    <a:lstStyle/>
    <a:p>
      <a:pPr>
        <a:defRPr sz="1000" b="0" i="0" u="none" strike="noStrike" baseline="0">
          <a:solidFill>
            <a:srgbClr val="595959"/>
          </a:solidFill>
          <a:latin typeface="Arial Narrow"/>
          <a:ea typeface="Arial Narrow"/>
          <a:cs typeface="Arial Narrow"/>
        </a:defRPr>
      </a:pPr>
      <a:endParaRPr lang="en-US"/>
    </a:p>
  </c:txPr>
  <c:printSettings>
    <c:headerFooter alignWithMargins="0"/>
    <c:pageMargins b="1" l="0.75000000000000111" r="0.75000000000000111" t="1" header="0.5" footer="0.5"/>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2258096272225101"/>
          <c:y val="0.15692331268526588"/>
          <c:w val="0.34072614187537592"/>
          <c:h val="0.52000078125117377"/>
        </c:manualLayout>
      </c:layout>
      <c:radarChart>
        <c:radarStyle val="marker"/>
        <c:varyColors val="0"/>
        <c:ser>
          <c:idx val="0"/>
          <c:order val="0"/>
          <c:tx>
            <c:strRef>
              <c:f>MAXI!$W$24</c:f>
              <c:strCache>
                <c:ptCount val="1"/>
                <c:pt idx="0">
                  <c:v>Maxis</c:v>
                </c:pt>
              </c:strCache>
            </c:strRef>
          </c:tx>
          <c:spPr>
            <a:ln w="25400">
              <a:solidFill>
                <a:srgbClr val="263238"/>
              </a:solidFill>
              <a:prstDash val="solid"/>
            </a:ln>
            <a:effectLst/>
          </c:spPr>
          <c:marker>
            <c:symbol val="diamond"/>
            <c:size val="6"/>
            <c:spPr>
              <a:solidFill>
                <a:srgbClr val="263238"/>
              </a:solidFill>
              <a:ln w="6350">
                <a:noFill/>
              </a:ln>
            </c:spPr>
          </c:marker>
          <c:cat>
            <c:strRef>
              <c:f>MAXI!$V$25:$V$34</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MAXI!$W$25:$W$34</c:f>
              <c:numCache>
                <c:formatCode>0%</c:formatCode>
                <c:ptCount val="10"/>
                <c:pt idx="0">
                  <c:v>1.7760077589733321</c:v>
                </c:pt>
                <c:pt idx="1">
                  <c:v>1.4960062517506214</c:v>
                </c:pt>
                <c:pt idx="2">
                  <c:v>0.97652640310390959</c:v>
                </c:pt>
                <c:pt idx="3">
                  <c:v>1.0004296730560389</c:v>
                </c:pt>
                <c:pt idx="4">
                  <c:v>1.7908716664179005</c:v>
                </c:pt>
                <c:pt idx="5">
                  <c:v>2.3214196108536838</c:v>
                </c:pt>
                <c:pt idx="6">
                  <c:v>1.1003540913190242</c:v>
                </c:pt>
                <c:pt idx="7">
                  <c:v>1.4266361158174388</c:v>
                </c:pt>
                <c:pt idx="8">
                  <c:v>1.0332124068598352</c:v>
                </c:pt>
                <c:pt idx="9">
                  <c:v>0.90879836580720397</c:v>
                </c:pt>
              </c:numCache>
            </c:numRef>
          </c:val>
          <c:extLst>
            <c:ext xmlns:c16="http://schemas.microsoft.com/office/drawing/2014/chart" uri="{C3380CC4-5D6E-409C-BE32-E72D297353CC}">
              <c16:uniqueId val="{00000000-1F61-4AC6-8638-5C33D0FB951C}"/>
            </c:ext>
          </c:extLst>
        </c:ser>
        <c:ser>
          <c:idx val="1"/>
          <c:order val="1"/>
          <c:tx>
            <c:strRef>
              <c:f>MAXI!$X$24</c:f>
              <c:strCache>
                <c:ptCount val="1"/>
                <c:pt idx="0">
                  <c:v>Aggregate Asia Cellular</c:v>
                </c:pt>
              </c:strCache>
            </c:strRef>
          </c:tx>
          <c:spPr>
            <a:ln w="25400">
              <a:solidFill>
                <a:srgbClr val="799098"/>
              </a:solidFill>
              <a:prstDash val="solid"/>
            </a:ln>
            <a:effectLst/>
          </c:spPr>
          <c:marker>
            <c:symbol val="diamond"/>
            <c:size val="6"/>
            <c:spPr>
              <a:solidFill>
                <a:srgbClr val="799098"/>
              </a:solidFill>
              <a:ln w="6350">
                <a:noFill/>
              </a:ln>
            </c:spPr>
          </c:marker>
          <c:cat>
            <c:strRef>
              <c:f>MAXI!$V$25:$V$34</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MAXI!$X$25:$X$34</c:f>
              <c:numCache>
                <c:formatCode>0%</c:formatCode>
                <c:ptCount val="10"/>
                <c:pt idx="0">
                  <c:v>1</c:v>
                </c:pt>
                <c:pt idx="1">
                  <c:v>1</c:v>
                </c:pt>
                <c:pt idx="2">
                  <c:v>1</c:v>
                </c:pt>
                <c:pt idx="3">
                  <c:v>1</c:v>
                </c:pt>
                <c:pt idx="4">
                  <c:v>1</c:v>
                </c:pt>
                <c:pt idx="5">
                  <c:v>1</c:v>
                </c:pt>
                <c:pt idx="6">
                  <c:v>1</c:v>
                </c:pt>
                <c:pt idx="7">
                  <c:v>1</c:v>
                </c:pt>
                <c:pt idx="8">
                  <c:v>1</c:v>
                </c:pt>
                <c:pt idx="9">
                  <c:v>1</c:v>
                </c:pt>
              </c:numCache>
            </c:numRef>
          </c:val>
          <c:extLst>
            <c:ext xmlns:c16="http://schemas.microsoft.com/office/drawing/2014/chart" uri="{C3380CC4-5D6E-409C-BE32-E72D297353CC}">
              <c16:uniqueId val="{00000001-1F61-4AC6-8638-5C33D0FB951C}"/>
            </c:ext>
          </c:extLst>
        </c:ser>
        <c:dLbls>
          <c:showLegendKey val="0"/>
          <c:showVal val="0"/>
          <c:showCatName val="0"/>
          <c:showSerName val="0"/>
          <c:showPercent val="0"/>
          <c:showBubbleSize val="0"/>
        </c:dLbls>
        <c:axId val="434694400"/>
        <c:axId val="434766208"/>
      </c:radarChart>
      <c:catAx>
        <c:axId val="434694400"/>
        <c:scaling>
          <c:orientation val="minMax"/>
        </c:scaling>
        <c:delete val="0"/>
        <c:axPos val="b"/>
        <c:numFmt formatCode="General" sourceLinked="1"/>
        <c:majorTickMark val="out"/>
        <c:minorTickMark val="none"/>
        <c:tickLblPos val="nextTo"/>
        <c:spPr>
          <a:ln>
            <a:solidFill>
              <a:srgbClr val="B3B3B3"/>
            </a:solidFill>
          </a:ln>
        </c:spPr>
        <c:txPr>
          <a:bodyPr rot="0" vert="horz"/>
          <a:lstStyle/>
          <a:p>
            <a:pPr>
              <a:defRPr/>
            </a:pPr>
            <a:endParaRPr lang="en-US"/>
          </a:p>
        </c:txPr>
        <c:crossAx val="434766208"/>
        <c:crosses val="autoZero"/>
        <c:auto val="0"/>
        <c:lblAlgn val="ctr"/>
        <c:lblOffset val="100"/>
        <c:noMultiLvlLbl val="0"/>
      </c:catAx>
      <c:valAx>
        <c:axId val="434766208"/>
        <c:scaling>
          <c:orientation val="minMax"/>
        </c:scaling>
        <c:delete val="0"/>
        <c:axPos val="l"/>
        <c:numFmt formatCode="0%" sourceLinked="1"/>
        <c:majorTickMark val="cross"/>
        <c:minorTickMark val="none"/>
        <c:tickLblPos val="nextTo"/>
        <c:spPr>
          <a:ln w="3175">
            <a:solidFill>
              <a:srgbClr val="B3B3B3"/>
            </a:solidFill>
            <a:prstDash val="solid"/>
          </a:ln>
        </c:spPr>
        <c:txPr>
          <a:bodyPr rot="0" vert="horz"/>
          <a:lstStyle/>
          <a:p>
            <a:pPr>
              <a:defRPr/>
            </a:pPr>
            <a:endParaRPr lang="en-US"/>
          </a:p>
        </c:txPr>
        <c:crossAx val="434694400"/>
        <c:crosses val="autoZero"/>
        <c:crossBetween val="between"/>
      </c:valAx>
      <c:spPr>
        <a:noFill/>
        <a:ln w="25400">
          <a:noFill/>
        </a:ln>
      </c:spPr>
    </c:plotArea>
    <c:legend>
      <c:legendPos val="b"/>
      <c:overlay val="0"/>
      <c:spPr>
        <a:noFill/>
        <a:ln w="25400">
          <a:noFill/>
        </a:ln>
      </c:spPr>
    </c:legend>
    <c:plotVisOnly val="1"/>
    <c:dispBlanksAs val="gap"/>
    <c:showDLblsOverMax val="0"/>
  </c:chart>
  <c:spPr>
    <a:noFill/>
    <a:ln w="25400">
      <a:noFill/>
    </a:ln>
    <a:effectLst/>
  </c:spPr>
  <c:txPr>
    <a:bodyPr/>
    <a:lstStyle/>
    <a:p>
      <a:pPr>
        <a:defRPr sz="1000" b="0" i="0" u="none" strike="noStrike" baseline="0">
          <a:solidFill>
            <a:srgbClr val="595959"/>
          </a:solidFill>
          <a:latin typeface="Arial Narrow"/>
          <a:ea typeface="Arial Narrow"/>
          <a:cs typeface="Arial Narrow"/>
        </a:defRPr>
      </a:pPr>
      <a:endParaRPr lang="en-US"/>
    </a:p>
  </c:txPr>
  <c:printSettings>
    <c:headerFooter alignWithMargins="0"/>
    <c:pageMargins b="1" l="0.75000000000000111" r="0.75000000000000111" t="1" header="0.5" footer="0.5"/>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204763759483964"/>
          <c:y val="0.1"/>
          <c:w val="0.44839637440987212"/>
          <c:h val="0.71344516792000845"/>
        </c:manualLayout>
      </c:layout>
      <c:radarChart>
        <c:radarStyle val="marker"/>
        <c:varyColors val="0"/>
        <c:ser>
          <c:idx val="0"/>
          <c:order val="0"/>
          <c:tx>
            <c:strRef>
              <c:f>MEGA!$W$24</c:f>
              <c:strCache>
                <c:ptCount val="1"/>
                <c:pt idx="0">
                  <c:v>Magya</c:v>
                </c:pt>
              </c:strCache>
            </c:strRef>
          </c:tx>
          <c:spPr>
            <a:ln w="25400">
              <a:solidFill>
                <a:srgbClr val="263238"/>
              </a:solidFill>
              <a:prstDash val="solid"/>
            </a:ln>
            <a:effectLst/>
          </c:spPr>
          <c:marker>
            <c:symbol val="diamond"/>
            <c:size val="6"/>
            <c:spPr>
              <a:solidFill>
                <a:srgbClr val="263238"/>
              </a:solidFill>
              <a:ln w="6350">
                <a:noFill/>
              </a:ln>
            </c:spPr>
          </c:marker>
          <c:cat>
            <c:strRef>
              <c:f>MEGA!$V$25:$V$34</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MEGA!$W$25:$W$34</c:f>
              <c:numCache>
                <c:formatCode>0%</c:formatCode>
                <c:ptCount val="10"/>
                <c:pt idx="0">
                  <c:v>1.1466906709851588</c:v>
                </c:pt>
                <c:pt idx="1">
                  <c:v>0.99570130174817328</c:v>
                </c:pt>
                <c:pt idx="2">
                  <c:v>5.0594647757636739</c:v>
                </c:pt>
                <c:pt idx="3">
                  <c:v>5.059464775763673</c:v>
                </c:pt>
                <c:pt idx="4">
                  <c:v>1.0266986489166312</c:v>
                </c:pt>
                <c:pt idx="5">
                  <c:v>0.58520197669184026</c:v>
                </c:pt>
                <c:pt idx="6">
                  <c:v>3.9012197465706278</c:v>
                </c:pt>
                <c:pt idx="7">
                  <c:v>0.84940000999832377</c:v>
                </c:pt>
                <c:pt idx="8">
                  <c:v>1.5784607350666247</c:v>
                </c:pt>
                <c:pt idx="9">
                  <c:v>0.25633008775756644</c:v>
                </c:pt>
              </c:numCache>
            </c:numRef>
          </c:val>
          <c:extLst>
            <c:ext xmlns:c16="http://schemas.microsoft.com/office/drawing/2014/chart" uri="{C3380CC4-5D6E-409C-BE32-E72D297353CC}">
              <c16:uniqueId val="{00000000-1EFC-4CE5-8489-A6F9FF2EF09B}"/>
            </c:ext>
          </c:extLst>
        </c:ser>
        <c:ser>
          <c:idx val="1"/>
          <c:order val="1"/>
          <c:tx>
            <c:strRef>
              <c:f>MEGA!$X$24</c:f>
              <c:strCache>
                <c:ptCount val="1"/>
                <c:pt idx="0">
                  <c:v>Agg. EMEA Incumbent</c:v>
                </c:pt>
              </c:strCache>
            </c:strRef>
          </c:tx>
          <c:spPr>
            <a:ln w="25400">
              <a:solidFill>
                <a:srgbClr val="799098"/>
              </a:solidFill>
              <a:prstDash val="solid"/>
            </a:ln>
            <a:effectLst/>
          </c:spPr>
          <c:marker>
            <c:symbol val="diamond"/>
            <c:size val="6"/>
            <c:spPr>
              <a:solidFill>
                <a:srgbClr val="799098"/>
              </a:solidFill>
              <a:ln w="6350">
                <a:noFill/>
              </a:ln>
            </c:spPr>
          </c:marker>
          <c:cat>
            <c:strRef>
              <c:f>MEGA!$V$25:$V$34</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MEGA!$X$25:$X$34</c:f>
              <c:numCache>
                <c:formatCode>0%</c:formatCode>
                <c:ptCount val="10"/>
                <c:pt idx="0">
                  <c:v>1</c:v>
                </c:pt>
                <c:pt idx="1">
                  <c:v>1</c:v>
                </c:pt>
                <c:pt idx="2">
                  <c:v>1</c:v>
                </c:pt>
                <c:pt idx="3">
                  <c:v>1</c:v>
                </c:pt>
                <c:pt idx="4">
                  <c:v>1</c:v>
                </c:pt>
                <c:pt idx="5">
                  <c:v>1</c:v>
                </c:pt>
                <c:pt idx="6">
                  <c:v>1</c:v>
                </c:pt>
                <c:pt idx="7">
                  <c:v>1</c:v>
                </c:pt>
                <c:pt idx="8">
                  <c:v>1</c:v>
                </c:pt>
                <c:pt idx="9">
                  <c:v>1</c:v>
                </c:pt>
              </c:numCache>
            </c:numRef>
          </c:val>
          <c:extLst>
            <c:ext xmlns:c16="http://schemas.microsoft.com/office/drawing/2014/chart" uri="{C3380CC4-5D6E-409C-BE32-E72D297353CC}">
              <c16:uniqueId val="{00000001-1EFC-4CE5-8489-A6F9FF2EF09B}"/>
            </c:ext>
          </c:extLst>
        </c:ser>
        <c:dLbls>
          <c:showLegendKey val="0"/>
          <c:showVal val="0"/>
          <c:showCatName val="0"/>
          <c:showSerName val="0"/>
          <c:showPercent val="0"/>
          <c:showBubbleSize val="0"/>
        </c:dLbls>
        <c:axId val="435185536"/>
        <c:axId val="435191808"/>
      </c:radarChart>
      <c:catAx>
        <c:axId val="435185536"/>
        <c:scaling>
          <c:orientation val="minMax"/>
        </c:scaling>
        <c:delete val="0"/>
        <c:axPos val="b"/>
        <c:numFmt formatCode="General" sourceLinked="1"/>
        <c:majorTickMark val="out"/>
        <c:minorTickMark val="none"/>
        <c:tickLblPos val="nextTo"/>
        <c:spPr>
          <a:ln>
            <a:solidFill>
              <a:srgbClr val="B3B3B3"/>
            </a:solidFill>
          </a:ln>
        </c:spPr>
        <c:txPr>
          <a:bodyPr rot="0" vert="horz"/>
          <a:lstStyle/>
          <a:p>
            <a:pPr>
              <a:defRPr/>
            </a:pPr>
            <a:endParaRPr lang="en-US"/>
          </a:p>
        </c:txPr>
        <c:crossAx val="435191808"/>
        <c:crosses val="autoZero"/>
        <c:auto val="0"/>
        <c:lblAlgn val="ctr"/>
        <c:lblOffset val="100"/>
        <c:noMultiLvlLbl val="0"/>
      </c:catAx>
      <c:valAx>
        <c:axId val="435191808"/>
        <c:scaling>
          <c:orientation val="minMax"/>
        </c:scaling>
        <c:delete val="0"/>
        <c:axPos val="l"/>
        <c:numFmt formatCode="0%" sourceLinked="1"/>
        <c:majorTickMark val="cross"/>
        <c:minorTickMark val="none"/>
        <c:tickLblPos val="nextTo"/>
        <c:spPr>
          <a:ln w="3175">
            <a:solidFill>
              <a:srgbClr val="B3B3B3"/>
            </a:solidFill>
            <a:prstDash val="solid"/>
          </a:ln>
        </c:spPr>
        <c:txPr>
          <a:bodyPr rot="0" vert="horz"/>
          <a:lstStyle/>
          <a:p>
            <a:pPr>
              <a:defRPr/>
            </a:pPr>
            <a:endParaRPr lang="en-US"/>
          </a:p>
        </c:txPr>
        <c:crossAx val="435185536"/>
        <c:crosses val="autoZero"/>
        <c:crossBetween val="between"/>
      </c:valAx>
      <c:spPr>
        <a:noFill/>
        <a:ln w="25400">
          <a:noFill/>
        </a:ln>
      </c:spPr>
    </c:plotArea>
    <c:legend>
      <c:legendPos val="b"/>
      <c:overlay val="0"/>
      <c:spPr>
        <a:noFill/>
        <a:ln w="25400">
          <a:noFill/>
        </a:ln>
      </c:spPr>
    </c:legend>
    <c:plotVisOnly val="1"/>
    <c:dispBlanksAs val="gap"/>
    <c:showDLblsOverMax val="0"/>
  </c:chart>
  <c:spPr>
    <a:noFill/>
    <a:ln w="25400">
      <a:noFill/>
    </a:ln>
    <a:effectLst/>
  </c:spPr>
  <c:txPr>
    <a:bodyPr/>
    <a:lstStyle/>
    <a:p>
      <a:pPr>
        <a:defRPr sz="1000" b="0" i="0" u="none" strike="noStrike" baseline="0">
          <a:solidFill>
            <a:srgbClr val="595959"/>
          </a:solidFill>
          <a:latin typeface="Arial Narrow"/>
          <a:ea typeface="Arial Narrow"/>
          <a:cs typeface="Arial Narrow"/>
        </a:defRPr>
      </a:pPr>
      <a:endParaRPr lang="en-US"/>
    </a:p>
  </c:txPr>
  <c:printSettings>
    <c:headerFooter alignWithMargins="0"/>
    <c:pageMargins b="1" l="0.75000000000000111" r="0.75000000000000111" t="1" header="0.5" footer="0.5"/>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3927679667543703"/>
          <c:y val="9.9688776798508072E-2"/>
          <c:w val="0.4377013104290558"/>
          <c:h val="0.69420477897836752"/>
        </c:manualLayout>
      </c:layout>
      <c:radarChart>
        <c:radarStyle val="marker"/>
        <c:varyColors val="0"/>
        <c:ser>
          <c:idx val="0"/>
          <c:order val="0"/>
          <c:tx>
            <c:strRef>
              <c:f>MCG!$W$24</c:f>
              <c:strCache>
                <c:ptCount val="1"/>
                <c:pt idx="0">
                  <c:v>MCG</c:v>
                </c:pt>
              </c:strCache>
            </c:strRef>
          </c:tx>
          <c:spPr>
            <a:ln w="25400">
              <a:solidFill>
                <a:srgbClr val="263238"/>
              </a:solidFill>
              <a:prstDash val="solid"/>
            </a:ln>
            <a:effectLst/>
          </c:spPr>
          <c:marker>
            <c:symbol val="diamond"/>
            <c:size val="6"/>
            <c:spPr>
              <a:solidFill>
                <a:srgbClr val="263238"/>
              </a:solidFill>
              <a:ln w="6350">
                <a:noFill/>
              </a:ln>
            </c:spPr>
          </c:marker>
          <c:cat>
            <c:strRef>
              <c:f>MCG!$V$25:$V$34</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MCG!$W$25:$W$34</c:f>
              <c:numCache>
                <c:formatCode>0%</c:formatCode>
                <c:ptCount val="10"/>
                <c:pt idx="0">
                  <c:v>0.3234424501311477</c:v>
                </c:pt>
                <c:pt idx="1">
                  <c:v>0.50438305773842551</c:v>
                </c:pt>
                <c:pt idx="2">
                  <c:v>0.29422657985807543</c:v>
                </c:pt>
                <c:pt idx="3">
                  <c:v>0.29134983574998097</c:v>
                </c:pt>
                <c:pt idx="4">
                  <c:v>-7.417677924864388</c:v>
                </c:pt>
                <c:pt idx="5">
                  <c:v>1.07807277337497</c:v>
                </c:pt>
                <c:pt idx="6">
                  <c:v>0.19560290216145396</c:v>
                </c:pt>
                <c:pt idx="7">
                  <c:v>0.25437093690615692</c:v>
                </c:pt>
                <c:pt idx="8">
                  <c:v>-5.160758114602749</c:v>
                </c:pt>
                <c:pt idx="9">
                  <c:v>5.1123985838133574</c:v>
                </c:pt>
              </c:numCache>
            </c:numRef>
          </c:val>
          <c:extLst>
            <c:ext xmlns:c16="http://schemas.microsoft.com/office/drawing/2014/chart" uri="{C3380CC4-5D6E-409C-BE32-E72D297353CC}">
              <c16:uniqueId val="{00000000-4D09-439B-A3C1-89434A63AAD7}"/>
            </c:ext>
          </c:extLst>
        </c:ser>
        <c:ser>
          <c:idx val="1"/>
          <c:order val="1"/>
          <c:tx>
            <c:strRef>
              <c:f>MCG!$X$24</c:f>
              <c:strCache>
                <c:ptCount val="1"/>
                <c:pt idx="0">
                  <c:v>Agg. EMEA Cellular</c:v>
                </c:pt>
              </c:strCache>
            </c:strRef>
          </c:tx>
          <c:spPr>
            <a:ln w="25400">
              <a:solidFill>
                <a:srgbClr val="799098"/>
              </a:solidFill>
              <a:prstDash val="solid"/>
            </a:ln>
            <a:effectLst/>
          </c:spPr>
          <c:marker>
            <c:symbol val="diamond"/>
            <c:size val="6"/>
            <c:spPr>
              <a:solidFill>
                <a:srgbClr val="799098"/>
              </a:solidFill>
              <a:ln w="6350">
                <a:noFill/>
              </a:ln>
            </c:spPr>
          </c:marker>
          <c:cat>
            <c:strRef>
              <c:f>MCG!$V$25:$V$34</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MCG!$X$25:$X$34</c:f>
              <c:numCache>
                <c:formatCode>0%</c:formatCode>
                <c:ptCount val="10"/>
                <c:pt idx="0">
                  <c:v>1</c:v>
                </c:pt>
                <c:pt idx="1">
                  <c:v>1</c:v>
                </c:pt>
                <c:pt idx="2">
                  <c:v>1</c:v>
                </c:pt>
                <c:pt idx="3">
                  <c:v>1</c:v>
                </c:pt>
                <c:pt idx="4">
                  <c:v>1</c:v>
                </c:pt>
                <c:pt idx="5">
                  <c:v>1</c:v>
                </c:pt>
                <c:pt idx="6">
                  <c:v>1</c:v>
                </c:pt>
                <c:pt idx="7">
                  <c:v>1</c:v>
                </c:pt>
                <c:pt idx="8">
                  <c:v>1</c:v>
                </c:pt>
                <c:pt idx="9">
                  <c:v>1</c:v>
                </c:pt>
              </c:numCache>
            </c:numRef>
          </c:val>
          <c:extLst>
            <c:ext xmlns:c16="http://schemas.microsoft.com/office/drawing/2014/chart" uri="{C3380CC4-5D6E-409C-BE32-E72D297353CC}">
              <c16:uniqueId val="{00000001-4D09-439B-A3C1-89434A63AAD7}"/>
            </c:ext>
          </c:extLst>
        </c:ser>
        <c:dLbls>
          <c:showLegendKey val="0"/>
          <c:showVal val="0"/>
          <c:showCatName val="0"/>
          <c:showSerName val="0"/>
          <c:showPercent val="0"/>
          <c:showBubbleSize val="0"/>
        </c:dLbls>
        <c:axId val="435398528"/>
        <c:axId val="435511296"/>
      </c:radarChart>
      <c:catAx>
        <c:axId val="435398528"/>
        <c:scaling>
          <c:orientation val="minMax"/>
        </c:scaling>
        <c:delete val="0"/>
        <c:axPos val="b"/>
        <c:numFmt formatCode="General" sourceLinked="1"/>
        <c:majorTickMark val="out"/>
        <c:minorTickMark val="none"/>
        <c:tickLblPos val="nextTo"/>
        <c:spPr>
          <a:ln>
            <a:solidFill>
              <a:srgbClr val="B3B3B3"/>
            </a:solidFill>
          </a:ln>
        </c:spPr>
        <c:txPr>
          <a:bodyPr rot="0" vert="horz"/>
          <a:lstStyle/>
          <a:p>
            <a:pPr>
              <a:defRPr/>
            </a:pPr>
            <a:endParaRPr lang="en-US"/>
          </a:p>
        </c:txPr>
        <c:crossAx val="435511296"/>
        <c:crosses val="autoZero"/>
        <c:auto val="0"/>
        <c:lblAlgn val="ctr"/>
        <c:lblOffset val="100"/>
        <c:noMultiLvlLbl val="0"/>
      </c:catAx>
      <c:valAx>
        <c:axId val="435511296"/>
        <c:scaling>
          <c:orientation val="minMax"/>
        </c:scaling>
        <c:delete val="0"/>
        <c:axPos val="l"/>
        <c:numFmt formatCode="0%" sourceLinked="1"/>
        <c:majorTickMark val="cross"/>
        <c:minorTickMark val="none"/>
        <c:tickLblPos val="nextTo"/>
        <c:spPr>
          <a:ln w="3175">
            <a:solidFill>
              <a:srgbClr val="B3B3B3"/>
            </a:solidFill>
            <a:prstDash val="solid"/>
          </a:ln>
        </c:spPr>
        <c:txPr>
          <a:bodyPr rot="0" vert="horz"/>
          <a:lstStyle/>
          <a:p>
            <a:pPr>
              <a:defRPr/>
            </a:pPr>
            <a:endParaRPr lang="en-US"/>
          </a:p>
        </c:txPr>
        <c:crossAx val="435398528"/>
        <c:crosses val="autoZero"/>
        <c:crossBetween val="between"/>
      </c:valAx>
      <c:spPr>
        <a:noFill/>
        <a:ln w="25400">
          <a:noFill/>
        </a:ln>
      </c:spPr>
    </c:plotArea>
    <c:legend>
      <c:legendPos val="b"/>
      <c:overlay val="0"/>
      <c:spPr>
        <a:noFill/>
        <a:ln w="25400">
          <a:noFill/>
        </a:ln>
      </c:spPr>
    </c:legend>
    <c:plotVisOnly val="1"/>
    <c:dispBlanksAs val="gap"/>
    <c:showDLblsOverMax val="0"/>
  </c:chart>
  <c:spPr>
    <a:noFill/>
    <a:ln w="25400">
      <a:noFill/>
    </a:ln>
    <a:effectLst/>
  </c:spPr>
  <c:txPr>
    <a:bodyPr/>
    <a:lstStyle/>
    <a:p>
      <a:pPr>
        <a:defRPr sz="1000" b="0" i="0" u="none" strike="noStrike" baseline="0">
          <a:solidFill>
            <a:srgbClr val="595959"/>
          </a:solidFill>
          <a:latin typeface="Arial Narrow"/>
          <a:ea typeface="Arial Narrow"/>
          <a:cs typeface="Arial Narrow"/>
        </a:defRPr>
      </a:pPr>
      <a:endParaRPr lang="en-US"/>
    </a:p>
  </c:txPr>
  <c:printSettings>
    <c:headerFooter alignWithMargins="0"/>
    <c:pageMargins b="1" l="0.75000000000000111" r="0.75000000000000111" t="1" header="0.5" footer="0.5"/>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6437668221010052"/>
          <c:y val="0.1408684799091747"/>
          <c:w val="0.4211078858475279"/>
          <c:h val="0.61287288979559962"/>
        </c:manualLayout>
      </c:layout>
      <c:radarChart>
        <c:radarStyle val="marker"/>
        <c:varyColors val="0"/>
        <c:ser>
          <c:idx val="0"/>
          <c:order val="0"/>
          <c:tx>
            <c:strRef>
              <c:f>MILLI!$W$24</c:f>
              <c:strCache>
                <c:ptCount val="1"/>
                <c:pt idx="0">
                  <c:v>Millicom</c:v>
                </c:pt>
              </c:strCache>
            </c:strRef>
          </c:tx>
          <c:spPr>
            <a:ln w="25400">
              <a:solidFill>
                <a:srgbClr val="263238"/>
              </a:solidFill>
              <a:prstDash val="solid"/>
            </a:ln>
            <a:effectLst/>
          </c:spPr>
          <c:marker>
            <c:symbol val="diamond"/>
            <c:size val="6"/>
            <c:spPr>
              <a:solidFill>
                <a:srgbClr val="263238"/>
              </a:solidFill>
              <a:ln w="6350">
                <a:noFill/>
              </a:ln>
            </c:spPr>
          </c:marker>
          <c:cat>
            <c:strRef>
              <c:f>MILLI!$V$25:$V$34</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MILLI!$W$25:$W$34</c:f>
              <c:numCache>
                <c:formatCode>0%</c:formatCode>
                <c:ptCount val="10"/>
                <c:pt idx="0">
                  <c:v>1.3037951403024617</c:v>
                </c:pt>
                <c:pt idx="1">
                  <c:v>1.4002203866243383</c:v>
                </c:pt>
                <c:pt idx="2">
                  <c:v>1.3479832065156414</c:v>
                </c:pt>
                <c:pt idx="3">
                  <c:v>1.4774501960849178</c:v>
                </c:pt>
                <c:pt idx="4">
                  <c:v>2.4194869255135703</c:v>
                </c:pt>
                <c:pt idx="5">
                  <c:v>0.91335009792962429</c:v>
                </c:pt>
                <c:pt idx="6">
                  <c:v>1.5365878727695172</c:v>
                </c:pt>
                <c:pt idx="7">
                  <c:v>1.1397117603471354</c:v>
                </c:pt>
                <c:pt idx="8">
                  <c:v>0</c:v>
                </c:pt>
                <c:pt idx="9">
                  <c:v>0.6507925890353532</c:v>
                </c:pt>
              </c:numCache>
            </c:numRef>
          </c:val>
          <c:extLst>
            <c:ext xmlns:c16="http://schemas.microsoft.com/office/drawing/2014/chart" uri="{C3380CC4-5D6E-409C-BE32-E72D297353CC}">
              <c16:uniqueId val="{00000000-6C52-4C40-88F4-FE5FA5414FDB}"/>
            </c:ext>
          </c:extLst>
        </c:ser>
        <c:ser>
          <c:idx val="1"/>
          <c:order val="1"/>
          <c:tx>
            <c:strRef>
              <c:f>MILLI!$X$24</c:f>
              <c:strCache>
                <c:ptCount val="1"/>
                <c:pt idx="0">
                  <c:v>Agg. LatAm Cellular</c:v>
                </c:pt>
              </c:strCache>
            </c:strRef>
          </c:tx>
          <c:spPr>
            <a:ln w="25400">
              <a:solidFill>
                <a:srgbClr val="799098"/>
              </a:solidFill>
              <a:prstDash val="solid"/>
            </a:ln>
            <a:effectLst/>
          </c:spPr>
          <c:marker>
            <c:symbol val="diamond"/>
            <c:size val="6"/>
            <c:spPr>
              <a:solidFill>
                <a:srgbClr val="799098"/>
              </a:solidFill>
              <a:ln w="6350">
                <a:noFill/>
              </a:ln>
            </c:spPr>
          </c:marker>
          <c:cat>
            <c:strRef>
              <c:f>MILLI!$V$25:$V$34</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MILLI!$X$25:$X$34</c:f>
              <c:numCache>
                <c:formatCode>0%</c:formatCode>
                <c:ptCount val="10"/>
                <c:pt idx="0">
                  <c:v>1</c:v>
                </c:pt>
                <c:pt idx="1">
                  <c:v>1</c:v>
                </c:pt>
                <c:pt idx="2">
                  <c:v>1</c:v>
                </c:pt>
                <c:pt idx="3">
                  <c:v>1</c:v>
                </c:pt>
                <c:pt idx="4">
                  <c:v>1</c:v>
                </c:pt>
                <c:pt idx="5">
                  <c:v>1</c:v>
                </c:pt>
                <c:pt idx="6">
                  <c:v>1</c:v>
                </c:pt>
                <c:pt idx="7">
                  <c:v>1</c:v>
                </c:pt>
                <c:pt idx="8">
                  <c:v>1</c:v>
                </c:pt>
                <c:pt idx="9">
                  <c:v>1</c:v>
                </c:pt>
              </c:numCache>
            </c:numRef>
          </c:val>
          <c:extLst>
            <c:ext xmlns:c16="http://schemas.microsoft.com/office/drawing/2014/chart" uri="{C3380CC4-5D6E-409C-BE32-E72D297353CC}">
              <c16:uniqueId val="{00000001-6C52-4C40-88F4-FE5FA5414FDB}"/>
            </c:ext>
          </c:extLst>
        </c:ser>
        <c:dLbls>
          <c:showLegendKey val="0"/>
          <c:showVal val="0"/>
          <c:showCatName val="0"/>
          <c:showSerName val="0"/>
          <c:showPercent val="0"/>
          <c:showBubbleSize val="0"/>
        </c:dLbls>
        <c:axId val="436144000"/>
        <c:axId val="436195328"/>
      </c:radarChart>
      <c:catAx>
        <c:axId val="436144000"/>
        <c:scaling>
          <c:orientation val="minMax"/>
        </c:scaling>
        <c:delete val="0"/>
        <c:axPos val="b"/>
        <c:numFmt formatCode="General" sourceLinked="1"/>
        <c:majorTickMark val="out"/>
        <c:minorTickMark val="none"/>
        <c:tickLblPos val="nextTo"/>
        <c:spPr>
          <a:ln>
            <a:solidFill>
              <a:srgbClr val="B3B3B3"/>
            </a:solidFill>
          </a:ln>
        </c:spPr>
        <c:txPr>
          <a:bodyPr rot="0" vert="horz"/>
          <a:lstStyle/>
          <a:p>
            <a:pPr>
              <a:defRPr/>
            </a:pPr>
            <a:endParaRPr lang="en-US"/>
          </a:p>
        </c:txPr>
        <c:crossAx val="436195328"/>
        <c:crosses val="autoZero"/>
        <c:auto val="0"/>
        <c:lblAlgn val="ctr"/>
        <c:lblOffset val="100"/>
        <c:noMultiLvlLbl val="0"/>
      </c:catAx>
      <c:valAx>
        <c:axId val="436195328"/>
        <c:scaling>
          <c:orientation val="minMax"/>
        </c:scaling>
        <c:delete val="0"/>
        <c:axPos val="l"/>
        <c:numFmt formatCode="0%" sourceLinked="1"/>
        <c:majorTickMark val="cross"/>
        <c:minorTickMark val="none"/>
        <c:tickLblPos val="nextTo"/>
        <c:spPr>
          <a:ln w="3175">
            <a:solidFill>
              <a:srgbClr val="B3B3B3"/>
            </a:solidFill>
            <a:prstDash val="solid"/>
          </a:ln>
        </c:spPr>
        <c:txPr>
          <a:bodyPr rot="0" vert="horz"/>
          <a:lstStyle/>
          <a:p>
            <a:pPr>
              <a:defRPr/>
            </a:pPr>
            <a:endParaRPr lang="en-US"/>
          </a:p>
        </c:txPr>
        <c:crossAx val="436144000"/>
        <c:crosses val="autoZero"/>
        <c:crossBetween val="between"/>
      </c:valAx>
      <c:spPr>
        <a:noFill/>
        <a:ln w="25400">
          <a:noFill/>
        </a:ln>
      </c:spPr>
    </c:plotArea>
    <c:legend>
      <c:legendPos val="b"/>
      <c:overlay val="0"/>
      <c:spPr>
        <a:noFill/>
        <a:ln w="25400">
          <a:noFill/>
        </a:ln>
      </c:spPr>
    </c:legend>
    <c:plotVisOnly val="1"/>
    <c:dispBlanksAs val="gap"/>
    <c:showDLblsOverMax val="0"/>
  </c:chart>
  <c:spPr>
    <a:noFill/>
    <a:ln w="25400">
      <a:noFill/>
    </a:ln>
    <a:effectLst/>
  </c:spPr>
  <c:txPr>
    <a:bodyPr/>
    <a:lstStyle/>
    <a:p>
      <a:pPr>
        <a:defRPr sz="1000" b="0" i="0" u="none" strike="noStrike" baseline="0">
          <a:solidFill>
            <a:srgbClr val="595959"/>
          </a:solidFill>
          <a:latin typeface="Arial Narrow"/>
          <a:ea typeface="Arial Narrow"/>
          <a:cs typeface="Arial Narrow"/>
        </a:defRPr>
      </a:pPr>
      <a:endParaRPr lang="en-US"/>
    </a:p>
  </c:txPr>
  <c:printSettings>
    <c:headerFooter alignWithMargins="0"/>
    <c:pageMargins b="1" l="0.75000000000000111" r="0.75000000000000111" t="1" header="0.5" footer="0.5"/>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9349527416776011"/>
          <c:y val="0.17145466287259617"/>
          <c:w val="0.40691034528918546"/>
          <c:h val="0.60195429961050384"/>
        </c:manualLayout>
      </c:layout>
      <c:radarChart>
        <c:radarStyle val="marker"/>
        <c:varyColors val="0"/>
        <c:ser>
          <c:idx val="0"/>
          <c:order val="0"/>
          <c:tx>
            <c:strRef>
              <c:f>MITRA!$W$24</c:f>
              <c:strCache>
                <c:ptCount val="1"/>
                <c:pt idx="0">
                  <c:v>Mitratel</c:v>
                </c:pt>
              </c:strCache>
            </c:strRef>
          </c:tx>
          <c:spPr>
            <a:ln w="25400">
              <a:solidFill>
                <a:srgbClr val="263238"/>
              </a:solidFill>
              <a:prstDash val="solid"/>
            </a:ln>
            <a:effectLst/>
          </c:spPr>
          <c:marker>
            <c:symbol val="diamond"/>
            <c:size val="6"/>
            <c:spPr>
              <a:solidFill>
                <a:srgbClr val="263238"/>
              </a:solidFill>
              <a:ln w="6350">
                <a:noFill/>
              </a:ln>
            </c:spPr>
          </c:marker>
          <c:cat>
            <c:strRef>
              <c:f>MITRA!$V$25:$V$34</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MITRA!$W$25:$W$34</c:f>
              <c:numCache>
                <c:formatCode>0%</c:formatCode>
                <c:ptCount val="10"/>
                <c:pt idx="0">
                  <c:v>3.4066234463068898</c:v>
                </c:pt>
                <c:pt idx="1">
                  <c:v>1.4146514125403191</c:v>
                </c:pt>
                <c:pt idx="2">
                  <c:v>-1.8128336919782728</c:v>
                </c:pt>
                <c:pt idx="3">
                  <c:v>-1.8572079689870029</c:v>
                </c:pt>
                <c:pt idx="4">
                  <c:v>0.98508665936396589</c:v>
                </c:pt>
                <c:pt idx="5">
                  <c:v>0.73464820745700965</c:v>
                </c:pt>
                <c:pt idx="6">
                  <c:v>-3.0914636871068519</c:v>
                </c:pt>
                <c:pt idx="7">
                  <c:v>0</c:v>
                </c:pt>
                <c:pt idx="8">
                  <c:v>0.95537172644350332</c:v>
                </c:pt>
                <c:pt idx="9">
                  <c:v>-0.32347137188463976</c:v>
                </c:pt>
              </c:numCache>
            </c:numRef>
          </c:val>
          <c:extLst>
            <c:ext xmlns:c16="http://schemas.microsoft.com/office/drawing/2014/chart" uri="{C3380CC4-5D6E-409C-BE32-E72D297353CC}">
              <c16:uniqueId val="{00000000-7919-426B-9EE7-C0AF29498326}"/>
            </c:ext>
          </c:extLst>
        </c:ser>
        <c:ser>
          <c:idx val="1"/>
          <c:order val="1"/>
          <c:tx>
            <c:strRef>
              <c:f>MITRA!$X$24</c:f>
              <c:strCache>
                <c:ptCount val="1"/>
                <c:pt idx="0">
                  <c:v>Agg. Asia Cellular</c:v>
                </c:pt>
              </c:strCache>
            </c:strRef>
          </c:tx>
          <c:spPr>
            <a:ln w="25400">
              <a:solidFill>
                <a:srgbClr val="799098"/>
              </a:solidFill>
              <a:prstDash val="solid"/>
            </a:ln>
            <a:effectLst/>
          </c:spPr>
          <c:marker>
            <c:symbol val="diamond"/>
            <c:size val="6"/>
            <c:spPr>
              <a:solidFill>
                <a:srgbClr val="799098"/>
              </a:solidFill>
              <a:ln w="6350">
                <a:noFill/>
              </a:ln>
            </c:spPr>
          </c:marker>
          <c:cat>
            <c:strRef>
              <c:f>MITRA!$V$25:$V$34</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MITRA!$X$25:$X$34</c:f>
              <c:numCache>
                <c:formatCode>0%</c:formatCode>
                <c:ptCount val="10"/>
                <c:pt idx="0">
                  <c:v>1</c:v>
                </c:pt>
                <c:pt idx="1">
                  <c:v>1</c:v>
                </c:pt>
                <c:pt idx="2">
                  <c:v>1</c:v>
                </c:pt>
                <c:pt idx="3">
                  <c:v>1</c:v>
                </c:pt>
                <c:pt idx="4">
                  <c:v>1</c:v>
                </c:pt>
                <c:pt idx="5">
                  <c:v>1</c:v>
                </c:pt>
                <c:pt idx="6">
                  <c:v>1</c:v>
                </c:pt>
                <c:pt idx="7">
                  <c:v>1</c:v>
                </c:pt>
                <c:pt idx="8">
                  <c:v>1</c:v>
                </c:pt>
                <c:pt idx="9">
                  <c:v>1</c:v>
                </c:pt>
              </c:numCache>
            </c:numRef>
          </c:val>
          <c:extLst>
            <c:ext xmlns:c16="http://schemas.microsoft.com/office/drawing/2014/chart" uri="{C3380CC4-5D6E-409C-BE32-E72D297353CC}">
              <c16:uniqueId val="{00000001-7919-426B-9EE7-C0AF29498326}"/>
            </c:ext>
          </c:extLst>
        </c:ser>
        <c:dLbls>
          <c:showLegendKey val="0"/>
          <c:showVal val="0"/>
          <c:showCatName val="0"/>
          <c:showSerName val="0"/>
          <c:showPercent val="0"/>
          <c:showBubbleSize val="0"/>
        </c:dLbls>
        <c:axId val="358625664"/>
        <c:axId val="358627584"/>
      </c:radarChart>
      <c:catAx>
        <c:axId val="358625664"/>
        <c:scaling>
          <c:orientation val="minMax"/>
        </c:scaling>
        <c:delete val="0"/>
        <c:axPos val="b"/>
        <c:numFmt formatCode="General" sourceLinked="1"/>
        <c:majorTickMark val="out"/>
        <c:minorTickMark val="none"/>
        <c:tickLblPos val="nextTo"/>
        <c:spPr>
          <a:ln>
            <a:solidFill>
              <a:srgbClr val="B3B3B3"/>
            </a:solidFill>
          </a:ln>
        </c:spPr>
        <c:txPr>
          <a:bodyPr rot="0" vert="horz"/>
          <a:lstStyle/>
          <a:p>
            <a:pPr>
              <a:defRPr/>
            </a:pPr>
            <a:endParaRPr lang="en-US"/>
          </a:p>
        </c:txPr>
        <c:crossAx val="358627584"/>
        <c:crosses val="autoZero"/>
        <c:auto val="0"/>
        <c:lblAlgn val="ctr"/>
        <c:lblOffset val="100"/>
        <c:noMultiLvlLbl val="0"/>
      </c:catAx>
      <c:valAx>
        <c:axId val="358627584"/>
        <c:scaling>
          <c:orientation val="minMax"/>
        </c:scaling>
        <c:delete val="0"/>
        <c:axPos val="l"/>
        <c:numFmt formatCode="0%" sourceLinked="1"/>
        <c:majorTickMark val="cross"/>
        <c:minorTickMark val="none"/>
        <c:tickLblPos val="nextTo"/>
        <c:spPr>
          <a:ln w="3175">
            <a:solidFill>
              <a:srgbClr val="B3B3B3"/>
            </a:solidFill>
            <a:prstDash val="solid"/>
          </a:ln>
        </c:spPr>
        <c:txPr>
          <a:bodyPr rot="0" vert="horz"/>
          <a:lstStyle/>
          <a:p>
            <a:pPr>
              <a:defRPr/>
            </a:pPr>
            <a:endParaRPr lang="en-US"/>
          </a:p>
        </c:txPr>
        <c:crossAx val="358625664"/>
        <c:crosses val="autoZero"/>
        <c:crossBetween val="between"/>
      </c:valAx>
      <c:spPr>
        <a:noFill/>
        <a:ln w="25400">
          <a:noFill/>
        </a:ln>
      </c:spPr>
    </c:plotArea>
    <c:legend>
      <c:legendPos val="b"/>
      <c:overlay val="0"/>
      <c:spPr>
        <a:noFill/>
        <a:ln w="25400">
          <a:noFill/>
        </a:ln>
      </c:spPr>
    </c:legend>
    <c:plotVisOnly val="1"/>
    <c:dispBlanksAs val="gap"/>
    <c:showDLblsOverMax val="0"/>
  </c:chart>
  <c:spPr>
    <a:noFill/>
    <a:ln w="25400">
      <a:noFill/>
    </a:ln>
    <a:effectLst/>
  </c:spPr>
  <c:txPr>
    <a:bodyPr/>
    <a:lstStyle/>
    <a:p>
      <a:pPr>
        <a:defRPr sz="1000" b="0" i="0" u="none" strike="noStrike" baseline="0">
          <a:solidFill>
            <a:srgbClr val="595959"/>
          </a:solidFill>
          <a:latin typeface="Arial Narrow"/>
          <a:ea typeface="Arial Narrow"/>
          <a:cs typeface="Arial Narrow"/>
        </a:defRPr>
      </a:pPr>
      <a:endParaRPr lang="en-US"/>
    </a:p>
  </c:txPr>
  <c:printSettings>
    <c:headerFooter alignWithMargins="0"/>
    <c:pageMargins b="1" l="0.75000000000000111" r="0.75000000000000111" t="1" header="0.5" footer="0.5"/>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3927679667543703"/>
          <c:y val="9.9688776798508072E-2"/>
          <c:w val="0.4377013104290558"/>
          <c:h val="0.69420477897836752"/>
        </c:manualLayout>
      </c:layout>
      <c:radarChart>
        <c:radarStyle val="marker"/>
        <c:varyColors val="0"/>
        <c:ser>
          <c:idx val="0"/>
          <c:order val="0"/>
          <c:tx>
            <c:strRef>
              <c:f>MTN!$W$24</c:f>
              <c:strCache>
                <c:ptCount val="1"/>
                <c:pt idx="0">
                  <c:v>MTN</c:v>
                </c:pt>
              </c:strCache>
            </c:strRef>
          </c:tx>
          <c:spPr>
            <a:ln w="25400">
              <a:solidFill>
                <a:srgbClr val="263238"/>
              </a:solidFill>
              <a:prstDash val="solid"/>
            </a:ln>
            <a:effectLst/>
          </c:spPr>
          <c:marker>
            <c:symbol val="diamond"/>
            <c:size val="6"/>
            <c:spPr>
              <a:solidFill>
                <a:srgbClr val="263238"/>
              </a:solidFill>
              <a:ln w="6350">
                <a:noFill/>
              </a:ln>
            </c:spPr>
          </c:marker>
          <c:cat>
            <c:strRef>
              <c:f>MTN!$V$25:$V$34</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MTN!$W$25:$W$34</c:f>
              <c:numCache>
                <c:formatCode>0%</c:formatCode>
                <c:ptCount val="10"/>
                <c:pt idx="0">
                  <c:v>0.48812120246679269</c:v>
                </c:pt>
                <c:pt idx="1">
                  <c:v>0.48558393423886381</c:v>
                </c:pt>
                <c:pt idx="2">
                  <c:v>0.65177864647758998</c:v>
                </c:pt>
                <c:pt idx="3">
                  <c:v>0.75668290291418305</c:v>
                </c:pt>
                <c:pt idx="4">
                  <c:v>0.49534996401904013</c:v>
                </c:pt>
                <c:pt idx="5">
                  <c:v>0.40326121508649632</c:v>
                </c:pt>
                <c:pt idx="6">
                  <c:v>-1.5773551739339033</c:v>
                </c:pt>
                <c:pt idx="7">
                  <c:v>0.23570603144478017</c:v>
                </c:pt>
                <c:pt idx="8">
                  <c:v>1.9128132422581159</c:v>
                </c:pt>
                <c:pt idx="9">
                  <c:v>-0.63397262488828876</c:v>
                </c:pt>
              </c:numCache>
            </c:numRef>
          </c:val>
          <c:extLst>
            <c:ext xmlns:c16="http://schemas.microsoft.com/office/drawing/2014/chart" uri="{C3380CC4-5D6E-409C-BE32-E72D297353CC}">
              <c16:uniqueId val="{00000000-5498-4330-B81E-C8655EE8F505}"/>
            </c:ext>
          </c:extLst>
        </c:ser>
        <c:ser>
          <c:idx val="1"/>
          <c:order val="1"/>
          <c:tx>
            <c:strRef>
              <c:f>MTN!$X$24</c:f>
              <c:strCache>
                <c:ptCount val="1"/>
                <c:pt idx="0">
                  <c:v>Agg. EMEA Cellular</c:v>
                </c:pt>
              </c:strCache>
            </c:strRef>
          </c:tx>
          <c:spPr>
            <a:ln w="25400">
              <a:solidFill>
                <a:srgbClr val="799098"/>
              </a:solidFill>
              <a:prstDash val="solid"/>
            </a:ln>
            <a:effectLst/>
          </c:spPr>
          <c:marker>
            <c:symbol val="diamond"/>
            <c:size val="6"/>
            <c:spPr>
              <a:solidFill>
                <a:srgbClr val="799098"/>
              </a:solidFill>
              <a:ln w="6350">
                <a:noFill/>
              </a:ln>
            </c:spPr>
          </c:marker>
          <c:cat>
            <c:strRef>
              <c:f>MTN!$V$25:$V$34</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MTN!$X$25:$X$34</c:f>
              <c:numCache>
                <c:formatCode>0%</c:formatCode>
                <c:ptCount val="10"/>
                <c:pt idx="0">
                  <c:v>1</c:v>
                </c:pt>
                <c:pt idx="1">
                  <c:v>1</c:v>
                </c:pt>
                <c:pt idx="2">
                  <c:v>1</c:v>
                </c:pt>
                <c:pt idx="3">
                  <c:v>1</c:v>
                </c:pt>
                <c:pt idx="4">
                  <c:v>1</c:v>
                </c:pt>
                <c:pt idx="5">
                  <c:v>1</c:v>
                </c:pt>
                <c:pt idx="6">
                  <c:v>1</c:v>
                </c:pt>
                <c:pt idx="7">
                  <c:v>1</c:v>
                </c:pt>
                <c:pt idx="8">
                  <c:v>1</c:v>
                </c:pt>
                <c:pt idx="9">
                  <c:v>1</c:v>
                </c:pt>
              </c:numCache>
            </c:numRef>
          </c:val>
          <c:extLst>
            <c:ext xmlns:c16="http://schemas.microsoft.com/office/drawing/2014/chart" uri="{C3380CC4-5D6E-409C-BE32-E72D297353CC}">
              <c16:uniqueId val="{00000001-5498-4330-B81E-C8655EE8F505}"/>
            </c:ext>
          </c:extLst>
        </c:ser>
        <c:dLbls>
          <c:showLegendKey val="0"/>
          <c:showVal val="0"/>
          <c:showCatName val="0"/>
          <c:showSerName val="0"/>
          <c:showPercent val="0"/>
          <c:showBubbleSize val="0"/>
        </c:dLbls>
        <c:axId val="437737344"/>
        <c:axId val="437764096"/>
      </c:radarChart>
      <c:catAx>
        <c:axId val="437737344"/>
        <c:scaling>
          <c:orientation val="minMax"/>
        </c:scaling>
        <c:delete val="0"/>
        <c:axPos val="b"/>
        <c:numFmt formatCode="General" sourceLinked="1"/>
        <c:majorTickMark val="out"/>
        <c:minorTickMark val="none"/>
        <c:tickLblPos val="nextTo"/>
        <c:spPr>
          <a:ln>
            <a:solidFill>
              <a:srgbClr val="B3B3B3"/>
            </a:solidFill>
          </a:ln>
        </c:spPr>
        <c:txPr>
          <a:bodyPr rot="0" vert="horz"/>
          <a:lstStyle/>
          <a:p>
            <a:pPr>
              <a:defRPr/>
            </a:pPr>
            <a:endParaRPr lang="en-US"/>
          </a:p>
        </c:txPr>
        <c:crossAx val="437764096"/>
        <c:crosses val="autoZero"/>
        <c:auto val="0"/>
        <c:lblAlgn val="ctr"/>
        <c:lblOffset val="100"/>
        <c:noMultiLvlLbl val="0"/>
      </c:catAx>
      <c:valAx>
        <c:axId val="437764096"/>
        <c:scaling>
          <c:orientation val="minMax"/>
        </c:scaling>
        <c:delete val="0"/>
        <c:axPos val="l"/>
        <c:numFmt formatCode="0%" sourceLinked="1"/>
        <c:majorTickMark val="cross"/>
        <c:minorTickMark val="none"/>
        <c:tickLblPos val="nextTo"/>
        <c:spPr>
          <a:ln w="3175">
            <a:solidFill>
              <a:srgbClr val="B3B3B3"/>
            </a:solidFill>
            <a:prstDash val="solid"/>
          </a:ln>
        </c:spPr>
        <c:txPr>
          <a:bodyPr rot="0" vert="horz"/>
          <a:lstStyle/>
          <a:p>
            <a:pPr>
              <a:defRPr/>
            </a:pPr>
            <a:endParaRPr lang="en-US"/>
          </a:p>
        </c:txPr>
        <c:crossAx val="437737344"/>
        <c:crosses val="autoZero"/>
        <c:crossBetween val="between"/>
      </c:valAx>
      <c:spPr>
        <a:noFill/>
        <a:ln w="25400">
          <a:noFill/>
        </a:ln>
      </c:spPr>
    </c:plotArea>
    <c:legend>
      <c:legendPos val="b"/>
      <c:overlay val="0"/>
      <c:spPr>
        <a:noFill/>
        <a:ln w="25400">
          <a:noFill/>
        </a:ln>
      </c:spPr>
    </c:legend>
    <c:plotVisOnly val="1"/>
    <c:dispBlanksAs val="gap"/>
    <c:showDLblsOverMax val="0"/>
  </c:chart>
  <c:spPr>
    <a:noFill/>
    <a:ln w="25400">
      <a:noFill/>
    </a:ln>
    <a:effectLst/>
  </c:spPr>
  <c:txPr>
    <a:bodyPr/>
    <a:lstStyle/>
    <a:p>
      <a:pPr>
        <a:defRPr sz="1000" b="0" i="0" u="none" strike="noStrike" baseline="0">
          <a:solidFill>
            <a:srgbClr val="595959"/>
          </a:solidFill>
          <a:latin typeface="Arial Narrow"/>
          <a:ea typeface="Arial Narrow"/>
          <a:cs typeface="Arial Narrow"/>
        </a:defRPr>
      </a:pPr>
      <a:endParaRPr lang="en-US"/>
    </a:p>
  </c:txPr>
  <c:printSettings>
    <c:headerFooter alignWithMargins="0"/>
    <c:pageMargins b="1" l="0.75000000000000111" r="0.75000000000000111" t="1" header="0.5" footer="0.5"/>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9450129783111678"/>
          <c:y val="9.3167843143201895E-2"/>
          <c:w val="0.47639212715645335"/>
          <c:h val="0.74407322530017428"/>
        </c:manualLayout>
      </c:layout>
      <c:radarChart>
        <c:radarStyle val="marker"/>
        <c:varyColors val="0"/>
        <c:ser>
          <c:idx val="0"/>
          <c:order val="0"/>
          <c:tx>
            <c:strRef>
              <c:f>OBEL!$W$24</c:f>
              <c:strCache>
                <c:ptCount val="1"/>
                <c:pt idx="0">
                  <c:v>Mobistar</c:v>
                </c:pt>
              </c:strCache>
            </c:strRef>
          </c:tx>
          <c:spPr>
            <a:ln w="25400">
              <a:solidFill>
                <a:srgbClr val="263238"/>
              </a:solidFill>
              <a:prstDash val="solid"/>
            </a:ln>
            <a:effectLst/>
          </c:spPr>
          <c:marker>
            <c:symbol val="diamond"/>
            <c:size val="6"/>
            <c:spPr>
              <a:solidFill>
                <a:srgbClr val="263238"/>
              </a:solidFill>
              <a:ln w="6350">
                <a:noFill/>
              </a:ln>
            </c:spPr>
          </c:marker>
          <c:cat>
            <c:strRef>
              <c:f>OBEL!$V$25:$V$34</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OBEL!$W$25:$W$34</c:f>
              <c:numCache>
                <c:formatCode>0%</c:formatCode>
                <c:ptCount val="10"/>
                <c:pt idx="0">
                  <c:v>0.92590943442066553</c:v>
                </c:pt>
                <c:pt idx="1">
                  <c:v>1.2752387977040096</c:v>
                </c:pt>
                <c:pt idx="2">
                  <c:v>1.4611617835329094</c:v>
                </c:pt>
                <c:pt idx="3">
                  <c:v>1.4148808715665941</c:v>
                </c:pt>
                <c:pt idx="4">
                  <c:v>4.7174223540703029</c:v>
                </c:pt>
                <c:pt idx="5">
                  <c:v>2.4100185382647927</c:v>
                </c:pt>
                <c:pt idx="6">
                  <c:v>0.91092618109185697</c:v>
                </c:pt>
                <c:pt idx="7">
                  <c:v>0.34943862776097961</c:v>
                </c:pt>
                <c:pt idx="8">
                  <c:v>0</c:v>
                </c:pt>
                <c:pt idx="9">
                  <c:v>1.0977837949518336</c:v>
                </c:pt>
              </c:numCache>
            </c:numRef>
          </c:val>
          <c:extLst>
            <c:ext xmlns:c16="http://schemas.microsoft.com/office/drawing/2014/chart" uri="{C3380CC4-5D6E-409C-BE32-E72D297353CC}">
              <c16:uniqueId val="{00000000-2203-48C2-8AF3-6CF9E63DDEB8}"/>
            </c:ext>
          </c:extLst>
        </c:ser>
        <c:ser>
          <c:idx val="1"/>
          <c:order val="1"/>
          <c:tx>
            <c:strRef>
              <c:f>OBEL!$X$24</c:f>
              <c:strCache>
                <c:ptCount val="1"/>
                <c:pt idx="0">
                  <c:v>Agg. W. Eur. Cellular</c:v>
                </c:pt>
              </c:strCache>
            </c:strRef>
          </c:tx>
          <c:spPr>
            <a:ln w="25400">
              <a:solidFill>
                <a:srgbClr val="799098"/>
              </a:solidFill>
              <a:prstDash val="solid"/>
            </a:ln>
            <a:effectLst/>
          </c:spPr>
          <c:marker>
            <c:symbol val="diamond"/>
            <c:size val="6"/>
            <c:spPr>
              <a:solidFill>
                <a:srgbClr val="799098"/>
              </a:solidFill>
              <a:ln w="6350">
                <a:noFill/>
              </a:ln>
            </c:spPr>
          </c:marker>
          <c:cat>
            <c:strRef>
              <c:f>OBEL!$V$25:$V$34</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OBEL!$X$25:$X$34</c:f>
              <c:numCache>
                <c:formatCode>0%</c:formatCode>
                <c:ptCount val="10"/>
                <c:pt idx="0">
                  <c:v>1</c:v>
                </c:pt>
                <c:pt idx="1">
                  <c:v>1</c:v>
                </c:pt>
                <c:pt idx="2">
                  <c:v>1</c:v>
                </c:pt>
                <c:pt idx="3">
                  <c:v>1</c:v>
                </c:pt>
                <c:pt idx="4">
                  <c:v>1</c:v>
                </c:pt>
                <c:pt idx="5">
                  <c:v>1</c:v>
                </c:pt>
                <c:pt idx="6">
                  <c:v>1</c:v>
                </c:pt>
                <c:pt idx="7">
                  <c:v>1</c:v>
                </c:pt>
                <c:pt idx="8">
                  <c:v>1</c:v>
                </c:pt>
                <c:pt idx="9">
                  <c:v>1</c:v>
                </c:pt>
              </c:numCache>
            </c:numRef>
          </c:val>
          <c:extLst>
            <c:ext xmlns:c16="http://schemas.microsoft.com/office/drawing/2014/chart" uri="{C3380CC4-5D6E-409C-BE32-E72D297353CC}">
              <c16:uniqueId val="{00000001-2203-48C2-8AF3-6CF9E63DDEB8}"/>
            </c:ext>
          </c:extLst>
        </c:ser>
        <c:dLbls>
          <c:showLegendKey val="0"/>
          <c:showVal val="0"/>
          <c:showCatName val="0"/>
          <c:showSerName val="0"/>
          <c:showPercent val="0"/>
          <c:showBubbleSize val="0"/>
        </c:dLbls>
        <c:axId val="278153088"/>
        <c:axId val="278155264"/>
      </c:radarChart>
      <c:catAx>
        <c:axId val="278153088"/>
        <c:scaling>
          <c:orientation val="minMax"/>
        </c:scaling>
        <c:delete val="0"/>
        <c:axPos val="b"/>
        <c:numFmt formatCode="General" sourceLinked="1"/>
        <c:majorTickMark val="out"/>
        <c:minorTickMark val="none"/>
        <c:tickLblPos val="nextTo"/>
        <c:spPr>
          <a:ln>
            <a:solidFill>
              <a:srgbClr val="B3B3B3"/>
            </a:solidFill>
          </a:ln>
        </c:spPr>
        <c:txPr>
          <a:bodyPr rot="0" vert="horz"/>
          <a:lstStyle/>
          <a:p>
            <a:pPr>
              <a:defRPr/>
            </a:pPr>
            <a:endParaRPr lang="en-US"/>
          </a:p>
        </c:txPr>
        <c:crossAx val="278155264"/>
        <c:crosses val="autoZero"/>
        <c:auto val="0"/>
        <c:lblAlgn val="ctr"/>
        <c:lblOffset val="100"/>
        <c:noMultiLvlLbl val="0"/>
      </c:catAx>
      <c:valAx>
        <c:axId val="278155264"/>
        <c:scaling>
          <c:orientation val="minMax"/>
        </c:scaling>
        <c:delete val="0"/>
        <c:axPos val="l"/>
        <c:numFmt formatCode="0%" sourceLinked="1"/>
        <c:majorTickMark val="cross"/>
        <c:minorTickMark val="none"/>
        <c:tickLblPos val="nextTo"/>
        <c:spPr>
          <a:ln w="3175">
            <a:solidFill>
              <a:srgbClr val="B3B3B3"/>
            </a:solidFill>
            <a:prstDash val="solid"/>
          </a:ln>
        </c:spPr>
        <c:txPr>
          <a:bodyPr rot="0" vert="horz"/>
          <a:lstStyle/>
          <a:p>
            <a:pPr>
              <a:defRPr/>
            </a:pPr>
            <a:endParaRPr lang="en-US"/>
          </a:p>
        </c:txPr>
        <c:crossAx val="278153088"/>
        <c:crosses val="autoZero"/>
        <c:crossBetween val="between"/>
      </c:valAx>
      <c:spPr>
        <a:noFill/>
        <a:ln w="25400">
          <a:noFill/>
        </a:ln>
      </c:spPr>
    </c:plotArea>
    <c:legend>
      <c:legendPos val="b"/>
      <c:overlay val="0"/>
      <c:spPr>
        <a:noFill/>
        <a:ln w="25400">
          <a:noFill/>
        </a:ln>
      </c:spPr>
    </c:legend>
    <c:plotVisOnly val="1"/>
    <c:dispBlanksAs val="gap"/>
    <c:showDLblsOverMax val="0"/>
  </c:chart>
  <c:spPr>
    <a:noFill/>
    <a:ln w="25400">
      <a:noFill/>
    </a:ln>
    <a:effectLst/>
  </c:spPr>
  <c:txPr>
    <a:bodyPr/>
    <a:lstStyle/>
    <a:p>
      <a:pPr>
        <a:defRPr sz="1000" b="0" i="0" u="none" strike="noStrike" baseline="0">
          <a:solidFill>
            <a:srgbClr val="595959"/>
          </a:solidFill>
          <a:latin typeface="Arial Narrow"/>
          <a:ea typeface="Arial Narrow"/>
          <a:cs typeface="Arial Narrow"/>
        </a:defRPr>
      </a:pPr>
      <a:endParaRPr lang="en-US"/>
    </a:p>
  </c:txPr>
  <c:printSettings>
    <c:headerFooter alignWithMargins="0"/>
    <c:pageMargins b="1" l="0.75000000000000111" r="0.75000000000000111" t="1" header="0.5" footer="0.5"/>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9565589532656034"/>
          <c:y val="0.10656565544600111"/>
          <c:w val="0.46302143641047216"/>
          <c:h val="0.73908232753371605"/>
        </c:manualLayout>
      </c:layout>
      <c:radarChart>
        <c:radarStyle val="marker"/>
        <c:varyColors val="0"/>
        <c:ser>
          <c:idx val="0"/>
          <c:order val="0"/>
          <c:tx>
            <c:strRef>
              <c:f>MTS!$W$24</c:f>
              <c:strCache>
                <c:ptCount val="1"/>
                <c:pt idx="0">
                  <c:v>MTS</c:v>
                </c:pt>
              </c:strCache>
            </c:strRef>
          </c:tx>
          <c:spPr>
            <a:ln w="25400">
              <a:solidFill>
                <a:srgbClr val="263238"/>
              </a:solidFill>
              <a:prstDash val="solid"/>
            </a:ln>
            <a:effectLst/>
          </c:spPr>
          <c:marker>
            <c:symbol val="diamond"/>
            <c:size val="6"/>
            <c:spPr>
              <a:solidFill>
                <a:srgbClr val="263238"/>
              </a:solidFill>
              <a:ln w="6350">
                <a:noFill/>
              </a:ln>
            </c:spPr>
          </c:marker>
          <c:cat>
            <c:strRef>
              <c:f>MTS!$V$25:$V$34</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MTS!$W$25:$W$34</c:f>
              <c:numCache>
                <c:formatCode>0%</c:formatCode>
                <c:ptCount val="10"/>
                <c:pt idx="0">
                  <c:v>0.9497450877439777</c:v>
                </c:pt>
                <c:pt idx="1">
                  <c:v>0.94769813078577803</c:v>
                </c:pt>
                <c:pt idx="2">
                  <c:v>0.84437788394542301</c:v>
                </c:pt>
                <c:pt idx="3">
                  <c:v>0.75125208451077896</c:v>
                </c:pt>
                <c:pt idx="4">
                  <c:v>0.88102456592564893</c:v>
                </c:pt>
                <c:pt idx="5">
                  <c:v>1.4228396993954811</c:v>
                </c:pt>
                <c:pt idx="6">
                  <c:v>0.79522492967891989</c:v>
                </c:pt>
                <c:pt idx="7">
                  <c:v>0.71417195629019059</c:v>
                </c:pt>
                <c:pt idx="8">
                  <c:v>2.5044005380685479</c:v>
                </c:pt>
                <c:pt idx="9">
                  <c:v>1.2575058485701149</c:v>
                </c:pt>
              </c:numCache>
            </c:numRef>
          </c:val>
          <c:extLst>
            <c:ext xmlns:c16="http://schemas.microsoft.com/office/drawing/2014/chart" uri="{C3380CC4-5D6E-409C-BE32-E72D297353CC}">
              <c16:uniqueId val="{00000000-C82E-4CDF-8D7B-634B90301A0A}"/>
            </c:ext>
          </c:extLst>
        </c:ser>
        <c:ser>
          <c:idx val="1"/>
          <c:order val="1"/>
          <c:tx>
            <c:strRef>
              <c:f>MTS!$X$24</c:f>
              <c:strCache>
                <c:ptCount val="1"/>
                <c:pt idx="0">
                  <c:v>Agg. EMEA Cellular</c:v>
                </c:pt>
              </c:strCache>
            </c:strRef>
          </c:tx>
          <c:spPr>
            <a:ln w="25400">
              <a:solidFill>
                <a:srgbClr val="799098"/>
              </a:solidFill>
              <a:prstDash val="solid"/>
            </a:ln>
            <a:effectLst/>
          </c:spPr>
          <c:marker>
            <c:symbol val="diamond"/>
            <c:size val="6"/>
            <c:spPr>
              <a:solidFill>
                <a:srgbClr val="799098"/>
              </a:solidFill>
              <a:ln w="6350">
                <a:noFill/>
              </a:ln>
            </c:spPr>
          </c:marker>
          <c:cat>
            <c:strRef>
              <c:f>MTS!$V$25:$V$34</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MTS!$X$25:$X$34</c:f>
              <c:numCache>
                <c:formatCode>0%</c:formatCode>
                <c:ptCount val="10"/>
                <c:pt idx="0">
                  <c:v>1</c:v>
                </c:pt>
                <c:pt idx="1">
                  <c:v>1</c:v>
                </c:pt>
                <c:pt idx="2">
                  <c:v>1</c:v>
                </c:pt>
                <c:pt idx="3">
                  <c:v>1</c:v>
                </c:pt>
                <c:pt idx="4">
                  <c:v>1</c:v>
                </c:pt>
                <c:pt idx="5">
                  <c:v>1</c:v>
                </c:pt>
                <c:pt idx="6">
                  <c:v>1</c:v>
                </c:pt>
                <c:pt idx="7">
                  <c:v>1</c:v>
                </c:pt>
                <c:pt idx="8">
                  <c:v>1</c:v>
                </c:pt>
                <c:pt idx="9">
                  <c:v>1</c:v>
                </c:pt>
              </c:numCache>
            </c:numRef>
          </c:val>
          <c:extLst>
            <c:ext xmlns:c16="http://schemas.microsoft.com/office/drawing/2014/chart" uri="{C3380CC4-5D6E-409C-BE32-E72D297353CC}">
              <c16:uniqueId val="{00000001-C82E-4CDF-8D7B-634B90301A0A}"/>
            </c:ext>
          </c:extLst>
        </c:ser>
        <c:dLbls>
          <c:showLegendKey val="0"/>
          <c:showVal val="0"/>
          <c:showCatName val="0"/>
          <c:showSerName val="0"/>
          <c:showPercent val="0"/>
          <c:showBubbleSize val="0"/>
        </c:dLbls>
        <c:axId val="283060096"/>
        <c:axId val="283095040"/>
      </c:radarChart>
      <c:catAx>
        <c:axId val="283060096"/>
        <c:scaling>
          <c:orientation val="minMax"/>
        </c:scaling>
        <c:delete val="0"/>
        <c:axPos val="b"/>
        <c:numFmt formatCode="General" sourceLinked="1"/>
        <c:majorTickMark val="out"/>
        <c:minorTickMark val="none"/>
        <c:tickLblPos val="nextTo"/>
        <c:spPr>
          <a:ln>
            <a:solidFill>
              <a:srgbClr val="B3B3B3"/>
            </a:solidFill>
          </a:ln>
        </c:spPr>
        <c:txPr>
          <a:bodyPr rot="0" vert="horz"/>
          <a:lstStyle/>
          <a:p>
            <a:pPr>
              <a:defRPr/>
            </a:pPr>
            <a:endParaRPr lang="en-US"/>
          </a:p>
        </c:txPr>
        <c:crossAx val="283095040"/>
        <c:crosses val="autoZero"/>
        <c:auto val="0"/>
        <c:lblAlgn val="ctr"/>
        <c:lblOffset val="100"/>
        <c:noMultiLvlLbl val="0"/>
      </c:catAx>
      <c:valAx>
        <c:axId val="283095040"/>
        <c:scaling>
          <c:orientation val="minMax"/>
        </c:scaling>
        <c:delete val="0"/>
        <c:axPos val="l"/>
        <c:numFmt formatCode="0%" sourceLinked="1"/>
        <c:majorTickMark val="cross"/>
        <c:minorTickMark val="none"/>
        <c:tickLblPos val="nextTo"/>
        <c:spPr>
          <a:ln w="3175">
            <a:solidFill>
              <a:srgbClr val="B3B3B3"/>
            </a:solidFill>
            <a:prstDash val="solid"/>
          </a:ln>
        </c:spPr>
        <c:txPr>
          <a:bodyPr rot="0" vert="horz"/>
          <a:lstStyle/>
          <a:p>
            <a:pPr>
              <a:defRPr/>
            </a:pPr>
            <a:endParaRPr lang="en-US"/>
          </a:p>
        </c:txPr>
        <c:crossAx val="283060096"/>
        <c:crosses val="autoZero"/>
        <c:crossBetween val="between"/>
      </c:valAx>
      <c:spPr>
        <a:noFill/>
        <a:ln w="25400">
          <a:noFill/>
        </a:ln>
      </c:spPr>
    </c:plotArea>
    <c:legend>
      <c:legendPos val="b"/>
      <c:overlay val="0"/>
      <c:spPr>
        <a:noFill/>
        <a:ln w="25400">
          <a:noFill/>
        </a:ln>
      </c:spPr>
    </c:legend>
    <c:plotVisOnly val="1"/>
    <c:dispBlanksAs val="gap"/>
    <c:showDLblsOverMax val="0"/>
  </c:chart>
  <c:spPr>
    <a:noFill/>
    <a:ln w="25400">
      <a:noFill/>
    </a:ln>
    <a:effectLst/>
  </c:spPr>
  <c:txPr>
    <a:bodyPr/>
    <a:lstStyle/>
    <a:p>
      <a:pPr>
        <a:defRPr sz="1000" b="0" i="0" u="none" strike="noStrike" baseline="0">
          <a:solidFill>
            <a:srgbClr val="595959"/>
          </a:solidFill>
          <a:latin typeface="Arial Narrow"/>
          <a:ea typeface="Arial Narrow"/>
          <a:cs typeface="Arial Narrow"/>
        </a:defRPr>
      </a:pPr>
      <a:endParaRPr lang="en-US"/>
    </a:p>
  </c:txPr>
  <c:printSettings>
    <c:headerFooter alignWithMargins="0"/>
    <c:pageMargins b="1" l="0.75000000000000111" r="0.75000000000000111" t="1" header="0.5" footer="0.5"/>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1451643865419332"/>
          <c:y val="0.10869581700040198"/>
          <c:w val="0.42338751357295346"/>
          <c:h val="0.65217490200241224"/>
        </c:manualLayout>
      </c:layout>
      <c:radarChart>
        <c:radarStyle val="marker"/>
        <c:varyColors val="0"/>
        <c:ser>
          <c:idx val="0"/>
          <c:order val="0"/>
          <c:tx>
            <c:strRef>
              <c:f>NOS!$W$24</c:f>
              <c:strCache>
                <c:ptCount val="1"/>
                <c:pt idx="0">
                  <c:v>Nos</c:v>
                </c:pt>
              </c:strCache>
            </c:strRef>
          </c:tx>
          <c:spPr>
            <a:ln w="25400">
              <a:solidFill>
                <a:srgbClr val="263238"/>
              </a:solidFill>
              <a:prstDash val="solid"/>
            </a:ln>
            <a:effectLst/>
          </c:spPr>
          <c:marker>
            <c:symbol val="diamond"/>
            <c:size val="6"/>
            <c:spPr>
              <a:solidFill>
                <a:srgbClr val="263238"/>
              </a:solidFill>
              <a:ln w="6350">
                <a:noFill/>
              </a:ln>
            </c:spPr>
          </c:marker>
          <c:cat>
            <c:strRef>
              <c:f>NOS!$V$25:$V$34</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NOS!$W$25:$W$34</c:f>
              <c:numCache>
                <c:formatCode>0%</c:formatCode>
                <c:ptCount val="10"/>
                <c:pt idx="0">
                  <c:v>1.2121766570600216</c:v>
                </c:pt>
                <c:pt idx="1">
                  <c:v>0.84864281051942125</c:v>
                </c:pt>
                <c:pt idx="2">
                  <c:v>0.78221084390130657</c:v>
                </c:pt>
                <c:pt idx="3">
                  <c:v>0.80578197682165731</c:v>
                </c:pt>
                <c:pt idx="4">
                  <c:v>2.0776381725713828</c:v>
                </c:pt>
                <c:pt idx="5">
                  <c:v>0.99216136851774606</c:v>
                </c:pt>
                <c:pt idx="6">
                  <c:v>0.61725425908429288</c:v>
                </c:pt>
                <c:pt idx="7">
                  <c:v>0.92944025477545145</c:v>
                </c:pt>
                <c:pt idx="8">
                  <c:v>1.1831921957937572</c:v>
                </c:pt>
                <c:pt idx="9">
                  <c:v>1.6200779262074545</c:v>
                </c:pt>
              </c:numCache>
            </c:numRef>
          </c:val>
          <c:extLst>
            <c:ext xmlns:c16="http://schemas.microsoft.com/office/drawing/2014/chart" uri="{C3380CC4-5D6E-409C-BE32-E72D297353CC}">
              <c16:uniqueId val="{00000000-7C02-402B-8BB5-CF8909BC2055}"/>
            </c:ext>
          </c:extLst>
        </c:ser>
        <c:ser>
          <c:idx val="1"/>
          <c:order val="1"/>
          <c:tx>
            <c:strRef>
              <c:f>NOS!$X$24</c:f>
              <c:strCache>
                <c:ptCount val="1"/>
                <c:pt idx="0">
                  <c:v>Agg. W. Eur. CATV</c:v>
                </c:pt>
              </c:strCache>
            </c:strRef>
          </c:tx>
          <c:spPr>
            <a:ln w="25400">
              <a:solidFill>
                <a:srgbClr val="799098"/>
              </a:solidFill>
              <a:prstDash val="solid"/>
            </a:ln>
            <a:effectLst/>
          </c:spPr>
          <c:marker>
            <c:symbol val="diamond"/>
            <c:size val="6"/>
            <c:spPr>
              <a:solidFill>
                <a:srgbClr val="799098"/>
              </a:solidFill>
              <a:ln w="6350">
                <a:noFill/>
              </a:ln>
            </c:spPr>
          </c:marker>
          <c:cat>
            <c:strRef>
              <c:f>NOS!$V$25:$V$34</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NOS!$X$25:$X$34</c:f>
              <c:numCache>
                <c:formatCode>0%</c:formatCode>
                <c:ptCount val="10"/>
                <c:pt idx="0">
                  <c:v>1</c:v>
                </c:pt>
                <c:pt idx="1">
                  <c:v>1</c:v>
                </c:pt>
                <c:pt idx="2">
                  <c:v>1</c:v>
                </c:pt>
                <c:pt idx="3">
                  <c:v>1</c:v>
                </c:pt>
                <c:pt idx="4">
                  <c:v>1</c:v>
                </c:pt>
                <c:pt idx="5">
                  <c:v>1</c:v>
                </c:pt>
                <c:pt idx="6">
                  <c:v>1</c:v>
                </c:pt>
                <c:pt idx="7">
                  <c:v>1</c:v>
                </c:pt>
                <c:pt idx="8">
                  <c:v>1</c:v>
                </c:pt>
                <c:pt idx="9">
                  <c:v>1</c:v>
                </c:pt>
              </c:numCache>
            </c:numRef>
          </c:val>
          <c:extLst>
            <c:ext xmlns:c16="http://schemas.microsoft.com/office/drawing/2014/chart" uri="{C3380CC4-5D6E-409C-BE32-E72D297353CC}">
              <c16:uniqueId val="{00000001-7C02-402B-8BB5-CF8909BC2055}"/>
            </c:ext>
          </c:extLst>
        </c:ser>
        <c:dLbls>
          <c:showLegendKey val="0"/>
          <c:showVal val="0"/>
          <c:showCatName val="0"/>
          <c:showSerName val="0"/>
          <c:showPercent val="0"/>
          <c:showBubbleSize val="0"/>
        </c:dLbls>
        <c:axId val="283305856"/>
        <c:axId val="283312128"/>
      </c:radarChart>
      <c:catAx>
        <c:axId val="283305856"/>
        <c:scaling>
          <c:orientation val="minMax"/>
        </c:scaling>
        <c:delete val="0"/>
        <c:axPos val="b"/>
        <c:numFmt formatCode="General" sourceLinked="1"/>
        <c:majorTickMark val="out"/>
        <c:minorTickMark val="none"/>
        <c:tickLblPos val="nextTo"/>
        <c:spPr>
          <a:ln>
            <a:solidFill>
              <a:srgbClr val="B3B3B3"/>
            </a:solidFill>
          </a:ln>
        </c:spPr>
        <c:txPr>
          <a:bodyPr rot="0" vert="horz"/>
          <a:lstStyle/>
          <a:p>
            <a:pPr>
              <a:defRPr/>
            </a:pPr>
            <a:endParaRPr lang="en-US"/>
          </a:p>
        </c:txPr>
        <c:crossAx val="283312128"/>
        <c:crosses val="autoZero"/>
        <c:auto val="0"/>
        <c:lblAlgn val="ctr"/>
        <c:lblOffset val="100"/>
        <c:noMultiLvlLbl val="0"/>
      </c:catAx>
      <c:valAx>
        <c:axId val="283312128"/>
        <c:scaling>
          <c:orientation val="minMax"/>
        </c:scaling>
        <c:delete val="0"/>
        <c:axPos val="l"/>
        <c:numFmt formatCode="0%" sourceLinked="1"/>
        <c:majorTickMark val="cross"/>
        <c:minorTickMark val="none"/>
        <c:tickLblPos val="nextTo"/>
        <c:spPr>
          <a:ln w="3175">
            <a:solidFill>
              <a:srgbClr val="B3B3B3"/>
            </a:solidFill>
            <a:prstDash val="solid"/>
          </a:ln>
        </c:spPr>
        <c:txPr>
          <a:bodyPr rot="0" vert="horz"/>
          <a:lstStyle/>
          <a:p>
            <a:pPr>
              <a:defRPr/>
            </a:pPr>
            <a:endParaRPr lang="en-US"/>
          </a:p>
        </c:txPr>
        <c:crossAx val="283305856"/>
        <c:crosses val="autoZero"/>
        <c:crossBetween val="between"/>
      </c:valAx>
      <c:spPr>
        <a:noFill/>
        <a:ln w="25400">
          <a:noFill/>
        </a:ln>
      </c:spPr>
    </c:plotArea>
    <c:legend>
      <c:legendPos val="b"/>
      <c:overlay val="0"/>
      <c:spPr>
        <a:noFill/>
        <a:ln w="25400">
          <a:noFill/>
        </a:ln>
      </c:spPr>
    </c:legend>
    <c:plotVisOnly val="1"/>
    <c:dispBlanksAs val="gap"/>
    <c:showDLblsOverMax val="0"/>
  </c:chart>
  <c:spPr>
    <a:noFill/>
    <a:ln w="25400">
      <a:noFill/>
    </a:ln>
    <a:effectLst/>
  </c:spPr>
  <c:txPr>
    <a:bodyPr/>
    <a:lstStyle/>
    <a:p>
      <a:pPr>
        <a:defRPr sz="1000" b="0" i="0" u="none" strike="noStrike" baseline="0">
          <a:solidFill>
            <a:srgbClr val="595959"/>
          </a:solidFill>
          <a:latin typeface="Arial Narrow"/>
          <a:ea typeface="Arial Narrow"/>
          <a:cs typeface="Arial Narrow"/>
        </a:defRPr>
      </a:pPr>
      <a:endParaRPr lang="en-US"/>
    </a:p>
  </c:txPr>
  <c:printSettings>
    <c:headerFooter alignWithMargins="0"/>
    <c:pageMargins b="1" l="0.75000000000000111" r="0.75000000000000111" t="1" header="0.5" footer="0.5"/>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2653734048380662"/>
          <c:y val="0.15384638498555461"/>
          <c:w val="0.39847981997579046"/>
          <c:h val="0.62293823279976235"/>
        </c:manualLayout>
      </c:layout>
      <c:radarChart>
        <c:radarStyle val="marker"/>
        <c:varyColors val="0"/>
        <c:ser>
          <c:idx val="0"/>
          <c:order val="0"/>
          <c:tx>
            <c:strRef>
              <c:f>NTT!$W$24</c:f>
              <c:strCache>
                <c:ptCount val="1"/>
                <c:pt idx="0">
                  <c:v>NTT</c:v>
                </c:pt>
              </c:strCache>
            </c:strRef>
          </c:tx>
          <c:spPr>
            <a:ln w="25400">
              <a:solidFill>
                <a:srgbClr val="263238"/>
              </a:solidFill>
              <a:prstDash val="solid"/>
            </a:ln>
            <a:effectLst/>
          </c:spPr>
          <c:marker>
            <c:symbol val="diamond"/>
            <c:size val="6"/>
            <c:spPr>
              <a:solidFill>
                <a:srgbClr val="263238"/>
              </a:solidFill>
              <a:ln w="6350">
                <a:noFill/>
              </a:ln>
            </c:spPr>
          </c:marker>
          <c:cat>
            <c:strRef>
              <c:f>NTT!$V$25:$V$34</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NTT!$W$25:$W$34</c:f>
              <c:numCache>
                <c:formatCode>0%</c:formatCode>
                <c:ptCount val="10"/>
                <c:pt idx="0">
                  <c:v>2.7346338517880962E-2</c:v>
                </c:pt>
                <c:pt idx="1">
                  <c:v>2.946700870161691E-2</c:v>
                </c:pt>
                <c:pt idx="2">
                  <c:v>2.7555598270563277E-2</c:v>
                </c:pt>
                <c:pt idx="3">
                  <c:v>2.9733731113898161E-2</c:v>
                </c:pt>
                <c:pt idx="4">
                  <c:v>2.3924236527266791E-2</c:v>
                </c:pt>
                <c:pt idx="5">
                  <c:v>2.9241885211475915E-2</c:v>
                </c:pt>
                <c:pt idx="6">
                  <c:v>1.011630770244907</c:v>
                </c:pt>
                <c:pt idx="7">
                  <c:v>2.4988641159434936E-2</c:v>
                </c:pt>
                <c:pt idx="8">
                  <c:v>23.55689072968018</c:v>
                </c:pt>
                <c:pt idx="9">
                  <c:v>0.98850294931016047</c:v>
                </c:pt>
              </c:numCache>
            </c:numRef>
          </c:val>
          <c:extLst>
            <c:ext xmlns:c16="http://schemas.microsoft.com/office/drawing/2014/chart" uri="{C3380CC4-5D6E-409C-BE32-E72D297353CC}">
              <c16:uniqueId val="{00000000-FB8D-4B72-88FB-80F06B5C8C88}"/>
            </c:ext>
          </c:extLst>
        </c:ser>
        <c:ser>
          <c:idx val="1"/>
          <c:order val="1"/>
          <c:tx>
            <c:strRef>
              <c:f>NTT!$X$24</c:f>
              <c:strCache>
                <c:ptCount val="1"/>
                <c:pt idx="0">
                  <c:v>Agg. Asia Incumbent</c:v>
                </c:pt>
              </c:strCache>
            </c:strRef>
          </c:tx>
          <c:spPr>
            <a:ln w="25400">
              <a:solidFill>
                <a:srgbClr val="799098"/>
              </a:solidFill>
              <a:prstDash val="solid"/>
            </a:ln>
            <a:effectLst/>
          </c:spPr>
          <c:marker>
            <c:symbol val="diamond"/>
            <c:size val="6"/>
            <c:spPr>
              <a:solidFill>
                <a:srgbClr val="799098"/>
              </a:solidFill>
              <a:ln w="6350">
                <a:noFill/>
              </a:ln>
            </c:spPr>
          </c:marker>
          <c:cat>
            <c:strRef>
              <c:f>NTT!$V$25:$V$34</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NTT!$X$25:$X$34</c:f>
              <c:numCache>
                <c:formatCode>0%</c:formatCode>
                <c:ptCount val="10"/>
                <c:pt idx="0">
                  <c:v>1</c:v>
                </c:pt>
                <c:pt idx="1">
                  <c:v>1</c:v>
                </c:pt>
                <c:pt idx="2">
                  <c:v>1</c:v>
                </c:pt>
                <c:pt idx="3">
                  <c:v>1</c:v>
                </c:pt>
                <c:pt idx="4">
                  <c:v>1</c:v>
                </c:pt>
                <c:pt idx="5">
                  <c:v>1</c:v>
                </c:pt>
                <c:pt idx="6">
                  <c:v>1</c:v>
                </c:pt>
                <c:pt idx="7">
                  <c:v>1</c:v>
                </c:pt>
                <c:pt idx="8">
                  <c:v>1</c:v>
                </c:pt>
                <c:pt idx="9">
                  <c:v>1</c:v>
                </c:pt>
              </c:numCache>
            </c:numRef>
          </c:val>
          <c:extLst>
            <c:ext xmlns:c16="http://schemas.microsoft.com/office/drawing/2014/chart" uri="{C3380CC4-5D6E-409C-BE32-E72D297353CC}">
              <c16:uniqueId val="{00000001-FB8D-4B72-88FB-80F06B5C8C88}"/>
            </c:ext>
          </c:extLst>
        </c:ser>
        <c:dLbls>
          <c:showLegendKey val="0"/>
          <c:showVal val="0"/>
          <c:showCatName val="0"/>
          <c:showSerName val="0"/>
          <c:showPercent val="0"/>
          <c:showBubbleSize val="0"/>
        </c:dLbls>
        <c:axId val="283023232"/>
        <c:axId val="283029504"/>
      </c:radarChart>
      <c:catAx>
        <c:axId val="283023232"/>
        <c:scaling>
          <c:orientation val="minMax"/>
        </c:scaling>
        <c:delete val="0"/>
        <c:axPos val="b"/>
        <c:numFmt formatCode="General" sourceLinked="1"/>
        <c:majorTickMark val="out"/>
        <c:minorTickMark val="none"/>
        <c:tickLblPos val="nextTo"/>
        <c:spPr>
          <a:ln>
            <a:solidFill>
              <a:srgbClr val="B3B3B3"/>
            </a:solidFill>
          </a:ln>
        </c:spPr>
        <c:txPr>
          <a:bodyPr rot="0" vert="horz"/>
          <a:lstStyle/>
          <a:p>
            <a:pPr>
              <a:defRPr/>
            </a:pPr>
            <a:endParaRPr lang="en-US"/>
          </a:p>
        </c:txPr>
        <c:crossAx val="283029504"/>
        <c:crosses val="autoZero"/>
        <c:auto val="0"/>
        <c:lblAlgn val="ctr"/>
        <c:lblOffset val="100"/>
        <c:noMultiLvlLbl val="0"/>
      </c:catAx>
      <c:valAx>
        <c:axId val="283029504"/>
        <c:scaling>
          <c:orientation val="minMax"/>
        </c:scaling>
        <c:delete val="0"/>
        <c:axPos val="l"/>
        <c:numFmt formatCode="0%" sourceLinked="1"/>
        <c:majorTickMark val="cross"/>
        <c:minorTickMark val="none"/>
        <c:tickLblPos val="nextTo"/>
        <c:spPr>
          <a:ln w="3175">
            <a:solidFill>
              <a:srgbClr val="B3B3B3"/>
            </a:solidFill>
            <a:prstDash val="solid"/>
          </a:ln>
        </c:spPr>
        <c:txPr>
          <a:bodyPr rot="0" vert="horz"/>
          <a:lstStyle/>
          <a:p>
            <a:pPr>
              <a:defRPr/>
            </a:pPr>
            <a:endParaRPr lang="en-US"/>
          </a:p>
        </c:txPr>
        <c:crossAx val="283023232"/>
        <c:crosses val="autoZero"/>
        <c:crossBetween val="between"/>
      </c:valAx>
      <c:spPr>
        <a:noFill/>
        <a:ln w="25400">
          <a:noFill/>
        </a:ln>
      </c:spPr>
    </c:plotArea>
    <c:legend>
      <c:legendPos val="b"/>
      <c:overlay val="0"/>
      <c:spPr>
        <a:noFill/>
        <a:ln w="25400">
          <a:noFill/>
        </a:ln>
      </c:spPr>
    </c:legend>
    <c:plotVisOnly val="1"/>
    <c:dispBlanksAs val="gap"/>
    <c:showDLblsOverMax val="0"/>
  </c:chart>
  <c:spPr>
    <a:noFill/>
    <a:ln w="25400">
      <a:noFill/>
    </a:ln>
    <a:effectLst/>
  </c:spPr>
  <c:txPr>
    <a:bodyPr/>
    <a:lstStyle/>
    <a:p>
      <a:pPr>
        <a:defRPr sz="1000" b="0" i="0" u="none" strike="noStrike" baseline="0">
          <a:solidFill>
            <a:srgbClr val="595959"/>
          </a:solidFill>
          <a:latin typeface="Arial Narrow"/>
          <a:ea typeface="Arial Narrow"/>
          <a:cs typeface="Arial Narrow"/>
        </a:defRPr>
      </a:pPr>
      <a:endParaRPr lang="en-US"/>
    </a:p>
  </c:txPr>
  <c:printSettings>
    <c:headerFooter alignWithMargins="0"/>
    <c:pageMargins b="1" l="0.75000000000000111" r="0.75000000000000111" t="1" header="0.5" footer="0.5"/>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0728230483687885"/>
          <c:y val="8.3851058828881678E-2"/>
          <c:w val="0.46733235906653675"/>
          <c:h val="0.7328720952749167"/>
        </c:manualLayout>
      </c:layout>
      <c:radarChart>
        <c:radarStyle val="marker"/>
        <c:varyColors val="0"/>
        <c:ser>
          <c:idx val="0"/>
          <c:order val="0"/>
          <c:tx>
            <c:strRef>
              <c:f>ATCUS!$W$24</c:f>
              <c:strCache>
                <c:ptCount val="1"/>
                <c:pt idx="0">
                  <c:v>ATCUS</c:v>
                </c:pt>
              </c:strCache>
            </c:strRef>
          </c:tx>
          <c:spPr>
            <a:ln w="25400">
              <a:solidFill>
                <a:srgbClr val="263238"/>
              </a:solidFill>
              <a:prstDash val="solid"/>
            </a:ln>
            <a:effectLst/>
          </c:spPr>
          <c:marker>
            <c:symbol val="diamond"/>
            <c:size val="6"/>
            <c:spPr>
              <a:solidFill>
                <a:srgbClr val="263238"/>
              </a:solidFill>
              <a:ln w="6350">
                <a:noFill/>
              </a:ln>
            </c:spPr>
          </c:marker>
          <c:cat>
            <c:strRef>
              <c:f>ATCUS!$V$25:$V$34</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ATCUS!$W$25:$W$34</c:f>
              <c:numCache>
                <c:formatCode>0%</c:formatCode>
                <c:ptCount val="10"/>
                <c:pt idx="0">
                  <c:v>1.3977478040861677</c:v>
                </c:pt>
                <c:pt idx="1">
                  <c:v>1.1489914531310783</c:v>
                </c:pt>
                <c:pt idx="2">
                  <c:v>1.1615986649275849</c:v>
                </c:pt>
                <c:pt idx="3">
                  <c:v>1.1051407664441055</c:v>
                </c:pt>
                <c:pt idx="4">
                  <c:v>0.92158129462585636</c:v>
                </c:pt>
                <c:pt idx="5">
                  <c:v>0.94301724685847788</c:v>
                </c:pt>
                <c:pt idx="6">
                  <c:v>0.78963848620173704</c:v>
                </c:pt>
                <c:pt idx="7">
                  <c:v>0.31404376425072783</c:v>
                </c:pt>
                <c:pt idx="8">
                  <c:v>0</c:v>
                </c:pt>
                <c:pt idx="9">
                  <c:v>1.2664023062124656</c:v>
                </c:pt>
              </c:numCache>
            </c:numRef>
          </c:val>
          <c:extLst>
            <c:ext xmlns:c16="http://schemas.microsoft.com/office/drawing/2014/chart" uri="{C3380CC4-5D6E-409C-BE32-E72D297353CC}">
              <c16:uniqueId val="{00000000-A2FA-4AC7-AA09-D6CBC863981D}"/>
            </c:ext>
          </c:extLst>
        </c:ser>
        <c:ser>
          <c:idx val="1"/>
          <c:order val="1"/>
          <c:tx>
            <c:strRef>
              <c:f>ATCUS!$X$24</c:f>
              <c:strCache>
                <c:ptCount val="1"/>
                <c:pt idx="0">
                  <c:v>Agg. US CATV</c:v>
                </c:pt>
              </c:strCache>
            </c:strRef>
          </c:tx>
          <c:spPr>
            <a:ln w="25400">
              <a:solidFill>
                <a:srgbClr val="799098"/>
              </a:solidFill>
              <a:prstDash val="solid"/>
            </a:ln>
            <a:effectLst/>
          </c:spPr>
          <c:marker>
            <c:symbol val="diamond"/>
            <c:size val="6"/>
            <c:spPr>
              <a:solidFill>
                <a:srgbClr val="799098"/>
              </a:solidFill>
              <a:ln w="6350">
                <a:noFill/>
              </a:ln>
            </c:spPr>
          </c:marker>
          <c:cat>
            <c:strRef>
              <c:f>ATCUS!$V$25:$V$34</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ATCUS!$X$25:$X$34</c:f>
              <c:numCache>
                <c:formatCode>0%</c:formatCode>
                <c:ptCount val="10"/>
                <c:pt idx="0">
                  <c:v>1</c:v>
                </c:pt>
                <c:pt idx="1">
                  <c:v>1</c:v>
                </c:pt>
                <c:pt idx="2">
                  <c:v>1</c:v>
                </c:pt>
                <c:pt idx="3">
                  <c:v>1</c:v>
                </c:pt>
                <c:pt idx="4">
                  <c:v>1</c:v>
                </c:pt>
                <c:pt idx="5">
                  <c:v>1</c:v>
                </c:pt>
                <c:pt idx="6">
                  <c:v>1</c:v>
                </c:pt>
                <c:pt idx="7">
                  <c:v>1</c:v>
                </c:pt>
                <c:pt idx="8">
                  <c:v>1</c:v>
                </c:pt>
                <c:pt idx="9">
                  <c:v>1</c:v>
                </c:pt>
              </c:numCache>
            </c:numRef>
          </c:val>
          <c:extLst>
            <c:ext xmlns:c16="http://schemas.microsoft.com/office/drawing/2014/chart" uri="{C3380CC4-5D6E-409C-BE32-E72D297353CC}">
              <c16:uniqueId val="{00000001-A2FA-4AC7-AA09-D6CBC863981D}"/>
            </c:ext>
          </c:extLst>
        </c:ser>
        <c:dLbls>
          <c:showLegendKey val="0"/>
          <c:showVal val="0"/>
          <c:showCatName val="0"/>
          <c:showSerName val="0"/>
          <c:showPercent val="0"/>
          <c:showBubbleSize val="0"/>
        </c:dLbls>
        <c:axId val="348481408"/>
        <c:axId val="348495872"/>
      </c:radarChart>
      <c:catAx>
        <c:axId val="348481408"/>
        <c:scaling>
          <c:orientation val="minMax"/>
        </c:scaling>
        <c:delete val="0"/>
        <c:axPos val="b"/>
        <c:numFmt formatCode="General" sourceLinked="1"/>
        <c:majorTickMark val="out"/>
        <c:minorTickMark val="none"/>
        <c:tickLblPos val="nextTo"/>
        <c:spPr>
          <a:ln>
            <a:solidFill>
              <a:srgbClr val="B3B3B3"/>
            </a:solidFill>
          </a:ln>
        </c:spPr>
        <c:txPr>
          <a:bodyPr rot="0" vert="horz"/>
          <a:lstStyle/>
          <a:p>
            <a:pPr>
              <a:defRPr/>
            </a:pPr>
            <a:endParaRPr lang="en-US"/>
          </a:p>
        </c:txPr>
        <c:crossAx val="348495872"/>
        <c:crosses val="autoZero"/>
        <c:auto val="0"/>
        <c:lblAlgn val="ctr"/>
        <c:lblOffset val="100"/>
        <c:noMultiLvlLbl val="0"/>
      </c:catAx>
      <c:valAx>
        <c:axId val="348495872"/>
        <c:scaling>
          <c:orientation val="minMax"/>
        </c:scaling>
        <c:delete val="0"/>
        <c:axPos val="l"/>
        <c:numFmt formatCode="0%" sourceLinked="1"/>
        <c:majorTickMark val="cross"/>
        <c:minorTickMark val="none"/>
        <c:tickLblPos val="nextTo"/>
        <c:spPr>
          <a:ln w="3175">
            <a:solidFill>
              <a:srgbClr val="B3B3B3"/>
            </a:solidFill>
            <a:prstDash val="solid"/>
          </a:ln>
        </c:spPr>
        <c:txPr>
          <a:bodyPr rot="0" vert="horz"/>
          <a:lstStyle/>
          <a:p>
            <a:pPr>
              <a:defRPr/>
            </a:pPr>
            <a:endParaRPr lang="en-US"/>
          </a:p>
        </c:txPr>
        <c:crossAx val="348481408"/>
        <c:crosses val="autoZero"/>
        <c:crossBetween val="between"/>
      </c:valAx>
      <c:spPr>
        <a:noFill/>
        <a:ln w="25400">
          <a:noFill/>
        </a:ln>
      </c:spPr>
    </c:plotArea>
    <c:legend>
      <c:legendPos val="b"/>
      <c:overlay val="0"/>
      <c:spPr>
        <a:noFill/>
        <a:ln w="25400">
          <a:noFill/>
        </a:ln>
      </c:spPr>
    </c:legend>
    <c:plotVisOnly val="1"/>
    <c:dispBlanksAs val="gap"/>
    <c:showDLblsOverMax val="0"/>
  </c:chart>
  <c:spPr>
    <a:noFill/>
    <a:ln w="25400">
      <a:noFill/>
    </a:ln>
    <a:effectLst/>
  </c:spPr>
  <c:txPr>
    <a:bodyPr/>
    <a:lstStyle/>
    <a:p>
      <a:pPr>
        <a:defRPr sz="1000" b="0" i="0" u="none" strike="noStrike" baseline="0">
          <a:solidFill>
            <a:srgbClr val="595959"/>
          </a:solidFill>
          <a:latin typeface="Arial Narrow"/>
          <a:ea typeface="Arial Narrow"/>
          <a:cs typeface="Arial Narrow"/>
        </a:defRPr>
      </a:pPr>
      <a:endParaRPr lang="en-US"/>
    </a:p>
  </c:txPr>
  <c:printSettings>
    <c:headerFooter alignWithMargins="0"/>
    <c:pageMargins b="1" l="0.75000000000000111" r="0.75000000000000111" t="1" header="0.5" footer="0.5"/>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7827315877167824"/>
          <c:y val="0.12999148269098526"/>
          <c:w val="0.51612954035559999"/>
          <c:h val="0.79751021438806469"/>
        </c:manualLayout>
      </c:layout>
      <c:radarChart>
        <c:radarStyle val="marker"/>
        <c:varyColors val="0"/>
        <c:ser>
          <c:idx val="0"/>
          <c:order val="0"/>
          <c:tx>
            <c:strRef>
              <c:f>ORA!$W$24</c:f>
              <c:strCache>
                <c:ptCount val="1"/>
                <c:pt idx="0">
                  <c:v>ORA</c:v>
                </c:pt>
              </c:strCache>
            </c:strRef>
          </c:tx>
          <c:spPr>
            <a:ln w="25400">
              <a:solidFill>
                <a:srgbClr val="263238"/>
              </a:solidFill>
              <a:prstDash val="solid"/>
            </a:ln>
            <a:effectLst/>
          </c:spPr>
          <c:marker>
            <c:symbol val="diamond"/>
            <c:size val="6"/>
            <c:spPr>
              <a:solidFill>
                <a:srgbClr val="263238"/>
              </a:solidFill>
              <a:ln w="6350">
                <a:noFill/>
              </a:ln>
            </c:spPr>
          </c:marker>
          <c:cat>
            <c:strRef>
              <c:f>ORA!$V$25:$V$34</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ORA!$W$25:$W$34</c:f>
              <c:numCache>
                <c:formatCode>0%</c:formatCode>
                <c:ptCount val="10"/>
                <c:pt idx="0">
                  <c:v>0.80685167617076436</c:v>
                </c:pt>
                <c:pt idx="1">
                  <c:v>0.89450133842671731</c:v>
                </c:pt>
                <c:pt idx="2">
                  <c:v>0.90036887549091171</c:v>
                </c:pt>
                <c:pt idx="3">
                  <c:v>0.89087750384334341</c:v>
                </c:pt>
                <c:pt idx="4">
                  <c:v>0.88291875571716638</c:v>
                </c:pt>
                <c:pt idx="5">
                  <c:v>0.70350982047807187</c:v>
                </c:pt>
                <c:pt idx="6">
                  <c:v>0.80791809957980221</c:v>
                </c:pt>
                <c:pt idx="7">
                  <c:v>0.5702552781802358</c:v>
                </c:pt>
                <c:pt idx="8">
                  <c:v>1.3508435770501999</c:v>
                </c:pt>
                <c:pt idx="9">
                  <c:v>1.2377492229968599</c:v>
                </c:pt>
              </c:numCache>
            </c:numRef>
          </c:val>
          <c:extLst>
            <c:ext xmlns:c16="http://schemas.microsoft.com/office/drawing/2014/chart" uri="{C3380CC4-5D6E-409C-BE32-E72D297353CC}">
              <c16:uniqueId val="{00000000-E2C5-418A-BFF8-74B45ECFD016}"/>
            </c:ext>
          </c:extLst>
        </c:ser>
        <c:ser>
          <c:idx val="1"/>
          <c:order val="1"/>
          <c:tx>
            <c:strRef>
              <c:f>ORA!$X$24</c:f>
              <c:strCache>
                <c:ptCount val="1"/>
                <c:pt idx="0">
                  <c:v>Agg. W Eur. Incumbent</c:v>
                </c:pt>
              </c:strCache>
            </c:strRef>
          </c:tx>
          <c:spPr>
            <a:ln w="25400">
              <a:solidFill>
                <a:srgbClr val="799098"/>
              </a:solidFill>
              <a:prstDash val="solid"/>
            </a:ln>
            <a:effectLst/>
          </c:spPr>
          <c:marker>
            <c:symbol val="diamond"/>
            <c:size val="6"/>
            <c:spPr>
              <a:solidFill>
                <a:srgbClr val="799098"/>
              </a:solidFill>
              <a:ln w="6350">
                <a:noFill/>
              </a:ln>
            </c:spPr>
          </c:marker>
          <c:cat>
            <c:strRef>
              <c:f>ORA!$V$25:$V$34</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ORA!$X$25:$X$34</c:f>
              <c:numCache>
                <c:formatCode>0%</c:formatCode>
                <c:ptCount val="10"/>
                <c:pt idx="0">
                  <c:v>1</c:v>
                </c:pt>
                <c:pt idx="1">
                  <c:v>1</c:v>
                </c:pt>
                <c:pt idx="2">
                  <c:v>1</c:v>
                </c:pt>
                <c:pt idx="3">
                  <c:v>1</c:v>
                </c:pt>
                <c:pt idx="4">
                  <c:v>1</c:v>
                </c:pt>
                <c:pt idx="5">
                  <c:v>1</c:v>
                </c:pt>
                <c:pt idx="6">
                  <c:v>1</c:v>
                </c:pt>
                <c:pt idx="7">
                  <c:v>1</c:v>
                </c:pt>
                <c:pt idx="8">
                  <c:v>1</c:v>
                </c:pt>
                <c:pt idx="9">
                  <c:v>1</c:v>
                </c:pt>
              </c:numCache>
            </c:numRef>
          </c:val>
          <c:extLst>
            <c:ext xmlns:c16="http://schemas.microsoft.com/office/drawing/2014/chart" uri="{C3380CC4-5D6E-409C-BE32-E72D297353CC}">
              <c16:uniqueId val="{00000001-E2C5-418A-BFF8-74B45ECFD016}"/>
            </c:ext>
          </c:extLst>
        </c:ser>
        <c:dLbls>
          <c:showLegendKey val="0"/>
          <c:showVal val="0"/>
          <c:showCatName val="0"/>
          <c:showSerName val="0"/>
          <c:showPercent val="0"/>
          <c:showBubbleSize val="0"/>
        </c:dLbls>
        <c:axId val="423246464"/>
        <c:axId val="423248640"/>
      </c:radarChart>
      <c:catAx>
        <c:axId val="423246464"/>
        <c:scaling>
          <c:orientation val="minMax"/>
        </c:scaling>
        <c:delete val="0"/>
        <c:axPos val="b"/>
        <c:numFmt formatCode="General" sourceLinked="1"/>
        <c:majorTickMark val="out"/>
        <c:minorTickMark val="none"/>
        <c:tickLblPos val="nextTo"/>
        <c:spPr>
          <a:ln>
            <a:solidFill>
              <a:srgbClr val="B3B3B3"/>
            </a:solidFill>
          </a:ln>
        </c:spPr>
        <c:txPr>
          <a:bodyPr rot="0" vert="horz"/>
          <a:lstStyle/>
          <a:p>
            <a:pPr>
              <a:defRPr/>
            </a:pPr>
            <a:endParaRPr lang="en-US"/>
          </a:p>
        </c:txPr>
        <c:crossAx val="423248640"/>
        <c:crosses val="autoZero"/>
        <c:auto val="0"/>
        <c:lblAlgn val="ctr"/>
        <c:lblOffset val="100"/>
        <c:noMultiLvlLbl val="0"/>
      </c:catAx>
      <c:valAx>
        <c:axId val="423248640"/>
        <c:scaling>
          <c:orientation val="minMax"/>
        </c:scaling>
        <c:delete val="0"/>
        <c:axPos val="l"/>
        <c:numFmt formatCode="0%" sourceLinked="1"/>
        <c:majorTickMark val="cross"/>
        <c:minorTickMark val="none"/>
        <c:tickLblPos val="nextTo"/>
        <c:spPr>
          <a:ln w="3175">
            <a:solidFill>
              <a:srgbClr val="B3B3B3"/>
            </a:solidFill>
            <a:prstDash val="solid"/>
          </a:ln>
        </c:spPr>
        <c:txPr>
          <a:bodyPr rot="0" vert="horz"/>
          <a:lstStyle/>
          <a:p>
            <a:pPr>
              <a:defRPr/>
            </a:pPr>
            <a:endParaRPr lang="en-US"/>
          </a:p>
        </c:txPr>
        <c:crossAx val="423246464"/>
        <c:crosses val="autoZero"/>
        <c:crossBetween val="between"/>
      </c:valAx>
      <c:spPr>
        <a:noFill/>
        <a:ln w="25400">
          <a:noFill/>
        </a:ln>
      </c:spPr>
    </c:plotArea>
    <c:legend>
      <c:legendPos val="b"/>
      <c:overlay val="0"/>
      <c:spPr>
        <a:noFill/>
        <a:ln w="25400">
          <a:noFill/>
        </a:ln>
      </c:spPr>
    </c:legend>
    <c:plotVisOnly val="1"/>
    <c:dispBlanksAs val="gap"/>
    <c:showDLblsOverMax val="0"/>
  </c:chart>
  <c:spPr>
    <a:noFill/>
    <a:ln w="25400">
      <a:noFill/>
    </a:ln>
    <a:effectLst/>
  </c:spPr>
  <c:txPr>
    <a:bodyPr/>
    <a:lstStyle/>
    <a:p>
      <a:pPr>
        <a:defRPr sz="1000" b="0" i="0" u="none" strike="noStrike" baseline="0">
          <a:solidFill>
            <a:srgbClr val="595959"/>
          </a:solidFill>
          <a:latin typeface="Arial Narrow"/>
          <a:ea typeface="Arial Narrow"/>
          <a:cs typeface="Arial Narrow"/>
        </a:defRPr>
      </a:pPr>
      <a:endParaRPr lang="en-US"/>
    </a:p>
  </c:txPr>
  <c:printSettings>
    <c:headerFooter alignWithMargins="0"/>
    <c:pageMargins b="1" l="0.75000000000000111" r="0.75000000000000111" t="1" header="0.5" footer="0.5"/>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0443578356912288"/>
          <c:y val="9.8461686390754782E-2"/>
          <c:w val="0.42137138255593831"/>
          <c:h val="0.64307788923961762"/>
        </c:manualLayout>
      </c:layout>
      <c:radarChart>
        <c:radarStyle val="marker"/>
        <c:varyColors val="0"/>
        <c:ser>
          <c:idx val="0"/>
          <c:order val="0"/>
          <c:tx>
            <c:strRef>
              <c:f>OIBR!$W$24</c:f>
              <c:strCache>
                <c:ptCount val="1"/>
                <c:pt idx="0">
                  <c:v>Oi</c:v>
                </c:pt>
              </c:strCache>
            </c:strRef>
          </c:tx>
          <c:spPr>
            <a:ln w="25400">
              <a:solidFill>
                <a:srgbClr val="263238"/>
              </a:solidFill>
              <a:prstDash val="solid"/>
            </a:ln>
            <a:effectLst/>
          </c:spPr>
          <c:marker>
            <c:symbol val="diamond"/>
            <c:size val="6"/>
            <c:spPr>
              <a:solidFill>
                <a:srgbClr val="263238"/>
              </a:solidFill>
              <a:ln w="6350">
                <a:noFill/>
              </a:ln>
            </c:spPr>
          </c:marker>
          <c:cat>
            <c:strRef>
              <c:f>OIBR!$V$25:$V$34</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OIBR!$W$25:$W$34</c:f>
              <c:numCache>
                <c:formatCode>0%</c:formatCode>
                <c:ptCount val="10"/>
                <c:pt idx="0">
                  <c:v>0.71509426190819037</c:v>
                </c:pt>
                <c:pt idx="1">
                  <c:v>1.1597997612727491</c:v>
                </c:pt>
                <c:pt idx="2">
                  <c:v>-0.94178854426943326</c:v>
                </c:pt>
                <c:pt idx="3">
                  <c:v>-0.8781764829564378</c:v>
                </c:pt>
                <c:pt idx="4">
                  <c:v>0.86484090558023252</c:v>
                </c:pt>
                <c:pt idx="5">
                  <c:v>0</c:v>
                </c:pt>
                <c:pt idx="6">
                  <c:v>-2.1939940627298895E-2</c:v>
                </c:pt>
                <c:pt idx="7">
                  <c:v>-6.5348209325975751E-2</c:v>
                </c:pt>
                <c:pt idx="8">
                  <c:v>0</c:v>
                </c:pt>
                <c:pt idx="9">
                  <c:v>-45.578974756009337</c:v>
                </c:pt>
              </c:numCache>
            </c:numRef>
          </c:val>
          <c:extLst>
            <c:ext xmlns:c16="http://schemas.microsoft.com/office/drawing/2014/chart" uri="{C3380CC4-5D6E-409C-BE32-E72D297353CC}">
              <c16:uniqueId val="{00000000-3A8F-493E-BA3D-BF2BD9A78E85}"/>
            </c:ext>
          </c:extLst>
        </c:ser>
        <c:ser>
          <c:idx val="1"/>
          <c:order val="1"/>
          <c:tx>
            <c:strRef>
              <c:f>OIBR!$X$24</c:f>
              <c:strCache>
                <c:ptCount val="1"/>
                <c:pt idx="0">
                  <c:v>Agg. LatAm incumbent</c:v>
                </c:pt>
              </c:strCache>
            </c:strRef>
          </c:tx>
          <c:spPr>
            <a:ln w="25400">
              <a:solidFill>
                <a:srgbClr val="799098"/>
              </a:solidFill>
              <a:prstDash val="solid"/>
            </a:ln>
            <a:effectLst/>
          </c:spPr>
          <c:marker>
            <c:symbol val="diamond"/>
            <c:size val="6"/>
            <c:spPr>
              <a:solidFill>
                <a:srgbClr val="799098"/>
              </a:solidFill>
              <a:ln w="6350">
                <a:noFill/>
              </a:ln>
            </c:spPr>
          </c:marker>
          <c:cat>
            <c:strRef>
              <c:f>OIBR!$V$25:$V$34</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OIBR!$X$25:$X$34</c:f>
              <c:numCache>
                <c:formatCode>0%</c:formatCode>
                <c:ptCount val="10"/>
                <c:pt idx="0">
                  <c:v>1</c:v>
                </c:pt>
                <c:pt idx="1">
                  <c:v>1</c:v>
                </c:pt>
                <c:pt idx="2">
                  <c:v>1</c:v>
                </c:pt>
                <c:pt idx="3">
                  <c:v>1</c:v>
                </c:pt>
                <c:pt idx="4">
                  <c:v>1</c:v>
                </c:pt>
                <c:pt idx="5">
                  <c:v>1</c:v>
                </c:pt>
                <c:pt idx="6">
                  <c:v>1</c:v>
                </c:pt>
                <c:pt idx="7">
                  <c:v>1</c:v>
                </c:pt>
                <c:pt idx="8">
                  <c:v>1</c:v>
                </c:pt>
                <c:pt idx="9">
                  <c:v>1</c:v>
                </c:pt>
              </c:numCache>
            </c:numRef>
          </c:val>
          <c:extLst>
            <c:ext xmlns:c16="http://schemas.microsoft.com/office/drawing/2014/chart" uri="{C3380CC4-5D6E-409C-BE32-E72D297353CC}">
              <c16:uniqueId val="{00000001-3A8F-493E-BA3D-BF2BD9A78E85}"/>
            </c:ext>
          </c:extLst>
        </c:ser>
        <c:dLbls>
          <c:showLegendKey val="0"/>
          <c:showVal val="0"/>
          <c:showCatName val="0"/>
          <c:showSerName val="0"/>
          <c:showPercent val="0"/>
          <c:showBubbleSize val="0"/>
        </c:dLbls>
        <c:axId val="288716672"/>
        <c:axId val="288727040"/>
      </c:radarChart>
      <c:catAx>
        <c:axId val="288716672"/>
        <c:scaling>
          <c:orientation val="minMax"/>
        </c:scaling>
        <c:delete val="0"/>
        <c:axPos val="b"/>
        <c:numFmt formatCode="General" sourceLinked="1"/>
        <c:majorTickMark val="out"/>
        <c:minorTickMark val="none"/>
        <c:tickLblPos val="nextTo"/>
        <c:spPr>
          <a:ln>
            <a:solidFill>
              <a:srgbClr val="B3B3B3"/>
            </a:solidFill>
          </a:ln>
        </c:spPr>
        <c:txPr>
          <a:bodyPr rot="0" vert="horz"/>
          <a:lstStyle/>
          <a:p>
            <a:pPr>
              <a:defRPr/>
            </a:pPr>
            <a:endParaRPr lang="en-US"/>
          </a:p>
        </c:txPr>
        <c:crossAx val="288727040"/>
        <c:crosses val="autoZero"/>
        <c:auto val="0"/>
        <c:lblAlgn val="ctr"/>
        <c:lblOffset val="100"/>
        <c:noMultiLvlLbl val="0"/>
      </c:catAx>
      <c:valAx>
        <c:axId val="288727040"/>
        <c:scaling>
          <c:orientation val="minMax"/>
        </c:scaling>
        <c:delete val="0"/>
        <c:axPos val="l"/>
        <c:numFmt formatCode="0%" sourceLinked="1"/>
        <c:majorTickMark val="cross"/>
        <c:minorTickMark val="none"/>
        <c:tickLblPos val="nextTo"/>
        <c:spPr>
          <a:ln w="3175">
            <a:solidFill>
              <a:srgbClr val="B3B3B3"/>
            </a:solidFill>
            <a:prstDash val="solid"/>
          </a:ln>
        </c:spPr>
        <c:txPr>
          <a:bodyPr rot="0" vert="horz"/>
          <a:lstStyle/>
          <a:p>
            <a:pPr>
              <a:defRPr/>
            </a:pPr>
            <a:endParaRPr lang="en-US"/>
          </a:p>
        </c:txPr>
        <c:crossAx val="288716672"/>
        <c:crosses val="autoZero"/>
        <c:crossBetween val="between"/>
      </c:valAx>
      <c:spPr>
        <a:noFill/>
        <a:ln w="25400">
          <a:noFill/>
        </a:ln>
      </c:spPr>
    </c:plotArea>
    <c:legend>
      <c:legendPos val="b"/>
      <c:overlay val="0"/>
      <c:spPr>
        <a:noFill/>
        <a:ln w="25400">
          <a:noFill/>
        </a:ln>
      </c:spPr>
    </c:legend>
    <c:plotVisOnly val="1"/>
    <c:dispBlanksAs val="gap"/>
    <c:showDLblsOverMax val="0"/>
  </c:chart>
  <c:spPr>
    <a:noFill/>
    <a:ln w="25400">
      <a:noFill/>
    </a:ln>
    <a:effectLst/>
  </c:spPr>
  <c:txPr>
    <a:bodyPr/>
    <a:lstStyle/>
    <a:p>
      <a:pPr>
        <a:defRPr sz="1000" b="0" i="0" u="none" strike="noStrike" baseline="0">
          <a:solidFill>
            <a:srgbClr val="595959"/>
          </a:solidFill>
          <a:latin typeface="Arial Narrow"/>
          <a:ea typeface="Arial Narrow"/>
          <a:cs typeface="Arial Narrow"/>
        </a:defRPr>
      </a:pPr>
      <a:endParaRPr lang="en-US"/>
    </a:p>
  </c:txPr>
  <c:printSettings>
    <c:headerFooter alignWithMargins="0"/>
    <c:pageMargins b="1" l="0.75000000000000111" r="0.75000000000000111" t="1" header="0.5" footer="0.5"/>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8441587363363402"/>
          <c:y val="7.1651308323927659E-2"/>
          <c:w val="0.50590745561051864"/>
          <c:h val="0.75732523214841441"/>
        </c:manualLayout>
      </c:layout>
      <c:radarChart>
        <c:radarStyle val="marker"/>
        <c:varyColors val="0"/>
        <c:ser>
          <c:idx val="0"/>
          <c:order val="0"/>
          <c:tx>
            <c:strRef>
              <c:f>OTE!$W$24</c:f>
              <c:strCache>
                <c:ptCount val="1"/>
                <c:pt idx="0">
                  <c:v>OTE</c:v>
                </c:pt>
              </c:strCache>
            </c:strRef>
          </c:tx>
          <c:spPr>
            <a:ln w="25400">
              <a:solidFill>
                <a:srgbClr val="263238"/>
              </a:solidFill>
              <a:prstDash val="solid"/>
            </a:ln>
            <a:effectLst/>
          </c:spPr>
          <c:marker>
            <c:symbol val="diamond"/>
            <c:size val="6"/>
            <c:spPr>
              <a:solidFill>
                <a:srgbClr val="263238"/>
              </a:solidFill>
              <a:ln w="6350">
                <a:noFill/>
              </a:ln>
            </c:spPr>
          </c:marker>
          <c:cat>
            <c:strRef>
              <c:f>OTE!$V$25:$V$34</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OTE!$W$25:$W$34</c:f>
              <c:numCache>
                <c:formatCode>0%</c:formatCode>
                <c:ptCount val="10"/>
                <c:pt idx="0">
                  <c:v>0.95308722978834148</c:v>
                </c:pt>
                <c:pt idx="1">
                  <c:v>0.80849088201561337</c:v>
                </c:pt>
                <c:pt idx="2">
                  <c:v>0.73301255985521974</c:v>
                </c:pt>
                <c:pt idx="3">
                  <c:v>0.71269238327222328</c:v>
                </c:pt>
                <c:pt idx="4">
                  <c:v>1.9058642375453689</c:v>
                </c:pt>
                <c:pt idx="5">
                  <c:v>1.1219701505685777</c:v>
                </c:pt>
                <c:pt idx="6">
                  <c:v>0.76705648057266462</c:v>
                </c:pt>
                <c:pt idx="7">
                  <c:v>0.93806418129928426</c:v>
                </c:pt>
                <c:pt idx="8">
                  <c:v>0.88706418259309372</c:v>
                </c:pt>
                <c:pt idx="9">
                  <c:v>1.3036849636592935</c:v>
                </c:pt>
              </c:numCache>
            </c:numRef>
          </c:val>
          <c:extLst>
            <c:ext xmlns:c16="http://schemas.microsoft.com/office/drawing/2014/chart" uri="{C3380CC4-5D6E-409C-BE32-E72D297353CC}">
              <c16:uniqueId val="{00000000-1C2B-4AA6-ACE7-8E10B7C72250}"/>
            </c:ext>
          </c:extLst>
        </c:ser>
        <c:ser>
          <c:idx val="1"/>
          <c:order val="1"/>
          <c:tx>
            <c:strRef>
              <c:f>OTE!$X$24</c:f>
              <c:strCache>
                <c:ptCount val="1"/>
                <c:pt idx="0">
                  <c:v>Agg. W. Eur. Incumbent</c:v>
                </c:pt>
              </c:strCache>
            </c:strRef>
          </c:tx>
          <c:spPr>
            <a:ln w="25400">
              <a:solidFill>
                <a:srgbClr val="799098"/>
              </a:solidFill>
              <a:prstDash val="solid"/>
            </a:ln>
            <a:effectLst/>
          </c:spPr>
          <c:marker>
            <c:symbol val="diamond"/>
            <c:size val="6"/>
            <c:spPr>
              <a:solidFill>
                <a:srgbClr val="799098"/>
              </a:solidFill>
              <a:ln w="6350">
                <a:noFill/>
              </a:ln>
            </c:spPr>
          </c:marker>
          <c:cat>
            <c:strRef>
              <c:f>OTE!$V$25:$V$34</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OTE!$X$25:$X$34</c:f>
              <c:numCache>
                <c:formatCode>0%</c:formatCode>
                <c:ptCount val="10"/>
                <c:pt idx="0">
                  <c:v>1</c:v>
                </c:pt>
                <c:pt idx="1">
                  <c:v>1</c:v>
                </c:pt>
                <c:pt idx="2">
                  <c:v>1</c:v>
                </c:pt>
                <c:pt idx="3">
                  <c:v>1</c:v>
                </c:pt>
                <c:pt idx="4">
                  <c:v>1</c:v>
                </c:pt>
                <c:pt idx="5">
                  <c:v>1</c:v>
                </c:pt>
                <c:pt idx="6">
                  <c:v>1</c:v>
                </c:pt>
                <c:pt idx="7">
                  <c:v>1</c:v>
                </c:pt>
                <c:pt idx="8">
                  <c:v>1</c:v>
                </c:pt>
                <c:pt idx="9">
                  <c:v>1</c:v>
                </c:pt>
              </c:numCache>
            </c:numRef>
          </c:val>
          <c:extLst>
            <c:ext xmlns:c16="http://schemas.microsoft.com/office/drawing/2014/chart" uri="{C3380CC4-5D6E-409C-BE32-E72D297353CC}">
              <c16:uniqueId val="{00000001-1C2B-4AA6-ACE7-8E10B7C72250}"/>
            </c:ext>
          </c:extLst>
        </c:ser>
        <c:dLbls>
          <c:showLegendKey val="0"/>
          <c:showVal val="0"/>
          <c:showCatName val="0"/>
          <c:showSerName val="0"/>
          <c:showPercent val="0"/>
          <c:showBubbleSize val="0"/>
        </c:dLbls>
        <c:axId val="289036160"/>
        <c:axId val="289042432"/>
      </c:radarChart>
      <c:catAx>
        <c:axId val="289036160"/>
        <c:scaling>
          <c:orientation val="minMax"/>
        </c:scaling>
        <c:delete val="0"/>
        <c:axPos val="b"/>
        <c:numFmt formatCode="General" sourceLinked="1"/>
        <c:majorTickMark val="out"/>
        <c:minorTickMark val="none"/>
        <c:tickLblPos val="nextTo"/>
        <c:spPr>
          <a:ln>
            <a:solidFill>
              <a:srgbClr val="B3B3B3"/>
            </a:solidFill>
          </a:ln>
        </c:spPr>
        <c:txPr>
          <a:bodyPr rot="0" vert="horz"/>
          <a:lstStyle/>
          <a:p>
            <a:pPr>
              <a:defRPr/>
            </a:pPr>
            <a:endParaRPr lang="en-US"/>
          </a:p>
        </c:txPr>
        <c:crossAx val="289042432"/>
        <c:crosses val="autoZero"/>
        <c:auto val="0"/>
        <c:lblAlgn val="ctr"/>
        <c:lblOffset val="100"/>
        <c:noMultiLvlLbl val="0"/>
      </c:catAx>
      <c:valAx>
        <c:axId val="289042432"/>
        <c:scaling>
          <c:orientation val="minMax"/>
          <c:max val="1.5"/>
        </c:scaling>
        <c:delete val="0"/>
        <c:axPos val="l"/>
        <c:numFmt formatCode="0%" sourceLinked="1"/>
        <c:majorTickMark val="cross"/>
        <c:minorTickMark val="none"/>
        <c:tickLblPos val="nextTo"/>
        <c:spPr>
          <a:ln w="3175">
            <a:solidFill>
              <a:srgbClr val="B3B3B3"/>
            </a:solidFill>
            <a:prstDash val="solid"/>
          </a:ln>
        </c:spPr>
        <c:txPr>
          <a:bodyPr rot="0" vert="horz"/>
          <a:lstStyle/>
          <a:p>
            <a:pPr>
              <a:defRPr/>
            </a:pPr>
            <a:endParaRPr lang="en-US"/>
          </a:p>
        </c:txPr>
        <c:crossAx val="289036160"/>
        <c:crosses val="autoZero"/>
        <c:crossBetween val="between"/>
      </c:valAx>
      <c:spPr>
        <a:noFill/>
        <a:ln w="25400">
          <a:noFill/>
        </a:ln>
      </c:spPr>
    </c:plotArea>
    <c:legend>
      <c:legendPos val="b"/>
      <c:overlay val="0"/>
      <c:spPr>
        <a:noFill/>
        <a:ln w="25400">
          <a:noFill/>
        </a:ln>
      </c:spPr>
    </c:legend>
    <c:plotVisOnly val="1"/>
    <c:dispBlanksAs val="gap"/>
    <c:showDLblsOverMax val="0"/>
  </c:chart>
  <c:spPr>
    <a:noFill/>
    <a:ln w="25400">
      <a:noFill/>
    </a:ln>
    <a:effectLst/>
  </c:spPr>
  <c:txPr>
    <a:bodyPr/>
    <a:lstStyle/>
    <a:p>
      <a:pPr>
        <a:defRPr sz="1000" b="0" i="0" u="none" strike="noStrike" baseline="0">
          <a:solidFill>
            <a:srgbClr val="595959"/>
          </a:solidFill>
          <a:latin typeface="Arial Narrow"/>
          <a:ea typeface="Arial Narrow"/>
          <a:cs typeface="Arial Narrow"/>
        </a:defRPr>
      </a:pPr>
      <a:endParaRPr lang="en-US"/>
    </a:p>
  </c:txPr>
  <c:printSettings>
    <c:headerFooter alignWithMargins="0"/>
    <c:pageMargins b="1" l="0.75000000000000111" r="0.75000000000000111" t="1" header="0.5" footer="0.5"/>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5806477017779988"/>
          <c:y val="0.10869581700040198"/>
          <c:w val="0.50806501628754364"/>
          <c:h val="0.78260988240289509"/>
        </c:manualLayout>
      </c:layout>
      <c:radarChart>
        <c:radarStyle val="marker"/>
        <c:varyColors val="0"/>
        <c:ser>
          <c:idx val="0"/>
          <c:order val="0"/>
          <c:tx>
            <c:strRef>
              <c:f>PROX!$W$24</c:f>
              <c:strCache>
                <c:ptCount val="1"/>
                <c:pt idx="0">
                  <c:v>Belgacom</c:v>
                </c:pt>
              </c:strCache>
            </c:strRef>
          </c:tx>
          <c:spPr>
            <a:ln w="25400">
              <a:solidFill>
                <a:srgbClr val="263238"/>
              </a:solidFill>
              <a:prstDash val="solid"/>
            </a:ln>
            <a:effectLst/>
          </c:spPr>
          <c:marker>
            <c:symbol val="diamond"/>
            <c:size val="6"/>
            <c:spPr>
              <a:solidFill>
                <a:srgbClr val="263238"/>
              </a:solidFill>
              <a:ln w="6350">
                <a:noFill/>
              </a:ln>
            </c:spPr>
          </c:marker>
          <c:cat>
            <c:strRef>
              <c:f>PROX!$V$25:$V$34</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PROX!$W$25:$W$34</c:f>
              <c:numCache>
                <c:formatCode>0%</c:formatCode>
                <c:ptCount val="10"/>
                <c:pt idx="0">
                  <c:v>0.4445213093038094</c:v>
                </c:pt>
                <c:pt idx="1">
                  <c:v>0.51914000120134307</c:v>
                </c:pt>
                <c:pt idx="2">
                  <c:v>0.96897685838244607</c:v>
                </c:pt>
                <c:pt idx="3">
                  <c:v>0.9538671393871585</c:v>
                </c:pt>
                <c:pt idx="4">
                  <c:v>0.59789713528415456</c:v>
                </c:pt>
                <c:pt idx="5">
                  <c:v>0.39641364710224714</c:v>
                </c:pt>
                <c:pt idx="6">
                  <c:v>1.1993303441455212</c:v>
                </c:pt>
                <c:pt idx="7">
                  <c:v>0.36517721173520884</c:v>
                </c:pt>
                <c:pt idx="8">
                  <c:v>3.2478052218492981</c:v>
                </c:pt>
                <c:pt idx="9">
                  <c:v>0.8337986317793562</c:v>
                </c:pt>
              </c:numCache>
            </c:numRef>
          </c:val>
          <c:extLst>
            <c:ext xmlns:c16="http://schemas.microsoft.com/office/drawing/2014/chart" uri="{C3380CC4-5D6E-409C-BE32-E72D297353CC}">
              <c16:uniqueId val="{00000000-5022-4714-B15F-E667DA22D5A5}"/>
            </c:ext>
          </c:extLst>
        </c:ser>
        <c:ser>
          <c:idx val="1"/>
          <c:order val="1"/>
          <c:tx>
            <c:strRef>
              <c:f>PROX!$X$24</c:f>
              <c:strCache>
                <c:ptCount val="1"/>
                <c:pt idx="0">
                  <c:v>Agg. W. Eur Incumbent</c:v>
                </c:pt>
              </c:strCache>
            </c:strRef>
          </c:tx>
          <c:spPr>
            <a:ln w="25400">
              <a:solidFill>
                <a:srgbClr val="799098"/>
              </a:solidFill>
              <a:prstDash val="solid"/>
            </a:ln>
            <a:effectLst/>
          </c:spPr>
          <c:marker>
            <c:symbol val="diamond"/>
            <c:size val="6"/>
            <c:spPr>
              <a:solidFill>
                <a:srgbClr val="799098"/>
              </a:solidFill>
              <a:ln w="6350">
                <a:noFill/>
              </a:ln>
            </c:spPr>
          </c:marker>
          <c:cat>
            <c:strRef>
              <c:f>PROX!$V$25:$V$34</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PROX!$X$25:$X$34</c:f>
              <c:numCache>
                <c:formatCode>0%</c:formatCode>
                <c:ptCount val="10"/>
                <c:pt idx="0">
                  <c:v>1</c:v>
                </c:pt>
                <c:pt idx="1">
                  <c:v>1</c:v>
                </c:pt>
                <c:pt idx="2">
                  <c:v>1</c:v>
                </c:pt>
                <c:pt idx="3">
                  <c:v>1</c:v>
                </c:pt>
                <c:pt idx="4">
                  <c:v>1</c:v>
                </c:pt>
                <c:pt idx="5">
                  <c:v>1</c:v>
                </c:pt>
                <c:pt idx="6">
                  <c:v>1</c:v>
                </c:pt>
                <c:pt idx="7">
                  <c:v>1</c:v>
                </c:pt>
                <c:pt idx="8">
                  <c:v>1</c:v>
                </c:pt>
                <c:pt idx="9">
                  <c:v>1</c:v>
                </c:pt>
              </c:numCache>
            </c:numRef>
          </c:val>
          <c:extLst>
            <c:ext xmlns:c16="http://schemas.microsoft.com/office/drawing/2014/chart" uri="{C3380CC4-5D6E-409C-BE32-E72D297353CC}">
              <c16:uniqueId val="{00000001-5022-4714-B15F-E667DA22D5A5}"/>
            </c:ext>
          </c:extLst>
        </c:ser>
        <c:dLbls>
          <c:showLegendKey val="0"/>
          <c:showVal val="0"/>
          <c:showCatName val="0"/>
          <c:showSerName val="0"/>
          <c:showPercent val="0"/>
          <c:showBubbleSize val="0"/>
        </c:dLbls>
        <c:axId val="290130560"/>
        <c:axId val="290129792"/>
      </c:radarChart>
      <c:catAx>
        <c:axId val="290130560"/>
        <c:scaling>
          <c:orientation val="minMax"/>
        </c:scaling>
        <c:delete val="0"/>
        <c:axPos val="b"/>
        <c:numFmt formatCode="General" sourceLinked="1"/>
        <c:majorTickMark val="out"/>
        <c:minorTickMark val="none"/>
        <c:tickLblPos val="nextTo"/>
        <c:spPr>
          <a:ln>
            <a:solidFill>
              <a:srgbClr val="B3B3B3"/>
            </a:solidFill>
          </a:ln>
        </c:spPr>
        <c:txPr>
          <a:bodyPr rot="0" vert="horz"/>
          <a:lstStyle/>
          <a:p>
            <a:pPr>
              <a:defRPr/>
            </a:pPr>
            <a:endParaRPr lang="en-US"/>
          </a:p>
        </c:txPr>
        <c:crossAx val="290129792"/>
        <c:crosses val="autoZero"/>
        <c:auto val="0"/>
        <c:lblAlgn val="ctr"/>
        <c:lblOffset val="100"/>
        <c:noMultiLvlLbl val="0"/>
      </c:catAx>
      <c:valAx>
        <c:axId val="290129792"/>
        <c:scaling>
          <c:orientation val="minMax"/>
        </c:scaling>
        <c:delete val="0"/>
        <c:axPos val="l"/>
        <c:numFmt formatCode="0%" sourceLinked="1"/>
        <c:majorTickMark val="cross"/>
        <c:minorTickMark val="none"/>
        <c:tickLblPos val="nextTo"/>
        <c:spPr>
          <a:ln w="3175">
            <a:solidFill>
              <a:srgbClr val="B3B3B3"/>
            </a:solidFill>
            <a:prstDash val="solid"/>
          </a:ln>
        </c:spPr>
        <c:txPr>
          <a:bodyPr rot="0" vert="horz"/>
          <a:lstStyle/>
          <a:p>
            <a:pPr>
              <a:defRPr/>
            </a:pPr>
            <a:endParaRPr lang="en-US"/>
          </a:p>
        </c:txPr>
        <c:crossAx val="290130560"/>
        <c:crosses val="autoZero"/>
        <c:crossBetween val="between"/>
      </c:valAx>
      <c:spPr>
        <a:noFill/>
        <a:ln w="25400">
          <a:noFill/>
        </a:ln>
      </c:spPr>
    </c:plotArea>
    <c:legend>
      <c:legendPos val="b"/>
      <c:overlay val="0"/>
      <c:spPr>
        <a:noFill/>
        <a:ln w="25400">
          <a:noFill/>
        </a:ln>
      </c:spPr>
    </c:legend>
    <c:plotVisOnly val="1"/>
    <c:dispBlanksAs val="gap"/>
    <c:showDLblsOverMax val="0"/>
  </c:chart>
  <c:spPr>
    <a:noFill/>
    <a:ln w="25400">
      <a:noFill/>
    </a:ln>
    <a:effectLst/>
  </c:spPr>
  <c:txPr>
    <a:bodyPr/>
    <a:lstStyle/>
    <a:p>
      <a:pPr>
        <a:defRPr sz="1000" b="0" i="0" u="none" strike="noStrike" baseline="0">
          <a:solidFill>
            <a:srgbClr val="595959"/>
          </a:solidFill>
          <a:latin typeface="Arial Narrow"/>
          <a:ea typeface="Arial Narrow"/>
          <a:cs typeface="Arial Narrow"/>
        </a:defRPr>
      </a:pPr>
      <a:endParaRPr lang="en-US"/>
    </a:p>
  </c:txPr>
  <c:printSettings>
    <c:headerFooter alignWithMargins="0"/>
    <c:pageMargins b="1" l="0.75000000000000111" r="0.75000000000000111" t="1" header="0.5" footer="0.5"/>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0737526043518498"/>
          <c:y val="0.1"/>
          <c:w val="0.47488346683142685"/>
          <c:h val="0.71343143419900434"/>
        </c:manualLayout>
      </c:layout>
      <c:radarChart>
        <c:radarStyle val="marker"/>
        <c:varyColors val="0"/>
        <c:ser>
          <c:idx val="0"/>
          <c:order val="0"/>
          <c:tx>
            <c:strRef>
              <c:f>PTT!$W$24</c:f>
              <c:strCache>
                <c:ptCount val="1"/>
                <c:pt idx="0">
                  <c:v>PTT</c:v>
                </c:pt>
              </c:strCache>
            </c:strRef>
          </c:tx>
          <c:spPr>
            <a:ln w="25400">
              <a:solidFill>
                <a:srgbClr val="263238"/>
              </a:solidFill>
              <a:prstDash val="solid"/>
            </a:ln>
            <a:effectLst/>
          </c:spPr>
          <c:marker>
            <c:symbol val="diamond"/>
            <c:size val="6"/>
            <c:spPr>
              <a:solidFill>
                <a:srgbClr val="263238"/>
              </a:solidFill>
              <a:ln w="6350">
                <a:noFill/>
              </a:ln>
            </c:spPr>
          </c:marker>
          <c:cat>
            <c:strRef>
              <c:f>PTT!$V$25:$V$34</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PTT!$W$25:$W$34</c:f>
              <c:numCache>
                <c:formatCode>0%</c:formatCode>
                <c:ptCount val="10"/>
                <c:pt idx="0">
                  <c:v>5.4423301496227726E-2</c:v>
                </c:pt>
                <c:pt idx="1">
                  <c:v>2.8827676105667752E-2</c:v>
                </c:pt>
                <c:pt idx="2">
                  <c:v>1.9934402002900552E-2</c:v>
                </c:pt>
                <c:pt idx="3">
                  <c:v>1.8798552170270641E-2</c:v>
                </c:pt>
                <c:pt idx="4">
                  <c:v>4.4304014174476547E-2</c:v>
                </c:pt>
                <c:pt idx="5">
                  <c:v>3.9863848569123866E-2</c:v>
                </c:pt>
                <c:pt idx="6">
                  <c:v>0.7215981081931071</c:v>
                </c:pt>
                <c:pt idx="7">
                  <c:v>2.8925557285535409E-2</c:v>
                </c:pt>
                <c:pt idx="8">
                  <c:v>42.795018158918992</c:v>
                </c:pt>
                <c:pt idx="9">
                  <c:v>1.3858129458016673</c:v>
                </c:pt>
              </c:numCache>
            </c:numRef>
          </c:val>
          <c:extLst>
            <c:ext xmlns:c16="http://schemas.microsoft.com/office/drawing/2014/chart" uri="{C3380CC4-5D6E-409C-BE32-E72D297353CC}">
              <c16:uniqueId val="{00000000-647C-4C63-8EB3-B82ABD193E60}"/>
            </c:ext>
          </c:extLst>
        </c:ser>
        <c:ser>
          <c:idx val="1"/>
          <c:order val="1"/>
          <c:tx>
            <c:strRef>
              <c:f>PTT!$X$24</c:f>
              <c:strCache>
                <c:ptCount val="1"/>
                <c:pt idx="0">
                  <c:v>Agg. Asia Incumbent</c:v>
                </c:pt>
              </c:strCache>
            </c:strRef>
          </c:tx>
          <c:spPr>
            <a:ln w="25400">
              <a:solidFill>
                <a:srgbClr val="799098"/>
              </a:solidFill>
              <a:prstDash val="solid"/>
            </a:ln>
            <a:effectLst/>
          </c:spPr>
          <c:marker>
            <c:symbol val="diamond"/>
            <c:size val="6"/>
            <c:spPr>
              <a:solidFill>
                <a:srgbClr val="799098"/>
              </a:solidFill>
              <a:ln w="6350">
                <a:noFill/>
              </a:ln>
            </c:spPr>
          </c:marker>
          <c:cat>
            <c:strRef>
              <c:f>PTT!$V$25:$V$34</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PTT!$X$25:$X$34</c:f>
              <c:numCache>
                <c:formatCode>0%</c:formatCode>
                <c:ptCount val="10"/>
                <c:pt idx="0">
                  <c:v>1</c:v>
                </c:pt>
                <c:pt idx="1">
                  <c:v>1</c:v>
                </c:pt>
                <c:pt idx="2">
                  <c:v>1</c:v>
                </c:pt>
                <c:pt idx="3">
                  <c:v>1</c:v>
                </c:pt>
                <c:pt idx="4">
                  <c:v>1</c:v>
                </c:pt>
                <c:pt idx="5">
                  <c:v>1</c:v>
                </c:pt>
                <c:pt idx="6">
                  <c:v>1</c:v>
                </c:pt>
                <c:pt idx="7">
                  <c:v>1</c:v>
                </c:pt>
                <c:pt idx="8">
                  <c:v>1</c:v>
                </c:pt>
                <c:pt idx="9">
                  <c:v>1</c:v>
                </c:pt>
              </c:numCache>
            </c:numRef>
          </c:val>
          <c:extLst>
            <c:ext xmlns:c16="http://schemas.microsoft.com/office/drawing/2014/chart" uri="{C3380CC4-5D6E-409C-BE32-E72D297353CC}">
              <c16:uniqueId val="{00000001-647C-4C63-8EB3-B82ABD193E60}"/>
            </c:ext>
          </c:extLst>
        </c:ser>
        <c:dLbls>
          <c:showLegendKey val="0"/>
          <c:showVal val="0"/>
          <c:showCatName val="0"/>
          <c:showSerName val="0"/>
          <c:showPercent val="0"/>
          <c:showBubbleSize val="0"/>
        </c:dLbls>
        <c:axId val="291861632"/>
        <c:axId val="291863552"/>
      </c:radarChart>
      <c:catAx>
        <c:axId val="291861632"/>
        <c:scaling>
          <c:orientation val="minMax"/>
        </c:scaling>
        <c:delete val="0"/>
        <c:axPos val="b"/>
        <c:numFmt formatCode="General" sourceLinked="1"/>
        <c:majorTickMark val="out"/>
        <c:minorTickMark val="none"/>
        <c:tickLblPos val="nextTo"/>
        <c:spPr>
          <a:ln>
            <a:solidFill>
              <a:srgbClr val="B3B3B3"/>
            </a:solidFill>
          </a:ln>
        </c:spPr>
        <c:txPr>
          <a:bodyPr rot="0" vert="horz"/>
          <a:lstStyle/>
          <a:p>
            <a:pPr>
              <a:defRPr/>
            </a:pPr>
            <a:endParaRPr lang="en-US"/>
          </a:p>
        </c:txPr>
        <c:crossAx val="291863552"/>
        <c:crosses val="autoZero"/>
        <c:auto val="0"/>
        <c:lblAlgn val="ctr"/>
        <c:lblOffset val="100"/>
        <c:noMultiLvlLbl val="0"/>
      </c:catAx>
      <c:valAx>
        <c:axId val="291863552"/>
        <c:scaling>
          <c:orientation val="minMax"/>
        </c:scaling>
        <c:delete val="0"/>
        <c:axPos val="l"/>
        <c:numFmt formatCode="0%" sourceLinked="1"/>
        <c:majorTickMark val="cross"/>
        <c:minorTickMark val="none"/>
        <c:tickLblPos val="nextTo"/>
        <c:spPr>
          <a:ln w="3175">
            <a:solidFill>
              <a:srgbClr val="B3B3B3"/>
            </a:solidFill>
            <a:prstDash val="solid"/>
          </a:ln>
        </c:spPr>
        <c:txPr>
          <a:bodyPr rot="0" vert="horz"/>
          <a:lstStyle/>
          <a:p>
            <a:pPr>
              <a:defRPr/>
            </a:pPr>
            <a:endParaRPr lang="en-US"/>
          </a:p>
        </c:txPr>
        <c:crossAx val="291861632"/>
        <c:crosses val="autoZero"/>
        <c:crossBetween val="between"/>
      </c:valAx>
      <c:spPr>
        <a:noFill/>
        <a:ln w="25400">
          <a:noFill/>
        </a:ln>
      </c:spPr>
    </c:plotArea>
    <c:legend>
      <c:legendPos val="b"/>
      <c:overlay val="0"/>
      <c:spPr>
        <a:noFill/>
        <a:ln w="25400">
          <a:noFill/>
        </a:ln>
      </c:spPr>
    </c:legend>
    <c:plotVisOnly val="1"/>
    <c:dispBlanksAs val="gap"/>
    <c:showDLblsOverMax val="0"/>
  </c:chart>
  <c:spPr>
    <a:noFill/>
    <a:ln w="25400">
      <a:noFill/>
    </a:ln>
    <a:effectLst/>
  </c:spPr>
  <c:txPr>
    <a:bodyPr/>
    <a:lstStyle/>
    <a:p>
      <a:pPr>
        <a:defRPr sz="1000" b="0" i="0" u="none" strike="noStrike" baseline="0">
          <a:solidFill>
            <a:srgbClr val="595959"/>
          </a:solidFill>
          <a:latin typeface="Arial Narrow"/>
          <a:ea typeface="Arial Narrow"/>
          <a:cs typeface="Arial Narrow"/>
        </a:defRPr>
      </a:pPr>
      <a:endParaRPr lang="en-US"/>
    </a:p>
  </c:txPr>
  <c:printSettings>
    <c:headerFooter alignWithMargins="0"/>
    <c:pageMargins b="1" l="0.75000000000000111" r="0.75000000000000111" t="1" header="0.5" footer="0.5"/>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3053172687232302"/>
          <c:y val="7.1428679743121323E-2"/>
          <c:w val="0.44648885870076332"/>
          <c:h val="0.70538946666920521"/>
        </c:manualLayout>
      </c:layout>
      <c:radarChart>
        <c:radarStyle val="marker"/>
        <c:varyColors val="0"/>
        <c:ser>
          <c:idx val="0"/>
          <c:order val="0"/>
          <c:tx>
            <c:strRef>
              <c:f>RAK!$W$24</c:f>
              <c:strCache>
                <c:ptCount val="1"/>
                <c:pt idx="0">
                  <c:v>Rakuten</c:v>
                </c:pt>
              </c:strCache>
            </c:strRef>
          </c:tx>
          <c:spPr>
            <a:ln w="25400">
              <a:solidFill>
                <a:srgbClr val="263238"/>
              </a:solidFill>
              <a:prstDash val="solid"/>
            </a:ln>
            <a:effectLst/>
          </c:spPr>
          <c:marker>
            <c:symbol val="diamond"/>
            <c:size val="6"/>
            <c:spPr>
              <a:solidFill>
                <a:srgbClr val="263238"/>
              </a:solidFill>
              <a:ln w="6350">
                <a:noFill/>
              </a:ln>
            </c:spPr>
          </c:marker>
          <c:cat>
            <c:strRef>
              <c:f>RAK!$V$25:$V$34</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RAK!$W$25:$W$34</c:f>
              <c:numCache>
                <c:formatCode>0%</c:formatCode>
                <c:ptCount val="10"/>
                <c:pt idx="0">
                  <c:v>0.45647503961024105</c:v>
                </c:pt>
                <c:pt idx="1">
                  <c:v>2.0907999605238352</c:v>
                </c:pt>
                <c:pt idx="2">
                  <c:v>-0.67613160220934865</c:v>
                </c:pt>
                <c:pt idx="3">
                  <c:v>-0.7529150568692885</c:v>
                </c:pt>
                <c:pt idx="4">
                  <c:v>0.87543322030652626</c:v>
                </c:pt>
                <c:pt idx="5">
                  <c:v>0.53333115352329818</c:v>
                </c:pt>
                <c:pt idx="6">
                  <c:v>-0.20979014072462543</c:v>
                </c:pt>
                <c:pt idx="7">
                  <c:v>-0.2388157274583079</c:v>
                </c:pt>
                <c:pt idx="8">
                  <c:v>0</c:v>
                </c:pt>
                <c:pt idx="9">
                  <c:v>-4.7666682359139996</c:v>
                </c:pt>
              </c:numCache>
            </c:numRef>
          </c:val>
          <c:extLst>
            <c:ext xmlns:c16="http://schemas.microsoft.com/office/drawing/2014/chart" uri="{C3380CC4-5D6E-409C-BE32-E72D297353CC}">
              <c16:uniqueId val="{00000000-F9B0-4668-A556-828CCBD3E21F}"/>
            </c:ext>
          </c:extLst>
        </c:ser>
        <c:ser>
          <c:idx val="1"/>
          <c:order val="1"/>
          <c:tx>
            <c:strRef>
              <c:f>RAK!$X$24</c:f>
              <c:strCache>
                <c:ptCount val="1"/>
                <c:pt idx="0">
                  <c:v>Agg. Asia Cellular</c:v>
                </c:pt>
              </c:strCache>
            </c:strRef>
          </c:tx>
          <c:spPr>
            <a:ln w="25400">
              <a:solidFill>
                <a:srgbClr val="799098"/>
              </a:solidFill>
              <a:prstDash val="solid"/>
            </a:ln>
            <a:effectLst/>
          </c:spPr>
          <c:marker>
            <c:symbol val="diamond"/>
            <c:size val="6"/>
            <c:spPr>
              <a:solidFill>
                <a:srgbClr val="799098"/>
              </a:solidFill>
              <a:ln w="6350">
                <a:noFill/>
              </a:ln>
            </c:spPr>
          </c:marker>
          <c:cat>
            <c:strRef>
              <c:f>RAK!$V$25:$V$34</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RAK!$X$25:$X$34</c:f>
              <c:numCache>
                <c:formatCode>0%</c:formatCode>
                <c:ptCount val="10"/>
                <c:pt idx="0">
                  <c:v>1</c:v>
                </c:pt>
                <c:pt idx="1">
                  <c:v>1</c:v>
                </c:pt>
                <c:pt idx="2">
                  <c:v>1</c:v>
                </c:pt>
                <c:pt idx="3">
                  <c:v>1</c:v>
                </c:pt>
                <c:pt idx="4">
                  <c:v>1</c:v>
                </c:pt>
                <c:pt idx="5">
                  <c:v>1</c:v>
                </c:pt>
                <c:pt idx="6">
                  <c:v>1</c:v>
                </c:pt>
                <c:pt idx="7">
                  <c:v>1</c:v>
                </c:pt>
                <c:pt idx="8">
                  <c:v>1</c:v>
                </c:pt>
                <c:pt idx="9">
                  <c:v>1</c:v>
                </c:pt>
              </c:numCache>
            </c:numRef>
          </c:val>
          <c:extLst>
            <c:ext xmlns:c16="http://schemas.microsoft.com/office/drawing/2014/chart" uri="{C3380CC4-5D6E-409C-BE32-E72D297353CC}">
              <c16:uniqueId val="{00000001-F9B0-4668-A556-828CCBD3E21F}"/>
            </c:ext>
          </c:extLst>
        </c:ser>
        <c:dLbls>
          <c:showLegendKey val="0"/>
          <c:showVal val="0"/>
          <c:showCatName val="0"/>
          <c:showSerName val="0"/>
          <c:showPercent val="0"/>
          <c:showBubbleSize val="0"/>
        </c:dLbls>
        <c:axId val="291988608"/>
        <c:axId val="291990528"/>
      </c:radarChart>
      <c:catAx>
        <c:axId val="291988608"/>
        <c:scaling>
          <c:orientation val="minMax"/>
        </c:scaling>
        <c:delete val="0"/>
        <c:axPos val="b"/>
        <c:numFmt formatCode="General" sourceLinked="1"/>
        <c:majorTickMark val="out"/>
        <c:minorTickMark val="none"/>
        <c:tickLblPos val="nextTo"/>
        <c:spPr>
          <a:ln>
            <a:solidFill>
              <a:srgbClr val="B3B3B3"/>
            </a:solidFill>
          </a:ln>
        </c:spPr>
        <c:txPr>
          <a:bodyPr rot="0" vert="horz"/>
          <a:lstStyle/>
          <a:p>
            <a:pPr>
              <a:defRPr/>
            </a:pPr>
            <a:endParaRPr lang="en-US"/>
          </a:p>
        </c:txPr>
        <c:crossAx val="291990528"/>
        <c:crosses val="autoZero"/>
        <c:auto val="0"/>
        <c:lblAlgn val="ctr"/>
        <c:lblOffset val="100"/>
        <c:noMultiLvlLbl val="0"/>
      </c:catAx>
      <c:valAx>
        <c:axId val="291990528"/>
        <c:scaling>
          <c:orientation val="minMax"/>
        </c:scaling>
        <c:delete val="0"/>
        <c:axPos val="l"/>
        <c:numFmt formatCode="0%" sourceLinked="1"/>
        <c:majorTickMark val="cross"/>
        <c:minorTickMark val="none"/>
        <c:tickLblPos val="nextTo"/>
        <c:spPr>
          <a:ln w="3175">
            <a:solidFill>
              <a:srgbClr val="B3B3B3"/>
            </a:solidFill>
            <a:prstDash val="solid"/>
          </a:ln>
        </c:spPr>
        <c:txPr>
          <a:bodyPr rot="0" vert="horz"/>
          <a:lstStyle/>
          <a:p>
            <a:pPr>
              <a:defRPr/>
            </a:pPr>
            <a:endParaRPr lang="en-US"/>
          </a:p>
        </c:txPr>
        <c:crossAx val="291988608"/>
        <c:crosses val="autoZero"/>
        <c:crossBetween val="between"/>
      </c:valAx>
      <c:spPr>
        <a:noFill/>
        <a:ln w="25400">
          <a:noFill/>
        </a:ln>
      </c:spPr>
    </c:plotArea>
    <c:legend>
      <c:legendPos val="b"/>
      <c:overlay val="0"/>
      <c:spPr>
        <a:noFill/>
        <a:ln w="25400">
          <a:noFill/>
        </a:ln>
      </c:spPr>
    </c:legend>
    <c:plotVisOnly val="1"/>
    <c:dispBlanksAs val="gap"/>
    <c:showDLblsOverMax val="0"/>
  </c:chart>
  <c:spPr>
    <a:noFill/>
    <a:ln w="25400">
      <a:noFill/>
    </a:ln>
    <a:effectLst/>
  </c:spPr>
  <c:txPr>
    <a:bodyPr/>
    <a:lstStyle/>
    <a:p>
      <a:pPr>
        <a:defRPr sz="1000" b="0" i="0" u="none" strike="noStrike" baseline="0">
          <a:solidFill>
            <a:srgbClr val="595959"/>
          </a:solidFill>
          <a:latin typeface="Arial Narrow"/>
          <a:ea typeface="Arial Narrow"/>
          <a:cs typeface="Arial Narrow"/>
        </a:defRPr>
      </a:pPr>
      <a:endParaRPr lang="en-US"/>
    </a:p>
  </c:txPr>
  <c:printSettings>
    <c:headerFooter alignWithMargins="0"/>
    <c:pageMargins b="1" l="0.75000000000000111" r="0.75000000000000111" t="1" header="0.5" footer="0.5"/>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2459709373926438"/>
          <c:y val="0.2153849389797762"/>
          <c:w val="0.3669358450965588"/>
          <c:h val="0.5600008413474179"/>
        </c:manualLayout>
      </c:layout>
      <c:radarChart>
        <c:radarStyle val="marker"/>
        <c:varyColors val="0"/>
        <c:ser>
          <c:idx val="0"/>
          <c:order val="0"/>
          <c:tx>
            <c:strRef>
              <c:f>SAF!$W$24</c:f>
              <c:strCache>
                <c:ptCount val="1"/>
                <c:pt idx="0">
                  <c:v>Safaricom</c:v>
                </c:pt>
              </c:strCache>
            </c:strRef>
          </c:tx>
          <c:spPr>
            <a:ln w="25400">
              <a:solidFill>
                <a:srgbClr val="263238"/>
              </a:solidFill>
              <a:prstDash val="solid"/>
            </a:ln>
            <a:effectLst/>
          </c:spPr>
          <c:marker>
            <c:symbol val="diamond"/>
            <c:size val="6"/>
            <c:spPr>
              <a:solidFill>
                <a:srgbClr val="263238"/>
              </a:solidFill>
              <a:ln w="6350">
                <a:noFill/>
              </a:ln>
            </c:spPr>
          </c:marker>
          <c:val>
            <c:numRef>
              <c:f>SAF!$W$25:$W$34</c:f>
              <c:numCache>
                <c:formatCode>0%</c:formatCode>
                <c:ptCount val="10"/>
                <c:pt idx="0">
                  <c:v>0.70392968339971973</c:v>
                </c:pt>
                <c:pt idx="1">
                  <c:v>0.58592944494579702</c:v>
                </c:pt>
                <c:pt idx="2">
                  <c:v>0.65506394285425562</c:v>
                </c:pt>
                <c:pt idx="3">
                  <c:v>0.63012606100519275</c:v>
                </c:pt>
                <c:pt idx="4">
                  <c:v>0.74133131790273277</c:v>
                </c:pt>
                <c:pt idx="5">
                  <c:v>0.63151053841597271</c:v>
                </c:pt>
                <c:pt idx="6">
                  <c:v>0.42212606349147197</c:v>
                </c:pt>
                <c:pt idx="7">
                  <c:v>0.39298941746799043</c:v>
                </c:pt>
                <c:pt idx="8">
                  <c:v>2.804643189419715</c:v>
                </c:pt>
                <c:pt idx="9">
                  <c:v>2.3689605700459255</c:v>
                </c:pt>
              </c:numCache>
            </c:numRef>
          </c:val>
          <c:extLst>
            <c:ext xmlns:c15="http://schemas.microsoft.com/office/drawing/2012/chart" uri="{02D57815-91ED-43cb-92C2-25804820EDAC}">
              <c15:filteredCategoryTitle>
                <c15:cat>
                  <c:strRef>
                    <c:extLst xmlns:c16="http://schemas.microsoft.com/office/drawing/2014/chart">
                      <c:ext uri="{02D57815-91ED-43cb-92C2-25804820EDAC}">
                        <c15:formulaRef>
                          <c15:sqref>#REF!</c15:sqref>
                        </c15:formulaRef>
                      </c:ext>
                    </c:extLst>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15:cat>
              </c15:filteredCategoryTitle>
            </c:ext>
            <c:ext xmlns:c16="http://schemas.microsoft.com/office/drawing/2014/chart" uri="{C3380CC4-5D6E-409C-BE32-E72D297353CC}">
              <c16:uniqueId val="{00000000-7240-4F75-881F-1FE23B608837}"/>
            </c:ext>
          </c:extLst>
        </c:ser>
        <c:ser>
          <c:idx val="1"/>
          <c:order val="1"/>
          <c:tx>
            <c:strRef>
              <c:f>SAF!$X$24</c:f>
              <c:strCache>
                <c:ptCount val="1"/>
                <c:pt idx="0">
                  <c:v>Agg. EMEA Cellular</c:v>
                </c:pt>
              </c:strCache>
            </c:strRef>
          </c:tx>
          <c:spPr>
            <a:ln w="25400">
              <a:solidFill>
                <a:srgbClr val="799098"/>
              </a:solidFill>
              <a:prstDash val="solid"/>
            </a:ln>
            <a:effectLst/>
          </c:spPr>
          <c:marker>
            <c:symbol val="diamond"/>
            <c:size val="6"/>
            <c:spPr>
              <a:solidFill>
                <a:srgbClr val="799098"/>
              </a:solidFill>
              <a:ln w="6350">
                <a:noFill/>
              </a:ln>
            </c:spPr>
          </c:marker>
          <c:val>
            <c:numRef>
              <c:f>SAF!$X$25:$X$34</c:f>
              <c:numCache>
                <c:formatCode>0%</c:formatCode>
                <c:ptCount val="10"/>
                <c:pt idx="0">
                  <c:v>1</c:v>
                </c:pt>
                <c:pt idx="1">
                  <c:v>1</c:v>
                </c:pt>
                <c:pt idx="2">
                  <c:v>1</c:v>
                </c:pt>
                <c:pt idx="3">
                  <c:v>1</c:v>
                </c:pt>
                <c:pt idx="4">
                  <c:v>1</c:v>
                </c:pt>
                <c:pt idx="5">
                  <c:v>1</c:v>
                </c:pt>
                <c:pt idx="6">
                  <c:v>1</c:v>
                </c:pt>
                <c:pt idx="7">
                  <c:v>1</c:v>
                </c:pt>
                <c:pt idx="8">
                  <c:v>1</c:v>
                </c:pt>
                <c:pt idx="9">
                  <c:v>1</c:v>
                </c:pt>
              </c:numCache>
            </c:numRef>
          </c:val>
          <c:extLst>
            <c:ext xmlns:c15="http://schemas.microsoft.com/office/drawing/2012/chart" uri="{02D57815-91ED-43cb-92C2-25804820EDAC}">
              <c15:filteredCategoryTitle>
                <c15:cat>
                  <c:strRef>
                    <c:extLst xmlns:c16="http://schemas.microsoft.com/office/drawing/2014/chart">
                      <c:ext uri="{02D57815-91ED-43cb-92C2-25804820EDAC}">
                        <c15:formulaRef>
                          <c15:sqref>#REF!</c15:sqref>
                        </c15:formulaRef>
                      </c:ext>
                    </c:extLst>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15:cat>
              </c15:filteredCategoryTitle>
            </c:ext>
            <c:ext xmlns:c16="http://schemas.microsoft.com/office/drawing/2014/chart" uri="{C3380CC4-5D6E-409C-BE32-E72D297353CC}">
              <c16:uniqueId val="{00000001-7240-4F75-881F-1FE23B608837}"/>
            </c:ext>
          </c:extLst>
        </c:ser>
        <c:dLbls>
          <c:showLegendKey val="0"/>
          <c:showVal val="0"/>
          <c:showCatName val="0"/>
          <c:showSerName val="0"/>
          <c:showPercent val="0"/>
          <c:showBubbleSize val="0"/>
        </c:dLbls>
        <c:axId val="290309248"/>
        <c:axId val="290311168"/>
      </c:radarChart>
      <c:catAx>
        <c:axId val="290309248"/>
        <c:scaling>
          <c:orientation val="minMax"/>
        </c:scaling>
        <c:delete val="0"/>
        <c:axPos val="b"/>
        <c:numFmt formatCode="General" sourceLinked="1"/>
        <c:majorTickMark val="out"/>
        <c:minorTickMark val="none"/>
        <c:tickLblPos val="nextTo"/>
        <c:spPr>
          <a:ln>
            <a:solidFill>
              <a:srgbClr val="B3B3B3"/>
            </a:solidFill>
          </a:ln>
        </c:spPr>
        <c:txPr>
          <a:bodyPr rot="0" vert="horz"/>
          <a:lstStyle/>
          <a:p>
            <a:pPr>
              <a:defRPr/>
            </a:pPr>
            <a:endParaRPr lang="en-US"/>
          </a:p>
        </c:txPr>
        <c:crossAx val="290311168"/>
        <c:crosses val="autoZero"/>
        <c:auto val="0"/>
        <c:lblAlgn val="ctr"/>
        <c:lblOffset val="100"/>
        <c:noMultiLvlLbl val="0"/>
      </c:catAx>
      <c:valAx>
        <c:axId val="290311168"/>
        <c:scaling>
          <c:orientation val="minMax"/>
        </c:scaling>
        <c:delete val="0"/>
        <c:axPos val="l"/>
        <c:numFmt formatCode="0%" sourceLinked="1"/>
        <c:majorTickMark val="cross"/>
        <c:minorTickMark val="none"/>
        <c:tickLblPos val="nextTo"/>
        <c:spPr>
          <a:ln w="3175">
            <a:solidFill>
              <a:srgbClr val="B3B3B3"/>
            </a:solidFill>
            <a:prstDash val="solid"/>
          </a:ln>
        </c:spPr>
        <c:txPr>
          <a:bodyPr rot="0" vert="horz"/>
          <a:lstStyle/>
          <a:p>
            <a:pPr>
              <a:defRPr/>
            </a:pPr>
            <a:endParaRPr lang="en-US"/>
          </a:p>
        </c:txPr>
        <c:crossAx val="290309248"/>
        <c:crosses val="autoZero"/>
        <c:crossBetween val="between"/>
      </c:valAx>
      <c:spPr>
        <a:noFill/>
        <a:ln w="25400">
          <a:noFill/>
        </a:ln>
      </c:spPr>
    </c:plotArea>
    <c:legend>
      <c:legendPos val="b"/>
      <c:overlay val="0"/>
      <c:spPr>
        <a:noFill/>
        <a:ln w="25400">
          <a:noFill/>
        </a:ln>
      </c:spPr>
    </c:legend>
    <c:plotVisOnly val="1"/>
    <c:dispBlanksAs val="gap"/>
    <c:showDLblsOverMax val="0"/>
  </c:chart>
  <c:spPr>
    <a:noFill/>
    <a:ln w="25400">
      <a:noFill/>
    </a:ln>
    <a:effectLst/>
  </c:spPr>
  <c:txPr>
    <a:bodyPr/>
    <a:lstStyle/>
    <a:p>
      <a:pPr>
        <a:defRPr sz="1000" b="0" i="0" u="none" strike="noStrike" baseline="0">
          <a:solidFill>
            <a:srgbClr val="595959"/>
          </a:solidFill>
          <a:latin typeface="Arial Narrow"/>
          <a:ea typeface="Arial Narrow"/>
          <a:cs typeface="Arial Narrow"/>
        </a:defRPr>
      </a:pPr>
      <a:endParaRPr lang="en-US"/>
    </a:p>
  </c:txPr>
  <c:printSettings>
    <c:headerFooter alignWithMargins="0"/>
    <c:pageMargins b="1" l="0.75000000000000111" r="0.75000000000000111" t="1" header="0.5" footer="0.5"/>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9313844561163255"/>
          <c:y val="0.14153867418671001"/>
          <c:w val="0.4157682209009923"/>
          <c:h val="0.63857095327872881"/>
        </c:manualLayout>
      </c:layout>
      <c:radarChart>
        <c:radarStyle val="marker"/>
        <c:varyColors val="0"/>
        <c:ser>
          <c:idx val="0"/>
          <c:order val="0"/>
          <c:tx>
            <c:strRef>
              <c:f>SATS!$W$24</c:f>
              <c:strCache>
                <c:ptCount val="1"/>
                <c:pt idx="0">
                  <c:v>DISH</c:v>
                </c:pt>
              </c:strCache>
            </c:strRef>
          </c:tx>
          <c:spPr>
            <a:ln w="25400">
              <a:solidFill>
                <a:srgbClr val="263238"/>
              </a:solidFill>
              <a:prstDash val="solid"/>
            </a:ln>
            <a:effectLst/>
          </c:spPr>
          <c:marker>
            <c:symbol val="diamond"/>
            <c:size val="6"/>
            <c:spPr>
              <a:solidFill>
                <a:srgbClr val="263238"/>
              </a:solidFill>
              <a:ln w="6350">
                <a:noFill/>
              </a:ln>
            </c:spPr>
          </c:marker>
          <c:cat>
            <c:strRef>
              <c:f>SATS!$V$25:$V$34</c:f>
              <c:strCache>
                <c:ptCount val="10"/>
                <c:pt idx="0">
                  <c:v>EV/Revenue</c:v>
                </c:pt>
                <c:pt idx="1">
                  <c:v>EV/EBITDA</c:v>
                </c:pt>
                <c:pt idx="2">
                  <c:v>EV/OpFCF</c:v>
                </c:pt>
                <c:pt idx="3">
                  <c:v>EV/FCF</c:v>
                </c:pt>
                <c:pt idx="4">
                  <c:v>EV/Invested capital</c:v>
                </c:pt>
                <c:pt idx="5">
                  <c:v>EV/NFA</c:v>
                </c:pt>
                <c:pt idx="6">
                  <c:v>P/EFCF (2012)</c:v>
                </c:pt>
                <c:pt idx="7">
                  <c:v>Adjusted P/E</c:v>
                </c:pt>
                <c:pt idx="8">
                  <c:v>Dividend yield</c:v>
                </c:pt>
                <c:pt idx="9">
                  <c:v>EFCF yield (2012)</c:v>
                </c:pt>
              </c:strCache>
            </c:strRef>
          </c:cat>
          <c:val>
            <c:numRef>
              <c:f>SATS!$W$25:$W$34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BDB4-485A-90E6-B60BA6010A09}"/>
            </c:ext>
          </c:extLst>
        </c:ser>
        <c:ser>
          <c:idx val="1"/>
          <c:order val="1"/>
          <c:tx>
            <c:strRef>
              <c:f>SATS!$X$24</c:f>
              <c:strCache>
                <c:ptCount val="1"/>
                <c:pt idx="0">
                  <c:v>Agg. US Satellite</c:v>
                </c:pt>
              </c:strCache>
            </c:strRef>
          </c:tx>
          <c:spPr>
            <a:ln w="25400">
              <a:solidFill>
                <a:srgbClr val="799098"/>
              </a:solidFill>
              <a:prstDash val="solid"/>
            </a:ln>
            <a:effectLst/>
          </c:spPr>
          <c:marker>
            <c:symbol val="diamond"/>
            <c:size val="6"/>
            <c:spPr>
              <a:solidFill>
                <a:srgbClr val="799098"/>
              </a:solidFill>
              <a:ln w="6350">
                <a:noFill/>
              </a:ln>
            </c:spPr>
          </c:marker>
          <c:cat>
            <c:strRef>
              <c:f>SATS!$V$25:$V$34</c:f>
              <c:strCache>
                <c:ptCount val="10"/>
                <c:pt idx="0">
                  <c:v>EV/Revenue</c:v>
                </c:pt>
                <c:pt idx="1">
                  <c:v>EV/EBITDA</c:v>
                </c:pt>
                <c:pt idx="2">
                  <c:v>EV/OpFCF</c:v>
                </c:pt>
                <c:pt idx="3">
                  <c:v>EV/FCF</c:v>
                </c:pt>
                <c:pt idx="4">
                  <c:v>EV/Invested capital</c:v>
                </c:pt>
                <c:pt idx="5">
                  <c:v>EV/NFA</c:v>
                </c:pt>
                <c:pt idx="6">
                  <c:v>P/EFCF (2012)</c:v>
                </c:pt>
                <c:pt idx="7">
                  <c:v>Adjusted P/E</c:v>
                </c:pt>
                <c:pt idx="8">
                  <c:v>Dividend yield</c:v>
                </c:pt>
                <c:pt idx="9">
                  <c:v>EFCF yield (2012)</c:v>
                </c:pt>
              </c:strCache>
            </c:strRef>
          </c:cat>
          <c:val>
            <c:numRef>
              <c:f>SATS!$X$25:$X$34</c:f>
              <c:numCache>
                <c:formatCode>0%</c:formatCode>
                <c:ptCount val="10"/>
                <c:pt idx="0">
                  <c:v>1</c:v>
                </c:pt>
                <c:pt idx="1">
                  <c:v>1</c:v>
                </c:pt>
                <c:pt idx="2">
                  <c:v>1</c:v>
                </c:pt>
                <c:pt idx="3">
                  <c:v>1</c:v>
                </c:pt>
                <c:pt idx="4">
                  <c:v>1</c:v>
                </c:pt>
                <c:pt idx="5">
                  <c:v>1</c:v>
                </c:pt>
                <c:pt idx="6">
                  <c:v>1</c:v>
                </c:pt>
                <c:pt idx="7">
                  <c:v>1</c:v>
                </c:pt>
                <c:pt idx="8">
                  <c:v>1</c:v>
                </c:pt>
                <c:pt idx="9">
                  <c:v>1</c:v>
                </c:pt>
              </c:numCache>
            </c:numRef>
          </c:val>
          <c:extLst>
            <c:ext xmlns:c16="http://schemas.microsoft.com/office/drawing/2014/chart" uri="{C3380CC4-5D6E-409C-BE32-E72D297353CC}">
              <c16:uniqueId val="{00000001-BDB4-485A-90E6-B60BA6010A09}"/>
            </c:ext>
          </c:extLst>
        </c:ser>
        <c:dLbls>
          <c:showLegendKey val="0"/>
          <c:showVal val="0"/>
          <c:showCatName val="0"/>
          <c:showSerName val="0"/>
          <c:showPercent val="0"/>
          <c:showBubbleSize val="0"/>
        </c:dLbls>
        <c:axId val="413809664"/>
        <c:axId val="413828224"/>
      </c:radarChart>
      <c:catAx>
        <c:axId val="413809664"/>
        <c:scaling>
          <c:orientation val="minMax"/>
        </c:scaling>
        <c:delete val="0"/>
        <c:axPos val="b"/>
        <c:numFmt formatCode="General" sourceLinked="1"/>
        <c:majorTickMark val="out"/>
        <c:minorTickMark val="none"/>
        <c:tickLblPos val="nextTo"/>
        <c:spPr>
          <a:ln>
            <a:solidFill>
              <a:srgbClr val="B3B3B3"/>
            </a:solidFill>
          </a:ln>
        </c:spPr>
        <c:txPr>
          <a:bodyPr rot="0" vert="horz"/>
          <a:lstStyle/>
          <a:p>
            <a:pPr>
              <a:defRPr/>
            </a:pPr>
            <a:endParaRPr lang="en-US"/>
          </a:p>
        </c:txPr>
        <c:crossAx val="413828224"/>
        <c:crosses val="autoZero"/>
        <c:auto val="0"/>
        <c:lblAlgn val="ctr"/>
        <c:lblOffset val="100"/>
        <c:noMultiLvlLbl val="0"/>
      </c:catAx>
      <c:valAx>
        <c:axId val="413828224"/>
        <c:scaling>
          <c:orientation val="minMax"/>
          <c:max val="2"/>
        </c:scaling>
        <c:delete val="0"/>
        <c:axPos val="l"/>
        <c:numFmt formatCode="0%" sourceLinked="1"/>
        <c:majorTickMark val="cross"/>
        <c:minorTickMark val="none"/>
        <c:tickLblPos val="nextTo"/>
        <c:spPr>
          <a:ln w="3175">
            <a:solidFill>
              <a:srgbClr val="B3B3B3"/>
            </a:solidFill>
            <a:prstDash val="solid"/>
          </a:ln>
        </c:spPr>
        <c:txPr>
          <a:bodyPr rot="0" vert="horz"/>
          <a:lstStyle/>
          <a:p>
            <a:pPr>
              <a:defRPr/>
            </a:pPr>
            <a:endParaRPr lang="en-US"/>
          </a:p>
        </c:txPr>
        <c:crossAx val="413809664"/>
        <c:crosses val="autoZero"/>
        <c:crossBetween val="between"/>
        <c:majorUnit val="0.5"/>
        <c:minorUnit val="0.5"/>
      </c:valAx>
      <c:spPr>
        <a:noFill/>
        <a:ln w="25400">
          <a:noFill/>
        </a:ln>
      </c:spPr>
    </c:plotArea>
    <c:legend>
      <c:legendPos val="b"/>
      <c:overlay val="0"/>
      <c:spPr>
        <a:noFill/>
        <a:ln w="25400">
          <a:noFill/>
        </a:ln>
      </c:spPr>
    </c:legend>
    <c:plotVisOnly val="1"/>
    <c:dispBlanksAs val="gap"/>
    <c:showDLblsOverMax val="0"/>
  </c:chart>
  <c:spPr>
    <a:noFill/>
    <a:ln w="25400">
      <a:noFill/>
    </a:ln>
    <a:effectLst/>
  </c:spPr>
  <c:txPr>
    <a:bodyPr/>
    <a:lstStyle/>
    <a:p>
      <a:pPr>
        <a:defRPr sz="1000" b="0" i="0" u="none" strike="noStrike" baseline="0">
          <a:solidFill>
            <a:srgbClr val="595959"/>
          </a:solidFill>
          <a:latin typeface="Arial Narrow"/>
          <a:ea typeface="Arial Narrow"/>
          <a:cs typeface="Arial Narrow"/>
        </a:defRPr>
      </a:pPr>
      <a:endParaRPr lang="en-US"/>
    </a:p>
  </c:txPr>
  <c:printSettings>
    <c:headerFooter alignWithMargins="0"/>
    <c:pageMargins b="1" l="0.75000000000000111" r="0.75000000000000111" t="1" header="0.5" footer="0.5"/>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1150648303793488"/>
          <c:y val="6.8071875630930742E-2"/>
          <c:w val="0.46733235906653675"/>
          <c:h val="0.7328720952749167"/>
        </c:manualLayout>
      </c:layout>
      <c:radarChart>
        <c:radarStyle val="marker"/>
        <c:varyColors val="0"/>
        <c:ser>
          <c:idx val="0"/>
          <c:order val="0"/>
          <c:tx>
            <c:strRef>
              <c:f>SBAC!$W$24</c:f>
              <c:strCache>
                <c:ptCount val="1"/>
                <c:pt idx="0">
                  <c:v>SBAC</c:v>
                </c:pt>
              </c:strCache>
            </c:strRef>
          </c:tx>
          <c:spPr>
            <a:ln w="25400">
              <a:solidFill>
                <a:srgbClr val="263238"/>
              </a:solidFill>
              <a:prstDash val="solid"/>
            </a:ln>
            <a:effectLst/>
          </c:spPr>
          <c:marker>
            <c:symbol val="diamond"/>
            <c:size val="6"/>
            <c:spPr>
              <a:solidFill>
                <a:srgbClr val="263238"/>
              </a:solidFill>
              <a:ln w="6350">
                <a:noFill/>
              </a:ln>
            </c:spPr>
          </c:marker>
          <c:cat>
            <c:strRef>
              <c:f>SBAC!$V$25:$V$34</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SBAC!$W$25:$W$34</c:f>
              <c:numCache>
                <c:formatCode>0%</c:formatCode>
                <c:ptCount val="10"/>
                <c:pt idx="0">
                  <c:v>1.1792533345233027</c:v>
                </c:pt>
                <c:pt idx="1">
                  <c:v>1.0900678104910884</c:v>
                </c:pt>
                <c:pt idx="2">
                  <c:v>0.94428960439557585</c:v>
                </c:pt>
                <c:pt idx="3">
                  <c:v>0.94428960439557585</c:v>
                </c:pt>
                <c:pt idx="4">
                  <c:v>3.8701481491850895</c:v>
                </c:pt>
                <c:pt idx="5">
                  <c:v>2.0772343867888816</c:v>
                </c:pt>
                <c:pt idx="6">
                  <c:v>1.029268243440765</c:v>
                </c:pt>
                <c:pt idx="7">
                  <c:v>1.1956899984340523</c:v>
                </c:pt>
                <c:pt idx="8">
                  <c:v>0.39262627835065839</c:v>
                </c:pt>
                <c:pt idx="9">
                  <c:v>0.97156402752413362</c:v>
                </c:pt>
              </c:numCache>
            </c:numRef>
          </c:val>
          <c:extLst>
            <c:ext xmlns:c16="http://schemas.microsoft.com/office/drawing/2014/chart" uri="{C3380CC4-5D6E-409C-BE32-E72D297353CC}">
              <c16:uniqueId val="{00000000-02D1-4C98-A494-881AC3EAC347}"/>
            </c:ext>
          </c:extLst>
        </c:ser>
        <c:ser>
          <c:idx val="1"/>
          <c:order val="1"/>
          <c:tx>
            <c:strRef>
              <c:f>SBAC!$X$24</c:f>
              <c:strCache>
                <c:ptCount val="1"/>
                <c:pt idx="0">
                  <c:v>Agg. US Towers</c:v>
                </c:pt>
              </c:strCache>
            </c:strRef>
          </c:tx>
          <c:spPr>
            <a:ln w="25400">
              <a:solidFill>
                <a:srgbClr val="799098"/>
              </a:solidFill>
              <a:prstDash val="solid"/>
            </a:ln>
            <a:effectLst/>
          </c:spPr>
          <c:marker>
            <c:symbol val="diamond"/>
            <c:size val="6"/>
            <c:spPr>
              <a:solidFill>
                <a:srgbClr val="799098"/>
              </a:solidFill>
              <a:ln w="6350">
                <a:noFill/>
              </a:ln>
            </c:spPr>
          </c:marker>
          <c:cat>
            <c:strRef>
              <c:f>SBAC!$V$25:$V$34</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SBAC!$X$25:$X$34</c:f>
              <c:numCache>
                <c:formatCode>0%</c:formatCode>
                <c:ptCount val="10"/>
                <c:pt idx="0">
                  <c:v>1</c:v>
                </c:pt>
                <c:pt idx="1">
                  <c:v>1</c:v>
                </c:pt>
                <c:pt idx="2">
                  <c:v>1</c:v>
                </c:pt>
                <c:pt idx="3">
                  <c:v>1</c:v>
                </c:pt>
                <c:pt idx="4">
                  <c:v>1</c:v>
                </c:pt>
                <c:pt idx="5">
                  <c:v>1</c:v>
                </c:pt>
                <c:pt idx="6">
                  <c:v>1</c:v>
                </c:pt>
                <c:pt idx="7">
                  <c:v>1</c:v>
                </c:pt>
                <c:pt idx="8">
                  <c:v>1</c:v>
                </c:pt>
                <c:pt idx="9">
                  <c:v>1</c:v>
                </c:pt>
              </c:numCache>
            </c:numRef>
          </c:val>
          <c:extLst>
            <c:ext xmlns:c16="http://schemas.microsoft.com/office/drawing/2014/chart" uri="{C3380CC4-5D6E-409C-BE32-E72D297353CC}">
              <c16:uniqueId val="{00000001-02D1-4C98-A494-881AC3EAC347}"/>
            </c:ext>
          </c:extLst>
        </c:ser>
        <c:dLbls>
          <c:showLegendKey val="0"/>
          <c:showVal val="0"/>
          <c:showCatName val="0"/>
          <c:showSerName val="0"/>
          <c:showPercent val="0"/>
          <c:showBubbleSize val="0"/>
        </c:dLbls>
        <c:axId val="283645056"/>
        <c:axId val="283646976"/>
      </c:radarChart>
      <c:catAx>
        <c:axId val="283645056"/>
        <c:scaling>
          <c:orientation val="minMax"/>
        </c:scaling>
        <c:delete val="0"/>
        <c:axPos val="b"/>
        <c:numFmt formatCode="General" sourceLinked="1"/>
        <c:majorTickMark val="out"/>
        <c:minorTickMark val="none"/>
        <c:tickLblPos val="nextTo"/>
        <c:spPr>
          <a:ln>
            <a:solidFill>
              <a:srgbClr val="B3B3B3"/>
            </a:solidFill>
          </a:ln>
        </c:spPr>
        <c:txPr>
          <a:bodyPr rot="0" vert="horz"/>
          <a:lstStyle/>
          <a:p>
            <a:pPr>
              <a:defRPr/>
            </a:pPr>
            <a:endParaRPr lang="en-US"/>
          </a:p>
        </c:txPr>
        <c:crossAx val="283646976"/>
        <c:crosses val="autoZero"/>
        <c:auto val="0"/>
        <c:lblAlgn val="ctr"/>
        <c:lblOffset val="100"/>
        <c:noMultiLvlLbl val="0"/>
      </c:catAx>
      <c:valAx>
        <c:axId val="283646976"/>
        <c:scaling>
          <c:orientation val="minMax"/>
        </c:scaling>
        <c:delete val="0"/>
        <c:axPos val="l"/>
        <c:numFmt formatCode="0%" sourceLinked="1"/>
        <c:majorTickMark val="cross"/>
        <c:minorTickMark val="none"/>
        <c:tickLblPos val="nextTo"/>
        <c:spPr>
          <a:ln w="3175">
            <a:solidFill>
              <a:srgbClr val="B3B3B3"/>
            </a:solidFill>
            <a:prstDash val="solid"/>
          </a:ln>
        </c:spPr>
        <c:txPr>
          <a:bodyPr rot="0" vert="horz"/>
          <a:lstStyle/>
          <a:p>
            <a:pPr>
              <a:defRPr/>
            </a:pPr>
            <a:endParaRPr lang="en-US"/>
          </a:p>
        </c:txPr>
        <c:crossAx val="283645056"/>
        <c:crosses val="autoZero"/>
        <c:crossBetween val="between"/>
      </c:valAx>
      <c:spPr>
        <a:noFill/>
        <a:ln w="25400">
          <a:noFill/>
        </a:ln>
      </c:spPr>
    </c:plotArea>
    <c:legend>
      <c:legendPos val="b"/>
      <c:overlay val="0"/>
      <c:spPr>
        <a:noFill/>
        <a:ln w="25400">
          <a:noFill/>
        </a:ln>
      </c:spPr>
    </c:legend>
    <c:plotVisOnly val="1"/>
    <c:dispBlanksAs val="gap"/>
    <c:showDLblsOverMax val="0"/>
  </c:chart>
  <c:spPr>
    <a:noFill/>
    <a:ln w="25400">
      <a:noFill/>
    </a:ln>
    <a:effectLst/>
  </c:spPr>
  <c:txPr>
    <a:bodyPr/>
    <a:lstStyle/>
    <a:p>
      <a:pPr>
        <a:defRPr sz="1000" b="0" i="0" u="none" strike="noStrike" baseline="0">
          <a:solidFill>
            <a:srgbClr val="595959"/>
          </a:solidFill>
          <a:latin typeface="Arial Narrow"/>
          <a:ea typeface="Arial Narrow"/>
          <a:cs typeface="Arial Narrow"/>
        </a:defRPr>
      </a:pPr>
      <a:endParaRPr lang="en-US"/>
    </a:p>
  </c:txPr>
  <c:printSettings>
    <c:headerFooter alignWithMargins="0"/>
    <c:pageMargins b="1" l="0.75000000000000111" r="0.75000000000000111" t="1" header="0.5" footer="0.5"/>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3053172687232302"/>
          <c:y val="7.1428679743121323E-2"/>
          <c:w val="0.44648885870076332"/>
          <c:h val="0.70538946666920521"/>
        </c:manualLayout>
      </c:layout>
      <c:radarChart>
        <c:radarStyle val="marker"/>
        <c:varyColors val="0"/>
        <c:ser>
          <c:idx val="0"/>
          <c:order val="0"/>
          <c:tx>
            <c:strRef>
              <c:f>SBKK!$W$24</c:f>
              <c:strCache>
                <c:ptCount val="1"/>
                <c:pt idx="0">
                  <c:v>SoftBank KK (Corp)</c:v>
                </c:pt>
              </c:strCache>
            </c:strRef>
          </c:tx>
          <c:spPr>
            <a:ln w="25400">
              <a:solidFill>
                <a:srgbClr val="263238"/>
              </a:solidFill>
              <a:prstDash val="solid"/>
            </a:ln>
            <a:effectLst/>
          </c:spPr>
          <c:marker>
            <c:symbol val="diamond"/>
            <c:size val="6"/>
            <c:spPr>
              <a:solidFill>
                <a:srgbClr val="263238"/>
              </a:solidFill>
              <a:ln w="6350">
                <a:noFill/>
              </a:ln>
            </c:spPr>
          </c:marker>
          <c:cat>
            <c:strRef>
              <c:f>SBKK!$V$25:$V$34</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SBKK!$W$25:$W$34</c:f>
              <c:numCache>
                <c:formatCode>0%</c:formatCode>
                <c:ptCount val="10"/>
                <c:pt idx="0">
                  <c:v>1.0711703388259712</c:v>
                </c:pt>
                <c:pt idx="1">
                  <c:v>1.2805360662648722</c:v>
                </c:pt>
                <c:pt idx="2">
                  <c:v>0.99312793920038034</c:v>
                </c:pt>
                <c:pt idx="3">
                  <c:v>0.94596784540826706</c:v>
                </c:pt>
                <c:pt idx="4">
                  <c:v>2.0655869182024649</c:v>
                </c:pt>
                <c:pt idx="5">
                  <c:v>2.9570576161434405</c:v>
                </c:pt>
                <c:pt idx="6">
                  <c:v>0.67911756063504991</c:v>
                </c:pt>
                <c:pt idx="7">
                  <c:v>0.89501690674639922</c:v>
                </c:pt>
                <c:pt idx="8">
                  <c:v>1.0858259240207477</c:v>
                </c:pt>
                <c:pt idx="9">
                  <c:v>1.4724991046688434</c:v>
                </c:pt>
              </c:numCache>
            </c:numRef>
          </c:val>
          <c:extLst>
            <c:ext xmlns:c16="http://schemas.microsoft.com/office/drawing/2014/chart" uri="{C3380CC4-5D6E-409C-BE32-E72D297353CC}">
              <c16:uniqueId val="{00000000-A9E2-4878-84F0-1731BA686B90}"/>
            </c:ext>
          </c:extLst>
        </c:ser>
        <c:ser>
          <c:idx val="1"/>
          <c:order val="1"/>
          <c:tx>
            <c:strRef>
              <c:f>SBKK!$X$24</c:f>
              <c:strCache>
                <c:ptCount val="1"/>
                <c:pt idx="0">
                  <c:v>Agg. Asia Cellular</c:v>
                </c:pt>
              </c:strCache>
            </c:strRef>
          </c:tx>
          <c:spPr>
            <a:ln w="25400">
              <a:solidFill>
                <a:srgbClr val="799098"/>
              </a:solidFill>
              <a:prstDash val="solid"/>
            </a:ln>
            <a:effectLst/>
          </c:spPr>
          <c:marker>
            <c:symbol val="diamond"/>
            <c:size val="6"/>
            <c:spPr>
              <a:solidFill>
                <a:srgbClr val="799098"/>
              </a:solidFill>
              <a:ln w="6350">
                <a:noFill/>
              </a:ln>
            </c:spPr>
          </c:marker>
          <c:cat>
            <c:strRef>
              <c:f>SBKK!$V$25:$V$34</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SBKK!$X$25:$X$34</c:f>
              <c:numCache>
                <c:formatCode>0%</c:formatCode>
                <c:ptCount val="10"/>
                <c:pt idx="0">
                  <c:v>1</c:v>
                </c:pt>
                <c:pt idx="1">
                  <c:v>1</c:v>
                </c:pt>
                <c:pt idx="2">
                  <c:v>1</c:v>
                </c:pt>
                <c:pt idx="3">
                  <c:v>1</c:v>
                </c:pt>
                <c:pt idx="4">
                  <c:v>1</c:v>
                </c:pt>
                <c:pt idx="5">
                  <c:v>1</c:v>
                </c:pt>
                <c:pt idx="6">
                  <c:v>1</c:v>
                </c:pt>
                <c:pt idx="7">
                  <c:v>1</c:v>
                </c:pt>
                <c:pt idx="8">
                  <c:v>1</c:v>
                </c:pt>
                <c:pt idx="9">
                  <c:v>1</c:v>
                </c:pt>
              </c:numCache>
            </c:numRef>
          </c:val>
          <c:extLst>
            <c:ext xmlns:c16="http://schemas.microsoft.com/office/drawing/2014/chart" uri="{C3380CC4-5D6E-409C-BE32-E72D297353CC}">
              <c16:uniqueId val="{00000001-A9E2-4878-84F0-1731BA686B90}"/>
            </c:ext>
          </c:extLst>
        </c:ser>
        <c:dLbls>
          <c:showLegendKey val="0"/>
          <c:showVal val="0"/>
          <c:showCatName val="0"/>
          <c:showSerName val="0"/>
          <c:showPercent val="0"/>
          <c:showBubbleSize val="0"/>
        </c:dLbls>
        <c:axId val="293553280"/>
        <c:axId val="293555200"/>
      </c:radarChart>
      <c:catAx>
        <c:axId val="293553280"/>
        <c:scaling>
          <c:orientation val="minMax"/>
        </c:scaling>
        <c:delete val="0"/>
        <c:axPos val="b"/>
        <c:numFmt formatCode="General" sourceLinked="1"/>
        <c:majorTickMark val="out"/>
        <c:minorTickMark val="none"/>
        <c:tickLblPos val="nextTo"/>
        <c:spPr>
          <a:ln>
            <a:solidFill>
              <a:srgbClr val="B3B3B3"/>
            </a:solidFill>
          </a:ln>
        </c:spPr>
        <c:txPr>
          <a:bodyPr rot="0" vert="horz"/>
          <a:lstStyle/>
          <a:p>
            <a:pPr>
              <a:defRPr/>
            </a:pPr>
            <a:endParaRPr lang="en-US"/>
          </a:p>
        </c:txPr>
        <c:crossAx val="293555200"/>
        <c:crosses val="autoZero"/>
        <c:auto val="0"/>
        <c:lblAlgn val="ctr"/>
        <c:lblOffset val="100"/>
        <c:noMultiLvlLbl val="0"/>
      </c:catAx>
      <c:valAx>
        <c:axId val="293555200"/>
        <c:scaling>
          <c:orientation val="minMax"/>
        </c:scaling>
        <c:delete val="0"/>
        <c:axPos val="l"/>
        <c:numFmt formatCode="0%" sourceLinked="1"/>
        <c:majorTickMark val="cross"/>
        <c:minorTickMark val="none"/>
        <c:tickLblPos val="nextTo"/>
        <c:spPr>
          <a:ln w="3175">
            <a:solidFill>
              <a:srgbClr val="B3B3B3"/>
            </a:solidFill>
            <a:prstDash val="solid"/>
          </a:ln>
        </c:spPr>
        <c:txPr>
          <a:bodyPr rot="0" vert="horz"/>
          <a:lstStyle/>
          <a:p>
            <a:pPr>
              <a:defRPr/>
            </a:pPr>
            <a:endParaRPr lang="en-US"/>
          </a:p>
        </c:txPr>
        <c:crossAx val="293553280"/>
        <c:crosses val="autoZero"/>
        <c:crossBetween val="between"/>
      </c:valAx>
      <c:spPr>
        <a:noFill/>
        <a:ln w="25400">
          <a:noFill/>
        </a:ln>
      </c:spPr>
    </c:plotArea>
    <c:legend>
      <c:legendPos val="b"/>
      <c:overlay val="0"/>
      <c:spPr>
        <a:noFill/>
        <a:ln w="25400">
          <a:noFill/>
        </a:ln>
      </c:spPr>
    </c:legend>
    <c:plotVisOnly val="1"/>
    <c:dispBlanksAs val="gap"/>
    <c:showDLblsOverMax val="0"/>
  </c:chart>
  <c:spPr>
    <a:noFill/>
    <a:ln w="25400">
      <a:noFill/>
    </a:ln>
    <a:effectLst/>
  </c:spPr>
  <c:txPr>
    <a:bodyPr/>
    <a:lstStyle/>
    <a:p>
      <a:pPr>
        <a:defRPr sz="1000" b="0" i="0" u="none" strike="noStrike" baseline="0">
          <a:solidFill>
            <a:srgbClr val="595959"/>
          </a:solidFill>
          <a:latin typeface="Arial Narrow"/>
          <a:ea typeface="Arial Narrow"/>
          <a:cs typeface="Arial Narrow"/>
        </a:defRPr>
      </a:pPr>
      <a:endParaRPr lang="en-US"/>
    </a:p>
  </c:txPr>
  <c:printSettings>
    <c:headerFooter alignWithMargins="0"/>
    <c:pageMargins b="1" l="0.75000000000000111" r="0.75000000000000111" t="1" header="0.5" footer="0.5"/>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0728230483687885"/>
          <c:y val="8.3851058828881678E-2"/>
          <c:w val="0.46733235906653675"/>
          <c:h val="0.7328720952749167"/>
        </c:manualLayout>
      </c:layout>
      <c:radarChart>
        <c:radarStyle val="marker"/>
        <c:varyColors val="0"/>
        <c:ser>
          <c:idx val="0"/>
          <c:order val="0"/>
          <c:tx>
            <c:strRef>
              <c:f>FYBR!$W$24</c:f>
              <c:strCache>
                <c:ptCount val="1"/>
                <c:pt idx="0">
                  <c:v>ATCUS</c:v>
                </c:pt>
              </c:strCache>
            </c:strRef>
          </c:tx>
          <c:spPr>
            <a:ln w="25400">
              <a:solidFill>
                <a:srgbClr val="263238"/>
              </a:solidFill>
              <a:prstDash val="solid"/>
            </a:ln>
            <a:effectLst/>
          </c:spPr>
          <c:marker>
            <c:symbol val="diamond"/>
            <c:size val="6"/>
            <c:spPr>
              <a:solidFill>
                <a:srgbClr val="263238"/>
              </a:solidFill>
              <a:ln w="6350">
                <a:noFill/>
              </a:ln>
            </c:spPr>
          </c:marker>
          <c:cat>
            <c:strRef>
              <c:f>FYBR!$V$25:$V$34</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FYBR!$W$25:$W$34</c:f>
              <c:numCache>
                <c:formatCode>0%</c:formatCode>
                <c:ptCount val="10"/>
                <c:pt idx="0">
                  <c:v>1.5165601668593207</c:v>
                </c:pt>
                <c:pt idx="1">
                  <c:v>1.3169315256117453</c:v>
                </c:pt>
                <c:pt idx="2">
                  <c:v>-1.3783262470706439</c:v>
                </c:pt>
                <c:pt idx="3">
                  <c:v>-0.49489360571396035</c:v>
                </c:pt>
                <c:pt idx="4">
                  <c:v>1.0417645735040248</c:v>
                </c:pt>
                <c:pt idx="5">
                  <c:v>0.36528537606249367</c:v>
                </c:pt>
                <c:pt idx="6">
                  <c:v>-0.67649922086006986</c:v>
                </c:pt>
                <c:pt idx="7">
                  <c:v>20.278518541348806</c:v>
                </c:pt>
                <c:pt idx="8">
                  <c:v>0</c:v>
                </c:pt>
                <c:pt idx="9">
                  <c:v>-1.4781983026213188</c:v>
                </c:pt>
              </c:numCache>
            </c:numRef>
          </c:val>
          <c:extLst>
            <c:ext xmlns:c16="http://schemas.microsoft.com/office/drawing/2014/chart" uri="{C3380CC4-5D6E-409C-BE32-E72D297353CC}">
              <c16:uniqueId val="{00000000-FAA4-4EFE-B2B1-2218B353591E}"/>
            </c:ext>
          </c:extLst>
        </c:ser>
        <c:ser>
          <c:idx val="1"/>
          <c:order val="1"/>
          <c:tx>
            <c:strRef>
              <c:f>FYBR!$X$24</c:f>
              <c:strCache>
                <c:ptCount val="1"/>
                <c:pt idx="0">
                  <c:v>Agg. US CATV</c:v>
                </c:pt>
              </c:strCache>
            </c:strRef>
          </c:tx>
          <c:spPr>
            <a:ln w="25400">
              <a:solidFill>
                <a:srgbClr val="799098"/>
              </a:solidFill>
              <a:prstDash val="solid"/>
            </a:ln>
            <a:effectLst/>
          </c:spPr>
          <c:marker>
            <c:symbol val="diamond"/>
            <c:size val="6"/>
            <c:spPr>
              <a:solidFill>
                <a:srgbClr val="799098"/>
              </a:solidFill>
              <a:ln w="6350">
                <a:noFill/>
              </a:ln>
            </c:spPr>
          </c:marker>
          <c:cat>
            <c:strRef>
              <c:f>FYBR!$V$25:$V$34</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FYBR!$X$25:$X$34</c:f>
              <c:numCache>
                <c:formatCode>0%</c:formatCode>
                <c:ptCount val="10"/>
                <c:pt idx="0">
                  <c:v>1</c:v>
                </c:pt>
                <c:pt idx="1">
                  <c:v>1</c:v>
                </c:pt>
                <c:pt idx="2">
                  <c:v>1</c:v>
                </c:pt>
                <c:pt idx="3">
                  <c:v>1</c:v>
                </c:pt>
                <c:pt idx="4">
                  <c:v>1</c:v>
                </c:pt>
                <c:pt idx="5">
                  <c:v>1</c:v>
                </c:pt>
                <c:pt idx="6">
                  <c:v>1</c:v>
                </c:pt>
                <c:pt idx="7">
                  <c:v>1</c:v>
                </c:pt>
                <c:pt idx="8">
                  <c:v>1</c:v>
                </c:pt>
                <c:pt idx="9">
                  <c:v>1</c:v>
                </c:pt>
              </c:numCache>
            </c:numRef>
          </c:val>
          <c:extLst>
            <c:ext xmlns:c16="http://schemas.microsoft.com/office/drawing/2014/chart" uri="{C3380CC4-5D6E-409C-BE32-E72D297353CC}">
              <c16:uniqueId val="{00000001-FAA4-4EFE-B2B1-2218B353591E}"/>
            </c:ext>
          </c:extLst>
        </c:ser>
        <c:dLbls>
          <c:showLegendKey val="0"/>
          <c:showVal val="0"/>
          <c:showCatName val="0"/>
          <c:showSerName val="0"/>
          <c:showPercent val="0"/>
          <c:showBubbleSize val="0"/>
        </c:dLbls>
        <c:axId val="348481408"/>
        <c:axId val="348495872"/>
      </c:radarChart>
      <c:catAx>
        <c:axId val="348481408"/>
        <c:scaling>
          <c:orientation val="minMax"/>
        </c:scaling>
        <c:delete val="0"/>
        <c:axPos val="b"/>
        <c:numFmt formatCode="General" sourceLinked="1"/>
        <c:majorTickMark val="out"/>
        <c:minorTickMark val="none"/>
        <c:tickLblPos val="nextTo"/>
        <c:spPr>
          <a:ln>
            <a:solidFill>
              <a:srgbClr val="B3B3B3"/>
            </a:solidFill>
          </a:ln>
        </c:spPr>
        <c:txPr>
          <a:bodyPr rot="0" vert="horz"/>
          <a:lstStyle/>
          <a:p>
            <a:pPr>
              <a:defRPr/>
            </a:pPr>
            <a:endParaRPr lang="en-US"/>
          </a:p>
        </c:txPr>
        <c:crossAx val="348495872"/>
        <c:crosses val="autoZero"/>
        <c:auto val="0"/>
        <c:lblAlgn val="ctr"/>
        <c:lblOffset val="100"/>
        <c:noMultiLvlLbl val="0"/>
      </c:catAx>
      <c:valAx>
        <c:axId val="348495872"/>
        <c:scaling>
          <c:orientation val="minMax"/>
        </c:scaling>
        <c:delete val="0"/>
        <c:axPos val="l"/>
        <c:numFmt formatCode="0%" sourceLinked="1"/>
        <c:majorTickMark val="cross"/>
        <c:minorTickMark val="none"/>
        <c:tickLblPos val="nextTo"/>
        <c:spPr>
          <a:ln w="3175">
            <a:solidFill>
              <a:srgbClr val="B3B3B3"/>
            </a:solidFill>
            <a:prstDash val="solid"/>
          </a:ln>
        </c:spPr>
        <c:txPr>
          <a:bodyPr rot="0" vert="horz"/>
          <a:lstStyle/>
          <a:p>
            <a:pPr>
              <a:defRPr/>
            </a:pPr>
            <a:endParaRPr lang="en-US"/>
          </a:p>
        </c:txPr>
        <c:crossAx val="348481408"/>
        <c:crosses val="autoZero"/>
        <c:crossBetween val="between"/>
      </c:valAx>
      <c:spPr>
        <a:noFill/>
        <a:ln w="25400">
          <a:noFill/>
        </a:ln>
      </c:spPr>
    </c:plotArea>
    <c:legend>
      <c:legendPos val="b"/>
      <c:overlay val="0"/>
      <c:spPr>
        <a:noFill/>
        <a:ln w="25400">
          <a:noFill/>
        </a:ln>
      </c:spPr>
    </c:legend>
    <c:plotVisOnly val="1"/>
    <c:dispBlanksAs val="gap"/>
    <c:showDLblsOverMax val="0"/>
  </c:chart>
  <c:spPr>
    <a:noFill/>
    <a:ln w="25400">
      <a:noFill/>
    </a:ln>
    <a:effectLst/>
  </c:spPr>
  <c:txPr>
    <a:bodyPr/>
    <a:lstStyle/>
    <a:p>
      <a:pPr>
        <a:defRPr sz="1000" b="0" i="0" u="none" strike="noStrike" baseline="0">
          <a:solidFill>
            <a:srgbClr val="595959"/>
          </a:solidFill>
          <a:latin typeface="Arial Narrow"/>
          <a:ea typeface="Arial Narrow"/>
          <a:cs typeface="Arial Narrow"/>
        </a:defRPr>
      </a:pPr>
      <a:endParaRPr lang="en-US"/>
    </a:p>
  </c:txPr>
  <c:printSettings>
    <c:headerFooter alignWithMargins="0"/>
    <c:pageMargins b="1" l="0.75000000000000111" r="0.75000000000000111" t="1" header="0.5" footer="0.5"/>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5806477017779988"/>
          <c:y val="6.8323084971681311E-2"/>
          <c:w val="0.45919034348174226"/>
          <c:h val="0.72545602242074769"/>
        </c:manualLayout>
      </c:layout>
      <c:radarChart>
        <c:radarStyle val="marker"/>
        <c:varyColors val="0"/>
        <c:ser>
          <c:idx val="0"/>
          <c:order val="0"/>
          <c:tx>
            <c:strRef>
              <c:f>SINGTEL!$W$24</c:f>
              <c:strCache>
                <c:ptCount val="1"/>
                <c:pt idx="0">
                  <c:v>Singtel</c:v>
                </c:pt>
              </c:strCache>
            </c:strRef>
          </c:tx>
          <c:spPr>
            <a:ln w="25400">
              <a:solidFill>
                <a:srgbClr val="263238"/>
              </a:solidFill>
              <a:prstDash val="solid"/>
            </a:ln>
            <a:effectLst/>
          </c:spPr>
          <c:marker>
            <c:symbol val="diamond"/>
            <c:size val="6"/>
            <c:spPr>
              <a:solidFill>
                <a:srgbClr val="263238"/>
              </a:solidFill>
              <a:ln w="6350">
                <a:noFill/>
              </a:ln>
            </c:spPr>
          </c:marker>
          <c:cat>
            <c:strRef>
              <c:f>SINGTEL!$V$25:$V$34</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SINGTEL!$W$25:$W$34</c:f>
              <c:numCache>
                <c:formatCode>0%</c:formatCode>
                <c:ptCount val="10"/>
                <c:pt idx="0">
                  <c:v>5.0175304067382673E-2</c:v>
                </c:pt>
                <c:pt idx="1">
                  <c:v>2.3410106352584659E-2</c:v>
                </c:pt>
                <c:pt idx="2">
                  <c:v>1.7633341793874945E-2</c:v>
                </c:pt>
                <c:pt idx="3">
                  <c:v>1.6375116272342786E-2</c:v>
                </c:pt>
                <c:pt idx="4">
                  <c:v>2.3866830904523611E-2</c:v>
                </c:pt>
                <c:pt idx="5">
                  <c:v>3.39448519669329E-2</c:v>
                </c:pt>
                <c:pt idx="6">
                  <c:v>4.1385487278899156</c:v>
                </c:pt>
                <c:pt idx="7">
                  <c:v>3.1654995088806759E-2</c:v>
                </c:pt>
                <c:pt idx="8">
                  <c:v>33.972204941408101</c:v>
                </c:pt>
                <c:pt idx="9">
                  <c:v>0.24163059704019985</c:v>
                </c:pt>
              </c:numCache>
            </c:numRef>
          </c:val>
          <c:extLst>
            <c:ext xmlns:c16="http://schemas.microsoft.com/office/drawing/2014/chart" uri="{C3380CC4-5D6E-409C-BE32-E72D297353CC}">
              <c16:uniqueId val="{00000000-28F2-460D-B47F-22B1E8B91AFD}"/>
            </c:ext>
          </c:extLst>
        </c:ser>
        <c:ser>
          <c:idx val="1"/>
          <c:order val="1"/>
          <c:tx>
            <c:strRef>
              <c:f>SINGTEL!$X$24</c:f>
              <c:strCache>
                <c:ptCount val="1"/>
                <c:pt idx="0">
                  <c:v>Agg. Asia Incumbents</c:v>
                </c:pt>
              </c:strCache>
            </c:strRef>
          </c:tx>
          <c:spPr>
            <a:ln w="25400">
              <a:solidFill>
                <a:srgbClr val="799098"/>
              </a:solidFill>
              <a:prstDash val="solid"/>
            </a:ln>
            <a:effectLst/>
          </c:spPr>
          <c:marker>
            <c:symbol val="diamond"/>
            <c:size val="6"/>
            <c:spPr>
              <a:solidFill>
                <a:srgbClr val="799098"/>
              </a:solidFill>
              <a:ln w="6350">
                <a:noFill/>
              </a:ln>
            </c:spPr>
          </c:marker>
          <c:cat>
            <c:strRef>
              <c:f>SINGTEL!$V$25:$V$34</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SINGTEL!$X$25:$X$34</c:f>
              <c:numCache>
                <c:formatCode>0%</c:formatCode>
                <c:ptCount val="10"/>
                <c:pt idx="0">
                  <c:v>1</c:v>
                </c:pt>
                <c:pt idx="1">
                  <c:v>1</c:v>
                </c:pt>
                <c:pt idx="2">
                  <c:v>1</c:v>
                </c:pt>
                <c:pt idx="3">
                  <c:v>1</c:v>
                </c:pt>
                <c:pt idx="4">
                  <c:v>1</c:v>
                </c:pt>
                <c:pt idx="5">
                  <c:v>1</c:v>
                </c:pt>
                <c:pt idx="6">
                  <c:v>1</c:v>
                </c:pt>
                <c:pt idx="7">
                  <c:v>1</c:v>
                </c:pt>
                <c:pt idx="8">
                  <c:v>1</c:v>
                </c:pt>
                <c:pt idx="9">
                  <c:v>1</c:v>
                </c:pt>
              </c:numCache>
            </c:numRef>
          </c:val>
          <c:extLst>
            <c:ext xmlns:c16="http://schemas.microsoft.com/office/drawing/2014/chart" uri="{C3380CC4-5D6E-409C-BE32-E72D297353CC}">
              <c16:uniqueId val="{00000001-28F2-460D-B47F-22B1E8B91AFD}"/>
            </c:ext>
          </c:extLst>
        </c:ser>
        <c:dLbls>
          <c:showLegendKey val="0"/>
          <c:showVal val="0"/>
          <c:showCatName val="0"/>
          <c:showSerName val="0"/>
          <c:showPercent val="0"/>
          <c:showBubbleSize val="0"/>
        </c:dLbls>
        <c:axId val="295351424"/>
        <c:axId val="295353344"/>
      </c:radarChart>
      <c:catAx>
        <c:axId val="295351424"/>
        <c:scaling>
          <c:orientation val="minMax"/>
        </c:scaling>
        <c:delete val="0"/>
        <c:axPos val="b"/>
        <c:numFmt formatCode="General" sourceLinked="1"/>
        <c:majorTickMark val="out"/>
        <c:minorTickMark val="none"/>
        <c:tickLblPos val="nextTo"/>
        <c:spPr>
          <a:ln>
            <a:solidFill>
              <a:srgbClr val="B3B3B3"/>
            </a:solidFill>
          </a:ln>
        </c:spPr>
        <c:txPr>
          <a:bodyPr rot="0" vert="horz"/>
          <a:lstStyle/>
          <a:p>
            <a:pPr>
              <a:defRPr/>
            </a:pPr>
            <a:endParaRPr lang="en-US"/>
          </a:p>
        </c:txPr>
        <c:crossAx val="295353344"/>
        <c:crosses val="autoZero"/>
        <c:auto val="0"/>
        <c:lblAlgn val="ctr"/>
        <c:lblOffset val="100"/>
        <c:noMultiLvlLbl val="0"/>
      </c:catAx>
      <c:valAx>
        <c:axId val="295353344"/>
        <c:scaling>
          <c:orientation val="minMax"/>
        </c:scaling>
        <c:delete val="0"/>
        <c:axPos val="l"/>
        <c:numFmt formatCode="0%" sourceLinked="1"/>
        <c:majorTickMark val="cross"/>
        <c:minorTickMark val="none"/>
        <c:tickLblPos val="nextTo"/>
        <c:spPr>
          <a:ln w="3175">
            <a:solidFill>
              <a:srgbClr val="B3B3B3"/>
            </a:solidFill>
            <a:prstDash val="solid"/>
          </a:ln>
        </c:spPr>
        <c:txPr>
          <a:bodyPr rot="0" vert="horz"/>
          <a:lstStyle/>
          <a:p>
            <a:pPr>
              <a:defRPr/>
            </a:pPr>
            <a:endParaRPr lang="en-US"/>
          </a:p>
        </c:txPr>
        <c:crossAx val="295351424"/>
        <c:crosses val="autoZero"/>
        <c:crossBetween val="between"/>
      </c:valAx>
      <c:spPr>
        <a:noFill/>
        <a:ln w="25400">
          <a:noFill/>
        </a:ln>
      </c:spPr>
    </c:plotArea>
    <c:legend>
      <c:legendPos val="b"/>
      <c:overlay val="0"/>
      <c:spPr>
        <a:noFill/>
        <a:ln w="25400">
          <a:noFill/>
        </a:ln>
      </c:spPr>
    </c:legend>
    <c:plotVisOnly val="1"/>
    <c:dispBlanksAs val="gap"/>
    <c:showDLblsOverMax val="0"/>
  </c:chart>
  <c:spPr>
    <a:noFill/>
    <a:ln w="25400">
      <a:noFill/>
    </a:ln>
    <a:effectLst/>
  </c:spPr>
  <c:txPr>
    <a:bodyPr/>
    <a:lstStyle/>
    <a:p>
      <a:pPr>
        <a:defRPr sz="1000" b="0" i="0" u="none" strike="noStrike" baseline="0">
          <a:solidFill>
            <a:srgbClr val="595959"/>
          </a:solidFill>
          <a:latin typeface="Arial Narrow"/>
          <a:ea typeface="Arial Narrow"/>
          <a:cs typeface="Arial Narrow"/>
        </a:defRPr>
      </a:pPr>
      <a:endParaRPr lang="en-US"/>
    </a:p>
  </c:txPr>
  <c:printSettings>
    <c:headerFooter alignWithMargins="0"/>
    <c:pageMargins b="1" l="0.75000000000000111" r="0.75000000000000111" t="1" header="0.5" footer="0.5"/>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9349527416776011"/>
          <c:y val="0.17145466287259617"/>
          <c:w val="0.40691034528918546"/>
          <c:h val="0.60195429961050384"/>
        </c:manualLayout>
      </c:layout>
      <c:radarChart>
        <c:radarStyle val="marker"/>
        <c:varyColors val="0"/>
        <c:ser>
          <c:idx val="0"/>
          <c:order val="0"/>
          <c:tx>
            <c:strRef>
              <c:f>SITES!$W$24</c:f>
              <c:strCache>
                <c:ptCount val="1"/>
                <c:pt idx="0">
                  <c:v>Telesites</c:v>
                </c:pt>
              </c:strCache>
            </c:strRef>
          </c:tx>
          <c:spPr>
            <a:ln w="25400">
              <a:solidFill>
                <a:srgbClr val="263238"/>
              </a:solidFill>
              <a:prstDash val="solid"/>
            </a:ln>
            <a:effectLst/>
          </c:spPr>
          <c:marker>
            <c:symbol val="diamond"/>
            <c:size val="6"/>
            <c:spPr>
              <a:solidFill>
                <a:srgbClr val="263238"/>
              </a:solidFill>
              <a:ln w="6350">
                <a:noFill/>
              </a:ln>
            </c:spPr>
          </c:marker>
          <c:cat>
            <c:strRef>
              <c:f>SITES!$V$25:$V$32</c:f>
              <c:strCache>
                <c:ptCount val="8"/>
                <c:pt idx="0">
                  <c:v>EV/Revenue</c:v>
                </c:pt>
                <c:pt idx="1">
                  <c:v>EV/EBITDA</c:v>
                </c:pt>
                <c:pt idx="2">
                  <c:v>EV/OpFCF</c:v>
                </c:pt>
                <c:pt idx="3">
                  <c:v>EV/FCF</c:v>
                </c:pt>
                <c:pt idx="4">
                  <c:v>P/EFCF</c:v>
                </c:pt>
                <c:pt idx="5">
                  <c:v>Adjusted P/E</c:v>
                </c:pt>
                <c:pt idx="6">
                  <c:v>Dividend yield</c:v>
                </c:pt>
                <c:pt idx="7">
                  <c:v>EFCF yield</c:v>
                </c:pt>
              </c:strCache>
            </c:strRef>
          </c:cat>
          <c:val>
            <c:numRef>
              <c:f>SITES!$W$25:$W$32</c:f>
              <c:numCache>
                <c:formatCode>0%</c:formatCode>
                <c:ptCount val="8"/>
                <c:pt idx="0">
                  <c:v>2.8706531694118769</c:v>
                </c:pt>
                <c:pt idx="1">
                  <c:v>1.9688543391173501</c:v>
                </c:pt>
                <c:pt idx="2">
                  <c:v>1.5429669817165885</c:v>
                </c:pt>
                <c:pt idx="3">
                  <c:v>1.9741052448148231</c:v>
                </c:pt>
                <c:pt idx="4">
                  <c:v>2.5786776008336227</c:v>
                </c:pt>
                <c:pt idx="5">
                  <c:v>2.0559004287663933</c:v>
                </c:pt>
                <c:pt idx="6">
                  <c:v>0</c:v>
                </c:pt>
                <c:pt idx="7">
                  <c:v>0.38779566692506451</c:v>
                </c:pt>
              </c:numCache>
            </c:numRef>
          </c:val>
          <c:extLst>
            <c:ext xmlns:c16="http://schemas.microsoft.com/office/drawing/2014/chart" uri="{C3380CC4-5D6E-409C-BE32-E72D297353CC}">
              <c16:uniqueId val="{00000000-4136-44E2-BE18-5F3CC840EEE6}"/>
            </c:ext>
          </c:extLst>
        </c:ser>
        <c:ser>
          <c:idx val="1"/>
          <c:order val="1"/>
          <c:tx>
            <c:strRef>
              <c:f>SITES!$X$24</c:f>
              <c:strCache>
                <c:ptCount val="1"/>
                <c:pt idx="0">
                  <c:v>LatAm </c:v>
                </c:pt>
              </c:strCache>
            </c:strRef>
          </c:tx>
          <c:spPr>
            <a:ln w="25400">
              <a:solidFill>
                <a:srgbClr val="799098"/>
              </a:solidFill>
              <a:prstDash val="solid"/>
            </a:ln>
            <a:effectLst/>
          </c:spPr>
          <c:marker>
            <c:symbol val="diamond"/>
            <c:size val="6"/>
            <c:spPr>
              <a:solidFill>
                <a:srgbClr val="799098"/>
              </a:solidFill>
              <a:ln w="6350">
                <a:noFill/>
              </a:ln>
            </c:spPr>
          </c:marker>
          <c:cat>
            <c:strRef>
              <c:f>SITES!$V$25:$V$32</c:f>
              <c:strCache>
                <c:ptCount val="8"/>
                <c:pt idx="0">
                  <c:v>EV/Revenue</c:v>
                </c:pt>
                <c:pt idx="1">
                  <c:v>EV/EBITDA</c:v>
                </c:pt>
                <c:pt idx="2">
                  <c:v>EV/OpFCF</c:v>
                </c:pt>
                <c:pt idx="3">
                  <c:v>EV/FCF</c:v>
                </c:pt>
                <c:pt idx="4">
                  <c:v>P/EFCF</c:v>
                </c:pt>
                <c:pt idx="5">
                  <c:v>Adjusted P/E</c:v>
                </c:pt>
                <c:pt idx="6">
                  <c:v>Dividend yield</c:v>
                </c:pt>
                <c:pt idx="7">
                  <c:v>EFCF yield</c:v>
                </c:pt>
              </c:strCache>
            </c:strRef>
          </c:cat>
          <c:val>
            <c:numRef>
              <c:f>SITES!$X$25:$X$32</c:f>
              <c:numCache>
                <c:formatCode>0%</c:formatCode>
                <c:ptCount val="8"/>
                <c:pt idx="0">
                  <c:v>1</c:v>
                </c:pt>
                <c:pt idx="1">
                  <c:v>1</c:v>
                </c:pt>
                <c:pt idx="2">
                  <c:v>1</c:v>
                </c:pt>
                <c:pt idx="3">
                  <c:v>1</c:v>
                </c:pt>
                <c:pt idx="4">
                  <c:v>1</c:v>
                </c:pt>
                <c:pt idx="5">
                  <c:v>1</c:v>
                </c:pt>
                <c:pt idx="6">
                  <c:v>1</c:v>
                </c:pt>
                <c:pt idx="7">
                  <c:v>1</c:v>
                </c:pt>
              </c:numCache>
            </c:numRef>
          </c:val>
          <c:extLst>
            <c:ext xmlns:c16="http://schemas.microsoft.com/office/drawing/2014/chart" uri="{C3380CC4-5D6E-409C-BE32-E72D297353CC}">
              <c16:uniqueId val="{00000001-4136-44E2-BE18-5F3CC840EEE6}"/>
            </c:ext>
          </c:extLst>
        </c:ser>
        <c:dLbls>
          <c:showLegendKey val="0"/>
          <c:showVal val="0"/>
          <c:showCatName val="0"/>
          <c:showSerName val="0"/>
          <c:showPercent val="0"/>
          <c:showBubbleSize val="0"/>
        </c:dLbls>
        <c:axId val="295416960"/>
        <c:axId val="295418880"/>
      </c:radarChart>
      <c:catAx>
        <c:axId val="295416960"/>
        <c:scaling>
          <c:orientation val="minMax"/>
        </c:scaling>
        <c:delete val="0"/>
        <c:axPos val="b"/>
        <c:numFmt formatCode="General" sourceLinked="1"/>
        <c:majorTickMark val="out"/>
        <c:minorTickMark val="none"/>
        <c:tickLblPos val="nextTo"/>
        <c:spPr>
          <a:ln>
            <a:solidFill>
              <a:srgbClr val="B3B3B3"/>
            </a:solidFill>
          </a:ln>
        </c:spPr>
        <c:txPr>
          <a:bodyPr rot="0" vert="horz"/>
          <a:lstStyle/>
          <a:p>
            <a:pPr>
              <a:defRPr/>
            </a:pPr>
            <a:endParaRPr lang="en-US"/>
          </a:p>
        </c:txPr>
        <c:crossAx val="295418880"/>
        <c:crosses val="autoZero"/>
        <c:auto val="0"/>
        <c:lblAlgn val="ctr"/>
        <c:lblOffset val="100"/>
        <c:noMultiLvlLbl val="0"/>
      </c:catAx>
      <c:valAx>
        <c:axId val="295418880"/>
        <c:scaling>
          <c:orientation val="minMax"/>
        </c:scaling>
        <c:delete val="0"/>
        <c:axPos val="l"/>
        <c:numFmt formatCode="0%" sourceLinked="1"/>
        <c:majorTickMark val="cross"/>
        <c:minorTickMark val="none"/>
        <c:tickLblPos val="nextTo"/>
        <c:spPr>
          <a:ln w="3175">
            <a:solidFill>
              <a:srgbClr val="B3B3B3"/>
            </a:solidFill>
            <a:prstDash val="solid"/>
          </a:ln>
        </c:spPr>
        <c:txPr>
          <a:bodyPr rot="0" vert="horz"/>
          <a:lstStyle/>
          <a:p>
            <a:pPr>
              <a:defRPr/>
            </a:pPr>
            <a:endParaRPr lang="en-US"/>
          </a:p>
        </c:txPr>
        <c:crossAx val="295416960"/>
        <c:crosses val="autoZero"/>
        <c:crossBetween val="between"/>
      </c:valAx>
      <c:spPr>
        <a:noFill/>
        <a:ln w="25400">
          <a:noFill/>
        </a:ln>
      </c:spPr>
    </c:plotArea>
    <c:legend>
      <c:legendPos val="b"/>
      <c:overlay val="0"/>
      <c:spPr>
        <a:noFill/>
        <a:ln w="25400">
          <a:noFill/>
        </a:ln>
      </c:spPr>
    </c:legend>
    <c:plotVisOnly val="1"/>
    <c:dispBlanksAs val="gap"/>
    <c:showDLblsOverMax val="0"/>
  </c:chart>
  <c:spPr>
    <a:noFill/>
    <a:ln w="25400">
      <a:noFill/>
    </a:ln>
    <a:effectLst/>
  </c:spPr>
  <c:txPr>
    <a:bodyPr/>
    <a:lstStyle/>
    <a:p>
      <a:pPr>
        <a:defRPr sz="1000" b="0" i="0" u="none" strike="noStrike" baseline="0">
          <a:solidFill>
            <a:srgbClr val="595959"/>
          </a:solidFill>
          <a:latin typeface="Arial Narrow"/>
          <a:ea typeface="Arial Narrow"/>
          <a:cs typeface="Arial Narrow"/>
        </a:defRPr>
      </a:pPr>
      <a:endParaRPr lang="en-US"/>
    </a:p>
  </c:txPr>
  <c:printSettings>
    <c:headerFooter alignWithMargins="0"/>
    <c:pageMargins b="1" l="0.75000000000000111" r="0.75000000000000111" t="1" header="0.5" footer="0.5"/>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2056483170523603"/>
          <c:y val="0.21846186667948744"/>
          <c:w val="0.3669358450965588"/>
          <c:h val="0.5600008413474179"/>
        </c:manualLayout>
      </c:layout>
      <c:radarChart>
        <c:radarStyle val="marker"/>
        <c:varyColors val="0"/>
        <c:ser>
          <c:idx val="0"/>
          <c:order val="0"/>
          <c:tx>
            <c:strRef>
              <c:f>SKT!$W$24</c:f>
              <c:strCache>
                <c:ptCount val="1"/>
                <c:pt idx="0">
                  <c:v>SKT</c:v>
                </c:pt>
              </c:strCache>
            </c:strRef>
          </c:tx>
          <c:spPr>
            <a:ln w="25400">
              <a:solidFill>
                <a:srgbClr val="263238"/>
              </a:solidFill>
              <a:prstDash val="solid"/>
            </a:ln>
            <a:effectLst/>
          </c:spPr>
          <c:marker>
            <c:symbol val="diamond"/>
            <c:size val="6"/>
            <c:spPr>
              <a:solidFill>
                <a:srgbClr val="263238"/>
              </a:solidFill>
              <a:ln w="6350">
                <a:noFill/>
              </a:ln>
            </c:spPr>
          </c:marker>
          <c:cat>
            <c:strRef>
              <c:f>SKT!$V$25:$V$34</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SKT!$W$25:$W$34</c:f>
              <c:numCache>
                <c:formatCode>0%</c:formatCode>
                <c:ptCount val="10"/>
                <c:pt idx="0">
                  <c:v>0.63393689413224186</c:v>
                </c:pt>
                <c:pt idx="1">
                  <c:v>0.66468797180102179</c:v>
                </c:pt>
                <c:pt idx="2">
                  <c:v>0.68725086382091649</c:v>
                </c:pt>
                <c:pt idx="3">
                  <c:v>0.7283516788808887</c:v>
                </c:pt>
                <c:pt idx="4">
                  <c:v>1.7668037851343801</c:v>
                </c:pt>
                <c:pt idx="5">
                  <c:v>0.44406374963264256</c:v>
                </c:pt>
                <c:pt idx="6">
                  <c:v>0.55048626796835898</c:v>
                </c:pt>
                <c:pt idx="7">
                  <c:v>0.58138063920399696</c:v>
                </c:pt>
                <c:pt idx="8">
                  <c:v>1.637257700802722</c:v>
                </c:pt>
                <c:pt idx="9">
                  <c:v>1.816575740736694</c:v>
                </c:pt>
              </c:numCache>
            </c:numRef>
          </c:val>
          <c:extLst>
            <c:ext xmlns:c16="http://schemas.microsoft.com/office/drawing/2014/chart" uri="{C3380CC4-5D6E-409C-BE32-E72D297353CC}">
              <c16:uniqueId val="{00000000-7B13-42EB-8145-F956236BDC7D}"/>
            </c:ext>
          </c:extLst>
        </c:ser>
        <c:ser>
          <c:idx val="1"/>
          <c:order val="1"/>
          <c:tx>
            <c:strRef>
              <c:f>SKT!$X$24</c:f>
              <c:strCache>
                <c:ptCount val="1"/>
                <c:pt idx="0">
                  <c:v>Agg. Asia Cellular</c:v>
                </c:pt>
              </c:strCache>
            </c:strRef>
          </c:tx>
          <c:spPr>
            <a:ln w="25400">
              <a:solidFill>
                <a:srgbClr val="799098"/>
              </a:solidFill>
              <a:prstDash val="solid"/>
            </a:ln>
            <a:effectLst/>
          </c:spPr>
          <c:marker>
            <c:symbol val="diamond"/>
            <c:size val="6"/>
            <c:spPr>
              <a:solidFill>
                <a:srgbClr val="799098"/>
              </a:solidFill>
              <a:ln w="6350">
                <a:noFill/>
              </a:ln>
            </c:spPr>
          </c:marker>
          <c:cat>
            <c:strRef>
              <c:f>SKT!$V$25:$V$34</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SKT!$X$25:$X$34</c:f>
              <c:numCache>
                <c:formatCode>0%</c:formatCode>
                <c:ptCount val="10"/>
                <c:pt idx="0">
                  <c:v>1</c:v>
                </c:pt>
                <c:pt idx="1">
                  <c:v>1</c:v>
                </c:pt>
                <c:pt idx="2">
                  <c:v>1</c:v>
                </c:pt>
                <c:pt idx="3">
                  <c:v>1</c:v>
                </c:pt>
                <c:pt idx="4">
                  <c:v>1</c:v>
                </c:pt>
                <c:pt idx="5">
                  <c:v>1</c:v>
                </c:pt>
                <c:pt idx="6">
                  <c:v>1</c:v>
                </c:pt>
                <c:pt idx="7">
                  <c:v>1</c:v>
                </c:pt>
                <c:pt idx="8">
                  <c:v>1</c:v>
                </c:pt>
                <c:pt idx="9">
                  <c:v>1</c:v>
                </c:pt>
              </c:numCache>
            </c:numRef>
          </c:val>
          <c:extLst>
            <c:ext xmlns:c16="http://schemas.microsoft.com/office/drawing/2014/chart" uri="{C3380CC4-5D6E-409C-BE32-E72D297353CC}">
              <c16:uniqueId val="{00000001-7B13-42EB-8145-F956236BDC7D}"/>
            </c:ext>
          </c:extLst>
        </c:ser>
        <c:dLbls>
          <c:showLegendKey val="0"/>
          <c:showVal val="0"/>
          <c:showCatName val="0"/>
          <c:showSerName val="0"/>
          <c:showPercent val="0"/>
          <c:showBubbleSize val="0"/>
        </c:dLbls>
        <c:axId val="318718720"/>
        <c:axId val="318720640"/>
      </c:radarChart>
      <c:catAx>
        <c:axId val="318718720"/>
        <c:scaling>
          <c:orientation val="minMax"/>
        </c:scaling>
        <c:delete val="0"/>
        <c:axPos val="b"/>
        <c:numFmt formatCode="General" sourceLinked="1"/>
        <c:majorTickMark val="out"/>
        <c:minorTickMark val="none"/>
        <c:tickLblPos val="nextTo"/>
        <c:spPr>
          <a:ln>
            <a:solidFill>
              <a:srgbClr val="B3B3B3"/>
            </a:solidFill>
          </a:ln>
        </c:spPr>
        <c:txPr>
          <a:bodyPr rot="0" vert="horz"/>
          <a:lstStyle/>
          <a:p>
            <a:pPr>
              <a:defRPr/>
            </a:pPr>
            <a:endParaRPr lang="en-US"/>
          </a:p>
        </c:txPr>
        <c:crossAx val="318720640"/>
        <c:crosses val="autoZero"/>
        <c:auto val="0"/>
        <c:lblAlgn val="ctr"/>
        <c:lblOffset val="100"/>
        <c:noMultiLvlLbl val="0"/>
      </c:catAx>
      <c:valAx>
        <c:axId val="318720640"/>
        <c:scaling>
          <c:orientation val="minMax"/>
        </c:scaling>
        <c:delete val="0"/>
        <c:axPos val="l"/>
        <c:numFmt formatCode="0%" sourceLinked="1"/>
        <c:majorTickMark val="cross"/>
        <c:minorTickMark val="none"/>
        <c:tickLblPos val="nextTo"/>
        <c:spPr>
          <a:ln w="3175">
            <a:solidFill>
              <a:srgbClr val="B3B3B3"/>
            </a:solidFill>
            <a:prstDash val="solid"/>
          </a:ln>
        </c:spPr>
        <c:txPr>
          <a:bodyPr rot="0" vert="horz"/>
          <a:lstStyle/>
          <a:p>
            <a:pPr>
              <a:defRPr/>
            </a:pPr>
            <a:endParaRPr lang="en-US"/>
          </a:p>
        </c:txPr>
        <c:crossAx val="318718720"/>
        <c:crosses val="autoZero"/>
        <c:crossBetween val="between"/>
      </c:valAx>
      <c:spPr>
        <a:noFill/>
        <a:ln w="25400">
          <a:noFill/>
        </a:ln>
      </c:spPr>
    </c:plotArea>
    <c:legend>
      <c:legendPos val="b"/>
      <c:overlay val="0"/>
      <c:spPr>
        <a:noFill/>
        <a:ln w="25400">
          <a:noFill/>
        </a:ln>
      </c:spPr>
    </c:legend>
    <c:plotVisOnly val="1"/>
    <c:dispBlanksAs val="gap"/>
    <c:showDLblsOverMax val="0"/>
  </c:chart>
  <c:spPr>
    <a:noFill/>
    <a:ln w="25400">
      <a:noFill/>
    </a:ln>
    <a:effectLst/>
  </c:spPr>
  <c:txPr>
    <a:bodyPr/>
    <a:lstStyle/>
    <a:p>
      <a:pPr>
        <a:defRPr sz="1000" b="0" i="0" u="none" strike="noStrike" baseline="0">
          <a:solidFill>
            <a:srgbClr val="595959"/>
          </a:solidFill>
          <a:latin typeface="Arial Narrow"/>
          <a:ea typeface="Arial Narrow"/>
          <a:cs typeface="Arial Narrow"/>
        </a:defRPr>
      </a:pPr>
      <a:endParaRPr lang="en-US"/>
    </a:p>
  </c:txPr>
  <c:printSettings>
    <c:headerFooter alignWithMargins="0"/>
    <c:pageMargins b="1" l="0.75000000000000111" r="0.75000000000000111" t="1" header="0.5" footer="0.5"/>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3752425058685237"/>
          <c:y val="0.13538481878728784"/>
          <c:w val="0.40479236575401345"/>
          <c:h val="0.63046767681006788"/>
        </c:manualLayout>
      </c:layout>
      <c:radarChart>
        <c:radarStyle val="marker"/>
        <c:varyColors val="0"/>
        <c:ser>
          <c:idx val="0"/>
          <c:order val="0"/>
          <c:tx>
            <c:strRef>
              <c:f>SPK!$W$24</c:f>
              <c:strCache>
                <c:ptCount val="1"/>
                <c:pt idx="0">
                  <c:v>Telstra</c:v>
                </c:pt>
              </c:strCache>
            </c:strRef>
          </c:tx>
          <c:spPr>
            <a:ln w="25400">
              <a:solidFill>
                <a:srgbClr val="263238"/>
              </a:solidFill>
              <a:prstDash val="solid"/>
            </a:ln>
            <a:effectLst/>
          </c:spPr>
          <c:marker>
            <c:symbol val="diamond"/>
            <c:size val="6"/>
            <c:spPr>
              <a:solidFill>
                <a:srgbClr val="263238"/>
              </a:solidFill>
              <a:ln w="6350">
                <a:noFill/>
              </a:ln>
            </c:spPr>
          </c:marker>
          <c:cat>
            <c:strRef>
              <c:f>SPK!$V$25:$V$34</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SPK!$W$25:$W$34</c:f>
              <c:numCache>
                <c:formatCode>0%</c:formatCode>
                <c:ptCount val="10"/>
                <c:pt idx="0">
                  <c:v>3.0974736331107085E-2</c:v>
                </c:pt>
                <c:pt idx="1">
                  <c:v>2.7447707363762574E-2</c:v>
                </c:pt>
                <c:pt idx="2">
                  <c:v>1.7370868191242426E-2</c:v>
                </c:pt>
                <c:pt idx="3">
                  <c:v>1.7962950963818558E-2</c:v>
                </c:pt>
                <c:pt idx="4">
                  <c:v>3.6626312066047842E-2</c:v>
                </c:pt>
                <c:pt idx="5">
                  <c:v>9.4663678187815431E-2</c:v>
                </c:pt>
                <c:pt idx="6">
                  <c:v>1.0809151827653043</c:v>
                </c:pt>
                <c:pt idx="7">
                  <c:v>4.2665868552472619E-2</c:v>
                </c:pt>
                <c:pt idx="8">
                  <c:v>42.056033569062606</c:v>
                </c:pt>
                <c:pt idx="9">
                  <c:v>0.92514196853235131</c:v>
                </c:pt>
              </c:numCache>
            </c:numRef>
          </c:val>
          <c:extLst>
            <c:ext xmlns:c16="http://schemas.microsoft.com/office/drawing/2014/chart" uri="{C3380CC4-5D6E-409C-BE32-E72D297353CC}">
              <c16:uniqueId val="{00000000-CFC6-4670-A208-677747988C31}"/>
            </c:ext>
          </c:extLst>
        </c:ser>
        <c:ser>
          <c:idx val="1"/>
          <c:order val="1"/>
          <c:tx>
            <c:strRef>
              <c:f>SPK!$X$24</c:f>
              <c:strCache>
                <c:ptCount val="1"/>
                <c:pt idx="0">
                  <c:v>Agg. Asia Incumbent</c:v>
                </c:pt>
              </c:strCache>
            </c:strRef>
          </c:tx>
          <c:spPr>
            <a:ln w="25400">
              <a:solidFill>
                <a:srgbClr val="799098"/>
              </a:solidFill>
              <a:prstDash val="solid"/>
            </a:ln>
            <a:effectLst/>
          </c:spPr>
          <c:marker>
            <c:symbol val="diamond"/>
            <c:size val="6"/>
            <c:spPr>
              <a:solidFill>
                <a:srgbClr val="799098"/>
              </a:solidFill>
              <a:ln w="6350">
                <a:noFill/>
              </a:ln>
            </c:spPr>
          </c:marker>
          <c:cat>
            <c:strRef>
              <c:f>SPK!$V$25:$V$34</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SPK!$X$25:$X$34</c:f>
              <c:numCache>
                <c:formatCode>0%</c:formatCode>
                <c:ptCount val="10"/>
                <c:pt idx="0">
                  <c:v>1</c:v>
                </c:pt>
                <c:pt idx="1">
                  <c:v>1</c:v>
                </c:pt>
                <c:pt idx="2">
                  <c:v>1</c:v>
                </c:pt>
                <c:pt idx="3">
                  <c:v>1</c:v>
                </c:pt>
                <c:pt idx="4">
                  <c:v>1</c:v>
                </c:pt>
                <c:pt idx="5">
                  <c:v>1</c:v>
                </c:pt>
                <c:pt idx="6">
                  <c:v>1</c:v>
                </c:pt>
                <c:pt idx="7">
                  <c:v>1</c:v>
                </c:pt>
                <c:pt idx="8">
                  <c:v>1</c:v>
                </c:pt>
                <c:pt idx="9">
                  <c:v>1</c:v>
                </c:pt>
              </c:numCache>
            </c:numRef>
          </c:val>
          <c:extLst>
            <c:ext xmlns:c16="http://schemas.microsoft.com/office/drawing/2014/chart" uri="{C3380CC4-5D6E-409C-BE32-E72D297353CC}">
              <c16:uniqueId val="{00000001-CFC6-4670-A208-677747988C31}"/>
            </c:ext>
          </c:extLst>
        </c:ser>
        <c:dLbls>
          <c:showLegendKey val="0"/>
          <c:showVal val="0"/>
          <c:showCatName val="0"/>
          <c:showSerName val="0"/>
          <c:showPercent val="0"/>
          <c:showBubbleSize val="0"/>
        </c:dLbls>
        <c:axId val="295039744"/>
        <c:axId val="295041664"/>
      </c:radarChart>
      <c:catAx>
        <c:axId val="295039744"/>
        <c:scaling>
          <c:orientation val="minMax"/>
        </c:scaling>
        <c:delete val="0"/>
        <c:axPos val="b"/>
        <c:numFmt formatCode="General" sourceLinked="1"/>
        <c:majorTickMark val="out"/>
        <c:minorTickMark val="none"/>
        <c:tickLblPos val="nextTo"/>
        <c:spPr>
          <a:ln>
            <a:solidFill>
              <a:srgbClr val="B3B3B3"/>
            </a:solidFill>
          </a:ln>
        </c:spPr>
        <c:txPr>
          <a:bodyPr rot="0" vert="horz"/>
          <a:lstStyle/>
          <a:p>
            <a:pPr>
              <a:defRPr/>
            </a:pPr>
            <a:endParaRPr lang="en-US"/>
          </a:p>
        </c:txPr>
        <c:crossAx val="295041664"/>
        <c:crosses val="autoZero"/>
        <c:auto val="0"/>
        <c:lblAlgn val="ctr"/>
        <c:lblOffset val="100"/>
        <c:noMultiLvlLbl val="0"/>
      </c:catAx>
      <c:valAx>
        <c:axId val="295041664"/>
        <c:scaling>
          <c:orientation val="minMax"/>
        </c:scaling>
        <c:delete val="0"/>
        <c:axPos val="l"/>
        <c:numFmt formatCode="0%" sourceLinked="1"/>
        <c:majorTickMark val="cross"/>
        <c:minorTickMark val="none"/>
        <c:tickLblPos val="nextTo"/>
        <c:spPr>
          <a:ln w="3175">
            <a:solidFill>
              <a:srgbClr val="B3B3B3"/>
            </a:solidFill>
            <a:prstDash val="solid"/>
          </a:ln>
        </c:spPr>
        <c:txPr>
          <a:bodyPr rot="0" vert="horz"/>
          <a:lstStyle/>
          <a:p>
            <a:pPr>
              <a:defRPr/>
            </a:pPr>
            <a:endParaRPr lang="en-US"/>
          </a:p>
        </c:txPr>
        <c:crossAx val="295039744"/>
        <c:crosses val="autoZero"/>
        <c:crossBetween val="between"/>
      </c:valAx>
      <c:spPr>
        <a:noFill/>
        <a:ln w="25400">
          <a:noFill/>
        </a:ln>
      </c:spPr>
    </c:plotArea>
    <c:legend>
      <c:legendPos val="b"/>
      <c:overlay val="0"/>
      <c:spPr>
        <a:noFill/>
        <a:ln w="25400">
          <a:noFill/>
        </a:ln>
      </c:spPr>
    </c:legend>
    <c:plotVisOnly val="1"/>
    <c:dispBlanksAs val="gap"/>
    <c:showDLblsOverMax val="0"/>
  </c:chart>
  <c:spPr>
    <a:noFill/>
    <a:ln w="25400">
      <a:noFill/>
    </a:ln>
    <a:effectLst/>
  </c:spPr>
  <c:txPr>
    <a:bodyPr/>
    <a:lstStyle/>
    <a:p>
      <a:pPr>
        <a:defRPr sz="1000" b="0" i="0" u="none" strike="noStrike" baseline="0">
          <a:solidFill>
            <a:srgbClr val="595959"/>
          </a:solidFill>
          <a:latin typeface="Arial Narrow"/>
          <a:ea typeface="Arial Narrow"/>
          <a:cs typeface="Arial Narrow"/>
        </a:defRPr>
      </a:pPr>
      <a:endParaRPr lang="en-US"/>
    </a:p>
  </c:txPr>
  <c:printSettings>
    <c:headerFooter alignWithMargins="0"/>
    <c:pageMargins b="1" l="0.75000000000000111" r="0.75000000000000111" t="1" header="0.5" footer="0.5"/>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3752425058685237"/>
          <c:y val="0.13538481878728784"/>
          <c:w val="0.40479236575401345"/>
          <c:h val="0.63046767681006788"/>
        </c:manualLayout>
      </c:layout>
      <c:radarChart>
        <c:radarStyle val="marker"/>
        <c:varyColors val="0"/>
        <c:ser>
          <c:idx val="0"/>
          <c:order val="0"/>
          <c:tx>
            <c:strRef>
              <c:f>'ST1'!$W$24</c:f>
              <c:strCache>
                <c:ptCount val="1"/>
                <c:pt idx="0">
                  <c:v>Telstra</c:v>
                </c:pt>
              </c:strCache>
            </c:strRef>
          </c:tx>
          <c:spPr>
            <a:ln w="25400">
              <a:solidFill>
                <a:srgbClr val="263238"/>
              </a:solidFill>
              <a:prstDash val="solid"/>
            </a:ln>
            <a:effectLst/>
          </c:spPr>
          <c:marker>
            <c:symbol val="diamond"/>
            <c:size val="6"/>
            <c:spPr>
              <a:solidFill>
                <a:srgbClr val="263238"/>
              </a:solidFill>
              <a:ln w="6350">
                <a:noFill/>
              </a:ln>
            </c:spPr>
          </c:marker>
          <c:cat>
            <c:strRef>
              <c:f>'ST1'!$V$25:$V$34</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'ST1'!$W$25:$W$34</c:f>
              <c:numCache>
                <c:formatCode>0%</c:formatCode>
                <c:ptCount val="10"/>
                <c:pt idx="0">
                  <c:v>9.2317305972723098E-4</c:v>
                </c:pt>
                <c:pt idx="1">
                  <c:v>9.3530105383681915E-4</c:v>
                </c:pt>
                <c:pt idx="2">
                  <c:v>4.4160416524595424E-4</c:v>
                </c:pt>
                <c:pt idx="3">
                  <c:v>4.6970347895497336E-4</c:v>
                </c:pt>
                <c:pt idx="4">
                  <c:v>1.906313271172368E-3</c:v>
                </c:pt>
                <c:pt idx="5">
                  <c:v>2.7427473307042537E-3</c:v>
                </c:pt>
                <c:pt idx="6">
                  <c:v>0.15253079543673584</c:v>
                </c:pt>
                <c:pt idx="7">
                  <c:v>6.1484343184820068E-3</c:v>
                </c:pt>
                <c:pt idx="8">
                  <c:v>171.9168591749974</c:v>
                </c:pt>
                <c:pt idx="9">
                  <c:v>6.5560531375761633</c:v>
                </c:pt>
              </c:numCache>
            </c:numRef>
          </c:val>
          <c:extLst>
            <c:ext xmlns:c16="http://schemas.microsoft.com/office/drawing/2014/chart" uri="{C3380CC4-5D6E-409C-BE32-E72D297353CC}">
              <c16:uniqueId val="{00000000-8976-4F34-BCB1-20C350DA1CD4}"/>
            </c:ext>
          </c:extLst>
        </c:ser>
        <c:ser>
          <c:idx val="1"/>
          <c:order val="1"/>
          <c:tx>
            <c:strRef>
              <c:f>'ST1'!$X$24</c:f>
              <c:strCache>
                <c:ptCount val="1"/>
                <c:pt idx="0">
                  <c:v>Agg. Asia Incumbent</c:v>
                </c:pt>
              </c:strCache>
            </c:strRef>
          </c:tx>
          <c:spPr>
            <a:ln w="25400">
              <a:solidFill>
                <a:srgbClr val="799098"/>
              </a:solidFill>
              <a:prstDash val="solid"/>
            </a:ln>
            <a:effectLst/>
          </c:spPr>
          <c:marker>
            <c:symbol val="diamond"/>
            <c:size val="6"/>
            <c:spPr>
              <a:solidFill>
                <a:srgbClr val="799098"/>
              </a:solidFill>
              <a:ln w="6350">
                <a:noFill/>
              </a:ln>
            </c:spPr>
          </c:marker>
          <c:cat>
            <c:strRef>
              <c:f>'ST1'!$V$25:$V$34</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'ST1'!$X$25:$X$34</c:f>
              <c:numCache>
                <c:formatCode>0%</c:formatCode>
                <c:ptCount val="10"/>
                <c:pt idx="0">
                  <c:v>1</c:v>
                </c:pt>
                <c:pt idx="1">
                  <c:v>1</c:v>
                </c:pt>
                <c:pt idx="2">
                  <c:v>1</c:v>
                </c:pt>
                <c:pt idx="3">
                  <c:v>1</c:v>
                </c:pt>
                <c:pt idx="4">
                  <c:v>1</c:v>
                </c:pt>
                <c:pt idx="5">
                  <c:v>1</c:v>
                </c:pt>
                <c:pt idx="6">
                  <c:v>1</c:v>
                </c:pt>
                <c:pt idx="7">
                  <c:v>1</c:v>
                </c:pt>
                <c:pt idx="8">
                  <c:v>1</c:v>
                </c:pt>
                <c:pt idx="9">
                  <c:v>1</c:v>
                </c:pt>
              </c:numCache>
            </c:numRef>
          </c:val>
          <c:extLst>
            <c:ext xmlns:c16="http://schemas.microsoft.com/office/drawing/2014/chart" uri="{C3380CC4-5D6E-409C-BE32-E72D297353CC}">
              <c16:uniqueId val="{00000001-8976-4F34-BCB1-20C350DA1CD4}"/>
            </c:ext>
          </c:extLst>
        </c:ser>
        <c:dLbls>
          <c:showLegendKey val="0"/>
          <c:showVal val="0"/>
          <c:showCatName val="0"/>
          <c:showSerName val="0"/>
          <c:showPercent val="0"/>
          <c:showBubbleSize val="0"/>
        </c:dLbls>
        <c:axId val="295215872"/>
        <c:axId val="295217792"/>
      </c:radarChart>
      <c:catAx>
        <c:axId val="295215872"/>
        <c:scaling>
          <c:orientation val="minMax"/>
        </c:scaling>
        <c:delete val="0"/>
        <c:axPos val="b"/>
        <c:numFmt formatCode="General" sourceLinked="1"/>
        <c:majorTickMark val="out"/>
        <c:minorTickMark val="none"/>
        <c:tickLblPos val="nextTo"/>
        <c:spPr>
          <a:ln>
            <a:solidFill>
              <a:srgbClr val="B3B3B3"/>
            </a:solidFill>
          </a:ln>
        </c:spPr>
        <c:txPr>
          <a:bodyPr rot="0" vert="horz"/>
          <a:lstStyle/>
          <a:p>
            <a:pPr>
              <a:defRPr/>
            </a:pPr>
            <a:endParaRPr lang="en-US"/>
          </a:p>
        </c:txPr>
        <c:crossAx val="295217792"/>
        <c:crosses val="autoZero"/>
        <c:auto val="0"/>
        <c:lblAlgn val="ctr"/>
        <c:lblOffset val="100"/>
        <c:noMultiLvlLbl val="0"/>
      </c:catAx>
      <c:valAx>
        <c:axId val="295217792"/>
        <c:scaling>
          <c:orientation val="minMax"/>
        </c:scaling>
        <c:delete val="0"/>
        <c:axPos val="l"/>
        <c:numFmt formatCode="0%" sourceLinked="1"/>
        <c:majorTickMark val="cross"/>
        <c:minorTickMark val="none"/>
        <c:tickLblPos val="nextTo"/>
        <c:spPr>
          <a:ln w="3175">
            <a:solidFill>
              <a:srgbClr val="B3B3B3"/>
            </a:solidFill>
            <a:prstDash val="solid"/>
          </a:ln>
        </c:spPr>
        <c:txPr>
          <a:bodyPr rot="0" vert="horz"/>
          <a:lstStyle/>
          <a:p>
            <a:pPr>
              <a:defRPr/>
            </a:pPr>
            <a:endParaRPr lang="en-US"/>
          </a:p>
        </c:txPr>
        <c:crossAx val="295215872"/>
        <c:crosses val="autoZero"/>
        <c:crossBetween val="between"/>
      </c:valAx>
      <c:spPr>
        <a:noFill/>
        <a:ln w="25400">
          <a:noFill/>
        </a:ln>
      </c:spPr>
    </c:plotArea>
    <c:legend>
      <c:legendPos val="b"/>
      <c:overlay val="0"/>
      <c:spPr>
        <a:noFill/>
        <a:ln w="25400">
          <a:noFill/>
        </a:ln>
      </c:spPr>
    </c:legend>
    <c:plotVisOnly val="1"/>
    <c:dispBlanksAs val="gap"/>
    <c:showDLblsOverMax val="0"/>
  </c:chart>
  <c:spPr>
    <a:noFill/>
    <a:ln w="25400">
      <a:noFill/>
    </a:ln>
    <a:effectLst/>
  </c:spPr>
  <c:txPr>
    <a:bodyPr/>
    <a:lstStyle/>
    <a:p>
      <a:pPr>
        <a:defRPr sz="1000" b="0" i="0" u="none" strike="noStrike" baseline="0">
          <a:solidFill>
            <a:srgbClr val="595959"/>
          </a:solidFill>
          <a:latin typeface="Arial Narrow"/>
          <a:ea typeface="Arial Narrow"/>
          <a:cs typeface="Arial Narrow"/>
        </a:defRPr>
      </a:pPr>
      <a:endParaRPr lang="en-US"/>
    </a:p>
  </c:txPr>
  <c:printSettings>
    <c:headerFooter alignWithMargins="0"/>
    <c:pageMargins b="1" l="0.75000000000000111" r="0.75000000000000111" t="1" header="0.5" footer="0.5"/>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1252587485327527"/>
          <c:y val="8.1504826950717382E-2"/>
          <c:w val="0.4697329598672158"/>
          <c:h val="0.72417742280911723"/>
        </c:manualLayout>
      </c:layout>
      <c:radarChart>
        <c:radarStyle val="marker"/>
        <c:varyColors val="0"/>
        <c:ser>
          <c:idx val="0"/>
          <c:order val="0"/>
          <c:tx>
            <c:strRef>
              <c:f>SWISS!$W$24</c:f>
              <c:strCache>
                <c:ptCount val="1"/>
                <c:pt idx="0">
                  <c:v>Swisscom</c:v>
                </c:pt>
              </c:strCache>
            </c:strRef>
          </c:tx>
          <c:spPr>
            <a:ln w="25400">
              <a:solidFill>
                <a:srgbClr val="263238"/>
              </a:solidFill>
              <a:prstDash val="solid"/>
            </a:ln>
            <a:effectLst/>
          </c:spPr>
          <c:marker>
            <c:symbol val="diamond"/>
            <c:size val="6"/>
            <c:spPr>
              <a:solidFill>
                <a:srgbClr val="263238"/>
              </a:solidFill>
              <a:ln w="6350">
                <a:noFill/>
              </a:ln>
            </c:spPr>
          </c:marker>
          <c:cat>
            <c:strRef>
              <c:f>SWISS!$V$25:$V$34</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SWISS!$W$25:$W$34</c:f>
              <c:numCache>
                <c:formatCode>0%</c:formatCode>
                <c:ptCount val="10"/>
                <c:pt idx="0">
                  <c:v>1.4213911255890719</c:v>
                </c:pt>
                <c:pt idx="1">
                  <c:v>1.1839519521262698</c:v>
                </c:pt>
                <c:pt idx="2">
                  <c:v>1.2054404657484079</c:v>
                </c:pt>
                <c:pt idx="3">
                  <c:v>1.1208848773054167</c:v>
                </c:pt>
                <c:pt idx="4">
                  <c:v>1.2530670599770537</c:v>
                </c:pt>
                <c:pt idx="5">
                  <c:v>0.96934458891630615</c:v>
                </c:pt>
                <c:pt idx="6">
                  <c:v>1.1339616982978593</c:v>
                </c:pt>
                <c:pt idx="7">
                  <c:v>1.0616735808365632</c:v>
                </c:pt>
                <c:pt idx="8">
                  <c:v>0.89556688705465071</c:v>
                </c:pt>
                <c:pt idx="9">
                  <c:v>0.8818640007868489</c:v>
                </c:pt>
              </c:numCache>
            </c:numRef>
          </c:val>
          <c:extLst>
            <c:ext xmlns:c16="http://schemas.microsoft.com/office/drawing/2014/chart" uri="{C3380CC4-5D6E-409C-BE32-E72D297353CC}">
              <c16:uniqueId val="{00000000-0A81-4557-B2AD-8034C7EBBB79}"/>
            </c:ext>
          </c:extLst>
        </c:ser>
        <c:ser>
          <c:idx val="1"/>
          <c:order val="1"/>
          <c:tx>
            <c:strRef>
              <c:f>SWISS!$X$24</c:f>
              <c:strCache>
                <c:ptCount val="1"/>
                <c:pt idx="0">
                  <c:v>Agg. W. Eur. Incumbent</c:v>
                </c:pt>
              </c:strCache>
            </c:strRef>
          </c:tx>
          <c:spPr>
            <a:ln w="25400">
              <a:solidFill>
                <a:srgbClr val="799098"/>
              </a:solidFill>
              <a:prstDash val="solid"/>
            </a:ln>
            <a:effectLst/>
          </c:spPr>
          <c:marker>
            <c:symbol val="diamond"/>
            <c:size val="6"/>
            <c:spPr>
              <a:solidFill>
                <a:srgbClr val="799098"/>
              </a:solidFill>
              <a:ln w="6350">
                <a:noFill/>
              </a:ln>
            </c:spPr>
          </c:marker>
          <c:cat>
            <c:strRef>
              <c:f>SWISS!$V$25:$V$34</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SWISS!$X$25:$X$34</c:f>
              <c:numCache>
                <c:formatCode>0%</c:formatCode>
                <c:ptCount val="10"/>
                <c:pt idx="0">
                  <c:v>1</c:v>
                </c:pt>
                <c:pt idx="1">
                  <c:v>1</c:v>
                </c:pt>
                <c:pt idx="2">
                  <c:v>1</c:v>
                </c:pt>
                <c:pt idx="3">
                  <c:v>1</c:v>
                </c:pt>
                <c:pt idx="4">
                  <c:v>1</c:v>
                </c:pt>
                <c:pt idx="5">
                  <c:v>1</c:v>
                </c:pt>
                <c:pt idx="6">
                  <c:v>1</c:v>
                </c:pt>
                <c:pt idx="7">
                  <c:v>1</c:v>
                </c:pt>
                <c:pt idx="8">
                  <c:v>1</c:v>
                </c:pt>
                <c:pt idx="9">
                  <c:v>1</c:v>
                </c:pt>
              </c:numCache>
            </c:numRef>
          </c:val>
          <c:extLst>
            <c:ext xmlns:c16="http://schemas.microsoft.com/office/drawing/2014/chart" uri="{C3380CC4-5D6E-409C-BE32-E72D297353CC}">
              <c16:uniqueId val="{00000001-0A81-4557-B2AD-8034C7EBBB79}"/>
            </c:ext>
          </c:extLst>
        </c:ser>
        <c:dLbls>
          <c:showLegendKey val="0"/>
          <c:showVal val="0"/>
          <c:showCatName val="0"/>
          <c:showSerName val="0"/>
          <c:showPercent val="0"/>
          <c:showBubbleSize val="0"/>
        </c:dLbls>
        <c:axId val="322077056"/>
        <c:axId val="322078976"/>
      </c:radarChart>
      <c:catAx>
        <c:axId val="322077056"/>
        <c:scaling>
          <c:orientation val="minMax"/>
        </c:scaling>
        <c:delete val="0"/>
        <c:axPos val="b"/>
        <c:numFmt formatCode="General" sourceLinked="1"/>
        <c:majorTickMark val="out"/>
        <c:minorTickMark val="none"/>
        <c:tickLblPos val="nextTo"/>
        <c:spPr>
          <a:ln>
            <a:solidFill>
              <a:srgbClr val="B3B3B3"/>
            </a:solidFill>
          </a:ln>
        </c:spPr>
        <c:txPr>
          <a:bodyPr rot="0" vert="horz"/>
          <a:lstStyle/>
          <a:p>
            <a:pPr>
              <a:defRPr/>
            </a:pPr>
            <a:endParaRPr lang="en-US"/>
          </a:p>
        </c:txPr>
        <c:crossAx val="322078976"/>
        <c:crosses val="autoZero"/>
        <c:auto val="0"/>
        <c:lblAlgn val="ctr"/>
        <c:lblOffset val="100"/>
        <c:noMultiLvlLbl val="0"/>
      </c:catAx>
      <c:valAx>
        <c:axId val="322078976"/>
        <c:scaling>
          <c:orientation val="minMax"/>
        </c:scaling>
        <c:delete val="0"/>
        <c:axPos val="l"/>
        <c:numFmt formatCode="0%" sourceLinked="1"/>
        <c:majorTickMark val="cross"/>
        <c:minorTickMark val="none"/>
        <c:tickLblPos val="nextTo"/>
        <c:spPr>
          <a:ln w="3175">
            <a:solidFill>
              <a:srgbClr val="B3B3B3"/>
            </a:solidFill>
            <a:prstDash val="solid"/>
          </a:ln>
        </c:spPr>
        <c:txPr>
          <a:bodyPr rot="0" vert="horz"/>
          <a:lstStyle/>
          <a:p>
            <a:pPr>
              <a:defRPr/>
            </a:pPr>
            <a:endParaRPr lang="en-US"/>
          </a:p>
        </c:txPr>
        <c:crossAx val="322077056"/>
        <c:crosses val="autoZero"/>
        <c:crossBetween val="between"/>
      </c:valAx>
      <c:spPr>
        <a:noFill/>
        <a:ln w="25400">
          <a:noFill/>
        </a:ln>
      </c:spPr>
    </c:plotArea>
    <c:legend>
      <c:legendPos val="b"/>
      <c:overlay val="0"/>
      <c:spPr>
        <a:noFill/>
        <a:ln w="25400">
          <a:noFill/>
        </a:ln>
      </c:spPr>
    </c:legend>
    <c:plotVisOnly val="1"/>
    <c:dispBlanksAs val="gap"/>
    <c:showDLblsOverMax val="0"/>
  </c:chart>
  <c:spPr>
    <a:noFill/>
    <a:ln w="25400">
      <a:noFill/>
    </a:ln>
    <a:effectLst/>
  </c:spPr>
  <c:txPr>
    <a:bodyPr/>
    <a:lstStyle/>
    <a:p>
      <a:pPr>
        <a:defRPr sz="1000" b="0" i="0" u="none" strike="noStrike" baseline="0">
          <a:solidFill>
            <a:srgbClr val="595959"/>
          </a:solidFill>
          <a:latin typeface="Arial Narrow"/>
          <a:ea typeface="Arial Narrow"/>
          <a:cs typeface="Arial Narrow"/>
        </a:defRPr>
      </a:pPr>
      <a:endParaRPr lang="en-US"/>
    </a:p>
  </c:txPr>
  <c:printSettings>
    <c:headerFooter alignWithMargins="0"/>
    <c:pageMargins b="1" l="0.75000000000000111" r="0.75000000000000111" t="1" header="0.5" footer="0.5"/>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6290358306253112"/>
          <c:y val="0.22461572207890937"/>
          <c:w val="0.31653256967120791"/>
          <c:h val="0.48307764885464166"/>
        </c:manualLayout>
      </c:layout>
      <c:radarChart>
        <c:radarStyle val="marker"/>
        <c:varyColors val="0"/>
        <c:ser>
          <c:idx val="0"/>
          <c:order val="0"/>
          <c:tx>
            <c:strRef>
              <c:f>TAIWAN!$W$24</c:f>
              <c:strCache>
                <c:ptCount val="1"/>
                <c:pt idx="0">
                  <c:v>Taiwan Mobile</c:v>
                </c:pt>
              </c:strCache>
            </c:strRef>
          </c:tx>
          <c:spPr>
            <a:ln w="25400">
              <a:solidFill>
                <a:srgbClr val="263238"/>
              </a:solidFill>
              <a:prstDash val="solid"/>
            </a:ln>
            <a:effectLst/>
          </c:spPr>
          <c:marker>
            <c:symbol val="diamond"/>
            <c:size val="6"/>
            <c:spPr>
              <a:solidFill>
                <a:srgbClr val="263238"/>
              </a:solidFill>
              <a:ln w="6350">
                <a:noFill/>
              </a:ln>
            </c:spPr>
          </c:marker>
          <c:cat>
            <c:strRef>
              <c:f>TAIWAN!$V$25:$V$34</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TAIWAN!$W$25:$W$34</c:f>
              <c:numCache>
                <c:formatCode>0%</c:formatCode>
                <c:ptCount val="10"/>
                <c:pt idx="0">
                  <c:v>0.94440364558320233</c:v>
                </c:pt>
                <c:pt idx="1">
                  <c:v>1.3767908534033306</c:v>
                </c:pt>
                <c:pt idx="2">
                  <c:v>1.0372356146043658</c:v>
                </c:pt>
                <c:pt idx="3">
                  <c:v>0.97345526175139596</c:v>
                </c:pt>
                <c:pt idx="4">
                  <c:v>2.1035971904525099</c:v>
                </c:pt>
                <c:pt idx="5">
                  <c:v>3.2206208567653247</c:v>
                </c:pt>
                <c:pt idx="6">
                  <c:v>0.74829848301260771</c:v>
                </c:pt>
                <c:pt idx="7">
                  <c:v>1.1467933849181833</c:v>
                </c:pt>
                <c:pt idx="8">
                  <c:v>1.2147521924313345</c:v>
                </c:pt>
                <c:pt idx="9">
                  <c:v>1.3363651306281634</c:v>
                </c:pt>
              </c:numCache>
            </c:numRef>
          </c:val>
          <c:extLst>
            <c:ext xmlns:c16="http://schemas.microsoft.com/office/drawing/2014/chart" uri="{C3380CC4-5D6E-409C-BE32-E72D297353CC}">
              <c16:uniqueId val="{00000000-97EC-4F4F-88B3-926FAA3336EF}"/>
            </c:ext>
          </c:extLst>
        </c:ser>
        <c:ser>
          <c:idx val="1"/>
          <c:order val="1"/>
          <c:tx>
            <c:strRef>
              <c:f>TAIWAN!$X$24</c:f>
              <c:strCache>
                <c:ptCount val="1"/>
                <c:pt idx="0">
                  <c:v>Agg. Asia Cellular</c:v>
                </c:pt>
              </c:strCache>
            </c:strRef>
          </c:tx>
          <c:spPr>
            <a:ln w="25400">
              <a:solidFill>
                <a:srgbClr val="799098"/>
              </a:solidFill>
              <a:prstDash val="solid"/>
            </a:ln>
            <a:effectLst/>
          </c:spPr>
          <c:marker>
            <c:symbol val="diamond"/>
            <c:size val="6"/>
            <c:spPr>
              <a:solidFill>
                <a:srgbClr val="799098"/>
              </a:solidFill>
              <a:ln w="6350">
                <a:noFill/>
              </a:ln>
            </c:spPr>
          </c:marker>
          <c:cat>
            <c:strRef>
              <c:f>TAIWAN!$V$25:$V$34</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TAIWAN!$X$25:$X$34</c:f>
              <c:numCache>
                <c:formatCode>0%</c:formatCode>
                <c:ptCount val="10"/>
                <c:pt idx="0">
                  <c:v>1</c:v>
                </c:pt>
                <c:pt idx="1">
                  <c:v>1</c:v>
                </c:pt>
                <c:pt idx="2">
                  <c:v>1</c:v>
                </c:pt>
                <c:pt idx="3">
                  <c:v>1</c:v>
                </c:pt>
                <c:pt idx="4">
                  <c:v>1</c:v>
                </c:pt>
                <c:pt idx="5">
                  <c:v>1</c:v>
                </c:pt>
                <c:pt idx="6">
                  <c:v>1</c:v>
                </c:pt>
                <c:pt idx="7">
                  <c:v>1</c:v>
                </c:pt>
                <c:pt idx="8">
                  <c:v>1</c:v>
                </c:pt>
                <c:pt idx="9">
                  <c:v>1</c:v>
                </c:pt>
              </c:numCache>
            </c:numRef>
          </c:val>
          <c:extLst>
            <c:ext xmlns:c16="http://schemas.microsoft.com/office/drawing/2014/chart" uri="{C3380CC4-5D6E-409C-BE32-E72D297353CC}">
              <c16:uniqueId val="{00000001-97EC-4F4F-88B3-926FAA3336EF}"/>
            </c:ext>
          </c:extLst>
        </c:ser>
        <c:dLbls>
          <c:showLegendKey val="0"/>
          <c:showVal val="0"/>
          <c:showCatName val="0"/>
          <c:showSerName val="0"/>
          <c:showPercent val="0"/>
          <c:showBubbleSize val="0"/>
        </c:dLbls>
        <c:axId val="322326912"/>
        <c:axId val="322328832"/>
      </c:radarChart>
      <c:catAx>
        <c:axId val="322326912"/>
        <c:scaling>
          <c:orientation val="minMax"/>
        </c:scaling>
        <c:delete val="0"/>
        <c:axPos val="b"/>
        <c:numFmt formatCode="General" sourceLinked="1"/>
        <c:majorTickMark val="out"/>
        <c:minorTickMark val="none"/>
        <c:tickLblPos val="nextTo"/>
        <c:spPr>
          <a:ln>
            <a:solidFill>
              <a:srgbClr val="B3B3B3"/>
            </a:solidFill>
          </a:ln>
        </c:spPr>
        <c:txPr>
          <a:bodyPr rot="0" vert="horz"/>
          <a:lstStyle/>
          <a:p>
            <a:pPr>
              <a:defRPr/>
            </a:pPr>
            <a:endParaRPr lang="en-US"/>
          </a:p>
        </c:txPr>
        <c:crossAx val="322328832"/>
        <c:crosses val="autoZero"/>
        <c:auto val="0"/>
        <c:lblAlgn val="ctr"/>
        <c:lblOffset val="100"/>
        <c:noMultiLvlLbl val="0"/>
      </c:catAx>
      <c:valAx>
        <c:axId val="322328832"/>
        <c:scaling>
          <c:orientation val="minMax"/>
          <c:max val="2"/>
        </c:scaling>
        <c:delete val="0"/>
        <c:axPos val="l"/>
        <c:numFmt formatCode="0%" sourceLinked="1"/>
        <c:majorTickMark val="cross"/>
        <c:minorTickMark val="none"/>
        <c:tickLblPos val="nextTo"/>
        <c:spPr>
          <a:ln w="3175">
            <a:solidFill>
              <a:srgbClr val="B3B3B3"/>
            </a:solidFill>
            <a:prstDash val="solid"/>
          </a:ln>
        </c:spPr>
        <c:txPr>
          <a:bodyPr rot="0" vert="horz"/>
          <a:lstStyle/>
          <a:p>
            <a:pPr>
              <a:defRPr/>
            </a:pPr>
            <a:endParaRPr lang="en-US"/>
          </a:p>
        </c:txPr>
        <c:crossAx val="322326912"/>
        <c:crosses val="autoZero"/>
        <c:crossBetween val="between"/>
        <c:majorUnit val="0.5"/>
        <c:minorUnit val="0.5"/>
      </c:valAx>
      <c:spPr>
        <a:noFill/>
        <a:ln w="25400">
          <a:noFill/>
        </a:ln>
      </c:spPr>
    </c:plotArea>
    <c:legend>
      <c:legendPos val="b"/>
      <c:overlay val="0"/>
      <c:spPr>
        <a:noFill/>
        <a:ln w="25400">
          <a:noFill/>
        </a:ln>
      </c:spPr>
    </c:legend>
    <c:plotVisOnly val="1"/>
    <c:dispBlanksAs val="gap"/>
    <c:showDLblsOverMax val="0"/>
  </c:chart>
  <c:spPr>
    <a:noFill/>
    <a:ln w="25400">
      <a:noFill/>
    </a:ln>
    <a:effectLst/>
  </c:spPr>
  <c:txPr>
    <a:bodyPr/>
    <a:lstStyle/>
    <a:p>
      <a:pPr>
        <a:defRPr sz="1000" b="0" i="0" u="none" strike="noStrike" baseline="0">
          <a:solidFill>
            <a:srgbClr val="595959"/>
          </a:solidFill>
          <a:latin typeface="Arial Narrow"/>
          <a:ea typeface="Arial Narrow"/>
          <a:cs typeface="Arial Narrow"/>
        </a:defRPr>
      </a:pPr>
      <a:endParaRPr lang="en-US"/>
    </a:p>
  </c:txPr>
  <c:printSettings>
    <c:headerFooter alignWithMargins="0"/>
    <c:pageMargins b="1" l="0.75000000000000111" r="0.75000000000000111" t="1" header="0.5" footer="0.5"/>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1780509314725197"/>
          <c:y val="0.14153867418671001"/>
          <c:w val="0.41690947373404241"/>
          <c:h val="0.65174920453160345"/>
        </c:manualLayout>
      </c:layout>
      <c:radarChart>
        <c:radarStyle val="marker"/>
        <c:varyColors val="0"/>
        <c:ser>
          <c:idx val="0"/>
          <c:order val="0"/>
          <c:tx>
            <c:strRef>
              <c:f>TBIG!$W$24</c:f>
              <c:strCache>
                <c:ptCount val="1"/>
                <c:pt idx="0">
                  <c:v>TBIG</c:v>
                </c:pt>
              </c:strCache>
            </c:strRef>
          </c:tx>
          <c:spPr>
            <a:ln w="25400">
              <a:solidFill>
                <a:srgbClr val="263238"/>
              </a:solidFill>
              <a:prstDash val="solid"/>
            </a:ln>
            <a:effectLst/>
          </c:spPr>
          <c:marker>
            <c:symbol val="diamond"/>
            <c:size val="6"/>
            <c:spPr>
              <a:solidFill>
                <a:srgbClr val="263238"/>
              </a:solidFill>
              <a:ln w="6350">
                <a:noFill/>
              </a:ln>
            </c:spPr>
          </c:marker>
          <c:cat>
            <c:strRef>
              <c:f>TBIG!$V$25:$V$34</c:f>
              <c:strCache>
                <c:ptCount val="10"/>
                <c:pt idx="0">
                  <c:v>EV/Revenue</c:v>
                </c:pt>
                <c:pt idx="1">
                  <c:v>EV/EBITDA</c:v>
                </c:pt>
                <c:pt idx="2">
                  <c:v>EV/OpFCF</c:v>
                </c:pt>
                <c:pt idx="3">
                  <c:v>EV/FCF</c:v>
                </c:pt>
                <c:pt idx="4">
                  <c:v>EV/Invested capital</c:v>
                </c:pt>
                <c:pt idx="5">
                  <c:v>EV/NFA</c:v>
                </c:pt>
                <c:pt idx="6">
                  <c:v>P/EFCF (2012)</c:v>
                </c:pt>
                <c:pt idx="7">
                  <c:v>Adjusted P/E</c:v>
                </c:pt>
                <c:pt idx="8">
                  <c:v>Dividend yield</c:v>
                </c:pt>
                <c:pt idx="9">
                  <c:v>EFCF yield (2012)</c:v>
                </c:pt>
              </c:strCache>
            </c:strRef>
          </c:cat>
          <c:val>
            <c:numRef>
              <c:f>TBIG!$W$25:$W$34</c:f>
              <c:numCache>
                <c:formatCode>0%</c:formatCode>
                <c:ptCount val="10"/>
                <c:pt idx="0">
                  <c:v>3.5691720356177274</c:v>
                </c:pt>
                <c:pt idx="1">
                  <c:v>2.6542326545094248</c:v>
                </c:pt>
                <c:pt idx="2">
                  <c:v>2.3144972826225114</c:v>
                </c:pt>
                <c:pt idx="3">
                  <c:v>2.5910655373811804</c:v>
                </c:pt>
                <c:pt idx="4">
                  <c:v>1.4676917972432961</c:v>
                </c:pt>
                <c:pt idx="5">
                  <c:v>1.0017714111650802</c:v>
                </c:pt>
                <c:pt idx="6">
                  <c:v>2.5348676819904132</c:v>
                </c:pt>
                <c:pt idx="7">
                  <c:v>1.2918041100533784</c:v>
                </c:pt>
                <c:pt idx="8" formatCode="General">
                  <c:v>0.6501942431327784</c:v>
                </c:pt>
                <c:pt idx="9">
                  <c:v>0.38098547836748042</c:v>
                </c:pt>
              </c:numCache>
            </c:numRef>
          </c:val>
          <c:extLst>
            <c:ext xmlns:c16="http://schemas.microsoft.com/office/drawing/2014/chart" uri="{C3380CC4-5D6E-409C-BE32-E72D297353CC}">
              <c16:uniqueId val="{00000000-C977-40C0-A44C-0CD62B5DED0B}"/>
            </c:ext>
          </c:extLst>
        </c:ser>
        <c:ser>
          <c:idx val="1"/>
          <c:order val="1"/>
          <c:tx>
            <c:strRef>
              <c:f>TBIG!$X$24</c:f>
              <c:strCache>
                <c:ptCount val="1"/>
                <c:pt idx="0">
                  <c:v>Agg. EM Tower</c:v>
                </c:pt>
              </c:strCache>
            </c:strRef>
          </c:tx>
          <c:spPr>
            <a:ln w="25400">
              <a:solidFill>
                <a:srgbClr val="799098"/>
              </a:solidFill>
              <a:prstDash val="solid"/>
            </a:ln>
            <a:effectLst/>
          </c:spPr>
          <c:marker>
            <c:symbol val="diamond"/>
            <c:size val="6"/>
            <c:spPr>
              <a:solidFill>
                <a:srgbClr val="799098"/>
              </a:solidFill>
              <a:ln w="6350">
                <a:noFill/>
              </a:ln>
            </c:spPr>
          </c:marker>
          <c:cat>
            <c:strRef>
              <c:f>TBIG!$V$25:$V$34</c:f>
              <c:strCache>
                <c:ptCount val="10"/>
                <c:pt idx="0">
                  <c:v>EV/Revenue</c:v>
                </c:pt>
                <c:pt idx="1">
                  <c:v>EV/EBITDA</c:v>
                </c:pt>
                <c:pt idx="2">
                  <c:v>EV/OpFCF</c:v>
                </c:pt>
                <c:pt idx="3">
                  <c:v>EV/FCF</c:v>
                </c:pt>
                <c:pt idx="4">
                  <c:v>EV/Invested capital</c:v>
                </c:pt>
                <c:pt idx="5">
                  <c:v>EV/NFA</c:v>
                </c:pt>
                <c:pt idx="6">
                  <c:v>P/EFCF (2012)</c:v>
                </c:pt>
                <c:pt idx="7">
                  <c:v>Adjusted P/E</c:v>
                </c:pt>
                <c:pt idx="8">
                  <c:v>Dividend yield</c:v>
                </c:pt>
                <c:pt idx="9">
                  <c:v>EFCF yield (2012)</c:v>
                </c:pt>
              </c:strCache>
            </c:strRef>
          </c:cat>
          <c:val>
            <c:numRef>
              <c:f>TBIG!$X$25:$X$34</c:f>
              <c:numCache>
                <c:formatCode>0%</c:formatCode>
                <c:ptCount val="10"/>
                <c:pt idx="0">
                  <c:v>1</c:v>
                </c:pt>
                <c:pt idx="1">
                  <c:v>1</c:v>
                </c:pt>
                <c:pt idx="2">
                  <c:v>1</c:v>
                </c:pt>
                <c:pt idx="3">
                  <c:v>1</c:v>
                </c:pt>
                <c:pt idx="4">
                  <c:v>1</c:v>
                </c:pt>
                <c:pt idx="5">
                  <c:v>1</c:v>
                </c:pt>
                <c:pt idx="6">
                  <c:v>1</c:v>
                </c:pt>
                <c:pt idx="7">
                  <c:v>1</c:v>
                </c:pt>
                <c:pt idx="8">
                  <c:v>1</c:v>
                </c:pt>
                <c:pt idx="9">
                  <c:v>1</c:v>
                </c:pt>
              </c:numCache>
            </c:numRef>
          </c:val>
          <c:extLst>
            <c:ext xmlns:c16="http://schemas.microsoft.com/office/drawing/2014/chart" uri="{C3380CC4-5D6E-409C-BE32-E72D297353CC}">
              <c16:uniqueId val="{00000001-C977-40C0-A44C-0CD62B5DED0B}"/>
            </c:ext>
          </c:extLst>
        </c:ser>
        <c:dLbls>
          <c:showLegendKey val="0"/>
          <c:showVal val="0"/>
          <c:showCatName val="0"/>
          <c:showSerName val="0"/>
          <c:showPercent val="0"/>
          <c:showBubbleSize val="0"/>
        </c:dLbls>
        <c:axId val="321655168"/>
        <c:axId val="321657088"/>
      </c:radarChart>
      <c:catAx>
        <c:axId val="321655168"/>
        <c:scaling>
          <c:orientation val="minMax"/>
        </c:scaling>
        <c:delete val="0"/>
        <c:axPos val="b"/>
        <c:numFmt formatCode="General" sourceLinked="1"/>
        <c:majorTickMark val="out"/>
        <c:minorTickMark val="none"/>
        <c:tickLblPos val="nextTo"/>
        <c:spPr>
          <a:ln>
            <a:solidFill>
              <a:srgbClr val="B3B3B3"/>
            </a:solidFill>
          </a:ln>
        </c:spPr>
        <c:txPr>
          <a:bodyPr rot="0" vert="horz"/>
          <a:lstStyle/>
          <a:p>
            <a:pPr>
              <a:defRPr/>
            </a:pPr>
            <a:endParaRPr lang="en-US"/>
          </a:p>
        </c:txPr>
        <c:crossAx val="321657088"/>
        <c:crosses val="autoZero"/>
        <c:auto val="0"/>
        <c:lblAlgn val="ctr"/>
        <c:lblOffset val="100"/>
        <c:noMultiLvlLbl val="0"/>
      </c:catAx>
      <c:valAx>
        <c:axId val="321657088"/>
        <c:scaling>
          <c:orientation val="minMax"/>
        </c:scaling>
        <c:delete val="0"/>
        <c:axPos val="l"/>
        <c:numFmt formatCode="0%" sourceLinked="1"/>
        <c:majorTickMark val="cross"/>
        <c:minorTickMark val="none"/>
        <c:tickLblPos val="nextTo"/>
        <c:spPr>
          <a:ln w="3175">
            <a:solidFill>
              <a:srgbClr val="B3B3B3"/>
            </a:solidFill>
            <a:prstDash val="solid"/>
          </a:ln>
        </c:spPr>
        <c:txPr>
          <a:bodyPr rot="0" vert="horz"/>
          <a:lstStyle/>
          <a:p>
            <a:pPr>
              <a:defRPr/>
            </a:pPr>
            <a:endParaRPr lang="en-US"/>
          </a:p>
        </c:txPr>
        <c:crossAx val="321655168"/>
        <c:crosses val="autoZero"/>
        <c:crossBetween val="between"/>
      </c:valAx>
      <c:spPr>
        <a:noFill/>
        <a:ln w="25400">
          <a:noFill/>
        </a:ln>
      </c:spPr>
    </c:plotArea>
    <c:legend>
      <c:legendPos val="b"/>
      <c:overlay val="0"/>
      <c:spPr>
        <a:noFill/>
        <a:ln w="25400">
          <a:noFill/>
        </a:ln>
      </c:spPr>
    </c:legend>
    <c:plotVisOnly val="1"/>
    <c:dispBlanksAs val="gap"/>
    <c:showDLblsOverMax val="0"/>
  </c:chart>
  <c:spPr>
    <a:noFill/>
    <a:ln w="25400">
      <a:noFill/>
    </a:ln>
    <a:effectLst/>
  </c:spPr>
  <c:txPr>
    <a:bodyPr/>
    <a:lstStyle/>
    <a:p>
      <a:pPr>
        <a:defRPr sz="1000" b="0" i="0" u="none" strike="noStrike" baseline="0">
          <a:solidFill>
            <a:srgbClr val="595959"/>
          </a:solidFill>
          <a:latin typeface="Arial Narrow"/>
          <a:ea typeface="Arial Narrow"/>
          <a:cs typeface="Arial Narrow"/>
        </a:defRPr>
      </a:pPr>
      <a:endParaRPr lang="en-US"/>
    </a:p>
  </c:txPr>
  <c:printSettings>
    <c:headerFooter alignWithMargins="0"/>
    <c:pageMargins b="1" l="0.75000000000000111" r="0.75000000000000111" t="1" header="0.5" footer="0.5"/>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3266161780732023"/>
          <c:y val="0.1118014117718419"/>
          <c:w val="0.40524233441982577"/>
          <c:h val="0.62422454905945068"/>
        </c:manualLayout>
      </c:layout>
      <c:radarChart>
        <c:radarStyle val="marker"/>
        <c:varyColors val="0"/>
        <c:ser>
          <c:idx val="0"/>
          <c:order val="0"/>
          <c:tx>
            <c:strRef>
              <c:f>TELE2!$W$24</c:f>
              <c:strCache>
                <c:ptCount val="1"/>
                <c:pt idx="0">
                  <c:v>Tele2</c:v>
                </c:pt>
              </c:strCache>
            </c:strRef>
          </c:tx>
          <c:spPr>
            <a:ln w="25400">
              <a:solidFill>
                <a:srgbClr val="263238"/>
              </a:solidFill>
              <a:prstDash val="solid"/>
            </a:ln>
            <a:effectLst/>
          </c:spPr>
          <c:marker>
            <c:symbol val="diamond"/>
            <c:size val="6"/>
            <c:spPr>
              <a:solidFill>
                <a:srgbClr val="263238"/>
              </a:solidFill>
              <a:ln w="6350">
                <a:noFill/>
              </a:ln>
            </c:spPr>
          </c:marker>
          <c:cat>
            <c:strRef>
              <c:f>TELE2!$V$25:$V$34</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TELE2!$W$25:$W$34</c:f>
              <c:numCache>
                <c:formatCode>0%</c:formatCode>
                <c:ptCount val="10"/>
                <c:pt idx="0">
                  <c:v>2.1140422549242617</c:v>
                </c:pt>
                <c:pt idx="1">
                  <c:v>1.8682218135488438</c:v>
                </c:pt>
                <c:pt idx="2">
                  <c:v>1.270847508730194</c:v>
                </c:pt>
                <c:pt idx="3">
                  <c:v>1.1440679309718893</c:v>
                </c:pt>
                <c:pt idx="4">
                  <c:v>2.8452681678987357</c:v>
                </c:pt>
                <c:pt idx="5">
                  <c:v>7.145997216586613</c:v>
                </c:pt>
                <c:pt idx="6">
                  <c:v>1.0013299219419174</c:v>
                </c:pt>
                <c:pt idx="7">
                  <c:v>1.2808341773429508</c:v>
                </c:pt>
                <c:pt idx="8">
                  <c:v>0.80260049451576754</c:v>
                </c:pt>
                <c:pt idx="9">
                  <c:v>0.99867184440135559</c:v>
                </c:pt>
              </c:numCache>
            </c:numRef>
          </c:val>
          <c:extLst>
            <c:ext xmlns:c16="http://schemas.microsoft.com/office/drawing/2014/chart" uri="{C3380CC4-5D6E-409C-BE32-E72D297353CC}">
              <c16:uniqueId val="{00000000-050E-4C29-88CF-00EBD7CC704A}"/>
            </c:ext>
          </c:extLst>
        </c:ser>
        <c:ser>
          <c:idx val="1"/>
          <c:order val="1"/>
          <c:tx>
            <c:strRef>
              <c:f>TELE2!$X$24</c:f>
              <c:strCache>
                <c:ptCount val="1"/>
                <c:pt idx="0">
                  <c:v>Agg. W. Eur. Altnet</c:v>
                </c:pt>
              </c:strCache>
            </c:strRef>
          </c:tx>
          <c:spPr>
            <a:ln w="25400">
              <a:solidFill>
                <a:srgbClr val="799098"/>
              </a:solidFill>
              <a:prstDash val="solid"/>
            </a:ln>
            <a:effectLst/>
          </c:spPr>
          <c:marker>
            <c:symbol val="diamond"/>
            <c:size val="6"/>
            <c:spPr>
              <a:solidFill>
                <a:srgbClr val="799098"/>
              </a:solidFill>
              <a:ln w="6350">
                <a:noFill/>
              </a:ln>
            </c:spPr>
          </c:marker>
          <c:cat>
            <c:strRef>
              <c:f>TELE2!$V$25:$V$34</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TELE2!$X$25:$X$34</c:f>
              <c:numCache>
                <c:formatCode>0%</c:formatCode>
                <c:ptCount val="10"/>
                <c:pt idx="0">
                  <c:v>1</c:v>
                </c:pt>
                <c:pt idx="1">
                  <c:v>1</c:v>
                </c:pt>
                <c:pt idx="2">
                  <c:v>1</c:v>
                </c:pt>
                <c:pt idx="3">
                  <c:v>1</c:v>
                </c:pt>
                <c:pt idx="4">
                  <c:v>1</c:v>
                </c:pt>
                <c:pt idx="5">
                  <c:v>1</c:v>
                </c:pt>
                <c:pt idx="6">
                  <c:v>1</c:v>
                </c:pt>
                <c:pt idx="7">
                  <c:v>1</c:v>
                </c:pt>
                <c:pt idx="8">
                  <c:v>1</c:v>
                </c:pt>
                <c:pt idx="9">
                  <c:v>1</c:v>
                </c:pt>
              </c:numCache>
            </c:numRef>
          </c:val>
          <c:extLst>
            <c:ext xmlns:c16="http://schemas.microsoft.com/office/drawing/2014/chart" uri="{C3380CC4-5D6E-409C-BE32-E72D297353CC}">
              <c16:uniqueId val="{00000001-050E-4C29-88CF-00EBD7CC704A}"/>
            </c:ext>
          </c:extLst>
        </c:ser>
        <c:dLbls>
          <c:showLegendKey val="0"/>
          <c:showVal val="0"/>
          <c:showCatName val="0"/>
          <c:showSerName val="0"/>
          <c:showPercent val="0"/>
          <c:showBubbleSize val="0"/>
        </c:dLbls>
        <c:axId val="322875776"/>
        <c:axId val="322877696"/>
      </c:radarChart>
      <c:catAx>
        <c:axId val="322875776"/>
        <c:scaling>
          <c:orientation val="minMax"/>
        </c:scaling>
        <c:delete val="0"/>
        <c:axPos val="b"/>
        <c:numFmt formatCode="General" sourceLinked="1"/>
        <c:majorTickMark val="out"/>
        <c:minorTickMark val="none"/>
        <c:tickLblPos val="nextTo"/>
        <c:spPr>
          <a:ln>
            <a:solidFill>
              <a:srgbClr val="B3B3B3"/>
            </a:solidFill>
          </a:ln>
        </c:spPr>
        <c:txPr>
          <a:bodyPr rot="0" vert="horz"/>
          <a:lstStyle/>
          <a:p>
            <a:pPr>
              <a:defRPr/>
            </a:pPr>
            <a:endParaRPr lang="en-US"/>
          </a:p>
        </c:txPr>
        <c:crossAx val="322877696"/>
        <c:crosses val="autoZero"/>
        <c:auto val="0"/>
        <c:lblAlgn val="ctr"/>
        <c:lblOffset val="100"/>
        <c:noMultiLvlLbl val="0"/>
      </c:catAx>
      <c:valAx>
        <c:axId val="322877696"/>
        <c:scaling>
          <c:orientation val="minMax"/>
        </c:scaling>
        <c:delete val="0"/>
        <c:axPos val="l"/>
        <c:numFmt formatCode="0%" sourceLinked="1"/>
        <c:majorTickMark val="cross"/>
        <c:minorTickMark val="none"/>
        <c:tickLblPos val="nextTo"/>
        <c:spPr>
          <a:ln w="3175">
            <a:solidFill>
              <a:srgbClr val="B3B3B3"/>
            </a:solidFill>
            <a:prstDash val="solid"/>
          </a:ln>
        </c:spPr>
        <c:txPr>
          <a:bodyPr rot="0" vert="horz"/>
          <a:lstStyle/>
          <a:p>
            <a:pPr>
              <a:defRPr/>
            </a:pPr>
            <a:endParaRPr lang="en-US"/>
          </a:p>
        </c:txPr>
        <c:crossAx val="322875776"/>
        <c:crosses val="autoZero"/>
        <c:crossBetween val="between"/>
      </c:valAx>
      <c:spPr>
        <a:noFill/>
        <a:ln w="25400">
          <a:noFill/>
        </a:ln>
      </c:spPr>
    </c:plotArea>
    <c:legend>
      <c:legendPos val="b"/>
      <c:overlay val="0"/>
      <c:spPr>
        <a:noFill/>
        <a:ln w="25400">
          <a:noFill/>
        </a:ln>
      </c:spPr>
    </c:legend>
    <c:plotVisOnly val="1"/>
    <c:dispBlanksAs val="gap"/>
    <c:showDLblsOverMax val="0"/>
  </c:chart>
  <c:spPr>
    <a:noFill/>
    <a:ln w="25400">
      <a:noFill/>
    </a:ln>
    <a:effectLst/>
  </c:spPr>
  <c:txPr>
    <a:bodyPr/>
    <a:lstStyle/>
    <a:p>
      <a:pPr>
        <a:defRPr sz="1000" b="0" i="0" u="none" strike="noStrike" baseline="0">
          <a:solidFill>
            <a:srgbClr val="595959"/>
          </a:solidFill>
          <a:latin typeface="Arial Narrow"/>
          <a:ea typeface="Arial Narrow"/>
          <a:cs typeface="Arial Narrow"/>
        </a:defRPr>
      </a:pPr>
      <a:endParaRPr lang="en-US"/>
    </a:p>
  </c:txPr>
  <c:printSettings>
    <c:headerFooter alignWithMargins="0"/>
    <c:pageMargins b="1" l="0.75000000000000111" r="0.75000000000000111" t="1" header="0.5" footer="0.5"/>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425405252324995"/>
          <c:y val="0.1"/>
          <c:w val="0.44240293197028635"/>
          <c:h val="0.6902222318265766"/>
        </c:manualLayout>
      </c:layout>
      <c:radarChart>
        <c:radarStyle val="marker"/>
        <c:varyColors val="0"/>
        <c:ser>
          <c:idx val="0"/>
          <c:order val="0"/>
          <c:tx>
            <c:strRef>
              <c:f>TEF!$W$24</c:f>
              <c:strCache>
                <c:ptCount val="1"/>
                <c:pt idx="0">
                  <c:v>Telefonica</c:v>
                </c:pt>
              </c:strCache>
            </c:strRef>
          </c:tx>
          <c:spPr>
            <a:ln w="25400">
              <a:solidFill>
                <a:srgbClr val="263238"/>
              </a:solidFill>
              <a:prstDash val="solid"/>
            </a:ln>
            <a:effectLst/>
          </c:spPr>
          <c:marker>
            <c:symbol val="diamond"/>
            <c:size val="6"/>
            <c:spPr>
              <a:solidFill>
                <a:srgbClr val="263238"/>
              </a:solidFill>
              <a:ln w="6350">
                <a:noFill/>
              </a:ln>
            </c:spPr>
          </c:marker>
          <c:cat>
            <c:strRef>
              <c:f>TEF!$V$25:$V$34</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TEF!$W$25:$W$34</c:f>
              <c:numCache>
                <c:formatCode>0%</c:formatCode>
                <c:ptCount val="10"/>
                <c:pt idx="0">
                  <c:v>0.72878298834899113</c:v>
                </c:pt>
                <c:pt idx="1">
                  <c:v>0.93850980064025968</c:v>
                </c:pt>
                <c:pt idx="2">
                  <c:v>0.92483086718237961</c:v>
                </c:pt>
                <c:pt idx="3">
                  <c:v>0.91040953771469635</c:v>
                </c:pt>
                <c:pt idx="4">
                  <c:v>0.82987242074565337</c:v>
                </c:pt>
                <c:pt idx="5">
                  <c:v>0.86236046110875664</c:v>
                </c:pt>
                <c:pt idx="6">
                  <c:v>1.0990436920630187</c:v>
                </c:pt>
                <c:pt idx="7">
                  <c:v>0.99378488491718264</c:v>
                </c:pt>
                <c:pt idx="8">
                  <c:v>1.4460745271771844</c:v>
                </c:pt>
                <c:pt idx="9">
                  <c:v>0.909881933922842</c:v>
                </c:pt>
              </c:numCache>
            </c:numRef>
          </c:val>
          <c:extLst>
            <c:ext xmlns:c16="http://schemas.microsoft.com/office/drawing/2014/chart" uri="{C3380CC4-5D6E-409C-BE32-E72D297353CC}">
              <c16:uniqueId val="{00000000-937B-4336-BCFC-8FCB1F5C0E84}"/>
            </c:ext>
          </c:extLst>
        </c:ser>
        <c:ser>
          <c:idx val="1"/>
          <c:order val="1"/>
          <c:tx>
            <c:strRef>
              <c:f>TEF!$X$24</c:f>
              <c:strCache>
                <c:ptCount val="1"/>
                <c:pt idx="0">
                  <c:v>Agg. W. Eur. Incumbent</c:v>
                </c:pt>
              </c:strCache>
            </c:strRef>
          </c:tx>
          <c:spPr>
            <a:ln w="25400">
              <a:solidFill>
                <a:srgbClr val="799098"/>
              </a:solidFill>
              <a:prstDash val="solid"/>
            </a:ln>
            <a:effectLst/>
          </c:spPr>
          <c:marker>
            <c:symbol val="diamond"/>
            <c:size val="6"/>
            <c:spPr>
              <a:solidFill>
                <a:srgbClr val="799098"/>
              </a:solidFill>
              <a:ln w="6350">
                <a:noFill/>
              </a:ln>
            </c:spPr>
          </c:marker>
          <c:cat>
            <c:strRef>
              <c:f>TEF!$V$25:$V$34</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TEF!$X$25:$X$34</c:f>
              <c:numCache>
                <c:formatCode>0%</c:formatCode>
                <c:ptCount val="10"/>
                <c:pt idx="0">
                  <c:v>1</c:v>
                </c:pt>
                <c:pt idx="1">
                  <c:v>1</c:v>
                </c:pt>
                <c:pt idx="2">
                  <c:v>1</c:v>
                </c:pt>
                <c:pt idx="3">
                  <c:v>1</c:v>
                </c:pt>
                <c:pt idx="4">
                  <c:v>1</c:v>
                </c:pt>
                <c:pt idx="5">
                  <c:v>1</c:v>
                </c:pt>
                <c:pt idx="6">
                  <c:v>1</c:v>
                </c:pt>
                <c:pt idx="7">
                  <c:v>1</c:v>
                </c:pt>
                <c:pt idx="8">
                  <c:v>1</c:v>
                </c:pt>
                <c:pt idx="9">
                  <c:v>1</c:v>
                </c:pt>
              </c:numCache>
            </c:numRef>
          </c:val>
          <c:extLst>
            <c:ext xmlns:c16="http://schemas.microsoft.com/office/drawing/2014/chart" uri="{C3380CC4-5D6E-409C-BE32-E72D297353CC}">
              <c16:uniqueId val="{00000001-937B-4336-BCFC-8FCB1F5C0E84}"/>
            </c:ext>
          </c:extLst>
        </c:ser>
        <c:dLbls>
          <c:showLegendKey val="0"/>
          <c:showVal val="0"/>
          <c:showCatName val="0"/>
          <c:showSerName val="0"/>
          <c:showPercent val="0"/>
          <c:showBubbleSize val="0"/>
        </c:dLbls>
        <c:axId val="323285376"/>
        <c:axId val="323287296"/>
      </c:radarChart>
      <c:catAx>
        <c:axId val="323285376"/>
        <c:scaling>
          <c:orientation val="minMax"/>
        </c:scaling>
        <c:delete val="0"/>
        <c:axPos val="b"/>
        <c:numFmt formatCode="General" sourceLinked="1"/>
        <c:majorTickMark val="out"/>
        <c:minorTickMark val="none"/>
        <c:tickLblPos val="nextTo"/>
        <c:spPr>
          <a:ln>
            <a:solidFill>
              <a:srgbClr val="B3B3B3"/>
            </a:solidFill>
          </a:ln>
        </c:spPr>
        <c:txPr>
          <a:bodyPr rot="0" vert="horz"/>
          <a:lstStyle/>
          <a:p>
            <a:pPr>
              <a:defRPr/>
            </a:pPr>
            <a:endParaRPr lang="en-US"/>
          </a:p>
        </c:txPr>
        <c:crossAx val="323287296"/>
        <c:crosses val="autoZero"/>
        <c:auto val="0"/>
        <c:lblAlgn val="ctr"/>
        <c:lblOffset val="100"/>
        <c:noMultiLvlLbl val="0"/>
      </c:catAx>
      <c:valAx>
        <c:axId val="323287296"/>
        <c:scaling>
          <c:orientation val="minMax"/>
        </c:scaling>
        <c:delete val="0"/>
        <c:axPos val="l"/>
        <c:numFmt formatCode="0%" sourceLinked="1"/>
        <c:majorTickMark val="cross"/>
        <c:minorTickMark val="none"/>
        <c:tickLblPos val="nextTo"/>
        <c:spPr>
          <a:ln w="3175">
            <a:solidFill>
              <a:srgbClr val="B3B3B3"/>
            </a:solidFill>
            <a:prstDash val="solid"/>
          </a:ln>
        </c:spPr>
        <c:txPr>
          <a:bodyPr rot="0" vert="horz"/>
          <a:lstStyle/>
          <a:p>
            <a:pPr>
              <a:defRPr/>
            </a:pPr>
            <a:endParaRPr lang="en-US"/>
          </a:p>
        </c:txPr>
        <c:crossAx val="323285376"/>
        <c:crosses val="autoZero"/>
        <c:crossBetween val="between"/>
      </c:valAx>
      <c:spPr>
        <a:noFill/>
        <a:ln w="25400">
          <a:noFill/>
        </a:ln>
      </c:spPr>
    </c:plotArea>
    <c:legend>
      <c:legendPos val="b"/>
      <c:overlay val="0"/>
      <c:spPr>
        <a:noFill/>
        <a:ln w="25400">
          <a:noFill/>
        </a:ln>
      </c:spPr>
    </c:legend>
    <c:plotVisOnly val="1"/>
    <c:dispBlanksAs val="gap"/>
    <c:showDLblsOverMax val="0"/>
  </c:chart>
  <c:spPr>
    <a:noFill/>
    <a:ln w="25400">
      <a:noFill/>
    </a:ln>
    <a:effectLst/>
  </c:spPr>
  <c:txPr>
    <a:bodyPr/>
    <a:lstStyle/>
    <a:p>
      <a:pPr>
        <a:defRPr sz="1000" b="0" i="0" u="none" strike="noStrike" baseline="0">
          <a:solidFill>
            <a:srgbClr val="595959"/>
          </a:solidFill>
          <a:latin typeface="Arial Narrow"/>
          <a:ea typeface="Arial Narrow"/>
          <a:cs typeface="Arial Narrow"/>
        </a:defRPr>
      </a:pPr>
      <a:endParaRPr lang="en-US"/>
    </a:p>
  </c:txPr>
  <c:printSettings>
    <c:headerFooter alignWithMargins="0"/>
    <c:pageMargins b="1" l="0.75000000000000111" r="0.75000000000000111" t="1" header="0.5" footer="0.5"/>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7016155627988386"/>
          <c:y val="0.13538481878728784"/>
          <c:w val="0.48185531306636031"/>
          <c:h val="0.7353857202309495"/>
        </c:manualLayout>
      </c:layout>
      <c:radarChart>
        <c:radarStyle val="marker"/>
        <c:varyColors val="0"/>
        <c:ser>
          <c:idx val="0"/>
          <c:order val="0"/>
          <c:tx>
            <c:strRef>
              <c:f>ATT!$W$24</c:f>
              <c:strCache>
                <c:ptCount val="1"/>
                <c:pt idx="0">
                  <c:v>AT&amp;T</c:v>
                </c:pt>
              </c:strCache>
            </c:strRef>
          </c:tx>
          <c:spPr>
            <a:ln w="25400">
              <a:solidFill>
                <a:srgbClr val="263238"/>
              </a:solidFill>
              <a:prstDash val="solid"/>
            </a:ln>
            <a:effectLst/>
          </c:spPr>
          <c:marker>
            <c:symbol val="diamond"/>
            <c:size val="6"/>
            <c:spPr>
              <a:solidFill>
                <a:srgbClr val="263238"/>
              </a:solidFill>
              <a:ln w="6350">
                <a:noFill/>
              </a:ln>
            </c:spPr>
          </c:marker>
          <c:cat>
            <c:strRef>
              <c:f>ATT!$V$25:$V$34</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ATT!$W$25:$W$34</c:f>
              <c:numCache>
                <c:formatCode>0%</c:formatCode>
                <c:ptCount val="10"/>
                <c:pt idx="0">
                  <c:v>0.8368748611769844</c:v>
                </c:pt>
                <c:pt idx="1">
                  <c:v>0.84771919921398353</c:v>
                </c:pt>
                <c:pt idx="2">
                  <c:v>1.0520321090686056</c:v>
                </c:pt>
                <c:pt idx="3">
                  <c:v>0.97698521018323703</c:v>
                </c:pt>
                <c:pt idx="4">
                  <c:v>0.85288660947101003</c:v>
                </c:pt>
                <c:pt idx="5">
                  <c:v>0.6209403923153638</c:v>
                </c:pt>
                <c:pt idx="6">
                  <c:v>0.84130226003234199</c:v>
                </c:pt>
                <c:pt idx="7">
                  <c:v>0.62625417738082378</c:v>
                </c:pt>
                <c:pt idx="8">
                  <c:v>1.7217849384464032</c:v>
                </c:pt>
                <c:pt idx="9">
                  <c:v>1.1886334406870098</c:v>
                </c:pt>
              </c:numCache>
            </c:numRef>
          </c:val>
          <c:extLst>
            <c:ext xmlns:c16="http://schemas.microsoft.com/office/drawing/2014/chart" uri="{C3380CC4-5D6E-409C-BE32-E72D297353CC}">
              <c16:uniqueId val="{00000000-7403-4401-9361-4BC140096373}"/>
            </c:ext>
          </c:extLst>
        </c:ser>
        <c:ser>
          <c:idx val="1"/>
          <c:order val="1"/>
          <c:tx>
            <c:strRef>
              <c:f>ATT!$X$24</c:f>
              <c:strCache>
                <c:ptCount val="1"/>
                <c:pt idx="0">
                  <c:v>Agg. US Telecoms</c:v>
                </c:pt>
              </c:strCache>
            </c:strRef>
          </c:tx>
          <c:spPr>
            <a:ln w="25400">
              <a:solidFill>
                <a:srgbClr val="799098"/>
              </a:solidFill>
              <a:prstDash val="solid"/>
            </a:ln>
            <a:effectLst/>
          </c:spPr>
          <c:marker>
            <c:symbol val="diamond"/>
            <c:size val="6"/>
            <c:spPr>
              <a:solidFill>
                <a:srgbClr val="799098"/>
              </a:solidFill>
              <a:ln w="6350">
                <a:noFill/>
              </a:ln>
            </c:spPr>
          </c:marker>
          <c:cat>
            <c:strRef>
              <c:f>ATT!$V$25:$V$34</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ATT!$X$25:$X$34</c:f>
              <c:numCache>
                <c:formatCode>0%</c:formatCode>
                <c:ptCount val="10"/>
                <c:pt idx="0">
                  <c:v>1</c:v>
                </c:pt>
                <c:pt idx="1">
                  <c:v>1</c:v>
                </c:pt>
                <c:pt idx="2">
                  <c:v>1</c:v>
                </c:pt>
                <c:pt idx="3">
                  <c:v>1</c:v>
                </c:pt>
                <c:pt idx="4">
                  <c:v>1</c:v>
                </c:pt>
                <c:pt idx="5">
                  <c:v>1</c:v>
                </c:pt>
                <c:pt idx="6">
                  <c:v>1</c:v>
                </c:pt>
                <c:pt idx="7">
                  <c:v>1</c:v>
                </c:pt>
                <c:pt idx="8">
                  <c:v>1</c:v>
                </c:pt>
                <c:pt idx="9">
                  <c:v>1</c:v>
                </c:pt>
              </c:numCache>
            </c:numRef>
          </c:val>
          <c:extLst>
            <c:ext xmlns:c16="http://schemas.microsoft.com/office/drawing/2014/chart" uri="{C3380CC4-5D6E-409C-BE32-E72D297353CC}">
              <c16:uniqueId val="{00000001-7403-4401-9361-4BC140096373}"/>
            </c:ext>
          </c:extLst>
        </c:ser>
        <c:dLbls>
          <c:showLegendKey val="0"/>
          <c:showVal val="0"/>
          <c:showCatName val="0"/>
          <c:showSerName val="0"/>
          <c:showPercent val="0"/>
          <c:showBubbleSize val="0"/>
        </c:dLbls>
        <c:axId val="353011584"/>
        <c:axId val="353021952"/>
      </c:radarChart>
      <c:catAx>
        <c:axId val="353011584"/>
        <c:scaling>
          <c:orientation val="minMax"/>
        </c:scaling>
        <c:delete val="0"/>
        <c:axPos val="b"/>
        <c:numFmt formatCode="General" sourceLinked="1"/>
        <c:majorTickMark val="out"/>
        <c:minorTickMark val="none"/>
        <c:tickLblPos val="nextTo"/>
        <c:spPr>
          <a:ln>
            <a:solidFill>
              <a:srgbClr val="B3B3B3"/>
            </a:solidFill>
          </a:ln>
        </c:spPr>
        <c:txPr>
          <a:bodyPr rot="0" vert="horz"/>
          <a:lstStyle/>
          <a:p>
            <a:pPr>
              <a:defRPr/>
            </a:pPr>
            <a:endParaRPr lang="en-US"/>
          </a:p>
        </c:txPr>
        <c:crossAx val="353021952"/>
        <c:crosses val="autoZero"/>
        <c:auto val="0"/>
        <c:lblAlgn val="ctr"/>
        <c:lblOffset val="100"/>
        <c:noMultiLvlLbl val="0"/>
      </c:catAx>
      <c:valAx>
        <c:axId val="353021952"/>
        <c:scaling>
          <c:orientation val="minMax"/>
        </c:scaling>
        <c:delete val="0"/>
        <c:axPos val="l"/>
        <c:numFmt formatCode="0%" sourceLinked="1"/>
        <c:majorTickMark val="cross"/>
        <c:minorTickMark val="none"/>
        <c:tickLblPos val="nextTo"/>
        <c:spPr>
          <a:ln w="3175">
            <a:solidFill>
              <a:srgbClr val="B3B3B3"/>
            </a:solidFill>
            <a:prstDash val="solid"/>
          </a:ln>
        </c:spPr>
        <c:txPr>
          <a:bodyPr rot="0" vert="horz"/>
          <a:lstStyle/>
          <a:p>
            <a:pPr>
              <a:defRPr/>
            </a:pPr>
            <a:endParaRPr lang="en-US"/>
          </a:p>
        </c:txPr>
        <c:crossAx val="353011584"/>
        <c:crosses val="autoZero"/>
        <c:crossBetween val="between"/>
        <c:majorUnit val="0.5"/>
        <c:minorUnit val="0.5"/>
      </c:valAx>
      <c:spPr>
        <a:noFill/>
        <a:ln w="25400">
          <a:noFill/>
        </a:ln>
      </c:spPr>
    </c:plotArea>
    <c:legend>
      <c:legendPos val="b"/>
      <c:overlay val="0"/>
      <c:spPr>
        <a:noFill/>
        <a:ln w="25400">
          <a:noFill/>
        </a:ln>
      </c:spPr>
    </c:legend>
    <c:plotVisOnly val="1"/>
    <c:dispBlanksAs val="gap"/>
    <c:showDLblsOverMax val="0"/>
  </c:chart>
  <c:spPr>
    <a:noFill/>
    <a:ln w="25400">
      <a:noFill/>
    </a:ln>
    <a:effectLst/>
  </c:spPr>
  <c:txPr>
    <a:bodyPr/>
    <a:lstStyle/>
    <a:p>
      <a:pPr>
        <a:defRPr sz="1000" b="0" i="0" u="none" strike="noStrike" baseline="0">
          <a:solidFill>
            <a:srgbClr val="595959"/>
          </a:solidFill>
          <a:latin typeface="Arial Narrow"/>
          <a:ea typeface="Arial Narrow"/>
          <a:cs typeface="Arial Narrow"/>
        </a:defRPr>
      </a:pPr>
      <a:endParaRPr lang="en-US"/>
    </a:p>
  </c:txPr>
  <c:printSettings>
    <c:headerFooter alignWithMargins="0"/>
    <c:pageMargins b="1" l="0.75000000000000111" r="0.75000000000000111" t="1" header="0.5" footer="0.5"/>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4262858031674642"/>
          <c:y val="9.6573502523554705E-2"/>
          <c:w val="0.43429753821424338"/>
          <c:h val="0.68880631458775288"/>
        </c:manualLayout>
      </c:layout>
      <c:radarChart>
        <c:radarStyle val="marker"/>
        <c:varyColors val="0"/>
        <c:ser>
          <c:idx val="0"/>
          <c:order val="0"/>
          <c:tx>
            <c:strRef>
              <c:f>TELIA!$W$24</c:f>
              <c:strCache>
                <c:ptCount val="1"/>
                <c:pt idx="0">
                  <c:v>Telia</c:v>
                </c:pt>
              </c:strCache>
            </c:strRef>
          </c:tx>
          <c:spPr>
            <a:ln w="25400">
              <a:solidFill>
                <a:srgbClr val="263238"/>
              </a:solidFill>
              <a:prstDash val="solid"/>
            </a:ln>
            <a:effectLst/>
          </c:spPr>
          <c:marker>
            <c:symbol val="diamond"/>
            <c:size val="6"/>
            <c:spPr>
              <a:solidFill>
                <a:srgbClr val="263238"/>
              </a:solidFill>
              <a:ln w="6350">
                <a:noFill/>
              </a:ln>
            </c:spPr>
          </c:marker>
          <c:cat>
            <c:strRef>
              <c:f>TELIA!$V$25:$V$34</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TELIA!$W$25:$W$34</c:f>
              <c:numCache>
                <c:formatCode>0%</c:formatCode>
                <c:ptCount val="10"/>
                <c:pt idx="0">
                  <c:v>1.1089640616528473</c:v>
                </c:pt>
                <c:pt idx="1">
                  <c:v>1.190352807432246</c:v>
                </c:pt>
                <c:pt idx="2">
                  <c:v>1.1203278350667516</c:v>
                </c:pt>
                <c:pt idx="3">
                  <c:v>1.1330733164358442</c:v>
                </c:pt>
                <c:pt idx="4">
                  <c:v>1.2674551080186045</c:v>
                </c:pt>
                <c:pt idx="5">
                  <c:v>0.93644704489147146</c:v>
                </c:pt>
                <c:pt idx="6">
                  <c:v>1.0714051632249946</c:v>
                </c:pt>
                <c:pt idx="7">
                  <c:v>4.3277306457458886</c:v>
                </c:pt>
                <c:pt idx="8">
                  <c:v>1.5178576886247823</c:v>
                </c:pt>
                <c:pt idx="9">
                  <c:v>0.93335372492506874</c:v>
                </c:pt>
              </c:numCache>
            </c:numRef>
          </c:val>
          <c:extLst>
            <c:ext xmlns:c16="http://schemas.microsoft.com/office/drawing/2014/chart" uri="{C3380CC4-5D6E-409C-BE32-E72D297353CC}">
              <c16:uniqueId val="{00000000-2AF7-4855-A428-8D26BC613010}"/>
            </c:ext>
          </c:extLst>
        </c:ser>
        <c:ser>
          <c:idx val="1"/>
          <c:order val="1"/>
          <c:tx>
            <c:strRef>
              <c:f>TELIA!$X$24</c:f>
              <c:strCache>
                <c:ptCount val="1"/>
                <c:pt idx="0">
                  <c:v>Agg. W. Eur Incumbent</c:v>
                </c:pt>
              </c:strCache>
            </c:strRef>
          </c:tx>
          <c:spPr>
            <a:ln w="25400">
              <a:solidFill>
                <a:srgbClr val="799098"/>
              </a:solidFill>
              <a:prstDash val="solid"/>
            </a:ln>
            <a:effectLst/>
          </c:spPr>
          <c:marker>
            <c:symbol val="diamond"/>
            <c:size val="6"/>
            <c:spPr>
              <a:solidFill>
                <a:srgbClr val="799098"/>
              </a:solidFill>
              <a:ln w="6350">
                <a:noFill/>
              </a:ln>
            </c:spPr>
          </c:marker>
          <c:cat>
            <c:strRef>
              <c:f>TELIA!$V$25:$V$34</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TELIA!$X$25:$X$34</c:f>
              <c:numCache>
                <c:formatCode>0%</c:formatCode>
                <c:ptCount val="10"/>
                <c:pt idx="0">
                  <c:v>1</c:v>
                </c:pt>
                <c:pt idx="1">
                  <c:v>1</c:v>
                </c:pt>
                <c:pt idx="2">
                  <c:v>1</c:v>
                </c:pt>
                <c:pt idx="3">
                  <c:v>1</c:v>
                </c:pt>
                <c:pt idx="4">
                  <c:v>1</c:v>
                </c:pt>
                <c:pt idx="5">
                  <c:v>1</c:v>
                </c:pt>
                <c:pt idx="6">
                  <c:v>1</c:v>
                </c:pt>
                <c:pt idx="7">
                  <c:v>1</c:v>
                </c:pt>
                <c:pt idx="8">
                  <c:v>1</c:v>
                </c:pt>
                <c:pt idx="9">
                  <c:v>1</c:v>
                </c:pt>
              </c:numCache>
            </c:numRef>
          </c:val>
          <c:extLst>
            <c:ext xmlns:c16="http://schemas.microsoft.com/office/drawing/2014/chart" uri="{C3380CC4-5D6E-409C-BE32-E72D297353CC}">
              <c16:uniqueId val="{00000001-2AF7-4855-A428-8D26BC613010}"/>
            </c:ext>
          </c:extLst>
        </c:ser>
        <c:dLbls>
          <c:showLegendKey val="0"/>
          <c:showVal val="0"/>
          <c:showCatName val="0"/>
          <c:showSerName val="0"/>
          <c:showPercent val="0"/>
          <c:showBubbleSize val="0"/>
        </c:dLbls>
        <c:axId val="338158336"/>
        <c:axId val="338160256"/>
      </c:radarChart>
      <c:catAx>
        <c:axId val="338158336"/>
        <c:scaling>
          <c:orientation val="minMax"/>
        </c:scaling>
        <c:delete val="0"/>
        <c:axPos val="b"/>
        <c:numFmt formatCode="General" sourceLinked="1"/>
        <c:majorTickMark val="out"/>
        <c:minorTickMark val="none"/>
        <c:tickLblPos val="nextTo"/>
        <c:spPr>
          <a:ln>
            <a:solidFill>
              <a:srgbClr val="B3B3B3"/>
            </a:solidFill>
          </a:ln>
        </c:spPr>
        <c:txPr>
          <a:bodyPr rot="0" vert="horz"/>
          <a:lstStyle/>
          <a:p>
            <a:pPr>
              <a:defRPr/>
            </a:pPr>
            <a:endParaRPr lang="en-US"/>
          </a:p>
        </c:txPr>
        <c:crossAx val="338160256"/>
        <c:crosses val="autoZero"/>
        <c:auto val="0"/>
        <c:lblAlgn val="ctr"/>
        <c:lblOffset val="100"/>
        <c:noMultiLvlLbl val="0"/>
      </c:catAx>
      <c:valAx>
        <c:axId val="338160256"/>
        <c:scaling>
          <c:orientation val="minMax"/>
        </c:scaling>
        <c:delete val="0"/>
        <c:axPos val="l"/>
        <c:numFmt formatCode="0%" sourceLinked="1"/>
        <c:majorTickMark val="cross"/>
        <c:minorTickMark val="none"/>
        <c:tickLblPos val="nextTo"/>
        <c:spPr>
          <a:ln w="3175">
            <a:solidFill>
              <a:srgbClr val="B3B3B3"/>
            </a:solidFill>
            <a:prstDash val="solid"/>
          </a:ln>
        </c:spPr>
        <c:txPr>
          <a:bodyPr rot="0" vert="horz"/>
          <a:lstStyle/>
          <a:p>
            <a:pPr>
              <a:defRPr/>
            </a:pPr>
            <a:endParaRPr lang="en-US"/>
          </a:p>
        </c:txPr>
        <c:crossAx val="338158336"/>
        <c:crosses val="autoZero"/>
        <c:crossBetween val="between"/>
      </c:valAx>
      <c:spPr>
        <a:noFill/>
        <a:ln w="25400">
          <a:noFill/>
        </a:ln>
      </c:spPr>
    </c:plotArea>
    <c:legend>
      <c:legendPos val="b"/>
      <c:overlay val="0"/>
      <c:spPr>
        <a:noFill/>
        <a:ln w="25400">
          <a:noFill/>
        </a:ln>
      </c:spPr>
    </c:legend>
    <c:plotVisOnly val="1"/>
    <c:dispBlanksAs val="gap"/>
    <c:showDLblsOverMax val="0"/>
  </c:chart>
  <c:spPr>
    <a:noFill/>
    <a:ln w="25400">
      <a:noFill/>
    </a:ln>
    <a:effectLst/>
  </c:spPr>
  <c:txPr>
    <a:bodyPr/>
    <a:lstStyle/>
    <a:p>
      <a:pPr>
        <a:defRPr sz="1000" b="0" i="0" u="none" strike="noStrike" baseline="0">
          <a:solidFill>
            <a:srgbClr val="595959"/>
          </a:solidFill>
          <a:latin typeface="Arial Narrow"/>
          <a:ea typeface="Arial Narrow"/>
          <a:cs typeface="Arial Narrow"/>
        </a:defRPr>
      </a:pPr>
      <a:endParaRPr lang="en-US"/>
    </a:p>
  </c:txPr>
  <c:printSettings>
    <c:headerFooter alignWithMargins="0"/>
    <c:pageMargins b="1" l="0.75000000000000111" r="0.75000000000000111" t="1" header="0.5" footer="0.5"/>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1214240061520832"/>
          <c:y val="7.1874999999999994E-2"/>
          <c:w val="0.47616472490848338"/>
          <c:h val="0.7153563059861644"/>
        </c:manualLayout>
      </c:layout>
      <c:radarChart>
        <c:radarStyle val="marker"/>
        <c:varyColors val="0"/>
        <c:ser>
          <c:idx val="0"/>
          <c:order val="0"/>
          <c:tx>
            <c:strRef>
              <c:f>TI!$W$24</c:f>
              <c:strCache>
                <c:ptCount val="1"/>
                <c:pt idx="0">
                  <c:v>Telecom Italia</c:v>
                </c:pt>
              </c:strCache>
            </c:strRef>
          </c:tx>
          <c:spPr>
            <a:ln w="25400">
              <a:solidFill>
                <a:srgbClr val="263238"/>
              </a:solidFill>
              <a:prstDash val="solid"/>
            </a:ln>
            <a:effectLst/>
          </c:spPr>
          <c:marker>
            <c:symbol val="diamond"/>
            <c:size val="6"/>
            <c:spPr>
              <a:solidFill>
                <a:srgbClr val="263238"/>
              </a:solidFill>
              <a:ln w="6350">
                <a:noFill/>
              </a:ln>
            </c:spPr>
          </c:marker>
          <c:cat>
            <c:strRef>
              <c:f>TI!$V$25:$V$34</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TI!$W$25:$W$34</c:f>
              <c:numCache>
                <c:formatCode>0%</c:formatCode>
                <c:ptCount val="10"/>
                <c:pt idx="0">
                  <c:v>0.89192880114846096</c:v>
                </c:pt>
                <c:pt idx="1">
                  <c:v>0.90454571740063638</c:v>
                </c:pt>
                <c:pt idx="2">
                  <c:v>1.7637998688414596</c:v>
                </c:pt>
                <c:pt idx="3">
                  <c:v>1.806133247213664</c:v>
                </c:pt>
                <c:pt idx="4">
                  <c:v>0.56745460629235267</c:v>
                </c:pt>
                <c:pt idx="5">
                  <c:v>0.69227637823531663</c:v>
                </c:pt>
                <c:pt idx="6">
                  <c:v>-0.3072203123122082</c:v>
                </c:pt>
                <c:pt idx="7">
                  <c:v>-1.1121722458050194</c:v>
                </c:pt>
                <c:pt idx="8">
                  <c:v>0</c:v>
                </c:pt>
                <c:pt idx="9">
                  <c:v>-3.254993110558928</c:v>
                </c:pt>
              </c:numCache>
            </c:numRef>
          </c:val>
          <c:extLst>
            <c:ext xmlns:c16="http://schemas.microsoft.com/office/drawing/2014/chart" uri="{C3380CC4-5D6E-409C-BE32-E72D297353CC}">
              <c16:uniqueId val="{00000000-609A-4971-9BF9-90E4D69A1A33}"/>
            </c:ext>
          </c:extLst>
        </c:ser>
        <c:ser>
          <c:idx val="1"/>
          <c:order val="1"/>
          <c:tx>
            <c:strRef>
              <c:f>TI!$X$24</c:f>
              <c:strCache>
                <c:ptCount val="1"/>
                <c:pt idx="0">
                  <c:v>Agg. W. Eur. Incumbent</c:v>
                </c:pt>
              </c:strCache>
            </c:strRef>
          </c:tx>
          <c:spPr>
            <a:ln w="25400">
              <a:solidFill>
                <a:srgbClr val="799098"/>
              </a:solidFill>
              <a:prstDash val="solid"/>
            </a:ln>
            <a:effectLst/>
          </c:spPr>
          <c:marker>
            <c:symbol val="diamond"/>
            <c:size val="6"/>
            <c:spPr>
              <a:solidFill>
                <a:srgbClr val="799098"/>
              </a:solidFill>
              <a:ln w="6350">
                <a:noFill/>
              </a:ln>
            </c:spPr>
          </c:marker>
          <c:cat>
            <c:strRef>
              <c:f>TI!$V$25:$V$34</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TI!$X$25:$X$34</c:f>
              <c:numCache>
                <c:formatCode>0%</c:formatCode>
                <c:ptCount val="10"/>
                <c:pt idx="0">
                  <c:v>1</c:v>
                </c:pt>
                <c:pt idx="1">
                  <c:v>1</c:v>
                </c:pt>
                <c:pt idx="2">
                  <c:v>1</c:v>
                </c:pt>
                <c:pt idx="3">
                  <c:v>1</c:v>
                </c:pt>
                <c:pt idx="4">
                  <c:v>1</c:v>
                </c:pt>
                <c:pt idx="5">
                  <c:v>1</c:v>
                </c:pt>
                <c:pt idx="6">
                  <c:v>1</c:v>
                </c:pt>
                <c:pt idx="7">
                  <c:v>1</c:v>
                </c:pt>
                <c:pt idx="8">
                  <c:v>1</c:v>
                </c:pt>
                <c:pt idx="9">
                  <c:v>1</c:v>
                </c:pt>
              </c:numCache>
            </c:numRef>
          </c:val>
          <c:extLst>
            <c:ext xmlns:c16="http://schemas.microsoft.com/office/drawing/2014/chart" uri="{C3380CC4-5D6E-409C-BE32-E72D297353CC}">
              <c16:uniqueId val="{00000001-609A-4971-9BF9-90E4D69A1A33}"/>
            </c:ext>
          </c:extLst>
        </c:ser>
        <c:dLbls>
          <c:showLegendKey val="0"/>
          <c:showVal val="0"/>
          <c:showCatName val="0"/>
          <c:showSerName val="0"/>
          <c:showPercent val="0"/>
          <c:showBubbleSize val="0"/>
        </c:dLbls>
        <c:axId val="328339840"/>
        <c:axId val="328341760"/>
      </c:radarChart>
      <c:catAx>
        <c:axId val="328339840"/>
        <c:scaling>
          <c:orientation val="minMax"/>
        </c:scaling>
        <c:delete val="0"/>
        <c:axPos val="b"/>
        <c:numFmt formatCode="General" sourceLinked="1"/>
        <c:majorTickMark val="out"/>
        <c:minorTickMark val="none"/>
        <c:tickLblPos val="nextTo"/>
        <c:spPr>
          <a:ln>
            <a:solidFill>
              <a:srgbClr val="B3B3B3"/>
            </a:solidFill>
          </a:ln>
        </c:spPr>
        <c:txPr>
          <a:bodyPr rot="0" vert="horz"/>
          <a:lstStyle/>
          <a:p>
            <a:pPr>
              <a:defRPr/>
            </a:pPr>
            <a:endParaRPr lang="en-US"/>
          </a:p>
        </c:txPr>
        <c:crossAx val="328341760"/>
        <c:crosses val="autoZero"/>
        <c:auto val="0"/>
        <c:lblAlgn val="ctr"/>
        <c:lblOffset val="100"/>
        <c:noMultiLvlLbl val="0"/>
      </c:catAx>
      <c:valAx>
        <c:axId val="328341760"/>
        <c:scaling>
          <c:orientation val="minMax"/>
        </c:scaling>
        <c:delete val="0"/>
        <c:axPos val="l"/>
        <c:numFmt formatCode="0%" sourceLinked="1"/>
        <c:majorTickMark val="cross"/>
        <c:minorTickMark val="none"/>
        <c:tickLblPos val="nextTo"/>
        <c:spPr>
          <a:ln w="3175">
            <a:solidFill>
              <a:srgbClr val="B3B3B3"/>
            </a:solidFill>
            <a:prstDash val="solid"/>
          </a:ln>
        </c:spPr>
        <c:txPr>
          <a:bodyPr rot="0" vert="horz"/>
          <a:lstStyle/>
          <a:p>
            <a:pPr>
              <a:defRPr/>
            </a:pPr>
            <a:endParaRPr lang="en-US"/>
          </a:p>
        </c:txPr>
        <c:crossAx val="328339840"/>
        <c:crosses val="autoZero"/>
        <c:crossBetween val="between"/>
      </c:valAx>
      <c:spPr>
        <a:noFill/>
        <a:ln w="25400">
          <a:noFill/>
        </a:ln>
      </c:spPr>
    </c:plotArea>
    <c:legend>
      <c:legendPos val="b"/>
      <c:overlay val="0"/>
      <c:spPr>
        <a:noFill/>
        <a:ln w="25400">
          <a:noFill/>
        </a:ln>
      </c:spPr>
    </c:legend>
    <c:plotVisOnly val="1"/>
    <c:dispBlanksAs val="gap"/>
    <c:showDLblsOverMax val="0"/>
  </c:chart>
  <c:spPr>
    <a:noFill/>
    <a:ln w="25400">
      <a:noFill/>
    </a:ln>
    <a:effectLst/>
  </c:spPr>
  <c:txPr>
    <a:bodyPr/>
    <a:lstStyle/>
    <a:p>
      <a:pPr>
        <a:defRPr sz="1000" b="0" i="0" u="none" strike="noStrike" baseline="0">
          <a:solidFill>
            <a:srgbClr val="595959"/>
          </a:solidFill>
          <a:latin typeface="Arial Narrow"/>
          <a:ea typeface="Arial Narrow"/>
          <a:cs typeface="Arial Narrow"/>
        </a:defRPr>
      </a:pPr>
      <a:endParaRPr lang="en-US"/>
    </a:p>
  </c:txPr>
  <c:printSettings>
    <c:headerFooter alignWithMargins="0"/>
    <c:pageMargins b="1" l="0.75000000000000111" r="0.75000000000000111" t="1" header="0.5" footer="0.5"/>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084680456031515"/>
          <c:y val="9.8461686390754782E-2"/>
          <c:w val="0.4153229895048976"/>
          <c:h val="0.63384710614048612"/>
        </c:manualLayout>
      </c:layout>
      <c:radarChart>
        <c:radarStyle val="marker"/>
        <c:varyColors val="0"/>
        <c:ser>
          <c:idx val="0"/>
          <c:order val="0"/>
          <c:tx>
            <c:strRef>
              <c:f>TIMP!$W$24</c:f>
              <c:strCache>
                <c:ptCount val="1"/>
                <c:pt idx="0">
                  <c:v>TIM Part</c:v>
                </c:pt>
              </c:strCache>
            </c:strRef>
          </c:tx>
          <c:spPr>
            <a:ln w="25400">
              <a:solidFill>
                <a:srgbClr val="263238"/>
              </a:solidFill>
              <a:prstDash val="solid"/>
            </a:ln>
            <a:effectLst/>
          </c:spPr>
          <c:marker>
            <c:symbol val="diamond"/>
            <c:size val="6"/>
            <c:spPr>
              <a:solidFill>
                <a:srgbClr val="263238"/>
              </a:solidFill>
              <a:ln w="6350">
                <a:noFill/>
              </a:ln>
            </c:spPr>
          </c:marker>
          <c:cat>
            <c:strRef>
              <c:f>TIMP!$V$25:$V$34</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TIMP!$W$25:$W$34</c:f>
              <c:numCache>
                <c:formatCode>0%</c:formatCode>
                <c:ptCount val="10"/>
                <c:pt idx="0">
                  <c:v>0.89968784333727148</c:v>
                </c:pt>
                <c:pt idx="1">
                  <c:v>0.73719170671810308</c:v>
                </c:pt>
                <c:pt idx="2">
                  <c:v>0.69213286387357031</c:v>
                </c:pt>
                <c:pt idx="3">
                  <c:v>0.62930042811357656</c:v>
                </c:pt>
                <c:pt idx="4">
                  <c:v>0.63179250115992036</c:v>
                </c:pt>
                <c:pt idx="5">
                  <c:v>1.4159644842955683</c:v>
                </c:pt>
                <c:pt idx="6">
                  <c:v>0.75437501710920585</c:v>
                </c:pt>
                <c:pt idx="7">
                  <c:v>1.1086527939597846</c:v>
                </c:pt>
                <c:pt idx="8">
                  <c:v>1.6806344305610845</c:v>
                </c:pt>
                <c:pt idx="9">
                  <c:v>1.3256006327357426</c:v>
                </c:pt>
              </c:numCache>
            </c:numRef>
          </c:val>
          <c:extLst>
            <c:ext xmlns:c16="http://schemas.microsoft.com/office/drawing/2014/chart" uri="{C3380CC4-5D6E-409C-BE32-E72D297353CC}">
              <c16:uniqueId val="{00000000-F1D2-4F28-A88D-F2B50EF8A0A8}"/>
            </c:ext>
          </c:extLst>
        </c:ser>
        <c:ser>
          <c:idx val="1"/>
          <c:order val="1"/>
          <c:tx>
            <c:strRef>
              <c:f>TIMP!$X$24</c:f>
              <c:strCache>
                <c:ptCount val="1"/>
                <c:pt idx="0">
                  <c:v>Agg. LatAm Cellular</c:v>
                </c:pt>
              </c:strCache>
            </c:strRef>
          </c:tx>
          <c:spPr>
            <a:ln w="25400">
              <a:solidFill>
                <a:srgbClr val="799098"/>
              </a:solidFill>
              <a:prstDash val="solid"/>
            </a:ln>
            <a:effectLst/>
          </c:spPr>
          <c:marker>
            <c:symbol val="diamond"/>
            <c:size val="6"/>
            <c:spPr>
              <a:solidFill>
                <a:srgbClr val="799098"/>
              </a:solidFill>
              <a:ln w="6350">
                <a:noFill/>
              </a:ln>
            </c:spPr>
          </c:marker>
          <c:cat>
            <c:strRef>
              <c:f>TIMP!$V$25:$V$34</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TIMP!$X$25:$X$34</c:f>
              <c:numCache>
                <c:formatCode>0%</c:formatCode>
                <c:ptCount val="10"/>
                <c:pt idx="0">
                  <c:v>1</c:v>
                </c:pt>
                <c:pt idx="1">
                  <c:v>1</c:v>
                </c:pt>
                <c:pt idx="2">
                  <c:v>1</c:v>
                </c:pt>
                <c:pt idx="3">
                  <c:v>1</c:v>
                </c:pt>
                <c:pt idx="4">
                  <c:v>1</c:v>
                </c:pt>
                <c:pt idx="5">
                  <c:v>1</c:v>
                </c:pt>
                <c:pt idx="6">
                  <c:v>1</c:v>
                </c:pt>
                <c:pt idx="7">
                  <c:v>1</c:v>
                </c:pt>
                <c:pt idx="8">
                  <c:v>1</c:v>
                </c:pt>
                <c:pt idx="9">
                  <c:v>1</c:v>
                </c:pt>
              </c:numCache>
            </c:numRef>
          </c:val>
          <c:extLst>
            <c:ext xmlns:c16="http://schemas.microsoft.com/office/drawing/2014/chart" uri="{C3380CC4-5D6E-409C-BE32-E72D297353CC}">
              <c16:uniqueId val="{00000001-F1D2-4F28-A88D-F2B50EF8A0A8}"/>
            </c:ext>
          </c:extLst>
        </c:ser>
        <c:dLbls>
          <c:showLegendKey val="0"/>
          <c:showVal val="0"/>
          <c:showCatName val="0"/>
          <c:showSerName val="0"/>
          <c:showPercent val="0"/>
          <c:showBubbleSize val="0"/>
        </c:dLbls>
        <c:axId val="330645888"/>
        <c:axId val="330647808"/>
      </c:radarChart>
      <c:catAx>
        <c:axId val="330645888"/>
        <c:scaling>
          <c:orientation val="minMax"/>
        </c:scaling>
        <c:delete val="0"/>
        <c:axPos val="b"/>
        <c:numFmt formatCode="General" sourceLinked="1"/>
        <c:majorTickMark val="out"/>
        <c:minorTickMark val="none"/>
        <c:tickLblPos val="nextTo"/>
        <c:spPr>
          <a:ln>
            <a:solidFill>
              <a:srgbClr val="B3B3B3"/>
            </a:solidFill>
          </a:ln>
        </c:spPr>
        <c:txPr>
          <a:bodyPr rot="0" vert="horz"/>
          <a:lstStyle/>
          <a:p>
            <a:pPr>
              <a:defRPr/>
            </a:pPr>
            <a:endParaRPr lang="en-US"/>
          </a:p>
        </c:txPr>
        <c:crossAx val="330647808"/>
        <c:crosses val="autoZero"/>
        <c:auto val="0"/>
        <c:lblAlgn val="ctr"/>
        <c:lblOffset val="100"/>
        <c:noMultiLvlLbl val="0"/>
      </c:catAx>
      <c:valAx>
        <c:axId val="330647808"/>
        <c:scaling>
          <c:orientation val="minMax"/>
        </c:scaling>
        <c:delete val="0"/>
        <c:axPos val="l"/>
        <c:numFmt formatCode="0%" sourceLinked="1"/>
        <c:majorTickMark val="cross"/>
        <c:minorTickMark val="none"/>
        <c:tickLblPos val="nextTo"/>
        <c:spPr>
          <a:ln w="3175">
            <a:solidFill>
              <a:srgbClr val="B3B3B3"/>
            </a:solidFill>
            <a:prstDash val="solid"/>
          </a:ln>
        </c:spPr>
        <c:txPr>
          <a:bodyPr rot="0" vert="horz"/>
          <a:lstStyle/>
          <a:p>
            <a:pPr>
              <a:defRPr/>
            </a:pPr>
            <a:endParaRPr lang="en-US"/>
          </a:p>
        </c:txPr>
        <c:crossAx val="330645888"/>
        <c:crosses val="autoZero"/>
        <c:crossBetween val="between"/>
      </c:valAx>
      <c:spPr>
        <a:noFill/>
        <a:ln w="25400">
          <a:noFill/>
        </a:ln>
      </c:spPr>
    </c:plotArea>
    <c:legend>
      <c:legendPos val="b"/>
      <c:overlay val="0"/>
      <c:spPr>
        <a:noFill/>
        <a:ln w="25400">
          <a:noFill/>
        </a:ln>
      </c:spPr>
    </c:legend>
    <c:plotVisOnly val="1"/>
    <c:dispBlanksAs val="gap"/>
    <c:showDLblsOverMax val="0"/>
  </c:chart>
  <c:spPr>
    <a:noFill/>
    <a:ln w="25400">
      <a:noFill/>
    </a:ln>
    <a:effectLst/>
  </c:spPr>
  <c:txPr>
    <a:bodyPr/>
    <a:lstStyle/>
    <a:p>
      <a:pPr>
        <a:defRPr sz="1000" b="0" i="0" u="none" strike="noStrike" baseline="0">
          <a:solidFill>
            <a:srgbClr val="595959"/>
          </a:solidFill>
          <a:latin typeface="Arial Narrow"/>
          <a:ea typeface="Arial Narrow"/>
          <a:cs typeface="Arial Narrow"/>
        </a:defRPr>
      </a:pPr>
      <a:endParaRPr lang="en-US"/>
    </a:p>
  </c:txPr>
  <c:printSettings>
    <c:headerFooter alignWithMargins="0"/>
    <c:pageMargins b="1" l="0.75000000000000111" r="0.75000000000000111" t="1" header="0.5" footer="0.5"/>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137601285258978"/>
          <c:y val="7.1428679743121323E-2"/>
          <c:w val="0.46527659928792636"/>
          <c:h val="0.73507144877120267"/>
        </c:manualLayout>
      </c:layout>
      <c:radarChart>
        <c:radarStyle val="marker"/>
        <c:varyColors val="0"/>
        <c:ser>
          <c:idx val="0"/>
          <c:order val="0"/>
          <c:tx>
            <c:strRef>
              <c:f>TKC!$W$24</c:f>
              <c:strCache>
                <c:ptCount val="1"/>
                <c:pt idx="0">
                  <c:v>TKC</c:v>
                </c:pt>
              </c:strCache>
            </c:strRef>
          </c:tx>
          <c:spPr>
            <a:ln w="25400">
              <a:solidFill>
                <a:srgbClr val="263238"/>
              </a:solidFill>
              <a:prstDash val="solid"/>
            </a:ln>
            <a:effectLst/>
          </c:spPr>
          <c:marker>
            <c:symbol val="diamond"/>
            <c:size val="6"/>
            <c:spPr>
              <a:solidFill>
                <a:srgbClr val="263238"/>
              </a:solidFill>
              <a:ln w="6350">
                <a:noFill/>
              </a:ln>
            </c:spPr>
          </c:marker>
          <c:cat>
            <c:strRef>
              <c:f>TKC!$V$25:$V$34</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TKC!$W$25:$W$34</c:f>
              <c:numCache>
                <c:formatCode>0%</c:formatCode>
                <c:ptCount val="10"/>
                <c:pt idx="0">
                  <c:v>1.8846868943407689</c:v>
                </c:pt>
                <c:pt idx="1">
                  <c:v>2.0471297082738187</c:v>
                </c:pt>
                <c:pt idx="2">
                  <c:v>1.7856306774283002</c:v>
                </c:pt>
                <c:pt idx="3">
                  <c:v>1.5414832951419859</c:v>
                </c:pt>
                <c:pt idx="4">
                  <c:v>2.0738325189977131</c:v>
                </c:pt>
                <c:pt idx="5">
                  <c:v>2.8968849390567515</c:v>
                </c:pt>
                <c:pt idx="6">
                  <c:v>1.0707713315261476</c:v>
                </c:pt>
                <c:pt idx="7">
                  <c:v>1.2241680327520337</c:v>
                </c:pt>
                <c:pt idx="8">
                  <c:v>0.98861254377928021</c:v>
                </c:pt>
                <c:pt idx="9">
                  <c:v>0.93390621373353477</c:v>
                </c:pt>
              </c:numCache>
            </c:numRef>
          </c:val>
          <c:extLst>
            <c:ext xmlns:c16="http://schemas.microsoft.com/office/drawing/2014/chart" uri="{C3380CC4-5D6E-409C-BE32-E72D297353CC}">
              <c16:uniqueId val="{00000000-E8DB-48F6-B8FA-E3011F575236}"/>
            </c:ext>
          </c:extLst>
        </c:ser>
        <c:ser>
          <c:idx val="1"/>
          <c:order val="1"/>
          <c:tx>
            <c:strRef>
              <c:f>TKC!$X$24</c:f>
              <c:strCache>
                <c:ptCount val="1"/>
                <c:pt idx="0">
                  <c:v>Agg. EMEA Cellular</c:v>
                </c:pt>
              </c:strCache>
            </c:strRef>
          </c:tx>
          <c:spPr>
            <a:ln w="25400">
              <a:solidFill>
                <a:srgbClr val="799098"/>
              </a:solidFill>
              <a:prstDash val="solid"/>
            </a:ln>
            <a:effectLst/>
          </c:spPr>
          <c:marker>
            <c:symbol val="diamond"/>
            <c:size val="6"/>
            <c:spPr>
              <a:solidFill>
                <a:srgbClr val="799098"/>
              </a:solidFill>
              <a:ln w="6350">
                <a:noFill/>
              </a:ln>
            </c:spPr>
          </c:marker>
          <c:cat>
            <c:strRef>
              <c:f>TKC!$V$25:$V$34</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TKC!$X$25:$X$34</c:f>
              <c:numCache>
                <c:formatCode>0%</c:formatCode>
                <c:ptCount val="10"/>
                <c:pt idx="0">
                  <c:v>1</c:v>
                </c:pt>
                <c:pt idx="1">
                  <c:v>1</c:v>
                </c:pt>
                <c:pt idx="2">
                  <c:v>1</c:v>
                </c:pt>
                <c:pt idx="3">
                  <c:v>1</c:v>
                </c:pt>
                <c:pt idx="4">
                  <c:v>1</c:v>
                </c:pt>
                <c:pt idx="5">
                  <c:v>1</c:v>
                </c:pt>
                <c:pt idx="6">
                  <c:v>1</c:v>
                </c:pt>
                <c:pt idx="7">
                  <c:v>1</c:v>
                </c:pt>
                <c:pt idx="8">
                  <c:v>1</c:v>
                </c:pt>
                <c:pt idx="9">
                  <c:v>1</c:v>
                </c:pt>
              </c:numCache>
            </c:numRef>
          </c:val>
          <c:extLst>
            <c:ext xmlns:c16="http://schemas.microsoft.com/office/drawing/2014/chart" uri="{C3380CC4-5D6E-409C-BE32-E72D297353CC}">
              <c16:uniqueId val="{00000001-E8DB-48F6-B8FA-E3011F575236}"/>
            </c:ext>
          </c:extLst>
        </c:ser>
        <c:dLbls>
          <c:showLegendKey val="0"/>
          <c:showVal val="0"/>
          <c:showCatName val="0"/>
          <c:showSerName val="0"/>
          <c:showPercent val="0"/>
          <c:showBubbleSize val="0"/>
        </c:dLbls>
        <c:axId val="333955456"/>
        <c:axId val="333957376"/>
      </c:radarChart>
      <c:catAx>
        <c:axId val="333955456"/>
        <c:scaling>
          <c:orientation val="minMax"/>
        </c:scaling>
        <c:delete val="0"/>
        <c:axPos val="b"/>
        <c:numFmt formatCode="General" sourceLinked="1"/>
        <c:majorTickMark val="out"/>
        <c:minorTickMark val="none"/>
        <c:tickLblPos val="nextTo"/>
        <c:spPr>
          <a:ln>
            <a:solidFill>
              <a:srgbClr val="B3B3B3"/>
            </a:solidFill>
          </a:ln>
        </c:spPr>
        <c:txPr>
          <a:bodyPr rot="0" vert="horz"/>
          <a:lstStyle/>
          <a:p>
            <a:pPr>
              <a:defRPr/>
            </a:pPr>
            <a:endParaRPr lang="en-US"/>
          </a:p>
        </c:txPr>
        <c:crossAx val="333957376"/>
        <c:crosses val="autoZero"/>
        <c:auto val="0"/>
        <c:lblAlgn val="ctr"/>
        <c:lblOffset val="100"/>
        <c:noMultiLvlLbl val="0"/>
      </c:catAx>
      <c:valAx>
        <c:axId val="333957376"/>
        <c:scaling>
          <c:orientation val="minMax"/>
        </c:scaling>
        <c:delete val="0"/>
        <c:axPos val="l"/>
        <c:numFmt formatCode="0%" sourceLinked="1"/>
        <c:majorTickMark val="cross"/>
        <c:minorTickMark val="none"/>
        <c:tickLblPos val="nextTo"/>
        <c:spPr>
          <a:ln w="3175">
            <a:solidFill>
              <a:srgbClr val="B3B3B3"/>
            </a:solidFill>
            <a:prstDash val="solid"/>
          </a:ln>
        </c:spPr>
        <c:txPr>
          <a:bodyPr rot="0" vert="horz"/>
          <a:lstStyle/>
          <a:p>
            <a:pPr>
              <a:defRPr/>
            </a:pPr>
            <a:endParaRPr lang="en-US"/>
          </a:p>
        </c:txPr>
        <c:crossAx val="333955456"/>
        <c:crosses val="autoZero"/>
        <c:crossBetween val="between"/>
      </c:valAx>
      <c:spPr>
        <a:noFill/>
        <a:ln w="25400">
          <a:noFill/>
        </a:ln>
      </c:spPr>
    </c:plotArea>
    <c:legend>
      <c:legendPos val="b"/>
      <c:overlay val="0"/>
      <c:spPr>
        <a:noFill/>
        <a:ln w="25400">
          <a:noFill/>
        </a:ln>
      </c:spPr>
    </c:legend>
    <c:plotVisOnly val="1"/>
    <c:dispBlanksAs val="gap"/>
    <c:showDLblsOverMax val="0"/>
  </c:chart>
  <c:spPr>
    <a:noFill/>
    <a:ln w="25400">
      <a:noFill/>
    </a:ln>
    <a:effectLst/>
  </c:spPr>
  <c:txPr>
    <a:bodyPr/>
    <a:lstStyle/>
    <a:p>
      <a:pPr>
        <a:defRPr sz="1000" b="0" i="0" u="none" strike="noStrike" baseline="0">
          <a:solidFill>
            <a:srgbClr val="595959"/>
          </a:solidFill>
          <a:latin typeface="Arial Narrow"/>
          <a:ea typeface="Arial Narrow"/>
          <a:cs typeface="Arial Narrow"/>
        </a:defRPr>
      </a:pPr>
      <a:endParaRPr lang="en-US"/>
    </a:p>
  </c:txPr>
  <c:printSettings>
    <c:headerFooter alignWithMargins="0"/>
    <c:pageMargins b="1" l="0.75000000000000111" r="0.75000000000000111" t="1" header="0.5" footer="0.5"/>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3752425058685237"/>
          <c:y val="0.13538481878728784"/>
          <c:w val="0.40479236575401345"/>
          <c:h val="0.63046767681006788"/>
        </c:manualLayout>
      </c:layout>
      <c:radarChart>
        <c:radarStyle val="marker"/>
        <c:varyColors val="0"/>
        <c:ser>
          <c:idx val="0"/>
          <c:order val="0"/>
          <c:tx>
            <c:strRef>
              <c:f>TLS!$W$24</c:f>
              <c:strCache>
                <c:ptCount val="1"/>
                <c:pt idx="0">
                  <c:v>Telstra</c:v>
                </c:pt>
              </c:strCache>
            </c:strRef>
          </c:tx>
          <c:spPr>
            <a:ln w="25400">
              <a:solidFill>
                <a:srgbClr val="263238"/>
              </a:solidFill>
              <a:prstDash val="solid"/>
            </a:ln>
            <a:effectLst/>
          </c:spPr>
          <c:marker>
            <c:symbol val="diamond"/>
            <c:size val="6"/>
            <c:spPr>
              <a:solidFill>
                <a:srgbClr val="263238"/>
              </a:solidFill>
              <a:ln w="6350">
                <a:noFill/>
              </a:ln>
            </c:spPr>
          </c:marker>
          <c:cat>
            <c:strRef>
              <c:f>TLS!$V$25:$V$34</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TLS!$W$25:$W$34</c:f>
              <c:numCache>
                <c:formatCode>0%</c:formatCode>
                <c:ptCount val="10"/>
                <c:pt idx="0">
                  <c:v>2.719457180360968E-2</c:v>
                </c:pt>
                <c:pt idx="1">
                  <c:v>2.2142633653911996E-2</c:v>
                </c:pt>
                <c:pt idx="2">
                  <c:v>1.3464340975901962E-2</c:v>
                </c:pt>
                <c:pt idx="3">
                  <c:v>1.4321078232345975E-2</c:v>
                </c:pt>
                <c:pt idx="4">
                  <c:v>2.589664165789575E-2</c:v>
                </c:pt>
                <c:pt idx="5">
                  <c:v>2.9145043268111313E-2</c:v>
                </c:pt>
                <c:pt idx="6">
                  <c:v>0.59499486159519577</c:v>
                </c:pt>
                <c:pt idx="7">
                  <c:v>3.3881860346048356E-2</c:v>
                </c:pt>
                <c:pt idx="8">
                  <c:v>32.689118730086456</c:v>
                </c:pt>
                <c:pt idx="9">
                  <c:v>1.6806867832757</c:v>
                </c:pt>
              </c:numCache>
            </c:numRef>
          </c:val>
          <c:extLst>
            <c:ext xmlns:c16="http://schemas.microsoft.com/office/drawing/2014/chart" uri="{C3380CC4-5D6E-409C-BE32-E72D297353CC}">
              <c16:uniqueId val="{00000000-7AF3-410F-84AC-A3209BFAE2F8}"/>
            </c:ext>
          </c:extLst>
        </c:ser>
        <c:ser>
          <c:idx val="1"/>
          <c:order val="1"/>
          <c:tx>
            <c:strRef>
              <c:f>TLS!$X$24</c:f>
              <c:strCache>
                <c:ptCount val="1"/>
                <c:pt idx="0">
                  <c:v>Agg. Asia Incumbent</c:v>
                </c:pt>
              </c:strCache>
            </c:strRef>
          </c:tx>
          <c:spPr>
            <a:ln w="25400">
              <a:solidFill>
                <a:srgbClr val="799098"/>
              </a:solidFill>
              <a:prstDash val="solid"/>
            </a:ln>
            <a:effectLst/>
          </c:spPr>
          <c:marker>
            <c:symbol val="diamond"/>
            <c:size val="6"/>
            <c:spPr>
              <a:solidFill>
                <a:srgbClr val="799098"/>
              </a:solidFill>
              <a:ln w="6350">
                <a:noFill/>
              </a:ln>
            </c:spPr>
          </c:marker>
          <c:cat>
            <c:strRef>
              <c:f>TLS!$V$25:$V$34</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TLS!$X$25:$X$34</c:f>
              <c:numCache>
                <c:formatCode>0%</c:formatCode>
                <c:ptCount val="10"/>
                <c:pt idx="0">
                  <c:v>1</c:v>
                </c:pt>
                <c:pt idx="1">
                  <c:v>1</c:v>
                </c:pt>
                <c:pt idx="2">
                  <c:v>1</c:v>
                </c:pt>
                <c:pt idx="3">
                  <c:v>1</c:v>
                </c:pt>
                <c:pt idx="4">
                  <c:v>1</c:v>
                </c:pt>
                <c:pt idx="5">
                  <c:v>1</c:v>
                </c:pt>
                <c:pt idx="6">
                  <c:v>1</c:v>
                </c:pt>
                <c:pt idx="7">
                  <c:v>1</c:v>
                </c:pt>
                <c:pt idx="8">
                  <c:v>1</c:v>
                </c:pt>
                <c:pt idx="9">
                  <c:v>1</c:v>
                </c:pt>
              </c:numCache>
            </c:numRef>
          </c:val>
          <c:extLst>
            <c:ext xmlns:c16="http://schemas.microsoft.com/office/drawing/2014/chart" uri="{C3380CC4-5D6E-409C-BE32-E72D297353CC}">
              <c16:uniqueId val="{00000001-7AF3-410F-84AC-A3209BFAE2F8}"/>
            </c:ext>
          </c:extLst>
        </c:ser>
        <c:dLbls>
          <c:showLegendKey val="0"/>
          <c:showVal val="0"/>
          <c:showCatName val="0"/>
          <c:showSerName val="0"/>
          <c:showPercent val="0"/>
          <c:showBubbleSize val="0"/>
        </c:dLbls>
        <c:axId val="334758272"/>
        <c:axId val="334760192"/>
      </c:radarChart>
      <c:catAx>
        <c:axId val="334758272"/>
        <c:scaling>
          <c:orientation val="minMax"/>
        </c:scaling>
        <c:delete val="0"/>
        <c:axPos val="b"/>
        <c:numFmt formatCode="General" sourceLinked="1"/>
        <c:majorTickMark val="out"/>
        <c:minorTickMark val="none"/>
        <c:tickLblPos val="nextTo"/>
        <c:spPr>
          <a:ln>
            <a:solidFill>
              <a:srgbClr val="B3B3B3"/>
            </a:solidFill>
          </a:ln>
        </c:spPr>
        <c:txPr>
          <a:bodyPr rot="0" vert="horz"/>
          <a:lstStyle/>
          <a:p>
            <a:pPr>
              <a:defRPr/>
            </a:pPr>
            <a:endParaRPr lang="en-US"/>
          </a:p>
        </c:txPr>
        <c:crossAx val="334760192"/>
        <c:crosses val="autoZero"/>
        <c:auto val="0"/>
        <c:lblAlgn val="ctr"/>
        <c:lblOffset val="100"/>
        <c:noMultiLvlLbl val="0"/>
      </c:catAx>
      <c:valAx>
        <c:axId val="334760192"/>
        <c:scaling>
          <c:orientation val="minMax"/>
        </c:scaling>
        <c:delete val="0"/>
        <c:axPos val="l"/>
        <c:numFmt formatCode="0%" sourceLinked="1"/>
        <c:majorTickMark val="cross"/>
        <c:minorTickMark val="none"/>
        <c:tickLblPos val="nextTo"/>
        <c:spPr>
          <a:ln w="3175">
            <a:solidFill>
              <a:srgbClr val="B3B3B3"/>
            </a:solidFill>
            <a:prstDash val="solid"/>
          </a:ln>
        </c:spPr>
        <c:txPr>
          <a:bodyPr rot="0" vert="horz"/>
          <a:lstStyle/>
          <a:p>
            <a:pPr>
              <a:defRPr/>
            </a:pPr>
            <a:endParaRPr lang="en-US"/>
          </a:p>
        </c:txPr>
        <c:crossAx val="334758272"/>
        <c:crosses val="autoZero"/>
        <c:crossBetween val="between"/>
      </c:valAx>
      <c:spPr>
        <a:noFill/>
        <a:ln w="25400">
          <a:noFill/>
        </a:ln>
      </c:spPr>
    </c:plotArea>
    <c:legend>
      <c:legendPos val="b"/>
      <c:overlay val="0"/>
      <c:spPr>
        <a:noFill/>
        <a:ln w="25400">
          <a:noFill/>
        </a:ln>
      </c:spPr>
    </c:legend>
    <c:plotVisOnly val="1"/>
    <c:dispBlanksAs val="gap"/>
    <c:showDLblsOverMax val="0"/>
  </c:chart>
  <c:spPr>
    <a:noFill/>
    <a:ln w="25400">
      <a:noFill/>
    </a:ln>
    <a:effectLst/>
  </c:spPr>
  <c:txPr>
    <a:bodyPr/>
    <a:lstStyle/>
    <a:p>
      <a:pPr>
        <a:defRPr sz="1000" b="0" i="0" u="none" strike="noStrike" baseline="0">
          <a:solidFill>
            <a:srgbClr val="595959"/>
          </a:solidFill>
          <a:latin typeface="Arial Narrow"/>
          <a:ea typeface="Arial Narrow"/>
          <a:cs typeface="Arial Narrow"/>
        </a:defRPr>
      </a:pPr>
      <a:endParaRPr lang="en-US"/>
    </a:p>
  </c:txPr>
  <c:printSettings>
    <c:headerFooter alignWithMargins="0"/>
    <c:pageMargins b="1" l="0.75000000000000111" r="0.75000000000000111" t="1" header="0.5" footer="0.5"/>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0839220264385214"/>
          <c:y val="9.0909230060415333E-2"/>
          <c:w val="0.45248191547883698"/>
          <c:h val="0.72225897325960065"/>
        </c:manualLayout>
      </c:layout>
      <c:radarChart>
        <c:radarStyle val="marker"/>
        <c:varyColors val="0"/>
        <c:ser>
          <c:idx val="0"/>
          <c:order val="0"/>
          <c:tx>
            <c:strRef>
              <c:f>TKG!$W$24</c:f>
              <c:strCache>
                <c:ptCount val="1"/>
                <c:pt idx="0">
                  <c:v>TKG</c:v>
                </c:pt>
              </c:strCache>
            </c:strRef>
          </c:tx>
          <c:spPr>
            <a:ln w="25400">
              <a:solidFill>
                <a:srgbClr val="263238"/>
              </a:solidFill>
              <a:prstDash val="solid"/>
            </a:ln>
            <a:effectLst/>
          </c:spPr>
          <c:marker>
            <c:symbol val="diamond"/>
            <c:size val="6"/>
            <c:spPr>
              <a:solidFill>
                <a:srgbClr val="263238"/>
              </a:solidFill>
              <a:ln w="6350">
                <a:noFill/>
              </a:ln>
            </c:spPr>
          </c:marker>
          <c:cat>
            <c:strRef>
              <c:f>TKG!$V$25:$V$34</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TKG!$W$25:$W$34</c:f>
              <c:numCache>
                <c:formatCode>0%</c:formatCode>
                <c:ptCount val="10"/>
                <c:pt idx="0">
                  <c:v>1</c:v>
                </c:pt>
                <c:pt idx="1">
                  <c:v>1</c:v>
                </c:pt>
                <c:pt idx="2">
                  <c:v>1</c:v>
                </c:pt>
                <c:pt idx="3">
                  <c:v>1.0000000000000002</c:v>
                </c:pt>
                <c:pt idx="4">
                  <c:v>1</c:v>
                </c:pt>
                <c:pt idx="5">
                  <c:v>1</c:v>
                </c:pt>
                <c:pt idx="6">
                  <c:v>1</c:v>
                </c:pt>
                <c:pt idx="7">
                  <c:v>1</c:v>
                </c:pt>
                <c:pt idx="8">
                  <c:v>1.0000000000000002</c:v>
                </c:pt>
                <c:pt idx="9">
                  <c:v>1</c:v>
                </c:pt>
              </c:numCache>
            </c:numRef>
          </c:val>
          <c:extLst>
            <c:ext xmlns:c16="http://schemas.microsoft.com/office/drawing/2014/chart" uri="{C3380CC4-5D6E-409C-BE32-E72D297353CC}">
              <c16:uniqueId val="{00000000-07CF-44F8-B2B2-ABC37BDAAB80}"/>
            </c:ext>
          </c:extLst>
        </c:ser>
        <c:ser>
          <c:idx val="1"/>
          <c:order val="1"/>
          <c:tx>
            <c:strRef>
              <c:f>TKG!$X$24</c:f>
              <c:strCache>
                <c:ptCount val="1"/>
                <c:pt idx="0">
                  <c:v>Agg. EMEA Incumbent</c:v>
                </c:pt>
              </c:strCache>
            </c:strRef>
          </c:tx>
          <c:spPr>
            <a:ln w="25400">
              <a:solidFill>
                <a:srgbClr val="799098"/>
              </a:solidFill>
              <a:prstDash val="solid"/>
            </a:ln>
            <a:effectLst/>
          </c:spPr>
          <c:marker>
            <c:symbol val="diamond"/>
            <c:size val="6"/>
            <c:spPr>
              <a:solidFill>
                <a:srgbClr val="799098"/>
              </a:solidFill>
              <a:ln w="6350">
                <a:noFill/>
              </a:ln>
            </c:spPr>
          </c:marker>
          <c:cat>
            <c:strRef>
              <c:f>TKG!$V$25:$V$34</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TKG!$X$25:$X$34</c:f>
              <c:numCache>
                <c:formatCode>0%</c:formatCode>
                <c:ptCount val="10"/>
                <c:pt idx="0">
                  <c:v>1</c:v>
                </c:pt>
                <c:pt idx="1">
                  <c:v>1</c:v>
                </c:pt>
                <c:pt idx="2">
                  <c:v>1</c:v>
                </c:pt>
                <c:pt idx="3">
                  <c:v>1</c:v>
                </c:pt>
                <c:pt idx="4">
                  <c:v>1</c:v>
                </c:pt>
                <c:pt idx="5">
                  <c:v>1</c:v>
                </c:pt>
                <c:pt idx="6">
                  <c:v>1</c:v>
                </c:pt>
                <c:pt idx="7">
                  <c:v>1</c:v>
                </c:pt>
                <c:pt idx="8">
                  <c:v>1</c:v>
                </c:pt>
                <c:pt idx="9">
                  <c:v>1</c:v>
                </c:pt>
              </c:numCache>
            </c:numRef>
          </c:val>
          <c:extLst>
            <c:ext xmlns:c16="http://schemas.microsoft.com/office/drawing/2014/chart" uri="{C3380CC4-5D6E-409C-BE32-E72D297353CC}">
              <c16:uniqueId val="{00000001-07CF-44F8-B2B2-ABC37BDAAB80}"/>
            </c:ext>
          </c:extLst>
        </c:ser>
        <c:dLbls>
          <c:showLegendKey val="0"/>
          <c:showVal val="0"/>
          <c:showCatName val="0"/>
          <c:showSerName val="0"/>
          <c:showPercent val="0"/>
          <c:showBubbleSize val="0"/>
        </c:dLbls>
        <c:axId val="335221120"/>
        <c:axId val="335223040"/>
      </c:radarChart>
      <c:catAx>
        <c:axId val="335221120"/>
        <c:scaling>
          <c:orientation val="minMax"/>
        </c:scaling>
        <c:delete val="0"/>
        <c:axPos val="b"/>
        <c:numFmt formatCode="General" sourceLinked="1"/>
        <c:majorTickMark val="out"/>
        <c:minorTickMark val="none"/>
        <c:tickLblPos val="nextTo"/>
        <c:spPr>
          <a:ln>
            <a:solidFill>
              <a:srgbClr val="B3B3B3"/>
            </a:solidFill>
          </a:ln>
        </c:spPr>
        <c:txPr>
          <a:bodyPr rot="0" vert="horz"/>
          <a:lstStyle/>
          <a:p>
            <a:pPr>
              <a:defRPr/>
            </a:pPr>
            <a:endParaRPr lang="en-US"/>
          </a:p>
        </c:txPr>
        <c:crossAx val="335223040"/>
        <c:crosses val="autoZero"/>
        <c:auto val="0"/>
        <c:lblAlgn val="ctr"/>
        <c:lblOffset val="100"/>
        <c:noMultiLvlLbl val="0"/>
      </c:catAx>
      <c:valAx>
        <c:axId val="335223040"/>
        <c:scaling>
          <c:orientation val="minMax"/>
        </c:scaling>
        <c:delete val="0"/>
        <c:axPos val="l"/>
        <c:numFmt formatCode="0%" sourceLinked="1"/>
        <c:majorTickMark val="cross"/>
        <c:minorTickMark val="none"/>
        <c:tickLblPos val="nextTo"/>
        <c:spPr>
          <a:ln w="3175">
            <a:solidFill>
              <a:srgbClr val="B3B3B3"/>
            </a:solidFill>
            <a:prstDash val="solid"/>
          </a:ln>
        </c:spPr>
        <c:txPr>
          <a:bodyPr rot="0" vert="horz"/>
          <a:lstStyle/>
          <a:p>
            <a:pPr>
              <a:defRPr/>
            </a:pPr>
            <a:endParaRPr lang="en-US"/>
          </a:p>
        </c:txPr>
        <c:crossAx val="335221120"/>
        <c:crosses val="autoZero"/>
        <c:crossBetween val="between"/>
      </c:valAx>
      <c:spPr>
        <a:noFill/>
        <a:ln w="25400">
          <a:noFill/>
        </a:ln>
      </c:spPr>
    </c:plotArea>
    <c:legend>
      <c:legendPos val="b"/>
      <c:overlay val="0"/>
      <c:spPr>
        <a:noFill/>
        <a:ln w="25400">
          <a:noFill/>
        </a:ln>
      </c:spPr>
    </c:legend>
    <c:plotVisOnly val="1"/>
    <c:dispBlanksAs val="gap"/>
    <c:showDLblsOverMax val="0"/>
  </c:chart>
  <c:spPr>
    <a:noFill/>
    <a:ln w="25400">
      <a:noFill/>
    </a:ln>
    <a:effectLst/>
  </c:spPr>
  <c:txPr>
    <a:bodyPr/>
    <a:lstStyle/>
    <a:p>
      <a:pPr>
        <a:defRPr sz="1000" b="0" i="0" u="none" strike="noStrike" baseline="0">
          <a:solidFill>
            <a:srgbClr val="595959"/>
          </a:solidFill>
          <a:latin typeface="Arial Narrow"/>
          <a:ea typeface="Arial Narrow"/>
          <a:cs typeface="Arial Narrow"/>
        </a:defRPr>
      </a:pPr>
      <a:endParaRPr lang="en-US"/>
    </a:p>
  </c:txPr>
  <c:printSettings>
    <c:headerFooter alignWithMargins="0"/>
    <c:pageMargins b="1" l="0.75000000000000111" r="0.75000000000000111" t="1" header="0.5" footer="0.5"/>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0728230483687885"/>
          <c:y val="8.3851058828881678E-2"/>
          <c:w val="0.46733235906653675"/>
          <c:h val="0.7328720952749167"/>
        </c:manualLayout>
      </c:layout>
      <c:radarChart>
        <c:radarStyle val="marker"/>
        <c:varyColors val="0"/>
        <c:ser>
          <c:idx val="0"/>
          <c:order val="0"/>
          <c:tx>
            <c:strRef>
              <c:f>TMUS!$W$24</c:f>
              <c:strCache>
                <c:ptCount val="1"/>
                <c:pt idx="0">
                  <c:v>TMUS</c:v>
                </c:pt>
              </c:strCache>
            </c:strRef>
          </c:tx>
          <c:spPr>
            <a:ln w="25400">
              <a:solidFill>
                <a:srgbClr val="263238"/>
              </a:solidFill>
              <a:prstDash val="solid"/>
            </a:ln>
            <a:effectLst/>
          </c:spPr>
          <c:marker>
            <c:symbol val="diamond"/>
            <c:size val="6"/>
            <c:spPr>
              <a:solidFill>
                <a:srgbClr val="263238"/>
              </a:solidFill>
              <a:ln w="6350">
                <a:noFill/>
              </a:ln>
            </c:spPr>
          </c:marker>
          <c:cat>
            <c:strRef>
              <c:f>TMUS!$V$25:$V$34</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TMUS!$W$25:$W$34</c:f>
              <c:numCache>
                <c:formatCode>0%</c:formatCode>
                <c:ptCount val="10"/>
                <c:pt idx="0">
                  <c:v>1.3773754598803047</c:v>
                </c:pt>
                <c:pt idx="1">
                  <c:v>1.3356251262282748</c:v>
                </c:pt>
                <c:pt idx="2">
                  <c:v>1.1407043465270468</c:v>
                </c:pt>
                <c:pt idx="3">
                  <c:v>1.1178310440362211</c:v>
                </c:pt>
                <c:pt idx="4">
                  <c:v>1.4760898332605399</c:v>
                </c:pt>
                <c:pt idx="5">
                  <c:v>2.0839731463104059</c:v>
                </c:pt>
                <c:pt idx="6">
                  <c:v>1.3195787303307489</c:v>
                </c:pt>
                <c:pt idx="7">
                  <c:v>2.0720011949840473</c:v>
                </c:pt>
                <c:pt idx="8">
                  <c:v>9.6507562613013201E-2</c:v>
                </c:pt>
                <c:pt idx="9">
                  <c:v>0.75781761028336125</c:v>
                </c:pt>
              </c:numCache>
            </c:numRef>
          </c:val>
          <c:extLst>
            <c:ext xmlns:c16="http://schemas.microsoft.com/office/drawing/2014/chart" uri="{C3380CC4-5D6E-409C-BE32-E72D297353CC}">
              <c16:uniqueId val="{00000000-601E-4302-A79B-50F28FBE3E97}"/>
            </c:ext>
          </c:extLst>
        </c:ser>
        <c:ser>
          <c:idx val="1"/>
          <c:order val="1"/>
          <c:tx>
            <c:strRef>
              <c:f>TMUS!$X$24</c:f>
              <c:strCache>
                <c:ptCount val="1"/>
                <c:pt idx="0">
                  <c:v>Agg. US Telco</c:v>
                </c:pt>
              </c:strCache>
            </c:strRef>
          </c:tx>
          <c:spPr>
            <a:ln w="25400">
              <a:solidFill>
                <a:srgbClr val="799098"/>
              </a:solidFill>
              <a:prstDash val="solid"/>
            </a:ln>
            <a:effectLst/>
          </c:spPr>
          <c:marker>
            <c:symbol val="diamond"/>
            <c:size val="6"/>
            <c:spPr>
              <a:solidFill>
                <a:srgbClr val="799098"/>
              </a:solidFill>
              <a:ln w="6350">
                <a:noFill/>
              </a:ln>
            </c:spPr>
          </c:marker>
          <c:cat>
            <c:strRef>
              <c:f>TMUS!$V$25:$V$34</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TMUS!$X$25:$X$34</c:f>
              <c:numCache>
                <c:formatCode>0%</c:formatCode>
                <c:ptCount val="10"/>
                <c:pt idx="0">
                  <c:v>1</c:v>
                </c:pt>
                <c:pt idx="1">
                  <c:v>1</c:v>
                </c:pt>
                <c:pt idx="2">
                  <c:v>1</c:v>
                </c:pt>
                <c:pt idx="3">
                  <c:v>1</c:v>
                </c:pt>
                <c:pt idx="4">
                  <c:v>1</c:v>
                </c:pt>
                <c:pt idx="5">
                  <c:v>1</c:v>
                </c:pt>
                <c:pt idx="6">
                  <c:v>1</c:v>
                </c:pt>
                <c:pt idx="7">
                  <c:v>1</c:v>
                </c:pt>
                <c:pt idx="8">
                  <c:v>1</c:v>
                </c:pt>
                <c:pt idx="9">
                  <c:v>1</c:v>
                </c:pt>
              </c:numCache>
            </c:numRef>
          </c:val>
          <c:extLst>
            <c:ext xmlns:c16="http://schemas.microsoft.com/office/drawing/2014/chart" uri="{C3380CC4-5D6E-409C-BE32-E72D297353CC}">
              <c16:uniqueId val="{00000001-601E-4302-A79B-50F28FBE3E97}"/>
            </c:ext>
          </c:extLst>
        </c:ser>
        <c:dLbls>
          <c:showLegendKey val="0"/>
          <c:showVal val="0"/>
          <c:showCatName val="0"/>
          <c:showSerName val="0"/>
          <c:showPercent val="0"/>
          <c:showBubbleSize val="0"/>
        </c:dLbls>
        <c:axId val="335634816"/>
        <c:axId val="335636736"/>
      </c:radarChart>
      <c:catAx>
        <c:axId val="335634816"/>
        <c:scaling>
          <c:orientation val="minMax"/>
        </c:scaling>
        <c:delete val="0"/>
        <c:axPos val="b"/>
        <c:numFmt formatCode="General" sourceLinked="1"/>
        <c:majorTickMark val="out"/>
        <c:minorTickMark val="none"/>
        <c:tickLblPos val="nextTo"/>
        <c:spPr>
          <a:ln>
            <a:solidFill>
              <a:srgbClr val="B3B3B3"/>
            </a:solidFill>
          </a:ln>
        </c:spPr>
        <c:txPr>
          <a:bodyPr rot="0" vert="horz"/>
          <a:lstStyle/>
          <a:p>
            <a:pPr>
              <a:defRPr/>
            </a:pPr>
            <a:endParaRPr lang="en-US"/>
          </a:p>
        </c:txPr>
        <c:crossAx val="335636736"/>
        <c:crosses val="autoZero"/>
        <c:auto val="0"/>
        <c:lblAlgn val="ctr"/>
        <c:lblOffset val="100"/>
        <c:noMultiLvlLbl val="0"/>
      </c:catAx>
      <c:valAx>
        <c:axId val="335636736"/>
        <c:scaling>
          <c:orientation val="minMax"/>
        </c:scaling>
        <c:delete val="0"/>
        <c:axPos val="l"/>
        <c:numFmt formatCode="0%" sourceLinked="1"/>
        <c:majorTickMark val="cross"/>
        <c:minorTickMark val="none"/>
        <c:tickLblPos val="nextTo"/>
        <c:spPr>
          <a:ln w="3175">
            <a:solidFill>
              <a:srgbClr val="B3B3B3"/>
            </a:solidFill>
            <a:prstDash val="solid"/>
          </a:ln>
        </c:spPr>
        <c:txPr>
          <a:bodyPr rot="0" vert="horz"/>
          <a:lstStyle/>
          <a:p>
            <a:pPr>
              <a:defRPr/>
            </a:pPr>
            <a:endParaRPr lang="en-US"/>
          </a:p>
        </c:txPr>
        <c:crossAx val="335634816"/>
        <c:crosses val="autoZero"/>
        <c:crossBetween val="between"/>
      </c:valAx>
      <c:spPr>
        <a:noFill/>
        <a:ln w="25400">
          <a:noFill/>
        </a:ln>
      </c:spPr>
    </c:plotArea>
    <c:legend>
      <c:legendPos val="b"/>
      <c:overlay val="0"/>
      <c:spPr>
        <a:noFill/>
        <a:ln w="25400">
          <a:noFill/>
        </a:ln>
      </c:spPr>
    </c:legend>
    <c:plotVisOnly val="1"/>
    <c:dispBlanksAs val="gap"/>
    <c:showDLblsOverMax val="0"/>
  </c:chart>
  <c:spPr>
    <a:noFill/>
    <a:ln w="25400">
      <a:noFill/>
    </a:ln>
    <a:effectLst/>
  </c:spPr>
  <c:txPr>
    <a:bodyPr/>
    <a:lstStyle/>
    <a:p>
      <a:pPr>
        <a:defRPr sz="1000" b="0" i="0" u="none" strike="noStrike" baseline="0">
          <a:solidFill>
            <a:srgbClr val="595959"/>
          </a:solidFill>
          <a:latin typeface="Arial Narrow"/>
          <a:ea typeface="Arial Narrow"/>
          <a:cs typeface="Arial Narrow"/>
        </a:defRPr>
      </a:pPr>
      <a:endParaRPr lang="en-US"/>
    </a:p>
  </c:txPr>
  <c:printSettings>
    <c:headerFooter alignWithMargins="0"/>
    <c:pageMargins b="1" l="0.75000000000000111" r="0.75000000000000111" t="1" header="0.5" footer="0.5"/>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1534554580785157"/>
          <c:y val="0.11598763835294353"/>
          <c:w val="0.46691318145876082"/>
          <c:h val="0.70360102627051246"/>
        </c:manualLayout>
      </c:layout>
      <c:radarChart>
        <c:radarStyle val="marker"/>
        <c:varyColors val="0"/>
        <c:ser>
          <c:idx val="0"/>
          <c:order val="0"/>
          <c:tx>
            <c:strRef>
              <c:f>TNOR!$W$24</c:f>
              <c:strCache>
                <c:ptCount val="1"/>
                <c:pt idx="0">
                  <c:v>Telenor</c:v>
                </c:pt>
              </c:strCache>
            </c:strRef>
          </c:tx>
          <c:spPr>
            <a:ln w="25400">
              <a:solidFill>
                <a:srgbClr val="263238"/>
              </a:solidFill>
              <a:prstDash val="solid"/>
            </a:ln>
            <a:effectLst/>
          </c:spPr>
          <c:marker>
            <c:symbol val="diamond"/>
            <c:size val="6"/>
            <c:spPr>
              <a:solidFill>
                <a:srgbClr val="263238"/>
              </a:solidFill>
              <a:ln w="6350">
                <a:noFill/>
              </a:ln>
            </c:spPr>
          </c:marker>
          <c:cat>
            <c:strRef>
              <c:f>TNOR!$V$25:$V$34</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TNOR!$W$25:$W$34</c:f>
              <c:numCache>
                <c:formatCode>0%</c:formatCode>
                <c:ptCount val="10"/>
                <c:pt idx="0">
                  <c:v>1.4463361446239711</c:v>
                </c:pt>
                <c:pt idx="1">
                  <c:v>1.0500720681825988</c:v>
                </c:pt>
                <c:pt idx="2">
                  <c:v>0.802480042604377</c:v>
                </c:pt>
                <c:pt idx="3">
                  <c:v>0.75958325767938961</c:v>
                </c:pt>
                <c:pt idx="4">
                  <c:v>-17.757926930075563</c:v>
                </c:pt>
                <c:pt idx="5">
                  <c:v>-0.89109107872142024</c:v>
                </c:pt>
                <c:pt idx="6">
                  <c:v>1.3340057595588279</c:v>
                </c:pt>
                <c:pt idx="7">
                  <c:v>1.5393433388072182</c:v>
                </c:pt>
                <c:pt idx="8">
                  <c:v>1.5447729129635861</c:v>
                </c:pt>
                <c:pt idx="9">
                  <c:v>0.74962195090575334</c:v>
                </c:pt>
              </c:numCache>
            </c:numRef>
          </c:val>
          <c:extLst>
            <c:ext xmlns:c16="http://schemas.microsoft.com/office/drawing/2014/chart" uri="{C3380CC4-5D6E-409C-BE32-E72D297353CC}">
              <c16:uniqueId val="{00000000-F9FF-4CFA-9194-A8610C59F79B}"/>
            </c:ext>
          </c:extLst>
        </c:ser>
        <c:ser>
          <c:idx val="1"/>
          <c:order val="1"/>
          <c:tx>
            <c:strRef>
              <c:f>TNOR!$X$24</c:f>
              <c:strCache>
                <c:ptCount val="1"/>
                <c:pt idx="0">
                  <c:v>Agg. W. Eur. Incumbent</c:v>
                </c:pt>
              </c:strCache>
            </c:strRef>
          </c:tx>
          <c:spPr>
            <a:ln w="25400">
              <a:solidFill>
                <a:srgbClr val="799098"/>
              </a:solidFill>
              <a:prstDash val="solid"/>
            </a:ln>
            <a:effectLst/>
          </c:spPr>
          <c:marker>
            <c:symbol val="diamond"/>
            <c:size val="6"/>
            <c:spPr>
              <a:solidFill>
                <a:srgbClr val="799098"/>
              </a:solidFill>
              <a:ln w="6350">
                <a:noFill/>
              </a:ln>
            </c:spPr>
          </c:marker>
          <c:cat>
            <c:strRef>
              <c:f>TNOR!$V$25:$V$34</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TNOR!$X$25:$X$34</c:f>
              <c:numCache>
                <c:formatCode>0%</c:formatCode>
                <c:ptCount val="10"/>
                <c:pt idx="0">
                  <c:v>1</c:v>
                </c:pt>
                <c:pt idx="1">
                  <c:v>1</c:v>
                </c:pt>
                <c:pt idx="2">
                  <c:v>1</c:v>
                </c:pt>
                <c:pt idx="3">
                  <c:v>1</c:v>
                </c:pt>
                <c:pt idx="4">
                  <c:v>1</c:v>
                </c:pt>
                <c:pt idx="5">
                  <c:v>1</c:v>
                </c:pt>
                <c:pt idx="6">
                  <c:v>1</c:v>
                </c:pt>
                <c:pt idx="7">
                  <c:v>1</c:v>
                </c:pt>
                <c:pt idx="8">
                  <c:v>1</c:v>
                </c:pt>
                <c:pt idx="9">
                  <c:v>1</c:v>
                </c:pt>
              </c:numCache>
            </c:numRef>
          </c:val>
          <c:extLst>
            <c:ext xmlns:c16="http://schemas.microsoft.com/office/drawing/2014/chart" uri="{C3380CC4-5D6E-409C-BE32-E72D297353CC}">
              <c16:uniqueId val="{00000001-F9FF-4CFA-9194-A8610C59F79B}"/>
            </c:ext>
          </c:extLst>
        </c:ser>
        <c:dLbls>
          <c:showLegendKey val="0"/>
          <c:showVal val="0"/>
          <c:showCatName val="0"/>
          <c:showSerName val="0"/>
          <c:showPercent val="0"/>
          <c:showBubbleSize val="0"/>
        </c:dLbls>
        <c:axId val="336265600"/>
        <c:axId val="336267520"/>
      </c:radarChart>
      <c:catAx>
        <c:axId val="336265600"/>
        <c:scaling>
          <c:orientation val="minMax"/>
        </c:scaling>
        <c:delete val="0"/>
        <c:axPos val="b"/>
        <c:numFmt formatCode="General" sourceLinked="1"/>
        <c:majorTickMark val="out"/>
        <c:minorTickMark val="none"/>
        <c:tickLblPos val="nextTo"/>
        <c:spPr>
          <a:ln>
            <a:solidFill>
              <a:srgbClr val="B3B3B3"/>
            </a:solidFill>
          </a:ln>
        </c:spPr>
        <c:txPr>
          <a:bodyPr rot="0" vert="horz"/>
          <a:lstStyle/>
          <a:p>
            <a:pPr>
              <a:defRPr/>
            </a:pPr>
            <a:endParaRPr lang="en-US"/>
          </a:p>
        </c:txPr>
        <c:crossAx val="336267520"/>
        <c:crosses val="autoZero"/>
        <c:auto val="0"/>
        <c:lblAlgn val="ctr"/>
        <c:lblOffset val="100"/>
        <c:noMultiLvlLbl val="0"/>
      </c:catAx>
      <c:valAx>
        <c:axId val="336267520"/>
        <c:scaling>
          <c:orientation val="minMax"/>
        </c:scaling>
        <c:delete val="0"/>
        <c:axPos val="l"/>
        <c:numFmt formatCode="0%" sourceLinked="1"/>
        <c:majorTickMark val="cross"/>
        <c:minorTickMark val="none"/>
        <c:tickLblPos val="nextTo"/>
        <c:spPr>
          <a:ln w="3175">
            <a:solidFill>
              <a:srgbClr val="B3B3B3"/>
            </a:solidFill>
            <a:prstDash val="solid"/>
          </a:ln>
        </c:spPr>
        <c:txPr>
          <a:bodyPr rot="0" vert="horz"/>
          <a:lstStyle/>
          <a:p>
            <a:pPr>
              <a:defRPr/>
            </a:pPr>
            <a:endParaRPr lang="en-US"/>
          </a:p>
        </c:txPr>
        <c:crossAx val="336265600"/>
        <c:crosses val="autoZero"/>
        <c:crossBetween val="between"/>
      </c:valAx>
      <c:spPr>
        <a:noFill/>
        <a:ln w="25400">
          <a:noFill/>
        </a:ln>
      </c:spPr>
    </c:plotArea>
    <c:legend>
      <c:legendPos val="b"/>
      <c:overlay val="0"/>
      <c:spPr>
        <a:noFill/>
        <a:ln w="25400">
          <a:noFill/>
        </a:ln>
      </c:spPr>
    </c:legend>
    <c:plotVisOnly val="1"/>
    <c:dispBlanksAs val="gap"/>
    <c:showDLblsOverMax val="0"/>
  </c:chart>
  <c:spPr>
    <a:noFill/>
    <a:ln w="25400">
      <a:noFill/>
    </a:ln>
    <a:effectLst/>
  </c:spPr>
  <c:txPr>
    <a:bodyPr/>
    <a:lstStyle/>
    <a:p>
      <a:pPr>
        <a:defRPr sz="1000" b="0" i="0" u="none" strike="noStrike" baseline="0">
          <a:solidFill>
            <a:srgbClr val="595959"/>
          </a:solidFill>
          <a:latin typeface="Arial Narrow"/>
          <a:ea typeface="Arial Narrow"/>
          <a:cs typeface="Arial Narrow"/>
        </a:defRPr>
      </a:pPr>
      <a:endParaRPr lang="en-US"/>
    </a:p>
  </c:txPr>
  <c:printSettings>
    <c:headerFooter alignWithMargins="0"/>
    <c:pageMargins b="1" l="0.75000000000000111" r="0.75000000000000111" t="1" header="0.5" footer="0.5"/>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1780509314725197"/>
          <c:y val="0.14153867418671001"/>
          <c:w val="0.41690947373404241"/>
          <c:h val="0.65174920453160345"/>
        </c:manualLayout>
      </c:layout>
      <c:radarChart>
        <c:radarStyle val="marker"/>
        <c:varyColors val="0"/>
        <c:ser>
          <c:idx val="0"/>
          <c:order val="0"/>
          <c:tx>
            <c:strRef>
              <c:f>TOWR!$W$24</c:f>
              <c:strCache>
                <c:ptCount val="1"/>
                <c:pt idx="0">
                  <c:v>TOWR</c:v>
                </c:pt>
              </c:strCache>
            </c:strRef>
          </c:tx>
          <c:spPr>
            <a:ln w="25400">
              <a:solidFill>
                <a:srgbClr val="263238"/>
              </a:solidFill>
              <a:prstDash val="solid"/>
            </a:ln>
            <a:effectLst/>
          </c:spPr>
          <c:marker>
            <c:symbol val="diamond"/>
            <c:size val="6"/>
            <c:spPr>
              <a:solidFill>
                <a:srgbClr val="263238"/>
              </a:solidFill>
              <a:ln w="6350">
                <a:noFill/>
              </a:ln>
            </c:spPr>
          </c:marker>
          <c:cat>
            <c:strRef>
              <c:f>TOWR!$V$25:$V$34</c:f>
              <c:strCache>
                <c:ptCount val="10"/>
                <c:pt idx="0">
                  <c:v>EV/Revenue</c:v>
                </c:pt>
                <c:pt idx="1">
                  <c:v>EV/EBITDA</c:v>
                </c:pt>
                <c:pt idx="2">
                  <c:v>EV/OpFCF</c:v>
                </c:pt>
                <c:pt idx="3">
                  <c:v>EV/FCF</c:v>
                </c:pt>
                <c:pt idx="4">
                  <c:v>EV/Invested capital</c:v>
                </c:pt>
                <c:pt idx="5">
                  <c:v>EV/NFA</c:v>
                </c:pt>
                <c:pt idx="6">
                  <c:v>P/EFCF (2012)</c:v>
                </c:pt>
                <c:pt idx="7">
                  <c:v>Adjusted P/E</c:v>
                </c:pt>
                <c:pt idx="8">
                  <c:v>Dividend yield</c:v>
                </c:pt>
                <c:pt idx="9">
                  <c:v>EFCF yield (2012)</c:v>
                </c:pt>
              </c:strCache>
            </c:strRef>
          </c:cat>
          <c:val>
            <c:numRef>
              <c:f>TOWR!$W$25:$W$34</c:f>
              <c:numCache>
                <c:formatCode>0%</c:formatCode>
                <c:ptCount val="10"/>
                <c:pt idx="0">
                  <c:v>2.547092676974712</c:v>
                </c:pt>
                <c:pt idx="1">
                  <c:v>1.9252173166390261</c:v>
                </c:pt>
                <c:pt idx="2">
                  <c:v>1.7368424982410287</c:v>
                </c:pt>
                <c:pt idx="3">
                  <c:v>2.2221537633814892</c:v>
                </c:pt>
                <c:pt idx="4">
                  <c:v>1.0893636065020009</c:v>
                </c:pt>
                <c:pt idx="5">
                  <c:v>0.91409300228772872</c:v>
                </c:pt>
                <c:pt idx="6">
                  <c:v>1.3419296916274142</c:v>
                </c:pt>
                <c:pt idx="7">
                  <c:v>0.69672036568454399</c:v>
                </c:pt>
                <c:pt idx="8" formatCode="General">
                  <c:v>1.2203374518896755</c:v>
                </c:pt>
                <c:pt idx="9">
                  <c:v>0.65180549982868929</c:v>
                </c:pt>
              </c:numCache>
            </c:numRef>
          </c:val>
          <c:extLst>
            <c:ext xmlns:c16="http://schemas.microsoft.com/office/drawing/2014/chart" uri="{C3380CC4-5D6E-409C-BE32-E72D297353CC}">
              <c16:uniqueId val="{00000000-7757-4063-B770-3B38CA3B7A81}"/>
            </c:ext>
          </c:extLst>
        </c:ser>
        <c:ser>
          <c:idx val="1"/>
          <c:order val="1"/>
          <c:tx>
            <c:strRef>
              <c:f>TOWR!$X$24</c:f>
              <c:strCache>
                <c:ptCount val="1"/>
                <c:pt idx="0">
                  <c:v>Agg. EM Tower</c:v>
                </c:pt>
              </c:strCache>
            </c:strRef>
          </c:tx>
          <c:spPr>
            <a:ln w="25400">
              <a:solidFill>
                <a:srgbClr val="799098"/>
              </a:solidFill>
              <a:prstDash val="solid"/>
            </a:ln>
            <a:effectLst/>
          </c:spPr>
          <c:marker>
            <c:symbol val="diamond"/>
            <c:size val="6"/>
            <c:spPr>
              <a:solidFill>
                <a:srgbClr val="799098"/>
              </a:solidFill>
              <a:ln w="6350">
                <a:noFill/>
              </a:ln>
            </c:spPr>
          </c:marker>
          <c:cat>
            <c:strRef>
              <c:f>TOWR!$V$25:$V$34</c:f>
              <c:strCache>
                <c:ptCount val="10"/>
                <c:pt idx="0">
                  <c:v>EV/Revenue</c:v>
                </c:pt>
                <c:pt idx="1">
                  <c:v>EV/EBITDA</c:v>
                </c:pt>
                <c:pt idx="2">
                  <c:v>EV/OpFCF</c:v>
                </c:pt>
                <c:pt idx="3">
                  <c:v>EV/FCF</c:v>
                </c:pt>
                <c:pt idx="4">
                  <c:v>EV/Invested capital</c:v>
                </c:pt>
                <c:pt idx="5">
                  <c:v>EV/NFA</c:v>
                </c:pt>
                <c:pt idx="6">
                  <c:v>P/EFCF (2012)</c:v>
                </c:pt>
                <c:pt idx="7">
                  <c:v>Adjusted P/E</c:v>
                </c:pt>
                <c:pt idx="8">
                  <c:v>Dividend yield</c:v>
                </c:pt>
                <c:pt idx="9">
                  <c:v>EFCF yield (2012)</c:v>
                </c:pt>
              </c:strCache>
            </c:strRef>
          </c:cat>
          <c:val>
            <c:numRef>
              <c:f>TOWR!$X$25:$X$34</c:f>
              <c:numCache>
                <c:formatCode>0%</c:formatCode>
                <c:ptCount val="10"/>
                <c:pt idx="0">
                  <c:v>1</c:v>
                </c:pt>
                <c:pt idx="1">
                  <c:v>1</c:v>
                </c:pt>
                <c:pt idx="2">
                  <c:v>1</c:v>
                </c:pt>
                <c:pt idx="3">
                  <c:v>1</c:v>
                </c:pt>
                <c:pt idx="4">
                  <c:v>1</c:v>
                </c:pt>
                <c:pt idx="5">
                  <c:v>1</c:v>
                </c:pt>
                <c:pt idx="6">
                  <c:v>1</c:v>
                </c:pt>
                <c:pt idx="7">
                  <c:v>1</c:v>
                </c:pt>
                <c:pt idx="8">
                  <c:v>1</c:v>
                </c:pt>
                <c:pt idx="9">
                  <c:v>1</c:v>
                </c:pt>
              </c:numCache>
            </c:numRef>
          </c:val>
          <c:extLst>
            <c:ext xmlns:c16="http://schemas.microsoft.com/office/drawing/2014/chart" uri="{C3380CC4-5D6E-409C-BE32-E72D297353CC}">
              <c16:uniqueId val="{00000001-7757-4063-B770-3B38CA3B7A81}"/>
            </c:ext>
          </c:extLst>
        </c:ser>
        <c:dLbls>
          <c:showLegendKey val="0"/>
          <c:showVal val="0"/>
          <c:showCatName val="0"/>
          <c:showSerName val="0"/>
          <c:showPercent val="0"/>
          <c:showBubbleSize val="0"/>
        </c:dLbls>
        <c:axId val="337879424"/>
        <c:axId val="337881344"/>
      </c:radarChart>
      <c:catAx>
        <c:axId val="337879424"/>
        <c:scaling>
          <c:orientation val="minMax"/>
        </c:scaling>
        <c:delete val="0"/>
        <c:axPos val="b"/>
        <c:numFmt formatCode="General" sourceLinked="1"/>
        <c:majorTickMark val="out"/>
        <c:minorTickMark val="none"/>
        <c:tickLblPos val="nextTo"/>
        <c:spPr>
          <a:ln>
            <a:solidFill>
              <a:srgbClr val="B3B3B3"/>
            </a:solidFill>
          </a:ln>
        </c:spPr>
        <c:txPr>
          <a:bodyPr rot="0" vert="horz"/>
          <a:lstStyle/>
          <a:p>
            <a:pPr>
              <a:defRPr/>
            </a:pPr>
            <a:endParaRPr lang="en-US"/>
          </a:p>
        </c:txPr>
        <c:crossAx val="337881344"/>
        <c:crosses val="autoZero"/>
        <c:auto val="0"/>
        <c:lblAlgn val="ctr"/>
        <c:lblOffset val="100"/>
        <c:noMultiLvlLbl val="0"/>
      </c:catAx>
      <c:valAx>
        <c:axId val="337881344"/>
        <c:scaling>
          <c:orientation val="minMax"/>
        </c:scaling>
        <c:delete val="0"/>
        <c:axPos val="l"/>
        <c:numFmt formatCode="0%" sourceLinked="1"/>
        <c:majorTickMark val="cross"/>
        <c:minorTickMark val="none"/>
        <c:tickLblPos val="nextTo"/>
        <c:spPr>
          <a:ln w="3175">
            <a:solidFill>
              <a:srgbClr val="B3B3B3"/>
            </a:solidFill>
            <a:prstDash val="solid"/>
          </a:ln>
        </c:spPr>
        <c:txPr>
          <a:bodyPr rot="0" vert="horz"/>
          <a:lstStyle/>
          <a:p>
            <a:pPr>
              <a:defRPr/>
            </a:pPr>
            <a:endParaRPr lang="en-US"/>
          </a:p>
        </c:txPr>
        <c:crossAx val="337879424"/>
        <c:crosses val="autoZero"/>
        <c:crossBetween val="between"/>
      </c:valAx>
      <c:spPr>
        <a:noFill/>
        <a:ln w="25400">
          <a:noFill/>
        </a:ln>
      </c:spPr>
    </c:plotArea>
    <c:legend>
      <c:legendPos val="b"/>
      <c:overlay val="0"/>
      <c:spPr>
        <a:noFill/>
        <a:ln w="25400">
          <a:noFill/>
        </a:ln>
      </c:spPr>
    </c:legend>
    <c:plotVisOnly val="1"/>
    <c:dispBlanksAs val="gap"/>
    <c:showDLblsOverMax val="0"/>
  </c:chart>
  <c:spPr>
    <a:noFill/>
    <a:ln w="25400">
      <a:noFill/>
    </a:ln>
    <a:effectLst/>
  </c:spPr>
  <c:txPr>
    <a:bodyPr/>
    <a:lstStyle/>
    <a:p>
      <a:pPr>
        <a:defRPr sz="1000" b="0" i="0" u="none" strike="noStrike" baseline="0">
          <a:solidFill>
            <a:srgbClr val="595959"/>
          </a:solidFill>
          <a:latin typeface="Arial Narrow"/>
          <a:ea typeface="Arial Narrow"/>
          <a:cs typeface="Arial Narrow"/>
        </a:defRPr>
      </a:pPr>
      <a:endParaRPr lang="en-US"/>
    </a:p>
  </c:txPr>
  <c:printSettings>
    <c:headerFooter alignWithMargins="0"/>
    <c:pageMargins b="1" l="0.75000000000000111" r="0.75000000000000111" t="1" header="0.5" footer="0.5"/>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3752425058685237"/>
          <c:y val="0.13538481878728784"/>
          <c:w val="0.40479236575401345"/>
          <c:h val="0.63046767681006788"/>
        </c:manualLayout>
      </c:layout>
      <c:radarChart>
        <c:radarStyle val="marker"/>
        <c:varyColors val="0"/>
        <c:ser>
          <c:idx val="0"/>
          <c:order val="0"/>
          <c:tx>
            <c:strRef>
              <c:f>TPG!$W$24</c:f>
              <c:strCache>
                <c:ptCount val="1"/>
                <c:pt idx="0">
                  <c:v>Telstra</c:v>
                </c:pt>
              </c:strCache>
            </c:strRef>
          </c:tx>
          <c:spPr>
            <a:ln w="25400">
              <a:solidFill>
                <a:srgbClr val="263238"/>
              </a:solidFill>
              <a:prstDash val="solid"/>
            </a:ln>
            <a:effectLst/>
          </c:spPr>
          <c:marker>
            <c:symbol val="diamond"/>
            <c:size val="6"/>
            <c:spPr>
              <a:solidFill>
                <a:srgbClr val="263238"/>
              </a:solidFill>
              <a:ln w="6350">
                <a:noFill/>
              </a:ln>
            </c:spPr>
          </c:marker>
          <c:cat>
            <c:strRef>
              <c:f>TPG!$V$25:$V$34</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TPG!$W$25:$W$34</c:f>
              <c:numCache>
                <c:formatCode>0%</c:formatCode>
                <c:ptCount val="10"/>
                <c:pt idx="0">
                  <c:v>1.1340887216226074</c:v>
                </c:pt>
                <c:pt idx="1">
                  <c:v>1.1149501362659431</c:v>
                </c:pt>
                <c:pt idx="2">
                  <c:v>1.0917143637519691</c:v>
                </c:pt>
                <c:pt idx="3">
                  <c:v>1.1332740598724735</c:v>
                </c:pt>
                <c:pt idx="4">
                  <c:v>0.68342573374806248</c:v>
                </c:pt>
                <c:pt idx="5">
                  <c:v>0.74271723034523562</c:v>
                </c:pt>
                <c:pt idx="6">
                  <c:v>1.8747639948986783</c:v>
                </c:pt>
                <c:pt idx="7">
                  <c:v>0.73569401157972958</c:v>
                </c:pt>
                <c:pt idx="8">
                  <c:v>0.62950721946482413</c:v>
                </c:pt>
                <c:pt idx="9">
                  <c:v>0.53340047212398334</c:v>
                </c:pt>
              </c:numCache>
            </c:numRef>
          </c:val>
          <c:extLst>
            <c:ext xmlns:c16="http://schemas.microsoft.com/office/drawing/2014/chart" uri="{C3380CC4-5D6E-409C-BE32-E72D297353CC}">
              <c16:uniqueId val="{00000000-9625-4429-B2AE-CB428A052AC8}"/>
            </c:ext>
          </c:extLst>
        </c:ser>
        <c:ser>
          <c:idx val="1"/>
          <c:order val="1"/>
          <c:tx>
            <c:strRef>
              <c:f>TPG!$X$24</c:f>
              <c:strCache>
                <c:ptCount val="1"/>
                <c:pt idx="0">
                  <c:v>Agg. Asia Incumbent</c:v>
                </c:pt>
              </c:strCache>
            </c:strRef>
          </c:tx>
          <c:spPr>
            <a:ln w="25400">
              <a:solidFill>
                <a:srgbClr val="799098"/>
              </a:solidFill>
              <a:prstDash val="solid"/>
            </a:ln>
            <a:effectLst/>
          </c:spPr>
          <c:marker>
            <c:symbol val="diamond"/>
            <c:size val="6"/>
            <c:spPr>
              <a:solidFill>
                <a:srgbClr val="799098"/>
              </a:solidFill>
              <a:ln w="6350">
                <a:noFill/>
              </a:ln>
            </c:spPr>
          </c:marker>
          <c:cat>
            <c:strRef>
              <c:f>TPG!$V$25:$V$34</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TPG!$X$25:$X$34</c:f>
              <c:numCache>
                <c:formatCode>0%</c:formatCode>
                <c:ptCount val="10"/>
                <c:pt idx="0">
                  <c:v>1</c:v>
                </c:pt>
                <c:pt idx="1">
                  <c:v>1</c:v>
                </c:pt>
                <c:pt idx="2">
                  <c:v>1</c:v>
                </c:pt>
                <c:pt idx="3">
                  <c:v>1</c:v>
                </c:pt>
                <c:pt idx="4">
                  <c:v>1</c:v>
                </c:pt>
                <c:pt idx="5">
                  <c:v>1</c:v>
                </c:pt>
                <c:pt idx="6">
                  <c:v>1</c:v>
                </c:pt>
                <c:pt idx="7">
                  <c:v>1</c:v>
                </c:pt>
                <c:pt idx="8">
                  <c:v>1</c:v>
                </c:pt>
                <c:pt idx="9">
                  <c:v>1</c:v>
                </c:pt>
              </c:numCache>
            </c:numRef>
          </c:val>
          <c:extLst>
            <c:ext xmlns:c16="http://schemas.microsoft.com/office/drawing/2014/chart" uri="{C3380CC4-5D6E-409C-BE32-E72D297353CC}">
              <c16:uniqueId val="{00000001-9625-4429-B2AE-CB428A052AC8}"/>
            </c:ext>
          </c:extLst>
        </c:ser>
        <c:dLbls>
          <c:showLegendKey val="0"/>
          <c:showVal val="0"/>
          <c:showCatName val="0"/>
          <c:showSerName val="0"/>
          <c:showPercent val="0"/>
          <c:showBubbleSize val="0"/>
        </c:dLbls>
        <c:axId val="335335808"/>
        <c:axId val="335337728"/>
      </c:radarChart>
      <c:catAx>
        <c:axId val="335335808"/>
        <c:scaling>
          <c:orientation val="minMax"/>
        </c:scaling>
        <c:delete val="0"/>
        <c:axPos val="b"/>
        <c:numFmt formatCode="General" sourceLinked="1"/>
        <c:majorTickMark val="out"/>
        <c:minorTickMark val="none"/>
        <c:tickLblPos val="nextTo"/>
        <c:spPr>
          <a:ln>
            <a:solidFill>
              <a:srgbClr val="B3B3B3"/>
            </a:solidFill>
          </a:ln>
        </c:spPr>
        <c:txPr>
          <a:bodyPr rot="0" vert="horz"/>
          <a:lstStyle/>
          <a:p>
            <a:pPr>
              <a:defRPr/>
            </a:pPr>
            <a:endParaRPr lang="en-US"/>
          </a:p>
        </c:txPr>
        <c:crossAx val="335337728"/>
        <c:crosses val="autoZero"/>
        <c:auto val="0"/>
        <c:lblAlgn val="ctr"/>
        <c:lblOffset val="100"/>
        <c:noMultiLvlLbl val="0"/>
      </c:catAx>
      <c:valAx>
        <c:axId val="335337728"/>
        <c:scaling>
          <c:orientation val="minMax"/>
        </c:scaling>
        <c:delete val="0"/>
        <c:axPos val="l"/>
        <c:numFmt formatCode="0%" sourceLinked="1"/>
        <c:majorTickMark val="cross"/>
        <c:minorTickMark val="none"/>
        <c:tickLblPos val="nextTo"/>
        <c:spPr>
          <a:ln w="3175">
            <a:solidFill>
              <a:srgbClr val="B3B3B3"/>
            </a:solidFill>
            <a:prstDash val="solid"/>
          </a:ln>
        </c:spPr>
        <c:txPr>
          <a:bodyPr rot="0" vert="horz"/>
          <a:lstStyle/>
          <a:p>
            <a:pPr>
              <a:defRPr/>
            </a:pPr>
            <a:endParaRPr lang="en-US"/>
          </a:p>
        </c:txPr>
        <c:crossAx val="335335808"/>
        <c:crosses val="autoZero"/>
        <c:crossBetween val="between"/>
      </c:valAx>
      <c:spPr>
        <a:noFill/>
        <a:ln w="25400">
          <a:noFill/>
        </a:ln>
      </c:spPr>
    </c:plotArea>
    <c:legend>
      <c:legendPos val="b"/>
      <c:overlay val="0"/>
      <c:spPr>
        <a:noFill/>
        <a:ln w="25400">
          <a:noFill/>
        </a:ln>
      </c:spPr>
    </c:legend>
    <c:plotVisOnly val="1"/>
    <c:dispBlanksAs val="gap"/>
    <c:showDLblsOverMax val="0"/>
  </c:chart>
  <c:spPr>
    <a:noFill/>
    <a:ln w="25400">
      <a:noFill/>
    </a:ln>
    <a:effectLst/>
  </c:spPr>
  <c:txPr>
    <a:bodyPr/>
    <a:lstStyle/>
    <a:p>
      <a:pPr>
        <a:defRPr sz="1000" b="0" i="0" u="none" strike="noStrike" baseline="0">
          <a:solidFill>
            <a:srgbClr val="595959"/>
          </a:solidFill>
          <a:latin typeface="Arial Narrow"/>
          <a:ea typeface="Arial Narrow"/>
          <a:cs typeface="Arial Narrow"/>
        </a:defRPr>
      </a:pPr>
      <a:endParaRPr lang="en-US"/>
    </a:p>
  </c:txPr>
  <c:printSettings>
    <c:headerFooter alignWithMargins="0"/>
    <c:pageMargins b="1" l="0.75000000000000111" r="0.75000000000000111" t="1" header="0.5" footer="0.5"/>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0443578356912288"/>
          <c:y val="0.15047044975517057"/>
          <c:w val="0.44758108577712102"/>
          <c:h val="0.69592583011766262"/>
        </c:manualLayout>
      </c:layout>
      <c:radarChart>
        <c:radarStyle val="marker"/>
        <c:varyColors val="0"/>
        <c:ser>
          <c:idx val="0"/>
          <c:order val="0"/>
          <c:tx>
            <c:strRef>
              <c:f>AXI!$W$24</c:f>
              <c:strCache>
                <c:ptCount val="1"/>
                <c:pt idx="0">
                  <c:v>AXI</c:v>
                </c:pt>
              </c:strCache>
            </c:strRef>
          </c:tx>
          <c:spPr>
            <a:ln w="25400">
              <a:solidFill>
                <a:srgbClr val="263238"/>
              </a:solidFill>
              <a:prstDash val="solid"/>
            </a:ln>
            <a:effectLst/>
          </c:spPr>
          <c:marker>
            <c:symbol val="diamond"/>
            <c:size val="6"/>
            <c:spPr>
              <a:solidFill>
                <a:srgbClr val="263238"/>
              </a:solidFill>
              <a:ln w="6350">
                <a:noFill/>
              </a:ln>
            </c:spPr>
          </c:marker>
          <c:cat>
            <c:strRef>
              <c:f>AXI!$V$25:$V$34</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AXI!$W$25:$W$34</c:f>
              <c:numCache>
                <c:formatCode>0%</c:formatCode>
                <c:ptCount val="10"/>
                <c:pt idx="0">
                  <c:v>0.97846854371612191</c:v>
                </c:pt>
                <c:pt idx="1">
                  <c:v>0.71366025140282996</c:v>
                </c:pt>
                <c:pt idx="2">
                  <c:v>0.91849695496752859</c:v>
                </c:pt>
                <c:pt idx="3">
                  <c:v>1.176224735757804</c:v>
                </c:pt>
                <c:pt idx="4">
                  <c:v>0.53623209226291024</c:v>
                </c:pt>
                <c:pt idx="5">
                  <c:v>0.6177719000837294</c:v>
                </c:pt>
                <c:pt idx="6">
                  <c:v>0.36283855850087715</c:v>
                </c:pt>
                <c:pt idx="7">
                  <c:v>0.62676540977758277</c:v>
                </c:pt>
                <c:pt idx="8">
                  <c:v>0.83476002383492776</c:v>
                </c:pt>
                <c:pt idx="9">
                  <c:v>2.7560466675086919</c:v>
                </c:pt>
              </c:numCache>
            </c:numRef>
          </c:val>
          <c:extLst>
            <c:ext xmlns:c16="http://schemas.microsoft.com/office/drawing/2014/chart" uri="{C3380CC4-5D6E-409C-BE32-E72D297353CC}">
              <c16:uniqueId val="{00000000-1C6E-4BEA-8EA4-7F373A644BFA}"/>
            </c:ext>
          </c:extLst>
        </c:ser>
        <c:ser>
          <c:idx val="1"/>
          <c:order val="1"/>
          <c:tx>
            <c:strRef>
              <c:f>AXI!$X$24</c:f>
              <c:strCache>
                <c:ptCount val="1"/>
                <c:pt idx="0">
                  <c:v>Agg. Asia Cellular</c:v>
                </c:pt>
              </c:strCache>
            </c:strRef>
          </c:tx>
          <c:spPr>
            <a:ln w="25400">
              <a:solidFill>
                <a:srgbClr val="799098"/>
              </a:solidFill>
              <a:prstDash val="solid"/>
            </a:ln>
            <a:effectLst/>
          </c:spPr>
          <c:marker>
            <c:symbol val="diamond"/>
            <c:size val="6"/>
            <c:spPr>
              <a:solidFill>
                <a:srgbClr val="799098"/>
              </a:solidFill>
              <a:ln w="6350">
                <a:noFill/>
              </a:ln>
            </c:spPr>
          </c:marker>
          <c:cat>
            <c:strRef>
              <c:f>AXI!$V$25:$V$34</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AXI!$X$25:$X$34</c:f>
              <c:numCache>
                <c:formatCode>0%</c:formatCode>
                <c:ptCount val="10"/>
                <c:pt idx="0">
                  <c:v>1</c:v>
                </c:pt>
                <c:pt idx="1">
                  <c:v>1</c:v>
                </c:pt>
                <c:pt idx="2">
                  <c:v>1</c:v>
                </c:pt>
                <c:pt idx="3">
                  <c:v>1</c:v>
                </c:pt>
                <c:pt idx="4">
                  <c:v>1</c:v>
                </c:pt>
                <c:pt idx="5">
                  <c:v>1</c:v>
                </c:pt>
                <c:pt idx="6">
                  <c:v>1</c:v>
                </c:pt>
                <c:pt idx="7">
                  <c:v>1</c:v>
                </c:pt>
                <c:pt idx="8">
                  <c:v>1</c:v>
                </c:pt>
                <c:pt idx="9">
                  <c:v>1</c:v>
                </c:pt>
              </c:numCache>
            </c:numRef>
          </c:val>
          <c:extLst>
            <c:ext xmlns:c16="http://schemas.microsoft.com/office/drawing/2014/chart" uri="{C3380CC4-5D6E-409C-BE32-E72D297353CC}">
              <c16:uniqueId val="{00000001-1C6E-4BEA-8EA4-7F373A644BFA}"/>
            </c:ext>
          </c:extLst>
        </c:ser>
        <c:dLbls>
          <c:showLegendKey val="0"/>
          <c:showVal val="0"/>
          <c:showCatName val="0"/>
          <c:showSerName val="0"/>
          <c:showPercent val="0"/>
          <c:showBubbleSize val="0"/>
        </c:dLbls>
        <c:axId val="353657984"/>
        <c:axId val="353659904"/>
      </c:radarChart>
      <c:catAx>
        <c:axId val="353657984"/>
        <c:scaling>
          <c:orientation val="minMax"/>
        </c:scaling>
        <c:delete val="0"/>
        <c:axPos val="b"/>
        <c:numFmt formatCode="General" sourceLinked="1"/>
        <c:majorTickMark val="out"/>
        <c:minorTickMark val="none"/>
        <c:tickLblPos val="nextTo"/>
        <c:spPr>
          <a:ln>
            <a:solidFill>
              <a:srgbClr val="B3B3B3"/>
            </a:solidFill>
          </a:ln>
        </c:spPr>
        <c:txPr>
          <a:bodyPr rot="0" vert="horz"/>
          <a:lstStyle/>
          <a:p>
            <a:pPr>
              <a:defRPr/>
            </a:pPr>
            <a:endParaRPr lang="en-US"/>
          </a:p>
        </c:txPr>
        <c:crossAx val="353659904"/>
        <c:crosses val="autoZero"/>
        <c:auto val="0"/>
        <c:lblAlgn val="ctr"/>
        <c:lblOffset val="100"/>
        <c:noMultiLvlLbl val="0"/>
      </c:catAx>
      <c:valAx>
        <c:axId val="353659904"/>
        <c:scaling>
          <c:orientation val="minMax"/>
        </c:scaling>
        <c:delete val="0"/>
        <c:axPos val="l"/>
        <c:numFmt formatCode="0%" sourceLinked="1"/>
        <c:majorTickMark val="cross"/>
        <c:minorTickMark val="none"/>
        <c:tickLblPos val="nextTo"/>
        <c:spPr>
          <a:ln w="3175">
            <a:solidFill>
              <a:srgbClr val="B3B3B3"/>
            </a:solidFill>
            <a:prstDash val="solid"/>
          </a:ln>
        </c:spPr>
        <c:txPr>
          <a:bodyPr rot="0" vert="horz"/>
          <a:lstStyle/>
          <a:p>
            <a:pPr>
              <a:defRPr/>
            </a:pPr>
            <a:endParaRPr lang="en-US"/>
          </a:p>
        </c:txPr>
        <c:crossAx val="353657984"/>
        <c:crosses val="autoZero"/>
        <c:crossBetween val="between"/>
        <c:majorUnit val="0.5"/>
      </c:valAx>
      <c:spPr>
        <a:noFill/>
        <a:ln w="25400">
          <a:noFill/>
        </a:ln>
      </c:spPr>
    </c:plotArea>
    <c:legend>
      <c:legendPos val="b"/>
      <c:overlay val="0"/>
      <c:spPr>
        <a:noFill/>
        <a:ln w="25400">
          <a:noFill/>
        </a:ln>
      </c:spPr>
    </c:legend>
    <c:plotVisOnly val="1"/>
    <c:dispBlanksAs val="gap"/>
    <c:showDLblsOverMax val="0"/>
  </c:chart>
  <c:spPr>
    <a:noFill/>
    <a:ln w="25400">
      <a:noFill/>
    </a:ln>
    <a:effectLst/>
  </c:spPr>
  <c:txPr>
    <a:bodyPr/>
    <a:lstStyle/>
    <a:p>
      <a:pPr>
        <a:defRPr sz="1000" b="0" i="0" u="none" strike="noStrike" baseline="0">
          <a:solidFill>
            <a:srgbClr val="595959"/>
          </a:solidFill>
          <a:latin typeface="Arial Narrow"/>
          <a:ea typeface="Arial Narrow"/>
          <a:cs typeface="Arial Narrow"/>
        </a:defRPr>
      </a:pPr>
      <a:endParaRPr lang="en-US"/>
    </a:p>
  </c:txPr>
  <c:printSettings>
    <c:headerFooter alignWithMargins="0"/>
    <c:pageMargins b="1" l="0.75000000000000111" r="0.75000000000000111" t="1" header="0.5" footer="0.5"/>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radarChart>
        <c:radarStyle val="marker"/>
        <c:varyColors val="0"/>
        <c:ser>
          <c:idx val="0"/>
          <c:order val="0"/>
          <c:tx>
            <c:strRef>
              <c:f>TRUECORP!$W$24</c:f>
              <c:strCache>
                <c:ptCount val="1"/>
                <c:pt idx="0">
                  <c:v>TRUE</c:v>
                </c:pt>
              </c:strCache>
            </c:strRef>
          </c:tx>
          <c:spPr>
            <a:ln w="25400" cap="rnd">
              <a:solidFill>
                <a:srgbClr val="263238"/>
              </a:solidFill>
              <a:prstDash val="solid"/>
              <a:round/>
            </a:ln>
            <a:effectLst/>
          </c:spPr>
          <c:marker>
            <c:symbol val="diamond"/>
            <c:size val="6"/>
            <c:spPr>
              <a:solidFill>
                <a:srgbClr val="263238"/>
              </a:solidFill>
              <a:ln w="25400">
                <a:noFill/>
              </a:ln>
              <a:effectLst/>
            </c:spPr>
          </c:marker>
          <c:cat>
            <c:strRef>
              <c:f>TRUECORP!$V$25:$V$34</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TRUECORP!$W$25:$W$34</c:f>
              <c:numCache>
                <c:formatCode>0%</c:formatCode>
                <c:ptCount val="10"/>
                <c:pt idx="0">
                  <c:v>1.824463884942531</c:v>
                </c:pt>
                <c:pt idx="1">
                  <c:v>1.4144934280322048</c:v>
                </c:pt>
                <c:pt idx="2">
                  <c:v>1.2938069327101129</c:v>
                </c:pt>
                <c:pt idx="3">
                  <c:v>0.87932504643997023</c:v>
                </c:pt>
                <c:pt idx="4">
                  <c:v>1.0189855999979043</c:v>
                </c:pt>
                <c:pt idx="5">
                  <c:v>1.1888868771509622</c:v>
                </c:pt>
                <c:pt idx="6">
                  <c:v>0.43176330557149079</c:v>
                </c:pt>
                <c:pt idx="7">
                  <c:v>-0.85943573130426676</c:v>
                </c:pt>
                <c:pt idx="8">
                  <c:v>0</c:v>
                </c:pt>
                <c:pt idx="9">
                  <c:v>2.316083805862982</c:v>
                </c:pt>
              </c:numCache>
            </c:numRef>
          </c:val>
          <c:extLst>
            <c:ext xmlns:c16="http://schemas.microsoft.com/office/drawing/2014/chart" uri="{C3380CC4-5D6E-409C-BE32-E72D297353CC}">
              <c16:uniqueId val="{00000000-268C-4E98-9C69-8E550431CB8A}"/>
            </c:ext>
          </c:extLst>
        </c:ser>
        <c:ser>
          <c:idx val="1"/>
          <c:order val="1"/>
          <c:tx>
            <c:strRef>
              <c:f>TRUECORP!$X$24</c:f>
              <c:strCache>
                <c:ptCount val="1"/>
                <c:pt idx="0">
                  <c:v>Agg. Asia Cellular</c:v>
                </c:pt>
              </c:strCache>
            </c:strRef>
          </c:tx>
          <c:spPr>
            <a:ln w="25400" cap="rnd">
              <a:solidFill>
                <a:srgbClr val="799098"/>
              </a:solidFill>
              <a:prstDash val="solid"/>
              <a:round/>
            </a:ln>
            <a:effectLst/>
          </c:spPr>
          <c:marker>
            <c:symbol val="diamond"/>
            <c:size val="6"/>
            <c:spPr>
              <a:solidFill>
                <a:srgbClr val="799098"/>
              </a:solidFill>
              <a:ln w="25400">
                <a:noFill/>
              </a:ln>
              <a:effectLst/>
            </c:spPr>
          </c:marker>
          <c:cat>
            <c:strRef>
              <c:f>TRUECORP!$V$25:$V$34</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TRUECORP!$X$25:$X$34</c:f>
              <c:numCache>
                <c:formatCode>0%</c:formatCode>
                <c:ptCount val="10"/>
                <c:pt idx="0">
                  <c:v>1</c:v>
                </c:pt>
                <c:pt idx="1">
                  <c:v>1</c:v>
                </c:pt>
                <c:pt idx="2">
                  <c:v>1</c:v>
                </c:pt>
                <c:pt idx="3">
                  <c:v>1</c:v>
                </c:pt>
                <c:pt idx="4">
                  <c:v>1</c:v>
                </c:pt>
                <c:pt idx="5">
                  <c:v>1</c:v>
                </c:pt>
                <c:pt idx="6">
                  <c:v>1</c:v>
                </c:pt>
                <c:pt idx="7">
                  <c:v>1</c:v>
                </c:pt>
                <c:pt idx="8">
                  <c:v>1</c:v>
                </c:pt>
                <c:pt idx="9">
                  <c:v>1</c:v>
                </c:pt>
              </c:numCache>
            </c:numRef>
          </c:val>
          <c:extLst>
            <c:ext xmlns:c16="http://schemas.microsoft.com/office/drawing/2014/chart" uri="{C3380CC4-5D6E-409C-BE32-E72D297353CC}">
              <c16:uniqueId val="{00000001-268C-4E98-9C69-8E550431CB8A}"/>
            </c:ext>
          </c:extLst>
        </c:ser>
        <c:dLbls>
          <c:showLegendKey val="0"/>
          <c:showVal val="0"/>
          <c:showCatName val="0"/>
          <c:showSerName val="0"/>
          <c:showPercent val="0"/>
          <c:showBubbleSize val="0"/>
        </c:dLbls>
        <c:axId val="185002447"/>
        <c:axId val="185002863"/>
      </c:radarChart>
      <c:catAx>
        <c:axId val="185002447"/>
        <c:scaling>
          <c:orientation val="minMax"/>
        </c:scaling>
        <c:delete val="0"/>
        <c:axPos val="b"/>
        <c:numFmt formatCode="General" sourceLinked="1"/>
        <c:majorTickMark val="none"/>
        <c:minorTickMark val="none"/>
        <c:tickLblPos val="nextTo"/>
        <c:spPr>
          <a:noFill/>
          <a:ln w="9525" cap="flat" cmpd="sng" algn="ctr">
            <a:solidFill>
              <a:srgbClr val="B3B3B3"/>
            </a:solidFill>
            <a:round/>
          </a:ln>
          <a:effectLst/>
        </c:spPr>
        <c:txPr>
          <a:bodyPr rot="-60000000" spcFirstLastPara="1" vertOverflow="ellipsis" vert="horz" wrap="square" anchor="ctr" anchorCtr="1"/>
          <a:lstStyle/>
          <a:p>
            <a:pPr>
              <a:defRPr sz="1000" b="0" i="0" u="none" strike="noStrike" kern="1200" baseline="0">
                <a:solidFill>
                  <a:srgbClr val="595959"/>
                </a:solidFill>
                <a:latin typeface="Arial Narrow"/>
                <a:ea typeface="Arial Narrow"/>
                <a:cs typeface="Arial Narrow"/>
              </a:defRPr>
            </a:pPr>
            <a:endParaRPr lang="en-US"/>
          </a:p>
        </c:txPr>
        <c:crossAx val="185002863"/>
        <c:crosses val="autoZero"/>
        <c:auto val="1"/>
        <c:lblAlgn val="ctr"/>
        <c:lblOffset val="100"/>
        <c:noMultiLvlLbl val="0"/>
      </c:catAx>
      <c:valAx>
        <c:axId val="185002863"/>
        <c:scaling>
          <c:orientation val="minMax"/>
        </c:scaling>
        <c:delete val="0"/>
        <c:axPos val="l"/>
        <c:numFmt formatCode="0%" sourceLinked="1"/>
        <c:majorTickMark val="none"/>
        <c:minorTickMark val="none"/>
        <c:tickLblPos val="nextTo"/>
        <c:spPr>
          <a:noFill/>
          <a:ln>
            <a:solidFill>
              <a:srgbClr val="B3B3B3"/>
            </a:solidFill>
          </a:ln>
          <a:effectLst/>
        </c:spPr>
        <c:txPr>
          <a:bodyPr rot="-60000000" spcFirstLastPara="1" vertOverflow="ellipsis" vert="horz" wrap="square" anchor="ctr" anchorCtr="1"/>
          <a:lstStyle/>
          <a:p>
            <a:pPr>
              <a:defRPr sz="1000" b="0" i="0" u="none" strike="noStrike" kern="1200" baseline="0">
                <a:solidFill>
                  <a:srgbClr val="595959"/>
                </a:solidFill>
                <a:latin typeface="Arial Narrow"/>
                <a:ea typeface="Arial Narrow"/>
                <a:cs typeface="Arial Narrow"/>
              </a:defRPr>
            </a:pPr>
            <a:endParaRPr lang="en-US"/>
          </a:p>
        </c:txPr>
        <c:crossAx val="185002447"/>
        <c:crosses val="autoZero"/>
        <c:crossBetween val="between"/>
      </c:valAx>
      <c:spPr>
        <a:noFill/>
        <a:ln w="25400">
          <a:noFill/>
        </a:ln>
        <a:effectLst/>
      </c:spPr>
    </c:plotArea>
    <c:legend>
      <c:legendPos val="b"/>
      <c:overlay val="0"/>
      <c:spPr>
        <a:noFill/>
        <a:ln w="25400">
          <a:noFill/>
        </a:ln>
        <a:effectLst/>
      </c:spPr>
      <c:txPr>
        <a:bodyPr rot="0" spcFirstLastPara="1" vertOverflow="ellipsis" vert="horz" wrap="square" anchor="ctr" anchorCtr="1"/>
        <a:lstStyle/>
        <a:p>
          <a:pPr>
            <a:defRPr sz="1000" b="0" i="0" u="none" strike="noStrike" kern="1200" baseline="0">
              <a:solidFill>
                <a:srgbClr val="595959"/>
              </a:solidFill>
              <a:latin typeface="Arial Narrow"/>
              <a:ea typeface="Arial Narrow"/>
              <a:cs typeface="Arial Narrow"/>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sz="1000" b="0" i="0" u="none" strike="noStrike" baseline="0">
          <a:solidFill>
            <a:srgbClr val="595959"/>
          </a:solidFill>
          <a:latin typeface="Arial Narrow"/>
          <a:ea typeface="Arial Narrow"/>
          <a:cs typeface="Arial Narrow"/>
        </a:defRPr>
      </a:pPr>
      <a:endParaRPr lang="en-US"/>
    </a:p>
  </c:txPr>
  <c:printSettings>
    <c:headerFooter/>
    <c:pageMargins b="0.75" l="0.7" r="0.7" t="0.75"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6612929424585641"/>
          <c:y val="9.8461686390754782E-2"/>
          <c:w val="0.44153269272607876"/>
          <c:h val="0.67384716623672936"/>
        </c:manualLayout>
      </c:layout>
      <c:radarChart>
        <c:radarStyle val="marker"/>
        <c:varyColors val="0"/>
        <c:ser>
          <c:idx val="0"/>
          <c:order val="0"/>
          <c:tx>
            <c:strRef>
              <c:f>TVIS!$W$24</c:f>
              <c:strCache>
                <c:ptCount val="1"/>
                <c:pt idx="0">
                  <c:v>Televisa</c:v>
                </c:pt>
              </c:strCache>
            </c:strRef>
          </c:tx>
          <c:spPr>
            <a:ln w="25400">
              <a:solidFill>
                <a:srgbClr val="263238"/>
              </a:solidFill>
              <a:prstDash val="solid"/>
            </a:ln>
            <a:effectLst/>
          </c:spPr>
          <c:marker>
            <c:symbol val="diamond"/>
            <c:size val="6"/>
            <c:spPr>
              <a:solidFill>
                <a:srgbClr val="263238"/>
              </a:solidFill>
              <a:ln w="6350">
                <a:noFill/>
              </a:ln>
            </c:spPr>
          </c:marker>
          <c:cat>
            <c:strRef>
              <c:f>TVIS!$V$25:$V$34</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TVIS!$W$25:$W$34</c:f>
              <c:numCache>
                <c:formatCode>0%</c:formatCode>
                <c:ptCount val="10"/>
                <c:pt idx="0">
                  <c:v>9.7955804679680708E-2</c:v>
                </c:pt>
                <c:pt idx="1">
                  <c:v>0.11708542539696658</c:v>
                </c:pt>
                <c:pt idx="2">
                  <c:v>0.15661932683215429</c:v>
                </c:pt>
                <c:pt idx="3">
                  <c:v>0.12851577053562432</c:v>
                </c:pt>
                <c:pt idx="4">
                  <c:v>4.8372129302047664E-2</c:v>
                </c:pt>
                <c:pt idx="5">
                  <c:v>7.1280289882089176E-2</c:v>
                </c:pt>
                <c:pt idx="6">
                  <c:v>-0.156253705879938</c:v>
                </c:pt>
                <c:pt idx="7">
                  <c:v>-1.489884516443797</c:v>
                </c:pt>
                <c:pt idx="8">
                  <c:v>0.94745177267055425</c:v>
                </c:pt>
                <c:pt idx="9">
                  <c:v>-6.3998482107578205</c:v>
                </c:pt>
              </c:numCache>
            </c:numRef>
          </c:val>
          <c:extLst>
            <c:ext xmlns:c16="http://schemas.microsoft.com/office/drawing/2014/chart" uri="{C3380CC4-5D6E-409C-BE32-E72D297353CC}">
              <c16:uniqueId val="{00000000-DD69-4E6E-9B61-D944CD0C277F}"/>
            </c:ext>
          </c:extLst>
        </c:ser>
        <c:ser>
          <c:idx val="1"/>
          <c:order val="1"/>
          <c:tx>
            <c:strRef>
              <c:f>TVIS!$X$24</c:f>
              <c:strCache>
                <c:ptCount val="1"/>
                <c:pt idx="0">
                  <c:v>Agg. LatAm incumbent</c:v>
                </c:pt>
              </c:strCache>
            </c:strRef>
          </c:tx>
          <c:spPr>
            <a:ln w="25400">
              <a:solidFill>
                <a:srgbClr val="799098"/>
              </a:solidFill>
              <a:prstDash val="solid"/>
            </a:ln>
            <a:effectLst/>
          </c:spPr>
          <c:marker>
            <c:symbol val="diamond"/>
            <c:size val="6"/>
            <c:spPr>
              <a:solidFill>
                <a:srgbClr val="799098"/>
              </a:solidFill>
              <a:ln w="6350">
                <a:noFill/>
              </a:ln>
            </c:spPr>
          </c:marker>
          <c:cat>
            <c:strRef>
              <c:f>TVIS!$V$25:$V$34</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TVIS!$X$25:$X$34</c:f>
              <c:numCache>
                <c:formatCode>0%</c:formatCode>
                <c:ptCount val="10"/>
                <c:pt idx="0">
                  <c:v>1</c:v>
                </c:pt>
                <c:pt idx="1">
                  <c:v>1</c:v>
                </c:pt>
                <c:pt idx="2">
                  <c:v>1</c:v>
                </c:pt>
                <c:pt idx="3">
                  <c:v>1</c:v>
                </c:pt>
                <c:pt idx="4">
                  <c:v>1</c:v>
                </c:pt>
                <c:pt idx="5">
                  <c:v>1</c:v>
                </c:pt>
                <c:pt idx="6">
                  <c:v>1</c:v>
                </c:pt>
                <c:pt idx="7">
                  <c:v>1</c:v>
                </c:pt>
                <c:pt idx="8">
                  <c:v>1</c:v>
                </c:pt>
                <c:pt idx="9">
                  <c:v>1</c:v>
                </c:pt>
              </c:numCache>
            </c:numRef>
          </c:val>
          <c:extLst>
            <c:ext xmlns:c16="http://schemas.microsoft.com/office/drawing/2014/chart" uri="{C3380CC4-5D6E-409C-BE32-E72D297353CC}">
              <c16:uniqueId val="{00000001-DD69-4E6E-9B61-D944CD0C277F}"/>
            </c:ext>
          </c:extLst>
        </c:ser>
        <c:dLbls>
          <c:showLegendKey val="0"/>
          <c:showVal val="0"/>
          <c:showCatName val="0"/>
          <c:showSerName val="0"/>
          <c:showPercent val="0"/>
          <c:showBubbleSize val="0"/>
        </c:dLbls>
        <c:axId val="337933056"/>
        <c:axId val="337934976"/>
      </c:radarChart>
      <c:catAx>
        <c:axId val="337933056"/>
        <c:scaling>
          <c:orientation val="minMax"/>
        </c:scaling>
        <c:delete val="0"/>
        <c:axPos val="b"/>
        <c:numFmt formatCode="General" sourceLinked="1"/>
        <c:majorTickMark val="out"/>
        <c:minorTickMark val="none"/>
        <c:tickLblPos val="nextTo"/>
        <c:spPr>
          <a:ln>
            <a:solidFill>
              <a:srgbClr val="B3B3B3"/>
            </a:solidFill>
          </a:ln>
        </c:spPr>
        <c:txPr>
          <a:bodyPr rot="0" vert="horz"/>
          <a:lstStyle/>
          <a:p>
            <a:pPr>
              <a:defRPr/>
            </a:pPr>
            <a:endParaRPr lang="en-US"/>
          </a:p>
        </c:txPr>
        <c:crossAx val="337934976"/>
        <c:crosses val="autoZero"/>
        <c:auto val="0"/>
        <c:lblAlgn val="ctr"/>
        <c:lblOffset val="100"/>
        <c:noMultiLvlLbl val="0"/>
      </c:catAx>
      <c:valAx>
        <c:axId val="337934976"/>
        <c:scaling>
          <c:orientation val="minMax"/>
        </c:scaling>
        <c:delete val="0"/>
        <c:axPos val="l"/>
        <c:numFmt formatCode="0%" sourceLinked="1"/>
        <c:majorTickMark val="cross"/>
        <c:minorTickMark val="none"/>
        <c:tickLblPos val="nextTo"/>
        <c:spPr>
          <a:ln w="3175">
            <a:solidFill>
              <a:srgbClr val="B3B3B3"/>
            </a:solidFill>
            <a:prstDash val="solid"/>
          </a:ln>
        </c:spPr>
        <c:txPr>
          <a:bodyPr rot="0" vert="horz"/>
          <a:lstStyle/>
          <a:p>
            <a:pPr>
              <a:defRPr/>
            </a:pPr>
            <a:endParaRPr lang="en-US"/>
          </a:p>
        </c:txPr>
        <c:crossAx val="337933056"/>
        <c:crosses val="autoZero"/>
        <c:crossBetween val="between"/>
      </c:valAx>
      <c:spPr>
        <a:noFill/>
        <a:ln w="25400">
          <a:noFill/>
        </a:ln>
      </c:spPr>
    </c:plotArea>
    <c:legend>
      <c:legendPos val="b"/>
      <c:overlay val="0"/>
      <c:spPr>
        <a:noFill/>
        <a:ln w="25400">
          <a:noFill/>
        </a:ln>
      </c:spPr>
    </c:legend>
    <c:plotVisOnly val="1"/>
    <c:dispBlanksAs val="gap"/>
    <c:showDLblsOverMax val="0"/>
  </c:chart>
  <c:spPr>
    <a:noFill/>
    <a:ln w="25400">
      <a:noFill/>
    </a:ln>
    <a:effectLst/>
  </c:spPr>
  <c:txPr>
    <a:bodyPr/>
    <a:lstStyle/>
    <a:p>
      <a:pPr>
        <a:defRPr sz="1000" b="0" i="0" u="none" strike="noStrike" baseline="0">
          <a:solidFill>
            <a:srgbClr val="595959"/>
          </a:solidFill>
          <a:latin typeface="Arial Narrow"/>
          <a:ea typeface="Arial Narrow"/>
          <a:cs typeface="Arial Narrow"/>
        </a:defRPr>
      </a:pPr>
      <a:endParaRPr lang="en-US"/>
    </a:p>
  </c:txPr>
  <c:printSettings>
    <c:headerFooter alignWithMargins="0"/>
    <c:pageMargins b="1" l="0.75000000000000111" r="0.75000000000000111" t="1" header="0.5" footer="0.5"/>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1780509314725197"/>
          <c:y val="0.14153867418671001"/>
          <c:w val="0.41690947373404241"/>
          <c:h val="0.65174920453160345"/>
        </c:manualLayout>
      </c:layout>
      <c:radarChart>
        <c:radarStyle val="marker"/>
        <c:varyColors val="0"/>
        <c:ser>
          <c:idx val="0"/>
          <c:order val="0"/>
          <c:tx>
            <c:strRef>
              <c:f>UTDI!$W$24</c:f>
              <c:strCache>
                <c:ptCount val="1"/>
                <c:pt idx="0">
                  <c:v>United Internet</c:v>
                </c:pt>
              </c:strCache>
            </c:strRef>
          </c:tx>
          <c:spPr>
            <a:ln w="25400">
              <a:solidFill>
                <a:srgbClr val="263238"/>
              </a:solidFill>
              <a:prstDash val="solid"/>
            </a:ln>
            <a:effectLst/>
          </c:spPr>
          <c:marker>
            <c:symbol val="diamond"/>
            <c:size val="6"/>
            <c:spPr>
              <a:solidFill>
                <a:srgbClr val="263238"/>
              </a:solidFill>
              <a:ln w="6350">
                <a:noFill/>
              </a:ln>
            </c:spPr>
          </c:marker>
          <c:cat>
            <c:strRef>
              <c:f>UTDI!$V$25:$V$34</c:f>
              <c:strCache>
                <c:ptCount val="10"/>
                <c:pt idx="0">
                  <c:v>EV/Revenue</c:v>
                </c:pt>
                <c:pt idx="1">
                  <c:v>EV/EBITDA</c:v>
                </c:pt>
                <c:pt idx="2">
                  <c:v>EV/OpFCF</c:v>
                </c:pt>
                <c:pt idx="3">
                  <c:v>EV/FCF</c:v>
                </c:pt>
                <c:pt idx="4">
                  <c:v>EV/Invested capital</c:v>
                </c:pt>
                <c:pt idx="5">
                  <c:v>EV/NFA</c:v>
                </c:pt>
                <c:pt idx="6">
                  <c:v>P/EFCF (2012)</c:v>
                </c:pt>
                <c:pt idx="7">
                  <c:v>Adjusted P/E</c:v>
                </c:pt>
                <c:pt idx="8">
                  <c:v>Dividend yield</c:v>
                </c:pt>
                <c:pt idx="9">
                  <c:v>EFCF yield (2012)</c:v>
                </c:pt>
              </c:strCache>
            </c:strRef>
          </c:cat>
          <c:val>
            <c:numRef>
              <c:f>UTDI!$W$25:$W$34</c:f>
              <c:numCache>
                <c:formatCode>0%</c:formatCode>
                <c:ptCount val="10"/>
                <c:pt idx="0">
                  <c:v>0.92712863779159638</c:v>
                </c:pt>
                <c:pt idx="1">
                  <c:v>1.6146364699841771</c:v>
                </c:pt>
                <c:pt idx="2">
                  <c:v>2.1615562824256371</c:v>
                </c:pt>
                <c:pt idx="3">
                  <c:v>2.258731337919365</c:v>
                </c:pt>
                <c:pt idx="4">
                  <c:v>1.551851187898418</c:v>
                </c:pt>
                <c:pt idx="5">
                  <c:v>2.3084042866637877</c:v>
                </c:pt>
                <c:pt idx="6">
                  <c:v>-1.9639207853743919</c:v>
                </c:pt>
                <c:pt idx="7">
                  <c:v>0.72816813009017234</c:v>
                </c:pt>
                <c:pt idx="8">
                  <c:v>0.3223870274647227</c:v>
                </c:pt>
                <c:pt idx="9">
                  <c:v>-0.5091855065882227</c:v>
                </c:pt>
              </c:numCache>
            </c:numRef>
          </c:val>
          <c:extLst>
            <c:ext xmlns:c16="http://schemas.microsoft.com/office/drawing/2014/chart" uri="{C3380CC4-5D6E-409C-BE32-E72D297353CC}">
              <c16:uniqueId val="{00000000-A2A1-480A-B428-088982FF0DC4}"/>
            </c:ext>
          </c:extLst>
        </c:ser>
        <c:ser>
          <c:idx val="1"/>
          <c:order val="1"/>
          <c:tx>
            <c:strRef>
              <c:f>UTDI!$X$24</c:f>
              <c:strCache>
                <c:ptCount val="1"/>
                <c:pt idx="0">
                  <c:v>Agg.W.Eur Other</c:v>
                </c:pt>
              </c:strCache>
            </c:strRef>
          </c:tx>
          <c:spPr>
            <a:ln w="25400">
              <a:solidFill>
                <a:srgbClr val="799098"/>
              </a:solidFill>
              <a:prstDash val="solid"/>
            </a:ln>
            <a:effectLst/>
          </c:spPr>
          <c:marker>
            <c:symbol val="diamond"/>
            <c:size val="6"/>
            <c:spPr>
              <a:solidFill>
                <a:srgbClr val="799098"/>
              </a:solidFill>
              <a:ln w="6350">
                <a:noFill/>
              </a:ln>
            </c:spPr>
          </c:marker>
          <c:cat>
            <c:strRef>
              <c:f>UTDI!$V$25:$V$34</c:f>
              <c:strCache>
                <c:ptCount val="10"/>
                <c:pt idx="0">
                  <c:v>EV/Revenue</c:v>
                </c:pt>
                <c:pt idx="1">
                  <c:v>EV/EBITDA</c:v>
                </c:pt>
                <c:pt idx="2">
                  <c:v>EV/OpFCF</c:v>
                </c:pt>
                <c:pt idx="3">
                  <c:v>EV/FCF</c:v>
                </c:pt>
                <c:pt idx="4">
                  <c:v>EV/Invested capital</c:v>
                </c:pt>
                <c:pt idx="5">
                  <c:v>EV/NFA</c:v>
                </c:pt>
                <c:pt idx="6">
                  <c:v>P/EFCF (2012)</c:v>
                </c:pt>
                <c:pt idx="7">
                  <c:v>Adjusted P/E</c:v>
                </c:pt>
                <c:pt idx="8">
                  <c:v>Dividend yield</c:v>
                </c:pt>
                <c:pt idx="9">
                  <c:v>EFCF yield (2012)</c:v>
                </c:pt>
              </c:strCache>
            </c:strRef>
          </c:cat>
          <c:val>
            <c:numRef>
              <c:f>UTDI!$X$25:$X$34</c:f>
              <c:numCache>
                <c:formatCode>0%</c:formatCode>
                <c:ptCount val="10"/>
                <c:pt idx="0">
                  <c:v>1</c:v>
                </c:pt>
                <c:pt idx="1">
                  <c:v>1</c:v>
                </c:pt>
                <c:pt idx="2">
                  <c:v>1</c:v>
                </c:pt>
                <c:pt idx="3">
                  <c:v>1</c:v>
                </c:pt>
                <c:pt idx="4">
                  <c:v>1</c:v>
                </c:pt>
                <c:pt idx="5">
                  <c:v>1</c:v>
                </c:pt>
                <c:pt idx="6">
                  <c:v>1</c:v>
                </c:pt>
                <c:pt idx="7">
                  <c:v>1</c:v>
                </c:pt>
                <c:pt idx="8">
                  <c:v>1</c:v>
                </c:pt>
                <c:pt idx="9">
                  <c:v>1</c:v>
                </c:pt>
              </c:numCache>
            </c:numRef>
          </c:val>
          <c:extLst>
            <c:ext xmlns:c16="http://schemas.microsoft.com/office/drawing/2014/chart" uri="{C3380CC4-5D6E-409C-BE32-E72D297353CC}">
              <c16:uniqueId val="{00000001-A2A1-480A-B428-088982FF0DC4}"/>
            </c:ext>
          </c:extLst>
        </c:ser>
        <c:dLbls>
          <c:showLegendKey val="0"/>
          <c:showVal val="0"/>
          <c:showCatName val="0"/>
          <c:showSerName val="0"/>
          <c:showPercent val="0"/>
          <c:showBubbleSize val="0"/>
        </c:dLbls>
        <c:axId val="338076416"/>
        <c:axId val="338078336"/>
      </c:radarChart>
      <c:catAx>
        <c:axId val="338076416"/>
        <c:scaling>
          <c:orientation val="minMax"/>
        </c:scaling>
        <c:delete val="0"/>
        <c:axPos val="b"/>
        <c:numFmt formatCode="General" sourceLinked="1"/>
        <c:majorTickMark val="out"/>
        <c:minorTickMark val="none"/>
        <c:tickLblPos val="nextTo"/>
        <c:spPr>
          <a:ln>
            <a:solidFill>
              <a:srgbClr val="B3B3B3"/>
            </a:solidFill>
          </a:ln>
        </c:spPr>
        <c:txPr>
          <a:bodyPr rot="0" vert="horz"/>
          <a:lstStyle/>
          <a:p>
            <a:pPr>
              <a:defRPr/>
            </a:pPr>
            <a:endParaRPr lang="en-US"/>
          </a:p>
        </c:txPr>
        <c:crossAx val="338078336"/>
        <c:crosses val="autoZero"/>
        <c:auto val="0"/>
        <c:lblAlgn val="ctr"/>
        <c:lblOffset val="100"/>
        <c:noMultiLvlLbl val="0"/>
      </c:catAx>
      <c:valAx>
        <c:axId val="338078336"/>
        <c:scaling>
          <c:orientation val="minMax"/>
        </c:scaling>
        <c:delete val="0"/>
        <c:axPos val="l"/>
        <c:numFmt formatCode="0%" sourceLinked="1"/>
        <c:majorTickMark val="cross"/>
        <c:minorTickMark val="none"/>
        <c:tickLblPos val="nextTo"/>
        <c:spPr>
          <a:ln w="3175">
            <a:solidFill>
              <a:srgbClr val="B3B3B3"/>
            </a:solidFill>
            <a:prstDash val="solid"/>
          </a:ln>
        </c:spPr>
        <c:txPr>
          <a:bodyPr rot="0" vert="horz"/>
          <a:lstStyle/>
          <a:p>
            <a:pPr>
              <a:defRPr/>
            </a:pPr>
            <a:endParaRPr lang="en-US"/>
          </a:p>
        </c:txPr>
        <c:crossAx val="338076416"/>
        <c:crosses val="autoZero"/>
        <c:crossBetween val="between"/>
      </c:valAx>
      <c:spPr>
        <a:noFill/>
        <a:ln w="25400">
          <a:noFill/>
        </a:ln>
      </c:spPr>
    </c:plotArea>
    <c:legend>
      <c:legendPos val="b"/>
      <c:overlay val="0"/>
      <c:spPr>
        <a:noFill/>
        <a:ln w="25400">
          <a:noFill/>
        </a:ln>
      </c:spPr>
    </c:legend>
    <c:plotVisOnly val="1"/>
    <c:dispBlanksAs val="gap"/>
    <c:showDLblsOverMax val="0"/>
  </c:chart>
  <c:spPr>
    <a:noFill/>
    <a:ln w="25400">
      <a:noFill/>
    </a:ln>
    <a:effectLst/>
  </c:spPr>
  <c:txPr>
    <a:bodyPr/>
    <a:lstStyle/>
    <a:p>
      <a:pPr>
        <a:defRPr sz="1000" b="0" i="0" u="none" strike="noStrike" baseline="0">
          <a:solidFill>
            <a:srgbClr val="595959"/>
          </a:solidFill>
          <a:latin typeface="Arial Narrow"/>
          <a:ea typeface="Arial Narrow"/>
          <a:cs typeface="Arial Narrow"/>
        </a:defRPr>
      </a:pPr>
      <a:endParaRPr lang="en-US"/>
    </a:p>
  </c:txPr>
  <c:printSettings>
    <c:headerFooter alignWithMargins="0"/>
    <c:pageMargins b="1" l="0.75000000000000111" r="0.75000000000000111" t="1" header="0.5" footer="0.5"/>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9630802933930867"/>
          <c:y val="7.1874999999999994E-2"/>
          <c:w val="0.47628444005241982"/>
          <c:h val="0.7578179746838869"/>
        </c:manualLayout>
      </c:layout>
      <c:radarChart>
        <c:radarStyle val="marker"/>
        <c:varyColors val="0"/>
        <c:ser>
          <c:idx val="0"/>
          <c:order val="0"/>
          <c:tx>
            <c:strRef>
              <c:f>VIMP!$W$24</c:f>
              <c:strCache>
                <c:ptCount val="1"/>
                <c:pt idx="0">
                  <c:v>Vimpelcom</c:v>
                </c:pt>
              </c:strCache>
            </c:strRef>
          </c:tx>
          <c:spPr>
            <a:ln w="25400">
              <a:solidFill>
                <a:srgbClr val="263238"/>
              </a:solidFill>
              <a:prstDash val="solid"/>
            </a:ln>
            <a:effectLst/>
          </c:spPr>
          <c:marker>
            <c:symbol val="diamond"/>
            <c:size val="6"/>
            <c:spPr>
              <a:solidFill>
                <a:srgbClr val="263238"/>
              </a:solidFill>
              <a:ln w="6350">
                <a:noFill/>
              </a:ln>
            </c:spPr>
          </c:marker>
          <c:cat>
            <c:strRef>
              <c:f>VIMP!$V$25:$V$34</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VIMP!$W$25:$W$34</c:f>
              <c:numCache>
                <c:formatCode>0%</c:formatCode>
                <c:ptCount val="10"/>
                <c:pt idx="0">
                  <c:v>4.3870108591969172</c:v>
                </c:pt>
                <c:pt idx="1">
                  <c:v>4.2301843388683897</c:v>
                </c:pt>
                <c:pt idx="2">
                  <c:v>4.4175598649050789</c:v>
                </c:pt>
                <c:pt idx="3">
                  <c:v>4.0088547876318676</c:v>
                </c:pt>
                <c:pt idx="4">
                  <c:v>4.3768294439786821</c:v>
                </c:pt>
                <c:pt idx="5">
                  <c:v>3.6396156897560057</c:v>
                </c:pt>
                <c:pt idx="6">
                  <c:v>11.481613518215978</c:v>
                </c:pt>
                <c:pt idx="7">
                  <c:v>6.7739419588424727</c:v>
                </c:pt>
                <c:pt idx="8">
                  <c:v>0</c:v>
                </c:pt>
                <c:pt idx="9">
                  <c:v>8.7095772594458554E-2</c:v>
                </c:pt>
              </c:numCache>
            </c:numRef>
          </c:val>
          <c:extLst>
            <c:ext xmlns:c16="http://schemas.microsoft.com/office/drawing/2014/chart" uri="{C3380CC4-5D6E-409C-BE32-E72D297353CC}">
              <c16:uniqueId val="{00000000-4D09-4B6E-9714-55D964586DDC}"/>
            </c:ext>
          </c:extLst>
        </c:ser>
        <c:ser>
          <c:idx val="1"/>
          <c:order val="1"/>
          <c:tx>
            <c:strRef>
              <c:f>VIMP!$X$24</c:f>
              <c:strCache>
                <c:ptCount val="1"/>
                <c:pt idx="0">
                  <c:v>Agg. EMEA Cellular</c:v>
                </c:pt>
              </c:strCache>
            </c:strRef>
          </c:tx>
          <c:spPr>
            <a:ln w="25400">
              <a:solidFill>
                <a:srgbClr val="799098"/>
              </a:solidFill>
              <a:prstDash val="solid"/>
            </a:ln>
            <a:effectLst/>
          </c:spPr>
          <c:marker>
            <c:symbol val="diamond"/>
            <c:size val="6"/>
            <c:spPr>
              <a:solidFill>
                <a:srgbClr val="799098"/>
              </a:solidFill>
              <a:ln w="6350">
                <a:noFill/>
              </a:ln>
            </c:spPr>
          </c:marker>
          <c:cat>
            <c:strRef>
              <c:f>VIMP!$V$25:$V$34</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VIMP!$X$25:$X$34</c:f>
              <c:numCache>
                <c:formatCode>0%</c:formatCode>
                <c:ptCount val="10"/>
                <c:pt idx="0">
                  <c:v>1</c:v>
                </c:pt>
                <c:pt idx="1">
                  <c:v>1</c:v>
                </c:pt>
                <c:pt idx="2">
                  <c:v>1</c:v>
                </c:pt>
                <c:pt idx="3">
                  <c:v>1</c:v>
                </c:pt>
                <c:pt idx="4">
                  <c:v>1</c:v>
                </c:pt>
                <c:pt idx="5">
                  <c:v>1</c:v>
                </c:pt>
                <c:pt idx="6">
                  <c:v>1</c:v>
                </c:pt>
                <c:pt idx="7">
                  <c:v>1</c:v>
                </c:pt>
                <c:pt idx="8">
                  <c:v>1</c:v>
                </c:pt>
                <c:pt idx="9">
                  <c:v>1</c:v>
                </c:pt>
              </c:numCache>
            </c:numRef>
          </c:val>
          <c:extLst>
            <c:ext xmlns:c16="http://schemas.microsoft.com/office/drawing/2014/chart" uri="{C3380CC4-5D6E-409C-BE32-E72D297353CC}">
              <c16:uniqueId val="{00000001-4D09-4B6E-9714-55D964586DDC}"/>
            </c:ext>
          </c:extLst>
        </c:ser>
        <c:dLbls>
          <c:showLegendKey val="0"/>
          <c:showVal val="0"/>
          <c:showCatName val="0"/>
          <c:showSerName val="0"/>
          <c:showPercent val="0"/>
          <c:showBubbleSize val="0"/>
        </c:dLbls>
        <c:axId val="341066496"/>
        <c:axId val="341068416"/>
      </c:radarChart>
      <c:catAx>
        <c:axId val="341066496"/>
        <c:scaling>
          <c:orientation val="minMax"/>
        </c:scaling>
        <c:delete val="0"/>
        <c:axPos val="b"/>
        <c:numFmt formatCode="General" sourceLinked="1"/>
        <c:majorTickMark val="out"/>
        <c:minorTickMark val="none"/>
        <c:tickLblPos val="nextTo"/>
        <c:spPr>
          <a:ln>
            <a:solidFill>
              <a:srgbClr val="B3B3B3"/>
            </a:solidFill>
          </a:ln>
        </c:spPr>
        <c:txPr>
          <a:bodyPr rot="0" vert="horz"/>
          <a:lstStyle/>
          <a:p>
            <a:pPr>
              <a:defRPr/>
            </a:pPr>
            <a:endParaRPr lang="en-US"/>
          </a:p>
        </c:txPr>
        <c:crossAx val="341068416"/>
        <c:crosses val="autoZero"/>
        <c:auto val="0"/>
        <c:lblAlgn val="ctr"/>
        <c:lblOffset val="100"/>
        <c:noMultiLvlLbl val="0"/>
      </c:catAx>
      <c:valAx>
        <c:axId val="341068416"/>
        <c:scaling>
          <c:orientation val="minMax"/>
        </c:scaling>
        <c:delete val="0"/>
        <c:axPos val="l"/>
        <c:numFmt formatCode="0%" sourceLinked="1"/>
        <c:majorTickMark val="cross"/>
        <c:minorTickMark val="none"/>
        <c:tickLblPos val="nextTo"/>
        <c:spPr>
          <a:ln w="3175">
            <a:solidFill>
              <a:srgbClr val="B3B3B3"/>
            </a:solidFill>
            <a:prstDash val="solid"/>
          </a:ln>
        </c:spPr>
        <c:txPr>
          <a:bodyPr rot="0" vert="horz"/>
          <a:lstStyle/>
          <a:p>
            <a:pPr>
              <a:defRPr/>
            </a:pPr>
            <a:endParaRPr lang="en-US"/>
          </a:p>
        </c:txPr>
        <c:crossAx val="341066496"/>
        <c:crosses val="autoZero"/>
        <c:crossBetween val="between"/>
      </c:valAx>
      <c:spPr>
        <a:noFill/>
        <a:ln w="25400">
          <a:noFill/>
        </a:ln>
      </c:spPr>
    </c:plotArea>
    <c:legend>
      <c:legendPos val="b"/>
      <c:overlay val="0"/>
      <c:spPr>
        <a:noFill/>
        <a:ln w="25400">
          <a:noFill/>
        </a:ln>
      </c:spPr>
    </c:legend>
    <c:plotVisOnly val="1"/>
    <c:dispBlanksAs val="gap"/>
    <c:showDLblsOverMax val="0"/>
  </c:chart>
  <c:spPr>
    <a:noFill/>
    <a:ln w="25400">
      <a:noFill/>
    </a:ln>
    <a:effectLst/>
  </c:spPr>
  <c:txPr>
    <a:bodyPr/>
    <a:lstStyle/>
    <a:p>
      <a:pPr>
        <a:defRPr sz="1000" b="0" i="0" u="none" strike="noStrike" baseline="0">
          <a:solidFill>
            <a:srgbClr val="595959"/>
          </a:solidFill>
          <a:latin typeface="Arial Narrow"/>
          <a:ea typeface="Arial Narrow"/>
          <a:cs typeface="Arial Narrow"/>
        </a:defRPr>
      </a:pPr>
      <a:endParaRPr lang="en-US"/>
    </a:p>
  </c:txPr>
  <c:printSettings>
    <c:headerFooter alignWithMargins="0"/>
    <c:pageMargins b="1" l="0.75000000000000111" r="0.75000000000000111" t="1" header="0.5" footer="0.5"/>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0836705369975903"/>
          <c:y val="8.9230903291621547E-2"/>
          <c:w val="0.46307384765530485"/>
          <c:h val="0.72391737502531528"/>
        </c:manualLayout>
      </c:layout>
      <c:radarChart>
        <c:radarStyle val="marker"/>
        <c:varyColors val="0"/>
        <c:ser>
          <c:idx val="0"/>
          <c:order val="0"/>
          <c:tx>
            <c:strRef>
              <c:f>VIVO!$W$24</c:f>
              <c:strCache>
                <c:ptCount val="1"/>
                <c:pt idx="0">
                  <c:v>Telefonica Brasil</c:v>
                </c:pt>
              </c:strCache>
            </c:strRef>
          </c:tx>
          <c:spPr>
            <a:ln w="25400">
              <a:solidFill>
                <a:srgbClr val="263238"/>
              </a:solidFill>
              <a:prstDash val="solid"/>
            </a:ln>
            <a:effectLst/>
          </c:spPr>
          <c:marker>
            <c:symbol val="diamond"/>
            <c:size val="6"/>
            <c:spPr>
              <a:solidFill>
                <a:srgbClr val="263238"/>
              </a:solidFill>
              <a:ln w="6350">
                <a:noFill/>
              </a:ln>
            </c:spPr>
          </c:marker>
          <c:cat>
            <c:strRef>
              <c:f>VIVO!$V$25:$V$34</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VIVO!$W$25:$W$34</c:f>
              <c:numCache>
                <c:formatCode>0%</c:formatCode>
                <c:ptCount val="10"/>
                <c:pt idx="0">
                  <c:v>0.94473720181651655</c:v>
                </c:pt>
                <c:pt idx="1">
                  <c:v>0.88150382051253995</c:v>
                </c:pt>
                <c:pt idx="2">
                  <c:v>0.76994581299051379</c:v>
                </c:pt>
                <c:pt idx="3">
                  <c:v>0.71794067812063722</c:v>
                </c:pt>
                <c:pt idx="4">
                  <c:v>0.80468764869892384</c:v>
                </c:pt>
                <c:pt idx="5">
                  <c:v>0.80836411479744141</c:v>
                </c:pt>
                <c:pt idx="6">
                  <c:v>0.35238517768750083</c:v>
                </c:pt>
                <c:pt idx="7">
                  <c:v>0.92730937436512739</c:v>
                </c:pt>
                <c:pt idx="8">
                  <c:v>1.4322865946712784</c:v>
                </c:pt>
                <c:pt idx="9">
                  <c:v>2.837803810484933</c:v>
                </c:pt>
              </c:numCache>
            </c:numRef>
          </c:val>
          <c:extLst>
            <c:ext xmlns:c16="http://schemas.microsoft.com/office/drawing/2014/chart" uri="{C3380CC4-5D6E-409C-BE32-E72D297353CC}">
              <c16:uniqueId val="{00000000-60BB-4086-8023-D8D40279CCFB}"/>
            </c:ext>
          </c:extLst>
        </c:ser>
        <c:ser>
          <c:idx val="1"/>
          <c:order val="1"/>
          <c:tx>
            <c:strRef>
              <c:f>VIVO!$X$24</c:f>
              <c:strCache>
                <c:ptCount val="1"/>
                <c:pt idx="0">
                  <c:v>Agg. LatAm Incumbent</c:v>
                </c:pt>
              </c:strCache>
            </c:strRef>
          </c:tx>
          <c:spPr>
            <a:ln w="25400">
              <a:solidFill>
                <a:srgbClr val="799098"/>
              </a:solidFill>
              <a:prstDash val="solid"/>
            </a:ln>
            <a:effectLst/>
          </c:spPr>
          <c:marker>
            <c:symbol val="diamond"/>
            <c:size val="6"/>
            <c:spPr>
              <a:solidFill>
                <a:srgbClr val="799098"/>
              </a:solidFill>
              <a:ln w="6350">
                <a:noFill/>
              </a:ln>
            </c:spPr>
          </c:marker>
          <c:cat>
            <c:strRef>
              <c:f>VIVO!$V$25:$V$34</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VIVO!$X$25:$X$34</c:f>
              <c:numCache>
                <c:formatCode>0%</c:formatCode>
                <c:ptCount val="10"/>
                <c:pt idx="0">
                  <c:v>1</c:v>
                </c:pt>
                <c:pt idx="1">
                  <c:v>1</c:v>
                </c:pt>
                <c:pt idx="2">
                  <c:v>1</c:v>
                </c:pt>
                <c:pt idx="3">
                  <c:v>1</c:v>
                </c:pt>
                <c:pt idx="4">
                  <c:v>1</c:v>
                </c:pt>
                <c:pt idx="5">
                  <c:v>1</c:v>
                </c:pt>
                <c:pt idx="6">
                  <c:v>1</c:v>
                </c:pt>
                <c:pt idx="7">
                  <c:v>1</c:v>
                </c:pt>
                <c:pt idx="8">
                  <c:v>1</c:v>
                </c:pt>
                <c:pt idx="9">
                  <c:v>1</c:v>
                </c:pt>
              </c:numCache>
            </c:numRef>
          </c:val>
          <c:extLst>
            <c:ext xmlns:c16="http://schemas.microsoft.com/office/drawing/2014/chart" uri="{C3380CC4-5D6E-409C-BE32-E72D297353CC}">
              <c16:uniqueId val="{00000001-60BB-4086-8023-D8D40279CCFB}"/>
            </c:ext>
          </c:extLst>
        </c:ser>
        <c:dLbls>
          <c:showLegendKey val="0"/>
          <c:showVal val="0"/>
          <c:showCatName val="0"/>
          <c:showSerName val="0"/>
          <c:showPercent val="0"/>
          <c:showBubbleSize val="0"/>
        </c:dLbls>
        <c:axId val="342434560"/>
        <c:axId val="342436480"/>
      </c:radarChart>
      <c:catAx>
        <c:axId val="342434560"/>
        <c:scaling>
          <c:orientation val="minMax"/>
        </c:scaling>
        <c:delete val="0"/>
        <c:axPos val="b"/>
        <c:numFmt formatCode="General" sourceLinked="1"/>
        <c:majorTickMark val="out"/>
        <c:minorTickMark val="none"/>
        <c:tickLblPos val="nextTo"/>
        <c:spPr>
          <a:ln>
            <a:solidFill>
              <a:srgbClr val="B3B3B3"/>
            </a:solidFill>
          </a:ln>
        </c:spPr>
        <c:txPr>
          <a:bodyPr rot="0" vert="horz"/>
          <a:lstStyle/>
          <a:p>
            <a:pPr>
              <a:defRPr/>
            </a:pPr>
            <a:endParaRPr lang="en-US"/>
          </a:p>
        </c:txPr>
        <c:crossAx val="342436480"/>
        <c:crosses val="autoZero"/>
        <c:auto val="0"/>
        <c:lblAlgn val="ctr"/>
        <c:lblOffset val="100"/>
        <c:noMultiLvlLbl val="0"/>
      </c:catAx>
      <c:valAx>
        <c:axId val="342436480"/>
        <c:scaling>
          <c:orientation val="minMax"/>
        </c:scaling>
        <c:delete val="0"/>
        <c:axPos val="l"/>
        <c:numFmt formatCode="0%" sourceLinked="1"/>
        <c:majorTickMark val="cross"/>
        <c:minorTickMark val="none"/>
        <c:tickLblPos val="nextTo"/>
        <c:spPr>
          <a:ln w="3175">
            <a:solidFill>
              <a:srgbClr val="B3B3B3"/>
            </a:solidFill>
            <a:prstDash val="solid"/>
          </a:ln>
        </c:spPr>
        <c:txPr>
          <a:bodyPr rot="0" vert="horz"/>
          <a:lstStyle/>
          <a:p>
            <a:pPr>
              <a:defRPr/>
            </a:pPr>
            <a:endParaRPr lang="en-US"/>
          </a:p>
        </c:txPr>
        <c:crossAx val="342434560"/>
        <c:crosses val="autoZero"/>
        <c:crossBetween val="between"/>
      </c:valAx>
      <c:spPr>
        <a:noFill/>
        <a:ln w="25400">
          <a:noFill/>
        </a:ln>
      </c:spPr>
    </c:plotArea>
    <c:legend>
      <c:legendPos val="b"/>
      <c:overlay val="0"/>
      <c:spPr>
        <a:noFill/>
        <a:ln w="25400">
          <a:noFill/>
        </a:ln>
      </c:spPr>
    </c:legend>
    <c:plotVisOnly val="1"/>
    <c:dispBlanksAs val="gap"/>
    <c:showDLblsOverMax val="0"/>
  </c:chart>
  <c:spPr>
    <a:noFill/>
    <a:ln w="25400">
      <a:noFill/>
    </a:ln>
    <a:effectLst/>
  </c:spPr>
  <c:txPr>
    <a:bodyPr/>
    <a:lstStyle/>
    <a:p>
      <a:pPr>
        <a:defRPr sz="1000" b="0" i="0" u="none" strike="noStrike" baseline="0">
          <a:solidFill>
            <a:srgbClr val="595959"/>
          </a:solidFill>
          <a:latin typeface="Arial Narrow"/>
          <a:ea typeface="Arial Narrow"/>
          <a:cs typeface="Arial Narrow"/>
        </a:defRPr>
      </a:pPr>
      <a:endParaRPr lang="en-US"/>
    </a:p>
  </c:txPr>
  <c:printSettings>
    <c:headerFooter alignWithMargins="0"/>
    <c:pageMargins b="1" l="0.75000000000000111" r="0.75000000000000111" t="1" header="0.5" footer="0.5"/>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0839220264385214"/>
          <c:y val="7.1428679743121323E-2"/>
          <c:w val="0.47064452516997263"/>
          <c:h val="0.74355201508605939"/>
        </c:manualLayout>
      </c:layout>
      <c:radarChart>
        <c:radarStyle val="marker"/>
        <c:varyColors val="0"/>
        <c:ser>
          <c:idx val="0"/>
          <c:order val="0"/>
          <c:tx>
            <c:strRef>
              <c:f>VODA!$W$24</c:f>
              <c:strCache>
                <c:ptCount val="1"/>
                <c:pt idx="0">
                  <c:v>Vodacom</c:v>
                </c:pt>
              </c:strCache>
            </c:strRef>
          </c:tx>
          <c:spPr>
            <a:ln w="25400">
              <a:solidFill>
                <a:srgbClr val="263238"/>
              </a:solidFill>
              <a:prstDash val="solid"/>
            </a:ln>
            <a:effectLst/>
          </c:spPr>
          <c:marker>
            <c:symbol val="diamond"/>
            <c:size val="6"/>
            <c:spPr>
              <a:solidFill>
                <a:srgbClr val="263238"/>
              </a:solidFill>
              <a:ln w="6350">
                <a:noFill/>
              </a:ln>
            </c:spPr>
          </c:marker>
          <c:cat>
            <c:strRef>
              <c:f>VODA!$V$25:$V$34</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VODA!$W$25:$W$34</c:f>
              <c:numCache>
                <c:formatCode>0%</c:formatCode>
                <c:ptCount val="10"/>
                <c:pt idx="0">
                  <c:v>0.42586318933301254</c:v>
                </c:pt>
                <c:pt idx="1">
                  <c:v>0.46713582363074763</c:v>
                </c:pt>
                <c:pt idx="2">
                  <c:v>0.37686004913487109</c:v>
                </c:pt>
                <c:pt idx="3">
                  <c:v>0.35244340697025872</c:v>
                </c:pt>
                <c:pt idx="4">
                  <c:v>0.50384295354502517</c:v>
                </c:pt>
                <c:pt idx="5">
                  <c:v>0.61685641149169934</c:v>
                </c:pt>
                <c:pt idx="6">
                  <c:v>0.43100187578639015</c:v>
                </c:pt>
                <c:pt idx="7">
                  <c:v>0.37375828118851051</c:v>
                </c:pt>
                <c:pt idx="8">
                  <c:v>3.6526967893685569</c:v>
                </c:pt>
                <c:pt idx="9">
                  <c:v>2.3201755170448779</c:v>
                </c:pt>
              </c:numCache>
            </c:numRef>
          </c:val>
          <c:extLst>
            <c:ext xmlns:c16="http://schemas.microsoft.com/office/drawing/2014/chart" uri="{C3380CC4-5D6E-409C-BE32-E72D297353CC}">
              <c16:uniqueId val="{00000000-B7B6-40E0-9B57-EF1AB78A5326}"/>
            </c:ext>
          </c:extLst>
        </c:ser>
        <c:ser>
          <c:idx val="1"/>
          <c:order val="1"/>
          <c:tx>
            <c:strRef>
              <c:f>VODA!$X$24</c:f>
              <c:strCache>
                <c:ptCount val="1"/>
                <c:pt idx="0">
                  <c:v>Agg. EMEA Cellular</c:v>
                </c:pt>
              </c:strCache>
            </c:strRef>
          </c:tx>
          <c:spPr>
            <a:ln w="25400">
              <a:solidFill>
                <a:srgbClr val="799098"/>
              </a:solidFill>
              <a:prstDash val="solid"/>
            </a:ln>
            <a:effectLst/>
          </c:spPr>
          <c:marker>
            <c:symbol val="diamond"/>
            <c:size val="6"/>
            <c:spPr>
              <a:solidFill>
                <a:srgbClr val="799098"/>
              </a:solidFill>
              <a:ln w="6350">
                <a:noFill/>
              </a:ln>
            </c:spPr>
          </c:marker>
          <c:cat>
            <c:strRef>
              <c:f>VODA!$V$25:$V$34</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VODA!$X$25:$X$34</c:f>
              <c:numCache>
                <c:formatCode>0%</c:formatCode>
                <c:ptCount val="10"/>
                <c:pt idx="0">
                  <c:v>1</c:v>
                </c:pt>
                <c:pt idx="1">
                  <c:v>1</c:v>
                </c:pt>
                <c:pt idx="2">
                  <c:v>1</c:v>
                </c:pt>
                <c:pt idx="3">
                  <c:v>1</c:v>
                </c:pt>
                <c:pt idx="4">
                  <c:v>1</c:v>
                </c:pt>
                <c:pt idx="5">
                  <c:v>1</c:v>
                </c:pt>
                <c:pt idx="6">
                  <c:v>1</c:v>
                </c:pt>
                <c:pt idx="7">
                  <c:v>1</c:v>
                </c:pt>
                <c:pt idx="8">
                  <c:v>1</c:v>
                </c:pt>
                <c:pt idx="9">
                  <c:v>1</c:v>
                </c:pt>
              </c:numCache>
            </c:numRef>
          </c:val>
          <c:extLst>
            <c:ext xmlns:c16="http://schemas.microsoft.com/office/drawing/2014/chart" uri="{C3380CC4-5D6E-409C-BE32-E72D297353CC}">
              <c16:uniqueId val="{00000001-B7B6-40E0-9B57-EF1AB78A5326}"/>
            </c:ext>
          </c:extLst>
        </c:ser>
        <c:dLbls>
          <c:showLegendKey val="0"/>
          <c:showVal val="0"/>
          <c:showCatName val="0"/>
          <c:showSerName val="0"/>
          <c:showPercent val="0"/>
          <c:showBubbleSize val="0"/>
        </c:dLbls>
        <c:axId val="342496000"/>
        <c:axId val="342497920"/>
      </c:radarChart>
      <c:catAx>
        <c:axId val="342496000"/>
        <c:scaling>
          <c:orientation val="minMax"/>
        </c:scaling>
        <c:delete val="0"/>
        <c:axPos val="b"/>
        <c:numFmt formatCode="General" sourceLinked="1"/>
        <c:majorTickMark val="out"/>
        <c:minorTickMark val="none"/>
        <c:tickLblPos val="nextTo"/>
        <c:spPr>
          <a:ln>
            <a:solidFill>
              <a:srgbClr val="B3B3B3"/>
            </a:solidFill>
          </a:ln>
        </c:spPr>
        <c:txPr>
          <a:bodyPr rot="0" vert="horz"/>
          <a:lstStyle/>
          <a:p>
            <a:pPr>
              <a:defRPr/>
            </a:pPr>
            <a:endParaRPr lang="en-US"/>
          </a:p>
        </c:txPr>
        <c:crossAx val="342497920"/>
        <c:crosses val="autoZero"/>
        <c:auto val="0"/>
        <c:lblAlgn val="ctr"/>
        <c:lblOffset val="100"/>
        <c:noMultiLvlLbl val="0"/>
      </c:catAx>
      <c:valAx>
        <c:axId val="342497920"/>
        <c:scaling>
          <c:orientation val="minMax"/>
        </c:scaling>
        <c:delete val="0"/>
        <c:axPos val="l"/>
        <c:numFmt formatCode="0%" sourceLinked="1"/>
        <c:majorTickMark val="cross"/>
        <c:minorTickMark val="none"/>
        <c:tickLblPos val="nextTo"/>
        <c:spPr>
          <a:ln w="3175">
            <a:solidFill>
              <a:srgbClr val="B3B3B3"/>
            </a:solidFill>
            <a:prstDash val="solid"/>
          </a:ln>
        </c:spPr>
        <c:txPr>
          <a:bodyPr rot="0" vert="horz"/>
          <a:lstStyle/>
          <a:p>
            <a:pPr>
              <a:defRPr/>
            </a:pPr>
            <a:endParaRPr lang="en-US"/>
          </a:p>
        </c:txPr>
        <c:crossAx val="342496000"/>
        <c:crosses val="autoZero"/>
        <c:crossBetween val="between"/>
      </c:valAx>
      <c:spPr>
        <a:noFill/>
        <a:ln w="25400">
          <a:noFill/>
        </a:ln>
      </c:spPr>
    </c:plotArea>
    <c:legend>
      <c:legendPos val="b"/>
      <c:overlay val="0"/>
      <c:spPr>
        <a:noFill/>
        <a:ln w="25400">
          <a:noFill/>
        </a:ln>
      </c:spPr>
    </c:legend>
    <c:plotVisOnly val="1"/>
    <c:dispBlanksAs val="gap"/>
    <c:showDLblsOverMax val="0"/>
  </c:chart>
  <c:spPr>
    <a:noFill/>
    <a:ln w="25400">
      <a:noFill/>
    </a:ln>
    <a:effectLst/>
  </c:spPr>
  <c:txPr>
    <a:bodyPr/>
    <a:lstStyle/>
    <a:p>
      <a:pPr>
        <a:defRPr sz="1000" b="0" i="0" u="none" strike="noStrike" baseline="0">
          <a:solidFill>
            <a:srgbClr val="595959"/>
          </a:solidFill>
          <a:latin typeface="Arial Narrow"/>
          <a:ea typeface="Arial Narrow"/>
          <a:cs typeface="Arial Narrow"/>
        </a:defRPr>
      </a:pPr>
      <a:endParaRPr lang="en-US"/>
    </a:p>
  </c:txPr>
  <c:printSettings>
    <c:headerFooter alignWithMargins="0"/>
    <c:pageMargins b="1" l="0.75000000000000111" r="0.75000000000000111" t="1" header="0.5" footer="0.5"/>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2229347812445752"/>
          <c:y val="9.0062248371761564E-2"/>
          <c:w val="0.45794922114715597"/>
          <c:h val="0.69121657957892857"/>
        </c:manualLayout>
      </c:layout>
      <c:radarChart>
        <c:radarStyle val="marker"/>
        <c:varyColors val="0"/>
        <c:ser>
          <c:idx val="0"/>
          <c:order val="0"/>
          <c:tx>
            <c:strRef>
              <c:f>VOD!$W$24</c:f>
              <c:strCache>
                <c:ptCount val="1"/>
                <c:pt idx="0">
                  <c:v>Vodafone</c:v>
                </c:pt>
              </c:strCache>
            </c:strRef>
          </c:tx>
          <c:spPr>
            <a:ln w="25400">
              <a:solidFill>
                <a:srgbClr val="263238"/>
              </a:solidFill>
              <a:prstDash val="solid"/>
            </a:ln>
            <a:effectLst/>
          </c:spPr>
          <c:marker>
            <c:symbol val="diamond"/>
            <c:size val="6"/>
            <c:spPr>
              <a:solidFill>
                <a:srgbClr val="263238"/>
              </a:solidFill>
              <a:ln w="6350">
                <a:noFill/>
              </a:ln>
            </c:spPr>
          </c:marker>
          <c:cat>
            <c:strRef>
              <c:f>VOD!$V$25:$V$34</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VOD!$W$25:$W$34</c:f>
              <c:numCache>
                <c:formatCode>0%</c:formatCode>
                <c:ptCount val="10"/>
                <c:pt idx="0">
                  <c:v>0.89129804991068085</c:v>
                </c:pt>
                <c:pt idx="1">
                  <c:v>0.84900361682511349</c:v>
                </c:pt>
                <c:pt idx="2">
                  <c:v>0.8496239703999906</c:v>
                </c:pt>
                <c:pt idx="3">
                  <c:v>0.86906296261802496</c:v>
                </c:pt>
                <c:pt idx="4">
                  <c:v>0.81353082791798759</c:v>
                </c:pt>
                <c:pt idx="5">
                  <c:v>0.87103279953941748</c:v>
                </c:pt>
                <c:pt idx="6">
                  <c:v>0.88411156208809061</c:v>
                </c:pt>
                <c:pt idx="7">
                  <c:v>0.54754172814837265</c:v>
                </c:pt>
                <c:pt idx="8">
                  <c:v>1.5047255857338493</c:v>
                </c:pt>
                <c:pt idx="9">
                  <c:v>1.1310789756421742</c:v>
                </c:pt>
              </c:numCache>
            </c:numRef>
          </c:val>
          <c:extLst>
            <c:ext xmlns:c16="http://schemas.microsoft.com/office/drawing/2014/chart" uri="{C3380CC4-5D6E-409C-BE32-E72D297353CC}">
              <c16:uniqueId val="{00000000-33C5-4F4C-8A70-4C359B5CCD8A}"/>
            </c:ext>
          </c:extLst>
        </c:ser>
        <c:ser>
          <c:idx val="1"/>
          <c:order val="1"/>
          <c:tx>
            <c:strRef>
              <c:f>VOD!$X$24</c:f>
              <c:strCache>
                <c:ptCount val="1"/>
                <c:pt idx="0">
                  <c:v>Agg. W. Eur. Cellular</c:v>
                </c:pt>
              </c:strCache>
            </c:strRef>
          </c:tx>
          <c:spPr>
            <a:ln w="25400">
              <a:solidFill>
                <a:srgbClr val="799098"/>
              </a:solidFill>
              <a:prstDash val="solid"/>
            </a:ln>
            <a:effectLst/>
          </c:spPr>
          <c:marker>
            <c:symbol val="diamond"/>
            <c:size val="6"/>
            <c:spPr>
              <a:solidFill>
                <a:srgbClr val="799098"/>
              </a:solidFill>
              <a:ln w="6350">
                <a:noFill/>
              </a:ln>
            </c:spPr>
          </c:marker>
          <c:cat>
            <c:strRef>
              <c:f>VOD!$V$25:$V$34</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VOD!$X$25:$X$34</c:f>
              <c:numCache>
                <c:formatCode>0%</c:formatCode>
                <c:ptCount val="10"/>
                <c:pt idx="0">
                  <c:v>1</c:v>
                </c:pt>
                <c:pt idx="1">
                  <c:v>1</c:v>
                </c:pt>
                <c:pt idx="2">
                  <c:v>1</c:v>
                </c:pt>
                <c:pt idx="3">
                  <c:v>1</c:v>
                </c:pt>
                <c:pt idx="4">
                  <c:v>1</c:v>
                </c:pt>
                <c:pt idx="5">
                  <c:v>1</c:v>
                </c:pt>
                <c:pt idx="6">
                  <c:v>1</c:v>
                </c:pt>
                <c:pt idx="7">
                  <c:v>1</c:v>
                </c:pt>
                <c:pt idx="8">
                  <c:v>1</c:v>
                </c:pt>
                <c:pt idx="9">
                  <c:v>1</c:v>
                </c:pt>
              </c:numCache>
            </c:numRef>
          </c:val>
          <c:extLst>
            <c:ext xmlns:c16="http://schemas.microsoft.com/office/drawing/2014/chart" uri="{C3380CC4-5D6E-409C-BE32-E72D297353CC}">
              <c16:uniqueId val="{00000001-33C5-4F4C-8A70-4C359B5CCD8A}"/>
            </c:ext>
          </c:extLst>
        </c:ser>
        <c:dLbls>
          <c:showLegendKey val="0"/>
          <c:showVal val="0"/>
          <c:showCatName val="0"/>
          <c:showSerName val="0"/>
          <c:showPercent val="0"/>
          <c:showBubbleSize val="0"/>
        </c:dLbls>
        <c:axId val="342618880"/>
        <c:axId val="342620800"/>
      </c:radarChart>
      <c:catAx>
        <c:axId val="342618880"/>
        <c:scaling>
          <c:orientation val="minMax"/>
        </c:scaling>
        <c:delete val="0"/>
        <c:axPos val="b"/>
        <c:numFmt formatCode="General" sourceLinked="1"/>
        <c:majorTickMark val="out"/>
        <c:minorTickMark val="none"/>
        <c:tickLblPos val="nextTo"/>
        <c:spPr>
          <a:ln>
            <a:solidFill>
              <a:srgbClr val="B3B3B3"/>
            </a:solidFill>
          </a:ln>
        </c:spPr>
        <c:txPr>
          <a:bodyPr rot="0" vert="horz"/>
          <a:lstStyle/>
          <a:p>
            <a:pPr>
              <a:defRPr/>
            </a:pPr>
            <a:endParaRPr lang="en-US"/>
          </a:p>
        </c:txPr>
        <c:crossAx val="342620800"/>
        <c:crosses val="autoZero"/>
        <c:auto val="0"/>
        <c:lblAlgn val="ctr"/>
        <c:lblOffset val="100"/>
        <c:noMultiLvlLbl val="0"/>
      </c:catAx>
      <c:valAx>
        <c:axId val="342620800"/>
        <c:scaling>
          <c:orientation val="minMax"/>
        </c:scaling>
        <c:delete val="0"/>
        <c:axPos val="l"/>
        <c:numFmt formatCode="0%" sourceLinked="1"/>
        <c:majorTickMark val="cross"/>
        <c:minorTickMark val="none"/>
        <c:tickLblPos val="nextTo"/>
        <c:spPr>
          <a:ln w="3175">
            <a:solidFill>
              <a:srgbClr val="B3B3B3"/>
            </a:solidFill>
            <a:prstDash val="solid"/>
          </a:ln>
        </c:spPr>
        <c:txPr>
          <a:bodyPr rot="0" vert="horz"/>
          <a:lstStyle/>
          <a:p>
            <a:pPr>
              <a:defRPr/>
            </a:pPr>
            <a:endParaRPr lang="en-US"/>
          </a:p>
        </c:txPr>
        <c:crossAx val="342618880"/>
        <c:crosses val="autoZero"/>
        <c:crossBetween val="between"/>
      </c:valAx>
      <c:spPr>
        <a:noFill/>
        <a:ln w="25400">
          <a:noFill/>
        </a:ln>
      </c:spPr>
    </c:plotArea>
    <c:legend>
      <c:legendPos val="b"/>
      <c:overlay val="0"/>
      <c:spPr>
        <a:noFill/>
        <a:ln w="25400">
          <a:noFill/>
        </a:ln>
      </c:spPr>
    </c:legend>
    <c:plotVisOnly val="1"/>
    <c:dispBlanksAs val="gap"/>
    <c:showDLblsOverMax val="0"/>
  </c:chart>
  <c:spPr>
    <a:noFill/>
    <a:ln w="25400">
      <a:noFill/>
    </a:ln>
    <a:effectLst/>
  </c:spPr>
  <c:txPr>
    <a:bodyPr/>
    <a:lstStyle/>
    <a:p>
      <a:pPr>
        <a:defRPr sz="1000" b="0" i="0" u="none" strike="noStrike" baseline="0">
          <a:solidFill>
            <a:srgbClr val="595959"/>
          </a:solidFill>
          <a:latin typeface="Arial Narrow"/>
          <a:ea typeface="Arial Narrow"/>
          <a:cs typeface="Arial Narrow"/>
        </a:defRPr>
      </a:pPr>
      <a:endParaRPr lang="en-US"/>
    </a:p>
  </c:txPr>
  <c:printSettings>
    <c:headerFooter alignWithMargins="0"/>
    <c:pageMargins b="1" l="0.75000000000000111" r="0.75000000000000111" t="1" header="0.5" footer="0.5"/>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3790311485522823"/>
          <c:y val="9.8461686390754782E-2"/>
          <c:w val="0.42979270718661738"/>
          <c:h val="0.67188939726770658"/>
        </c:manualLayout>
      </c:layout>
      <c:radarChart>
        <c:radarStyle val="marker"/>
        <c:varyColors val="0"/>
        <c:ser>
          <c:idx val="0"/>
          <c:order val="0"/>
          <c:tx>
            <c:strRef>
              <c:f>VZN!$W$24</c:f>
              <c:strCache>
                <c:ptCount val="1"/>
                <c:pt idx="0">
                  <c:v>Verizon</c:v>
                </c:pt>
              </c:strCache>
            </c:strRef>
          </c:tx>
          <c:spPr>
            <a:ln w="25400">
              <a:solidFill>
                <a:srgbClr val="263238"/>
              </a:solidFill>
              <a:prstDash val="solid"/>
            </a:ln>
            <a:effectLst/>
          </c:spPr>
          <c:marker>
            <c:symbol val="diamond"/>
            <c:size val="6"/>
            <c:spPr>
              <a:solidFill>
                <a:srgbClr val="263238"/>
              </a:solidFill>
              <a:ln w="6350">
                <a:noFill/>
              </a:ln>
            </c:spPr>
          </c:marker>
          <c:cat>
            <c:strRef>
              <c:f>VZN!$V$25:$V$34</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VZN!$W$25:$W$34</c:f>
              <c:numCache>
                <c:formatCode>0%</c:formatCode>
                <c:ptCount val="10"/>
                <c:pt idx="0">
                  <c:v>0.92778616088604648</c:v>
                </c:pt>
                <c:pt idx="1">
                  <c:v>0.9339872398879735</c:v>
                </c:pt>
                <c:pt idx="2">
                  <c:v>0.87097089226757385</c:v>
                </c:pt>
                <c:pt idx="3">
                  <c:v>0.93253699631370712</c:v>
                </c:pt>
                <c:pt idx="4">
                  <c:v>0.87827819768466042</c:v>
                </c:pt>
                <c:pt idx="5">
                  <c:v>1.053068461950377</c:v>
                </c:pt>
                <c:pt idx="6">
                  <c:v>0.88330561593012191</c:v>
                </c:pt>
                <c:pt idx="7">
                  <c:v>0.86268668881383181</c:v>
                </c:pt>
                <c:pt idx="8">
                  <c:v>1.4813878959782953</c:v>
                </c:pt>
                <c:pt idx="9">
                  <c:v>1.1321109952946453</c:v>
                </c:pt>
              </c:numCache>
            </c:numRef>
          </c:val>
          <c:extLst>
            <c:ext xmlns:c16="http://schemas.microsoft.com/office/drawing/2014/chart" uri="{C3380CC4-5D6E-409C-BE32-E72D297353CC}">
              <c16:uniqueId val="{00000000-9F14-4923-8B3F-D163AE1732CC}"/>
            </c:ext>
          </c:extLst>
        </c:ser>
        <c:ser>
          <c:idx val="1"/>
          <c:order val="1"/>
          <c:tx>
            <c:strRef>
              <c:f>VZN!$X$24</c:f>
              <c:strCache>
                <c:ptCount val="1"/>
                <c:pt idx="0">
                  <c:v>Agg. US Telecoms</c:v>
                </c:pt>
              </c:strCache>
            </c:strRef>
          </c:tx>
          <c:spPr>
            <a:ln w="25400">
              <a:solidFill>
                <a:srgbClr val="799098"/>
              </a:solidFill>
              <a:prstDash val="solid"/>
            </a:ln>
            <a:effectLst/>
          </c:spPr>
          <c:marker>
            <c:symbol val="diamond"/>
            <c:size val="6"/>
            <c:spPr>
              <a:solidFill>
                <a:srgbClr val="799098"/>
              </a:solidFill>
              <a:ln w="6350">
                <a:noFill/>
              </a:ln>
            </c:spPr>
          </c:marker>
          <c:cat>
            <c:strRef>
              <c:f>VZN!$V$25:$V$34</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VZN!$X$25:$X$34</c:f>
              <c:numCache>
                <c:formatCode>0%</c:formatCode>
                <c:ptCount val="10"/>
                <c:pt idx="0">
                  <c:v>1</c:v>
                </c:pt>
                <c:pt idx="1">
                  <c:v>1</c:v>
                </c:pt>
                <c:pt idx="2">
                  <c:v>1</c:v>
                </c:pt>
                <c:pt idx="3">
                  <c:v>1</c:v>
                </c:pt>
                <c:pt idx="4">
                  <c:v>1</c:v>
                </c:pt>
                <c:pt idx="5">
                  <c:v>1</c:v>
                </c:pt>
                <c:pt idx="6">
                  <c:v>1</c:v>
                </c:pt>
                <c:pt idx="7">
                  <c:v>1</c:v>
                </c:pt>
                <c:pt idx="8">
                  <c:v>1</c:v>
                </c:pt>
                <c:pt idx="9">
                  <c:v>1</c:v>
                </c:pt>
              </c:numCache>
            </c:numRef>
          </c:val>
          <c:extLst>
            <c:ext xmlns:c16="http://schemas.microsoft.com/office/drawing/2014/chart" uri="{C3380CC4-5D6E-409C-BE32-E72D297353CC}">
              <c16:uniqueId val="{00000001-9F14-4923-8B3F-D163AE1732CC}"/>
            </c:ext>
          </c:extLst>
        </c:ser>
        <c:dLbls>
          <c:showLegendKey val="0"/>
          <c:showVal val="0"/>
          <c:showCatName val="0"/>
          <c:showSerName val="0"/>
          <c:showPercent val="0"/>
          <c:showBubbleSize val="0"/>
        </c:dLbls>
        <c:axId val="342741760"/>
        <c:axId val="342743680"/>
      </c:radarChart>
      <c:catAx>
        <c:axId val="342741760"/>
        <c:scaling>
          <c:orientation val="minMax"/>
        </c:scaling>
        <c:delete val="0"/>
        <c:axPos val="b"/>
        <c:numFmt formatCode="General" sourceLinked="1"/>
        <c:majorTickMark val="out"/>
        <c:minorTickMark val="none"/>
        <c:tickLblPos val="nextTo"/>
        <c:spPr>
          <a:ln>
            <a:solidFill>
              <a:srgbClr val="B3B3B3"/>
            </a:solidFill>
          </a:ln>
        </c:spPr>
        <c:txPr>
          <a:bodyPr rot="0" vert="horz"/>
          <a:lstStyle/>
          <a:p>
            <a:pPr>
              <a:defRPr/>
            </a:pPr>
            <a:endParaRPr lang="en-US"/>
          </a:p>
        </c:txPr>
        <c:crossAx val="342743680"/>
        <c:crosses val="autoZero"/>
        <c:auto val="0"/>
        <c:lblAlgn val="ctr"/>
        <c:lblOffset val="100"/>
        <c:noMultiLvlLbl val="0"/>
      </c:catAx>
      <c:valAx>
        <c:axId val="342743680"/>
        <c:scaling>
          <c:orientation val="minMax"/>
        </c:scaling>
        <c:delete val="0"/>
        <c:axPos val="l"/>
        <c:numFmt formatCode="0%" sourceLinked="1"/>
        <c:majorTickMark val="cross"/>
        <c:minorTickMark val="none"/>
        <c:tickLblPos val="nextTo"/>
        <c:spPr>
          <a:ln w="3175">
            <a:solidFill>
              <a:srgbClr val="B3B3B3"/>
            </a:solidFill>
            <a:prstDash val="solid"/>
          </a:ln>
        </c:spPr>
        <c:txPr>
          <a:bodyPr rot="0" vert="horz"/>
          <a:lstStyle/>
          <a:p>
            <a:pPr>
              <a:defRPr/>
            </a:pPr>
            <a:endParaRPr lang="en-US"/>
          </a:p>
        </c:txPr>
        <c:crossAx val="342741760"/>
        <c:crosses val="autoZero"/>
        <c:crossBetween val="between"/>
      </c:valAx>
      <c:spPr>
        <a:noFill/>
        <a:ln w="25400">
          <a:noFill/>
        </a:ln>
      </c:spPr>
    </c:plotArea>
    <c:legend>
      <c:legendPos val="b"/>
      <c:overlay val="0"/>
      <c:spPr>
        <a:noFill/>
        <a:ln w="25400">
          <a:noFill/>
        </a:ln>
      </c:spPr>
    </c:legend>
    <c:plotVisOnly val="1"/>
    <c:dispBlanksAs val="gap"/>
    <c:showDLblsOverMax val="0"/>
  </c:chart>
  <c:spPr>
    <a:noFill/>
    <a:ln w="25400">
      <a:noFill/>
    </a:ln>
    <a:effectLst/>
  </c:spPr>
  <c:txPr>
    <a:bodyPr/>
    <a:lstStyle/>
    <a:p>
      <a:pPr>
        <a:defRPr sz="1000" b="0" i="0" u="none" strike="noStrike" baseline="0">
          <a:solidFill>
            <a:srgbClr val="595959"/>
          </a:solidFill>
          <a:latin typeface="Arial Narrow"/>
          <a:ea typeface="Arial Narrow"/>
          <a:cs typeface="Arial Narrow"/>
        </a:defRPr>
      </a:pPr>
      <a:endParaRPr lang="en-US"/>
    </a:p>
  </c:txPr>
  <c:printSettings>
    <c:headerFooter alignWithMargins="0"/>
    <c:pageMargins b="1" l="0.75000000000000111" r="0.75000000000000111" t="1" header="0.5" footer="0.5"/>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4453878075634831"/>
          <c:y val="0.11598763835294353"/>
          <c:w val="0.43248394106318538"/>
          <c:h val="0.67688225427332571"/>
        </c:manualLayout>
      </c:layout>
      <c:radarChart>
        <c:radarStyle val="marker"/>
        <c:varyColors val="0"/>
        <c:ser>
          <c:idx val="0"/>
          <c:order val="0"/>
          <c:tx>
            <c:strRef>
              <c:f>XLAX!$W$24</c:f>
              <c:strCache>
                <c:ptCount val="1"/>
                <c:pt idx="0">
                  <c:v>XL Axiata</c:v>
                </c:pt>
              </c:strCache>
            </c:strRef>
          </c:tx>
          <c:spPr>
            <a:ln w="25400">
              <a:solidFill>
                <a:srgbClr val="263238"/>
              </a:solidFill>
              <a:prstDash val="solid"/>
            </a:ln>
            <a:effectLst/>
          </c:spPr>
          <c:marker>
            <c:symbol val="diamond"/>
            <c:size val="6"/>
            <c:spPr>
              <a:solidFill>
                <a:srgbClr val="263238"/>
              </a:solidFill>
              <a:ln w="6350">
                <a:noFill/>
              </a:ln>
            </c:spPr>
          </c:marker>
          <c:cat>
            <c:strRef>
              <c:f>XLAX!$V$25:$V$34</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XLAX!$W$25:$W$34</c:f>
              <c:numCache>
                <c:formatCode>0%</c:formatCode>
                <c:ptCount val="10"/>
                <c:pt idx="0">
                  <c:v>1.1491306176443794</c:v>
                </c:pt>
                <c:pt idx="1">
                  <c:v>0.76616993791234322</c:v>
                </c:pt>
                <c:pt idx="2">
                  <c:v>0.72343495552576298</c:v>
                </c:pt>
                <c:pt idx="3">
                  <c:v>0.74114309017504076</c:v>
                </c:pt>
                <c:pt idx="4">
                  <c:v>0.75861548525568179</c:v>
                </c:pt>
                <c:pt idx="5">
                  <c:v>0.41575509927280668</c:v>
                </c:pt>
                <c:pt idx="6">
                  <c:v>0.30726878955549242</c:v>
                </c:pt>
                <c:pt idx="7">
                  <c:v>1.231508645147817</c:v>
                </c:pt>
                <c:pt idx="8">
                  <c:v>0.47139270301434577</c:v>
                </c:pt>
                <c:pt idx="9">
                  <c:v>3.2544795761607967</c:v>
                </c:pt>
              </c:numCache>
            </c:numRef>
          </c:val>
          <c:extLst>
            <c:ext xmlns:c16="http://schemas.microsoft.com/office/drawing/2014/chart" uri="{C3380CC4-5D6E-409C-BE32-E72D297353CC}">
              <c16:uniqueId val="{00000000-841A-408E-9FE6-403648DB6E28}"/>
            </c:ext>
          </c:extLst>
        </c:ser>
        <c:ser>
          <c:idx val="1"/>
          <c:order val="1"/>
          <c:tx>
            <c:strRef>
              <c:f>XLAX!$X$24</c:f>
              <c:strCache>
                <c:ptCount val="1"/>
                <c:pt idx="0">
                  <c:v>Agg. Asia Cellular</c:v>
                </c:pt>
              </c:strCache>
            </c:strRef>
          </c:tx>
          <c:spPr>
            <a:ln w="25400">
              <a:solidFill>
                <a:srgbClr val="799098"/>
              </a:solidFill>
              <a:prstDash val="solid"/>
            </a:ln>
            <a:effectLst/>
          </c:spPr>
          <c:marker>
            <c:symbol val="diamond"/>
            <c:size val="6"/>
            <c:spPr>
              <a:solidFill>
                <a:srgbClr val="799098"/>
              </a:solidFill>
              <a:ln w="6350">
                <a:noFill/>
              </a:ln>
            </c:spPr>
          </c:marker>
          <c:cat>
            <c:strRef>
              <c:f>XLAX!$V$25:$V$34</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XLAX!$X$25:$X$34</c:f>
              <c:numCache>
                <c:formatCode>0%</c:formatCode>
                <c:ptCount val="10"/>
                <c:pt idx="0">
                  <c:v>1</c:v>
                </c:pt>
                <c:pt idx="1">
                  <c:v>1</c:v>
                </c:pt>
                <c:pt idx="2">
                  <c:v>1</c:v>
                </c:pt>
                <c:pt idx="3">
                  <c:v>1</c:v>
                </c:pt>
                <c:pt idx="4">
                  <c:v>1</c:v>
                </c:pt>
                <c:pt idx="5">
                  <c:v>1</c:v>
                </c:pt>
                <c:pt idx="6">
                  <c:v>1</c:v>
                </c:pt>
                <c:pt idx="7">
                  <c:v>1</c:v>
                </c:pt>
                <c:pt idx="8">
                  <c:v>1</c:v>
                </c:pt>
                <c:pt idx="9">
                  <c:v>1</c:v>
                </c:pt>
              </c:numCache>
            </c:numRef>
          </c:val>
          <c:extLst>
            <c:ext xmlns:c16="http://schemas.microsoft.com/office/drawing/2014/chart" uri="{C3380CC4-5D6E-409C-BE32-E72D297353CC}">
              <c16:uniqueId val="{00000001-841A-408E-9FE6-403648DB6E28}"/>
            </c:ext>
          </c:extLst>
        </c:ser>
        <c:dLbls>
          <c:showLegendKey val="0"/>
          <c:showVal val="0"/>
          <c:showCatName val="0"/>
          <c:showSerName val="0"/>
          <c:showPercent val="0"/>
          <c:showBubbleSize val="0"/>
        </c:dLbls>
        <c:axId val="347976448"/>
        <c:axId val="347978368"/>
      </c:radarChart>
      <c:catAx>
        <c:axId val="347976448"/>
        <c:scaling>
          <c:orientation val="minMax"/>
        </c:scaling>
        <c:delete val="0"/>
        <c:axPos val="b"/>
        <c:numFmt formatCode="General" sourceLinked="1"/>
        <c:majorTickMark val="out"/>
        <c:minorTickMark val="none"/>
        <c:tickLblPos val="nextTo"/>
        <c:spPr>
          <a:ln>
            <a:solidFill>
              <a:srgbClr val="B3B3B3"/>
            </a:solidFill>
          </a:ln>
        </c:spPr>
        <c:txPr>
          <a:bodyPr rot="0" vert="horz"/>
          <a:lstStyle/>
          <a:p>
            <a:pPr>
              <a:defRPr/>
            </a:pPr>
            <a:endParaRPr lang="en-US"/>
          </a:p>
        </c:txPr>
        <c:crossAx val="347978368"/>
        <c:crosses val="autoZero"/>
        <c:auto val="0"/>
        <c:lblAlgn val="ctr"/>
        <c:lblOffset val="100"/>
        <c:noMultiLvlLbl val="0"/>
      </c:catAx>
      <c:valAx>
        <c:axId val="347978368"/>
        <c:scaling>
          <c:orientation val="minMax"/>
        </c:scaling>
        <c:delete val="0"/>
        <c:axPos val="l"/>
        <c:numFmt formatCode="0%" sourceLinked="1"/>
        <c:majorTickMark val="cross"/>
        <c:minorTickMark val="none"/>
        <c:tickLblPos val="nextTo"/>
        <c:spPr>
          <a:ln w="3175">
            <a:solidFill>
              <a:srgbClr val="B3B3B3"/>
            </a:solidFill>
            <a:prstDash val="solid"/>
          </a:ln>
        </c:spPr>
        <c:txPr>
          <a:bodyPr rot="0" vert="horz"/>
          <a:lstStyle/>
          <a:p>
            <a:pPr>
              <a:defRPr/>
            </a:pPr>
            <a:endParaRPr lang="en-US"/>
          </a:p>
        </c:txPr>
        <c:crossAx val="347976448"/>
        <c:crosses val="autoZero"/>
        <c:crossBetween val="between"/>
      </c:valAx>
      <c:spPr>
        <a:noFill/>
        <a:ln w="25400">
          <a:noFill/>
        </a:ln>
      </c:spPr>
    </c:plotArea>
    <c:legend>
      <c:legendPos val="b"/>
      <c:overlay val="0"/>
      <c:spPr>
        <a:noFill/>
        <a:ln w="25400">
          <a:noFill/>
        </a:ln>
      </c:spPr>
    </c:legend>
    <c:plotVisOnly val="1"/>
    <c:dispBlanksAs val="gap"/>
    <c:showDLblsOverMax val="0"/>
  </c:chart>
  <c:spPr>
    <a:noFill/>
    <a:ln w="25400">
      <a:noFill/>
    </a:ln>
    <a:effectLst/>
  </c:spPr>
  <c:txPr>
    <a:bodyPr/>
    <a:lstStyle/>
    <a:p>
      <a:pPr>
        <a:defRPr sz="1000" b="0" i="0" u="none" strike="noStrike" baseline="0">
          <a:solidFill>
            <a:srgbClr val="595959"/>
          </a:solidFill>
          <a:latin typeface="Arial Narrow"/>
          <a:ea typeface="Arial Narrow"/>
          <a:cs typeface="Arial Narrow"/>
        </a:defRPr>
      </a:pPr>
      <a:endParaRPr lang="en-US"/>
    </a:p>
  </c:txPr>
  <c:printSettings>
    <c:headerFooter alignWithMargins="0"/>
    <c:pageMargins b="1" l="0.75000000000000111" r="0.75000000000000111" t="1" header="0.5" footer="0.5"/>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2177441187154648"/>
          <c:y val="5.9375000000000004E-2"/>
          <c:w val="0.57459733984900652"/>
          <c:h val="0.89062500000000111"/>
        </c:manualLayout>
      </c:layout>
      <c:radarChart>
        <c:radarStyle val="marker"/>
        <c:varyColors val="0"/>
        <c:ser>
          <c:idx val="0"/>
          <c:order val="0"/>
          <c:tx>
            <c:strRef>
              <c:f>'US TELCO'!$W$23</c:f>
              <c:strCache>
                <c:ptCount val="1"/>
                <c:pt idx="0">
                  <c:v>N.AM telecoms</c:v>
                </c:pt>
              </c:strCache>
            </c:strRef>
          </c:tx>
          <c:spPr>
            <a:ln w="25400">
              <a:solidFill>
                <a:srgbClr val="263238"/>
              </a:solidFill>
              <a:prstDash val="solid"/>
            </a:ln>
            <a:effectLst/>
          </c:spPr>
          <c:marker>
            <c:symbol val="diamond"/>
            <c:size val="6"/>
            <c:spPr>
              <a:solidFill>
                <a:srgbClr val="263238"/>
              </a:solidFill>
              <a:ln w="6350">
                <a:noFill/>
              </a:ln>
            </c:spPr>
          </c:marker>
          <c:cat>
            <c:strRef>
              <c:f>'US TELCO'!$V$24:$V$33</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 (08)</c:v>
                </c:pt>
              </c:strCache>
            </c:strRef>
          </c:cat>
          <c:val>
            <c:numRef>
              <c:f>'US TELCO'!$W$24:$W$33</c:f>
              <c:numCache>
                <c:formatCode>0%</c:formatCode>
                <c:ptCount val="10"/>
                <c:pt idx="0">
                  <c:v>1.0610645869236193</c:v>
                </c:pt>
                <c:pt idx="1">
                  <c:v>0.96635173696052801</c:v>
                </c:pt>
                <c:pt idx="2">
                  <c:v>0.8963292689652711</c:v>
                </c:pt>
                <c:pt idx="3">
                  <c:v>0.95223100361893553</c:v>
                </c:pt>
                <c:pt idx="4">
                  <c:v>1.1469975431645651</c:v>
                </c:pt>
                <c:pt idx="5">
                  <c:v>0.96893539188592226</c:v>
                </c:pt>
                <c:pt idx="6">
                  <c:v>1.2804816864349733</c:v>
                </c:pt>
                <c:pt idx="7">
                  <c:v>0.89996115209226513</c:v>
                </c:pt>
                <c:pt idx="8">
                  <c:v>0.99716266625537542</c:v>
                </c:pt>
                <c:pt idx="9">
                  <c:v>1.2950075061714685</c:v>
                </c:pt>
              </c:numCache>
            </c:numRef>
          </c:val>
          <c:extLst>
            <c:ext xmlns:c16="http://schemas.microsoft.com/office/drawing/2014/chart" uri="{C3380CC4-5D6E-409C-BE32-E72D297353CC}">
              <c16:uniqueId val="{00000000-CCD6-413A-BC00-E8D2CC2936FA}"/>
            </c:ext>
          </c:extLst>
        </c:ser>
        <c:ser>
          <c:idx val="1"/>
          <c:order val="1"/>
          <c:tx>
            <c:strRef>
              <c:f>'US TELCO'!$X$23</c:f>
              <c:strCache>
                <c:ptCount val="1"/>
                <c:pt idx="0">
                  <c:v>DM Aggregate</c:v>
                </c:pt>
              </c:strCache>
            </c:strRef>
          </c:tx>
          <c:spPr>
            <a:ln w="25400">
              <a:solidFill>
                <a:srgbClr val="799098"/>
              </a:solidFill>
              <a:prstDash val="solid"/>
            </a:ln>
            <a:effectLst/>
          </c:spPr>
          <c:marker>
            <c:symbol val="diamond"/>
            <c:size val="6"/>
            <c:spPr>
              <a:solidFill>
                <a:srgbClr val="799098"/>
              </a:solidFill>
              <a:ln w="6350">
                <a:noFill/>
              </a:ln>
            </c:spPr>
          </c:marker>
          <c:cat>
            <c:strRef>
              <c:f>'US TELCO'!$V$24:$V$33</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 (08)</c:v>
                </c:pt>
              </c:strCache>
            </c:strRef>
          </c:cat>
          <c:val>
            <c:numRef>
              <c:f>'US TELCO'!$X$24:$X$33</c:f>
              <c:numCache>
                <c:formatCode>0%</c:formatCode>
                <c:ptCount val="10"/>
                <c:pt idx="0">
                  <c:v>1</c:v>
                </c:pt>
                <c:pt idx="1">
                  <c:v>1</c:v>
                </c:pt>
                <c:pt idx="2">
                  <c:v>1</c:v>
                </c:pt>
                <c:pt idx="3">
                  <c:v>1</c:v>
                </c:pt>
                <c:pt idx="4">
                  <c:v>1</c:v>
                </c:pt>
                <c:pt idx="5">
                  <c:v>1</c:v>
                </c:pt>
                <c:pt idx="6">
                  <c:v>1</c:v>
                </c:pt>
                <c:pt idx="7">
                  <c:v>1</c:v>
                </c:pt>
                <c:pt idx="8">
                  <c:v>1</c:v>
                </c:pt>
                <c:pt idx="9">
                  <c:v>1</c:v>
                </c:pt>
              </c:numCache>
            </c:numRef>
          </c:val>
          <c:extLst>
            <c:ext xmlns:c16="http://schemas.microsoft.com/office/drawing/2014/chart" uri="{C3380CC4-5D6E-409C-BE32-E72D297353CC}">
              <c16:uniqueId val="{00000001-CCD6-413A-BC00-E8D2CC2936FA}"/>
            </c:ext>
          </c:extLst>
        </c:ser>
        <c:dLbls>
          <c:showLegendKey val="0"/>
          <c:showVal val="0"/>
          <c:showCatName val="0"/>
          <c:showSerName val="0"/>
          <c:showPercent val="0"/>
          <c:showBubbleSize val="0"/>
        </c:dLbls>
        <c:axId val="337388672"/>
        <c:axId val="337390592"/>
      </c:radarChart>
      <c:catAx>
        <c:axId val="337388672"/>
        <c:scaling>
          <c:orientation val="minMax"/>
        </c:scaling>
        <c:delete val="0"/>
        <c:axPos val="b"/>
        <c:numFmt formatCode="General" sourceLinked="1"/>
        <c:majorTickMark val="out"/>
        <c:minorTickMark val="none"/>
        <c:tickLblPos val="nextTo"/>
        <c:spPr>
          <a:ln>
            <a:solidFill>
              <a:srgbClr val="B3B3B3"/>
            </a:solidFill>
          </a:ln>
        </c:spPr>
        <c:txPr>
          <a:bodyPr rot="0" vert="horz"/>
          <a:lstStyle/>
          <a:p>
            <a:pPr>
              <a:defRPr/>
            </a:pPr>
            <a:endParaRPr lang="en-US"/>
          </a:p>
        </c:txPr>
        <c:crossAx val="337390592"/>
        <c:crosses val="autoZero"/>
        <c:auto val="0"/>
        <c:lblAlgn val="ctr"/>
        <c:lblOffset val="100"/>
        <c:noMultiLvlLbl val="0"/>
      </c:catAx>
      <c:valAx>
        <c:axId val="337390592"/>
        <c:scaling>
          <c:orientation val="minMax"/>
        </c:scaling>
        <c:delete val="0"/>
        <c:axPos val="l"/>
        <c:numFmt formatCode="0%" sourceLinked="1"/>
        <c:majorTickMark val="cross"/>
        <c:minorTickMark val="none"/>
        <c:tickLblPos val="nextTo"/>
        <c:spPr>
          <a:ln w="3175">
            <a:solidFill>
              <a:srgbClr val="B3B3B3"/>
            </a:solidFill>
            <a:prstDash val="solid"/>
          </a:ln>
        </c:spPr>
        <c:txPr>
          <a:bodyPr rot="0" vert="horz"/>
          <a:lstStyle/>
          <a:p>
            <a:pPr>
              <a:defRPr/>
            </a:pPr>
            <a:endParaRPr lang="en-US"/>
          </a:p>
        </c:txPr>
        <c:crossAx val="337388672"/>
        <c:crosses val="autoZero"/>
        <c:crossBetween val="between"/>
      </c:valAx>
      <c:spPr>
        <a:noFill/>
        <a:ln w="25400">
          <a:noFill/>
        </a:ln>
      </c:spPr>
    </c:plotArea>
    <c:legend>
      <c:legendPos val="b"/>
      <c:overlay val="0"/>
      <c:spPr>
        <a:noFill/>
        <a:ln w="25400">
          <a:noFill/>
        </a:ln>
      </c:spPr>
    </c:legend>
    <c:plotVisOnly val="1"/>
    <c:dispBlanksAs val="gap"/>
    <c:showDLblsOverMax val="0"/>
  </c:chart>
  <c:spPr>
    <a:noFill/>
    <a:ln w="25400">
      <a:noFill/>
    </a:ln>
    <a:effectLst/>
  </c:spPr>
  <c:txPr>
    <a:bodyPr/>
    <a:lstStyle/>
    <a:p>
      <a:pPr>
        <a:defRPr sz="1000" b="0" i="0" u="none" strike="noStrike" baseline="0">
          <a:solidFill>
            <a:srgbClr val="595959"/>
          </a:solidFill>
          <a:latin typeface="Arial Narrow"/>
          <a:ea typeface="Arial Narrow"/>
          <a:cs typeface="Arial Narrow"/>
        </a:defRPr>
      </a:pPr>
      <a:endParaRPr lang="en-US"/>
    </a:p>
  </c:txPr>
  <c:printSettings>
    <c:headerFooter alignWithMargins="0"/>
    <c:pageMargins b="1" l="0.75000000000000111" r="0.75000000000000111" t="1" header="0.5" footer="0.5"/>
    <c:pageSetup orientation="landscape"/>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9349527416776011"/>
          <c:y val="0.17145466287259617"/>
          <c:w val="0.40691034528918546"/>
          <c:h val="0.60195429961050384"/>
        </c:manualLayout>
      </c:layout>
      <c:radarChart>
        <c:radarStyle val="marker"/>
        <c:varyColors val="0"/>
        <c:ser>
          <c:idx val="0"/>
          <c:order val="0"/>
          <c:tx>
            <c:strRef>
              <c:f>BHART!$W$24</c:f>
              <c:strCache>
                <c:ptCount val="1"/>
                <c:pt idx="0">
                  <c:v>Bharti</c:v>
                </c:pt>
              </c:strCache>
            </c:strRef>
          </c:tx>
          <c:spPr>
            <a:ln w="25400">
              <a:solidFill>
                <a:srgbClr val="263238"/>
              </a:solidFill>
              <a:prstDash val="solid"/>
            </a:ln>
            <a:effectLst/>
          </c:spPr>
          <c:marker>
            <c:symbol val="diamond"/>
            <c:size val="6"/>
            <c:spPr>
              <a:solidFill>
                <a:srgbClr val="263238"/>
              </a:solidFill>
              <a:ln w="6350">
                <a:noFill/>
              </a:ln>
            </c:spPr>
          </c:marker>
          <c:cat>
            <c:strRef>
              <c:f>BHART!$V$25:$V$34</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BHART!$W$25:$W$34</c:f>
              <c:numCache>
                <c:formatCode>0%</c:formatCode>
                <c:ptCount val="10"/>
                <c:pt idx="0">
                  <c:v>3.5943488438932305</c:v>
                </c:pt>
                <c:pt idx="1">
                  <c:v>2.2560785804628005</c:v>
                </c:pt>
                <c:pt idx="2">
                  <c:v>2.3382361227293798</c:v>
                </c:pt>
                <c:pt idx="3">
                  <c:v>2.2457541781077115</c:v>
                </c:pt>
                <c:pt idx="4">
                  <c:v>2.7708391752651198</c:v>
                </c:pt>
                <c:pt idx="5">
                  <c:v>2.2700759725478652</c:v>
                </c:pt>
                <c:pt idx="6">
                  <c:v>2.8854935148132195</c:v>
                </c:pt>
                <c:pt idx="7">
                  <c:v>2.7235398275706881</c:v>
                </c:pt>
                <c:pt idx="8">
                  <c:v>0.13802455816829859</c:v>
                </c:pt>
                <c:pt idx="9">
                  <c:v>0.34656116704692402</c:v>
                </c:pt>
              </c:numCache>
            </c:numRef>
          </c:val>
          <c:extLst>
            <c:ext xmlns:c16="http://schemas.microsoft.com/office/drawing/2014/chart" uri="{C3380CC4-5D6E-409C-BE32-E72D297353CC}">
              <c16:uniqueId val="{00000000-7780-4EE8-A6C6-C2DE57D0810F}"/>
            </c:ext>
          </c:extLst>
        </c:ser>
        <c:ser>
          <c:idx val="1"/>
          <c:order val="1"/>
          <c:tx>
            <c:strRef>
              <c:f>BHART!$X$24</c:f>
              <c:strCache>
                <c:ptCount val="1"/>
                <c:pt idx="0">
                  <c:v>Agg. Asia Cellular</c:v>
                </c:pt>
              </c:strCache>
            </c:strRef>
          </c:tx>
          <c:spPr>
            <a:ln w="25400">
              <a:solidFill>
                <a:srgbClr val="799098"/>
              </a:solidFill>
              <a:prstDash val="solid"/>
            </a:ln>
            <a:effectLst/>
          </c:spPr>
          <c:marker>
            <c:symbol val="diamond"/>
            <c:size val="6"/>
            <c:spPr>
              <a:solidFill>
                <a:srgbClr val="799098"/>
              </a:solidFill>
              <a:ln w="6350">
                <a:noFill/>
              </a:ln>
            </c:spPr>
          </c:marker>
          <c:cat>
            <c:strRef>
              <c:f>BHART!$V$25:$V$34</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BHART!$X$25:$X$34</c:f>
              <c:numCache>
                <c:formatCode>0%</c:formatCode>
                <c:ptCount val="10"/>
                <c:pt idx="0">
                  <c:v>1</c:v>
                </c:pt>
                <c:pt idx="1">
                  <c:v>1</c:v>
                </c:pt>
                <c:pt idx="2">
                  <c:v>1</c:v>
                </c:pt>
                <c:pt idx="3">
                  <c:v>1</c:v>
                </c:pt>
                <c:pt idx="4">
                  <c:v>1</c:v>
                </c:pt>
                <c:pt idx="5">
                  <c:v>1</c:v>
                </c:pt>
                <c:pt idx="6">
                  <c:v>1</c:v>
                </c:pt>
                <c:pt idx="7">
                  <c:v>1</c:v>
                </c:pt>
                <c:pt idx="8">
                  <c:v>1</c:v>
                </c:pt>
                <c:pt idx="9">
                  <c:v>1</c:v>
                </c:pt>
              </c:numCache>
            </c:numRef>
          </c:val>
          <c:extLst>
            <c:ext xmlns:c16="http://schemas.microsoft.com/office/drawing/2014/chart" uri="{C3380CC4-5D6E-409C-BE32-E72D297353CC}">
              <c16:uniqueId val="{00000001-7780-4EE8-A6C6-C2DE57D0810F}"/>
            </c:ext>
          </c:extLst>
        </c:ser>
        <c:dLbls>
          <c:showLegendKey val="0"/>
          <c:showVal val="0"/>
          <c:showCatName val="0"/>
          <c:showSerName val="0"/>
          <c:showPercent val="0"/>
          <c:showBubbleSize val="0"/>
        </c:dLbls>
        <c:axId val="354034432"/>
        <c:axId val="354036352"/>
      </c:radarChart>
      <c:catAx>
        <c:axId val="354034432"/>
        <c:scaling>
          <c:orientation val="minMax"/>
        </c:scaling>
        <c:delete val="0"/>
        <c:axPos val="b"/>
        <c:numFmt formatCode="General" sourceLinked="1"/>
        <c:majorTickMark val="out"/>
        <c:minorTickMark val="none"/>
        <c:tickLblPos val="nextTo"/>
        <c:spPr>
          <a:ln>
            <a:solidFill>
              <a:srgbClr val="B3B3B3"/>
            </a:solidFill>
          </a:ln>
        </c:spPr>
        <c:txPr>
          <a:bodyPr rot="0" vert="horz"/>
          <a:lstStyle/>
          <a:p>
            <a:pPr>
              <a:defRPr/>
            </a:pPr>
            <a:endParaRPr lang="en-US"/>
          </a:p>
        </c:txPr>
        <c:crossAx val="354036352"/>
        <c:crosses val="autoZero"/>
        <c:auto val="0"/>
        <c:lblAlgn val="ctr"/>
        <c:lblOffset val="100"/>
        <c:noMultiLvlLbl val="0"/>
      </c:catAx>
      <c:valAx>
        <c:axId val="354036352"/>
        <c:scaling>
          <c:orientation val="minMax"/>
        </c:scaling>
        <c:delete val="0"/>
        <c:axPos val="l"/>
        <c:numFmt formatCode="0%" sourceLinked="1"/>
        <c:majorTickMark val="cross"/>
        <c:minorTickMark val="none"/>
        <c:tickLblPos val="nextTo"/>
        <c:spPr>
          <a:ln w="3175">
            <a:solidFill>
              <a:srgbClr val="B3B3B3"/>
            </a:solidFill>
            <a:prstDash val="solid"/>
          </a:ln>
        </c:spPr>
        <c:txPr>
          <a:bodyPr rot="0" vert="horz"/>
          <a:lstStyle/>
          <a:p>
            <a:pPr>
              <a:defRPr/>
            </a:pPr>
            <a:endParaRPr lang="en-US"/>
          </a:p>
        </c:txPr>
        <c:crossAx val="354034432"/>
        <c:crosses val="autoZero"/>
        <c:crossBetween val="between"/>
      </c:valAx>
      <c:spPr>
        <a:noFill/>
        <a:ln w="25400">
          <a:noFill/>
        </a:ln>
      </c:spPr>
    </c:plotArea>
    <c:legend>
      <c:legendPos val="b"/>
      <c:overlay val="0"/>
      <c:spPr>
        <a:noFill/>
        <a:ln w="25400">
          <a:noFill/>
        </a:ln>
      </c:spPr>
    </c:legend>
    <c:plotVisOnly val="1"/>
    <c:dispBlanksAs val="gap"/>
    <c:showDLblsOverMax val="0"/>
  </c:chart>
  <c:spPr>
    <a:noFill/>
    <a:ln w="25400">
      <a:noFill/>
    </a:ln>
    <a:effectLst/>
  </c:spPr>
  <c:txPr>
    <a:bodyPr/>
    <a:lstStyle/>
    <a:p>
      <a:pPr>
        <a:defRPr sz="1000" b="0" i="0" u="none" strike="noStrike" baseline="0">
          <a:solidFill>
            <a:srgbClr val="595959"/>
          </a:solidFill>
          <a:latin typeface="Arial Narrow"/>
          <a:ea typeface="Arial Narrow"/>
          <a:cs typeface="Arial Narrow"/>
        </a:defRPr>
      </a:pPr>
      <a:endParaRPr lang="en-US"/>
    </a:p>
  </c:txPr>
  <c:printSettings>
    <c:headerFooter alignWithMargins="0"/>
    <c:pageMargins b="1" l="0.75000000000000111" r="0.75000000000000111" t="1" header="0.5" footer="0.5"/>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2177441187154648"/>
          <c:y val="5.9375000000000004E-2"/>
          <c:w val="0.57459733984900652"/>
          <c:h val="0.89062500000000111"/>
        </c:manualLayout>
      </c:layout>
      <c:radarChart>
        <c:radarStyle val="marker"/>
        <c:varyColors val="0"/>
        <c:ser>
          <c:idx val="0"/>
          <c:order val="0"/>
          <c:tx>
            <c:strRef>
              <c:f>'US OTHER'!$W$23</c:f>
              <c:strCache>
                <c:ptCount val="1"/>
                <c:pt idx="0">
                  <c:v>N.AM Cable</c:v>
                </c:pt>
              </c:strCache>
            </c:strRef>
          </c:tx>
          <c:spPr>
            <a:ln w="25400">
              <a:solidFill>
                <a:srgbClr val="263238"/>
              </a:solidFill>
              <a:prstDash val="solid"/>
            </a:ln>
            <a:effectLst/>
          </c:spPr>
          <c:marker>
            <c:symbol val="diamond"/>
            <c:size val="6"/>
            <c:spPr>
              <a:solidFill>
                <a:srgbClr val="263238"/>
              </a:solidFill>
              <a:ln w="6350">
                <a:noFill/>
              </a:ln>
            </c:spPr>
          </c:marker>
          <c:cat>
            <c:strRef>
              <c:f>'US OTHER'!$V$24:$V$33</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 (08)</c:v>
                </c:pt>
              </c:strCache>
            </c:strRef>
          </c:cat>
          <c:val>
            <c:numRef>
              <c:f>'US OTHER'!$W$24:$W$33</c:f>
              <c:numCache>
                <c:formatCode>0%</c:formatCode>
                <c:ptCount val="10"/>
                <c:pt idx="0">
                  <c:v>0.87519549557876297</c:v>
                </c:pt>
                <c:pt idx="1">
                  <c:v>0.8968106982198909</c:v>
                </c:pt>
                <c:pt idx="2">
                  <c:v>0.88069126076384263</c:v>
                </c:pt>
                <c:pt idx="3">
                  <c:v>0.9266521254686616</c:v>
                </c:pt>
                <c:pt idx="4">
                  <c:v>0.79347880875952159</c:v>
                </c:pt>
                <c:pt idx="5">
                  <c:v>1.0244253765395253</c:v>
                </c:pt>
                <c:pt idx="6">
                  <c:v>0.40192002619857792</c:v>
                </c:pt>
                <c:pt idx="7">
                  <c:v>0.72415286564502401</c:v>
                </c:pt>
                <c:pt idx="8">
                  <c:v>1.7642050394968245</c:v>
                </c:pt>
                <c:pt idx="9">
                  <c:v>0.40835708973192114</c:v>
                </c:pt>
              </c:numCache>
            </c:numRef>
          </c:val>
          <c:extLst>
            <c:ext xmlns:c16="http://schemas.microsoft.com/office/drawing/2014/chart" uri="{C3380CC4-5D6E-409C-BE32-E72D297353CC}">
              <c16:uniqueId val="{00000000-CC11-4BD0-9F56-923DBC884B1A}"/>
            </c:ext>
          </c:extLst>
        </c:ser>
        <c:ser>
          <c:idx val="1"/>
          <c:order val="1"/>
          <c:tx>
            <c:strRef>
              <c:f>'US OTHER'!$X$23</c:f>
              <c:strCache>
                <c:ptCount val="1"/>
                <c:pt idx="0">
                  <c:v>DM Aggregate</c:v>
                </c:pt>
              </c:strCache>
            </c:strRef>
          </c:tx>
          <c:spPr>
            <a:ln w="25400">
              <a:solidFill>
                <a:srgbClr val="799098"/>
              </a:solidFill>
              <a:prstDash val="solid"/>
            </a:ln>
            <a:effectLst/>
          </c:spPr>
          <c:marker>
            <c:symbol val="diamond"/>
            <c:size val="6"/>
            <c:spPr>
              <a:solidFill>
                <a:srgbClr val="799098"/>
              </a:solidFill>
              <a:ln w="6350">
                <a:noFill/>
              </a:ln>
            </c:spPr>
          </c:marker>
          <c:cat>
            <c:strRef>
              <c:f>'US OTHER'!$V$24:$V$33</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 (08)</c:v>
                </c:pt>
              </c:strCache>
            </c:strRef>
          </c:cat>
          <c:val>
            <c:numRef>
              <c:f>'US OTHER'!$X$24:$X$33</c:f>
              <c:numCache>
                <c:formatCode>0%</c:formatCode>
                <c:ptCount val="10"/>
                <c:pt idx="0">
                  <c:v>1</c:v>
                </c:pt>
                <c:pt idx="1">
                  <c:v>1</c:v>
                </c:pt>
                <c:pt idx="2">
                  <c:v>1</c:v>
                </c:pt>
                <c:pt idx="3">
                  <c:v>1</c:v>
                </c:pt>
                <c:pt idx="4">
                  <c:v>1</c:v>
                </c:pt>
                <c:pt idx="5">
                  <c:v>1</c:v>
                </c:pt>
                <c:pt idx="6">
                  <c:v>1</c:v>
                </c:pt>
                <c:pt idx="7">
                  <c:v>1</c:v>
                </c:pt>
                <c:pt idx="8">
                  <c:v>1</c:v>
                </c:pt>
                <c:pt idx="9">
                  <c:v>1</c:v>
                </c:pt>
              </c:numCache>
            </c:numRef>
          </c:val>
          <c:extLst>
            <c:ext xmlns:c16="http://schemas.microsoft.com/office/drawing/2014/chart" uri="{C3380CC4-5D6E-409C-BE32-E72D297353CC}">
              <c16:uniqueId val="{00000001-CC11-4BD0-9F56-923DBC884B1A}"/>
            </c:ext>
          </c:extLst>
        </c:ser>
        <c:dLbls>
          <c:showLegendKey val="0"/>
          <c:showVal val="0"/>
          <c:showCatName val="0"/>
          <c:showSerName val="0"/>
          <c:showPercent val="0"/>
          <c:showBubbleSize val="0"/>
        </c:dLbls>
        <c:axId val="337494784"/>
        <c:axId val="337496704"/>
      </c:radarChart>
      <c:catAx>
        <c:axId val="337494784"/>
        <c:scaling>
          <c:orientation val="minMax"/>
        </c:scaling>
        <c:delete val="0"/>
        <c:axPos val="b"/>
        <c:numFmt formatCode="General" sourceLinked="1"/>
        <c:majorTickMark val="out"/>
        <c:minorTickMark val="none"/>
        <c:tickLblPos val="nextTo"/>
        <c:spPr>
          <a:ln>
            <a:solidFill>
              <a:srgbClr val="B3B3B3"/>
            </a:solidFill>
          </a:ln>
        </c:spPr>
        <c:txPr>
          <a:bodyPr rot="0" vert="horz"/>
          <a:lstStyle/>
          <a:p>
            <a:pPr>
              <a:defRPr/>
            </a:pPr>
            <a:endParaRPr lang="en-US"/>
          </a:p>
        </c:txPr>
        <c:crossAx val="337496704"/>
        <c:crosses val="autoZero"/>
        <c:auto val="0"/>
        <c:lblAlgn val="ctr"/>
        <c:lblOffset val="100"/>
        <c:noMultiLvlLbl val="0"/>
      </c:catAx>
      <c:valAx>
        <c:axId val="337496704"/>
        <c:scaling>
          <c:orientation val="minMax"/>
          <c:max val="2"/>
          <c:min val="-1"/>
        </c:scaling>
        <c:delete val="0"/>
        <c:axPos val="l"/>
        <c:numFmt formatCode="0%" sourceLinked="1"/>
        <c:majorTickMark val="cross"/>
        <c:minorTickMark val="none"/>
        <c:tickLblPos val="nextTo"/>
        <c:spPr>
          <a:ln w="3175">
            <a:solidFill>
              <a:srgbClr val="B3B3B3"/>
            </a:solidFill>
            <a:prstDash val="solid"/>
          </a:ln>
        </c:spPr>
        <c:txPr>
          <a:bodyPr rot="0" vert="horz"/>
          <a:lstStyle/>
          <a:p>
            <a:pPr>
              <a:defRPr/>
            </a:pPr>
            <a:endParaRPr lang="en-US"/>
          </a:p>
        </c:txPr>
        <c:crossAx val="337494784"/>
        <c:crosses val="autoZero"/>
        <c:crossBetween val="between"/>
        <c:majorUnit val="0.5"/>
        <c:minorUnit val="0.5"/>
      </c:valAx>
      <c:spPr>
        <a:noFill/>
        <a:ln w="25400">
          <a:noFill/>
        </a:ln>
      </c:spPr>
    </c:plotArea>
    <c:legend>
      <c:legendPos val="b"/>
      <c:overlay val="0"/>
      <c:spPr>
        <a:noFill/>
        <a:ln w="25400">
          <a:noFill/>
        </a:ln>
      </c:spPr>
    </c:legend>
    <c:plotVisOnly val="1"/>
    <c:dispBlanksAs val="gap"/>
    <c:showDLblsOverMax val="0"/>
  </c:chart>
  <c:spPr>
    <a:noFill/>
    <a:ln w="25400">
      <a:noFill/>
    </a:ln>
    <a:effectLst/>
  </c:spPr>
  <c:txPr>
    <a:bodyPr/>
    <a:lstStyle/>
    <a:p>
      <a:pPr>
        <a:defRPr sz="1000" b="0" i="0" u="none" strike="noStrike" baseline="0">
          <a:solidFill>
            <a:srgbClr val="595959"/>
          </a:solidFill>
          <a:latin typeface="Arial Narrow"/>
          <a:ea typeface="Arial Narrow"/>
          <a:cs typeface="Arial Narrow"/>
        </a:defRPr>
      </a:pPr>
      <a:endParaRPr lang="en-US"/>
    </a:p>
  </c:txPr>
  <c:printSettings>
    <c:headerFooter alignWithMargins="0"/>
    <c:pageMargins b="1" l="0.75000000000000111" r="0.75000000000000111" t="1" header="0.5" footer="0.5"/>
    <c:pageSetup orientation="landscape"/>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2177441187154648"/>
          <c:y val="5.9375000000000004E-2"/>
          <c:w val="0.57459733984900652"/>
          <c:h val="0.89062500000000111"/>
        </c:manualLayout>
      </c:layout>
      <c:radarChart>
        <c:radarStyle val="marker"/>
        <c:varyColors val="0"/>
        <c:ser>
          <c:idx val="0"/>
          <c:order val="0"/>
          <c:tx>
            <c:strRef>
              <c:f>'US TOWERS'!$W$23</c:f>
              <c:strCache>
                <c:ptCount val="1"/>
                <c:pt idx="0">
                  <c:v>US Towers</c:v>
                </c:pt>
              </c:strCache>
            </c:strRef>
          </c:tx>
          <c:spPr>
            <a:ln w="25400">
              <a:solidFill>
                <a:srgbClr val="263238"/>
              </a:solidFill>
              <a:prstDash val="solid"/>
            </a:ln>
            <a:effectLst/>
          </c:spPr>
          <c:marker>
            <c:symbol val="diamond"/>
            <c:size val="6"/>
            <c:spPr>
              <a:solidFill>
                <a:srgbClr val="263238"/>
              </a:solidFill>
              <a:ln w="6350">
                <a:noFill/>
              </a:ln>
            </c:spPr>
          </c:marker>
          <c:cat>
            <c:strRef>
              <c:f>'US TOWERS'!$V$24:$V$33</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 (08)</c:v>
                </c:pt>
              </c:strCache>
            </c:strRef>
          </c:cat>
          <c:val>
            <c:numRef>
              <c:f>'US TOWERS'!$W$24:$W$33</c:f>
              <c:numCache>
                <c:formatCode>0%</c:formatCode>
                <c:ptCount val="10"/>
                <c:pt idx="0">
                  <c:v>4.4109481959336652</c:v>
                </c:pt>
                <c:pt idx="1">
                  <c:v>2.3178422404192704</c:v>
                </c:pt>
                <c:pt idx="2">
                  <c:v>1.7596607371341724</c:v>
                </c:pt>
                <c:pt idx="3">
                  <c:v>1.3746783690066353</c:v>
                </c:pt>
                <c:pt idx="4">
                  <c:v>2.1695624140852865</c:v>
                </c:pt>
                <c:pt idx="5">
                  <c:v>1.8032939907532546</c:v>
                </c:pt>
                <c:pt idx="6">
                  <c:v>1.8656685808181868</c:v>
                </c:pt>
                <c:pt idx="7">
                  <c:v>0</c:v>
                </c:pt>
                <c:pt idx="8">
                  <c:v>0.76658035906003208</c:v>
                </c:pt>
                <c:pt idx="9">
                  <c:v>1.9506090648976968</c:v>
                </c:pt>
              </c:numCache>
            </c:numRef>
          </c:val>
          <c:extLst>
            <c:ext xmlns:c16="http://schemas.microsoft.com/office/drawing/2014/chart" uri="{C3380CC4-5D6E-409C-BE32-E72D297353CC}">
              <c16:uniqueId val="{00000000-69F1-4C1F-AD87-9D2122423DDE}"/>
            </c:ext>
          </c:extLst>
        </c:ser>
        <c:ser>
          <c:idx val="1"/>
          <c:order val="1"/>
          <c:tx>
            <c:strRef>
              <c:f>'US TOWERS'!$X$23</c:f>
              <c:strCache>
                <c:ptCount val="1"/>
                <c:pt idx="0">
                  <c:v>DM Aggregate</c:v>
                </c:pt>
              </c:strCache>
            </c:strRef>
          </c:tx>
          <c:spPr>
            <a:ln w="25400">
              <a:solidFill>
                <a:srgbClr val="799098"/>
              </a:solidFill>
              <a:prstDash val="solid"/>
            </a:ln>
            <a:effectLst/>
          </c:spPr>
          <c:marker>
            <c:symbol val="diamond"/>
            <c:size val="6"/>
            <c:spPr>
              <a:solidFill>
                <a:srgbClr val="799098"/>
              </a:solidFill>
              <a:ln w="6350">
                <a:noFill/>
              </a:ln>
            </c:spPr>
          </c:marker>
          <c:cat>
            <c:strRef>
              <c:f>'US TOWERS'!$V$24:$V$33</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 (08)</c:v>
                </c:pt>
              </c:strCache>
            </c:strRef>
          </c:cat>
          <c:val>
            <c:numRef>
              <c:f>'US TOWERS'!$X$24:$X$33</c:f>
              <c:numCache>
                <c:formatCode>0%</c:formatCode>
                <c:ptCount val="10"/>
                <c:pt idx="0">
                  <c:v>1</c:v>
                </c:pt>
                <c:pt idx="1">
                  <c:v>1</c:v>
                </c:pt>
                <c:pt idx="2">
                  <c:v>1</c:v>
                </c:pt>
                <c:pt idx="3">
                  <c:v>1</c:v>
                </c:pt>
                <c:pt idx="4">
                  <c:v>1</c:v>
                </c:pt>
                <c:pt idx="5">
                  <c:v>1</c:v>
                </c:pt>
                <c:pt idx="6">
                  <c:v>1</c:v>
                </c:pt>
                <c:pt idx="7">
                  <c:v>1</c:v>
                </c:pt>
                <c:pt idx="8">
                  <c:v>1</c:v>
                </c:pt>
                <c:pt idx="9">
                  <c:v>1</c:v>
                </c:pt>
              </c:numCache>
            </c:numRef>
          </c:val>
          <c:extLst>
            <c:ext xmlns:c16="http://schemas.microsoft.com/office/drawing/2014/chart" uri="{C3380CC4-5D6E-409C-BE32-E72D297353CC}">
              <c16:uniqueId val="{00000001-69F1-4C1F-AD87-9D2122423DDE}"/>
            </c:ext>
          </c:extLst>
        </c:ser>
        <c:dLbls>
          <c:showLegendKey val="0"/>
          <c:showVal val="0"/>
          <c:showCatName val="0"/>
          <c:showSerName val="0"/>
          <c:showPercent val="0"/>
          <c:showBubbleSize val="0"/>
        </c:dLbls>
        <c:axId val="348237824"/>
        <c:axId val="348239744"/>
      </c:radarChart>
      <c:catAx>
        <c:axId val="348237824"/>
        <c:scaling>
          <c:orientation val="minMax"/>
        </c:scaling>
        <c:delete val="0"/>
        <c:axPos val="b"/>
        <c:numFmt formatCode="General" sourceLinked="1"/>
        <c:majorTickMark val="out"/>
        <c:minorTickMark val="none"/>
        <c:tickLblPos val="nextTo"/>
        <c:spPr>
          <a:ln>
            <a:solidFill>
              <a:srgbClr val="B3B3B3"/>
            </a:solidFill>
          </a:ln>
        </c:spPr>
        <c:txPr>
          <a:bodyPr rot="0" vert="horz"/>
          <a:lstStyle/>
          <a:p>
            <a:pPr>
              <a:defRPr/>
            </a:pPr>
            <a:endParaRPr lang="en-US"/>
          </a:p>
        </c:txPr>
        <c:crossAx val="348239744"/>
        <c:crosses val="autoZero"/>
        <c:auto val="0"/>
        <c:lblAlgn val="ctr"/>
        <c:lblOffset val="100"/>
        <c:noMultiLvlLbl val="0"/>
      </c:catAx>
      <c:valAx>
        <c:axId val="348239744"/>
        <c:scaling>
          <c:orientation val="minMax"/>
        </c:scaling>
        <c:delete val="0"/>
        <c:axPos val="l"/>
        <c:numFmt formatCode="0%" sourceLinked="1"/>
        <c:majorTickMark val="cross"/>
        <c:minorTickMark val="none"/>
        <c:tickLblPos val="nextTo"/>
        <c:spPr>
          <a:ln w="3175">
            <a:solidFill>
              <a:srgbClr val="B3B3B3"/>
            </a:solidFill>
            <a:prstDash val="solid"/>
          </a:ln>
        </c:spPr>
        <c:txPr>
          <a:bodyPr rot="0" vert="horz"/>
          <a:lstStyle/>
          <a:p>
            <a:pPr>
              <a:defRPr/>
            </a:pPr>
            <a:endParaRPr lang="en-US"/>
          </a:p>
        </c:txPr>
        <c:crossAx val="348237824"/>
        <c:crosses val="autoZero"/>
        <c:crossBetween val="between"/>
      </c:valAx>
      <c:spPr>
        <a:noFill/>
        <a:ln w="25400">
          <a:noFill/>
        </a:ln>
      </c:spPr>
    </c:plotArea>
    <c:legend>
      <c:legendPos val="b"/>
      <c:overlay val="0"/>
      <c:spPr>
        <a:noFill/>
        <a:ln w="25400">
          <a:noFill/>
        </a:ln>
      </c:spPr>
    </c:legend>
    <c:plotVisOnly val="1"/>
    <c:dispBlanksAs val="gap"/>
    <c:showDLblsOverMax val="0"/>
  </c:chart>
  <c:spPr>
    <a:noFill/>
    <a:ln w="25400">
      <a:noFill/>
    </a:ln>
    <a:effectLst/>
  </c:spPr>
  <c:txPr>
    <a:bodyPr/>
    <a:lstStyle/>
    <a:p>
      <a:pPr>
        <a:defRPr sz="1000" b="0" i="0" u="none" strike="noStrike" baseline="0">
          <a:solidFill>
            <a:srgbClr val="595959"/>
          </a:solidFill>
          <a:latin typeface="Arial Narrow"/>
          <a:ea typeface="Arial Narrow"/>
          <a:cs typeface="Arial Narrow"/>
        </a:defRPr>
      </a:pPr>
      <a:endParaRPr lang="en-US"/>
    </a:p>
  </c:txPr>
  <c:printSettings>
    <c:headerFooter alignWithMargins="0"/>
    <c:pageMargins b="1" l="0.75000000000000111" r="0.75000000000000111" t="1" header="0.5" footer="0.5"/>
    <c:pageSetup orientation="landscape"/>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5962875869315055"/>
          <c:y val="5.9375000000000004E-2"/>
          <c:w val="0.5047636282732717"/>
          <c:h val="0.75832112030224752"/>
        </c:manualLayout>
      </c:layout>
      <c:radarChart>
        <c:radarStyle val="marker"/>
        <c:varyColors val="0"/>
        <c:ser>
          <c:idx val="0"/>
          <c:order val="0"/>
          <c:tx>
            <c:strRef>
              <c:f>'US AGG'!$W$23</c:f>
              <c:strCache>
                <c:ptCount val="1"/>
                <c:pt idx="0">
                  <c:v>US Aggregate</c:v>
                </c:pt>
              </c:strCache>
            </c:strRef>
          </c:tx>
          <c:spPr>
            <a:ln w="25400">
              <a:solidFill>
                <a:srgbClr val="263238"/>
              </a:solidFill>
              <a:prstDash val="solid"/>
            </a:ln>
            <a:effectLst/>
          </c:spPr>
          <c:marker>
            <c:symbol val="diamond"/>
            <c:size val="6"/>
            <c:spPr>
              <a:solidFill>
                <a:srgbClr val="263238"/>
              </a:solidFill>
              <a:ln w="6350">
                <a:noFill/>
              </a:ln>
            </c:spPr>
          </c:marker>
          <c:cat>
            <c:strRef>
              <c:f>'US AGG'!$V$24:$V$33</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 (08)</c:v>
                </c:pt>
              </c:strCache>
            </c:strRef>
          </c:cat>
          <c:val>
            <c:numRef>
              <c:f>'US AGG'!$W$24:$W$33</c:f>
              <c:numCache>
                <c:formatCode>0%</c:formatCode>
                <c:ptCount val="10"/>
                <c:pt idx="0">
                  <c:v>1.1192012298758052</c:v>
                </c:pt>
                <c:pt idx="1">
                  <c:v>1.0327283842816513</c:v>
                </c:pt>
                <c:pt idx="2">
                  <c:v>0.96134258979451814</c:v>
                </c:pt>
                <c:pt idx="3">
                  <c:v>0.98949327119723096</c:v>
                </c:pt>
                <c:pt idx="4">
                  <c:v>1.0848877595348076</c:v>
                </c:pt>
                <c:pt idx="5">
                  <c:v>1.0577939478944636</c:v>
                </c:pt>
                <c:pt idx="6">
                  <c:v>0.89440596609702983</c:v>
                </c:pt>
                <c:pt idx="7">
                  <c:v>0.94416424641243557</c:v>
                </c:pt>
                <c:pt idx="8">
                  <c:v>1.0486215538638508</c:v>
                </c:pt>
                <c:pt idx="9">
                  <c:v>0.91575287495649238</c:v>
                </c:pt>
              </c:numCache>
            </c:numRef>
          </c:val>
          <c:extLst>
            <c:ext xmlns:c16="http://schemas.microsoft.com/office/drawing/2014/chart" uri="{C3380CC4-5D6E-409C-BE32-E72D297353CC}">
              <c16:uniqueId val="{00000000-0C1C-417E-94C2-1A49C901D7A7}"/>
            </c:ext>
          </c:extLst>
        </c:ser>
        <c:ser>
          <c:idx val="1"/>
          <c:order val="1"/>
          <c:tx>
            <c:strRef>
              <c:f>'US AGG'!$X$23</c:f>
              <c:strCache>
                <c:ptCount val="1"/>
                <c:pt idx="0">
                  <c:v>DM Aggregate</c:v>
                </c:pt>
              </c:strCache>
            </c:strRef>
          </c:tx>
          <c:spPr>
            <a:ln w="25400">
              <a:solidFill>
                <a:srgbClr val="799098"/>
              </a:solidFill>
              <a:prstDash val="solid"/>
            </a:ln>
            <a:effectLst/>
          </c:spPr>
          <c:marker>
            <c:symbol val="diamond"/>
            <c:size val="6"/>
            <c:spPr>
              <a:solidFill>
                <a:srgbClr val="799098"/>
              </a:solidFill>
              <a:ln w="6350">
                <a:noFill/>
              </a:ln>
            </c:spPr>
          </c:marker>
          <c:cat>
            <c:strRef>
              <c:f>'US AGG'!$V$24:$V$33</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 (08)</c:v>
                </c:pt>
              </c:strCache>
            </c:strRef>
          </c:cat>
          <c:val>
            <c:numRef>
              <c:f>'US AGG'!$X$24:$X$33</c:f>
              <c:numCache>
                <c:formatCode>0%</c:formatCode>
                <c:ptCount val="10"/>
                <c:pt idx="0">
                  <c:v>1</c:v>
                </c:pt>
                <c:pt idx="1">
                  <c:v>1</c:v>
                </c:pt>
                <c:pt idx="2">
                  <c:v>1</c:v>
                </c:pt>
                <c:pt idx="3">
                  <c:v>1</c:v>
                </c:pt>
                <c:pt idx="4">
                  <c:v>1</c:v>
                </c:pt>
                <c:pt idx="5">
                  <c:v>1</c:v>
                </c:pt>
                <c:pt idx="6">
                  <c:v>1</c:v>
                </c:pt>
                <c:pt idx="7">
                  <c:v>1</c:v>
                </c:pt>
                <c:pt idx="8">
                  <c:v>1</c:v>
                </c:pt>
                <c:pt idx="9">
                  <c:v>1</c:v>
                </c:pt>
              </c:numCache>
            </c:numRef>
          </c:val>
          <c:extLst>
            <c:ext xmlns:c16="http://schemas.microsoft.com/office/drawing/2014/chart" uri="{C3380CC4-5D6E-409C-BE32-E72D297353CC}">
              <c16:uniqueId val="{00000001-0C1C-417E-94C2-1A49C901D7A7}"/>
            </c:ext>
          </c:extLst>
        </c:ser>
        <c:dLbls>
          <c:showLegendKey val="0"/>
          <c:showVal val="0"/>
          <c:showCatName val="0"/>
          <c:showSerName val="0"/>
          <c:showPercent val="0"/>
          <c:showBubbleSize val="0"/>
        </c:dLbls>
        <c:axId val="348343680"/>
        <c:axId val="348382720"/>
      </c:radarChart>
      <c:catAx>
        <c:axId val="348343680"/>
        <c:scaling>
          <c:orientation val="minMax"/>
        </c:scaling>
        <c:delete val="0"/>
        <c:axPos val="b"/>
        <c:numFmt formatCode="General" sourceLinked="1"/>
        <c:majorTickMark val="out"/>
        <c:minorTickMark val="none"/>
        <c:tickLblPos val="nextTo"/>
        <c:spPr>
          <a:ln>
            <a:solidFill>
              <a:srgbClr val="B3B3B3"/>
            </a:solidFill>
          </a:ln>
        </c:spPr>
        <c:txPr>
          <a:bodyPr rot="0" vert="horz"/>
          <a:lstStyle/>
          <a:p>
            <a:pPr>
              <a:defRPr/>
            </a:pPr>
            <a:endParaRPr lang="en-US"/>
          </a:p>
        </c:txPr>
        <c:crossAx val="348382720"/>
        <c:crosses val="autoZero"/>
        <c:auto val="0"/>
        <c:lblAlgn val="ctr"/>
        <c:lblOffset val="100"/>
        <c:noMultiLvlLbl val="0"/>
      </c:catAx>
      <c:valAx>
        <c:axId val="348382720"/>
        <c:scaling>
          <c:orientation val="minMax"/>
        </c:scaling>
        <c:delete val="0"/>
        <c:axPos val="l"/>
        <c:numFmt formatCode="0%" sourceLinked="1"/>
        <c:majorTickMark val="cross"/>
        <c:minorTickMark val="none"/>
        <c:tickLblPos val="nextTo"/>
        <c:spPr>
          <a:ln w="3175">
            <a:solidFill>
              <a:srgbClr val="B3B3B3"/>
            </a:solidFill>
            <a:prstDash val="solid"/>
          </a:ln>
        </c:spPr>
        <c:txPr>
          <a:bodyPr rot="0" vert="horz"/>
          <a:lstStyle/>
          <a:p>
            <a:pPr>
              <a:defRPr/>
            </a:pPr>
            <a:endParaRPr lang="en-US"/>
          </a:p>
        </c:txPr>
        <c:crossAx val="348343680"/>
        <c:crosses val="autoZero"/>
        <c:crossBetween val="between"/>
      </c:valAx>
      <c:spPr>
        <a:noFill/>
        <a:ln w="25400">
          <a:noFill/>
        </a:ln>
      </c:spPr>
    </c:plotArea>
    <c:legend>
      <c:legendPos val="b"/>
      <c:overlay val="0"/>
      <c:spPr>
        <a:noFill/>
        <a:ln w="25400">
          <a:noFill/>
        </a:ln>
      </c:spPr>
    </c:legend>
    <c:plotVisOnly val="1"/>
    <c:dispBlanksAs val="gap"/>
    <c:showDLblsOverMax val="0"/>
  </c:chart>
  <c:spPr>
    <a:noFill/>
    <a:ln w="25400">
      <a:noFill/>
    </a:ln>
    <a:effectLst/>
  </c:spPr>
  <c:txPr>
    <a:bodyPr/>
    <a:lstStyle/>
    <a:p>
      <a:pPr>
        <a:defRPr sz="1000" b="0" i="0" u="none" strike="noStrike" baseline="0">
          <a:solidFill>
            <a:srgbClr val="595959"/>
          </a:solidFill>
          <a:latin typeface="Arial Narrow"/>
          <a:ea typeface="Arial Narrow"/>
          <a:cs typeface="Arial Narrow"/>
        </a:defRPr>
      </a:pPr>
      <a:endParaRPr lang="en-US"/>
    </a:p>
  </c:txPr>
  <c:printSettings>
    <c:headerFooter alignWithMargins="0"/>
    <c:pageMargins b="1" l="0.75000000000000111" r="0.75000000000000111" t="1" header="0.5" footer="0.5"/>
    <c:pageSetup orientation="landscape"/>
  </c:printSettings>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9564027111835528"/>
          <c:y val="7.8125E-2"/>
          <c:w val="0.46055186516443675"/>
          <c:h val="0.73278566038852677"/>
        </c:manualLayout>
      </c:layout>
      <c:radarChart>
        <c:radarStyle val="marker"/>
        <c:varyColors val="0"/>
        <c:ser>
          <c:idx val="0"/>
          <c:order val="0"/>
          <c:tx>
            <c:strRef>
              <c:f>'W.EUR INCUMB'!$W$23</c:f>
              <c:strCache>
                <c:ptCount val="1"/>
                <c:pt idx="0">
                  <c:v>W.Europe Incumbent</c:v>
                </c:pt>
              </c:strCache>
            </c:strRef>
          </c:tx>
          <c:spPr>
            <a:ln w="25400">
              <a:solidFill>
                <a:srgbClr val="263238"/>
              </a:solidFill>
              <a:prstDash val="solid"/>
            </a:ln>
            <a:effectLst/>
          </c:spPr>
          <c:marker>
            <c:symbol val="diamond"/>
            <c:size val="6"/>
            <c:spPr>
              <a:solidFill>
                <a:srgbClr val="263238"/>
              </a:solidFill>
              <a:ln w="6350">
                <a:noFill/>
              </a:ln>
            </c:spPr>
          </c:marker>
          <c:cat>
            <c:strRef>
              <c:f>'W.EUR INCUMB'!$V$24:$V$33</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'W.EUR INCUMB'!$W$24:$W$33</c:f>
              <c:numCache>
                <c:formatCode>0%</c:formatCode>
                <c:ptCount val="10"/>
                <c:pt idx="0">
                  <c:v>0.95131422664591903</c:v>
                </c:pt>
                <c:pt idx="1">
                  <c:v>0.95279741506841864</c:v>
                </c:pt>
                <c:pt idx="2">
                  <c:v>1.0524272570709974</c:v>
                </c:pt>
                <c:pt idx="3">
                  <c:v>0.99809830863770099</c:v>
                </c:pt>
                <c:pt idx="4">
                  <c:v>0.97465464683071068</c:v>
                </c:pt>
                <c:pt idx="5">
                  <c:v>1.0184069982631847</c:v>
                </c:pt>
                <c:pt idx="6">
                  <c:v>1.2813897383836728</c:v>
                </c:pt>
                <c:pt idx="7">
                  <c:v>0.99474192301155651</c:v>
                </c:pt>
                <c:pt idx="8">
                  <c:v>0.82639935572432499</c:v>
                </c:pt>
                <c:pt idx="9">
                  <c:v>1.2813897383836728</c:v>
                </c:pt>
              </c:numCache>
            </c:numRef>
          </c:val>
          <c:extLst>
            <c:ext xmlns:c16="http://schemas.microsoft.com/office/drawing/2014/chart" uri="{C3380CC4-5D6E-409C-BE32-E72D297353CC}">
              <c16:uniqueId val="{00000000-E66A-4E7A-88DB-E6A2BCD6C810}"/>
            </c:ext>
          </c:extLst>
        </c:ser>
        <c:ser>
          <c:idx val="1"/>
          <c:order val="1"/>
          <c:tx>
            <c:strRef>
              <c:f>'W.EUR INCUMB'!$X$23</c:f>
              <c:strCache>
                <c:ptCount val="1"/>
                <c:pt idx="0">
                  <c:v>DM Aggregate</c:v>
                </c:pt>
              </c:strCache>
            </c:strRef>
          </c:tx>
          <c:spPr>
            <a:ln w="25400">
              <a:solidFill>
                <a:srgbClr val="799098"/>
              </a:solidFill>
              <a:prstDash val="solid"/>
            </a:ln>
            <a:effectLst/>
          </c:spPr>
          <c:marker>
            <c:symbol val="diamond"/>
            <c:size val="6"/>
            <c:spPr>
              <a:solidFill>
                <a:srgbClr val="799098"/>
              </a:solidFill>
              <a:ln w="6350">
                <a:noFill/>
              </a:ln>
            </c:spPr>
          </c:marker>
          <c:cat>
            <c:strRef>
              <c:f>'W.EUR INCUMB'!$V$24:$V$33</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'W.EUR INCUMB'!$X$24:$X$33</c:f>
              <c:numCache>
                <c:formatCode>0%</c:formatCode>
                <c:ptCount val="10"/>
                <c:pt idx="0">
                  <c:v>1</c:v>
                </c:pt>
                <c:pt idx="1">
                  <c:v>1</c:v>
                </c:pt>
                <c:pt idx="2">
                  <c:v>1</c:v>
                </c:pt>
                <c:pt idx="3">
                  <c:v>1</c:v>
                </c:pt>
                <c:pt idx="4">
                  <c:v>1</c:v>
                </c:pt>
                <c:pt idx="5">
                  <c:v>1</c:v>
                </c:pt>
                <c:pt idx="6">
                  <c:v>1</c:v>
                </c:pt>
                <c:pt idx="7">
                  <c:v>1</c:v>
                </c:pt>
                <c:pt idx="8">
                  <c:v>1</c:v>
                </c:pt>
                <c:pt idx="9">
                  <c:v>1</c:v>
                </c:pt>
              </c:numCache>
            </c:numRef>
          </c:val>
          <c:extLst>
            <c:ext xmlns:c16="http://schemas.microsoft.com/office/drawing/2014/chart" uri="{C3380CC4-5D6E-409C-BE32-E72D297353CC}">
              <c16:uniqueId val="{00000001-E66A-4E7A-88DB-E6A2BCD6C810}"/>
            </c:ext>
          </c:extLst>
        </c:ser>
        <c:dLbls>
          <c:showLegendKey val="0"/>
          <c:showVal val="0"/>
          <c:showCatName val="0"/>
          <c:showSerName val="0"/>
          <c:showPercent val="0"/>
          <c:showBubbleSize val="0"/>
        </c:dLbls>
        <c:axId val="348756992"/>
        <c:axId val="348763264"/>
      </c:radarChart>
      <c:catAx>
        <c:axId val="348756992"/>
        <c:scaling>
          <c:orientation val="minMax"/>
        </c:scaling>
        <c:delete val="0"/>
        <c:axPos val="b"/>
        <c:numFmt formatCode="General" sourceLinked="1"/>
        <c:majorTickMark val="out"/>
        <c:minorTickMark val="none"/>
        <c:tickLblPos val="nextTo"/>
        <c:spPr>
          <a:ln>
            <a:solidFill>
              <a:srgbClr val="B3B3B3"/>
            </a:solidFill>
          </a:ln>
        </c:spPr>
        <c:txPr>
          <a:bodyPr rot="0" vert="horz"/>
          <a:lstStyle/>
          <a:p>
            <a:pPr>
              <a:defRPr/>
            </a:pPr>
            <a:endParaRPr lang="en-US"/>
          </a:p>
        </c:txPr>
        <c:crossAx val="348763264"/>
        <c:crosses val="autoZero"/>
        <c:auto val="0"/>
        <c:lblAlgn val="ctr"/>
        <c:lblOffset val="100"/>
        <c:noMultiLvlLbl val="0"/>
      </c:catAx>
      <c:valAx>
        <c:axId val="348763264"/>
        <c:scaling>
          <c:orientation val="minMax"/>
          <c:max val="1.5"/>
        </c:scaling>
        <c:delete val="0"/>
        <c:axPos val="l"/>
        <c:numFmt formatCode="0%" sourceLinked="1"/>
        <c:majorTickMark val="cross"/>
        <c:minorTickMark val="none"/>
        <c:tickLblPos val="nextTo"/>
        <c:spPr>
          <a:ln w="3175">
            <a:solidFill>
              <a:srgbClr val="B3B3B3"/>
            </a:solidFill>
            <a:prstDash val="solid"/>
          </a:ln>
        </c:spPr>
        <c:txPr>
          <a:bodyPr rot="0" vert="horz"/>
          <a:lstStyle/>
          <a:p>
            <a:pPr>
              <a:defRPr/>
            </a:pPr>
            <a:endParaRPr lang="en-US"/>
          </a:p>
        </c:txPr>
        <c:crossAx val="348756992"/>
        <c:crosses val="autoZero"/>
        <c:crossBetween val="between"/>
      </c:valAx>
      <c:spPr>
        <a:noFill/>
        <a:ln w="25400">
          <a:noFill/>
        </a:ln>
      </c:spPr>
    </c:plotArea>
    <c:legend>
      <c:legendPos val="b"/>
      <c:overlay val="0"/>
      <c:spPr>
        <a:noFill/>
        <a:ln w="25400">
          <a:noFill/>
        </a:ln>
      </c:spPr>
    </c:legend>
    <c:plotVisOnly val="1"/>
    <c:dispBlanksAs val="gap"/>
    <c:showDLblsOverMax val="0"/>
  </c:chart>
  <c:spPr>
    <a:noFill/>
    <a:ln w="25400">
      <a:noFill/>
    </a:ln>
    <a:effectLst/>
  </c:spPr>
  <c:txPr>
    <a:bodyPr/>
    <a:lstStyle/>
    <a:p>
      <a:pPr>
        <a:defRPr sz="1000" b="0" i="0" u="none" strike="noStrike" baseline="0">
          <a:solidFill>
            <a:srgbClr val="595959"/>
          </a:solidFill>
          <a:latin typeface="Arial Narrow"/>
          <a:ea typeface="Arial Narrow"/>
          <a:cs typeface="Arial Narrow"/>
        </a:defRPr>
      </a:pPr>
      <a:endParaRPr lang="en-US"/>
    </a:p>
  </c:txPr>
  <c:printSettings>
    <c:headerFooter alignWithMargins="0"/>
    <c:pageMargins b="1" l="0.75000000000000111" r="0.75000000000000111" t="1" header="0.5" footer="0.5"/>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016886991188158"/>
          <c:y val="8.7500000000000008E-2"/>
          <c:w val="0.43470466257295393"/>
          <c:h val="0.69166008723851091"/>
        </c:manualLayout>
      </c:layout>
      <c:radarChart>
        <c:radarStyle val="marker"/>
        <c:varyColors val="0"/>
        <c:ser>
          <c:idx val="0"/>
          <c:order val="0"/>
          <c:tx>
            <c:strRef>
              <c:f>'W.EUR OTHER'!$W$23</c:f>
              <c:strCache>
                <c:ptCount val="1"/>
                <c:pt idx="0">
                  <c:v>W. Europe Cellular</c:v>
                </c:pt>
              </c:strCache>
            </c:strRef>
          </c:tx>
          <c:spPr>
            <a:ln w="25400">
              <a:solidFill>
                <a:srgbClr val="263238"/>
              </a:solidFill>
              <a:prstDash val="solid"/>
            </a:ln>
            <a:effectLst/>
          </c:spPr>
          <c:marker>
            <c:symbol val="diamond"/>
            <c:size val="6"/>
            <c:spPr>
              <a:solidFill>
                <a:srgbClr val="263238"/>
              </a:solidFill>
              <a:ln w="6350">
                <a:noFill/>
              </a:ln>
            </c:spPr>
          </c:marker>
          <c:cat>
            <c:strRef>
              <c:f>'W.EUR OTHER'!$V$24:$V$33</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'W.EUR OTHER'!$W$24:$W$33</c:f>
              <c:numCache>
                <c:formatCode>0%</c:formatCode>
                <c:ptCount val="10"/>
                <c:pt idx="0">
                  <c:v>0.66806267134015396</c:v>
                </c:pt>
                <c:pt idx="1">
                  <c:v>0.75512493940277614</c:v>
                </c:pt>
                <c:pt idx="2">
                  <c:v>1.0497947698753927</c:v>
                </c:pt>
                <c:pt idx="3">
                  <c:v>1.0137428095513561</c:v>
                </c:pt>
                <c:pt idx="4">
                  <c:v>0.50443192688144245</c:v>
                </c:pt>
                <c:pt idx="5">
                  <c:v>0.50706038172107748</c:v>
                </c:pt>
                <c:pt idx="6">
                  <c:v>1.662462179617697</c:v>
                </c:pt>
                <c:pt idx="7">
                  <c:v>0.94192348242802271</c:v>
                </c:pt>
                <c:pt idx="8">
                  <c:v>0.95013749309312734</c:v>
                </c:pt>
                <c:pt idx="9">
                  <c:v>1.662462179617697</c:v>
                </c:pt>
              </c:numCache>
            </c:numRef>
          </c:val>
          <c:extLst>
            <c:ext xmlns:c16="http://schemas.microsoft.com/office/drawing/2014/chart" uri="{C3380CC4-5D6E-409C-BE32-E72D297353CC}">
              <c16:uniqueId val="{00000000-2E69-4BE9-8E57-B431A8350406}"/>
            </c:ext>
          </c:extLst>
        </c:ser>
        <c:ser>
          <c:idx val="1"/>
          <c:order val="1"/>
          <c:tx>
            <c:strRef>
              <c:f>'W.EUR OTHER'!$X$23</c:f>
              <c:strCache>
                <c:ptCount val="1"/>
                <c:pt idx="0">
                  <c:v>DM Aggregate</c:v>
                </c:pt>
              </c:strCache>
            </c:strRef>
          </c:tx>
          <c:spPr>
            <a:ln w="25400">
              <a:solidFill>
                <a:srgbClr val="799098"/>
              </a:solidFill>
              <a:prstDash val="solid"/>
            </a:ln>
            <a:effectLst/>
          </c:spPr>
          <c:marker>
            <c:symbol val="diamond"/>
            <c:size val="6"/>
            <c:spPr>
              <a:solidFill>
                <a:srgbClr val="799098"/>
              </a:solidFill>
              <a:ln w="6350">
                <a:noFill/>
              </a:ln>
            </c:spPr>
          </c:marker>
          <c:cat>
            <c:strRef>
              <c:f>'W.EUR OTHER'!$V$24:$V$33</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'W.EUR OTHER'!$X$24:$X$33</c:f>
              <c:numCache>
                <c:formatCode>0%</c:formatCode>
                <c:ptCount val="10"/>
                <c:pt idx="0">
                  <c:v>1</c:v>
                </c:pt>
                <c:pt idx="1">
                  <c:v>1</c:v>
                </c:pt>
                <c:pt idx="2">
                  <c:v>1</c:v>
                </c:pt>
                <c:pt idx="3">
                  <c:v>1</c:v>
                </c:pt>
                <c:pt idx="4">
                  <c:v>1</c:v>
                </c:pt>
                <c:pt idx="5">
                  <c:v>1</c:v>
                </c:pt>
                <c:pt idx="6">
                  <c:v>1</c:v>
                </c:pt>
                <c:pt idx="7">
                  <c:v>1</c:v>
                </c:pt>
                <c:pt idx="8">
                  <c:v>1</c:v>
                </c:pt>
                <c:pt idx="9">
                  <c:v>1</c:v>
                </c:pt>
              </c:numCache>
            </c:numRef>
          </c:val>
          <c:extLst>
            <c:ext xmlns:c16="http://schemas.microsoft.com/office/drawing/2014/chart" uri="{C3380CC4-5D6E-409C-BE32-E72D297353CC}">
              <c16:uniqueId val="{00000001-2E69-4BE9-8E57-B431A8350406}"/>
            </c:ext>
          </c:extLst>
        </c:ser>
        <c:dLbls>
          <c:showLegendKey val="0"/>
          <c:showVal val="0"/>
          <c:showCatName val="0"/>
          <c:showSerName val="0"/>
          <c:showPercent val="0"/>
          <c:showBubbleSize val="0"/>
        </c:dLbls>
        <c:axId val="350157440"/>
        <c:axId val="350561024"/>
      </c:radarChart>
      <c:catAx>
        <c:axId val="350157440"/>
        <c:scaling>
          <c:orientation val="minMax"/>
        </c:scaling>
        <c:delete val="0"/>
        <c:axPos val="b"/>
        <c:numFmt formatCode="General" sourceLinked="1"/>
        <c:majorTickMark val="out"/>
        <c:minorTickMark val="none"/>
        <c:tickLblPos val="nextTo"/>
        <c:spPr>
          <a:ln>
            <a:solidFill>
              <a:srgbClr val="B3B3B3"/>
            </a:solidFill>
          </a:ln>
        </c:spPr>
        <c:txPr>
          <a:bodyPr rot="0" vert="horz"/>
          <a:lstStyle/>
          <a:p>
            <a:pPr>
              <a:defRPr/>
            </a:pPr>
            <a:endParaRPr lang="en-US"/>
          </a:p>
        </c:txPr>
        <c:crossAx val="350561024"/>
        <c:crosses val="autoZero"/>
        <c:auto val="0"/>
        <c:lblAlgn val="ctr"/>
        <c:lblOffset val="100"/>
        <c:noMultiLvlLbl val="0"/>
      </c:catAx>
      <c:valAx>
        <c:axId val="350561024"/>
        <c:scaling>
          <c:orientation val="minMax"/>
        </c:scaling>
        <c:delete val="0"/>
        <c:axPos val="l"/>
        <c:numFmt formatCode="0%" sourceLinked="1"/>
        <c:majorTickMark val="cross"/>
        <c:minorTickMark val="none"/>
        <c:tickLblPos val="nextTo"/>
        <c:spPr>
          <a:ln w="3175">
            <a:solidFill>
              <a:srgbClr val="B3B3B3"/>
            </a:solidFill>
            <a:prstDash val="solid"/>
          </a:ln>
        </c:spPr>
        <c:txPr>
          <a:bodyPr rot="0" vert="horz"/>
          <a:lstStyle/>
          <a:p>
            <a:pPr>
              <a:defRPr/>
            </a:pPr>
            <a:endParaRPr lang="en-US"/>
          </a:p>
        </c:txPr>
        <c:crossAx val="350157440"/>
        <c:crosses val="autoZero"/>
        <c:crossBetween val="between"/>
      </c:valAx>
      <c:spPr>
        <a:noFill/>
        <a:ln w="25400">
          <a:noFill/>
        </a:ln>
      </c:spPr>
    </c:plotArea>
    <c:legend>
      <c:legendPos val="b"/>
      <c:overlay val="0"/>
      <c:spPr>
        <a:noFill/>
        <a:ln w="25400">
          <a:noFill/>
        </a:ln>
      </c:spPr>
    </c:legend>
    <c:plotVisOnly val="1"/>
    <c:dispBlanksAs val="gap"/>
    <c:showDLblsOverMax val="0"/>
  </c:chart>
  <c:spPr>
    <a:noFill/>
    <a:ln w="25400">
      <a:noFill/>
    </a:ln>
    <a:effectLst/>
  </c:spPr>
  <c:txPr>
    <a:bodyPr/>
    <a:lstStyle/>
    <a:p>
      <a:pPr>
        <a:defRPr sz="1000" b="0" i="0" u="none" strike="noStrike" baseline="0">
          <a:solidFill>
            <a:srgbClr val="595959"/>
          </a:solidFill>
          <a:latin typeface="Arial Narrow"/>
          <a:ea typeface="Arial Narrow"/>
          <a:cs typeface="Arial Narrow"/>
        </a:defRPr>
      </a:pPr>
      <a:endParaRPr lang="en-US"/>
    </a:p>
  </c:txPr>
  <c:printSettings>
    <c:headerFooter alignWithMargins="0"/>
    <c:pageMargins b="1" l="0.75000000000000111" r="0.75000000000000111" t="1" header="0.5" footer="0.5"/>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8219509329203551"/>
          <c:y val="6.8750000000000019E-2"/>
          <c:w val="0.45197586208062596"/>
          <c:h val="0.71914035231660978"/>
        </c:manualLayout>
      </c:layout>
      <c:radarChart>
        <c:radarStyle val="marker"/>
        <c:varyColors val="0"/>
        <c:ser>
          <c:idx val="0"/>
          <c:order val="0"/>
          <c:tx>
            <c:strRef>
              <c:f>'W.EUR TOWER'!$W$23</c:f>
              <c:strCache>
                <c:ptCount val="1"/>
                <c:pt idx="0">
                  <c:v>W. Europe Altnet</c:v>
                </c:pt>
              </c:strCache>
            </c:strRef>
          </c:tx>
          <c:spPr>
            <a:ln w="25400">
              <a:solidFill>
                <a:srgbClr val="263238"/>
              </a:solidFill>
              <a:prstDash val="solid"/>
            </a:ln>
            <a:effectLst/>
          </c:spPr>
          <c:marker>
            <c:symbol val="diamond"/>
            <c:size val="6"/>
            <c:spPr>
              <a:solidFill>
                <a:srgbClr val="263238"/>
              </a:solidFill>
              <a:ln w="6350">
                <a:noFill/>
              </a:ln>
            </c:spPr>
          </c:marker>
          <c:cat>
            <c:strRef>
              <c:f>'W.EUR TOWER'!$V$24:$V$33</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'W.EUR TOWER'!$W$24:$W$33</c:f>
              <c:numCache>
                <c:formatCode>0%</c:formatCode>
                <c:ptCount val="10"/>
                <c:pt idx="0">
                  <c:v>4.5329776564608641</c:v>
                </c:pt>
                <c:pt idx="1">
                  <c:v>2.8344256565580825</c:v>
                </c:pt>
                <c:pt idx="2">
                  <c:v>4.067802350428142</c:v>
                </c:pt>
                <c:pt idx="3">
                  <c:v>3.855890505104421</c:v>
                </c:pt>
                <c:pt idx="4">
                  <c:v>0</c:v>
                </c:pt>
                <c:pt idx="5">
                  <c:v>0</c:v>
                </c:pt>
                <c:pt idx="6">
                  <c:v>6.2353525836310073</c:v>
                </c:pt>
                <c:pt idx="7">
                  <c:v>13.478849743237634</c:v>
                </c:pt>
                <c:pt idx="8">
                  <c:v>2.7222495262256681</c:v>
                </c:pt>
                <c:pt idx="9">
                  <c:v>6.2353525836310073</c:v>
                </c:pt>
              </c:numCache>
            </c:numRef>
          </c:val>
          <c:extLst>
            <c:ext xmlns:c16="http://schemas.microsoft.com/office/drawing/2014/chart" uri="{C3380CC4-5D6E-409C-BE32-E72D297353CC}">
              <c16:uniqueId val="{00000000-F2A4-4D99-8EA6-E639F181611B}"/>
            </c:ext>
          </c:extLst>
        </c:ser>
        <c:ser>
          <c:idx val="1"/>
          <c:order val="1"/>
          <c:tx>
            <c:strRef>
              <c:f>'W.EUR TOWER'!$X$23</c:f>
              <c:strCache>
                <c:ptCount val="1"/>
                <c:pt idx="0">
                  <c:v>DM Aggregate</c:v>
                </c:pt>
              </c:strCache>
            </c:strRef>
          </c:tx>
          <c:spPr>
            <a:ln w="25400">
              <a:solidFill>
                <a:srgbClr val="799098"/>
              </a:solidFill>
              <a:prstDash val="solid"/>
            </a:ln>
            <a:effectLst/>
          </c:spPr>
          <c:marker>
            <c:symbol val="diamond"/>
            <c:size val="6"/>
            <c:spPr>
              <a:solidFill>
                <a:srgbClr val="799098"/>
              </a:solidFill>
              <a:ln w="6350">
                <a:noFill/>
              </a:ln>
            </c:spPr>
          </c:marker>
          <c:cat>
            <c:strRef>
              <c:f>'W.EUR TOWER'!$V$24:$V$33</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'W.EUR TOWER'!$X$24:$X$33</c:f>
              <c:numCache>
                <c:formatCode>0%</c:formatCode>
                <c:ptCount val="10"/>
                <c:pt idx="0">
                  <c:v>1</c:v>
                </c:pt>
                <c:pt idx="1">
                  <c:v>1</c:v>
                </c:pt>
                <c:pt idx="2">
                  <c:v>1</c:v>
                </c:pt>
                <c:pt idx="3">
                  <c:v>1</c:v>
                </c:pt>
                <c:pt idx="4">
                  <c:v>1</c:v>
                </c:pt>
                <c:pt idx="5">
                  <c:v>1</c:v>
                </c:pt>
                <c:pt idx="6">
                  <c:v>1</c:v>
                </c:pt>
                <c:pt idx="7">
                  <c:v>1</c:v>
                </c:pt>
                <c:pt idx="8">
                  <c:v>1</c:v>
                </c:pt>
                <c:pt idx="9">
                  <c:v>1</c:v>
                </c:pt>
              </c:numCache>
            </c:numRef>
          </c:val>
          <c:extLst>
            <c:ext xmlns:c16="http://schemas.microsoft.com/office/drawing/2014/chart" uri="{C3380CC4-5D6E-409C-BE32-E72D297353CC}">
              <c16:uniqueId val="{00000001-F2A4-4D99-8EA6-E639F181611B}"/>
            </c:ext>
          </c:extLst>
        </c:ser>
        <c:dLbls>
          <c:showLegendKey val="0"/>
          <c:showVal val="0"/>
          <c:showCatName val="0"/>
          <c:showSerName val="0"/>
          <c:showPercent val="0"/>
          <c:showBubbleSize val="0"/>
        </c:dLbls>
        <c:axId val="353080832"/>
        <c:axId val="353082752"/>
      </c:radarChart>
      <c:catAx>
        <c:axId val="353080832"/>
        <c:scaling>
          <c:orientation val="minMax"/>
        </c:scaling>
        <c:delete val="0"/>
        <c:axPos val="b"/>
        <c:numFmt formatCode="General" sourceLinked="1"/>
        <c:majorTickMark val="out"/>
        <c:minorTickMark val="none"/>
        <c:tickLblPos val="nextTo"/>
        <c:spPr>
          <a:ln>
            <a:solidFill>
              <a:srgbClr val="B3B3B3"/>
            </a:solidFill>
          </a:ln>
        </c:spPr>
        <c:txPr>
          <a:bodyPr rot="0" vert="horz"/>
          <a:lstStyle/>
          <a:p>
            <a:pPr>
              <a:defRPr/>
            </a:pPr>
            <a:endParaRPr lang="en-US"/>
          </a:p>
        </c:txPr>
        <c:crossAx val="353082752"/>
        <c:crosses val="autoZero"/>
        <c:auto val="0"/>
        <c:lblAlgn val="ctr"/>
        <c:lblOffset val="100"/>
        <c:noMultiLvlLbl val="0"/>
      </c:catAx>
      <c:valAx>
        <c:axId val="353082752"/>
        <c:scaling>
          <c:orientation val="minMax"/>
          <c:max val="4"/>
          <c:min val="-4"/>
        </c:scaling>
        <c:delete val="0"/>
        <c:axPos val="l"/>
        <c:numFmt formatCode="0%" sourceLinked="1"/>
        <c:majorTickMark val="cross"/>
        <c:minorTickMark val="none"/>
        <c:tickLblPos val="nextTo"/>
        <c:spPr>
          <a:ln w="3175">
            <a:solidFill>
              <a:srgbClr val="B3B3B3"/>
            </a:solidFill>
            <a:prstDash val="solid"/>
          </a:ln>
        </c:spPr>
        <c:txPr>
          <a:bodyPr rot="0" vert="horz"/>
          <a:lstStyle/>
          <a:p>
            <a:pPr>
              <a:defRPr/>
            </a:pPr>
            <a:endParaRPr lang="en-US"/>
          </a:p>
        </c:txPr>
        <c:crossAx val="353080832"/>
        <c:crosses val="autoZero"/>
        <c:crossBetween val="between"/>
      </c:valAx>
      <c:spPr>
        <a:noFill/>
        <a:ln w="25400">
          <a:noFill/>
        </a:ln>
      </c:spPr>
    </c:plotArea>
    <c:legend>
      <c:legendPos val="b"/>
      <c:overlay val="0"/>
      <c:spPr>
        <a:noFill/>
        <a:ln w="25400">
          <a:noFill/>
        </a:ln>
      </c:spPr>
    </c:legend>
    <c:plotVisOnly val="1"/>
    <c:dispBlanksAs val="gap"/>
    <c:showDLblsOverMax val="0"/>
  </c:chart>
  <c:spPr>
    <a:noFill/>
    <a:ln w="25400">
      <a:noFill/>
    </a:ln>
    <a:effectLst/>
  </c:spPr>
  <c:txPr>
    <a:bodyPr/>
    <a:lstStyle/>
    <a:p>
      <a:pPr>
        <a:defRPr sz="1000" b="0" i="0" u="none" strike="noStrike" baseline="0">
          <a:solidFill>
            <a:srgbClr val="595959"/>
          </a:solidFill>
          <a:latin typeface="Arial Narrow"/>
          <a:ea typeface="Arial Narrow"/>
          <a:cs typeface="Arial Narrow"/>
        </a:defRPr>
      </a:pPr>
      <a:endParaRPr lang="en-US"/>
    </a:p>
  </c:txPr>
  <c:printSettings>
    <c:headerFooter alignWithMargins="0"/>
    <c:pageMargins b="1" l="0.75000000000000111" r="0.75000000000000111" t="1" header="0.5" footer="0.5"/>
    <c:pageSetup orientation="landscape"/>
  </c:printSettings>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0645191458613674"/>
          <c:y val="7.6470698056494313E-2"/>
          <c:w val="0.50201662323650054"/>
          <c:h val="0.73235399292565617"/>
        </c:manualLayout>
      </c:layout>
      <c:radarChart>
        <c:radarStyle val="marker"/>
        <c:varyColors val="0"/>
        <c:ser>
          <c:idx val="1"/>
          <c:order val="0"/>
          <c:tx>
            <c:strRef>
              <c:f>'W.EUR AGG'!$X$23</c:f>
              <c:strCache>
                <c:ptCount val="1"/>
                <c:pt idx="0">
                  <c:v>Other</c:v>
                </c:pt>
              </c:strCache>
            </c:strRef>
          </c:tx>
          <c:spPr>
            <a:ln w="25400">
              <a:solidFill>
                <a:srgbClr val="263238"/>
              </a:solidFill>
              <a:prstDash val="solid"/>
            </a:ln>
            <a:effectLst/>
          </c:spPr>
          <c:marker>
            <c:symbol val="diamond"/>
            <c:size val="6"/>
            <c:spPr>
              <a:solidFill>
                <a:srgbClr val="263238"/>
              </a:solidFill>
              <a:ln w="6350">
                <a:noFill/>
              </a:ln>
            </c:spPr>
          </c:marker>
          <c:cat>
            <c:strRef>
              <c:f>'W.EUR AGG'!$V$24:$V$33</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'W.EUR AGG'!$X$24:$X$33</c:f>
              <c:numCache>
                <c:formatCode>_-* #,##0.0_-;\-* #,##0.0_-;_-* "-"?_-;_-@_-</c:formatCode>
                <c:ptCount val="10"/>
                <c:pt idx="0">
                  <c:v>0.66806267134015396</c:v>
                </c:pt>
                <c:pt idx="1">
                  <c:v>0.75512493940277614</c:v>
                </c:pt>
                <c:pt idx="2">
                  <c:v>1.0497947698753927</c:v>
                </c:pt>
                <c:pt idx="3">
                  <c:v>1.0137428095513561</c:v>
                </c:pt>
                <c:pt idx="4">
                  <c:v>0.50443192688144245</c:v>
                </c:pt>
                <c:pt idx="5">
                  <c:v>0.50706038172107748</c:v>
                </c:pt>
                <c:pt idx="6">
                  <c:v>1.662462179617697</c:v>
                </c:pt>
                <c:pt idx="7">
                  <c:v>0.94192348242802271</c:v>
                </c:pt>
                <c:pt idx="8" formatCode="0%">
                  <c:v>1.0093749970189687</c:v>
                </c:pt>
                <c:pt idx="9" formatCode="0%">
                  <c:v>1.840519836962766</c:v>
                </c:pt>
              </c:numCache>
            </c:numRef>
          </c:val>
          <c:extLst>
            <c:ext xmlns:c16="http://schemas.microsoft.com/office/drawing/2014/chart" uri="{C3380CC4-5D6E-409C-BE32-E72D297353CC}">
              <c16:uniqueId val="{00000001-DE79-4784-85E5-0C247A00D407}"/>
            </c:ext>
          </c:extLst>
        </c:ser>
        <c:ser>
          <c:idx val="2"/>
          <c:order val="1"/>
          <c:tx>
            <c:strRef>
              <c:f>'W.EUR AGG'!$Y$23</c:f>
              <c:strCache>
                <c:ptCount val="1"/>
                <c:pt idx="0">
                  <c:v>Incumbents</c:v>
                </c:pt>
              </c:strCache>
            </c:strRef>
          </c:tx>
          <c:spPr>
            <a:ln w="25400">
              <a:solidFill>
                <a:srgbClr val="F9663E"/>
              </a:solidFill>
              <a:prstDash val="solid"/>
            </a:ln>
            <a:effectLst/>
          </c:spPr>
          <c:marker>
            <c:symbol val="diamond"/>
            <c:size val="6"/>
            <c:spPr>
              <a:solidFill>
                <a:srgbClr val="F9663E"/>
              </a:solidFill>
              <a:ln w="6350">
                <a:noFill/>
              </a:ln>
            </c:spPr>
          </c:marker>
          <c:cat>
            <c:strRef>
              <c:f>'W.EUR AGG'!$V$24:$V$33</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'W.EUR AGG'!$Y$24:$Y$33</c:f>
              <c:numCache>
                <c:formatCode>_-* #,##0.0_-;\-* #,##0.0_-;_-* "-"?_-;_-@_-</c:formatCode>
                <c:ptCount val="10"/>
                <c:pt idx="0">
                  <c:v>0.95131422664591903</c:v>
                </c:pt>
                <c:pt idx="1">
                  <c:v>0.95279741506841864</c:v>
                </c:pt>
                <c:pt idx="2">
                  <c:v>1.0524272570709974</c:v>
                </c:pt>
                <c:pt idx="3">
                  <c:v>0.99809830863770099</c:v>
                </c:pt>
                <c:pt idx="4">
                  <c:v>0.97465464683071068</c:v>
                </c:pt>
                <c:pt idx="5">
                  <c:v>1.0184069982631847</c:v>
                </c:pt>
                <c:pt idx="6">
                  <c:v>1.2813897383836728</c:v>
                </c:pt>
                <c:pt idx="7">
                  <c:v>0.99474192301155651</c:v>
                </c:pt>
                <c:pt idx="8" formatCode="0%">
                  <c:v>0.87792225155244941</c:v>
                </c:pt>
                <c:pt idx="9" formatCode="0%">
                  <c:v>1.4186327131472105</c:v>
                </c:pt>
              </c:numCache>
            </c:numRef>
          </c:val>
          <c:extLst>
            <c:ext xmlns:c16="http://schemas.microsoft.com/office/drawing/2014/chart" uri="{C3380CC4-5D6E-409C-BE32-E72D297353CC}">
              <c16:uniqueId val="{00000002-DE79-4784-85E5-0C247A00D407}"/>
            </c:ext>
          </c:extLst>
        </c:ser>
        <c:ser>
          <c:idx val="3"/>
          <c:order val="2"/>
          <c:tx>
            <c:strRef>
              <c:f>'W.EUR AGG'!$Z$23</c:f>
              <c:strCache>
                <c:ptCount val="1"/>
                <c:pt idx="0">
                  <c:v>Sector</c:v>
                </c:pt>
              </c:strCache>
            </c:strRef>
          </c:tx>
          <c:spPr>
            <a:ln w="25400">
              <a:solidFill>
                <a:srgbClr val="C7FE02"/>
              </a:solidFill>
              <a:prstDash val="solid"/>
            </a:ln>
            <a:effectLst/>
          </c:spPr>
          <c:marker>
            <c:symbol val="diamond"/>
            <c:size val="6"/>
            <c:spPr>
              <a:solidFill>
                <a:srgbClr val="C7FE02"/>
              </a:solidFill>
              <a:ln w="6350">
                <a:noFill/>
              </a:ln>
            </c:spPr>
          </c:marker>
          <c:cat>
            <c:strRef>
              <c:f>'W.EUR AGG'!$V$24:$V$33</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'W.EUR AGG'!$Z$24:$Z$33</c:f>
              <c:numCache>
                <c:formatCode>0%</c:formatCode>
                <c:ptCount val="10"/>
                <c:pt idx="0">
                  <c:v>1</c:v>
                </c:pt>
                <c:pt idx="1">
                  <c:v>1</c:v>
                </c:pt>
                <c:pt idx="2">
                  <c:v>1</c:v>
                </c:pt>
                <c:pt idx="3">
                  <c:v>1</c:v>
                </c:pt>
                <c:pt idx="4">
                  <c:v>1</c:v>
                </c:pt>
                <c:pt idx="5">
                  <c:v>1</c:v>
                </c:pt>
                <c:pt idx="6">
                  <c:v>1</c:v>
                </c:pt>
                <c:pt idx="7">
                  <c:v>1</c:v>
                </c:pt>
                <c:pt idx="8">
                  <c:v>1</c:v>
                </c:pt>
                <c:pt idx="9">
                  <c:v>1</c:v>
                </c:pt>
              </c:numCache>
            </c:numRef>
          </c:val>
          <c:extLst>
            <c:ext xmlns:c16="http://schemas.microsoft.com/office/drawing/2014/chart" uri="{C3380CC4-5D6E-409C-BE32-E72D297353CC}">
              <c16:uniqueId val="{00000003-DE79-4784-85E5-0C247A00D407}"/>
            </c:ext>
          </c:extLst>
        </c:ser>
        <c:dLbls>
          <c:showLegendKey val="0"/>
          <c:showVal val="0"/>
          <c:showCatName val="0"/>
          <c:showSerName val="0"/>
          <c:showPercent val="0"/>
          <c:showBubbleSize val="0"/>
        </c:dLbls>
        <c:axId val="350241536"/>
        <c:axId val="350243456"/>
      </c:radarChart>
      <c:catAx>
        <c:axId val="350241536"/>
        <c:scaling>
          <c:orientation val="minMax"/>
        </c:scaling>
        <c:delete val="0"/>
        <c:axPos val="b"/>
        <c:numFmt formatCode="General" sourceLinked="1"/>
        <c:majorTickMark val="out"/>
        <c:minorTickMark val="none"/>
        <c:tickLblPos val="nextTo"/>
        <c:spPr>
          <a:ln>
            <a:solidFill>
              <a:srgbClr val="B3B3B3"/>
            </a:solidFill>
          </a:ln>
        </c:spPr>
        <c:txPr>
          <a:bodyPr rot="0" vert="horz"/>
          <a:lstStyle/>
          <a:p>
            <a:pPr>
              <a:defRPr/>
            </a:pPr>
            <a:endParaRPr lang="en-US"/>
          </a:p>
        </c:txPr>
        <c:crossAx val="350243456"/>
        <c:crosses val="autoZero"/>
        <c:auto val="0"/>
        <c:lblAlgn val="ctr"/>
        <c:lblOffset val="100"/>
        <c:noMultiLvlLbl val="0"/>
      </c:catAx>
      <c:valAx>
        <c:axId val="350243456"/>
        <c:scaling>
          <c:orientation val="minMax"/>
          <c:max val="2"/>
          <c:min val="-1"/>
        </c:scaling>
        <c:delete val="0"/>
        <c:axPos val="l"/>
        <c:numFmt formatCode="_-* #,##0.0_-;\-* #,##0.0_-;_-* &quot;-&quot;?_-;_-@_-" sourceLinked="1"/>
        <c:majorTickMark val="cross"/>
        <c:minorTickMark val="none"/>
        <c:tickLblPos val="nextTo"/>
        <c:spPr>
          <a:ln w="3175">
            <a:solidFill>
              <a:srgbClr val="B3B3B3"/>
            </a:solidFill>
            <a:prstDash val="solid"/>
          </a:ln>
        </c:spPr>
        <c:txPr>
          <a:bodyPr rot="0" vert="horz"/>
          <a:lstStyle/>
          <a:p>
            <a:pPr>
              <a:defRPr/>
            </a:pPr>
            <a:endParaRPr lang="en-US"/>
          </a:p>
        </c:txPr>
        <c:crossAx val="350241536"/>
        <c:crosses val="autoZero"/>
        <c:crossBetween val="between"/>
      </c:valAx>
      <c:spPr>
        <a:noFill/>
        <a:ln w="25400">
          <a:noFill/>
        </a:ln>
      </c:spPr>
    </c:plotArea>
    <c:legend>
      <c:legendPos val="b"/>
      <c:overlay val="0"/>
      <c:spPr>
        <a:noFill/>
        <a:ln w="25400">
          <a:noFill/>
        </a:ln>
      </c:spPr>
    </c:legend>
    <c:plotVisOnly val="1"/>
    <c:dispBlanksAs val="gap"/>
    <c:showDLblsOverMax val="0"/>
  </c:chart>
  <c:spPr>
    <a:noFill/>
    <a:ln w="25400">
      <a:noFill/>
    </a:ln>
    <a:effectLst/>
  </c:spPr>
  <c:txPr>
    <a:bodyPr/>
    <a:lstStyle/>
    <a:p>
      <a:pPr>
        <a:defRPr sz="1000" b="0" i="0" u="none" strike="noStrike" baseline="0">
          <a:solidFill>
            <a:srgbClr val="595959"/>
          </a:solidFill>
          <a:latin typeface="Arial Narrow"/>
          <a:ea typeface="Arial Narrow"/>
          <a:cs typeface="Arial Narrow"/>
        </a:defRPr>
      </a:pPr>
      <a:endParaRPr lang="en-US"/>
    </a:p>
  </c:txPr>
  <c:printSettings>
    <c:headerFooter alignWithMargins="0"/>
    <c:pageMargins b="1" l="0.75000000000000111" r="0.75000000000000111" t="1" header="0.5" footer="0.5"/>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0645191458613674"/>
          <c:y val="7.6470698056494313E-2"/>
          <c:w val="0.50201662323650054"/>
          <c:h val="0.73235399292565617"/>
        </c:manualLayout>
      </c:layout>
      <c:radarChart>
        <c:radarStyle val="marker"/>
        <c:varyColors val="0"/>
        <c:ser>
          <c:idx val="1"/>
          <c:order val="0"/>
          <c:tx>
            <c:strRef>
              <c:f>'W.EUR AGG (ex Towers)'!$X$23</c:f>
              <c:strCache>
                <c:ptCount val="1"/>
                <c:pt idx="0">
                  <c:v>Cellular</c:v>
                </c:pt>
              </c:strCache>
            </c:strRef>
          </c:tx>
          <c:spPr>
            <a:ln w="25400">
              <a:solidFill>
                <a:srgbClr val="263238"/>
              </a:solidFill>
              <a:prstDash val="solid"/>
            </a:ln>
            <a:effectLst/>
          </c:spPr>
          <c:marker>
            <c:symbol val="diamond"/>
            <c:size val="6"/>
            <c:spPr>
              <a:solidFill>
                <a:srgbClr val="263238"/>
              </a:solidFill>
              <a:ln w="6350">
                <a:noFill/>
              </a:ln>
            </c:spPr>
          </c:marker>
          <c:cat>
            <c:strRef>
              <c:f>'W.EUR AGG (ex Towers)'!$V$24:$V$33</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'W.EUR AGG (ex Towers)'!$X$24:$X$33</c:f>
              <c:numCache>
                <c:formatCode>_-* #,##0.0_-;\-* #,##0.0_-;_-* "-"?_-;_-@_-</c:formatCode>
                <c:ptCount val="10"/>
                <c:pt idx="0">
                  <c:v>0.66806267134015396</c:v>
                </c:pt>
                <c:pt idx="1">
                  <c:v>0.75512493940277614</c:v>
                </c:pt>
                <c:pt idx="2">
                  <c:v>1.0497947698753927</c:v>
                </c:pt>
                <c:pt idx="3">
                  <c:v>1.0137428095513561</c:v>
                </c:pt>
                <c:pt idx="4">
                  <c:v>0.50443192688144245</c:v>
                </c:pt>
                <c:pt idx="5">
                  <c:v>0.50706038172107748</c:v>
                </c:pt>
                <c:pt idx="6">
                  <c:v>1.662462179617697</c:v>
                </c:pt>
                <c:pt idx="7">
                  <c:v>0.94192348242802271</c:v>
                </c:pt>
                <c:pt idx="8" formatCode="0%">
                  <c:v>1.0093749970189687</c:v>
                </c:pt>
                <c:pt idx="9" formatCode="0%">
                  <c:v>1.840519836962766</c:v>
                </c:pt>
              </c:numCache>
            </c:numRef>
          </c:val>
          <c:extLst>
            <c:ext xmlns:c16="http://schemas.microsoft.com/office/drawing/2014/chart" uri="{C3380CC4-5D6E-409C-BE32-E72D297353CC}">
              <c16:uniqueId val="{00000001-7A4C-4F75-AF9E-785AEAA047A1}"/>
            </c:ext>
          </c:extLst>
        </c:ser>
        <c:ser>
          <c:idx val="2"/>
          <c:order val="1"/>
          <c:tx>
            <c:strRef>
              <c:f>'W.EUR AGG (ex Towers)'!$Y$23</c:f>
              <c:strCache>
                <c:ptCount val="1"/>
                <c:pt idx="0">
                  <c:v>Incumbents</c:v>
                </c:pt>
              </c:strCache>
            </c:strRef>
          </c:tx>
          <c:spPr>
            <a:ln w="25400">
              <a:solidFill>
                <a:srgbClr val="F9663E"/>
              </a:solidFill>
              <a:prstDash val="solid"/>
            </a:ln>
            <a:effectLst/>
          </c:spPr>
          <c:marker>
            <c:symbol val="diamond"/>
            <c:size val="6"/>
            <c:spPr>
              <a:solidFill>
                <a:srgbClr val="F9663E"/>
              </a:solidFill>
              <a:ln w="6350">
                <a:noFill/>
              </a:ln>
            </c:spPr>
          </c:marker>
          <c:cat>
            <c:strRef>
              <c:f>'W.EUR AGG (ex Towers)'!$V$24:$V$33</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'W.EUR AGG (ex Towers)'!$Y$24:$Y$33</c:f>
              <c:numCache>
                <c:formatCode>_-* #,##0.0_-;\-* #,##0.0_-;_-* "-"?_-;_-@_-</c:formatCode>
                <c:ptCount val="10"/>
                <c:pt idx="0">
                  <c:v>0.95131422664591903</c:v>
                </c:pt>
                <c:pt idx="1">
                  <c:v>0.95279741506841864</c:v>
                </c:pt>
                <c:pt idx="2">
                  <c:v>1.0524272570709974</c:v>
                </c:pt>
                <c:pt idx="3">
                  <c:v>0.99809830863770099</c:v>
                </c:pt>
                <c:pt idx="4">
                  <c:v>0.97465464683071068</c:v>
                </c:pt>
                <c:pt idx="5">
                  <c:v>1.0184069982631847</c:v>
                </c:pt>
                <c:pt idx="6">
                  <c:v>1.2813897383836728</c:v>
                </c:pt>
                <c:pt idx="7">
                  <c:v>0.99474192301155651</c:v>
                </c:pt>
                <c:pt idx="8" formatCode="0%">
                  <c:v>0.87792225155244941</c:v>
                </c:pt>
                <c:pt idx="9" formatCode="0%">
                  <c:v>1.4186327131472105</c:v>
                </c:pt>
              </c:numCache>
            </c:numRef>
          </c:val>
          <c:extLst>
            <c:ext xmlns:c16="http://schemas.microsoft.com/office/drawing/2014/chart" uri="{C3380CC4-5D6E-409C-BE32-E72D297353CC}">
              <c16:uniqueId val="{00000002-7A4C-4F75-AF9E-785AEAA047A1}"/>
            </c:ext>
          </c:extLst>
        </c:ser>
        <c:ser>
          <c:idx val="3"/>
          <c:order val="2"/>
          <c:tx>
            <c:strRef>
              <c:f>'W.EUR AGG (ex Towers)'!$Z$23</c:f>
              <c:strCache>
                <c:ptCount val="1"/>
                <c:pt idx="0">
                  <c:v>Sector</c:v>
                </c:pt>
              </c:strCache>
            </c:strRef>
          </c:tx>
          <c:spPr>
            <a:ln w="25400">
              <a:solidFill>
                <a:srgbClr val="C7FE02"/>
              </a:solidFill>
              <a:prstDash val="solid"/>
            </a:ln>
            <a:effectLst/>
          </c:spPr>
          <c:marker>
            <c:symbol val="diamond"/>
            <c:size val="6"/>
            <c:spPr>
              <a:solidFill>
                <a:srgbClr val="C7FE02"/>
              </a:solidFill>
              <a:ln w="6350">
                <a:noFill/>
              </a:ln>
            </c:spPr>
          </c:marker>
          <c:cat>
            <c:strRef>
              <c:f>'W.EUR AGG (ex Towers)'!$V$24:$V$33</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'W.EUR AGG (ex Towers)'!$Z$24:$Z$33</c:f>
              <c:numCache>
                <c:formatCode>0%</c:formatCode>
                <c:ptCount val="10"/>
                <c:pt idx="0">
                  <c:v>1</c:v>
                </c:pt>
                <c:pt idx="1">
                  <c:v>1</c:v>
                </c:pt>
                <c:pt idx="2">
                  <c:v>1</c:v>
                </c:pt>
                <c:pt idx="3">
                  <c:v>1</c:v>
                </c:pt>
                <c:pt idx="4">
                  <c:v>1</c:v>
                </c:pt>
                <c:pt idx="5">
                  <c:v>1</c:v>
                </c:pt>
                <c:pt idx="6">
                  <c:v>1</c:v>
                </c:pt>
                <c:pt idx="7">
                  <c:v>1</c:v>
                </c:pt>
                <c:pt idx="8">
                  <c:v>1</c:v>
                </c:pt>
                <c:pt idx="9">
                  <c:v>1</c:v>
                </c:pt>
              </c:numCache>
            </c:numRef>
          </c:val>
          <c:extLst>
            <c:ext xmlns:c16="http://schemas.microsoft.com/office/drawing/2014/chart" uri="{C3380CC4-5D6E-409C-BE32-E72D297353CC}">
              <c16:uniqueId val="{00000003-7A4C-4F75-AF9E-785AEAA047A1}"/>
            </c:ext>
          </c:extLst>
        </c:ser>
        <c:dLbls>
          <c:showLegendKey val="0"/>
          <c:showVal val="0"/>
          <c:showCatName val="0"/>
          <c:showSerName val="0"/>
          <c:showPercent val="0"/>
          <c:showBubbleSize val="0"/>
        </c:dLbls>
        <c:axId val="350351744"/>
        <c:axId val="350353664"/>
      </c:radarChart>
      <c:catAx>
        <c:axId val="350351744"/>
        <c:scaling>
          <c:orientation val="minMax"/>
        </c:scaling>
        <c:delete val="0"/>
        <c:axPos val="b"/>
        <c:numFmt formatCode="General" sourceLinked="1"/>
        <c:majorTickMark val="out"/>
        <c:minorTickMark val="none"/>
        <c:tickLblPos val="nextTo"/>
        <c:spPr>
          <a:ln>
            <a:solidFill>
              <a:srgbClr val="B3B3B3"/>
            </a:solidFill>
          </a:ln>
        </c:spPr>
        <c:txPr>
          <a:bodyPr rot="0" vert="horz"/>
          <a:lstStyle/>
          <a:p>
            <a:pPr>
              <a:defRPr/>
            </a:pPr>
            <a:endParaRPr lang="en-US"/>
          </a:p>
        </c:txPr>
        <c:crossAx val="350353664"/>
        <c:crosses val="autoZero"/>
        <c:auto val="0"/>
        <c:lblAlgn val="ctr"/>
        <c:lblOffset val="100"/>
        <c:noMultiLvlLbl val="0"/>
      </c:catAx>
      <c:valAx>
        <c:axId val="350353664"/>
        <c:scaling>
          <c:orientation val="minMax"/>
          <c:max val="2"/>
          <c:min val="-1"/>
        </c:scaling>
        <c:delete val="0"/>
        <c:axPos val="l"/>
        <c:numFmt formatCode="_-* #,##0.0_-;\-* #,##0.0_-;_-* &quot;-&quot;?_-;_-@_-" sourceLinked="1"/>
        <c:majorTickMark val="cross"/>
        <c:minorTickMark val="none"/>
        <c:tickLblPos val="nextTo"/>
        <c:spPr>
          <a:ln w="3175">
            <a:solidFill>
              <a:srgbClr val="B3B3B3"/>
            </a:solidFill>
            <a:prstDash val="solid"/>
          </a:ln>
        </c:spPr>
        <c:txPr>
          <a:bodyPr rot="0" vert="horz"/>
          <a:lstStyle/>
          <a:p>
            <a:pPr>
              <a:defRPr/>
            </a:pPr>
            <a:endParaRPr lang="en-US"/>
          </a:p>
        </c:txPr>
        <c:crossAx val="350351744"/>
        <c:crosses val="autoZero"/>
        <c:crossBetween val="between"/>
      </c:valAx>
      <c:spPr>
        <a:noFill/>
        <a:ln w="25400">
          <a:noFill/>
        </a:ln>
      </c:spPr>
    </c:plotArea>
    <c:legend>
      <c:legendPos val="b"/>
      <c:overlay val="0"/>
      <c:spPr>
        <a:noFill/>
        <a:ln w="25400">
          <a:noFill/>
        </a:ln>
      </c:spPr>
    </c:legend>
    <c:plotVisOnly val="1"/>
    <c:dispBlanksAs val="gap"/>
    <c:showDLblsOverMax val="0"/>
  </c:chart>
  <c:spPr>
    <a:noFill/>
    <a:ln w="25400">
      <a:noFill/>
    </a:ln>
    <a:effectLst/>
  </c:spPr>
  <c:txPr>
    <a:bodyPr/>
    <a:lstStyle/>
    <a:p>
      <a:pPr>
        <a:defRPr sz="1000" b="0" i="0" u="none" strike="noStrike" baseline="0">
          <a:solidFill>
            <a:srgbClr val="595959"/>
          </a:solidFill>
          <a:latin typeface="Arial Narrow"/>
          <a:ea typeface="Arial Narrow"/>
          <a:cs typeface="Arial Narrow"/>
        </a:defRPr>
      </a:pPr>
      <a:endParaRPr lang="en-US"/>
    </a:p>
  </c:txPr>
  <c:printSettings>
    <c:headerFooter alignWithMargins="0"/>
    <c:pageMargins b="1" l="0.75000000000000111" r="0.75000000000000111" t="1" header="0.5" footer="0.5"/>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2581901040786188"/>
          <c:y val="9.6875000000000044E-2"/>
          <c:w val="0.45245749616214381"/>
          <c:h val="0.71990668196411733"/>
        </c:manualLayout>
      </c:layout>
      <c:radarChart>
        <c:radarStyle val="marker"/>
        <c:varyColors val="0"/>
        <c:ser>
          <c:idx val="0"/>
          <c:order val="0"/>
          <c:tx>
            <c:strRef>
              <c:f>'DM ASIA INCUMB'!$W$23</c:f>
              <c:strCache>
                <c:ptCount val="1"/>
                <c:pt idx="0">
                  <c:v>DM Asia incumbents</c:v>
                </c:pt>
              </c:strCache>
            </c:strRef>
          </c:tx>
          <c:spPr>
            <a:ln w="25400">
              <a:solidFill>
                <a:srgbClr val="263238"/>
              </a:solidFill>
              <a:prstDash val="solid"/>
            </a:ln>
            <a:effectLst/>
          </c:spPr>
          <c:marker>
            <c:symbol val="diamond"/>
            <c:size val="6"/>
            <c:spPr>
              <a:solidFill>
                <a:srgbClr val="263238"/>
              </a:solidFill>
              <a:ln w="6350">
                <a:noFill/>
              </a:ln>
            </c:spPr>
          </c:marker>
          <c:cat>
            <c:strRef>
              <c:f>'DM ASIA INCUMB'!$V$24:$V$33</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'DM ASIA INCUMB'!$W$24:$W$33</c:f>
              <c:numCache>
                <c:formatCode>0%</c:formatCode>
                <c:ptCount val="10"/>
                <c:pt idx="0">
                  <c:v>6.0622710698574202E-2</c:v>
                </c:pt>
                <c:pt idx="1">
                  <c:v>6.396021613455187E-2</c:v>
                </c:pt>
                <c:pt idx="2">
                  <c:v>5.7912480949301334E-2</c:v>
                </c:pt>
                <c:pt idx="3">
                  <c:v>6.213861445988169E-2</c:v>
                </c:pt>
                <c:pt idx="4">
                  <c:v>5.4292111845753575E-2</c:v>
                </c:pt>
                <c:pt idx="5">
                  <c:v>5.6752560697528306E-2</c:v>
                </c:pt>
                <c:pt idx="6">
                  <c:v>0.92174386116872253</c:v>
                </c:pt>
                <c:pt idx="7">
                  <c:v>6.0218984610511603E-2</c:v>
                </c:pt>
                <c:pt idx="8">
                  <c:v>8.1132997824151232E-2</c:v>
                </c:pt>
                <c:pt idx="9">
                  <c:v>0.92174386116872264</c:v>
                </c:pt>
              </c:numCache>
            </c:numRef>
          </c:val>
          <c:extLst>
            <c:ext xmlns:c16="http://schemas.microsoft.com/office/drawing/2014/chart" uri="{C3380CC4-5D6E-409C-BE32-E72D297353CC}">
              <c16:uniqueId val="{00000000-0CDB-4D61-81B5-B08EB4C01372}"/>
            </c:ext>
          </c:extLst>
        </c:ser>
        <c:ser>
          <c:idx val="1"/>
          <c:order val="1"/>
          <c:tx>
            <c:strRef>
              <c:f>'DM ASIA INCUMB'!$X$23</c:f>
              <c:strCache>
                <c:ptCount val="1"/>
                <c:pt idx="0">
                  <c:v>Asia Aggregate</c:v>
                </c:pt>
              </c:strCache>
            </c:strRef>
          </c:tx>
          <c:spPr>
            <a:ln w="25400">
              <a:solidFill>
                <a:srgbClr val="799098"/>
              </a:solidFill>
              <a:prstDash val="solid"/>
            </a:ln>
            <a:effectLst/>
          </c:spPr>
          <c:marker>
            <c:symbol val="diamond"/>
            <c:size val="6"/>
            <c:spPr>
              <a:solidFill>
                <a:srgbClr val="799098"/>
              </a:solidFill>
              <a:ln w="6350">
                <a:noFill/>
              </a:ln>
            </c:spPr>
          </c:marker>
          <c:cat>
            <c:strRef>
              <c:f>'DM ASIA INCUMB'!$V$24:$V$33</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c:v>
                </c:pt>
              </c:strCache>
            </c:strRef>
          </c:cat>
          <c:val>
            <c:numRef>
              <c:f>'DM ASIA INCUMB'!$X$24:$X$33</c:f>
              <c:numCache>
                <c:formatCode>0%</c:formatCode>
                <c:ptCount val="10"/>
                <c:pt idx="0">
                  <c:v>1</c:v>
                </c:pt>
                <c:pt idx="1">
                  <c:v>1</c:v>
                </c:pt>
                <c:pt idx="2">
                  <c:v>1</c:v>
                </c:pt>
                <c:pt idx="3">
                  <c:v>1</c:v>
                </c:pt>
                <c:pt idx="4">
                  <c:v>1</c:v>
                </c:pt>
                <c:pt idx="5">
                  <c:v>1</c:v>
                </c:pt>
                <c:pt idx="6">
                  <c:v>1</c:v>
                </c:pt>
                <c:pt idx="7">
                  <c:v>1</c:v>
                </c:pt>
                <c:pt idx="8">
                  <c:v>1</c:v>
                </c:pt>
                <c:pt idx="9">
                  <c:v>1</c:v>
                </c:pt>
              </c:numCache>
            </c:numRef>
          </c:val>
          <c:extLst>
            <c:ext xmlns:c16="http://schemas.microsoft.com/office/drawing/2014/chart" uri="{C3380CC4-5D6E-409C-BE32-E72D297353CC}">
              <c16:uniqueId val="{00000001-0CDB-4D61-81B5-B08EB4C01372}"/>
            </c:ext>
          </c:extLst>
        </c:ser>
        <c:dLbls>
          <c:showLegendKey val="0"/>
          <c:showVal val="0"/>
          <c:showCatName val="0"/>
          <c:showSerName val="0"/>
          <c:showPercent val="0"/>
          <c:showBubbleSize val="0"/>
        </c:dLbls>
        <c:axId val="353542528"/>
        <c:axId val="353544448"/>
      </c:radarChart>
      <c:catAx>
        <c:axId val="353542528"/>
        <c:scaling>
          <c:orientation val="minMax"/>
        </c:scaling>
        <c:delete val="0"/>
        <c:axPos val="b"/>
        <c:numFmt formatCode="General" sourceLinked="1"/>
        <c:majorTickMark val="out"/>
        <c:minorTickMark val="none"/>
        <c:tickLblPos val="nextTo"/>
        <c:spPr>
          <a:ln>
            <a:solidFill>
              <a:srgbClr val="B3B3B3"/>
            </a:solidFill>
          </a:ln>
        </c:spPr>
        <c:txPr>
          <a:bodyPr rot="0" vert="horz"/>
          <a:lstStyle/>
          <a:p>
            <a:pPr>
              <a:defRPr/>
            </a:pPr>
            <a:endParaRPr lang="en-US"/>
          </a:p>
        </c:txPr>
        <c:crossAx val="353544448"/>
        <c:crosses val="autoZero"/>
        <c:auto val="0"/>
        <c:lblAlgn val="ctr"/>
        <c:lblOffset val="100"/>
        <c:noMultiLvlLbl val="0"/>
      </c:catAx>
      <c:valAx>
        <c:axId val="353544448"/>
        <c:scaling>
          <c:orientation val="minMax"/>
        </c:scaling>
        <c:delete val="0"/>
        <c:axPos val="l"/>
        <c:numFmt formatCode="0%" sourceLinked="1"/>
        <c:majorTickMark val="cross"/>
        <c:minorTickMark val="none"/>
        <c:tickLblPos val="nextTo"/>
        <c:spPr>
          <a:ln w="3175">
            <a:solidFill>
              <a:srgbClr val="B3B3B3"/>
            </a:solidFill>
            <a:prstDash val="solid"/>
          </a:ln>
        </c:spPr>
        <c:txPr>
          <a:bodyPr rot="0" vert="horz"/>
          <a:lstStyle/>
          <a:p>
            <a:pPr>
              <a:defRPr/>
            </a:pPr>
            <a:endParaRPr lang="en-US"/>
          </a:p>
        </c:txPr>
        <c:crossAx val="353542528"/>
        <c:crosses val="autoZero"/>
        <c:crossBetween val="between"/>
      </c:valAx>
      <c:spPr>
        <a:noFill/>
        <a:ln w="25400">
          <a:noFill/>
        </a:ln>
      </c:spPr>
    </c:plotArea>
    <c:legend>
      <c:legendPos val="b"/>
      <c:overlay val="0"/>
      <c:spPr>
        <a:noFill/>
        <a:ln w="25400">
          <a:noFill/>
        </a:ln>
      </c:spPr>
    </c:legend>
    <c:plotVisOnly val="1"/>
    <c:dispBlanksAs val="gap"/>
    <c:showDLblsOverMax val="0"/>
  </c:chart>
  <c:spPr>
    <a:noFill/>
    <a:ln w="25400">
      <a:noFill/>
    </a:ln>
    <a:effectLst/>
  </c:spPr>
  <c:txPr>
    <a:bodyPr/>
    <a:lstStyle/>
    <a:p>
      <a:pPr>
        <a:defRPr sz="1000" b="0" i="0" u="none" strike="noStrike" baseline="0">
          <a:solidFill>
            <a:srgbClr val="595959"/>
          </a:solidFill>
          <a:latin typeface="Arial Narrow"/>
          <a:ea typeface="Arial Narrow"/>
          <a:cs typeface="Arial Narrow"/>
        </a:defRPr>
      </a:pPr>
      <a:endParaRPr lang="en-US"/>
    </a:p>
  </c:txPr>
  <c:printSettings>
    <c:headerFooter alignWithMargins="0"/>
    <c:pageMargins b="1" l="0.75000000000000111" r="0.75000000000000111" t="1" header="0.5" footer="0.5"/>
    <c:pageSetup orientation="landscape"/>
  </c:printSettings>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9902608051721524"/>
          <c:y val="5.3124999999999999E-2"/>
          <c:w val="0.45498507124549498"/>
          <c:h val="0.72392831539290281"/>
        </c:manualLayout>
      </c:layout>
      <c:radarChart>
        <c:radarStyle val="marker"/>
        <c:varyColors val="0"/>
        <c:ser>
          <c:idx val="0"/>
          <c:order val="0"/>
          <c:tx>
            <c:strRef>
              <c:f>'DM ASIA OTHER'!$W$23</c:f>
              <c:strCache>
                <c:ptCount val="1"/>
                <c:pt idx="0">
                  <c:v>DM Asia cellular</c:v>
                </c:pt>
              </c:strCache>
            </c:strRef>
          </c:tx>
          <c:spPr>
            <a:ln w="25400">
              <a:solidFill>
                <a:srgbClr val="263238"/>
              </a:solidFill>
              <a:prstDash val="solid"/>
            </a:ln>
            <a:effectLst/>
          </c:spPr>
          <c:marker>
            <c:symbol val="diamond"/>
            <c:size val="6"/>
            <c:spPr>
              <a:solidFill>
                <a:srgbClr val="263238"/>
              </a:solidFill>
              <a:ln w="6350">
                <a:noFill/>
              </a:ln>
            </c:spPr>
          </c:marker>
          <c:cat>
            <c:strRef>
              <c:f>'DM ASIA OTHER'!$V$24:$V$33</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 (08)</c:v>
                </c:pt>
              </c:strCache>
            </c:strRef>
          </c:cat>
          <c:val>
            <c:numRef>
              <c:f>'DM ASIA OTHER'!$W$24:$W$33</c:f>
              <c:numCache>
                <c:formatCode>0%</c:formatCode>
                <c:ptCount val="10"/>
                <c:pt idx="0">
                  <c:v>0.96535679306847411</c:v>
                </c:pt>
                <c:pt idx="1">
                  <c:v>1.0678568425318125</c:v>
                </c:pt>
                <c:pt idx="2">
                  <c:v>1.0332001287305401</c:v>
                </c:pt>
                <c:pt idx="3">
                  <c:v>1.0180479407331151</c:v>
                </c:pt>
                <c:pt idx="4">
                  <c:v>1.1959442822198909</c:v>
                </c:pt>
                <c:pt idx="5">
                  <c:v>1.563003604383052</c:v>
                </c:pt>
                <c:pt idx="6">
                  <c:v>0.68550947505207027</c:v>
                </c:pt>
                <c:pt idx="7">
                  <c:v>1.4000118586722214</c:v>
                </c:pt>
                <c:pt idx="8">
                  <c:v>1.1082737404476586</c:v>
                </c:pt>
                <c:pt idx="9">
                  <c:v>0.67148231335805275</c:v>
                </c:pt>
              </c:numCache>
            </c:numRef>
          </c:val>
          <c:extLst>
            <c:ext xmlns:c16="http://schemas.microsoft.com/office/drawing/2014/chart" uri="{C3380CC4-5D6E-409C-BE32-E72D297353CC}">
              <c16:uniqueId val="{00000000-52A7-4F1E-9E08-FE6A10E78F58}"/>
            </c:ext>
          </c:extLst>
        </c:ser>
        <c:ser>
          <c:idx val="1"/>
          <c:order val="1"/>
          <c:tx>
            <c:strRef>
              <c:f>'DM ASIA OTHER'!$X$23</c:f>
              <c:strCache>
                <c:ptCount val="1"/>
                <c:pt idx="0">
                  <c:v>DM cellular</c:v>
                </c:pt>
              </c:strCache>
            </c:strRef>
          </c:tx>
          <c:spPr>
            <a:ln w="25400">
              <a:solidFill>
                <a:srgbClr val="799098"/>
              </a:solidFill>
              <a:prstDash val="solid"/>
            </a:ln>
            <a:effectLst/>
          </c:spPr>
          <c:marker>
            <c:symbol val="diamond"/>
            <c:size val="6"/>
            <c:spPr>
              <a:solidFill>
                <a:srgbClr val="799098"/>
              </a:solidFill>
              <a:ln w="6350">
                <a:noFill/>
              </a:ln>
            </c:spPr>
          </c:marker>
          <c:cat>
            <c:strRef>
              <c:f>'DM ASIA OTHER'!$V$24:$V$33</c:f>
              <c:strCache>
                <c:ptCount val="10"/>
                <c:pt idx="0">
                  <c:v>EV/Revenue</c:v>
                </c:pt>
                <c:pt idx="1">
                  <c:v>EV/EBITDA</c:v>
                </c:pt>
                <c:pt idx="2">
                  <c:v>EV/OpFCF</c:v>
                </c:pt>
                <c:pt idx="3">
                  <c:v>EV/FCF</c:v>
                </c:pt>
                <c:pt idx="4">
                  <c:v>EV/Invested capital</c:v>
                </c:pt>
                <c:pt idx="5">
                  <c:v>EV/NFA</c:v>
                </c:pt>
                <c:pt idx="6">
                  <c:v>P/EFCF</c:v>
                </c:pt>
                <c:pt idx="7">
                  <c:v>Adjusted P/E</c:v>
                </c:pt>
                <c:pt idx="8">
                  <c:v>Dividend yield</c:v>
                </c:pt>
                <c:pt idx="9">
                  <c:v>EFCF yield (08)</c:v>
                </c:pt>
              </c:strCache>
            </c:strRef>
          </c:cat>
          <c:val>
            <c:numRef>
              <c:f>'DM ASIA OTHER'!$X$24:$X$33</c:f>
              <c:numCache>
                <c:formatCode>0%</c:formatCode>
                <c:ptCount val="10"/>
                <c:pt idx="0">
                  <c:v>1</c:v>
                </c:pt>
                <c:pt idx="1">
                  <c:v>1</c:v>
                </c:pt>
                <c:pt idx="2">
                  <c:v>1</c:v>
                </c:pt>
                <c:pt idx="3">
                  <c:v>1</c:v>
                </c:pt>
                <c:pt idx="4">
                  <c:v>1</c:v>
                </c:pt>
                <c:pt idx="5">
                  <c:v>1</c:v>
                </c:pt>
                <c:pt idx="6">
                  <c:v>1</c:v>
                </c:pt>
                <c:pt idx="7">
                  <c:v>1</c:v>
                </c:pt>
                <c:pt idx="8">
                  <c:v>1</c:v>
                </c:pt>
                <c:pt idx="9">
                  <c:v>1</c:v>
                </c:pt>
              </c:numCache>
            </c:numRef>
          </c:val>
          <c:extLst>
            <c:ext xmlns:c16="http://schemas.microsoft.com/office/drawing/2014/chart" uri="{C3380CC4-5D6E-409C-BE32-E72D297353CC}">
              <c16:uniqueId val="{00000001-52A7-4F1E-9E08-FE6A10E78F58}"/>
            </c:ext>
          </c:extLst>
        </c:ser>
        <c:dLbls>
          <c:showLegendKey val="0"/>
          <c:showVal val="0"/>
          <c:showCatName val="0"/>
          <c:showSerName val="0"/>
          <c:showPercent val="0"/>
          <c:showBubbleSize val="0"/>
        </c:dLbls>
        <c:axId val="353845248"/>
        <c:axId val="353847168"/>
      </c:radarChart>
      <c:catAx>
        <c:axId val="353845248"/>
        <c:scaling>
          <c:orientation val="minMax"/>
        </c:scaling>
        <c:delete val="0"/>
        <c:axPos val="b"/>
        <c:numFmt formatCode="General" sourceLinked="1"/>
        <c:majorTickMark val="out"/>
        <c:minorTickMark val="none"/>
        <c:tickLblPos val="nextTo"/>
        <c:spPr>
          <a:ln>
            <a:solidFill>
              <a:srgbClr val="B3B3B3"/>
            </a:solidFill>
          </a:ln>
        </c:spPr>
        <c:txPr>
          <a:bodyPr rot="0" vert="horz"/>
          <a:lstStyle/>
          <a:p>
            <a:pPr>
              <a:defRPr/>
            </a:pPr>
            <a:endParaRPr lang="en-US"/>
          </a:p>
        </c:txPr>
        <c:crossAx val="353847168"/>
        <c:crosses val="autoZero"/>
        <c:auto val="0"/>
        <c:lblAlgn val="ctr"/>
        <c:lblOffset val="100"/>
        <c:noMultiLvlLbl val="0"/>
      </c:catAx>
      <c:valAx>
        <c:axId val="353847168"/>
        <c:scaling>
          <c:orientation val="minMax"/>
        </c:scaling>
        <c:delete val="0"/>
        <c:axPos val="l"/>
        <c:numFmt formatCode="0%" sourceLinked="1"/>
        <c:majorTickMark val="cross"/>
        <c:minorTickMark val="none"/>
        <c:tickLblPos val="nextTo"/>
        <c:spPr>
          <a:ln w="3175">
            <a:solidFill>
              <a:srgbClr val="B3B3B3"/>
            </a:solidFill>
            <a:prstDash val="solid"/>
          </a:ln>
        </c:spPr>
        <c:txPr>
          <a:bodyPr rot="0" vert="horz"/>
          <a:lstStyle/>
          <a:p>
            <a:pPr>
              <a:defRPr/>
            </a:pPr>
            <a:endParaRPr lang="en-US"/>
          </a:p>
        </c:txPr>
        <c:crossAx val="353845248"/>
        <c:crosses val="autoZero"/>
        <c:crossBetween val="between"/>
      </c:valAx>
      <c:spPr>
        <a:noFill/>
        <a:ln w="25400">
          <a:noFill/>
        </a:ln>
      </c:spPr>
    </c:plotArea>
    <c:legend>
      <c:legendPos val="b"/>
      <c:overlay val="0"/>
      <c:spPr>
        <a:noFill/>
        <a:ln w="25400">
          <a:noFill/>
        </a:ln>
      </c:spPr>
    </c:legend>
    <c:plotVisOnly val="1"/>
    <c:dispBlanksAs val="gap"/>
    <c:showDLblsOverMax val="0"/>
  </c:chart>
  <c:spPr>
    <a:noFill/>
    <a:ln w="25400">
      <a:noFill/>
    </a:ln>
    <a:effectLst/>
  </c:spPr>
  <c:txPr>
    <a:bodyPr/>
    <a:lstStyle/>
    <a:p>
      <a:pPr>
        <a:defRPr sz="1000" b="0" i="0" u="none" strike="noStrike" baseline="0">
          <a:solidFill>
            <a:srgbClr val="595959"/>
          </a:solidFill>
          <a:latin typeface="Arial Narrow"/>
          <a:ea typeface="Arial Narrow"/>
          <a:cs typeface="Arial Narrow"/>
        </a:defRPr>
      </a:pPr>
      <a:endParaRPr lang="en-US"/>
    </a:p>
  </c:txPr>
  <c:printSettings>
    <c:headerFooter alignWithMargins="0"/>
    <c:pageMargins b="1" l="0.75000000000000111" r="0.75000000000000111" t="1" header="0.5" footer="0.5"/>
    <c:pageSetup orientation="landscape"/>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chart" Target="../charts/chart3.xml"/></Relationships>
</file>

<file path=xl/drawings/_rels/drawing100.xml.rels><?xml version="1.0" encoding="UTF-8" standalone="yes"?>
<Relationships xmlns="http://schemas.openxmlformats.org/package/2006/relationships"><Relationship Id="rId1" Type="http://schemas.openxmlformats.org/officeDocument/2006/relationships/chart" Target="../charts/chart93.xml"/></Relationships>
</file>

<file path=xl/drawings/_rels/drawing101.xml.rels><?xml version="1.0" encoding="UTF-8" standalone="yes"?>
<Relationships xmlns="http://schemas.openxmlformats.org/package/2006/relationships"><Relationship Id="rId1" Type="http://schemas.openxmlformats.org/officeDocument/2006/relationships/chart" Target="../charts/chart94.xml"/></Relationships>
</file>

<file path=xl/drawings/_rels/drawing102.xml.rels><?xml version="1.0" encoding="UTF-8" standalone="yes"?>
<Relationships xmlns="http://schemas.openxmlformats.org/package/2006/relationships"><Relationship Id="rId1" Type="http://schemas.openxmlformats.org/officeDocument/2006/relationships/chart" Target="../charts/chart95.xml"/></Relationships>
</file>

<file path=xl/drawings/_rels/drawing103.xml.rels><?xml version="1.0" encoding="UTF-8" standalone="yes"?>
<Relationships xmlns="http://schemas.openxmlformats.org/package/2006/relationships"><Relationship Id="rId1" Type="http://schemas.openxmlformats.org/officeDocument/2006/relationships/chart" Target="../charts/chart96.xml"/></Relationships>
</file>

<file path=xl/drawings/_rels/drawing104.xml.rels><?xml version="1.0" encoding="UTF-8" standalone="yes"?>
<Relationships xmlns="http://schemas.openxmlformats.org/package/2006/relationships"><Relationship Id="rId1" Type="http://schemas.openxmlformats.org/officeDocument/2006/relationships/chart" Target="../charts/chart97.xml"/></Relationships>
</file>

<file path=xl/drawings/_rels/drawing105.xml.rels><?xml version="1.0" encoding="UTF-8" standalone="yes"?>
<Relationships xmlns="http://schemas.openxmlformats.org/package/2006/relationships"><Relationship Id="rId1" Type="http://schemas.openxmlformats.org/officeDocument/2006/relationships/chart" Target="../charts/chart98.xml"/></Relationships>
</file>

<file path=xl/drawings/_rels/drawing106.xml.rels><?xml version="1.0" encoding="UTF-8" standalone="yes"?>
<Relationships xmlns="http://schemas.openxmlformats.org/package/2006/relationships"><Relationship Id="rId1" Type="http://schemas.openxmlformats.org/officeDocument/2006/relationships/chart" Target="../charts/chart99.xml"/></Relationships>
</file>

<file path=xl/drawings/_rels/drawing107.xml.rels><?xml version="1.0" encoding="UTF-8" standalone="yes"?>
<Relationships xmlns="http://schemas.openxmlformats.org/package/2006/relationships"><Relationship Id="rId1" Type="http://schemas.openxmlformats.org/officeDocument/2006/relationships/chart" Target="../charts/chart100.xml"/></Relationships>
</file>

<file path=xl/drawings/_rels/drawing108.xml.rels><?xml version="1.0" encoding="UTF-8" standalone="yes"?>
<Relationships xmlns="http://schemas.openxmlformats.org/package/2006/relationships"><Relationship Id="rId1" Type="http://schemas.openxmlformats.org/officeDocument/2006/relationships/chart" Target="../charts/chart101.xml"/></Relationships>
</file>

<file path=xl/drawings/_rels/drawing109.xml.rels><?xml version="1.0" encoding="UTF-8" standalone="yes"?>
<Relationships xmlns="http://schemas.openxmlformats.org/package/2006/relationships"><Relationship Id="rId1" Type="http://schemas.openxmlformats.org/officeDocument/2006/relationships/chart" Target="../charts/chart102.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4.xml"/></Relationships>
</file>

<file path=xl/drawings/_rels/drawing110.xml.rels><?xml version="1.0" encoding="UTF-8" standalone="yes"?>
<Relationships xmlns="http://schemas.openxmlformats.org/package/2006/relationships"><Relationship Id="rId1" Type="http://schemas.openxmlformats.org/officeDocument/2006/relationships/chart" Target="../charts/chart103.xml"/></Relationships>
</file>

<file path=xl/drawings/_rels/drawing111.xml.rels><?xml version="1.0" encoding="UTF-8" standalone="yes"?>
<Relationships xmlns="http://schemas.openxmlformats.org/package/2006/relationships"><Relationship Id="rId1" Type="http://schemas.openxmlformats.org/officeDocument/2006/relationships/chart" Target="../charts/chart104.xml"/></Relationships>
</file>

<file path=xl/drawings/_rels/drawing112.xml.rels><?xml version="1.0" encoding="UTF-8" standalone="yes"?>
<Relationships xmlns="http://schemas.openxmlformats.org/package/2006/relationships"><Relationship Id="rId1" Type="http://schemas.openxmlformats.org/officeDocument/2006/relationships/chart" Target="../charts/chart105.xml"/></Relationships>
</file>

<file path=xl/drawings/_rels/drawing113.xml.rels><?xml version="1.0" encoding="UTF-8" standalone="yes"?>
<Relationships xmlns="http://schemas.openxmlformats.org/package/2006/relationships"><Relationship Id="rId1" Type="http://schemas.openxmlformats.org/officeDocument/2006/relationships/chart" Target="../charts/chart106.xml"/></Relationships>
</file>

<file path=xl/drawings/_rels/drawing114.xml.rels><?xml version="1.0" encoding="UTF-8" standalone="yes"?>
<Relationships xmlns="http://schemas.openxmlformats.org/package/2006/relationships"><Relationship Id="rId1" Type="http://schemas.openxmlformats.org/officeDocument/2006/relationships/chart" Target="../charts/chart107.xml"/></Relationships>
</file>

<file path=xl/drawings/_rels/drawing115.xml.rels><?xml version="1.0" encoding="UTF-8" standalone="yes"?>
<Relationships xmlns="http://schemas.openxmlformats.org/package/2006/relationships"><Relationship Id="rId1" Type="http://schemas.openxmlformats.org/officeDocument/2006/relationships/chart" Target="../charts/chart108.xml"/></Relationships>
</file>

<file path=xl/drawings/_rels/drawing116.xml.rels><?xml version="1.0" encoding="UTF-8" standalone="yes"?>
<Relationships xmlns="http://schemas.openxmlformats.org/package/2006/relationships"><Relationship Id="rId1" Type="http://schemas.openxmlformats.org/officeDocument/2006/relationships/chart" Target="../charts/chart109.xml"/></Relationships>
</file>

<file path=xl/drawings/_rels/drawing117.xml.rels><?xml version="1.0" encoding="UTF-8" standalone="yes"?>
<Relationships xmlns="http://schemas.openxmlformats.org/package/2006/relationships"><Relationship Id="rId1" Type="http://schemas.openxmlformats.org/officeDocument/2006/relationships/chart" Target="../charts/chart110.xml"/></Relationships>
</file>

<file path=xl/drawings/_rels/drawing118.xml.rels><?xml version="1.0" encoding="UTF-8" standalone="yes"?>
<Relationships xmlns="http://schemas.openxmlformats.org/package/2006/relationships"><Relationship Id="rId1" Type="http://schemas.openxmlformats.org/officeDocument/2006/relationships/chart" Target="../charts/chart111.xml"/></Relationships>
</file>

<file path=xl/drawings/_rels/drawing119.xml.rels><?xml version="1.0" encoding="UTF-8" standalone="yes"?>
<Relationships xmlns="http://schemas.openxmlformats.org/package/2006/relationships"><Relationship Id="rId1" Type="http://schemas.openxmlformats.org/officeDocument/2006/relationships/chart" Target="../charts/chart112.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5.xml"/></Relationships>
</file>

<file path=xl/drawings/_rels/drawing120.xml.rels><?xml version="1.0" encoding="UTF-8" standalone="yes"?>
<Relationships xmlns="http://schemas.openxmlformats.org/package/2006/relationships"><Relationship Id="rId1" Type="http://schemas.openxmlformats.org/officeDocument/2006/relationships/chart" Target="../charts/chart113.xml"/></Relationships>
</file>

<file path=xl/drawings/_rels/drawing121.xml.rels><?xml version="1.0" encoding="UTF-8" standalone="yes"?>
<Relationships xmlns="http://schemas.openxmlformats.org/package/2006/relationships"><Relationship Id="rId1" Type="http://schemas.openxmlformats.org/officeDocument/2006/relationships/chart" Target="../charts/chart114.xml"/></Relationships>
</file>

<file path=xl/drawings/_rels/drawing122.xml.rels><?xml version="1.0" encoding="UTF-8" standalone="yes"?>
<Relationships xmlns="http://schemas.openxmlformats.org/package/2006/relationships"><Relationship Id="rId1" Type="http://schemas.openxmlformats.org/officeDocument/2006/relationships/chart" Target="../charts/chart115.xml"/></Relationships>
</file>

<file path=xl/drawings/_rels/drawing123.xml.rels><?xml version="1.0" encoding="UTF-8" standalone="yes"?>
<Relationships xmlns="http://schemas.openxmlformats.org/package/2006/relationships"><Relationship Id="rId1" Type="http://schemas.openxmlformats.org/officeDocument/2006/relationships/chart" Target="../charts/chart116.xml"/></Relationships>
</file>

<file path=xl/drawings/_rels/drawing124.xml.rels><?xml version="1.0" encoding="UTF-8" standalone="yes"?>
<Relationships xmlns="http://schemas.openxmlformats.org/package/2006/relationships"><Relationship Id="rId1" Type="http://schemas.openxmlformats.org/officeDocument/2006/relationships/chart" Target="../charts/chart117.xml"/></Relationships>
</file>

<file path=xl/drawings/_rels/drawing125.xml.rels><?xml version="1.0" encoding="UTF-8" standalone="yes"?>
<Relationships xmlns="http://schemas.openxmlformats.org/package/2006/relationships"><Relationship Id="rId1" Type="http://schemas.openxmlformats.org/officeDocument/2006/relationships/chart" Target="../charts/chart118.xml"/></Relationships>
</file>

<file path=xl/drawings/_rels/drawing126.xml.rels><?xml version="1.0" encoding="UTF-8" standalone="yes"?>
<Relationships xmlns="http://schemas.openxmlformats.org/package/2006/relationships"><Relationship Id="rId1" Type="http://schemas.openxmlformats.org/officeDocument/2006/relationships/chart" Target="../charts/chart119.xml"/></Relationships>
</file>

<file path=xl/drawings/_rels/drawing127.xml.rels><?xml version="1.0" encoding="UTF-8" standalone="yes"?>
<Relationships xmlns="http://schemas.openxmlformats.org/package/2006/relationships"><Relationship Id="rId1" Type="http://schemas.openxmlformats.org/officeDocument/2006/relationships/chart" Target="../charts/chart120.xml"/></Relationships>
</file>

<file path=xl/drawings/_rels/drawing128.xml.rels><?xml version="1.0" encoding="UTF-8" standalone="yes"?>
<Relationships xmlns="http://schemas.openxmlformats.org/package/2006/relationships"><Relationship Id="rId1" Type="http://schemas.openxmlformats.org/officeDocument/2006/relationships/chart" Target="../charts/chart121.xml"/></Relationships>
</file>

<file path=xl/drawings/_rels/drawing129.xml.rels><?xml version="1.0" encoding="UTF-8" standalone="yes"?>
<Relationships xmlns="http://schemas.openxmlformats.org/package/2006/relationships"><Relationship Id="rId1" Type="http://schemas.openxmlformats.org/officeDocument/2006/relationships/chart" Target="../charts/chart122.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6.xml"/></Relationships>
</file>

<file path=xl/drawings/_rels/drawing130.xml.rels><?xml version="1.0" encoding="UTF-8" standalone="yes"?>
<Relationships xmlns="http://schemas.openxmlformats.org/package/2006/relationships"><Relationship Id="rId1" Type="http://schemas.openxmlformats.org/officeDocument/2006/relationships/chart" Target="../charts/chart123.xml"/></Relationships>
</file>

<file path=xl/drawings/_rels/drawing131.xml.rels><?xml version="1.0" encoding="UTF-8" standalone="yes"?>
<Relationships xmlns="http://schemas.openxmlformats.org/package/2006/relationships"><Relationship Id="rId1" Type="http://schemas.openxmlformats.org/officeDocument/2006/relationships/chart" Target="../charts/chart124.xml"/></Relationships>
</file>

<file path=xl/drawings/_rels/drawing132.xml.rels><?xml version="1.0" encoding="UTF-8" standalone="yes"?>
<Relationships xmlns="http://schemas.openxmlformats.org/package/2006/relationships"><Relationship Id="rId1" Type="http://schemas.openxmlformats.org/officeDocument/2006/relationships/chart" Target="../charts/chart125.xml"/></Relationships>
</file>

<file path=xl/drawings/_rels/drawing133.xml.rels><?xml version="1.0" encoding="UTF-8" standalone="yes"?>
<Relationships xmlns="http://schemas.openxmlformats.org/package/2006/relationships"><Relationship Id="rId1" Type="http://schemas.openxmlformats.org/officeDocument/2006/relationships/chart" Target="../charts/chart126.xml"/></Relationships>
</file>

<file path=xl/drawings/_rels/drawing134.xml.rels><?xml version="1.0" encoding="UTF-8" standalone="yes"?>
<Relationships xmlns="http://schemas.openxmlformats.org/package/2006/relationships"><Relationship Id="rId1" Type="http://schemas.openxmlformats.org/officeDocument/2006/relationships/chart" Target="../charts/chart127.xml"/></Relationships>
</file>

<file path=xl/drawings/_rels/drawing135.xml.rels><?xml version="1.0" encoding="UTF-8" standalone="yes"?>
<Relationships xmlns="http://schemas.openxmlformats.org/package/2006/relationships"><Relationship Id="rId1" Type="http://schemas.openxmlformats.org/officeDocument/2006/relationships/chart" Target="../charts/chart128.xml"/></Relationships>
</file>

<file path=xl/drawings/_rels/drawing136.xml.rels><?xml version="1.0" encoding="UTF-8" standalone="yes"?>
<Relationships xmlns="http://schemas.openxmlformats.org/package/2006/relationships"><Relationship Id="rId1" Type="http://schemas.openxmlformats.org/officeDocument/2006/relationships/chart" Target="../charts/chart129.xml"/></Relationships>
</file>

<file path=xl/drawings/_rels/drawing137.xml.rels><?xml version="1.0" encoding="UTF-8" standalone="yes"?>
<Relationships xmlns="http://schemas.openxmlformats.org/package/2006/relationships"><Relationship Id="rId1" Type="http://schemas.openxmlformats.org/officeDocument/2006/relationships/chart" Target="../charts/chart130.xml"/></Relationships>
</file>

<file path=xl/drawings/_rels/drawing138.xml.rels><?xml version="1.0" encoding="UTF-8" standalone="yes"?>
<Relationships xmlns="http://schemas.openxmlformats.org/package/2006/relationships"><Relationship Id="rId1" Type="http://schemas.openxmlformats.org/officeDocument/2006/relationships/chart" Target="../charts/chart131.xml"/></Relationships>
</file>

<file path=xl/drawings/_rels/drawing139.xml.rels><?xml version="1.0" encoding="UTF-8" standalone="yes"?>
<Relationships xmlns="http://schemas.openxmlformats.org/package/2006/relationships"><Relationship Id="rId1" Type="http://schemas.openxmlformats.org/officeDocument/2006/relationships/chart" Target="../charts/chart132.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7.xml"/></Relationships>
</file>

<file path=xl/drawings/_rels/drawing140.xml.rels><?xml version="1.0" encoding="UTF-8" standalone="yes"?>
<Relationships xmlns="http://schemas.openxmlformats.org/package/2006/relationships"><Relationship Id="rId1" Type="http://schemas.openxmlformats.org/officeDocument/2006/relationships/chart" Target="../charts/chart133.xml"/></Relationships>
</file>

<file path=xl/drawings/_rels/drawing141.xml.rels><?xml version="1.0" encoding="UTF-8" standalone="yes"?>
<Relationships xmlns="http://schemas.openxmlformats.org/package/2006/relationships"><Relationship Id="rId1" Type="http://schemas.openxmlformats.org/officeDocument/2006/relationships/chart" Target="../charts/chart134.xml"/></Relationships>
</file>

<file path=xl/drawings/_rels/drawing142.xml.rels><?xml version="1.0" encoding="UTF-8" standalone="yes"?>
<Relationships xmlns="http://schemas.openxmlformats.org/package/2006/relationships"><Relationship Id="rId1" Type="http://schemas.openxmlformats.org/officeDocument/2006/relationships/chart" Target="../charts/chart135.xml"/></Relationships>
</file>

<file path=xl/drawings/_rels/drawing143.xml.rels><?xml version="1.0" encoding="UTF-8" standalone="yes"?>
<Relationships xmlns="http://schemas.openxmlformats.org/package/2006/relationships"><Relationship Id="rId1" Type="http://schemas.openxmlformats.org/officeDocument/2006/relationships/chart" Target="../charts/chart136.xml"/></Relationships>
</file>

<file path=xl/drawings/_rels/drawing144.xml.rels><?xml version="1.0" encoding="UTF-8" standalone="yes"?>
<Relationships xmlns="http://schemas.openxmlformats.org/package/2006/relationships"><Relationship Id="rId1" Type="http://schemas.openxmlformats.org/officeDocument/2006/relationships/chart" Target="../charts/chart137.xml"/></Relationships>
</file>

<file path=xl/drawings/_rels/drawing145.xml.rels><?xml version="1.0" encoding="UTF-8" standalone="yes"?>
<Relationships xmlns="http://schemas.openxmlformats.org/package/2006/relationships"><Relationship Id="rId1" Type="http://schemas.openxmlformats.org/officeDocument/2006/relationships/chart" Target="../charts/chart138.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8.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9.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26.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27.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28.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29.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30.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31.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32.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33.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34.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35.xml.rels><?xml version="1.0" encoding="UTF-8" standalone="yes"?>
<Relationships xmlns="http://schemas.openxmlformats.org/package/2006/relationships"><Relationship Id="rId1" Type="http://schemas.openxmlformats.org/officeDocument/2006/relationships/chart" Target="../charts/chart28.xml"/></Relationships>
</file>

<file path=xl/drawings/_rels/drawing36.xml.rels><?xml version="1.0" encoding="UTF-8" standalone="yes"?>
<Relationships xmlns="http://schemas.openxmlformats.org/package/2006/relationships"><Relationship Id="rId1" Type="http://schemas.openxmlformats.org/officeDocument/2006/relationships/chart" Target="../charts/chart29.xml"/></Relationships>
</file>

<file path=xl/drawings/_rels/drawing37.xml.rels><?xml version="1.0" encoding="UTF-8" standalone="yes"?>
<Relationships xmlns="http://schemas.openxmlformats.org/package/2006/relationships"><Relationship Id="rId1" Type="http://schemas.openxmlformats.org/officeDocument/2006/relationships/chart" Target="../charts/chart30.xml"/></Relationships>
</file>

<file path=xl/drawings/_rels/drawing38.xml.rels><?xml version="1.0" encoding="UTF-8" standalone="yes"?>
<Relationships xmlns="http://schemas.openxmlformats.org/package/2006/relationships"><Relationship Id="rId1" Type="http://schemas.openxmlformats.org/officeDocument/2006/relationships/chart" Target="../charts/chart31.xml"/></Relationships>
</file>

<file path=xl/drawings/_rels/drawing39.xml.rels><?xml version="1.0" encoding="UTF-8" standalone="yes"?>
<Relationships xmlns="http://schemas.openxmlformats.org/package/2006/relationships"><Relationship Id="rId1" Type="http://schemas.openxmlformats.org/officeDocument/2006/relationships/chart" Target="../charts/chart32.xml"/></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40.xml.rels><?xml version="1.0" encoding="UTF-8" standalone="yes"?>
<Relationships xmlns="http://schemas.openxmlformats.org/package/2006/relationships"><Relationship Id="rId1" Type="http://schemas.openxmlformats.org/officeDocument/2006/relationships/chart" Target="../charts/chart33.xml"/></Relationships>
</file>

<file path=xl/drawings/_rels/drawing41.xml.rels><?xml version="1.0" encoding="UTF-8" standalone="yes"?>
<Relationships xmlns="http://schemas.openxmlformats.org/package/2006/relationships"><Relationship Id="rId1" Type="http://schemas.openxmlformats.org/officeDocument/2006/relationships/chart" Target="../charts/chart34.xml"/></Relationships>
</file>

<file path=xl/drawings/_rels/drawing42.xml.rels><?xml version="1.0" encoding="UTF-8" standalone="yes"?>
<Relationships xmlns="http://schemas.openxmlformats.org/package/2006/relationships"><Relationship Id="rId1" Type="http://schemas.openxmlformats.org/officeDocument/2006/relationships/chart" Target="../charts/chart35.xml"/></Relationships>
</file>

<file path=xl/drawings/_rels/drawing43.xml.rels><?xml version="1.0" encoding="UTF-8" standalone="yes"?>
<Relationships xmlns="http://schemas.openxmlformats.org/package/2006/relationships"><Relationship Id="rId1" Type="http://schemas.openxmlformats.org/officeDocument/2006/relationships/chart" Target="../charts/chart36.xml"/></Relationships>
</file>

<file path=xl/drawings/_rels/drawing44.xml.rels><?xml version="1.0" encoding="UTF-8" standalone="yes"?>
<Relationships xmlns="http://schemas.openxmlformats.org/package/2006/relationships"><Relationship Id="rId1" Type="http://schemas.openxmlformats.org/officeDocument/2006/relationships/chart" Target="../charts/chart37.xml"/></Relationships>
</file>

<file path=xl/drawings/_rels/drawing45.xml.rels><?xml version="1.0" encoding="UTF-8" standalone="yes"?>
<Relationships xmlns="http://schemas.openxmlformats.org/package/2006/relationships"><Relationship Id="rId1" Type="http://schemas.openxmlformats.org/officeDocument/2006/relationships/chart" Target="../charts/chart38.xml"/></Relationships>
</file>

<file path=xl/drawings/_rels/drawing46.xml.rels><?xml version="1.0" encoding="UTF-8" standalone="yes"?>
<Relationships xmlns="http://schemas.openxmlformats.org/package/2006/relationships"><Relationship Id="rId1" Type="http://schemas.openxmlformats.org/officeDocument/2006/relationships/chart" Target="../charts/chart39.xml"/></Relationships>
</file>

<file path=xl/drawings/_rels/drawing47.xml.rels><?xml version="1.0" encoding="UTF-8" standalone="yes"?>
<Relationships xmlns="http://schemas.openxmlformats.org/package/2006/relationships"><Relationship Id="rId1" Type="http://schemas.openxmlformats.org/officeDocument/2006/relationships/chart" Target="../charts/chart40.xml"/></Relationships>
</file>

<file path=xl/drawings/_rels/drawing48.xml.rels><?xml version="1.0" encoding="UTF-8" standalone="yes"?>
<Relationships xmlns="http://schemas.openxmlformats.org/package/2006/relationships"><Relationship Id="rId1" Type="http://schemas.openxmlformats.org/officeDocument/2006/relationships/chart" Target="../charts/chart41.xml"/></Relationships>
</file>

<file path=xl/drawings/_rels/drawing49.xml.rels><?xml version="1.0" encoding="UTF-8" standalone="yes"?>
<Relationships xmlns="http://schemas.openxmlformats.org/package/2006/relationships"><Relationship Id="rId1" Type="http://schemas.openxmlformats.org/officeDocument/2006/relationships/chart" Target="../charts/chart42.xml"/></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50.xml.rels><?xml version="1.0" encoding="UTF-8" standalone="yes"?>
<Relationships xmlns="http://schemas.openxmlformats.org/package/2006/relationships"><Relationship Id="rId1" Type="http://schemas.openxmlformats.org/officeDocument/2006/relationships/chart" Target="../charts/chart43.xml"/></Relationships>
</file>

<file path=xl/drawings/_rels/drawing51.xml.rels><?xml version="1.0" encoding="UTF-8" standalone="yes"?>
<Relationships xmlns="http://schemas.openxmlformats.org/package/2006/relationships"><Relationship Id="rId1" Type="http://schemas.openxmlformats.org/officeDocument/2006/relationships/chart" Target="../charts/chart44.xml"/></Relationships>
</file>

<file path=xl/drawings/_rels/drawing52.xml.rels><?xml version="1.0" encoding="UTF-8" standalone="yes"?>
<Relationships xmlns="http://schemas.openxmlformats.org/package/2006/relationships"><Relationship Id="rId1" Type="http://schemas.openxmlformats.org/officeDocument/2006/relationships/chart" Target="../charts/chart45.xml"/></Relationships>
</file>

<file path=xl/drawings/_rels/drawing53.xml.rels><?xml version="1.0" encoding="UTF-8" standalone="yes"?>
<Relationships xmlns="http://schemas.openxmlformats.org/package/2006/relationships"><Relationship Id="rId1" Type="http://schemas.openxmlformats.org/officeDocument/2006/relationships/chart" Target="../charts/chart46.xml"/></Relationships>
</file>

<file path=xl/drawings/_rels/drawing54.xml.rels><?xml version="1.0" encoding="UTF-8" standalone="yes"?>
<Relationships xmlns="http://schemas.openxmlformats.org/package/2006/relationships"><Relationship Id="rId1" Type="http://schemas.openxmlformats.org/officeDocument/2006/relationships/chart" Target="../charts/chart47.xml"/></Relationships>
</file>

<file path=xl/drawings/_rels/drawing55.xml.rels><?xml version="1.0" encoding="UTF-8" standalone="yes"?>
<Relationships xmlns="http://schemas.openxmlformats.org/package/2006/relationships"><Relationship Id="rId1" Type="http://schemas.openxmlformats.org/officeDocument/2006/relationships/chart" Target="../charts/chart48.xml"/></Relationships>
</file>

<file path=xl/drawings/_rels/drawing56.xml.rels><?xml version="1.0" encoding="UTF-8" standalone="yes"?>
<Relationships xmlns="http://schemas.openxmlformats.org/package/2006/relationships"><Relationship Id="rId1" Type="http://schemas.openxmlformats.org/officeDocument/2006/relationships/chart" Target="../charts/chart49.xml"/></Relationships>
</file>

<file path=xl/drawings/_rels/drawing57.xml.rels><?xml version="1.0" encoding="UTF-8" standalone="yes"?>
<Relationships xmlns="http://schemas.openxmlformats.org/package/2006/relationships"><Relationship Id="rId1" Type="http://schemas.openxmlformats.org/officeDocument/2006/relationships/chart" Target="../charts/chart50.xml"/></Relationships>
</file>

<file path=xl/drawings/_rels/drawing58.xml.rels><?xml version="1.0" encoding="UTF-8" standalone="yes"?>
<Relationships xmlns="http://schemas.openxmlformats.org/package/2006/relationships"><Relationship Id="rId1" Type="http://schemas.openxmlformats.org/officeDocument/2006/relationships/chart" Target="../charts/chart51.xml"/></Relationships>
</file>

<file path=xl/drawings/_rels/drawing59.xml.rels><?xml version="1.0" encoding="UTF-8" standalone="yes"?>
<Relationships xmlns="http://schemas.openxmlformats.org/package/2006/relationships"><Relationship Id="rId1" Type="http://schemas.openxmlformats.org/officeDocument/2006/relationships/chart" Target="../charts/chart52.xml"/></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60.xml.rels><?xml version="1.0" encoding="UTF-8" standalone="yes"?>
<Relationships xmlns="http://schemas.openxmlformats.org/package/2006/relationships"><Relationship Id="rId1" Type="http://schemas.openxmlformats.org/officeDocument/2006/relationships/chart" Target="../charts/chart53.xml"/></Relationships>
</file>

<file path=xl/drawings/_rels/drawing61.xml.rels><?xml version="1.0" encoding="UTF-8" standalone="yes"?>
<Relationships xmlns="http://schemas.openxmlformats.org/package/2006/relationships"><Relationship Id="rId1" Type="http://schemas.openxmlformats.org/officeDocument/2006/relationships/chart" Target="../charts/chart54.xml"/></Relationships>
</file>

<file path=xl/drawings/_rels/drawing62.xml.rels><?xml version="1.0" encoding="UTF-8" standalone="yes"?>
<Relationships xmlns="http://schemas.openxmlformats.org/package/2006/relationships"><Relationship Id="rId1" Type="http://schemas.openxmlformats.org/officeDocument/2006/relationships/chart" Target="../charts/chart55.xml"/></Relationships>
</file>

<file path=xl/drawings/_rels/drawing63.xml.rels><?xml version="1.0" encoding="UTF-8" standalone="yes"?>
<Relationships xmlns="http://schemas.openxmlformats.org/package/2006/relationships"><Relationship Id="rId1" Type="http://schemas.openxmlformats.org/officeDocument/2006/relationships/chart" Target="../charts/chart56.xml"/></Relationships>
</file>

<file path=xl/drawings/_rels/drawing64.xml.rels><?xml version="1.0" encoding="UTF-8" standalone="yes"?>
<Relationships xmlns="http://schemas.openxmlformats.org/package/2006/relationships"><Relationship Id="rId1" Type="http://schemas.openxmlformats.org/officeDocument/2006/relationships/chart" Target="../charts/chart57.xml"/></Relationships>
</file>

<file path=xl/drawings/_rels/drawing65.xml.rels><?xml version="1.0" encoding="UTF-8" standalone="yes"?>
<Relationships xmlns="http://schemas.openxmlformats.org/package/2006/relationships"><Relationship Id="rId1" Type="http://schemas.openxmlformats.org/officeDocument/2006/relationships/chart" Target="../charts/chart58.xml"/></Relationships>
</file>

<file path=xl/drawings/_rels/drawing66.xml.rels><?xml version="1.0" encoding="UTF-8" standalone="yes"?>
<Relationships xmlns="http://schemas.openxmlformats.org/package/2006/relationships"><Relationship Id="rId1" Type="http://schemas.openxmlformats.org/officeDocument/2006/relationships/chart" Target="../charts/chart59.xml"/></Relationships>
</file>

<file path=xl/drawings/_rels/drawing67.xml.rels><?xml version="1.0" encoding="UTF-8" standalone="yes"?>
<Relationships xmlns="http://schemas.openxmlformats.org/package/2006/relationships"><Relationship Id="rId1" Type="http://schemas.openxmlformats.org/officeDocument/2006/relationships/chart" Target="../charts/chart60.xml"/></Relationships>
</file>

<file path=xl/drawings/_rels/drawing68.xml.rels><?xml version="1.0" encoding="UTF-8" standalone="yes"?>
<Relationships xmlns="http://schemas.openxmlformats.org/package/2006/relationships"><Relationship Id="rId1" Type="http://schemas.openxmlformats.org/officeDocument/2006/relationships/chart" Target="../charts/chart61.xml"/></Relationships>
</file>

<file path=xl/drawings/_rels/drawing69.xml.rels><?xml version="1.0" encoding="UTF-8" standalone="yes"?>
<Relationships xmlns="http://schemas.openxmlformats.org/package/2006/relationships"><Relationship Id="rId1" Type="http://schemas.openxmlformats.org/officeDocument/2006/relationships/chart" Target="../charts/chart62.xml"/></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70.xml.rels><?xml version="1.0" encoding="UTF-8" standalone="yes"?>
<Relationships xmlns="http://schemas.openxmlformats.org/package/2006/relationships"><Relationship Id="rId1" Type="http://schemas.openxmlformats.org/officeDocument/2006/relationships/chart" Target="../charts/chart63.xml"/></Relationships>
</file>

<file path=xl/drawings/_rels/drawing71.xml.rels><?xml version="1.0" encoding="UTF-8" standalone="yes"?>
<Relationships xmlns="http://schemas.openxmlformats.org/package/2006/relationships"><Relationship Id="rId1" Type="http://schemas.openxmlformats.org/officeDocument/2006/relationships/chart" Target="../charts/chart64.xml"/></Relationships>
</file>

<file path=xl/drawings/_rels/drawing72.xml.rels><?xml version="1.0" encoding="UTF-8" standalone="yes"?>
<Relationships xmlns="http://schemas.openxmlformats.org/package/2006/relationships"><Relationship Id="rId1" Type="http://schemas.openxmlformats.org/officeDocument/2006/relationships/chart" Target="../charts/chart65.xml"/></Relationships>
</file>

<file path=xl/drawings/_rels/drawing73.xml.rels><?xml version="1.0" encoding="UTF-8" standalone="yes"?>
<Relationships xmlns="http://schemas.openxmlformats.org/package/2006/relationships"><Relationship Id="rId1" Type="http://schemas.openxmlformats.org/officeDocument/2006/relationships/chart" Target="../charts/chart66.xml"/></Relationships>
</file>

<file path=xl/drawings/_rels/drawing74.xml.rels><?xml version="1.0" encoding="UTF-8" standalone="yes"?>
<Relationships xmlns="http://schemas.openxmlformats.org/package/2006/relationships"><Relationship Id="rId1" Type="http://schemas.openxmlformats.org/officeDocument/2006/relationships/chart" Target="../charts/chart67.xml"/></Relationships>
</file>

<file path=xl/drawings/_rels/drawing75.xml.rels><?xml version="1.0" encoding="UTF-8" standalone="yes"?>
<Relationships xmlns="http://schemas.openxmlformats.org/package/2006/relationships"><Relationship Id="rId1" Type="http://schemas.openxmlformats.org/officeDocument/2006/relationships/chart" Target="../charts/chart68.xml"/></Relationships>
</file>

<file path=xl/drawings/_rels/drawing76.xml.rels><?xml version="1.0" encoding="UTF-8" standalone="yes"?>
<Relationships xmlns="http://schemas.openxmlformats.org/package/2006/relationships"><Relationship Id="rId1" Type="http://schemas.openxmlformats.org/officeDocument/2006/relationships/chart" Target="../charts/chart69.xml"/></Relationships>
</file>

<file path=xl/drawings/_rels/drawing77.xml.rels><?xml version="1.0" encoding="UTF-8" standalone="yes"?>
<Relationships xmlns="http://schemas.openxmlformats.org/package/2006/relationships"><Relationship Id="rId1" Type="http://schemas.openxmlformats.org/officeDocument/2006/relationships/chart" Target="../charts/chart70.xml"/></Relationships>
</file>

<file path=xl/drawings/_rels/drawing78.xml.rels><?xml version="1.0" encoding="UTF-8" standalone="yes"?>
<Relationships xmlns="http://schemas.openxmlformats.org/package/2006/relationships"><Relationship Id="rId1" Type="http://schemas.openxmlformats.org/officeDocument/2006/relationships/chart" Target="../charts/chart71.xml"/></Relationships>
</file>

<file path=xl/drawings/_rels/drawing79.xml.rels><?xml version="1.0" encoding="UTF-8" standalone="yes"?>
<Relationships xmlns="http://schemas.openxmlformats.org/package/2006/relationships"><Relationship Id="rId1" Type="http://schemas.openxmlformats.org/officeDocument/2006/relationships/chart" Target="../charts/chart72.xml"/></Relationships>
</file>

<file path=xl/drawings/_rels/drawing8.xml.rels><?xml version="1.0" encoding="UTF-8" standalone="yes"?>
<Relationships xmlns="http://schemas.openxmlformats.org/package/2006/relationships"><Relationship Id="rId1" Type="http://schemas.openxmlformats.org/officeDocument/2006/relationships/chart" Target="../charts/chart1.xml"/></Relationships>
</file>

<file path=xl/drawings/_rels/drawing80.xml.rels><?xml version="1.0" encoding="UTF-8" standalone="yes"?>
<Relationships xmlns="http://schemas.openxmlformats.org/package/2006/relationships"><Relationship Id="rId1" Type="http://schemas.openxmlformats.org/officeDocument/2006/relationships/chart" Target="../charts/chart73.xml"/></Relationships>
</file>

<file path=xl/drawings/_rels/drawing81.xml.rels><?xml version="1.0" encoding="UTF-8" standalone="yes"?>
<Relationships xmlns="http://schemas.openxmlformats.org/package/2006/relationships"><Relationship Id="rId1" Type="http://schemas.openxmlformats.org/officeDocument/2006/relationships/chart" Target="../charts/chart74.xml"/></Relationships>
</file>

<file path=xl/drawings/_rels/drawing82.xml.rels><?xml version="1.0" encoding="UTF-8" standalone="yes"?>
<Relationships xmlns="http://schemas.openxmlformats.org/package/2006/relationships"><Relationship Id="rId1" Type="http://schemas.openxmlformats.org/officeDocument/2006/relationships/chart" Target="../charts/chart75.xml"/></Relationships>
</file>

<file path=xl/drawings/_rels/drawing83.xml.rels><?xml version="1.0" encoding="UTF-8" standalone="yes"?>
<Relationships xmlns="http://schemas.openxmlformats.org/package/2006/relationships"><Relationship Id="rId1" Type="http://schemas.openxmlformats.org/officeDocument/2006/relationships/chart" Target="../charts/chart76.xml"/></Relationships>
</file>

<file path=xl/drawings/_rels/drawing84.xml.rels><?xml version="1.0" encoding="UTF-8" standalone="yes"?>
<Relationships xmlns="http://schemas.openxmlformats.org/package/2006/relationships"><Relationship Id="rId1" Type="http://schemas.openxmlformats.org/officeDocument/2006/relationships/chart" Target="../charts/chart77.xml"/></Relationships>
</file>

<file path=xl/drawings/_rels/drawing85.xml.rels><?xml version="1.0" encoding="UTF-8" standalone="yes"?>
<Relationships xmlns="http://schemas.openxmlformats.org/package/2006/relationships"><Relationship Id="rId1" Type="http://schemas.openxmlformats.org/officeDocument/2006/relationships/chart" Target="../charts/chart78.xml"/></Relationships>
</file>

<file path=xl/drawings/_rels/drawing86.xml.rels><?xml version="1.0" encoding="UTF-8" standalone="yes"?>
<Relationships xmlns="http://schemas.openxmlformats.org/package/2006/relationships"><Relationship Id="rId1" Type="http://schemas.openxmlformats.org/officeDocument/2006/relationships/chart" Target="../charts/chart79.xml"/></Relationships>
</file>

<file path=xl/drawings/_rels/drawing87.xml.rels><?xml version="1.0" encoding="UTF-8" standalone="yes"?>
<Relationships xmlns="http://schemas.openxmlformats.org/package/2006/relationships"><Relationship Id="rId1" Type="http://schemas.openxmlformats.org/officeDocument/2006/relationships/chart" Target="../charts/chart80.xml"/></Relationships>
</file>

<file path=xl/drawings/_rels/drawing88.xml.rels><?xml version="1.0" encoding="UTF-8" standalone="yes"?>
<Relationships xmlns="http://schemas.openxmlformats.org/package/2006/relationships"><Relationship Id="rId1" Type="http://schemas.openxmlformats.org/officeDocument/2006/relationships/chart" Target="../charts/chart81.xml"/></Relationships>
</file>

<file path=xl/drawings/_rels/drawing89.xml.rels><?xml version="1.0" encoding="UTF-8" standalone="yes"?>
<Relationships xmlns="http://schemas.openxmlformats.org/package/2006/relationships"><Relationship Id="rId1" Type="http://schemas.openxmlformats.org/officeDocument/2006/relationships/chart" Target="../charts/chart82.xml"/></Relationships>
</file>

<file path=xl/drawings/_rels/drawing9.xml.rels><?xml version="1.0" encoding="UTF-8" standalone="yes"?>
<Relationships xmlns="http://schemas.openxmlformats.org/package/2006/relationships"><Relationship Id="rId1" Type="http://schemas.openxmlformats.org/officeDocument/2006/relationships/chart" Target="../charts/chart2.xml"/></Relationships>
</file>

<file path=xl/drawings/_rels/drawing90.xml.rels><?xml version="1.0" encoding="UTF-8" standalone="yes"?>
<Relationships xmlns="http://schemas.openxmlformats.org/package/2006/relationships"><Relationship Id="rId1" Type="http://schemas.openxmlformats.org/officeDocument/2006/relationships/chart" Target="../charts/chart83.xml"/></Relationships>
</file>

<file path=xl/drawings/_rels/drawing91.xml.rels><?xml version="1.0" encoding="UTF-8" standalone="yes"?>
<Relationships xmlns="http://schemas.openxmlformats.org/package/2006/relationships"><Relationship Id="rId1" Type="http://schemas.openxmlformats.org/officeDocument/2006/relationships/chart" Target="../charts/chart84.xml"/></Relationships>
</file>

<file path=xl/drawings/_rels/drawing92.xml.rels><?xml version="1.0" encoding="UTF-8" standalone="yes"?>
<Relationships xmlns="http://schemas.openxmlformats.org/package/2006/relationships"><Relationship Id="rId1" Type="http://schemas.openxmlformats.org/officeDocument/2006/relationships/chart" Target="../charts/chart85.xml"/></Relationships>
</file>

<file path=xl/drawings/_rels/drawing93.xml.rels><?xml version="1.0" encoding="UTF-8" standalone="yes"?>
<Relationships xmlns="http://schemas.openxmlformats.org/package/2006/relationships"><Relationship Id="rId1" Type="http://schemas.openxmlformats.org/officeDocument/2006/relationships/chart" Target="../charts/chart86.xml"/></Relationships>
</file>

<file path=xl/drawings/_rels/drawing94.xml.rels><?xml version="1.0" encoding="UTF-8" standalone="yes"?>
<Relationships xmlns="http://schemas.openxmlformats.org/package/2006/relationships"><Relationship Id="rId1" Type="http://schemas.openxmlformats.org/officeDocument/2006/relationships/chart" Target="../charts/chart87.xml"/></Relationships>
</file>

<file path=xl/drawings/_rels/drawing95.xml.rels><?xml version="1.0" encoding="UTF-8" standalone="yes"?>
<Relationships xmlns="http://schemas.openxmlformats.org/package/2006/relationships"><Relationship Id="rId1" Type="http://schemas.openxmlformats.org/officeDocument/2006/relationships/chart" Target="../charts/chart88.xml"/></Relationships>
</file>

<file path=xl/drawings/_rels/drawing96.xml.rels><?xml version="1.0" encoding="UTF-8" standalone="yes"?>
<Relationships xmlns="http://schemas.openxmlformats.org/package/2006/relationships"><Relationship Id="rId1" Type="http://schemas.openxmlformats.org/officeDocument/2006/relationships/chart" Target="../charts/chart89.xml"/></Relationships>
</file>

<file path=xl/drawings/_rels/drawing97.xml.rels><?xml version="1.0" encoding="UTF-8" standalone="yes"?>
<Relationships xmlns="http://schemas.openxmlformats.org/package/2006/relationships"><Relationship Id="rId1" Type="http://schemas.openxmlformats.org/officeDocument/2006/relationships/chart" Target="../charts/chart90.xml"/></Relationships>
</file>

<file path=xl/drawings/_rels/drawing98.xml.rels><?xml version="1.0" encoding="UTF-8" standalone="yes"?>
<Relationships xmlns="http://schemas.openxmlformats.org/package/2006/relationships"><Relationship Id="rId1" Type="http://schemas.openxmlformats.org/officeDocument/2006/relationships/chart" Target="../charts/chart91.xml"/></Relationships>
</file>

<file path=xl/drawings/_rels/drawing99.xml.rels><?xml version="1.0" encoding="UTF-8" standalone="yes"?>
<Relationships xmlns="http://schemas.openxmlformats.org/package/2006/relationships"><Relationship Id="rId1" Type="http://schemas.openxmlformats.org/officeDocument/2006/relationships/chart" Target="../charts/chart92.xml"/></Relationships>
</file>

<file path=xl/drawings/drawing1.xml><?xml version="1.0" encoding="utf-8"?>
<xdr:wsDr xmlns:xdr="http://schemas.openxmlformats.org/drawingml/2006/spreadsheetDrawing" xmlns:a="http://schemas.openxmlformats.org/drawingml/2006/main">
  <xdr:twoCellAnchor editAs="oneCell">
    <xdr:from>
      <xdr:col>1</xdr:col>
      <xdr:colOff>57150</xdr:colOff>
      <xdr:row>1</xdr:row>
      <xdr:rowOff>26169</xdr:rowOff>
    </xdr:from>
    <xdr:to>
      <xdr:col>5</xdr:col>
      <xdr:colOff>469691</xdr:colOff>
      <xdr:row>15</xdr:row>
      <xdr:rowOff>44670</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cstate="hqprint">
          <a:extLst>
            <a:ext uri="{28A0092B-C50C-407E-A947-70E740481C1C}">
              <a14:useLocalDpi xmlns:a14="http://schemas.microsoft.com/office/drawing/2010/main"/>
            </a:ext>
          </a:extLst>
        </a:blip>
        <a:stretch>
          <a:fillRect/>
        </a:stretch>
      </xdr:blipFill>
      <xdr:spPr>
        <a:xfrm>
          <a:off x="209550" y="178569"/>
          <a:ext cx="3043822" cy="215210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8</xdr:col>
      <xdr:colOff>662782</xdr:colOff>
      <xdr:row>37</xdr:row>
      <xdr:rowOff>76992</xdr:rowOff>
    </xdr:from>
    <xdr:to>
      <xdr:col>15</xdr:col>
      <xdr:colOff>653258</xdr:colOff>
      <xdr:row>56</xdr:row>
      <xdr:rowOff>96042</xdr:rowOff>
    </xdr:to>
    <xdr:graphicFrame macro="">
      <xdr:nvGraphicFramePr>
        <xdr:cNvPr id="3" name="Chart 2">
          <a:extLst>
            <a:ext uri="{FF2B5EF4-FFF2-40B4-BE49-F238E27FC236}">
              <a16:creationId xmlns:a16="http://schemas.microsoft.com/office/drawing/2014/main" id="{00000000-0008-0000-0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0.xml><?xml version="1.0" encoding="utf-8"?>
<xdr:wsDr xmlns:xdr="http://schemas.openxmlformats.org/drawingml/2006/spreadsheetDrawing" xmlns:a="http://schemas.openxmlformats.org/drawingml/2006/main">
  <xdr:twoCellAnchor>
    <xdr:from>
      <xdr:col>9</xdr:col>
      <xdr:colOff>19050</xdr:colOff>
      <xdr:row>28</xdr:row>
      <xdr:rowOff>57150</xdr:rowOff>
    </xdr:from>
    <xdr:to>
      <xdr:col>16</xdr:col>
      <xdr:colOff>9525</xdr:colOff>
      <xdr:row>47</xdr:row>
      <xdr:rowOff>57150</xdr:rowOff>
    </xdr:to>
    <xdr:graphicFrame macro="">
      <xdr:nvGraphicFramePr>
        <xdr:cNvPr id="8940648" name="Chart 2">
          <a:extLst>
            <a:ext uri="{FF2B5EF4-FFF2-40B4-BE49-F238E27FC236}">
              <a16:creationId xmlns:a16="http://schemas.microsoft.com/office/drawing/2014/main" id="{00000000-0008-0000-6D00-0000686C88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1.xml><?xml version="1.0" encoding="utf-8"?>
<xdr:wsDr xmlns:xdr="http://schemas.openxmlformats.org/drawingml/2006/spreadsheetDrawing" xmlns:a="http://schemas.openxmlformats.org/drawingml/2006/main">
  <xdr:twoCellAnchor>
    <xdr:from>
      <xdr:col>9</xdr:col>
      <xdr:colOff>28575</xdr:colOff>
      <xdr:row>28</xdr:row>
      <xdr:rowOff>47625</xdr:rowOff>
    </xdr:from>
    <xdr:to>
      <xdr:col>16</xdr:col>
      <xdr:colOff>19050</xdr:colOff>
      <xdr:row>47</xdr:row>
      <xdr:rowOff>47625</xdr:rowOff>
    </xdr:to>
    <xdr:graphicFrame macro="">
      <xdr:nvGraphicFramePr>
        <xdr:cNvPr id="8943715" name="Chart 2">
          <a:extLst>
            <a:ext uri="{FF2B5EF4-FFF2-40B4-BE49-F238E27FC236}">
              <a16:creationId xmlns:a16="http://schemas.microsoft.com/office/drawing/2014/main" id="{00000000-0008-0000-6E00-0000637888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2.xml><?xml version="1.0" encoding="utf-8"?>
<xdr:wsDr xmlns:xdr="http://schemas.openxmlformats.org/drawingml/2006/spreadsheetDrawing" xmlns:a="http://schemas.openxmlformats.org/drawingml/2006/main">
  <xdr:twoCellAnchor>
    <xdr:from>
      <xdr:col>9</xdr:col>
      <xdr:colOff>57150</xdr:colOff>
      <xdr:row>28</xdr:row>
      <xdr:rowOff>76200</xdr:rowOff>
    </xdr:from>
    <xdr:to>
      <xdr:col>16</xdr:col>
      <xdr:colOff>47625</xdr:colOff>
      <xdr:row>47</xdr:row>
      <xdr:rowOff>76200</xdr:rowOff>
    </xdr:to>
    <xdr:graphicFrame macro="">
      <xdr:nvGraphicFramePr>
        <xdr:cNvPr id="3" name="Chart 2">
          <a:extLst>
            <a:ext uri="{FF2B5EF4-FFF2-40B4-BE49-F238E27FC236}">
              <a16:creationId xmlns:a16="http://schemas.microsoft.com/office/drawing/2014/main" id="{00000000-0008-0000-6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3.xml><?xml version="1.0" encoding="utf-8"?>
<xdr:wsDr xmlns:xdr="http://schemas.openxmlformats.org/drawingml/2006/spreadsheetDrawing" xmlns:a="http://schemas.openxmlformats.org/drawingml/2006/main">
  <xdr:twoCellAnchor>
    <xdr:from>
      <xdr:col>8</xdr:col>
      <xdr:colOff>657225</xdr:colOff>
      <xdr:row>28</xdr:row>
      <xdr:rowOff>66675</xdr:rowOff>
    </xdr:from>
    <xdr:to>
      <xdr:col>15</xdr:col>
      <xdr:colOff>647700</xdr:colOff>
      <xdr:row>48</xdr:row>
      <xdr:rowOff>104775</xdr:rowOff>
    </xdr:to>
    <xdr:graphicFrame macro="">
      <xdr:nvGraphicFramePr>
        <xdr:cNvPr id="8956003" name="Chart 2">
          <a:extLst>
            <a:ext uri="{FF2B5EF4-FFF2-40B4-BE49-F238E27FC236}">
              <a16:creationId xmlns:a16="http://schemas.microsoft.com/office/drawing/2014/main" id="{00000000-0008-0000-7000-000063A888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4.xml><?xml version="1.0" encoding="utf-8"?>
<xdr:wsDr xmlns:xdr="http://schemas.openxmlformats.org/drawingml/2006/spreadsheetDrawing" xmlns:a="http://schemas.openxmlformats.org/drawingml/2006/main">
  <xdr:twoCellAnchor>
    <xdr:from>
      <xdr:col>8</xdr:col>
      <xdr:colOff>657225</xdr:colOff>
      <xdr:row>28</xdr:row>
      <xdr:rowOff>66675</xdr:rowOff>
    </xdr:from>
    <xdr:to>
      <xdr:col>15</xdr:col>
      <xdr:colOff>647700</xdr:colOff>
      <xdr:row>48</xdr:row>
      <xdr:rowOff>104775</xdr:rowOff>
    </xdr:to>
    <xdr:graphicFrame macro="">
      <xdr:nvGraphicFramePr>
        <xdr:cNvPr id="3" name="Chart 2">
          <a:extLst>
            <a:ext uri="{FF2B5EF4-FFF2-40B4-BE49-F238E27FC236}">
              <a16:creationId xmlns:a16="http://schemas.microsoft.com/office/drawing/2014/main" id="{00000000-0008-0000-7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5.xml><?xml version="1.0" encoding="utf-8"?>
<xdr:wsDr xmlns:xdr="http://schemas.openxmlformats.org/drawingml/2006/spreadsheetDrawing" xmlns:a="http://schemas.openxmlformats.org/drawingml/2006/main">
  <xdr:twoCellAnchor>
    <xdr:from>
      <xdr:col>9</xdr:col>
      <xdr:colOff>9525</xdr:colOff>
      <xdr:row>28</xdr:row>
      <xdr:rowOff>57150</xdr:rowOff>
    </xdr:from>
    <xdr:to>
      <xdr:col>15</xdr:col>
      <xdr:colOff>676275</xdr:colOff>
      <xdr:row>47</xdr:row>
      <xdr:rowOff>57150</xdr:rowOff>
    </xdr:to>
    <xdr:graphicFrame macro="">
      <xdr:nvGraphicFramePr>
        <xdr:cNvPr id="8979557" name="Chart 2">
          <a:extLst>
            <a:ext uri="{FF2B5EF4-FFF2-40B4-BE49-F238E27FC236}">
              <a16:creationId xmlns:a16="http://schemas.microsoft.com/office/drawing/2014/main" id="{00000000-0008-0000-7200-0000650489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6.xml><?xml version="1.0" encoding="utf-8"?>
<xdr:wsDr xmlns:xdr="http://schemas.openxmlformats.org/drawingml/2006/spreadsheetDrawing" xmlns:a="http://schemas.openxmlformats.org/drawingml/2006/main">
  <xdr:twoCellAnchor>
    <xdr:from>
      <xdr:col>9</xdr:col>
      <xdr:colOff>19050</xdr:colOff>
      <xdr:row>28</xdr:row>
      <xdr:rowOff>66675</xdr:rowOff>
    </xdr:from>
    <xdr:to>
      <xdr:col>16</xdr:col>
      <xdr:colOff>9525</xdr:colOff>
      <xdr:row>47</xdr:row>
      <xdr:rowOff>66675</xdr:rowOff>
    </xdr:to>
    <xdr:graphicFrame macro="">
      <xdr:nvGraphicFramePr>
        <xdr:cNvPr id="8983653" name="Chart 2">
          <a:extLst>
            <a:ext uri="{FF2B5EF4-FFF2-40B4-BE49-F238E27FC236}">
              <a16:creationId xmlns:a16="http://schemas.microsoft.com/office/drawing/2014/main" id="{00000000-0008-0000-7300-0000651489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7.xml><?xml version="1.0" encoding="utf-8"?>
<xdr:wsDr xmlns:xdr="http://schemas.openxmlformats.org/drawingml/2006/spreadsheetDrawing" xmlns:a="http://schemas.openxmlformats.org/drawingml/2006/main">
  <xdr:twoCellAnchor>
    <xdr:from>
      <xdr:col>9</xdr:col>
      <xdr:colOff>28575</xdr:colOff>
      <xdr:row>28</xdr:row>
      <xdr:rowOff>76200</xdr:rowOff>
    </xdr:from>
    <xdr:to>
      <xdr:col>16</xdr:col>
      <xdr:colOff>19050</xdr:colOff>
      <xdr:row>47</xdr:row>
      <xdr:rowOff>76200</xdr:rowOff>
    </xdr:to>
    <xdr:graphicFrame macro="">
      <xdr:nvGraphicFramePr>
        <xdr:cNvPr id="62592381" name="Chart 2">
          <a:extLst>
            <a:ext uri="{FF2B5EF4-FFF2-40B4-BE49-F238E27FC236}">
              <a16:creationId xmlns:a16="http://schemas.microsoft.com/office/drawing/2014/main" id="{00000000-0008-0000-7400-00007D15BB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8.xml><?xml version="1.0" encoding="utf-8"?>
<xdr:wsDr xmlns:xdr="http://schemas.openxmlformats.org/drawingml/2006/spreadsheetDrawing" xmlns:a="http://schemas.openxmlformats.org/drawingml/2006/main">
  <xdr:twoCellAnchor>
    <xdr:from>
      <xdr:col>8</xdr:col>
      <xdr:colOff>666750</xdr:colOff>
      <xdr:row>28</xdr:row>
      <xdr:rowOff>66675</xdr:rowOff>
    </xdr:from>
    <xdr:to>
      <xdr:col>15</xdr:col>
      <xdr:colOff>657225</xdr:colOff>
      <xdr:row>47</xdr:row>
      <xdr:rowOff>66675</xdr:rowOff>
    </xdr:to>
    <xdr:graphicFrame macro="">
      <xdr:nvGraphicFramePr>
        <xdr:cNvPr id="8968291" name="Chart 2">
          <a:extLst>
            <a:ext uri="{FF2B5EF4-FFF2-40B4-BE49-F238E27FC236}">
              <a16:creationId xmlns:a16="http://schemas.microsoft.com/office/drawing/2014/main" id="{00000000-0008-0000-7500-000063D888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9.xml><?xml version="1.0" encoding="utf-8"?>
<xdr:wsDr xmlns:xdr="http://schemas.openxmlformats.org/drawingml/2006/spreadsheetDrawing" xmlns:a="http://schemas.openxmlformats.org/drawingml/2006/main">
  <xdr:twoCellAnchor>
    <xdr:from>
      <xdr:col>9</xdr:col>
      <xdr:colOff>28575</xdr:colOff>
      <xdr:row>28</xdr:row>
      <xdr:rowOff>66675</xdr:rowOff>
    </xdr:from>
    <xdr:to>
      <xdr:col>16</xdr:col>
      <xdr:colOff>19050</xdr:colOff>
      <xdr:row>47</xdr:row>
      <xdr:rowOff>66675</xdr:rowOff>
    </xdr:to>
    <xdr:graphicFrame macro="">
      <xdr:nvGraphicFramePr>
        <xdr:cNvPr id="8971363" name="Chart 2">
          <a:extLst>
            <a:ext uri="{FF2B5EF4-FFF2-40B4-BE49-F238E27FC236}">
              <a16:creationId xmlns:a16="http://schemas.microsoft.com/office/drawing/2014/main" id="{00000000-0008-0000-7600-000063E488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8</xdr:col>
      <xdr:colOff>650359</xdr:colOff>
      <xdr:row>30</xdr:row>
      <xdr:rowOff>112527</xdr:rowOff>
    </xdr:from>
    <xdr:to>
      <xdr:col>15</xdr:col>
      <xdr:colOff>640833</xdr:colOff>
      <xdr:row>49</xdr:row>
      <xdr:rowOff>112527</xdr:rowOff>
    </xdr:to>
    <xdr:graphicFrame macro="">
      <xdr:nvGraphicFramePr>
        <xdr:cNvPr id="63596476" name="Chart 2">
          <a:extLst>
            <a:ext uri="{FF2B5EF4-FFF2-40B4-BE49-F238E27FC236}">
              <a16:creationId xmlns:a16="http://schemas.microsoft.com/office/drawing/2014/main" id="{00000000-0008-0000-0B00-0000BC67CA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0.xml><?xml version="1.0" encoding="utf-8"?>
<xdr:wsDr xmlns:xdr="http://schemas.openxmlformats.org/drawingml/2006/spreadsheetDrawing" xmlns:a="http://schemas.openxmlformats.org/drawingml/2006/main">
  <xdr:twoCellAnchor>
    <xdr:from>
      <xdr:col>9</xdr:col>
      <xdr:colOff>57150</xdr:colOff>
      <xdr:row>28</xdr:row>
      <xdr:rowOff>76200</xdr:rowOff>
    </xdr:from>
    <xdr:to>
      <xdr:col>16</xdr:col>
      <xdr:colOff>47625</xdr:colOff>
      <xdr:row>47</xdr:row>
      <xdr:rowOff>76200</xdr:rowOff>
    </xdr:to>
    <xdr:graphicFrame macro="">
      <xdr:nvGraphicFramePr>
        <xdr:cNvPr id="3" name="Chart 2">
          <a:extLst>
            <a:ext uri="{FF2B5EF4-FFF2-40B4-BE49-F238E27FC236}">
              <a16:creationId xmlns:a16="http://schemas.microsoft.com/office/drawing/2014/main" id="{00000000-0008-0000-7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1.xml><?xml version="1.0" encoding="utf-8"?>
<xdr:wsDr xmlns:xdr="http://schemas.openxmlformats.org/drawingml/2006/spreadsheetDrawing" xmlns:a="http://schemas.openxmlformats.org/drawingml/2006/main">
  <xdr:twoCellAnchor>
    <xdr:from>
      <xdr:col>9</xdr:col>
      <xdr:colOff>19050</xdr:colOff>
      <xdr:row>28</xdr:row>
      <xdr:rowOff>66675</xdr:rowOff>
    </xdr:from>
    <xdr:to>
      <xdr:col>16</xdr:col>
      <xdr:colOff>9525</xdr:colOff>
      <xdr:row>47</xdr:row>
      <xdr:rowOff>66675</xdr:rowOff>
    </xdr:to>
    <xdr:graphicFrame macro="">
      <xdr:nvGraphicFramePr>
        <xdr:cNvPr id="8975459" name="Chart 2">
          <a:extLst>
            <a:ext uri="{FF2B5EF4-FFF2-40B4-BE49-F238E27FC236}">
              <a16:creationId xmlns:a16="http://schemas.microsoft.com/office/drawing/2014/main" id="{00000000-0008-0000-7800-000063F488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2.xml><?xml version="1.0" encoding="utf-8"?>
<xdr:wsDr xmlns:xdr="http://schemas.openxmlformats.org/drawingml/2006/spreadsheetDrawing" xmlns:a="http://schemas.openxmlformats.org/drawingml/2006/main">
  <xdr:twoCellAnchor>
    <xdr:from>
      <xdr:col>9</xdr:col>
      <xdr:colOff>28575</xdr:colOff>
      <xdr:row>28</xdr:row>
      <xdr:rowOff>66675</xdr:rowOff>
    </xdr:from>
    <xdr:to>
      <xdr:col>16</xdr:col>
      <xdr:colOff>19050</xdr:colOff>
      <xdr:row>47</xdr:row>
      <xdr:rowOff>66675</xdr:rowOff>
    </xdr:to>
    <xdr:graphicFrame macro="">
      <xdr:nvGraphicFramePr>
        <xdr:cNvPr id="8959075" name="Chart 2">
          <a:extLst>
            <a:ext uri="{FF2B5EF4-FFF2-40B4-BE49-F238E27FC236}">
              <a16:creationId xmlns:a16="http://schemas.microsoft.com/office/drawing/2014/main" id="{00000000-0008-0000-7900-000063B488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3.xml><?xml version="1.0" encoding="utf-8"?>
<xdr:wsDr xmlns:xdr="http://schemas.openxmlformats.org/drawingml/2006/spreadsheetDrawing" xmlns:a="http://schemas.openxmlformats.org/drawingml/2006/main">
  <xdr:twoCellAnchor>
    <xdr:from>
      <xdr:col>8</xdr:col>
      <xdr:colOff>676275</xdr:colOff>
      <xdr:row>28</xdr:row>
      <xdr:rowOff>66675</xdr:rowOff>
    </xdr:from>
    <xdr:to>
      <xdr:col>15</xdr:col>
      <xdr:colOff>666750</xdr:colOff>
      <xdr:row>47</xdr:row>
      <xdr:rowOff>66675</xdr:rowOff>
    </xdr:to>
    <xdr:graphicFrame macro="">
      <xdr:nvGraphicFramePr>
        <xdr:cNvPr id="8962147" name="Chart 2">
          <a:extLst>
            <a:ext uri="{FF2B5EF4-FFF2-40B4-BE49-F238E27FC236}">
              <a16:creationId xmlns:a16="http://schemas.microsoft.com/office/drawing/2014/main" id="{00000000-0008-0000-7A00-000063C088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4.xml><?xml version="1.0" encoding="utf-8"?>
<xdr:wsDr xmlns:xdr="http://schemas.openxmlformats.org/drawingml/2006/spreadsheetDrawing" xmlns:a="http://schemas.openxmlformats.org/drawingml/2006/main">
  <xdr:twoCellAnchor>
    <xdr:from>
      <xdr:col>9</xdr:col>
      <xdr:colOff>57150</xdr:colOff>
      <xdr:row>28</xdr:row>
      <xdr:rowOff>123825</xdr:rowOff>
    </xdr:from>
    <xdr:to>
      <xdr:col>16</xdr:col>
      <xdr:colOff>47625</xdr:colOff>
      <xdr:row>47</xdr:row>
      <xdr:rowOff>123825</xdr:rowOff>
    </xdr:to>
    <xdr:graphicFrame macro="">
      <xdr:nvGraphicFramePr>
        <xdr:cNvPr id="8965219" name="Chart 2">
          <a:extLst>
            <a:ext uri="{FF2B5EF4-FFF2-40B4-BE49-F238E27FC236}">
              <a16:creationId xmlns:a16="http://schemas.microsoft.com/office/drawing/2014/main" id="{00000000-0008-0000-7B00-000063CC88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5.xml><?xml version="1.0" encoding="utf-8"?>
<xdr:wsDr xmlns:xdr="http://schemas.openxmlformats.org/drawingml/2006/spreadsheetDrawing" xmlns:a="http://schemas.openxmlformats.org/drawingml/2006/main">
  <xdr:twoCellAnchor>
    <xdr:from>
      <xdr:col>9</xdr:col>
      <xdr:colOff>38100</xdr:colOff>
      <xdr:row>28</xdr:row>
      <xdr:rowOff>133350</xdr:rowOff>
    </xdr:from>
    <xdr:to>
      <xdr:col>16</xdr:col>
      <xdr:colOff>28575</xdr:colOff>
      <xdr:row>47</xdr:row>
      <xdr:rowOff>133350</xdr:rowOff>
    </xdr:to>
    <xdr:graphicFrame macro="">
      <xdr:nvGraphicFramePr>
        <xdr:cNvPr id="8995941" name="Chart 2">
          <a:extLst>
            <a:ext uri="{FF2B5EF4-FFF2-40B4-BE49-F238E27FC236}">
              <a16:creationId xmlns:a16="http://schemas.microsoft.com/office/drawing/2014/main" id="{00000000-0008-0000-7C00-0000654489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6.xml><?xml version="1.0" encoding="utf-8"?>
<xdr:wsDr xmlns:xdr="http://schemas.openxmlformats.org/drawingml/2006/spreadsheetDrawing" xmlns:a="http://schemas.openxmlformats.org/drawingml/2006/main">
  <xdr:twoCellAnchor>
    <xdr:from>
      <xdr:col>8</xdr:col>
      <xdr:colOff>666750</xdr:colOff>
      <xdr:row>28</xdr:row>
      <xdr:rowOff>133350</xdr:rowOff>
    </xdr:from>
    <xdr:to>
      <xdr:col>15</xdr:col>
      <xdr:colOff>657225</xdr:colOff>
      <xdr:row>47</xdr:row>
      <xdr:rowOff>133350</xdr:rowOff>
    </xdr:to>
    <xdr:graphicFrame macro="">
      <xdr:nvGraphicFramePr>
        <xdr:cNvPr id="9000035" name="Chart 2">
          <a:extLst>
            <a:ext uri="{FF2B5EF4-FFF2-40B4-BE49-F238E27FC236}">
              <a16:creationId xmlns:a16="http://schemas.microsoft.com/office/drawing/2014/main" id="{00000000-0008-0000-7D00-0000635489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7.xml><?xml version="1.0" encoding="utf-8"?>
<xdr:wsDr xmlns:xdr="http://schemas.openxmlformats.org/drawingml/2006/spreadsheetDrawing" xmlns:a="http://schemas.openxmlformats.org/drawingml/2006/main">
  <xdr:twoCellAnchor>
    <xdr:from>
      <xdr:col>9</xdr:col>
      <xdr:colOff>19050</xdr:colOff>
      <xdr:row>28</xdr:row>
      <xdr:rowOff>66675</xdr:rowOff>
    </xdr:from>
    <xdr:to>
      <xdr:col>16</xdr:col>
      <xdr:colOff>9525</xdr:colOff>
      <xdr:row>47</xdr:row>
      <xdr:rowOff>66675</xdr:rowOff>
    </xdr:to>
    <xdr:graphicFrame macro="">
      <xdr:nvGraphicFramePr>
        <xdr:cNvPr id="62597501" name="Chart 2">
          <a:extLst>
            <a:ext uri="{FF2B5EF4-FFF2-40B4-BE49-F238E27FC236}">
              <a16:creationId xmlns:a16="http://schemas.microsoft.com/office/drawing/2014/main" id="{00000000-0008-0000-7E00-00007D29BB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8.xml><?xml version="1.0" encoding="utf-8"?>
<xdr:wsDr xmlns:xdr="http://schemas.openxmlformats.org/drawingml/2006/spreadsheetDrawing" xmlns:a="http://schemas.openxmlformats.org/drawingml/2006/main">
  <xdr:twoCellAnchor>
    <xdr:from>
      <xdr:col>9</xdr:col>
      <xdr:colOff>38100</xdr:colOff>
      <xdr:row>28</xdr:row>
      <xdr:rowOff>38100</xdr:rowOff>
    </xdr:from>
    <xdr:to>
      <xdr:col>16</xdr:col>
      <xdr:colOff>28575</xdr:colOff>
      <xdr:row>47</xdr:row>
      <xdr:rowOff>38100</xdr:rowOff>
    </xdr:to>
    <xdr:graphicFrame macro="">
      <xdr:nvGraphicFramePr>
        <xdr:cNvPr id="62596477" name="Chart 2">
          <a:extLst>
            <a:ext uri="{FF2B5EF4-FFF2-40B4-BE49-F238E27FC236}">
              <a16:creationId xmlns:a16="http://schemas.microsoft.com/office/drawing/2014/main" id="{00000000-0008-0000-7F00-00007D25BB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9.xml><?xml version="1.0" encoding="utf-8"?>
<xdr:wsDr xmlns:xdr="http://schemas.openxmlformats.org/drawingml/2006/spreadsheetDrawing" xmlns:a="http://schemas.openxmlformats.org/drawingml/2006/main">
  <xdr:twoCellAnchor>
    <xdr:from>
      <xdr:col>9</xdr:col>
      <xdr:colOff>19050</xdr:colOff>
      <xdr:row>28</xdr:row>
      <xdr:rowOff>76200</xdr:rowOff>
    </xdr:from>
    <xdr:to>
      <xdr:col>16</xdr:col>
      <xdr:colOff>9525</xdr:colOff>
      <xdr:row>47</xdr:row>
      <xdr:rowOff>76200</xdr:rowOff>
    </xdr:to>
    <xdr:graphicFrame macro="">
      <xdr:nvGraphicFramePr>
        <xdr:cNvPr id="62593405" name="Chart 2">
          <a:extLst>
            <a:ext uri="{FF2B5EF4-FFF2-40B4-BE49-F238E27FC236}">
              <a16:creationId xmlns:a16="http://schemas.microsoft.com/office/drawing/2014/main" id="{00000000-0008-0000-8000-00007D19BB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9</xdr:col>
      <xdr:colOff>47625</xdr:colOff>
      <xdr:row>30</xdr:row>
      <xdr:rowOff>57150</xdr:rowOff>
    </xdr:from>
    <xdr:to>
      <xdr:col>16</xdr:col>
      <xdr:colOff>38100</xdr:colOff>
      <xdr:row>49</xdr:row>
      <xdr:rowOff>76200</xdr:rowOff>
    </xdr:to>
    <xdr:graphicFrame macro="">
      <xdr:nvGraphicFramePr>
        <xdr:cNvPr id="3" name="Chart 2">
          <a:extLst>
            <a:ext uri="{FF2B5EF4-FFF2-40B4-BE49-F238E27FC236}">
              <a16:creationId xmlns:a16="http://schemas.microsoft.com/office/drawing/2014/main" id="{00000000-0008-0000-0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0.xml><?xml version="1.0" encoding="utf-8"?>
<xdr:wsDr xmlns:xdr="http://schemas.openxmlformats.org/drawingml/2006/spreadsheetDrawing" xmlns:a="http://schemas.openxmlformats.org/drawingml/2006/main">
  <xdr:twoCellAnchor>
    <xdr:from>
      <xdr:col>9</xdr:col>
      <xdr:colOff>19050</xdr:colOff>
      <xdr:row>28</xdr:row>
      <xdr:rowOff>38100</xdr:rowOff>
    </xdr:from>
    <xdr:to>
      <xdr:col>16</xdr:col>
      <xdr:colOff>9525</xdr:colOff>
      <xdr:row>47</xdr:row>
      <xdr:rowOff>38100</xdr:rowOff>
    </xdr:to>
    <xdr:graphicFrame macro="">
      <xdr:nvGraphicFramePr>
        <xdr:cNvPr id="62598525" name="Chart 2">
          <a:extLst>
            <a:ext uri="{FF2B5EF4-FFF2-40B4-BE49-F238E27FC236}">
              <a16:creationId xmlns:a16="http://schemas.microsoft.com/office/drawing/2014/main" id="{00000000-0008-0000-8100-00007D2DBB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1.xml><?xml version="1.0" encoding="utf-8"?>
<xdr:wsDr xmlns:xdr="http://schemas.openxmlformats.org/drawingml/2006/spreadsheetDrawing" xmlns:a="http://schemas.openxmlformats.org/drawingml/2006/main">
  <xdr:twoCellAnchor>
    <xdr:from>
      <xdr:col>8</xdr:col>
      <xdr:colOff>667310</xdr:colOff>
      <xdr:row>28</xdr:row>
      <xdr:rowOff>12327</xdr:rowOff>
    </xdr:from>
    <xdr:to>
      <xdr:col>15</xdr:col>
      <xdr:colOff>657784</xdr:colOff>
      <xdr:row>47</xdr:row>
      <xdr:rowOff>12327</xdr:rowOff>
    </xdr:to>
    <xdr:graphicFrame macro="">
      <xdr:nvGraphicFramePr>
        <xdr:cNvPr id="3" name="Chart 2">
          <a:extLst>
            <a:ext uri="{FF2B5EF4-FFF2-40B4-BE49-F238E27FC236}">
              <a16:creationId xmlns:a16="http://schemas.microsoft.com/office/drawing/2014/main" id="{00000000-0008-0000-8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2.xml><?xml version="1.0" encoding="utf-8"?>
<xdr:wsDr xmlns:xdr="http://schemas.openxmlformats.org/drawingml/2006/spreadsheetDrawing" xmlns:a="http://schemas.openxmlformats.org/drawingml/2006/main">
  <xdr:twoCellAnchor>
    <xdr:from>
      <xdr:col>8</xdr:col>
      <xdr:colOff>667310</xdr:colOff>
      <xdr:row>28</xdr:row>
      <xdr:rowOff>12327</xdr:rowOff>
    </xdr:from>
    <xdr:to>
      <xdr:col>15</xdr:col>
      <xdr:colOff>657784</xdr:colOff>
      <xdr:row>47</xdr:row>
      <xdr:rowOff>12327</xdr:rowOff>
    </xdr:to>
    <xdr:graphicFrame macro="">
      <xdr:nvGraphicFramePr>
        <xdr:cNvPr id="3" name="Chart 2">
          <a:extLst>
            <a:ext uri="{FF2B5EF4-FFF2-40B4-BE49-F238E27FC236}">
              <a16:creationId xmlns:a16="http://schemas.microsoft.com/office/drawing/2014/main" id="{00000000-0008-0000-8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3.xml><?xml version="1.0" encoding="utf-8"?>
<xdr:wsDr xmlns:xdr="http://schemas.openxmlformats.org/drawingml/2006/spreadsheetDrawing" xmlns:a="http://schemas.openxmlformats.org/drawingml/2006/main">
  <xdr:twoCellAnchor>
    <xdr:from>
      <xdr:col>9</xdr:col>
      <xdr:colOff>28575</xdr:colOff>
      <xdr:row>28</xdr:row>
      <xdr:rowOff>57150</xdr:rowOff>
    </xdr:from>
    <xdr:to>
      <xdr:col>16</xdr:col>
      <xdr:colOff>19050</xdr:colOff>
      <xdr:row>47</xdr:row>
      <xdr:rowOff>57150</xdr:rowOff>
    </xdr:to>
    <xdr:graphicFrame macro="">
      <xdr:nvGraphicFramePr>
        <xdr:cNvPr id="62599550" name="Chart 2">
          <a:extLst>
            <a:ext uri="{FF2B5EF4-FFF2-40B4-BE49-F238E27FC236}">
              <a16:creationId xmlns:a16="http://schemas.microsoft.com/office/drawing/2014/main" id="{00000000-0008-0000-8400-00007E31BB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4.xml><?xml version="1.0" encoding="utf-8"?>
<xdr:wsDr xmlns:xdr="http://schemas.openxmlformats.org/drawingml/2006/spreadsheetDrawing" xmlns:a="http://schemas.openxmlformats.org/drawingml/2006/main">
  <xdr:twoCellAnchor>
    <xdr:from>
      <xdr:col>9</xdr:col>
      <xdr:colOff>47625</xdr:colOff>
      <xdr:row>28</xdr:row>
      <xdr:rowOff>38100</xdr:rowOff>
    </xdr:from>
    <xdr:to>
      <xdr:col>16</xdr:col>
      <xdr:colOff>38100</xdr:colOff>
      <xdr:row>47</xdr:row>
      <xdr:rowOff>38100</xdr:rowOff>
    </xdr:to>
    <xdr:graphicFrame macro="">
      <xdr:nvGraphicFramePr>
        <xdr:cNvPr id="9044067" name="Chart 2">
          <a:extLst>
            <a:ext uri="{FF2B5EF4-FFF2-40B4-BE49-F238E27FC236}">
              <a16:creationId xmlns:a16="http://schemas.microsoft.com/office/drawing/2014/main" id="{00000000-0008-0000-8500-000063008A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5.xml><?xml version="1.0" encoding="utf-8"?>
<xdr:wsDr xmlns:xdr="http://schemas.openxmlformats.org/drawingml/2006/spreadsheetDrawing" xmlns:a="http://schemas.openxmlformats.org/drawingml/2006/main">
  <xdr:twoCellAnchor>
    <xdr:from>
      <xdr:col>9</xdr:col>
      <xdr:colOff>19050</xdr:colOff>
      <xdr:row>28</xdr:row>
      <xdr:rowOff>47625</xdr:rowOff>
    </xdr:from>
    <xdr:to>
      <xdr:col>16</xdr:col>
      <xdr:colOff>9525</xdr:colOff>
      <xdr:row>47</xdr:row>
      <xdr:rowOff>47625</xdr:rowOff>
    </xdr:to>
    <xdr:graphicFrame macro="">
      <xdr:nvGraphicFramePr>
        <xdr:cNvPr id="9046115" name="Chart 2">
          <a:extLst>
            <a:ext uri="{FF2B5EF4-FFF2-40B4-BE49-F238E27FC236}">
              <a16:creationId xmlns:a16="http://schemas.microsoft.com/office/drawing/2014/main" id="{00000000-0008-0000-8600-000063088A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6.xml><?xml version="1.0" encoding="utf-8"?>
<xdr:wsDr xmlns:xdr="http://schemas.openxmlformats.org/drawingml/2006/spreadsheetDrawing" xmlns:a="http://schemas.openxmlformats.org/drawingml/2006/main">
  <xdr:twoCellAnchor>
    <xdr:from>
      <xdr:col>9</xdr:col>
      <xdr:colOff>19050</xdr:colOff>
      <xdr:row>28</xdr:row>
      <xdr:rowOff>47625</xdr:rowOff>
    </xdr:from>
    <xdr:to>
      <xdr:col>16</xdr:col>
      <xdr:colOff>9525</xdr:colOff>
      <xdr:row>47</xdr:row>
      <xdr:rowOff>47625</xdr:rowOff>
    </xdr:to>
    <xdr:graphicFrame macro="">
      <xdr:nvGraphicFramePr>
        <xdr:cNvPr id="3" name="Chart 2">
          <a:extLst>
            <a:ext uri="{FF2B5EF4-FFF2-40B4-BE49-F238E27FC236}">
              <a16:creationId xmlns:a16="http://schemas.microsoft.com/office/drawing/2014/main" id="{00000000-0008-0000-8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7.xml><?xml version="1.0" encoding="utf-8"?>
<xdr:wsDr xmlns:xdr="http://schemas.openxmlformats.org/drawingml/2006/spreadsheetDrawing" xmlns:a="http://schemas.openxmlformats.org/drawingml/2006/main">
  <xdr:twoCellAnchor>
    <xdr:from>
      <xdr:col>9</xdr:col>
      <xdr:colOff>57150</xdr:colOff>
      <xdr:row>28</xdr:row>
      <xdr:rowOff>76200</xdr:rowOff>
    </xdr:from>
    <xdr:to>
      <xdr:col>16</xdr:col>
      <xdr:colOff>47625</xdr:colOff>
      <xdr:row>47</xdr:row>
      <xdr:rowOff>76200</xdr:rowOff>
    </xdr:to>
    <xdr:graphicFrame macro="">
      <xdr:nvGraphicFramePr>
        <xdr:cNvPr id="3" name="Chart 2">
          <a:extLst>
            <a:ext uri="{FF2B5EF4-FFF2-40B4-BE49-F238E27FC236}">
              <a16:creationId xmlns:a16="http://schemas.microsoft.com/office/drawing/2014/main" id="{00000000-0008-0000-8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8.xml><?xml version="1.0" encoding="utf-8"?>
<xdr:wsDr xmlns:xdr="http://schemas.openxmlformats.org/drawingml/2006/spreadsheetDrawing" xmlns:a="http://schemas.openxmlformats.org/drawingml/2006/main">
  <xdr:twoCellAnchor>
    <xdr:from>
      <xdr:col>9</xdr:col>
      <xdr:colOff>38100</xdr:colOff>
      <xdr:row>28</xdr:row>
      <xdr:rowOff>104775</xdr:rowOff>
    </xdr:from>
    <xdr:to>
      <xdr:col>16</xdr:col>
      <xdr:colOff>28575</xdr:colOff>
      <xdr:row>47</xdr:row>
      <xdr:rowOff>104775</xdr:rowOff>
    </xdr:to>
    <xdr:graphicFrame macro="">
      <xdr:nvGraphicFramePr>
        <xdr:cNvPr id="62600573" name="Chart 2">
          <a:extLst>
            <a:ext uri="{FF2B5EF4-FFF2-40B4-BE49-F238E27FC236}">
              <a16:creationId xmlns:a16="http://schemas.microsoft.com/office/drawing/2014/main" id="{00000000-0008-0000-8900-00007D35BB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9.xml><?xml version="1.0" encoding="utf-8"?>
<xdr:wsDr xmlns:xdr="http://schemas.openxmlformats.org/drawingml/2006/spreadsheetDrawing" xmlns:a="http://schemas.openxmlformats.org/drawingml/2006/main">
  <xdr:twoCellAnchor>
    <xdr:from>
      <xdr:col>17</xdr:col>
      <xdr:colOff>361949</xdr:colOff>
      <xdr:row>28</xdr:row>
      <xdr:rowOff>28576</xdr:rowOff>
    </xdr:from>
    <xdr:to>
      <xdr:col>24</xdr:col>
      <xdr:colOff>0</xdr:colOff>
      <xdr:row>45</xdr:row>
      <xdr:rowOff>9526</xdr:rowOff>
    </xdr:to>
    <xdr:graphicFrame macro="">
      <xdr:nvGraphicFramePr>
        <xdr:cNvPr id="3" name="Chart 2">
          <a:extLst>
            <a:ext uri="{FF2B5EF4-FFF2-40B4-BE49-F238E27FC236}">
              <a16:creationId xmlns:a16="http://schemas.microsoft.com/office/drawing/2014/main" id="{00000000-0008-0000-8A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9</xdr:col>
      <xdr:colOff>47625</xdr:colOff>
      <xdr:row>30</xdr:row>
      <xdr:rowOff>57150</xdr:rowOff>
    </xdr:from>
    <xdr:to>
      <xdr:col>16</xdr:col>
      <xdr:colOff>38100</xdr:colOff>
      <xdr:row>49</xdr:row>
      <xdr:rowOff>76200</xdr:rowOff>
    </xdr:to>
    <xdr:graphicFrame macro="">
      <xdr:nvGraphicFramePr>
        <xdr:cNvPr id="2" name="Chart 1">
          <a:extLst>
            <a:ext uri="{FF2B5EF4-FFF2-40B4-BE49-F238E27FC236}">
              <a16:creationId xmlns:a16="http://schemas.microsoft.com/office/drawing/2014/main" id="{0BEACDEE-4E31-42FC-B93C-155B7D24F4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0.xml><?xml version="1.0" encoding="utf-8"?>
<xdr:wsDr xmlns:xdr="http://schemas.openxmlformats.org/drawingml/2006/spreadsheetDrawing" xmlns:a="http://schemas.openxmlformats.org/drawingml/2006/main">
  <xdr:twoCellAnchor>
    <xdr:from>
      <xdr:col>18</xdr:col>
      <xdr:colOff>0</xdr:colOff>
      <xdr:row>23</xdr:row>
      <xdr:rowOff>142875</xdr:rowOff>
    </xdr:from>
    <xdr:to>
      <xdr:col>24</xdr:col>
      <xdr:colOff>47625</xdr:colOff>
      <xdr:row>39</xdr:row>
      <xdr:rowOff>66675</xdr:rowOff>
    </xdr:to>
    <xdr:graphicFrame macro="">
      <xdr:nvGraphicFramePr>
        <xdr:cNvPr id="2" name="Chart 1">
          <a:extLst>
            <a:ext uri="{FF2B5EF4-FFF2-40B4-BE49-F238E27FC236}">
              <a16:creationId xmlns:a16="http://schemas.microsoft.com/office/drawing/2014/main" id="{00000000-0008-0000-8B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1.xml><?xml version="1.0" encoding="utf-8"?>
<xdr:wsDr xmlns:xdr="http://schemas.openxmlformats.org/drawingml/2006/spreadsheetDrawing" xmlns:a="http://schemas.openxmlformats.org/drawingml/2006/main">
  <xdr:twoCellAnchor>
    <xdr:from>
      <xdr:col>18</xdr:col>
      <xdr:colOff>165177</xdr:colOff>
      <xdr:row>20</xdr:row>
      <xdr:rowOff>6505</xdr:rowOff>
    </xdr:from>
    <xdr:to>
      <xdr:col>23</xdr:col>
      <xdr:colOff>670002</xdr:colOff>
      <xdr:row>34</xdr:row>
      <xdr:rowOff>109886</xdr:rowOff>
    </xdr:to>
    <xdr:graphicFrame macro="">
      <xdr:nvGraphicFramePr>
        <xdr:cNvPr id="62534495" name="Chart 2">
          <a:extLst>
            <a:ext uri="{FF2B5EF4-FFF2-40B4-BE49-F238E27FC236}">
              <a16:creationId xmlns:a16="http://schemas.microsoft.com/office/drawing/2014/main" id="{00000000-0008-0000-8E00-00005F33BA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2.xml><?xml version="1.0" encoding="utf-8"?>
<xdr:wsDr xmlns:xdr="http://schemas.openxmlformats.org/drawingml/2006/spreadsheetDrawing" xmlns:a="http://schemas.openxmlformats.org/drawingml/2006/main">
  <xdr:twoCellAnchor>
    <xdr:from>
      <xdr:col>18</xdr:col>
      <xdr:colOff>239677</xdr:colOff>
      <xdr:row>19</xdr:row>
      <xdr:rowOff>88605</xdr:rowOff>
    </xdr:from>
    <xdr:to>
      <xdr:col>24</xdr:col>
      <xdr:colOff>0</xdr:colOff>
      <xdr:row>33</xdr:row>
      <xdr:rowOff>151956</xdr:rowOff>
    </xdr:to>
    <xdr:graphicFrame macro="">
      <xdr:nvGraphicFramePr>
        <xdr:cNvPr id="62538591" name="Chart 2">
          <a:extLst>
            <a:ext uri="{FF2B5EF4-FFF2-40B4-BE49-F238E27FC236}">
              <a16:creationId xmlns:a16="http://schemas.microsoft.com/office/drawing/2014/main" id="{00000000-0008-0000-8F00-00005F43BA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3.xml><?xml version="1.0" encoding="utf-8"?>
<xdr:wsDr xmlns:xdr="http://schemas.openxmlformats.org/drawingml/2006/spreadsheetDrawing" xmlns:a="http://schemas.openxmlformats.org/drawingml/2006/main">
  <xdr:twoCellAnchor>
    <xdr:from>
      <xdr:col>18</xdr:col>
      <xdr:colOff>158540</xdr:colOff>
      <xdr:row>32</xdr:row>
      <xdr:rowOff>18258</xdr:rowOff>
    </xdr:from>
    <xdr:to>
      <xdr:col>23</xdr:col>
      <xdr:colOff>653840</xdr:colOff>
      <xdr:row>54</xdr:row>
      <xdr:rowOff>149045</xdr:rowOff>
    </xdr:to>
    <xdr:graphicFrame macro="">
      <xdr:nvGraphicFramePr>
        <xdr:cNvPr id="62542687" name="Chart 2">
          <a:extLst>
            <a:ext uri="{FF2B5EF4-FFF2-40B4-BE49-F238E27FC236}">
              <a16:creationId xmlns:a16="http://schemas.microsoft.com/office/drawing/2014/main" id="{00000000-0008-0000-9000-00005F53BA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4.xml><?xml version="1.0" encoding="utf-8"?>
<xdr:wsDr xmlns:xdr="http://schemas.openxmlformats.org/drawingml/2006/spreadsheetDrawing" xmlns:a="http://schemas.openxmlformats.org/drawingml/2006/main">
  <xdr:twoCellAnchor>
    <xdr:from>
      <xdr:col>17</xdr:col>
      <xdr:colOff>595313</xdr:colOff>
      <xdr:row>22</xdr:row>
      <xdr:rowOff>76200</xdr:rowOff>
    </xdr:from>
    <xdr:to>
      <xdr:col>24</xdr:col>
      <xdr:colOff>57150</xdr:colOff>
      <xdr:row>41</xdr:row>
      <xdr:rowOff>26194</xdr:rowOff>
    </xdr:to>
    <xdr:graphicFrame macro="">
      <xdr:nvGraphicFramePr>
        <xdr:cNvPr id="62548831" name="Chart 2">
          <a:extLst>
            <a:ext uri="{FF2B5EF4-FFF2-40B4-BE49-F238E27FC236}">
              <a16:creationId xmlns:a16="http://schemas.microsoft.com/office/drawing/2014/main" id="{00000000-0008-0000-9100-00005F6BBA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5.xml><?xml version="1.0" encoding="utf-8"?>
<xdr:wsDr xmlns:xdr="http://schemas.openxmlformats.org/drawingml/2006/spreadsheetDrawing" xmlns:a="http://schemas.openxmlformats.org/drawingml/2006/main">
  <xdr:twoCellAnchor>
    <xdr:from>
      <xdr:col>18</xdr:col>
      <xdr:colOff>217260</xdr:colOff>
      <xdr:row>19</xdr:row>
      <xdr:rowOff>78013</xdr:rowOff>
    </xdr:from>
    <xdr:to>
      <xdr:col>23</xdr:col>
      <xdr:colOff>723899</xdr:colOff>
      <xdr:row>36</xdr:row>
      <xdr:rowOff>68035</xdr:rowOff>
    </xdr:to>
    <xdr:graphicFrame macro="">
      <xdr:nvGraphicFramePr>
        <xdr:cNvPr id="62547807" name="Chart 2">
          <a:extLst>
            <a:ext uri="{FF2B5EF4-FFF2-40B4-BE49-F238E27FC236}">
              <a16:creationId xmlns:a16="http://schemas.microsoft.com/office/drawing/2014/main" id="{00000000-0008-0000-9200-00005F67BA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6.xml><?xml version="1.0" encoding="utf-8"?>
<xdr:wsDr xmlns:xdr="http://schemas.openxmlformats.org/drawingml/2006/spreadsheetDrawing" xmlns:a="http://schemas.openxmlformats.org/drawingml/2006/main">
  <xdr:twoCellAnchor>
    <xdr:from>
      <xdr:col>18</xdr:col>
      <xdr:colOff>214893</xdr:colOff>
      <xdr:row>44</xdr:row>
      <xdr:rowOff>128007</xdr:rowOff>
    </xdr:from>
    <xdr:to>
      <xdr:col>24</xdr:col>
      <xdr:colOff>0</xdr:colOff>
      <xdr:row>62</xdr:row>
      <xdr:rowOff>166107</xdr:rowOff>
    </xdr:to>
    <xdr:graphicFrame macro="">
      <xdr:nvGraphicFramePr>
        <xdr:cNvPr id="62537593" name="Chart 2">
          <a:extLst>
            <a:ext uri="{FF2B5EF4-FFF2-40B4-BE49-F238E27FC236}">
              <a16:creationId xmlns:a16="http://schemas.microsoft.com/office/drawing/2014/main" id="{00000000-0008-0000-9300-0000793FBA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7.xml><?xml version="1.0" encoding="utf-8"?>
<xdr:wsDr xmlns:xdr="http://schemas.openxmlformats.org/drawingml/2006/spreadsheetDrawing" xmlns:a="http://schemas.openxmlformats.org/drawingml/2006/main">
  <xdr:twoCellAnchor>
    <xdr:from>
      <xdr:col>18</xdr:col>
      <xdr:colOff>173173</xdr:colOff>
      <xdr:row>22</xdr:row>
      <xdr:rowOff>112578</xdr:rowOff>
    </xdr:from>
    <xdr:to>
      <xdr:col>23</xdr:col>
      <xdr:colOff>677080</xdr:colOff>
      <xdr:row>39</xdr:row>
      <xdr:rowOff>64953</xdr:rowOff>
    </xdr:to>
    <xdr:graphicFrame macro="">
      <xdr:nvGraphicFramePr>
        <xdr:cNvPr id="62553951" name="Chart 2">
          <a:extLst>
            <a:ext uri="{FF2B5EF4-FFF2-40B4-BE49-F238E27FC236}">
              <a16:creationId xmlns:a16="http://schemas.microsoft.com/office/drawing/2014/main" id="{00000000-0008-0000-9400-00005F7FBA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8.xml><?xml version="1.0" encoding="utf-8"?>
<xdr:wsDr xmlns:xdr="http://schemas.openxmlformats.org/drawingml/2006/spreadsheetDrawing" xmlns:a="http://schemas.openxmlformats.org/drawingml/2006/main">
  <xdr:twoCellAnchor>
    <xdr:from>
      <xdr:col>18</xdr:col>
      <xdr:colOff>14763</xdr:colOff>
      <xdr:row>25</xdr:row>
      <xdr:rowOff>123825</xdr:rowOff>
    </xdr:from>
    <xdr:to>
      <xdr:col>23</xdr:col>
      <xdr:colOff>552450</xdr:colOff>
      <xdr:row>42</xdr:row>
      <xdr:rowOff>114300</xdr:rowOff>
    </xdr:to>
    <xdr:graphicFrame macro="">
      <xdr:nvGraphicFramePr>
        <xdr:cNvPr id="62585532" name="Chart 2">
          <a:extLst>
            <a:ext uri="{FF2B5EF4-FFF2-40B4-BE49-F238E27FC236}">
              <a16:creationId xmlns:a16="http://schemas.microsoft.com/office/drawing/2014/main" id="{00000000-0008-0000-9500-0000BCFABA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9.xml><?xml version="1.0" encoding="utf-8"?>
<xdr:wsDr xmlns:xdr="http://schemas.openxmlformats.org/drawingml/2006/spreadsheetDrawing" xmlns:a="http://schemas.openxmlformats.org/drawingml/2006/main">
  <xdr:twoCellAnchor>
    <xdr:from>
      <xdr:col>18</xdr:col>
      <xdr:colOff>235322</xdr:colOff>
      <xdr:row>16</xdr:row>
      <xdr:rowOff>100853</xdr:rowOff>
    </xdr:from>
    <xdr:to>
      <xdr:col>24</xdr:col>
      <xdr:colOff>0</xdr:colOff>
      <xdr:row>30</xdr:row>
      <xdr:rowOff>134470</xdr:rowOff>
    </xdr:to>
    <xdr:graphicFrame macro="">
      <xdr:nvGraphicFramePr>
        <xdr:cNvPr id="10" name="Chart 2">
          <a:extLst>
            <a:ext uri="{FF2B5EF4-FFF2-40B4-BE49-F238E27FC236}">
              <a16:creationId xmlns:a16="http://schemas.microsoft.com/office/drawing/2014/main" id="{00000000-0008-0000-96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9</xdr:col>
      <xdr:colOff>19050</xdr:colOff>
      <xdr:row>30</xdr:row>
      <xdr:rowOff>66675</xdr:rowOff>
    </xdr:from>
    <xdr:to>
      <xdr:col>16</xdr:col>
      <xdr:colOff>9525</xdr:colOff>
      <xdr:row>49</xdr:row>
      <xdr:rowOff>66675</xdr:rowOff>
    </xdr:to>
    <xdr:graphicFrame macro="">
      <xdr:nvGraphicFramePr>
        <xdr:cNvPr id="63598519" name="Chart 2">
          <a:extLst>
            <a:ext uri="{FF2B5EF4-FFF2-40B4-BE49-F238E27FC236}">
              <a16:creationId xmlns:a16="http://schemas.microsoft.com/office/drawing/2014/main" id="{00000000-0008-0000-0D00-0000B76FCA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0.xml><?xml version="1.0" encoding="utf-8"?>
<xdr:wsDr xmlns:xdr="http://schemas.openxmlformats.org/drawingml/2006/spreadsheetDrawing" xmlns:a="http://schemas.openxmlformats.org/drawingml/2006/main">
  <xdr:twoCellAnchor>
    <xdr:from>
      <xdr:col>17</xdr:col>
      <xdr:colOff>652463</xdr:colOff>
      <xdr:row>34</xdr:row>
      <xdr:rowOff>90488</xdr:rowOff>
    </xdr:from>
    <xdr:to>
      <xdr:col>23</xdr:col>
      <xdr:colOff>647700</xdr:colOff>
      <xdr:row>52</xdr:row>
      <xdr:rowOff>42863</xdr:rowOff>
    </xdr:to>
    <xdr:graphicFrame macro="">
      <xdr:nvGraphicFramePr>
        <xdr:cNvPr id="2" name="Chart 1">
          <a:extLst>
            <a:ext uri="{FF2B5EF4-FFF2-40B4-BE49-F238E27FC236}">
              <a16:creationId xmlns:a16="http://schemas.microsoft.com/office/drawing/2014/main" id="{00000000-0008-0000-97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1.xml><?xml version="1.0" encoding="utf-8"?>
<xdr:wsDr xmlns:xdr="http://schemas.openxmlformats.org/drawingml/2006/spreadsheetDrawing" xmlns:a="http://schemas.openxmlformats.org/drawingml/2006/main">
  <xdr:twoCellAnchor>
    <xdr:from>
      <xdr:col>19</xdr:col>
      <xdr:colOff>1</xdr:colOff>
      <xdr:row>21</xdr:row>
      <xdr:rowOff>92448</xdr:rowOff>
    </xdr:from>
    <xdr:to>
      <xdr:col>24</xdr:col>
      <xdr:colOff>0</xdr:colOff>
      <xdr:row>40</xdr:row>
      <xdr:rowOff>31750</xdr:rowOff>
    </xdr:to>
    <xdr:graphicFrame macro="">
      <xdr:nvGraphicFramePr>
        <xdr:cNvPr id="62564963" name="Chart 2">
          <a:extLst>
            <a:ext uri="{FF2B5EF4-FFF2-40B4-BE49-F238E27FC236}">
              <a16:creationId xmlns:a16="http://schemas.microsoft.com/office/drawing/2014/main" id="{00000000-0008-0000-9800-000063AABA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2.xml><?xml version="1.0" encoding="utf-8"?>
<xdr:wsDr xmlns:xdr="http://schemas.openxmlformats.org/drawingml/2006/spreadsheetDrawing" xmlns:a="http://schemas.openxmlformats.org/drawingml/2006/main">
  <xdr:twoCellAnchor>
    <xdr:from>
      <xdr:col>19</xdr:col>
      <xdr:colOff>4481</xdr:colOff>
      <xdr:row>19</xdr:row>
      <xdr:rowOff>75077</xdr:rowOff>
    </xdr:from>
    <xdr:to>
      <xdr:col>23</xdr:col>
      <xdr:colOff>652181</xdr:colOff>
      <xdr:row>37</xdr:row>
      <xdr:rowOff>93007</xdr:rowOff>
    </xdr:to>
    <xdr:graphicFrame macro="">
      <xdr:nvGraphicFramePr>
        <xdr:cNvPr id="62567011" name="Chart 2">
          <a:extLst>
            <a:ext uri="{FF2B5EF4-FFF2-40B4-BE49-F238E27FC236}">
              <a16:creationId xmlns:a16="http://schemas.microsoft.com/office/drawing/2014/main" id="{00000000-0008-0000-9900-000063B2BA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3.xml><?xml version="1.0" encoding="utf-8"?>
<xdr:wsDr xmlns:xdr="http://schemas.openxmlformats.org/drawingml/2006/spreadsheetDrawing" xmlns:a="http://schemas.openxmlformats.org/drawingml/2006/main">
  <xdr:twoCellAnchor>
    <xdr:from>
      <xdr:col>18</xdr:col>
      <xdr:colOff>198344</xdr:colOff>
      <xdr:row>44</xdr:row>
      <xdr:rowOff>101974</xdr:rowOff>
    </xdr:from>
    <xdr:to>
      <xdr:col>23</xdr:col>
      <xdr:colOff>672354</xdr:colOff>
      <xdr:row>60</xdr:row>
      <xdr:rowOff>193523</xdr:rowOff>
    </xdr:to>
    <xdr:graphicFrame macro="">
      <xdr:nvGraphicFramePr>
        <xdr:cNvPr id="62570083" name="Chart 2">
          <a:extLst>
            <a:ext uri="{FF2B5EF4-FFF2-40B4-BE49-F238E27FC236}">
              <a16:creationId xmlns:a16="http://schemas.microsoft.com/office/drawing/2014/main" id="{00000000-0008-0000-9A00-000063BEBA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4.xml><?xml version="1.0" encoding="utf-8"?>
<xdr:wsDr xmlns:xdr="http://schemas.openxmlformats.org/drawingml/2006/spreadsheetDrawing" xmlns:a="http://schemas.openxmlformats.org/drawingml/2006/main">
  <xdr:twoCellAnchor>
    <xdr:from>
      <xdr:col>19</xdr:col>
      <xdr:colOff>1</xdr:colOff>
      <xdr:row>51</xdr:row>
      <xdr:rowOff>128588</xdr:rowOff>
    </xdr:from>
    <xdr:to>
      <xdr:col>23</xdr:col>
      <xdr:colOff>704851</xdr:colOff>
      <xdr:row>67</xdr:row>
      <xdr:rowOff>176213</xdr:rowOff>
    </xdr:to>
    <xdr:graphicFrame macro="">
      <xdr:nvGraphicFramePr>
        <xdr:cNvPr id="62572131" name="Chart 2">
          <a:extLst>
            <a:ext uri="{FF2B5EF4-FFF2-40B4-BE49-F238E27FC236}">
              <a16:creationId xmlns:a16="http://schemas.microsoft.com/office/drawing/2014/main" id="{00000000-0008-0000-9B00-000063C6BA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5.xml><?xml version="1.0" encoding="utf-8"?>
<xdr:wsDr xmlns:xdr="http://schemas.openxmlformats.org/drawingml/2006/spreadsheetDrawing" xmlns:a="http://schemas.openxmlformats.org/drawingml/2006/main">
  <xdr:twoCellAnchor>
    <xdr:from>
      <xdr:col>17</xdr:col>
      <xdr:colOff>95250</xdr:colOff>
      <xdr:row>26</xdr:row>
      <xdr:rowOff>133350</xdr:rowOff>
    </xdr:from>
    <xdr:to>
      <xdr:col>23</xdr:col>
      <xdr:colOff>509322</xdr:colOff>
      <xdr:row>43</xdr:row>
      <xdr:rowOff>113336</xdr:rowOff>
    </xdr:to>
    <xdr:graphicFrame macro="">
      <xdr:nvGraphicFramePr>
        <xdr:cNvPr id="5" name="Chart 4">
          <a:extLst>
            <a:ext uri="{FF2B5EF4-FFF2-40B4-BE49-F238E27FC236}">
              <a16:creationId xmlns:a16="http://schemas.microsoft.com/office/drawing/2014/main" id="{00000000-0008-0000-9C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8</xdr:col>
      <xdr:colOff>666750</xdr:colOff>
      <xdr:row>30</xdr:row>
      <xdr:rowOff>38100</xdr:rowOff>
    </xdr:from>
    <xdr:to>
      <xdr:col>15</xdr:col>
      <xdr:colOff>657225</xdr:colOff>
      <xdr:row>49</xdr:row>
      <xdr:rowOff>28575</xdr:rowOff>
    </xdr:to>
    <xdr:graphicFrame macro="">
      <xdr:nvGraphicFramePr>
        <xdr:cNvPr id="63600567" name="Chart 2">
          <a:extLst>
            <a:ext uri="{FF2B5EF4-FFF2-40B4-BE49-F238E27FC236}">
              <a16:creationId xmlns:a16="http://schemas.microsoft.com/office/drawing/2014/main" id="{00000000-0008-0000-0E00-0000B777CA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9</xdr:col>
      <xdr:colOff>0</xdr:colOff>
      <xdr:row>30</xdr:row>
      <xdr:rowOff>38100</xdr:rowOff>
    </xdr:from>
    <xdr:to>
      <xdr:col>15</xdr:col>
      <xdr:colOff>657225</xdr:colOff>
      <xdr:row>49</xdr:row>
      <xdr:rowOff>38100</xdr:rowOff>
    </xdr:to>
    <xdr:graphicFrame macro="">
      <xdr:nvGraphicFramePr>
        <xdr:cNvPr id="63605688" name="Chart 2">
          <a:extLst>
            <a:ext uri="{FF2B5EF4-FFF2-40B4-BE49-F238E27FC236}">
              <a16:creationId xmlns:a16="http://schemas.microsoft.com/office/drawing/2014/main" id="{00000000-0008-0000-0F00-0000B88BCA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9</xdr:col>
      <xdr:colOff>9525</xdr:colOff>
      <xdr:row>37</xdr:row>
      <xdr:rowOff>47625</xdr:rowOff>
    </xdr:from>
    <xdr:to>
      <xdr:col>15</xdr:col>
      <xdr:colOff>666750</xdr:colOff>
      <xdr:row>56</xdr:row>
      <xdr:rowOff>47625</xdr:rowOff>
    </xdr:to>
    <xdr:graphicFrame macro="">
      <xdr:nvGraphicFramePr>
        <xdr:cNvPr id="6" name="Chart 2">
          <a:extLst>
            <a:ext uri="{FF2B5EF4-FFF2-40B4-BE49-F238E27FC236}">
              <a16:creationId xmlns:a16="http://schemas.microsoft.com/office/drawing/2014/main" id="{00000000-0008-0000-10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9</xdr:col>
      <xdr:colOff>0</xdr:colOff>
      <xdr:row>30</xdr:row>
      <xdr:rowOff>47625</xdr:rowOff>
    </xdr:from>
    <xdr:to>
      <xdr:col>15</xdr:col>
      <xdr:colOff>666750</xdr:colOff>
      <xdr:row>49</xdr:row>
      <xdr:rowOff>66675</xdr:rowOff>
    </xdr:to>
    <xdr:graphicFrame macro="">
      <xdr:nvGraphicFramePr>
        <xdr:cNvPr id="62596049" name="Chart 2">
          <a:extLst>
            <a:ext uri="{FF2B5EF4-FFF2-40B4-BE49-F238E27FC236}">
              <a16:creationId xmlns:a16="http://schemas.microsoft.com/office/drawing/2014/main" id="{00000000-0008-0000-1100-0000D123BB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9</xdr:col>
      <xdr:colOff>47625</xdr:colOff>
      <xdr:row>37</xdr:row>
      <xdr:rowOff>57150</xdr:rowOff>
    </xdr:from>
    <xdr:to>
      <xdr:col>16</xdr:col>
      <xdr:colOff>38100</xdr:colOff>
      <xdr:row>56</xdr:row>
      <xdr:rowOff>76200</xdr:rowOff>
    </xdr:to>
    <xdr:graphicFrame macro="">
      <xdr:nvGraphicFramePr>
        <xdr:cNvPr id="3" name="Chart 2">
          <a:extLst>
            <a:ext uri="{FF2B5EF4-FFF2-40B4-BE49-F238E27FC236}">
              <a16:creationId xmlns:a16="http://schemas.microsoft.com/office/drawing/2014/main" id="{00000000-0008-0000-1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xdr:colOff>
      <xdr:row>0</xdr:row>
      <xdr:rowOff>114301</xdr:rowOff>
    </xdr:from>
    <xdr:to>
      <xdr:col>1</xdr:col>
      <xdr:colOff>1620418</xdr:colOff>
      <xdr:row>2</xdr:row>
      <xdr:rowOff>88107</xdr:rowOff>
    </xdr:to>
    <xdr:pic>
      <xdr:nvPicPr>
        <xdr:cNvPr id="7" name="Picture 6">
          <a:extLst>
            <a:ext uri="{FF2B5EF4-FFF2-40B4-BE49-F238E27FC236}">
              <a16:creationId xmlns:a16="http://schemas.microsoft.com/office/drawing/2014/main" id="{00000000-0008-0000-0200-000007000000}"/>
            </a:ext>
          </a:extLst>
        </xdr:cNvPr>
        <xdr:cNvPicPr>
          <a:picLocks noChangeAspect="1"/>
        </xdr:cNvPicPr>
      </xdr:nvPicPr>
      <xdr:blipFill rotWithShape="1">
        <a:blip xmlns:r="http://schemas.openxmlformats.org/officeDocument/2006/relationships" r:embed="rId1" cstate="hqprint">
          <a:extLst>
            <a:ext uri="{28A0092B-C50C-407E-A947-70E740481C1C}">
              <a14:useLocalDpi xmlns:a14="http://schemas.microsoft.com/office/drawing/2010/main"/>
            </a:ext>
          </a:extLst>
        </a:blip>
        <a:srcRect/>
        <a:stretch/>
      </xdr:blipFill>
      <xdr:spPr>
        <a:xfrm>
          <a:off x="152401" y="114301"/>
          <a:ext cx="1620417" cy="285749"/>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xdr:from>
      <xdr:col>9</xdr:col>
      <xdr:colOff>9525</xdr:colOff>
      <xdr:row>37</xdr:row>
      <xdr:rowOff>47625</xdr:rowOff>
    </xdr:from>
    <xdr:to>
      <xdr:col>15</xdr:col>
      <xdr:colOff>666750</xdr:colOff>
      <xdr:row>56</xdr:row>
      <xdr:rowOff>47625</xdr:rowOff>
    </xdr:to>
    <xdr:graphicFrame macro="">
      <xdr:nvGraphicFramePr>
        <xdr:cNvPr id="4" name="Chart 2">
          <a:extLst>
            <a:ext uri="{FF2B5EF4-FFF2-40B4-BE49-F238E27FC236}">
              <a16:creationId xmlns:a16="http://schemas.microsoft.com/office/drawing/2014/main" id="{00000000-0008-0000-1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9</xdr:col>
      <xdr:colOff>838200</xdr:colOff>
      <xdr:row>29</xdr:row>
      <xdr:rowOff>114300</xdr:rowOff>
    </xdr:from>
    <xdr:to>
      <xdr:col>15</xdr:col>
      <xdr:colOff>152400</xdr:colOff>
      <xdr:row>47</xdr:row>
      <xdr:rowOff>95250</xdr:rowOff>
    </xdr:to>
    <xdr:graphicFrame macro="">
      <xdr:nvGraphicFramePr>
        <xdr:cNvPr id="2" name="Chart 1">
          <a:extLst>
            <a:ext uri="{FF2B5EF4-FFF2-40B4-BE49-F238E27FC236}">
              <a16:creationId xmlns:a16="http://schemas.microsoft.com/office/drawing/2014/main" id="{00000000-0008-0000-14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8</xdr:col>
      <xdr:colOff>657785</xdr:colOff>
      <xdr:row>30</xdr:row>
      <xdr:rowOff>90767</xdr:rowOff>
    </xdr:from>
    <xdr:to>
      <xdr:col>15</xdr:col>
      <xdr:colOff>648260</xdr:colOff>
      <xdr:row>49</xdr:row>
      <xdr:rowOff>90767</xdr:rowOff>
    </xdr:to>
    <xdr:graphicFrame macro="">
      <xdr:nvGraphicFramePr>
        <xdr:cNvPr id="63616949" name="Chart 2">
          <a:extLst>
            <a:ext uri="{FF2B5EF4-FFF2-40B4-BE49-F238E27FC236}">
              <a16:creationId xmlns:a16="http://schemas.microsoft.com/office/drawing/2014/main" id="{00000000-0008-0000-1500-0000B5B7CA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9</xdr:col>
      <xdr:colOff>19050</xdr:colOff>
      <xdr:row>30</xdr:row>
      <xdr:rowOff>57150</xdr:rowOff>
    </xdr:from>
    <xdr:to>
      <xdr:col>16</xdr:col>
      <xdr:colOff>9525</xdr:colOff>
      <xdr:row>49</xdr:row>
      <xdr:rowOff>57150</xdr:rowOff>
    </xdr:to>
    <xdr:graphicFrame macro="">
      <xdr:nvGraphicFramePr>
        <xdr:cNvPr id="63623093" name="Chart 2">
          <a:extLst>
            <a:ext uri="{FF2B5EF4-FFF2-40B4-BE49-F238E27FC236}">
              <a16:creationId xmlns:a16="http://schemas.microsoft.com/office/drawing/2014/main" id="{00000000-0008-0000-1600-0000B5CFCA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9</xdr:col>
      <xdr:colOff>47625</xdr:colOff>
      <xdr:row>37</xdr:row>
      <xdr:rowOff>85725</xdr:rowOff>
    </xdr:from>
    <xdr:to>
      <xdr:col>16</xdr:col>
      <xdr:colOff>19050</xdr:colOff>
      <xdr:row>55</xdr:row>
      <xdr:rowOff>0</xdr:rowOff>
    </xdr:to>
    <xdr:graphicFrame macro="">
      <xdr:nvGraphicFramePr>
        <xdr:cNvPr id="4" name="Chart 2">
          <a:extLst>
            <a:ext uri="{FF2B5EF4-FFF2-40B4-BE49-F238E27FC236}">
              <a16:creationId xmlns:a16="http://schemas.microsoft.com/office/drawing/2014/main" id="{00000000-0008-0000-17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9</xdr:col>
      <xdr:colOff>19050</xdr:colOff>
      <xdr:row>30</xdr:row>
      <xdr:rowOff>57150</xdr:rowOff>
    </xdr:from>
    <xdr:to>
      <xdr:col>16</xdr:col>
      <xdr:colOff>9525</xdr:colOff>
      <xdr:row>49</xdr:row>
      <xdr:rowOff>57150</xdr:rowOff>
    </xdr:to>
    <xdr:graphicFrame macro="">
      <xdr:nvGraphicFramePr>
        <xdr:cNvPr id="3" name="Chart 2">
          <a:extLst>
            <a:ext uri="{FF2B5EF4-FFF2-40B4-BE49-F238E27FC236}">
              <a16:creationId xmlns:a16="http://schemas.microsoft.com/office/drawing/2014/main" id="{00000000-0008-0000-1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9</xdr:col>
      <xdr:colOff>19050</xdr:colOff>
      <xdr:row>29</xdr:row>
      <xdr:rowOff>123825</xdr:rowOff>
    </xdr:from>
    <xdr:to>
      <xdr:col>16</xdr:col>
      <xdr:colOff>9525</xdr:colOff>
      <xdr:row>48</xdr:row>
      <xdr:rowOff>123825</xdr:rowOff>
    </xdr:to>
    <xdr:graphicFrame macro="">
      <xdr:nvGraphicFramePr>
        <xdr:cNvPr id="63620042" name="Chart 2">
          <a:extLst>
            <a:ext uri="{FF2B5EF4-FFF2-40B4-BE49-F238E27FC236}">
              <a16:creationId xmlns:a16="http://schemas.microsoft.com/office/drawing/2014/main" id="{00000000-0008-0000-1900-0000CAC3CA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9</xdr:col>
      <xdr:colOff>47625</xdr:colOff>
      <xdr:row>30</xdr:row>
      <xdr:rowOff>57150</xdr:rowOff>
    </xdr:from>
    <xdr:to>
      <xdr:col>16</xdr:col>
      <xdr:colOff>38100</xdr:colOff>
      <xdr:row>49</xdr:row>
      <xdr:rowOff>76200</xdr:rowOff>
    </xdr:to>
    <xdr:graphicFrame macro="">
      <xdr:nvGraphicFramePr>
        <xdr:cNvPr id="63626165" name="Chart 2">
          <a:extLst>
            <a:ext uri="{FF2B5EF4-FFF2-40B4-BE49-F238E27FC236}">
              <a16:creationId xmlns:a16="http://schemas.microsoft.com/office/drawing/2014/main" id="{00000000-0008-0000-1A00-0000B5DBCA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9</xdr:col>
      <xdr:colOff>47625</xdr:colOff>
      <xdr:row>30</xdr:row>
      <xdr:rowOff>57150</xdr:rowOff>
    </xdr:from>
    <xdr:to>
      <xdr:col>16</xdr:col>
      <xdr:colOff>38100</xdr:colOff>
      <xdr:row>49</xdr:row>
      <xdr:rowOff>76200</xdr:rowOff>
    </xdr:to>
    <xdr:graphicFrame macro="">
      <xdr:nvGraphicFramePr>
        <xdr:cNvPr id="63632309" name="Chart 2">
          <a:extLst>
            <a:ext uri="{FF2B5EF4-FFF2-40B4-BE49-F238E27FC236}">
              <a16:creationId xmlns:a16="http://schemas.microsoft.com/office/drawing/2014/main" id="{00000000-0008-0000-1B00-0000B5F3CA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9</xdr:col>
      <xdr:colOff>19050</xdr:colOff>
      <xdr:row>30</xdr:row>
      <xdr:rowOff>57150</xdr:rowOff>
    </xdr:from>
    <xdr:to>
      <xdr:col>16</xdr:col>
      <xdr:colOff>9525</xdr:colOff>
      <xdr:row>49</xdr:row>
      <xdr:rowOff>57150</xdr:rowOff>
    </xdr:to>
    <xdr:graphicFrame macro="">
      <xdr:nvGraphicFramePr>
        <xdr:cNvPr id="63638453" name="Chart 2">
          <a:extLst>
            <a:ext uri="{FF2B5EF4-FFF2-40B4-BE49-F238E27FC236}">
              <a16:creationId xmlns:a16="http://schemas.microsoft.com/office/drawing/2014/main" id="{00000000-0008-0000-1C00-0000B50BCB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0</xdr:colOff>
      <xdr:row>0</xdr:row>
      <xdr:rowOff>133350</xdr:rowOff>
    </xdr:from>
    <xdr:to>
      <xdr:col>2</xdr:col>
      <xdr:colOff>1620417</xdr:colOff>
      <xdr:row>2</xdr:row>
      <xdr:rowOff>114299</xdr:rowOff>
    </xdr:to>
    <xdr:pic>
      <xdr:nvPicPr>
        <xdr:cNvPr id="5" name="Picture 4">
          <a:extLst>
            <a:ext uri="{FF2B5EF4-FFF2-40B4-BE49-F238E27FC236}">
              <a16:creationId xmlns:a16="http://schemas.microsoft.com/office/drawing/2014/main" id="{00000000-0008-0000-0300-000005000000}"/>
            </a:ext>
          </a:extLst>
        </xdr:cNvPr>
        <xdr:cNvPicPr>
          <a:picLocks noChangeAspect="1"/>
        </xdr:cNvPicPr>
      </xdr:nvPicPr>
      <xdr:blipFill rotWithShape="1">
        <a:blip xmlns:r="http://schemas.openxmlformats.org/officeDocument/2006/relationships" r:embed="rId1" cstate="hqprint">
          <a:extLst>
            <a:ext uri="{28A0092B-C50C-407E-A947-70E740481C1C}">
              <a14:useLocalDpi xmlns:a14="http://schemas.microsoft.com/office/drawing/2010/main"/>
            </a:ext>
          </a:extLst>
        </a:blip>
        <a:srcRect/>
        <a:stretch/>
      </xdr:blipFill>
      <xdr:spPr>
        <a:xfrm>
          <a:off x="1533525" y="133350"/>
          <a:ext cx="1620417" cy="285749"/>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xdr:from>
      <xdr:col>9</xdr:col>
      <xdr:colOff>19050</xdr:colOff>
      <xdr:row>30</xdr:row>
      <xdr:rowOff>57150</xdr:rowOff>
    </xdr:from>
    <xdr:to>
      <xdr:col>16</xdr:col>
      <xdr:colOff>9525</xdr:colOff>
      <xdr:row>49</xdr:row>
      <xdr:rowOff>57150</xdr:rowOff>
    </xdr:to>
    <xdr:graphicFrame macro="">
      <xdr:nvGraphicFramePr>
        <xdr:cNvPr id="3" name="Chart 2">
          <a:extLst>
            <a:ext uri="{FF2B5EF4-FFF2-40B4-BE49-F238E27FC236}">
              <a16:creationId xmlns:a16="http://schemas.microsoft.com/office/drawing/2014/main" id="{00000000-0008-0000-1E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8</xdr:col>
      <xdr:colOff>666750</xdr:colOff>
      <xdr:row>30</xdr:row>
      <xdr:rowOff>60512</xdr:rowOff>
    </xdr:from>
    <xdr:to>
      <xdr:col>15</xdr:col>
      <xdr:colOff>657225</xdr:colOff>
      <xdr:row>49</xdr:row>
      <xdr:rowOff>60513</xdr:rowOff>
    </xdr:to>
    <xdr:graphicFrame macro="">
      <xdr:nvGraphicFramePr>
        <xdr:cNvPr id="62215131" name="Chart 2">
          <a:extLst>
            <a:ext uri="{FF2B5EF4-FFF2-40B4-BE49-F238E27FC236}">
              <a16:creationId xmlns:a16="http://schemas.microsoft.com/office/drawing/2014/main" id="{00000000-0008-0000-1F00-0000DB53B5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9</xdr:col>
      <xdr:colOff>47625</xdr:colOff>
      <xdr:row>30</xdr:row>
      <xdr:rowOff>57150</xdr:rowOff>
    </xdr:from>
    <xdr:to>
      <xdr:col>16</xdr:col>
      <xdr:colOff>38100</xdr:colOff>
      <xdr:row>49</xdr:row>
      <xdr:rowOff>76200</xdr:rowOff>
    </xdr:to>
    <xdr:graphicFrame macro="">
      <xdr:nvGraphicFramePr>
        <xdr:cNvPr id="63653813" name="Chart 2">
          <a:extLst>
            <a:ext uri="{FF2B5EF4-FFF2-40B4-BE49-F238E27FC236}">
              <a16:creationId xmlns:a16="http://schemas.microsoft.com/office/drawing/2014/main" id="{00000000-0008-0000-2000-0000B547CB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xdr:from>
      <xdr:col>9</xdr:col>
      <xdr:colOff>7844</xdr:colOff>
      <xdr:row>30</xdr:row>
      <xdr:rowOff>124385</xdr:rowOff>
    </xdr:from>
    <xdr:to>
      <xdr:col>15</xdr:col>
      <xdr:colOff>670672</xdr:colOff>
      <xdr:row>49</xdr:row>
      <xdr:rowOff>124385</xdr:rowOff>
    </xdr:to>
    <xdr:graphicFrame macro="">
      <xdr:nvGraphicFramePr>
        <xdr:cNvPr id="3" name="Chart 2">
          <a:extLst>
            <a:ext uri="{FF2B5EF4-FFF2-40B4-BE49-F238E27FC236}">
              <a16:creationId xmlns:a16="http://schemas.microsoft.com/office/drawing/2014/main" id="{00000000-0008-0000-2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xdr:from>
      <xdr:col>9</xdr:col>
      <xdr:colOff>19050</xdr:colOff>
      <xdr:row>30</xdr:row>
      <xdr:rowOff>57150</xdr:rowOff>
    </xdr:from>
    <xdr:to>
      <xdr:col>16</xdr:col>
      <xdr:colOff>9525</xdr:colOff>
      <xdr:row>49</xdr:row>
      <xdr:rowOff>57150</xdr:rowOff>
    </xdr:to>
    <xdr:graphicFrame macro="">
      <xdr:nvGraphicFramePr>
        <xdr:cNvPr id="63659958" name="Chart 2">
          <a:extLst>
            <a:ext uri="{FF2B5EF4-FFF2-40B4-BE49-F238E27FC236}">
              <a16:creationId xmlns:a16="http://schemas.microsoft.com/office/drawing/2014/main" id="{00000000-0008-0000-2200-0000B65FCB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5.xml><?xml version="1.0" encoding="utf-8"?>
<xdr:wsDr xmlns:xdr="http://schemas.openxmlformats.org/drawingml/2006/spreadsheetDrawing" xmlns:a="http://schemas.openxmlformats.org/drawingml/2006/main">
  <xdr:twoCellAnchor>
    <xdr:from>
      <xdr:col>8</xdr:col>
      <xdr:colOff>657225</xdr:colOff>
      <xdr:row>30</xdr:row>
      <xdr:rowOff>57150</xdr:rowOff>
    </xdr:from>
    <xdr:to>
      <xdr:col>15</xdr:col>
      <xdr:colOff>647700</xdr:colOff>
      <xdr:row>49</xdr:row>
      <xdr:rowOff>57150</xdr:rowOff>
    </xdr:to>
    <xdr:graphicFrame macro="">
      <xdr:nvGraphicFramePr>
        <xdr:cNvPr id="3" name="Chart 2">
          <a:extLst>
            <a:ext uri="{FF2B5EF4-FFF2-40B4-BE49-F238E27FC236}">
              <a16:creationId xmlns:a16="http://schemas.microsoft.com/office/drawing/2014/main" id="{00000000-0008-0000-2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6.xml><?xml version="1.0" encoding="utf-8"?>
<xdr:wsDr xmlns:xdr="http://schemas.openxmlformats.org/drawingml/2006/spreadsheetDrawing" xmlns:a="http://schemas.openxmlformats.org/drawingml/2006/main">
  <xdr:twoCellAnchor>
    <xdr:from>
      <xdr:col>9</xdr:col>
      <xdr:colOff>19050</xdr:colOff>
      <xdr:row>30</xdr:row>
      <xdr:rowOff>57150</xdr:rowOff>
    </xdr:from>
    <xdr:to>
      <xdr:col>16</xdr:col>
      <xdr:colOff>9525</xdr:colOff>
      <xdr:row>49</xdr:row>
      <xdr:rowOff>57150</xdr:rowOff>
    </xdr:to>
    <xdr:graphicFrame macro="">
      <xdr:nvGraphicFramePr>
        <xdr:cNvPr id="63671222" name="Chart 2">
          <a:extLst>
            <a:ext uri="{FF2B5EF4-FFF2-40B4-BE49-F238E27FC236}">
              <a16:creationId xmlns:a16="http://schemas.microsoft.com/office/drawing/2014/main" id="{00000000-0008-0000-2600-0000B68BCB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7.xml><?xml version="1.0" encoding="utf-8"?>
<xdr:wsDr xmlns:xdr="http://schemas.openxmlformats.org/drawingml/2006/spreadsheetDrawing" xmlns:a="http://schemas.openxmlformats.org/drawingml/2006/main">
  <xdr:twoCellAnchor>
    <xdr:from>
      <xdr:col>9</xdr:col>
      <xdr:colOff>9525</xdr:colOff>
      <xdr:row>37</xdr:row>
      <xdr:rowOff>47625</xdr:rowOff>
    </xdr:from>
    <xdr:to>
      <xdr:col>15</xdr:col>
      <xdr:colOff>666750</xdr:colOff>
      <xdr:row>56</xdr:row>
      <xdr:rowOff>47625</xdr:rowOff>
    </xdr:to>
    <xdr:graphicFrame macro="">
      <xdr:nvGraphicFramePr>
        <xdr:cNvPr id="4" name="Chart 2">
          <a:extLst>
            <a:ext uri="{FF2B5EF4-FFF2-40B4-BE49-F238E27FC236}">
              <a16:creationId xmlns:a16="http://schemas.microsoft.com/office/drawing/2014/main" id="{00000000-0008-0000-27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8.xml><?xml version="1.0" encoding="utf-8"?>
<xdr:wsDr xmlns:xdr="http://schemas.openxmlformats.org/drawingml/2006/spreadsheetDrawing" xmlns:a="http://schemas.openxmlformats.org/drawingml/2006/main">
  <xdr:twoCellAnchor>
    <xdr:from>
      <xdr:col>9</xdr:col>
      <xdr:colOff>95250</xdr:colOff>
      <xdr:row>37</xdr:row>
      <xdr:rowOff>123825</xdr:rowOff>
    </xdr:from>
    <xdr:to>
      <xdr:col>16</xdr:col>
      <xdr:colOff>66675</xdr:colOff>
      <xdr:row>54</xdr:row>
      <xdr:rowOff>19049</xdr:rowOff>
    </xdr:to>
    <xdr:graphicFrame macro="">
      <xdr:nvGraphicFramePr>
        <xdr:cNvPr id="4" name="Chart 2">
          <a:extLst>
            <a:ext uri="{FF2B5EF4-FFF2-40B4-BE49-F238E27FC236}">
              <a16:creationId xmlns:a16="http://schemas.microsoft.com/office/drawing/2014/main" id="{00000000-0008-0000-28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9.xml><?xml version="1.0" encoding="utf-8"?>
<xdr:wsDr xmlns:xdr="http://schemas.openxmlformats.org/drawingml/2006/spreadsheetDrawing" xmlns:a="http://schemas.openxmlformats.org/drawingml/2006/main">
  <xdr:twoCellAnchor>
    <xdr:from>
      <xdr:col>9</xdr:col>
      <xdr:colOff>19050</xdr:colOff>
      <xdr:row>30</xdr:row>
      <xdr:rowOff>57150</xdr:rowOff>
    </xdr:from>
    <xdr:to>
      <xdr:col>16</xdr:col>
      <xdr:colOff>9525</xdr:colOff>
      <xdr:row>49</xdr:row>
      <xdr:rowOff>57150</xdr:rowOff>
    </xdr:to>
    <xdr:graphicFrame macro="">
      <xdr:nvGraphicFramePr>
        <xdr:cNvPr id="63677366" name="Chart 2">
          <a:extLst>
            <a:ext uri="{FF2B5EF4-FFF2-40B4-BE49-F238E27FC236}">
              <a16:creationId xmlns:a16="http://schemas.microsoft.com/office/drawing/2014/main" id="{00000000-0008-0000-2900-0000B6A3CB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0</xdr:colOff>
      <xdr:row>0</xdr:row>
      <xdr:rowOff>142875</xdr:rowOff>
    </xdr:from>
    <xdr:to>
      <xdr:col>2</xdr:col>
      <xdr:colOff>1620417</xdr:colOff>
      <xdr:row>2</xdr:row>
      <xdr:rowOff>123824</xdr:rowOff>
    </xdr:to>
    <xdr:pic>
      <xdr:nvPicPr>
        <xdr:cNvPr id="5" name="Picture 4">
          <a:extLst>
            <a:ext uri="{FF2B5EF4-FFF2-40B4-BE49-F238E27FC236}">
              <a16:creationId xmlns:a16="http://schemas.microsoft.com/office/drawing/2014/main" id="{00000000-0008-0000-0400-000005000000}"/>
            </a:ext>
          </a:extLst>
        </xdr:cNvPr>
        <xdr:cNvPicPr>
          <a:picLocks noChangeAspect="1"/>
        </xdr:cNvPicPr>
      </xdr:nvPicPr>
      <xdr:blipFill rotWithShape="1">
        <a:blip xmlns:r="http://schemas.openxmlformats.org/officeDocument/2006/relationships" r:embed="rId1" cstate="hqprint">
          <a:extLst>
            <a:ext uri="{28A0092B-C50C-407E-A947-70E740481C1C}">
              <a14:useLocalDpi xmlns:a14="http://schemas.microsoft.com/office/drawing/2010/main"/>
            </a:ext>
          </a:extLst>
        </a:blip>
        <a:srcRect/>
        <a:stretch/>
      </xdr:blipFill>
      <xdr:spPr>
        <a:xfrm>
          <a:off x="1533525" y="142875"/>
          <a:ext cx="1620417" cy="285749"/>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xdr:from>
      <xdr:col>9</xdr:col>
      <xdr:colOff>19050</xdr:colOff>
      <xdr:row>30</xdr:row>
      <xdr:rowOff>57150</xdr:rowOff>
    </xdr:from>
    <xdr:to>
      <xdr:col>16</xdr:col>
      <xdr:colOff>9525</xdr:colOff>
      <xdr:row>49</xdr:row>
      <xdr:rowOff>57150</xdr:rowOff>
    </xdr:to>
    <xdr:graphicFrame macro="">
      <xdr:nvGraphicFramePr>
        <xdr:cNvPr id="63686582" name="Chart 2">
          <a:extLst>
            <a:ext uri="{FF2B5EF4-FFF2-40B4-BE49-F238E27FC236}">
              <a16:creationId xmlns:a16="http://schemas.microsoft.com/office/drawing/2014/main" id="{00000000-0008-0000-2A00-0000B6C7CB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1.xml><?xml version="1.0" encoding="utf-8"?>
<xdr:wsDr xmlns:xdr="http://schemas.openxmlformats.org/drawingml/2006/spreadsheetDrawing" xmlns:a="http://schemas.openxmlformats.org/drawingml/2006/main">
  <xdr:twoCellAnchor>
    <xdr:from>
      <xdr:col>9</xdr:col>
      <xdr:colOff>38100</xdr:colOff>
      <xdr:row>30</xdr:row>
      <xdr:rowOff>66675</xdr:rowOff>
    </xdr:from>
    <xdr:to>
      <xdr:col>16</xdr:col>
      <xdr:colOff>28575</xdr:colOff>
      <xdr:row>49</xdr:row>
      <xdr:rowOff>57150</xdr:rowOff>
    </xdr:to>
    <xdr:graphicFrame macro="">
      <xdr:nvGraphicFramePr>
        <xdr:cNvPr id="63322043" name="Chart 2">
          <a:extLst>
            <a:ext uri="{FF2B5EF4-FFF2-40B4-BE49-F238E27FC236}">
              <a16:creationId xmlns:a16="http://schemas.microsoft.com/office/drawing/2014/main" id="{00000000-0008-0000-2B00-0000BB37C6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2.xml><?xml version="1.0" encoding="utf-8"?>
<xdr:wsDr xmlns:xdr="http://schemas.openxmlformats.org/drawingml/2006/spreadsheetDrawing" xmlns:a="http://schemas.openxmlformats.org/drawingml/2006/main">
  <xdr:twoCellAnchor>
    <xdr:from>
      <xdr:col>9</xdr:col>
      <xdr:colOff>52181</xdr:colOff>
      <xdr:row>30</xdr:row>
      <xdr:rowOff>110572</xdr:rowOff>
    </xdr:from>
    <xdr:to>
      <xdr:col>16</xdr:col>
      <xdr:colOff>42656</xdr:colOff>
      <xdr:row>49</xdr:row>
      <xdr:rowOff>110572</xdr:rowOff>
    </xdr:to>
    <xdr:graphicFrame macro="">
      <xdr:nvGraphicFramePr>
        <xdr:cNvPr id="63691702" name="Chart 2">
          <a:extLst>
            <a:ext uri="{FF2B5EF4-FFF2-40B4-BE49-F238E27FC236}">
              <a16:creationId xmlns:a16="http://schemas.microsoft.com/office/drawing/2014/main" id="{00000000-0008-0000-2C00-0000B6DBCB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3.xml><?xml version="1.0" encoding="utf-8"?>
<xdr:wsDr xmlns:xdr="http://schemas.openxmlformats.org/drawingml/2006/spreadsheetDrawing" xmlns:a="http://schemas.openxmlformats.org/drawingml/2006/main">
  <xdr:twoCellAnchor>
    <xdr:from>
      <xdr:col>9</xdr:col>
      <xdr:colOff>19050</xdr:colOff>
      <xdr:row>30</xdr:row>
      <xdr:rowOff>57150</xdr:rowOff>
    </xdr:from>
    <xdr:to>
      <xdr:col>16</xdr:col>
      <xdr:colOff>9525</xdr:colOff>
      <xdr:row>49</xdr:row>
      <xdr:rowOff>57150</xdr:rowOff>
    </xdr:to>
    <xdr:graphicFrame macro="">
      <xdr:nvGraphicFramePr>
        <xdr:cNvPr id="63694774" name="Chart 2">
          <a:extLst>
            <a:ext uri="{FF2B5EF4-FFF2-40B4-BE49-F238E27FC236}">
              <a16:creationId xmlns:a16="http://schemas.microsoft.com/office/drawing/2014/main" id="{00000000-0008-0000-2D00-0000B6E7CB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4.xml><?xml version="1.0" encoding="utf-8"?>
<xdr:wsDr xmlns:xdr="http://schemas.openxmlformats.org/drawingml/2006/spreadsheetDrawing" xmlns:a="http://schemas.openxmlformats.org/drawingml/2006/main">
  <xdr:twoCellAnchor>
    <xdr:from>
      <xdr:col>9</xdr:col>
      <xdr:colOff>47625</xdr:colOff>
      <xdr:row>30</xdr:row>
      <xdr:rowOff>57150</xdr:rowOff>
    </xdr:from>
    <xdr:to>
      <xdr:col>16</xdr:col>
      <xdr:colOff>38100</xdr:colOff>
      <xdr:row>49</xdr:row>
      <xdr:rowOff>76200</xdr:rowOff>
    </xdr:to>
    <xdr:graphicFrame macro="">
      <xdr:nvGraphicFramePr>
        <xdr:cNvPr id="63697846" name="Chart 2">
          <a:extLst>
            <a:ext uri="{FF2B5EF4-FFF2-40B4-BE49-F238E27FC236}">
              <a16:creationId xmlns:a16="http://schemas.microsoft.com/office/drawing/2014/main" id="{00000000-0008-0000-2E00-0000B6F3CB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5.xml><?xml version="1.0" encoding="utf-8"?>
<xdr:wsDr xmlns:xdr="http://schemas.openxmlformats.org/drawingml/2006/spreadsheetDrawing" xmlns:a="http://schemas.openxmlformats.org/drawingml/2006/main">
  <xdr:twoCellAnchor>
    <xdr:from>
      <xdr:col>8</xdr:col>
      <xdr:colOff>581025</xdr:colOff>
      <xdr:row>31</xdr:row>
      <xdr:rowOff>85725</xdr:rowOff>
    </xdr:from>
    <xdr:to>
      <xdr:col>15</xdr:col>
      <xdr:colOff>571500</xdr:colOff>
      <xdr:row>50</xdr:row>
      <xdr:rowOff>95250</xdr:rowOff>
    </xdr:to>
    <xdr:graphicFrame macro="">
      <xdr:nvGraphicFramePr>
        <xdr:cNvPr id="3" name="Chart 2">
          <a:extLst>
            <a:ext uri="{FF2B5EF4-FFF2-40B4-BE49-F238E27FC236}">
              <a16:creationId xmlns:a16="http://schemas.microsoft.com/office/drawing/2014/main" id="{00000000-0008-0000-2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6.xml><?xml version="1.0" encoding="utf-8"?>
<xdr:wsDr xmlns:xdr="http://schemas.openxmlformats.org/drawingml/2006/spreadsheetDrawing" xmlns:a="http://schemas.openxmlformats.org/drawingml/2006/main">
  <xdr:twoCellAnchor>
    <xdr:from>
      <xdr:col>9</xdr:col>
      <xdr:colOff>19050</xdr:colOff>
      <xdr:row>30</xdr:row>
      <xdr:rowOff>57150</xdr:rowOff>
    </xdr:from>
    <xdr:to>
      <xdr:col>16</xdr:col>
      <xdr:colOff>9525</xdr:colOff>
      <xdr:row>49</xdr:row>
      <xdr:rowOff>57150</xdr:rowOff>
    </xdr:to>
    <xdr:graphicFrame macro="">
      <xdr:nvGraphicFramePr>
        <xdr:cNvPr id="3" name="Chart 2">
          <a:extLst>
            <a:ext uri="{FF2B5EF4-FFF2-40B4-BE49-F238E27FC236}">
              <a16:creationId xmlns:a16="http://schemas.microsoft.com/office/drawing/2014/main" id="{00000000-0008-0000-3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7.xml><?xml version="1.0" encoding="utf-8"?>
<xdr:wsDr xmlns:xdr="http://schemas.openxmlformats.org/drawingml/2006/spreadsheetDrawing" xmlns:a="http://schemas.openxmlformats.org/drawingml/2006/main">
  <xdr:twoCellAnchor>
    <xdr:from>
      <xdr:col>9</xdr:col>
      <xdr:colOff>19050</xdr:colOff>
      <xdr:row>30</xdr:row>
      <xdr:rowOff>57150</xdr:rowOff>
    </xdr:from>
    <xdr:to>
      <xdr:col>16</xdr:col>
      <xdr:colOff>9525</xdr:colOff>
      <xdr:row>49</xdr:row>
      <xdr:rowOff>57150</xdr:rowOff>
    </xdr:to>
    <xdr:graphicFrame macro="">
      <xdr:nvGraphicFramePr>
        <xdr:cNvPr id="63707062" name="Chart 2">
          <a:extLst>
            <a:ext uri="{FF2B5EF4-FFF2-40B4-BE49-F238E27FC236}">
              <a16:creationId xmlns:a16="http://schemas.microsoft.com/office/drawing/2014/main" id="{00000000-0008-0000-3100-0000B617CC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8.xml><?xml version="1.0" encoding="utf-8"?>
<xdr:wsDr xmlns:xdr="http://schemas.openxmlformats.org/drawingml/2006/spreadsheetDrawing" xmlns:a="http://schemas.openxmlformats.org/drawingml/2006/main">
  <xdr:twoCellAnchor>
    <xdr:from>
      <xdr:col>9</xdr:col>
      <xdr:colOff>19050</xdr:colOff>
      <xdr:row>30</xdr:row>
      <xdr:rowOff>57150</xdr:rowOff>
    </xdr:from>
    <xdr:to>
      <xdr:col>16</xdr:col>
      <xdr:colOff>9525</xdr:colOff>
      <xdr:row>49</xdr:row>
      <xdr:rowOff>57150</xdr:rowOff>
    </xdr:to>
    <xdr:graphicFrame macro="">
      <xdr:nvGraphicFramePr>
        <xdr:cNvPr id="3" name="Chart 2">
          <a:extLst>
            <a:ext uri="{FF2B5EF4-FFF2-40B4-BE49-F238E27FC236}">
              <a16:creationId xmlns:a16="http://schemas.microsoft.com/office/drawing/2014/main" id="{00000000-0008-0000-3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9.xml><?xml version="1.0" encoding="utf-8"?>
<xdr:wsDr xmlns:xdr="http://schemas.openxmlformats.org/drawingml/2006/spreadsheetDrawing" xmlns:a="http://schemas.openxmlformats.org/drawingml/2006/main">
  <xdr:twoCellAnchor>
    <xdr:from>
      <xdr:col>9</xdr:col>
      <xdr:colOff>19050</xdr:colOff>
      <xdr:row>30</xdr:row>
      <xdr:rowOff>47625</xdr:rowOff>
    </xdr:from>
    <xdr:to>
      <xdr:col>16</xdr:col>
      <xdr:colOff>9525</xdr:colOff>
      <xdr:row>49</xdr:row>
      <xdr:rowOff>57150</xdr:rowOff>
    </xdr:to>
    <xdr:graphicFrame macro="">
      <xdr:nvGraphicFramePr>
        <xdr:cNvPr id="3" name="Chart 2">
          <a:extLst>
            <a:ext uri="{FF2B5EF4-FFF2-40B4-BE49-F238E27FC236}">
              <a16:creationId xmlns:a16="http://schemas.microsoft.com/office/drawing/2014/main" id="{00000000-0008-0000-3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19050</xdr:colOff>
      <xdr:row>0</xdr:row>
      <xdr:rowOff>123825</xdr:rowOff>
    </xdr:from>
    <xdr:to>
      <xdr:col>1</xdr:col>
      <xdr:colOff>1639467</xdr:colOff>
      <xdr:row>2</xdr:row>
      <xdr:rowOff>104774</xdr:rowOff>
    </xdr:to>
    <xdr:pic>
      <xdr:nvPicPr>
        <xdr:cNvPr id="5" name="Picture 4">
          <a:extLst>
            <a:ext uri="{FF2B5EF4-FFF2-40B4-BE49-F238E27FC236}">
              <a16:creationId xmlns:a16="http://schemas.microsoft.com/office/drawing/2014/main" id="{00000000-0008-0000-0500-000005000000}"/>
            </a:ext>
          </a:extLst>
        </xdr:cNvPr>
        <xdr:cNvPicPr>
          <a:picLocks noChangeAspect="1"/>
        </xdr:cNvPicPr>
      </xdr:nvPicPr>
      <xdr:blipFill rotWithShape="1">
        <a:blip xmlns:r="http://schemas.openxmlformats.org/officeDocument/2006/relationships" r:embed="rId1" cstate="hqprint">
          <a:extLst>
            <a:ext uri="{28A0092B-C50C-407E-A947-70E740481C1C}">
              <a14:useLocalDpi xmlns:a14="http://schemas.microsoft.com/office/drawing/2010/main"/>
            </a:ext>
          </a:extLst>
        </a:blip>
        <a:srcRect/>
        <a:stretch/>
      </xdr:blipFill>
      <xdr:spPr>
        <a:xfrm>
          <a:off x="180975" y="123825"/>
          <a:ext cx="1620417" cy="285749"/>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xdr:from>
      <xdr:col>9</xdr:col>
      <xdr:colOff>7844</xdr:colOff>
      <xdr:row>30</xdr:row>
      <xdr:rowOff>124385</xdr:rowOff>
    </xdr:from>
    <xdr:to>
      <xdr:col>15</xdr:col>
      <xdr:colOff>670672</xdr:colOff>
      <xdr:row>49</xdr:row>
      <xdr:rowOff>124385</xdr:rowOff>
    </xdr:to>
    <xdr:graphicFrame macro="">
      <xdr:nvGraphicFramePr>
        <xdr:cNvPr id="63710134" name="Chart 2">
          <a:extLst>
            <a:ext uri="{FF2B5EF4-FFF2-40B4-BE49-F238E27FC236}">
              <a16:creationId xmlns:a16="http://schemas.microsoft.com/office/drawing/2014/main" id="{00000000-0008-0000-3400-0000B623CC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1.xml><?xml version="1.0" encoding="utf-8"?>
<xdr:wsDr xmlns:xdr="http://schemas.openxmlformats.org/drawingml/2006/spreadsheetDrawing" xmlns:a="http://schemas.openxmlformats.org/drawingml/2006/main">
  <xdr:twoCellAnchor>
    <xdr:from>
      <xdr:col>8</xdr:col>
      <xdr:colOff>657225</xdr:colOff>
      <xdr:row>34</xdr:row>
      <xdr:rowOff>152400</xdr:rowOff>
    </xdr:from>
    <xdr:to>
      <xdr:col>15</xdr:col>
      <xdr:colOff>628650</xdr:colOff>
      <xdr:row>53</xdr:row>
      <xdr:rowOff>142875</xdr:rowOff>
    </xdr:to>
    <xdr:graphicFrame macro="">
      <xdr:nvGraphicFramePr>
        <xdr:cNvPr id="4" name="Chart 2">
          <a:extLst>
            <a:ext uri="{FF2B5EF4-FFF2-40B4-BE49-F238E27FC236}">
              <a16:creationId xmlns:a16="http://schemas.microsoft.com/office/drawing/2014/main" id="{00000000-0008-0000-35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2.xml><?xml version="1.0" encoding="utf-8"?>
<xdr:wsDr xmlns:xdr="http://schemas.openxmlformats.org/drawingml/2006/spreadsheetDrawing" xmlns:a="http://schemas.openxmlformats.org/drawingml/2006/main">
  <xdr:twoCellAnchor>
    <xdr:from>
      <xdr:col>9</xdr:col>
      <xdr:colOff>19050</xdr:colOff>
      <xdr:row>30</xdr:row>
      <xdr:rowOff>47625</xdr:rowOff>
    </xdr:from>
    <xdr:to>
      <xdr:col>16</xdr:col>
      <xdr:colOff>9525</xdr:colOff>
      <xdr:row>49</xdr:row>
      <xdr:rowOff>57150</xdr:rowOff>
    </xdr:to>
    <xdr:graphicFrame macro="">
      <xdr:nvGraphicFramePr>
        <xdr:cNvPr id="63713207" name="Chart 2">
          <a:extLst>
            <a:ext uri="{FF2B5EF4-FFF2-40B4-BE49-F238E27FC236}">
              <a16:creationId xmlns:a16="http://schemas.microsoft.com/office/drawing/2014/main" id="{00000000-0008-0000-3600-0000B72FCC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3.xml><?xml version="1.0" encoding="utf-8"?>
<xdr:wsDr xmlns:xdr="http://schemas.openxmlformats.org/drawingml/2006/spreadsheetDrawing" xmlns:a="http://schemas.openxmlformats.org/drawingml/2006/main">
  <xdr:twoCellAnchor>
    <xdr:from>
      <xdr:col>9</xdr:col>
      <xdr:colOff>47625</xdr:colOff>
      <xdr:row>30</xdr:row>
      <xdr:rowOff>57150</xdr:rowOff>
    </xdr:from>
    <xdr:to>
      <xdr:col>16</xdr:col>
      <xdr:colOff>38100</xdr:colOff>
      <xdr:row>49</xdr:row>
      <xdr:rowOff>76200</xdr:rowOff>
    </xdr:to>
    <xdr:graphicFrame macro="">
      <xdr:nvGraphicFramePr>
        <xdr:cNvPr id="63719350" name="Chart 2">
          <a:extLst>
            <a:ext uri="{FF2B5EF4-FFF2-40B4-BE49-F238E27FC236}">
              <a16:creationId xmlns:a16="http://schemas.microsoft.com/office/drawing/2014/main" id="{00000000-0008-0000-3700-0000B647CC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4.xml><?xml version="1.0" encoding="utf-8"?>
<xdr:wsDr xmlns:xdr="http://schemas.openxmlformats.org/drawingml/2006/spreadsheetDrawing" xmlns:a="http://schemas.openxmlformats.org/drawingml/2006/main">
  <xdr:twoCellAnchor>
    <xdr:from>
      <xdr:col>9</xdr:col>
      <xdr:colOff>19050</xdr:colOff>
      <xdr:row>30</xdr:row>
      <xdr:rowOff>66675</xdr:rowOff>
    </xdr:from>
    <xdr:to>
      <xdr:col>16</xdr:col>
      <xdr:colOff>9525</xdr:colOff>
      <xdr:row>49</xdr:row>
      <xdr:rowOff>57150</xdr:rowOff>
    </xdr:to>
    <xdr:graphicFrame macro="">
      <xdr:nvGraphicFramePr>
        <xdr:cNvPr id="63725494" name="Chart 2">
          <a:extLst>
            <a:ext uri="{FF2B5EF4-FFF2-40B4-BE49-F238E27FC236}">
              <a16:creationId xmlns:a16="http://schemas.microsoft.com/office/drawing/2014/main" id="{00000000-0008-0000-3800-0000B65FCC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5.xml><?xml version="1.0" encoding="utf-8"?>
<xdr:wsDr xmlns:xdr="http://schemas.openxmlformats.org/drawingml/2006/spreadsheetDrawing" xmlns:a="http://schemas.openxmlformats.org/drawingml/2006/main">
  <xdr:twoCellAnchor>
    <xdr:from>
      <xdr:col>9</xdr:col>
      <xdr:colOff>102053</xdr:colOff>
      <xdr:row>30</xdr:row>
      <xdr:rowOff>57150</xdr:rowOff>
    </xdr:from>
    <xdr:to>
      <xdr:col>16</xdr:col>
      <xdr:colOff>92528</xdr:colOff>
      <xdr:row>49</xdr:row>
      <xdr:rowOff>76200</xdr:rowOff>
    </xdr:to>
    <xdr:graphicFrame macro="">
      <xdr:nvGraphicFramePr>
        <xdr:cNvPr id="63857593" name="Chart 2">
          <a:extLst>
            <a:ext uri="{FF2B5EF4-FFF2-40B4-BE49-F238E27FC236}">
              <a16:creationId xmlns:a16="http://schemas.microsoft.com/office/drawing/2014/main" id="{00000000-0008-0000-3900-0000B963CE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6.xml><?xml version="1.0" encoding="utf-8"?>
<xdr:wsDr xmlns:xdr="http://schemas.openxmlformats.org/drawingml/2006/spreadsheetDrawing" xmlns:a="http://schemas.openxmlformats.org/drawingml/2006/main">
  <xdr:twoCellAnchor>
    <xdr:from>
      <xdr:col>9</xdr:col>
      <xdr:colOff>19050</xdr:colOff>
      <xdr:row>30</xdr:row>
      <xdr:rowOff>57150</xdr:rowOff>
    </xdr:from>
    <xdr:to>
      <xdr:col>16</xdr:col>
      <xdr:colOff>9525</xdr:colOff>
      <xdr:row>49</xdr:row>
      <xdr:rowOff>57150</xdr:rowOff>
    </xdr:to>
    <xdr:graphicFrame macro="">
      <xdr:nvGraphicFramePr>
        <xdr:cNvPr id="63731638" name="Chart 2">
          <a:extLst>
            <a:ext uri="{FF2B5EF4-FFF2-40B4-BE49-F238E27FC236}">
              <a16:creationId xmlns:a16="http://schemas.microsoft.com/office/drawing/2014/main" id="{00000000-0008-0000-3A00-0000B677CC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7.xml><?xml version="1.0" encoding="utf-8"?>
<xdr:wsDr xmlns:xdr="http://schemas.openxmlformats.org/drawingml/2006/spreadsheetDrawing" xmlns:a="http://schemas.openxmlformats.org/drawingml/2006/main">
  <xdr:twoCellAnchor>
    <xdr:from>
      <xdr:col>8</xdr:col>
      <xdr:colOff>657225</xdr:colOff>
      <xdr:row>28</xdr:row>
      <xdr:rowOff>66675</xdr:rowOff>
    </xdr:from>
    <xdr:to>
      <xdr:col>15</xdr:col>
      <xdr:colOff>581025</xdr:colOff>
      <xdr:row>46</xdr:row>
      <xdr:rowOff>123825</xdr:rowOff>
    </xdr:to>
    <xdr:graphicFrame macro="">
      <xdr:nvGraphicFramePr>
        <xdr:cNvPr id="63302587" name="Chart 2">
          <a:extLst>
            <a:ext uri="{FF2B5EF4-FFF2-40B4-BE49-F238E27FC236}">
              <a16:creationId xmlns:a16="http://schemas.microsoft.com/office/drawing/2014/main" id="{00000000-0008-0000-3C00-0000BBEBC5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8.xml><?xml version="1.0" encoding="utf-8"?>
<xdr:wsDr xmlns:xdr="http://schemas.openxmlformats.org/drawingml/2006/spreadsheetDrawing" xmlns:a="http://schemas.openxmlformats.org/drawingml/2006/main">
  <xdr:twoCellAnchor>
    <xdr:from>
      <xdr:col>9</xdr:col>
      <xdr:colOff>19050</xdr:colOff>
      <xdr:row>30</xdr:row>
      <xdr:rowOff>57150</xdr:rowOff>
    </xdr:from>
    <xdr:to>
      <xdr:col>16</xdr:col>
      <xdr:colOff>9525</xdr:colOff>
      <xdr:row>49</xdr:row>
      <xdr:rowOff>57150</xdr:rowOff>
    </xdr:to>
    <xdr:graphicFrame macro="">
      <xdr:nvGraphicFramePr>
        <xdr:cNvPr id="63807416" name="Chart 2">
          <a:extLst>
            <a:ext uri="{FF2B5EF4-FFF2-40B4-BE49-F238E27FC236}">
              <a16:creationId xmlns:a16="http://schemas.microsoft.com/office/drawing/2014/main" id="{00000000-0008-0000-3D00-0000B89FCD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9.xml><?xml version="1.0" encoding="utf-8"?>
<xdr:wsDr xmlns:xdr="http://schemas.openxmlformats.org/drawingml/2006/spreadsheetDrawing" xmlns:a="http://schemas.openxmlformats.org/drawingml/2006/main">
  <xdr:twoCellAnchor>
    <xdr:from>
      <xdr:col>9</xdr:col>
      <xdr:colOff>19050</xdr:colOff>
      <xdr:row>30</xdr:row>
      <xdr:rowOff>47625</xdr:rowOff>
    </xdr:from>
    <xdr:to>
      <xdr:col>16</xdr:col>
      <xdr:colOff>9525</xdr:colOff>
      <xdr:row>49</xdr:row>
      <xdr:rowOff>47625</xdr:rowOff>
    </xdr:to>
    <xdr:graphicFrame macro="">
      <xdr:nvGraphicFramePr>
        <xdr:cNvPr id="63356860" name="Chart 2">
          <a:extLst>
            <a:ext uri="{FF2B5EF4-FFF2-40B4-BE49-F238E27FC236}">
              <a16:creationId xmlns:a16="http://schemas.microsoft.com/office/drawing/2014/main" id="{00000000-0008-0000-3E00-0000BCBFC6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19050</xdr:colOff>
      <xdr:row>0</xdr:row>
      <xdr:rowOff>123825</xdr:rowOff>
    </xdr:from>
    <xdr:to>
      <xdr:col>2</xdr:col>
      <xdr:colOff>222147</xdr:colOff>
      <xdr:row>2</xdr:row>
      <xdr:rowOff>104774</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cstate="hqprint">
          <a:extLst>
            <a:ext uri="{28A0092B-C50C-407E-A947-70E740481C1C}">
              <a14:useLocalDpi xmlns:a14="http://schemas.microsoft.com/office/drawing/2010/main"/>
            </a:ext>
          </a:extLst>
        </a:blip>
        <a:srcRect/>
        <a:stretch/>
      </xdr:blipFill>
      <xdr:spPr>
        <a:xfrm>
          <a:off x="179070" y="123825"/>
          <a:ext cx="1620417" cy="285749"/>
        </a:xfrm>
        <a:prstGeom prst="rect">
          <a:avLst/>
        </a:prstGeom>
      </xdr:spPr>
    </xdr:pic>
    <xdr:clientData/>
  </xdr:twoCellAnchor>
</xdr:wsDr>
</file>

<file path=xl/drawings/drawing60.xml><?xml version="1.0" encoding="utf-8"?>
<xdr:wsDr xmlns:xdr="http://schemas.openxmlformats.org/drawingml/2006/spreadsheetDrawing" xmlns:a="http://schemas.openxmlformats.org/drawingml/2006/main">
  <xdr:twoCellAnchor>
    <xdr:from>
      <xdr:col>9</xdr:col>
      <xdr:colOff>9525</xdr:colOff>
      <xdr:row>30</xdr:row>
      <xdr:rowOff>66675</xdr:rowOff>
    </xdr:from>
    <xdr:to>
      <xdr:col>16</xdr:col>
      <xdr:colOff>0</xdr:colOff>
      <xdr:row>49</xdr:row>
      <xdr:rowOff>85725</xdr:rowOff>
    </xdr:to>
    <xdr:graphicFrame macro="">
      <xdr:nvGraphicFramePr>
        <xdr:cNvPr id="63602617" name="Chart 2">
          <a:extLst>
            <a:ext uri="{FF2B5EF4-FFF2-40B4-BE49-F238E27FC236}">
              <a16:creationId xmlns:a16="http://schemas.microsoft.com/office/drawing/2014/main" id="{00000000-0008-0000-4000-0000B97FCA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1.xml><?xml version="1.0" encoding="utf-8"?>
<xdr:wsDr xmlns:xdr="http://schemas.openxmlformats.org/drawingml/2006/spreadsheetDrawing" xmlns:a="http://schemas.openxmlformats.org/drawingml/2006/main">
  <xdr:twoCellAnchor>
    <xdr:from>
      <xdr:col>9</xdr:col>
      <xdr:colOff>19050</xdr:colOff>
      <xdr:row>30</xdr:row>
      <xdr:rowOff>57150</xdr:rowOff>
    </xdr:from>
    <xdr:to>
      <xdr:col>16</xdr:col>
      <xdr:colOff>9525</xdr:colOff>
      <xdr:row>49</xdr:row>
      <xdr:rowOff>57150</xdr:rowOff>
    </xdr:to>
    <xdr:graphicFrame macro="">
      <xdr:nvGraphicFramePr>
        <xdr:cNvPr id="63745975" name="Chart 2">
          <a:extLst>
            <a:ext uri="{FF2B5EF4-FFF2-40B4-BE49-F238E27FC236}">
              <a16:creationId xmlns:a16="http://schemas.microsoft.com/office/drawing/2014/main" id="{00000000-0008-0000-4100-0000B7AFCC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2.xml><?xml version="1.0" encoding="utf-8"?>
<xdr:wsDr xmlns:xdr="http://schemas.openxmlformats.org/drawingml/2006/spreadsheetDrawing" xmlns:a="http://schemas.openxmlformats.org/drawingml/2006/main">
  <xdr:twoCellAnchor>
    <xdr:from>
      <xdr:col>8</xdr:col>
      <xdr:colOff>675216</xdr:colOff>
      <xdr:row>30</xdr:row>
      <xdr:rowOff>58209</xdr:rowOff>
    </xdr:from>
    <xdr:to>
      <xdr:col>15</xdr:col>
      <xdr:colOff>665692</xdr:colOff>
      <xdr:row>49</xdr:row>
      <xdr:rowOff>58209</xdr:rowOff>
    </xdr:to>
    <xdr:graphicFrame macro="">
      <xdr:nvGraphicFramePr>
        <xdr:cNvPr id="3" name="Chart 2">
          <a:extLst>
            <a:ext uri="{FF2B5EF4-FFF2-40B4-BE49-F238E27FC236}">
              <a16:creationId xmlns:a16="http://schemas.microsoft.com/office/drawing/2014/main" id="{00000000-0008-0000-4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3.xml><?xml version="1.0" encoding="utf-8"?>
<xdr:wsDr xmlns:xdr="http://schemas.openxmlformats.org/drawingml/2006/spreadsheetDrawing" xmlns:a="http://schemas.openxmlformats.org/drawingml/2006/main">
  <xdr:twoCellAnchor>
    <xdr:from>
      <xdr:col>9</xdr:col>
      <xdr:colOff>19050</xdr:colOff>
      <xdr:row>30</xdr:row>
      <xdr:rowOff>57150</xdr:rowOff>
    </xdr:from>
    <xdr:to>
      <xdr:col>16</xdr:col>
      <xdr:colOff>9525</xdr:colOff>
      <xdr:row>49</xdr:row>
      <xdr:rowOff>57150</xdr:rowOff>
    </xdr:to>
    <xdr:graphicFrame macro="">
      <xdr:nvGraphicFramePr>
        <xdr:cNvPr id="3" name="Chart 2">
          <a:extLst>
            <a:ext uri="{FF2B5EF4-FFF2-40B4-BE49-F238E27FC236}">
              <a16:creationId xmlns:a16="http://schemas.microsoft.com/office/drawing/2014/main" id="{00000000-0008-0000-4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4.xml><?xml version="1.0" encoding="utf-8"?>
<xdr:wsDr xmlns:xdr="http://schemas.openxmlformats.org/drawingml/2006/spreadsheetDrawing" xmlns:a="http://schemas.openxmlformats.org/drawingml/2006/main">
  <xdr:twoCellAnchor>
    <xdr:from>
      <xdr:col>8</xdr:col>
      <xdr:colOff>571500</xdr:colOff>
      <xdr:row>28</xdr:row>
      <xdr:rowOff>28575</xdr:rowOff>
    </xdr:from>
    <xdr:to>
      <xdr:col>16</xdr:col>
      <xdr:colOff>0</xdr:colOff>
      <xdr:row>48</xdr:row>
      <xdr:rowOff>9525</xdr:rowOff>
    </xdr:to>
    <xdr:graphicFrame macro="">
      <xdr:nvGraphicFramePr>
        <xdr:cNvPr id="63641525" name="Chart 2">
          <a:extLst>
            <a:ext uri="{FF2B5EF4-FFF2-40B4-BE49-F238E27FC236}">
              <a16:creationId xmlns:a16="http://schemas.microsoft.com/office/drawing/2014/main" id="{00000000-0008-0000-1D00-0000B517CB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5.xml><?xml version="1.0" encoding="utf-8"?>
<xdr:wsDr xmlns:xdr="http://schemas.openxmlformats.org/drawingml/2006/spreadsheetDrawing" xmlns:a="http://schemas.openxmlformats.org/drawingml/2006/main">
  <xdr:twoCellAnchor>
    <xdr:from>
      <xdr:col>9</xdr:col>
      <xdr:colOff>88446</xdr:colOff>
      <xdr:row>37</xdr:row>
      <xdr:rowOff>57150</xdr:rowOff>
    </xdr:from>
    <xdr:to>
      <xdr:col>16</xdr:col>
      <xdr:colOff>78921</xdr:colOff>
      <xdr:row>56</xdr:row>
      <xdr:rowOff>76200</xdr:rowOff>
    </xdr:to>
    <xdr:graphicFrame macro="">
      <xdr:nvGraphicFramePr>
        <xdr:cNvPr id="3" name="Chart 2">
          <a:extLst>
            <a:ext uri="{FF2B5EF4-FFF2-40B4-BE49-F238E27FC236}">
              <a16:creationId xmlns:a16="http://schemas.microsoft.com/office/drawing/2014/main" id="{00000000-0008-0000-4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6.xml><?xml version="1.0" encoding="utf-8"?>
<xdr:wsDr xmlns:xdr="http://schemas.openxmlformats.org/drawingml/2006/spreadsheetDrawing" xmlns:a="http://schemas.openxmlformats.org/drawingml/2006/main">
  <xdr:twoCellAnchor>
    <xdr:from>
      <xdr:col>8</xdr:col>
      <xdr:colOff>675216</xdr:colOff>
      <xdr:row>30</xdr:row>
      <xdr:rowOff>58209</xdr:rowOff>
    </xdr:from>
    <xdr:to>
      <xdr:col>15</xdr:col>
      <xdr:colOff>665692</xdr:colOff>
      <xdr:row>49</xdr:row>
      <xdr:rowOff>58209</xdr:rowOff>
    </xdr:to>
    <xdr:graphicFrame macro="">
      <xdr:nvGraphicFramePr>
        <xdr:cNvPr id="63716278" name="Chart 2">
          <a:extLst>
            <a:ext uri="{FF2B5EF4-FFF2-40B4-BE49-F238E27FC236}">
              <a16:creationId xmlns:a16="http://schemas.microsoft.com/office/drawing/2014/main" id="{00000000-0008-0000-4500-0000B63BCC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7.xml><?xml version="1.0" encoding="utf-8"?>
<xdr:wsDr xmlns:xdr="http://schemas.openxmlformats.org/drawingml/2006/spreadsheetDrawing" xmlns:a="http://schemas.openxmlformats.org/drawingml/2006/main">
  <xdr:twoCellAnchor>
    <xdr:from>
      <xdr:col>9</xdr:col>
      <xdr:colOff>19050</xdr:colOff>
      <xdr:row>30</xdr:row>
      <xdr:rowOff>47625</xdr:rowOff>
    </xdr:from>
    <xdr:to>
      <xdr:col>16</xdr:col>
      <xdr:colOff>9525</xdr:colOff>
      <xdr:row>49</xdr:row>
      <xdr:rowOff>47625</xdr:rowOff>
    </xdr:to>
    <xdr:graphicFrame macro="">
      <xdr:nvGraphicFramePr>
        <xdr:cNvPr id="63755191" name="Chart 2">
          <a:extLst>
            <a:ext uri="{FF2B5EF4-FFF2-40B4-BE49-F238E27FC236}">
              <a16:creationId xmlns:a16="http://schemas.microsoft.com/office/drawing/2014/main" id="{00000000-0008-0000-4600-0000B7D3CC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8.xml><?xml version="1.0" encoding="utf-8"?>
<xdr:wsDr xmlns:xdr="http://schemas.openxmlformats.org/drawingml/2006/spreadsheetDrawing" xmlns:a="http://schemas.openxmlformats.org/drawingml/2006/main">
  <xdr:twoCellAnchor>
    <xdr:from>
      <xdr:col>9</xdr:col>
      <xdr:colOff>45243</xdr:colOff>
      <xdr:row>37</xdr:row>
      <xdr:rowOff>35719</xdr:rowOff>
    </xdr:from>
    <xdr:to>
      <xdr:col>16</xdr:col>
      <xdr:colOff>35718</xdr:colOff>
      <xdr:row>56</xdr:row>
      <xdr:rowOff>35719</xdr:rowOff>
    </xdr:to>
    <xdr:graphicFrame macro="">
      <xdr:nvGraphicFramePr>
        <xdr:cNvPr id="4" name="Chart 2">
          <a:extLst>
            <a:ext uri="{FF2B5EF4-FFF2-40B4-BE49-F238E27FC236}">
              <a16:creationId xmlns:a16="http://schemas.microsoft.com/office/drawing/2014/main" id="{00000000-0008-0000-47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9.xml><?xml version="1.0" encoding="utf-8"?>
<xdr:wsDr xmlns:xdr="http://schemas.openxmlformats.org/drawingml/2006/spreadsheetDrawing" xmlns:a="http://schemas.openxmlformats.org/drawingml/2006/main">
  <xdr:twoCellAnchor>
    <xdr:from>
      <xdr:col>9</xdr:col>
      <xdr:colOff>19050</xdr:colOff>
      <xdr:row>30</xdr:row>
      <xdr:rowOff>57150</xdr:rowOff>
    </xdr:from>
    <xdr:to>
      <xdr:col>16</xdr:col>
      <xdr:colOff>9525</xdr:colOff>
      <xdr:row>49</xdr:row>
      <xdr:rowOff>57150</xdr:rowOff>
    </xdr:to>
    <xdr:graphicFrame macro="">
      <xdr:nvGraphicFramePr>
        <xdr:cNvPr id="63771575" name="Chart 2">
          <a:extLst>
            <a:ext uri="{FF2B5EF4-FFF2-40B4-BE49-F238E27FC236}">
              <a16:creationId xmlns:a16="http://schemas.microsoft.com/office/drawing/2014/main" id="{00000000-0008-0000-4800-0000B713CD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1</xdr:colOff>
      <xdr:row>0</xdr:row>
      <xdr:rowOff>114301</xdr:rowOff>
    </xdr:from>
    <xdr:to>
      <xdr:col>1</xdr:col>
      <xdr:colOff>1620418</xdr:colOff>
      <xdr:row>2</xdr:row>
      <xdr:rowOff>95250</xdr:rowOff>
    </xdr:to>
    <xdr:pic>
      <xdr:nvPicPr>
        <xdr:cNvPr id="3" name="Picture 2">
          <a:extLst>
            <a:ext uri="{FF2B5EF4-FFF2-40B4-BE49-F238E27FC236}">
              <a16:creationId xmlns:a16="http://schemas.microsoft.com/office/drawing/2014/main" id="{00000000-0008-0000-0700-000003000000}"/>
            </a:ext>
          </a:extLst>
        </xdr:cNvPr>
        <xdr:cNvPicPr>
          <a:picLocks noChangeAspect="1"/>
        </xdr:cNvPicPr>
      </xdr:nvPicPr>
      <xdr:blipFill rotWithShape="1">
        <a:blip xmlns:r="http://schemas.openxmlformats.org/officeDocument/2006/relationships" r:embed="rId1" cstate="hqprint">
          <a:extLst>
            <a:ext uri="{28A0092B-C50C-407E-A947-70E740481C1C}">
              <a14:useLocalDpi xmlns:a14="http://schemas.microsoft.com/office/drawing/2010/main"/>
            </a:ext>
          </a:extLst>
        </a:blip>
        <a:srcRect/>
        <a:stretch/>
      </xdr:blipFill>
      <xdr:spPr>
        <a:xfrm>
          <a:off x="152401" y="114301"/>
          <a:ext cx="1620417" cy="285749"/>
        </a:xfrm>
        <a:prstGeom prst="rect">
          <a:avLst/>
        </a:prstGeom>
      </xdr:spPr>
    </xdr:pic>
    <xdr:clientData/>
  </xdr:twoCellAnchor>
</xdr:wsDr>
</file>

<file path=xl/drawings/drawing70.xml><?xml version="1.0" encoding="utf-8"?>
<xdr:wsDr xmlns:xdr="http://schemas.openxmlformats.org/drawingml/2006/spreadsheetDrawing" xmlns:a="http://schemas.openxmlformats.org/drawingml/2006/main">
  <xdr:twoCellAnchor>
    <xdr:from>
      <xdr:col>9</xdr:col>
      <xdr:colOff>19050</xdr:colOff>
      <xdr:row>30</xdr:row>
      <xdr:rowOff>57150</xdr:rowOff>
    </xdr:from>
    <xdr:to>
      <xdr:col>16</xdr:col>
      <xdr:colOff>9525</xdr:colOff>
      <xdr:row>49</xdr:row>
      <xdr:rowOff>57150</xdr:rowOff>
    </xdr:to>
    <xdr:graphicFrame macro="">
      <xdr:nvGraphicFramePr>
        <xdr:cNvPr id="3" name="Chart 2">
          <a:extLst>
            <a:ext uri="{FF2B5EF4-FFF2-40B4-BE49-F238E27FC236}">
              <a16:creationId xmlns:a16="http://schemas.microsoft.com/office/drawing/2014/main" id="{00000000-0008-0000-4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1.xml><?xml version="1.0" encoding="utf-8"?>
<xdr:wsDr xmlns:xdr="http://schemas.openxmlformats.org/drawingml/2006/spreadsheetDrawing" xmlns:a="http://schemas.openxmlformats.org/drawingml/2006/main">
  <xdr:twoCellAnchor>
    <xdr:from>
      <xdr:col>9</xdr:col>
      <xdr:colOff>19050</xdr:colOff>
      <xdr:row>30</xdr:row>
      <xdr:rowOff>57150</xdr:rowOff>
    </xdr:from>
    <xdr:to>
      <xdr:col>16</xdr:col>
      <xdr:colOff>9525</xdr:colOff>
      <xdr:row>49</xdr:row>
      <xdr:rowOff>57150</xdr:rowOff>
    </xdr:to>
    <xdr:graphicFrame macro="">
      <xdr:nvGraphicFramePr>
        <xdr:cNvPr id="3" name="Chart 2">
          <a:extLst>
            <a:ext uri="{FF2B5EF4-FFF2-40B4-BE49-F238E27FC236}">
              <a16:creationId xmlns:a16="http://schemas.microsoft.com/office/drawing/2014/main" id="{00000000-0008-0000-4B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2.xml><?xml version="1.0" encoding="utf-8"?>
<xdr:wsDr xmlns:xdr="http://schemas.openxmlformats.org/drawingml/2006/spreadsheetDrawing" xmlns:a="http://schemas.openxmlformats.org/drawingml/2006/main">
  <xdr:twoCellAnchor>
    <xdr:from>
      <xdr:col>9</xdr:col>
      <xdr:colOff>19050</xdr:colOff>
      <xdr:row>30</xdr:row>
      <xdr:rowOff>66675</xdr:rowOff>
    </xdr:from>
    <xdr:to>
      <xdr:col>16</xdr:col>
      <xdr:colOff>9525</xdr:colOff>
      <xdr:row>49</xdr:row>
      <xdr:rowOff>57150</xdr:rowOff>
    </xdr:to>
    <xdr:graphicFrame macro="">
      <xdr:nvGraphicFramePr>
        <xdr:cNvPr id="63384508" name="Chart 2">
          <a:extLst>
            <a:ext uri="{FF2B5EF4-FFF2-40B4-BE49-F238E27FC236}">
              <a16:creationId xmlns:a16="http://schemas.microsoft.com/office/drawing/2014/main" id="{00000000-0008-0000-4C00-0000BC2BC7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3.xml><?xml version="1.0" encoding="utf-8"?>
<xdr:wsDr xmlns:xdr="http://schemas.openxmlformats.org/drawingml/2006/spreadsheetDrawing" xmlns:a="http://schemas.openxmlformats.org/drawingml/2006/main">
  <xdr:twoCellAnchor>
    <xdr:from>
      <xdr:col>9</xdr:col>
      <xdr:colOff>19050</xdr:colOff>
      <xdr:row>30</xdr:row>
      <xdr:rowOff>57150</xdr:rowOff>
    </xdr:from>
    <xdr:to>
      <xdr:col>16</xdr:col>
      <xdr:colOff>9525</xdr:colOff>
      <xdr:row>49</xdr:row>
      <xdr:rowOff>57150</xdr:rowOff>
    </xdr:to>
    <xdr:graphicFrame macro="">
      <xdr:nvGraphicFramePr>
        <xdr:cNvPr id="63776695" name="Chart 2">
          <a:extLst>
            <a:ext uri="{FF2B5EF4-FFF2-40B4-BE49-F238E27FC236}">
              <a16:creationId xmlns:a16="http://schemas.microsoft.com/office/drawing/2014/main" id="{00000000-0008-0000-4D00-0000B727CD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4.xml><?xml version="1.0" encoding="utf-8"?>
<xdr:wsDr xmlns:xdr="http://schemas.openxmlformats.org/drawingml/2006/spreadsheetDrawing" xmlns:a="http://schemas.openxmlformats.org/drawingml/2006/main">
  <xdr:twoCellAnchor>
    <xdr:from>
      <xdr:col>9</xdr:col>
      <xdr:colOff>19050</xdr:colOff>
      <xdr:row>37</xdr:row>
      <xdr:rowOff>57150</xdr:rowOff>
    </xdr:from>
    <xdr:to>
      <xdr:col>16</xdr:col>
      <xdr:colOff>9525</xdr:colOff>
      <xdr:row>56</xdr:row>
      <xdr:rowOff>57150</xdr:rowOff>
    </xdr:to>
    <xdr:graphicFrame macro="">
      <xdr:nvGraphicFramePr>
        <xdr:cNvPr id="3" name="Chart 2">
          <a:extLst>
            <a:ext uri="{FF2B5EF4-FFF2-40B4-BE49-F238E27FC236}">
              <a16:creationId xmlns:a16="http://schemas.microsoft.com/office/drawing/2014/main" id="{00000000-0008-0000-4E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5.xml><?xml version="1.0" encoding="utf-8"?>
<xdr:wsDr xmlns:xdr="http://schemas.openxmlformats.org/drawingml/2006/spreadsheetDrawing" xmlns:a="http://schemas.openxmlformats.org/drawingml/2006/main">
  <xdr:twoCellAnchor>
    <xdr:from>
      <xdr:col>9</xdr:col>
      <xdr:colOff>47625</xdr:colOff>
      <xdr:row>30</xdr:row>
      <xdr:rowOff>57150</xdr:rowOff>
    </xdr:from>
    <xdr:to>
      <xdr:col>16</xdr:col>
      <xdr:colOff>38100</xdr:colOff>
      <xdr:row>49</xdr:row>
      <xdr:rowOff>76200</xdr:rowOff>
    </xdr:to>
    <xdr:graphicFrame macro="">
      <xdr:nvGraphicFramePr>
        <xdr:cNvPr id="63785911" name="Chart 2">
          <a:extLst>
            <a:ext uri="{FF2B5EF4-FFF2-40B4-BE49-F238E27FC236}">
              <a16:creationId xmlns:a16="http://schemas.microsoft.com/office/drawing/2014/main" id="{00000000-0008-0000-4F00-0000B74BCD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6.xml><?xml version="1.0" encoding="utf-8"?>
<xdr:wsDr xmlns:xdr="http://schemas.openxmlformats.org/drawingml/2006/spreadsheetDrawing" xmlns:a="http://schemas.openxmlformats.org/drawingml/2006/main">
  <xdr:twoCellAnchor>
    <xdr:from>
      <xdr:col>9</xdr:col>
      <xdr:colOff>19050</xdr:colOff>
      <xdr:row>30</xdr:row>
      <xdr:rowOff>57150</xdr:rowOff>
    </xdr:from>
    <xdr:to>
      <xdr:col>16</xdr:col>
      <xdr:colOff>9525</xdr:colOff>
      <xdr:row>49</xdr:row>
      <xdr:rowOff>57150</xdr:rowOff>
    </xdr:to>
    <xdr:graphicFrame macro="">
      <xdr:nvGraphicFramePr>
        <xdr:cNvPr id="63395772" name="Chart 2">
          <a:extLst>
            <a:ext uri="{FF2B5EF4-FFF2-40B4-BE49-F238E27FC236}">
              <a16:creationId xmlns:a16="http://schemas.microsoft.com/office/drawing/2014/main" id="{00000000-0008-0000-5000-0000BC57C7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7.xml><?xml version="1.0" encoding="utf-8"?>
<xdr:wsDr xmlns:xdr="http://schemas.openxmlformats.org/drawingml/2006/spreadsheetDrawing" xmlns:a="http://schemas.openxmlformats.org/drawingml/2006/main">
  <xdr:twoCellAnchor>
    <xdr:from>
      <xdr:col>9</xdr:col>
      <xdr:colOff>19050</xdr:colOff>
      <xdr:row>30</xdr:row>
      <xdr:rowOff>47625</xdr:rowOff>
    </xdr:from>
    <xdr:to>
      <xdr:col>16</xdr:col>
      <xdr:colOff>9525</xdr:colOff>
      <xdr:row>49</xdr:row>
      <xdr:rowOff>57150</xdr:rowOff>
    </xdr:to>
    <xdr:graphicFrame macro="">
      <xdr:nvGraphicFramePr>
        <xdr:cNvPr id="63427517" name="Chart 2">
          <a:extLst>
            <a:ext uri="{FF2B5EF4-FFF2-40B4-BE49-F238E27FC236}">
              <a16:creationId xmlns:a16="http://schemas.microsoft.com/office/drawing/2014/main" id="{00000000-0008-0000-5D00-0000BDD3C7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8.xml><?xml version="1.0" encoding="utf-8"?>
<xdr:wsDr xmlns:xdr="http://schemas.openxmlformats.org/drawingml/2006/spreadsheetDrawing" xmlns:a="http://schemas.openxmlformats.org/drawingml/2006/main">
  <xdr:twoCellAnchor>
    <xdr:from>
      <xdr:col>9</xdr:col>
      <xdr:colOff>19050</xdr:colOff>
      <xdr:row>30</xdr:row>
      <xdr:rowOff>57150</xdr:rowOff>
    </xdr:from>
    <xdr:to>
      <xdr:col>16</xdr:col>
      <xdr:colOff>9525</xdr:colOff>
      <xdr:row>49</xdr:row>
      <xdr:rowOff>57150</xdr:rowOff>
    </xdr:to>
    <xdr:graphicFrame macro="">
      <xdr:nvGraphicFramePr>
        <xdr:cNvPr id="63401916" name="Chart 2">
          <a:extLst>
            <a:ext uri="{FF2B5EF4-FFF2-40B4-BE49-F238E27FC236}">
              <a16:creationId xmlns:a16="http://schemas.microsoft.com/office/drawing/2014/main" id="{00000000-0008-0000-5100-0000BC6FC7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9.xml><?xml version="1.0" encoding="utf-8"?>
<xdr:wsDr xmlns:xdr="http://schemas.openxmlformats.org/drawingml/2006/spreadsheetDrawing" xmlns:a="http://schemas.openxmlformats.org/drawingml/2006/main">
  <xdr:twoCellAnchor>
    <xdr:from>
      <xdr:col>9</xdr:col>
      <xdr:colOff>7844</xdr:colOff>
      <xdr:row>30</xdr:row>
      <xdr:rowOff>68355</xdr:rowOff>
    </xdr:from>
    <xdr:to>
      <xdr:col>15</xdr:col>
      <xdr:colOff>670672</xdr:colOff>
      <xdr:row>49</xdr:row>
      <xdr:rowOff>68355</xdr:rowOff>
    </xdr:to>
    <xdr:graphicFrame macro="">
      <xdr:nvGraphicFramePr>
        <xdr:cNvPr id="63795090" name="Chart 2">
          <a:extLst>
            <a:ext uri="{FF2B5EF4-FFF2-40B4-BE49-F238E27FC236}">
              <a16:creationId xmlns:a16="http://schemas.microsoft.com/office/drawing/2014/main" id="{00000000-0008-0000-5200-0000926FCD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8</xdr:col>
      <xdr:colOff>650359</xdr:colOff>
      <xdr:row>28</xdr:row>
      <xdr:rowOff>112527</xdr:rowOff>
    </xdr:from>
    <xdr:to>
      <xdr:col>15</xdr:col>
      <xdr:colOff>640833</xdr:colOff>
      <xdr:row>47</xdr:row>
      <xdr:rowOff>112527</xdr:rowOff>
    </xdr:to>
    <xdr:graphicFrame macro="">
      <xdr:nvGraphicFramePr>
        <xdr:cNvPr id="4" name="Chart 2">
          <a:extLst>
            <a:ext uri="{FF2B5EF4-FFF2-40B4-BE49-F238E27FC236}">
              <a16:creationId xmlns:a16="http://schemas.microsoft.com/office/drawing/2014/main" id="{00000000-0008-0000-08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0.xml><?xml version="1.0" encoding="utf-8"?>
<xdr:wsDr xmlns:xdr="http://schemas.openxmlformats.org/drawingml/2006/spreadsheetDrawing" xmlns:a="http://schemas.openxmlformats.org/drawingml/2006/main">
  <xdr:twoCellAnchor>
    <xdr:from>
      <xdr:col>9</xdr:col>
      <xdr:colOff>19050</xdr:colOff>
      <xdr:row>30</xdr:row>
      <xdr:rowOff>47625</xdr:rowOff>
    </xdr:from>
    <xdr:to>
      <xdr:col>16</xdr:col>
      <xdr:colOff>9525</xdr:colOff>
      <xdr:row>49</xdr:row>
      <xdr:rowOff>47625</xdr:rowOff>
    </xdr:to>
    <xdr:graphicFrame macro="">
      <xdr:nvGraphicFramePr>
        <xdr:cNvPr id="63798199" name="Chart 2">
          <a:extLst>
            <a:ext uri="{FF2B5EF4-FFF2-40B4-BE49-F238E27FC236}">
              <a16:creationId xmlns:a16="http://schemas.microsoft.com/office/drawing/2014/main" id="{00000000-0008-0000-5300-0000B77BCD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1.xml><?xml version="1.0" encoding="utf-8"?>
<xdr:wsDr xmlns:xdr="http://schemas.openxmlformats.org/drawingml/2006/spreadsheetDrawing" xmlns:a="http://schemas.openxmlformats.org/drawingml/2006/main">
  <xdr:twoCellAnchor>
    <xdr:from>
      <xdr:col>9</xdr:col>
      <xdr:colOff>19050</xdr:colOff>
      <xdr:row>30</xdr:row>
      <xdr:rowOff>57150</xdr:rowOff>
    </xdr:from>
    <xdr:to>
      <xdr:col>16</xdr:col>
      <xdr:colOff>9525</xdr:colOff>
      <xdr:row>49</xdr:row>
      <xdr:rowOff>57150</xdr:rowOff>
    </xdr:to>
    <xdr:graphicFrame macro="">
      <xdr:nvGraphicFramePr>
        <xdr:cNvPr id="63804344" name="Chart 2">
          <a:extLst>
            <a:ext uri="{FF2B5EF4-FFF2-40B4-BE49-F238E27FC236}">
              <a16:creationId xmlns:a16="http://schemas.microsoft.com/office/drawing/2014/main" id="{00000000-0008-0000-5400-0000B893CD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2.xml><?xml version="1.0" encoding="utf-8"?>
<xdr:wsDr xmlns:xdr="http://schemas.openxmlformats.org/drawingml/2006/spreadsheetDrawing" xmlns:a="http://schemas.openxmlformats.org/drawingml/2006/main">
  <xdr:twoCellAnchor>
    <xdr:from>
      <xdr:col>9</xdr:col>
      <xdr:colOff>38100</xdr:colOff>
      <xdr:row>28</xdr:row>
      <xdr:rowOff>66675</xdr:rowOff>
    </xdr:from>
    <xdr:to>
      <xdr:col>16</xdr:col>
      <xdr:colOff>28575</xdr:colOff>
      <xdr:row>47</xdr:row>
      <xdr:rowOff>57150</xdr:rowOff>
    </xdr:to>
    <xdr:graphicFrame macro="">
      <xdr:nvGraphicFramePr>
        <xdr:cNvPr id="63419324" name="Chart 2">
          <a:extLst>
            <a:ext uri="{FF2B5EF4-FFF2-40B4-BE49-F238E27FC236}">
              <a16:creationId xmlns:a16="http://schemas.microsoft.com/office/drawing/2014/main" id="{00000000-0008-0000-5600-0000BCB3C7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3.xml><?xml version="1.0" encoding="utf-8"?>
<xdr:wsDr xmlns:xdr="http://schemas.openxmlformats.org/drawingml/2006/spreadsheetDrawing" xmlns:a="http://schemas.openxmlformats.org/drawingml/2006/main">
  <xdr:twoCellAnchor>
    <xdr:from>
      <xdr:col>9</xdr:col>
      <xdr:colOff>47625</xdr:colOff>
      <xdr:row>30</xdr:row>
      <xdr:rowOff>57150</xdr:rowOff>
    </xdr:from>
    <xdr:to>
      <xdr:col>16</xdr:col>
      <xdr:colOff>38100</xdr:colOff>
      <xdr:row>49</xdr:row>
      <xdr:rowOff>76200</xdr:rowOff>
    </xdr:to>
    <xdr:graphicFrame macro="">
      <xdr:nvGraphicFramePr>
        <xdr:cNvPr id="63840184" name="Chart 2">
          <a:extLst>
            <a:ext uri="{FF2B5EF4-FFF2-40B4-BE49-F238E27FC236}">
              <a16:creationId xmlns:a16="http://schemas.microsoft.com/office/drawing/2014/main" id="{00000000-0008-0000-5700-0000B81FCE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4.xml><?xml version="1.0" encoding="utf-8"?>
<xdr:wsDr xmlns:xdr="http://schemas.openxmlformats.org/drawingml/2006/spreadsheetDrawing" xmlns:a="http://schemas.openxmlformats.org/drawingml/2006/main">
  <xdr:twoCellAnchor>
    <xdr:from>
      <xdr:col>9</xdr:col>
      <xdr:colOff>19050</xdr:colOff>
      <xdr:row>30</xdr:row>
      <xdr:rowOff>66675</xdr:rowOff>
    </xdr:from>
    <xdr:to>
      <xdr:col>16</xdr:col>
      <xdr:colOff>9525</xdr:colOff>
      <xdr:row>49</xdr:row>
      <xdr:rowOff>57150</xdr:rowOff>
    </xdr:to>
    <xdr:graphicFrame macro="">
      <xdr:nvGraphicFramePr>
        <xdr:cNvPr id="63424445" name="Chart 2">
          <a:extLst>
            <a:ext uri="{FF2B5EF4-FFF2-40B4-BE49-F238E27FC236}">
              <a16:creationId xmlns:a16="http://schemas.microsoft.com/office/drawing/2014/main" id="{00000000-0008-0000-5900-0000BDC7C7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5.xml><?xml version="1.0" encoding="utf-8"?>
<xdr:wsDr xmlns:xdr="http://schemas.openxmlformats.org/drawingml/2006/spreadsheetDrawing" xmlns:a="http://schemas.openxmlformats.org/drawingml/2006/main">
  <xdr:twoCellAnchor>
    <xdr:from>
      <xdr:col>8</xdr:col>
      <xdr:colOff>664633</xdr:colOff>
      <xdr:row>37</xdr:row>
      <xdr:rowOff>35983</xdr:rowOff>
    </xdr:from>
    <xdr:to>
      <xdr:col>15</xdr:col>
      <xdr:colOff>655108</xdr:colOff>
      <xdr:row>56</xdr:row>
      <xdr:rowOff>35983</xdr:rowOff>
    </xdr:to>
    <xdr:graphicFrame macro="">
      <xdr:nvGraphicFramePr>
        <xdr:cNvPr id="3" name="Chart 2">
          <a:extLst>
            <a:ext uri="{FF2B5EF4-FFF2-40B4-BE49-F238E27FC236}">
              <a16:creationId xmlns:a16="http://schemas.microsoft.com/office/drawing/2014/main" id="{00000000-0008-0000-5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6.xml><?xml version="1.0" encoding="utf-8"?>
<xdr:wsDr xmlns:xdr="http://schemas.openxmlformats.org/drawingml/2006/spreadsheetDrawing" xmlns:a="http://schemas.openxmlformats.org/drawingml/2006/main">
  <xdr:twoCellAnchor>
    <xdr:from>
      <xdr:col>9</xdr:col>
      <xdr:colOff>19050</xdr:colOff>
      <xdr:row>30</xdr:row>
      <xdr:rowOff>57150</xdr:rowOff>
    </xdr:from>
    <xdr:to>
      <xdr:col>16</xdr:col>
      <xdr:colOff>9525</xdr:colOff>
      <xdr:row>49</xdr:row>
      <xdr:rowOff>57150</xdr:rowOff>
    </xdr:to>
    <xdr:graphicFrame macro="">
      <xdr:nvGraphicFramePr>
        <xdr:cNvPr id="3" name="Chart 2">
          <a:extLst>
            <a:ext uri="{FF2B5EF4-FFF2-40B4-BE49-F238E27FC236}">
              <a16:creationId xmlns:a16="http://schemas.microsoft.com/office/drawing/2014/main" id="{00000000-0008-0000-5B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7.xml><?xml version="1.0" encoding="utf-8"?>
<xdr:wsDr xmlns:xdr="http://schemas.openxmlformats.org/drawingml/2006/spreadsheetDrawing" xmlns:a="http://schemas.openxmlformats.org/drawingml/2006/main">
  <xdr:twoCellAnchor>
    <xdr:from>
      <xdr:col>9</xdr:col>
      <xdr:colOff>333375</xdr:colOff>
      <xdr:row>29</xdr:row>
      <xdr:rowOff>57150</xdr:rowOff>
    </xdr:from>
    <xdr:to>
      <xdr:col>15</xdr:col>
      <xdr:colOff>495300</xdr:colOff>
      <xdr:row>47</xdr:row>
      <xdr:rowOff>38100</xdr:rowOff>
    </xdr:to>
    <xdr:graphicFrame macro="">
      <xdr:nvGraphicFramePr>
        <xdr:cNvPr id="2" name="Chart 1">
          <a:extLst>
            <a:ext uri="{FF2B5EF4-FFF2-40B4-BE49-F238E27FC236}">
              <a16:creationId xmlns:a16="http://schemas.microsoft.com/office/drawing/2014/main" id="{00000000-0008-0000-5C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8.xml><?xml version="1.0" encoding="utf-8"?>
<xdr:wsDr xmlns:xdr="http://schemas.openxmlformats.org/drawingml/2006/spreadsheetDrawing" xmlns:a="http://schemas.openxmlformats.org/drawingml/2006/main">
  <xdr:twoCellAnchor>
    <xdr:from>
      <xdr:col>9</xdr:col>
      <xdr:colOff>19050</xdr:colOff>
      <xdr:row>28</xdr:row>
      <xdr:rowOff>57150</xdr:rowOff>
    </xdr:from>
    <xdr:to>
      <xdr:col>16</xdr:col>
      <xdr:colOff>9525</xdr:colOff>
      <xdr:row>47</xdr:row>
      <xdr:rowOff>57150</xdr:rowOff>
    </xdr:to>
    <xdr:graphicFrame macro="">
      <xdr:nvGraphicFramePr>
        <xdr:cNvPr id="3" name="Chart 2">
          <a:extLst>
            <a:ext uri="{FF2B5EF4-FFF2-40B4-BE49-F238E27FC236}">
              <a16:creationId xmlns:a16="http://schemas.microsoft.com/office/drawing/2014/main" id="{00000000-0008-0000-5E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9.xml><?xml version="1.0" encoding="utf-8"?>
<xdr:wsDr xmlns:xdr="http://schemas.openxmlformats.org/drawingml/2006/spreadsheetDrawing" xmlns:a="http://schemas.openxmlformats.org/drawingml/2006/main">
  <xdr:twoCellAnchor>
    <xdr:from>
      <xdr:col>9</xdr:col>
      <xdr:colOff>19050</xdr:colOff>
      <xdr:row>30</xdr:row>
      <xdr:rowOff>57150</xdr:rowOff>
    </xdr:from>
    <xdr:to>
      <xdr:col>16</xdr:col>
      <xdr:colOff>9525</xdr:colOff>
      <xdr:row>49</xdr:row>
      <xdr:rowOff>57150</xdr:rowOff>
    </xdr:to>
    <xdr:graphicFrame macro="">
      <xdr:nvGraphicFramePr>
        <xdr:cNvPr id="3" name="Chart 2">
          <a:extLst>
            <a:ext uri="{FF2B5EF4-FFF2-40B4-BE49-F238E27FC236}">
              <a16:creationId xmlns:a16="http://schemas.microsoft.com/office/drawing/2014/main" id="{00000000-0008-0000-5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8</xdr:col>
      <xdr:colOff>568139</xdr:colOff>
      <xdr:row>28</xdr:row>
      <xdr:rowOff>101974</xdr:rowOff>
    </xdr:from>
    <xdr:to>
      <xdr:col>15</xdr:col>
      <xdr:colOff>558614</xdr:colOff>
      <xdr:row>47</xdr:row>
      <xdr:rowOff>101974</xdr:rowOff>
    </xdr:to>
    <xdr:graphicFrame macro="">
      <xdr:nvGraphicFramePr>
        <xdr:cNvPr id="63594355" name="Chart 2">
          <a:extLst>
            <a:ext uri="{FF2B5EF4-FFF2-40B4-BE49-F238E27FC236}">
              <a16:creationId xmlns:a16="http://schemas.microsoft.com/office/drawing/2014/main" id="{00000000-0008-0000-0900-0000735FCA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0.xml><?xml version="1.0" encoding="utf-8"?>
<xdr:wsDr xmlns:xdr="http://schemas.openxmlformats.org/drawingml/2006/spreadsheetDrawing" xmlns:a="http://schemas.openxmlformats.org/drawingml/2006/main">
  <xdr:twoCellAnchor>
    <xdr:from>
      <xdr:col>9</xdr:col>
      <xdr:colOff>19050</xdr:colOff>
      <xdr:row>30</xdr:row>
      <xdr:rowOff>57150</xdr:rowOff>
    </xdr:from>
    <xdr:to>
      <xdr:col>16</xdr:col>
      <xdr:colOff>9525</xdr:colOff>
      <xdr:row>49</xdr:row>
      <xdr:rowOff>57150</xdr:rowOff>
    </xdr:to>
    <xdr:graphicFrame macro="">
      <xdr:nvGraphicFramePr>
        <xdr:cNvPr id="63831992" name="Chart 2">
          <a:extLst>
            <a:ext uri="{FF2B5EF4-FFF2-40B4-BE49-F238E27FC236}">
              <a16:creationId xmlns:a16="http://schemas.microsoft.com/office/drawing/2014/main" id="{00000000-0008-0000-6000-0000B8FFCD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1.xml><?xml version="1.0" encoding="utf-8"?>
<xdr:wsDr xmlns:xdr="http://schemas.openxmlformats.org/drawingml/2006/spreadsheetDrawing" xmlns:a="http://schemas.openxmlformats.org/drawingml/2006/main">
  <xdr:twoCellAnchor>
    <xdr:from>
      <xdr:col>9</xdr:col>
      <xdr:colOff>19050</xdr:colOff>
      <xdr:row>30</xdr:row>
      <xdr:rowOff>57150</xdr:rowOff>
    </xdr:from>
    <xdr:to>
      <xdr:col>16</xdr:col>
      <xdr:colOff>9525</xdr:colOff>
      <xdr:row>49</xdr:row>
      <xdr:rowOff>57150</xdr:rowOff>
    </xdr:to>
    <xdr:graphicFrame macro="">
      <xdr:nvGraphicFramePr>
        <xdr:cNvPr id="63438780" name="Chart 2">
          <a:extLst>
            <a:ext uri="{FF2B5EF4-FFF2-40B4-BE49-F238E27FC236}">
              <a16:creationId xmlns:a16="http://schemas.microsoft.com/office/drawing/2014/main" id="{00000000-0008-0000-6100-0000BCFFC7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2.xml><?xml version="1.0" encoding="utf-8"?>
<xdr:wsDr xmlns:xdr="http://schemas.openxmlformats.org/drawingml/2006/spreadsheetDrawing" xmlns:a="http://schemas.openxmlformats.org/drawingml/2006/main">
  <xdr:twoCellAnchor>
    <xdr:from>
      <xdr:col>9</xdr:col>
      <xdr:colOff>19050</xdr:colOff>
      <xdr:row>30</xdr:row>
      <xdr:rowOff>47625</xdr:rowOff>
    </xdr:from>
    <xdr:to>
      <xdr:col>16</xdr:col>
      <xdr:colOff>9525</xdr:colOff>
      <xdr:row>49</xdr:row>
      <xdr:rowOff>47625</xdr:rowOff>
    </xdr:to>
    <xdr:graphicFrame macro="">
      <xdr:nvGraphicFramePr>
        <xdr:cNvPr id="63843256" name="Chart 2">
          <a:extLst>
            <a:ext uri="{FF2B5EF4-FFF2-40B4-BE49-F238E27FC236}">
              <a16:creationId xmlns:a16="http://schemas.microsoft.com/office/drawing/2014/main" id="{00000000-0008-0000-6200-0000B82BCE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3.xml><?xml version="1.0" encoding="utf-8"?>
<xdr:wsDr xmlns:xdr="http://schemas.openxmlformats.org/drawingml/2006/spreadsheetDrawing" xmlns:a="http://schemas.openxmlformats.org/drawingml/2006/main">
  <xdr:twoCellAnchor>
    <xdr:from>
      <xdr:col>9</xdr:col>
      <xdr:colOff>47625</xdr:colOff>
      <xdr:row>30</xdr:row>
      <xdr:rowOff>57150</xdr:rowOff>
    </xdr:from>
    <xdr:to>
      <xdr:col>16</xdr:col>
      <xdr:colOff>38100</xdr:colOff>
      <xdr:row>49</xdr:row>
      <xdr:rowOff>76200</xdr:rowOff>
    </xdr:to>
    <xdr:graphicFrame macro="">
      <xdr:nvGraphicFramePr>
        <xdr:cNvPr id="63846329" name="Chart 2">
          <a:extLst>
            <a:ext uri="{FF2B5EF4-FFF2-40B4-BE49-F238E27FC236}">
              <a16:creationId xmlns:a16="http://schemas.microsoft.com/office/drawing/2014/main" id="{00000000-0008-0000-6300-0000B937CE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4.xml><?xml version="1.0" encoding="utf-8"?>
<xdr:wsDr xmlns:xdr="http://schemas.openxmlformats.org/drawingml/2006/spreadsheetDrawing" xmlns:a="http://schemas.openxmlformats.org/drawingml/2006/main">
  <xdr:twoCellAnchor>
    <xdr:from>
      <xdr:col>9</xdr:col>
      <xdr:colOff>61383</xdr:colOff>
      <xdr:row>28</xdr:row>
      <xdr:rowOff>78316</xdr:rowOff>
    </xdr:from>
    <xdr:to>
      <xdr:col>16</xdr:col>
      <xdr:colOff>51858</xdr:colOff>
      <xdr:row>47</xdr:row>
      <xdr:rowOff>78316</xdr:rowOff>
    </xdr:to>
    <xdr:graphicFrame macro="">
      <xdr:nvGraphicFramePr>
        <xdr:cNvPr id="63849400" name="Chart 2">
          <a:extLst>
            <a:ext uri="{FF2B5EF4-FFF2-40B4-BE49-F238E27FC236}">
              <a16:creationId xmlns:a16="http://schemas.microsoft.com/office/drawing/2014/main" id="{00000000-0008-0000-6500-0000B843CE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5.xml><?xml version="1.0" encoding="utf-8"?>
<xdr:wsDr xmlns:xdr="http://schemas.openxmlformats.org/drawingml/2006/spreadsheetDrawing" xmlns:a="http://schemas.openxmlformats.org/drawingml/2006/main">
  <xdr:twoCellAnchor>
    <xdr:from>
      <xdr:col>9</xdr:col>
      <xdr:colOff>19050</xdr:colOff>
      <xdr:row>30</xdr:row>
      <xdr:rowOff>66675</xdr:rowOff>
    </xdr:from>
    <xdr:to>
      <xdr:col>16</xdr:col>
      <xdr:colOff>9525</xdr:colOff>
      <xdr:row>49</xdr:row>
      <xdr:rowOff>57150</xdr:rowOff>
    </xdr:to>
    <xdr:graphicFrame macro="">
      <xdr:nvGraphicFramePr>
        <xdr:cNvPr id="63852472" name="Chart 2">
          <a:extLst>
            <a:ext uri="{FF2B5EF4-FFF2-40B4-BE49-F238E27FC236}">
              <a16:creationId xmlns:a16="http://schemas.microsoft.com/office/drawing/2014/main" id="{00000000-0008-0000-6600-0000B84FCE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6.xml><?xml version="1.0" encoding="utf-8"?>
<xdr:wsDr xmlns:xdr="http://schemas.openxmlformats.org/drawingml/2006/spreadsheetDrawing" xmlns:a="http://schemas.openxmlformats.org/drawingml/2006/main">
  <xdr:twoCellAnchor>
    <xdr:from>
      <xdr:col>9</xdr:col>
      <xdr:colOff>9525</xdr:colOff>
      <xdr:row>29</xdr:row>
      <xdr:rowOff>47625</xdr:rowOff>
    </xdr:from>
    <xdr:to>
      <xdr:col>16</xdr:col>
      <xdr:colOff>0</xdr:colOff>
      <xdr:row>48</xdr:row>
      <xdr:rowOff>47625</xdr:rowOff>
    </xdr:to>
    <xdr:graphicFrame macro="">
      <xdr:nvGraphicFramePr>
        <xdr:cNvPr id="8928358" name="Chart 2">
          <a:extLst>
            <a:ext uri="{FF2B5EF4-FFF2-40B4-BE49-F238E27FC236}">
              <a16:creationId xmlns:a16="http://schemas.microsoft.com/office/drawing/2014/main" id="{00000000-0008-0000-6800-0000663C88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7.xml><?xml version="1.0" encoding="utf-8"?>
<xdr:wsDr xmlns:xdr="http://schemas.openxmlformats.org/drawingml/2006/spreadsheetDrawing" xmlns:a="http://schemas.openxmlformats.org/drawingml/2006/main">
  <xdr:twoCellAnchor>
    <xdr:from>
      <xdr:col>8</xdr:col>
      <xdr:colOff>676275</xdr:colOff>
      <xdr:row>28</xdr:row>
      <xdr:rowOff>85725</xdr:rowOff>
    </xdr:from>
    <xdr:to>
      <xdr:col>15</xdr:col>
      <xdr:colOff>666750</xdr:colOff>
      <xdr:row>47</xdr:row>
      <xdr:rowOff>85725</xdr:rowOff>
    </xdr:to>
    <xdr:graphicFrame macro="">
      <xdr:nvGraphicFramePr>
        <xdr:cNvPr id="8931429" name="Chart 2">
          <a:extLst>
            <a:ext uri="{FF2B5EF4-FFF2-40B4-BE49-F238E27FC236}">
              <a16:creationId xmlns:a16="http://schemas.microsoft.com/office/drawing/2014/main" id="{00000000-0008-0000-6900-0000654888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8.xml><?xml version="1.0" encoding="utf-8"?>
<xdr:wsDr xmlns:xdr="http://schemas.openxmlformats.org/drawingml/2006/spreadsheetDrawing" xmlns:a="http://schemas.openxmlformats.org/drawingml/2006/main">
  <xdr:twoCellAnchor>
    <xdr:from>
      <xdr:col>9</xdr:col>
      <xdr:colOff>19050</xdr:colOff>
      <xdr:row>28</xdr:row>
      <xdr:rowOff>76200</xdr:rowOff>
    </xdr:from>
    <xdr:to>
      <xdr:col>16</xdr:col>
      <xdr:colOff>9525</xdr:colOff>
      <xdr:row>47</xdr:row>
      <xdr:rowOff>76200</xdr:rowOff>
    </xdr:to>
    <xdr:graphicFrame macro="">
      <xdr:nvGraphicFramePr>
        <xdr:cNvPr id="3" name="Chart 2">
          <a:extLst>
            <a:ext uri="{FF2B5EF4-FFF2-40B4-BE49-F238E27FC236}">
              <a16:creationId xmlns:a16="http://schemas.microsoft.com/office/drawing/2014/main" id="{00000000-0008-0000-6B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9.xml><?xml version="1.0" encoding="utf-8"?>
<xdr:wsDr xmlns:xdr="http://schemas.openxmlformats.org/drawingml/2006/spreadsheetDrawing" xmlns:a="http://schemas.openxmlformats.org/drawingml/2006/main">
  <xdr:twoCellAnchor>
    <xdr:from>
      <xdr:col>9</xdr:col>
      <xdr:colOff>38100</xdr:colOff>
      <xdr:row>28</xdr:row>
      <xdr:rowOff>104775</xdr:rowOff>
    </xdr:from>
    <xdr:to>
      <xdr:col>16</xdr:col>
      <xdr:colOff>28575</xdr:colOff>
      <xdr:row>47</xdr:row>
      <xdr:rowOff>104775</xdr:rowOff>
    </xdr:to>
    <xdr:graphicFrame macro="">
      <xdr:nvGraphicFramePr>
        <xdr:cNvPr id="8937568" name="Chart 2">
          <a:extLst>
            <a:ext uri="{FF2B5EF4-FFF2-40B4-BE49-F238E27FC236}">
              <a16:creationId xmlns:a16="http://schemas.microsoft.com/office/drawing/2014/main" id="{00000000-0008-0000-6C00-0000606088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MAXI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XIS"/>
    </sheetNames>
    <sheetDataSet>
      <sheetData sheetId="0" refreshError="1"/>
    </sheetDataSet>
  </externalBook>
</externalLink>
</file>

<file path=xl/theme/theme1.xml><?xml version="1.0" encoding="utf-8"?>
<a:theme xmlns:a="http://schemas.openxmlformats.org/drawingml/2006/main" name="New Street Research">
  <a:themeElements>
    <a:clrScheme name="New Street Research Colours">
      <a:dk1>
        <a:sysClr val="windowText" lastClr="000000"/>
      </a:dk1>
      <a:lt1>
        <a:sysClr val="window" lastClr="FFFFFF"/>
      </a:lt1>
      <a:dk2>
        <a:srgbClr val="38464F"/>
      </a:dk2>
      <a:lt2>
        <a:srgbClr val="263238"/>
      </a:lt2>
      <a:accent1>
        <a:srgbClr val="C7FE02"/>
      </a:accent1>
      <a:accent2>
        <a:srgbClr val="E3F982"/>
      </a:accent2>
      <a:accent3>
        <a:srgbClr val="F9663E"/>
      </a:accent3>
      <a:accent4>
        <a:srgbClr val="F19375"/>
      </a:accent4>
      <a:accent5>
        <a:srgbClr val="00C994"/>
      </a:accent5>
      <a:accent6>
        <a:srgbClr val="80D4C1"/>
      </a:accent6>
      <a:hlink>
        <a:srgbClr val="0563C1"/>
      </a:hlink>
      <a:folHlink>
        <a:srgbClr val="954F72"/>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a:solidFill>
          <a:schemeClr val="tx1"/>
        </a:solidFill>
        <a:ln>
          <a:noFill/>
        </a:ln>
      </a:spPr>
      <a:bodyPr rtlCol="0" anchor="ctr"/>
      <a:lstStyle>
        <a:defPPr algn="ctr">
          <a:defRPr/>
        </a:defPPr>
      </a:lstStyle>
      <a:style>
        <a:lnRef idx="2">
          <a:schemeClr val="accent1">
            <a:shade val="50000"/>
          </a:schemeClr>
        </a:lnRef>
        <a:fillRef idx="1">
          <a:schemeClr val="accent1"/>
        </a:fillRef>
        <a:effectRef idx="0">
          <a:schemeClr val="accent1"/>
        </a:effectRef>
        <a:fontRef idx="minor">
          <a:schemeClr val="lt1"/>
        </a:fontRef>
      </a:style>
    </a:spDef>
  </a:objectDefaults>
  <a:extraClrSchemeLst/>
  <a:extLst>
    <a:ext uri="{05A4C25C-085E-4340-85A3-A5531E510DB2}">
      <thm15:themeFamily xmlns:thm15="http://schemas.microsoft.com/office/thememl/2012/main" name="New Street Research" id="{8C27A2A4-9FF4-435C-9C93-C5F34403D250}" vid="{90E13F94-FF82-4402-86B3-2E8E28C59F2E}"/>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2" Type="http://schemas.openxmlformats.org/officeDocument/2006/relationships/drawing" Target="../drawings/drawing98.xml"/><Relationship Id="rId1" Type="http://schemas.openxmlformats.org/officeDocument/2006/relationships/printerSettings" Target="../printerSettings/printerSettings99.bin"/></Relationships>
</file>

<file path=xl/worksheets/_rels/sheet101.xml.rels><?xml version="1.0" encoding="UTF-8" standalone="yes"?>
<Relationships xmlns="http://schemas.openxmlformats.org/package/2006/relationships"><Relationship Id="rId2" Type="http://schemas.openxmlformats.org/officeDocument/2006/relationships/drawing" Target="../drawings/drawing99.xml"/><Relationship Id="rId1" Type="http://schemas.openxmlformats.org/officeDocument/2006/relationships/printerSettings" Target="../printerSettings/printerSettings100.bin"/></Relationships>
</file>

<file path=xl/worksheets/_rels/sheet102.xml.rels><?xml version="1.0" encoding="UTF-8" standalone="yes"?>
<Relationships xmlns="http://schemas.openxmlformats.org/package/2006/relationships"><Relationship Id="rId2" Type="http://schemas.openxmlformats.org/officeDocument/2006/relationships/drawing" Target="../drawings/drawing100.xml"/><Relationship Id="rId1" Type="http://schemas.openxmlformats.org/officeDocument/2006/relationships/printerSettings" Target="../printerSettings/printerSettings101.bin"/></Relationships>
</file>

<file path=xl/worksheets/_rels/sheet103.xml.rels><?xml version="1.0" encoding="UTF-8" standalone="yes"?>
<Relationships xmlns="http://schemas.openxmlformats.org/package/2006/relationships"><Relationship Id="rId2" Type="http://schemas.openxmlformats.org/officeDocument/2006/relationships/drawing" Target="../drawings/drawing101.xml"/><Relationship Id="rId1" Type="http://schemas.openxmlformats.org/officeDocument/2006/relationships/printerSettings" Target="../printerSettings/printerSettings102.bin"/></Relationships>
</file>

<file path=xl/worksheets/_rels/sheet104.xml.rels><?xml version="1.0" encoding="UTF-8" standalone="yes"?>
<Relationships xmlns="http://schemas.openxmlformats.org/package/2006/relationships"><Relationship Id="rId2" Type="http://schemas.openxmlformats.org/officeDocument/2006/relationships/drawing" Target="../drawings/drawing102.xml"/><Relationship Id="rId1" Type="http://schemas.openxmlformats.org/officeDocument/2006/relationships/printerSettings" Target="../printerSettings/printerSettings103.bin"/></Relationships>
</file>

<file path=xl/worksheets/_rels/sheet105.xml.rels><?xml version="1.0" encoding="UTF-8" standalone="yes"?>
<Relationships xmlns="http://schemas.openxmlformats.org/package/2006/relationships"><Relationship Id="rId2" Type="http://schemas.openxmlformats.org/officeDocument/2006/relationships/drawing" Target="../drawings/drawing103.xml"/><Relationship Id="rId1" Type="http://schemas.openxmlformats.org/officeDocument/2006/relationships/printerSettings" Target="../printerSettings/printerSettings104.bin"/></Relationships>
</file>

<file path=xl/worksheets/_rels/sheet106.xml.rels><?xml version="1.0" encoding="UTF-8" standalone="yes"?>
<Relationships xmlns="http://schemas.openxmlformats.org/package/2006/relationships"><Relationship Id="rId2" Type="http://schemas.openxmlformats.org/officeDocument/2006/relationships/drawing" Target="../drawings/drawing104.xml"/><Relationship Id="rId1" Type="http://schemas.openxmlformats.org/officeDocument/2006/relationships/printerSettings" Target="../printerSettings/printerSettings105.bin"/></Relationships>
</file>

<file path=xl/worksheets/_rels/sheet107.xml.rels><?xml version="1.0" encoding="UTF-8" standalone="yes"?>
<Relationships xmlns="http://schemas.openxmlformats.org/package/2006/relationships"><Relationship Id="rId2" Type="http://schemas.openxmlformats.org/officeDocument/2006/relationships/drawing" Target="../drawings/drawing105.xml"/><Relationship Id="rId1" Type="http://schemas.openxmlformats.org/officeDocument/2006/relationships/printerSettings" Target="../printerSettings/printerSettings106.bin"/></Relationships>
</file>

<file path=xl/worksheets/_rels/sheet108.xml.rels><?xml version="1.0" encoding="UTF-8" standalone="yes"?>
<Relationships xmlns="http://schemas.openxmlformats.org/package/2006/relationships"><Relationship Id="rId2" Type="http://schemas.openxmlformats.org/officeDocument/2006/relationships/drawing" Target="../drawings/drawing106.xml"/><Relationship Id="rId1" Type="http://schemas.openxmlformats.org/officeDocument/2006/relationships/printerSettings" Target="../printerSettings/printerSettings107.bin"/></Relationships>
</file>

<file path=xl/worksheets/_rels/sheet109.xml.rels><?xml version="1.0" encoding="UTF-8" standalone="yes"?>
<Relationships xmlns="http://schemas.openxmlformats.org/package/2006/relationships"><Relationship Id="rId2" Type="http://schemas.openxmlformats.org/officeDocument/2006/relationships/drawing" Target="../drawings/drawing107.xml"/><Relationship Id="rId1" Type="http://schemas.openxmlformats.org/officeDocument/2006/relationships/printerSettings" Target="../printerSettings/printerSettings10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2" Type="http://schemas.openxmlformats.org/officeDocument/2006/relationships/drawing" Target="../drawings/drawing108.xml"/><Relationship Id="rId1" Type="http://schemas.openxmlformats.org/officeDocument/2006/relationships/printerSettings" Target="../printerSettings/printerSettings109.bin"/></Relationships>
</file>

<file path=xl/worksheets/_rels/sheet111.xml.rels><?xml version="1.0" encoding="UTF-8" standalone="yes"?>
<Relationships xmlns="http://schemas.openxmlformats.org/package/2006/relationships"><Relationship Id="rId2" Type="http://schemas.openxmlformats.org/officeDocument/2006/relationships/drawing" Target="../drawings/drawing109.xml"/><Relationship Id="rId1" Type="http://schemas.openxmlformats.org/officeDocument/2006/relationships/printerSettings" Target="../printerSettings/printerSettings110.bin"/></Relationships>
</file>

<file path=xl/worksheets/_rels/sheet112.xml.rels><?xml version="1.0" encoding="UTF-8" standalone="yes"?>
<Relationships xmlns="http://schemas.openxmlformats.org/package/2006/relationships"><Relationship Id="rId2" Type="http://schemas.openxmlformats.org/officeDocument/2006/relationships/drawing" Target="../drawings/drawing110.xml"/><Relationship Id="rId1" Type="http://schemas.openxmlformats.org/officeDocument/2006/relationships/printerSettings" Target="../printerSettings/printerSettings111.bin"/></Relationships>
</file>

<file path=xl/worksheets/_rels/sheet113.xml.rels><?xml version="1.0" encoding="UTF-8" standalone="yes"?>
<Relationships xmlns="http://schemas.openxmlformats.org/package/2006/relationships"><Relationship Id="rId2" Type="http://schemas.openxmlformats.org/officeDocument/2006/relationships/drawing" Target="../drawings/drawing111.xml"/><Relationship Id="rId1" Type="http://schemas.openxmlformats.org/officeDocument/2006/relationships/printerSettings" Target="../printerSettings/printerSettings112.bin"/></Relationships>
</file>

<file path=xl/worksheets/_rels/sheet114.xml.rels><?xml version="1.0" encoding="UTF-8" standalone="yes"?>
<Relationships xmlns="http://schemas.openxmlformats.org/package/2006/relationships"><Relationship Id="rId2" Type="http://schemas.openxmlformats.org/officeDocument/2006/relationships/drawing" Target="../drawings/drawing112.xml"/><Relationship Id="rId1" Type="http://schemas.openxmlformats.org/officeDocument/2006/relationships/printerSettings" Target="../printerSettings/printerSettings113.bin"/></Relationships>
</file>

<file path=xl/worksheets/_rels/sheet115.xml.rels><?xml version="1.0" encoding="UTF-8" standalone="yes"?>
<Relationships xmlns="http://schemas.openxmlformats.org/package/2006/relationships"><Relationship Id="rId2" Type="http://schemas.openxmlformats.org/officeDocument/2006/relationships/drawing" Target="../drawings/drawing113.xml"/><Relationship Id="rId1" Type="http://schemas.openxmlformats.org/officeDocument/2006/relationships/printerSettings" Target="../printerSettings/printerSettings114.bin"/></Relationships>
</file>

<file path=xl/worksheets/_rels/sheet116.xml.rels><?xml version="1.0" encoding="UTF-8" standalone="yes"?>
<Relationships xmlns="http://schemas.openxmlformats.org/package/2006/relationships"><Relationship Id="rId2" Type="http://schemas.openxmlformats.org/officeDocument/2006/relationships/drawing" Target="../drawings/drawing114.xml"/><Relationship Id="rId1" Type="http://schemas.openxmlformats.org/officeDocument/2006/relationships/printerSettings" Target="../printerSettings/printerSettings115.bin"/></Relationships>
</file>

<file path=xl/worksheets/_rels/sheet117.xml.rels><?xml version="1.0" encoding="UTF-8" standalone="yes"?>
<Relationships xmlns="http://schemas.openxmlformats.org/package/2006/relationships"><Relationship Id="rId2" Type="http://schemas.openxmlformats.org/officeDocument/2006/relationships/drawing" Target="../drawings/drawing115.xml"/><Relationship Id="rId1" Type="http://schemas.openxmlformats.org/officeDocument/2006/relationships/printerSettings" Target="../printerSettings/printerSettings116.bin"/></Relationships>
</file>

<file path=xl/worksheets/_rels/sheet118.xml.rels><?xml version="1.0" encoding="UTF-8" standalone="yes"?>
<Relationships xmlns="http://schemas.openxmlformats.org/package/2006/relationships"><Relationship Id="rId2" Type="http://schemas.openxmlformats.org/officeDocument/2006/relationships/drawing" Target="../drawings/drawing116.xml"/><Relationship Id="rId1" Type="http://schemas.openxmlformats.org/officeDocument/2006/relationships/printerSettings" Target="../printerSettings/printerSettings117.bin"/></Relationships>
</file>

<file path=xl/worksheets/_rels/sheet119.xml.rels><?xml version="1.0" encoding="UTF-8" standalone="yes"?>
<Relationships xmlns="http://schemas.openxmlformats.org/package/2006/relationships"><Relationship Id="rId2" Type="http://schemas.openxmlformats.org/officeDocument/2006/relationships/drawing" Target="../drawings/drawing117.xml"/><Relationship Id="rId1" Type="http://schemas.openxmlformats.org/officeDocument/2006/relationships/printerSettings" Target="../printerSettings/printerSettings118.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2" Type="http://schemas.openxmlformats.org/officeDocument/2006/relationships/drawing" Target="../drawings/drawing118.xml"/><Relationship Id="rId1" Type="http://schemas.openxmlformats.org/officeDocument/2006/relationships/printerSettings" Target="../printerSettings/printerSettings119.bin"/></Relationships>
</file>

<file path=xl/worksheets/_rels/sheet121.xml.rels><?xml version="1.0" encoding="UTF-8" standalone="yes"?>
<Relationships xmlns="http://schemas.openxmlformats.org/package/2006/relationships"><Relationship Id="rId2" Type="http://schemas.openxmlformats.org/officeDocument/2006/relationships/drawing" Target="../drawings/drawing119.xml"/><Relationship Id="rId1" Type="http://schemas.openxmlformats.org/officeDocument/2006/relationships/printerSettings" Target="../printerSettings/printerSettings120.bin"/></Relationships>
</file>

<file path=xl/worksheets/_rels/sheet122.xml.rels><?xml version="1.0" encoding="UTF-8" standalone="yes"?>
<Relationships xmlns="http://schemas.openxmlformats.org/package/2006/relationships"><Relationship Id="rId2" Type="http://schemas.openxmlformats.org/officeDocument/2006/relationships/drawing" Target="../drawings/drawing120.xml"/><Relationship Id="rId1" Type="http://schemas.openxmlformats.org/officeDocument/2006/relationships/printerSettings" Target="../printerSettings/printerSettings121.bin"/></Relationships>
</file>

<file path=xl/worksheets/_rels/sheet123.xml.rels><?xml version="1.0" encoding="UTF-8" standalone="yes"?>
<Relationships xmlns="http://schemas.openxmlformats.org/package/2006/relationships"><Relationship Id="rId2" Type="http://schemas.openxmlformats.org/officeDocument/2006/relationships/drawing" Target="../drawings/drawing121.xml"/><Relationship Id="rId1" Type="http://schemas.openxmlformats.org/officeDocument/2006/relationships/printerSettings" Target="../printerSettings/printerSettings122.bin"/></Relationships>
</file>

<file path=xl/worksheets/_rels/sheet124.xml.rels><?xml version="1.0" encoding="UTF-8" standalone="yes"?>
<Relationships xmlns="http://schemas.openxmlformats.org/package/2006/relationships"><Relationship Id="rId2" Type="http://schemas.openxmlformats.org/officeDocument/2006/relationships/drawing" Target="../drawings/drawing122.xml"/><Relationship Id="rId1" Type="http://schemas.openxmlformats.org/officeDocument/2006/relationships/printerSettings" Target="../printerSettings/printerSettings123.bin"/></Relationships>
</file>

<file path=xl/worksheets/_rels/sheet125.xml.rels><?xml version="1.0" encoding="UTF-8" standalone="yes"?>
<Relationships xmlns="http://schemas.openxmlformats.org/package/2006/relationships"><Relationship Id="rId2" Type="http://schemas.openxmlformats.org/officeDocument/2006/relationships/drawing" Target="../drawings/drawing123.xml"/><Relationship Id="rId1" Type="http://schemas.openxmlformats.org/officeDocument/2006/relationships/printerSettings" Target="../printerSettings/printerSettings124.bin"/></Relationships>
</file>

<file path=xl/worksheets/_rels/sheet126.xml.rels><?xml version="1.0" encoding="UTF-8" standalone="yes"?>
<Relationships xmlns="http://schemas.openxmlformats.org/package/2006/relationships"><Relationship Id="rId2" Type="http://schemas.openxmlformats.org/officeDocument/2006/relationships/drawing" Target="../drawings/drawing124.xml"/><Relationship Id="rId1" Type="http://schemas.openxmlformats.org/officeDocument/2006/relationships/printerSettings" Target="../printerSettings/printerSettings125.bin"/></Relationships>
</file>

<file path=xl/worksheets/_rels/sheet127.xml.rels><?xml version="1.0" encoding="UTF-8" standalone="yes"?>
<Relationships xmlns="http://schemas.openxmlformats.org/package/2006/relationships"><Relationship Id="rId2" Type="http://schemas.openxmlformats.org/officeDocument/2006/relationships/drawing" Target="../drawings/drawing125.xml"/><Relationship Id="rId1" Type="http://schemas.openxmlformats.org/officeDocument/2006/relationships/printerSettings" Target="../printerSettings/printerSettings126.bin"/></Relationships>
</file>

<file path=xl/worksheets/_rels/sheet128.xml.rels><?xml version="1.0" encoding="UTF-8" standalone="yes"?>
<Relationships xmlns="http://schemas.openxmlformats.org/package/2006/relationships"><Relationship Id="rId2" Type="http://schemas.openxmlformats.org/officeDocument/2006/relationships/drawing" Target="../drawings/drawing126.xml"/><Relationship Id="rId1" Type="http://schemas.openxmlformats.org/officeDocument/2006/relationships/printerSettings" Target="../printerSettings/printerSettings127.bin"/></Relationships>
</file>

<file path=xl/worksheets/_rels/sheet129.xml.rels><?xml version="1.0" encoding="UTF-8" standalone="yes"?>
<Relationships xmlns="http://schemas.openxmlformats.org/package/2006/relationships"><Relationship Id="rId2" Type="http://schemas.openxmlformats.org/officeDocument/2006/relationships/drawing" Target="../drawings/drawing127.xml"/><Relationship Id="rId1" Type="http://schemas.openxmlformats.org/officeDocument/2006/relationships/printerSettings" Target="../printerSettings/printerSettings128.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2" Type="http://schemas.openxmlformats.org/officeDocument/2006/relationships/drawing" Target="../drawings/drawing128.xml"/><Relationship Id="rId1" Type="http://schemas.openxmlformats.org/officeDocument/2006/relationships/printerSettings" Target="../printerSettings/printerSettings129.bin"/></Relationships>
</file>

<file path=xl/worksheets/_rels/sheet131.xml.rels><?xml version="1.0" encoding="UTF-8" standalone="yes"?>
<Relationships xmlns="http://schemas.openxmlformats.org/package/2006/relationships"><Relationship Id="rId2" Type="http://schemas.openxmlformats.org/officeDocument/2006/relationships/drawing" Target="../drawings/drawing129.xml"/><Relationship Id="rId1" Type="http://schemas.openxmlformats.org/officeDocument/2006/relationships/printerSettings" Target="../printerSettings/printerSettings130.bin"/></Relationships>
</file>

<file path=xl/worksheets/_rels/sheet132.xml.rels><?xml version="1.0" encoding="UTF-8" standalone="yes"?>
<Relationships xmlns="http://schemas.openxmlformats.org/package/2006/relationships"><Relationship Id="rId2" Type="http://schemas.openxmlformats.org/officeDocument/2006/relationships/drawing" Target="../drawings/drawing130.xml"/><Relationship Id="rId1" Type="http://schemas.openxmlformats.org/officeDocument/2006/relationships/printerSettings" Target="../printerSettings/printerSettings131.bin"/></Relationships>
</file>

<file path=xl/worksheets/_rels/sheet133.xml.rels><?xml version="1.0" encoding="UTF-8" standalone="yes"?>
<Relationships xmlns="http://schemas.openxmlformats.org/package/2006/relationships"><Relationship Id="rId1" Type="http://schemas.openxmlformats.org/officeDocument/2006/relationships/printerSettings" Target="../printerSettings/printerSettings132.bin"/></Relationships>
</file>

<file path=xl/worksheets/_rels/sheet134.xml.rels><?xml version="1.0" encoding="UTF-8" standalone="yes"?>
<Relationships xmlns="http://schemas.openxmlformats.org/package/2006/relationships"><Relationship Id="rId2" Type="http://schemas.openxmlformats.org/officeDocument/2006/relationships/drawing" Target="../drawings/drawing131.xml"/><Relationship Id="rId1" Type="http://schemas.openxmlformats.org/officeDocument/2006/relationships/printerSettings" Target="../printerSettings/printerSettings133.bin"/></Relationships>
</file>

<file path=xl/worksheets/_rels/sheet13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32.xml"/><Relationship Id="rId1" Type="http://schemas.openxmlformats.org/officeDocument/2006/relationships/printerSettings" Target="../printerSettings/printerSettings134.bin"/><Relationship Id="rId4" Type="http://schemas.openxmlformats.org/officeDocument/2006/relationships/comments" Target="../comments3.xml"/></Relationships>
</file>

<file path=xl/worksheets/_rels/sheet136.xml.rels><?xml version="1.0" encoding="UTF-8" standalone="yes"?>
<Relationships xmlns="http://schemas.openxmlformats.org/package/2006/relationships"><Relationship Id="rId2" Type="http://schemas.openxmlformats.org/officeDocument/2006/relationships/drawing" Target="../drawings/drawing133.xml"/><Relationship Id="rId1" Type="http://schemas.openxmlformats.org/officeDocument/2006/relationships/printerSettings" Target="../printerSettings/printerSettings135.bin"/></Relationships>
</file>

<file path=xl/worksheets/_rels/sheet13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34.xml"/><Relationship Id="rId1" Type="http://schemas.openxmlformats.org/officeDocument/2006/relationships/printerSettings" Target="../printerSettings/printerSettings136.bin"/><Relationship Id="rId4" Type="http://schemas.openxmlformats.org/officeDocument/2006/relationships/comments" Target="../comments4.xml"/></Relationships>
</file>

<file path=xl/worksheets/_rels/sheet138.xml.rels><?xml version="1.0" encoding="UTF-8" standalone="yes"?>
<Relationships xmlns="http://schemas.openxmlformats.org/package/2006/relationships"><Relationship Id="rId2" Type="http://schemas.openxmlformats.org/officeDocument/2006/relationships/drawing" Target="../drawings/drawing135.xml"/><Relationship Id="rId1" Type="http://schemas.openxmlformats.org/officeDocument/2006/relationships/printerSettings" Target="../printerSettings/printerSettings137.bin"/></Relationships>
</file>

<file path=xl/worksheets/_rels/sheet139.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136.xml"/><Relationship Id="rId1" Type="http://schemas.openxmlformats.org/officeDocument/2006/relationships/printerSettings" Target="../printerSettings/printerSettings138.bin"/><Relationship Id="rId4" Type="http://schemas.openxmlformats.org/officeDocument/2006/relationships/comments" Target="../comments5.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40.xml.rels><?xml version="1.0" encoding="UTF-8" standalone="yes"?>
<Relationships xmlns="http://schemas.openxmlformats.org/package/2006/relationships"><Relationship Id="rId2" Type="http://schemas.openxmlformats.org/officeDocument/2006/relationships/drawing" Target="../drawings/drawing137.xml"/><Relationship Id="rId1" Type="http://schemas.openxmlformats.org/officeDocument/2006/relationships/printerSettings" Target="../printerSettings/printerSettings139.bin"/></Relationships>
</file>

<file path=xl/worksheets/_rels/sheet141.xml.rels><?xml version="1.0" encoding="UTF-8" standalone="yes"?>
<Relationships xmlns="http://schemas.openxmlformats.org/package/2006/relationships"><Relationship Id="rId2" Type="http://schemas.openxmlformats.org/officeDocument/2006/relationships/drawing" Target="../drawings/drawing138.xml"/><Relationship Id="rId1" Type="http://schemas.openxmlformats.org/officeDocument/2006/relationships/printerSettings" Target="../printerSettings/printerSettings140.bin"/></Relationships>
</file>

<file path=xl/worksheets/_rels/sheet142.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39.xml"/><Relationship Id="rId1" Type="http://schemas.openxmlformats.org/officeDocument/2006/relationships/printerSettings" Target="../printerSettings/printerSettings141.bin"/><Relationship Id="rId4" Type="http://schemas.openxmlformats.org/officeDocument/2006/relationships/comments" Target="../comments6.xml"/></Relationships>
</file>

<file path=xl/worksheets/_rels/sheet143.xml.rels><?xml version="1.0" encoding="UTF-8" standalone="yes"?>
<Relationships xmlns="http://schemas.openxmlformats.org/package/2006/relationships"><Relationship Id="rId2" Type="http://schemas.openxmlformats.org/officeDocument/2006/relationships/drawing" Target="../drawings/drawing140.xml"/><Relationship Id="rId1" Type="http://schemas.openxmlformats.org/officeDocument/2006/relationships/printerSettings" Target="../printerSettings/printerSettings142.bin"/></Relationships>
</file>

<file path=xl/worksheets/_rels/sheet144.xml.rels><?xml version="1.0" encoding="UTF-8" standalone="yes"?>
<Relationships xmlns="http://schemas.openxmlformats.org/package/2006/relationships"><Relationship Id="rId2" Type="http://schemas.openxmlformats.org/officeDocument/2006/relationships/drawing" Target="../drawings/drawing141.xml"/><Relationship Id="rId1" Type="http://schemas.openxmlformats.org/officeDocument/2006/relationships/printerSettings" Target="../printerSettings/printerSettings143.bin"/></Relationships>
</file>

<file path=xl/worksheets/_rels/sheet145.xml.rels><?xml version="1.0" encoding="UTF-8" standalone="yes"?>
<Relationships xmlns="http://schemas.openxmlformats.org/package/2006/relationships"><Relationship Id="rId2" Type="http://schemas.openxmlformats.org/officeDocument/2006/relationships/drawing" Target="../drawings/drawing142.xml"/><Relationship Id="rId1" Type="http://schemas.openxmlformats.org/officeDocument/2006/relationships/printerSettings" Target="../printerSettings/printerSettings144.bin"/></Relationships>
</file>

<file path=xl/worksheets/_rels/sheet146.xml.rels><?xml version="1.0" encoding="UTF-8" standalone="yes"?>
<Relationships xmlns="http://schemas.openxmlformats.org/package/2006/relationships"><Relationship Id="rId2" Type="http://schemas.openxmlformats.org/officeDocument/2006/relationships/drawing" Target="../drawings/drawing143.xml"/><Relationship Id="rId1" Type="http://schemas.openxmlformats.org/officeDocument/2006/relationships/printerSettings" Target="../printerSettings/printerSettings145.bin"/></Relationships>
</file>

<file path=xl/worksheets/_rels/sheet147.xml.rels><?xml version="1.0" encoding="UTF-8" standalone="yes"?>
<Relationships xmlns="http://schemas.openxmlformats.org/package/2006/relationships"><Relationship Id="rId2" Type="http://schemas.openxmlformats.org/officeDocument/2006/relationships/drawing" Target="../drawings/drawing144.xml"/><Relationship Id="rId1" Type="http://schemas.openxmlformats.org/officeDocument/2006/relationships/printerSettings" Target="../printerSettings/printerSettings146.bin"/></Relationships>
</file>

<file path=xl/worksheets/_rels/sheet148.xml.rels><?xml version="1.0" encoding="UTF-8" standalone="yes"?>
<Relationships xmlns="http://schemas.openxmlformats.org/package/2006/relationships"><Relationship Id="rId2" Type="http://schemas.openxmlformats.org/officeDocument/2006/relationships/drawing" Target="../drawings/drawing145.xml"/><Relationship Id="rId1" Type="http://schemas.openxmlformats.org/officeDocument/2006/relationships/printerSettings" Target="../printerSettings/printerSettings147.bin"/></Relationships>
</file>

<file path=xl/worksheets/_rels/sheet149.xml.rels><?xml version="1.0" encoding="UTF-8" standalone="yes"?>
<Relationships xmlns="http://schemas.openxmlformats.org/package/2006/relationships"><Relationship Id="rId1" Type="http://schemas.openxmlformats.org/officeDocument/2006/relationships/printerSettings" Target="../printerSettings/printerSettings148.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drawing" Target="../drawings/drawing63.xml"/></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64.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65.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66.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67.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68.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69.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70.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71.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72.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73.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74.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75.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76.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77.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78.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79.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80.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81.bin"/></Relationships>
</file>

<file path=xl/worksheets/_rels/sheet8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82.xml"/><Relationship Id="rId1" Type="http://schemas.openxmlformats.org/officeDocument/2006/relationships/printerSettings" Target="../printerSettings/printerSettings82.bin"/><Relationship Id="rId4" Type="http://schemas.openxmlformats.org/officeDocument/2006/relationships/comments" Target="../comments2.xml"/></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83.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84.xml"/><Relationship Id="rId1" Type="http://schemas.openxmlformats.org/officeDocument/2006/relationships/printerSettings" Target="../printerSettings/printerSettings84.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85.xml"/><Relationship Id="rId1" Type="http://schemas.openxmlformats.org/officeDocument/2006/relationships/printerSettings" Target="../printerSettings/printerSettings85.bin"/></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86.xml"/><Relationship Id="rId1" Type="http://schemas.openxmlformats.org/officeDocument/2006/relationships/printerSettings" Target="../printerSettings/printerSettings86.bin"/></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87.xml"/><Relationship Id="rId1" Type="http://schemas.openxmlformats.org/officeDocument/2006/relationships/printerSettings" Target="../printerSettings/printerSettings87.bin"/></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88.xml"/><Relationship Id="rId1" Type="http://schemas.openxmlformats.org/officeDocument/2006/relationships/printerSettings" Target="../printerSettings/printerSettings8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89.xml"/><Relationship Id="rId1" Type="http://schemas.openxmlformats.org/officeDocument/2006/relationships/printerSettings" Target="../printerSettings/printerSettings89.bin"/></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90.xml"/><Relationship Id="rId1" Type="http://schemas.openxmlformats.org/officeDocument/2006/relationships/printerSettings" Target="../printerSettings/printerSettings90.bin"/></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91.xml"/><Relationship Id="rId1" Type="http://schemas.openxmlformats.org/officeDocument/2006/relationships/printerSettings" Target="../printerSettings/printerSettings91.bin"/></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92.xml"/><Relationship Id="rId1" Type="http://schemas.openxmlformats.org/officeDocument/2006/relationships/printerSettings" Target="../printerSettings/printerSettings92.bin"/></Relationships>
</file>

<file path=xl/worksheets/_rels/sheet94.xml.rels><?xml version="1.0" encoding="UTF-8" standalone="yes"?>
<Relationships xmlns="http://schemas.openxmlformats.org/package/2006/relationships"><Relationship Id="rId2" Type="http://schemas.openxmlformats.org/officeDocument/2006/relationships/drawing" Target="../drawings/drawing93.xml"/><Relationship Id="rId1" Type="http://schemas.openxmlformats.org/officeDocument/2006/relationships/printerSettings" Target="../printerSettings/printerSettings93.bin"/></Relationships>
</file>

<file path=xl/worksheets/_rels/sheet95.xml.rels><?xml version="1.0" encoding="UTF-8" standalone="yes"?>
<Relationships xmlns="http://schemas.openxmlformats.org/package/2006/relationships"><Relationship Id="rId2" Type="http://schemas.openxmlformats.org/officeDocument/2006/relationships/drawing" Target="../drawings/drawing94.xml"/><Relationship Id="rId1" Type="http://schemas.openxmlformats.org/officeDocument/2006/relationships/printerSettings" Target="../printerSettings/printerSettings94.bin"/></Relationships>
</file>

<file path=xl/worksheets/_rels/sheet96.xml.rels><?xml version="1.0" encoding="UTF-8" standalone="yes"?>
<Relationships xmlns="http://schemas.openxmlformats.org/package/2006/relationships"><Relationship Id="rId2" Type="http://schemas.openxmlformats.org/officeDocument/2006/relationships/drawing" Target="../drawings/drawing95.xml"/><Relationship Id="rId1" Type="http://schemas.openxmlformats.org/officeDocument/2006/relationships/printerSettings" Target="../printerSettings/printerSettings95.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8.xml.rels><?xml version="1.0" encoding="UTF-8" standalone="yes"?>
<Relationships xmlns="http://schemas.openxmlformats.org/package/2006/relationships"><Relationship Id="rId2" Type="http://schemas.openxmlformats.org/officeDocument/2006/relationships/drawing" Target="../drawings/drawing96.xml"/><Relationship Id="rId1" Type="http://schemas.openxmlformats.org/officeDocument/2006/relationships/printerSettings" Target="../printerSettings/printerSettings97.bin"/></Relationships>
</file>

<file path=xl/worksheets/_rels/sheet99.xml.rels><?xml version="1.0" encoding="UTF-8" standalone="yes"?>
<Relationships xmlns="http://schemas.openxmlformats.org/package/2006/relationships"><Relationship Id="rId2" Type="http://schemas.openxmlformats.org/officeDocument/2006/relationships/drawing" Target="../drawings/drawing97.xml"/><Relationship Id="rId1" Type="http://schemas.openxmlformats.org/officeDocument/2006/relationships/printerSettings" Target="../printerSettings/printerSettings9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1EDBB6-5DBF-4D52-A8AC-268FF9C6F3CC}">
  <sheetPr codeName="Sheet2"/>
  <dimension ref="A1:B1"/>
  <sheetViews>
    <sheetView topLeftCell="A34" zoomScale="70" zoomScaleNormal="70" workbookViewId="0">
      <selection activeCell="H57" sqref="H57"/>
    </sheetView>
  </sheetViews>
  <sheetFormatPr defaultRowHeight="14.4"/>
  <sheetData>
    <row r="1" spans="1:2">
      <c r="B1" t="s">
        <v>1274</v>
      </c>
    </row>
  </sheetData>
  <pageMargins left="0.7" right="0.7" top="0.75" bottom="0.75" header="0.3" footer="0.3"/>
  <pageSetup orientation="portrait" r:id="rId1"/>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47">
    <pageSetUpPr fitToPage="1"/>
  </sheetPr>
  <dimension ref="B1:AR165"/>
  <sheetViews>
    <sheetView showGridLines="0" zoomScale="80" zoomScaleNormal="80" zoomScaleSheetLayoutView="80" workbookViewId="0"/>
  </sheetViews>
  <sheetFormatPr defaultColWidth="9.109375" defaultRowHeight="12"/>
  <cols>
    <col min="1" max="1" width="2.33203125" style="39" customWidth="1"/>
    <col min="2" max="2" width="26.5546875" style="39" customWidth="1"/>
    <col min="3" max="9" width="10" style="39" customWidth="1"/>
    <col min="10" max="10" width="26.6640625" style="39" customWidth="1"/>
    <col min="11" max="16" width="10" style="39" customWidth="1"/>
    <col min="17" max="19" width="8.6640625" style="39" customWidth="1"/>
    <col min="20" max="28" width="8.6640625" style="5" customWidth="1"/>
    <col min="29" max="44" width="9.109375" style="5"/>
    <col min="45" max="16384" width="9.109375" style="39"/>
  </cols>
  <sheetData>
    <row r="1" spans="2:44" s="312" customFormat="1">
      <c r="T1" s="149"/>
      <c r="U1" s="149"/>
      <c r="V1" s="149"/>
      <c r="W1" s="149"/>
      <c r="X1" s="149"/>
      <c r="Y1" s="149"/>
      <c r="Z1" s="149"/>
      <c r="AA1" s="149"/>
      <c r="AB1" s="149"/>
      <c r="AC1" s="149"/>
      <c r="AD1" s="149"/>
      <c r="AE1" s="149"/>
      <c r="AF1" s="149"/>
      <c r="AG1" s="149"/>
      <c r="AH1" s="149"/>
      <c r="AI1" s="149"/>
      <c r="AJ1" s="149"/>
      <c r="AK1" s="149"/>
      <c r="AL1" s="149"/>
      <c r="AM1" s="149"/>
      <c r="AN1" s="149"/>
      <c r="AO1" s="149"/>
      <c r="AP1" s="149"/>
      <c r="AQ1" s="149"/>
      <c r="AR1" s="149"/>
    </row>
    <row r="2" spans="2:44" s="149" customFormat="1"/>
    <row r="3" spans="2:44" s="149" customFormat="1">
      <c r="H3" s="153"/>
      <c r="P3" s="153"/>
    </row>
    <row r="4" spans="2:44" s="156" customFormat="1" ht="21">
      <c r="B4" s="129" t="s">
        <v>559</v>
      </c>
      <c r="H4" s="222"/>
      <c r="P4" s="222"/>
    </row>
    <row r="5" spans="2:44" s="149" customFormat="1">
      <c r="C5" s="153"/>
      <c r="D5" s="153" t="str" cm="1">
        <f t="array" ref="D5:H5">headings</f>
        <v>2023E</v>
      </c>
      <c r="E5" s="153" t="str">
        <v>2024E</v>
      </c>
      <c r="F5" s="153" t="str">
        <v>2025E</v>
      </c>
      <c r="G5" s="153" t="str">
        <v>2026E</v>
      </c>
      <c r="H5" s="153" t="str">
        <v>23E-26E</v>
      </c>
      <c r="I5" s="153"/>
      <c r="J5" s="153"/>
      <c r="K5" s="153"/>
      <c r="L5" s="153" t="str" cm="1">
        <f t="array" ref="L5:P5">headings</f>
        <v>2023E</v>
      </c>
      <c r="M5" s="153" t="str">
        <v>2024E</v>
      </c>
      <c r="N5" s="153" t="str">
        <v>2025E</v>
      </c>
      <c r="O5" s="153" t="str">
        <v>2026E</v>
      </c>
      <c r="P5" s="153" t="str">
        <v>23E-26E</v>
      </c>
      <c r="Q5" s="162"/>
      <c r="R5" s="162"/>
      <c r="S5" s="162"/>
      <c r="T5" s="162"/>
      <c r="U5" s="162"/>
      <c r="V5" s="162"/>
      <c r="W5" s="162"/>
      <c r="X5" s="162"/>
      <c r="Y5" s="162"/>
    </row>
    <row r="6" spans="2:44">
      <c r="I6" s="5"/>
      <c r="J6" s="5"/>
      <c r="K6" s="5"/>
      <c r="L6" s="5"/>
      <c r="M6" s="5"/>
      <c r="N6" s="5"/>
      <c r="O6" s="49"/>
    </row>
    <row r="7" spans="2:44" ht="12.6" thickBot="1">
      <c r="B7" s="306" t="s">
        <v>271</v>
      </c>
      <c r="C7" s="265"/>
      <c r="D7" s="265" t="str">
        <f>D5</f>
        <v>2023E</v>
      </c>
      <c r="E7" s="265" t="str">
        <f t="shared" ref="E7:H7" si="0">E5</f>
        <v>2024E</v>
      </c>
      <c r="F7" s="265" t="str">
        <f t="shared" si="0"/>
        <v>2025E</v>
      </c>
      <c r="G7" s="265" t="str">
        <f t="shared" si="0"/>
        <v>2026E</v>
      </c>
      <c r="H7" s="265" t="str">
        <f t="shared" si="0"/>
        <v>23E-26E</v>
      </c>
      <c r="I7" s="49"/>
      <c r="J7" s="306" t="s">
        <v>74</v>
      </c>
      <c r="K7" s="306"/>
      <c r="L7" s="265" t="str">
        <f>L5</f>
        <v>2023E</v>
      </c>
      <c r="M7" s="265" t="str">
        <f t="shared" ref="M7:P7" si="1">M5</f>
        <v>2024E</v>
      </c>
      <c r="N7" s="265" t="str">
        <f t="shared" si="1"/>
        <v>2025E</v>
      </c>
      <c r="O7" s="265" t="str">
        <f t="shared" si="1"/>
        <v>2026E</v>
      </c>
      <c r="P7" s="265" t="str">
        <f t="shared" si="1"/>
        <v>23E-26E</v>
      </c>
    </row>
    <row r="8" spans="2:44" ht="12.6" thickTop="1">
      <c r="B8" s="5"/>
      <c r="C8" s="5"/>
      <c r="D8" s="5"/>
      <c r="E8" s="5"/>
      <c r="F8" s="5"/>
      <c r="G8" s="5"/>
      <c r="H8" s="5"/>
      <c r="I8" s="5"/>
      <c r="J8" s="5"/>
      <c r="K8" s="5"/>
      <c r="L8" s="5"/>
      <c r="M8" s="5"/>
      <c r="N8" s="5"/>
      <c r="S8" s="88"/>
      <c r="T8" s="42"/>
      <c r="U8" s="42"/>
      <c r="V8" s="42"/>
      <c r="W8" s="42"/>
      <c r="X8" s="42"/>
      <c r="Y8" s="42"/>
      <c r="Z8" s="42"/>
      <c r="AA8" s="42"/>
    </row>
    <row r="9" spans="2:44">
      <c r="B9" s="41" t="s">
        <v>205</v>
      </c>
      <c r="C9" s="287">
        <f>Prices!C80</f>
        <v>207</v>
      </c>
      <c r="D9" s="535">
        <v>0</v>
      </c>
      <c r="E9" s="536">
        <v>0</v>
      </c>
      <c r="F9" s="536">
        <v>0</v>
      </c>
      <c r="G9" s="536">
        <v>0</v>
      </c>
      <c r="H9" s="249"/>
      <c r="I9" s="249"/>
      <c r="J9" s="5" t="s">
        <v>273</v>
      </c>
      <c r="L9" s="529">
        <f>'AGG ASIA CELLULAR'!D37</f>
        <v>2.0832818906884643</v>
      </c>
      <c r="M9" s="529">
        <f>'AGG ASIA CELLULAR'!E37</f>
        <v>1.9180381131180324</v>
      </c>
      <c r="N9" s="529">
        <f>'AGG ASIA CELLULAR'!F37</f>
        <v>1.6973984727138696</v>
      </c>
      <c r="O9" s="529">
        <f>'AGG ASIA CELLULAR'!G37</f>
        <v>1.4849146547081604</v>
      </c>
      <c r="P9" s="286">
        <f>'AGG ASIA CELLULAR'!H37</f>
        <v>5.2823672985303771E-2</v>
      </c>
      <c r="S9" s="88"/>
      <c r="T9" s="42"/>
      <c r="U9" s="42"/>
      <c r="V9" s="42"/>
      <c r="W9" s="42"/>
      <c r="X9" s="42"/>
      <c r="Y9" s="42"/>
      <c r="Z9" s="42"/>
      <c r="AA9" s="42"/>
    </row>
    <row r="10" spans="2:44">
      <c r="B10" s="5" t="s">
        <v>274</v>
      </c>
      <c r="C10" s="5"/>
      <c r="D10" s="531">
        <v>2974</v>
      </c>
      <c r="E10" s="531">
        <v>2974</v>
      </c>
      <c r="F10" s="531">
        <v>2974</v>
      </c>
      <c r="G10" s="531">
        <v>2974</v>
      </c>
      <c r="H10" s="247"/>
      <c r="I10" s="247"/>
      <c r="J10" s="5" t="s">
        <v>184</v>
      </c>
      <c r="L10" s="529">
        <f>'AGG ASIA CELLULAR'!D38</f>
        <v>6.3578764048835863</v>
      </c>
      <c r="M10" s="529">
        <f>'AGG ASIA CELLULAR'!E38</f>
        <v>5.8349432944863064</v>
      </c>
      <c r="N10" s="529">
        <f>'AGG ASIA CELLULAR'!F38</f>
        <v>5.103853656504258</v>
      </c>
      <c r="O10" s="529">
        <f>'AGG ASIA CELLULAR'!G38</f>
        <v>4.4165179955724438</v>
      </c>
      <c r="P10" s="286">
        <f>'AGG ASIA CELLULAR'!H38</f>
        <v>6.1901299000113985E-2</v>
      </c>
      <c r="S10" s="88"/>
      <c r="T10" s="42"/>
      <c r="U10" s="42"/>
      <c r="V10" s="42"/>
      <c r="W10" s="288"/>
      <c r="X10" s="288"/>
      <c r="Y10" s="288"/>
      <c r="Z10" s="288"/>
      <c r="AA10" s="42"/>
    </row>
    <row r="11" spans="2:44">
      <c r="B11" s="41" t="s">
        <v>275</v>
      </c>
      <c r="C11" s="5"/>
      <c r="D11" s="532">
        <f>$C$9*D10</f>
        <v>615618</v>
      </c>
      <c r="E11" s="532">
        <f>$C$9*E10</f>
        <v>615618</v>
      </c>
      <c r="F11" s="532">
        <f>$C$9*F10</f>
        <v>615618</v>
      </c>
      <c r="G11" s="532">
        <f>$C$9*G10</f>
        <v>615618</v>
      </c>
      <c r="H11" s="249"/>
      <c r="I11" s="249"/>
      <c r="J11" s="5" t="s">
        <v>185</v>
      </c>
      <c r="L11" s="529">
        <f>'AGG ASIA CELLULAR'!D39</f>
        <v>12.256315794878686</v>
      </c>
      <c r="M11" s="529">
        <f>'AGG ASIA CELLULAR'!E39</f>
        <v>10.532349001792122</v>
      </c>
      <c r="N11" s="529">
        <f>'AGG ASIA CELLULAR'!F39</f>
        <v>8.8097379743624202</v>
      </c>
      <c r="O11" s="529">
        <f>'AGG ASIA CELLULAR'!G39</f>
        <v>7.3400525025099741</v>
      </c>
      <c r="P11" s="286">
        <f>'AGG ASIA CELLULAR'!H39</f>
        <v>0.11573327430771596</v>
      </c>
      <c r="S11" s="88"/>
      <c r="T11" s="42"/>
      <c r="U11" s="42"/>
      <c r="V11" s="42"/>
      <c r="W11" s="288"/>
      <c r="X11" s="288"/>
      <c r="Y11" s="288"/>
      <c r="Z11" s="288"/>
      <c r="AA11" s="42"/>
    </row>
    <row r="12" spans="2:44">
      <c r="B12" s="5" t="s">
        <v>24</v>
      </c>
      <c r="C12" s="249"/>
      <c r="D12" s="533">
        <v>185106.75053299998</v>
      </c>
      <c r="E12" s="533">
        <v>143904.90122365806</v>
      </c>
      <c r="F12" s="533">
        <v>109790.42888969826</v>
      </c>
      <c r="G12" s="533">
        <v>84574.639643304006</v>
      </c>
      <c r="H12" s="247"/>
      <c r="I12" s="247"/>
      <c r="J12" s="5" t="s">
        <v>466</v>
      </c>
      <c r="L12" s="529">
        <f>'AGG ASIA CELLULAR'!D40</f>
        <v>15.951300793811486</v>
      </c>
      <c r="M12" s="529">
        <f>'AGG ASIA CELLULAR'!E40</f>
        <v>13.847183646795452</v>
      </c>
      <c r="N12" s="529">
        <f>'AGG ASIA CELLULAR'!F40</f>
        <v>11.626709680654198</v>
      </c>
      <c r="O12" s="529">
        <f>'AGG ASIA CELLULAR'!G40</f>
        <v>9.7078389032116537</v>
      </c>
      <c r="P12" s="286">
        <f>'AGG ASIA CELLULAR'!H40</f>
        <v>0.10976572550111241</v>
      </c>
      <c r="S12" s="88"/>
      <c r="T12" s="42"/>
      <c r="U12" s="42"/>
      <c r="V12" s="42"/>
      <c r="W12" s="288"/>
      <c r="X12" s="288"/>
      <c r="Y12" s="288"/>
      <c r="Z12" s="288"/>
      <c r="AA12" s="42"/>
    </row>
    <row r="13" spans="2:44">
      <c r="B13" s="5" t="s">
        <v>529</v>
      </c>
      <c r="C13" s="257"/>
      <c r="D13" s="533">
        <v>64208.940711000003</v>
      </c>
      <c r="E13" s="533">
        <v>64208.940711000003</v>
      </c>
      <c r="F13" s="533">
        <v>64208.940711000003</v>
      </c>
      <c r="G13" s="533">
        <v>64208.940711000003</v>
      </c>
      <c r="H13" s="247"/>
      <c r="I13" s="247"/>
      <c r="J13" s="5" t="s">
        <v>530</v>
      </c>
      <c r="L13" s="529">
        <f>'AGG ASIA CELLULAR'!D41</f>
        <v>1.4274445412547272</v>
      </c>
      <c r="M13" s="529">
        <f>'AGG ASIA CELLULAR'!E41</f>
        <v>1.4179696737537477</v>
      </c>
      <c r="N13" s="529">
        <f>'AGG ASIA CELLULAR'!F41</f>
        <v>1.3450707920768976</v>
      </c>
      <c r="O13" s="529">
        <f>'AGG ASIA CELLULAR'!G41</f>
        <v>1.2618986136137988</v>
      </c>
      <c r="P13" s="286">
        <f>'AGG ASIA CELLULAR'!H41</f>
        <v>-2.0092563683029918E-2</v>
      </c>
      <c r="S13" s="88"/>
      <c r="T13" s="42"/>
      <c r="U13" s="42"/>
      <c r="V13" s="42"/>
      <c r="W13" s="42"/>
      <c r="X13" s="42"/>
      <c r="Y13" s="42"/>
      <c r="Z13" s="42"/>
      <c r="AA13" s="42"/>
    </row>
    <row r="14" spans="2:44">
      <c r="B14" s="5" t="s">
        <v>532</v>
      </c>
      <c r="C14" s="257"/>
      <c r="D14" s="533"/>
      <c r="E14" s="533">
        <f t="shared" ref="E14:G15" si="2">D14</f>
        <v>0</v>
      </c>
      <c r="F14" s="533">
        <f t="shared" si="2"/>
        <v>0</v>
      </c>
      <c r="G14" s="533">
        <f t="shared" si="2"/>
        <v>0</v>
      </c>
      <c r="H14" s="247"/>
      <c r="I14" s="247"/>
      <c r="J14" s="5" t="s">
        <v>593</v>
      </c>
      <c r="L14" s="529">
        <f>'AGG ASIA CELLULAR'!D42</f>
        <v>2.9130695199933734</v>
      </c>
      <c r="M14" s="529">
        <f>'AGG ASIA CELLULAR'!E42</f>
        <v>2.8146219035099969</v>
      </c>
      <c r="N14" s="529">
        <f>'AGG ASIA CELLULAR'!F42</f>
        <v>2.5888583636405476</v>
      </c>
      <c r="O14" s="529">
        <f>'AGG ASIA CELLULAR'!G42</f>
        <v>2.3605815546209548</v>
      </c>
      <c r="P14" s="286">
        <f>'AGG ASIA CELLULAR'!H42</f>
        <v>8.7512202951403051E-3</v>
      </c>
      <c r="S14" s="88"/>
      <c r="T14" s="42"/>
      <c r="U14" s="42"/>
      <c r="V14" s="42"/>
      <c r="W14" s="42"/>
      <c r="X14" s="42"/>
      <c r="Y14" s="42"/>
      <c r="Z14" s="42"/>
      <c r="AA14" s="42"/>
    </row>
    <row r="15" spans="2:44">
      <c r="B15" s="5" t="s">
        <v>531</v>
      </c>
      <c r="C15" s="274"/>
      <c r="D15" s="533"/>
      <c r="E15" s="533">
        <f t="shared" si="2"/>
        <v>0</v>
      </c>
      <c r="F15" s="533">
        <f t="shared" si="2"/>
        <v>0</v>
      </c>
      <c r="G15" s="533">
        <f t="shared" si="2"/>
        <v>0</v>
      </c>
      <c r="H15" s="247"/>
      <c r="I15" s="247"/>
      <c r="J15" s="5" t="s">
        <v>475</v>
      </c>
      <c r="L15" s="529">
        <f>'AGG ASIA CELLULAR'!D43</f>
        <v>19.278364274513134</v>
      </c>
      <c r="M15" s="529">
        <f>'AGG ASIA CELLULAR'!E43</f>
        <v>15.523038202411636</v>
      </c>
      <c r="N15" s="529">
        <f>'AGG ASIA CELLULAR'!F43</f>
        <v>13.257386088679914</v>
      </c>
      <c r="O15" s="529">
        <f>'AGG ASIA CELLULAR'!G43</f>
        <v>11.466142328229227</v>
      </c>
      <c r="P15" s="286">
        <f>'AGG ASIA CELLULAR'!H43</f>
        <v>0.18831027118838706</v>
      </c>
      <c r="S15" s="88"/>
      <c r="T15" s="42"/>
      <c r="U15" s="42"/>
      <c r="V15" s="42"/>
      <c r="W15" s="42"/>
      <c r="X15" s="42"/>
      <c r="Y15" s="42"/>
      <c r="Z15" s="42"/>
      <c r="AA15" s="42"/>
    </row>
    <row r="16" spans="2:44">
      <c r="B16" s="5" t="s">
        <v>534</v>
      </c>
      <c r="C16" s="257"/>
      <c r="D16" s="533">
        <v>0</v>
      </c>
      <c r="E16" s="533">
        <v>0</v>
      </c>
      <c r="F16" s="533">
        <v>41881.806200250023</v>
      </c>
      <c r="G16" s="533">
        <v>91098.633371796997</v>
      </c>
      <c r="H16" s="247"/>
      <c r="I16" s="247"/>
      <c r="J16" s="5" t="s">
        <v>533</v>
      </c>
      <c r="L16" s="529">
        <f>'AGG ASIA CELLULAR'!D44</f>
        <v>20.50009040888548</v>
      </c>
      <c r="M16" s="529">
        <f>'AGG ASIA CELLULAR'!E44</f>
        <v>17.31807909095523</v>
      </c>
      <c r="N16" s="529">
        <f>'AGG ASIA CELLULAR'!F44</f>
        <v>14.883294016253318</v>
      </c>
      <c r="O16" s="529">
        <f>'AGG ASIA CELLULAR'!G44</f>
        <v>13.16548576425039</v>
      </c>
      <c r="P16" s="286">
        <f>'AGG ASIA CELLULAR'!H44</f>
        <v>0.15839482711139796</v>
      </c>
      <c r="S16" s="88"/>
      <c r="T16" s="42"/>
      <c r="U16" s="42"/>
      <c r="V16" s="42"/>
      <c r="W16" s="42"/>
      <c r="X16" s="42"/>
      <c r="Y16" s="42"/>
      <c r="Z16" s="42"/>
      <c r="AA16" s="42"/>
    </row>
    <row r="17" spans="2:27">
      <c r="B17" s="5" t="s">
        <v>6</v>
      </c>
      <c r="C17" s="257"/>
      <c r="D17" s="533">
        <v>0</v>
      </c>
      <c r="E17" s="533">
        <v>0</v>
      </c>
      <c r="F17" s="533">
        <v>0</v>
      </c>
      <c r="G17" s="533">
        <v>0</v>
      </c>
      <c r="H17" s="247"/>
      <c r="I17" s="247"/>
      <c r="J17" s="5" t="s">
        <v>580</v>
      </c>
      <c r="L17" s="248">
        <f>'AGG ASIA CELLULAR'!D45</f>
        <v>4.174038595528512E-2</v>
      </c>
      <c r="M17" s="248">
        <f>'AGG ASIA CELLULAR'!E45</f>
        <v>4.4792872771489058E-2</v>
      </c>
      <c r="N17" s="248">
        <f>'AGG ASIA CELLULAR'!F45</f>
        <v>5.1203391440393167E-2</v>
      </c>
      <c r="O17" s="248">
        <f>'AGG ASIA CELLULAR'!G45</f>
        <v>5.7913719466381006E-2</v>
      </c>
      <c r="P17" s="286">
        <f>'AGG ASIA CELLULAR'!H45</f>
        <v>0.11470165475568339</v>
      </c>
      <c r="S17" s="88"/>
      <c r="T17" s="42"/>
      <c r="U17" s="42"/>
      <c r="V17" s="42"/>
      <c r="W17" s="42"/>
      <c r="X17" s="42"/>
      <c r="Y17" s="42"/>
      <c r="Z17" s="42"/>
      <c r="AA17" s="42"/>
    </row>
    <row r="18" spans="2:27" ht="12.6" thickBot="1">
      <c r="B18" s="41" t="s">
        <v>583</v>
      </c>
      <c r="C18" s="249"/>
      <c r="D18" s="534">
        <f>D11+D12+D13-D14+D15-D16-D17</f>
        <v>864933.69124399999</v>
      </c>
      <c r="E18" s="534">
        <f>E11+E12+E13-E14+E15-E16-E17</f>
        <v>823731.84193465812</v>
      </c>
      <c r="F18" s="534">
        <f>F11+F12+F13-F14+F15-F16-F17</f>
        <v>747735.56340044818</v>
      </c>
      <c r="G18" s="534">
        <f>G11+G12+G13-G14+G15-G16-G17</f>
        <v>673302.94698250701</v>
      </c>
      <c r="H18" s="276">
        <f>IF(D18=0,"nm",IF(G18=0,"nm",(G18/D18)^(1/3)-1))</f>
        <v>-8.0095873475742319E-2</v>
      </c>
      <c r="I18" s="254"/>
      <c r="J18" s="5" t="s">
        <v>36</v>
      </c>
      <c r="L18" s="248" t="e">
        <f>'AGG ASIA CELLULAR'!D46</f>
        <v>#VALUE!</v>
      </c>
      <c r="M18" s="248" t="e">
        <f>'AGG ASIA CELLULAR'!E46</f>
        <v>#VALUE!</v>
      </c>
      <c r="N18" s="248" t="e">
        <f>'AGG ASIA CELLULAR'!F46</f>
        <v>#VALUE!</v>
      </c>
      <c r="O18" s="248" t="e">
        <f>'AGG ASIA CELLULAR'!G46</f>
        <v>#VALUE!</v>
      </c>
      <c r="P18" s="286" t="e">
        <f>'AGG ASIA CELLULAR'!H46</f>
        <v>#VALUE!</v>
      </c>
      <c r="S18" s="88"/>
      <c r="T18" s="42"/>
      <c r="U18" s="42"/>
      <c r="V18" s="42"/>
      <c r="W18" s="42"/>
      <c r="X18" s="42"/>
      <c r="Y18" s="42"/>
      <c r="Z18" s="42"/>
      <c r="AA18" s="42"/>
    </row>
    <row r="19" spans="2:27" ht="12.6" thickTop="1">
      <c r="B19" s="41"/>
      <c r="C19" s="249"/>
      <c r="D19" s="229"/>
      <c r="E19" s="229"/>
      <c r="F19" s="229"/>
      <c r="G19" s="229"/>
      <c r="H19" s="276"/>
      <c r="I19" s="254"/>
      <c r="J19" s="5" t="s">
        <v>581</v>
      </c>
      <c r="L19" s="248">
        <f>'AGG ASIA CELLULAR'!D47</f>
        <v>5.1871620732991598E-2</v>
      </c>
      <c r="M19" s="248">
        <f>'AGG ASIA CELLULAR'!E47</f>
        <v>6.4420378727447922E-2</v>
      </c>
      <c r="N19" s="248">
        <f>'AGG ASIA CELLULAR'!F47</f>
        <v>7.5429650559386677E-2</v>
      </c>
      <c r="O19" s="248">
        <f>'AGG ASIA CELLULAR'!G47</f>
        <v>8.7213290344219457E-2</v>
      </c>
      <c r="P19" s="286">
        <f>'AGG ASIA CELLULAR'!H47</f>
        <v>0.18831027118838706</v>
      </c>
      <c r="S19" s="88"/>
      <c r="T19" s="42"/>
      <c r="U19" s="42"/>
      <c r="V19" s="42"/>
      <c r="W19" s="42"/>
      <c r="X19" s="42"/>
      <c r="Y19" s="42"/>
      <c r="Z19" s="42"/>
      <c r="AA19" s="42"/>
    </row>
    <row r="20" spans="2:27">
      <c r="H20" s="277"/>
      <c r="I20" s="17"/>
      <c r="J20" s="5" t="s">
        <v>604</v>
      </c>
      <c r="L20" s="305">
        <f>'AGG ASIA CELLULAR'!D48</f>
        <v>0.92045377326476352</v>
      </c>
      <c r="M20" s="305">
        <f>'AGG ASIA CELLULAR'!E48</f>
        <v>0.79490390762892493</v>
      </c>
      <c r="N20" s="305">
        <f>'AGG ASIA CELLULAR'!F48</f>
        <v>0.7763724496707467</v>
      </c>
      <c r="O20" s="305">
        <f>'AGG ASIA CELLULAR'!G48</f>
        <v>0.75978089170129071</v>
      </c>
      <c r="P20" s="286" t="str">
        <f>'AGG ASIA CELLULAR'!H48</f>
        <v>nm</v>
      </c>
      <c r="S20" s="88"/>
      <c r="T20" s="42"/>
      <c r="U20" s="42"/>
      <c r="V20" s="42"/>
      <c r="W20" s="42"/>
      <c r="X20" s="42"/>
      <c r="Y20" s="42"/>
      <c r="Z20" s="42"/>
      <c r="AA20" s="42"/>
    </row>
    <row r="21" spans="2:27" ht="12.6" thickBot="1">
      <c r="B21" s="306" t="s">
        <v>923</v>
      </c>
      <c r="C21" s="265"/>
      <c r="D21" s="265" t="str">
        <f>D5</f>
        <v>2023E</v>
      </c>
      <c r="E21" s="265" t="str">
        <f t="shared" ref="E21:H21" si="3">E5</f>
        <v>2024E</v>
      </c>
      <c r="F21" s="265" t="str">
        <f t="shared" si="3"/>
        <v>2025E</v>
      </c>
      <c r="G21" s="265" t="str">
        <f t="shared" si="3"/>
        <v>2026E</v>
      </c>
      <c r="H21" s="265" t="str">
        <f t="shared" si="3"/>
        <v>23E-26E</v>
      </c>
      <c r="I21" s="49"/>
      <c r="J21" s="41"/>
      <c r="L21" s="250"/>
      <c r="M21" s="250"/>
      <c r="N21" s="250"/>
      <c r="O21" s="250"/>
      <c r="P21" s="286"/>
      <c r="S21" s="88"/>
      <c r="T21" s="42"/>
      <c r="U21" s="42"/>
      <c r="V21" s="42"/>
      <c r="W21" s="42"/>
      <c r="X21" s="42"/>
      <c r="Y21" s="42"/>
      <c r="Z21" s="42"/>
      <c r="AA21" s="42"/>
    </row>
    <row r="22" spans="2:27" ht="12.6" thickTop="1">
      <c r="B22" s="5"/>
      <c r="C22" s="257"/>
      <c r="D22" s="17"/>
      <c r="E22" s="17"/>
      <c r="F22" s="17"/>
      <c r="G22" s="17"/>
      <c r="H22" s="17"/>
      <c r="I22" s="17"/>
      <c r="P22" s="277"/>
      <c r="S22" s="88"/>
      <c r="T22" s="42"/>
      <c r="U22" s="42"/>
      <c r="V22" s="42"/>
      <c r="W22" s="42"/>
      <c r="X22" s="42"/>
      <c r="Y22" s="42"/>
      <c r="Z22" s="42"/>
      <c r="AA22" s="42"/>
    </row>
    <row r="23" spans="2:27" ht="12.6" thickBot="1">
      <c r="B23" s="5" t="s">
        <v>584</v>
      </c>
      <c r="C23" s="548">
        <v>185483.55184509998</v>
      </c>
      <c r="D23" s="540">
        <v>188873</v>
      </c>
      <c r="E23" s="540">
        <v>211253.90632801683</v>
      </c>
      <c r="F23" s="540">
        <v>222564.92736682881</v>
      </c>
      <c r="G23" s="540">
        <v>229511.91328874772</v>
      </c>
      <c r="H23" s="279">
        <f t="shared" ref="H23:H30" si="4">IF(D23=0,"nm",IF(G23=0,"nm",(G23/D23)^(1/3)-1))</f>
        <v>6.7116376718759252E-2</v>
      </c>
      <c r="I23" s="247"/>
      <c r="J23" s="306" t="s">
        <v>9</v>
      </c>
      <c r="K23" s="306"/>
      <c r="L23" s="265" t="str">
        <f>D21</f>
        <v>2023E</v>
      </c>
      <c r="M23" s="265" t="str">
        <f t="shared" ref="M23:P23" si="5">E21</f>
        <v>2024E</v>
      </c>
      <c r="N23" s="265" t="str">
        <f t="shared" si="5"/>
        <v>2025E</v>
      </c>
      <c r="O23" s="265" t="str">
        <f t="shared" si="5"/>
        <v>2026E</v>
      </c>
      <c r="P23" s="265" t="str">
        <f t="shared" si="5"/>
        <v>23E-26E</v>
      </c>
      <c r="S23" s="88"/>
      <c r="T23" s="42"/>
      <c r="U23" s="42"/>
      <c r="V23" s="42"/>
      <c r="W23" s="42"/>
      <c r="X23" s="42"/>
      <c r="Y23" s="42"/>
      <c r="Z23" s="42"/>
      <c r="AA23" s="42"/>
    </row>
    <row r="24" spans="2:27" ht="12.6" thickTop="1">
      <c r="B24" s="5" t="s">
        <v>483</v>
      </c>
      <c r="C24" s="549">
        <v>89711</v>
      </c>
      <c r="D24" s="540">
        <v>93371</v>
      </c>
      <c r="E24" s="540">
        <v>108640.72238859802</v>
      </c>
      <c r="F24" s="540">
        <v>115754.52468408296</v>
      </c>
      <c r="G24" s="540">
        <v>119688.97229597429</v>
      </c>
      <c r="H24" s="279">
        <f t="shared" si="4"/>
        <v>8.6293987917293702E-2</v>
      </c>
      <c r="I24" s="249"/>
      <c r="J24" s="17"/>
      <c r="K24" s="17"/>
      <c r="L24" s="17"/>
      <c r="M24" s="17"/>
      <c r="N24" s="17"/>
      <c r="O24" s="248"/>
      <c r="S24" s="88"/>
      <c r="T24" s="42"/>
      <c r="U24" s="42"/>
      <c r="V24" s="42"/>
      <c r="W24" s="42" t="s">
        <v>560</v>
      </c>
      <c r="X24" s="42" t="s">
        <v>257</v>
      </c>
      <c r="Y24" s="42"/>
      <c r="Z24" s="42"/>
      <c r="AA24" s="42"/>
    </row>
    <row r="25" spans="2:27">
      <c r="B25" s="5" t="s">
        <v>183</v>
      </c>
      <c r="C25" s="548">
        <v>57492</v>
      </c>
      <c r="D25" s="540">
        <v>56283</v>
      </c>
      <c r="E25" s="540">
        <v>82640.72238859802</v>
      </c>
      <c r="F25" s="540">
        <v>89754.524684082964</v>
      </c>
      <c r="G25" s="540">
        <v>89852.423568437094</v>
      </c>
      <c r="H25" s="279">
        <f t="shared" si="4"/>
        <v>0.16873895371596181</v>
      </c>
      <c r="I25" s="248"/>
      <c r="J25" s="247" t="s">
        <v>10</v>
      </c>
      <c r="K25" s="247"/>
      <c r="L25" s="321">
        <v>0</v>
      </c>
      <c r="M25" s="321">
        <v>0</v>
      </c>
      <c r="N25" s="321">
        <v>0</v>
      </c>
      <c r="O25" s="321">
        <v>0</v>
      </c>
      <c r="P25" s="279" t="str">
        <f>IF(L25=0,"nm",IF(O25=0,"nm",(O25/L25)^(1/3)-1))</f>
        <v>nm</v>
      </c>
      <c r="S25" s="88"/>
      <c r="T25" s="42"/>
      <c r="U25" s="42"/>
      <c r="V25" s="147" t="s">
        <v>273</v>
      </c>
      <c r="W25" s="288">
        <f t="shared" ref="W25:W33" si="6">D37/L9</f>
        <v>2.1981883253704693</v>
      </c>
      <c r="X25" s="288">
        <v>1</v>
      </c>
      <c r="Y25" s="42"/>
      <c r="Z25" s="42"/>
      <c r="AA25" s="42"/>
    </row>
    <row r="26" spans="2:27">
      <c r="B26" s="5" t="s">
        <v>586</v>
      </c>
      <c r="C26" s="548">
        <v>46473.504008950214</v>
      </c>
      <c r="D26" s="540">
        <v>45479.853813029593</v>
      </c>
      <c r="E26" s="540">
        <v>66778.387314759326</v>
      </c>
      <c r="F26" s="540">
        <v>72526.742740970614</v>
      </c>
      <c r="G26" s="540">
        <v>72605.850587902809</v>
      </c>
      <c r="H26" s="279">
        <f t="shared" si="4"/>
        <v>0.16873895371596181</v>
      </c>
      <c r="I26" s="249"/>
      <c r="J26" s="249" t="s">
        <v>11</v>
      </c>
      <c r="K26" s="249"/>
      <c r="L26" s="281">
        <f>D11+L25</f>
        <v>615618</v>
      </c>
      <c r="M26" s="281">
        <f>E11+M25</f>
        <v>615618</v>
      </c>
      <c r="N26" s="281">
        <f>F11+N25</f>
        <v>615618</v>
      </c>
      <c r="O26" s="281">
        <f>G11+O25</f>
        <v>615618</v>
      </c>
      <c r="P26" s="279">
        <f>IF(L26=0,"nm",IF(O26=0,"nm",(O26/L26)^(1/3)-1))</f>
        <v>0</v>
      </c>
      <c r="Q26" s="5"/>
      <c r="S26" s="88"/>
      <c r="T26" s="42"/>
      <c r="U26" s="42"/>
      <c r="V26" s="147" t="s">
        <v>184</v>
      </c>
      <c r="W26" s="288">
        <f t="shared" si="6"/>
        <v>1.4569972196826213</v>
      </c>
      <c r="X26" s="288">
        <v>1</v>
      </c>
      <c r="Y26" s="42"/>
      <c r="Z26" s="42"/>
      <c r="AA26" s="42"/>
    </row>
    <row r="27" spans="2:27">
      <c r="B27" s="5" t="s">
        <v>587</v>
      </c>
      <c r="C27" s="549">
        <v>262227.78111499996</v>
      </c>
      <c r="D27" s="540">
        <v>339993.90056599997</v>
      </c>
      <c r="E27" s="540">
        <v>301542.37992730376</v>
      </c>
      <c r="F27" s="540">
        <v>273120.92998916551</v>
      </c>
      <c r="G27" s="540">
        <v>254595.21752692928</v>
      </c>
      <c r="H27" s="279">
        <f t="shared" si="4"/>
        <v>-9.1915272113775037E-2</v>
      </c>
      <c r="I27" s="249"/>
      <c r="J27" s="248"/>
      <c r="K27" s="248"/>
      <c r="L27" s="248"/>
      <c r="M27" s="248"/>
      <c r="N27" s="248"/>
      <c r="O27" s="248"/>
      <c r="Q27" s="41"/>
      <c r="S27" s="88"/>
      <c r="T27" s="42"/>
      <c r="U27" s="42"/>
      <c r="V27" s="147" t="s">
        <v>185</v>
      </c>
      <c r="W27" s="288">
        <f t="shared" si="6"/>
        <v>1.2538501425523858</v>
      </c>
      <c r="X27" s="288">
        <v>1</v>
      </c>
      <c r="Y27" s="42"/>
      <c r="Z27" s="42"/>
      <c r="AA27" s="42"/>
    </row>
    <row r="28" spans="2:27" ht="12.6" thickBot="1">
      <c r="B28" s="5" t="s">
        <v>592</v>
      </c>
      <c r="C28" s="548">
        <v>113252.04700000001</v>
      </c>
      <c r="D28" s="540">
        <v>139223.822358</v>
      </c>
      <c r="E28" s="540">
        <v>120672.19920344</v>
      </c>
      <c r="F28" s="540">
        <v>108057.0954583392</v>
      </c>
      <c r="G28" s="540">
        <v>103315.37363920786</v>
      </c>
      <c r="H28" s="279">
        <f t="shared" si="4"/>
        <v>-9.4648693737996559E-2</v>
      </c>
      <c r="I28" s="248"/>
      <c r="J28" s="306" t="s">
        <v>1362</v>
      </c>
      <c r="K28" s="306"/>
      <c r="L28" s="306"/>
      <c r="M28" s="306"/>
      <c r="N28" s="266"/>
      <c r="O28" s="266"/>
      <c r="P28" s="266"/>
      <c r="Q28" s="5"/>
      <c r="S28" s="88"/>
      <c r="T28" s="42"/>
      <c r="U28" s="42"/>
      <c r="V28" s="147" t="s">
        <v>466</v>
      </c>
      <c r="W28" s="288">
        <f t="shared" si="6"/>
        <v>1.192250874319825</v>
      </c>
      <c r="X28" s="288">
        <v>1</v>
      </c>
      <c r="Y28" s="42"/>
      <c r="Z28" s="42"/>
      <c r="AA28" s="42"/>
    </row>
    <row r="29" spans="2:27" ht="12.6" thickTop="1">
      <c r="B29" s="5" t="s">
        <v>588</v>
      </c>
      <c r="C29" s="548">
        <v>46094.000000000007</v>
      </c>
      <c r="D29" s="540">
        <v>43229</v>
      </c>
      <c r="E29" s="540">
        <v>68097.298846206759</v>
      </c>
      <c r="F29" s="540">
        <v>72957.207101519074</v>
      </c>
      <c r="G29" s="540">
        <v>71666.380996538355</v>
      </c>
      <c r="H29" s="279">
        <f t="shared" si="4"/>
        <v>0.18353224573047422</v>
      </c>
      <c r="I29" s="252"/>
      <c r="J29" s="249"/>
      <c r="K29" s="249"/>
      <c r="L29" s="249"/>
      <c r="M29" s="249"/>
      <c r="N29" s="249"/>
      <c r="O29" s="251"/>
      <c r="Q29" s="5"/>
      <c r="S29" s="88"/>
      <c r="T29" s="42"/>
      <c r="U29" s="42"/>
      <c r="V29" s="147" t="s">
        <v>530</v>
      </c>
      <c r="W29" s="288">
        <f t="shared" si="6"/>
        <v>1.7821836052686411</v>
      </c>
      <c r="X29" s="288">
        <v>1</v>
      </c>
      <c r="Y29" s="42"/>
      <c r="Z29" s="42"/>
      <c r="AA29" s="42"/>
    </row>
    <row r="30" spans="2:27">
      <c r="B30" s="5" t="s">
        <v>589</v>
      </c>
      <c r="C30" s="549">
        <v>27019.664000000001</v>
      </c>
      <c r="D30" s="540">
        <v>28913.84</v>
      </c>
      <c r="E30" s="540">
        <v>33194.301274080695</v>
      </c>
      <c r="F30" s="540">
        <v>46015.137124672205</v>
      </c>
      <c r="G30" s="540">
        <v>54347.441655050527</v>
      </c>
      <c r="H30" s="279">
        <f t="shared" si="4"/>
        <v>0.23412109882484144</v>
      </c>
      <c r="I30" s="254"/>
      <c r="J30" s="248"/>
      <c r="K30" s="248"/>
      <c r="L30" s="248"/>
      <c r="M30" s="248"/>
      <c r="N30" s="248"/>
      <c r="O30" s="5"/>
      <c r="Q30" s="5"/>
      <c r="S30" s="88"/>
      <c r="T30" s="42"/>
      <c r="U30" s="42"/>
      <c r="V30" s="147" t="s">
        <v>593</v>
      </c>
      <c r="W30" s="288">
        <f t="shared" si="6"/>
        <v>2.1326442302881103</v>
      </c>
      <c r="X30" s="288">
        <v>1</v>
      </c>
      <c r="Y30" s="42"/>
      <c r="Z30" s="42"/>
      <c r="AA30" s="42"/>
    </row>
    <row r="31" spans="2:27">
      <c r="B31" s="5" t="s">
        <v>590</v>
      </c>
      <c r="C31" s="549">
        <v>22870.06</v>
      </c>
      <c r="D31" s="540">
        <v>25606.14</v>
      </c>
      <c r="E31" s="540">
        <v>30595.480851628294</v>
      </c>
      <c r="F31" s="540">
        <v>41881.806200250023</v>
      </c>
      <c r="G31" s="540">
        <v>49216.827171546975</v>
      </c>
      <c r="H31" s="279">
        <f>IF(D31=0,"nm",IF(G31=0,"nm",(G31/D31)^(1/3)-1))</f>
        <v>0.24333979009018925</v>
      </c>
      <c r="I31" s="254"/>
      <c r="J31" s="252"/>
      <c r="K31" s="252"/>
      <c r="L31" s="252"/>
      <c r="M31" s="252"/>
      <c r="N31" s="252"/>
      <c r="O31" s="5"/>
      <c r="Q31" s="5"/>
      <c r="S31" s="88"/>
      <c r="T31" s="42"/>
      <c r="U31" s="42"/>
      <c r="V31" s="147" t="s">
        <v>475</v>
      </c>
      <c r="W31" s="288">
        <f t="shared" si="6"/>
        <v>0.73869632451370193</v>
      </c>
      <c r="X31" s="288">
        <v>1</v>
      </c>
      <c r="Y31" s="42"/>
      <c r="Z31" s="42"/>
      <c r="AA31" s="42"/>
    </row>
    <row r="32" spans="2:27">
      <c r="B32" s="5" t="s">
        <v>606</v>
      </c>
      <c r="C32" s="550">
        <v>0</v>
      </c>
      <c r="D32" s="540">
        <v>0</v>
      </c>
      <c r="E32" s="540">
        <v>0</v>
      </c>
      <c r="F32" s="540">
        <v>0</v>
      </c>
      <c r="G32" s="540">
        <v>0</v>
      </c>
      <c r="H32" s="279" t="str">
        <f>IF(D32=0,"nm",IF(G32=0,"nm",(G32/D32)^(1/3)-1))</f>
        <v>nm</v>
      </c>
      <c r="I32" s="254"/>
      <c r="J32" s="254"/>
      <c r="K32" s="254"/>
      <c r="L32" s="254"/>
      <c r="M32" s="254"/>
      <c r="N32" s="254"/>
      <c r="O32" s="251"/>
      <c r="Q32" s="5"/>
      <c r="S32" s="88"/>
      <c r="T32" s="42"/>
      <c r="U32" s="42"/>
      <c r="V32" s="147" t="s">
        <v>533</v>
      </c>
      <c r="W32" s="288">
        <f t="shared" si="6"/>
        <v>1.0386034474635795</v>
      </c>
      <c r="X32" s="288">
        <v>1</v>
      </c>
      <c r="Y32" s="42"/>
      <c r="Z32" s="42"/>
      <c r="AA32" s="42"/>
    </row>
    <row r="33" spans="2:27">
      <c r="B33" s="5" t="s">
        <v>5</v>
      </c>
      <c r="C33" s="549">
        <v>5231</v>
      </c>
      <c r="D33" s="540">
        <v>6145</v>
      </c>
      <c r="E33" s="540">
        <v>6287.9820189983839</v>
      </c>
      <c r="F33" s="540">
        <v>5496.537455689835</v>
      </c>
      <c r="G33" s="540">
        <v>4906.0865989232298</v>
      </c>
      <c r="H33" s="279">
        <f>IF(D33=0,"nm",IF(G33=0,"nm",(G33/D33)^(1/3)-1))</f>
        <v>-7.230665552270632E-2</v>
      </c>
      <c r="I33" s="5"/>
      <c r="J33" s="254"/>
      <c r="K33" s="254"/>
      <c r="L33" s="254"/>
      <c r="M33" s="254"/>
      <c r="N33" s="254"/>
      <c r="O33" s="251"/>
      <c r="Q33" s="5"/>
      <c r="S33" s="88"/>
      <c r="T33" s="42"/>
      <c r="U33" s="42"/>
      <c r="V33" s="147" t="s">
        <v>580</v>
      </c>
      <c r="W33" s="288">
        <f t="shared" si="6"/>
        <v>0.99649780294578505</v>
      </c>
      <c r="X33" s="288">
        <v>1</v>
      </c>
      <c r="Y33" s="42"/>
      <c r="Z33" s="42"/>
      <c r="AA33" s="42"/>
    </row>
    <row r="34" spans="2:27">
      <c r="H34" s="276"/>
      <c r="I34" s="49"/>
      <c r="J34" s="254"/>
      <c r="K34" s="254"/>
      <c r="L34" s="254"/>
      <c r="M34" s="254"/>
      <c r="N34" s="254"/>
      <c r="O34" s="251"/>
      <c r="Q34" s="5"/>
      <c r="S34" s="88"/>
      <c r="T34" s="42"/>
      <c r="U34" s="42"/>
      <c r="V34" s="147" t="s">
        <v>581</v>
      </c>
      <c r="W34" s="288">
        <f>D47/L19</f>
        <v>1.3537362605104597</v>
      </c>
      <c r="X34" s="288">
        <v>1</v>
      </c>
      <c r="Y34" s="288"/>
      <c r="Z34" s="288"/>
      <c r="AA34" s="42"/>
    </row>
    <row r="35" spans="2:27" ht="12.6" thickBot="1">
      <c r="B35" s="306" t="s">
        <v>645</v>
      </c>
      <c r="C35" s="265"/>
      <c r="D35" s="265" t="str">
        <f>D5</f>
        <v>2023E</v>
      </c>
      <c r="E35" s="265" t="str">
        <f t="shared" ref="E35:H35" si="7">E5</f>
        <v>2024E</v>
      </c>
      <c r="F35" s="265" t="str">
        <f t="shared" si="7"/>
        <v>2025E</v>
      </c>
      <c r="G35" s="265" t="str">
        <f t="shared" si="7"/>
        <v>2026E</v>
      </c>
      <c r="H35" s="265" t="str">
        <f t="shared" si="7"/>
        <v>23E-26E</v>
      </c>
      <c r="I35" s="254"/>
      <c r="J35" s="5"/>
      <c r="K35" s="5"/>
      <c r="L35" s="5"/>
      <c r="M35" s="5"/>
      <c r="N35" s="5"/>
      <c r="O35" s="5"/>
      <c r="Q35" s="5"/>
      <c r="S35" s="88"/>
      <c r="T35" s="42"/>
      <c r="U35" s="42"/>
      <c r="V35" s="42"/>
      <c r="W35" s="42"/>
      <c r="X35" s="42"/>
      <c r="Y35" s="288"/>
      <c r="Z35" s="288"/>
      <c r="AA35" s="42"/>
    </row>
    <row r="36" spans="2:27" ht="12.6" thickTop="1">
      <c r="B36" s="41"/>
      <c r="C36" s="249"/>
      <c r="D36" s="254"/>
      <c r="E36" s="254"/>
      <c r="F36" s="254"/>
      <c r="G36" s="254"/>
      <c r="H36" s="254"/>
      <c r="I36" s="17"/>
      <c r="J36" s="49"/>
      <c r="K36" s="49"/>
      <c r="L36" s="49"/>
      <c r="M36" s="49"/>
      <c r="N36" s="49"/>
      <c r="O36" s="49"/>
      <c r="Q36" s="5"/>
      <c r="S36" s="88"/>
      <c r="T36" s="42"/>
      <c r="U36" s="42"/>
      <c r="V36" s="42"/>
      <c r="W36" s="42"/>
      <c r="X36" s="42"/>
      <c r="Y36" s="288"/>
      <c r="Z36" s="288"/>
      <c r="AA36" s="42"/>
    </row>
    <row r="37" spans="2:27">
      <c r="B37" s="5" t="s">
        <v>273</v>
      </c>
      <c r="C37" s="247"/>
      <c r="D37" s="529">
        <f t="shared" ref="D37:G41" si="8">D$18/D23</f>
        <v>4.5794459305671005</v>
      </c>
      <c r="E37" s="529">
        <f t="shared" si="8"/>
        <v>3.899250225724292</v>
      </c>
      <c r="F37" s="529">
        <f t="shared" si="8"/>
        <v>3.3596289058070661</v>
      </c>
      <c r="G37" s="529">
        <f t="shared" si="8"/>
        <v>2.9336296200686895</v>
      </c>
      <c r="H37" s="17">
        <f t="shared" ref="H37:H45" si="9">H23</f>
        <v>6.7116376718759252E-2</v>
      </c>
      <c r="I37" s="5"/>
      <c r="J37" s="259"/>
      <c r="K37" s="259"/>
      <c r="L37" s="259"/>
      <c r="M37" s="259"/>
      <c r="N37" s="259"/>
      <c r="O37" s="18"/>
      <c r="Q37" s="5"/>
      <c r="R37" s="5"/>
      <c r="S37" s="42"/>
      <c r="T37" s="42"/>
      <c r="U37" s="42"/>
      <c r="V37" s="42"/>
      <c r="W37" s="42"/>
      <c r="X37" s="42"/>
      <c r="Y37" s="42"/>
      <c r="Z37" s="42"/>
      <c r="AA37" s="42"/>
    </row>
    <row r="38" spans="2:27">
      <c r="B38" s="5" t="s">
        <v>184</v>
      </c>
      <c r="C38" s="247"/>
      <c r="D38" s="529">
        <f t="shared" si="8"/>
        <v>9.2634082450011253</v>
      </c>
      <c r="E38" s="529">
        <f t="shared" si="8"/>
        <v>7.5821646232086337</v>
      </c>
      <c r="F38" s="529">
        <f t="shared" si="8"/>
        <v>6.459665965033909</v>
      </c>
      <c r="G38" s="529">
        <f t="shared" si="8"/>
        <v>5.6254384515686358</v>
      </c>
      <c r="H38" s="17">
        <f t="shared" si="9"/>
        <v>8.6293987917293702E-2</v>
      </c>
      <c r="I38" s="259"/>
      <c r="J38" s="17"/>
      <c r="K38" s="17"/>
      <c r="L38" s="17"/>
      <c r="M38" s="17"/>
      <c r="N38" s="17"/>
      <c r="O38" s="5"/>
      <c r="Q38" s="5"/>
      <c r="R38" s="5"/>
      <c r="S38" s="42"/>
      <c r="T38" s="42"/>
      <c r="U38" s="42"/>
      <c r="V38" s="42"/>
      <c r="W38" s="42"/>
      <c r="X38" s="42"/>
      <c r="Y38" s="42"/>
      <c r="Z38" s="42"/>
      <c r="AA38" s="42"/>
    </row>
    <row r="39" spans="2:27">
      <c r="B39" s="5" t="s">
        <v>185</v>
      </c>
      <c r="C39" s="247"/>
      <c r="D39" s="529">
        <f t="shared" si="8"/>
        <v>15.367583306575698</v>
      </c>
      <c r="E39" s="529">
        <f t="shared" si="8"/>
        <v>9.967626348439433</v>
      </c>
      <c r="F39" s="529">
        <f t="shared" si="8"/>
        <v>8.330895473318142</v>
      </c>
      <c r="G39" s="529">
        <f t="shared" si="8"/>
        <v>7.493431120081901</v>
      </c>
      <c r="H39" s="17">
        <f t="shared" si="9"/>
        <v>0.16873895371596181</v>
      </c>
      <c r="I39" s="17"/>
      <c r="J39" s="5"/>
      <c r="K39" s="5"/>
      <c r="L39" s="5"/>
      <c r="M39" s="5"/>
      <c r="N39" s="5"/>
      <c r="O39" s="5"/>
      <c r="Q39" s="5"/>
      <c r="R39" s="5"/>
      <c r="S39" s="42"/>
      <c r="T39" s="42"/>
      <c r="U39" s="42"/>
      <c r="V39" s="42"/>
      <c r="W39" s="42"/>
      <c r="X39" s="42"/>
      <c r="Y39" s="42"/>
      <c r="Z39" s="42"/>
      <c r="AA39" s="42"/>
    </row>
    <row r="40" spans="2:27">
      <c r="B40" s="5" t="s">
        <v>466</v>
      </c>
      <c r="C40" s="247"/>
      <c r="D40" s="529">
        <f t="shared" si="8"/>
        <v>19.017952317960262</v>
      </c>
      <c r="E40" s="529">
        <f t="shared" si="8"/>
        <v>12.335306003303216</v>
      </c>
      <c r="F40" s="529">
        <f t="shared" si="8"/>
        <v>10.309791052811885</v>
      </c>
      <c r="G40" s="529">
        <f t="shared" si="8"/>
        <v>9.2733979635339345</v>
      </c>
      <c r="H40" s="17">
        <f t="shared" si="9"/>
        <v>0.16873895371596181</v>
      </c>
      <c r="I40" s="5"/>
      <c r="J40" s="259"/>
      <c r="K40" s="259"/>
      <c r="L40" s="259"/>
      <c r="M40" s="259"/>
      <c r="N40" s="259"/>
      <c r="O40" s="18"/>
      <c r="Q40" s="5"/>
      <c r="R40" s="5"/>
      <c r="S40" s="42"/>
      <c r="T40" s="42"/>
      <c r="U40" s="42"/>
      <c r="V40" s="42"/>
      <c r="W40" s="288"/>
      <c r="X40" s="288"/>
      <c r="Y40" s="42"/>
      <c r="Z40" s="42"/>
      <c r="AA40" s="42"/>
    </row>
    <row r="41" spans="2:27">
      <c r="B41" s="5" t="s">
        <v>530</v>
      </c>
      <c r="C41" s="247"/>
      <c r="D41" s="529">
        <f t="shared" si="8"/>
        <v>2.5439682588543913</v>
      </c>
      <c r="E41" s="529">
        <f t="shared" si="8"/>
        <v>2.7317282636465379</v>
      </c>
      <c r="F41" s="529">
        <f t="shared" si="8"/>
        <v>2.7377453768559965</v>
      </c>
      <c r="G41" s="529">
        <f t="shared" si="8"/>
        <v>2.6446017074585848</v>
      </c>
      <c r="H41" s="17">
        <f t="shared" si="9"/>
        <v>-9.1915272113775037E-2</v>
      </c>
      <c r="I41" s="247"/>
      <c r="J41" s="17"/>
      <c r="K41" s="17"/>
      <c r="L41" s="17"/>
      <c r="M41" s="17"/>
      <c r="N41" s="17"/>
      <c r="O41" s="5"/>
      <c r="Q41" s="5"/>
      <c r="R41" s="5"/>
      <c r="S41" s="42"/>
      <c r="T41" s="42"/>
      <c r="U41" s="42"/>
      <c r="V41" s="42"/>
      <c r="W41" s="288"/>
      <c r="X41" s="288"/>
      <c r="Y41" s="288"/>
      <c r="Z41" s="288"/>
      <c r="AA41" s="42"/>
    </row>
    <row r="42" spans="2:27">
      <c r="B42" s="5" t="s">
        <v>593</v>
      </c>
      <c r="C42" s="247"/>
      <c r="D42" s="529">
        <f>D18/D28</f>
        <v>6.2125409042420223</v>
      </c>
      <c r="E42" s="529">
        <f>E18/E28</f>
        <v>6.8261939980553201</v>
      </c>
      <c r="F42" s="529">
        <f>F18/F28</f>
        <v>6.9198191958503399</v>
      </c>
      <c r="G42" s="529">
        <f>G18/G28</f>
        <v>6.5169676425289591</v>
      </c>
      <c r="H42" s="17">
        <f t="shared" si="9"/>
        <v>-9.4648693737996559E-2</v>
      </c>
      <c r="I42" s="248"/>
      <c r="J42" s="5"/>
      <c r="K42" s="5"/>
      <c r="L42" s="5"/>
      <c r="M42" s="5"/>
      <c r="N42" s="5"/>
      <c r="O42" s="5"/>
      <c r="Q42" s="5"/>
      <c r="R42" s="5"/>
      <c r="S42" s="42"/>
      <c r="T42" s="42"/>
      <c r="U42" s="42"/>
      <c r="V42" s="42"/>
      <c r="W42" s="288"/>
      <c r="X42" s="288"/>
      <c r="Y42" s="288"/>
      <c r="Z42" s="288"/>
      <c r="AA42" s="42"/>
    </row>
    <row r="43" spans="2:27">
      <c r="B43" s="5" t="s">
        <v>475</v>
      </c>
      <c r="C43" s="247"/>
      <c r="D43" s="529">
        <f>L26/D29</f>
        <v>14.240856832219112</v>
      </c>
      <c r="E43" s="529">
        <f>M26/E29</f>
        <v>9.0402704722595892</v>
      </c>
      <c r="F43" s="529">
        <f>N26/F29</f>
        <v>8.4380697186417102</v>
      </c>
      <c r="G43" s="529">
        <f>O26/G29</f>
        <v>8.5900528454162597</v>
      </c>
      <c r="H43" s="17">
        <f t="shared" si="9"/>
        <v>0.18353224573047422</v>
      </c>
      <c r="I43" s="247"/>
      <c r="J43" s="247"/>
      <c r="K43" s="247"/>
      <c r="L43" s="247"/>
      <c r="M43" s="247"/>
      <c r="N43" s="247"/>
      <c r="O43" s="18"/>
      <c r="Q43" s="5"/>
      <c r="R43" s="5"/>
      <c r="S43" s="42"/>
      <c r="T43" s="42"/>
      <c r="U43" s="42"/>
      <c r="V43" s="42"/>
      <c r="W43" s="288"/>
      <c r="X43" s="288"/>
      <c r="Y43" s="288"/>
      <c r="Z43" s="288"/>
      <c r="AA43" s="42"/>
    </row>
    <row r="44" spans="2:27">
      <c r="B44" s="5" t="s">
        <v>533</v>
      </c>
      <c r="C44" s="69"/>
      <c r="D44" s="529">
        <f>D11/D30</f>
        <v>21.291464571983521</v>
      </c>
      <c r="E44" s="529">
        <f>E11/E30</f>
        <v>18.54589421590557</v>
      </c>
      <c r="F44" s="529">
        <f>F11/F30</f>
        <v>13.378597532634984</v>
      </c>
      <c r="G44" s="529">
        <f>G11/G30</f>
        <v>11.327451325260135</v>
      </c>
      <c r="H44" s="17">
        <f t="shared" si="9"/>
        <v>0.23412109882484144</v>
      </c>
      <c r="I44" s="247"/>
      <c r="J44" s="248"/>
      <c r="K44" s="248"/>
      <c r="L44" s="248"/>
      <c r="M44" s="248"/>
      <c r="N44" s="248"/>
      <c r="O44" s="248"/>
      <c r="Q44" s="5"/>
      <c r="R44" s="5"/>
      <c r="S44" s="42"/>
      <c r="T44" s="42"/>
      <c r="U44" s="42"/>
      <c r="V44" s="42"/>
      <c r="W44" s="325"/>
      <c r="X44" s="325"/>
      <c r="Y44" s="288"/>
      <c r="Z44" s="288"/>
      <c r="AA44" s="42"/>
    </row>
    <row r="45" spans="2:27">
      <c r="B45" s="5" t="s">
        <v>580</v>
      </c>
      <c r="C45" s="247"/>
      <c r="D45" s="248">
        <f>D31/D11</f>
        <v>4.1594202898550724E-2</v>
      </c>
      <c r="E45" s="248">
        <f>E31/E11</f>
        <v>4.9698808110919909E-2</v>
      </c>
      <c r="F45" s="248">
        <f>F31/F11</f>
        <v>6.8032133888629026E-2</v>
      </c>
      <c r="G45" s="248">
        <f>G31/G11</f>
        <v>7.994702424481899E-2</v>
      </c>
      <c r="H45" s="17">
        <f t="shared" si="9"/>
        <v>0.24333979009018925</v>
      </c>
      <c r="I45" s="248"/>
      <c r="J45" s="247"/>
      <c r="K45" s="247"/>
      <c r="L45" s="247"/>
      <c r="M45" s="247"/>
      <c r="N45" s="247"/>
      <c r="O45" s="248"/>
      <c r="Q45" s="5"/>
      <c r="R45" s="5"/>
      <c r="S45" s="42"/>
      <c r="T45" s="42"/>
      <c r="U45" s="42"/>
      <c r="V45" s="42"/>
      <c r="W45" s="42"/>
      <c r="X45" s="42"/>
      <c r="Y45" s="325"/>
      <c r="Z45" s="325"/>
      <c r="AA45" s="42"/>
    </row>
    <row r="46" spans="2:27">
      <c r="B46" s="5" t="s">
        <v>605</v>
      </c>
      <c r="C46" s="247"/>
      <c r="D46" s="248">
        <f>(D31+D32)/D11</f>
        <v>4.1594202898550724E-2</v>
      </c>
      <c r="E46" s="248">
        <f>(E31+E32)/E11</f>
        <v>4.9698808110919909E-2</v>
      </c>
      <c r="F46" s="248">
        <f>(F31+F32)/F11</f>
        <v>6.8032133888629026E-2</v>
      </c>
      <c r="G46" s="248">
        <f>(G31+G32)/G11</f>
        <v>7.994702424481899E-2</v>
      </c>
      <c r="H46" s="279">
        <f>((G31+G32)/(D31+D32))^(1/3)-1</f>
        <v>0.24333979009018925</v>
      </c>
      <c r="I46" s="247"/>
      <c r="J46" s="247"/>
      <c r="K46" s="247"/>
      <c r="L46" s="247"/>
      <c r="M46" s="247"/>
      <c r="N46" s="247"/>
      <c r="O46" s="18"/>
      <c r="Q46" s="5"/>
      <c r="R46" s="5"/>
      <c r="S46" s="42"/>
      <c r="T46" s="42"/>
      <c r="U46" s="42"/>
      <c r="V46" s="42"/>
      <c r="W46" s="42"/>
      <c r="X46" s="42"/>
      <c r="Y46" s="42"/>
      <c r="Z46" s="42"/>
      <c r="AA46" s="326"/>
    </row>
    <row r="47" spans="2:27">
      <c r="B47" s="5" t="s">
        <v>581</v>
      </c>
      <c r="C47" s="5"/>
      <c r="D47" s="248">
        <f>1/D43</f>
        <v>7.0220493877696882E-2</v>
      </c>
      <c r="E47" s="248">
        <f>1/E43</f>
        <v>0.11061615944661586</v>
      </c>
      <c r="F47" s="248">
        <f>1/F43</f>
        <v>0.1185105164266137</v>
      </c>
      <c r="G47" s="248">
        <f>1/G43</f>
        <v>0.11641371921636201</v>
      </c>
      <c r="H47" s="17">
        <f>H29</f>
        <v>0.18353224573047422</v>
      </c>
      <c r="I47" s="17"/>
      <c r="J47" s="248"/>
      <c r="K47" s="248"/>
      <c r="L47" s="248"/>
      <c r="M47" s="248"/>
      <c r="N47" s="248"/>
      <c r="O47" s="248"/>
      <c r="Q47" s="5"/>
      <c r="R47" s="5"/>
      <c r="S47" s="42"/>
      <c r="T47" s="42"/>
      <c r="U47" s="42"/>
      <c r="V47" s="42"/>
      <c r="W47" s="42"/>
      <c r="X47" s="42"/>
      <c r="Y47" s="42"/>
      <c r="Z47" s="42"/>
      <c r="AA47" s="326"/>
    </row>
    <row r="48" spans="2:27">
      <c r="B48" s="5" t="s">
        <v>618</v>
      </c>
      <c r="C48" s="257"/>
      <c r="D48" s="305">
        <f>D31/D29</f>
        <v>0.59233708852853406</v>
      </c>
      <c r="E48" s="305">
        <f>E31/E29</f>
        <v>0.4492906674716447</v>
      </c>
      <c r="F48" s="305">
        <f>F31/F29</f>
        <v>0.57405988886021908</v>
      </c>
      <c r="G48" s="305">
        <f>G31/G29</f>
        <v>0.68674916309676992</v>
      </c>
      <c r="H48" s="279" t="s">
        <v>607</v>
      </c>
      <c r="I48" s="247"/>
      <c r="J48" s="247"/>
      <c r="K48" s="247"/>
      <c r="L48" s="247"/>
      <c r="M48" s="247"/>
      <c r="N48" s="247"/>
      <c r="O48" s="248"/>
      <c r="Q48" s="5"/>
      <c r="R48" s="5"/>
      <c r="S48" s="42"/>
      <c r="T48" s="42"/>
      <c r="U48" s="42"/>
      <c r="V48" s="42"/>
      <c r="W48" s="42"/>
      <c r="X48" s="42"/>
      <c r="Y48" s="42"/>
      <c r="Z48" s="42"/>
      <c r="AA48" s="326"/>
    </row>
    <row r="49" spans="2:27">
      <c r="B49" s="41"/>
      <c r="C49" s="17"/>
      <c r="D49" s="17"/>
      <c r="E49" s="17"/>
      <c r="F49" s="17"/>
      <c r="G49" s="17"/>
      <c r="H49" s="17"/>
      <c r="I49" s="254"/>
      <c r="J49" s="17"/>
      <c r="K49" s="17"/>
      <c r="L49" s="17"/>
      <c r="M49" s="17"/>
      <c r="N49" s="17"/>
      <c r="O49" s="248"/>
      <c r="Q49" s="5"/>
      <c r="R49" s="5"/>
      <c r="S49" s="42"/>
      <c r="T49" s="42"/>
      <c r="U49" s="42"/>
      <c r="V49" s="42"/>
      <c r="W49" s="42"/>
      <c r="X49" s="42"/>
      <c r="Y49" s="42"/>
      <c r="Z49" s="42"/>
      <c r="AA49" s="326"/>
    </row>
    <row r="50" spans="2:27">
      <c r="B50" s="5"/>
      <c r="C50" s="257"/>
      <c r="D50" s="257"/>
      <c r="E50" s="257"/>
      <c r="F50" s="5"/>
      <c r="G50" s="41"/>
      <c r="H50" s="249"/>
      <c r="I50" s="17"/>
      <c r="J50" s="249"/>
      <c r="K50" s="249"/>
      <c r="L50" s="249"/>
      <c r="M50" s="249"/>
      <c r="N50" s="249"/>
      <c r="O50" s="250"/>
      <c r="Q50" s="5"/>
      <c r="R50" s="5"/>
      <c r="S50" s="42"/>
      <c r="T50" s="42"/>
      <c r="U50" s="42"/>
      <c r="V50" s="42"/>
      <c r="W50" s="288"/>
      <c r="X50" s="288"/>
      <c r="Y50" s="42"/>
      <c r="Z50" s="42"/>
      <c r="AA50" s="326"/>
    </row>
    <row r="51" spans="2:27">
      <c r="B51" s="41"/>
      <c r="C51" s="249"/>
      <c r="D51" s="254"/>
      <c r="E51" s="254"/>
      <c r="F51" s="254"/>
      <c r="G51" s="254"/>
      <c r="H51" s="254"/>
      <c r="I51" s="259"/>
      <c r="J51" s="254"/>
      <c r="K51" s="254"/>
      <c r="L51" s="254"/>
      <c r="M51" s="254"/>
      <c r="N51" s="254"/>
      <c r="O51" s="251"/>
      <c r="Q51" s="5"/>
      <c r="R51" s="5"/>
      <c r="S51" s="42"/>
      <c r="T51" s="42"/>
      <c r="U51" s="42"/>
      <c r="V51" s="42"/>
      <c r="W51" s="288"/>
      <c r="X51" s="288"/>
      <c r="Y51" s="288"/>
      <c r="Z51" s="288"/>
      <c r="AA51" s="42"/>
    </row>
    <row r="52" spans="2:27">
      <c r="B52" s="5"/>
      <c r="C52" s="257"/>
      <c r="D52" s="17"/>
      <c r="E52" s="17"/>
      <c r="F52" s="17"/>
      <c r="G52" s="17"/>
      <c r="H52" s="17"/>
      <c r="I52" s="254"/>
      <c r="J52" s="17"/>
      <c r="K52" s="17"/>
      <c r="L52" s="17"/>
      <c r="M52" s="17"/>
      <c r="N52" s="17"/>
      <c r="O52" s="248"/>
      <c r="Q52" s="5"/>
      <c r="R52" s="5"/>
      <c r="S52" s="5"/>
      <c r="Y52" s="10"/>
      <c r="Z52" s="10"/>
    </row>
    <row r="53" spans="2:27">
      <c r="B53" s="5"/>
      <c r="C53" s="257"/>
      <c r="D53" s="257"/>
      <c r="E53" s="257"/>
      <c r="F53" s="5"/>
      <c r="G53" s="5"/>
      <c r="H53" s="259"/>
      <c r="I53" s="17"/>
      <c r="J53" s="259"/>
      <c r="K53" s="259"/>
      <c r="L53" s="259"/>
      <c r="M53" s="259"/>
      <c r="N53" s="259"/>
      <c r="O53" s="18"/>
      <c r="Q53" s="5"/>
      <c r="R53" s="5"/>
      <c r="S53" s="5"/>
    </row>
    <row r="54" spans="2:27">
      <c r="B54" s="41"/>
      <c r="C54" s="249"/>
      <c r="D54" s="254"/>
      <c r="E54" s="254"/>
      <c r="F54" s="254"/>
      <c r="G54" s="254"/>
      <c r="H54" s="254"/>
      <c r="I54" s="259"/>
      <c r="J54" s="254"/>
      <c r="K54" s="254"/>
      <c r="L54" s="254"/>
      <c r="M54" s="254"/>
      <c r="N54" s="254"/>
      <c r="O54" s="251"/>
      <c r="Q54" s="5"/>
      <c r="R54" s="5"/>
      <c r="S54" s="5"/>
    </row>
    <row r="55" spans="2:27">
      <c r="B55" s="5"/>
      <c r="C55" s="257"/>
      <c r="D55" s="17"/>
      <c r="E55" s="17"/>
      <c r="F55" s="17"/>
      <c r="G55" s="17"/>
      <c r="H55" s="17"/>
      <c r="I55" s="249"/>
      <c r="J55" s="17"/>
      <c r="K55" s="17"/>
      <c r="L55" s="17"/>
      <c r="M55" s="17"/>
      <c r="N55" s="17"/>
      <c r="O55" s="18"/>
      <c r="Q55" s="5"/>
      <c r="R55" s="5"/>
      <c r="S55" s="5"/>
    </row>
    <row r="56" spans="2:27">
      <c r="B56" s="5"/>
      <c r="C56" s="248"/>
      <c r="D56" s="248"/>
      <c r="E56" s="248"/>
      <c r="F56" s="5"/>
      <c r="G56" s="5"/>
      <c r="H56" s="259"/>
      <c r="I56" s="248"/>
      <c r="J56" s="259"/>
      <c r="K56" s="259"/>
      <c r="L56" s="259"/>
      <c r="M56" s="259"/>
      <c r="N56" s="259"/>
      <c r="O56" s="18"/>
      <c r="Q56" s="5"/>
      <c r="R56" s="5"/>
      <c r="S56" s="5"/>
    </row>
    <row r="57" spans="2:27">
      <c r="B57" s="41"/>
      <c r="C57" s="249"/>
      <c r="D57" s="249"/>
      <c r="E57" s="249"/>
      <c r="F57" s="249"/>
      <c r="G57" s="249"/>
      <c r="H57" s="249"/>
      <c r="I57" s="5"/>
      <c r="J57" s="249"/>
      <c r="K57" s="249"/>
      <c r="L57" s="249"/>
      <c r="M57" s="249"/>
      <c r="N57" s="249"/>
      <c r="O57" s="251"/>
      <c r="Q57" s="5"/>
      <c r="R57" s="5"/>
      <c r="S57" s="5"/>
    </row>
    <row r="58" spans="2:27">
      <c r="B58" s="5"/>
      <c r="C58" s="5"/>
      <c r="D58" s="248"/>
      <c r="E58" s="248"/>
      <c r="F58" s="248"/>
      <c r="G58" s="248"/>
      <c r="H58" s="248"/>
      <c r="I58" s="17"/>
      <c r="J58" s="248"/>
      <c r="K58" s="248"/>
      <c r="L58" s="248"/>
      <c r="M58" s="248"/>
      <c r="N58" s="248"/>
      <c r="O58" s="18"/>
      <c r="Q58" s="5"/>
      <c r="R58" s="5"/>
      <c r="S58" s="5"/>
    </row>
    <row r="59" spans="2:27">
      <c r="B59" s="5"/>
      <c r="C59" s="5"/>
      <c r="D59" s="5"/>
      <c r="E59" s="5"/>
      <c r="F59" s="5"/>
      <c r="G59" s="5"/>
      <c r="H59" s="5"/>
      <c r="I59" s="5"/>
      <c r="J59" s="5"/>
      <c r="K59" s="5"/>
      <c r="L59" s="5"/>
      <c r="M59" s="5"/>
      <c r="N59" s="5"/>
      <c r="O59" s="5"/>
      <c r="Q59" s="5"/>
      <c r="R59" s="5"/>
      <c r="S59" s="5"/>
    </row>
    <row r="60" spans="2:27">
      <c r="B60" s="41"/>
      <c r="C60" s="17"/>
      <c r="D60" s="17"/>
      <c r="E60" s="17"/>
      <c r="F60" s="17"/>
      <c r="G60" s="17"/>
      <c r="H60" s="17"/>
      <c r="I60" s="249"/>
      <c r="J60" s="17"/>
      <c r="K60" s="17"/>
      <c r="L60" s="17"/>
      <c r="M60" s="17"/>
      <c r="N60" s="17"/>
      <c r="O60" s="251"/>
      <c r="Q60" s="5"/>
      <c r="R60" s="5"/>
      <c r="S60" s="5"/>
    </row>
    <row r="61" spans="2:27">
      <c r="B61" s="5"/>
      <c r="C61" s="5"/>
      <c r="D61" s="5"/>
      <c r="E61" s="5"/>
      <c r="F61" s="5"/>
      <c r="G61" s="5"/>
      <c r="H61" s="5"/>
      <c r="I61" s="5"/>
      <c r="J61" s="5"/>
      <c r="K61" s="5"/>
      <c r="L61" s="5"/>
      <c r="M61" s="5"/>
      <c r="N61" s="5"/>
      <c r="O61" s="5"/>
      <c r="Q61" s="41"/>
      <c r="R61" s="5"/>
      <c r="S61" s="5"/>
    </row>
    <row r="62" spans="2:27">
      <c r="B62" s="41"/>
      <c r="C62" s="249"/>
      <c r="D62" s="249"/>
      <c r="E62" s="249"/>
      <c r="F62" s="249"/>
      <c r="G62" s="249"/>
      <c r="H62" s="249"/>
      <c r="I62" s="5"/>
      <c r="J62" s="249"/>
      <c r="K62" s="249"/>
      <c r="L62" s="249"/>
      <c r="M62" s="249"/>
      <c r="N62" s="249"/>
      <c r="O62" s="251"/>
      <c r="Q62" s="5"/>
      <c r="R62" s="5"/>
      <c r="S62" s="5"/>
    </row>
    <row r="63" spans="2:27">
      <c r="B63" s="5"/>
      <c r="C63" s="5"/>
      <c r="D63" s="5"/>
      <c r="E63" s="5"/>
      <c r="F63" s="5"/>
      <c r="G63" s="5"/>
      <c r="H63" s="5"/>
      <c r="I63" s="254"/>
      <c r="J63" s="5"/>
      <c r="K63" s="5"/>
      <c r="L63" s="5"/>
      <c r="M63" s="5"/>
      <c r="N63" s="5"/>
      <c r="O63" s="5"/>
      <c r="Q63" s="5"/>
      <c r="R63" s="5"/>
      <c r="S63" s="5"/>
    </row>
    <row r="64" spans="2:27">
      <c r="B64" s="5"/>
      <c r="C64" s="5"/>
      <c r="D64" s="5"/>
      <c r="E64" s="5"/>
      <c r="F64" s="5"/>
      <c r="G64" s="5"/>
      <c r="H64" s="5"/>
      <c r="I64" s="17"/>
      <c r="J64" s="5"/>
      <c r="K64" s="5"/>
      <c r="L64" s="5"/>
      <c r="M64" s="5"/>
      <c r="N64" s="5"/>
      <c r="O64" s="5"/>
      <c r="Q64" s="5"/>
      <c r="R64" s="5"/>
      <c r="S64" s="5"/>
    </row>
    <row r="65" spans="2:26">
      <c r="B65" s="41"/>
      <c r="C65" s="249"/>
      <c r="D65" s="254"/>
      <c r="E65" s="254"/>
      <c r="F65" s="254"/>
      <c r="G65" s="254"/>
      <c r="H65" s="254"/>
      <c r="I65" s="254"/>
      <c r="J65" s="254"/>
      <c r="K65" s="254"/>
      <c r="L65" s="254"/>
      <c r="M65" s="254"/>
      <c r="N65" s="254"/>
      <c r="O65" s="251"/>
      <c r="Q65" s="5"/>
      <c r="R65" s="5"/>
      <c r="S65" s="5"/>
    </row>
    <row r="66" spans="2:26">
      <c r="B66" s="5"/>
      <c r="C66" s="5"/>
      <c r="D66" s="17"/>
      <c r="E66" s="17"/>
      <c r="F66" s="17"/>
      <c r="G66" s="17"/>
      <c r="H66" s="17"/>
      <c r="I66" s="248"/>
      <c r="J66" s="17"/>
      <c r="K66" s="17"/>
      <c r="L66" s="17"/>
      <c r="M66" s="17"/>
      <c r="N66" s="17"/>
      <c r="O66" s="5"/>
      <c r="Q66" s="5"/>
      <c r="R66" s="5"/>
      <c r="S66" s="5"/>
    </row>
    <row r="67" spans="2:26">
      <c r="B67" s="41"/>
      <c r="C67" s="249"/>
      <c r="D67" s="254"/>
      <c r="E67" s="254"/>
      <c r="F67" s="254"/>
      <c r="G67" s="254"/>
      <c r="H67" s="254"/>
      <c r="I67" s="5"/>
      <c r="J67" s="254"/>
      <c r="K67" s="254"/>
      <c r="L67" s="254"/>
      <c r="M67" s="254"/>
      <c r="N67" s="254"/>
      <c r="O67" s="251"/>
      <c r="Q67" s="41"/>
      <c r="R67" s="5"/>
      <c r="S67" s="5"/>
    </row>
    <row r="68" spans="2:26">
      <c r="B68" s="5"/>
      <c r="C68" s="5"/>
      <c r="D68" s="248"/>
      <c r="E68" s="248"/>
      <c r="F68" s="248"/>
      <c r="G68" s="248"/>
      <c r="H68" s="248"/>
      <c r="I68" s="245"/>
      <c r="J68" s="248"/>
      <c r="K68" s="248"/>
      <c r="L68" s="248"/>
      <c r="M68" s="248"/>
      <c r="N68" s="248"/>
      <c r="O68" s="5"/>
      <c r="Q68" s="5"/>
      <c r="R68" s="5"/>
      <c r="S68" s="5"/>
    </row>
    <row r="69" spans="2:26">
      <c r="B69" s="41"/>
      <c r="C69" s="5"/>
      <c r="D69" s="5"/>
      <c r="E69" s="5"/>
      <c r="F69" s="5"/>
      <c r="G69" s="5"/>
      <c r="H69" s="5"/>
      <c r="I69" s="248"/>
      <c r="J69" s="5"/>
      <c r="K69" s="5"/>
      <c r="L69" s="5"/>
      <c r="M69" s="5"/>
      <c r="N69" s="5"/>
      <c r="O69" s="5"/>
      <c r="Q69" s="5"/>
      <c r="R69" s="5"/>
      <c r="S69" s="5"/>
    </row>
    <row r="70" spans="2:26">
      <c r="B70" s="41"/>
      <c r="C70" s="245"/>
      <c r="D70" s="245"/>
      <c r="E70" s="245"/>
      <c r="F70" s="245"/>
      <c r="G70" s="245"/>
      <c r="H70" s="245"/>
      <c r="I70" s="5"/>
      <c r="J70" s="245"/>
      <c r="K70" s="245"/>
      <c r="L70" s="245"/>
      <c r="M70" s="245"/>
      <c r="N70" s="245"/>
      <c r="O70" s="251"/>
      <c r="Q70" s="5"/>
      <c r="R70" s="5"/>
      <c r="S70" s="5"/>
      <c r="W70" s="76"/>
      <c r="X70" s="76"/>
    </row>
    <row r="71" spans="2:26">
      <c r="B71" s="5"/>
      <c r="C71" s="5"/>
      <c r="D71" s="248"/>
      <c r="E71" s="248"/>
      <c r="F71" s="248"/>
      <c r="G71" s="248"/>
      <c r="H71" s="248"/>
      <c r="I71" s="245"/>
      <c r="J71" s="248"/>
      <c r="K71" s="248"/>
      <c r="L71" s="248"/>
      <c r="M71" s="248"/>
      <c r="N71" s="248"/>
      <c r="O71" s="5"/>
      <c r="Q71" s="5"/>
      <c r="R71" s="5"/>
      <c r="S71" s="5"/>
      <c r="W71" s="76"/>
      <c r="X71" s="76"/>
      <c r="Y71" s="76"/>
      <c r="Z71" s="76"/>
    </row>
    <row r="72" spans="2:26">
      <c r="B72" s="41"/>
      <c r="C72" s="5"/>
      <c r="D72" s="5"/>
      <c r="E72" s="5"/>
      <c r="F72" s="5"/>
      <c r="G72" s="5"/>
      <c r="H72" s="5"/>
      <c r="I72" s="18"/>
      <c r="J72" s="5"/>
      <c r="K72" s="5"/>
      <c r="L72" s="5"/>
      <c r="M72" s="5"/>
      <c r="N72" s="5"/>
      <c r="O72" s="5"/>
      <c r="Q72" s="5"/>
      <c r="R72" s="5"/>
      <c r="S72" s="5"/>
      <c r="Y72" s="76"/>
      <c r="Z72" s="76"/>
    </row>
    <row r="73" spans="2:26">
      <c r="B73" s="41"/>
      <c r="C73" s="245"/>
      <c r="D73" s="245"/>
      <c r="E73" s="245"/>
      <c r="F73" s="245"/>
      <c r="G73" s="245"/>
      <c r="H73" s="245"/>
      <c r="I73" s="5"/>
      <c r="J73" s="245"/>
      <c r="K73" s="245"/>
      <c r="L73" s="245"/>
      <c r="M73" s="245"/>
      <c r="N73" s="245"/>
      <c r="O73" s="251"/>
      <c r="Q73" s="5"/>
      <c r="R73" s="5"/>
      <c r="S73" s="5"/>
    </row>
    <row r="74" spans="2:26">
      <c r="B74" s="5"/>
      <c r="C74" s="5"/>
      <c r="D74" s="18"/>
      <c r="E74" s="18"/>
      <c r="F74" s="18"/>
      <c r="G74" s="18"/>
      <c r="H74" s="18"/>
      <c r="I74" s="249"/>
      <c r="J74" s="18"/>
      <c r="K74" s="18"/>
      <c r="L74" s="18"/>
      <c r="M74" s="18"/>
      <c r="N74" s="18"/>
      <c r="O74" s="5"/>
      <c r="Q74" s="5"/>
      <c r="R74" s="5"/>
      <c r="S74" s="5"/>
    </row>
    <row r="75" spans="2:26">
      <c r="B75" s="41"/>
      <c r="C75" s="5"/>
      <c r="D75" s="5"/>
      <c r="E75" s="5"/>
      <c r="F75" s="5"/>
      <c r="G75" s="5"/>
      <c r="H75" s="5"/>
      <c r="I75" s="248"/>
      <c r="J75" s="5"/>
      <c r="K75" s="5"/>
      <c r="L75" s="5"/>
      <c r="M75" s="5"/>
      <c r="N75" s="5"/>
      <c r="O75" s="5"/>
      <c r="Q75" s="5"/>
      <c r="R75" s="5"/>
      <c r="S75" s="5"/>
    </row>
    <row r="76" spans="2:26">
      <c r="B76" s="41"/>
      <c r="C76" s="249"/>
      <c r="D76" s="249"/>
      <c r="E76" s="249"/>
      <c r="F76" s="249"/>
      <c r="G76" s="249"/>
      <c r="H76" s="249"/>
      <c r="I76" s="5"/>
      <c r="J76" s="249"/>
      <c r="K76" s="249"/>
      <c r="L76" s="249"/>
      <c r="M76" s="249"/>
      <c r="N76" s="249"/>
      <c r="O76" s="251"/>
      <c r="Q76" s="5"/>
      <c r="R76" s="5"/>
      <c r="S76" s="5"/>
    </row>
    <row r="77" spans="2:26">
      <c r="B77" s="5"/>
      <c r="C77" s="5"/>
      <c r="D77" s="248"/>
      <c r="E77" s="248"/>
      <c r="F77" s="248"/>
      <c r="G77" s="248"/>
      <c r="H77" s="248"/>
      <c r="I77" s="245"/>
      <c r="J77" s="248"/>
      <c r="K77" s="248"/>
      <c r="L77" s="248"/>
      <c r="M77" s="248"/>
      <c r="N77" s="248"/>
      <c r="O77" s="5"/>
      <c r="Q77" s="5"/>
      <c r="R77" s="5"/>
      <c r="S77" s="5"/>
    </row>
    <row r="78" spans="2:26">
      <c r="B78" s="41"/>
      <c r="C78" s="5"/>
      <c r="D78" s="5"/>
      <c r="E78" s="5"/>
      <c r="F78" s="5"/>
      <c r="G78" s="5"/>
      <c r="H78" s="5"/>
      <c r="I78" s="248"/>
      <c r="J78" s="5"/>
      <c r="K78" s="5"/>
      <c r="L78" s="5"/>
      <c r="M78" s="5"/>
      <c r="N78" s="5"/>
      <c r="O78" s="5"/>
      <c r="Q78" s="5"/>
      <c r="R78" s="5"/>
      <c r="S78" s="5"/>
    </row>
    <row r="79" spans="2:26">
      <c r="B79" s="41"/>
      <c r="C79" s="245"/>
      <c r="D79" s="245"/>
      <c r="E79" s="245"/>
      <c r="F79" s="245"/>
      <c r="G79" s="245"/>
      <c r="H79" s="245"/>
      <c r="I79" s="5"/>
      <c r="J79" s="245"/>
      <c r="K79" s="245"/>
      <c r="L79" s="245"/>
      <c r="M79" s="245"/>
      <c r="N79" s="245"/>
      <c r="O79" s="251"/>
      <c r="Q79" s="5"/>
      <c r="R79" s="5"/>
      <c r="S79" s="5"/>
    </row>
    <row r="80" spans="2:26">
      <c r="B80" s="5"/>
      <c r="C80" s="5"/>
      <c r="D80" s="248"/>
      <c r="E80" s="248"/>
      <c r="F80" s="248"/>
      <c r="G80" s="248"/>
      <c r="H80" s="248"/>
      <c r="I80" s="249"/>
      <c r="J80" s="248"/>
      <c r="K80" s="248"/>
      <c r="L80" s="248"/>
      <c r="M80" s="248"/>
      <c r="N80" s="248"/>
      <c r="O80" s="5"/>
      <c r="Q80" s="5"/>
      <c r="R80" s="5"/>
      <c r="S80" s="5"/>
    </row>
    <row r="81" spans="2:26">
      <c r="B81" s="41"/>
      <c r="C81" s="5"/>
      <c r="D81" s="5"/>
      <c r="E81" s="5"/>
      <c r="F81" s="5"/>
      <c r="G81" s="5"/>
      <c r="H81" s="5"/>
      <c r="I81" s="248"/>
      <c r="J81" s="5"/>
      <c r="K81" s="5"/>
      <c r="L81" s="5"/>
      <c r="M81" s="5"/>
      <c r="N81" s="5"/>
      <c r="O81" s="5"/>
      <c r="Q81" s="5"/>
      <c r="R81" s="5"/>
      <c r="S81" s="5"/>
    </row>
    <row r="82" spans="2:26">
      <c r="B82" s="41"/>
      <c r="C82" s="249"/>
      <c r="D82" s="249"/>
      <c r="E82" s="249"/>
      <c r="F82" s="249"/>
      <c r="G82" s="249"/>
      <c r="H82" s="249"/>
      <c r="I82" s="259"/>
      <c r="J82" s="249"/>
      <c r="K82" s="249"/>
      <c r="L82" s="249"/>
      <c r="M82" s="249"/>
      <c r="N82" s="249"/>
      <c r="O82" s="251"/>
      <c r="Q82" s="5"/>
      <c r="R82" s="5"/>
      <c r="S82" s="5"/>
    </row>
    <row r="83" spans="2:26">
      <c r="B83" s="5"/>
      <c r="C83" s="5"/>
      <c r="D83" s="248"/>
      <c r="E83" s="248"/>
      <c r="F83" s="248"/>
      <c r="G83" s="248"/>
      <c r="H83" s="248"/>
      <c r="I83" s="5"/>
      <c r="J83" s="248"/>
      <c r="K83" s="248"/>
      <c r="L83" s="248"/>
      <c r="M83" s="248"/>
      <c r="N83" s="248"/>
      <c r="O83" s="5"/>
      <c r="Q83" s="5"/>
      <c r="R83" s="5"/>
      <c r="S83" s="5"/>
    </row>
    <row r="84" spans="2:26">
      <c r="B84" s="5"/>
      <c r="C84" s="259"/>
      <c r="D84" s="259"/>
      <c r="E84" s="259"/>
      <c r="F84" s="259"/>
      <c r="G84" s="259"/>
      <c r="H84" s="259"/>
      <c r="I84" s="245"/>
      <c r="J84" s="259"/>
      <c r="K84" s="259"/>
      <c r="L84" s="259"/>
      <c r="M84" s="259"/>
      <c r="N84" s="259"/>
      <c r="O84" s="251"/>
      <c r="Q84" s="5"/>
      <c r="R84" s="5"/>
      <c r="S84" s="5"/>
    </row>
    <row r="85" spans="2:26">
      <c r="B85" s="41"/>
      <c r="C85" s="5"/>
      <c r="D85" s="5"/>
      <c r="E85" s="5"/>
      <c r="F85" s="5"/>
      <c r="G85" s="5"/>
      <c r="H85" s="5"/>
      <c r="I85" s="248"/>
      <c r="J85" s="5"/>
      <c r="K85" s="5"/>
      <c r="L85" s="5"/>
      <c r="M85" s="5"/>
      <c r="N85" s="5"/>
      <c r="O85" s="5"/>
      <c r="Q85" s="5"/>
      <c r="R85" s="5"/>
      <c r="S85" s="5"/>
    </row>
    <row r="86" spans="2:26">
      <c r="B86" s="41"/>
      <c r="C86" s="245"/>
      <c r="D86" s="245"/>
      <c r="E86" s="245"/>
      <c r="F86" s="245"/>
      <c r="G86" s="245"/>
      <c r="H86" s="245"/>
      <c r="I86" s="5"/>
      <c r="J86" s="245"/>
      <c r="K86" s="245"/>
      <c r="L86" s="245"/>
      <c r="M86" s="245"/>
      <c r="N86" s="245"/>
      <c r="O86" s="251"/>
      <c r="Q86" s="5"/>
      <c r="R86" s="5"/>
      <c r="S86" s="5"/>
    </row>
    <row r="87" spans="2:26">
      <c r="B87" s="5"/>
      <c r="C87" s="5"/>
      <c r="D87" s="248"/>
      <c r="E87" s="248"/>
      <c r="F87" s="248"/>
      <c r="G87" s="248"/>
      <c r="H87" s="248"/>
      <c r="I87" s="5"/>
      <c r="J87" s="248"/>
      <c r="K87" s="248"/>
      <c r="L87" s="248"/>
      <c r="M87" s="248"/>
      <c r="N87" s="248"/>
      <c r="O87" s="5"/>
      <c r="Q87" s="5"/>
      <c r="R87" s="5"/>
      <c r="S87" s="5"/>
    </row>
    <row r="88" spans="2:26">
      <c r="B88" s="41"/>
      <c r="C88" s="5"/>
      <c r="D88" s="5"/>
      <c r="E88" s="5"/>
      <c r="F88" s="5"/>
      <c r="G88" s="5"/>
      <c r="H88" s="5"/>
      <c r="I88" s="5"/>
      <c r="J88" s="5"/>
      <c r="K88" s="5"/>
      <c r="L88" s="5"/>
      <c r="M88" s="5"/>
      <c r="N88" s="5"/>
      <c r="O88" s="5"/>
      <c r="Q88" s="5"/>
      <c r="R88" s="5"/>
      <c r="S88" s="5"/>
    </row>
    <row r="89" spans="2:26">
      <c r="B89" s="41"/>
      <c r="C89" s="5"/>
      <c r="D89" s="5"/>
      <c r="E89" s="5"/>
      <c r="F89" s="5"/>
      <c r="G89" s="5"/>
      <c r="H89" s="5"/>
      <c r="I89" s="5"/>
      <c r="J89" s="5"/>
      <c r="K89" s="5"/>
      <c r="L89" s="5"/>
      <c r="M89" s="5"/>
      <c r="N89" s="5"/>
      <c r="O89" s="5"/>
      <c r="Q89" s="5"/>
      <c r="R89" s="5"/>
      <c r="S89" s="5"/>
    </row>
    <row r="90" spans="2:26">
      <c r="B90" s="41"/>
      <c r="C90" s="5"/>
      <c r="D90" s="5"/>
      <c r="E90" s="5"/>
      <c r="F90" s="5"/>
      <c r="G90" s="5"/>
      <c r="H90" s="5"/>
      <c r="I90" s="49"/>
      <c r="J90" s="5"/>
      <c r="K90" s="5"/>
      <c r="L90" s="5"/>
      <c r="M90" s="5"/>
      <c r="N90" s="5"/>
      <c r="O90" s="5"/>
      <c r="Q90" s="41"/>
      <c r="R90" s="5"/>
      <c r="S90" s="5"/>
    </row>
    <row r="91" spans="2:26">
      <c r="B91" s="5"/>
      <c r="C91" s="5"/>
      <c r="D91" s="5"/>
      <c r="E91" s="5"/>
      <c r="F91" s="5"/>
      <c r="G91" s="5"/>
      <c r="H91" s="5"/>
      <c r="I91" s="5"/>
      <c r="J91" s="5"/>
      <c r="K91" s="5"/>
      <c r="L91" s="5"/>
      <c r="M91" s="5"/>
      <c r="N91" s="5"/>
      <c r="O91" s="5"/>
      <c r="Q91" s="5"/>
      <c r="R91" s="5"/>
      <c r="S91" s="5"/>
    </row>
    <row r="92" spans="2:26">
      <c r="B92" s="41"/>
      <c r="C92" s="49"/>
      <c r="D92" s="49"/>
      <c r="E92" s="49"/>
      <c r="F92" s="49"/>
      <c r="G92" s="49"/>
      <c r="H92" s="49"/>
      <c r="I92" s="247"/>
      <c r="J92" s="49"/>
      <c r="K92" s="49"/>
      <c r="L92" s="49"/>
      <c r="M92" s="49"/>
      <c r="N92" s="49"/>
      <c r="O92" s="49"/>
      <c r="Q92" s="5"/>
      <c r="R92" s="5"/>
      <c r="S92" s="5"/>
      <c r="W92" s="21"/>
      <c r="X92" s="21"/>
    </row>
    <row r="93" spans="2:26">
      <c r="B93" s="5"/>
      <c r="C93" s="5"/>
      <c r="D93" s="5"/>
      <c r="E93" s="5"/>
      <c r="F93" s="5"/>
      <c r="G93" s="5"/>
      <c r="H93" s="5"/>
      <c r="I93" s="247"/>
      <c r="J93" s="5"/>
      <c r="K93" s="5"/>
      <c r="L93" s="5"/>
      <c r="M93" s="5"/>
      <c r="N93" s="5"/>
      <c r="O93" s="5"/>
      <c r="Q93" s="5"/>
      <c r="R93" s="5"/>
      <c r="S93" s="5"/>
      <c r="W93" s="21"/>
      <c r="X93" s="21"/>
      <c r="Y93" s="21"/>
      <c r="Z93" s="21"/>
    </row>
    <row r="94" spans="2:26">
      <c r="B94" s="5"/>
      <c r="C94" s="259"/>
      <c r="D94" s="247"/>
      <c r="E94" s="247"/>
      <c r="F94" s="247"/>
      <c r="G94" s="247"/>
      <c r="H94" s="247"/>
      <c r="I94" s="247"/>
      <c r="J94" s="247"/>
      <c r="K94" s="247"/>
      <c r="L94" s="247"/>
      <c r="M94" s="247"/>
      <c r="N94" s="247"/>
      <c r="O94" s="248"/>
      <c r="Q94" s="5"/>
      <c r="R94" s="5"/>
      <c r="S94" s="5"/>
      <c r="Y94" s="21"/>
      <c r="Z94" s="21"/>
    </row>
    <row r="95" spans="2:26">
      <c r="B95" s="5"/>
      <c r="C95" s="259"/>
      <c r="D95" s="247"/>
      <c r="E95" s="247"/>
      <c r="F95" s="247"/>
      <c r="G95" s="247"/>
      <c r="H95" s="247"/>
      <c r="I95" s="248"/>
      <c r="J95" s="247"/>
      <c r="K95" s="247"/>
      <c r="L95" s="247"/>
      <c r="M95" s="247"/>
      <c r="N95" s="247"/>
      <c r="O95" s="248"/>
      <c r="Q95" s="5"/>
      <c r="R95" s="5"/>
      <c r="S95" s="5"/>
    </row>
    <row r="96" spans="2:26">
      <c r="B96" s="5"/>
      <c r="C96" s="259"/>
      <c r="D96" s="247"/>
      <c r="E96" s="247"/>
      <c r="F96" s="247"/>
      <c r="G96" s="247"/>
      <c r="H96" s="247"/>
      <c r="I96" s="247"/>
      <c r="J96" s="247"/>
      <c r="K96" s="247"/>
      <c r="L96" s="247"/>
      <c r="M96" s="247"/>
      <c r="N96" s="247"/>
      <c r="O96" s="248"/>
      <c r="Q96" s="5"/>
      <c r="R96" s="5"/>
      <c r="S96" s="5"/>
    </row>
    <row r="97" spans="2:19">
      <c r="B97" s="5"/>
      <c r="C97" s="259"/>
      <c r="D97" s="248"/>
      <c r="E97" s="248"/>
      <c r="F97" s="248"/>
      <c r="G97" s="248"/>
      <c r="H97" s="248"/>
      <c r="I97" s="249"/>
      <c r="J97" s="248"/>
      <c r="K97" s="248"/>
      <c r="L97" s="248"/>
      <c r="M97" s="248"/>
      <c r="N97" s="248"/>
      <c r="O97" s="248"/>
      <c r="Q97" s="5"/>
      <c r="R97" s="5"/>
      <c r="S97" s="5"/>
    </row>
    <row r="98" spans="2:19">
      <c r="B98" s="5"/>
      <c r="C98" s="259"/>
      <c r="D98" s="247"/>
      <c r="E98" s="247"/>
      <c r="F98" s="247"/>
      <c r="G98" s="247"/>
      <c r="H98" s="247"/>
      <c r="I98" s="248"/>
      <c r="J98" s="247"/>
      <c r="K98" s="247"/>
      <c r="L98" s="247"/>
      <c r="M98" s="247"/>
      <c r="N98" s="247"/>
      <c r="O98" s="248"/>
      <c r="Q98" s="5"/>
      <c r="R98" s="5"/>
      <c r="S98" s="5"/>
    </row>
    <row r="99" spans="2:19">
      <c r="B99" s="41"/>
      <c r="C99" s="249"/>
      <c r="D99" s="249"/>
      <c r="E99" s="249"/>
      <c r="F99" s="249"/>
      <c r="G99" s="249"/>
      <c r="H99" s="249"/>
      <c r="I99" s="5"/>
      <c r="J99" s="249"/>
      <c r="K99" s="249"/>
      <c r="L99" s="249"/>
      <c r="M99" s="249"/>
      <c r="N99" s="249"/>
      <c r="O99" s="248"/>
      <c r="Q99" s="5"/>
      <c r="R99" s="5"/>
      <c r="S99" s="5"/>
    </row>
    <row r="100" spans="2:19">
      <c r="B100" s="41"/>
      <c r="C100" s="257"/>
      <c r="D100" s="248"/>
      <c r="E100" s="248"/>
      <c r="F100" s="248"/>
      <c r="G100" s="248"/>
      <c r="H100" s="248"/>
      <c r="I100" s="259"/>
      <c r="J100" s="248"/>
      <c r="K100" s="248"/>
      <c r="L100" s="248"/>
      <c r="M100" s="248"/>
      <c r="N100" s="248"/>
      <c r="O100" s="248"/>
      <c r="Q100" s="5"/>
      <c r="R100" s="5"/>
      <c r="S100" s="5"/>
    </row>
    <row r="101" spans="2:19" s="5" customFormat="1">
      <c r="B101" s="41"/>
      <c r="I101" s="259"/>
      <c r="O101" s="248"/>
      <c r="P101" s="39"/>
    </row>
    <row r="102" spans="2:19">
      <c r="B102" s="5"/>
      <c r="C102" s="259"/>
      <c r="D102" s="259"/>
      <c r="E102" s="259"/>
      <c r="F102" s="259"/>
      <c r="G102" s="259"/>
      <c r="H102" s="259"/>
      <c r="I102" s="247"/>
      <c r="J102" s="259"/>
      <c r="K102" s="259"/>
      <c r="L102" s="259"/>
      <c r="M102" s="259"/>
      <c r="N102" s="259"/>
      <c r="O102" s="5"/>
      <c r="Q102" s="5"/>
      <c r="R102" s="5"/>
      <c r="S102" s="5"/>
    </row>
    <row r="103" spans="2:19">
      <c r="B103" s="5"/>
      <c r="C103" s="259"/>
      <c r="D103" s="259"/>
      <c r="E103" s="259"/>
      <c r="F103" s="259"/>
      <c r="G103" s="259"/>
      <c r="H103" s="259"/>
      <c r="I103" s="5"/>
      <c r="J103" s="259"/>
      <c r="K103" s="259"/>
      <c r="L103" s="259"/>
      <c r="M103" s="259"/>
      <c r="N103" s="259"/>
      <c r="O103" s="5"/>
      <c r="P103" s="5"/>
      <c r="Q103" s="5"/>
      <c r="R103" s="5"/>
      <c r="S103" s="5"/>
    </row>
    <row r="104" spans="2:19">
      <c r="B104" s="5"/>
      <c r="C104" s="247"/>
      <c r="D104" s="247"/>
      <c r="E104" s="247"/>
      <c r="F104" s="247"/>
      <c r="G104" s="247"/>
      <c r="H104" s="247"/>
      <c r="I104" s="247"/>
      <c r="J104" s="247"/>
      <c r="K104" s="247"/>
      <c r="L104" s="247"/>
      <c r="M104" s="247"/>
      <c r="N104" s="247"/>
      <c r="O104" s="5"/>
      <c r="Q104" s="5"/>
      <c r="R104" s="5"/>
      <c r="S104" s="5"/>
    </row>
    <row r="105" spans="2:19" s="5" customFormat="1">
      <c r="P105" s="39"/>
    </row>
    <row r="106" spans="2:19" s="5" customFormat="1">
      <c r="C106" s="259"/>
      <c r="D106" s="247"/>
      <c r="E106" s="247"/>
      <c r="F106" s="247"/>
      <c r="G106" s="247"/>
      <c r="H106" s="247"/>
      <c r="I106" s="259"/>
      <c r="J106" s="247"/>
      <c r="K106" s="247"/>
      <c r="L106" s="247"/>
      <c r="M106" s="247"/>
      <c r="N106" s="247"/>
      <c r="P106" s="39"/>
    </row>
    <row r="107" spans="2:19">
      <c r="B107" s="5"/>
      <c r="C107" s="259"/>
      <c r="D107" s="5"/>
      <c r="E107" s="5"/>
      <c r="F107" s="5"/>
      <c r="G107" s="5"/>
      <c r="H107" s="5"/>
      <c r="I107" s="247"/>
      <c r="J107" s="5"/>
      <c r="K107" s="5"/>
      <c r="L107" s="5"/>
      <c r="M107" s="5"/>
      <c r="N107" s="5"/>
      <c r="O107" s="5"/>
      <c r="P107" s="5"/>
      <c r="Q107" s="5"/>
      <c r="R107" s="5"/>
      <c r="S107" s="5"/>
    </row>
    <row r="108" spans="2:19">
      <c r="B108" s="5"/>
      <c r="C108" s="259"/>
      <c r="D108" s="259"/>
      <c r="E108" s="259"/>
      <c r="F108" s="259"/>
      <c r="G108" s="259"/>
      <c r="H108" s="259"/>
      <c r="I108" s="249"/>
      <c r="J108" s="259"/>
      <c r="K108" s="259"/>
      <c r="L108" s="259"/>
      <c r="M108" s="259"/>
      <c r="N108" s="259"/>
      <c r="O108" s="5"/>
      <c r="P108" s="5"/>
      <c r="Q108" s="5"/>
      <c r="R108" s="5"/>
      <c r="S108" s="5"/>
    </row>
    <row r="109" spans="2:19">
      <c r="B109" s="5"/>
      <c r="C109" s="247"/>
      <c r="D109" s="247"/>
      <c r="E109" s="247"/>
      <c r="F109" s="247"/>
      <c r="G109" s="247"/>
      <c r="H109" s="247"/>
      <c r="I109" s="249"/>
      <c r="J109" s="247"/>
      <c r="K109" s="247"/>
      <c r="L109" s="247"/>
      <c r="M109" s="247"/>
      <c r="N109" s="247"/>
      <c r="O109" s="5"/>
      <c r="Q109" s="5"/>
      <c r="R109" s="5"/>
      <c r="S109" s="5"/>
    </row>
    <row r="110" spans="2:19">
      <c r="B110" s="41"/>
      <c r="C110" s="249"/>
      <c r="D110" s="249"/>
      <c r="E110" s="249"/>
      <c r="F110" s="249"/>
      <c r="G110" s="249"/>
      <c r="H110" s="249"/>
      <c r="I110" s="247"/>
      <c r="J110" s="249"/>
      <c r="K110" s="249"/>
      <c r="L110" s="249"/>
      <c r="M110" s="249"/>
      <c r="N110" s="249"/>
      <c r="O110" s="5"/>
      <c r="Q110" s="5"/>
      <c r="R110" s="5"/>
      <c r="S110" s="5"/>
    </row>
    <row r="111" spans="2:19">
      <c r="B111" s="5"/>
      <c r="C111" s="249"/>
      <c r="D111" s="249"/>
      <c r="E111" s="249"/>
      <c r="F111" s="249"/>
      <c r="G111" s="249"/>
      <c r="H111" s="249"/>
      <c r="I111" s="5"/>
      <c r="J111" s="249"/>
      <c r="K111" s="249"/>
      <c r="L111" s="249"/>
      <c r="M111" s="249"/>
      <c r="N111" s="249"/>
      <c r="O111" s="5"/>
      <c r="Q111" s="5"/>
      <c r="R111" s="5"/>
      <c r="S111" s="5"/>
    </row>
    <row r="112" spans="2:19">
      <c r="B112" s="5"/>
      <c r="C112" s="247"/>
      <c r="D112" s="247"/>
      <c r="E112" s="247"/>
      <c r="F112" s="247"/>
      <c r="G112" s="247"/>
      <c r="H112" s="247"/>
      <c r="I112" s="5"/>
      <c r="J112" s="247"/>
      <c r="K112" s="247"/>
      <c r="L112" s="247"/>
      <c r="M112" s="247"/>
      <c r="N112" s="247"/>
      <c r="O112" s="5"/>
      <c r="Q112" s="5"/>
      <c r="R112" s="5"/>
      <c r="S112" s="5"/>
    </row>
    <row r="113" spans="2:19">
      <c r="B113" s="5"/>
      <c r="C113" s="5"/>
      <c r="D113" s="5"/>
      <c r="E113" s="5"/>
      <c r="F113" s="5"/>
      <c r="G113" s="5"/>
      <c r="H113" s="5"/>
      <c r="I113" s="5"/>
      <c r="J113" s="5"/>
      <c r="K113" s="5"/>
      <c r="L113" s="5"/>
      <c r="M113" s="5"/>
      <c r="N113" s="5"/>
      <c r="O113" s="5"/>
      <c r="Q113" s="5"/>
      <c r="R113" s="5"/>
      <c r="S113" s="5"/>
    </row>
    <row r="114" spans="2:19">
      <c r="B114" s="5"/>
      <c r="C114" s="5"/>
      <c r="D114" s="5"/>
      <c r="E114" s="5"/>
      <c r="F114" s="5"/>
      <c r="G114" s="5"/>
      <c r="H114" s="5"/>
      <c r="I114" s="5"/>
      <c r="J114" s="5"/>
      <c r="K114" s="5"/>
      <c r="L114" s="5"/>
      <c r="M114" s="5"/>
      <c r="N114" s="5"/>
      <c r="O114" s="5"/>
      <c r="Q114" s="5"/>
      <c r="R114" s="5"/>
      <c r="S114" s="5"/>
    </row>
    <row r="115" spans="2:19">
      <c r="B115" s="5"/>
      <c r="C115" s="5"/>
      <c r="D115" s="5"/>
      <c r="E115" s="5"/>
      <c r="F115" s="5"/>
      <c r="G115" s="5"/>
      <c r="H115" s="5"/>
      <c r="I115" s="49"/>
      <c r="J115" s="5"/>
      <c r="K115" s="5"/>
      <c r="L115" s="5"/>
      <c r="M115" s="5"/>
      <c r="N115" s="5"/>
      <c r="O115" s="5"/>
      <c r="Q115" s="41"/>
      <c r="R115" s="5"/>
      <c r="S115" s="5"/>
    </row>
    <row r="116" spans="2:19">
      <c r="B116" s="5"/>
      <c r="C116" s="5"/>
      <c r="D116" s="5"/>
      <c r="E116" s="5"/>
      <c r="F116" s="5"/>
      <c r="G116" s="5"/>
      <c r="H116" s="5"/>
      <c r="I116" s="5"/>
      <c r="J116" s="5"/>
      <c r="K116" s="5"/>
      <c r="L116" s="5"/>
      <c r="M116" s="5"/>
      <c r="N116" s="5"/>
      <c r="O116" s="5"/>
      <c r="Q116" s="5"/>
      <c r="R116" s="5"/>
      <c r="S116" s="5"/>
    </row>
    <row r="117" spans="2:19">
      <c r="B117" s="41"/>
      <c r="C117" s="49"/>
      <c r="D117" s="49"/>
      <c r="E117" s="49"/>
      <c r="F117" s="49"/>
      <c r="G117" s="49"/>
      <c r="H117" s="49"/>
      <c r="I117" s="254"/>
      <c r="J117" s="49"/>
      <c r="K117" s="49"/>
      <c r="L117" s="49"/>
      <c r="M117" s="49"/>
      <c r="N117" s="49"/>
      <c r="O117" s="49"/>
      <c r="Q117" s="5"/>
      <c r="R117" s="5"/>
      <c r="S117" s="5"/>
    </row>
    <row r="118" spans="2:19">
      <c r="B118" s="5"/>
      <c r="C118" s="5"/>
      <c r="D118" s="5"/>
      <c r="E118" s="5"/>
      <c r="F118" s="5"/>
      <c r="G118" s="5"/>
      <c r="H118" s="5"/>
      <c r="I118" s="249"/>
      <c r="J118" s="5"/>
      <c r="K118" s="5"/>
      <c r="L118" s="5"/>
      <c r="M118" s="5"/>
      <c r="N118" s="5"/>
      <c r="O118" s="5"/>
      <c r="Q118" s="5"/>
      <c r="R118" s="5"/>
      <c r="S118" s="5"/>
    </row>
    <row r="119" spans="2:19">
      <c r="B119" s="41"/>
      <c r="C119" s="254"/>
      <c r="D119" s="254"/>
      <c r="E119" s="254"/>
      <c r="F119" s="254"/>
      <c r="G119" s="254"/>
      <c r="H119" s="254"/>
      <c r="I119" s="254"/>
      <c r="J119" s="254"/>
      <c r="K119" s="254"/>
      <c r="L119" s="254"/>
      <c r="M119" s="254"/>
      <c r="N119" s="254"/>
      <c r="O119" s="248"/>
      <c r="Q119" s="5"/>
      <c r="R119" s="5"/>
      <c r="S119" s="5"/>
    </row>
    <row r="120" spans="2:19">
      <c r="B120" s="41"/>
      <c r="C120" s="254"/>
      <c r="D120" s="249"/>
      <c r="E120" s="249"/>
      <c r="F120" s="249"/>
      <c r="G120" s="249"/>
      <c r="H120" s="249"/>
      <c r="I120" s="254"/>
      <c r="J120" s="249"/>
      <c r="K120" s="249"/>
      <c r="L120" s="249"/>
      <c r="M120" s="249"/>
      <c r="N120" s="249"/>
      <c r="O120" s="248"/>
      <c r="Q120" s="5"/>
      <c r="R120" s="5"/>
      <c r="S120" s="5"/>
    </row>
    <row r="121" spans="2:19">
      <c r="B121" s="41"/>
      <c r="C121" s="254"/>
      <c r="D121" s="254"/>
      <c r="E121" s="254"/>
      <c r="F121" s="254"/>
      <c r="G121" s="254"/>
      <c r="H121" s="254"/>
      <c r="I121" s="254"/>
      <c r="J121" s="254"/>
      <c r="K121" s="254"/>
      <c r="L121" s="254"/>
      <c r="M121" s="254"/>
      <c r="N121" s="254"/>
      <c r="O121" s="248"/>
      <c r="Q121" s="5"/>
      <c r="R121" s="5"/>
      <c r="S121" s="5"/>
    </row>
    <row r="122" spans="2:19">
      <c r="B122" s="41"/>
      <c r="C122" s="254"/>
      <c r="D122" s="254"/>
      <c r="E122" s="254"/>
      <c r="F122" s="254"/>
      <c r="G122" s="254"/>
      <c r="H122" s="254"/>
      <c r="I122" s="254"/>
      <c r="J122" s="254"/>
      <c r="K122" s="254"/>
      <c r="L122" s="254"/>
      <c r="M122" s="254"/>
      <c r="N122" s="254"/>
      <c r="O122" s="248"/>
      <c r="Q122" s="5"/>
      <c r="R122" s="5"/>
      <c r="S122" s="5"/>
    </row>
    <row r="123" spans="2:19">
      <c r="B123" s="41"/>
      <c r="C123" s="254"/>
      <c r="D123" s="254"/>
      <c r="E123" s="254"/>
      <c r="F123" s="254"/>
      <c r="G123" s="254"/>
      <c r="H123" s="254"/>
      <c r="I123" s="254"/>
      <c r="J123" s="254"/>
      <c r="K123" s="254"/>
      <c r="L123" s="254"/>
      <c r="M123" s="254"/>
      <c r="N123" s="254"/>
      <c r="O123" s="248"/>
      <c r="Q123" s="5"/>
      <c r="R123" s="5"/>
      <c r="S123" s="5"/>
    </row>
    <row r="124" spans="2:19">
      <c r="B124" s="41"/>
      <c r="C124" s="254"/>
      <c r="D124" s="254"/>
      <c r="E124" s="254"/>
      <c r="F124" s="254"/>
      <c r="G124" s="254"/>
      <c r="H124" s="254"/>
      <c r="I124" s="254"/>
      <c r="J124" s="254"/>
      <c r="K124" s="254"/>
      <c r="L124" s="254"/>
      <c r="M124" s="254"/>
      <c r="N124" s="254"/>
      <c r="O124" s="248"/>
      <c r="Q124" s="5"/>
      <c r="R124" s="5"/>
      <c r="S124" s="5"/>
    </row>
    <row r="125" spans="2:19">
      <c r="B125" s="41"/>
      <c r="C125" s="254"/>
      <c r="D125" s="254"/>
      <c r="E125" s="254"/>
      <c r="F125" s="254"/>
      <c r="G125" s="254"/>
      <c r="H125" s="254"/>
      <c r="I125" s="254"/>
      <c r="J125" s="254"/>
      <c r="K125" s="254"/>
      <c r="L125" s="254"/>
      <c r="M125" s="254"/>
      <c r="N125" s="254"/>
      <c r="O125" s="5"/>
      <c r="Q125" s="5"/>
      <c r="R125" s="5"/>
      <c r="S125" s="5"/>
    </row>
    <row r="126" spans="2:19">
      <c r="B126" s="41"/>
      <c r="C126" s="254"/>
      <c r="D126" s="254"/>
      <c r="E126" s="254"/>
      <c r="F126" s="254"/>
      <c r="G126" s="254"/>
      <c r="H126" s="254"/>
      <c r="I126" s="254"/>
      <c r="J126" s="254"/>
      <c r="K126" s="254"/>
      <c r="L126" s="254"/>
      <c r="M126" s="254"/>
      <c r="N126" s="254"/>
      <c r="O126" s="5"/>
      <c r="Q126" s="5"/>
      <c r="R126" s="5"/>
      <c r="S126" s="5"/>
    </row>
    <row r="127" spans="2:19">
      <c r="B127" s="41"/>
      <c r="C127" s="254"/>
      <c r="D127" s="254"/>
      <c r="E127" s="254"/>
      <c r="F127" s="254"/>
      <c r="G127" s="254"/>
      <c r="H127" s="254"/>
      <c r="I127" s="18"/>
      <c r="J127" s="254"/>
      <c r="K127" s="254"/>
      <c r="L127" s="254"/>
      <c r="M127" s="254"/>
      <c r="N127" s="254"/>
      <c r="O127" s="5"/>
      <c r="Q127" s="5"/>
      <c r="R127" s="5"/>
      <c r="S127" s="5"/>
    </row>
    <row r="128" spans="2:19">
      <c r="B128" s="41"/>
      <c r="C128" s="254"/>
      <c r="D128" s="254"/>
      <c r="E128" s="254"/>
      <c r="F128" s="254"/>
      <c r="G128" s="254"/>
      <c r="H128" s="254"/>
      <c r="I128" s="5"/>
      <c r="J128" s="254"/>
      <c r="K128" s="254"/>
      <c r="L128" s="254"/>
      <c r="M128" s="254"/>
      <c r="N128" s="254"/>
      <c r="O128" s="5"/>
      <c r="Q128" s="5"/>
      <c r="R128" s="5"/>
      <c r="S128" s="5"/>
    </row>
    <row r="129" spans="2:27">
      <c r="B129" s="5"/>
      <c r="C129" s="5"/>
      <c r="D129" s="18"/>
      <c r="E129" s="18"/>
      <c r="F129" s="18"/>
      <c r="G129" s="18"/>
      <c r="H129" s="18"/>
      <c r="I129" s="254"/>
      <c r="J129" s="18"/>
      <c r="K129" s="18"/>
      <c r="L129" s="18"/>
      <c r="M129" s="18"/>
      <c r="N129" s="18"/>
      <c r="O129" s="5"/>
      <c r="Q129" s="5"/>
      <c r="R129" s="5"/>
      <c r="S129" s="5"/>
    </row>
    <row r="130" spans="2:27">
      <c r="B130" s="5"/>
      <c r="C130" s="5"/>
      <c r="D130" s="5"/>
      <c r="E130" s="5"/>
      <c r="F130" s="5"/>
      <c r="G130" s="5"/>
      <c r="H130" s="5"/>
      <c r="I130" s="18"/>
      <c r="J130" s="5"/>
      <c r="K130" s="5"/>
      <c r="L130" s="5"/>
      <c r="M130" s="5"/>
      <c r="N130" s="5"/>
      <c r="O130" s="5"/>
      <c r="Q130" s="5"/>
      <c r="R130" s="5"/>
      <c r="S130" s="5"/>
    </row>
    <row r="131" spans="2:27">
      <c r="B131" s="41"/>
      <c r="C131" s="254"/>
      <c r="D131" s="254"/>
      <c r="E131" s="254"/>
      <c r="F131" s="254"/>
      <c r="G131" s="254"/>
      <c r="H131" s="254"/>
      <c r="I131" s="5"/>
      <c r="J131" s="254"/>
      <c r="K131" s="254"/>
      <c r="L131" s="254"/>
      <c r="M131" s="254"/>
      <c r="N131" s="254"/>
      <c r="O131" s="5"/>
      <c r="Q131" s="5"/>
      <c r="R131" s="5"/>
      <c r="S131" s="5"/>
    </row>
    <row r="132" spans="2:27">
      <c r="B132" s="5"/>
      <c r="C132" s="259"/>
      <c r="D132" s="18"/>
      <c r="E132" s="18"/>
      <c r="F132" s="18"/>
      <c r="G132" s="18"/>
      <c r="H132" s="18"/>
      <c r="I132" s="5"/>
      <c r="J132" s="18"/>
      <c r="K132" s="18"/>
      <c r="L132" s="18"/>
      <c r="M132" s="18"/>
      <c r="N132" s="18"/>
      <c r="O132" s="5"/>
      <c r="Q132" s="5"/>
      <c r="R132" s="5"/>
      <c r="S132" s="5"/>
    </row>
    <row r="133" spans="2:27">
      <c r="B133" s="5"/>
      <c r="C133" s="5"/>
      <c r="D133" s="5"/>
      <c r="E133" s="5"/>
      <c r="F133" s="5"/>
      <c r="G133" s="5"/>
      <c r="H133" s="5"/>
      <c r="I133" s="17"/>
      <c r="J133" s="5"/>
      <c r="K133" s="5"/>
      <c r="L133" s="5"/>
      <c r="M133" s="5"/>
      <c r="N133" s="5"/>
      <c r="O133" s="5"/>
      <c r="Q133" s="5"/>
      <c r="R133" s="5"/>
      <c r="S133" s="5"/>
    </row>
    <row r="134" spans="2:27">
      <c r="B134" s="41"/>
      <c r="C134" s="5"/>
      <c r="D134" s="5"/>
      <c r="E134" s="5"/>
      <c r="F134" s="5"/>
      <c r="G134" s="5"/>
      <c r="H134" s="5"/>
      <c r="I134" s="17"/>
      <c r="J134" s="5"/>
      <c r="K134" s="5"/>
      <c r="L134" s="5"/>
      <c r="M134" s="5"/>
      <c r="N134" s="5"/>
      <c r="O134" s="5"/>
      <c r="Q134" s="5"/>
      <c r="R134" s="5"/>
      <c r="S134" s="5"/>
    </row>
    <row r="135" spans="2:27">
      <c r="B135" s="5"/>
      <c r="C135" s="17"/>
      <c r="D135" s="17"/>
      <c r="E135" s="17"/>
      <c r="F135" s="17"/>
      <c r="G135" s="17"/>
      <c r="H135" s="17"/>
      <c r="I135" s="17"/>
      <c r="J135" s="17"/>
      <c r="K135" s="17"/>
      <c r="L135" s="17"/>
      <c r="M135" s="17"/>
      <c r="N135" s="17"/>
      <c r="O135" s="5"/>
      <c r="Q135" s="41"/>
      <c r="R135" s="5"/>
      <c r="S135" s="5"/>
    </row>
    <row r="136" spans="2:27">
      <c r="B136" s="5"/>
      <c r="C136" s="17"/>
      <c r="D136" s="17"/>
      <c r="E136" s="17"/>
      <c r="F136" s="17"/>
      <c r="G136" s="17"/>
      <c r="H136" s="17"/>
      <c r="I136" s="17"/>
      <c r="J136" s="17"/>
      <c r="K136" s="17"/>
      <c r="L136" s="17"/>
      <c r="M136" s="17"/>
      <c r="N136" s="17"/>
      <c r="O136" s="5"/>
      <c r="Q136" s="5"/>
      <c r="R136" s="5"/>
      <c r="S136" s="5"/>
      <c r="X136" s="304"/>
    </row>
    <row r="137" spans="2:27">
      <c r="B137" s="5"/>
      <c r="C137" s="5"/>
      <c r="D137" s="17"/>
      <c r="E137" s="17"/>
      <c r="F137" s="17"/>
      <c r="G137" s="17"/>
      <c r="H137" s="17"/>
      <c r="I137" s="17"/>
      <c r="J137" s="17"/>
      <c r="K137" s="17"/>
      <c r="L137" s="17"/>
      <c r="M137" s="17"/>
      <c r="N137" s="17"/>
      <c r="O137" s="5"/>
      <c r="Q137" s="5"/>
      <c r="R137" s="5"/>
      <c r="S137" s="5"/>
      <c r="X137" s="10"/>
      <c r="Y137" s="304"/>
      <c r="Z137" s="304"/>
      <c r="AA137" s="304"/>
    </row>
    <row r="138" spans="2:27">
      <c r="B138" s="5"/>
      <c r="C138" s="5"/>
      <c r="D138" s="17"/>
      <c r="E138" s="17"/>
      <c r="F138" s="17"/>
      <c r="G138" s="17"/>
      <c r="H138" s="17"/>
      <c r="I138" s="17"/>
      <c r="J138" s="17"/>
      <c r="K138" s="17"/>
      <c r="L138" s="17"/>
      <c r="M138" s="17"/>
      <c r="N138" s="17"/>
      <c r="O138" s="5"/>
      <c r="Q138" s="5"/>
      <c r="R138" s="5"/>
      <c r="S138" s="5"/>
      <c r="Y138" s="10"/>
      <c r="Z138" s="10"/>
      <c r="AA138" s="10"/>
    </row>
    <row r="139" spans="2:27">
      <c r="B139" s="5"/>
      <c r="C139" s="5"/>
      <c r="D139" s="17"/>
      <c r="E139" s="17"/>
      <c r="F139" s="17"/>
      <c r="G139" s="17"/>
      <c r="H139" s="17"/>
      <c r="I139" s="5"/>
      <c r="J139" s="17"/>
      <c r="K139" s="17"/>
      <c r="L139" s="17"/>
      <c r="M139" s="17"/>
      <c r="N139" s="17"/>
      <c r="O139" s="5"/>
      <c r="Q139" s="5"/>
      <c r="R139" s="5"/>
      <c r="S139" s="5"/>
    </row>
    <row r="140" spans="2:27">
      <c r="B140" s="5"/>
      <c r="C140" s="17"/>
      <c r="D140" s="17"/>
      <c r="E140" s="17"/>
      <c r="F140" s="17"/>
      <c r="G140" s="17"/>
      <c r="H140" s="17"/>
      <c r="I140" s="5"/>
      <c r="J140" s="17"/>
      <c r="K140" s="17"/>
      <c r="L140" s="17"/>
      <c r="M140" s="17"/>
      <c r="N140" s="17"/>
      <c r="O140" s="5"/>
      <c r="Q140" s="5"/>
      <c r="R140" s="5"/>
      <c r="S140" s="5"/>
    </row>
    <row r="141" spans="2:27">
      <c r="B141" s="5"/>
      <c r="C141" s="5"/>
      <c r="D141" s="5"/>
      <c r="E141" s="5"/>
      <c r="F141" s="5"/>
      <c r="G141" s="5"/>
      <c r="H141" s="5"/>
      <c r="I141" s="5"/>
      <c r="J141" s="5"/>
      <c r="K141" s="5"/>
      <c r="L141" s="5"/>
      <c r="M141" s="5"/>
      <c r="N141" s="5"/>
      <c r="O141" s="5"/>
      <c r="Q141" s="5"/>
      <c r="R141" s="5"/>
      <c r="S141" s="5"/>
    </row>
    <row r="142" spans="2:27">
      <c r="B142" s="5"/>
      <c r="C142" s="5"/>
      <c r="D142" s="5"/>
      <c r="E142" s="5"/>
      <c r="F142" s="5"/>
      <c r="G142" s="5"/>
      <c r="H142" s="5"/>
      <c r="I142" s="5"/>
      <c r="J142" s="5"/>
      <c r="K142" s="5"/>
      <c r="L142" s="5"/>
      <c r="M142" s="5"/>
      <c r="N142" s="5"/>
      <c r="O142" s="5"/>
      <c r="Q142" s="5"/>
      <c r="R142" s="5"/>
      <c r="S142" s="5"/>
    </row>
    <row r="143" spans="2:27">
      <c r="B143" s="5"/>
      <c r="C143" s="5"/>
      <c r="D143" s="5"/>
      <c r="E143" s="5"/>
      <c r="F143" s="5"/>
      <c r="G143" s="5"/>
      <c r="H143" s="5"/>
      <c r="I143" s="5"/>
      <c r="J143" s="5"/>
      <c r="K143" s="5"/>
      <c r="L143" s="5"/>
      <c r="M143" s="5"/>
      <c r="N143" s="5"/>
      <c r="O143" s="5"/>
      <c r="Q143" s="5"/>
      <c r="R143" s="5"/>
      <c r="S143" s="5"/>
    </row>
    <row r="144" spans="2:27">
      <c r="B144" s="5"/>
      <c r="C144" s="5"/>
      <c r="D144" s="5"/>
      <c r="E144" s="5"/>
      <c r="F144" s="5"/>
      <c r="G144" s="5"/>
      <c r="H144" s="5"/>
      <c r="I144" s="5"/>
      <c r="J144" s="5"/>
      <c r="K144" s="5"/>
      <c r="L144" s="5"/>
      <c r="M144" s="5"/>
      <c r="N144" s="5"/>
      <c r="O144" s="5"/>
      <c r="Q144" s="5"/>
      <c r="R144" s="5"/>
      <c r="S144" s="5"/>
    </row>
    <row r="145" spans="2:19">
      <c r="B145" s="5"/>
      <c r="C145" s="5"/>
      <c r="D145" s="5"/>
      <c r="E145" s="5"/>
      <c r="F145" s="5"/>
      <c r="G145" s="5"/>
      <c r="H145" s="5"/>
      <c r="I145" s="5"/>
      <c r="J145" s="5"/>
      <c r="K145" s="5"/>
      <c r="L145" s="5"/>
      <c r="M145" s="5"/>
      <c r="N145" s="5"/>
      <c r="O145" s="5"/>
      <c r="Q145" s="5"/>
      <c r="R145" s="5"/>
      <c r="S145" s="5"/>
    </row>
    <row r="146" spans="2:19">
      <c r="B146" s="5"/>
      <c r="C146" s="5"/>
      <c r="D146" s="5"/>
      <c r="E146" s="5"/>
      <c r="F146" s="5"/>
      <c r="G146" s="5"/>
      <c r="H146" s="5"/>
      <c r="I146" s="5"/>
      <c r="J146" s="5"/>
      <c r="K146" s="5"/>
      <c r="L146" s="5"/>
      <c r="M146" s="5"/>
      <c r="N146" s="5"/>
      <c r="O146" s="5"/>
      <c r="Q146" s="5"/>
      <c r="R146" s="5"/>
      <c r="S146" s="5"/>
    </row>
    <row r="147" spans="2:19">
      <c r="B147" s="5"/>
      <c r="C147" s="5"/>
      <c r="D147" s="5"/>
      <c r="E147" s="5"/>
      <c r="F147" s="5"/>
      <c r="G147" s="5"/>
      <c r="H147" s="5"/>
      <c r="I147" s="5"/>
      <c r="J147" s="5"/>
      <c r="K147" s="5"/>
      <c r="L147" s="5"/>
      <c r="M147" s="5"/>
      <c r="N147" s="5"/>
      <c r="O147" s="5"/>
      <c r="Q147" s="5"/>
      <c r="R147" s="5"/>
      <c r="S147" s="5"/>
    </row>
    <row r="148" spans="2:19">
      <c r="B148" s="5"/>
      <c r="C148" s="5"/>
      <c r="D148" s="5"/>
      <c r="E148" s="5"/>
      <c r="F148" s="5"/>
      <c r="G148" s="5"/>
      <c r="H148" s="5"/>
      <c r="I148" s="5"/>
      <c r="J148" s="5"/>
      <c r="K148" s="5"/>
      <c r="L148" s="5"/>
      <c r="M148" s="5"/>
      <c r="N148" s="5"/>
      <c r="O148" s="5"/>
      <c r="Q148" s="5"/>
      <c r="R148" s="5"/>
      <c r="S148" s="5"/>
    </row>
    <row r="149" spans="2:19">
      <c r="B149" s="5"/>
      <c r="C149" s="5"/>
      <c r="D149" s="5"/>
      <c r="E149" s="5"/>
      <c r="F149" s="5"/>
      <c r="G149" s="5"/>
      <c r="H149" s="5"/>
      <c r="J149" s="5"/>
      <c r="K149" s="5"/>
      <c r="L149" s="5"/>
      <c r="M149" s="5"/>
      <c r="N149" s="5"/>
      <c r="O149" s="5"/>
      <c r="Q149" s="5"/>
      <c r="R149" s="5"/>
      <c r="S149" s="5"/>
    </row>
    <row r="150" spans="2:19">
      <c r="B150" s="5"/>
      <c r="C150" s="5"/>
      <c r="D150" s="5"/>
      <c r="E150" s="5"/>
      <c r="F150" s="5"/>
      <c r="G150" s="5"/>
      <c r="H150" s="5"/>
      <c r="J150" s="5"/>
      <c r="K150" s="5"/>
      <c r="L150" s="5"/>
      <c r="M150" s="5"/>
      <c r="N150" s="5"/>
      <c r="O150" s="5"/>
      <c r="Q150" s="5"/>
      <c r="R150" s="5"/>
      <c r="S150" s="5"/>
    </row>
    <row r="151" spans="2:19">
      <c r="Q151" s="5"/>
      <c r="R151" s="5"/>
      <c r="S151" s="5"/>
    </row>
    <row r="152" spans="2:19">
      <c r="Q152" s="5"/>
      <c r="R152" s="5"/>
      <c r="S152" s="5"/>
    </row>
    <row r="153" spans="2:19">
      <c r="C153" s="263"/>
      <c r="Q153" s="5"/>
      <c r="R153" s="5"/>
      <c r="S153" s="5"/>
    </row>
    <row r="154" spans="2:19">
      <c r="Q154" s="5"/>
      <c r="R154" s="5"/>
      <c r="S154" s="5"/>
    </row>
    <row r="155" spans="2:19">
      <c r="Q155" s="5"/>
      <c r="R155" s="5"/>
      <c r="S155" s="5"/>
    </row>
    <row r="156" spans="2:19">
      <c r="Q156" s="5"/>
      <c r="R156" s="5"/>
      <c r="S156" s="5"/>
    </row>
    <row r="157" spans="2:19">
      <c r="Q157" s="5"/>
      <c r="R157" s="5"/>
      <c r="S157" s="5"/>
    </row>
    <row r="158" spans="2:19">
      <c r="Q158" s="5"/>
      <c r="R158" s="5"/>
      <c r="S158" s="5"/>
    </row>
    <row r="159" spans="2:19">
      <c r="Q159" s="5"/>
      <c r="R159" s="5"/>
      <c r="S159" s="5"/>
    </row>
    <row r="160" spans="2:19">
      <c r="Q160" s="5"/>
      <c r="R160" s="5"/>
      <c r="S160" s="5"/>
    </row>
    <row r="161" spans="17:19">
      <c r="Q161" s="5"/>
      <c r="R161" s="5"/>
      <c r="S161" s="5"/>
    </row>
    <row r="162" spans="17:19">
      <c r="Q162" s="5"/>
      <c r="R162" s="5"/>
      <c r="S162" s="5"/>
    </row>
    <row r="163" spans="17:19">
      <c r="Q163" s="5"/>
      <c r="R163" s="5"/>
      <c r="S163" s="5"/>
    </row>
    <row r="164" spans="17:19">
      <c r="Q164" s="5"/>
      <c r="R164" s="5"/>
      <c r="S164" s="5"/>
    </row>
    <row r="165" spans="17:19">
      <c r="Q165" s="5"/>
      <c r="R165" s="5"/>
      <c r="S165" s="5"/>
    </row>
  </sheetData>
  <phoneticPr fontId="7" type="noConversion"/>
  <pageMargins left="0.75" right="0.75" top="1" bottom="1" header="0.5" footer="0.5"/>
  <pageSetup scale="71" orientation="landscape" r:id="rId1"/>
  <headerFooter alignWithMargins="0"/>
  <drawing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D00-000000000000}">
  <sheetPr codeName="Sheet190">
    <tabColor theme="3" tint="0.59999389629810485"/>
    <pageSetUpPr fitToPage="1"/>
  </sheetPr>
  <dimension ref="B1:BK164"/>
  <sheetViews>
    <sheetView showGridLines="0" zoomScale="80" zoomScaleNormal="80" workbookViewId="0"/>
  </sheetViews>
  <sheetFormatPr defaultColWidth="8.88671875" defaultRowHeight="12"/>
  <cols>
    <col min="1" max="1" width="2.33203125" style="39" customWidth="1"/>
    <col min="2" max="2" width="26.6640625" style="39" customWidth="1"/>
    <col min="3" max="9" width="10" style="39" customWidth="1"/>
    <col min="10" max="10" width="26.6640625" style="39" customWidth="1"/>
    <col min="11" max="16" width="10" style="39" customWidth="1"/>
    <col min="17" max="17" width="4.5546875" style="39" customWidth="1"/>
    <col min="18" max="20" width="8.88671875" style="39"/>
    <col min="21" max="21" width="3.6640625" style="39" customWidth="1"/>
    <col min="22" max="63" width="9.109375" style="5" customWidth="1"/>
    <col min="64" max="16384" width="8.88671875" style="39"/>
  </cols>
  <sheetData>
    <row r="1" spans="2:63" s="312" customFormat="1">
      <c r="V1" s="149"/>
      <c r="W1" s="149"/>
      <c r="X1" s="149"/>
      <c r="Y1" s="149"/>
      <c r="Z1" s="149"/>
      <c r="AA1" s="149"/>
      <c r="AB1" s="149"/>
      <c r="AC1" s="149"/>
      <c r="AD1" s="149"/>
      <c r="AE1" s="149"/>
      <c r="AF1" s="149"/>
      <c r="AG1" s="149"/>
      <c r="AH1" s="149"/>
      <c r="AI1" s="149"/>
      <c r="AJ1" s="149"/>
      <c r="AK1" s="149"/>
      <c r="AL1" s="149"/>
      <c r="AM1" s="149"/>
      <c r="AN1" s="149"/>
      <c r="AO1" s="149"/>
      <c r="AP1" s="149"/>
      <c r="AQ1" s="149"/>
      <c r="AR1" s="149"/>
      <c r="AS1" s="149"/>
      <c r="AT1" s="149"/>
      <c r="AU1" s="149"/>
      <c r="AV1" s="149"/>
      <c r="AW1" s="149"/>
      <c r="AX1" s="149"/>
      <c r="AY1" s="149"/>
      <c r="AZ1" s="149"/>
      <c r="BA1" s="149"/>
      <c r="BB1" s="149"/>
      <c r="BC1" s="149"/>
      <c r="BD1" s="149"/>
      <c r="BE1" s="149"/>
      <c r="BF1" s="149"/>
      <c r="BG1" s="149"/>
      <c r="BH1" s="149"/>
      <c r="BI1" s="149"/>
      <c r="BJ1" s="149"/>
      <c r="BK1" s="149"/>
    </row>
    <row r="2" spans="2:63" s="312" customFormat="1">
      <c r="V2" s="149"/>
      <c r="W2" s="149"/>
      <c r="X2" s="149"/>
      <c r="Y2" s="149"/>
      <c r="Z2" s="149"/>
      <c r="AA2" s="149"/>
      <c r="AB2" s="149"/>
      <c r="AC2" s="149"/>
      <c r="AD2" s="149"/>
      <c r="AE2" s="149"/>
      <c r="AF2" s="149"/>
      <c r="AG2" s="149"/>
      <c r="AH2" s="149"/>
      <c r="AI2" s="149"/>
      <c r="AJ2" s="149"/>
      <c r="AK2" s="149"/>
      <c r="AL2" s="149"/>
      <c r="AM2" s="149"/>
      <c r="AN2" s="149"/>
      <c r="AO2" s="149"/>
      <c r="AP2" s="149"/>
      <c r="AQ2" s="149"/>
      <c r="AR2" s="149"/>
      <c r="AS2" s="149"/>
      <c r="AT2" s="149"/>
      <c r="AU2" s="149"/>
      <c r="AV2" s="149"/>
      <c r="AW2" s="149"/>
      <c r="AX2" s="149"/>
      <c r="AY2" s="149"/>
      <c r="AZ2" s="149"/>
      <c r="BA2" s="149"/>
      <c r="BB2" s="149"/>
      <c r="BC2" s="149"/>
      <c r="BD2" s="149"/>
      <c r="BE2" s="149"/>
      <c r="BF2" s="149"/>
      <c r="BG2" s="149"/>
      <c r="BH2" s="149"/>
      <c r="BI2" s="149"/>
      <c r="BJ2" s="149"/>
      <c r="BK2" s="149"/>
    </row>
    <row r="3" spans="2:63" s="149" customFormat="1">
      <c r="H3" s="153"/>
      <c r="P3" s="153"/>
    </row>
    <row r="4" spans="2:63" s="156" customFormat="1" ht="21">
      <c r="B4" s="129" t="s">
        <v>712</v>
      </c>
      <c r="H4" s="222"/>
      <c r="P4" s="222"/>
    </row>
    <row r="5" spans="2:63" s="149" customFormat="1">
      <c r="C5" s="153"/>
      <c r="D5" s="153" t="str" cm="1">
        <f t="array" ref="D5:H5">headings</f>
        <v>2023E</v>
      </c>
      <c r="E5" s="153" t="str">
        <v>2024E</v>
      </c>
      <c r="F5" s="153" t="str">
        <v>2025E</v>
      </c>
      <c r="G5" s="153" t="str">
        <v>2026E</v>
      </c>
      <c r="H5" s="153" t="str">
        <v>23E-26E</v>
      </c>
      <c r="I5" s="153"/>
      <c r="J5" s="153"/>
      <c r="K5" s="153"/>
      <c r="L5" s="153" t="str" cm="1">
        <f t="array" ref="L5:P5">headings</f>
        <v>2023E</v>
      </c>
      <c r="M5" s="153" t="str">
        <v>2024E</v>
      </c>
      <c r="N5" s="153" t="str">
        <v>2025E</v>
      </c>
      <c r="O5" s="153" t="str">
        <v>2026E</v>
      </c>
      <c r="P5" s="153" t="str">
        <v>23E-26E</v>
      </c>
      <c r="Q5" s="162"/>
      <c r="R5" s="162"/>
      <c r="S5" s="162"/>
      <c r="T5" s="162"/>
      <c r="U5" s="162"/>
      <c r="V5" s="162"/>
      <c r="W5" s="162"/>
      <c r="X5" s="162"/>
      <c r="Y5" s="162"/>
    </row>
    <row r="6" spans="2:63">
      <c r="I6" s="5"/>
      <c r="J6" s="5"/>
      <c r="K6" s="5"/>
      <c r="L6" s="5"/>
      <c r="M6" s="5"/>
      <c r="N6" s="5"/>
      <c r="O6" s="49"/>
    </row>
    <row r="7" spans="2:63" ht="12.6" thickBot="1">
      <c r="B7" s="306" t="s">
        <v>271</v>
      </c>
      <c r="C7" s="265"/>
      <c r="D7" s="265"/>
      <c r="E7" s="265"/>
      <c r="F7" s="265"/>
      <c r="G7" s="265"/>
      <c r="H7" s="265"/>
      <c r="I7" s="49"/>
      <c r="J7" s="306" t="s">
        <v>200</v>
      </c>
      <c r="K7" s="306"/>
      <c r="L7" s="306"/>
      <c r="M7" s="306"/>
      <c r="N7" s="266"/>
      <c r="O7" s="266"/>
      <c r="P7" s="266"/>
    </row>
    <row r="8" spans="2:63" ht="12.6" thickTop="1">
      <c r="B8" s="5"/>
      <c r="C8" s="5"/>
      <c r="D8" s="5"/>
      <c r="E8" s="5"/>
      <c r="F8" s="5"/>
      <c r="G8" s="5"/>
      <c r="H8" s="5"/>
      <c r="I8" s="5"/>
      <c r="J8" s="5"/>
      <c r="K8" s="5"/>
      <c r="L8" s="5"/>
      <c r="M8" s="5"/>
      <c r="N8" s="5"/>
    </row>
    <row r="9" spans="2:63">
      <c r="B9" s="41" t="s">
        <v>500</v>
      </c>
      <c r="C9" s="287"/>
      <c r="D9" s="5"/>
      <c r="E9" s="249"/>
      <c r="F9" s="249"/>
      <c r="G9" s="249"/>
      <c r="H9" s="249"/>
      <c r="I9" s="249"/>
      <c r="J9" s="5" t="s">
        <v>273</v>
      </c>
      <c r="L9" s="64">
        <f>'AGG DM'!D37</f>
        <v>2.329412469433874</v>
      </c>
      <c r="M9" s="64">
        <f>'AGG DM'!E37</f>
        <v>2.207031841456474</v>
      </c>
      <c r="N9" s="64">
        <f>'AGG DM'!F37</f>
        <v>2.0665364578686574</v>
      </c>
      <c r="O9" s="64">
        <f>'AGG DM'!G37</f>
        <v>1.9167412853037995</v>
      </c>
      <c r="P9" s="17">
        <f>'AGG DM'!H37</f>
        <v>1.9501934659983178E-2</v>
      </c>
    </row>
    <row r="10" spans="2:63">
      <c r="B10" s="5" t="s">
        <v>274</v>
      </c>
      <c r="C10" s="5"/>
      <c r="D10" s="332"/>
      <c r="E10" s="332"/>
      <c r="F10" s="332"/>
      <c r="G10" s="332"/>
      <c r="H10" s="247"/>
      <c r="I10" s="247"/>
      <c r="J10" s="5" t="s">
        <v>184</v>
      </c>
      <c r="L10" s="64">
        <f>'AGG DM'!D38</f>
        <v>7.0841879802792365</v>
      </c>
      <c r="M10" s="64">
        <f>'AGG DM'!E38</f>
        <v>6.5876114702803505</v>
      </c>
      <c r="N10" s="64">
        <f>'AGG DM'!F38</f>
        <v>6.0864198915332164</v>
      </c>
      <c r="O10" s="64">
        <f>'AGG DM'!G38</f>
        <v>5.5767680131537691</v>
      </c>
      <c r="P10" s="17">
        <f>'AGG DM'!H38</f>
        <v>3.4656651554389573E-2</v>
      </c>
      <c r="W10" s="10"/>
      <c r="X10" s="10"/>
      <c r="Y10" s="10"/>
      <c r="Z10" s="10"/>
    </row>
    <row r="11" spans="2:63">
      <c r="B11" s="41" t="s">
        <v>359</v>
      </c>
      <c r="C11" s="5"/>
      <c r="D11" s="271">
        <f>AMT!D11+CCI!D11+SBAC!D11</f>
        <v>153757.81287755375</v>
      </c>
      <c r="E11" s="271">
        <f>AMT!E11+CCI!E11+SBAC!E11</f>
        <v>152859.03742898721</v>
      </c>
      <c r="F11" s="271">
        <f>AMT!F11+CCI!F11+SBAC!F11</f>
        <v>150183.97246186633</v>
      </c>
      <c r="G11" s="271">
        <f>AMT!G11+CCI!G11+SBAC!G11</f>
        <v>147407.74821815937</v>
      </c>
      <c r="H11" s="249"/>
      <c r="I11" s="249"/>
      <c r="J11" s="5" t="s">
        <v>185</v>
      </c>
      <c r="L11" s="64">
        <f>'AGG DM'!D39</f>
        <v>13.53328960256645</v>
      </c>
      <c r="M11" s="64">
        <f>'AGG DM'!E39</f>
        <v>11.493643628277713</v>
      </c>
      <c r="N11" s="64">
        <f>'AGG DM'!F39</f>
        <v>10.264735122504899</v>
      </c>
      <c r="O11" s="64">
        <f>'AGG DM'!G39</f>
        <v>9.0451770938503948</v>
      </c>
      <c r="P11" s="17">
        <f>'AGG DM'!H39</f>
        <v>9.2670425427640479E-2</v>
      </c>
      <c r="W11" s="10"/>
      <c r="X11" s="10"/>
      <c r="Y11" s="10"/>
      <c r="Z11" s="10"/>
    </row>
    <row r="12" spans="2:63">
      <c r="B12" s="5" t="s">
        <v>229</v>
      </c>
      <c r="C12" s="249"/>
      <c r="D12" s="228">
        <f>AMT!D12+CCI!D12+SBAC!D12</f>
        <v>66618.764899926333</v>
      </c>
      <c r="E12" s="228">
        <f>AMT!E12+CCI!E12+SBAC!E12</f>
        <v>67596.719009572145</v>
      </c>
      <c r="F12" s="228">
        <f>AMT!F12+CCI!F12+SBAC!F12</f>
        <v>69151.624129725475</v>
      </c>
      <c r="G12" s="228">
        <f>AMT!G12+CCI!G12+SBAC!G12</f>
        <v>70715.145365651697</v>
      </c>
      <c r="H12" s="247"/>
      <c r="I12" s="247"/>
      <c r="J12" s="5" t="s">
        <v>466</v>
      </c>
      <c r="L12" s="64">
        <f>'AGG DM'!D40</f>
        <v>19.213286909010346</v>
      </c>
      <c r="M12" s="64">
        <f>'AGG DM'!E40</f>
        <v>16.347188206412962</v>
      </c>
      <c r="N12" s="64">
        <f>'AGG DM'!F40</f>
        <v>14.618845003714046</v>
      </c>
      <c r="O12" s="64">
        <f>'AGG DM'!G40</f>
        <v>12.840265625641983</v>
      </c>
      <c r="P12" s="17">
        <f>'AGG DM'!H40</f>
        <v>9.2705111729584289E-2</v>
      </c>
      <c r="W12" s="10"/>
      <c r="X12" s="10"/>
      <c r="Y12" s="10"/>
      <c r="Z12" s="10"/>
    </row>
    <row r="13" spans="2:63">
      <c r="B13" s="5" t="s">
        <v>529</v>
      </c>
      <c r="C13" s="257"/>
      <c r="D13" s="228">
        <f>AMT!D13+CCI!D13+SBAC!D13</f>
        <v>0</v>
      </c>
      <c r="E13" s="228">
        <f>AMT!E13+CCI!E13+SBAC!E13</f>
        <v>0</v>
      </c>
      <c r="F13" s="228">
        <f>AMT!F13+CCI!F13+SBAC!F13</f>
        <v>0</v>
      </c>
      <c r="G13" s="228">
        <f>AMT!G13+CCI!G13+SBAC!G13</f>
        <v>0</v>
      </c>
      <c r="H13" s="247"/>
      <c r="I13" s="247"/>
      <c r="J13" s="5" t="s">
        <v>530</v>
      </c>
      <c r="L13" s="64">
        <f>'AGG DM'!D41</f>
        <v>1.3514515540183685</v>
      </c>
      <c r="M13" s="64">
        <f>'AGG DM'!E41</f>
        <v>1.4007532435377124</v>
      </c>
      <c r="N13" s="64">
        <f>'AGG DM'!F41</f>
        <v>1.3363938049874495</v>
      </c>
      <c r="O13" s="64">
        <f>'AGG DM'!G41</f>
        <v>1.2739776448559783</v>
      </c>
      <c r="P13" s="17">
        <f>'AGG DM'!H41</f>
        <v>-2.5668717959517307E-2</v>
      </c>
    </row>
    <row r="14" spans="2:63">
      <c r="B14" s="5" t="s">
        <v>532</v>
      </c>
      <c r="C14" s="274"/>
      <c r="D14" s="228">
        <f>AMT!D14+CCI!D14+SBAC!D14</f>
        <v>0</v>
      </c>
      <c r="E14" s="228">
        <f>AMT!E14+CCI!E14+SBAC!E14</f>
        <v>0</v>
      </c>
      <c r="F14" s="228">
        <f>AMT!F14+CCI!F14+SBAC!F14</f>
        <v>0</v>
      </c>
      <c r="G14" s="228">
        <f>AMT!G14+CCI!G14+SBAC!G14</f>
        <v>0</v>
      </c>
      <c r="H14" s="247"/>
      <c r="I14" s="247"/>
      <c r="J14" s="5" t="s">
        <v>593</v>
      </c>
      <c r="L14" s="64">
        <f>'AGG DM'!D42</f>
        <v>3.3000460374957705</v>
      </c>
      <c r="M14" s="64">
        <f>'AGG DM'!E42</f>
        <v>3.1838124862642916</v>
      </c>
      <c r="N14" s="64">
        <f>'AGG DM'!F42</f>
        <v>3.0594658370749888</v>
      </c>
      <c r="O14" s="64">
        <f>'AGG DM'!G42</f>
        <v>2.9412325385033187</v>
      </c>
      <c r="P14" s="17">
        <f>'AGG DM'!H42</f>
        <v>-7.2864107786076993E-3</v>
      </c>
    </row>
    <row r="15" spans="2:63">
      <c r="B15" s="5" t="s">
        <v>531</v>
      </c>
      <c r="C15" s="257"/>
      <c r="D15" s="228">
        <f>AMT!D15+CCI!D15+SBAC!D15</f>
        <v>0</v>
      </c>
      <c r="E15" s="228">
        <f>AMT!E15+CCI!E15+SBAC!E15</f>
        <v>0</v>
      </c>
      <c r="F15" s="228">
        <f>AMT!F15+CCI!F15+SBAC!F15</f>
        <v>0</v>
      </c>
      <c r="G15" s="228">
        <f>AMT!G15+CCI!G15+SBAC!G15</f>
        <v>0</v>
      </c>
      <c r="H15" s="247"/>
      <c r="I15" s="247"/>
      <c r="J15" s="5" t="s">
        <v>475</v>
      </c>
      <c r="L15" s="64">
        <f>'AGG DM'!D43</f>
        <v>11.806292254184493</v>
      </c>
      <c r="M15" s="64">
        <f>'AGG DM'!E43</f>
        <v>10.8479727708929</v>
      </c>
      <c r="N15" s="64">
        <f>'AGG DM'!F43</f>
        <v>9.79850588673491</v>
      </c>
      <c r="O15" s="64">
        <f>'AGG DM'!G43</f>
        <v>8.8149149732476211</v>
      </c>
      <c r="P15" s="17">
        <f>'AGG DM'!H43</f>
        <v>7.171679530370545E-2</v>
      </c>
      <c r="S15" s="88"/>
      <c r="T15" s="88"/>
      <c r="U15" s="88"/>
      <c r="V15" s="42"/>
      <c r="W15" s="42"/>
      <c r="X15" s="42"/>
      <c r="Y15" s="42"/>
      <c r="Z15" s="42"/>
      <c r="AA15" s="42"/>
    </row>
    <row r="16" spans="2:63">
      <c r="B16" s="5" t="s">
        <v>534</v>
      </c>
      <c r="C16" s="257"/>
      <c r="D16" s="228">
        <f>AMT!D16+CCI!D16+SBAC!D16</f>
        <v>9000.06682</v>
      </c>
      <c r="E16" s="228">
        <f>AMT!E16+CCI!E16+SBAC!E16</f>
        <v>11618.434680663933</v>
      </c>
      <c r="F16" s="228">
        <f>AMT!F16+CCI!F16+SBAC!F16</f>
        <v>18204.524339510805</v>
      </c>
      <c r="G16" s="228">
        <f>AMT!G16+CCI!G16+SBAC!G16</f>
        <v>23332.88240883789</v>
      </c>
      <c r="H16" s="247"/>
      <c r="I16" s="247"/>
      <c r="J16" s="5" t="s">
        <v>721</v>
      </c>
      <c r="L16" s="64" t="s">
        <v>116</v>
      </c>
      <c r="M16" s="64" t="s">
        <v>116</v>
      </c>
      <c r="N16" s="64" t="s">
        <v>116</v>
      </c>
      <c r="O16" s="64" t="s">
        <v>116</v>
      </c>
      <c r="P16" s="17">
        <f>'AGG DM'!H44</f>
        <v>7.6119307301105277E-2</v>
      </c>
      <c r="S16" s="88"/>
      <c r="T16" s="88"/>
      <c r="U16" s="88"/>
      <c r="V16" s="42"/>
      <c r="W16" s="42"/>
      <c r="X16" s="42"/>
      <c r="Y16" s="42"/>
      <c r="Z16" s="42"/>
      <c r="AA16" s="42"/>
    </row>
    <row r="17" spans="2:27">
      <c r="B17" s="5" t="s">
        <v>6</v>
      </c>
      <c r="C17" s="257"/>
      <c r="D17" s="228">
        <f>AMT!D17+CCI!D17+SBAC!D17</f>
        <v>528.55199756305979</v>
      </c>
      <c r="E17" s="228">
        <f>AMT!E17+CCI!E17+SBAC!E17</f>
        <v>528.55199756305979</v>
      </c>
      <c r="F17" s="228">
        <f>AMT!F17+CCI!F17+SBAC!F17</f>
        <v>528.55199756305979</v>
      </c>
      <c r="G17" s="228">
        <f>AMT!G17+CCI!G17+SBAC!G17</f>
        <v>520.90143247519075</v>
      </c>
      <c r="H17" s="247"/>
      <c r="I17" s="247"/>
      <c r="J17" s="5" t="s">
        <v>580</v>
      </c>
      <c r="L17" s="248">
        <f>'AGG DM'!D45</f>
        <v>3.8692911642747754E-2</v>
      </c>
      <c r="M17" s="248">
        <f>'AGG DM'!E45</f>
        <v>4.3419291969220015E-2</v>
      </c>
      <c r="N17" s="248">
        <f>'AGG DM'!F45</f>
        <v>4.6126321738259798E-2</v>
      </c>
      <c r="O17" s="248">
        <f>'AGG DM'!G45</f>
        <v>4.9423675586152439E-2</v>
      </c>
      <c r="P17" s="17">
        <f>'AGG DM'!H45</f>
        <v>5.8812184463164385E-2</v>
      </c>
      <c r="S17" s="88"/>
      <c r="T17" s="88"/>
      <c r="U17" s="88"/>
      <c r="V17" s="42"/>
      <c r="W17" s="42"/>
      <c r="X17" s="42"/>
      <c r="Y17" s="42"/>
      <c r="Z17" s="42"/>
      <c r="AA17" s="42"/>
    </row>
    <row r="18" spans="2:27" ht="12.6" thickBot="1">
      <c r="B18" s="41" t="s">
        <v>360</v>
      </c>
      <c r="C18" s="249"/>
      <c r="D18" s="275">
        <f>AMT!D18+CCI!D18+SBAC!D18</f>
        <v>210847.95895991704</v>
      </c>
      <c r="E18" s="275">
        <f>AMT!E18+CCI!E18+SBAC!E18</f>
        <v>208308.76976033236</v>
      </c>
      <c r="F18" s="275">
        <f>AMT!F18+CCI!F18+SBAC!F18</f>
        <v>200602.52025451793</v>
      </c>
      <c r="G18" s="275">
        <f>AMT!G18+CCI!G18+SBAC!G18</f>
        <v>194269.109742498</v>
      </c>
      <c r="H18" s="276">
        <f>IF(D18=0,"nm",IF(G18=0,"nm",(G18/D18)^(1/3)-1))</f>
        <v>-2.6928432646713407E-2</v>
      </c>
      <c r="I18" s="254"/>
      <c r="J18" s="5" t="s">
        <v>36</v>
      </c>
      <c r="L18" s="248">
        <f>'AGG DM'!D46</f>
        <v>5.5339609483801136E-2</v>
      </c>
      <c r="M18" s="248">
        <f>'AGG DM'!E46</f>
        <v>7.6500460251698113E-2</v>
      </c>
      <c r="N18" s="248">
        <f>'AGG DM'!F46</f>
        <v>8.0311545489538158E-2</v>
      </c>
      <c r="O18" s="248">
        <f>'AGG DM'!G46</f>
        <v>9.1977124183415609E-2</v>
      </c>
      <c r="P18" s="17">
        <f>'AGG DM'!H46</f>
        <v>0.15593203466037919</v>
      </c>
      <c r="S18" s="88"/>
      <c r="T18" s="42"/>
      <c r="U18" s="42"/>
      <c r="V18" s="42"/>
      <c r="W18" s="42"/>
      <c r="X18" s="42"/>
      <c r="Y18" s="42"/>
      <c r="Z18" s="42"/>
      <c r="AA18" s="42"/>
    </row>
    <row r="19" spans="2:27" ht="12.6" thickTop="1">
      <c r="B19" s="41"/>
      <c r="C19" s="249"/>
      <c r="D19" s="229"/>
      <c r="E19" s="229"/>
      <c r="F19" s="229"/>
      <c r="G19" s="229"/>
      <c r="H19" s="276"/>
      <c r="I19" s="17"/>
      <c r="J19" s="5" t="s">
        <v>581</v>
      </c>
      <c r="L19" s="248">
        <f>'AGG DM'!D47</f>
        <v>8.4700596806382714E-2</v>
      </c>
      <c r="M19" s="248">
        <f>'AGG DM'!E47</f>
        <v>9.2183122240422966E-2</v>
      </c>
      <c r="N19" s="248">
        <f>'AGG DM'!F47</f>
        <v>0.10205637589642999</v>
      </c>
      <c r="O19" s="248">
        <f>'AGG DM'!G47</f>
        <v>0.11344408914151745</v>
      </c>
      <c r="P19" s="17">
        <f>'AGG DM'!H47</f>
        <v>7.171679530370545E-2</v>
      </c>
      <c r="S19" s="88"/>
      <c r="T19" s="42"/>
      <c r="U19" s="42"/>
      <c r="V19" s="42"/>
      <c r="W19" s="42"/>
      <c r="X19" s="42"/>
      <c r="Y19" s="42"/>
      <c r="Z19" s="42"/>
      <c r="AA19" s="42"/>
    </row>
    <row r="20" spans="2:27">
      <c r="H20" s="277"/>
      <c r="I20" s="49"/>
      <c r="J20" s="5" t="s">
        <v>604</v>
      </c>
      <c r="L20" s="248">
        <f>'AGG DM'!D48</f>
        <v>0.45770628705874244</v>
      </c>
      <c r="M20" s="248">
        <f>'AGG DM'!E48</f>
        <v>0.47291165163323612</v>
      </c>
      <c r="N20" s="248">
        <f>'AGG DM'!F48</f>
        <v>0.45515009617149715</v>
      </c>
      <c r="O20" s="248">
        <f>'AGG DM'!G48</f>
        <v>0.44137076019918969</v>
      </c>
      <c r="P20" s="17" t="str">
        <f>'AGG DM'!H48</f>
        <v>nm</v>
      </c>
      <c r="S20" s="42"/>
      <c r="T20" s="42"/>
      <c r="U20" s="42"/>
      <c r="V20" s="42"/>
      <c r="W20" s="42"/>
      <c r="X20" s="42"/>
      <c r="Y20" s="42"/>
      <c r="Z20" s="42"/>
      <c r="AA20" s="42"/>
    </row>
    <row r="21" spans="2:27" ht="12.6" thickBot="1">
      <c r="B21" s="306" t="s">
        <v>482</v>
      </c>
      <c r="C21" s="265">
        <v>2020</v>
      </c>
      <c r="D21" s="265" t="str">
        <f>D5</f>
        <v>2023E</v>
      </c>
      <c r="E21" s="265" t="str">
        <f>E5</f>
        <v>2024E</v>
      </c>
      <c r="F21" s="265" t="str">
        <f>F5</f>
        <v>2025E</v>
      </c>
      <c r="G21" s="265" t="str">
        <f>G5</f>
        <v>2026E</v>
      </c>
      <c r="H21" s="282" t="str">
        <f>H5</f>
        <v>23E-26E</v>
      </c>
      <c r="I21" s="17"/>
      <c r="S21" s="42"/>
      <c r="T21" s="42"/>
      <c r="U21" s="42"/>
      <c r="V21" s="42"/>
      <c r="W21" s="42"/>
      <c r="X21" s="42"/>
      <c r="Y21" s="42"/>
      <c r="Z21" s="42"/>
      <c r="AA21" s="42"/>
    </row>
    <row r="22" spans="2:27" ht="12.6" thickTop="1">
      <c r="B22" s="5"/>
      <c r="C22" s="257"/>
      <c r="D22" s="17"/>
      <c r="E22" s="17"/>
      <c r="F22" s="17"/>
      <c r="G22" s="17"/>
      <c r="H22" s="17"/>
      <c r="I22" s="247"/>
      <c r="P22" s="277"/>
      <c r="S22" s="42"/>
      <c r="T22" s="42"/>
      <c r="U22" s="42"/>
      <c r="V22" s="42"/>
      <c r="W22" s="42"/>
      <c r="X22" s="42"/>
      <c r="Y22" s="42"/>
      <c r="Z22" s="42"/>
      <c r="AA22" s="42"/>
    </row>
    <row r="23" spans="2:27" ht="12.6" thickBot="1">
      <c r="B23" s="5" t="s">
        <v>584</v>
      </c>
      <c r="C23" s="366">
        <f>AMT!C23+CCI!C23+SBAC!C23</f>
        <v>20330.553999999996</v>
      </c>
      <c r="D23" s="228">
        <f>AMT!D23+CCI!D23+SBAC!D23</f>
        <v>20980.671337876058</v>
      </c>
      <c r="E23" s="228">
        <f>AMT!E23+CCI!E23+SBAC!E23</f>
        <v>21397.695248276163</v>
      </c>
      <c r="F23" s="228">
        <f>AMT!F23+CCI!F23+SBAC!F23</f>
        <v>21963.717227889796</v>
      </c>
      <c r="G23" s="228">
        <f>AMT!G23+CCI!G23+SBAC!G23</f>
        <v>22670.53684759626</v>
      </c>
      <c r="H23" s="279">
        <f t="shared" ref="H23:H33" si="0">IF(D23=0,"nm",IF(G23=0,"nm",(G23/D23)^(1/3)-1))</f>
        <v>2.6157777948455641E-2</v>
      </c>
      <c r="I23" s="249"/>
      <c r="J23" s="306" t="s">
        <v>9</v>
      </c>
      <c r="K23" s="306"/>
      <c r="L23" s="265" t="str">
        <f>L5</f>
        <v>2023E</v>
      </c>
      <c r="M23" s="265" t="str">
        <f>M5</f>
        <v>2024E</v>
      </c>
      <c r="N23" s="265" t="str">
        <f>N5</f>
        <v>2025E</v>
      </c>
      <c r="O23" s="265" t="str">
        <f>O5</f>
        <v>2026E</v>
      </c>
      <c r="P23" s="282" t="str">
        <f>P5</f>
        <v>23E-26E</v>
      </c>
      <c r="S23" s="42"/>
      <c r="T23" s="42"/>
      <c r="U23" s="42"/>
      <c r="V23" s="42"/>
      <c r="W23" s="42" t="s">
        <v>719</v>
      </c>
      <c r="X23" s="42" t="s">
        <v>610</v>
      </c>
      <c r="Y23" s="42"/>
      <c r="Z23" s="42"/>
      <c r="AA23" s="42"/>
    </row>
    <row r="24" spans="2:27" ht="12.6" thickTop="1">
      <c r="B24" s="5" t="s">
        <v>483</v>
      </c>
      <c r="C24" s="366">
        <f>AMT!C24+CCI!C24+SBAC!C24</f>
        <v>12753.286</v>
      </c>
      <c r="D24" s="228">
        <f>AMT!D24+CCI!D24+SBAC!D24</f>
        <v>13398.495233792335</v>
      </c>
      <c r="E24" s="228">
        <f>AMT!E24+CCI!E24+SBAC!E24</f>
        <v>13642.554700643803</v>
      </c>
      <c r="F24" s="228">
        <f>AMT!F24+CCI!F24+SBAC!F24</f>
        <v>14023.629356396848</v>
      </c>
      <c r="G24" s="228">
        <f>AMT!G24+CCI!G24+SBAC!G24</f>
        <v>14665.022918091196</v>
      </c>
      <c r="H24" s="279">
        <f t="shared" si="0"/>
        <v>3.0565437622663838E-2</v>
      </c>
      <c r="I24" s="248"/>
      <c r="J24" s="17"/>
      <c r="K24" s="17"/>
      <c r="L24" s="17"/>
      <c r="M24" s="17"/>
      <c r="N24" s="17"/>
      <c r="O24" s="248"/>
      <c r="S24" s="42"/>
      <c r="T24" s="42"/>
      <c r="U24" s="42"/>
      <c r="V24" s="147" t="s">
        <v>273</v>
      </c>
      <c r="W24" s="288">
        <f t="shared" ref="W24:W31" si="1">E37/M9</f>
        <v>4.4109481959336652</v>
      </c>
      <c r="X24" s="288">
        <v>1</v>
      </c>
      <c r="Y24" s="42"/>
      <c r="Z24" s="42"/>
      <c r="AA24" s="42"/>
    </row>
    <row r="25" spans="2:27">
      <c r="B25" s="5" t="s">
        <v>183</v>
      </c>
      <c r="C25" s="366">
        <f>AMT!C25+CCI!C25+SBAC!C25</f>
        <v>9355.2430000000004</v>
      </c>
      <c r="D25" s="228">
        <f>AMT!D25+CCI!D25+SBAC!D25</f>
        <v>9814.9989997257271</v>
      </c>
      <c r="E25" s="228">
        <f>AMT!E25+CCI!E25+SBAC!E25</f>
        <v>10299.61243550371</v>
      </c>
      <c r="F25" s="228">
        <f>AMT!F25+CCI!F25+SBAC!F25</f>
        <v>10730.037794068146</v>
      </c>
      <c r="G25" s="228">
        <f>AMT!G25+CCI!G25+SBAC!G25</f>
        <v>11405.283916278449</v>
      </c>
      <c r="H25" s="279">
        <f t="shared" si="0"/>
        <v>5.1328926157078847E-2</v>
      </c>
      <c r="I25" s="249"/>
      <c r="J25" s="247" t="s">
        <v>10</v>
      </c>
      <c r="K25" s="247"/>
      <c r="L25" s="363">
        <f>AMT!L25+CCI!L25+SBAC!L25</f>
        <v>0</v>
      </c>
      <c r="M25" s="363">
        <f>AMT!M25+CCI!M25+SBAC!M25</f>
        <v>0</v>
      </c>
      <c r="N25" s="363">
        <f>AMT!N25+CCI!N25+SBAC!N25</f>
        <v>0</v>
      </c>
      <c r="O25" s="363">
        <f>AMT!O25+CCI!O25+SBAC!O25</f>
        <v>0</v>
      </c>
      <c r="P25" s="349" t="str">
        <f>IF(L25=0,"nm",IF(O25=0,"nm",(O25/L25)^(1/3)-1))</f>
        <v>nm</v>
      </c>
      <c r="Q25" s="5"/>
      <c r="S25" s="42"/>
      <c r="T25" s="42"/>
      <c r="U25" s="42"/>
      <c r="V25" s="147" t="s">
        <v>184</v>
      </c>
      <c r="W25" s="288">
        <f t="shared" si="1"/>
        <v>2.3178422404192704</v>
      </c>
      <c r="X25" s="288">
        <v>1</v>
      </c>
      <c r="Y25" s="42"/>
      <c r="Z25" s="42"/>
      <c r="AA25" s="42"/>
    </row>
    <row r="26" spans="2:27">
      <c r="B26" s="5" t="s">
        <v>586</v>
      </c>
      <c r="C26" s="366">
        <f>AMT!C26+CCI!C26+SBAC!C26</f>
        <v>8419.7187000000013</v>
      </c>
      <c r="D26" s="228">
        <f>AMT!D26+CCI!D26+SBAC!D26</f>
        <v>8833.499099753155</v>
      </c>
      <c r="E26" s="228">
        <f>AMT!E26+CCI!E26+SBAC!E26</f>
        <v>9269.6511919533368</v>
      </c>
      <c r="F26" s="228">
        <f>AMT!F26+CCI!F26+SBAC!F26</f>
        <v>9657.0340146613325</v>
      </c>
      <c r="G26" s="228">
        <f>AMT!G26+CCI!G26+SBAC!G26</f>
        <v>10264.755524650604</v>
      </c>
      <c r="H26" s="279">
        <f t="shared" si="0"/>
        <v>5.1328926157078847E-2</v>
      </c>
      <c r="I26" s="249"/>
      <c r="J26" s="249" t="s">
        <v>11</v>
      </c>
      <c r="K26" s="249"/>
      <c r="L26" s="271">
        <f>AMT!L26+CCI!L26+SBAC!L26</f>
        <v>153757.81287755375</v>
      </c>
      <c r="M26" s="271">
        <f>AMT!M26+CCI!M26+SBAC!M26</f>
        <v>152859.03742898721</v>
      </c>
      <c r="N26" s="271">
        <f>AMT!N26+CCI!N26+SBAC!N26</f>
        <v>150183.97246186633</v>
      </c>
      <c r="O26" s="271">
        <f>AMT!O26+CCI!O26+SBAC!O26</f>
        <v>147407.74821815937</v>
      </c>
      <c r="P26" s="349">
        <f>IF(L26=0,"nm",IF(O26=0,"nm",(O26/L26)^(1/3)-1))</f>
        <v>-1.3960363126250486E-2</v>
      </c>
      <c r="Q26" s="41"/>
      <c r="S26" s="42"/>
      <c r="T26" s="42"/>
      <c r="U26" s="42"/>
      <c r="V26" s="147" t="s">
        <v>185</v>
      </c>
      <c r="W26" s="288">
        <f t="shared" si="1"/>
        <v>1.7596607371341724</v>
      </c>
      <c r="X26" s="288">
        <v>1</v>
      </c>
      <c r="Y26" s="42"/>
      <c r="Z26" s="42"/>
      <c r="AA26" s="42"/>
    </row>
    <row r="27" spans="2:27">
      <c r="B27" s="5" t="s">
        <v>587</v>
      </c>
      <c r="C27" s="366">
        <f>AMT!C27+CCI!C27+SBAC!C27</f>
        <v>81108.028000000006</v>
      </c>
      <c r="D27" s="228">
        <f>AMT!D27+CCI!D27+SBAC!D27</f>
        <v>79407.4418089221</v>
      </c>
      <c r="E27" s="228">
        <f>AMT!E27+CCI!E27+SBAC!E27</f>
        <v>68544.682453918824</v>
      </c>
      <c r="F27" s="228">
        <f>AMT!F27+CCI!F27+SBAC!F27</f>
        <v>59220.870863764525</v>
      </c>
      <c r="G27" s="228">
        <f>AMT!G27+CCI!G27+SBAC!G27</f>
        <v>50370.960559042091</v>
      </c>
      <c r="H27" s="279">
        <f t="shared" si="0"/>
        <v>-0.14077611221633957</v>
      </c>
      <c r="I27" s="248"/>
      <c r="J27" s="248"/>
      <c r="K27" s="248"/>
      <c r="L27" s="248"/>
      <c r="M27" s="248"/>
      <c r="N27" s="248"/>
      <c r="O27" s="248"/>
      <c r="Q27" s="5"/>
      <c r="S27" s="42"/>
      <c r="T27" s="42"/>
      <c r="U27" s="42"/>
      <c r="V27" s="147" t="s">
        <v>466</v>
      </c>
      <c r="W27" s="288">
        <f t="shared" si="1"/>
        <v>1.3746783690066353</v>
      </c>
      <c r="X27" s="288">
        <v>1</v>
      </c>
      <c r="Y27" s="42"/>
      <c r="Z27" s="42"/>
      <c r="AA27" s="42"/>
    </row>
    <row r="28" spans="2:27" ht="12.6" thickBot="1">
      <c r="B28" s="5" t="s">
        <v>592</v>
      </c>
      <c r="C28" s="366">
        <f>AMT!C28+CCI!C28+SBAC!C28</f>
        <v>38119.027000000002</v>
      </c>
      <c r="D28" s="228">
        <f>AMT!D28+CCI!D28+SBAC!D28</f>
        <v>37457.241934235943</v>
      </c>
      <c r="E28" s="228">
        <f>AMT!E28+CCI!E28+SBAC!E28</f>
        <v>36282.193649885761</v>
      </c>
      <c r="F28" s="228">
        <f>AMT!F28+CCI!F28+SBAC!F28</f>
        <v>35256.435100975097</v>
      </c>
      <c r="G28" s="228">
        <f>AMT!G28+CCI!G28+SBAC!G28</f>
        <v>32627.478260506166</v>
      </c>
      <c r="H28" s="279">
        <f t="shared" si="0"/>
        <v>-4.4972440556020565E-2</v>
      </c>
      <c r="I28" s="252"/>
      <c r="J28" s="306" t="s">
        <v>754</v>
      </c>
      <c r="K28" s="306"/>
      <c r="L28" s="306"/>
      <c r="M28" s="306"/>
      <c r="N28" s="266"/>
      <c r="O28" s="266"/>
      <c r="P28" s="266"/>
      <c r="Q28" s="5"/>
      <c r="S28" s="42"/>
      <c r="T28" s="42"/>
      <c r="U28" s="42"/>
      <c r="V28" s="147" t="s">
        <v>530</v>
      </c>
      <c r="W28" s="288">
        <f t="shared" si="1"/>
        <v>2.1695624140852865</v>
      </c>
      <c r="X28" s="288">
        <v>1</v>
      </c>
      <c r="Y28" s="42"/>
      <c r="Z28" s="42"/>
      <c r="AA28" s="42"/>
    </row>
    <row r="29" spans="2:27" ht="12.6" thickTop="1">
      <c r="B29" s="5" t="s">
        <v>588</v>
      </c>
      <c r="C29" s="366">
        <f>AMT!C29+CCI!C29+SBAC!C29</f>
        <v>7566.2480000000014</v>
      </c>
      <c r="D29" s="228">
        <f>AMT!D29+CCI!D29+SBAC!D29</f>
        <v>7130.5285531773543</v>
      </c>
      <c r="E29" s="228">
        <f>AMT!E29+CCI!E29+SBAC!E29</f>
        <v>7552.8008981585117</v>
      </c>
      <c r="F29" s="228">
        <f>AMT!F29+CCI!F29+SBAC!F29</f>
        <v>7857.6646766435406</v>
      </c>
      <c r="G29" s="228">
        <f>AMT!G29+CCI!G29+SBAC!G29</f>
        <v>8576.2799460442711</v>
      </c>
      <c r="H29" s="279">
        <f t="shared" si="0"/>
        <v>6.3471221095444452E-2</v>
      </c>
      <c r="I29" s="254"/>
      <c r="J29" s="249"/>
      <c r="K29" s="249"/>
      <c r="L29" s="249"/>
      <c r="M29" s="249"/>
      <c r="N29" s="249"/>
      <c r="O29" s="251"/>
      <c r="Q29" s="5"/>
      <c r="S29" s="42"/>
      <c r="T29" s="42"/>
      <c r="U29" s="42"/>
      <c r="V29" s="147" t="s">
        <v>593</v>
      </c>
      <c r="W29" s="288">
        <f t="shared" si="1"/>
        <v>1.8032939907532546</v>
      </c>
      <c r="X29" s="288">
        <v>1</v>
      </c>
      <c r="Y29" s="42"/>
      <c r="Z29" s="42"/>
      <c r="AA29" s="42"/>
    </row>
    <row r="30" spans="2:27">
      <c r="B30" s="5" t="s">
        <v>589</v>
      </c>
      <c r="C30" s="366">
        <f>AMT!C30+CCI!C30+SBAC!C30</f>
        <v>5193.6150000000007</v>
      </c>
      <c r="D30" s="228">
        <f>AMT!D30+CCI!D30+SBAC!D30</f>
        <v>5168.4723074898793</v>
      </c>
      <c r="E30" s="228">
        <f>AMT!E30+CCI!E30+SBAC!E30</f>
        <v>5540.6569574229561</v>
      </c>
      <c r="F30" s="228">
        <f>AMT!F30+CCI!F30+SBAC!F30</f>
        <v>6004.5241615517807</v>
      </c>
      <c r="G30" s="228">
        <f>AMT!G30+CCI!G30+SBAC!G30</f>
        <v>6979.9643867653022</v>
      </c>
      <c r="H30" s="279">
        <f t="shared" si="0"/>
        <v>0.1053428450222762</v>
      </c>
      <c r="I30" s="254"/>
      <c r="J30" s="248"/>
      <c r="K30" s="248"/>
      <c r="L30" s="248"/>
      <c r="M30" s="248"/>
      <c r="N30" s="248"/>
      <c r="O30" s="5"/>
      <c r="Q30" s="5"/>
      <c r="S30" s="42"/>
      <c r="T30" s="42"/>
      <c r="U30" s="42"/>
      <c r="V30" s="147" t="s">
        <v>475</v>
      </c>
      <c r="W30" s="288">
        <f t="shared" si="1"/>
        <v>1.8656685808181868</v>
      </c>
      <c r="X30" s="288">
        <v>1</v>
      </c>
      <c r="Y30" s="42"/>
      <c r="Z30" s="42"/>
      <c r="AA30" s="42"/>
    </row>
    <row r="31" spans="2:27">
      <c r="B31" s="5" t="s">
        <v>590</v>
      </c>
      <c r="C31" s="366">
        <f>AMT!C31+CCI!C31+SBAC!C31</f>
        <v>5539.1659999999993</v>
      </c>
      <c r="D31" s="228">
        <f>AMT!D31+CCI!D31+SBAC!D31</f>
        <v>6051.3571389813524</v>
      </c>
      <c r="E31" s="228">
        <f>AMT!E31+CCI!E31+SBAC!E31</f>
        <v>8657.971858816396</v>
      </c>
      <c r="F31" s="228">
        <f>AMT!F31+CCI!F31+SBAC!F31</f>
        <v>9159.4034027602247</v>
      </c>
      <c r="G31" s="228">
        <f>AMT!G31+CCI!G31+SBAC!G31</f>
        <v>9583.0830940492779</v>
      </c>
      <c r="H31" s="279">
        <f t="shared" si="0"/>
        <v>0.16560344677482641</v>
      </c>
      <c r="I31" s="254"/>
      <c r="J31" s="252"/>
      <c r="K31" s="252"/>
      <c r="L31" s="252"/>
      <c r="M31" s="252"/>
      <c r="N31" s="252"/>
      <c r="O31" s="5"/>
      <c r="Q31" s="5"/>
      <c r="S31" s="42"/>
      <c r="T31" s="42"/>
      <c r="U31" s="42"/>
      <c r="V31" s="147" t="s">
        <v>533</v>
      </c>
      <c r="W31" s="288" t="e">
        <f t="shared" si="1"/>
        <v>#VALUE!</v>
      </c>
      <c r="X31" s="288">
        <v>1</v>
      </c>
      <c r="Y31" s="42"/>
      <c r="Z31" s="42"/>
      <c r="AA31" s="42"/>
    </row>
    <row r="32" spans="2:27">
      <c r="B32" s="5" t="s">
        <v>606</v>
      </c>
      <c r="C32" s="366">
        <f>AMT!C32+CCI!C32+SBAC!C32</f>
        <v>515.46699999999998</v>
      </c>
      <c r="D32" s="228">
        <f>AMT!D32+CCI!D32+SBAC!D32</f>
        <v>-665.48549899444083</v>
      </c>
      <c r="E32" s="228">
        <f>AMT!E32+CCI!E32+SBAC!E32</f>
        <v>7581.1521528415033</v>
      </c>
      <c r="F32" s="228">
        <f>AMT!F32+CCI!F32+SBAC!F32</f>
        <v>6582.2259571748291</v>
      </c>
      <c r="G32" s="228">
        <f>AMT!G32+CCI!G32+SBAC!G32</f>
        <v>8045.0963750406745</v>
      </c>
      <c r="H32" s="279">
        <f t="shared" si="0"/>
        <v>-3.2950785365153834</v>
      </c>
      <c r="I32" s="5"/>
      <c r="J32" s="254"/>
      <c r="K32" s="254"/>
      <c r="L32" s="254"/>
      <c r="M32" s="254"/>
      <c r="N32" s="254"/>
      <c r="O32" s="251"/>
      <c r="Q32" s="5"/>
      <c r="S32" s="42"/>
      <c r="T32" s="42"/>
      <c r="U32" s="42"/>
      <c r="V32" s="147" t="s">
        <v>580</v>
      </c>
      <c r="W32" s="288">
        <f>M17/E45</f>
        <v>0.76658035906003208</v>
      </c>
      <c r="X32" s="288">
        <v>1</v>
      </c>
      <c r="Y32" s="42"/>
      <c r="Z32" s="42"/>
      <c r="AA32" s="42"/>
    </row>
    <row r="33" spans="2:42">
      <c r="B33" s="5" t="s">
        <v>5</v>
      </c>
      <c r="C33" s="366">
        <f>AMT!C33+CCI!C33+SBAC!C33</f>
        <v>-2152.663</v>
      </c>
      <c r="D33" s="228">
        <f>AMT!D33+CCI!D33+SBAC!D33</f>
        <v>-2542.1089338636789</v>
      </c>
      <c r="E33" s="228">
        <f>AMT!E33+CCI!E33+SBAC!E33</f>
        <v>-2572.4048667784436</v>
      </c>
      <c r="F33" s="228">
        <f>AMT!F33+CCI!F33+SBAC!F33</f>
        <v>-2686.622077758298</v>
      </c>
      <c r="G33" s="228">
        <f>AMT!G33+CCI!G33+SBAC!G33</f>
        <v>-2602.9143589238001</v>
      </c>
      <c r="H33" s="279">
        <f t="shared" si="0"/>
        <v>7.9103558790658557E-3</v>
      </c>
      <c r="I33" s="49"/>
      <c r="J33" s="254"/>
      <c r="K33" s="254"/>
      <c r="L33" s="254"/>
      <c r="M33" s="254"/>
      <c r="N33" s="254"/>
      <c r="O33" s="251"/>
      <c r="Q33" s="5"/>
      <c r="S33" s="42"/>
      <c r="T33" s="42"/>
      <c r="U33" s="42"/>
      <c r="V33" s="147" t="s">
        <v>266</v>
      </c>
      <c r="W33" s="288">
        <f>N19/F47</f>
        <v>1.9506090648976968</v>
      </c>
      <c r="X33" s="288">
        <v>1</v>
      </c>
      <c r="Y33" s="288"/>
      <c r="Z33" s="288"/>
      <c r="AA33" s="42"/>
      <c r="AC33" s="10"/>
      <c r="AD33" s="10"/>
      <c r="AE33" s="10"/>
      <c r="AF33" s="10"/>
      <c r="AH33" s="10"/>
      <c r="AI33" s="10"/>
      <c r="AJ33" s="10"/>
      <c r="AK33" s="10"/>
      <c r="AM33" s="10"/>
      <c r="AN33" s="10"/>
      <c r="AO33" s="10"/>
      <c r="AP33" s="10"/>
    </row>
    <row r="34" spans="2:42">
      <c r="H34" s="277"/>
      <c r="I34" s="254"/>
      <c r="J34" s="254"/>
      <c r="K34" s="254"/>
      <c r="L34" s="254"/>
      <c r="M34" s="254"/>
      <c r="N34" s="254"/>
      <c r="O34" s="251"/>
      <c r="Q34" s="5"/>
      <c r="S34" s="42"/>
      <c r="T34" s="42"/>
      <c r="U34" s="42"/>
      <c r="V34" s="42"/>
      <c r="W34" s="42"/>
      <c r="X34" s="42"/>
      <c r="Y34" s="288"/>
      <c r="Z34" s="288"/>
      <c r="AA34" s="42"/>
      <c r="AC34" s="10"/>
      <c r="AD34" s="10"/>
      <c r="AE34" s="10"/>
      <c r="AF34" s="10"/>
      <c r="AH34" s="10"/>
      <c r="AI34" s="10"/>
      <c r="AJ34" s="10"/>
      <c r="AK34" s="10"/>
      <c r="AM34" s="10"/>
      <c r="AN34" s="10"/>
      <c r="AO34" s="10"/>
      <c r="AP34" s="10"/>
    </row>
    <row r="35" spans="2:42" ht="12.6" thickBot="1">
      <c r="B35" s="306" t="s">
        <v>718</v>
      </c>
      <c r="C35" s="265"/>
      <c r="D35" s="265" t="str">
        <f>D5</f>
        <v>2023E</v>
      </c>
      <c r="E35" s="265" t="str">
        <f>E5</f>
        <v>2024E</v>
      </c>
      <c r="F35" s="265" t="str">
        <f>F5</f>
        <v>2025E</v>
      </c>
      <c r="G35" s="265" t="str">
        <f>G5</f>
        <v>2026E</v>
      </c>
      <c r="H35" s="265" t="str">
        <f>H5</f>
        <v>23E-26E</v>
      </c>
      <c r="I35" s="17"/>
      <c r="J35" s="5"/>
      <c r="K35" s="5"/>
      <c r="L35" s="5"/>
      <c r="M35" s="5"/>
      <c r="N35" s="5"/>
      <c r="O35" s="5"/>
      <c r="Q35" s="5"/>
      <c r="S35" s="42"/>
      <c r="T35" s="42"/>
      <c r="U35" s="42"/>
      <c r="V35" s="42"/>
      <c r="W35" s="42"/>
      <c r="X35" s="42"/>
      <c r="Y35" s="288"/>
      <c r="Z35" s="288"/>
      <c r="AA35" s="42"/>
      <c r="AC35" s="10"/>
      <c r="AD35" s="10"/>
      <c r="AE35" s="10"/>
      <c r="AF35" s="10"/>
      <c r="AH35" s="10"/>
      <c r="AI35" s="10"/>
      <c r="AJ35" s="10"/>
      <c r="AK35" s="10"/>
      <c r="AM35" s="10"/>
      <c r="AN35" s="10"/>
      <c r="AO35" s="10"/>
      <c r="AP35" s="10"/>
    </row>
    <row r="36" spans="2:42" ht="12.6" thickTop="1">
      <c r="B36" s="41"/>
      <c r="C36" s="249"/>
      <c r="D36" s="254"/>
      <c r="E36" s="254"/>
      <c r="F36" s="254"/>
      <c r="G36" s="254"/>
      <c r="H36" s="254"/>
      <c r="I36" s="5"/>
      <c r="J36" s="49"/>
      <c r="K36" s="49"/>
      <c r="L36" s="49"/>
      <c r="M36" s="49"/>
      <c r="N36" s="49"/>
      <c r="O36" s="49"/>
      <c r="Q36" s="5"/>
      <c r="R36" s="5"/>
      <c r="S36" s="42"/>
      <c r="T36" s="42"/>
      <c r="U36" s="42"/>
      <c r="V36" s="42"/>
      <c r="W36" s="42"/>
      <c r="X36" s="42"/>
      <c r="Y36" s="42"/>
      <c r="Z36" s="42"/>
      <c r="AA36" s="42"/>
      <c r="AC36" s="10"/>
      <c r="AD36" s="10"/>
      <c r="AE36" s="10"/>
      <c r="AF36" s="10"/>
      <c r="AH36" s="10"/>
      <c r="AI36" s="10"/>
      <c r="AJ36" s="10"/>
      <c r="AK36" s="10"/>
      <c r="AM36" s="10"/>
      <c r="AN36" s="10"/>
      <c r="AO36" s="10"/>
      <c r="AP36" s="10"/>
    </row>
    <row r="37" spans="2:42">
      <c r="B37" s="5" t="s">
        <v>273</v>
      </c>
      <c r="C37" s="247"/>
      <c r="D37" s="64">
        <f t="shared" ref="D37:G41" si="2">D$18/D23</f>
        <v>10.049628801880935</v>
      </c>
      <c r="E37" s="64">
        <f t="shared" si="2"/>
        <v>9.7351031194405895</v>
      </c>
      <c r="F37" s="64">
        <f t="shared" si="2"/>
        <v>9.1333592657890534</v>
      </c>
      <c r="G37" s="64">
        <f t="shared" si="2"/>
        <v>8.5692328791541694</v>
      </c>
      <c r="H37" s="17">
        <f t="shared" ref="H37:H45" si="3">H23</f>
        <v>2.6157777948455641E-2</v>
      </c>
      <c r="I37" s="259"/>
      <c r="J37" s="259"/>
      <c r="K37" s="259"/>
      <c r="L37" s="259"/>
      <c r="M37" s="259"/>
      <c r="N37" s="259"/>
      <c r="O37" s="18"/>
      <c r="Q37" s="5"/>
      <c r="R37" s="5"/>
      <c r="S37" s="42"/>
      <c r="T37" s="42"/>
      <c r="U37" s="42"/>
      <c r="V37" s="42"/>
      <c r="W37" s="42"/>
      <c r="X37" s="42"/>
      <c r="Y37" s="42"/>
      <c r="Z37" s="42"/>
      <c r="AA37" s="42"/>
      <c r="AC37" s="10"/>
      <c r="AD37" s="10"/>
      <c r="AE37" s="10"/>
      <c r="AF37" s="10"/>
      <c r="AH37" s="10"/>
      <c r="AI37" s="10"/>
      <c r="AJ37" s="10"/>
      <c r="AK37" s="10"/>
      <c r="AM37" s="10"/>
      <c r="AN37" s="10"/>
      <c r="AO37" s="10"/>
      <c r="AP37" s="10"/>
    </row>
    <row r="38" spans="2:42">
      <c r="B38" s="5" t="s">
        <v>184</v>
      </c>
      <c r="C38" s="247"/>
      <c r="D38" s="64">
        <f t="shared" si="2"/>
        <v>15.736689477497261</v>
      </c>
      <c r="E38" s="64">
        <f t="shared" si="2"/>
        <v>15.269044129286291</v>
      </c>
      <c r="F38" s="64">
        <f t="shared" si="2"/>
        <v>14.30460796962047</v>
      </c>
      <c r="G38" s="64">
        <f t="shared" si="2"/>
        <v>13.247105771845881</v>
      </c>
      <c r="H38" s="17">
        <f t="shared" si="3"/>
        <v>3.0565437622663838E-2</v>
      </c>
      <c r="I38" s="17"/>
      <c r="J38" s="17"/>
      <c r="K38" s="17"/>
      <c r="L38" s="17"/>
      <c r="M38" s="17"/>
      <c r="N38" s="17"/>
      <c r="O38" s="5"/>
      <c r="Q38" s="5"/>
      <c r="R38" s="5"/>
      <c r="S38" s="42"/>
      <c r="T38" s="42"/>
      <c r="U38" s="42"/>
      <c r="V38" s="42"/>
      <c r="W38" s="42"/>
      <c r="X38" s="42"/>
      <c r="Y38" s="42"/>
      <c r="Z38" s="42"/>
      <c r="AA38" s="42"/>
    </row>
    <row r="39" spans="2:42">
      <c r="B39" s="5" t="s">
        <v>185</v>
      </c>
      <c r="C39" s="247"/>
      <c r="D39" s="64">
        <f t="shared" si="2"/>
        <v>21.482219098117994</v>
      </c>
      <c r="E39" s="64">
        <f t="shared" si="2"/>
        <v>20.224913419292644</v>
      </c>
      <c r="F39" s="64">
        <f t="shared" si="2"/>
        <v>18.695415999878062</v>
      </c>
      <c r="G39" s="64">
        <f t="shared" si="2"/>
        <v>17.033255039378986</v>
      </c>
      <c r="H39" s="17">
        <f t="shared" si="3"/>
        <v>5.1328926157078847E-2</v>
      </c>
      <c r="I39" s="5"/>
      <c r="J39" s="5"/>
      <c r="K39" s="5"/>
      <c r="L39" s="5"/>
      <c r="M39" s="5"/>
      <c r="N39" s="5"/>
      <c r="O39" s="5"/>
      <c r="Q39" s="5"/>
      <c r="R39" s="5"/>
      <c r="S39" s="42"/>
      <c r="T39" s="42"/>
      <c r="U39" s="42"/>
      <c r="V39" s="42"/>
      <c r="W39" s="288"/>
      <c r="X39" s="288"/>
      <c r="Y39" s="42"/>
      <c r="Z39" s="42"/>
      <c r="AA39" s="42"/>
    </row>
    <row r="40" spans="2:42">
      <c r="B40" s="5" t="s">
        <v>466</v>
      </c>
      <c r="C40" s="247"/>
      <c r="D40" s="64">
        <f t="shared" si="2"/>
        <v>23.869132331242216</v>
      </c>
      <c r="E40" s="64">
        <f t="shared" si="2"/>
        <v>22.472126021436274</v>
      </c>
      <c r="F40" s="64">
        <f t="shared" si="2"/>
        <v>20.772684444308958</v>
      </c>
      <c r="G40" s="64">
        <f t="shared" si="2"/>
        <v>18.92583893264332</v>
      </c>
      <c r="H40" s="17">
        <f t="shared" si="3"/>
        <v>5.1328926157078847E-2</v>
      </c>
      <c r="I40" s="247"/>
      <c r="J40" s="259"/>
      <c r="K40" s="259"/>
      <c r="L40" s="259"/>
      <c r="M40" s="259"/>
      <c r="N40" s="259"/>
      <c r="O40" s="18"/>
      <c r="Q40" s="5"/>
      <c r="R40" s="5"/>
      <c r="S40" s="42"/>
      <c r="T40" s="42"/>
      <c r="U40" s="42"/>
      <c r="V40" s="42"/>
      <c r="W40" s="288"/>
      <c r="X40" s="288"/>
      <c r="Y40" s="288"/>
      <c r="Z40" s="288"/>
      <c r="AA40" s="42"/>
    </row>
    <row r="41" spans="2:42">
      <c r="B41" s="5" t="s">
        <v>530</v>
      </c>
      <c r="C41" s="247"/>
      <c r="D41" s="64">
        <f t="shared" si="2"/>
        <v>2.6552669895509275</v>
      </c>
      <c r="E41" s="64">
        <f t="shared" si="2"/>
        <v>3.0390215885874743</v>
      </c>
      <c r="F41" s="64">
        <f t="shared" si="2"/>
        <v>3.3873618764573186</v>
      </c>
      <c r="G41" s="64">
        <f t="shared" si="2"/>
        <v>3.856768018445595</v>
      </c>
      <c r="H41" s="17">
        <f t="shared" si="3"/>
        <v>-0.14077611221633957</v>
      </c>
      <c r="I41" s="248"/>
      <c r="J41" s="17"/>
      <c r="K41" s="17"/>
      <c r="L41" s="17"/>
      <c r="M41" s="17"/>
      <c r="N41" s="17"/>
      <c r="O41" s="5"/>
      <c r="Q41" s="5"/>
      <c r="R41" s="5"/>
      <c r="S41" s="42"/>
      <c r="T41" s="42"/>
      <c r="U41" s="42"/>
      <c r="V41" s="42"/>
      <c r="W41" s="288"/>
      <c r="X41" s="288"/>
      <c r="Y41" s="288"/>
      <c r="Z41" s="288"/>
      <c r="AA41" s="42"/>
    </row>
    <row r="42" spans="2:42">
      <c r="B42" s="5" t="s">
        <v>593</v>
      </c>
      <c r="C42" s="247"/>
      <c r="D42" s="64">
        <f>D18/D28</f>
        <v>5.629030544483359</v>
      </c>
      <c r="E42" s="64">
        <f>E18/E28</f>
        <v>5.7413499241655757</v>
      </c>
      <c r="F42" s="64">
        <f>F18/F28</f>
        <v>5.6898129286182373</v>
      </c>
      <c r="G42" s="64">
        <f>G18/G28</f>
        <v>5.954156438061303</v>
      </c>
      <c r="H42" s="17">
        <f t="shared" si="3"/>
        <v>-4.4972440556020565E-2</v>
      </c>
      <c r="I42" s="247"/>
      <c r="J42" s="5"/>
      <c r="K42" s="5"/>
      <c r="L42" s="5"/>
      <c r="M42" s="5"/>
      <c r="N42" s="5"/>
      <c r="O42" s="5"/>
      <c r="Q42" s="5"/>
      <c r="R42" s="5"/>
      <c r="S42" s="42"/>
      <c r="T42" s="42"/>
      <c r="U42" s="42"/>
      <c r="V42" s="42"/>
      <c r="W42" s="288"/>
      <c r="X42" s="288"/>
      <c r="Y42" s="288"/>
      <c r="Z42" s="288"/>
      <c r="AA42" s="42"/>
    </row>
    <row r="43" spans="2:42">
      <c r="B43" s="5" t="s">
        <v>475</v>
      </c>
      <c r="C43" s="247"/>
      <c r="D43" s="64">
        <f>L26/D29</f>
        <v>21.563312134699952</v>
      </c>
      <c r="E43" s="64">
        <f>M26/E29</f>
        <v>20.238721964226091</v>
      </c>
      <c r="F43" s="64">
        <f>N26/F29</f>
        <v>19.113054405118561</v>
      </c>
      <c r="G43" s="64">
        <f>O26/G29</f>
        <v>17.187842414839761</v>
      </c>
      <c r="H43" s="17">
        <f t="shared" si="3"/>
        <v>6.3471221095444452E-2</v>
      </c>
      <c r="I43" s="247"/>
      <c r="J43" s="247"/>
      <c r="K43" s="247"/>
      <c r="L43" s="247"/>
      <c r="M43" s="247"/>
      <c r="N43" s="247"/>
      <c r="O43" s="18"/>
      <c r="Q43" s="5"/>
      <c r="R43" s="5"/>
      <c r="S43" s="42"/>
      <c r="T43" s="42"/>
      <c r="U43" s="42"/>
      <c r="V43" s="42"/>
      <c r="W43" s="325"/>
      <c r="X43" s="325"/>
      <c r="Y43" s="288"/>
      <c r="Z43" s="288"/>
      <c r="AA43" s="42"/>
    </row>
    <row r="44" spans="2:42">
      <c r="B44" s="5" t="s">
        <v>721</v>
      </c>
      <c r="C44" s="69"/>
      <c r="D44" s="64">
        <f>D11/D30</f>
        <v>29.749179976206118</v>
      </c>
      <c r="E44" s="64">
        <f>E11/E30</f>
        <v>27.588612434162371</v>
      </c>
      <c r="F44" s="64">
        <f>F11/F30</f>
        <v>25.011802504439171</v>
      </c>
      <c r="G44" s="64">
        <f>G11/G30</f>
        <v>21.118696321382231</v>
      </c>
      <c r="H44" s="17">
        <f t="shared" si="3"/>
        <v>0.1053428450222762</v>
      </c>
      <c r="I44" s="248"/>
      <c r="J44" s="248"/>
      <c r="K44" s="248"/>
      <c r="L44" s="248"/>
      <c r="M44" s="248"/>
      <c r="N44" s="248"/>
      <c r="O44" s="248"/>
      <c r="Q44" s="5"/>
      <c r="R44" s="5"/>
      <c r="S44" s="42"/>
      <c r="T44" s="42"/>
      <c r="U44" s="42"/>
      <c r="V44" s="42"/>
      <c r="W44" s="42"/>
      <c r="X44" s="42"/>
      <c r="Y44" s="325"/>
      <c r="Z44" s="325"/>
      <c r="AA44" s="42"/>
    </row>
    <row r="45" spans="2:42">
      <c r="B45" s="5" t="s">
        <v>580</v>
      </c>
      <c r="C45" s="247"/>
      <c r="D45" s="248">
        <f>D31/D11</f>
        <v>3.9356420501378997E-2</v>
      </c>
      <c r="E45" s="248">
        <f>E31/E11</f>
        <v>5.6640235372662065E-2</v>
      </c>
      <c r="F45" s="248">
        <f>F31/F11</f>
        <v>6.0987888738166893E-2</v>
      </c>
      <c r="G45" s="248">
        <f>G31/G11</f>
        <v>6.5010714903985786E-2</v>
      </c>
      <c r="H45" s="17">
        <f t="shared" si="3"/>
        <v>0.16560344677482641</v>
      </c>
      <c r="I45" s="247"/>
      <c r="J45" s="247"/>
      <c r="K45" s="247"/>
      <c r="L45" s="247"/>
      <c r="M45" s="247"/>
      <c r="N45" s="247"/>
      <c r="O45" s="248"/>
      <c r="Q45" s="5"/>
      <c r="R45" s="5"/>
      <c r="S45" s="42"/>
      <c r="T45" s="42"/>
      <c r="U45" s="42"/>
      <c r="V45" s="42"/>
      <c r="W45" s="42"/>
      <c r="X45" s="42"/>
      <c r="Y45" s="42"/>
      <c r="Z45" s="42"/>
      <c r="AA45" s="326"/>
      <c r="AB45" s="303"/>
    </row>
    <row r="46" spans="2:42">
      <c r="B46" s="5" t="s">
        <v>605</v>
      </c>
      <c r="C46" s="247"/>
      <c r="D46" s="248">
        <f>(D31+D32)/D11</f>
        <v>3.5028279468803276E-2</v>
      </c>
      <c r="E46" s="248">
        <f>(E31+E32)/E11</f>
        <v>0.10623594315908216</v>
      </c>
      <c r="F46" s="248">
        <f>(F31+F32)/F11</f>
        <v>0.1048156411226375</v>
      </c>
      <c r="G46" s="248">
        <f>(G31+G32)/G11</f>
        <v>0.11958787568615957</v>
      </c>
      <c r="H46" s="279">
        <f>((G31+G32)/(D31+D32))^(1/3)-1</f>
        <v>0.48474027103495088</v>
      </c>
      <c r="I46" s="17"/>
      <c r="J46" s="247"/>
      <c r="K46" s="247"/>
      <c r="L46" s="247"/>
      <c r="M46" s="247"/>
      <c r="N46" s="247"/>
      <c r="O46" s="18"/>
      <c r="Q46" s="5"/>
      <c r="R46" s="5"/>
      <c r="S46" s="42"/>
      <c r="T46" s="42"/>
      <c r="U46" s="42"/>
      <c r="V46" s="42"/>
      <c r="W46" s="42"/>
      <c r="X46" s="42"/>
      <c r="Y46" s="42"/>
      <c r="Z46" s="42"/>
      <c r="AA46" s="326"/>
      <c r="AB46" s="303"/>
    </row>
    <row r="47" spans="2:42">
      <c r="B47" s="5" t="s">
        <v>581</v>
      </c>
      <c r="C47" s="5"/>
      <c r="D47" s="248">
        <f>1/D43</f>
        <v>4.637506491364967E-2</v>
      </c>
      <c r="E47" s="248">
        <f>1/E43</f>
        <v>4.9410234587322126E-2</v>
      </c>
      <c r="F47" s="248">
        <f>1/F43</f>
        <v>5.2320261262490605E-2</v>
      </c>
      <c r="G47" s="248">
        <f>1/G43</f>
        <v>5.8180659088229301E-2</v>
      </c>
      <c r="H47" s="17">
        <f>H29</f>
        <v>6.3471221095444452E-2</v>
      </c>
      <c r="I47" s="247"/>
      <c r="J47" s="248"/>
      <c r="K47" s="248"/>
      <c r="L47" s="248"/>
      <c r="M47" s="248"/>
      <c r="N47" s="248"/>
      <c r="O47" s="248"/>
      <c r="Q47" s="5"/>
      <c r="R47" s="5"/>
      <c r="S47" s="5"/>
      <c r="T47" s="5"/>
      <c r="U47" s="5"/>
      <c r="AA47" s="303"/>
      <c r="AB47" s="303"/>
    </row>
    <row r="48" spans="2:42">
      <c r="B48" s="5" t="s">
        <v>618</v>
      </c>
      <c r="C48" s="5"/>
      <c r="D48" s="305">
        <f>D31/D29</f>
        <v>0.84865477977573978</v>
      </c>
      <c r="E48" s="305">
        <f>E31/E29</f>
        <v>1.1463259756956312</v>
      </c>
      <c r="F48" s="305">
        <f>F31/F29</f>
        <v>1.1656648355059014</v>
      </c>
      <c r="G48" s="305">
        <f>G31/G29</f>
        <v>1.1173939230457823</v>
      </c>
      <c r="H48" s="17" t="s">
        <v>607</v>
      </c>
      <c r="I48" s="259"/>
      <c r="J48" s="247"/>
      <c r="K48" s="247"/>
      <c r="L48" s="247"/>
      <c r="M48" s="247"/>
      <c r="N48" s="247"/>
      <c r="O48" s="248"/>
      <c r="Q48" s="5"/>
      <c r="R48" s="5"/>
      <c r="S48" s="5"/>
      <c r="T48" s="5"/>
      <c r="U48" s="5"/>
      <c r="AA48" s="303"/>
      <c r="AB48" s="303"/>
    </row>
    <row r="49" spans="2:28">
      <c r="B49" s="41"/>
      <c r="C49" s="17"/>
      <c r="D49" s="17"/>
      <c r="E49" s="17"/>
      <c r="F49" s="17"/>
      <c r="G49" s="17"/>
      <c r="H49" s="17"/>
      <c r="I49" s="17"/>
      <c r="J49" s="17"/>
      <c r="K49" s="17"/>
      <c r="L49" s="17"/>
      <c r="M49" s="17"/>
      <c r="N49" s="17"/>
      <c r="O49" s="248"/>
      <c r="Q49" s="5"/>
      <c r="R49" s="5"/>
      <c r="S49" s="5"/>
      <c r="T49" s="5"/>
      <c r="U49" s="5"/>
      <c r="W49" s="10"/>
      <c r="X49" s="10"/>
      <c r="AA49" s="303"/>
      <c r="AB49" s="303"/>
    </row>
    <row r="50" spans="2:28">
      <c r="B50" s="5"/>
      <c r="C50" s="257"/>
      <c r="D50" s="257"/>
      <c r="E50" s="257"/>
      <c r="F50" s="5"/>
      <c r="G50" s="41"/>
      <c r="H50" s="249"/>
      <c r="I50" s="259"/>
      <c r="J50" s="254"/>
      <c r="K50" s="254"/>
      <c r="L50" s="254"/>
      <c r="M50" s="254"/>
      <c r="N50" s="254"/>
      <c r="O50" s="251"/>
      <c r="Q50" s="5"/>
      <c r="R50" s="5"/>
      <c r="S50" s="5"/>
      <c r="T50" s="5"/>
      <c r="U50" s="5"/>
      <c r="W50" s="10"/>
      <c r="X50" s="10"/>
      <c r="Y50" s="10"/>
      <c r="Z50" s="10"/>
    </row>
    <row r="51" spans="2:28">
      <c r="B51" s="41"/>
      <c r="C51" s="249"/>
      <c r="D51" s="254"/>
      <c r="E51" s="254"/>
      <c r="F51" s="254"/>
      <c r="G51" s="254"/>
      <c r="H51" s="254"/>
      <c r="I51" s="254"/>
      <c r="J51" s="17"/>
      <c r="K51" s="17"/>
      <c r="L51" s="17"/>
      <c r="M51" s="17"/>
      <c r="N51" s="17"/>
      <c r="O51" s="248"/>
      <c r="Q51" s="5"/>
      <c r="R51" s="5"/>
      <c r="S51" s="5"/>
      <c r="T51" s="5"/>
      <c r="U51" s="5"/>
      <c r="Y51" s="10"/>
      <c r="Z51" s="10"/>
    </row>
    <row r="52" spans="2:28">
      <c r="B52" s="5"/>
      <c r="C52" s="257"/>
      <c r="D52" s="17"/>
      <c r="E52" s="17"/>
      <c r="F52" s="17"/>
      <c r="G52" s="17"/>
      <c r="H52" s="17"/>
      <c r="I52" s="17"/>
      <c r="J52" s="259"/>
      <c r="K52" s="259"/>
      <c r="L52" s="259"/>
      <c r="M52" s="259"/>
      <c r="N52" s="259"/>
      <c r="O52" s="18"/>
      <c r="Q52" s="5"/>
      <c r="R52" s="5"/>
      <c r="S52" s="5"/>
      <c r="T52" s="5"/>
      <c r="U52" s="5"/>
    </row>
    <row r="53" spans="2:28">
      <c r="B53" s="5"/>
      <c r="C53" s="257"/>
      <c r="D53" s="257"/>
      <c r="E53" s="257"/>
      <c r="F53" s="5"/>
      <c r="G53" s="5"/>
      <c r="H53" s="259"/>
      <c r="I53" s="259"/>
      <c r="J53" s="254"/>
      <c r="K53" s="254"/>
      <c r="L53" s="254"/>
      <c r="M53" s="254"/>
      <c r="N53" s="254"/>
      <c r="O53" s="251"/>
      <c r="Q53" s="5"/>
      <c r="R53" s="5"/>
      <c r="S53" s="5"/>
      <c r="T53" s="5"/>
      <c r="U53" s="5"/>
    </row>
    <row r="54" spans="2:28">
      <c r="B54" s="41"/>
      <c r="C54" s="249"/>
      <c r="D54" s="254"/>
      <c r="E54" s="254"/>
      <c r="F54" s="254"/>
      <c r="G54" s="254"/>
      <c r="H54" s="254"/>
      <c r="I54" s="249"/>
      <c r="J54" s="17"/>
      <c r="K54" s="17"/>
      <c r="L54" s="17"/>
      <c r="M54" s="17"/>
      <c r="N54" s="17"/>
      <c r="O54" s="18"/>
      <c r="Q54" s="5"/>
      <c r="R54" s="5"/>
      <c r="S54" s="5"/>
      <c r="T54" s="5"/>
      <c r="U54" s="5"/>
    </row>
    <row r="55" spans="2:28">
      <c r="B55" s="5"/>
      <c r="C55" s="257"/>
      <c r="D55" s="17"/>
      <c r="E55" s="17"/>
      <c r="F55" s="17"/>
      <c r="G55" s="17"/>
      <c r="H55" s="17"/>
      <c r="I55" s="248"/>
      <c r="J55" s="259"/>
      <c r="K55" s="259"/>
      <c r="L55" s="259"/>
      <c r="M55" s="259"/>
      <c r="N55" s="259"/>
      <c r="O55" s="18"/>
      <c r="Q55" s="5"/>
      <c r="R55" s="5"/>
      <c r="S55" s="5"/>
      <c r="T55" s="5"/>
      <c r="U55" s="5"/>
    </row>
    <row r="56" spans="2:28">
      <c r="B56" s="5"/>
      <c r="C56" s="248"/>
      <c r="D56" s="248"/>
      <c r="E56" s="248"/>
      <c r="F56" s="5"/>
      <c r="G56" s="5"/>
      <c r="H56" s="259"/>
      <c r="I56" s="5"/>
      <c r="J56" s="249"/>
      <c r="K56" s="249"/>
      <c r="L56" s="249"/>
      <c r="M56" s="249"/>
      <c r="N56" s="249"/>
      <c r="O56" s="251"/>
      <c r="Q56" s="5"/>
      <c r="R56" s="5"/>
      <c r="S56" s="5"/>
      <c r="T56" s="5"/>
      <c r="U56" s="5"/>
    </row>
    <row r="57" spans="2:28">
      <c r="B57" s="41"/>
      <c r="C57" s="249"/>
      <c r="D57" s="249"/>
      <c r="E57" s="249"/>
      <c r="F57" s="249"/>
      <c r="G57" s="249"/>
      <c r="H57" s="249"/>
      <c r="I57" s="17"/>
      <c r="J57" s="248"/>
      <c r="K57" s="248"/>
      <c r="L57" s="248"/>
      <c r="M57" s="248"/>
      <c r="N57" s="248"/>
      <c r="O57" s="18"/>
      <c r="Q57" s="5"/>
      <c r="R57" s="5"/>
      <c r="S57" s="5"/>
      <c r="T57" s="5"/>
      <c r="U57" s="5"/>
    </row>
    <row r="58" spans="2:28">
      <c r="B58" s="5"/>
      <c r="C58" s="5"/>
      <c r="D58" s="248"/>
      <c r="E58" s="248"/>
      <c r="F58" s="248"/>
      <c r="G58" s="248"/>
      <c r="H58" s="248"/>
      <c r="I58" s="5"/>
      <c r="J58" s="5"/>
      <c r="K58" s="5"/>
      <c r="L58" s="5"/>
      <c r="M58" s="5"/>
      <c r="N58" s="5"/>
      <c r="O58" s="5"/>
      <c r="Q58" s="5"/>
      <c r="R58" s="5"/>
      <c r="S58" s="5"/>
      <c r="T58" s="5"/>
      <c r="U58" s="5"/>
    </row>
    <row r="59" spans="2:28">
      <c r="B59" s="5"/>
      <c r="C59" s="5"/>
      <c r="D59" s="5"/>
      <c r="E59" s="5"/>
      <c r="F59" s="5"/>
      <c r="G59" s="5"/>
      <c r="H59" s="5"/>
      <c r="I59" s="249"/>
      <c r="J59" s="17"/>
      <c r="K59" s="17"/>
      <c r="L59" s="17"/>
      <c r="M59" s="17"/>
      <c r="N59" s="17"/>
      <c r="O59" s="251"/>
      <c r="Q59" s="5"/>
      <c r="R59" s="5"/>
      <c r="S59" s="5"/>
      <c r="T59" s="5"/>
      <c r="U59" s="5"/>
    </row>
    <row r="60" spans="2:28">
      <c r="B60" s="41"/>
      <c r="C60" s="17"/>
      <c r="D60" s="17"/>
      <c r="E60" s="17"/>
      <c r="F60" s="17"/>
      <c r="G60" s="17"/>
      <c r="H60" s="17"/>
      <c r="I60" s="5"/>
      <c r="J60" s="5"/>
      <c r="K60" s="5"/>
      <c r="L60" s="5"/>
      <c r="M60" s="5"/>
      <c r="N60" s="5"/>
      <c r="O60" s="5"/>
      <c r="Q60" s="41"/>
      <c r="R60" s="5"/>
      <c r="S60" s="5"/>
      <c r="T60" s="5"/>
      <c r="U60" s="5"/>
    </row>
    <row r="61" spans="2:28">
      <c r="B61" s="5"/>
      <c r="C61" s="5"/>
      <c r="D61" s="5"/>
      <c r="E61" s="5"/>
      <c r="F61" s="5"/>
      <c r="G61" s="5"/>
      <c r="H61" s="5"/>
      <c r="I61" s="5"/>
      <c r="J61" s="249"/>
      <c r="K61" s="249"/>
      <c r="L61" s="249"/>
      <c r="M61" s="249"/>
      <c r="N61" s="249"/>
      <c r="O61" s="251"/>
      <c r="Q61" s="5"/>
      <c r="R61" s="5"/>
      <c r="S61" s="5"/>
      <c r="T61" s="5"/>
      <c r="U61" s="5"/>
    </row>
    <row r="62" spans="2:28">
      <c r="B62" s="41"/>
      <c r="C62" s="249"/>
      <c r="D62" s="249"/>
      <c r="E62" s="249"/>
      <c r="F62" s="249"/>
      <c r="G62" s="249"/>
      <c r="H62" s="249"/>
      <c r="I62" s="254"/>
      <c r="J62" s="5"/>
      <c r="K62" s="5"/>
      <c r="L62" s="5"/>
      <c r="M62" s="5"/>
      <c r="N62" s="5"/>
      <c r="O62" s="5"/>
      <c r="Q62" s="5"/>
      <c r="R62" s="5"/>
      <c r="S62" s="5"/>
      <c r="T62" s="5"/>
      <c r="U62" s="5"/>
    </row>
    <row r="63" spans="2:28">
      <c r="B63" s="5"/>
      <c r="C63" s="5"/>
      <c r="D63" s="5"/>
      <c r="E63" s="5"/>
      <c r="F63" s="5"/>
      <c r="G63" s="5"/>
      <c r="H63" s="5"/>
      <c r="I63" s="17"/>
      <c r="J63" s="5"/>
      <c r="K63" s="5"/>
      <c r="L63" s="5"/>
      <c r="M63" s="5"/>
      <c r="N63" s="5"/>
      <c r="O63" s="5"/>
      <c r="Q63" s="5"/>
      <c r="R63" s="5"/>
      <c r="S63" s="5"/>
      <c r="T63" s="5"/>
      <c r="U63" s="5"/>
    </row>
    <row r="64" spans="2:28">
      <c r="B64" s="5"/>
      <c r="C64" s="5"/>
      <c r="D64" s="5"/>
      <c r="E64" s="5"/>
      <c r="F64" s="5"/>
      <c r="G64" s="5"/>
      <c r="H64" s="5"/>
      <c r="I64" s="254"/>
      <c r="J64" s="254"/>
      <c r="K64" s="254"/>
      <c r="L64" s="254"/>
      <c r="M64" s="254"/>
      <c r="N64" s="254"/>
      <c r="O64" s="251"/>
      <c r="Q64" s="5"/>
      <c r="R64" s="5"/>
      <c r="S64" s="5"/>
      <c r="T64" s="5"/>
      <c r="U64" s="5"/>
    </row>
    <row r="65" spans="2:26">
      <c r="B65" s="41"/>
      <c r="C65" s="249"/>
      <c r="D65" s="254"/>
      <c r="E65" s="254"/>
      <c r="F65" s="254"/>
      <c r="G65" s="254"/>
      <c r="H65" s="254"/>
      <c r="I65" s="248"/>
      <c r="J65" s="17"/>
      <c r="K65" s="17"/>
      <c r="L65" s="17"/>
      <c r="M65" s="17"/>
      <c r="N65" s="17"/>
      <c r="O65" s="5"/>
      <c r="Q65" s="5"/>
      <c r="R65" s="5"/>
      <c r="S65" s="5"/>
      <c r="T65" s="5"/>
      <c r="U65" s="5"/>
    </row>
    <row r="66" spans="2:26">
      <c r="B66" s="5"/>
      <c r="C66" s="5"/>
      <c r="D66" s="17"/>
      <c r="E66" s="17"/>
      <c r="F66" s="17"/>
      <c r="G66" s="17"/>
      <c r="H66" s="17"/>
      <c r="I66" s="5"/>
      <c r="J66" s="254"/>
      <c r="K66" s="254"/>
      <c r="L66" s="254"/>
      <c r="M66" s="254"/>
      <c r="N66" s="254"/>
      <c r="O66" s="251"/>
      <c r="Q66" s="41"/>
      <c r="R66" s="5"/>
      <c r="S66" s="5"/>
      <c r="T66" s="5"/>
      <c r="U66" s="5"/>
    </row>
    <row r="67" spans="2:26">
      <c r="B67" s="41"/>
      <c r="C67" s="249"/>
      <c r="D67" s="254"/>
      <c r="E67" s="254"/>
      <c r="F67" s="254"/>
      <c r="G67" s="254"/>
      <c r="H67" s="254"/>
      <c r="I67" s="245"/>
      <c r="J67" s="248"/>
      <c r="K67" s="248"/>
      <c r="L67" s="248"/>
      <c r="M67" s="248"/>
      <c r="N67" s="248"/>
      <c r="O67" s="5"/>
      <c r="Q67" s="5"/>
      <c r="R67" s="5"/>
      <c r="S67" s="5"/>
      <c r="T67" s="5"/>
      <c r="U67" s="5"/>
    </row>
    <row r="68" spans="2:26">
      <c r="B68" s="5"/>
      <c r="C68" s="5"/>
      <c r="D68" s="248"/>
      <c r="E68" s="248"/>
      <c r="F68" s="248"/>
      <c r="G68" s="248"/>
      <c r="H68" s="248"/>
      <c r="I68" s="248"/>
      <c r="J68" s="5"/>
      <c r="K68" s="5"/>
      <c r="L68" s="5"/>
      <c r="M68" s="5"/>
      <c r="N68" s="5"/>
      <c r="O68" s="5"/>
      <c r="Q68" s="5"/>
      <c r="R68" s="5"/>
      <c r="S68" s="5"/>
      <c r="T68" s="5"/>
      <c r="U68" s="5"/>
    </row>
    <row r="69" spans="2:26">
      <c r="B69" s="41"/>
      <c r="C69" s="5"/>
      <c r="D69" s="5"/>
      <c r="E69" s="5"/>
      <c r="F69" s="5"/>
      <c r="G69" s="5"/>
      <c r="H69" s="5"/>
      <c r="I69" s="5"/>
      <c r="J69" s="245"/>
      <c r="K69" s="245"/>
      <c r="L69" s="245"/>
      <c r="M69" s="245"/>
      <c r="N69" s="245"/>
      <c r="O69" s="251"/>
      <c r="Q69" s="5"/>
      <c r="R69" s="5"/>
      <c r="S69" s="5"/>
      <c r="T69" s="5"/>
      <c r="U69" s="5"/>
      <c r="W69" s="76"/>
      <c r="X69" s="76"/>
    </row>
    <row r="70" spans="2:26">
      <c r="B70" s="41"/>
      <c r="C70" s="245"/>
      <c r="D70" s="245"/>
      <c r="E70" s="245"/>
      <c r="F70" s="245"/>
      <c r="G70" s="245"/>
      <c r="H70" s="245"/>
      <c r="I70" s="245"/>
      <c r="J70" s="248"/>
      <c r="K70" s="248"/>
      <c r="L70" s="248"/>
      <c r="M70" s="248"/>
      <c r="N70" s="248"/>
      <c r="O70" s="5"/>
      <c r="Q70" s="5"/>
      <c r="R70" s="5"/>
      <c r="S70" s="5"/>
      <c r="T70" s="5"/>
      <c r="U70" s="5"/>
      <c r="W70" s="76"/>
      <c r="X70" s="76"/>
      <c r="Y70" s="76"/>
      <c r="Z70" s="76"/>
    </row>
    <row r="71" spans="2:26">
      <c r="B71" s="5"/>
      <c r="C71" s="5"/>
      <c r="D71" s="248"/>
      <c r="E71" s="248"/>
      <c r="F71" s="248"/>
      <c r="G71" s="248"/>
      <c r="H71" s="248"/>
      <c r="I71" s="18"/>
      <c r="J71" s="5"/>
      <c r="K71" s="5"/>
      <c r="L71" s="5"/>
      <c r="M71" s="5"/>
      <c r="N71" s="5"/>
      <c r="O71" s="5"/>
      <c r="Q71" s="5"/>
      <c r="R71" s="5"/>
      <c r="S71" s="5"/>
      <c r="T71" s="5"/>
      <c r="U71" s="5"/>
      <c r="Y71" s="76"/>
      <c r="Z71" s="76"/>
    </row>
    <row r="72" spans="2:26">
      <c r="B72" s="41"/>
      <c r="C72" s="5"/>
      <c r="D72" s="5"/>
      <c r="E72" s="5"/>
      <c r="F72" s="5"/>
      <c r="G72" s="5"/>
      <c r="H72" s="5"/>
      <c r="I72" s="5"/>
      <c r="J72" s="245"/>
      <c r="K72" s="245"/>
      <c r="L72" s="245"/>
      <c r="M72" s="245"/>
      <c r="N72" s="245"/>
      <c r="O72" s="251"/>
      <c r="Q72" s="5"/>
      <c r="R72" s="5"/>
      <c r="S72" s="5"/>
      <c r="T72" s="5"/>
      <c r="U72" s="5"/>
    </row>
    <row r="73" spans="2:26">
      <c r="B73" s="41"/>
      <c r="C73" s="245"/>
      <c r="D73" s="245"/>
      <c r="E73" s="245"/>
      <c r="F73" s="245"/>
      <c r="G73" s="245"/>
      <c r="H73" s="245"/>
      <c r="I73" s="249"/>
      <c r="J73" s="18"/>
      <c r="K73" s="18"/>
      <c r="L73" s="18"/>
      <c r="M73" s="18"/>
      <c r="N73" s="18"/>
      <c r="O73" s="5"/>
      <c r="Q73" s="5"/>
      <c r="R73" s="5"/>
      <c r="S73" s="5"/>
      <c r="T73" s="5"/>
      <c r="U73" s="5"/>
    </row>
    <row r="74" spans="2:26">
      <c r="B74" s="5"/>
      <c r="C74" s="5"/>
      <c r="D74" s="18"/>
      <c r="E74" s="18"/>
      <c r="F74" s="18"/>
      <c r="G74" s="18"/>
      <c r="H74" s="18"/>
      <c r="I74" s="248"/>
      <c r="J74" s="5"/>
      <c r="K74" s="5"/>
      <c r="L74" s="5"/>
      <c r="M74" s="5"/>
      <c r="N74" s="5"/>
      <c r="O74" s="5"/>
      <c r="Q74" s="5"/>
      <c r="R74" s="5"/>
      <c r="S74" s="5"/>
      <c r="T74" s="5"/>
      <c r="U74" s="5"/>
    </row>
    <row r="75" spans="2:26">
      <c r="B75" s="41"/>
      <c r="C75" s="5"/>
      <c r="D75" s="5"/>
      <c r="E75" s="5"/>
      <c r="F75" s="5"/>
      <c r="G75" s="5"/>
      <c r="H75" s="5"/>
      <c r="I75" s="5"/>
      <c r="J75" s="249"/>
      <c r="K75" s="249"/>
      <c r="L75" s="249"/>
      <c r="M75" s="249"/>
      <c r="N75" s="249"/>
      <c r="O75" s="251"/>
      <c r="Q75" s="5"/>
      <c r="R75" s="5"/>
      <c r="S75" s="5"/>
      <c r="T75" s="5"/>
      <c r="U75" s="5"/>
    </row>
    <row r="76" spans="2:26">
      <c r="B76" s="41"/>
      <c r="C76" s="249"/>
      <c r="D76" s="249"/>
      <c r="E76" s="249"/>
      <c r="F76" s="249"/>
      <c r="G76" s="249"/>
      <c r="H76" s="249"/>
      <c r="I76" s="245"/>
      <c r="J76" s="248"/>
      <c r="K76" s="248"/>
      <c r="L76" s="248"/>
      <c r="M76" s="248"/>
      <c r="N76" s="248"/>
      <c r="O76" s="5"/>
      <c r="Q76" s="5"/>
      <c r="R76" s="5"/>
      <c r="S76" s="5"/>
      <c r="T76" s="5"/>
      <c r="U76" s="5"/>
    </row>
    <row r="77" spans="2:26">
      <c r="B77" s="5"/>
      <c r="C77" s="5"/>
      <c r="D77" s="248"/>
      <c r="E77" s="248"/>
      <c r="F77" s="248"/>
      <c r="G77" s="248"/>
      <c r="H77" s="248"/>
      <c r="I77" s="248"/>
      <c r="J77" s="5"/>
      <c r="K77" s="5"/>
      <c r="L77" s="5"/>
      <c r="M77" s="5"/>
      <c r="N77" s="5"/>
      <c r="O77" s="5"/>
      <c r="Q77" s="5"/>
      <c r="R77" s="5"/>
      <c r="S77" s="5"/>
      <c r="T77" s="5"/>
      <c r="U77" s="5"/>
    </row>
    <row r="78" spans="2:26">
      <c r="B78" s="41"/>
      <c r="C78" s="5"/>
      <c r="D78" s="5"/>
      <c r="E78" s="5"/>
      <c r="F78" s="5"/>
      <c r="G78" s="5"/>
      <c r="H78" s="5"/>
      <c r="I78" s="5"/>
      <c r="J78" s="245"/>
      <c r="K78" s="245"/>
      <c r="L78" s="245"/>
      <c r="M78" s="245"/>
      <c r="N78" s="245"/>
      <c r="O78" s="251"/>
      <c r="Q78" s="5"/>
      <c r="R78" s="5"/>
      <c r="S78" s="5"/>
      <c r="T78" s="5"/>
      <c r="U78" s="5"/>
    </row>
    <row r="79" spans="2:26">
      <c r="B79" s="41"/>
      <c r="C79" s="245"/>
      <c r="D79" s="245"/>
      <c r="E79" s="245"/>
      <c r="F79" s="245"/>
      <c r="G79" s="245"/>
      <c r="H79" s="245"/>
      <c r="I79" s="249"/>
      <c r="J79" s="248"/>
      <c r="K79" s="248"/>
      <c r="L79" s="248"/>
      <c r="M79" s="248"/>
      <c r="N79" s="248"/>
      <c r="O79" s="5"/>
      <c r="Q79" s="5"/>
      <c r="R79" s="5"/>
      <c r="S79" s="5"/>
      <c r="T79" s="5"/>
      <c r="U79" s="5"/>
    </row>
    <row r="80" spans="2:26">
      <c r="B80" s="5"/>
      <c r="C80" s="5"/>
      <c r="D80" s="248"/>
      <c r="E80" s="248"/>
      <c r="F80" s="248"/>
      <c r="G80" s="248"/>
      <c r="H80" s="248"/>
      <c r="I80" s="248"/>
      <c r="J80" s="5"/>
      <c r="K80" s="5"/>
      <c r="L80" s="5"/>
      <c r="M80" s="5"/>
      <c r="N80" s="5"/>
      <c r="O80" s="5"/>
      <c r="Q80" s="5"/>
      <c r="R80" s="5"/>
      <c r="S80" s="5"/>
      <c r="T80" s="5"/>
      <c r="U80" s="5"/>
    </row>
    <row r="81" spans="2:26">
      <c r="B81" s="41"/>
      <c r="C81" s="5"/>
      <c r="D81" s="5"/>
      <c r="E81" s="5"/>
      <c r="F81" s="5"/>
      <c r="G81" s="5"/>
      <c r="H81" s="5"/>
      <c r="I81" s="259"/>
      <c r="J81" s="249"/>
      <c r="K81" s="249"/>
      <c r="L81" s="249"/>
      <c r="M81" s="249"/>
      <c r="N81" s="249"/>
      <c r="O81" s="251"/>
      <c r="Q81" s="5"/>
      <c r="R81" s="5"/>
      <c r="S81" s="5"/>
      <c r="T81" s="5"/>
      <c r="U81" s="5"/>
    </row>
    <row r="82" spans="2:26">
      <c r="B82" s="41"/>
      <c r="C82" s="249"/>
      <c r="D82" s="249"/>
      <c r="E82" s="249"/>
      <c r="F82" s="249"/>
      <c r="G82" s="249"/>
      <c r="H82" s="249"/>
      <c r="I82" s="5"/>
      <c r="J82" s="248"/>
      <c r="K82" s="248"/>
      <c r="L82" s="248"/>
      <c r="M82" s="248"/>
      <c r="N82" s="248"/>
      <c r="O82" s="5"/>
      <c r="Q82" s="5"/>
      <c r="R82" s="5"/>
      <c r="S82" s="5"/>
      <c r="T82" s="5"/>
      <c r="U82" s="5"/>
    </row>
    <row r="83" spans="2:26">
      <c r="B83" s="5"/>
      <c r="C83" s="5"/>
      <c r="D83" s="248"/>
      <c r="E83" s="248"/>
      <c r="F83" s="248"/>
      <c r="G83" s="248"/>
      <c r="H83" s="248"/>
      <c r="I83" s="245"/>
      <c r="J83" s="259"/>
      <c r="K83" s="259"/>
      <c r="L83" s="259"/>
      <c r="M83" s="259"/>
      <c r="N83" s="259"/>
      <c r="O83" s="251"/>
      <c r="Q83" s="5"/>
      <c r="R83" s="5"/>
      <c r="S83" s="5"/>
      <c r="T83" s="5"/>
      <c r="U83" s="5"/>
    </row>
    <row r="84" spans="2:26">
      <c r="B84" s="5"/>
      <c r="C84" s="259"/>
      <c r="D84" s="259"/>
      <c r="E84" s="259"/>
      <c r="F84" s="259"/>
      <c r="G84" s="259"/>
      <c r="H84" s="259"/>
      <c r="I84" s="248"/>
      <c r="J84" s="5"/>
      <c r="K84" s="5"/>
      <c r="L84" s="5"/>
      <c r="M84" s="5"/>
      <c r="N84" s="5"/>
      <c r="O84" s="5"/>
      <c r="Q84" s="5"/>
      <c r="R84" s="5"/>
      <c r="S84" s="5"/>
      <c r="T84" s="5"/>
      <c r="U84" s="5"/>
    </row>
    <row r="85" spans="2:26">
      <c r="B85" s="41"/>
      <c r="C85" s="5"/>
      <c r="D85" s="5"/>
      <c r="E85" s="5"/>
      <c r="F85" s="5"/>
      <c r="G85" s="5"/>
      <c r="H85" s="5"/>
      <c r="I85" s="5"/>
      <c r="J85" s="245"/>
      <c r="K85" s="245"/>
      <c r="L85" s="245"/>
      <c r="M85" s="245"/>
      <c r="N85" s="245"/>
      <c r="O85" s="251"/>
      <c r="Q85" s="5"/>
      <c r="R85" s="5"/>
      <c r="S85" s="5"/>
      <c r="T85" s="5"/>
      <c r="U85" s="5"/>
    </row>
    <row r="86" spans="2:26">
      <c r="B86" s="41"/>
      <c r="C86" s="245"/>
      <c r="D86" s="245"/>
      <c r="E86" s="245"/>
      <c r="F86" s="245"/>
      <c r="G86" s="245"/>
      <c r="H86" s="245"/>
      <c r="I86" s="5"/>
      <c r="J86" s="248"/>
      <c r="K86" s="248"/>
      <c r="L86" s="248"/>
      <c r="M86" s="248"/>
      <c r="N86" s="248"/>
      <c r="O86" s="5"/>
      <c r="Q86" s="5"/>
      <c r="R86" s="5"/>
      <c r="S86" s="5"/>
      <c r="T86" s="5"/>
      <c r="U86" s="5"/>
    </row>
    <row r="87" spans="2:26">
      <c r="B87" s="5"/>
      <c r="C87" s="5"/>
      <c r="D87" s="248"/>
      <c r="E87" s="248"/>
      <c r="F87" s="248"/>
      <c r="G87" s="248"/>
      <c r="H87" s="248"/>
      <c r="I87" s="5"/>
      <c r="J87" s="5"/>
      <c r="K87" s="5"/>
      <c r="L87" s="5"/>
      <c r="M87" s="5"/>
      <c r="N87" s="5"/>
      <c r="O87" s="5"/>
      <c r="Q87" s="5"/>
      <c r="R87" s="5"/>
      <c r="S87" s="5"/>
      <c r="T87" s="5"/>
      <c r="U87" s="5"/>
    </row>
    <row r="88" spans="2:26">
      <c r="B88" s="41"/>
      <c r="C88" s="5"/>
      <c r="D88" s="5"/>
      <c r="E88" s="5"/>
      <c r="F88" s="5"/>
      <c r="G88" s="5"/>
      <c r="H88" s="5"/>
      <c r="I88" s="5"/>
      <c r="J88" s="5"/>
      <c r="K88" s="5"/>
      <c r="L88" s="5"/>
      <c r="M88" s="5"/>
      <c r="N88" s="5"/>
      <c r="O88" s="5"/>
      <c r="Q88" s="5"/>
      <c r="R88" s="5"/>
      <c r="S88" s="5"/>
      <c r="T88" s="5"/>
      <c r="U88" s="5"/>
    </row>
    <row r="89" spans="2:26">
      <c r="B89" s="41"/>
      <c r="C89" s="5"/>
      <c r="D89" s="5"/>
      <c r="E89" s="5"/>
      <c r="F89" s="5"/>
      <c r="G89" s="5"/>
      <c r="H89" s="5"/>
      <c r="I89" s="49"/>
      <c r="J89" s="5"/>
      <c r="K89" s="5"/>
      <c r="L89" s="5"/>
      <c r="M89" s="5"/>
      <c r="N89" s="5"/>
      <c r="O89" s="5"/>
      <c r="Q89" s="41"/>
      <c r="R89" s="5"/>
      <c r="S89" s="5"/>
      <c r="T89" s="5"/>
      <c r="U89" s="5"/>
    </row>
    <row r="90" spans="2:26">
      <c r="B90" s="41"/>
      <c r="C90" s="5"/>
      <c r="D90" s="5"/>
      <c r="E90" s="5"/>
      <c r="F90" s="5"/>
      <c r="G90" s="5"/>
      <c r="H90" s="5"/>
      <c r="I90" s="5"/>
      <c r="J90" s="5"/>
      <c r="K90" s="5"/>
      <c r="L90" s="5"/>
      <c r="M90" s="5"/>
      <c r="N90" s="5"/>
      <c r="O90" s="5"/>
      <c r="Q90" s="5"/>
      <c r="R90" s="5"/>
      <c r="S90" s="5"/>
      <c r="T90" s="5"/>
      <c r="U90" s="5"/>
    </row>
    <row r="91" spans="2:26">
      <c r="B91" s="5"/>
      <c r="C91" s="5"/>
      <c r="D91" s="5"/>
      <c r="E91" s="5"/>
      <c r="F91" s="5"/>
      <c r="G91" s="5"/>
      <c r="H91" s="5"/>
      <c r="I91" s="247"/>
      <c r="J91" s="49"/>
      <c r="K91" s="49"/>
      <c r="L91" s="49"/>
      <c r="M91" s="49"/>
      <c r="N91" s="49"/>
      <c r="O91" s="49"/>
      <c r="Q91" s="5"/>
      <c r="R91" s="5"/>
      <c r="S91" s="5"/>
      <c r="T91" s="5"/>
      <c r="U91" s="5"/>
      <c r="W91" s="21"/>
      <c r="X91" s="21"/>
    </row>
    <row r="92" spans="2:26">
      <c r="B92" s="41"/>
      <c r="C92" s="49"/>
      <c r="D92" s="49"/>
      <c r="E92" s="49"/>
      <c r="F92" s="49"/>
      <c r="G92" s="49"/>
      <c r="H92" s="49"/>
      <c r="I92" s="247"/>
      <c r="J92" s="5"/>
      <c r="K92" s="5"/>
      <c r="L92" s="5"/>
      <c r="M92" s="5"/>
      <c r="N92" s="5"/>
      <c r="O92" s="5"/>
      <c r="Q92" s="5"/>
      <c r="R92" s="5"/>
      <c r="S92" s="5"/>
      <c r="T92" s="5"/>
      <c r="U92" s="5"/>
      <c r="W92" s="21"/>
      <c r="X92" s="21"/>
      <c r="Y92" s="21"/>
      <c r="Z92" s="21"/>
    </row>
    <row r="93" spans="2:26">
      <c r="B93" s="5"/>
      <c r="C93" s="5"/>
      <c r="D93" s="5"/>
      <c r="E93" s="5"/>
      <c r="F93" s="5"/>
      <c r="G93" s="5"/>
      <c r="H93" s="5"/>
      <c r="I93" s="247"/>
      <c r="J93" s="247"/>
      <c r="K93" s="247"/>
      <c r="L93" s="247"/>
      <c r="M93" s="247"/>
      <c r="N93" s="247"/>
      <c r="O93" s="248"/>
      <c r="Q93" s="5"/>
      <c r="R93" s="5"/>
      <c r="S93" s="5"/>
      <c r="T93" s="5"/>
      <c r="U93" s="5"/>
      <c r="Y93" s="21"/>
      <c r="Z93" s="21"/>
    </row>
    <row r="94" spans="2:26">
      <c r="B94" s="5"/>
      <c r="C94" s="259"/>
      <c r="D94" s="247"/>
      <c r="E94" s="247"/>
      <c r="F94" s="247"/>
      <c r="G94" s="247"/>
      <c r="H94" s="247"/>
      <c r="I94" s="248"/>
      <c r="J94" s="247"/>
      <c r="K94" s="247"/>
      <c r="L94" s="247"/>
      <c r="M94" s="247"/>
      <c r="N94" s="247"/>
      <c r="O94" s="248"/>
      <c r="Q94" s="5"/>
      <c r="R94" s="5"/>
      <c r="S94" s="5"/>
      <c r="T94" s="5"/>
      <c r="U94" s="5"/>
    </row>
    <row r="95" spans="2:26">
      <c r="B95" s="5"/>
      <c r="C95" s="259"/>
      <c r="D95" s="247"/>
      <c r="E95" s="247"/>
      <c r="F95" s="247"/>
      <c r="G95" s="247"/>
      <c r="H95" s="247"/>
      <c r="I95" s="247"/>
      <c r="J95" s="247"/>
      <c r="K95" s="247"/>
      <c r="L95" s="247"/>
      <c r="M95" s="247"/>
      <c r="N95" s="247"/>
      <c r="O95" s="248"/>
      <c r="Q95" s="5"/>
      <c r="R95" s="5"/>
      <c r="S95" s="5"/>
      <c r="T95" s="5"/>
      <c r="U95" s="5"/>
    </row>
    <row r="96" spans="2:26">
      <c r="B96" s="5"/>
      <c r="C96" s="259"/>
      <c r="D96" s="247"/>
      <c r="E96" s="247"/>
      <c r="F96" s="247"/>
      <c r="G96" s="247"/>
      <c r="H96" s="247"/>
      <c r="I96" s="249"/>
      <c r="J96" s="248"/>
      <c r="K96" s="248"/>
      <c r="L96" s="248"/>
      <c r="M96" s="248"/>
      <c r="N96" s="248"/>
      <c r="O96" s="248"/>
      <c r="Q96" s="5"/>
      <c r="R96" s="5"/>
      <c r="S96" s="5"/>
      <c r="T96" s="5"/>
      <c r="U96" s="5"/>
    </row>
    <row r="97" spans="2:21">
      <c r="B97" s="5"/>
      <c r="C97" s="259"/>
      <c r="D97" s="248"/>
      <c r="E97" s="248"/>
      <c r="F97" s="248"/>
      <c r="G97" s="248"/>
      <c r="H97" s="248"/>
      <c r="I97" s="248"/>
      <c r="J97" s="247"/>
      <c r="K97" s="247"/>
      <c r="L97" s="247"/>
      <c r="M97" s="247"/>
      <c r="N97" s="247"/>
      <c r="O97" s="248"/>
      <c r="Q97" s="5"/>
      <c r="R97" s="5"/>
      <c r="S97" s="5"/>
      <c r="T97" s="5"/>
      <c r="U97" s="5"/>
    </row>
    <row r="98" spans="2:21">
      <c r="B98" s="5"/>
      <c r="C98" s="259"/>
      <c r="D98" s="247"/>
      <c r="E98" s="247"/>
      <c r="F98" s="247"/>
      <c r="G98" s="247"/>
      <c r="H98" s="247"/>
      <c r="I98" s="5"/>
      <c r="J98" s="249"/>
      <c r="K98" s="249"/>
      <c r="L98" s="249"/>
      <c r="M98" s="249"/>
      <c r="N98" s="249"/>
      <c r="O98" s="248"/>
      <c r="Q98" s="5"/>
      <c r="R98" s="5"/>
      <c r="S98" s="5"/>
      <c r="T98" s="5"/>
      <c r="U98" s="5"/>
    </row>
    <row r="99" spans="2:21">
      <c r="B99" s="41"/>
      <c r="C99" s="249"/>
      <c r="D99" s="249"/>
      <c r="E99" s="249"/>
      <c r="F99" s="249"/>
      <c r="G99" s="249"/>
      <c r="H99" s="249"/>
      <c r="I99" s="259"/>
      <c r="J99" s="248"/>
      <c r="K99" s="248"/>
      <c r="L99" s="248"/>
      <c r="M99" s="248"/>
      <c r="N99" s="248"/>
      <c r="O99" s="248"/>
      <c r="Q99" s="5"/>
      <c r="R99" s="5"/>
      <c r="S99" s="5"/>
      <c r="T99" s="5"/>
      <c r="U99" s="5"/>
    </row>
    <row r="100" spans="2:21" s="5" customFormat="1">
      <c r="B100" s="41"/>
      <c r="C100" s="257"/>
      <c r="D100" s="248"/>
      <c r="E100" s="248"/>
      <c r="F100" s="248"/>
      <c r="G100" s="248"/>
      <c r="H100" s="248"/>
      <c r="I100" s="259"/>
      <c r="O100" s="248"/>
      <c r="P100" s="39"/>
    </row>
    <row r="101" spans="2:21">
      <c r="B101" s="41"/>
      <c r="C101" s="5"/>
      <c r="D101" s="5"/>
      <c r="E101" s="5"/>
      <c r="F101" s="5"/>
      <c r="G101" s="5"/>
      <c r="H101" s="5"/>
      <c r="I101" s="247"/>
      <c r="J101" s="259"/>
      <c r="K101" s="259"/>
      <c r="L101" s="259"/>
      <c r="M101" s="259"/>
      <c r="N101" s="259"/>
      <c r="O101" s="5"/>
      <c r="Q101" s="5"/>
      <c r="R101" s="5"/>
      <c r="S101" s="5"/>
      <c r="T101" s="5"/>
      <c r="U101" s="5"/>
    </row>
    <row r="102" spans="2:21">
      <c r="B102" s="5"/>
      <c r="C102" s="259"/>
      <c r="D102" s="259"/>
      <c r="E102" s="259"/>
      <c r="F102" s="259"/>
      <c r="G102" s="259"/>
      <c r="H102" s="259"/>
      <c r="I102" s="5"/>
      <c r="J102" s="259"/>
      <c r="K102" s="259"/>
      <c r="L102" s="259"/>
      <c r="M102" s="259"/>
      <c r="N102" s="259"/>
      <c r="O102" s="5"/>
      <c r="P102" s="5"/>
      <c r="Q102" s="5"/>
      <c r="R102" s="5"/>
      <c r="S102" s="5"/>
      <c r="T102" s="5"/>
      <c r="U102" s="5"/>
    </row>
    <row r="103" spans="2:21">
      <c r="B103" s="5"/>
      <c r="C103" s="259"/>
      <c r="D103" s="259"/>
      <c r="E103" s="259"/>
      <c r="F103" s="259"/>
      <c r="G103" s="259"/>
      <c r="H103" s="259"/>
      <c r="I103" s="247"/>
      <c r="J103" s="247"/>
      <c r="K103" s="247"/>
      <c r="L103" s="247"/>
      <c r="M103" s="247"/>
      <c r="N103" s="247"/>
      <c r="O103" s="5"/>
      <c r="Q103" s="5"/>
      <c r="R103" s="5"/>
      <c r="S103" s="5"/>
      <c r="T103" s="5"/>
      <c r="U103" s="5"/>
    </row>
    <row r="104" spans="2:21" s="5" customFormat="1">
      <c r="C104" s="247"/>
      <c r="D104" s="247"/>
      <c r="E104" s="247"/>
      <c r="F104" s="247"/>
      <c r="G104" s="247"/>
      <c r="H104" s="247"/>
      <c r="P104" s="39"/>
    </row>
    <row r="105" spans="2:21" s="5" customFormat="1">
      <c r="I105" s="259"/>
      <c r="J105" s="247"/>
      <c r="K105" s="247"/>
      <c r="L105" s="247"/>
      <c r="M105" s="247"/>
      <c r="N105" s="247"/>
      <c r="P105" s="39"/>
    </row>
    <row r="106" spans="2:21">
      <c r="B106" s="5"/>
      <c r="C106" s="259"/>
      <c r="D106" s="247"/>
      <c r="E106" s="247"/>
      <c r="F106" s="247"/>
      <c r="G106" s="247"/>
      <c r="H106" s="247"/>
      <c r="I106" s="247"/>
      <c r="J106" s="5"/>
      <c r="K106" s="5"/>
      <c r="L106" s="5"/>
      <c r="M106" s="5"/>
      <c r="N106" s="5"/>
      <c r="O106" s="5"/>
      <c r="P106" s="5"/>
      <c r="Q106" s="5"/>
      <c r="R106" s="5"/>
      <c r="S106" s="5"/>
      <c r="T106" s="5"/>
      <c r="U106" s="5"/>
    </row>
    <row r="107" spans="2:21">
      <c r="B107" s="5"/>
      <c r="C107" s="259"/>
      <c r="D107" s="5"/>
      <c r="E107" s="5"/>
      <c r="F107" s="5"/>
      <c r="G107" s="5"/>
      <c r="H107" s="5"/>
      <c r="I107" s="249"/>
      <c r="J107" s="259"/>
      <c r="K107" s="259"/>
      <c r="L107" s="259"/>
      <c r="M107" s="259"/>
      <c r="N107" s="259"/>
      <c r="O107" s="5"/>
      <c r="P107" s="5"/>
      <c r="Q107" s="5"/>
      <c r="R107" s="5"/>
      <c r="S107" s="5"/>
      <c r="T107" s="5"/>
      <c r="U107" s="5"/>
    </row>
    <row r="108" spans="2:21">
      <c r="B108" s="5"/>
      <c r="C108" s="259"/>
      <c r="D108" s="259"/>
      <c r="E108" s="259"/>
      <c r="F108" s="259"/>
      <c r="G108" s="259"/>
      <c r="H108" s="259"/>
      <c r="I108" s="249"/>
      <c r="J108" s="247"/>
      <c r="K108" s="247"/>
      <c r="L108" s="247"/>
      <c r="M108" s="247"/>
      <c r="N108" s="247"/>
      <c r="O108" s="5"/>
      <c r="Q108" s="5"/>
      <c r="R108" s="5"/>
      <c r="S108" s="5"/>
      <c r="T108" s="5"/>
      <c r="U108" s="5"/>
    </row>
    <row r="109" spans="2:21">
      <c r="B109" s="5"/>
      <c r="C109" s="247"/>
      <c r="D109" s="247"/>
      <c r="E109" s="247"/>
      <c r="F109" s="247"/>
      <c r="G109" s="247"/>
      <c r="H109" s="247"/>
      <c r="I109" s="247"/>
      <c r="J109" s="249"/>
      <c r="K109" s="249"/>
      <c r="L109" s="249"/>
      <c r="M109" s="249"/>
      <c r="N109" s="249"/>
      <c r="O109" s="5"/>
      <c r="Q109" s="5"/>
      <c r="R109" s="5"/>
      <c r="S109" s="5"/>
      <c r="T109" s="5"/>
      <c r="U109" s="5"/>
    </row>
    <row r="110" spans="2:21">
      <c r="B110" s="41"/>
      <c r="C110" s="249"/>
      <c r="D110" s="249"/>
      <c r="E110" s="249"/>
      <c r="F110" s="249"/>
      <c r="G110" s="249"/>
      <c r="H110" s="249"/>
      <c r="I110" s="5"/>
      <c r="J110" s="249"/>
      <c r="K110" s="249"/>
      <c r="L110" s="249"/>
      <c r="M110" s="249"/>
      <c r="N110" s="249"/>
      <c r="O110" s="5"/>
      <c r="Q110" s="5"/>
      <c r="R110" s="5"/>
      <c r="S110" s="5"/>
      <c r="T110" s="5"/>
      <c r="U110" s="5"/>
    </row>
    <row r="111" spans="2:21">
      <c r="B111" s="5"/>
      <c r="C111" s="249"/>
      <c r="D111" s="249"/>
      <c r="E111" s="249"/>
      <c r="F111" s="249"/>
      <c r="G111" s="249"/>
      <c r="H111" s="249"/>
      <c r="I111" s="5"/>
      <c r="J111" s="247"/>
      <c r="K111" s="247"/>
      <c r="L111" s="247"/>
      <c r="M111" s="247"/>
      <c r="N111" s="247"/>
      <c r="O111" s="5"/>
      <c r="Q111" s="5"/>
      <c r="R111" s="5"/>
      <c r="S111" s="5"/>
      <c r="T111" s="5"/>
      <c r="U111" s="5"/>
    </row>
    <row r="112" spans="2:21">
      <c r="B112" s="5"/>
      <c r="C112" s="247"/>
      <c r="D112" s="247"/>
      <c r="E112" s="247"/>
      <c r="F112" s="247"/>
      <c r="G112" s="247"/>
      <c r="H112" s="247"/>
      <c r="I112" s="5"/>
      <c r="J112" s="5"/>
      <c r="K112" s="5"/>
      <c r="L112" s="5"/>
      <c r="M112" s="5"/>
      <c r="N112" s="5"/>
      <c r="O112" s="5"/>
      <c r="Q112" s="5"/>
      <c r="R112" s="5"/>
      <c r="S112" s="5"/>
      <c r="T112" s="5"/>
      <c r="U112" s="5"/>
    </row>
    <row r="113" spans="2:21">
      <c r="B113" s="5"/>
      <c r="C113" s="5"/>
      <c r="D113" s="5"/>
      <c r="E113" s="5"/>
      <c r="F113" s="5"/>
      <c r="G113" s="5"/>
      <c r="H113" s="5"/>
      <c r="I113" s="5"/>
      <c r="J113" s="5"/>
      <c r="K113" s="5"/>
      <c r="L113" s="5"/>
      <c r="M113" s="5"/>
      <c r="N113" s="5"/>
      <c r="O113" s="5"/>
      <c r="Q113" s="5"/>
      <c r="R113" s="5"/>
      <c r="S113" s="5"/>
      <c r="T113" s="5"/>
      <c r="U113" s="5"/>
    </row>
    <row r="114" spans="2:21">
      <c r="B114" s="5"/>
      <c r="C114" s="5"/>
      <c r="D114" s="5"/>
      <c r="E114" s="5"/>
      <c r="F114" s="5"/>
      <c r="G114" s="5"/>
      <c r="H114" s="5"/>
      <c r="I114" s="49"/>
      <c r="J114" s="5"/>
      <c r="K114" s="5"/>
      <c r="L114" s="5"/>
      <c r="M114" s="5"/>
      <c r="N114" s="5"/>
      <c r="O114" s="5"/>
      <c r="Q114" s="41"/>
      <c r="R114" s="5"/>
      <c r="S114" s="5"/>
      <c r="T114" s="5"/>
      <c r="U114" s="5"/>
    </row>
    <row r="115" spans="2:21">
      <c r="B115" s="5"/>
      <c r="C115" s="5"/>
      <c r="D115" s="5"/>
      <c r="E115" s="5"/>
      <c r="F115" s="5"/>
      <c r="G115" s="5"/>
      <c r="H115" s="5"/>
      <c r="I115" s="5"/>
      <c r="J115" s="5"/>
      <c r="K115" s="5"/>
      <c r="L115" s="5"/>
      <c r="M115" s="5"/>
      <c r="N115" s="5"/>
      <c r="O115" s="5"/>
      <c r="Q115" s="5"/>
      <c r="R115" s="5"/>
      <c r="S115" s="5"/>
      <c r="T115" s="5"/>
      <c r="U115" s="5"/>
    </row>
    <row r="116" spans="2:21">
      <c r="B116" s="5"/>
      <c r="C116" s="5"/>
      <c r="D116" s="5"/>
      <c r="E116" s="5"/>
      <c r="F116" s="5"/>
      <c r="G116" s="5"/>
      <c r="H116" s="5"/>
      <c r="I116" s="254"/>
      <c r="J116" s="49"/>
      <c r="K116" s="49"/>
      <c r="L116" s="49"/>
      <c r="M116" s="49"/>
      <c r="N116" s="49"/>
      <c r="O116" s="49"/>
      <c r="Q116" s="5"/>
      <c r="R116" s="5"/>
      <c r="S116" s="5"/>
      <c r="T116" s="5"/>
      <c r="U116" s="5"/>
    </row>
    <row r="117" spans="2:21">
      <c r="B117" s="41"/>
      <c r="C117" s="49"/>
      <c r="D117" s="49"/>
      <c r="E117" s="49"/>
      <c r="F117" s="49"/>
      <c r="G117" s="49"/>
      <c r="H117" s="49"/>
      <c r="I117" s="249"/>
      <c r="J117" s="5"/>
      <c r="K117" s="5"/>
      <c r="L117" s="5"/>
      <c r="M117" s="5"/>
      <c r="N117" s="5"/>
      <c r="O117" s="5"/>
      <c r="Q117" s="5"/>
      <c r="R117" s="5"/>
      <c r="S117" s="5"/>
      <c r="T117" s="5"/>
      <c r="U117" s="5"/>
    </row>
    <row r="118" spans="2:21">
      <c r="B118" s="5"/>
      <c r="C118" s="5"/>
      <c r="D118" s="5"/>
      <c r="E118" s="5"/>
      <c r="F118" s="5"/>
      <c r="G118" s="5"/>
      <c r="H118" s="5"/>
      <c r="I118" s="254"/>
      <c r="J118" s="254"/>
      <c r="K118" s="254"/>
      <c r="L118" s="254"/>
      <c r="M118" s="254"/>
      <c r="N118" s="254"/>
      <c r="O118" s="248"/>
      <c r="Q118" s="5"/>
      <c r="R118" s="5"/>
      <c r="S118" s="5"/>
      <c r="T118" s="5"/>
      <c r="U118" s="5"/>
    </row>
    <row r="119" spans="2:21">
      <c r="B119" s="41"/>
      <c r="C119" s="254"/>
      <c r="D119" s="254"/>
      <c r="E119" s="254"/>
      <c r="F119" s="254"/>
      <c r="G119" s="254"/>
      <c r="H119" s="254"/>
      <c r="I119" s="254"/>
      <c r="J119" s="249"/>
      <c r="K119" s="249"/>
      <c r="L119" s="249"/>
      <c r="M119" s="249"/>
      <c r="N119" s="249"/>
      <c r="O119" s="248"/>
      <c r="Q119" s="5"/>
      <c r="R119" s="5"/>
      <c r="S119" s="5"/>
      <c r="T119" s="5"/>
      <c r="U119" s="5"/>
    </row>
    <row r="120" spans="2:21">
      <c r="B120" s="41"/>
      <c r="C120" s="254"/>
      <c r="D120" s="249"/>
      <c r="E120" s="249"/>
      <c r="F120" s="249"/>
      <c r="G120" s="249"/>
      <c r="H120" s="249"/>
      <c r="I120" s="254"/>
      <c r="J120" s="254"/>
      <c r="K120" s="254"/>
      <c r="L120" s="254"/>
      <c r="M120" s="254"/>
      <c r="N120" s="254"/>
      <c r="O120" s="248"/>
      <c r="Q120" s="5"/>
      <c r="R120" s="5"/>
      <c r="S120" s="5"/>
      <c r="T120" s="5"/>
      <c r="U120" s="5"/>
    </row>
    <row r="121" spans="2:21">
      <c r="B121" s="41"/>
      <c r="C121" s="254"/>
      <c r="D121" s="254"/>
      <c r="E121" s="254"/>
      <c r="F121" s="254"/>
      <c r="G121" s="254"/>
      <c r="H121" s="254"/>
      <c r="I121" s="254"/>
      <c r="J121" s="254"/>
      <c r="K121" s="254"/>
      <c r="L121" s="254"/>
      <c r="M121" s="254"/>
      <c r="N121" s="254"/>
      <c r="O121" s="248"/>
      <c r="Q121" s="5"/>
      <c r="R121" s="5"/>
      <c r="S121" s="5"/>
      <c r="T121" s="5"/>
      <c r="U121" s="5"/>
    </row>
    <row r="122" spans="2:21">
      <c r="B122" s="41"/>
      <c r="C122" s="254"/>
      <c r="D122" s="254"/>
      <c r="E122" s="254"/>
      <c r="F122" s="254"/>
      <c r="G122" s="254"/>
      <c r="H122" s="254"/>
      <c r="I122" s="254"/>
      <c r="J122" s="254"/>
      <c r="K122" s="254"/>
      <c r="L122" s="254"/>
      <c r="M122" s="254"/>
      <c r="N122" s="254"/>
      <c r="O122" s="248"/>
      <c r="Q122" s="5"/>
      <c r="R122" s="5"/>
      <c r="S122" s="5"/>
      <c r="T122" s="5"/>
      <c r="U122" s="5"/>
    </row>
    <row r="123" spans="2:21">
      <c r="B123" s="41"/>
      <c r="C123" s="254"/>
      <c r="D123" s="254"/>
      <c r="E123" s="254"/>
      <c r="F123" s="254"/>
      <c r="G123" s="254"/>
      <c r="H123" s="254"/>
      <c r="I123" s="254"/>
      <c r="J123" s="254"/>
      <c r="K123" s="254"/>
      <c r="L123" s="254"/>
      <c r="M123" s="254"/>
      <c r="N123" s="254"/>
      <c r="O123" s="248"/>
      <c r="Q123" s="5"/>
      <c r="R123" s="5"/>
      <c r="S123" s="5"/>
      <c r="T123" s="5"/>
      <c r="U123" s="5"/>
    </row>
    <row r="124" spans="2:21">
      <c r="B124" s="41"/>
      <c r="C124" s="254"/>
      <c r="D124" s="254"/>
      <c r="E124" s="254"/>
      <c r="F124" s="254"/>
      <c r="G124" s="254"/>
      <c r="H124" s="254"/>
      <c r="I124" s="254"/>
      <c r="J124" s="254"/>
      <c r="K124" s="254"/>
      <c r="L124" s="254"/>
      <c r="M124" s="254"/>
      <c r="N124" s="254"/>
      <c r="O124" s="5"/>
      <c r="Q124" s="5"/>
      <c r="R124" s="5"/>
      <c r="S124" s="5"/>
      <c r="T124" s="5"/>
      <c r="U124" s="5"/>
    </row>
    <row r="125" spans="2:21">
      <c r="B125" s="41"/>
      <c r="C125" s="254"/>
      <c r="D125" s="254"/>
      <c r="E125" s="254"/>
      <c r="F125" s="254"/>
      <c r="G125" s="254"/>
      <c r="H125" s="254"/>
      <c r="I125" s="254"/>
      <c r="J125" s="254"/>
      <c r="K125" s="254"/>
      <c r="L125" s="254"/>
      <c r="M125" s="254"/>
      <c r="N125" s="254"/>
      <c r="O125" s="5"/>
      <c r="Q125" s="5"/>
      <c r="R125" s="5"/>
      <c r="S125" s="5"/>
      <c r="T125" s="5"/>
      <c r="U125" s="5"/>
    </row>
    <row r="126" spans="2:21">
      <c r="B126" s="41"/>
      <c r="C126" s="254"/>
      <c r="D126" s="254"/>
      <c r="E126" s="254"/>
      <c r="F126" s="254"/>
      <c r="G126" s="254"/>
      <c r="H126" s="254"/>
      <c r="I126" s="18"/>
      <c r="J126" s="254"/>
      <c r="K126" s="254"/>
      <c r="L126" s="254"/>
      <c r="M126" s="254"/>
      <c r="N126" s="254"/>
      <c r="O126" s="5"/>
      <c r="Q126" s="5"/>
      <c r="R126" s="5"/>
      <c r="S126" s="5"/>
      <c r="T126" s="5"/>
      <c r="U126" s="5"/>
    </row>
    <row r="127" spans="2:21">
      <c r="B127" s="41"/>
      <c r="C127" s="254"/>
      <c r="D127" s="254"/>
      <c r="E127" s="254"/>
      <c r="F127" s="254"/>
      <c r="G127" s="254"/>
      <c r="H127" s="254"/>
      <c r="I127" s="5"/>
      <c r="J127" s="254"/>
      <c r="K127" s="254"/>
      <c r="L127" s="254"/>
      <c r="M127" s="254"/>
      <c r="N127" s="254"/>
      <c r="O127" s="5"/>
      <c r="Q127" s="5"/>
      <c r="R127" s="5"/>
      <c r="S127" s="5"/>
      <c r="T127" s="5"/>
      <c r="U127" s="5"/>
    </row>
    <row r="128" spans="2:21">
      <c r="B128" s="41"/>
      <c r="C128" s="254"/>
      <c r="D128" s="254"/>
      <c r="E128" s="254"/>
      <c r="F128" s="254"/>
      <c r="G128" s="254"/>
      <c r="H128" s="254"/>
      <c r="I128" s="254"/>
      <c r="J128" s="18"/>
      <c r="K128" s="18"/>
      <c r="L128" s="18"/>
      <c r="M128" s="18"/>
      <c r="N128" s="18"/>
      <c r="O128" s="5"/>
      <c r="Q128" s="5"/>
      <c r="R128" s="5"/>
      <c r="S128" s="5"/>
      <c r="T128" s="5"/>
      <c r="U128" s="5"/>
    </row>
    <row r="129" spans="2:27">
      <c r="B129" s="5"/>
      <c r="C129" s="5"/>
      <c r="D129" s="18"/>
      <c r="E129" s="18"/>
      <c r="F129" s="18"/>
      <c r="G129" s="18"/>
      <c r="H129" s="18"/>
      <c r="I129" s="18"/>
      <c r="J129" s="5"/>
      <c r="K129" s="5"/>
      <c r="L129" s="5"/>
      <c r="M129" s="5"/>
      <c r="N129" s="5"/>
      <c r="O129" s="5"/>
      <c r="Q129" s="5"/>
      <c r="R129" s="5"/>
      <c r="S129" s="5"/>
      <c r="T129" s="5"/>
      <c r="U129" s="5"/>
    </row>
    <row r="130" spans="2:27">
      <c r="B130" s="5"/>
      <c r="C130" s="5"/>
      <c r="D130" s="5"/>
      <c r="E130" s="5"/>
      <c r="F130" s="5"/>
      <c r="G130" s="5"/>
      <c r="H130" s="5"/>
      <c r="I130" s="5"/>
      <c r="J130" s="254"/>
      <c r="K130" s="254"/>
      <c r="L130" s="254"/>
      <c r="M130" s="254"/>
      <c r="N130" s="254"/>
      <c r="O130" s="5"/>
      <c r="Q130" s="5"/>
      <c r="R130" s="5"/>
      <c r="S130" s="5"/>
      <c r="T130" s="5"/>
      <c r="U130" s="5"/>
    </row>
    <row r="131" spans="2:27">
      <c r="B131" s="41"/>
      <c r="C131" s="254"/>
      <c r="D131" s="254"/>
      <c r="E131" s="254"/>
      <c r="F131" s="254"/>
      <c r="G131" s="254"/>
      <c r="H131" s="254"/>
      <c r="I131" s="5"/>
      <c r="J131" s="18"/>
      <c r="K131" s="18"/>
      <c r="L131" s="18"/>
      <c r="M131" s="18"/>
      <c r="N131" s="18"/>
      <c r="O131" s="5"/>
      <c r="Q131" s="5"/>
      <c r="R131" s="5"/>
      <c r="S131" s="5"/>
      <c r="T131" s="5"/>
      <c r="U131" s="5"/>
    </row>
    <row r="132" spans="2:27">
      <c r="B132" s="5"/>
      <c r="C132" s="259"/>
      <c r="D132" s="18"/>
      <c r="E132" s="18"/>
      <c r="F132" s="18"/>
      <c r="G132" s="18"/>
      <c r="H132" s="18"/>
      <c r="I132" s="17"/>
      <c r="J132" s="5"/>
      <c r="K132" s="5"/>
      <c r="L132" s="5"/>
      <c r="M132" s="5"/>
      <c r="N132" s="5"/>
      <c r="O132" s="5"/>
      <c r="Q132" s="5"/>
      <c r="R132" s="5"/>
      <c r="S132" s="5"/>
      <c r="T132" s="5"/>
      <c r="U132" s="5"/>
    </row>
    <row r="133" spans="2:27">
      <c r="B133" s="5"/>
      <c r="C133" s="5"/>
      <c r="D133" s="5"/>
      <c r="E133" s="5"/>
      <c r="F133" s="5"/>
      <c r="G133" s="5"/>
      <c r="H133" s="5"/>
      <c r="I133" s="17"/>
      <c r="J133" s="5"/>
      <c r="K133" s="5"/>
      <c r="L133" s="5"/>
      <c r="M133" s="5"/>
      <c r="N133" s="5"/>
      <c r="O133" s="5"/>
      <c r="Q133" s="5"/>
      <c r="R133" s="5"/>
      <c r="S133" s="5"/>
      <c r="T133" s="5"/>
      <c r="U133" s="5"/>
    </row>
    <row r="134" spans="2:27">
      <c r="B134" s="41"/>
      <c r="C134" s="5"/>
      <c r="D134" s="5"/>
      <c r="E134" s="5"/>
      <c r="F134" s="5"/>
      <c r="G134" s="5"/>
      <c r="H134" s="5"/>
      <c r="I134" s="17"/>
      <c r="J134" s="17"/>
      <c r="K134" s="17"/>
      <c r="L134" s="17"/>
      <c r="M134" s="17"/>
      <c r="N134" s="17"/>
      <c r="O134" s="5"/>
      <c r="Q134" s="41"/>
      <c r="R134" s="5"/>
      <c r="S134" s="5"/>
      <c r="T134" s="5"/>
      <c r="U134" s="5"/>
    </row>
    <row r="135" spans="2:27">
      <c r="B135" s="5"/>
      <c r="C135" s="17"/>
      <c r="D135" s="17"/>
      <c r="E135" s="17"/>
      <c r="F135" s="17"/>
      <c r="G135" s="17"/>
      <c r="H135" s="17"/>
      <c r="I135" s="17"/>
      <c r="J135" s="17"/>
      <c r="K135" s="17"/>
      <c r="L135" s="17"/>
      <c r="M135" s="17"/>
      <c r="N135" s="17"/>
      <c r="O135" s="5"/>
      <c r="Q135" s="5"/>
      <c r="R135" s="5"/>
      <c r="S135" s="5"/>
      <c r="T135" s="5"/>
      <c r="U135" s="5"/>
      <c r="X135" s="304"/>
    </row>
    <row r="136" spans="2:27">
      <c r="B136" s="5"/>
      <c r="C136" s="17"/>
      <c r="D136" s="17"/>
      <c r="E136" s="17"/>
      <c r="F136" s="17"/>
      <c r="G136" s="17"/>
      <c r="H136" s="17"/>
      <c r="I136" s="17"/>
      <c r="J136" s="17"/>
      <c r="K136" s="17"/>
      <c r="L136" s="17"/>
      <c r="M136" s="17"/>
      <c r="N136" s="17"/>
      <c r="O136" s="5"/>
      <c r="Q136" s="5"/>
      <c r="R136" s="5"/>
      <c r="S136" s="5"/>
      <c r="T136" s="5"/>
      <c r="U136" s="5"/>
      <c r="X136" s="10"/>
      <c r="Y136" s="304"/>
      <c r="Z136" s="304"/>
      <c r="AA136" s="304"/>
    </row>
    <row r="137" spans="2:27">
      <c r="B137" s="5"/>
      <c r="C137" s="5"/>
      <c r="D137" s="17"/>
      <c r="E137" s="17"/>
      <c r="F137" s="17"/>
      <c r="G137" s="17"/>
      <c r="H137" s="17"/>
      <c r="I137" s="17"/>
      <c r="J137" s="17"/>
      <c r="K137" s="17"/>
      <c r="L137" s="17"/>
      <c r="M137" s="17"/>
      <c r="N137" s="17"/>
      <c r="O137" s="5"/>
      <c r="Q137" s="5"/>
      <c r="R137" s="5"/>
      <c r="S137" s="5"/>
      <c r="T137" s="5"/>
      <c r="U137" s="5"/>
      <c r="Y137" s="10"/>
      <c r="Z137" s="10"/>
      <c r="AA137" s="10"/>
    </row>
    <row r="138" spans="2:27">
      <c r="B138" s="5"/>
      <c r="C138" s="5"/>
      <c r="D138" s="17"/>
      <c r="E138" s="17"/>
      <c r="F138" s="17"/>
      <c r="G138" s="17"/>
      <c r="H138" s="17"/>
      <c r="I138" s="5"/>
      <c r="J138" s="17"/>
      <c r="K138" s="17"/>
      <c r="L138" s="17"/>
      <c r="M138" s="17"/>
      <c r="N138" s="17"/>
      <c r="O138" s="5"/>
      <c r="Q138" s="5"/>
      <c r="R138" s="5"/>
      <c r="S138" s="5"/>
      <c r="T138" s="5"/>
      <c r="U138" s="5"/>
    </row>
    <row r="139" spans="2:27">
      <c r="B139" s="5"/>
      <c r="C139" s="5"/>
      <c r="D139" s="17"/>
      <c r="E139" s="17"/>
      <c r="F139" s="17"/>
      <c r="G139" s="17"/>
      <c r="H139" s="17"/>
      <c r="I139" s="5"/>
      <c r="J139" s="17"/>
      <c r="K139" s="17"/>
      <c r="L139" s="17"/>
      <c r="M139" s="17"/>
      <c r="N139" s="17"/>
      <c r="O139" s="5"/>
      <c r="Q139" s="5"/>
      <c r="R139" s="5"/>
      <c r="S139" s="5"/>
      <c r="T139" s="5"/>
      <c r="U139" s="5"/>
    </row>
    <row r="140" spans="2:27">
      <c r="B140" s="5"/>
      <c r="C140" s="17"/>
      <c r="D140" s="17"/>
      <c r="E140" s="17"/>
      <c r="F140" s="17"/>
      <c r="G140" s="17"/>
      <c r="H140" s="17"/>
      <c r="I140" s="5"/>
      <c r="J140" s="5"/>
      <c r="K140" s="5"/>
      <c r="L140" s="5"/>
      <c r="M140" s="5"/>
      <c r="N140" s="5"/>
      <c r="O140" s="5"/>
      <c r="Q140" s="5"/>
      <c r="R140" s="5"/>
      <c r="S140" s="5"/>
      <c r="T140" s="5"/>
      <c r="U140" s="5"/>
    </row>
    <row r="141" spans="2:27">
      <c r="B141" s="5"/>
      <c r="C141" s="5"/>
      <c r="D141" s="5"/>
      <c r="E141" s="5"/>
      <c r="F141" s="5"/>
      <c r="G141" s="5"/>
      <c r="H141" s="5"/>
      <c r="I141" s="5"/>
      <c r="J141" s="5"/>
      <c r="K141" s="5"/>
      <c r="L141" s="5"/>
      <c r="M141" s="5"/>
      <c r="N141" s="5"/>
      <c r="O141" s="5"/>
      <c r="Q141" s="5"/>
      <c r="R141" s="5"/>
      <c r="S141" s="5"/>
      <c r="T141" s="5"/>
      <c r="U141" s="5"/>
    </row>
    <row r="142" spans="2:27">
      <c r="B142" s="5"/>
      <c r="C142" s="5"/>
      <c r="D142" s="5"/>
      <c r="E142" s="5"/>
      <c r="F142" s="5"/>
      <c r="G142" s="5"/>
      <c r="H142" s="5"/>
      <c r="I142" s="5"/>
      <c r="J142" s="5"/>
      <c r="K142" s="5"/>
      <c r="L142" s="5"/>
      <c r="M142" s="5"/>
      <c r="N142" s="5"/>
      <c r="O142" s="5"/>
      <c r="Q142" s="5"/>
      <c r="R142" s="5"/>
      <c r="S142" s="5"/>
      <c r="T142" s="5"/>
      <c r="U142" s="5"/>
    </row>
    <row r="143" spans="2:27">
      <c r="B143" s="5"/>
      <c r="C143" s="5"/>
      <c r="D143" s="5"/>
      <c r="E143" s="5"/>
      <c r="F143" s="5"/>
      <c r="G143" s="5"/>
      <c r="H143" s="5"/>
      <c r="I143" s="5"/>
      <c r="J143" s="5"/>
      <c r="K143" s="5"/>
      <c r="L143" s="5"/>
      <c r="M143" s="5"/>
      <c r="N143" s="5"/>
      <c r="O143" s="5"/>
      <c r="Q143" s="5"/>
      <c r="R143" s="5"/>
      <c r="S143" s="5"/>
      <c r="T143" s="5"/>
      <c r="U143" s="5"/>
    </row>
    <row r="144" spans="2:27">
      <c r="B144" s="5"/>
      <c r="C144" s="5"/>
      <c r="D144" s="5"/>
      <c r="E144" s="5"/>
      <c r="F144" s="5"/>
      <c r="G144" s="5"/>
      <c r="H144" s="5"/>
      <c r="I144" s="5"/>
      <c r="J144" s="5"/>
      <c r="K144" s="5"/>
      <c r="L144" s="5"/>
      <c r="M144" s="5"/>
      <c r="N144" s="5"/>
      <c r="O144" s="5"/>
      <c r="Q144" s="5"/>
      <c r="R144" s="5"/>
      <c r="S144" s="5"/>
      <c r="T144" s="5"/>
      <c r="U144" s="5"/>
    </row>
    <row r="145" spans="2:21">
      <c r="B145" s="5"/>
      <c r="C145" s="5"/>
      <c r="D145" s="5"/>
      <c r="E145" s="5"/>
      <c r="F145" s="5"/>
      <c r="G145" s="5"/>
      <c r="H145" s="5"/>
      <c r="I145" s="5"/>
      <c r="J145" s="5"/>
      <c r="K145" s="5"/>
      <c r="L145" s="5"/>
      <c r="M145" s="5"/>
      <c r="N145" s="5"/>
      <c r="O145" s="5"/>
      <c r="Q145" s="5"/>
      <c r="R145" s="5"/>
      <c r="S145" s="5"/>
      <c r="T145" s="5"/>
      <c r="U145" s="5"/>
    </row>
    <row r="146" spans="2:21">
      <c r="B146" s="5"/>
      <c r="C146" s="5"/>
      <c r="D146" s="5"/>
      <c r="E146" s="5"/>
      <c r="F146" s="5"/>
      <c r="G146" s="5"/>
      <c r="H146" s="5"/>
      <c r="I146" s="5"/>
      <c r="J146" s="5"/>
      <c r="K146" s="5"/>
      <c r="L146" s="5"/>
      <c r="M146" s="5"/>
      <c r="N146" s="5"/>
      <c r="O146" s="5"/>
      <c r="Q146" s="5"/>
      <c r="R146" s="5"/>
      <c r="S146" s="5"/>
      <c r="T146" s="5"/>
      <c r="U146" s="5"/>
    </row>
    <row r="147" spans="2:21">
      <c r="B147" s="5"/>
      <c r="C147" s="5"/>
      <c r="D147" s="5"/>
      <c r="E147" s="5"/>
      <c r="F147" s="5"/>
      <c r="G147" s="5"/>
      <c r="H147" s="5"/>
      <c r="I147" s="5"/>
      <c r="J147" s="5"/>
      <c r="K147" s="5"/>
      <c r="L147" s="5"/>
      <c r="M147" s="5"/>
      <c r="N147" s="5"/>
      <c r="O147" s="5"/>
      <c r="Q147" s="5"/>
      <c r="R147" s="5"/>
      <c r="S147" s="5"/>
      <c r="T147" s="5"/>
      <c r="U147" s="5"/>
    </row>
    <row r="148" spans="2:21">
      <c r="B148" s="5"/>
      <c r="C148" s="5"/>
      <c r="D148" s="5"/>
      <c r="E148" s="5"/>
      <c r="F148" s="5"/>
      <c r="G148" s="5"/>
      <c r="H148" s="5"/>
      <c r="J148" s="5"/>
      <c r="K148" s="5"/>
      <c r="L148" s="5"/>
      <c r="M148" s="5"/>
      <c r="N148" s="5"/>
      <c r="O148" s="5"/>
      <c r="Q148" s="5"/>
      <c r="R148" s="5"/>
      <c r="S148" s="5"/>
      <c r="T148" s="5"/>
      <c r="U148" s="5"/>
    </row>
    <row r="149" spans="2:21">
      <c r="B149" s="5"/>
      <c r="C149" s="5"/>
      <c r="D149" s="5"/>
      <c r="E149" s="5"/>
      <c r="F149" s="5"/>
      <c r="G149" s="5"/>
      <c r="H149" s="5"/>
      <c r="J149" s="5"/>
      <c r="K149" s="5"/>
      <c r="L149" s="5"/>
      <c r="M149" s="5"/>
      <c r="N149" s="5"/>
      <c r="O149" s="5"/>
      <c r="Q149" s="5"/>
      <c r="R149" s="5"/>
      <c r="S149" s="5"/>
      <c r="T149" s="5"/>
      <c r="U149" s="5"/>
    </row>
    <row r="150" spans="2:21">
      <c r="B150" s="5"/>
      <c r="C150" s="5"/>
      <c r="D150" s="5"/>
      <c r="E150" s="5"/>
      <c r="F150" s="5"/>
      <c r="G150" s="5"/>
      <c r="H150" s="5"/>
      <c r="Q150" s="5"/>
      <c r="R150" s="5"/>
      <c r="S150" s="5"/>
      <c r="T150" s="5"/>
      <c r="U150" s="5"/>
    </row>
    <row r="151" spans="2:21">
      <c r="Q151" s="5"/>
      <c r="R151" s="5"/>
      <c r="S151" s="5"/>
      <c r="T151" s="5"/>
      <c r="U151" s="5"/>
    </row>
    <row r="152" spans="2:21">
      <c r="Q152" s="5"/>
      <c r="R152" s="5"/>
      <c r="S152" s="5"/>
      <c r="T152" s="5"/>
      <c r="U152" s="5"/>
    </row>
    <row r="153" spans="2:21">
      <c r="C153" s="263"/>
      <c r="Q153" s="5"/>
      <c r="R153" s="5"/>
      <c r="S153" s="5"/>
      <c r="T153" s="5"/>
      <c r="U153" s="5"/>
    </row>
    <row r="154" spans="2:21">
      <c r="Q154" s="5"/>
      <c r="R154" s="5"/>
      <c r="S154" s="5"/>
      <c r="T154" s="5"/>
      <c r="U154" s="5"/>
    </row>
    <row r="155" spans="2:21">
      <c r="Q155" s="5"/>
      <c r="R155" s="5"/>
      <c r="S155" s="5"/>
      <c r="T155" s="5"/>
      <c r="U155" s="5"/>
    </row>
    <row r="156" spans="2:21">
      <c r="Q156" s="5"/>
      <c r="R156" s="5"/>
      <c r="S156" s="5"/>
      <c r="T156" s="5"/>
      <c r="U156" s="5"/>
    </row>
    <row r="157" spans="2:21">
      <c r="Q157" s="5"/>
      <c r="R157" s="5"/>
      <c r="S157" s="5"/>
      <c r="T157" s="5"/>
      <c r="U157" s="5"/>
    </row>
    <row r="158" spans="2:21">
      <c r="Q158" s="5"/>
      <c r="R158" s="5"/>
      <c r="S158" s="5"/>
      <c r="T158" s="5"/>
      <c r="U158" s="5"/>
    </row>
    <row r="159" spans="2:21">
      <c r="Q159" s="5"/>
      <c r="R159" s="5"/>
      <c r="S159" s="5"/>
      <c r="T159" s="5"/>
      <c r="U159" s="5"/>
    </row>
    <row r="160" spans="2:21">
      <c r="Q160" s="5"/>
      <c r="R160" s="5"/>
      <c r="S160" s="5"/>
      <c r="T160" s="5"/>
      <c r="U160" s="5"/>
    </row>
    <row r="161" spans="17:21">
      <c r="Q161" s="5"/>
      <c r="R161" s="5"/>
      <c r="S161" s="5"/>
      <c r="T161" s="5"/>
      <c r="U161" s="5"/>
    </row>
    <row r="162" spans="17:21">
      <c r="Q162" s="5"/>
      <c r="R162" s="5"/>
      <c r="S162" s="5"/>
      <c r="T162" s="5"/>
      <c r="U162" s="5"/>
    </row>
    <row r="163" spans="17:21">
      <c r="Q163" s="5"/>
      <c r="R163" s="5"/>
      <c r="S163" s="5"/>
      <c r="T163" s="5"/>
      <c r="U163" s="5"/>
    </row>
    <row r="164" spans="17:21">
      <c r="Q164" s="5"/>
      <c r="R164" s="5"/>
      <c r="S164" s="5"/>
      <c r="T164" s="5"/>
      <c r="U164" s="5"/>
    </row>
  </sheetData>
  <pageMargins left="0.75" right="0.75" top="1" bottom="1" header="0.5" footer="0.5"/>
  <pageSetup scale="21" orientation="landscape" r:id="rId1"/>
  <headerFooter alignWithMargins="0"/>
  <drawing r:id="rId2"/>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E00-000000000000}">
  <sheetPr codeName="Sheet188">
    <tabColor theme="3" tint="0.39997558519241921"/>
    <pageSetUpPr fitToPage="1"/>
  </sheetPr>
  <dimension ref="B1:BK164"/>
  <sheetViews>
    <sheetView showGridLines="0" zoomScale="80" zoomScaleNormal="80" workbookViewId="0"/>
  </sheetViews>
  <sheetFormatPr defaultColWidth="8.88671875" defaultRowHeight="12"/>
  <cols>
    <col min="1" max="1" width="2.33203125" style="39" customWidth="1"/>
    <col min="2" max="2" width="26.6640625" style="39" customWidth="1"/>
    <col min="3" max="9" width="10" style="39" customWidth="1"/>
    <col min="10" max="10" width="26.6640625" style="39" customWidth="1"/>
    <col min="11" max="16" width="10" style="39" customWidth="1"/>
    <col min="17" max="17" width="4.5546875" style="39" customWidth="1"/>
    <col min="18" max="20" width="8.88671875" style="39"/>
    <col min="21" max="21" width="3.6640625" style="39" customWidth="1"/>
    <col min="22" max="63" width="9.109375" style="5" customWidth="1"/>
    <col min="64" max="16384" width="8.88671875" style="39"/>
  </cols>
  <sheetData>
    <row r="1" spans="2:63" s="312" customFormat="1">
      <c r="V1" s="149"/>
      <c r="W1" s="149"/>
      <c r="X1" s="149"/>
      <c r="Y1" s="149"/>
      <c r="Z1" s="149"/>
      <c r="AA1" s="149"/>
      <c r="AB1" s="149"/>
      <c r="AC1" s="149"/>
      <c r="AD1" s="149"/>
      <c r="AE1" s="149"/>
      <c r="AF1" s="149"/>
      <c r="AG1" s="149"/>
      <c r="AH1" s="149"/>
      <c r="AI1" s="149"/>
      <c r="AJ1" s="149"/>
      <c r="AK1" s="149"/>
      <c r="AL1" s="149"/>
      <c r="AM1" s="149"/>
      <c r="AN1" s="149"/>
      <c r="AO1" s="149"/>
      <c r="AP1" s="149"/>
      <c r="AQ1" s="149"/>
      <c r="AR1" s="149"/>
      <c r="AS1" s="149"/>
      <c r="AT1" s="149"/>
      <c r="AU1" s="149"/>
      <c r="AV1" s="149"/>
      <c r="AW1" s="149"/>
      <c r="AX1" s="149"/>
      <c r="AY1" s="149"/>
      <c r="AZ1" s="149"/>
      <c r="BA1" s="149"/>
      <c r="BB1" s="149"/>
      <c r="BC1" s="149"/>
      <c r="BD1" s="149"/>
      <c r="BE1" s="149"/>
      <c r="BF1" s="149"/>
      <c r="BG1" s="149"/>
      <c r="BH1" s="149"/>
      <c r="BI1" s="149"/>
      <c r="BJ1" s="149"/>
      <c r="BK1" s="149"/>
    </row>
    <row r="2" spans="2:63" s="312" customFormat="1">
      <c r="V2" s="149"/>
      <c r="W2" s="149"/>
      <c r="X2" s="149"/>
      <c r="Y2" s="149"/>
      <c r="Z2" s="149"/>
      <c r="AA2" s="149"/>
      <c r="AB2" s="149"/>
      <c r="AC2" s="149"/>
      <c r="AD2" s="149"/>
      <c r="AE2" s="149"/>
      <c r="AF2" s="149"/>
      <c r="AG2" s="149"/>
      <c r="AH2" s="149"/>
      <c r="AI2" s="149"/>
      <c r="AJ2" s="149"/>
      <c r="AK2" s="149"/>
      <c r="AL2" s="149"/>
      <c r="AM2" s="149"/>
      <c r="AN2" s="149"/>
      <c r="AO2" s="149"/>
      <c r="AP2" s="149"/>
      <c r="AQ2" s="149"/>
      <c r="AR2" s="149"/>
      <c r="AS2" s="149"/>
      <c r="AT2" s="149"/>
      <c r="AU2" s="149"/>
      <c r="AV2" s="149"/>
      <c r="AW2" s="149"/>
      <c r="AX2" s="149"/>
      <c r="AY2" s="149"/>
      <c r="AZ2" s="149"/>
      <c r="BA2" s="149"/>
      <c r="BB2" s="149"/>
      <c r="BC2" s="149"/>
      <c r="BD2" s="149"/>
      <c r="BE2" s="149"/>
      <c r="BF2" s="149"/>
      <c r="BG2" s="149"/>
      <c r="BH2" s="149"/>
      <c r="BI2" s="149"/>
      <c r="BJ2" s="149"/>
      <c r="BK2" s="149"/>
    </row>
    <row r="3" spans="2:63" s="149" customFormat="1">
      <c r="H3" s="153"/>
      <c r="P3" s="153"/>
    </row>
    <row r="4" spans="2:63" s="156" customFormat="1" ht="21">
      <c r="B4" s="129" t="s">
        <v>714</v>
      </c>
      <c r="H4" s="222"/>
      <c r="P4" s="222"/>
    </row>
    <row r="5" spans="2:63" s="149" customFormat="1">
      <c r="C5" s="153"/>
      <c r="D5" s="153" t="str" cm="1">
        <f t="array" ref="D5:H5">headings</f>
        <v>2023E</v>
      </c>
      <c r="E5" s="153" t="str">
        <v>2024E</v>
      </c>
      <c r="F5" s="153" t="str">
        <v>2025E</v>
      </c>
      <c r="G5" s="153" t="str">
        <v>2026E</v>
      </c>
      <c r="H5" s="153" t="str">
        <v>23E-26E</v>
      </c>
      <c r="I5" s="153"/>
      <c r="J5" s="153"/>
      <c r="K5" s="153"/>
      <c r="L5" s="153" t="str" cm="1">
        <f t="array" ref="L5:P5">headings</f>
        <v>2023E</v>
      </c>
      <c r="M5" s="153" t="str">
        <v>2024E</v>
      </c>
      <c r="N5" s="153" t="str">
        <v>2025E</v>
      </c>
      <c r="O5" s="153" t="str">
        <v>2026E</v>
      </c>
      <c r="P5" s="153" t="str">
        <v>23E-26E</v>
      </c>
      <c r="Q5" s="162"/>
      <c r="R5" s="162"/>
      <c r="S5" s="162"/>
      <c r="T5" s="162"/>
      <c r="U5" s="162"/>
      <c r="V5" s="162"/>
      <c r="W5" s="162"/>
      <c r="X5" s="162"/>
      <c r="Y5" s="162"/>
    </row>
    <row r="6" spans="2:63">
      <c r="I6" s="5"/>
      <c r="J6" s="5"/>
      <c r="K6" s="5"/>
      <c r="L6" s="5"/>
      <c r="M6" s="5"/>
      <c r="N6" s="5"/>
      <c r="O6" s="49"/>
    </row>
    <row r="7" spans="2:63" ht="12.6" thickBot="1">
      <c r="B7" s="306" t="s">
        <v>271</v>
      </c>
      <c r="C7" s="265"/>
      <c r="D7" s="265"/>
      <c r="E7" s="265"/>
      <c r="F7" s="265"/>
      <c r="G7" s="265"/>
      <c r="H7" s="265"/>
      <c r="I7" s="49"/>
      <c r="J7" s="306" t="s">
        <v>200</v>
      </c>
      <c r="K7" s="306"/>
      <c r="L7" s="306"/>
      <c r="M7" s="306"/>
      <c r="N7" s="266"/>
      <c r="O7" s="266"/>
      <c r="P7" s="266"/>
    </row>
    <row r="8" spans="2:63" ht="12.6" thickTop="1">
      <c r="B8" s="5"/>
      <c r="C8" s="5"/>
      <c r="D8" s="5"/>
      <c r="E8" s="5"/>
      <c r="F8" s="5"/>
      <c r="G8" s="5"/>
      <c r="H8" s="5"/>
      <c r="I8" s="5"/>
      <c r="J8" s="5"/>
      <c r="K8" s="5"/>
      <c r="L8" s="5"/>
      <c r="M8" s="5"/>
      <c r="N8" s="5"/>
    </row>
    <row r="9" spans="2:63">
      <c r="B9" s="41" t="s">
        <v>500</v>
      </c>
      <c r="C9" s="287"/>
      <c r="D9" s="5"/>
      <c r="E9" s="249"/>
      <c r="F9" s="249"/>
      <c r="G9" s="249"/>
      <c r="H9" s="249"/>
      <c r="I9" s="249"/>
      <c r="J9" s="5" t="s">
        <v>273</v>
      </c>
      <c r="L9" s="64">
        <f>'AGG DM'!D37</f>
        <v>2.329412469433874</v>
      </c>
      <c r="M9" s="64">
        <f>'AGG DM'!E37</f>
        <v>2.207031841456474</v>
      </c>
      <c r="N9" s="64">
        <f>'AGG DM'!F37</f>
        <v>2.0665364578686574</v>
      </c>
      <c r="O9" s="64">
        <f>'AGG DM'!G37</f>
        <v>1.9167412853037995</v>
      </c>
      <c r="P9" s="17">
        <f>'AGG DM'!H37</f>
        <v>1.9501934659983178E-2</v>
      </c>
    </row>
    <row r="10" spans="2:63">
      <c r="B10" s="5" t="s">
        <v>274</v>
      </c>
      <c r="C10" s="5"/>
      <c r="D10" s="332"/>
      <c r="E10" s="332"/>
      <c r="F10" s="332"/>
      <c r="G10" s="332"/>
      <c r="H10" s="247"/>
      <c r="I10" s="247"/>
      <c r="J10" s="5" t="s">
        <v>184</v>
      </c>
      <c r="L10" s="64">
        <f>'AGG DM'!D38</f>
        <v>7.0841879802792365</v>
      </c>
      <c r="M10" s="64">
        <f>'AGG DM'!E38</f>
        <v>6.5876114702803505</v>
      </c>
      <c r="N10" s="64">
        <f>'AGG DM'!F38</f>
        <v>6.0864198915332164</v>
      </c>
      <c r="O10" s="64">
        <f>'AGG DM'!G38</f>
        <v>5.5767680131537691</v>
      </c>
      <c r="P10" s="17">
        <f>'AGG DM'!H38</f>
        <v>3.4656651554389573E-2</v>
      </c>
      <c r="W10" s="10"/>
      <c r="X10" s="10"/>
      <c r="Y10" s="10"/>
      <c r="Z10" s="10"/>
    </row>
    <row r="11" spans="2:63">
      <c r="B11" s="41" t="s">
        <v>359</v>
      </c>
      <c r="C11" s="5"/>
      <c r="D11" s="271">
        <f>'US TELCO'!D11+'US OTHER'!D11+'US TOWERS'!D11</f>
        <v>900832.44216523459</v>
      </c>
      <c r="E11" s="271">
        <f>'US TELCO'!E11+'US OTHER'!E11+'US TOWERS'!E11</f>
        <v>873629.62430559029</v>
      </c>
      <c r="F11" s="271">
        <f>'US TELCO'!F11+'US OTHER'!F11+'US TOWERS'!F11</f>
        <v>842052.29317752656</v>
      </c>
      <c r="G11" s="271">
        <f>'US TELCO'!G11+'US OTHER'!G11+'US TOWERS'!G11</f>
        <v>808470.69683569437</v>
      </c>
      <c r="H11" s="249"/>
      <c r="I11" s="249"/>
      <c r="J11" s="5" t="s">
        <v>185</v>
      </c>
      <c r="L11" s="64">
        <f>'AGG DM'!D39</f>
        <v>13.53328960256645</v>
      </c>
      <c r="M11" s="64">
        <f>'AGG DM'!E39</f>
        <v>11.493643628277713</v>
      </c>
      <c r="N11" s="64">
        <f>'AGG DM'!F39</f>
        <v>10.264735122504899</v>
      </c>
      <c r="O11" s="64">
        <f>'AGG DM'!G39</f>
        <v>9.0451770938503948</v>
      </c>
      <c r="P11" s="17">
        <f>'AGG DM'!H39</f>
        <v>9.2670425427640479E-2</v>
      </c>
      <c r="W11" s="10"/>
      <c r="X11" s="10"/>
      <c r="Y11" s="10"/>
      <c r="Z11" s="10"/>
    </row>
    <row r="12" spans="2:63">
      <c r="B12" s="5" t="s">
        <v>229</v>
      </c>
      <c r="C12" s="249"/>
      <c r="D12" s="228">
        <f>'US TELCO'!D12+'US OTHER'!D12+'US TOWERS'!D12</f>
        <v>627378.80730428093</v>
      </c>
      <c r="E12" s="228">
        <f>'US TELCO'!E12+'US OTHER'!E12+'US TOWERS'!E12</f>
        <v>628023.01761307556</v>
      </c>
      <c r="F12" s="228">
        <f>'US TELCO'!F12+'US OTHER'!F12+'US TOWERS'!F12</f>
        <v>621065.27672328078</v>
      </c>
      <c r="G12" s="228">
        <f>'US TELCO'!G12+'US OTHER'!G12+'US TOWERS'!G12</f>
        <v>613476.64695300523</v>
      </c>
      <c r="H12" s="247"/>
      <c r="I12" s="247"/>
      <c r="J12" s="5" t="s">
        <v>466</v>
      </c>
      <c r="L12" s="64">
        <f>'AGG DM'!D40</f>
        <v>19.213286909010346</v>
      </c>
      <c r="M12" s="64">
        <f>'AGG DM'!E40</f>
        <v>16.347188206412962</v>
      </c>
      <c r="N12" s="64">
        <f>'AGG DM'!F40</f>
        <v>14.618845003714046</v>
      </c>
      <c r="O12" s="64">
        <f>'AGG DM'!G40</f>
        <v>12.840265625641983</v>
      </c>
      <c r="P12" s="17">
        <f>'AGG DM'!H40</f>
        <v>9.2705111729584289E-2</v>
      </c>
      <c r="W12" s="10"/>
      <c r="X12" s="10"/>
      <c r="Y12" s="10"/>
      <c r="Z12" s="10"/>
    </row>
    <row r="13" spans="2:63">
      <c r="B13" s="5" t="s">
        <v>529</v>
      </c>
      <c r="C13" s="257"/>
      <c r="D13" s="228">
        <f>'US TELCO'!D13+'US OTHER'!D13+'US TOWERS'!D13</f>
        <v>1333.7951000000005</v>
      </c>
      <c r="E13" s="228">
        <f>'US TELCO'!E13+'US OTHER'!E13+'US TOWERS'!E13</f>
        <v>1333.7951000000005</v>
      </c>
      <c r="F13" s="228">
        <f>'US TELCO'!F13+'US OTHER'!F13+'US TOWERS'!F13</f>
        <v>1333.7951000000005</v>
      </c>
      <c r="G13" s="228">
        <f>'US TELCO'!G13+'US OTHER'!G13+'US TOWERS'!G13</f>
        <v>1333.7951000000005</v>
      </c>
      <c r="H13" s="247"/>
      <c r="I13" s="247"/>
      <c r="J13" s="5" t="s">
        <v>530</v>
      </c>
      <c r="L13" s="64">
        <f>'AGG DM'!D41</f>
        <v>1.3514515540183685</v>
      </c>
      <c r="M13" s="64">
        <f>'AGG DM'!E41</f>
        <v>1.4007532435377124</v>
      </c>
      <c r="N13" s="64">
        <f>'AGG DM'!F41</f>
        <v>1.3363938049874495</v>
      </c>
      <c r="O13" s="64">
        <f>'AGG DM'!G41</f>
        <v>1.2739776448559783</v>
      </c>
      <c r="P13" s="17">
        <f>'AGG DM'!H41</f>
        <v>-2.5668717959517307E-2</v>
      </c>
    </row>
    <row r="14" spans="2:63">
      <c r="B14" s="5" t="s">
        <v>532</v>
      </c>
      <c r="C14" s="274"/>
      <c r="D14" s="228">
        <f>'US TELCO'!D14+'US OTHER'!D14+'US TOWERS'!D14</f>
        <v>20971.455000000002</v>
      </c>
      <c r="E14" s="228">
        <f>'US TELCO'!E14+'US OTHER'!E14+'US TOWERS'!E14</f>
        <v>22159.0924151455</v>
      </c>
      <c r="F14" s="228">
        <f>'US TELCO'!F14+'US OTHER'!F14+'US TOWERS'!F14</f>
        <v>22102.869155009073</v>
      </c>
      <c r="G14" s="228">
        <f>'US TELCO'!G14+'US OTHER'!G14+'US TOWERS'!G14</f>
        <v>22582.377942112998</v>
      </c>
      <c r="H14" s="247"/>
      <c r="I14" s="247"/>
      <c r="J14" s="5" t="s">
        <v>593</v>
      </c>
      <c r="L14" s="64">
        <f>'AGG DM'!D42</f>
        <v>3.3000460374957705</v>
      </c>
      <c r="M14" s="64">
        <f>'AGG DM'!E42</f>
        <v>3.1838124862642916</v>
      </c>
      <c r="N14" s="64">
        <f>'AGG DM'!F42</f>
        <v>3.0594658370749888</v>
      </c>
      <c r="O14" s="64">
        <f>'AGG DM'!G42</f>
        <v>2.9412325385033187</v>
      </c>
      <c r="P14" s="17">
        <f>'AGG DM'!H42</f>
        <v>-7.2864107786076993E-3</v>
      </c>
    </row>
    <row r="15" spans="2:63">
      <c r="B15" s="5" t="s">
        <v>531</v>
      </c>
      <c r="C15" s="257"/>
      <c r="D15" s="228">
        <f>'US TELCO'!D15+'US OTHER'!D15+'US TOWERS'!D15</f>
        <v>23116.053</v>
      </c>
      <c r="E15" s="228">
        <f>'US TELCO'!E15+'US OTHER'!E15+'US TOWERS'!E15</f>
        <v>23116.053</v>
      </c>
      <c r="F15" s="228">
        <f>'US TELCO'!F15+'US OTHER'!F15+'US TOWERS'!F15</f>
        <v>23116.053</v>
      </c>
      <c r="G15" s="228">
        <f>'US TELCO'!G15+'US OTHER'!G15+'US TOWERS'!G15</f>
        <v>23116.053</v>
      </c>
      <c r="H15" s="247"/>
      <c r="I15" s="247"/>
      <c r="J15" s="5" t="s">
        <v>475</v>
      </c>
      <c r="L15" s="64">
        <f>'AGG DM'!D43</f>
        <v>11.806292254184493</v>
      </c>
      <c r="M15" s="64">
        <f>'AGG DM'!E43</f>
        <v>10.8479727708929</v>
      </c>
      <c r="N15" s="64">
        <f>'AGG DM'!F43</f>
        <v>9.79850588673491</v>
      </c>
      <c r="O15" s="64">
        <f>'AGG DM'!G43</f>
        <v>8.8149149732476211</v>
      </c>
      <c r="P15" s="17">
        <f>'AGG DM'!H43</f>
        <v>7.171679530370545E-2</v>
      </c>
      <c r="S15" s="88"/>
      <c r="T15" s="88"/>
      <c r="U15" s="88"/>
      <c r="V15" s="42"/>
      <c r="W15" s="42"/>
      <c r="X15" s="42"/>
      <c r="Y15" s="42"/>
      <c r="Z15" s="42"/>
      <c r="AA15" s="42"/>
    </row>
    <row r="16" spans="2:63">
      <c r="B16" s="5" t="s">
        <v>534</v>
      </c>
      <c r="C16" s="257"/>
      <c r="D16" s="228">
        <f>'US TELCO'!D16+'US OTHER'!D16+'US TOWERS'!D16</f>
        <v>67341.359808797482</v>
      </c>
      <c r="E16" s="228">
        <f>'US TELCO'!E16+'US OTHER'!E16+'US TOWERS'!E16</f>
        <v>97475.320611897812</v>
      </c>
      <c r="F16" s="228">
        <f>'US TELCO'!F16+'US OTHER'!F16+'US TOWERS'!F16</f>
        <v>131752.68257435266</v>
      </c>
      <c r="G16" s="228">
        <f>'US TELCO'!G16+'US OTHER'!G16+'US TOWERS'!G16</f>
        <v>164828.37513384008</v>
      </c>
      <c r="H16" s="247"/>
      <c r="I16" s="247"/>
      <c r="J16" s="5" t="s">
        <v>533</v>
      </c>
      <c r="L16" s="64">
        <f>'AGG DM'!D44</f>
        <v>13.624604105346204</v>
      </c>
      <c r="M16" s="64">
        <f>'AGG DM'!E44</f>
        <v>12.503028582967529</v>
      </c>
      <c r="N16" s="64">
        <f>'AGG DM'!F44</f>
        <v>11.302702719097406</v>
      </c>
      <c r="O16" s="64">
        <f>'AGG DM'!G44</f>
        <v>10.160048566687355</v>
      </c>
      <c r="P16" s="17">
        <f>'AGG DM'!H44</f>
        <v>7.6119307301105277E-2</v>
      </c>
      <c r="S16" s="88"/>
      <c r="T16" s="88"/>
      <c r="U16" s="88"/>
      <c r="V16" s="42"/>
      <c r="W16" s="42"/>
      <c r="X16" s="42"/>
      <c r="Y16" s="42"/>
      <c r="Z16" s="42"/>
      <c r="AA16" s="42"/>
    </row>
    <row r="17" spans="2:27">
      <c r="B17" s="5" t="s">
        <v>6</v>
      </c>
      <c r="C17" s="257"/>
      <c r="D17" s="228">
        <f>'US TELCO'!D17+'US OTHER'!D17+'US TOWERS'!D17</f>
        <v>528.55199756305979</v>
      </c>
      <c r="E17" s="228">
        <f>'US TELCO'!E17+'US OTHER'!E17+'US TOWERS'!E17</f>
        <v>528.55199756305979</v>
      </c>
      <c r="F17" s="228">
        <f>'US TELCO'!F17+'US OTHER'!F17+'US TOWERS'!F17</f>
        <v>528.55199756305979</v>
      </c>
      <c r="G17" s="228">
        <f>'US TELCO'!G17+'US OTHER'!G17+'US TOWERS'!G17</f>
        <v>520.90143247519075</v>
      </c>
      <c r="H17" s="247"/>
      <c r="I17" s="247"/>
      <c r="J17" s="5" t="s">
        <v>580</v>
      </c>
      <c r="L17" s="248">
        <f>'AGG DM'!D45</f>
        <v>3.8692911642747754E-2</v>
      </c>
      <c r="M17" s="248">
        <f>'AGG DM'!E45</f>
        <v>4.3419291969220015E-2</v>
      </c>
      <c r="N17" s="248">
        <f>'AGG DM'!F45</f>
        <v>4.6126321738259798E-2</v>
      </c>
      <c r="O17" s="248">
        <f>'AGG DM'!G45</f>
        <v>4.9423675586152439E-2</v>
      </c>
      <c r="P17" s="17">
        <f>'AGG DM'!H45</f>
        <v>5.8812184463164385E-2</v>
      </c>
      <c r="S17" s="88"/>
      <c r="T17" s="88"/>
      <c r="U17" s="88"/>
      <c r="V17" s="42"/>
      <c r="W17" s="42"/>
      <c r="X17" s="42"/>
      <c r="Y17" s="42"/>
      <c r="Z17" s="42"/>
      <c r="AA17" s="42"/>
    </row>
    <row r="18" spans="2:27" ht="12.6" thickBot="1">
      <c r="B18" s="41" t="s">
        <v>360</v>
      </c>
      <c r="C18" s="249"/>
      <c r="D18" s="275">
        <f>'US TELCO'!D18+'US OTHER'!D18+'US TOWERS'!D18</f>
        <v>1463819.730763155</v>
      </c>
      <c r="E18" s="275">
        <f>'US TELCO'!E18+'US OTHER'!E18+'US TOWERS'!E18</f>
        <v>1405939.5249940595</v>
      </c>
      <c r="F18" s="275">
        <f>'US TELCO'!F18+'US OTHER'!F18+'US TOWERS'!F18</f>
        <v>1333183.3142738824</v>
      </c>
      <c r="G18" s="275">
        <f>'US TELCO'!G18+'US OTHER'!G18+'US TOWERS'!G18</f>
        <v>1258465.5373802714</v>
      </c>
      <c r="H18" s="276">
        <f>IF(D18=0,"nm",IF(G18=0,"nm",(G18/D18)^(1/3)-1))</f>
        <v>-4.9137083929835068E-2</v>
      </c>
      <c r="I18" s="254"/>
      <c r="J18" s="5" t="s">
        <v>36</v>
      </c>
      <c r="L18" s="248">
        <f>'AGG DM'!D46</f>
        <v>5.5339609483801136E-2</v>
      </c>
      <c r="M18" s="248">
        <f>'AGG DM'!E46</f>
        <v>7.6500460251698113E-2</v>
      </c>
      <c r="N18" s="248">
        <f>'AGG DM'!F46</f>
        <v>8.0311545489538158E-2</v>
      </c>
      <c r="O18" s="248">
        <f>'AGG DM'!G46</f>
        <v>9.1977124183415609E-2</v>
      </c>
      <c r="P18" s="17">
        <f>'AGG DM'!H46</f>
        <v>0.15593203466037919</v>
      </c>
      <c r="S18" s="88"/>
      <c r="T18" s="42"/>
      <c r="U18" s="42"/>
      <c r="V18" s="42"/>
      <c r="W18" s="42"/>
      <c r="X18" s="42"/>
      <c r="Y18" s="42"/>
      <c r="Z18" s="42"/>
      <c r="AA18" s="42"/>
    </row>
    <row r="19" spans="2:27" ht="12.6" thickTop="1">
      <c r="B19" s="41"/>
      <c r="C19" s="249"/>
      <c r="D19" s="229"/>
      <c r="E19" s="229"/>
      <c r="F19" s="229"/>
      <c r="G19" s="229"/>
      <c r="H19" s="276"/>
      <c r="I19" s="17"/>
      <c r="J19" s="5" t="s">
        <v>581</v>
      </c>
      <c r="L19" s="248">
        <f>'AGG DM'!D47</f>
        <v>8.4700596806382714E-2</v>
      </c>
      <c r="M19" s="248">
        <f>'AGG DM'!E47</f>
        <v>9.2183122240422966E-2</v>
      </c>
      <c r="N19" s="248">
        <f>'AGG DM'!F47</f>
        <v>0.10205637589642999</v>
      </c>
      <c r="O19" s="248">
        <f>'AGG DM'!G47</f>
        <v>0.11344408914151745</v>
      </c>
      <c r="P19" s="17">
        <f>'AGG DM'!H47</f>
        <v>7.171679530370545E-2</v>
      </c>
      <c r="S19" s="88"/>
      <c r="T19" s="42"/>
      <c r="U19" s="42"/>
      <c r="V19" s="42"/>
      <c r="W19" s="42"/>
      <c r="X19" s="42"/>
      <c r="Y19" s="42"/>
      <c r="Z19" s="42"/>
      <c r="AA19" s="42"/>
    </row>
    <row r="20" spans="2:27">
      <c r="H20" s="277"/>
      <c r="I20" s="49"/>
      <c r="J20" s="5" t="s">
        <v>604</v>
      </c>
      <c r="L20" s="248">
        <f>'AGG DM'!D48</f>
        <v>0.45770628705874244</v>
      </c>
      <c r="M20" s="248">
        <f>'AGG DM'!E48</f>
        <v>0.47291165163323612</v>
      </c>
      <c r="N20" s="248">
        <f>'AGG DM'!F48</f>
        <v>0.45515009617149715</v>
      </c>
      <c r="O20" s="248">
        <f>'AGG DM'!G48</f>
        <v>0.44137076019918969</v>
      </c>
      <c r="P20" s="17" t="str">
        <f>'AGG DM'!H48</f>
        <v>nm</v>
      </c>
      <c r="S20" s="42"/>
      <c r="T20" s="42"/>
      <c r="U20" s="42"/>
      <c r="V20" s="42"/>
      <c r="W20" s="42"/>
      <c r="X20" s="42"/>
      <c r="Y20" s="42"/>
      <c r="Z20" s="42"/>
      <c r="AA20" s="42"/>
    </row>
    <row r="21" spans="2:27" ht="12.6" thickBot="1">
      <c r="B21" s="306" t="s">
        <v>482</v>
      </c>
      <c r="C21" s="265">
        <v>2020</v>
      </c>
      <c r="D21" s="265" t="str">
        <f>D5</f>
        <v>2023E</v>
      </c>
      <c r="E21" s="265" t="str">
        <f>E5</f>
        <v>2024E</v>
      </c>
      <c r="F21" s="265" t="str">
        <f>F5</f>
        <v>2025E</v>
      </c>
      <c r="G21" s="265" t="str">
        <f>G5</f>
        <v>2026E</v>
      </c>
      <c r="H21" s="282" t="str">
        <f>H5</f>
        <v>23E-26E</v>
      </c>
      <c r="I21" s="17"/>
      <c r="S21" s="42"/>
      <c r="T21" s="42"/>
      <c r="U21" s="42"/>
      <c r="V21" s="42"/>
      <c r="W21" s="42"/>
      <c r="X21" s="42"/>
      <c r="Y21" s="42"/>
      <c r="Z21" s="42"/>
      <c r="AA21" s="42"/>
    </row>
    <row r="22" spans="2:27" ht="12.6" thickTop="1">
      <c r="B22" s="5"/>
      <c r="C22" s="257"/>
      <c r="D22" s="17"/>
      <c r="E22" s="17"/>
      <c r="F22" s="17"/>
      <c r="G22" s="17"/>
      <c r="H22" s="17"/>
      <c r="I22" s="247"/>
      <c r="P22" s="277"/>
      <c r="S22" s="42"/>
      <c r="T22" s="42"/>
      <c r="U22" s="42"/>
      <c r="V22" s="42"/>
      <c r="W22" s="42"/>
      <c r="X22" s="42"/>
      <c r="Y22" s="42"/>
      <c r="Z22" s="42"/>
      <c r="AA22" s="42"/>
    </row>
    <row r="23" spans="2:27" ht="12.6" thickBot="1">
      <c r="B23" s="5" t="s">
        <v>584</v>
      </c>
      <c r="C23" s="365">
        <f>'US TELCO'!C23+'US OTHER'!C23+'US TOWERS'!C23</f>
        <v>567041.71301800001</v>
      </c>
      <c r="D23" s="228">
        <f>'US TELCO'!D23+'US OTHER'!D23+'US TOWERS'!D23</f>
        <v>564158.80224766931</v>
      </c>
      <c r="E23" s="228">
        <f>'US TELCO'!E23+'US OTHER'!E23+'US TOWERS'!E23</f>
        <v>569180.30330204859</v>
      </c>
      <c r="F23" s="228">
        <f>'US TELCO'!F23+'US OTHER'!F23+'US TOWERS'!F23</f>
        <v>577733.78742653993</v>
      </c>
      <c r="G23" s="228">
        <f>'US TELCO'!G23+'US OTHER'!G23+'US TOWERS'!G23</f>
        <v>589174.06107805122</v>
      </c>
      <c r="H23" s="279">
        <f t="shared" ref="H23:H33" si="0">IF(D23=0,"nm",IF(G23=0,"nm",(G23/D23)^(1/3)-1))</f>
        <v>1.456704127626085E-2</v>
      </c>
      <c r="I23" s="249"/>
      <c r="J23" s="306" t="s">
        <v>9</v>
      </c>
      <c r="K23" s="306"/>
      <c r="L23" s="265" t="str">
        <f>L5</f>
        <v>2023E</v>
      </c>
      <c r="M23" s="265" t="str">
        <f>M5</f>
        <v>2024E</v>
      </c>
      <c r="N23" s="265" t="str">
        <f>N5</f>
        <v>2025E</v>
      </c>
      <c r="O23" s="265" t="str">
        <f>O5</f>
        <v>2026E</v>
      </c>
      <c r="P23" s="282" t="str">
        <f>P5</f>
        <v>23E-26E</v>
      </c>
      <c r="S23" s="42"/>
      <c r="T23" s="42"/>
      <c r="U23" s="42"/>
      <c r="V23" s="42"/>
      <c r="W23" s="42" t="s">
        <v>720</v>
      </c>
      <c r="X23" s="42" t="s">
        <v>610</v>
      </c>
      <c r="Y23" s="42"/>
      <c r="Z23" s="42"/>
      <c r="AA23" s="42"/>
    </row>
    <row r="24" spans="2:27" ht="12.6" thickTop="1">
      <c r="B24" s="5" t="s">
        <v>483</v>
      </c>
      <c r="C24" s="365">
        <f>'US TELCO'!C24+'US OTHER'!C24+'US TOWERS'!C24</f>
        <v>195915.53804499999</v>
      </c>
      <c r="D24" s="228">
        <f>'US TELCO'!D24+'US OTHER'!D24+'US TOWERS'!D24</f>
        <v>200550.78827498649</v>
      </c>
      <c r="E24" s="228">
        <f>'US TELCO'!E24+'US OTHER'!E24+'US TOWERS'!E24</f>
        <v>206658.15588432585</v>
      </c>
      <c r="F24" s="228">
        <f>'US TELCO'!F24+'US OTHER'!F24+'US TOWERS'!F24</f>
        <v>212514.88310085898</v>
      </c>
      <c r="G24" s="228">
        <f>'US TELCO'!G24+'US OTHER'!G24+'US TOWERS'!G24</f>
        <v>219609.29455932349</v>
      </c>
      <c r="H24" s="279">
        <f t="shared" si="0"/>
        <v>3.0723349651247567E-2</v>
      </c>
      <c r="I24" s="248"/>
      <c r="J24" s="17"/>
      <c r="K24" s="17"/>
      <c r="L24" s="17"/>
      <c r="M24" s="17"/>
      <c r="N24" s="17"/>
      <c r="O24" s="248"/>
      <c r="S24" s="42"/>
      <c r="T24" s="42"/>
      <c r="U24" s="42"/>
      <c r="V24" s="147" t="s">
        <v>273</v>
      </c>
      <c r="W24" s="288">
        <f t="shared" ref="W24:W31" si="1">E37/M9</f>
        <v>1.1192012298758052</v>
      </c>
      <c r="X24" s="288">
        <v>1</v>
      </c>
      <c r="Y24" s="42"/>
      <c r="Z24" s="42"/>
      <c r="AA24" s="42"/>
    </row>
    <row r="25" spans="2:27">
      <c r="B25" s="5" t="s">
        <v>183</v>
      </c>
      <c r="C25" s="365">
        <f>'US TELCO'!C25+'US OTHER'!C25+'US TOWERS'!C25</f>
        <v>103407.915045</v>
      </c>
      <c r="D25" s="228">
        <f>'US TELCO'!D25+'US OTHER'!D25+'US TOWERS'!D25</f>
        <v>113601.48406566201</v>
      </c>
      <c r="E25" s="228">
        <f>'US TELCO'!E25+'US OTHER'!E25+'US TOWERS'!E25</f>
        <v>127242.07128103625</v>
      </c>
      <c r="F25" s="228">
        <f>'US TELCO'!F25+'US OTHER'!F25+'US TOWERS'!F25</f>
        <v>134618.86958686405</v>
      </c>
      <c r="G25" s="228">
        <f>'US TELCO'!G25+'US OTHER'!G25+'US TOWERS'!G25</f>
        <v>145158.22259261017</v>
      </c>
      <c r="H25" s="279">
        <f t="shared" si="0"/>
        <v>8.5140265808479887E-2</v>
      </c>
      <c r="I25" s="249"/>
      <c r="J25" s="247" t="s">
        <v>10</v>
      </c>
      <c r="K25" s="247"/>
      <c r="L25" s="332">
        <f>'US TELCO'!L25+'US OTHER'!L25+'US TOWERS'!L25</f>
        <v>0</v>
      </c>
      <c r="M25" s="332">
        <f>'US TELCO'!M25+'US OTHER'!M25+'US TOWERS'!M25</f>
        <v>0</v>
      </c>
      <c r="N25" s="332">
        <f>'US TELCO'!N25+'US OTHER'!N25+'US TOWERS'!N25</f>
        <v>0</v>
      </c>
      <c r="O25" s="332">
        <f>'US TELCO'!O25+'US OTHER'!O25+'US TOWERS'!O25</f>
        <v>0</v>
      </c>
      <c r="P25" s="349" t="str">
        <f>IF(L25=0,"nm",IF(O25=0,"nm",(O25/L25)^(1/3)-1))</f>
        <v>nm</v>
      </c>
      <c r="Q25" s="5"/>
      <c r="S25" s="42"/>
      <c r="T25" s="42"/>
      <c r="U25" s="42"/>
      <c r="V25" s="147" t="s">
        <v>184</v>
      </c>
      <c r="W25" s="288">
        <f t="shared" si="1"/>
        <v>1.0327283842816513</v>
      </c>
      <c r="X25" s="288">
        <v>1</v>
      </c>
      <c r="Y25" s="42"/>
      <c r="Z25" s="42"/>
      <c r="AA25" s="42"/>
    </row>
    <row r="26" spans="2:27">
      <c r="B26" s="5" t="s">
        <v>586</v>
      </c>
      <c r="C26" s="365">
        <f>'US TELCO'!C26+'US OTHER'!C26+'US TOWERS'!C26</f>
        <v>66846.791496000005</v>
      </c>
      <c r="D26" s="228">
        <f>'US TELCO'!D26+'US OTHER'!D26+'US TOWERS'!D26</f>
        <v>77904.781461398568</v>
      </c>
      <c r="E26" s="228">
        <f>'US TELCO'!E26+'US OTHER'!E26+'US TOWERS'!E26</f>
        <v>86918.201706274442</v>
      </c>
      <c r="F26" s="228">
        <f>'US TELCO'!F26+'US OTHER'!F26+'US TOWERS'!F26</f>
        <v>91833.591018883046</v>
      </c>
      <c r="G26" s="228">
        <f>'US TELCO'!G26+'US OTHER'!G26+'US TOWERS'!G26</f>
        <v>99828.801356951692</v>
      </c>
      <c r="H26" s="279">
        <f t="shared" si="0"/>
        <v>8.6168610036252424E-2</v>
      </c>
      <c r="I26" s="249"/>
      <c r="J26" s="249" t="s">
        <v>11</v>
      </c>
      <c r="K26" s="249"/>
      <c r="L26" s="229">
        <f>'US TELCO'!L26+'US OTHER'!L26+'US TOWERS'!L26</f>
        <v>888471.3229066811</v>
      </c>
      <c r="M26" s="229">
        <f>'US TELCO'!M26+'US OTHER'!M26+'US TOWERS'!M26</f>
        <v>861286.42249099398</v>
      </c>
      <c r="N26" s="229">
        <f>'US TELCO'!N26+'US OTHER'!N26+'US TOWERS'!N26</f>
        <v>829708.58556289563</v>
      </c>
      <c r="O26" s="229">
        <f>'US TELCO'!O26+'US OTHER'!O26+'US TOWERS'!O26</f>
        <v>796126.48342102906</v>
      </c>
      <c r="P26" s="349">
        <f>IF(L26=0,"nm",IF(O26=0,"nm",(O26/L26)^(1/3)-1))</f>
        <v>-3.5920417267459537E-2</v>
      </c>
      <c r="Q26" s="41"/>
      <c r="S26" s="42"/>
      <c r="T26" s="42"/>
      <c r="U26" s="42"/>
      <c r="V26" s="147" t="s">
        <v>185</v>
      </c>
      <c r="W26" s="288">
        <f t="shared" si="1"/>
        <v>0.96134258979451814</v>
      </c>
      <c r="X26" s="288">
        <v>1</v>
      </c>
      <c r="Y26" s="42"/>
      <c r="Z26" s="42"/>
      <c r="AA26" s="42"/>
    </row>
    <row r="27" spans="2:27">
      <c r="B27" s="5" t="s">
        <v>587</v>
      </c>
      <c r="C27" s="365">
        <f>'US TELCO'!C27+'US OTHER'!C27+'US TOWERS'!C27</f>
        <v>806803.87500000012</v>
      </c>
      <c r="D27" s="228">
        <f>'US TELCO'!D27+'US OTHER'!D27+'US TOWERS'!D27</f>
        <v>1088256.2117379443</v>
      </c>
      <c r="E27" s="228">
        <f>'US TELCO'!E27+'US OTHER'!E27+'US TOWERS'!E27</f>
        <v>925167.12984910596</v>
      </c>
      <c r="F27" s="228">
        <f>'US TELCO'!F27+'US OTHER'!F27+'US TOWERS'!F27</f>
        <v>905018.7088984655</v>
      </c>
      <c r="G27" s="228">
        <f>'US TELCO'!G27+'US OTHER'!G27+'US TOWERS'!G27</f>
        <v>880015.03057787253</v>
      </c>
      <c r="H27" s="279">
        <f t="shared" si="0"/>
        <v>-6.8349592237772261E-2</v>
      </c>
      <c r="I27" s="248"/>
      <c r="J27" s="248"/>
      <c r="K27" s="248"/>
      <c r="L27" s="248"/>
      <c r="M27" s="248"/>
      <c r="N27" s="248"/>
      <c r="O27" s="248"/>
      <c r="Q27" s="5"/>
      <c r="S27" s="42"/>
      <c r="T27" s="42"/>
      <c r="U27" s="42"/>
      <c r="V27" s="147" t="s">
        <v>466</v>
      </c>
      <c r="W27" s="288">
        <f t="shared" si="1"/>
        <v>0.98949327119723096</v>
      </c>
      <c r="X27" s="288">
        <v>1</v>
      </c>
      <c r="Y27" s="42"/>
      <c r="Z27" s="42"/>
      <c r="AA27" s="42"/>
    </row>
    <row r="28" spans="2:27" ht="12.6" thickBot="1">
      <c r="B28" s="5" t="s">
        <v>592</v>
      </c>
      <c r="C28" s="365">
        <f>'US TELCO'!C28+'US OTHER'!C28+'US TOWERS'!C28</f>
        <v>326402.54300000001</v>
      </c>
      <c r="D28" s="228">
        <f>'US TELCO'!D28+'US OTHER'!D28+'US TOWERS'!D28</f>
        <v>419797.76756211923</v>
      </c>
      <c r="E28" s="228">
        <f>'US TELCO'!E28+'US OTHER'!E28+'US TOWERS'!E28</f>
        <v>417463.08757243672</v>
      </c>
      <c r="F28" s="228">
        <f>'US TELCO'!F28+'US OTHER'!F28+'US TOWERS'!F28</f>
        <v>413161.55524360208</v>
      </c>
      <c r="G28" s="228">
        <f>'US TELCO'!G28+'US OTHER'!G28+'US TOWERS'!G28</f>
        <v>403671.56889592367</v>
      </c>
      <c r="H28" s="279">
        <f t="shared" si="0"/>
        <v>-1.2972288534417564E-2</v>
      </c>
      <c r="I28" s="252"/>
      <c r="J28" s="306" t="s">
        <v>754</v>
      </c>
      <c r="K28" s="306"/>
      <c r="L28" s="306"/>
      <c r="M28" s="306"/>
      <c r="N28" s="266"/>
      <c r="O28" s="266"/>
      <c r="P28" s="266"/>
      <c r="Q28" s="5"/>
      <c r="S28" s="42"/>
      <c r="T28" s="42"/>
      <c r="U28" s="42"/>
      <c r="V28" s="147" t="s">
        <v>530</v>
      </c>
      <c r="W28" s="288">
        <f t="shared" si="1"/>
        <v>1.0848877595348076</v>
      </c>
      <c r="X28" s="288">
        <v>1</v>
      </c>
      <c r="Y28" s="42"/>
      <c r="Z28" s="42"/>
      <c r="AA28" s="42"/>
    </row>
    <row r="29" spans="2:27" ht="12.6" thickTop="1">
      <c r="B29" s="5" t="s">
        <v>588</v>
      </c>
      <c r="C29" s="365">
        <f>'US TELCO'!C29+'US OTHER'!C29+'US TOWERS'!C29</f>
        <v>87384.349094097081</v>
      </c>
      <c r="D29" s="228">
        <f>'US TELCO'!D29+'US OTHER'!D29+'US TOWERS'!D29</f>
        <v>90326.295622470221</v>
      </c>
      <c r="E29" s="228">
        <f>'US TELCO'!E29+'US OTHER'!E29+'US TOWERS'!E29</f>
        <v>88769.613104180215</v>
      </c>
      <c r="F29" s="228">
        <f>'US TELCO'!F29+'US OTHER'!F29+'US TOWERS'!F29</f>
        <v>92467.142182573167</v>
      </c>
      <c r="G29" s="228">
        <f>'US TELCO'!G29+'US OTHER'!G29+'US TOWERS'!G29</f>
        <v>98768.754017966916</v>
      </c>
      <c r="H29" s="279">
        <f t="shared" si="0"/>
        <v>3.0232212958454241E-2</v>
      </c>
      <c r="I29" s="254"/>
      <c r="J29" s="249"/>
      <c r="K29" s="249"/>
      <c r="L29" s="249"/>
      <c r="M29" s="249"/>
      <c r="N29" s="249"/>
      <c r="O29" s="251"/>
      <c r="Q29" s="5"/>
      <c r="S29" s="42"/>
      <c r="T29" s="42"/>
      <c r="U29" s="42"/>
      <c r="V29" s="147" t="s">
        <v>593</v>
      </c>
      <c r="W29" s="288">
        <f t="shared" si="1"/>
        <v>1.0577939478944636</v>
      </c>
      <c r="X29" s="288">
        <v>1</v>
      </c>
      <c r="Y29" s="42"/>
      <c r="Z29" s="42"/>
      <c r="AA29" s="42"/>
    </row>
    <row r="30" spans="2:27">
      <c r="B30" s="5" t="s">
        <v>589</v>
      </c>
      <c r="C30" s="365">
        <f>'US TELCO'!C30+'US OTHER'!C30+'US TOWERS'!C30</f>
        <v>72569.812743450515</v>
      </c>
      <c r="D30" s="228">
        <f>'US TELCO'!D30+'US OTHER'!D30+'US TOWERS'!D30</f>
        <v>71332.926847313574</v>
      </c>
      <c r="E30" s="228">
        <f>'US TELCO'!E30+'US OTHER'!E30+'US TOWERS'!E30</f>
        <v>74005.598929417276</v>
      </c>
      <c r="F30" s="228">
        <f>'US TELCO'!F30+'US OTHER'!F30+'US TOWERS'!F30</f>
        <v>79124.676180749375</v>
      </c>
      <c r="G30" s="228">
        <f>'US TELCO'!G30+'US OTHER'!G30+'US TOWERS'!G30</f>
        <v>85762.867321108468</v>
      </c>
      <c r="H30" s="279">
        <f t="shared" si="0"/>
        <v>6.3334119736071282E-2</v>
      </c>
      <c r="I30" s="254"/>
      <c r="J30" s="248"/>
      <c r="K30" s="248"/>
      <c r="L30" s="248"/>
      <c r="M30" s="248"/>
      <c r="N30" s="248"/>
      <c r="O30" s="5"/>
      <c r="Q30" s="5"/>
      <c r="S30" s="42"/>
      <c r="T30" s="42"/>
      <c r="U30" s="42"/>
      <c r="V30" s="147" t="s">
        <v>475</v>
      </c>
      <c r="W30" s="288">
        <f t="shared" si="1"/>
        <v>0.89440596609702983</v>
      </c>
      <c r="X30" s="288">
        <v>1</v>
      </c>
      <c r="Y30" s="42"/>
      <c r="Z30" s="42"/>
      <c r="AA30" s="42"/>
    </row>
    <row r="31" spans="2:27">
      <c r="B31" s="5" t="s">
        <v>590</v>
      </c>
      <c r="C31" s="365">
        <f>'US TELCO'!C31+'US OTHER'!C31+'US TOWERS'!C31</f>
        <v>30948.165999999997</v>
      </c>
      <c r="D31" s="228">
        <f>'US TELCO'!D31+'US OTHER'!D31+'US TOWERS'!D31</f>
        <v>30749.650127778823</v>
      </c>
      <c r="E31" s="228">
        <f>'US TELCO'!E31+'US OTHER'!E31+'US TOWERS'!E31</f>
        <v>36173.564801252804</v>
      </c>
      <c r="F31" s="228">
        <f>'US TELCO'!F31+'US OTHER'!F31+'US TOWERS'!F31</f>
        <v>36850.675706368209</v>
      </c>
      <c r="G31" s="228">
        <f>'US TELCO'!G31+'US OTHER'!G31+'US TOWERS'!G31</f>
        <v>37530.417584209601</v>
      </c>
      <c r="H31" s="279">
        <f t="shared" si="0"/>
        <v>6.8680141560880426E-2</v>
      </c>
      <c r="I31" s="254"/>
      <c r="J31" s="252"/>
      <c r="K31" s="252"/>
      <c r="L31" s="252"/>
      <c r="M31" s="252"/>
      <c r="N31" s="252"/>
      <c r="O31" s="5"/>
      <c r="Q31" s="5"/>
      <c r="S31" s="42"/>
      <c r="T31" s="42"/>
      <c r="U31" s="42"/>
      <c r="V31" s="147" t="s">
        <v>533</v>
      </c>
      <c r="W31" s="288">
        <f t="shared" si="1"/>
        <v>0.94416424641243557</v>
      </c>
      <c r="X31" s="288">
        <v>1</v>
      </c>
      <c r="Y31" s="42"/>
      <c r="Z31" s="42"/>
      <c r="AA31" s="42"/>
    </row>
    <row r="32" spans="2:27">
      <c r="B32" s="5" t="s">
        <v>606</v>
      </c>
      <c r="C32" s="365">
        <f>'US TELCO'!C32+'US OTHER'!C32+'US TOWERS'!C32</f>
        <v>27120.467000000001</v>
      </c>
      <c r="D32" s="228">
        <f>'US TELCO'!D32+'US OTHER'!D32+'US TOWERS'!D32</f>
        <v>24506.718379057078</v>
      </c>
      <c r="E32" s="228">
        <f>'US TELCO'!E32+'US OTHER'!E32+'US TOWERS'!E32</f>
        <v>47417.856174864683</v>
      </c>
      <c r="F32" s="228">
        <f>'US TELCO'!F32+'US OTHER'!F32+'US TOWERS'!F32</f>
        <v>48877.705049502234</v>
      </c>
      <c r="G32" s="228">
        <f>'US TELCO'!G32+'US OTHER'!G32+'US TOWERS'!G32</f>
        <v>63543.293840686383</v>
      </c>
      <c r="H32" s="279">
        <f t="shared" si="0"/>
        <v>0.37381479061401857</v>
      </c>
      <c r="I32" s="5"/>
      <c r="J32" s="254"/>
      <c r="K32" s="254"/>
      <c r="L32" s="254"/>
      <c r="M32" s="254"/>
      <c r="N32" s="254"/>
      <c r="O32" s="251"/>
      <c r="Q32" s="5"/>
      <c r="S32" s="42"/>
      <c r="T32" s="42"/>
      <c r="U32" s="42"/>
      <c r="V32" s="147" t="s">
        <v>580</v>
      </c>
      <c r="W32" s="288">
        <f>M17/E45</f>
        <v>1.0486215538638508</v>
      </c>
      <c r="X32" s="288">
        <v>1</v>
      </c>
      <c r="Y32" s="42"/>
      <c r="Z32" s="42"/>
      <c r="AA32" s="42"/>
    </row>
    <row r="33" spans="2:42">
      <c r="B33" s="5" t="s">
        <v>5</v>
      </c>
      <c r="C33" s="365">
        <f>'US TELCO'!C33+'US OTHER'!C33+'US TOWERS'!C33</f>
        <v>5963.0320000000011</v>
      </c>
      <c r="D33" s="228">
        <f>'US TELCO'!D33+'US OTHER'!D33+'US TOWERS'!D33</f>
        <v>8063.651098156859</v>
      </c>
      <c r="E33" s="228">
        <f>'US TELCO'!E33+'US OTHER'!E33+'US TOWERS'!E33</f>
        <v>9939.3300137655278</v>
      </c>
      <c r="F33" s="228">
        <f>'US TELCO'!F33+'US OTHER'!F33+'US TOWERS'!F33</f>
        <v>8537.3901147619345</v>
      </c>
      <c r="G33" s="228">
        <f>'US TELCO'!G33+'US OTHER'!G33+'US TOWERS'!G33</f>
        <v>7272.6366205462336</v>
      </c>
      <c r="H33" s="279">
        <f t="shared" si="0"/>
        <v>-3.3830359487422523E-2</v>
      </c>
      <c r="I33" s="49"/>
      <c r="J33" s="254"/>
      <c r="K33" s="254"/>
      <c r="L33" s="254"/>
      <c r="M33" s="254"/>
      <c r="N33" s="254"/>
      <c r="O33" s="251"/>
      <c r="Q33" s="5"/>
      <c r="S33" s="42"/>
      <c r="T33" s="42"/>
      <c r="U33" s="42"/>
      <c r="V33" s="147" t="s">
        <v>266</v>
      </c>
      <c r="W33" s="288">
        <f>N19/F47</f>
        <v>0.91575287495649238</v>
      </c>
      <c r="X33" s="288">
        <v>1</v>
      </c>
      <c r="Y33" s="288"/>
      <c r="Z33" s="288"/>
      <c r="AA33" s="42"/>
      <c r="AC33" s="10"/>
      <c r="AD33" s="10"/>
      <c r="AE33" s="10"/>
      <c r="AF33" s="10"/>
      <c r="AH33" s="10"/>
      <c r="AI33" s="10"/>
      <c r="AJ33" s="10"/>
      <c r="AK33" s="10"/>
      <c r="AM33" s="10"/>
      <c r="AN33" s="10"/>
      <c r="AO33" s="10"/>
      <c r="AP33" s="10"/>
    </row>
    <row r="34" spans="2:42">
      <c r="H34" s="277"/>
      <c r="I34" s="254"/>
      <c r="J34" s="254"/>
      <c r="K34" s="254"/>
      <c r="L34" s="254"/>
      <c r="M34" s="254"/>
      <c r="N34" s="254"/>
      <c r="O34" s="251"/>
      <c r="Q34" s="5"/>
      <c r="S34" s="42"/>
      <c r="T34" s="42"/>
      <c r="U34" s="42"/>
      <c r="V34" s="42"/>
      <c r="W34" s="42"/>
      <c r="X34" s="42"/>
      <c r="Y34" s="288"/>
      <c r="Z34" s="288"/>
      <c r="AA34" s="42"/>
      <c r="AC34" s="10"/>
      <c r="AD34" s="10"/>
      <c r="AE34" s="10"/>
      <c r="AF34" s="10"/>
      <c r="AH34" s="10"/>
      <c r="AI34" s="10"/>
      <c r="AJ34" s="10"/>
      <c r="AK34" s="10"/>
      <c r="AM34" s="10"/>
      <c r="AN34" s="10"/>
      <c r="AO34" s="10"/>
      <c r="AP34" s="10"/>
    </row>
    <row r="35" spans="2:42" ht="12.6" thickBot="1">
      <c r="B35" s="306" t="s">
        <v>713</v>
      </c>
      <c r="C35" s="265"/>
      <c r="D35" s="265" t="str">
        <f>D5</f>
        <v>2023E</v>
      </c>
      <c r="E35" s="265" t="str">
        <f>E5</f>
        <v>2024E</v>
      </c>
      <c r="F35" s="265" t="str">
        <f>F5</f>
        <v>2025E</v>
      </c>
      <c r="G35" s="265" t="str">
        <f>G5</f>
        <v>2026E</v>
      </c>
      <c r="H35" s="265" t="str">
        <f>H5</f>
        <v>23E-26E</v>
      </c>
      <c r="I35" s="17"/>
      <c r="J35" s="5"/>
      <c r="K35" s="5"/>
      <c r="L35" s="5"/>
      <c r="M35" s="5"/>
      <c r="N35" s="5"/>
      <c r="O35" s="5"/>
      <c r="Q35" s="5"/>
      <c r="S35" s="42"/>
      <c r="T35" s="42"/>
      <c r="U35" s="42"/>
      <c r="V35" s="42"/>
      <c r="W35" s="42"/>
      <c r="X35" s="42"/>
      <c r="Y35" s="288"/>
      <c r="Z35" s="288"/>
      <c r="AA35" s="42"/>
      <c r="AC35" s="10"/>
      <c r="AD35" s="10"/>
      <c r="AE35" s="10"/>
      <c r="AF35" s="10"/>
      <c r="AH35" s="10"/>
      <c r="AI35" s="10"/>
      <c r="AJ35" s="10"/>
      <c r="AK35" s="10"/>
      <c r="AM35" s="10"/>
      <c r="AN35" s="10"/>
      <c r="AO35" s="10"/>
      <c r="AP35" s="10"/>
    </row>
    <row r="36" spans="2:42" ht="12.6" thickTop="1">
      <c r="B36" s="41"/>
      <c r="C36" s="249"/>
      <c r="D36" s="254"/>
      <c r="E36" s="254"/>
      <c r="F36" s="254"/>
      <c r="G36" s="254"/>
      <c r="H36" s="254"/>
      <c r="I36" s="5"/>
      <c r="J36" s="49"/>
      <c r="K36" s="49"/>
      <c r="L36" s="49"/>
      <c r="M36" s="49"/>
      <c r="N36" s="49"/>
      <c r="O36" s="49"/>
      <c r="Q36" s="5"/>
      <c r="R36" s="5"/>
      <c r="S36" s="42"/>
      <c r="T36" s="42"/>
      <c r="U36" s="42"/>
      <c r="V36" s="42"/>
      <c r="W36" s="42"/>
      <c r="X36" s="42"/>
      <c r="Y36" s="42"/>
      <c r="Z36" s="42"/>
      <c r="AA36" s="42"/>
      <c r="AC36" s="10"/>
      <c r="AD36" s="10"/>
      <c r="AE36" s="10"/>
      <c r="AF36" s="10"/>
      <c r="AH36" s="10"/>
      <c r="AI36" s="10"/>
      <c r="AJ36" s="10"/>
      <c r="AK36" s="10"/>
      <c r="AM36" s="10"/>
      <c r="AN36" s="10"/>
      <c r="AO36" s="10"/>
      <c r="AP36" s="10"/>
    </row>
    <row r="37" spans="2:42">
      <c r="B37" s="5" t="s">
        <v>273</v>
      </c>
      <c r="C37" s="247"/>
      <c r="D37" s="64">
        <f t="shared" ref="D37:G41" si="2">D$18/D23</f>
        <v>2.5946944812899133</v>
      </c>
      <c r="E37" s="64">
        <f t="shared" si="2"/>
        <v>2.4701127513331489</v>
      </c>
      <c r="F37" s="64">
        <f t="shared" si="2"/>
        <v>2.3076083540352044</v>
      </c>
      <c r="G37" s="64">
        <f t="shared" si="2"/>
        <v>2.1359825907433412</v>
      </c>
      <c r="H37" s="17">
        <f t="shared" ref="H37:H45" si="3">H23</f>
        <v>1.456704127626085E-2</v>
      </c>
      <c r="I37" s="259"/>
      <c r="J37" s="259"/>
      <c r="K37" s="259"/>
      <c r="L37" s="259"/>
      <c r="M37" s="259"/>
      <c r="N37" s="259"/>
      <c r="O37" s="18"/>
      <c r="Q37" s="5"/>
      <c r="R37" s="5"/>
      <c r="S37" s="42"/>
      <c r="T37" s="42"/>
      <c r="U37" s="42"/>
      <c r="V37" s="42"/>
      <c r="W37" s="42"/>
      <c r="X37" s="42"/>
      <c r="Y37" s="42"/>
      <c r="Z37" s="42"/>
      <c r="AA37" s="42"/>
      <c r="AC37" s="10"/>
      <c r="AD37" s="10"/>
      <c r="AE37" s="10"/>
      <c r="AF37" s="10"/>
      <c r="AH37" s="10"/>
      <c r="AI37" s="10"/>
      <c r="AJ37" s="10"/>
      <c r="AK37" s="10"/>
      <c r="AM37" s="10"/>
      <c r="AN37" s="10"/>
      <c r="AO37" s="10"/>
      <c r="AP37" s="10"/>
    </row>
    <row r="38" spans="2:42">
      <c r="B38" s="5" t="s">
        <v>184</v>
      </c>
      <c r="C38" s="247"/>
      <c r="D38" s="64">
        <f t="shared" si="2"/>
        <v>7.2989976422133491</v>
      </c>
      <c r="E38" s="64">
        <f t="shared" si="2"/>
        <v>6.8032133499778995</v>
      </c>
      <c r="F38" s="64">
        <f t="shared" si="2"/>
        <v>6.2733644572138383</v>
      </c>
      <c r="G38" s="64">
        <f t="shared" si="2"/>
        <v>5.7304748412655169</v>
      </c>
      <c r="H38" s="17">
        <f t="shared" si="3"/>
        <v>3.0723349651247567E-2</v>
      </c>
      <c r="I38" s="17"/>
      <c r="J38" s="17"/>
      <c r="K38" s="17"/>
      <c r="L38" s="17"/>
      <c r="M38" s="17"/>
      <c r="N38" s="17"/>
      <c r="O38" s="5"/>
      <c r="Q38" s="5"/>
      <c r="R38" s="5"/>
      <c r="S38" s="42"/>
      <c r="T38" s="42"/>
      <c r="U38" s="42"/>
      <c r="V38" s="42"/>
      <c r="W38" s="42"/>
      <c r="X38" s="42"/>
      <c r="Y38" s="42"/>
      <c r="Z38" s="42"/>
      <c r="AA38" s="42"/>
    </row>
    <row r="39" spans="2:42">
      <c r="B39" s="5" t="s">
        <v>185</v>
      </c>
      <c r="C39" s="247"/>
      <c r="D39" s="64">
        <f t="shared" si="2"/>
        <v>12.885568730044607</v>
      </c>
      <c r="E39" s="64">
        <f t="shared" si="2"/>
        <v>11.049329131783759</v>
      </c>
      <c r="F39" s="64">
        <f t="shared" si="2"/>
        <v>9.9033910949135837</v>
      </c>
      <c r="G39" s="64">
        <f t="shared" si="2"/>
        <v>8.669612474604234</v>
      </c>
      <c r="H39" s="17">
        <f t="shared" si="3"/>
        <v>8.5140265808479887E-2</v>
      </c>
      <c r="I39" s="5"/>
      <c r="J39" s="5"/>
      <c r="K39" s="5"/>
      <c r="L39" s="5"/>
      <c r="M39" s="5"/>
      <c r="N39" s="5"/>
      <c r="O39" s="5"/>
      <c r="Q39" s="5"/>
      <c r="R39" s="5"/>
      <c r="S39" s="42"/>
      <c r="T39" s="42"/>
      <c r="U39" s="42"/>
      <c r="V39" s="42"/>
      <c r="W39" s="288"/>
      <c r="X39" s="288"/>
      <c r="Y39" s="42"/>
      <c r="Z39" s="42"/>
      <c r="AA39" s="42"/>
    </row>
    <row r="40" spans="2:42">
      <c r="B40" s="5" t="s">
        <v>466</v>
      </c>
      <c r="C40" s="247"/>
      <c r="D40" s="64">
        <f t="shared" si="2"/>
        <v>18.789857352831039</v>
      </c>
      <c r="E40" s="64">
        <f t="shared" si="2"/>
        <v>16.175432733240356</v>
      </c>
      <c r="F40" s="64">
        <f t="shared" si="2"/>
        <v>14.517381924003713</v>
      </c>
      <c r="G40" s="64">
        <f t="shared" si="2"/>
        <v>12.606237080624195</v>
      </c>
      <c r="H40" s="17">
        <f t="shared" si="3"/>
        <v>8.6168610036252424E-2</v>
      </c>
      <c r="I40" s="247"/>
      <c r="J40" s="259"/>
      <c r="K40" s="259"/>
      <c r="L40" s="259"/>
      <c r="M40" s="259"/>
      <c r="N40" s="259"/>
      <c r="O40" s="18"/>
      <c r="Q40" s="5"/>
      <c r="R40" s="5"/>
      <c r="S40" s="42"/>
      <c r="T40" s="42"/>
      <c r="U40" s="42"/>
      <c r="V40" s="42"/>
      <c r="W40" s="288"/>
      <c r="X40" s="288"/>
      <c r="Y40" s="288"/>
      <c r="Z40" s="288"/>
      <c r="AA40" s="42"/>
    </row>
    <row r="41" spans="2:42">
      <c r="B41" s="5" t="s">
        <v>530</v>
      </c>
      <c r="C41" s="247"/>
      <c r="D41" s="64">
        <f t="shared" si="2"/>
        <v>1.3451057894036149</v>
      </c>
      <c r="E41" s="64">
        <f t="shared" si="2"/>
        <v>1.5196600480427436</v>
      </c>
      <c r="F41" s="64">
        <f t="shared" si="2"/>
        <v>1.4731002808732576</v>
      </c>
      <c r="G41" s="64">
        <f t="shared" si="2"/>
        <v>1.4300500487518772</v>
      </c>
      <c r="H41" s="17">
        <f t="shared" si="3"/>
        <v>-6.8349592237772261E-2</v>
      </c>
      <c r="I41" s="248"/>
      <c r="J41" s="17"/>
      <c r="K41" s="17"/>
      <c r="L41" s="17"/>
      <c r="M41" s="17"/>
      <c r="N41" s="17"/>
      <c r="O41" s="5"/>
      <c r="Q41" s="5"/>
      <c r="R41" s="5"/>
      <c r="S41" s="42"/>
      <c r="T41" s="42"/>
      <c r="U41" s="42"/>
      <c r="V41" s="42"/>
      <c r="W41" s="288"/>
      <c r="X41" s="288"/>
      <c r="Y41" s="288"/>
      <c r="Z41" s="288"/>
      <c r="AA41" s="42"/>
    </row>
    <row r="42" spans="2:42">
      <c r="B42" s="5" t="s">
        <v>593</v>
      </c>
      <c r="C42" s="247"/>
      <c r="D42" s="64">
        <f>D18/D28</f>
        <v>3.4869640666837216</v>
      </c>
      <c r="E42" s="64">
        <f>E18/E28</f>
        <v>3.3678175792011928</v>
      </c>
      <c r="F42" s="64">
        <f>F18/F28</f>
        <v>3.2267845286036621</v>
      </c>
      <c r="G42" s="64">
        <f>G18/G28</f>
        <v>3.1175481117540245</v>
      </c>
      <c r="H42" s="17">
        <f t="shared" si="3"/>
        <v>-1.2972288534417564E-2</v>
      </c>
      <c r="I42" s="247"/>
      <c r="J42" s="5"/>
      <c r="K42" s="5"/>
      <c r="L42" s="5"/>
      <c r="M42" s="5"/>
      <c r="N42" s="5"/>
      <c r="O42" s="5"/>
      <c r="Q42" s="5"/>
      <c r="R42" s="5"/>
      <c r="S42" s="42"/>
      <c r="T42" s="42"/>
      <c r="U42" s="42"/>
      <c r="V42" s="42"/>
      <c r="W42" s="288"/>
      <c r="X42" s="288"/>
      <c r="Y42" s="288"/>
      <c r="Z42" s="288"/>
      <c r="AA42" s="42"/>
    </row>
    <row r="43" spans="2:42">
      <c r="B43" s="5" t="s">
        <v>475</v>
      </c>
      <c r="C43" s="247"/>
      <c r="D43" s="64">
        <f>L26/D29</f>
        <v>9.836242223639454</v>
      </c>
      <c r="E43" s="64">
        <f>M26/E29</f>
        <v>9.7024915663447384</v>
      </c>
      <c r="F43" s="64">
        <f>N26/F29</f>
        <v>8.9730099360556075</v>
      </c>
      <c r="G43" s="64">
        <f>O26/G29</f>
        <v>8.0605095339787987</v>
      </c>
      <c r="H43" s="17">
        <f t="shared" si="3"/>
        <v>3.0232212958454241E-2</v>
      </c>
      <c r="I43" s="247"/>
      <c r="J43" s="247"/>
      <c r="K43" s="247"/>
      <c r="L43" s="247"/>
      <c r="M43" s="247"/>
      <c r="N43" s="247"/>
      <c r="O43" s="18"/>
      <c r="Q43" s="5"/>
      <c r="R43" s="5"/>
      <c r="S43" s="42"/>
      <c r="T43" s="42"/>
      <c r="U43" s="42"/>
      <c r="V43" s="42"/>
      <c r="W43" s="325"/>
      <c r="X43" s="325"/>
      <c r="Y43" s="288"/>
      <c r="Z43" s="288"/>
      <c r="AA43" s="42"/>
    </row>
    <row r="44" spans="2:42">
      <c r="B44" s="5" t="s">
        <v>533</v>
      </c>
      <c r="C44" s="69"/>
      <c r="D44" s="64">
        <f>D11/D30</f>
        <v>12.628564142523478</v>
      </c>
      <c r="E44" s="64">
        <f>E11/E30</f>
        <v>11.804912559910679</v>
      </c>
      <c r="F44" s="64">
        <f>F11/F30</f>
        <v>10.642094651407794</v>
      </c>
      <c r="G44" s="64">
        <f>G11/G30</f>
        <v>9.4268151484332279</v>
      </c>
      <c r="H44" s="17">
        <f t="shared" si="3"/>
        <v>6.3334119736071282E-2</v>
      </c>
      <c r="I44" s="248"/>
      <c r="J44" s="248"/>
      <c r="K44" s="248"/>
      <c r="L44" s="248"/>
      <c r="M44" s="248"/>
      <c r="N44" s="248"/>
      <c r="O44" s="248"/>
      <c r="Q44" s="5"/>
      <c r="R44" s="5"/>
      <c r="S44" s="42"/>
      <c r="T44" s="42"/>
      <c r="U44" s="42"/>
      <c r="V44" s="42"/>
      <c r="W44" s="42"/>
      <c r="X44" s="42"/>
      <c r="Y44" s="325"/>
      <c r="Z44" s="325"/>
      <c r="AA44" s="42"/>
    </row>
    <row r="45" spans="2:42">
      <c r="B45" s="5" t="s">
        <v>580</v>
      </c>
      <c r="C45" s="247"/>
      <c r="D45" s="248">
        <f>D31/D11</f>
        <v>3.4134705510682074E-2</v>
      </c>
      <c r="E45" s="248">
        <f>E31/E11</f>
        <v>4.1406064761145868E-2</v>
      </c>
      <c r="F45" s="248">
        <f>F31/F11</f>
        <v>4.3762930170655238E-2</v>
      </c>
      <c r="G45" s="248">
        <f>G31/G11</f>
        <v>4.6421493977581864E-2</v>
      </c>
      <c r="H45" s="17">
        <f t="shared" si="3"/>
        <v>6.8680141560880426E-2</v>
      </c>
      <c r="I45" s="247"/>
      <c r="J45" s="247"/>
      <c r="K45" s="247"/>
      <c r="L45" s="247"/>
      <c r="M45" s="247"/>
      <c r="N45" s="247"/>
      <c r="O45" s="248"/>
      <c r="Q45" s="5"/>
      <c r="R45" s="5"/>
      <c r="S45" s="42"/>
      <c r="T45" s="42"/>
      <c r="U45" s="42"/>
      <c r="V45" s="42"/>
      <c r="W45" s="42"/>
      <c r="X45" s="42"/>
      <c r="Y45" s="42"/>
      <c r="Z45" s="42"/>
      <c r="AA45" s="326"/>
      <c r="AB45" s="303"/>
    </row>
    <row r="46" spans="2:42">
      <c r="B46" s="5" t="s">
        <v>605</v>
      </c>
      <c r="C46" s="247"/>
      <c r="D46" s="248">
        <f>(D31+D32)/D11</f>
        <v>6.1339230161407243E-2</v>
      </c>
      <c r="E46" s="248">
        <f>(E31+E32)/E11</f>
        <v>9.5682905719412417E-2</v>
      </c>
      <c r="F46" s="248">
        <f>(F31+F32)/F11</f>
        <v>0.10180885611316383</v>
      </c>
      <c r="G46" s="248">
        <f>(G31+G32)/G11</f>
        <v>0.12501839809468965</v>
      </c>
      <c r="H46" s="279">
        <f>((G31+G32)/(D31+D32))^(1/3)-1</f>
        <v>0.22297794371219681</v>
      </c>
      <c r="I46" s="17"/>
      <c r="J46" s="247"/>
      <c r="K46" s="247"/>
      <c r="L46" s="247"/>
      <c r="M46" s="247"/>
      <c r="N46" s="247"/>
      <c r="O46" s="18"/>
      <c r="Q46" s="5"/>
      <c r="R46" s="5"/>
      <c r="S46" s="42"/>
      <c r="T46" s="42"/>
      <c r="U46" s="42"/>
      <c r="V46" s="42"/>
      <c r="W46" s="42"/>
      <c r="X46" s="42"/>
      <c r="Y46" s="42"/>
      <c r="Z46" s="42"/>
      <c r="AA46" s="326"/>
      <c r="AB46" s="303"/>
    </row>
    <row r="47" spans="2:42">
      <c r="B47" s="5" t="s">
        <v>581</v>
      </c>
      <c r="C47" s="5"/>
      <c r="D47" s="248">
        <f>1/D43</f>
        <v>0.1016648408267843</v>
      </c>
      <c r="E47" s="248">
        <f>1/E43</f>
        <v>0.1030663096341896</v>
      </c>
      <c r="F47" s="248">
        <f>1/F43</f>
        <v>0.11144532404692556</v>
      </c>
      <c r="G47" s="248">
        <f>1/G43</f>
        <v>0.12406163602741671</v>
      </c>
      <c r="H47" s="17">
        <f>H29</f>
        <v>3.0232212958454241E-2</v>
      </c>
      <c r="I47" s="247"/>
      <c r="J47" s="248"/>
      <c r="K47" s="248"/>
      <c r="L47" s="248"/>
      <c r="M47" s="248"/>
      <c r="N47" s="248"/>
      <c r="O47" s="248"/>
      <c r="Q47" s="5"/>
      <c r="R47" s="5"/>
      <c r="S47" s="5"/>
      <c r="T47" s="5"/>
      <c r="U47" s="5"/>
      <c r="AA47" s="303"/>
      <c r="AB47" s="303"/>
    </row>
    <row r="48" spans="2:42">
      <c r="B48" s="5" t="s">
        <v>618</v>
      </c>
      <c r="C48" s="5"/>
      <c r="D48" s="305">
        <f>D31/D29</f>
        <v>0.34042855312367443</v>
      </c>
      <c r="E48" s="305">
        <f>E31/E29</f>
        <v>0.40749940814543628</v>
      </c>
      <c r="F48" s="305">
        <f>F31/F29</f>
        <v>0.39852724802079237</v>
      </c>
      <c r="G48" s="305">
        <f>G31/G29</f>
        <v>0.379982697537953</v>
      </c>
      <c r="H48" s="17" t="s">
        <v>607</v>
      </c>
      <c r="I48" s="259"/>
      <c r="J48" s="247"/>
      <c r="K48" s="247"/>
      <c r="L48" s="247"/>
      <c r="M48" s="247"/>
      <c r="N48" s="247"/>
      <c r="O48" s="248"/>
      <c r="Q48" s="5"/>
      <c r="R48" s="5"/>
      <c r="S48" s="5"/>
      <c r="T48" s="5"/>
      <c r="U48" s="5"/>
      <c r="AA48" s="303"/>
      <c r="AB48" s="303"/>
    </row>
    <row r="49" spans="2:28">
      <c r="B49" s="41"/>
      <c r="C49" s="17"/>
      <c r="D49" s="17"/>
      <c r="E49" s="17"/>
      <c r="F49" s="17"/>
      <c r="G49" s="17"/>
      <c r="H49" s="17"/>
      <c r="I49" s="17"/>
      <c r="J49" s="17"/>
      <c r="K49" s="17"/>
      <c r="L49" s="17"/>
      <c r="M49" s="17"/>
      <c r="N49" s="17"/>
      <c r="O49" s="248"/>
      <c r="Q49" s="5"/>
      <c r="R49" s="5"/>
      <c r="S49" s="5"/>
      <c r="T49" s="5"/>
      <c r="U49" s="5"/>
      <c r="W49" s="10"/>
      <c r="X49" s="10"/>
      <c r="AA49" s="303"/>
      <c r="AB49" s="303"/>
    </row>
    <row r="50" spans="2:28">
      <c r="B50" s="5"/>
      <c r="C50" s="257"/>
      <c r="D50" s="257"/>
      <c r="E50" s="257"/>
      <c r="F50" s="5"/>
      <c r="G50" s="41"/>
      <c r="H50" s="249"/>
      <c r="I50" s="259"/>
      <c r="J50" s="249"/>
      <c r="K50" s="249"/>
      <c r="L50" s="249"/>
      <c r="M50" s="249"/>
      <c r="N50" s="249"/>
      <c r="O50" s="250"/>
      <c r="Q50" s="5"/>
      <c r="R50" s="5"/>
      <c r="S50" s="5"/>
      <c r="T50" s="5"/>
      <c r="U50" s="5"/>
      <c r="W50" s="10"/>
      <c r="X50" s="10"/>
      <c r="Y50" s="10"/>
      <c r="Z50" s="10"/>
    </row>
    <row r="51" spans="2:28">
      <c r="B51" s="41"/>
      <c r="C51" s="249"/>
      <c r="D51" s="254"/>
      <c r="E51" s="254"/>
      <c r="F51" s="254"/>
      <c r="G51" s="254"/>
      <c r="H51" s="254"/>
      <c r="I51" s="254"/>
      <c r="J51" s="254"/>
      <c r="K51" s="254"/>
      <c r="L51" s="254"/>
      <c r="M51" s="254"/>
      <c r="N51" s="254"/>
      <c r="O51" s="251"/>
      <c r="Q51" s="5"/>
      <c r="R51" s="5"/>
      <c r="S51" s="5"/>
      <c r="T51" s="5"/>
      <c r="U51" s="5"/>
      <c r="Y51" s="10"/>
      <c r="Z51" s="10"/>
    </row>
    <row r="52" spans="2:28">
      <c r="B52" s="5"/>
      <c r="C52" s="257"/>
      <c r="D52" s="17"/>
      <c r="E52" s="17"/>
      <c r="F52" s="17"/>
      <c r="G52" s="17"/>
      <c r="H52" s="17"/>
      <c r="I52" s="17"/>
      <c r="J52" s="259"/>
      <c r="K52" s="259"/>
      <c r="L52" s="259"/>
      <c r="M52" s="259"/>
      <c r="N52" s="259"/>
      <c r="O52" s="18"/>
      <c r="Q52" s="5"/>
      <c r="R52" s="5"/>
      <c r="S52" s="5"/>
      <c r="T52" s="5"/>
      <c r="U52" s="5"/>
    </row>
    <row r="53" spans="2:28">
      <c r="B53" s="5"/>
      <c r="C53" s="257"/>
      <c r="D53" s="257"/>
      <c r="E53" s="257"/>
      <c r="F53" s="5"/>
      <c r="G53" s="5"/>
      <c r="H53" s="259"/>
      <c r="I53" s="259"/>
      <c r="J53" s="254"/>
      <c r="K53" s="254"/>
      <c r="L53" s="254"/>
      <c r="M53" s="254"/>
      <c r="N53" s="254"/>
      <c r="O53" s="251"/>
      <c r="Q53" s="5"/>
      <c r="R53" s="5"/>
      <c r="S53" s="5"/>
      <c r="T53" s="5"/>
      <c r="U53" s="5"/>
    </row>
    <row r="54" spans="2:28">
      <c r="B54" s="41"/>
      <c r="C54" s="249"/>
      <c r="D54" s="254"/>
      <c r="E54" s="254"/>
      <c r="F54" s="254"/>
      <c r="G54" s="254"/>
      <c r="H54" s="254"/>
      <c r="I54" s="249"/>
      <c r="J54" s="17"/>
      <c r="K54" s="17"/>
      <c r="L54" s="17"/>
      <c r="M54" s="17"/>
      <c r="N54" s="17"/>
      <c r="O54" s="18"/>
      <c r="Q54" s="5"/>
      <c r="R54" s="5"/>
      <c r="S54" s="5"/>
      <c r="T54" s="5"/>
      <c r="U54" s="5"/>
    </row>
    <row r="55" spans="2:28">
      <c r="B55" s="5"/>
      <c r="C55" s="257"/>
      <c r="D55" s="17"/>
      <c r="E55" s="17"/>
      <c r="F55" s="17"/>
      <c r="G55" s="17"/>
      <c r="H55" s="17"/>
      <c r="I55" s="248"/>
      <c r="J55" s="259"/>
      <c r="K55" s="259"/>
      <c r="L55" s="259"/>
      <c r="M55" s="259"/>
      <c r="N55" s="259"/>
      <c r="O55" s="18"/>
      <c r="Q55" s="5"/>
      <c r="R55" s="5"/>
      <c r="S55" s="5"/>
      <c r="T55" s="5"/>
      <c r="U55" s="5"/>
    </row>
    <row r="56" spans="2:28">
      <c r="B56" s="5"/>
      <c r="C56" s="248"/>
      <c r="D56" s="248"/>
      <c r="E56" s="248"/>
      <c r="F56" s="5"/>
      <c r="G56" s="5"/>
      <c r="H56" s="259"/>
      <c r="I56" s="5"/>
      <c r="J56" s="249"/>
      <c r="K56" s="249"/>
      <c r="L56" s="249"/>
      <c r="M56" s="249"/>
      <c r="N56" s="249"/>
      <c r="O56" s="251"/>
      <c r="Q56" s="5"/>
      <c r="R56" s="5"/>
      <c r="S56" s="5"/>
      <c r="T56" s="5"/>
      <c r="U56" s="5"/>
    </row>
    <row r="57" spans="2:28">
      <c r="B57" s="41"/>
      <c r="C57" s="249"/>
      <c r="D57" s="249"/>
      <c r="E57" s="249"/>
      <c r="F57" s="249"/>
      <c r="G57" s="249"/>
      <c r="H57" s="249"/>
      <c r="I57" s="17"/>
      <c r="J57" s="248"/>
      <c r="K57" s="248"/>
      <c r="L57" s="248"/>
      <c r="M57" s="248"/>
      <c r="N57" s="248"/>
      <c r="O57" s="18"/>
      <c r="Q57" s="5"/>
      <c r="R57" s="5"/>
      <c r="S57" s="5"/>
      <c r="T57" s="5"/>
      <c r="U57" s="5"/>
    </row>
    <row r="58" spans="2:28">
      <c r="B58" s="5"/>
      <c r="C58" s="5"/>
      <c r="D58" s="248"/>
      <c r="E58" s="248"/>
      <c r="F58" s="248"/>
      <c r="G58" s="248"/>
      <c r="H58" s="248"/>
      <c r="I58" s="5"/>
      <c r="J58" s="5"/>
      <c r="K58" s="5"/>
      <c r="L58" s="5"/>
      <c r="M58" s="5"/>
      <c r="N58" s="5"/>
      <c r="O58" s="5"/>
      <c r="Q58" s="5"/>
      <c r="R58" s="5"/>
      <c r="S58" s="5"/>
      <c r="T58" s="5"/>
      <c r="U58" s="5"/>
    </row>
    <row r="59" spans="2:28">
      <c r="B59" s="5"/>
      <c r="C59" s="5"/>
      <c r="D59" s="5"/>
      <c r="E59" s="5"/>
      <c r="F59" s="5"/>
      <c r="G59" s="5"/>
      <c r="H59" s="5"/>
      <c r="I59" s="249"/>
      <c r="J59" s="17"/>
      <c r="K59" s="17"/>
      <c r="L59" s="17"/>
      <c r="M59" s="17"/>
      <c r="N59" s="17"/>
      <c r="O59" s="251"/>
      <c r="Q59" s="5"/>
      <c r="R59" s="5"/>
      <c r="S59" s="5"/>
      <c r="T59" s="5"/>
      <c r="U59" s="5"/>
    </row>
    <row r="60" spans="2:28">
      <c r="B60" s="41"/>
      <c r="C60" s="17"/>
      <c r="D60" s="17"/>
      <c r="E60" s="17"/>
      <c r="F60" s="17"/>
      <c r="G60" s="17"/>
      <c r="H60" s="17"/>
      <c r="I60" s="5"/>
      <c r="J60" s="5"/>
      <c r="K60" s="5"/>
      <c r="L60" s="5"/>
      <c r="M60" s="5"/>
      <c r="N60" s="5"/>
      <c r="O60" s="5"/>
      <c r="Q60" s="41"/>
      <c r="R60" s="5"/>
      <c r="S60" s="5"/>
      <c r="T60" s="5"/>
      <c r="U60" s="5"/>
    </row>
    <row r="61" spans="2:28">
      <c r="B61" s="5"/>
      <c r="C61" s="5"/>
      <c r="D61" s="5"/>
      <c r="E61" s="5"/>
      <c r="F61" s="5"/>
      <c r="G61" s="5"/>
      <c r="H61" s="5"/>
      <c r="I61" s="5"/>
      <c r="J61" s="249"/>
      <c r="K61" s="249"/>
      <c r="L61" s="249"/>
      <c r="M61" s="249"/>
      <c r="N61" s="249"/>
      <c r="O61" s="251"/>
      <c r="Q61" s="5"/>
      <c r="R61" s="5"/>
      <c r="S61" s="5"/>
      <c r="T61" s="5"/>
      <c r="U61" s="5"/>
    </row>
    <row r="62" spans="2:28">
      <c r="B62" s="41"/>
      <c r="C62" s="249"/>
      <c r="D62" s="249"/>
      <c r="E62" s="249"/>
      <c r="F62" s="249"/>
      <c r="G62" s="249"/>
      <c r="H62" s="249"/>
      <c r="I62" s="254"/>
      <c r="J62" s="5"/>
      <c r="K62" s="5"/>
      <c r="L62" s="5"/>
      <c r="M62" s="5"/>
      <c r="N62" s="5"/>
      <c r="O62" s="5"/>
      <c r="Q62" s="5"/>
      <c r="R62" s="5"/>
      <c r="S62" s="5"/>
      <c r="T62" s="5"/>
      <c r="U62" s="5"/>
    </row>
    <row r="63" spans="2:28">
      <c r="B63" s="5"/>
      <c r="C63" s="5"/>
      <c r="D63" s="5"/>
      <c r="E63" s="5"/>
      <c r="F63" s="5"/>
      <c r="G63" s="5"/>
      <c r="H63" s="5"/>
      <c r="I63" s="17"/>
      <c r="J63" s="5"/>
      <c r="K63" s="5"/>
      <c r="L63" s="5"/>
      <c r="M63" s="5"/>
      <c r="N63" s="5"/>
      <c r="O63" s="5"/>
      <c r="Q63" s="5"/>
      <c r="R63" s="5"/>
      <c r="S63" s="5"/>
      <c r="T63" s="5"/>
      <c r="U63" s="5"/>
    </row>
    <row r="64" spans="2:28">
      <c r="B64" s="5"/>
      <c r="C64" s="5"/>
      <c r="D64" s="5"/>
      <c r="E64" s="5"/>
      <c r="F64" s="5"/>
      <c r="G64" s="5"/>
      <c r="H64" s="5"/>
      <c r="I64" s="254"/>
      <c r="J64" s="254"/>
      <c r="K64" s="254"/>
      <c r="L64" s="254"/>
      <c r="M64" s="254"/>
      <c r="N64" s="254"/>
      <c r="O64" s="251"/>
      <c r="Q64" s="5"/>
      <c r="R64" s="5"/>
      <c r="S64" s="5"/>
      <c r="T64" s="5"/>
      <c r="U64" s="5"/>
    </row>
    <row r="65" spans="2:26">
      <c r="B65" s="41"/>
      <c r="C65" s="249"/>
      <c r="D65" s="254"/>
      <c r="E65" s="254"/>
      <c r="F65" s="254"/>
      <c r="G65" s="254"/>
      <c r="H65" s="254"/>
      <c r="I65" s="248"/>
      <c r="J65" s="17"/>
      <c r="K65" s="17"/>
      <c r="L65" s="17"/>
      <c r="M65" s="17"/>
      <c r="N65" s="17"/>
      <c r="O65" s="5"/>
      <c r="Q65" s="5"/>
      <c r="R65" s="5"/>
      <c r="S65" s="5"/>
      <c r="T65" s="5"/>
      <c r="U65" s="5"/>
    </row>
    <row r="66" spans="2:26">
      <c r="B66" s="5"/>
      <c r="C66" s="5"/>
      <c r="D66" s="17"/>
      <c r="E66" s="17"/>
      <c r="F66" s="17"/>
      <c r="G66" s="17"/>
      <c r="H66" s="17"/>
      <c r="I66" s="5"/>
      <c r="J66" s="254"/>
      <c r="K66" s="254"/>
      <c r="L66" s="254"/>
      <c r="M66" s="254"/>
      <c r="N66" s="254"/>
      <c r="O66" s="251"/>
      <c r="Q66" s="41"/>
      <c r="R66" s="5"/>
      <c r="S66" s="5"/>
      <c r="T66" s="5"/>
      <c r="U66" s="5"/>
    </row>
    <row r="67" spans="2:26">
      <c r="B67" s="41"/>
      <c r="C67" s="249"/>
      <c r="D67" s="254"/>
      <c r="E67" s="254"/>
      <c r="F67" s="254"/>
      <c r="G67" s="254"/>
      <c r="H67" s="254"/>
      <c r="I67" s="245"/>
      <c r="J67" s="248"/>
      <c r="K67" s="248"/>
      <c r="L67" s="248"/>
      <c r="M67" s="248"/>
      <c r="N67" s="248"/>
      <c r="O67" s="5"/>
      <c r="Q67" s="5"/>
      <c r="R67" s="5"/>
      <c r="S67" s="5"/>
      <c r="T67" s="5"/>
      <c r="U67" s="5"/>
    </row>
    <row r="68" spans="2:26">
      <c r="B68" s="5"/>
      <c r="C68" s="5"/>
      <c r="D68" s="248"/>
      <c r="E68" s="248"/>
      <c r="F68" s="248"/>
      <c r="G68" s="248"/>
      <c r="H68" s="248"/>
      <c r="I68" s="248"/>
      <c r="J68" s="5"/>
      <c r="K68" s="5"/>
      <c r="L68" s="5"/>
      <c r="M68" s="5"/>
      <c r="N68" s="5"/>
      <c r="O68" s="5"/>
      <c r="Q68" s="5"/>
      <c r="R68" s="5"/>
      <c r="S68" s="5"/>
      <c r="T68" s="5"/>
      <c r="U68" s="5"/>
    </row>
    <row r="69" spans="2:26">
      <c r="B69" s="41"/>
      <c r="C69" s="5"/>
      <c r="D69" s="5"/>
      <c r="E69" s="5"/>
      <c r="F69" s="5"/>
      <c r="G69" s="5"/>
      <c r="H69" s="5"/>
      <c r="I69" s="5"/>
      <c r="J69" s="245"/>
      <c r="K69" s="245"/>
      <c r="L69" s="245"/>
      <c r="M69" s="245"/>
      <c r="N69" s="245"/>
      <c r="O69" s="251"/>
      <c r="Q69" s="5"/>
      <c r="R69" s="5"/>
      <c r="S69" s="5"/>
      <c r="T69" s="5"/>
      <c r="U69" s="5"/>
      <c r="W69" s="76"/>
      <c r="X69" s="76"/>
    </row>
    <row r="70" spans="2:26">
      <c r="B70" s="41"/>
      <c r="C70" s="245"/>
      <c r="D70" s="245"/>
      <c r="E70" s="245"/>
      <c r="F70" s="245"/>
      <c r="G70" s="245"/>
      <c r="H70" s="245"/>
      <c r="I70" s="245"/>
      <c r="J70" s="248"/>
      <c r="K70" s="248"/>
      <c r="L70" s="248"/>
      <c r="M70" s="248"/>
      <c r="N70" s="248"/>
      <c r="O70" s="5"/>
      <c r="Q70" s="5"/>
      <c r="R70" s="5"/>
      <c r="S70" s="5"/>
      <c r="T70" s="5"/>
      <c r="U70" s="5"/>
      <c r="W70" s="76"/>
      <c r="X70" s="76"/>
      <c r="Y70" s="76"/>
      <c r="Z70" s="76"/>
    </row>
    <row r="71" spans="2:26">
      <c r="B71" s="5"/>
      <c r="C71" s="5"/>
      <c r="D71" s="248"/>
      <c r="E71" s="248"/>
      <c r="F71" s="248"/>
      <c r="G71" s="248"/>
      <c r="H71" s="248"/>
      <c r="I71" s="18"/>
      <c r="J71" s="5"/>
      <c r="K71" s="5"/>
      <c r="L71" s="5"/>
      <c r="M71" s="5"/>
      <c r="N71" s="5"/>
      <c r="O71" s="5"/>
      <c r="Q71" s="5"/>
      <c r="R71" s="5"/>
      <c r="S71" s="5"/>
      <c r="T71" s="5"/>
      <c r="U71" s="5"/>
      <c r="Y71" s="76"/>
      <c r="Z71" s="76"/>
    </row>
    <row r="72" spans="2:26">
      <c r="B72" s="41"/>
      <c r="C72" s="5"/>
      <c r="D72" s="5"/>
      <c r="E72" s="5"/>
      <c r="F72" s="5"/>
      <c r="G72" s="5"/>
      <c r="H72" s="5"/>
      <c r="I72" s="5"/>
      <c r="J72" s="245"/>
      <c r="K72" s="245"/>
      <c r="L72" s="245"/>
      <c r="M72" s="245"/>
      <c r="N72" s="245"/>
      <c r="O72" s="251"/>
      <c r="Q72" s="5"/>
      <c r="R72" s="5"/>
      <c r="S72" s="5"/>
      <c r="T72" s="5"/>
      <c r="U72" s="5"/>
    </row>
    <row r="73" spans="2:26">
      <c r="B73" s="41"/>
      <c r="C73" s="245"/>
      <c r="D73" s="245"/>
      <c r="E73" s="245"/>
      <c r="F73" s="245"/>
      <c r="G73" s="245"/>
      <c r="H73" s="245"/>
      <c r="I73" s="249"/>
      <c r="J73" s="18"/>
      <c r="K73" s="18"/>
      <c r="L73" s="18"/>
      <c r="M73" s="18"/>
      <c r="N73" s="18"/>
      <c r="O73" s="5"/>
      <c r="Q73" s="5"/>
      <c r="R73" s="5"/>
      <c r="S73" s="5"/>
      <c r="T73" s="5"/>
      <c r="U73" s="5"/>
    </row>
    <row r="74" spans="2:26">
      <c r="B74" s="5"/>
      <c r="C74" s="5"/>
      <c r="D74" s="18"/>
      <c r="E74" s="18"/>
      <c r="F74" s="18"/>
      <c r="G74" s="18"/>
      <c r="H74" s="18"/>
      <c r="I74" s="248"/>
      <c r="J74" s="5"/>
      <c r="K74" s="5"/>
      <c r="L74" s="5"/>
      <c r="M74" s="5"/>
      <c r="N74" s="5"/>
      <c r="O74" s="5"/>
      <c r="Q74" s="5"/>
      <c r="R74" s="5"/>
      <c r="S74" s="5"/>
      <c r="T74" s="5"/>
      <c r="U74" s="5"/>
    </row>
    <row r="75" spans="2:26">
      <c r="B75" s="41"/>
      <c r="C75" s="5"/>
      <c r="D75" s="5"/>
      <c r="E75" s="5"/>
      <c r="F75" s="5"/>
      <c r="G75" s="5"/>
      <c r="H75" s="5"/>
      <c r="I75" s="5"/>
      <c r="J75" s="249"/>
      <c r="K75" s="249"/>
      <c r="L75" s="249"/>
      <c r="M75" s="249"/>
      <c r="N75" s="249"/>
      <c r="O75" s="251"/>
      <c r="Q75" s="5"/>
      <c r="R75" s="5"/>
      <c r="S75" s="5"/>
      <c r="T75" s="5"/>
      <c r="U75" s="5"/>
    </row>
    <row r="76" spans="2:26">
      <c r="B76" s="41"/>
      <c r="C76" s="249"/>
      <c r="D76" s="249"/>
      <c r="E76" s="249"/>
      <c r="F76" s="249"/>
      <c r="G76" s="249"/>
      <c r="H76" s="249"/>
      <c r="I76" s="245"/>
      <c r="J76" s="248"/>
      <c r="K76" s="248"/>
      <c r="L76" s="248"/>
      <c r="M76" s="248"/>
      <c r="N76" s="248"/>
      <c r="O76" s="5"/>
      <c r="Q76" s="5"/>
      <c r="R76" s="5"/>
      <c r="S76" s="5"/>
      <c r="T76" s="5"/>
      <c r="U76" s="5"/>
    </row>
    <row r="77" spans="2:26">
      <c r="B77" s="5"/>
      <c r="C77" s="5"/>
      <c r="D77" s="248"/>
      <c r="E77" s="248"/>
      <c r="F77" s="248"/>
      <c r="G77" s="248"/>
      <c r="H77" s="248"/>
      <c r="I77" s="248"/>
      <c r="J77" s="5"/>
      <c r="K77" s="5"/>
      <c r="L77" s="5"/>
      <c r="M77" s="5"/>
      <c r="N77" s="5"/>
      <c r="O77" s="5"/>
      <c r="Q77" s="5"/>
      <c r="R77" s="5"/>
      <c r="S77" s="5"/>
      <c r="T77" s="5"/>
      <c r="U77" s="5"/>
    </row>
    <row r="78" spans="2:26">
      <c r="B78" s="41"/>
      <c r="C78" s="5"/>
      <c r="D78" s="5"/>
      <c r="E78" s="5"/>
      <c r="F78" s="5"/>
      <c r="G78" s="5"/>
      <c r="H78" s="5"/>
      <c r="I78" s="5"/>
      <c r="J78" s="245"/>
      <c r="K78" s="245"/>
      <c r="L78" s="245"/>
      <c r="M78" s="245"/>
      <c r="N78" s="245"/>
      <c r="O78" s="251"/>
      <c r="Q78" s="5"/>
      <c r="R78" s="5"/>
      <c r="S78" s="5"/>
      <c r="T78" s="5"/>
      <c r="U78" s="5"/>
    </row>
    <row r="79" spans="2:26">
      <c r="B79" s="41"/>
      <c r="C79" s="245"/>
      <c r="D79" s="245"/>
      <c r="E79" s="245"/>
      <c r="F79" s="245"/>
      <c r="G79" s="245"/>
      <c r="H79" s="245"/>
      <c r="I79" s="249"/>
      <c r="J79" s="248"/>
      <c r="K79" s="248"/>
      <c r="L79" s="248"/>
      <c r="M79" s="248"/>
      <c r="N79" s="248"/>
      <c r="O79" s="5"/>
      <c r="Q79" s="5"/>
      <c r="R79" s="5"/>
      <c r="S79" s="5"/>
      <c r="T79" s="5"/>
      <c r="U79" s="5"/>
    </row>
    <row r="80" spans="2:26">
      <c r="B80" s="5"/>
      <c r="C80" s="5"/>
      <c r="D80" s="248"/>
      <c r="E80" s="248"/>
      <c r="F80" s="248"/>
      <c r="G80" s="248"/>
      <c r="H80" s="248"/>
      <c r="I80" s="248"/>
      <c r="J80" s="5"/>
      <c r="K80" s="5"/>
      <c r="L80" s="5"/>
      <c r="M80" s="5"/>
      <c r="N80" s="5"/>
      <c r="O80" s="5"/>
      <c r="Q80" s="5"/>
      <c r="R80" s="5"/>
      <c r="S80" s="5"/>
      <c r="T80" s="5"/>
      <c r="U80" s="5"/>
    </row>
    <row r="81" spans="2:26">
      <c r="B81" s="41"/>
      <c r="C81" s="5"/>
      <c r="D81" s="5"/>
      <c r="E81" s="5"/>
      <c r="F81" s="5"/>
      <c r="G81" s="5"/>
      <c r="H81" s="5"/>
      <c r="I81" s="259"/>
      <c r="J81" s="249"/>
      <c r="K81" s="249"/>
      <c r="L81" s="249"/>
      <c r="M81" s="249"/>
      <c r="N81" s="249"/>
      <c r="O81" s="251"/>
      <c r="Q81" s="5"/>
      <c r="R81" s="5"/>
      <c r="S81" s="5"/>
      <c r="T81" s="5"/>
      <c r="U81" s="5"/>
    </row>
    <row r="82" spans="2:26">
      <c r="B82" s="41"/>
      <c r="C82" s="249"/>
      <c r="D82" s="249"/>
      <c r="E82" s="249"/>
      <c r="F82" s="249"/>
      <c r="G82" s="249"/>
      <c r="H82" s="249"/>
      <c r="I82" s="5"/>
      <c r="J82" s="248"/>
      <c r="K82" s="248"/>
      <c r="L82" s="248"/>
      <c r="M82" s="248"/>
      <c r="N82" s="248"/>
      <c r="O82" s="5"/>
      <c r="Q82" s="5"/>
      <c r="R82" s="5"/>
      <c r="S82" s="5"/>
      <c r="T82" s="5"/>
      <c r="U82" s="5"/>
    </row>
    <row r="83" spans="2:26">
      <c r="B83" s="5"/>
      <c r="C83" s="5"/>
      <c r="D83" s="248"/>
      <c r="E83" s="248"/>
      <c r="F83" s="248"/>
      <c r="G83" s="248"/>
      <c r="H83" s="248"/>
      <c r="I83" s="245"/>
      <c r="J83" s="259"/>
      <c r="K83" s="259"/>
      <c r="L83" s="259"/>
      <c r="M83" s="259"/>
      <c r="N83" s="259"/>
      <c r="O83" s="251"/>
      <c r="Q83" s="5"/>
      <c r="R83" s="5"/>
      <c r="S83" s="5"/>
      <c r="T83" s="5"/>
      <c r="U83" s="5"/>
    </row>
    <row r="84" spans="2:26">
      <c r="B84" s="5"/>
      <c r="C84" s="259"/>
      <c r="D84" s="259"/>
      <c r="E84" s="259"/>
      <c r="F84" s="259"/>
      <c r="G84" s="259"/>
      <c r="H84" s="259"/>
      <c r="I84" s="248"/>
      <c r="J84" s="5"/>
      <c r="K84" s="5"/>
      <c r="L84" s="5"/>
      <c r="M84" s="5"/>
      <c r="N84" s="5"/>
      <c r="O84" s="5"/>
      <c r="Q84" s="5"/>
      <c r="R84" s="5"/>
      <c r="S84" s="5"/>
      <c r="T84" s="5"/>
      <c r="U84" s="5"/>
    </row>
    <row r="85" spans="2:26">
      <c r="B85" s="41"/>
      <c r="C85" s="5"/>
      <c r="D85" s="5"/>
      <c r="E85" s="5"/>
      <c r="F85" s="5"/>
      <c r="G85" s="5"/>
      <c r="H85" s="5"/>
      <c r="I85" s="5"/>
      <c r="J85" s="245"/>
      <c r="K85" s="245"/>
      <c r="L85" s="245"/>
      <c r="M85" s="245"/>
      <c r="N85" s="245"/>
      <c r="O85" s="251"/>
      <c r="Q85" s="5"/>
      <c r="R85" s="5"/>
      <c r="S85" s="5"/>
      <c r="T85" s="5"/>
      <c r="U85" s="5"/>
    </row>
    <row r="86" spans="2:26">
      <c r="B86" s="41"/>
      <c r="C86" s="245"/>
      <c r="D86" s="245"/>
      <c r="E86" s="245"/>
      <c r="F86" s="245"/>
      <c r="G86" s="245"/>
      <c r="H86" s="245"/>
      <c r="I86" s="5"/>
      <c r="J86" s="248"/>
      <c r="K86" s="248"/>
      <c r="L86" s="248"/>
      <c r="M86" s="248"/>
      <c r="N86" s="248"/>
      <c r="O86" s="5"/>
      <c r="Q86" s="5"/>
      <c r="R86" s="5"/>
      <c r="S86" s="5"/>
      <c r="T86" s="5"/>
      <c r="U86" s="5"/>
    </row>
    <row r="87" spans="2:26">
      <c r="B87" s="5"/>
      <c r="C87" s="5"/>
      <c r="D87" s="248"/>
      <c r="E87" s="248"/>
      <c r="F87" s="248"/>
      <c r="G87" s="248"/>
      <c r="H87" s="248"/>
      <c r="I87" s="5"/>
      <c r="J87" s="5"/>
      <c r="K87" s="5"/>
      <c r="L87" s="5"/>
      <c r="M87" s="5"/>
      <c r="N87" s="5"/>
      <c r="O87" s="5"/>
      <c r="Q87" s="5"/>
      <c r="R87" s="5"/>
      <c r="S87" s="5"/>
      <c r="T87" s="5"/>
      <c r="U87" s="5"/>
    </row>
    <row r="88" spans="2:26">
      <c r="B88" s="41"/>
      <c r="C88" s="5"/>
      <c r="D88" s="5"/>
      <c r="E88" s="5"/>
      <c r="F88" s="5"/>
      <c r="G88" s="5"/>
      <c r="H88" s="5"/>
      <c r="I88" s="5"/>
      <c r="J88" s="5"/>
      <c r="K88" s="5"/>
      <c r="L88" s="5"/>
      <c r="M88" s="5"/>
      <c r="N88" s="5"/>
      <c r="O88" s="5"/>
      <c r="Q88" s="5"/>
      <c r="R88" s="5"/>
      <c r="S88" s="5"/>
      <c r="T88" s="5"/>
      <c r="U88" s="5"/>
    </row>
    <row r="89" spans="2:26">
      <c r="B89" s="41"/>
      <c r="C89" s="5"/>
      <c r="D89" s="5"/>
      <c r="E89" s="5"/>
      <c r="F89" s="5"/>
      <c r="G89" s="5"/>
      <c r="H89" s="5"/>
      <c r="I89" s="49"/>
      <c r="J89" s="5"/>
      <c r="K89" s="5"/>
      <c r="L89" s="5"/>
      <c r="M89" s="5"/>
      <c r="N89" s="5"/>
      <c r="O89" s="5"/>
      <c r="Q89" s="41"/>
      <c r="R89" s="5"/>
      <c r="S89" s="5"/>
      <c r="T89" s="5"/>
      <c r="U89" s="5"/>
    </row>
    <row r="90" spans="2:26">
      <c r="B90" s="41"/>
      <c r="C90" s="5"/>
      <c r="D90" s="5"/>
      <c r="E90" s="5"/>
      <c r="F90" s="5"/>
      <c r="G90" s="5"/>
      <c r="H90" s="5"/>
      <c r="I90" s="5"/>
      <c r="J90" s="5"/>
      <c r="K90" s="5"/>
      <c r="L90" s="5"/>
      <c r="M90" s="5"/>
      <c r="N90" s="5"/>
      <c r="O90" s="5"/>
      <c r="Q90" s="5"/>
      <c r="R90" s="5"/>
      <c r="S90" s="5"/>
      <c r="T90" s="5"/>
      <c r="U90" s="5"/>
    </row>
    <row r="91" spans="2:26">
      <c r="B91" s="5"/>
      <c r="C91" s="5"/>
      <c r="D91" s="5"/>
      <c r="E91" s="5"/>
      <c r="F91" s="5"/>
      <c r="G91" s="5"/>
      <c r="H91" s="5"/>
      <c r="I91" s="247"/>
      <c r="J91" s="49"/>
      <c r="K91" s="49"/>
      <c r="L91" s="49"/>
      <c r="M91" s="49"/>
      <c r="N91" s="49"/>
      <c r="O91" s="49"/>
      <c r="Q91" s="5"/>
      <c r="R91" s="5"/>
      <c r="S91" s="5"/>
      <c r="T91" s="5"/>
      <c r="U91" s="5"/>
      <c r="W91" s="21"/>
      <c r="X91" s="21"/>
    </row>
    <row r="92" spans="2:26">
      <c r="B92" s="41"/>
      <c r="C92" s="49"/>
      <c r="D92" s="49"/>
      <c r="E92" s="49"/>
      <c r="F92" s="49"/>
      <c r="G92" s="49"/>
      <c r="H92" s="49"/>
      <c r="I92" s="247"/>
      <c r="J92" s="5"/>
      <c r="K92" s="5"/>
      <c r="L92" s="5"/>
      <c r="M92" s="5"/>
      <c r="N92" s="5"/>
      <c r="O92" s="5"/>
      <c r="Q92" s="5"/>
      <c r="R92" s="5"/>
      <c r="S92" s="5"/>
      <c r="T92" s="5"/>
      <c r="U92" s="5"/>
      <c r="W92" s="21"/>
      <c r="X92" s="21"/>
      <c r="Y92" s="21"/>
      <c r="Z92" s="21"/>
    </row>
    <row r="93" spans="2:26">
      <c r="B93" s="5"/>
      <c r="C93" s="5"/>
      <c r="D93" s="5"/>
      <c r="E93" s="5"/>
      <c r="F93" s="5"/>
      <c r="G93" s="5"/>
      <c r="H93" s="5"/>
      <c r="I93" s="247"/>
      <c r="J93" s="247"/>
      <c r="K93" s="247"/>
      <c r="L93" s="247"/>
      <c r="M93" s="247"/>
      <c r="N93" s="247"/>
      <c r="O93" s="248"/>
      <c r="Q93" s="5"/>
      <c r="R93" s="5"/>
      <c r="S93" s="5"/>
      <c r="T93" s="5"/>
      <c r="U93" s="5"/>
      <c r="Y93" s="21"/>
      <c r="Z93" s="21"/>
    </row>
    <row r="94" spans="2:26">
      <c r="B94" s="5"/>
      <c r="C94" s="259"/>
      <c r="D94" s="247"/>
      <c r="E94" s="247"/>
      <c r="F94" s="247"/>
      <c r="G94" s="247"/>
      <c r="H94" s="247"/>
      <c r="I94" s="248"/>
      <c r="J94" s="247"/>
      <c r="K94" s="247"/>
      <c r="L94" s="247"/>
      <c r="M94" s="247"/>
      <c r="N94" s="247"/>
      <c r="O94" s="248"/>
      <c r="Q94" s="5"/>
      <c r="R94" s="5"/>
      <c r="S94" s="5"/>
      <c r="T94" s="5"/>
      <c r="U94" s="5"/>
    </row>
    <row r="95" spans="2:26">
      <c r="B95" s="5"/>
      <c r="C95" s="259"/>
      <c r="D95" s="247"/>
      <c r="E95" s="247"/>
      <c r="F95" s="247"/>
      <c r="G95" s="247"/>
      <c r="H95" s="247"/>
      <c r="I95" s="247"/>
      <c r="J95" s="247"/>
      <c r="K95" s="247"/>
      <c r="L95" s="247"/>
      <c r="M95" s="247"/>
      <c r="N95" s="247"/>
      <c r="O95" s="248"/>
      <c r="Q95" s="5"/>
      <c r="R95" s="5"/>
      <c r="S95" s="5"/>
      <c r="T95" s="5"/>
      <c r="U95" s="5"/>
    </row>
    <row r="96" spans="2:26">
      <c r="B96" s="5"/>
      <c r="C96" s="259"/>
      <c r="D96" s="247"/>
      <c r="E96" s="247"/>
      <c r="F96" s="247"/>
      <c r="G96" s="247"/>
      <c r="H96" s="247"/>
      <c r="I96" s="249"/>
      <c r="J96" s="248"/>
      <c r="K96" s="248"/>
      <c r="L96" s="248"/>
      <c r="M96" s="248"/>
      <c r="N96" s="248"/>
      <c r="O96" s="248"/>
      <c r="Q96" s="5"/>
      <c r="R96" s="5"/>
      <c r="S96" s="5"/>
      <c r="T96" s="5"/>
      <c r="U96" s="5"/>
    </row>
    <row r="97" spans="2:21">
      <c r="B97" s="5"/>
      <c r="C97" s="259"/>
      <c r="D97" s="248"/>
      <c r="E97" s="248"/>
      <c r="F97" s="248"/>
      <c r="G97" s="248"/>
      <c r="H97" s="248"/>
      <c r="I97" s="248"/>
      <c r="J97" s="247"/>
      <c r="K97" s="247"/>
      <c r="L97" s="247"/>
      <c r="M97" s="247"/>
      <c r="N97" s="247"/>
      <c r="O97" s="248"/>
      <c r="Q97" s="5"/>
      <c r="R97" s="5"/>
      <c r="S97" s="5"/>
      <c r="T97" s="5"/>
      <c r="U97" s="5"/>
    </row>
    <row r="98" spans="2:21">
      <c r="B98" s="5"/>
      <c r="C98" s="259"/>
      <c r="D98" s="247"/>
      <c r="E98" s="247"/>
      <c r="F98" s="247"/>
      <c r="G98" s="247"/>
      <c r="H98" s="247"/>
      <c r="I98" s="5"/>
      <c r="J98" s="249"/>
      <c r="K98" s="249"/>
      <c r="L98" s="249"/>
      <c r="M98" s="249"/>
      <c r="N98" s="249"/>
      <c r="O98" s="248"/>
      <c r="Q98" s="5"/>
      <c r="R98" s="5"/>
      <c r="S98" s="5"/>
      <c r="T98" s="5"/>
      <c r="U98" s="5"/>
    </row>
    <row r="99" spans="2:21">
      <c r="B99" s="41"/>
      <c r="C99" s="249"/>
      <c r="D99" s="249"/>
      <c r="E99" s="249"/>
      <c r="F99" s="249"/>
      <c r="G99" s="249"/>
      <c r="H99" s="249"/>
      <c r="I99" s="259"/>
      <c r="J99" s="248"/>
      <c r="K99" s="248"/>
      <c r="L99" s="248"/>
      <c r="M99" s="248"/>
      <c r="N99" s="248"/>
      <c r="O99" s="248"/>
      <c r="Q99" s="5"/>
      <c r="R99" s="5"/>
      <c r="S99" s="5"/>
      <c r="T99" s="5"/>
      <c r="U99" s="5"/>
    </row>
    <row r="100" spans="2:21" s="5" customFormat="1">
      <c r="B100" s="41"/>
      <c r="C100" s="257"/>
      <c r="D100" s="248"/>
      <c r="E100" s="248"/>
      <c r="F100" s="248"/>
      <c r="G100" s="248"/>
      <c r="H100" s="248"/>
      <c r="I100" s="259"/>
      <c r="O100" s="248"/>
      <c r="P100" s="39"/>
    </row>
    <row r="101" spans="2:21">
      <c r="B101" s="41"/>
      <c r="C101" s="5"/>
      <c r="D101" s="5"/>
      <c r="E101" s="5"/>
      <c r="F101" s="5"/>
      <c r="G101" s="5"/>
      <c r="H101" s="5"/>
      <c r="I101" s="247"/>
      <c r="J101" s="259"/>
      <c r="K101" s="259"/>
      <c r="L101" s="259"/>
      <c r="M101" s="259"/>
      <c r="N101" s="259"/>
      <c r="O101" s="5"/>
      <c r="Q101" s="5"/>
      <c r="R101" s="5"/>
      <c r="S101" s="5"/>
      <c r="T101" s="5"/>
      <c r="U101" s="5"/>
    </row>
    <row r="102" spans="2:21">
      <c r="B102" s="5"/>
      <c r="C102" s="259"/>
      <c r="D102" s="259"/>
      <c r="E102" s="259"/>
      <c r="F102" s="259"/>
      <c r="G102" s="259"/>
      <c r="H102" s="259"/>
      <c r="I102" s="5"/>
      <c r="J102" s="259"/>
      <c r="K102" s="259"/>
      <c r="L102" s="259"/>
      <c r="M102" s="259"/>
      <c r="N102" s="259"/>
      <c r="O102" s="5"/>
      <c r="P102" s="5"/>
      <c r="Q102" s="5"/>
      <c r="R102" s="5"/>
      <c r="S102" s="5"/>
      <c r="T102" s="5"/>
      <c r="U102" s="5"/>
    </row>
    <row r="103" spans="2:21">
      <c r="B103" s="5"/>
      <c r="C103" s="259"/>
      <c r="D103" s="259"/>
      <c r="E103" s="259"/>
      <c r="F103" s="259"/>
      <c r="G103" s="259"/>
      <c r="H103" s="259"/>
      <c r="I103" s="247"/>
      <c r="J103" s="247"/>
      <c r="K103" s="247"/>
      <c r="L103" s="247"/>
      <c r="M103" s="247"/>
      <c r="N103" s="247"/>
      <c r="O103" s="5"/>
      <c r="Q103" s="5"/>
      <c r="R103" s="5"/>
      <c r="S103" s="5"/>
      <c r="T103" s="5"/>
      <c r="U103" s="5"/>
    </row>
    <row r="104" spans="2:21" s="5" customFormat="1">
      <c r="C104" s="247"/>
      <c r="D104" s="247"/>
      <c r="E104" s="247"/>
      <c r="F104" s="247"/>
      <c r="G104" s="247"/>
      <c r="H104" s="247"/>
      <c r="P104" s="39"/>
    </row>
    <row r="105" spans="2:21" s="5" customFormat="1">
      <c r="I105" s="259"/>
      <c r="J105" s="247"/>
      <c r="K105" s="247"/>
      <c r="L105" s="247"/>
      <c r="M105" s="247"/>
      <c r="N105" s="247"/>
      <c r="P105" s="39"/>
    </row>
    <row r="106" spans="2:21">
      <c r="B106" s="5"/>
      <c r="C106" s="259"/>
      <c r="D106" s="247"/>
      <c r="E106" s="247"/>
      <c r="F106" s="247"/>
      <c r="G106" s="247"/>
      <c r="H106" s="247"/>
      <c r="I106" s="247"/>
      <c r="J106" s="5"/>
      <c r="K106" s="5"/>
      <c r="L106" s="5"/>
      <c r="M106" s="5"/>
      <c r="N106" s="5"/>
      <c r="O106" s="5"/>
      <c r="P106" s="5"/>
      <c r="Q106" s="5"/>
      <c r="R106" s="5"/>
      <c r="S106" s="5"/>
      <c r="T106" s="5"/>
      <c r="U106" s="5"/>
    </row>
    <row r="107" spans="2:21">
      <c r="B107" s="5"/>
      <c r="C107" s="259"/>
      <c r="D107" s="5"/>
      <c r="E107" s="5"/>
      <c r="F107" s="5"/>
      <c r="G107" s="5"/>
      <c r="H107" s="5"/>
      <c r="I107" s="249"/>
      <c r="J107" s="259"/>
      <c r="K107" s="259"/>
      <c r="L107" s="259"/>
      <c r="M107" s="259"/>
      <c r="N107" s="259"/>
      <c r="O107" s="5"/>
      <c r="P107" s="5"/>
      <c r="Q107" s="5"/>
      <c r="R107" s="5"/>
      <c r="S107" s="5"/>
      <c r="T107" s="5"/>
      <c r="U107" s="5"/>
    </row>
    <row r="108" spans="2:21">
      <c r="B108" s="5"/>
      <c r="C108" s="259"/>
      <c r="D108" s="259"/>
      <c r="E108" s="259"/>
      <c r="F108" s="259"/>
      <c r="G108" s="259"/>
      <c r="H108" s="259"/>
      <c r="I108" s="249"/>
      <c r="J108" s="247"/>
      <c r="K108" s="247"/>
      <c r="L108" s="247"/>
      <c r="M108" s="247"/>
      <c r="N108" s="247"/>
      <c r="O108" s="5"/>
      <c r="Q108" s="5"/>
      <c r="R108" s="5"/>
      <c r="S108" s="5"/>
      <c r="T108" s="5"/>
      <c r="U108" s="5"/>
    </row>
    <row r="109" spans="2:21">
      <c r="B109" s="5"/>
      <c r="C109" s="247"/>
      <c r="D109" s="247"/>
      <c r="E109" s="247"/>
      <c r="F109" s="247"/>
      <c r="G109" s="247"/>
      <c r="H109" s="247"/>
      <c r="I109" s="247"/>
      <c r="J109" s="249"/>
      <c r="K109" s="249"/>
      <c r="L109" s="249"/>
      <c r="M109" s="249"/>
      <c r="N109" s="249"/>
      <c r="O109" s="5"/>
      <c r="Q109" s="5"/>
      <c r="R109" s="5"/>
      <c r="S109" s="5"/>
      <c r="T109" s="5"/>
      <c r="U109" s="5"/>
    </row>
    <row r="110" spans="2:21">
      <c r="B110" s="41"/>
      <c r="C110" s="249"/>
      <c r="D110" s="249"/>
      <c r="E110" s="249"/>
      <c r="F110" s="249"/>
      <c r="G110" s="249"/>
      <c r="H110" s="249"/>
      <c r="I110" s="5"/>
      <c r="J110" s="249"/>
      <c r="K110" s="249"/>
      <c r="L110" s="249"/>
      <c r="M110" s="249"/>
      <c r="N110" s="249"/>
      <c r="O110" s="5"/>
      <c r="Q110" s="5"/>
      <c r="R110" s="5"/>
      <c r="S110" s="5"/>
      <c r="T110" s="5"/>
      <c r="U110" s="5"/>
    </row>
    <row r="111" spans="2:21">
      <c r="B111" s="5"/>
      <c r="C111" s="249"/>
      <c r="D111" s="249"/>
      <c r="E111" s="249"/>
      <c r="F111" s="249"/>
      <c r="G111" s="249"/>
      <c r="H111" s="249"/>
      <c r="I111" s="5"/>
      <c r="J111" s="247"/>
      <c r="K111" s="247"/>
      <c r="L111" s="247"/>
      <c r="M111" s="247"/>
      <c r="N111" s="247"/>
      <c r="O111" s="5"/>
      <c r="Q111" s="5"/>
      <c r="R111" s="5"/>
      <c r="S111" s="5"/>
      <c r="T111" s="5"/>
      <c r="U111" s="5"/>
    </row>
    <row r="112" spans="2:21">
      <c r="B112" s="5"/>
      <c r="C112" s="247"/>
      <c r="D112" s="247"/>
      <c r="E112" s="247"/>
      <c r="F112" s="247"/>
      <c r="G112" s="247"/>
      <c r="H112" s="247"/>
      <c r="I112" s="5"/>
      <c r="J112" s="5"/>
      <c r="K112" s="5"/>
      <c r="L112" s="5"/>
      <c r="M112" s="5"/>
      <c r="N112" s="5"/>
      <c r="O112" s="5"/>
      <c r="Q112" s="5"/>
      <c r="R112" s="5"/>
      <c r="S112" s="5"/>
      <c r="T112" s="5"/>
      <c r="U112" s="5"/>
    </row>
    <row r="113" spans="2:21">
      <c r="B113" s="5"/>
      <c r="C113" s="5"/>
      <c r="D113" s="5"/>
      <c r="E113" s="5"/>
      <c r="F113" s="5"/>
      <c r="G113" s="5"/>
      <c r="H113" s="5"/>
      <c r="I113" s="5"/>
      <c r="J113" s="5"/>
      <c r="K113" s="5"/>
      <c r="L113" s="5"/>
      <c r="M113" s="5"/>
      <c r="N113" s="5"/>
      <c r="O113" s="5"/>
      <c r="Q113" s="5"/>
      <c r="R113" s="5"/>
      <c r="S113" s="5"/>
      <c r="T113" s="5"/>
      <c r="U113" s="5"/>
    </row>
    <row r="114" spans="2:21">
      <c r="B114" s="5"/>
      <c r="C114" s="5"/>
      <c r="D114" s="5"/>
      <c r="E114" s="5"/>
      <c r="F114" s="5"/>
      <c r="G114" s="5"/>
      <c r="H114" s="5"/>
      <c r="I114" s="49"/>
      <c r="J114" s="5"/>
      <c r="K114" s="5"/>
      <c r="L114" s="5"/>
      <c r="M114" s="5"/>
      <c r="N114" s="5"/>
      <c r="O114" s="5"/>
      <c r="Q114" s="41"/>
      <c r="R114" s="5"/>
      <c r="S114" s="5"/>
      <c r="T114" s="5"/>
      <c r="U114" s="5"/>
    </row>
    <row r="115" spans="2:21">
      <c r="B115" s="5"/>
      <c r="C115" s="5"/>
      <c r="D115" s="5"/>
      <c r="E115" s="5"/>
      <c r="F115" s="5"/>
      <c r="G115" s="5"/>
      <c r="H115" s="5"/>
      <c r="I115" s="5"/>
      <c r="J115" s="5"/>
      <c r="K115" s="5"/>
      <c r="L115" s="5"/>
      <c r="M115" s="5"/>
      <c r="N115" s="5"/>
      <c r="O115" s="5"/>
      <c r="Q115" s="5"/>
      <c r="R115" s="5"/>
      <c r="S115" s="5"/>
      <c r="T115" s="5"/>
      <c r="U115" s="5"/>
    </row>
    <row r="116" spans="2:21">
      <c r="B116" s="5"/>
      <c r="C116" s="5"/>
      <c r="D116" s="5"/>
      <c r="E116" s="5"/>
      <c r="F116" s="5"/>
      <c r="G116" s="5"/>
      <c r="H116" s="5"/>
      <c r="I116" s="254"/>
      <c r="J116" s="49"/>
      <c r="K116" s="49"/>
      <c r="L116" s="49"/>
      <c r="M116" s="49"/>
      <c r="N116" s="49"/>
      <c r="O116" s="49"/>
      <c r="Q116" s="5"/>
      <c r="R116" s="5"/>
      <c r="S116" s="5"/>
      <c r="T116" s="5"/>
      <c r="U116" s="5"/>
    </row>
    <row r="117" spans="2:21">
      <c r="B117" s="41"/>
      <c r="C117" s="49"/>
      <c r="D117" s="49"/>
      <c r="E117" s="49"/>
      <c r="F117" s="49"/>
      <c r="G117" s="49"/>
      <c r="H117" s="49"/>
      <c r="I117" s="249"/>
      <c r="J117" s="5"/>
      <c r="K117" s="5"/>
      <c r="L117" s="5"/>
      <c r="M117" s="5"/>
      <c r="N117" s="5"/>
      <c r="O117" s="5"/>
      <c r="Q117" s="5"/>
      <c r="R117" s="5"/>
      <c r="S117" s="5"/>
      <c r="T117" s="5"/>
      <c r="U117" s="5"/>
    </row>
    <row r="118" spans="2:21">
      <c r="B118" s="5"/>
      <c r="C118" s="5"/>
      <c r="D118" s="5"/>
      <c r="E118" s="5"/>
      <c r="F118" s="5"/>
      <c r="G118" s="5"/>
      <c r="H118" s="5"/>
      <c r="I118" s="254"/>
      <c r="J118" s="254"/>
      <c r="K118" s="254"/>
      <c r="L118" s="254"/>
      <c r="M118" s="254"/>
      <c r="N118" s="254"/>
      <c r="O118" s="248"/>
      <c r="Q118" s="5"/>
      <c r="R118" s="5"/>
      <c r="S118" s="5"/>
      <c r="T118" s="5"/>
      <c r="U118" s="5"/>
    </row>
    <row r="119" spans="2:21">
      <c r="B119" s="41"/>
      <c r="C119" s="254"/>
      <c r="D119" s="254"/>
      <c r="E119" s="254"/>
      <c r="F119" s="254"/>
      <c r="G119" s="254"/>
      <c r="H119" s="254"/>
      <c r="I119" s="254"/>
      <c r="J119" s="249"/>
      <c r="K119" s="249"/>
      <c r="L119" s="249"/>
      <c r="M119" s="249"/>
      <c r="N119" s="249"/>
      <c r="O119" s="248"/>
      <c r="Q119" s="5"/>
      <c r="R119" s="5"/>
      <c r="S119" s="5"/>
      <c r="T119" s="5"/>
      <c r="U119" s="5"/>
    </row>
    <row r="120" spans="2:21">
      <c r="B120" s="41"/>
      <c r="C120" s="254"/>
      <c r="D120" s="249"/>
      <c r="E120" s="249"/>
      <c r="F120" s="249"/>
      <c r="G120" s="249"/>
      <c r="H120" s="249"/>
      <c r="I120" s="254"/>
      <c r="J120" s="254"/>
      <c r="K120" s="254"/>
      <c r="L120" s="254"/>
      <c r="M120" s="254"/>
      <c r="N120" s="254"/>
      <c r="O120" s="248"/>
      <c r="Q120" s="5"/>
      <c r="R120" s="5"/>
      <c r="S120" s="5"/>
      <c r="T120" s="5"/>
      <c r="U120" s="5"/>
    </row>
    <row r="121" spans="2:21">
      <c r="B121" s="41"/>
      <c r="C121" s="254"/>
      <c r="D121" s="254"/>
      <c r="E121" s="254"/>
      <c r="F121" s="254"/>
      <c r="G121" s="254"/>
      <c r="H121" s="254"/>
      <c r="I121" s="254"/>
      <c r="J121" s="254"/>
      <c r="K121" s="254"/>
      <c r="L121" s="254"/>
      <c r="M121" s="254"/>
      <c r="N121" s="254"/>
      <c r="O121" s="248"/>
      <c r="Q121" s="5"/>
      <c r="R121" s="5"/>
      <c r="S121" s="5"/>
      <c r="T121" s="5"/>
      <c r="U121" s="5"/>
    </row>
    <row r="122" spans="2:21">
      <c r="B122" s="41"/>
      <c r="C122" s="254"/>
      <c r="D122" s="254"/>
      <c r="E122" s="254"/>
      <c r="F122" s="254"/>
      <c r="G122" s="254"/>
      <c r="H122" s="254"/>
      <c r="I122" s="254"/>
      <c r="J122" s="254"/>
      <c r="K122" s="254"/>
      <c r="L122" s="254"/>
      <c r="M122" s="254"/>
      <c r="N122" s="254"/>
      <c r="O122" s="248"/>
      <c r="Q122" s="5"/>
      <c r="R122" s="5"/>
      <c r="S122" s="5"/>
      <c r="T122" s="5"/>
      <c r="U122" s="5"/>
    </row>
    <row r="123" spans="2:21">
      <c r="B123" s="41"/>
      <c r="C123" s="254"/>
      <c r="D123" s="254"/>
      <c r="E123" s="254"/>
      <c r="F123" s="254"/>
      <c r="G123" s="254"/>
      <c r="H123" s="254"/>
      <c r="I123" s="254"/>
      <c r="J123" s="254"/>
      <c r="K123" s="254"/>
      <c r="L123" s="254"/>
      <c r="M123" s="254"/>
      <c r="N123" s="254"/>
      <c r="O123" s="248"/>
      <c r="Q123" s="5"/>
      <c r="R123" s="5"/>
      <c r="S123" s="5"/>
      <c r="T123" s="5"/>
      <c r="U123" s="5"/>
    </row>
    <row r="124" spans="2:21">
      <c r="B124" s="41"/>
      <c r="C124" s="254"/>
      <c r="D124" s="254"/>
      <c r="E124" s="254"/>
      <c r="F124" s="254"/>
      <c r="G124" s="254"/>
      <c r="H124" s="254"/>
      <c r="I124" s="254"/>
      <c r="J124" s="254"/>
      <c r="K124" s="254"/>
      <c r="L124" s="254"/>
      <c r="M124" s="254"/>
      <c r="N124" s="254"/>
      <c r="O124" s="5"/>
      <c r="Q124" s="5"/>
      <c r="R124" s="5"/>
      <c r="S124" s="5"/>
      <c r="T124" s="5"/>
      <c r="U124" s="5"/>
    </row>
    <row r="125" spans="2:21">
      <c r="B125" s="41"/>
      <c r="C125" s="254"/>
      <c r="D125" s="254"/>
      <c r="E125" s="254"/>
      <c r="F125" s="254"/>
      <c r="G125" s="254"/>
      <c r="H125" s="254"/>
      <c r="I125" s="254"/>
      <c r="J125" s="254"/>
      <c r="K125" s="254"/>
      <c r="L125" s="254"/>
      <c r="M125" s="254"/>
      <c r="N125" s="254"/>
      <c r="O125" s="5"/>
      <c r="Q125" s="5"/>
      <c r="R125" s="5"/>
      <c r="S125" s="5"/>
      <c r="T125" s="5"/>
      <c r="U125" s="5"/>
    </row>
    <row r="126" spans="2:21">
      <c r="B126" s="41"/>
      <c r="C126" s="254"/>
      <c r="D126" s="254"/>
      <c r="E126" s="254"/>
      <c r="F126" s="254"/>
      <c r="G126" s="254"/>
      <c r="H126" s="254"/>
      <c r="I126" s="18"/>
      <c r="J126" s="254"/>
      <c r="K126" s="254"/>
      <c r="L126" s="254"/>
      <c r="M126" s="254"/>
      <c r="N126" s="254"/>
      <c r="O126" s="5"/>
      <c r="Q126" s="5"/>
      <c r="R126" s="5"/>
      <c r="S126" s="5"/>
      <c r="T126" s="5"/>
      <c r="U126" s="5"/>
    </row>
    <row r="127" spans="2:21">
      <c r="B127" s="41"/>
      <c r="C127" s="254"/>
      <c r="D127" s="254"/>
      <c r="E127" s="254"/>
      <c r="F127" s="254"/>
      <c r="G127" s="254"/>
      <c r="H127" s="254"/>
      <c r="I127" s="5"/>
      <c r="J127" s="254"/>
      <c r="K127" s="254"/>
      <c r="L127" s="254"/>
      <c r="M127" s="254"/>
      <c r="N127" s="254"/>
      <c r="O127" s="5"/>
      <c r="Q127" s="5"/>
      <c r="R127" s="5"/>
      <c r="S127" s="5"/>
      <c r="T127" s="5"/>
      <c r="U127" s="5"/>
    </row>
    <row r="128" spans="2:21">
      <c r="B128" s="41"/>
      <c r="C128" s="254"/>
      <c r="D128" s="254"/>
      <c r="E128" s="254"/>
      <c r="F128" s="254"/>
      <c r="G128" s="254"/>
      <c r="H128" s="254"/>
      <c r="I128" s="254"/>
      <c r="J128" s="18"/>
      <c r="K128" s="18"/>
      <c r="L128" s="18"/>
      <c r="M128" s="18"/>
      <c r="N128" s="18"/>
      <c r="O128" s="5"/>
      <c r="Q128" s="5"/>
      <c r="R128" s="5"/>
      <c r="S128" s="5"/>
      <c r="T128" s="5"/>
      <c r="U128" s="5"/>
    </row>
    <row r="129" spans="2:27">
      <c r="B129" s="5"/>
      <c r="C129" s="5"/>
      <c r="D129" s="18"/>
      <c r="E129" s="18"/>
      <c r="F129" s="18"/>
      <c r="G129" s="18"/>
      <c r="H129" s="18"/>
      <c r="I129" s="18"/>
      <c r="J129" s="5"/>
      <c r="K129" s="5"/>
      <c r="L129" s="5"/>
      <c r="M129" s="5"/>
      <c r="N129" s="5"/>
      <c r="O129" s="5"/>
      <c r="Q129" s="5"/>
      <c r="R129" s="5"/>
      <c r="S129" s="5"/>
      <c r="T129" s="5"/>
      <c r="U129" s="5"/>
    </row>
    <row r="130" spans="2:27">
      <c r="B130" s="5"/>
      <c r="C130" s="5"/>
      <c r="D130" s="5"/>
      <c r="E130" s="5"/>
      <c r="F130" s="5"/>
      <c r="G130" s="5"/>
      <c r="H130" s="5"/>
      <c r="I130" s="5"/>
      <c r="J130" s="254"/>
      <c r="K130" s="254"/>
      <c r="L130" s="254"/>
      <c r="M130" s="254"/>
      <c r="N130" s="254"/>
      <c r="O130" s="5"/>
      <c r="Q130" s="5"/>
      <c r="R130" s="5"/>
      <c r="S130" s="5"/>
      <c r="T130" s="5"/>
      <c r="U130" s="5"/>
    </row>
    <row r="131" spans="2:27">
      <c r="B131" s="41"/>
      <c r="C131" s="254"/>
      <c r="D131" s="254"/>
      <c r="E131" s="254"/>
      <c r="F131" s="254"/>
      <c r="G131" s="254"/>
      <c r="H131" s="254"/>
      <c r="I131" s="5"/>
      <c r="J131" s="18"/>
      <c r="K131" s="18"/>
      <c r="L131" s="18"/>
      <c r="M131" s="18"/>
      <c r="N131" s="18"/>
      <c r="O131" s="5"/>
      <c r="Q131" s="5"/>
      <c r="R131" s="5"/>
      <c r="S131" s="5"/>
      <c r="T131" s="5"/>
      <c r="U131" s="5"/>
    </row>
    <row r="132" spans="2:27">
      <c r="B132" s="5"/>
      <c r="C132" s="259"/>
      <c r="D132" s="18"/>
      <c r="E132" s="18"/>
      <c r="F132" s="18"/>
      <c r="G132" s="18"/>
      <c r="H132" s="18"/>
      <c r="I132" s="17"/>
      <c r="J132" s="5"/>
      <c r="K132" s="5"/>
      <c r="L132" s="5"/>
      <c r="M132" s="5"/>
      <c r="N132" s="5"/>
      <c r="O132" s="5"/>
      <c r="Q132" s="5"/>
      <c r="R132" s="5"/>
      <c r="S132" s="5"/>
      <c r="T132" s="5"/>
      <c r="U132" s="5"/>
    </row>
    <row r="133" spans="2:27">
      <c r="B133" s="5"/>
      <c r="C133" s="5"/>
      <c r="D133" s="5"/>
      <c r="E133" s="5"/>
      <c r="F133" s="5"/>
      <c r="G133" s="5"/>
      <c r="H133" s="5"/>
      <c r="I133" s="17"/>
      <c r="J133" s="5"/>
      <c r="K133" s="5"/>
      <c r="L133" s="5"/>
      <c r="M133" s="5"/>
      <c r="N133" s="5"/>
      <c r="O133" s="5"/>
      <c r="Q133" s="5"/>
      <c r="R133" s="5"/>
      <c r="S133" s="5"/>
      <c r="T133" s="5"/>
      <c r="U133" s="5"/>
    </row>
    <row r="134" spans="2:27">
      <c r="B134" s="41"/>
      <c r="C134" s="5"/>
      <c r="D134" s="5"/>
      <c r="E134" s="5"/>
      <c r="F134" s="5"/>
      <c r="G134" s="5"/>
      <c r="H134" s="5"/>
      <c r="I134" s="17"/>
      <c r="J134" s="17"/>
      <c r="K134" s="17"/>
      <c r="L134" s="17"/>
      <c r="M134" s="17"/>
      <c r="N134" s="17"/>
      <c r="O134" s="5"/>
      <c r="Q134" s="41"/>
      <c r="R134" s="5"/>
      <c r="S134" s="5"/>
      <c r="T134" s="5"/>
      <c r="U134" s="5"/>
    </row>
    <row r="135" spans="2:27">
      <c r="B135" s="5"/>
      <c r="C135" s="17"/>
      <c r="D135" s="17"/>
      <c r="E135" s="17"/>
      <c r="F135" s="17"/>
      <c r="G135" s="17"/>
      <c r="H135" s="17"/>
      <c r="I135" s="17"/>
      <c r="J135" s="17"/>
      <c r="K135" s="17"/>
      <c r="L135" s="17"/>
      <c r="M135" s="17"/>
      <c r="N135" s="17"/>
      <c r="O135" s="5"/>
      <c r="Q135" s="5"/>
      <c r="R135" s="5"/>
      <c r="S135" s="5"/>
      <c r="T135" s="5"/>
      <c r="U135" s="5"/>
      <c r="X135" s="304"/>
    </row>
    <row r="136" spans="2:27">
      <c r="B136" s="5"/>
      <c r="C136" s="17"/>
      <c r="D136" s="17"/>
      <c r="E136" s="17"/>
      <c r="F136" s="17"/>
      <c r="G136" s="17"/>
      <c r="H136" s="17"/>
      <c r="I136" s="17"/>
      <c r="J136" s="17"/>
      <c r="K136" s="17"/>
      <c r="L136" s="17"/>
      <c r="M136" s="17"/>
      <c r="N136" s="17"/>
      <c r="O136" s="5"/>
      <c r="Q136" s="5"/>
      <c r="R136" s="5"/>
      <c r="S136" s="5"/>
      <c r="T136" s="5"/>
      <c r="U136" s="5"/>
      <c r="X136" s="10"/>
      <c r="Y136" s="304"/>
      <c r="Z136" s="304"/>
      <c r="AA136" s="304"/>
    </row>
    <row r="137" spans="2:27">
      <c r="B137" s="5"/>
      <c r="C137" s="5"/>
      <c r="D137" s="17"/>
      <c r="E137" s="17"/>
      <c r="F137" s="17"/>
      <c r="G137" s="17"/>
      <c r="H137" s="17"/>
      <c r="I137" s="17"/>
      <c r="J137" s="17"/>
      <c r="K137" s="17"/>
      <c r="L137" s="17"/>
      <c r="M137" s="17"/>
      <c r="N137" s="17"/>
      <c r="O137" s="5"/>
      <c r="Q137" s="5"/>
      <c r="R137" s="5"/>
      <c r="S137" s="5"/>
      <c r="T137" s="5"/>
      <c r="U137" s="5"/>
      <c r="Y137" s="10"/>
      <c r="Z137" s="10"/>
      <c r="AA137" s="10"/>
    </row>
    <row r="138" spans="2:27">
      <c r="B138" s="5"/>
      <c r="C138" s="5"/>
      <c r="D138" s="17"/>
      <c r="E138" s="17"/>
      <c r="F138" s="17"/>
      <c r="G138" s="17"/>
      <c r="H138" s="17"/>
      <c r="I138" s="5"/>
      <c r="J138" s="17"/>
      <c r="K138" s="17"/>
      <c r="L138" s="17"/>
      <c r="M138" s="17"/>
      <c r="N138" s="17"/>
      <c r="O138" s="5"/>
      <c r="Q138" s="5"/>
      <c r="R138" s="5"/>
      <c r="S138" s="5"/>
      <c r="T138" s="5"/>
      <c r="U138" s="5"/>
    </row>
    <row r="139" spans="2:27">
      <c r="B139" s="5"/>
      <c r="C139" s="5"/>
      <c r="D139" s="17"/>
      <c r="E139" s="17"/>
      <c r="F139" s="17"/>
      <c r="G139" s="17"/>
      <c r="H139" s="17"/>
      <c r="I139" s="5"/>
      <c r="J139" s="17"/>
      <c r="K139" s="17"/>
      <c r="L139" s="17"/>
      <c r="M139" s="17"/>
      <c r="N139" s="17"/>
      <c r="O139" s="5"/>
      <c r="Q139" s="5"/>
      <c r="R139" s="5"/>
      <c r="S139" s="5"/>
      <c r="T139" s="5"/>
      <c r="U139" s="5"/>
    </row>
    <row r="140" spans="2:27">
      <c r="B140" s="5"/>
      <c r="C140" s="17"/>
      <c r="D140" s="17"/>
      <c r="E140" s="17"/>
      <c r="F140" s="17"/>
      <c r="G140" s="17"/>
      <c r="H140" s="17"/>
      <c r="I140" s="5"/>
      <c r="J140" s="5"/>
      <c r="K140" s="5"/>
      <c r="L140" s="5"/>
      <c r="M140" s="5"/>
      <c r="N140" s="5"/>
      <c r="O140" s="5"/>
      <c r="Q140" s="5"/>
      <c r="R140" s="5"/>
      <c r="S140" s="5"/>
      <c r="T140" s="5"/>
      <c r="U140" s="5"/>
    </row>
    <row r="141" spans="2:27">
      <c r="B141" s="5"/>
      <c r="C141" s="5"/>
      <c r="D141" s="5"/>
      <c r="E141" s="5"/>
      <c r="F141" s="5"/>
      <c r="G141" s="5"/>
      <c r="H141" s="5"/>
      <c r="I141" s="5"/>
      <c r="J141" s="5"/>
      <c r="K141" s="5"/>
      <c r="L141" s="5"/>
      <c r="M141" s="5"/>
      <c r="N141" s="5"/>
      <c r="O141" s="5"/>
      <c r="Q141" s="5"/>
      <c r="R141" s="5"/>
      <c r="S141" s="5"/>
      <c r="T141" s="5"/>
      <c r="U141" s="5"/>
    </row>
    <row r="142" spans="2:27">
      <c r="B142" s="5"/>
      <c r="C142" s="5"/>
      <c r="D142" s="5"/>
      <c r="E142" s="5"/>
      <c r="F142" s="5"/>
      <c r="G142" s="5"/>
      <c r="H142" s="5"/>
      <c r="I142" s="5"/>
      <c r="J142" s="5"/>
      <c r="K142" s="5"/>
      <c r="L142" s="5"/>
      <c r="M142" s="5"/>
      <c r="N142" s="5"/>
      <c r="O142" s="5"/>
      <c r="Q142" s="5"/>
      <c r="R142" s="5"/>
      <c r="S142" s="5"/>
      <c r="T142" s="5"/>
      <c r="U142" s="5"/>
    </row>
    <row r="143" spans="2:27">
      <c r="B143" s="5"/>
      <c r="C143" s="5"/>
      <c r="D143" s="5"/>
      <c r="E143" s="5"/>
      <c r="F143" s="5"/>
      <c r="G143" s="5"/>
      <c r="H143" s="5"/>
      <c r="I143" s="5"/>
      <c r="J143" s="5"/>
      <c r="K143" s="5"/>
      <c r="L143" s="5"/>
      <c r="M143" s="5"/>
      <c r="N143" s="5"/>
      <c r="O143" s="5"/>
      <c r="Q143" s="5"/>
      <c r="R143" s="5"/>
      <c r="S143" s="5"/>
      <c r="T143" s="5"/>
      <c r="U143" s="5"/>
    </row>
    <row r="144" spans="2:27">
      <c r="B144" s="5"/>
      <c r="C144" s="5"/>
      <c r="D144" s="5"/>
      <c r="E144" s="5"/>
      <c r="F144" s="5"/>
      <c r="G144" s="5"/>
      <c r="H144" s="5"/>
      <c r="I144" s="5"/>
      <c r="J144" s="5"/>
      <c r="K144" s="5"/>
      <c r="L144" s="5"/>
      <c r="M144" s="5"/>
      <c r="N144" s="5"/>
      <c r="O144" s="5"/>
      <c r="Q144" s="5"/>
      <c r="R144" s="5"/>
      <c r="S144" s="5"/>
      <c r="T144" s="5"/>
      <c r="U144" s="5"/>
    </row>
    <row r="145" spans="2:21">
      <c r="B145" s="5"/>
      <c r="C145" s="5"/>
      <c r="D145" s="5"/>
      <c r="E145" s="5"/>
      <c r="F145" s="5"/>
      <c r="G145" s="5"/>
      <c r="H145" s="5"/>
      <c r="I145" s="5"/>
      <c r="J145" s="5"/>
      <c r="K145" s="5"/>
      <c r="L145" s="5"/>
      <c r="M145" s="5"/>
      <c r="N145" s="5"/>
      <c r="O145" s="5"/>
      <c r="Q145" s="5"/>
      <c r="R145" s="5"/>
      <c r="S145" s="5"/>
      <c r="T145" s="5"/>
      <c r="U145" s="5"/>
    </row>
    <row r="146" spans="2:21">
      <c r="B146" s="5"/>
      <c r="C146" s="5"/>
      <c r="D146" s="5"/>
      <c r="E146" s="5"/>
      <c r="F146" s="5"/>
      <c r="G146" s="5"/>
      <c r="H146" s="5"/>
      <c r="I146" s="5"/>
      <c r="J146" s="5"/>
      <c r="K146" s="5"/>
      <c r="L146" s="5"/>
      <c r="M146" s="5"/>
      <c r="N146" s="5"/>
      <c r="O146" s="5"/>
      <c r="Q146" s="5"/>
      <c r="R146" s="5"/>
      <c r="S146" s="5"/>
      <c r="T146" s="5"/>
      <c r="U146" s="5"/>
    </row>
    <row r="147" spans="2:21">
      <c r="B147" s="5"/>
      <c r="C147" s="5"/>
      <c r="D147" s="5"/>
      <c r="E147" s="5"/>
      <c r="F147" s="5"/>
      <c r="G147" s="5"/>
      <c r="H147" s="5"/>
      <c r="I147" s="5"/>
      <c r="J147" s="5"/>
      <c r="K147" s="5"/>
      <c r="L147" s="5"/>
      <c r="M147" s="5"/>
      <c r="N147" s="5"/>
      <c r="O147" s="5"/>
      <c r="Q147" s="5"/>
      <c r="R147" s="5"/>
      <c r="S147" s="5"/>
      <c r="T147" s="5"/>
      <c r="U147" s="5"/>
    </row>
    <row r="148" spans="2:21">
      <c r="B148" s="5"/>
      <c r="C148" s="5"/>
      <c r="D148" s="5"/>
      <c r="E148" s="5"/>
      <c r="F148" s="5"/>
      <c r="G148" s="5"/>
      <c r="H148" s="5"/>
      <c r="J148" s="5"/>
      <c r="K148" s="5"/>
      <c r="L148" s="5"/>
      <c r="M148" s="5"/>
      <c r="N148" s="5"/>
      <c r="O148" s="5"/>
      <c r="Q148" s="5"/>
      <c r="R148" s="5"/>
      <c r="S148" s="5"/>
      <c r="T148" s="5"/>
      <c r="U148" s="5"/>
    </row>
    <row r="149" spans="2:21">
      <c r="B149" s="5"/>
      <c r="C149" s="5"/>
      <c r="D149" s="5"/>
      <c r="E149" s="5"/>
      <c r="F149" s="5"/>
      <c r="G149" s="5"/>
      <c r="H149" s="5"/>
      <c r="J149" s="5"/>
      <c r="K149" s="5"/>
      <c r="L149" s="5"/>
      <c r="M149" s="5"/>
      <c r="N149" s="5"/>
      <c r="O149" s="5"/>
      <c r="Q149" s="5"/>
      <c r="R149" s="5"/>
      <c r="S149" s="5"/>
      <c r="T149" s="5"/>
      <c r="U149" s="5"/>
    </row>
    <row r="150" spans="2:21">
      <c r="B150" s="5"/>
      <c r="C150" s="5"/>
      <c r="D150" s="5"/>
      <c r="E150" s="5"/>
      <c r="F150" s="5"/>
      <c r="G150" s="5"/>
      <c r="H150" s="5"/>
      <c r="Q150" s="5"/>
      <c r="R150" s="5"/>
      <c r="S150" s="5"/>
      <c r="T150" s="5"/>
      <c r="U150" s="5"/>
    </row>
    <row r="151" spans="2:21">
      <c r="Q151" s="5"/>
      <c r="R151" s="5"/>
      <c r="S151" s="5"/>
      <c r="T151" s="5"/>
      <c r="U151" s="5"/>
    </row>
    <row r="152" spans="2:21">
      <c r="Q152" s="5"/>
      <c r="R152" s="5"/>
      <c r="S152" s="5"/>
      <c r="T152" s="5"/>
      <c r="U152" s="5"/>
    </row>
    <row r="153" spans="2:21">
      <c r="C153" s="263"/>
      <c r="Q153" s="5"/>
      <c r="R153" s="5"/>
      <c r="S153" s="5"/>
      <c r="T153" s="5"/>
      <c r="U153" s="5"/>
    </row>
    <row r="154" spans="2:21">
      <c r="Q154" s="5"/>
      <c r="R154" s="5"/>
      <c r="S154" s="5"/>
      <c r="T154" s="5"/>
      <c r="U154" s="5"/>
    </row>
    <row r="155" spans="2:21">
      <c r="Q155" s="5"/>
      <c r="R155" s="5"/>
      <c r="S155" s="5"/>
      <c r="T155" s="5"/>
      <c r="U155" s="5"/>
    </row>
    <row r="156" spans="2:21">
      <c r="Q156" s="5"/>
      <c r="R156" s="5"/>
      <c r="S156" s="5"/>
      <c r="T156" s="5"/>
      <c r="U156" s="5"/>
    </row>
    <row r="157" spans="2:21">
      <c r="Q157" s="5"/>
      <c r="R157" s="5"/>
      <c r="S157" s="5"/>
      <c r="T157" s="5"/>
      <c r="U157" s="5"/>
    </row>
    <row r="158" spans="2:21">
      <c r="Q158" s="5"/>
      <c r="R158" s="5"/>
      <c r="S158" s="5"/>
      <c r="T158" s="5"/>
      <c r="U158" s="5"/>
    </row>
    <row r="159" spans="2:21">
      <c r="Q159" s="5"/>
      <c r="R159" s="5"/>
      <c r="S159" s="5"/>
      <c r="T159" s="5"/>
      <c r="U159" s="5"/>
    </row>
    <row r="160" spans="2:21">
      <c r="Q160" s="5"/>
      <c r="R160" s="5"/>
      <c r="S160" s="5"/>
      <c r="T160" s="5"/>
      <c r="U160" s="5"/>
    </row>
    <row r="161" spans="17:21">
      <c r="Q161" s="5"/>
      <c r="R161" s="5"/>
      <c r="S161" s="5"/>
      <c r="T161" s="5"/>
      <c r="U161" s="5"/>
    </row>
    <row r="162" spans="17:21">
      <c r="Q162" s="5"/>
      <c r="R162" s="5"/>
      <c r="S162" s="5"/>
      <c r="T162" s="5"/>
      <c r="U162" s="5"/>
    </row>
    <row r="163" spans="17:21">
      <c r="Q163" s="5"/>
      <c r="R163" s="5"/>
      <c r="S163" s="5"/>
      <c r="T163" s="5"/>
      <c r="U163" s="5"/>
    </row>
    <row r="164" spans="17:21">
      <c r="Q164" s="5"/>
      <c r="R164" s="5"/>
      <c r="S164" s="5"/>
      <c r="T164" s="5"/>
      <c r="U164" s="5"/>
    </row>
  </sheetData>
  <phoneticPr fontId="7" type="noConversion"/>
  <pageMargins left="0.75" right="0.75" top="1" bottom="1" header="0.5" footer="0.5"/>
  <pageSetup scale="21" orientation="landscape" r:id="rId1"/>
  <headerFooter alignWithMargins="0"/>
  <drawing r:id="rId2"/>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F00-000000000000}">
  <sheetPr codeName="Sheet20">
    <tabColor theme="3" tint="0.59999389629810485"/>
    <pageSetUpPr fitToPage="1"/>
  </sheetPr>
  <dimension ref="B1:BK164"/>
  <sheetViews>
    <sheetView showGridLines="0" zoomScale="80" zoomScaleNormal="80" workbookViewId="0"/>
  </sheetViews>
  <sheetFormatPr defaultColWidth="8.88671875" defaultRowHeight="12"/>
  <cols>
    <col min="1" max="1" width="2.33203125" style="39" customWidth="1"/>
    <col min="2" max="2" width="26.6640625" style="39" customWidth="1"/>
    <col min="3" max="9" width="10" style="39" customWidth="1"/>
    <col min="10" max="10" width="26.6640625" style="39" customWidth="1"/>
    <col min="11" max="16" width="10" style="39" customWidth="1"/>
    <col min="17" max="17" width="4.5546875" style="39" customWidth="1"/>
    <col min="18" max="20" width="8.88671875" style="39"/>
    <col min="21" max="21" width="3.6640625" style="39" customWidth="1"/>
    <col min="22" max="63" width="9.109375" style="5" customWidth="1"/>
    <col min="64" max="16384" width="8.88671875" style="39"/>
  </cols>
  <sheetData>
    <row r="1" spans="2:63" s="312" customFormat="1">
      <c r="V1" s="149"/>
      <c r="W1" s="149"/>
      <c r="X1" s="149"/>
      <c r="Y1" s="149"/>
      <c r="Z1" s="149"/>
      <c r="AA1" s="149"/>
      <c r="AB1" s="149"/>
      <c r="AC1" s="149"/>
      <c r="AD1" s="149"/>
      <c r="AE1" s="149"/>
      <c r="AF1" s="149"/>
      <c r="AG1" s="149"/>
      <c r="AH1" s="149"/>
      <c r="AI1" s="149"/>
      <c r="AJ1" s="149"/>
      <c r="AK1" s="149"/>
      <c r="AL1" s="149"/>
      <c r="AM1" s="149"/>
      <c r="AN1" s="149"/>
      <c r="AO1" s="149"/>
      <c r="AP1" s="149"/>
      <c r="AQ1" s="149"/>
      <c r="AR1" s="149"/>
      <c r="AS1" s="149"/>
      <c r="AT1" s="149"/>
      <c r="AU1" s="149"/>
      <c r="AV1" s="149"/>
      <c r="AW1" s="149"/>
      <c r="AX1" s="149"/>
      <c r="AY1" s="149"/>
      <c r="AZ1" s="149"/>
      <c r="BA1" s="149"/>
      <c r="BB1" s="149"/>
      <c r="BC1" s="149"/>
      <c r="BD1" s="149"/>
      <c r="BE1" s="149"/>
      <c r="BF1" s="149"/>
      <c r="BG1" s="149"/>
      <c r="BH1" s="149"/>
      <c r="BI1" s="149"/>
      <c r="BJ1" s="149"/>
      <c r="BK1" s="149"/>
    </row>
    <row r="2" spans="2:63" s="312" customFormat="1">
      <c r="V2" s="149"/>
      <c r="W2" s="149"/>
      <c r="X2" s="149"/>
      <c r="Y2" s="149"/>
      <c r="Z2" s="149"/>
      <c r="AA2" s="149"/>
      <c r="AB2" s="149"/>
      <c r="AC2" s="149"/>
      <c r="AD2" s="149"/>
      <c r="AE2" s="149"/>
      <c r="AF2" s="149"/>
      <c r="AG2" s="149"/>
      <c r="AH2" s="149"/>
      <c r="AI2" s="149"/>
      <c r="AJ2" s="149"/>
      <c r="AK2" s="149"/>
      <c r="AL2" s="149"/>
      <c r="AM2" s="149"/>
      <c r="AN2" s="149"/>
      <c r="AO2" s="149"/>
      <c r="AP2" s="149"/>
      <c r="AQ2" s="149"/>
      <c r="AR2" s="149"/>
      <c r="AS2" s="149"/>
      <c r="AT2" s="149"/>
      <c r="AU2" s="149"/>
      <c r="AV2" s="149"/>
      <c r="AW2" s="149"/>
      <c r="AX2" s="149"/>
      <c r="AY2" s="149"/>
      <c r="AZ2" s="149"/>
      <c r="BA2" s="149"/>
      <c r="BB2" s="149"/>
      <c r="BC2" s="149"/>
      <c r="BD2" s="149"/>
      <c r="BE2" s="149"/>
      <c r="BF2" s="149"/>
      <c r="BG2" s="149"/>
      <c r="BH2" s="149"/>
      <c r="BI2" s="149"/>
      <c r="BJ2" s="149"/>
      <c r="BK2" s="149"/>
    </row>
    <row r="3" spans="2:63" s="149" customFormat="1">
      <c r="H3" s="153"/>
      <c r="P3" s="153"/>
    </row>
    <row r="4" spans="2:63" s="156" customFormat="1" ht="21">
      <c r="B4" s="129" t="s">
        <v>158</v>
      </c>
      <c r="H4" s="222"/>
      <c r="P4" s="222"/>
    </row>
    <row r="5" spans="2:63" s="149" customFormat="1">
      <c r="C5" s="153"/>
      <c r="D5" s="153" t="str" cm="1">
        <f t="array" ref="D5:H5">headings</f>
        <v>2023E</v>
      </c>
      <c r="E5" s="153" t="str">
        <v>2024E</v>
      </c>
      <c r="F5" s="153" t="str">
        <v>2025E</v>
      </c>
      <c r="G5" s="153" t="str">
        <v>2026E</v>
      </c>
      <c r="H5" s="153" t="str">
        <v>23E-26E</v>
      </c>
      <c r="I5" s="153"/>
      <c r="J5" s="153"/>
      <c r="K5" s="153"/>
      <c r="L5" s="153" t="str" cm="1">
        <f t="array" ref="L5:P5">headings</f>
        <v>2023E</v>
      </c>
      <c r="M5" s="153" t="str">
        <v>2024E</v>
      </c>
      <c r="N5" s="153" t="str">
        <v>2025E</v>
      </c>
      <c r="O5" s="153" t="str">
        <v>2026E</v>
      </c>
      <c r="P5" s="153" t="str">
        <v>23E-26E</v>
      </c>
      <c r="Q5" s="162"/>
      <c r="R5" s="162"/>
      <c r="S5" s="162"/>
      <c r="T5" s="162"/>
      <c r="U5" s="162"/>
      <c r="V5" s="162"/>
      <c r="W5" s="162"/>
      <c r="X5" s="162"/>
      <c r="Y5" s="162"/>
    </row>
    <row r="6" spans="2:63">
      <c r="I6" s="5"/>
      <c r="J6" s="5"/>
      <c r="K6" s="5"/>
      <c r="L6" s="5"/>
      <c r="M6" s="5"/>
      <c r="N6" s="5"/>
      <c r="O6" s="49"/>
    </row>
    <row r="7" spans="2:63" ht="12.6" thickBot="1">
      <c r="B7" s="306" t="s">
        <v>271</v>
      </c>
      <c r="C7" s="265"/>
      <c r="D7" s="265"/>
      <c r="E7" s="265"/>
      <c r="F7" s="265"/>
      <c r="G7" s="265"/>
      <c r="H7" s="265"/>
      <c r="I7" s="49"/>
      <c r="J7" s="306" t="s">
        <v>200</v>
      </c>
      <c r="K7" s="306"/>
      <c r="L7" s="306"/>
      <c r="M7" s="306"/>
      <c r="N7" s="266"/>
      <c r="O7" s="266"/>
      <c r="P7" s="266"/>
    </row>
    <row r="8" spans="2:63" ht="12.6" thickTop="1">
      <c r="B8" s="5"/>
      <c r="C8" s="5"/>
      <c r="D8" s="5"/>
      <c r="E8" s="5"/>
      <c r="F8" s="5"/>
      <c r="G8" s="5"/>
      <c r="H8" s="5"/>
      <c r="I8" s="5"/>
      <c r="J8" s="5"/>
      <c r="K8" s="5"/>
      <c r="L8" s="5"/>
      <c r="M8" s="5"/>
      <c r="N8" s="5"/>
    </row>
    <row r="9" spans="2:63">
      <c r="B9" s="41" t="s">
        <v>500</v>
      </c>
      <c r="C9" s="287"/>
      <c r="D9" s="5"/>
      <c r="E9" s="249"/>
      <c r="F9" s="249"/>
      <c r="G9" s="249"/>
      <c r="H9" s="249"/>
      <c r="I9" s="249"/>
      <c r="J9" s="5" t="s">
        <v>273</v>
      </c>
      <c r="L9" s="64">
        <f>'AGG DM'!D37</f>
        <v>2.329412469433874</v>
      </c>
      <c r="M9" s="64">
        <f>'AGG DM'!E37</f>
        <v>2.207031841456474</v>
      </c>
      <c r="N9" s="64">
        <f>'AGG DM'!F37</f>
        <v>2.0665364578686574</v>
      </c>
      <c r="O9" s="64">
        <f>'AGG DM'!G37</f>
        <v>1.9167412853037995</v>
      </c>
      <c r="P9" s="17">
        <f>'AGG DM'!H37</f>
        <v>1.9501934659983178E-2</v>
      </c>
    </row>
    <row r="10" spans="2:63">
      <c r="B10" s="5" t="s">
        <v>274</v>
      </c>
      <c r="C10" s="5"/>
      <c r="D10" s="332"/>
      <c r="E10" s="332"/>
      <c r="F10" s="332"/>
      <c r="G10" s="332"/>
      <c r="H10" s="247"/>
      <c r="I10" s="247"/>
      <c r="J10" s="5" t="s">
        <v>184</v>
      </c>
      <c r="L10" s="64">
        <f>'AGG DM'!D38</f>
        <v>7.0841879802792365</v>
      </c>
      <c r="M10" s="64">
        <f>'AGG DM'!E38</f>
        <v>6.5876114702803505</v>
      </c>
      <c r="N10" s="64">
        <f>'AGG DM'!F38</f>
        <v>6.0864198915332164</v>
      </c>
      <c r="O10" s="64">
        <f>'AGG DM'!G38</f>
        <v>5.5767680131537691</v>
      </c>
      <c r="P10" s="17">
        <f>'AGG DM'!H38</f>
        <v>3.4656651554389573E-2</v>
      </c>
      <c r="W10" s="10"/>
      <c r="X10" s="10"/>
      <c r="Y10" s="10"/>
      <c r="Z10" s="10"/>
    </row>
    <row r="11" spans="2:63">
      <c r="B11" s="41" t="s">
        <v>457</v>
      </c>
      <c r="C11" s="5"/>
      <c r="D11" s="271">
        <f>(BT!D11/Prices!$F$153)+DT!D11+ORA!D11+KPN!D11+OTE!D11+(SWISS!D11/Prices!$F$148)+TI!D11+TEF!D11+(TNOR!D11/Prices!$F$157)+(TELIA!D11/Prices!$F$158)+PROX!D11</f>
        <v>251584.15734252715</v>
      </c>
      <c r="E11" s="271">
        <f>(BT!E11/Prices!$F$153)+DT!E11+ORA!E11+KPN!E11+OTE!E11+(SWISS!E11/Prices!$F$148)+TI!E11+TEF!E11+(TNOR!E11/Prices!$F$157)+(TELIA!E11/Prices!$F$158)+PROX!E11</f>
        <v>248844.48328173859</v>
      </c>
      <c r="F11" s="271">
        <f>(BT!F11/Prices!$F$153)+DT!F11+ORA!F11+KPN!F11+OTE!F11+(SWISS!F11/Prices!$F$148)+TI!F11+TEF!F11+(TNOR!F11/Prices!$F$157)+(TELIA!F11/Prices!$F$158)+PROX!F11</f>
        <v>248454.11887024876</v>
      </c>
      <c r="G11" s="271">
        <f>(BT!G11/Prices!$F$153)+DT!G11+ORA!G11+KPN!G11+OTE!G11+(SWISS!G11/Prices!$F$148)+TI!G11+TEF!G11+(TNOR!G11/Prices!$F$157)+(TELIA!G11/Prices!$F$158)+PROX!G11</f>
        <v>248092.91299873122</v>
      </c>
      <c r="H11" s="249"/>
      <c r="I11" s="249"/>
      <c r="J11" s="5" t="s">
        <v>185</v>
      </c>
      <c r="L11" s="64">
        <f>'AGG DM'!D39</f>
        <v>13.53328960256645</v>
      </c>
      <c r="M11" s="64">
        <f>'AGG DM'!E39</f>
        <v>11.493643628277713</v>
      </c>
      <c r="N11" s="64">
        <f>'AGG DM'!F39</f>
        <v>10.264735122504899</v>
      </c>
      <c r="O11" s="64">
        <f>'AGG DM'!G39</f>
        <v>9.0451770938503948</v>
      </c>
      <c r="P11" s="17">
        <f>'AGG DM'!H39</f>
        <v>9.2670425427640479E-2</v>
      </c>
      <c r="W11" s="10"/>
      <c r="X11" s="10"/>
      <c r="Y11" s="10"/>
      <c r="Z11" s="10"/>
    </row>
    <row r="12" spans="2:63">
      <c r="B12" s="5" t="s">
        <v>229</v>
      </c>
      <c r="C12" s="249"/>
      <c r="D12" s="228">
        <f>(BT!D12/Prices!$F$153)+DT!D12+ORA!D12+KPN!D12+OTE!D12+(SWISS!D12/Prices!$F$148)+TI!D12+TEF!D12+(TNOR!D12/Prices!$F$157)+(TELIA!D12/Prices!$F$158)+PROX!D12</f>
        <v>210722.94430512007</v>
      </c>
      <c r="E12" s="228">
        <f>(BT!E12/Prices!$F$153)+DT!E12+ORA!E12+KPN!E12+OTE!E12+(SWISS!E12/Prices!$F$148)+TI!E12+TEF!E12+(TNOR!E12/Prices!$F$157)+(TELIA!E12/Prices!$F$158)+PROX!E12</f>
        <v>216480.61476447101</v>
      </c>
      <c r="F12" s="228">
        <f>(BT!F12/Prices!$F$153)+DT!F12+ORA!F12+KPN!F12+OTE!F12+(SWISS!F12/Prices!$F$148)+TI!F12+TEF!F12+(TNOR!F12/Prices!$F$157)+(TELIA!F12/Prices!$F$158)+PROX!F12</f>
        <v>216446.84505023784</v>
      </c>
      <c r="G12" s="228">
        <f>(BT!G12/Prices!$F$153)+DT!G12+ORA!G12+KPN!G12+OTE!G12+(SWISS!G12/Prices!$F$148)+TI!G12+TEF!G12+(TNOR!G12/Prices!$F$157)+(TELIA!G12/Prices!$F$158)+PROX!G12</f>
        <v>211858.05723944219</v>
      </c>
      <c r="H12" s="247"/>
      <c r="I12" s="247"/>
      <c r="J12" s="5" t="s">
        <v>466</v>
      </c>
      <c r="L12" s="64">
        <f>'AGG DM'!D40</f>
        <v>19.213286909010346</v>
      </c>
      <c r="M12" s="64">
        <f>'AGG DM'!E40</f>
        <v>16.347188206412962</v>
      </c>
      <c r="N12" s="64">
        <f>'AGG DM'!F40</f>
        <v>14.618845003714046</v>
      </c>
      <c r="O12" s="64">
        <f>'AGG DM'!G40</f>
        <v>12.840265625641983</v>
      </c>
      <c r="P12" s="17">
        <f>'AGG DM'!H40</f>
        <v>9.2705111729584289E-2</v>
      </c>
      <c r="W12" s="10"/>
      <c r="X12" s="10"/>
      <c r="Y12" s="10"/>
      <c r="Z12" s="10"/>
    </row>
    <row r="13" spans="2:63">
      <c r="B13" s="5" t="s">
        <v>529</v>
      </c>
      <c r="C13" s="257"/>
      <c r="D13" s="228">
        <f>(BT!D13/Prices!$F$153)+DT!D13+ORA!D13+KPN!D13+OTE!D13+(SWISS!D13/Prices!$F$148)+TI!D13+TEF!D13+(TNOR!D13/Prices!$F$157)+(TELIA!D13/Prices!$F$158)+PROX!D13</f>
        <v>66413.045061531142</v>
      </c>
      <c r="E13" s="228">
        <f>(BT!E13/Prices!$F$153)+DT!E13+ORA!E13+KPN!E13+OTE!E13+(SWISS!E13/Prices!$F$148)+TI!E13+TEF!E13+(TNOR!E13/Prices!$F$157)+(TELIA!E13/Prices!$F$158)+PROX!E13</f>
        <v>65014.927022035132</v>
      </c>
      <c r="F13" s="228">
        <f>(BT!F13/Prices!$F$153)+DT!F13+ORA!F13+KPN!F13+OTE!F13+(SWISS!F13/Prices!$F$148)+TI!F13+TEF!F13+(TNOR!F13/Prices!$F$157)+(TELIA!F13/Prices!$F$158)+PROX!F13</f>
        <v>63337.921554735221</v>
      </c>
      <c r="G13" s="228">
        <f>(BT!G13/Prices!$F$153)+DT!G13+ORA!G13+KPN!G13+OTE!G13+(SWISS!G13/Prices!$F$148)+TI!G13+TEF!G13+(TNOR!G13/Prices!$F$157)+(TELIA!G13/Prices!$F$158)+PROX!G13</f>
        <v>61836.769006911381</v>
      </c>
      <c r="H13" s="247"/>
      <c r="I13" s="247"/>
      <c r="J13" s="5" t="s">
        <v>530</v>
      </c>
      <c r="L13" s="64">
        <f>'AGG DM'!D41</f>
        <v>1.3514515540183685</v>
      </c>
      <c r="M13" s="64">
        <f>'AGG DM'!E41</f>
        <v>1.4007532435377124</v>
      </c>
      <c r="N13" s="64">
        <f>'AGG DM'!F41</f>
        <v>1.3363938049874495</v>
      </c>
      <c r="O13" s="64">
        <f>'AGG DM'!G41</f>
        <v>1.2739776448559783</v>
      </c>
      <c r="P13" s="17">
        <f>'AGG DM'!H41</f>
        <v>-2.5668717959517307E-2</v>
      </c>
    </row>
    <row r="14" spans="2:63">
      <c r="B14" s="5" t="s">
        <v>532</v>
      </c>
      <c r="C14" s="274"/>
      <c r="D14" s="228">
        <f>(BT!D14/Prices!$F$153)+DT!D14+ORA!D14+KPN!D14+OTE!D14+(SWISS!D14/Prices!$F$148)+TI!D14+TEF!D14+(TNOR!D14/Prices!$F$157)+(TELIA!D14/Prices!$F$158)+PROX!D14</f>
        <v>17464.961519010343</v>
      </c>
      <c r="E14" s="228">
        <f>(BT!E14/Prices!$F$153)+DT!E14+ORA!E14+KPN!E14+OTE!E14+(SWISS!E14/Prices!$F$148)+TI!E14+TEF!E14+(TNOR!E14/Prices!$F$157)+(TELIA!E14/Prices!$F$158)+PROX!E14</f>
        <v>17464.961519010343</v>
      </c>
      <c r="F14" s="228">
        <f>(BT!F14/Prices!$F$153)+DT!F14+ORA!F14+KPN!F14+OTE!F14+(SWISS!F14/Prices!$F$148)+TI!F14+TEF!F14+(TNOR!F14/Prices!$F$157)+(TELIA!F14/Prices!$F$158)+PROX!F14</f>
        <v>17464.961519010343</v>
      </c>
      <c r="G14" s="228">
        <f>(BT!G14/Prices!$F$153)+DT!G14+ORA!G14+KPN!G14+OTE!G14+(SWISS!G14/Prices!$F$148)+TI!G14+TEF!G14+(TNOR!G14/Prices!$F$157)+(TELIA!G14/Prices!$F$158)+PROX!G14</f>
        <v>17464.961519010343</v>
      </c>
      <c r="H14" s="247"/>
      <c r="I14" s="247"/>
      <c r="J14" s="5" t="s">
        <v>593</v>
      </c>
      <c r="L14" s="64">
        <f>'AGG DM'!D42</f>
        <v>3.3000460374957705</v>
      </c>
      <c r="M14" s="64">
        <f>'AGG DM'!E42</f>
        <v>3.1838124862642916</v>
      </c>
      <c r="N14" s="64">
        <f>'AGG DM'!F42</f>
        <v>3.0594658370749888</v>
      </c>
      <c r="O14" s="64">
        <f>'AGG DM'!G42</f>
        <v>2.9412325385033187</v>
      </c>
      <c r="P14" s="17">
        <f>'AGG DM'!H42</f>
        <v>-7.2864107786076993E-3</v>
      </c>
    </row>
    <row r="15" spans="2:63">
      <c r="B15" s="5" t="s">
        <v>531</v>
      </c>
      <c r="C15" s="257"/>
      <c r="D15" s="228">
        <f>(BT!D15/Prices!$F$153)+DT!D15+ORA!D15+KPN!D15+OTE!D15+(SWISS!D15/Prices!$F$148)+TI!D15+TEF!D15+(TNOR!D15/Prices!$F$157)+(TELIA!D15/Prices!$F$158)+PROX!D15</f>
        <v>110474.81001146346</v>
      </c>
      <c r="E15" s="228">
        <f>(BT!E15/Prices!$F$153)+DT!E15+ORA!E15+KPN!E15+OTE!E15+(SWISS!E15/Prices!$F$148)+TI!E15+TEF!E15+(TNOR!E15/Prices!$F$157)+(TELIA!E15/Prices!$F$158)+PROX!E15</f>
        <v>107411.34173464474</v>
      </c>
      <c r="F15" s="228">
        <f>(BT!F15/Prices!$F$153)+DT!F15+ORA!F15+KPN!F15+OTE!F15+(SWISS!F15/Prices!$F$148)+TI!F15+TEF!F15+(TNOR!F15/Prices!$F$157)+(TELIA!F15/Prices!$F$158)+PROX!F15</f>
        <v>105165.39363128695</v>
      </c>
      <c r="G15" s="228">
        <f>(BT!G15/Prices!$F$153)+DT!G15+ORA!G15+KPN!G15+OTE!G15+(SWISS!G15/Prices!$F$148)+TI!G15+TEF!G15+(TNOR!G15/Prices!$F$157)+(TELIA!G15/Prices!$F$158)+PROX!G15</f>
        <v>102574.03359103507</v>
      </c>
      <c r="H15" s="247"/>
      <c r="I15" s="247"/>
      <c r="J15" s="5" t="s">
        <v>475</v>
      </c>
      <c r="L15" s="64">
        <f>'AGG DM'!D43</f>
        <v>11.806292254184493</v>
      </c>
      <c r="M15" s="64">
        <f>'AGG DM'!E43</f>
        <v>10.8479727708929</v>
      </c>
      <c r="N15" s="64">
        <f>'AGG DM'!F43</f>
        <v>9.79850588673491</v>
      </c>
      <c r="O15" s="64">
        <f>'AGG DM'!G43</f>
        <v>8.8149149732476211</v>
      </c>
      <c r="P15" s="17">
        <f>'AGG DM'!H43</f>
        <v>7.171679530370545E-2</v>
      </c>
      <c r="S15" s="88"/>
      <c r="T15" s="88"/>
      <c r="U15" s="88"/>
      <c r="V15" s="42"/>
      <c r="W15" s="42"/>
      <c r="X15" s="42"/>
      <c r="Y15" s="42"/>
      <c r="Z15" s="42"/>
      <c r="AA15" s="42"/>
    </row>
    <row r="16" spans="2:63">
      <c r="B16" s="5" t="s">
        <v>534</v>
      </c>
      <c r="C16" s="257"/>
      <c r="D16" s="228">
        <f>(BT!D16/Prices!$F$153)+DT!D16+ORA!D16+KPN!D16+OTE!D16+(SWISS!D16/Prices!$F$148)+TI!D16+TEF!D16+(TNOR!D16/Prices!$F$157)+(TELIA!D16/Prices!$F$158)+PROX!D16</f>
        <v>161.7175675</v>
      </c>
      <c r="E16" s="228">
        <f>(BT!E16/Prices!$F$153)+DT!E16+ORA!E16+KPN!E16+OTE!E16+(SWISS!E16/Prices!$F$148)+TI!E16+TEF!E16+(TNOR!E16/Prices!$F$157)+(TELIA!E16/Prices!$F$158)+PROX!E16</f>
        <v>12922.417780540376</v>
      </c>
      <c r="F16" s="228">
        <f>(BT!F16/Prices!$F$153)+DT!F16+ORA!F16+KPN!F16+OTE!F16+(SWISS!F16/Prices!$F$148)+TI!F16+TEF!F16+(TNOR!F16/Prices!$F$157)+(TELIA!F16/Prices!$F$158)+PROX!F16</f>
        <v>26000.885967068818</v>
      </c>
      <c r="G16" s="228">
        <f>(BT!G16/Prices!$F$153)+DT!G16+ORA!G16+KPN!G16+OTE!G16+(SWISS!G16/Prices!$F$148)+TI!G16+TEF!G16+(TNOR!G16/Prices!$F$157)+(TELIA!G16/Prices!$F$158)+PROX!G16</f>
        <v>39723.51489422562</v>
      </c>
      <c r="H16" s="247"/>
      <c r="I16" s="247"/>
      <c r="J16" s="5" t="s">
        <v>533</v>
      </c>
      <c r="L16" s="64">
        <f>'AGG DM'!D44</f>
        <v>13.624604105346204</v>
      </c>
      <c r="M16" s="64">
        <f>'AGG DM'!E44</f>
        <v>12.503028582967529</v>
      </c>
      <c r="N16" s="64">
        <f>'AGG DM'!F44</f>
        <v>11.302702719097406</v>
      </c>
      <c r="O16" s="64">
        <f>'AGG DM'!G44</f>
        <v>10.160048566687355</v>
      </c>
      <c r="P16" s="17">
        <f>'AGG DM'!H44</f>
        <v>7.6119307301105277E-2</v>
      </c>
      <c r="S16" s="88"/>
      <c r="T16" s="88"/>
      <c r="U16" s="88"/>
      <c r="V16" s="42"/>
      <c r="W16" s="42"/>
      <c r="X16" s="42"/>
      <c r="Y16" s="42"/>
      <c r="Z16" s="42"/>
      <c r="AA16" s="42"/>
    </row>
    <row r="17" spans="2:27">
      <c r="B17" s="5" t="s">
        <v>6</v>
      </c>
      <c r="C17" s="257"/>
      <c r="D17" s="228">
        <f>(BT!D17/Prices!$F$153)+DT!D17+ORA!D17+KPN!D17+OTE!D17+(SWISS!D17/Prices!$F$148)+TI!D17+TEF!D17+(TNOR!D17/Prices!$F$157)+(TELIA!D17/Prices!$F$158)+PROX!D17</f>
        <v>5007.7686746103655</v>
      </c>
      <c r="E17" s="228">
        <f>(BT!E17/Prices!$F$153)+DT!E17+ORA!E17+KPN!E17+OTE!E17+(SWISS!E17/Prices!$F$148)+TI!E17+TEF!E17+(TNOR!E17/Prices!$F$157)+(TELIA!E17/Prices!$F$158)+PROX!E17</f>
        <v>4927.1405630748241</v>
      </c>
      <c r="F17" s="228">
        <f>(BT!F17/Prices!$F$153)+DT!F17+ORA!F17+KPN!F17+OTE!F17+(SWISS!F17/Prices!$F$148)+TI!F17+TEF!F17+(TNOR!F17/Prices!$F$157)+(TELIA!F17/Prices!$F$158)+PROX!F17</f>
        <v>4810.1521116856802</v>
      </c>
      <c r="G17" s="228">
        <f>(BT!G17/Prices!$F$153)+DT!G17+ORA!G17+KPN!G17+OTE!G17+(SWISS!G17/Prices!$F$148)+TI!G17+TEF!G17+(TNOR!G17/Prices!$F$157)+(TELIA!G17/Prices!$F$158)+PROX!G17</f>
        <v>4747.3392972886722</v>
      </c>
      <c r="H17" s="247"/>
      <c r="I17" s="247"/>
      <c r="J17" s="5" t="s">
        <v>580</v>
      </c>
      <c r="L17" s="248">
        <f>'AGG DM'!D45</f>
        <v>3.8692911642747754E-2</v>
      </c>
      <c r="M17" s="248">
        <f>'AGG DM'!E45</f>
        <v>4.3419291969220015E-2</v>
      </c>
      <c r="N17" s="248">
        <f>'AGG DM'!F45</f>
        <v>4.6126321738259798E-2</v>
      </c>
      <c r="O17" s="248">
        <f>'AGG DM'!G45</f>
        <v>4.9423675586152439E-2</v>
      </c>
      <c r="P17" s="17">
        <f>'AGG DM'!H45</f>
        <v>5.8812184463164385E-2</v>
      </c>
      <c r="S17" s="88"/>
      <c r="T17" s="88"/>
      <c r="U17" s="88"/>
      <c r="V17" s="42"/>
      <c r="W17" s="42"/>
      <c r="X17" s="42"/>
      <c r="Y17" s="42"/>
      <c r="Z17" s="42"/>
      <c r="AA17" s="42"/>
    </row>
    <row r="18" spans="2:27" ht="12.6" thickBot="1">
      <c r="B18" s="41" t="s">
        <v>456</v>
      </c>
      <c r="C18" s="249"/>
      <c r="D18" s="275">
        <f>(BT!D18/Prices!$F$153)+DT!D18+ORA!D18+KPN!D18+OTE!D18+(SWISS!D18/Prices!$F$148)+TI!D18+TEF!D18+(TNOR!D18/Prices!$F$157)+(TELIA!D18/Prices!$F$158)+PROX!D18</f>
        <v>616560.50895952096</v>
      </c>
      <c r="E18" s="275">
        <f>(BT!E18/Prices!$F$153)+DT!E18+ORA!E18+KPN!E18+OTE!E18+(SWISS!E18/Prices!$F$148)+TI!E18+TEF!E18+(TNOR!E18/Prices!$F$157)+(TELIA!E18/Prices!$F$158)+PROX!E18</f>
        <v>602436.84694026411</v>
      </c>
      <c r="F18" s="275">
        <f>(BT!F18/Prices!$F$153)+DT!F18+ORA!F18+KPN!F18+OTE!F18+(SWISS!F18/Prices!$F$148)+TI!F18+TEF!F18+(TNOR!F18/Prices!$F$157)+(TELIA!F18/Prices!$F$158)+PROX!F18</f>
        <v>585128.27950874378</v>
      </c>
      <c r="G18" s="275">
        <f>(BT!G18/Prices!$F$153)+DT!G18+ORA!G18+KPN!G18+OTE!G18+(SWISS!G18/Prices!$F$148)+TI!G18+TEF!G18+(TNOR!G18/Prices!$F$157)+(TELIA!G18/Prices!$F$158)+PROX!G18</f>
        <v>562425.95712559519</v>
      </c>
      <c r="H18" s="276">
        <f>IF(D18=0,"nm",IF(G18=0,"nm",(G18/D18)^(1/3)-1))</f>
        <v>-3.0167908910435415E-2</v>
      </c>
      <c r="I18" s="254"/>
      <c r="J18" s="5" t="s">
        <v>36</v>
      </c>
      <c r="L18" s="248">
        <f>'AGG DM'!D46</f>
        <v>5.5339609483801136E-2</v>
      </c>
      <c r="M18" s="248">
        <f>'AGG DM'!E46</f>
        <v>7.6500460251698113E-2</v>
      </c>
      <c r="N18" s="248">
        <f>'AGG DM'!F46</f>
        <v>8.0311545489538158E-2</v>
      </c>
      <c r="O18" s="248">
        <f>'AGG DM'!G46</f>
        <v>9.1977124183415609E-2</v>
      </c>
      <c r="P18" s="17">
        <f>'AGG DM'!H46</f>
        <v>0.15593203466037919</v>
      </c>
      <c r="S18" s="88"/>
      <c r="T18" s="88"/>
      <c r="U18" s="88"/>
      <c r="V18" s="42"/>
      <c r="W18" s="42"/>
      <c r="X18" s="42"/>
      <c r="Y18" s="42"/>
      <c r="Z18" s="42"/>
      <c r="AA18" s="42"/>
    </row>
    <row r="19" spans="2:27" ht="12.6" thickTop="1">
      <c r="B19" s="41"/>
      <c r="C19" s="249"/>
      <c r="D19" s="229"/>
      <c r="E19" s="229"/>
      <c r="F19" s="229"/>
      <c r="G19" s="229"/>
      <c r="H19" s="276"/>
      <c r="I19" s="17"/>
      <c r="J19" s="5" t="s">
        <v>581</v>
      </c>
      <c r="L19" s="248">
        <f>'AGG DM'!D47</f>
        <v>8.4700596806382714E-2</v>
      </c>
      <c r="M19" s="248">
        <f>'AGG DM'!E47</f>
        <v>9.2183122240422966E-2</v>
      </c>
      <c r="N19" s="248">
        <f>'AGG DM'!F47</f>
        <v>0.10205637589642999</v>
      </c>
      <c r="O19" s="248">
        <f>'AGG DM'!G47</f>
        <v>0.11344408914151745</v>
      </c>
      <c r="P19" s="17">
        <f>'AGG DM'!H47</f>
        <v>7.171679530370545E-2</v>
      </c>
      <c r="S19" s="88"/>
      <c r="T19" s="88"/>
      <c r="U19" s="88"/>
      <c r="V19" s="42"/>
      <c r="W19" s="42"/>
      <c r="X19" s="42"/>
      <c r="Y19" s="42"/>
      <c r="Z19" s="42"/>
      <c r="AA19" s="42"/>
    </row>
    <row r="20" spans="2:27">
      <c r="H20" s="277"/>
      <c r="I20" s="49"/>
      <c r="J20" s="5" t="s">
        <v>604</v>
      </c>
      <c r="L20" s="248">
        <f>'AGG DM'!D48</f>
        <v>0.45770628705874244</v>
      </c>
      <c r="M20" s="248">
        <f>'AGG DM'!E48</f>
        <v>0.47291165163323612</v>
      </c>
      <c r="N20" s="248">
        <f>'AGG DM'!F48</f>
        <v>0.45515009617149715</v>
      </c>
      <c r="O20" s="248">
        <f>'AGG DM'!G48</f>
        <v>0.44137076019918969</v>
      </c>
      <c r="P20" s="17" t="str">
        <f>'AGG DM'!H48</f>
        <v>nm</v>
      </c>
      <c r="S20" s="88"/>
      <c r="T20" s="88"/>
      <c r="U20" s="88"/>
      <c r="V20" s="42"/>
      <c r="W20" s="42"/>
      <c r="X20" s="42"/>
      <c r="Y20" s="42"/>
      <c r="Z20" s="42"/>
      <c r="AA20" s="42"/>
    </row>
    <row r="21" spans="2:27" ht="12.6" thickBot="1">
      <c r="B21" s="306" t="s">
        <v>159</v>
      </c>
      <c r="C21" s="265">
        <v>2020</v>
      </c>
      <c r="D21" s="265" t="str">
        <f>D5</f>
        <v>2023E</v>
      </c>
      <c r="E21" s="265" t="str">
        <f>E5</f>
        <v>2024E</v>
      </c>
      <c r="F21" s="265" t="str">
        <f>F5</f>
        <v>2025E</v>
      </c>
      <c r="G21" s="265" t="str">
        <f>G5</f>
        <v>2026E</v>
      </c>
      <c r="H21" s="282" t="str">
        <f>H5</f>
        <v>23E-26E</v>
      </c>
      <c r="I21" s="17"/>
      <c r="S21" s="88"/>
      <c r="T21" s="88"/>
      <c r="U21" s="88"/>
      <c r="V21" s="42"/>
      <c r="W21" s="42"/>
      <c r="X21" s="42"/>
      <c r="Y21" s="42"/>
      <c r="Z21" s="42"/>
      <c r="AA21" s="42"/>
    </row>
    <row r="22" spans="2:27" ht="12.6" thickTop="1">
      <c r="B22" s="5"/>
      <c r="C22" s="257"/>
      <c r="D22" s="17"/>
      <c r="E22" s="17"/>
      <c r="F22" s="17"/>
      <c r="G22" s="17"/>
      <c r="H22" s="17"/>
      <c r="I22" s="247"/>
      <c r="P22" s="277"/>
      <c r="S22" s="88"/>
      <c r="T22" s="88"/>
      <c r="U22" s="88"/>
      <c r="V22" s="88"/>
      <c r="W22" s="88"/>
      <c r="X22" s="88"/>
      <c r="Y22" s="42"/>
      <c r="Z22" s="42"/>
      <c r="AA22" s="42"/>
    </row>
    <row r="23" spans="2:27" ht="12.6" thickBot="1">
      <c r="B23" s="5" t="s">
        <v>584</v>
      </c>
      <c r="C23" s="365">
        <f>(BT!C23/Prices!$F$153)+DT!C23+ORA!C23+KPN!C23+OTE!C23+(SWISS!C23/Prices!$F$148)+TI!C23+TEF!C23+(TNOR!C23/Prices!$F$157)+(TELIA!C23/Prices!$F$158)+PROX!C23</f>
        <v>278068.14917181409</v>
      </c>
      <c r="D23" s="228">
        <f>(BT!D23/Prices!$F$153)+DT!D23+ORA!D23+KPN!D23+OTE!D23+(SWISS!D23/Prices!$F$148)+TI!D23+TEF!D23+(TNOR!D23/Prices!$F$157)+(TELIA!D23/Prices!$F$158)+PROX!D23</f>
        <v>282561.91042885656</v>
      </c>
      <c r="E23" s="228">
        <f>(BT!E23/Prices!$F$153)+DT!E23+ORA!E23+KPN!E23+OTE!E23+(SWISS!E23/Prices!$F$148)+TI!E23+TEF!E23+(TNOR!E23/Prices!$F$157)+(TELIA!E23/Prices!$F$158)+PROX!E23</f>
        <v>286931.96754838648</v>
      </c>
      <c r="F23" s="228">
        <f>(BT!F23/Prices!$F$153)+DT!F23+ORA!F23+KPN!F23+OTE!F23+(SWISS!F23/Prices!$F$148)+TI!F23+TEF!F23+(TNOR!F23/Prices!$F$157)+(TELIA!F23/Prices!$F$158)+PROX!F23</f>
        <v>291488.89391418465</v>
      </c>
      <c r="G23" s="228">
        <f>(BT!G23/Prices!$F$153)+DT!G23+ORA!G23+KPN!G23+OTE!G23+(SWISS!G23/Prices!$F$148)+TI!G23+TEF!G23+(TNOR!G23/Prices!$F$157)+(TELIA!G23/Prices!$F$158)+PROX!G23</f>
        <v>295946.35422176594</v>
      </c>
      <c r="H23" s="279">
        <f t="shared" ref="H23:H33" si="0">IF(D23=0,"nm",IF(G23=0,"nm",(G23/D23)^(1/3)-1))</f>
        <v>1.5546449189376421E-2</v>
      </c>
      <c r="I23" s="249"/>
      <c r="J23" s="306" t="s">
        <v>9</v>
      </c>
      <c r="K23" s="306"/>
      <c r="L23" s="265" t="str">
        <f>L5</f>
        <v>2023E</v>
      </c>
      <c r="M23" s="265" t="str">
        <f>M5</f>
        <v>2024E</v>
      </c>
      <c r="N23" s="265" t="str">
        <f>N5</f>
        <v>2025E</v>
      </c>
      <c r="O23" s="265" t="str">
        <f>O5</f>
        <v>2026E</v>
      </c>
      <c r="P23" s="282" t="str">
        <f>P5</f>
        <v>23E-26E</v>
      </c>
      <c r="S23" s="88"/>
      <c r="T23" s="42"/>
      <c r="U23" s="42"/>
      <c r="V23" s="42"/>
      <c r="W23" s="42" t="s">
        <v>565</v>
      </c>
      <c r="X23" s="42" t="s">
        <v>610</v>
      </c>
      <c r="Y23" s="42"/>
      <c r="Z23" s="42"/>
      <c r="AA23" s="42"/>
    </row>
    <row r="24" spans="2:27" ht="12.6" thickTop="1">
      <c r="B24" s="5" t="s">
        <v>483</v>
      </c>
      <c r="C24" s="365">
        <f>(BT!C24/Prices!$F$153)+DT!C24+ORA!C24+KPN!C24+OTE!C24+(SWISS!C24/Prices!$F$148)+TI!C24+TEF!C24+(TNOR!C24/Prices!$F$157)+(TELIA!C24/Prices!$F$158)+PROX!C24</f>
        <v>92287.113810314215</v>
      </c>
      <c r="D24" s="228">
        <f>(BT!D24/Prices!$F$153)+DT!D24+ORA!D24+KPN!D24+OTE!D24+(SWISS!D24/Prices!$F$148)+TI!D24+TEF!D24+(TNOR!D24/Prices!$F$157)+(TELIA!D24/Prices!$F$158)+PROX!D24</f>
        <v>92630.354518898355</v>
      </c>
      <c r="E24" s="228">
        <f>(BT!E24/Prices!$F$153)+DT!E24+ORA!E24+KPN!E24+OTE!E24+(SWISS!E24/Prices!$F$148)+TI!E24+TEF!E24+(TNOR!E24/Prices!$F$157)+(TELIA!E24/Prices!$F$158)+PROX!E24</f>
        <v>95980.493703640212</v>
      </c>
      <c r="F24" s="228">
        <f>(BT!F24/Prices!$F$153)+DT!F24+ORA!F24+KPN!F24+OTE!F24+(SWISS!F24/Prices!$F$148)+TI!F24+TEF!F24+(TNOR!F24/Prices!$F$157)+(TELIA!F24/Prices!$F$158)+PROX!F24</f>
        <v>99029.915867148666</v>
      </c>
      <c r="G24" s="228">
        <f>(BT!G24/Prices!$F$153)+DT!G24+ORA!G24+KPN!G24+OTE!G24+(SWISS!G24/Prices!$F$148)+TI!G24+TEF!G24+(TNOR!G24/Prices!$F$157)+(TELIA!G24/Prices!$F$158)+PROX!G24</f>
        <v>101796.83204219639</v>
      </c>
      <c r="H24" s="279">
        <f t="shared" si="0"/>
        <v>3.1953936851226938E-2</v>
      </c>
      <c r="I24" s="248"/>
      <c r="J24" s="17"/>
      <c r="K24" s="17"/>
      <c r="L24" s="17"/>
      <c r="M24" s="17"/>
      <c r="N24" s="17"/>
      <c r="O24" s="248"/>
      <c r="S24" s="88"/>
      <c r="T24" s="42"/>
      <c r="U24" s="42"/>
      <c r="V24" s="147" t="s">
        <v>273</v>
      </c>
      <c r="W24" s="288">
        <f t="shared" ref="W24:W31" si="1">E37/M9</f>
        <v>0.95131422664591903</v>
      </c>
      <c r="X24" s="288">
        <v>1</v>
      </c>
      <c r="Y24" s="42"/>
      <c r="Z24" s="42"/>
      <c r="AA24" s="42"/>
    </row>
    <row r="25" spans="2:27">
      <c r="B25" s="5" t="s">
        <v>183</v>
      </c>
      <c r="C25" s="365">
        <f>(BT!C25/Prices!$F$153)+DT!C25+ORA!C25+KPN!C25+OTE!C25+(SWISS!C25/Prices!$F$148)+TI!C25+TEF!C25+(TNOR!C25/Prices!$F$157)+(TELIA!C25/Prices!$F$158)+PROX!C25</f>
        <v>38033.69688737001</v>
      </c>
      <c r="D25" s="228">
        <f>(BT!D25/Prices!$F$153)+DT!D25+ORA!D25+KPN!D25+OTE!D25+(SWISS!D25/Prices!$F$148)+TI!D25+TEF!D25+(TNOR!D25/Prices!$F$157)+(TELIA!D25/Prices!$F$158)+PROX!D25</f>
        <v>44483.845777545132</v>
      </c>
      <c r="E25" s="228">
        <f>(BT!E25/Prices!$F$153)+DT!E25+ORA!E25+KPN!E25+OTE!E25+(SWISS!E25/Prices!$F$148)+TI!E25+TEF!E25+(TNOR!E25/Prices!$F$157)+(TELIA!E25/Prices!$F$158)+PROX!E25</f>
        <v>49803.711888550213</v>
      </c>
      <c r="F25" s="228">
        <f>(BT!F25/Prices!$F$153)+DT!F25+ORA!F25+KPN!F25+OTE!F25+(SWISS!F25/Prices!$F$148)+TI!F25+TEF!F25+(TNOR!F25/Prices!$F$157)+(TELIA!F25/Prices!$F$158)+PROX!F25</f>
        <v>53799.555645851367</v>
      </c>
      <c r="G25" s="228">
        <f>(BT!G25/Prices!$F$153)+DT!G25+ORA!G25+KPN!G25+OTE!G25+(SWISS!G25/Prices!$F$148)+TI!G25+TEF!G25+(TNOR!G25/Prices!$F$157)+(TELIA!G25/Prices!$F$158)+PROX!G25</f>
        <v>57394.00098081617</v>
      </c>
      <c r="H25" s="279">
        <f t="shared" si="0"/>
        <v>8.864945159447446E-2</v>
      </c>
      <c r="I25" s="249"/>
      <c r="J25" s="247" t="s">
        <v>10</v>
      </c>
      <c r="K25" s="247"/>
      <c r="L25" s="332">
        <f>(BT!L25/Prices!$F$153)+DT!L25+ORA!L25+KPN!L25+OTE!L25+(SWISS!L25/Prices!$F$148)+TI!L25+TEF!L25+(TNOR!L25/Prices!$F$157)+(TELIA!L25/Prices!$F$158)+PROX!L25</f>
        <v>25193.113076768201</v>
      </c>
      <c r="M25" s="332">
        <f>(BT!M25/Prices!$F$153)+DT!M25+ORA!M25+KPN!M25+OTE!M25+(SWISS!M25/Prices!$F$148)+TI!M25+TEF!M25+(TNOR!M25/Prices!$F$157)+(TELIA!M25/Prices!$F$158)+PROX!M25</f>
        <v>25363.119457270466</v>
      </c>
      <c r="N25" s="332">
        <f>(BT!N25/Prices!$F$153)+DT!N25+ORA!N25+KPN!N25+OTE!N25+(SWISS!N25/Prices!$F$148)+TI!N25+TEF!N25+(TNOR!N25/Prices!$F$157)+(TELIA!N25/Prices!$F$158)+PROX!N25</f>
        <v>25297.335118309231</v>
      </c>
      <c r="O25" s="332">
        <f>(BT!O25/Prices!$F$153)+DT!O25+ORA!O25+KPN!O25+OTE!O25+(SWISS!O25/Prices!$F$148)+TI!O25+TEF!O25+(TNOR!O25/Prices!$F$157)+(TELIA!O25/Prices!$F$158)+PROX!O25</f>
        <v>22497.574852419668</v>
      </c>
      <c r="P25" s="349">
        <f>IF(L25=0,"nm",IF(O25=0,"nm",(O25/L25)^(1/3)-1))</f>
        <v>-3.7018472071468689E-2</v>
      </c>
      <c r="Q25" s="5"/>
      <c r="S25" s="88"/>
      <c r="T25" s="42"/>
      <c r="U25" s="42"/>
      <c r="V25" s="147" t="s">
        <v>184</v>
      </c>
      <c r="W25" s="288">
        <f t="shared" si="1"/>
        <v>0.95279741506841864</v>
      </c>
      <c r="X25" s="288">
        <v>1</v>
      </c>
      <c r="Y25" s="42"/>
      <c r="Z25" s="42"/>
      <c r="AA25" s="42"/>
    </row>
    <row r="26" spans="2:27">
      <c r="B26" s="5" t="s">
        <v>586</v>
      </c>
      <c r="C26" s="365">
        <f>(BT!C26/Prices!$F$153)+DT!C26+ORA!C26+KPN!C26+OTE!C26+(SWISS!C26/Prices!$F$148)+TI!C26+TEF!C26+(TNOR!C26/Prices!$F$157)+(TELIA!C26/Prices!$F$158)+PROX!C26</f>
        <v>28759.269713351863</v>
      </c>
      <c r="D26" s="228">
        <f>(BT!D26/Prices!$F$153)+DT!D26+ORA!D26+KPN!D26+OTE!D26+(SWISS!D26/Prices!$F$148)+TI!D26+TEF!D26+(TNOR!D26/Prices!$F$157)+(TELIA!D26/Prices!$F$158)+PROX!D26</f>
        <v>32842.640941600628</v>
      </c>
      <c r="E26" s="228">
        <f>(BT!E26/Prices!$F$153)+DT!E26+ORA!E26+KPN!E26+OTE!E26+(SWISS!E26/Prices!$F$148)+TI!E26+TEF!E26+(TNOR!E26/Prices!$F$157)+(TELIA!E26/Prices!$F$158)+PROX!E26</f>
        <v>36922.84392207575</v>
      </c>
      <c r="F26" s="228">
        <f>(BT!F26/Prices!$F$153)+DT!F26+ORA!F26+KPN!F26+OTE!F26+(SWISS!F26/Prices!$F$148)+TI!F26+TEF!F26+(TNOR!F26/Prices!$F$157)+(TELIA!F26/Prices!$F$158)+PROX!F26</f>
        <v>39862.427941601185</v>
      </c>
      <c r="G26" s="228">
        <f>(BT!G26/Prices!$F$153)+DT!G26+ORA!G26+KPN!G26+OTE!G26+(SWISS!G26/Prices!$F$148)+TI!G26+TEF!G26+(TNOR!G26/Prices!$F$157)+(TELIA!G26/Prices!$F$158)+PROX!G26</f>
        <v>42445.127111257752</v>
      </c>
      <c r="H26" s="279">
        <f t="shared" si="0"/>
        <v>8.9255902689365119E-2</v>
      </c>
      <c r="I26" s="249"/>
      <c r="J26" s="249" t="s">
        <v>11</v>
      </c>
      <c r="K26" s="249"/>
      <c r="L26" s="281">
        <f>(BT!L26/Prices!$F$153)+DT!L26+ORA!L26+KPN!L26+OTE!L26+(SWISS!L26/Prices!$F$148)+TI!L26+TEF!L26+(TNOR!L26/Prices!$F$157)+(TELIA!L26/Prices!$F$158)+PROX!L26</f>
        <v>276777.2704192953</v>
      </c>
      <c r="M26" s="281">
        <f>(BT!M26/Prices!$F$153)+DT!M26+ORA!M26+KPN!M26+OTE!M26+(SWISS!M26/Prices!$F$148)+TI!M26+TEF!M26+(TNOR!M26/Prices!$F$157)+(TELIA!M26/Prices!$F$158)+PROX!M26</f>
        <v>274207.60273900902</v>
      </c>
      <c r="N26" s="281">
        <f>(BT!N26/Prices!$F$153)+DT!N26+ORA!N26+KPN!N26+OTE!N26+(SWISS!N26/Prices!$F$148)+TI!N26+TEF!N26+(TNOR!N26/Prices!$F$157)+(TELIA!N26/Prices!$F$158)+PROX!N26</f>
        <v>273751.45398855791</v>
      </c>
      <c r="O26" s="281">
        <f>(BT!O26/Prices!$F$153)+DT!O26+ORA!O26+KPN!O26+OTE!O26+(SWISS!O26/Prices!$F$148)+TI!O26+TEF!O26+(TNOR!O26/Prices!$F$157)+(TELIA!O26/Prices!$F$158)+PROX!O26</f>
        <v>270590.4878511508</v>
      </c>
      <c r="P26" s="349">
        <f>IF(L26=0,"nm",IF(O26=0,"nm",(O26/L26)^(1/3)-1))</f>
        <v>-7.5071931238471779E-3</v>
      </c>
      <c r="Q26" s="41"/>
      <c r="S26" s="88"/>
      <c r="T26" s="42"/>
      <c r="U26" s="42"/>
      <c r="V26" s="147" t="s">
        <v>185</v>
      </c>
      <c r="W26" s="288">
        <f t="shared" si="1"/>
        <v>1.0524272570709974</v>
      </c>
      <c r="X26" s="288">
        <v>1</v>
      </c>
      <c r="Y26" s="42"/>
      <c r="Z26" s="42"/>
      <c r="AA26" s="42"/>
    </row>
    <row r="27" spans="2:27">
      <c r="B27" s="5" t="s">
        <v>587</v>
      </c>
      <c r="C27" s="365">
        <f>(BT!C27/Prices!$F$153)+DT!C27+ORA!C27+KPN!C27+OTE!C27+(SWISS!C27/Prices!$F$148)+TI!C27+TEF!C27+(TNOR!C27/Prices!$F$157)+(TELIA!C27/Prices!$F$158)+PROX!C27</f>
        <v>442607.50662190892</v>
      </c>
      <c r="D27" s="228">
        <f>(BT!D27/Prices!$F$153)+DT!D27+ORA!D27+KPN!D27+OTE!D27+(SWISS!D27/Prices!$F$148)+TI!D27+TEF!D27+(TNOR!D27/Prices!$F$157)+(TELIA!D27/Prices!$F$158)+PROX!D27</f>
        <v>423635.0192819236</v>
      </c>
      <c r="E27" s="228">
        <f>(BT!E27/Prices!$F$153)+DT!E27+ORA!E27+KPN!E27+OTE!E27+(SWISS!E27/Prices!$F$148)+TI!E27+TEF!E27+(TNOR!E27/Prices!$F$157)+(TELIA!E27/Prices!$F$158)+PROX!E27</f>
        <v>441264.64504105877</v>
      </c>
      <c r="F27" s="228">
        <f>(BT!F27/Prices!$F$153)+DT!F27+ORA!F27+KPN!F27+OTE!F27+(SWISS!F27/Prices!$F$148)+TI!F27+TEF!F27+(TNOR!F27/Prices!$F$157)+(TELIA!F27/Prices!$F$158)+PROX!F27</f>
        <v>451181.05562354124</v>
      </c>
      <c r="G27" s="228">
        <f>(BT!G27/Prices!$F$153)+DT!G27+ORA!G27+KPN!G27+OTE!G27+(SWISS!G27/Prices!$F$148)+TI!G27+TEF!G27+(TNOR!G27/Prices!$F$157)+(TELIA!G27/Prices!$F$158)+PROX!G27</f>
        <v>457948.35114610364</v>
      </c>
      <c r="H27" s="279">
        <f t="shared" si="0"/>
        <v>2.6301307293472354E-2</v>
      </c>
      <c r="I27" s="248"/>
      <c r="J27" s="248"/>
      <c r="K27" s="248"/>
      <c r="L27" s="248"/>
      <c r="M27" s="248"/>
      <c r="N27" s="248"/>
      <c r="O27" s="248"/>
      <c r="Q27" s="5"/>
      <c r="S27" s="88"/>
      <c r="T27" s="42"/>
      <c r="U27" s="42"/>
      <c r="V27" s="147" t="s">
        <v>466</v>
      </c>
      <c r="W27" s="288">
        <f t="shared" si="1"/>
        <v>0.99809830863770099</v>
      </c>
      <c r="X27" s="288">
        <v>1</v>
      </c>
      <c r="Y27" s="42"/>
      <c r="Z27" s="42"/>
      <c r="AA27" s="42"/>
    </row>
    <row r="28" spans="2:27" ht="12.6" thickBot="1">
      <c r="B28" s="5" t="s">
        <v>592</v>
      </c>
      <c r="C28" s="365">
        <f>(BT!C28/Prices!$F$153)+DT!C28+ORA!C28+KPN!C28+OTE!C28+(SWISS!C28/Prices!$F$148)+TI!C28+TEF!C28+(TNOR!C28/Prices!$F$157)+(TELIA!C28/Prices!$F$158)+PROX!C28</f>
        <v>194535.59045091039</v>
      </c>
      <c r="D28" s="228">
        <f>(BT!D28/Prices!$F$153)+DT!D28+ORA!D28+KPN!D28+OTE!D28+(SWISS!D28/Prices!$F$148)+TI!D28+TEF!D28+(TNOR!D28/Prices!$F$157)+(TELIA!D28/Prices!$F$158)+PROX!D28</f>
        <v>185516.57440436102</v>
      </c>
      <c r="E28" s="228">
        <f>(BT!E28/Prices!$F$153)+DT!E28+ORA!E28+KPN!E28+OTE!E28+(SWISS!E28/Prices!$F$148)+TI!E28+TEF!E28+(TNOR!E28/Prices!$F$157)+(TELIA!E28/Prices!$F$158)+PROX!E28</f>
        <v>185798.69965217524</v>
      </c>
      <c r="F28" s="228">
        <f>(BT!F28/Prices!$F$153)+DT!F28+ORA!F28+KPN!F28+OTE!F28+(SWISS!F28/Prices!$F$148)+TI!F28+TEF!F28+(TNOR!F28/Prices!$F$157)+(TELIA!F28/Prices!$F$158)+PROX!F28</f>
        <v>184801.5779447112</v>
      </c>
      <c r="G28" s="228">
        <f>(BT!G28/Prices!$F$153)+DT!G28+ORA!G28+KPN!G28+OTE!G28+(SWISS!G28/Prices!$F$148)+TI!G28+TEF!G28+(TNOR!G28/Prices!$F$157)+(TELIA!G28/Prices!$F$158)+PROX!G28</f>
        <v>183617.86447497547</v>
      </c>
      <c r="H28" s="279">
        <f t="shared" si="0"/>
        <v>-3.4232783193558491E-3</v>
      </c>
      <c r="I28" s="252"/>
      <c r="J28" s="306" t="s">
        <v>754</v>
      </c>
      <c r="K28" s="306"/>
      <c r="L28" s="306"/>
      <c r="M28" s="306"/>
      <c r="N28" s="266"/>
      <c r="O28" s="266"/>
      <c r="P28" s="266"/>
      <c r="Q28" s="5"/>
      <c r="S28" s="88"/>
      <c r="T28" s="42"/>
      <c r="U28" s="42"/>
      <c r="V28" s="147" t="s">
        <v>530</v>
      </c>
      <c r="W28" s="288">
        <f t="shared" si="1"/>
        <v>0.97465464683071068</v>
      </c>
      <c r="X28" s="288">
        <v>1</v>
      </c>
      <c r="Y28" s="42"/>
      <c r="Z28" s="42"/>
      <c r="AA28" s="42"/>
    </row>
    <row r="29" spans="2:27" ht="12.6" thickTop="1">
      <c r="B29" s="5" t="s">
        <v>588</v>
      </c>
      <c r="C29" s="365">
        <f>(BT!C29/Prices!$F$153)+DT!C29+ORA!C29+KPN!C29+OTE!C29+(SWISS!C29/Prices!$F$148)+TI!C29+TEF!C29+(TNOR!C29/Prices!$F$157)+(TELIA!C29/Prices!$F$158)+PROX!C29</f>
        <v>21738.19059070689</v>
      </c>
      <c r="D29" s="228">
        <f>(BT!D29/Prices!$F$153)+DT!D29+ORA!D29+KPN!D29+OTE!D29+(SWISS!D29/Prices!$F$148)+TI!D29+TEF!D29+(TNOR!D29/Prices!$F$157)+(TELIA!D29/Prices!$F$158)+PROX!D29</f>
        <v>18008.573163961304</v>
      </c>
      <c r="E29" s="228">
        <f>(BT!E29/Prices!$F$153)+DT!E29+ORA!E29+KPN!E29+OTE!E29+(SWISS!E29/Prices!$F$148)+TI!E29+TEF!E29+(TNOR!E29/Prices!$F$157)+(TELIA!E29/Prices!$F$158)+PROX!E29</f>
        <v>19726.483056144854</v>
      </c>
      <c r="F29" s="228">
        <f>(BT!F29/Prices!$F$153)+DT!F29+ORA!F29+KPN!F29+OTE!F29+(SWISS!F29/Prices!$F$148)+TI!F29+TEF!F29+(TNOR!F29/Prices!$F$157)+(TELIA!F29/Prices!$F$158)+PROX!F29</f>
        <v>23183.487021948054</v>
      </c>
      <c r="G29" s="228">
        <f>(BT!G29/Prices!$F$153)+DT!G29+ORA!G29+KPN!G29+OTE!G29+(SWISS!G29/Prices!$F$148)+TI!G29+TEF!G29+(TNOR!G29/Prices!$F$157)+(TELIA!G29/Prices!$F$158)+PROX!G29</f>
        <v>25122.611499327002</v>
      </c>
      <c r="H29" s="279">
        <f t="shared" si="0"/>
        <v>0.11736524628436351</v>
      </c>
      <c r="I29" s="254"/>
      <c r="J29" s="249"/>
      <c r="K29" s="249"/>
      <c r="L29" s="249"/>
      <c r="M29" s="249"/>
      <c r="N29" s="249"/>
      <c r="O29" s="251"/>
      <c r="Q29" s="5"/>
      <c r="S29" s="88"/>
      <c r="T29" s="42"/>
      <c r="U29" s="42"/>
      <c r="V29" s="147" t="s">
        <v>593</v>
      </c>
      <c r="W29" s="288">
        <f t="shared" si="1"/>
        <v>1.0184069982631847</v>
      </c>
      <c r="X29" s="288">
        <v>1</v>
      </c>
      <c r="Y29" s="42"/>
      <c r="Z29" s="42"/>
      <c r="AA29" s="42"/>
    </row>
    <row r="30" spans="2:27">
      <c r="B30" s="5" t="s">
        <v>589</v>
      </c>
      <c r="C30" s="365">
        <f>(BT!C30/Prices!$F$153)+DT!C30+ORA!C30+KPN!C30+OTE!C30+(SWISS!C30/Prices!$F$148)+TI!C30+TEF!C30+(TNOR!C30/Prices!$F$157)+(TELIA!C30/Prices!$F$158)+PROX!C30</f>
        <v>21090.494259911775</v>
      </c>
      <c r="D30" s="228">
        <f>(BT!D30/Prices!$F$153)+DT!D30+ORA!D30+KPN!D30+OTE!D30+(SWISS!D30/Prices!$F$148)+TI!D30+TEF!D30+(TNOR!D30/Prices!$F$157)+(TELIA!D30/Prices!$F$158)+PROX!D30</f>
        <v>18165.648677953992</v>
      </c>
      <c r="E30" s="228">
        <f>(BT!E30/Prices!$F$153)+DT!E30+ORA!E30+KPN!E30+OTE!E30+(SWISS!E30/Prices!$F$148)+TI!E30+TEF!E30+(TNOR!E30/Prices!$F$157)+(TELIA!E30/Prices!$F$158)+PROX!E30</f>
        <v>20007.939783198704</v>
      </c>
      <c r="F30" s="228">
        <f>(BT!F30/Prices!$F$153)+DT!F30+ORA!F30+KPN!F30+OTE!F30+(SWISS!F30/Prices!$F$148)+TI!F30+TEF!F30+(TNOR!F30/Prices!$F$157)+(TELIA!F30/Prices!$F$158)+PROX!F30</f>
        <v>21831.684126381555</v>
      </c>
      <c r="G30" s="228">
        <f>(BT!G30/Prices!$F$153)+DT!G30+ORA!G30+KPN!G30+OTE!G30+(SWISS!G30/Prices!$F$148)+TI!G30+TEF!G30+(TNOR!G30/Prices!$F$157)+(TELIA!G30/Prices!$F$158)+PROX!G30</f>
        <v>23675.827306590323</v>
      </c>
      <c r="H30" s="279">
        <f t="shared" si="0"/>
        <v>9.2323853476973694E-2</v>
      </c>
      <c r="I30" s="254"/>
      <c r="J30" s="248"/>
      <c r="K30" s="248"/>
      <c r="L30" s="248"/>
      <c r="M30" s="248"/>
      <c r="N30" s="248"/>
      <c r="O30" s="5"/>
      <c r="Q30" s="5"/>
      <c r="S30" s="88"/>
      <c r="T30" s="42"/>
      <c r="U30" s="42"/>
      <c r="V30" s="147" t="s">
        <v>475</v>
      </c>
      <c r="W30" s="288">
        <f t="shared" si="1"/>
        <v>1.2813897383836728</v>
      </c>
      <c r="X30" s="288">
        <v>1</v>
      </c>
      <c r="Y30" s="42"/>
      <c r="Z30" s="42"/>
      <c r="AA30" s="42"/>
    </row>
    <row r="31" spans="2:27">
      <c r="B31" s="5" t="s">
        <v>590</v>
      </c>
      <c r="C31" s="365">
        <f>(BT!C31/Prices!$F$153)+DT!C31+ORA!C31+KPN!C31+OTE!C31+(SWISS!C31/Prices!$F$148)+TI!C31+TEF!C31+(TNOR!C31/Prices!$F$157)+(TELIA!C31/Prices!$F$158)+PROX!C31</f>
        <v>12133.604369407167</v>
      </c>
      <c r="D31" s="228">
        <f>(BT!D31/Prices!$F$153)+DT!D31+ORA!D31+KPN!D31+OTE!D31+(SWISS!D31/Prices!$F$148)+TI!D31+TEF!D31+(TNOR!D31/Prices!$F$157)+(TELIA!D31/Prices!$F$158)+PROX!D31</f>
        <v>12561.538680321406</v>
      </c>
      <c r="E31" s="228">
        <f>(BT!E31/Prices!$F$153)+DT!E31+ORA!E31+KPN!E31+OTE!E31+(SWISS!E31/Prices!$F$148)+TI!E31+TEF!E31+(TNOR!E31/Prices!$F$157)+(TELIA!E31/Prices!$F$158)+PROX!E31</f>
        <v>13074.370399368721</v>
      </c>
      <c r="F31" s="228">
        <f>(BT!F31/Prices!$F$153)+DT!F31+ORA!F31+KPN!F31+OTE!F31+(SWISS!F31/Prices!$F$148)+TI!F31+TEF!F31+(TNOR!F31/Prices!$F$157)+(TELIA!F31/Prices!$F$158)+PROX!F31</f>
        <v>13628.240551368563</v>
      </c>
      <c r="G31" s="228">
        <f>(BT!G31/Prices!$F$153)+DT!G31+ORA!G31+KPN!G31+OTE!G31+(SWISS!G31/Prices!$F$148)+TI!G31+TEF!G31+(TNOR!G31/Prices!$F$157)+(TELIA!G31/Prices!$F$158)+PROX!G31</f>
        <v>14469.422880859463</v>
      </c>
      <c r="H31" s="279">
        <f t="shared" si="0"/>
        <v>4.8261067786518064E-2</v>
      </c>
      <c r="I31" s="254"/>
      <c r="J31" s="252"/>
      <c r="K31" s="252"/>
      <c r="L31" s="252"/>
      <c r="M31" s="252"/>
      <c r="N31" s="252"/>
      <c r="O31" s="5"/>
      <c r="Q31" s="5"/>
      <c r="S31" s="88"/>
      <c r="T31" s="42"/>
      <c r="U31" s="42"/>
      <c r="V31" s="147" t="s">
        <v>533</v>
      </c>
      <c r="W31" s="288">
        <f t="shared" si="1"/>
        <v>0.99474192301155651</v>
      </c>
      <c r="X31" s="288">
        <v>1</v>
      </c>
      <c r="Y31" s="42"/>
      <c r="Z31" s="42"/>
      <c r="AA31" s="42"/>
    </row>
    <row r="32" spans="2:27">
      <c r="B32" s="5" t="s">
        <v>606</v>
      </c>
      <c r="C32" s="365">
        <f>(BT!C32/Prices!$F$153)+DT!C32+ORA!C32+KPN!C32+OTE!C32+(SWISS!C32/Prices!$F$148)+TI!C32+TEF!C32+(TNOR!C32/Prices!$F$157)+(TELIA!C32/Prices!$F$158)+PROX!C32</f>
        <v>0</v>
      </c>
      <c r="D32" s="228">
        <f>(BT!D32/Prices!$F$153)+DT!D32+ORA!D32+KPN!D32+OTE!D32+(SWISS!D32/Prices!$F$148)+TI!D32+TEF!D32+(TNOR!D32/Prices!$F$157)+(TELIA!D32/Prices!$F$158)+PROX!D32</f>
        <v>0</v>
      </c>
      <c r="E32" s="228">
        <f>(BT!E32/Prices!$F$153)+DT!E32+ORA!E32+KPN!E32+OTE!E32+(SWISS!E32/Prices!$F$148)+TI!E32+TEF!E32+(TNOR!E32/Prices!$F$157)+(TELIA!E32/Prices!$F$158)+PROX!E32</f>
        <v>0</v>
      </c>
      <c r="F32" s="228">
        <f>(BT!F32/Prices!$F$153)+DT!F32+ORA!F32+KPN!F32+OTE!F32+(SWISS!F32/Prices!$F$148)+TI!F32+TEF!F32+(TNOR!F32/Prices!$F$157)+(TELIA!F32/Prices!$F$158)+PROX!F32</f>
        <v>0</v>
      </c>
      <c r="G32" s="228">
        <f>(BT!G32/Prices!$F$153)+DT!G32+ORA!G32+KPN!G32+OTE!G32+(SWISS!G32/Prices!$F$148)+TI!G32+TEF!G32+(TNOR!G32/Prices!$F$157)+(TELIA!G32/Prices!$F$158)+PROX!G32</f>
        <v>0</v>
      </c>
      <c r="H32" s="279" t="str">
        <f t="shared" si="0"/>
        <v>nm</v>
      </c>
      <c r="I32" s="5"/>
      <c r="J32" s="254"/>
      <c r="K32" s="254"/>
      <c r="L32" s="254"/>
      <c r="M32" s="254"/>
      <c r="N32" s="254"/>
      <c r="O32" s="251"/>
      <c r="Q32" s="5"/>
      <c r="S32" s="88"/>
      <c r="T32" s="42"/>
      <c r="U32" s="42"/>
      <c r="V32" s="147" t="s">
        <v>580</v>
      </c>
      <c r="W32" s="288">
        <f>M17/E45</f>
        <v>0.82639935572432499</v>
      </c>
      <c r="X32" s="288">
        <v>1</v>
      </c>
      <c r="Y32" s="42"/>
      <c r="Z32" s="42"/>
      <c r="AA32" s="42"/>
    </row>
    <row r="33" spans="2:42">
      <c r="B33" s="5" t="s">
        <v>5</v>
      </c>
      <c r="C33" s="365">
        <f>(BT!C33/Prices!$F$153)+DT!C33+ORA!C33+KPN!C33+OTE!C33+(SWISS!C33/Prices!$F$148)+TI!C33+TEF!C33+(TNOR!C33/Prices!$F$157)+(TELIA!C33/Prices!$F$158)+PROX!C33</f>
        <v>8690.9067484650095</v>
      </c>
      <c r="D33" s="228">
        <f>(BT!D33/Prices!$F$153)+DT!D33+ORA!D33+KPN!D33+OTE!D33+(SWISS!D33/Prices!$F$148)+TI!D33+TEF!D33+(TNOR!D33/Prices!$F$157)+(TELIA!D33/Prices!$F$158)+PROX!D33</f>
        <v>11958.537058234695</v>
      </c>
      <c r="E33" s="228">
        <f>(BT!E33/Prices!$F$153)+DT!E33+ORA!E33+KPN!E33+OTE!E33+(SWISS!E33/Prices!$F$148)+TI!E33+TEF!E33+(TNOR!E33/Prices!$F$157)+(TELIA!E33/Prices!$F$158)+PROX!E33</f>
        <v>11390.486151385241</v>
      </c>
      <c r="F33" s="228">
        <f>(BT!F33/Prices!$F$153)+DT!F33+ORA!F33+KPN!F33+OTE!F33+(SWISS!F33/Prices!$F$148)+TI!F33+TEF!F33+(TNOR!F33/Prices!$F$157)+(TELIA!F33/Prices!$F$158)+PROX!F33</f>
        <v>11497.651327963091</v>
      </c>
      <c r="G33" s="228">
        <f>(BT!G33/Prices!$F$153)+DT!G33+ORA!G33+KPN!G33+OTE!G33+(SWISS!G33/Prices!$F$148)+TI!G33+TEF!G33+(TNOR!G33/Prices!$F$157)+(TELIA!G33/Prices!$F$158)+PROX!G33</f>
        <v>11240.828757900064</v>
      </c>
      <c r="H33" s="279">
        <f t="shared" si="0"/>
        <v>-2.0419586947389101E-2</v>
      </c>
      <c r="I33" s="49"/>
      <c r="J33" s="254"/>
      <c r="K33" s="254"/>
      <c r="L33" s="254"/>
      <c r="M33" s="254"/>
      <c r="N33" s="254"/>
      <c r="O33" s="251"/>
      <c r="Q33" s="5"/>
      <c r="S33" s="88"/>
      <c r="T33" s="42"/>
      <c r="U33" s="42"/>
      <c r="V33" s="147" t="s">
        <v>581</v>
      </c>
      <c r="W33" s="288">
        <f>M19/E47</f>
        <v>1.2813897383836728</v>
      </c>
      <c r="X33" s="288">
        <v>1</v>
      </c>
      <c r="Y33" s="288"/>
      <c r="Z33" s="288"/>
      <c r="AA33" s="42"/>
      <c r="AC33" s="10"/>
      <c r="AD33" s="10"/>
      <c r="AE33" s="10"/>
      <c r="AF33" s="10"/>
      <c r="AH33" s="10"/>
      <c r="AI33" s="10"/>
      <c r="AJ33" s="10"/>
      <c r="AK33" s="10"/>
      <c r="AM33" s="10"/>
      <c r="AN33" s="10"/>
      <c r="AO33" s="10"/>
      <c r="AP33" s="10"/>
    </row>
    <row r="34" spans="2:42">
      <c r="H34" s="277"/>
      <c r="I34" s="254"/>
      <c r="J34" s="254"/>
      <c r="K34" s="254"/>
      <c r="L34" s="254"/>
      <c r="M34" s="254"/>
      <c r="N34" s="254"/>
      <c r="O34" s="251"/>
      <c r="Q34" s="5"/>
      <c r="S34" s="88"/>
      <c r="T34" s="42"/>
      <c r="U34" s="42"/>
      <c r="V34" s="42"/>
      <c r="W34" s="42"/>
      <c r="X34" s="42"/>
      <c r="Y34" s="288"/>
      <c r="Z34" s="288"/>
      <c r="AA34" s="42"/>
      <c r="AC34" s="10"/>
      <c r="AD34" s="10"/>
      <c r="AE34" s="10"/>
      <c r="AF34" s="10"/>
      <c r="AH34" s="10"/>
      <c r="AI34" s="10"/>
      <c r="AJ34" s="10"/>
      <c r="AK34" s="10"/>
      <c r="AM34" s="10"/>
      <c r="AN34" s="10"/>
      <c r="AO34" s="10"/>
      <c r="AP34" s="10"/>
    </row>
    <row r="35" spans="2:42" ht="12.6" thickBot="1">
      <c r="B35" s="306" t="s">
        <v>78</v>
      </c>
      <c r="C35" s="265"/>
      <c r="D35" s="265" t="str">
        <f>D5</f>
        <v>2023E</v>
      </c>
      <c r="E35" s="265" t="str">
        <f>E5</f>
        <v>2024E</v>
      </c>
      <c r="F35" s="265" t="str">
        <f>F5</f>
        <v>2025E</v>
      </c>
      <c r="G35" s="265" t="str">
        <f>G5</f>
        <v>2026E</v>
      </c>
      <c r="H35" s="265" t="str">
        <f>H5</f>
        <v>23E-26E</v>
      </c>
      <c r="I35" s="17"/>
      <c r="J35" s="5"/>
      <c r="K35" s="5"/>
      <c r="L35" s="5"/>
      <c r="M35" s="5"/>
      <c r="N35" s="5"/>
      <c r="O35" s="5"/>
      <c r="Q35" s="5"/>
      <c r="S35" s="88"/>
      <c r="T35" s="88"/>
      <c r="U35" s="42"/>
      <c r="V35" s="42"/>
      <c r="W35" s="42"/>
      <c r="X35" s="42"/>
      <c r="Y35" s="288"/>
      <c r="Z35" s="288"/>
      <c r="AA35" s="42"/>
      <c r="AC35" s="10"/>
      <c r="AD35" s="10"/>
      <c r="AE35" s="10"/>
      <c r="AF35" s="10"/>
      <c r="AH35" s="10"/>
      <c r="AI35" s="10"/>
      <c r="AJ35" s="10"/>
      <c r="AK35" s="10"/>
      <c r="AM35" s="10"/>
      <c r="AN35" s="10"/>
      <c r="AO35" s="10"/>
      <c r="AP35" s="10"/>
    </row>
    <row r="36" spans="2:42" ht="12.6" thickTop="1">
      <c r="B36" s="41"/>
      <c r="C36" s="249"/>
      <c r="D36" s="254"/>
      <c r="E36" s="254"/>
      <c r="F36" s="254"/>
      <c r="G36" s="254"/>
      <c r="H36" s="254"/>
      <c r="I36" s="5"/>
      <c r="J36" s="49"/>
      <c r="K36" s="49"/>
      <c r="L36" s="49"/>
      <c r="M36" s="49"/>
      <c r="N36" s="49"/>
      <c r="O36" s="49"/>
      <c r="Q36" s="5"/>
      <c r="R36" s="5"/>
      <c r="S36" s="42"/>
      <c r="T36" s="42"/>
      <c r="U36" s="42"/>
      <c r="V36" s="42"/>
      <c r="W36" s="42"/>
      <c r="X36" s="42"/>
      <c r="Y36" s="42"/>
      <c r="Z36" s="42"/>
      <c r="AA36" s="42"/>
      <c r="AC36" s="10"/>
      <c r="AD36" s="10"/>
      <c r="AE36" s="10"/>
      <c r="AF36" s="10"/>
      <c r="AH36" s="10"/>
      <c r="AI36" s="10"/>
      <c r="AJ36" s="10"/>
      <c r="AK36" s="10"/>
      <c r="AM36" s="10"/>
      <c r="AN36" s="10"/>
      <c r="AO36" s="10"/>
      <c r="AP36" s="10"/>
    </row>
    <row r="37" spans="2:42">
      <c r="B37" s="5" t="s">
        <v>273</v>
      </c>
      <c r="C37" s="247"/>
      <c r="D37" s="64">
        <f t="shared" ref="D37:G41" si="2">D$18/D23</f>
        <v>2.1820368783030246</v>
      </c>
      <c r="E37" s="64">
        <f t="shared" si="2"/>
        <v>2.0995807894380842</v>
      </c>
      <c r="F37" s="64">
        <f t="shared" si="2"/>
        <v>2.0073776110351829</v>
      </c>
      <c r="G37" s="64">
        <f t="shared" si="2"/>
        <v>1.9004321192081457</v>
      </c>
      <c r="H37" s="17">
        <f t="shared" ref="H37:H45" si="3">H23</f>
        <v>1.5546449189376421E-2</v>
      </c>
      <c r="I37" s="259"/>
      <c r="J37" s="259"/>
      <c r="K37" s="259"/>
      <c r="L37" s="259"/>
      <c r="M37" s="259"/>
      <c r="N37" s="259"/>
      <c r="O37" s="18"/>
      <c r="Q37" s="5"/>
      <c r="R37" s="5"/>
      <c r="S37" s="42"/>
      <c r="T37" s="42"/>
      <c r="U37" s="42"/>
      <c r="V37" s="42"/>
      <c r="W37" s="42"/>
      <c r="X37" s="42"/>
      <c r="Y37" s="42"/>
      <c r="Z37" s="42"/>
      <c r="AA37" s="42"/>
      <c r="AC37" s="10"/>
      <c r="AD37" s="10"/>
      <c r="AE37" s="10"/>
      <c r="AF37" s="10"/>
      <c r="AH37" s="10"/>
      <c r="AI37" s="10"/>
      <c r="AJ37" s="10"/>
      <c r="AK37" s="10"/>
      <c r="AM37" s="10"/>
      <c r="AN37" s="10"/>
      <c r="AO37" s="10"/>
      <c r="AP37" s="10"/>
    </row>
    <row r="38" spans="2:42">
      <c r="B38" s="5" t="s">
        <v>184</v>
      </c>
      <c r="C38" s="247"/>
      <c r="D38" s="64">
        <f t="shared" si="2"/>
        <v>6.6561389315824204</v>
      </c>
      <c r="E38" s="64">
        <f t="shared" si="2"/>
        <v>6.276659180358183</v>
      </c>
      <c r="F38" s="64">
        <f t="shared" si="2"/>
        <v>5.9086011977805715</v>
      </c>
      <c r="G38" s="64">
        <f t="shared" si="2"/>
        <v>5.5249848727361259</v>
      </c>
      <c r="H38" s="17">
        <f t="shared" si="3"/>
        <v>3.1953936851226938E-2</v>
      </c>
      <c r="I38" s="17"/>
      <c r="J38" s="17"/>
      <c r="K38" s="17"/>
      <c r="L38" s="17"/>
      <c r="M38" s="17"/>
      <c r="N38" s="17"/>
      <c r="O38" s="5"/>
      <c r="Q38" s="5"/>
      <c r="R38" s="5"/>
      <c r="S38" s="42"/>
      <c r="T38" s="42"/>
      <c r="U38" s="42"/>
      <c r="V38" s="42"/>
      <c r="W38" s="42"/>
      <c r="X38" s="42"/>
      <c r="Y38" s="42"/>
      <c r="Z38" s="42"/>
      <c r="AA38" s="42"/>
    </row>
    <row r="39" spans="2:42">
      <c r="B39" s="5" t="s">
        <v>185</v>
      </c>
      <c r="C39" s="247"/>
      <c r="D39" s="64">
        <f t="shared" si="2"/>
        <v>13.860323858751276</v>
      </c>
      <c r="E39" s="64">
        <f t="shared" si="2"/>
        <v>12.09622383745986</v>
      </c>
      <c r="F39" s="64">
        <f t="shared" si="2"/>
        <v>10.876080155020103</v>
      </c>
      <c r="G39" s="64">
        <f t="shared" si="2"/>
        <v>9.7993857809910292</v>
      </c>
      <c r="H39" s="17">
        <f t="shared" si="3"/>
        <v>8.864945159447446E-2</v>
      </c>
      <c r="I39" s="5"/>
      <c r="J39" s="5"/>
      <c r="K39" s="5"/>
      <c r="L39" s="5"/>
      <c r="M39" s="5"/>
      <c r="N39" s="5"/>
      <c r="O39" s="5"/>
      <c r="Q39" s="5"/>
      <c r="R39" s="5"/>
      <c r="S39" s="42"/>
      <c r="T39" s="42"/>
      <c r="U39" s="42"/>
      <c r="V39" s="42"/>
      <c r="W39" s="288"/>
      <c r="X39" s="288"/>
      <c r="Y39" s="42"/>
      <c r="Z39" s="42"/>
      <c r="AA39" s="42"/>
    </row>
    <row r="40" spans="2:42">
      <c r="B40" s="5" t="s">
        <v>466</v>
      </c>
      <c r="C40" s="247"/>
      <c r="D40" s="64">
        <f t="shared" si="2"/>
        <v>18.773170831659439</v>
      </c>
      <c r="E40" s="64">
        <f t="shared" si="2"/>
        <v>16.316100899802951</v>
      </c>
      <c r="F40" s="64">
        <f t="shared" si="2"/>
        <v>14.678691432593167</v>
      </c>
      <c r="G40" s="64">
        <f t="shared" si="2"/>
        <v>13.250660214807615</v>
      </c>
      <c r="H40" s="17">
        <f t="shared" si="3"/>
        <v>8.9255902689365119E-2</v>
      </c>
      <c r="I40" s="247"/>
      <c r="J40" s="259"/>
      <c r="K40" s="259"/>
      <c r="L40" s="259"/>
      <c r="M40" s="259"/>
      <c r="N40" s="259"/>
      <c r="O40" s="18"/>
      <c r="Q40" s="5"/>
      <c r="R40" s="5"/>
      <c r="S40" s="42"/>
      <c r="T40" s="42"/>
      <c r="U40" s="42"/>
      <c r="V40" s="42"/>
      <c r="W40" s="288"/>
      <c r="X40" s="288"/>
      <c r="Y40" s="288"/>
      <c r="Z40" s="288"/>
      <c r="AA40" s="42"/>
    </row>
    <row r="41" spans="2:42">
      <c r="B41" s="5" t="s">
        <v>530</v>
      </c>
      <c r="C41" s="247"/>
      <c r="D41" s="64">
        <f t="shared" si="2"/>
        <v>1.4554049615742648</v>
      </c>
      <c r="E41" s="64">
        <f t="shared" si="2"/>
        <v>1.3652506578772214</v>
      </c>
      <c r="F41" s="64">
        <f t="shared" si="2"/>
        <v>1.2968813123150413</v>
      </c>
      <c r="G41" s="64">
        <f t="shared" si="2"/>
        <v>1.2281427713802577</v>
      </c>
      <c r="H41" s="17">
        <f t="shared" si="3"/>
        <v>2.6301307293472354E-2</v>
      </c>
      <c r="I41" s="248"/>
      <c r="J41" s="17"/>
      <c r="K41" s="17"/>
      <c r="L41" s="17"/>
      <c r="M41" s="17"/>
      <c r="N41" s="17"/>
      <c r="O41" s="5"/>
      <c r="Q41" s="5"/>
      <c r="R41" s="5"/>
      <c r="S41" s="42"/>
      <c r="T41" s="42"/>
      <c r="U41" s="42"/>
      <c r="V41" s="42"/>
      <c r="W41" s="288"/>
      <c r="X41" s="288"/>
      <c r="Y41" s="288"/>
      <c r="Z41" s="288"/>
      <c r="AA41" s="42"/>
    </row>
    <row r="42" spans="2:42">
      <c r="B42" s="5" t="s">
        <v>593</v>
      </c>
      <c r="C42" s="247"/>
      <c r="D42" s="64">
        <f>D18/D28</f>
        <v>3.3234793761102739</v>
      </c>
      <c r="E42" s="64">
        <f>E18/E28</f>
        <v>3.2424169171692641</v>
      </c>
      <c r="F42" s="64">
        <f>F18/F28</f>
        <v>3.1662515332190617</v>
      </c>
      <c r="G42" s="64">
        <f>G18/G28</f>
        <v>3.0630241710617754</v>
      </c>
      <c r="H42" s="17">
        <f t="shared" si="3"/>
        <v>-3.4232783193558491E-3</v>
      </c>
      <c r="I42" s="247"/>
      <c r="J42" s="5"/>
      <c r="K42" s="5"/>
      <c r="L42" s="5"/>
      <c r="M42" s="5"/>
      <c r="N42" s="5"/>
      <c r="O42" s="5"/>
      <c r="Q42" s="5"/>
      <c r="R42" s="5"/>
      <c r="S42" s="42"/>
      <c r="T42" s="42"/>
      <c r="U42" s="42"/>
      <c r="V42" s="42"/>
      <c r="W42" s="288"/>
      <c r="X42" s="288"/>
      <c r="Y42" s="288"/>
      <c r="Z42" s="288"/>
      <c r="AA42" s="42"/>
    </row>
    <row r="43" spans="2:42">
      <c r="B43" s="5" t="s">
        <v>475</v>
      </c>
      <c r="C43" s="247"/>
      <c r="D43" s="64">
        <f>L26/D29</f>
        <v>15.36919487731438</v>
      </c>
      <c r="E43" s="64">
        <f>M26/E29</f>
        <v>13.900480990887658</v>
      </c>
      <c r="F43" s="64">
        <f>N26/F29</f>
        <v>11.808036199618913</v>
      </c>
      <c r="G43" s="64">
        <f>O26/G29</f>
        <v>10.77079458313478</v>
      </c>
      <c r="H43" s="17">
        <f t="shared" si="3"/>
        <v>0.11736524628436351</v>
      </c>
      <c r="I43" s="247"/>
      <c r="J43" s="247"/>
      <c r="K43" s="247"/>
      <c r="L43" s="247"/>
      <c r="M43" s="247"/>
      <c r="N43" s="247"/>
      <c r="O43" s="18"/>
      <c r="Q43" s="5"/>
      <c r="R43" s="5"/>
      <c r="S43" s="42"/>
      <c r="T43" s="42"/>
      <c r="U43" s="42"/>
      <c r="V43" s="42"/>
      <c r="W43" s="325"/>
      <c r="X43" s="325"/>
      <c r="Y43" s="288"/>
      <c r="Z43" s="288"/>
      <c r="AA43" s="42"/>
    </row>
    <row r="44" spans="2:42">
      <c r="B44" s="5" t="s">
        <v>533</v>
      </c>
      <c r="C44" s="69"/>
      <c r="D44" s="64">
        <f>D11/D30</f>
        <v>13.849445280082518</v>
      </c>
      <c r="E44" s="64">
        <f>E11/E30</f>
        <v>12.437286696089576</v>
      </c>
      <c r="F44" s="64">
        <f>F11/F30</f>
        <v>11.380437598490861</v>
      </c>
      <c r="G44" s="64">
        <f>G11/G30</f>
        <v>10.478743141097034</v>
      </c>
      <c r="H44" s="17">
        <f t="shared" si="3"/>
        <v>9.2323853476973694E-2</v>
      </c>
      <c r="I44" s="248"/>
      <c r="J44" s="248"/>
      <c r="K44" s="248"/>
      <c r="L44" s="248"/>
      <c r="M44" s="248"/>
      <c r="N44" s="248"/>
      <c r="O44" s="248"/>
      <c r="Q44" s="5"/>
      <c r="R44" s="5"/>
      <c r="S44" s="42"/>
      <c r="T44" s="42"/>
      <c r="U44" s="42"/>
      <c r="V44" s="42"/>
      <c r="W44" s="42"/>
      <c r="X44" s="42"/>
      <c r="Y44" s="325"/>
      <c r="Z44" s="325"/>
      <c r="AA44" s="42"/>
    </row>
    <row r="45" spans="2:42">
      <c r="B45" s="5" t="s">
        <v>580</v>
      </c>
      <c r="C45" s="247"/>
      <c r="D45" s="248">
        <f>D31/D11</f>
        <v>4.9929768285127372E-2</v>
      </c>
      <c r="E45" s="248">
        <f>E31/E11</f>
        <v>5.2540326500089954E-2</v>
      </c>
      <c r="F45" s="248">
        <f>F31/F11</f>
        <v>5.4852141769022943E-2</v>
      </c>
      <c r="G45" s="248">
        <f>G31/G11</f>
        <v>5.8322596586761276E-2</v>
      </c>
      <c r="H45" s="17">
        <f t="shared" si="3"/>
        <v>4.8261067786518064E-2</v>
      </c>
      <c r="I45" s="247"/>
      <c r="J45" s="247"/>
      <c r="K45" s="247"/>
      <c r="L45" s="247"/>
      <c r="M45" s="247"/>
      <c r="N45" s="247"/>
      <c r="O45" s="248"/>
      <c r="Q45" s="5"/>
      <c r="R45" s="5"/>
      <c r="S45" s="42"/>
      <c r="T45" s="42"/>
      <c r="U45" s="42"/>
      <c r="V45" s="42"/>
      <c r="W45" s="42"/>
      <c r="X45" s="42"/>
      <c r="Y45" s="42"/>
      <c r="Z45" s="42"/>
      <c r="AA45" s="326"/>
      <c r="AB45" s="303"/>
    </row>
    <row r="46" spans="2:42">
      <c r="B46" s="5" t="s">
        <v>605</v>
      </c>
      <c r="C46" s="247"/>
      <c r="D46" s="248">
        <f>(D31+D32)/D11</f>
        <v>4.9929768285127372E-2</v>
      </c>
      <c r="E46" s="248">
        <f>(E31+E32)/E11</f>
        <v>5.2540326500089954E-2</v>
      </c>
      <c r="F46" s="248">
        <f>(F31+F32)/F11</f>
        <v>5.4852141769022943E-2</v>
      </c>
      <c r="G46" s="248">
        <f>(G31+G32)/G11</f>
        <v>5.8322596586761276E-2</v>
      </c>
      <c r="H46" s="279">
        <f>((G31+G32)/(D31+D32))^(1/3)-1</f>
        <v>4.8261067786518064E-2</v>
      </c>
      <c r="I46" s="17"/>
      <c r="J46" s="247"/>
      <c r="K46" s="247"/>
      <c r="L46" s="247"/>
      <c r="M46" s="247"/>
      <c r="N46" s="247"/>
      <c r="O46" s="18"/>
      <c r="Q46" s="5"/>
      <c r="R46" s="5"/>
      <c r="S46" s="42"/>
      <c r="T46" s="42"/>
      <c r="U46" s="42"/>
      <c r="V46" s="42"/>
      <c r="W46" s="42"/>
      <c r="X46" s="42"/>
      <c r="Y46" s="42"/>
      <c r="Z46" s="42"/>
      <c r="AA46" s="326"/>
      <c r="AB46" s="303"/>
    </row>
    <row r="47" spans="2:42">
      <c r="B47" s="5" t="s">
        <v>581</v>
      </c>
      <c r="C47" s="5"/>
      <c r="D47" s="248">
        <f>1/D43</f>
        <v>6.5065217012508891E-2</v>
      </c>
      <c r="E47" s="248">
        <f>1/E43</f>
        <v>7.1939956657294191E-2</v>
      </c>
      <c r="F47" s="248">
        <f>1/F43</f>
        <v>8.4688087256395234E-2</v>
      </c>
      <c r="G47" s="248">
        <f>1/G43</f>
        <v>9.2843660909272999E-2</v>
      </c>
      <c r="H47" s="17">
        <f>H29</f>
        <v>0.11736524628436351</v>
      </c>
      <c r="I47" s="247"/>
      <c r="J47" s="248"/>
      <c r="K47" s="248"/>
      <c r="L47" s="248"/>
      <c r="M47" s="248"/>
      <c r="N47" s="248"/>
      <c r="O47" s="248"/>
      <c r="Q47" s="5"/>
      <c r="R47" s="5"/>
      <c r="S47" s="5"/>
      <c r="T47" s="5"/>
      <c r="U47" s="5"/>
      <c r="AA47" s="303"/>
      <c r="AB47" s="303"/>
    </row>
    <row r="48" spans="2:42">
      <c r="B48" s="5" t="s">
        <v>618</v>
      </c>
      <c r="C48" s="5"/>
      <c r="D48" s="305">
        <f>D31/D29</f>
        <v>0.69753103513272863</v>
      </c>
      <c r="E48" s="305">
        <f>E31/E29</f>
        <v>0.66278263399293669</v>
      </c>
      <c r="F48" s="305">
        <f>F31/F29</f>
        <v>0.5878425682239502</v>
      </c>
      <c r="G48" s="305">
        <f>G31/G29</f>
        <v>0.5759521808171526</v>
      </c>
      <c r="H48" s="17" t="s">
        <v>607</v>
      </c>
      <c r="I48" s="259"/>
      <c r="J48" s="247"/>
      <c r="K48" s="247"/>
      <c r="L48" s="247"/>
      <c r="M48" s="247"/>
      <c r="N48" s="247"/>
      <c r="O48" s="248"/>
      <c r="Q48" s="5"/>
      <c r="R48" s="5"/>
      <c r="S48" s="5"/>
      <c r="T48" s="5"/>
      <c r="U48" s="5"/>
      <c r="AA48" s="303"/>
      <c r="AB48" s="303"/>
    </row>
    <row r="49" spans="2:28">
      <c r="B49" s="41"/>
      <c r="C49" s="17"/>
      <c r="D49" s="17"/>
      <c r="E49" s="17"/>
      <c r="F49" s="17"/>
      <c r="G49" s="17"/>
      <c r="H49" s="17"/>
      <c r="I49" s="17"/>
      <c r="J49" s="17"/>
      <c r="K49" s="17"/>
      <c r="L49" s="17"/>
      <c r="M49" s="17"/>
      <c r="N49" s="17"/>
      <c r="O49" s="248"/>
      <c r="Q49" s="5"/>
      <c r="R49" s="5"/>
      <c r="S49" s="5"/>
      <c r="T49" s="5"/>
      <c r="U49" s="5"/>
      <c r="W49" s="10"/>
      <c r="X49" s="10"/>
      <c r="AA49" s="303"/>
      <c r="AB49" s="303"/>
    </row>
    <row r="50" spans="2:28">
      <c r="B50" s="5"/>
      <c r="C50" s="257"/>
      <c r="D50" s="257"/>
      <c r="E50" s="257"/>
      <c r="F50" s="5"/>
      <c r="G50" s="41"/>
      <c r="H50" s="249"/>
      <c r="I50" s="259"/>
      <c r="J50" s="249"/>
      <c r="K50" s="249"/>
      <c r="L50" s="249"/>
      <c r="M50" s="249"/>
      <c r="N50" s="249"/>
      <c r="O50" s="250"/>
      <c r="Q50" s="5"/>
      <c r="R50" s="5"/>
      <c r="S50" s="5"/>
      <c r="T50" s="5"/>
      <c r="U50" s="5"/>
      <c r="W50" s="10"/>
      <c r="X50" s="10"/>
      <c r="Y50" s="10"/>
      <c r="Z50" s="10"/>
    </row>
    <row r="51" spans="2:28">
      <c r="B51" s="41"/>
      <c r="C51" s="249"/>
      <c r="D51" s="254"/>
      <c r="E51" s="254"/>
      <c r="F51" s="254"/>
      <c r="G51" s="254"/>
      <c r="H51" s="254"/>
      <c r="I51" s="254"/>
      <c r="J51" s="17"/>
      <c r="K51" s="17"/>
      <c r="L51" s="17"/>
      <c r="M51" s="17"/>
      <c r="N51" s="17"/>
      <c r="O51" s="248"/>
      <c r="Q51" s="5"/>
      <c r="R51" s="5"/>
      <c r="S51" s="5"/>
      <c r="T51" s="5"/>
      <c r="U51" s="5"/>
      <c r="Y51" s="10"/>
      <c r="Z51" s="10"/>
    </row>
    <row r="52" spans="2:28">
      <c r="B52" s="5"/>
      <c r="C52" s="257"/>
      <c r="D52" s="17"/>
      <c r="E52" s="17"/>
      <c r="F52" s="17"/>
      <c r="G52" s="17"/>
      <c r="H52" s="17"/>
      <c r="I52" s="17"/>
      <c r="J52" s="259"/>
      <c r="K52" s="259"/>
      <c r="L52" s="259"/>
      <c r="M52" s="259"/>
      <c r="N52" s="259"/>
      <c r="O52" s="18"/>
      <c r="Q52" s="5"/>
      <c r="R52" s="5"/>
      <c r="S52" s="5"/>
      <c r="T52" s="5"/>
      <c r="U52" s="5"/>
    </row>
    <row r="53" spans="2:28">
      <c r="B53" s="5"/>
      <c r="C53" s="257"/>
      <c r="D53" s="257"/>
      <c r="E53" s="257"/>
      <c r="F53" s="5"/>
      <c r="G53" s="5"/>
      <c r="H53" s="259"/>
      <c r="I53" s="259"/>
      <c r="J53" s="254"/>
      <c r="K53" s="254"/>
      <c r="L53" s="254"/>
      <c r="M53" s="254"/>
      <c r="N53" s="254"/>
      <c r="O53" s="251"/>
      <c r="Q53" s="5"/>
      <c r="R53" s="5"/>
      <c r="S53" s="5"/>
      <c r="T53" s="5"/>
      <c r="U53" s="5"/>
    </row>
    <row r="54" spans="2:28">
      <c r="B54" s="41"/>
      <c r="C54" s="249"/>
      <c r="D54" s="254"/>
      <c r="E54" s="254"/>
      <c r="F54" s="254"/>
      <c r="G54" s="254"/>
      <c r="H54" s="254"/>
      <c r="I54" s="249"/>
      <c r="J54" s="17"/>
      <c r="K54" s="17"/>
      <c r="L54" s="17"/>
      <c r="M54" s="17"/>
      <c r="N54" s="17"/>
      <c r="O54" s="18"/>
      <c r="Q54" s="5"/>
      <c r="R54" s="5"/>
      <c r="S54" s="5"/>
      <c r="T54" s="5"/>
      <c r="U54" s="5"/>
    </row>
    <row r="55" spans="2:28">
      <c r="B55" s="5"/>
      <c r="C55" s="257"/>
      <c r="D55" s="17"/>
      <c r="E55" s="17"/>
      <c r="F55" s="17"/>
      <c r="G55" s="17"/>
      <c r="H55" s="17"/>
      <c r="I55" s="248"/>
      <c r="J55" s="259"/>
      <c r="K55" s="259"/>
      <c r="L55" s="259"/>
      <c r="M55" s="259"/>
      <c r="N55" s="259"/>
      <c r="O55" s="18"/>
      <c r="Q55" s="5"/>
      <c r="R55" s="5"/>
      <c r="S55" s="5"/>
      <c r="T55" s="5"/>
      <c r="U55" s="5"/>
    </row>
    <row r="56" spans="2:28">
      <c r="B56" s="5"/>
      <c r="C56" s="248"/>
      <c r="D56" s="248"/>
      <c r="E56" s="248"/>
      <c r="F56" s="5"/>
      <c r="G56" s="5"/>
      <c r="H56" s="259"/>
      <c r="I56" s="5"/>
      <c r="J56" s="249"/>
      <c r="K56" s="249"/>
      <c r="L56" s="249"/>
      <c r="M56" s="249"/>
      <c r="N56" s="249"/>
      <c r="O56" s="251"/>
      <c r="Q56" s="5"/>
      <c r="R56" s="5"/>
      <c r="S56" s="5"/>
      <c r="T56" s="5"/>
      <c r="U56" s="5"/>
    </row>
    <row r="57" spans="2:28">
      <c r="B57" s="41"/>
      <c r="C57" s="249"/>
      <c r="D57" s="249"/>
      <c r="E57" s="249"/>
      <c r="F57" s="249"/>
      <c r="G57" s="249"/>
      <c r="H57" s="249"/>
      <c r="I57" s="17"/>
      <c r="J57" s="248"/>
      <c r="K57" s="248"/>
      <c r="L57" s="248"/>
      <c r="M57" s="248"/>
      <c r="N57" s="248"/>
      <c r="O57" s="18"/>
      <c r="Q57" s="5"/>
      <c r="R57" s="5"/>
      <c r="S57" s="5"/>
      <c r="T57" s="5"/>
      <c r="U57" s="5"/>
    </row>
    <row r="58" spans="2:28">
      <c r="B58" s="5"/>
      <c r="C58" s="5"/>
      <c r="D58" s="248"/>
      <c r="E58" s="248"/>
      <c r="F58" s="248"/>
      <c r="G58" s="248"/>
      <c r="H58" s="248"/>
      <c r="I58" s="5"/>
      <c r="J58" s="5"/>
      <c r="K58" s="5"/>
      <c r="L58" s="5"/>
      <c r="M58" s="5"/>
      <c r="N58" s="5"/>
      <c r="O58" s="5"/>
      <c r="Q58" s="5"/>
      <c r="R58" s="5"/>
      <c r="S58" s="5"/>
      <c r="T58" s="5"/>
      <c r="U58" s="5"/>
    </row>
    <row r="59" spans="2:28">
      <c r="B59" s="5"/>
      <c r="C59" s="5"/>
      <c r="D59" s="5"/>
      <c r="E59" s="5"/>
      <c r="F59" s="5"/>
      <c r="G59" s="5"/>
      <c r="H59" s="5"/>
      <c r="I59" s="249"/>
      <c r="J59" s="17"/>
      <c r="K59" s="17"/>
      <c r="L59" s="17"/>
      <c r="M59" s="17"/>
      <c r="N59" s="17"/>
      <c r="O59" s="251"/>
      <c r="Q59" s="5"/>
      <c r="R59" s="5"/>
      <c r="S59" s="5"/>
      <c r="T59" s="5"/>
      <c r="U59" s="5"/>
    </row>
    <row r="60" spans="2:28">
      <c r="B60" s="41"/>
      <c r="C60" s="17"/>
      <c r="D60" s="17"/>
      <c r="E60" s="17"/>
      <c r="F60" s="17"/>
      <c r="G60" s="17"/>
      <c r="H60" s="17"/>
      <c r="I60" s="5"/>
      <c r="J60" s="5"/>
      <c r="K60" s="5"/>
      <c r="L60" s="5"/>
      <c r="M60" s="5"/>
      <c r="N60" s="5"/>
      <c r="O60" s="5"/>
      <c r="Q60" s="41"/>
      <c r="R60" s="5"/>
      <c r="S60" s="5"/>
      <c r="T60" s="5"/>
      <c r="U60" s="5"/>
    </row>
    <row r="61" spans="2:28">
      <c r="B61" s="5"/>
      <c r="C61" s="5"/>
      <c r="D61" s="5"/>
      <c r="E61" s="5"/>
      <c r="F61" s="5"/>
      <c r="G61" s="5"/>
      <c r="H61" s="5"/>
      <c r="I61" s="5"/>
      <c r="J61" s="249"/>
      <c r="K61" s="249"/>
      <c r="L61" s="249"/>
      <c r="M61" s="249"/>
      <c r="N61" s="249"/>
      <c r="O61" s="251"/>
      <c r="Q61" s="5"/>
      <c r="R61" s="5"/>
      <c r="S61" s="5"/>
      <c r="T61" s="5"/>
      <c r="U61" s="5"/>
    </row>
    <row r="62" spans="2:28">
      <c r="B62" s="41"/>
      <c r="C62" s="249"/>
      <c r="D62" s="249"/>
      <c r="E62" s="249"/>
      <c r="F62" s="249"/>
      <c r="G62" s="249"/>
      <c r="H62" s="249"/>
      <c r="I62" s="254"/>
      <c r="J62" s="5"/>
      <c r="K62" s="5"/>
      <c r="L62" s="5"/>
      <c r="M62" s="5"/>
      <c r="N62" s="5"/>
      <c r="O62" s="5"/>
      <c r="Q62" s="5"/>
      <c r="R62" s="5"/>
      <c r="S62" s="5"/>
      <c r="T62" s="5"/>
      <c r="U62" s="5"/>
    </row>
    <row r="63" spans="2:28">
      <c r="B63" s="5"/>
      <c r="C63" s="5"/>
      <c r="D63" s="5"/>
      <c r="E63" s="5"/>
      <c r="F63" s="5"/>
      <c r="G63" s="5"/>
      <c r="H63" s="5"/>
      <c r="I63" s="17"/>
      <c r="J63" s="5"/>
      <c r="K63" s="5"/>
      <c r="L63" s="5"/>
      <c r="M63" s="5"/>
      <c r="N63" s="5"/>
      <c r="O63" s="5"/>
      <c r="Q63" s="5"/>
      <c r="R63" s="5"/>
      <c r="S63" s="5"/>
      <c r="T63" s="5"/>
      <c r="U63" s="5"/>
    </row>
    <row r="64" spans="2:28">
      <c r="B64" s="5"/>
      <c r="C64" s="5"/>
      <c r="D64" s="5"/>
      <c r="E64" s="5"/>
      <c r="F64" s="5"/>
      <c r="G64" s="5"/>
      <c r="H64" s="5"/>
      <c r="I64" s="254"/>
      <c r="J64" s="254"/>
      <c r="K64" s="254"/>
      <c r="L64" s="254"/>
      <c r="M64" s="254"/>
      <c r="N64" s="254"/>
      <c r="O64" s="251"/>
      <c r="Q64" s="5"/>
      <c r="R64" s="5"/>
      <c r="S64" s="5"/>
      <c r="T64" s="5"/>
      <c r="U64" s="5"/>
    </row>
    <row r="65" spans="2:26">
      <c r="B65" s="41"/>
      <c r="C65" s="249"/>
      <c r="D65" s="254"/>
      <c r="E65" s="254"/>
      <c r="F65" s="254"/>
      <c r="G65" s="254"/>
      <c r="H65" s="254"/>
      <c r="I65" s="248"/>
      <c r="J65" s="17"/>
      <c r="K65" s="17"/>
      <c r="L65" s="17"/>
      <c r="M65" s="17"/>
      <c r="N65" s="17"/>
      <c r="O65" s="5"/>
      <c r="Q65" s="5"/>
      <c r="R65" s="5"/>
      <c r="S65" s="5"/>
      <c r="T65" s="5"/>
      <c r="U65" s="5"/>
    </row>
    <row r="66" spans="2:26">
      <c r="B66" s="5"/>
      <c r="C66" s="5"/>
      <c r="D66" s="17"/>
      <c r="E66" s="17"/>
      <c r="F66" s="17"/>
      <c r="G66" s="17"/>
      <c r="H66" s="17"/>
      <c r="I66" s="5"/>
      <c r="J66" s="254"/>
      <c r="K66" s="254"/>
      <c r="L66" s="254"/>
      <c r="M66" s="254"/>
      <c r="N66" s="254"/>
      <c r="O66" s="251"/>
      <c r="Q66" s="41"/>
      <c r="R66" s="5"/>
      <c r="S66" s="5"/>
      <c r="T66" s="5"/>
      <c r="U66" s="5"/>
    </row>
    <row r="67" spans="2:26">
      <c r="B67" s="41"/>
      <c r="C67" s="249"/>
      <c r="D67" s="254"/>
      <c r="E67" s="254"/>
      <c r="F67" s="254"/>
      <c r="G67" s="254"/>
      <c r="H67" s="254"/>
      <c r="I67" s="245"/>
      <c r="J67" s="248"/>
      <c r="K67" s="248"/>
      <c r="L67" s="248"/>
      <c r="M67" s="248"/>
      <c r="N67" s="248"/>
      <c r="O67" s="5"/>
      <c r="Q67" s="5"/>
      <c r="R67" s="5"/>
      <c r="S67" s="5"/>
      <c r="T67" s="5"/>
      <c r="U67" s="5"/>
    </row>
    <row r="68" spans="2:26">
      <c r="B68" s="5"/>
      <c r="C68" s="5"/>
      <c r="D68" s="248"/>
      <c r="E68" s="248"/>
      <c r="F68" s="248"/>
      <c r="G68" s="248"/>
      <c r="H68" s="248"/>
      <c r="I68" s="248"/>
      <c r="J68" s="5"/>
      <c r="K68" s="5"/>
      <c r="L68" s="5"/>
      <c r="M68" s="5"/>
      <c r="N68" s="5"/>
      <c r="O68" s="5"/>
      <c r="Q68" s="5"/>
      <c r="R68" s="5"/>
      <c r="S68" s="5"/>
      <c r="T68" s="5"/>
      <c r="U68" s="5"/>
    </row>
    <row r="69" spans="2:26">
      <c r="B69" s="41"/>
      <c r="C69" s="5"/>
      <c r="D69" s="5"/>
      <c r="E69" s="5"/>
      <c r="F69" s="5"/>
      <c r="G69" s="5"/>
      <c r="H69" s="5"/>
      <c r="I69" s="5"/>
      <c r="J69" s="245"/>
      <c r="K69" s="245"/>
      <c r="L69" s="245"/>
      <c r="M69" s="245"/>
      <c r="N69" s="245"/>
      <c r="O69" s="251"/>
      <c r="Q69" s="5"/>
      <c r="R69" s="5"/>
      <c r="S69" s="5"/>
      <c r="T69" s="5"/>
      <c r="U69" s="5"/>
      <c r="W69" s="76"/>
      <c r="X69" s="76"/>
    </row>
    <row r="70" spans="2:26">
      <c r="B70" s="41"/>
      <c r="C70" s="245"/>
      <c r="D70" s="245"/>
      <c r="E70" s="245"/>
      <c r="F70" s="245"/>
      <c r="G70" s="245"/>
      <c r="H70" s="245"/>
      <c r="I70" s="245"/>
      <c r="J70" s="248"/>
      <c r="K70" s="248"/>
      <c r="L70" s="248"/>
      <c r="M70" s="248"/>
      <c r="N70" s="248"/>
      <c r="O70" s="5"/>
      <c r="Q70" s="5"/>
      <c r="R70" s="5"/>
      <c r="S70" s="5"/>
      <c r="T70" s="5"/>
      <c r="U70" s="5"/>
      <c r="W70" s="76"/>
      <c r="X70" s="76"/>
      <c r="Y70" s="76"/>
      <c r="Z70" s="76"/>
    </row>
    <row r="71" spans="2:26">
      <c r="B71" s="5"/>
      <c r="C71" s="5"/>
      <c r="D71" s="248"/>
      <c r="E71" s="248"/>
      <c r="F71" s="248"/>
      <c r="G71" s="248"/>
      <c r="H71" s="248"/>
      <c r="I71" s="18"/>
      <c r="J71" s="5"/>
      <c r="K71" s="5"/>
      <c r="L71" s="5"/>
      <c r="M71" s="5"/>
      <c r="N71" s="5"/>
      <c r="O71" s="5"/>
      <c r="Q71" s="5"/>
      <c r="R71" s="5"/>
      <c r="S71" s="5"/>
      <c r="T71" s="5"/>
      <c r="U71" s="5"/>
      <c r="Y71" s="76"/>
      <c r="Z71" s="76"/>
    </row>
    <row r="72" spans="2:26">
      <c r="B72" s="41"/>
      <c r="C72" s="5"/>
      <c r="D72" s="5"/>
      <c r="E72" s="5"/>
      <c r="F72" s="5"/>
      <c r="G72" s="5"/>
      <c r="H72" s="5"/>
      <c r="I72" s="5"/>
      <c r="J72" s="245"/>
      <c r="K72" s="245"/>
      <c r="L72" s="245"/>
      <c r="M72" s="245"/>
      <c r="N72" s="245"/>
      <c r="O72" s="251"/>
      <c r="Q72" s="5"/>
      <c r="R72" s="5"/>
      <c r="S72" s="5"/>
      <c r="T72" s="5"/>
      <c r="U72" s="5"/>
    </row>
    <row r="73" spans="2:26">
      <c r="B73" s="41"/>
      <c r="C73" s="245"/>
      <c r="D73" s="245"/>
      <c r="E73" s="245"/>
      <c r="F73" s="245"/>
      <c r="G73" s="245"/>
      <c r="H73" s="245"/>
      <c r="I73" s="249"/>
      <c r="J73" s="18"/>
      <c r="K73" s="18"/>
      <c r="L73" s="18"/>
      <c r="M73" s="18"/>
      <c r="N73" s="18"/>
      <c r="O73" s="5"/>
      <c r="Q73" s="5"/>
      <c r="R73" s="5"/>
      <c r="S73" s="5"/>
      <c r="T73" s="5"/>
      <c r="U73" s="5"/>
    </row>
    <row r="74" spans="2:26">
      <c r="B74" s="5"/>
      <c r="C74" s="5"/>
      <c r="D74" s="18"/>
      <c r="E74" s="18"/>
      <c r="F74" s="18"/>
      <c r="G74" s="18"/>
      <c r="H74" s="18"/>
      <c r="I74" s="248"/>
      <c r="J74" s="5"/>
      <c r="K74" s="5"/>
      <c r="L74" s="5"/>
      <c r="M74" s="5"/>
      <c r="N74" s="5"/>
      <c r="O74" s="5"/>
      <c r="Q74" s="5"/>
      <c r="R74" s="5"/>
      <c r="S74" s="5"/>
      <c r="T74" s="5"/>
      <c r="U74" s="5"/>
    </row>
    <row r="75" spans="2:26">
      <c r="B75" s="41"/>
      <c r="C75" s="5"/>
      <c r="D75" s="5"/>
      <c r="E75" s="5"/>
      <c r="F75" s="5"/>
      <c r="G75" s="5"/>
      <c r="H75" s="5"/>
      <c r="I75" s="5"/>
      <c r="J75" s="249"/>
      <c r="K75" s="249"/>
      <c r="L75" s="249"/>
      <c r="M75" s="249"/>
      <c r="N75" s="249"/>
      <c r="O75" s="251"/>
      <c r="Q75" s="5"/>
      <c r="R75" s="5"/>
      <c r="S75" s="5"/>
      <c r="T75" s="5"/>
      <c r="U75" s="5"/>
    </row>
    <row r="76" spans="2:26">
      <c r="B76" s="41"/>
      <c r="C76" s="249"/>
      <c r="D76" s="249"/>
      <c r="E76" s="249"/>
      <c r="F76" s="249"/>
      <c r="G76" s="249"/>
      <c r="H76" s="249"/>
      <c r="I76" s="245"/>
      <c r="J76" s="248"/>
      <c r="K76" s="248"/>
      <c r="L76" s="248"/>
      <c r="M76" s="248"/>
      <c r="N76" s="248"/>
      <c r="O76" s="5"/>
      <c r="Q76" s="5"/>
      <c r="R76" s="5"/>
      <c r="S76" s="5"/>
      <c r="T76" s="5"/>
      <c r="U76" s="5"/>
    </row>
    <row r="77" spans="2:26">
      <c r="B77" s="5"/>
      <c r="C77" s="5"/>
      <c r="D77" s="248"/>
      <c r="E77" s="248"/>
      <c r="F77" s="248"/>
      <c r="G77" s="248"/>
      <c r="H77" s="248"/>
      <c r="I77" s="248"/>
      <c r="J77" s="5"/>
      <c r="K77" s="5"/>
      <c r="L77" s="5"/>
      <c r="M77" s="5"/>
      <c r="N77" s="5"/>
      <c r="O77" s="5"/>
      <c r="Q77" s="5"/>
      <c r="R77" s="5"/>
      <c r="S77" s="5"/>
      <c r="T77" s="5"/>
      <c r="U77" s="5"/>
    </row>
    <row r="78" spans="2:26">
      <c r="B78" s="41"/>
      <c r="C78" s="5"/>
      <c r="D78" s="5"/>
      <c r="E78" s="5"/>
      <c r="F78" s="5"/>
      <c r="G78" s="5"/>
      <c r="H78" s="5"/>
      <c r="I78" s="5"/>
      <c r="J78" s="245"/>
      <c r="K78" s="245"/>
      <c r="L78" s="245"/>
      <c r="M78" s="245"/>
      <c r="N78" s="245"/>
      <c r="O78" s="251"/>
      <c r="Q78" s="5"/>
      <c r="R78" s="5"/>
      <c r="S78" s="5"/>
      <c r="T78" s="5"/>
      <c r="U78" s="5"/>
    </row>
    <row r="79" spans="2:26">
      <c r="B79" s="41"/>
      <c r="C79" s="245"/>
      <c r="D79" s="245"/>
      <c r="E79" s="245"/>
      <c r="F79" s="245"/>
      <c r="G79" s="245"/>
      <c r="H79" s="245"/>
      <c r="I79" s="249"/>
      <c r="J79" s="248"/>
      <c r="K79" s="248"/>
      <c r="L79" s="248"/>
      <c r="M79" s="248"/>
      <c r="N79" s="248"/>
      <c r="O79" s="5"/>
      <c r="Q79" s="5"/>
      <c r="R79" s="5"/>
      <c r="S79" s="5"/>
      <c r="T79" s="5"/>
      <c r="U79" s="5"/>
    </row>
    <row r="80" spans="2:26">
      <c r="B80" s="5"/>
      <c r="C80" s="5"/>
      <c r="D80" s="248"/>
      <c r="E80" s="248"/>
      <c r="F80" s="248"/>
      <c r="G80" s="248"/>
      <c r="H80" s="248"/>
      <c r="I80" s="248"/>
      <c r="J80" s="5"/>
      <c r="K80" s="5"/>
      <c r="L80" s="5"/>
      <c r="M80" s="5"/>
      <c r="N80" s="5"/>
      <c r="O80" s="5"/>
      <c r="Q80" s="5"/>
      <c r="R80" s="5"/>
      <c r="S80" s="5"/>
      <c r="T80" s="5"/>
      <c r="U80" s="5"/>
    </row>
    <row r="81" spans="2:26">
      <c r="B81" s="41"/>
      <c r="C81" s="5"/>
      <c r="D81" s="5"/>
      <c r="E81" s="5"/>
      <c r="F81" s="5"/>
      <c r="G81" s="5"/>
      <c r="H81" s="5"/>
      <c r="I81" s="259"/>
      <c r="J81" s="249"/>
      <c r="K81" s="249"/>
      <c r="L81" s="249"/>
      <c r="M81" s="249"/>
      <c r="N81" s="249"/>
      <c r="O81" s="251"/>
      <c r="Q81" s="5"/>
      <c r="R81" s="5"/>
      <c r="S81" s="5"/>
      <c r="T81" s="5"/>
      <c r="U81" s="5"/>
    </row>
    <row r="82" spans="2:26">
      <c r="B82" s="41"/>
      <c r="C82" s="249"/>
      <c r="D82" s="249"/>
      <c r="E82" s="249"/>
      <c r="F82" s="249"/>
      <c r="G82" s="249"/>
      <c r="H82" s="249"/>
      <c r="I82" s="5"/>
      <c r="J82" s="248"/>
      <c r="K82" s="248"/>
      <c r="L82" s="248"/>
      <c r="M82" s="248"/>
      <c r="N82" s="248"/>
      <c r="O82" s="5"/>
      <c r="Q82" s="5"/>
      <c r="R82" s="5"/>
      <c r="S82" s="5"/>
      <c r="T82" s="5"/>
      <c r="U82" s="5"/>
    </row>
    <row r="83" spans="2:26">
      <c r="B83" s="5"/>
      <c r="C83" s="5"/>
      <c r="D83" s="248"/>
      <c r="E83" s="248"/>
      <c r="F83" s="248"/>
      <c r="G83" s="248"/>
      <c r="H83" s="248"/>
      <c r="I83" s="245"/>
      <c r="J83" s="259"/>
      <c r="K83" s="259"/>
      <c r="L83" s="259"/>
      <c r="M83" s="259"/>
      <c r="N83" s="259"/>
      <c r="O83" s="251"/>
      <c r="Q83" s="5"/>
      <c r="R83" s="5"/>
      <c r="S83" s="5"/>
      <c r="T83" s="5"/>
      <c r="U83" s="5"/>
    </row>
    <row r="84" spans="2:26">
      <c r="B84" s="5"/>
      <c r="C84" s="259"/>
      <c r="D84" s="259"/>
      <c r="E84" s="259"/>
      <c r="F84" s="259"/>
      <c r="G84" s="259"/>
      <c r="H84" s="259"/>
      <c r="I84" s="248"/>
      <c r="J84" s="5"/>
      <c r="K84" s="5"/>
      <c r="L84" s="5"/>
      <c r="M84" s="5"/>
      <c r="N84" s="5"/>
      <c r="O84" s="5"/>
      <c r="Q84" s="5"/>
      <c r="R84" s="5"/>
      <c r="S84" s="5"/>
      <c r="T84" s="5"/>
      <c r="U84" s="5"/>
    </row>
    <row r="85" spans="2:26">
      <c r="B85" s="41"/>
      <c r="C85" s="5"/>
      <c r="D85" s="5"/>
      <c r="E85" s="5"/>
      <c r="F85" s="5"/>
      <c r="G85" s="5"/>
      <c r="H85" s="5"/>
      <c r="I85" s="5"/>
      <c r="J85" s="245"/>
      <c r="K85" s="245"/>
      <c r="L85" s="245"/>
      <c r="M85" s="245"/>
      <c r="N85" s="245"/>
      <c r="O85" s="251"/>
      <c r="Q85" s="5"/>
      <c r="R85" s="5"/>
      <c r="S85" s="5"/>
      <c r="T85" s="5"/>
      <c r="U85" s="5"/>
    </row>
    <row r="86" spans="2:26">
      <c r="B86" s="41"/>
      <c r="C86" s="245"/>
      <c r="D86" s="245"/>
      <c r="E86" s="245"/>
      <c r="F86" s="245"/>
      <c r="G86" s="245"/>
      <c r="H86" s="245"/>
      <c r="I86" s="5"/>
      <c r="J86" s="248"/>
      <c r="K86" s="248"/>
      <c r="L86" s="248"/>
      <c r="M86" s="248"/>
      <c r="N86" s="248"/>
      <c r="O86" s="5"/>
      <c r="Q86" s="5"/>
      <c r="R86" s="5"/>
      <c r="S86" s="5"/>
      <c r="T86" s="5"/>
      <c r="U86" s="5"/>
    </row>
    <row r="87" spans="2:26">
      <c r="B87" s="5"/>
      <c r="C87" s="5"/>
      <c r="D87" s="248"/>
      <c r="E87" s="248"/>
      <c r="F87" s="248"/>
      <c r="G87" s="248"/>
      <c r="H87" s="248"/>
      <c r="I87" s="5"/>
      <c r="J87" s="5"/>
      <c r="K87" s="5"/>
      <c r="L87" s="5"/>
      <c r="M87" s="5"/>
      <c r="N87" s="5"/>
      <c r="O87" s="5"/>
      <c r="Q87" s="5"/>
      <c r="R87" s="5"/>
      <c r="S87" s="5"/>
      <c r="T87" s="5"/>
      <c r="U87" s="5"/>
    </row>
    <row r="88" spans="2:26">
      <c r="B88" s="41"/>
      <c r="C88" s="5"/>
      <c r="D88" s="5"/>
      <c r="E88" s="5"/>
      <c r="F88" s="5"/>
      <c r="G88" s="5"/>
      <c r="H88" s="5"/>
      <c r="I88" s="5"/>
      <c r="J88" s="5"/>
      <c r="K88" s="5"/>
      <c r="L88" s="5"/>
      <c r="M88" s="5"/>
      <c r="N88" s="5"/>
      <c r="O88" s="5"/>
      <c r="Q88" s="5"/>
      <c r="R88" s="5"/>
      <c r="S88" s="5"/>
      <c r="T88" s="5"/>
      <c r="U88" s="5"/>
    </row>
    <row r="89" spans="2:26">
      <c r="B89" s="41"/>
      <c r="C89" s="5"/>
      <c r="D89" s="5"/>
      <c r="E89" s="5"/>
      <c r="F89" s="5"/>
      <c r="G89" s="5"/>
      <c r="H89" s="5"/>
      <c r="I89" s="49"/>
      <c r="J89" s="5"/>
      <c r="K89" s="5"/>
      <c r="L89" s="5"/>
      <c r="M89" s="5"/>
      <c r="N89" s="5"/>
      <c r="O89" s="5"/>
      <c r="Q89" s="41"/>
      <c r="R89" s="5"/>
      <c r="S89" s="5"/>
      <c r="T89" s="5"/>
      <c r="U89" s="5"/>
    </row>
    <row r="90" spans="2:26">
      <c r="B90" s="41"/>
      <c r="C90" s="5"/>
      <c r="D90" s="5"/>
      <c r="E90" s="5"/>
      <c r="F90" s="5"/>
      <c r="G90" s="5"/>
      <c r="H90" s="5"/>
      <c r="I90" s="5"/>
      <c r="J90" s="5"/>
      <c r="K90" s="5"/>
      <c r="L90" s="5"/>
      <c r="M90" s="5"/>
      <c r="N90" s="5"/>
      <c r="O90" s="5"/>
      <c r="Q90" s="5"/>
      <c r="R90" s="5"/>
      <c r="S90" s="5"/>
      <c r="T90" s="5"/>
      <c r="U90" s="5"/>
    </row>
    <row r="91" spans="2:26">
      <c r="B91" s="5"/>
      <c r="C91" s="5"/>
      <c r="D91" s="5"/>
      <c r="E91" s="5"/>
      <c r="F91" s="5"/>
      <c r="G91" s="5"/>
      <c r="H91" s="5"/>
      <c r="I91" s="247"/>
      <c r="J91" s="49"/>
      <c r="K91" s="49"/>
      <c r="L91" s="49"/>
      <c r="M91" s="49"/>
      <c r="N91" s="49"/>
      <c r="O91" s="49"/>
      <c r="Q91" s="5"/>
      <c r="R91" s="5"/>
      <c r="S91" s="5"/>
      <c r="T91" s="5"/>
      <c r="U91" s="5"/>
      <c r="W91" s="21"/>
      <c r="X91" s="21"/>
    </row>
    <row r="92" spans="2:26">
      <c r="B92" s="41"/>
      <c r="C92" s="49"/>
      <c r="D92" s="49"/>
      <c r="E92" s="49"/>
      <c r="F92" s="49"/>
      <c r="G92" s="49"/>
      <c r="H92" s="49"/>
      <c r="I92" s="247"/>
      <c r="J92" s="5"/>
      <c r="K92" s="5"/>
      <c r="L92" s="5"/>
      <c r="M92" s="5"/>
      <c r="N92" s="5"/>
      <c r="O92" s="5"/>
      <c r="Q92" s="5"/>
      <c r="R92" s="5"/>
      <c r="S92" s="5"/>
      <c r="T92" s="5"/>
      <c r="U92" s="5"/>
      <c r="W92" s="21"/>
      <c r="X92" s="21"/>
      <c r="Y92" s="21"/>
      <c r="Z92" s="21"/>
    </row>
    <row r="93" spans="2:26">
      <c r="B93" s="5"/>
      <c r="C93" s="5"/>
      <c r="D93" s="5"/>
      <c r="E93" s="5"/>
      <c r="F93" s="5"/>
      <c r="G93" s="5"/>
      <c r="H93" s="5"/>
      <c r="I93" s="247"/>
      <c r="J93" s="247"/>
      <c r="K93" s="247"/>
      <c r="L93" s="247"/>
      <c r="M93" s="247"/>
      <c r="N93" s="247"/>
      <c r="O93" s="248"/>
      <c r="Q93" s="5"/>
      <c r="R93" s="5"/>
      <c r="S93" s="5"/>
      <c r="T93" s="5"/>
      <c r="U93" s="5"/>
      <c r="Y93" s="21"/>
      <c r="Z93" s="21"/>
    </row>
    <row r="94" spans="2:26">
      <c r="B94" s="5"/>
      <c r="C94" s="259"/>
      <c r="D94" s="247"/>
      <c r="E94" s="247"/>
      <c r="F94" s="247"/>
      <c r="G94" s="247"/>
      <c r="H94" s="247"/>
      <c r="I94" s="248"/>
      <c r="J94" s="247"/>
      <c r="K94" s="247"/>
      <c r="L94" s="247"/>
      <c r="M94" s="247"/>
      <c r="N94" s="247"/>
      <c r="O94" s="248"/>
      <c r="Q94" s="5"/>
      <c r="R94" s="5"/>
      <c r="S94" s="5"/>
      <c r="T94" s="5"/>
      <c r="U94" s="5"/>
    </row>
    <row r="95" spans="2:26">
      <c r="B95" s="5"/>
      <c r="C95" s="259"/>
      <c r="D95" s="247"/>
      <c r="E95" s="247"/>
      <c r="F95" s="247"/>
      <c r="G95" s="247"/>
      <c r="H95" s="247"/>
      <c r="I95" s="247"/>
      <c r="J95" s="247"/>
      <c r="K95" s="247"/>
      <c r="L95" s="247"/>
      <c r="M95" s="247"/>
      <c r="N95" s="247"/>
      <c r="O95" s="248"/>
      <c r="Q95" s="5"/>
      <c r="R95" s="5"/>
      <c r="S95" s="5"/>
      <c r="T95" s="5"/>
      <c r="U95" s="5"/>
    </row>
    <row r="96" spans="2:26">
      <c r="B96" s="5"/>
      <c r="C96" s="259"/>
      <c r="D96" s="247"/>
      <c r="E96" s="247"/>
      <c r="F96" s="247"/>
      <c r="G96" s="247"/>
      <c r="H96" s="247"/>
      <c r="I96" s="249"/>
      <c r="J96" s="248"/>
      <c r="K96" s="248"/>
      <c r="L96" s="248"/>
      <c r="M96" s="248"/>
      <c r="N96" s="248"/>
      <c r="O96" s="248"/>
      <c r="Q96" s="5"/>
      <c r="R96" s="5"/>
      <c r="S96" s="5"/>
      <c r="T96" s="5"/>
      <c r="U96" s="5"/>
    </row>
    <row r="97" spans="2:21">
      <c r="B97" s="5"/>
      <c r="C97" s="259"/>
      <c r="D97" s="248"/>
      <c r="E97" s="248"/>
      <c r="F97" s="248"/>
      <c r="G97" s="248"/>
      <c r="H97" s="248"/>
      <c r="I97" s="248"/>
      <c r="J97" s="247"/>
      <c r="K97" s="247"/>
      <c r="L97" s="247"/>
      <c r="M97" s="247"/>
      <c r="N97" s="247"/>
      <c r="O97" s="248"/>
      <c r="Q97" s="5"/>
      <c r="R97" s="5"/>
      <c r="S97" s="5"/>
      <c r="T97" s="5"/>
      <c r="U97" s="5"/>
    </row>
    <row r="98" spans="2:21">
      <c r="B98" s="5"/>
      <c r="C98" s="259"/>
      <c r="D98" s="247"/>
      <c r="E98" s="247"/>
      <c r="F98" s="247"/>
      <c r="G98" s="247"/>
      <c r="H98" s="247"/>
      <c r="I98" s="5"/>
      <c r="J98" s="249"/>
      <c r="K98" s="249"/>
      <c r="L98" s="249"/>
      <c r="M98" s="249"/>
      <c r="N98" s="249"/>
      <c r="O98" s="248"/>
      <c r="Q98" s="5"/>
      <c r="R98" s="5"/>
      <c r="S98" s="5"/>
      <c r="T98" s="5"/>
      <c r="U98" s="5"/>
    </row>
    <row r="99" spans="2:21">
      <c r="B99" s="41"/>
      <c r="C99" s="249"/>
      <c r="D99" s="249"/>
      <c r="E99" s="249"/>
      <c r="F99" s="249"/>
      <c r="G99" s="249"/>
      <c r="H99" s="249"/>
      <c r="I99" s="259"/>
      <c r="J99" s="248"/>
      <c r="K99" s="248"/>
      <c r="L99" s="248"/>
      <c r="M99" s="248"/>
      <c r="N99" s="248"/>
      <c r="O99" s="248"/>
      <c r="Q99" s="5"/>
      <c r="R99" s="5"/>
      <c r="S99" s="5"/>
      <c r="T99" s="5"/>
      <c r="U99" s="5"/>
    </row>
    <row r="100" spans="2:21" s="5" customFormat="1">
      <c r="B100" s="41"/>
      <c r="C100" s="257"/>
      <c r="D100" s="248"/>
      <c r="E100" s="248"/>
      <c r="F100" s="248"/>
      <c r="G100" s="248"/>
      <c r="H100" s="248"/>
      <c r="I100" s="259"/>
      <c r="O100" s="248"/>
      <c r="P100" s="39"/>
    </row>
    <row r="101" spans="2:21">
      <c r="B101" s="41"/>
      <c r="C101" s="5"/>
      <c r="D101" s="5"/>
      <c r="E101" s="5"/>
      <c r="F101" s="5"/>
      <c r="G101" s="5"/>
      <c r="H101" s="5"/>
      <c r="I101" s="247"/>
      <c r="J101" s="259"/>
      <c r="K101" s="259"/>
      <c r="L101" s="259"/>
      <c r="M101" s="259"/>
      <c r="N101" s="259"/>
      <c r="O101" s="5"/>
      <c r="Q101" s="5"/>
      <c r="R101" s="5"/>
      <c r="S101" s="5"/>
      <c r="T101" s="5"/>
      <c r="U101" s="5"/>
    </row>
    <row r="102" spans="2:21">
      <c r="B102" s="5"/>
      <c r="C102" s="259"/>
      <c r="D102" s="259"/>
      <c r="E102" s="259"/>
      <c r="F102" s="259"/>
      <c r="G102" s="259"/>
      <c r="H102" s="259"/>
      <c r="I102" s="5"/>
      <c r="J102" s="259"/>
      <c r="K102" s="259"/>
      <c r="L102" s="259"/>
      <c r="M102" s="259"/>
      <c r="N102" s="259"/>
      <c r="O102" s="5"/>
      <c r="P102" s="5"/>
      <c r="Q102" s="5"/>
      <c r="R102" s="5"/>
      <c r="S102" s="5"/>
      <c r="T102" s="5"/>
      <c r="U102" s="5"/>
    </row>
    <row r="103" spans="2:21">
      <c r="B103" s="5"/>
      <c r="C103" s="259"/>
      <c r="D103" s="259"/>
      <c r="E103" s="259"/>
      <c r="F103" s="259"/>
      <c r="G103" s="259"/>
      <c r="H103" s="259"/>
      <c r="I103" s="247"/>
      <c r="J103" s="247"/>
      <c r="K103" s="247"/>
      <c r="L103" s="247"/>
      <c r="M103" s="247"/>
      <c r="N103" s="247"/>
      <c r="O103" s="5"/>
      <c r="Q103" s="5"/>
      <c r="R103" s="5"/>
      <c r="S103" s="5"/>
      <c r="T103" s="5"/>
      <c r="U103" s="5"/>
    </row>
    <row r="104" spans="2:21" s="5" customFormat="1">
      <c r="C104" s="247"/>
      <c r="D104" s="247"/>
      <c r="E104" s="247"/>
      <c r="F104" s="247"/>
      <c r="G104" s="247"/>
      <c r="H104" s="247"/>
      <c r="P104" s="39"/>
    </row>
    <row r="105" spans="2:21" s="5" customFormat="1">
      <c r="I105" s="259"/>
      <c r="J105" s="247"/>
      <c r="K105" s="247"/>
      <c r="L105" s="247"/>
      <c r="M105" s="247"/>
      <c r="N105" s="247"/>
      <c r="P105" s="39"/>
    </row>
    <row r="106" spans="2:21">
      <c r="B106" s="5"/>
      <c r="C106" s="259"/>
      <c r="D106" s="247"/>
      <c r="E106" s="247"/>
      <c r="F106" s="247"/>
      <c r="G106" s="247"/>
      <c r="H106" s="247"/>
      <c r="I106" s="247"/>
      <c r="J106" s="5"/>
      <c r="K106" s="5"/>
      <c r="L106" s="5"/>
      <c r="M106" s="5"/>
      <c r="N106" s="5"/>
      <c r="O106" s="5"/>
      <c r="P106" s="5"/>
      <c r="Q106" s="5"/>
      <c r="R106" s="5"/>
      <c r="S106" s="5"/>
      <c r="T106" s="5"/>
      <c r="U106" s="5"/>
    </row>
    <row r="107" spans="2:21">
      <c r="B107" s="5"/>
      <c r="C107" s="259"/>
      <c r="D107" s="5"/>
      <c r="E107" s="5"/>
      <c r="F107" s="5"/>
      <c r="G107" s="5"/>
      <c r="H107" s="5"/>
      <c r="I107" s="249"/>
      <c r="J107" s="259"/>
      <c r="K107" s="259"/>
      <c r="L107" s="259"/>
      <c r="M107" s="259"/>
      <c r="N107" s="259"/>
      <c r="O107" s="5"/>
      <c r="P107" s="5"/>
      <c r="Q107" s="5"/>
      <c r="R107" s="5"/>
      <c r="S107" s="5"/>
      <c r="T107" s="5"/>
      <c r="U107" s="5"/>
    </row>
    <row r="108" spans="2:21">
      <c r="B108" s="5"/>
      <c r="C108" s="259"/>
      <c r="D108" s="259"/>
      <c r="E108" s="259"/>
      <c r="F108" s="259"/>
      <c r="G108" s="259"/>
      <c r="H108" s="259"/>
      <c r="I108" s="249"/>
      <c r="J108" s="247"/>
      <c r="K108" s="247"/>
      <c r="L108" s="247"/>
      <c r="M108" s="247"/>
      <c r="N108" s="247"/>
      <c r="O108" s="5"/>
      <c r="Q108" s="5"/>
      <c r="R108" s="5"/>
      <c r="S108" s="5"/>
      <c r="T108" s="5"/>
      <c r="U108" s="5"/>
    </row>
    <row r="109" spans="2:21">
      <c r="B109" s="5"/>
      <c r="C109" s="247"/>
      <c r="D109" s="247"/>
      <c r="E109" s="247"/>
      <c r="F109" s="247"/>
      <c r="G109" s="247"/>
      <c r="H109" s="247"/>
      <c r="I109" s="247"/>
      <c r="J109" s="249"/>
      <c r="K109" s="249"/>
      <c r="L109" s="249"/>
      <c r="M109" s="249"/>
      <c r="N109" s="249"/>
      <c r="O109" s="5"/>
      <c r="Q109" s="5"/>
      <c r="R109" s="5"/>
      <c r="S109" s="5"/>
      <c r="T109" s="5"/>
      <c r="U109" s="5"/>
    </row>
    <row r="110" spans="2:21">
      <c r="B110" s="41"/>
      <c r="C110" s="249"/>
      <c r="D110" s="249"/>
      <c r="E110" s="249"/>
      <c r="F110" s="249"/>
      <c r="G110" s="249"/>
      <c r="H110" s="249"/>
      <c r="I110" s="5"/>
      <c r="J110" s="249"/>
      <c r="K110" s="249"/>
      <c r="L110" s="249"/>
      <c r="M110" s="249"/>
      <c r="N110" s="249"/>
      <c r="O110" s="5"/>
      <c r="Q110" s="5"/>
      <c r="R110" s="5"/>
      <c r="S110" s="5"/>
      <c r="T110" s="5"/>
      <c r="U110" s="5"/>
    </row>
    <row r="111" spans="2:21">
      <c r="B111" s="5"/>
      <c r="C111" s="249"/>
      <c r="D111" s="249"/>
      <c r="E111" s="249"/>
      <c r="F111" s="249"/>
      <c r="G111" s="249"/>
      <c r="H111" s="249"/>
      <c r="I111" s="5"/>
      <c r="J111" s="247"/>
      <c r="K111" s="247"/>
      <c r="L111" s="247"/>
      <c r="M111" s="247"/>
      <c r="N111" s="247"/>
      <c r="O111" s="5"/>
      <c r="Q111" s="5"/>
      <c r="R111" s="5"/>
      <c r="S111" s="5"/>
      <c r="T111" s="5"/>
      <c r="U111" s="5"/>
    </row>
    <row r="112" spans="2:21">
      <c r="B112" s="5"/>
      <c r="C112" s="247"/>
      <c r="D112" s="247"/>
      <c r="E112" s="247"/>
      <c r="F112" s="247"/>
      <c r="G112" s="247"/>
      <c r="H112" s="247"/>
      <c r="I112" s="5"/>
      <c r="J112" s="5"/>
      <c r="K112" s="5"/>
      <c r="L112" s="5"/>
      <c r="M112" s="5"/>
      <c r="N112" s="5"/>
      <c r="O112" s="5"/>
      <c r="Q112" s="5"/>
      <c r="R112" s="5"/>
      <c r="S112" s="5"/>
      <c r="T112" s="5"/>
      <c r="U112" s="5"/>
    </row>
    <row r="113" spans="2:21">
      <c r="B113" s="5"/>
      <c r="C113" s="5"/>
      <c r="D113" s="5"/>
      <c r="E113" s="5"/>
      <c r="F113" s="5"/>
      <c r="G113" s="5"/>
      <c r="H113" s="5"/>
      <c r="I113" s="5"/>
      <c r="J113" s="5"/>
      <c r="K113" s="5"/>
      <c r="L113" s="5"/>
      <c r="M113" s="5"/>
      <c r="N113" s="5"/>
      <c r="O113" s="5"/>
      <c r="Q113" s="5"/>
      <c r="R113" s="5"/>
      <c r="S113" s="5"/>
      <c r="T113" s="5"/>
      <c r="U113" s="5"/>
    </row>
    <row r="114" spans="2:21">
      <c r="B114" s="5"/>
      <c r="C114" s="5"/>
      <c r="D114" s="5"/>
      <c r="E114" s="5"/>
      <c r="F114" s="5"/>
      <c r="G114" s="5"/>
      <c r="H114" s="5"/>
      <c r="I114" s="49"/>
      <c r="J114" s="5"/>
      <c r="K114" s="5"/>
      <c r="L114" s="5"/>
      <c r="M114" s="5"/>
      <c r="N114" s="5"/>
      <c r="O114" s="5"/>
      <c r="Q114" s="41"/>
      <c r="R114" s="5"/>
      <c r="S114" s="5"/>
      <c r="T114" s="5"/>
      <c r="U114" s="5"/>
    </row>
    <row r="115" spans="2:21">
      <c r="B115" s="5"/>
      <c r="C115" s="5"/>
      <c r="D115" s="5"/>
      <c r="E115" s="5"/>
      <c r="F115" s="5"/>
      <c r="G115" s="5"/>
      <c r="H115" s="5"/>
      <c r="I115" s="5"/>
      <c r="J115" s="5"/>
      <c r="K115" s="5"/>
      <c r="L115" s="5"/>
      <c r="M115" s="5"/>
      <c r="N115" s="5"/>
      <c r="O115" s="5"/>
      <c r="Q115" s="5"/>
      <c r="R115" s="5"/>
      <c r="S115" s="5"/>
      <c r="T115" s="5"/>
      <c r="U115" s="5"/>
    </row>
    <row r="116" spans="2:21">
      <c r="B116" s="5"/>
      <c r="C116" s="5"/>
      <c r="D116" s="5"/>
      <c r="E116" s="5"/>
      <c r="F116" s="5"/>
      <c r="G116" s="5"/>
      <c r="H116" s="5"/>
      <c r="I116" s="254"/>
      <c r="J116" s="49"/>
      <c r="K116" s="49"/>
      <c r="L116" s="49"/>
      <c r="M116" s="49"/>
      <c r="N116" s="49"/>
      <c r="O116" s="49"/>
      <c r="Q116" s="5"/>
      <c r="R116" s="5"/>
      <c r="S116" s="5"/>
      <c r="T116" s="5"/>
      <c r="U116" s="5"/>
    </row>
    <row r="117" spans="2:21">
      <c r="B117" s="41"/>
      <c r="C117" s="49"/>
      <c r="D117" s="49"/>
      <c r="E117" s="49"/>
      <c r="F117" s="49"/>
      <c r="G117" s="49"/>
      <c r="H117" s="49"/>
      <c r="I117" s="249"/>
      <c r="J117" s="5"/>
      <c r="K117" s="5"/>
      <c r="L117" s="5"/>
      <c r="M117" s="5"/>
      <c r="N117" s="5"/>
      <c r="O117" s="5"/>
      <c r="Q117" s="5"/>
      <c r="R117" s="5"/>
      <c r="S117" s="5"/>
      <c r="T117" s="5"/>
      <c r="U117" s="5"/>
    </row>
    <row r="118" spans="2:21">
      <c r="B118" s="5"/>
      <c r="C118" s="5"/>
      <c r="D118" s="5"/>
      <c r="E118" s="5"/>
      <c r="F118" s="5"/>
      <c r="G118" s="5"/>
      <c r="H118" s="5"/>
      <c r="I118" s="254"/>
      <c r="J118" s="254"/>
      <c r="K118" s="254"/>
      <c r="L118" s="254"/>
      <c r="M118" s="254"/>
      <c r="N118" s="254"/>
      <c r="O118" s="248"/>
      <c r="Q118" s="5"/>
      <c r="R118" s="5"/>
      <c r="S118" s="5"/>
      <c r="T118" s="5"/>
      <c r="U118" s="5"/>
    </row>
    <row r="119" spans="2:21">
      <c r="B119" s="41"/>
      <c r="C119" s="254"/>
      <c r="D119" s="254"/>
      <c r="E119" s="254"/>
      <c r="F119" s="254"/>
      <c r="G119" s="254"/>
      <c r="H119" s="254"/>
      <c r="I119" s="254"/>
      <c r="J119" s="249"/>
      <c r="K119" s="249"/>
      <c r="L119" s="249"/>
      <c r="M119" s="249"/>
      <c r="N119" s="249"/>
      <c r="O119" s="248"/>
      <c r="Q119" s="5"/>
      <c r="R119" s="5"/>
      <c r="S119" s="5"/>
      <c r="T119" s="5"/>
      <c r="U119" s="5"/>
    </row>
    <row r="120" spans="2:21">
      <c r="B120" s="41"/>
      <c r="C120" s="254"/>
      <c r="D120" s="249"/>
      <c r="E120" s="249"/>
      <c r="F120" s="249"/>
      <c r="G120" s="249"/>
      <c r="H120" s="249"/>
      <c r="I120" s="254"/>
      <c r="J120" s="254"/>
      <c r="K120" s="254"/>
      <c r="L120" s="254"/>
      <c r="M120" s="254"/>
      <c r="N120" s="254"/>
      <c r="O120" s="248"/>
      <c r="Q120" s="5"/>
      <c r="R120" s="5"/>
      <c r="S120" s="5"/>
      <c r="T120" s="5"/>
      <c r="U120" s="5"/>
    </row>
    <row r="121" spans="2:21">
      <c r="B121" s="41"/>
      <c r="C121" s="254"/>
      <c r="D121" s="254"/>
      <c r="E121" s="254"/>
      <c r="F121" s="254"/>
      <c r="G121" s="254"/>
      <c r="H121" s="254"/>
      <c r="I121" s="254"/>
      <c r="J121" s="254"/>
      <c r="K121" s="254"/>
      <c r="L121" s="254"/>
      <c r="M121" s="254"/>
      <c r="N121" s="254"/>
      <c r="O121" s="248"/>
      <c r="Q121" s="5"/>
      <c r="R121" s="5"/>
      <c r="S121" s="5"/>
      <c r="T121" s="5"/>
      <c r="U121" s="5"/>
    </row>
    <row r="122" spans="2:21">
      <c r="B122" s="41"/>
      <c r="C122" s="254"/>
      <c r="D122" s="254"/>
      <c r="E122" s="254"/>
      <c r="F122" s="254"/>
      <c r="G122" s="254"/>
      <c r="H122" s="254"/>
      <c r="I122" s="254"/>
      <c r="J122" s="254"/>
      <c r="K122" s="254"/>
      <c r="L122" s="254"/>
      <c r="M122" s="254"/>
      <c r="N122" s="254"/>
      <c r="O122" s="248"/>
      <c r="Q122" s="5"/>
      <c r="R122" s="5"/>
      <c r="S122" s="5"/>
      <c r="T122" s="5"/>
      <c r="U122" s="5"/>
    </row>
    <row r="123" spans="2:21">
      <c r="B123" s="41"/>
      <c r="C123" s="254"/>
      <c r="D123" s="254"/>
      <c r="E123" s="254"/>
      <c r="F123" s="254"/>
      <c r="G123" s="254"/>
      <c r="H123" s="254"/>
      <c r="I123" s="254"/>
      <c r="J123" s="254"/>
      <c r="K123" s="254"/>
      <c r="L123" s="254"/>
      <c r="M123" s="254"/>
      <c r="N123" s="254"/>
      <c r="O123" s="248"/>
      <c r="Q123" s="5"/>
      <c r="R123" s="5"/>
      <c r="S123" s="5"/>
      <c r="T123" s="5"/>
      <c r="U123" s="5"/>
    </row>
    <row r="124" spans="2:21">
      <c r="B124" s="41"/>
      <c r="C124" s="254"/>
      <c r="D124" s="254"/>
      <c r="E124" s="254"/>
      <c r="F124" s="254"/>
      <c r="G124" s="254"/>
      <c r="H124" s="254"/>
      <c r="I124" s="254"/>
      <c r="J124" s="254"/>
      <c r="K124" s="254"/>
      <c r="L124" s="254"/>
      <c r="M124" s="254"/>
      <c r="N124" s="254"/>
      <c r="O124" s="5"/>
      <c r="Q124" s="5"/>
      <c r="R124" s="5"/>
      <c r="S124" s="5"/>
      <c r="T124" s="5"/>
      <c r="U124" s="5"/>
    </row>
    <row r="125" spans="2:21">
      <c r="B125" s="41"/>
      <c r="C125" s="254"/>
      <c r="D125" s="254"/>
      <c r="E125" s="254"/>
      <c r="F125" s="254"/>
      <c r="G125" s="254"/>
      <c r="H125" s="254"/>
      <c r="I125" s="254"/>
      <c r="J125" s="254"/>
      <c r="K125" s="254"/>
      <c r="L125" s="254"/>
      <c r="M125" s="254"/>
      <c r="N125" s="254"/>
      <c r="O125" s="5"/>
      <c r="Q125" s="5"/>
      <c r="R125" s="5"/>
      <c r="S125" s="5"/>
      <c r="T125" s="5"/>
      <c r="U125" s="5"/>
    </row>
    <row r="126" spans="2:21">
      <c r="B126" s="41"/>
      <c r="C126" s="254"/>
      <c r="D126" s="254"/>
      <c r="E126" s="254"/>
      <c r="F126" s="254"/>
      <c r="G126" s="254"/>
      <c r="H126" s="254"/>
      <c r="I126" s="18"/>
      <c r="J126" s="254"/>
      <c r="K126" s="254"/>
      <c r="L126" s="254"/>
      <c r="M126" s="254"/>
      <c r="N126" s="254"/>
      <c r="O126" s="5"/>
      <c r="Q126" s="5"/>
      <c r="R126" s="5"/>
      <c r="S126" s="5"/>
      <c r="T126" s="5"/>
      <c r="U126" s="5"/>
    </row>
    <row r="127" spans="2:21">
      <c r="B127" s="41"/>
      <c r="C127" s="254"/>
      <c r="D127" s="254"/>
      <c r="E127" s="254"/>
      <c r="F127" s="254"/>
      <c r="G127" s="254"/>
      <c r="H127" s="254"/>
      <c r="I127" s="5"/>
      <c r="J127" s="254"/>
      <c r="K127" s="254"/>
      <c r="L127" s="254"/>
      <c r="M127" s="254"/>
      <c r="N127" s="254"/>
      <c r="O127" s="5"/>
      <c r="Q127" s="5"/>
      <c r="R127" s="5"/>
      <c r="S127" s="5"/>
      <c r="T127" s="5"/>
      <c r="U127" s="5"/>
    </row>
    <row r="128" spans="2:21">
      <c r="B128" s="41"/>
      <c r="C128" s="254"/>
      <c r="D128" s="254"/>
      <c r="E128" s="254"/>
      <c r="F128" s="254"/>
      <c r="G128" s="254"/>
      <c r="H128" s="254"/>
      <c r="I128" s="254"/>
      <c r="J128" s="18"/>
      <c r="K128" s="18"/>
      <c r="L128" s="18"/>
      <c r="M128" s="18"/>
      <c r="N128" s="18"/>
      <c r="O128" s="5"/>
      <c r="Q128" s="5"/>
      <c r="R128" s="5"/>
      <c r="S128" s="5"/>
      <c r="T128" s="5"/>
      <c r="U128" s="5"/>
    </row>
    <row r="129" spans="2:27">
      <c r="B129" s="5"/>
      <c r="C129" s="5"/>
      <c r="D129" s="18"/>
      <c r="E129" s="18"/>
      <c r="F129" s="18"/>
      <c r="G129" s="18"/>
      <c r="H129" s="18"/>
      <c r="I129" s="18"/>
      <c r="J129" s="5"/>
      <c r="K129" s="5"/>
      <c r="L129" s="5"/>
      <c r="M129" s="5"/>
      <c r="N129" s="5"/>
      <c r="O129" s="5"/>
      <c r="Q129" s="5"/>
      <c r="R129" s="5"/>
      <c r="S129" s="5"/>
      <c r="T129" s="5"/>
      <c r="U129" s="5"/>
    </row>
    <row r="130" spans="2:27">
      <c r="B130" s="5"/>
      <c r="C130" s="5"/>
      <c r="D130" s="5"/>
      <c r="E130" s="5"/>
      <c r="F130" s="5"/>
      <c r="G130" s="5"/>
      <c r="H130" s="5"/>
      <c r="I130" s="5"/>
      <c r="J130" s="254"/>
      <c r="K130" s="254"/>
      <c r="L130" s="254"/>
      <c r="M130" s="254"/>
      <c r="N130" s="254"/>
      <c r="O130" s="5"/>
      <c r="Q130" s="5"/>
      <c r="R130" s="5"/>
      <c r="S130" s="5"/>
      <c r="T130" s="5"/>
      <c r="U130" s="5"/>
    </row>
    <row r="131" spans="2:27">
      <c r="B131" s="41"/>
      <c r="C131" s="254"/>
      <c r="D131" s="254"/>
      <c r="E131" s="254"/>
      <c r="F131" s="254"/>
      <c r="G131" s="254"/>
      <c r="H131" s="254"/>
      <c r="I131" s="5"/>
      <c r="J131" s="18"/>
      <c r="K131" s="18"/>
      <c r="L131" s="18"/>
      <c r="M131" s="18"/>
      <c r="N131" s="18"/>
      <c r="O131" s="5"/>
      <c r="Q131" s="5"/>
      <c r="R131" s="5"/>
      <c r="S131" s="5"/>
      <c r="T131" s="5"/>
      <c r="U131" s="5"/>
    </row>
    <row r="132" spans="2:27">
      <c r="B132" s="5"/>
      <c r="C132" s="259"/>
      <c r="D132" s="18"/>
      <c r="E132" s="18"/>
      <c r="F132" s="18"/>
      <c r="G132" s="18"/>
      <c r="H132" s="18"/>
      <c r="I132" s="17"/>
      <c r="J132" s="5"/>
      <c r="K132" s="5"/>
      <c r="L132" s="5"/>
      <c r="M132" s="5"/>
      <c r="N132" s="5"/>
      <c r="O132" s="5"/>
      <c r="Q132" s="5"/>
      <c r="R132" s="5"/>
      <c r="S132" s="5"/>
      <c r="T132" s="5"/>
      <c r="U132" s="5"/>
    </row>
    <row r="133" spans="2:27">
      <c r="B133" s="5"/>
      <c r="C133" s="5"/>
      <c r="D133" s="5"/>
      <c r="E133" s="5"/>
      <c r="F133" s="5"/>
      <c r="G133" s="5"/>
      <c r="H133" s="5"/>
      <c r="I133" s="17"/>
      <c r="J133" s="5"/>
      <c r="K133" s="5"/>
      <c r="L133" s="5"/>
      <c r="M133" s="5"/>
      <c r="N133" s="5"/>
      <c r="O133" s="5"/>
      <c r="Q133" s="5"/>
      <c r="R133" s="5"/>
      <c r="S133" s="5"/>
      <c r="T133" s="5"/>
      <c r="U133" s="5"/>
    </row>
    <row r="134" spans="2:27">
      <c r="B134" s="41"/>
      <c r="C134" s="5"/>
      <c r="D134" s="5"/>
      <c r="E134" s="5"/>
      <c r="F134" s="5"/>
      <c r="G134" s="5"/>
      <c r="H134" s="5"/>
      <c r="I134" s="17"/>
      <c r="J134" s="17"/>
      <c r="K134" s="17"/>
      <c r="L134" s="17"/>
      <c r="M134" s="17"/>
      <c r="N134" s="17"/>
      <c r="O134" s="5"/>
      <c r="Q134" s="41"/>
      <c r="R134" s="5"/>
      <c r="S134" s="5"/>
      <c r="T134" s="5"/>
      <c r="U134" s="5"/>
    </row>
    <row r="135" spans="2:27">
      <c r="B135" s="5"/>
      <c r="C135" s="17"/>
      <c r="D135" s="17"/>
      <c r="E135" s="17"/>
      <c r="F135" s="17"/>
      <c r="G135" s="17"/>
      <c r="H135" s="17"/>
      <c r="I135" s="17"/>
      <c r="J135" s="17"/>
      <c r="K135" s="17"/>
      <c r="L135" s="17"/>
      <c r="M135" s="17"/>
      <c r="N135" s="17"/>
      <c r="O135" s="5"/>
      <c r="Q135" s="5"/>
      <c r="R135" s="5"/>
      <c r="S135" s="5"/>
      <c r="T135" s="5"/>
      <c r="U135" s="5"/>
      <c r="X135" s="304"/>
    </row>
    <row r="136" spans="2:27">
      <c r="B136" s="5"/>
      <c r="C136" s="17"/>
      <c r="D136" s="17"/>
      <c r="E136" s="17"/>
      <c r="F136" s="17"/>
      <c r="G136" s="17"/>
      <c r="H136" s="17"/>
      <c r="I136" s="17"/>
      <c r="J136" s="17"/>
      <c r="K136" s="17"/>
      <c r="L136" s="17"/>
      <c r="M136" s="17"/>
      <c r="N136" s="17"/>
      <c r="O136" s="5"/>
      <c r="Q136" s="5"/>
      <c r="R136" s="5"/>
      <c r="S136" s="5"/>
      <c r="T136" s="5"/>
      <c r="U136" s="5"/>
      <c r="X136" s="10"/>
      <c r="Y136" s="304"/>
      <c r="Z136" s="304"/>
      <c r="AA136" s="304"/>
    </row>
    <row r="137" spans="2:27">
      <c r="B137" s="5"/>
      <c r="C137" s="5"/>
      <c r="D137" s="17"/>
      <c r="E137" s="17"/>
      <c r="F137" s="17"/>
      <c r="G137" s="17"/>
      <c r="H137" s="17"/>
      <c r="I137" s="17"/>
      <c r="J137" s="17"/>
      <c r="K137" s="17"/>
      <c r="L137" s="17"/>
      <c r="M137" s="17"/>
      <c r="N137" s="17"/>
      <c r="O137" s="5"/>
      <c r="Q137" s="5"/>
      <c r="R137" s="5"/>
      <c r="S137" s="5"/>
      <c r="T137" s="5"/>
      <c r="U137" s="5"/>
      <c r="Y137" s="10"/>
      <c r="Z137" s="10"/>
      <c r="AA137" s="10"/>
    </row>
    <row r="138" spans="2:27">
      <c r="B138" s="5"/>
      <c r="C138" s="5"/>
      <c r="D138" s="17"/>
      <c r="E138" s="17"/>
      <c r="F138" s="17"/>
      <c r="G138" s="17"/>
      <c r="H138" s="17"/>
      <c r="I138" s="5"/>
      <c r="J138" s="17"/>
      <c r="K138" s="17"/>
      <c r="L138" s="17"/>
      <c r="M138" s="17"/>
      <c r="N138" s="17"/>
      <c r="O138" s="5"/>
      <c r="Q138" s="5"/>
      <c r="R138" s="5"/>
      <c r="S138" s="5"/>
      <c r="T138" s="5"/>
      <c r="U138" s="5"/>
    </row>
    <row r="139" spans="2:27">
      <c r="B139" s="5"/>
      <c r="C139" s="5"/>
      <c r="D139" s="17"/>
      <c r="E139" s="17"/>
      <c r="F139" s="17"/>
      <c r="G139" s="17"/>
      <c r="H139" s="17"/>
      <c r="I139" s="5"/>
      <c r="J139" s="17"/>
      <c r="K139" s="17"/>
      <c r="L139" s="17"/>
      <c r="M139" s="17"/>
      <c r="N139" s="17"/>
      <c r="O139" s="5"/>
      <c r="Q139" s="5"/>
      <c r="R139" s="5"/>
      <c r="S139" s="5"/>
      <c r="T139" s="5"/>
      <c r="U139" s="5"/>
    </row>
    <row r="140" spans="2:27">
      <c r="B140" s="5"/>
      <c r="C140" s="17"/>
      <c r="D140" s="17"/>
      <c r="E140" s="17"/>
      <c r="F140" s="17"/>
      <c r="G140" s="17"/>
      <c r="H140" s="17"/>
      <c r="I140" s="5"/>
      <c r="J140" s="5"/>
      <c r="K140" s="5"/>
      <c r="L140" s="5"/>
      <c r="M140" s="5"/>
      <c r="N140" s="5"/>
      <c r="O140" s="5"/>
      <c r="Q140" s="5"/>
      <c r="R140" s="5"/>
      <c r="S140" s="5"/>
      <c r="T140" s="5"/>
      <c r="U140" s="5"/>
    </row>
    <row r="141" spans="2:27">
      <c r="B141" s="5"/>
      <c r="C141" s="5"/>
      <c r="D141" s="5"/>
      <c r="E141" s="5"/>
      <c r="F141" s="5"/>
      <c r="G141" s="5"/>
      <c r="H141" s="5"/>
      <c r="I141" s="5"/>
      <c r="J141" s="5"/>
      <c r="K141" s="5"/>
      <c r="L141" s="5"/>
      <c r="M141" s="5"/>
      <c r="N141" s="5"/>
      <c r="O141" s="5"/>
      <c r="Q141" s="5"/>
      <c r="R141" s="5"/>
      <c r="S141" s="5"/>
      <c r="T141" s="5"/>
      <c r="U141" s="5"/>
    </row>
    <row r="142" spans="2:27">
      <c r="B142" s="5"/>
      <c r="C142" s="5"/>
      <c r="D142" s="5"/>
      <c r="E142" s="5"/>
      <c r="F142" s="5"/>
      <c r="G142" s="5"/>
      <c r="H142" s="5"/>
      <c r="I142" s="5"/>
      <c r="J142" s="5"/>
      <c r="K142" s="5"/>
      <c r="L142" s="5"/>
      <c r="M142" s="5"/>
      <c r="N142" s="5"/>
      <c r="O142" s="5"/>
      <c r="Q142" s="5"/>
      <c r="R142" s="5"/>
      <c r="S142" s="5"/>
      <c r="T142" s="5"/>
      <c r="U142" s="5"/>
    </row>
    <row r="143" spans="2:27">
      <c r="B143" s="5"/>
      <c r="C143" s="5"/>
      <c r="D143" s="5"/>
      <c r="E143" s="5"/>
      <c r="F143" s="5"/>
      <c r="G143" s="5"/>
      <c r="H143" s="5"/>
      <c r="I143" s="5"/>
      <c r="J143" s="5"/>
      <c r="K143" s="5"/>
      <c r="L143" s="5"/>
      <c r="M143" s="5"/>
      <c r="N143" s="5"/>
      <c r="O143" s="5"/>
      <c r="Q143" s="5"/>
      <c r="R143" s="5"/>
      <c r="S143" s="5"/>
      <c r="T143" s="5"/>
      <c r="U143" s="5"/>
    </row>
    <row r="144" spans="2:27">
      <c r="B144" s="5"/>
      <c r="C144" s="5"/>
      <c r="D144" s="5"/>
      <c r="E144" s="5"/>
      <c r="F144" s="5"/>
      <c r="G144" s="5"/>
      <c r="H144" s="5"/>
      <c r="I144" s="5"/>
      <c r="J144" s="5"/>
      <c r="K144" s="5"/>
      <c r="L144" s="5"/>
      <c r="M144" s="5"/>
      <c r="N144" s="5"/>
      <c r="O144" s="5"/>
      <c r="Q144" s="5"/>
      <c r="R144" s="5"/>
      <c r="S144" s="5"/>
      <c r="T144" s="5"/>
      <c r="U144" s="5"/>
    </row>
    <row r="145" spans="2:21">
      <c r="B145" s="5"/>
      <c r="C145" s="5"/>
      <c r="D145" s="5"/>
      <c r="E145" s="5"/>
      <c r="F145" s="5"/>
      <c r="G145" s="5"/>
      <c r="H145" s="5"/>
      <c r="I145" s="5"/>
      <c r="J145" s="5"/>
      <c r="K145" s="5"/>
      <c r="L145" s="5"/>
      <c r="M145" s="5"/>
      <c r="N145" s="5"/>
      <c r="O145" s="5"/>
      <c r="Q145" s="5"/>
      <c r="R145" s="5"/>
      <c r="S145" s="5"/>
      <c r="T145" s="5"/>
      <c r="U145" s="5"/>
    </row>
    <row r="146" spans="2:21">
      <c r="B146" s="5"/>
      <c r="C146" s="5"/>
      <c r="D146" s="5"/>
      <c r="E146" s="5"/>
      <c r="F146" s="5"/>
      <c r="G146" s="5"/>
      <c r="H146" s="5"/>
      <c r="I146" s="5"/>
      <c r="J146" s="5"/>
      <c r="K146" s="5"/>
      <c r="L146" s="5"/>
      <c r="M146" s="5"/>
      <c r="N146" s="5"/>
      <c r="O146" s="5"/>
      <c r="Q146" s="5"/>
      <c r="R146" s="5"/>
      <c r="S146" s="5"/>
      <c r="T146" s="5"/>
      <c r="U146" s="5"/>
    </row>
    <row r="147" spans="2:21">
      <c r="B147" s="5"/>
      <c r="C147" s="5"/>
      <c r="D147" s="5"/>
      <c r="E147" s="5"/>
      <c r="F147" s="5"/>
      <c r="G147" s="5"/>
      <c r="H147" s="5"/>
      <c r="I147" s="5"/>
      <c r="J147" s="5"/>
      <c r="K147" s="5"/>
      <c r="L147" s="5"/>
      <c r="M147" s="5"/>
      <c r="N147" s="5"/>
      <c r="O147" s="5"/>
      <c r="Q147" s="5"/>
      <c r="R147" s="5"/>
      <c r="S147" s="5"/>
      <c r="T147" s="5"/>
      <c r="U147" s="5"/>
    </row>
    <row r="148" spans="2:21">
      <c r="B148" s="5"/>
      <c r="C148" s="5"/>
      <c r="D148" s="5"/>
      <c r="E148" s="5"/>
      <c r="F148" s="5"/>
      <c r="G148" s="5"/>
      <c r="H148" s="5"/>
      <c r="J148" s="5"/>
      <c r="K148" s="5"/>
      <c r="L148" s="5"/>
      <c r="M148" s="5"/>
      <c r="N148" s="5"/>
      <c r="O148" s="5"/>
      <c r="Q148" s="5"/>
      <c r="R148" s="5"/>
      <c r="S148" s="5"/>
      <c r="T148" s="5"/>
      <c r="U148" s="5"/>
    </row>
    <row r="149" spans="2:21">
      <c r="B149" s="5"/>
      <c r="C149" s="5"/>
      <c r="D149" s="5"/>
      <c r="E149" s="5"/>
      <c r="F149" s="5"/>
      <c r="G149" s="5"/>
      <c r="H149" s="5"/>
      <c r="J149" s="5"/>
      <c r="K149" s="5"/>
      <c r="L149" s="5"/>
      <c r="M149" s="5"/>
      <c r="N149" s="5"/>
      <c r="O149" s="5"/>
      <c r="Q149" s="5"/>
      <c r="R149" s="5"/>
      <c r="S149" s="5"/>
      <c r="T149" s="5"/>
      <c r="U149" s="5"/>
    </row>
    <row r="150" spans="2:21">
      <c r="B150" s="5"/>
      <c r="C150" s="5"/>
      <c r="D150" s="5"/>
      <c r="E150" s="5"/>
      <c r="F150" s="5"/>
      <c r="G150" s="5"/>
      <c r="H150" s="5"/>
      <c r="Q150" s="5"/>
      <c r="R150" s="5"/>
      <c r="S150" s="5"/>
      <c r="T150" s="5"/>
      <c r="U150" s="5"/>
    </row>
    <row r="151" spans="2:21">
      <c r="Q151" s="5"/>
      <c r="R151" s="5"/>
      <c r="S151" s="5"/>
      <c r="T151" s="5"/>
      <c r="U151" s="5"/>
    </row>
    <row r="152" spans="2:21">
      <c r="Q152" s="5"/>
      <c r="R152" s="5"/>
      <c r="S152" s="5"/>
      <c r="T152" s="5"/>
      <c r="U152" s="5"/>
    </row>
    <row r="153" spans="2:21">
      <c r="C153" s="263"/>
      <c r="Q153" s="5"/>
      <c r="R153" s="5"/>
      <c r="S153" s="5"/>
      <c r="T153" s="5"/>
      <c r="U153" s="5"/>
    </row>
    <row r="154" spans="2:21">
      <c r="Q154" s="5"/>
      <c r="R154" s="5"/>
      <c r="S154" s="5"/>
      <c r="T154" s="5"/>
      <c r="U154" s="5"/>
    </row>
    <row r="155" spans="2:21">
      <c r="Q155" s="5"/>
      <c r="R155" s="5"/>
      <c r="S155" s="5"/>
      <c r="T155" s="5"/>
      <c r="U155" s="5"/>
    </row>
    <row r="156" spans="2:21">
      <c r="Q156" s="5"/>
      <c r="R156" s="5"/>
      <c r="S156" s="5"/>
      <c r="T156" s="5"/>
      <c r="U156" s="5"/>
    </row>
    <row r="157" spans="2:21">
      <c r="Q157" s="5"/>
      <c r="R157" s="5"/>
      <c r="S157" s="5"/>
      <c r="T157" s="5"/>
      <c r="U157" s="5"/>
    </row>
    <row r="158" spans="2:21">
      <c r="Q158" s="5"/>
      <c r="R158" s="5"/>
      <c r="S158" s="5"/>
      <c r="T158" s="5"/>
      <c r="U158" s="5"/>
    </row>
    <row r="159" spans="2:21">
      <c r="Q159" s="5"/>
      <c r="R159" s="5"/>
      <c r="S159" s="5"/>
      <c r="T159" s="5"/>
      <c r="U159" s="5"/>
    </row>
    <row r="160" spans="2:21">
      <c r="Q160" s="5"/>
      <c r="R160" s="5"/>
      <c r="S160" s="5"/>
      <c r="T160" s="5"/>
      <c r="U160" s="5"/>
    </row>
    <row r="161" spans="17:21">
      <c r="Q161" s="5"/>
      <c r="R161" s="5"/>
      <c r="S161" s="5"/>
      <c r="T161" s="5"/>
      <c r="U161" s="5"/>
    </row>
    <row r="162" spans="17:21">
      <c r="Q162" s="5"/>
      <c r="R162" s="5"/>
      <c r="S162" s="5"/>
      <c r="T162" s="5"/>
      <c r="U162" s="5"/>
    </row>
    <row r="163" spans="17:21">
      <c r="Q163" s="5"/>
      <c r="R163" s="5"/>
      <c r="S163" s="5"/>
      <c r="T163" s="5"/>
      <c r="U163" s="5"/>
    </row>
    <row r="164" spans="17:21">
      <c r="Q164" s="5"/>
      <c r="R164" s="5"/>
      <c r="S164" s="5"/>
      <c r="T164" s="5"/>
      <c r="U164" s="5"/>
    </row>
  </sheetData>
  <phoneticPr fontId="7" type="noConversion"/>
  <pageMargins left="0.75" right="0.75" top="1" bottom="1" header="0.5" footer="0.5"/>
  <pageSetup scale="69" orientation="landscape" r:id="rId1"/>
  <headerFooter alignWithMargins="0"/>
  <drawing r:id="rId2"/>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000-000000000000}">
  <sheetPr codeName="Sheet29">
    <tabColor theme="3" tint="0.59999389629810485"/>
    <pageSetUpPr fitToPage="1"/>
  </sheetPr>
  <dimension ref="B1:BK164"/>
  <sheetViews>
    <sheetView showGridLines="0" zoomScale="80" zoomScaleNormal="80" workbookViewId="0"/>
  </sheetViews>
  <sheetFormatPr defaultColWidth="8.88671875" defaultRowHeight="12"/>
  <cols>
    <col min="1" max="1" width="2.33203125" style="39" customWidth="1"/>
    <col min="2" max="2" width="26.6640625" style="39" customWidth="1"/>
    <col min="3" max="9" width="10" style="39" customWidth="1"/>
    <col min="10" max="10" width="26.6640625" style="39" customWidth="1"/>
    <col min="11" max="16" width="10" style="39" customWidth="1"/>
    <col min="17" max="17" width="4.5546875" style="39" customWidth="1"/>
    <col min="18" max="20" width="8.88671875" style="39"/>
    <col min="21" max="21" width="3.6640625" style="39" customWidth="1"/>
    <col min="22" max="63" width="9.109375" style="5" customWidth="1"/>
    <col min="64" max="16384" width="8.88671875" style="39"/>
  </cols>
  <sheetData>
    <row r="1" spans="2:63" s="312" customFormat="1">
      <c r="V1" s="149"/>
      <c r="W1" s="149"/>
      <c r="X1" s="149"/>
      <c r="Y1" s="149"/>
      <c r="Z1" s="149"/>
      <c r="AA1" s="149"/>
      <c r="AB1" s="149"/>
      <c r="AC1" s="149"/>
      <c r="AD1" s="149"/>
      <c r="AE1" s="149"/>
      <c r="AF1" s="149"/>
      <c r="AG1" s="149"/>
      <c r="AH1" s="149"/>
      <c r="AI1" s="149"/>
      <c r="AJ1" s="149"/>
      <c r="AK1" s="149"/>
      <c r="AL1" s="149"/>
      <c r="AM1" s="149"/>
      <c r="AN1" s="149"/>
      <c r="AO1" s="149"/>
      <c r="AP1" s="149"/>
      <c r="AQ1" s="149"/>
      <c r="AR1" s="149"/>
      <c r="AS1" s="149"/>
      <c r="AT1" s="149"/>
      <c r="AU1" s="149"/>
      <c r="AV1" s="149"/>
      <c r="AW1" s="149"/>
      <c r="AX1" s="149"/>
      <c r="AY1" s="149"/>
      <c r="AZ1" s="149"/>
      <c r="BA1" s="149"/>
      <c r="BB1" s="149"/>
      <c r="BC1" s="149"/>
      <c r="BD1" s="149"/>
      <c r="BE1" s="149"/>
      <c r="BF1" s="149"/>
      <c r="BG1" s="149"/>
      <c r="BH1" s="149"/>
      <c r="BI1" s="149"/>
      <c r="BJ1" s="149"/>
      <c r="BK1" s="149"/>
    </row>
    <row r="2" spans="2:63" s="312" customFormat="1">
      <c r="V2" s="149"/>
      <c r="W2" s="149"/>
      <c r="X2" s="149"/>
      <c r="Y2" s="149"/>
      <c r="Z2" s="149"/>
      <c r="AA2" s="149"/>
      <c r="AB2" s="149"/>
      <c r="AC2" s="149"/>
      <c r="AD2" s="149"/>
      <c r="AE2" s="149"/>
      <c r="AF2" s="149"/>
      <c r="AG2" s="149"/>
      <c r="AH2" s="149"/>
      <c r="AI2" s="149"/>
      <c r="AJ2" s="149"/>
      <c r="AK2" s="149"/>
      <c r="AL2" s="149"/>
      <c r="AM2" s="149"/>
      <c r="AN2" s="149"/>
      <c r="AO2" s="149"/>
      <c r="AP2" s="149"/>
      <c r="AQ2" s="149"/>
      <c r="AR2" s="149"/>
      <c r="AS2" s="149"/>
      <c r="AT2" s="149"/>
      <c r="AU2" s="149"/>
      <c r="AV2" s="149"/>
      <c r="AW2" s="149"/>
      <c r="AX2" s="149"/>
      <c r="AY2" s="149"/>
      <c r="AZ2" s="149"/>
      <c r="BA2" s="149"/>
      <c r="BB2" s="149"/>
      <c r="BC2" s="149"/>
      <c r="BD2" s="149"/>
      <c r="BE2" s="149"/>
      <c r="BF2" s="149"/>
      <c r="BG2" s="149"/>
      <c r="BH2" s="149"/>
      <c r="BI2" s="149"/>
      <c r="BJ2" s="149"/>
      <c r="BK2" s="149"/>
    </row>
    <row r="3" spans="2:63" s="149" customFormat="1">
      <c r="H3" s="153"/>
      <c r="P3" s="153"/>
    </row>
    <row r="4" spans="2:63" s="156" customFormat="1" ht="21">
      <c r="B4" s="129" t="s">
        <v>1386</v>
      </c>
      <c r="H4" s="222"/>
      <c r="P4" s="222"/>
    </row>
    <row r="5" spans="2:63" s="149" customFormat="1">
      <c r="C5" s="153"/>
      <c r="D5" s="153" t="str" cm="1">
        <f t="array" ref="D5:H5">headings</f>
        <v>2023E</v>
      </c>
      <c r="E5" s="153" t="str">
        <v>2024E</v>
      </c>
      <c r="F5" s="153" t="str">
        <v>2025E</v>
      </c>
      <c r="G5" s="153" t="str">
        <v>2026E</v>
      </c>
      <c r="H5" s="153" t="str">
        <v>23E-26E</v>
      </c>
      <c r="I5" s="153"/>
      <c r="J5" s="153"/>
      <c r="K5" s="153"/>
      <c r="L5" s="153" t="str" cm="1">
        <f t="array" ref="L5:P5">headings</f>
        <v>2023E</v>
      </c>
      <c r="M5" s="153" t="str">
        <v>2024E</v>
      </c>
      <c r="N5" s="153" t="str">
        <v>2025E</v>
      </c>
      <c r="O5" s="153" t="str">
        <v>2026E</v>
      </c>
      <c r="P5" s="153" t="str">
        <v>23E-26E</v>
      </c>
      <c r="Q5" s="162"/>
      <c r="R5" s="162"/>
      <c r="S5" s="162"/>
      <c r="T5" s="162"/>
      <c r="U5" s="162"/>
      <c r="V5" s="162"/>
      <c r="W5" s="162"/>
      <c r="X5" s="162"/>
      <c r="Y5" s="162"/>
    </row>
    <row r="6" spans="2:63">
      <c r="I6" s="5"/>
      <c r="J6" s="5"/>
      <c r="K6" s="5"/>
      <c r="L6" s="5"/>
      <c r="M6" s="5"/>
      <c r="N6" s="5"/>
      <c r="O6" s="49"/>
    </row>
    <row r="7" spans="2:63" ht="12.6" thickBot="1">
      <c r="B7" s="306" t="s">
        <v>271</v>
      </c>
      <c r="C7" s="265"/>
      <c r="D7" s="265"/>
      <c r="E7" s="265"/>
      <c r="F7" s="265"/>
      <c r="G7" s="265"/>
      <c r="H7" s="265"/>
      <c r="I7" s="49"/>
      <c r="J7" s="306" t="s">
        <v>200</v>
      </c>
      <c r="K7" s="306"/>
      <c r="L7" s="306"/>
      <c r="M7" s="306"/>
      <c r="N7" s="266"/>
      <c r="O7" s="266"/>
      <c r="P7" s="266"/>
    </row>
    <row r="8" spans="2:63" ht="12.6" thickTop="1">
      <c r="B8" s="5"/>
      <c r="C8" s="5"/>
      <c r="D8" s="5"/>
      <c r="E8" s="5"/>
      <c r="F8" s="5"/>
      <c r="G8" s="5"/>
      <c r="H8" s="5"/>
      <c r="I8" s="5"/>
      <c r="J8" s="5"/>
      <c r="K8" s="5"/>
      <c r="L8" s="5"/>
      <c r="M8" s="5"/>
      <c r="N8" s="5"/>
    </row>
    <row r="9" spans="2:63">
      <c r="B9" s="41" t="s">
        <v>500</v>
      </c>
      <c r="C9" s="287"/>
      <c r="D9" s="5"/>
      <c r="E9" s="249"/>
      <c r="F9" s="249"/>
      <c r="G9" s="249"/>
      <c r="H9" s="249"/>
      <c r="I9" s="249"/>
      <c r="J9" s="5" t="s">
        <v>273</v>
      </c>
      <c r="L9" s="64">
        <f>'AGG DM'!D37</f>
        <v>2.329412469433874</v>
      </c>
      <c r="M9" s="64">
        <f>'AGG DM'!E37</f>
        <v>2.207031841456474</v>
      </c>
      <c r="N9" s="64">
        <f>'AGG DM'!F37</f>
        <v>2.0665364578686574</v>
      </c>
      <c r="O9" s="64">
        <f>'AGG DM'!G37</f>
        <v>1.9167412853037995</v>
      </c>
      <c r="P9" s="17">
        <f>'AGG DM'!H37</f>
        <v>1.9501934659983178E-2</v>
      </c>
    </row>
    <row r="10" spans="2:63">
      <c r="B10" s="5" t="s">
        <v>274</v>
      </c>
      <c r="C10" s="5"/>
      <c r="D10" s="332"/>
      <c r="E10" s="332"/>
      <c r="F10" s="332"/>
      <c r="G10" s="332"/>
      <c r="H10" s="247"/>
      <c r="I10" s="247"/>
      <c r="J10" s="5" t="s">
        <v>184</v>
      </c>
      <c r="L10" s="64">
        <f>'AGG DM'!D38</f>
        <v>7.0841879802792365</v>
      </c>
      <c r="M10" s="64">
        <f>'AGG DM'!E38</f>
        <v>6.5876114702803505</v>
      </c>
      <c r="N10" s="64">
        <f>'AGG DM'!F38</f>
        <v>6.0864198915332164</v>
      </c>
      <c r="O10" s="64">
        <f>'AGG DM'!G38</f>
        <v>5.5767680131537691</v>
      </c>
      <c r="P10" s="17">
        <f>'AGG DM'!H38</f>
        <v>3.4656651554389573E-2</v>
      </c>
      <c r="W10" s="10"/>
      <c r="X10" s="10"/>
      <c r="Y10" s="10"/>
      <c r="Z10" s="10"/>
    </row>
    <row r="11" spans="2:63">
      <c r="B11" s="41" t="s">
        <v>457</v>
      </c>
      <c r="C11" s="5"/>
      <c r="D11" s="271">
        <f>(VOD!D11/Prices!$F$153)+ELISA!D11+(TELE2!D11/Prices!$F$158)+OBEL!D11+(LBTY!D11/Prices!$C$155)+NOS!D11+UTDI!D11</f>
        <v>48436.770379369249</v>
      </c>
      <c r="E11" s="271">
        <f>(VOD!E11/Prices!$F$153)+ELISA!E11+(TELE2!E11/Prices!$F$158)+OBEL!E11+(LBTY!E11/Prices!$C$155)+NOS!E11+UTDI!E11</f>
        <v>45786.621674548405</v>
      </c>
      <c r="F11" s="271">
        <f>(VOD!F11/Prices!$F$153)+ELISA!F11+(TELE2!F11/Prices!$F$158)+OBEL!F11+(LBTY!F11/Prices!$C$155)+NOS!F11+UTDI!F11</f>
        <v>45304.874519607023</v>
      </c>
      <c r="G11" s="271">
        <f>(VOD!G11/Prices!$F$153)+ELISA!G11+(TELE2!G11/Prices!$F$158)+OBEL!G11+(LBTY!G11/Prices!$C$155)+NOS!G11+UTDI!G11</f>
        <v>44871.302080159789</v>
      </c>
      <c r="H11" s="249"/>
      <c r="I11" s="249"/>
      <c r="J11" s="5" t="s">
        <v>185</v>
      </c>
      <c r="L11" s="64">
        <f>'AGG DM'!D39</f>
        <v>13.53328960256645</v>
      </c>
      <c r="M11" s="64">
        <f>'AGG DM'!E39</f>
        <v>11.493643628277713</v>
      </c>
      <c r="N11" s="64">
        <f>'AGG DM'!F39</f>
        <v>10.264735122504899</v>
      </c>
      <c r="O11" s="64">
        <f>'AGG DM'!G39</f>
        <v>9.0451770938503948</v>
      </c>
      <c r="P11" s="17">
        <f>'AGG DM'!H39</f>
        <v>9.2670425427640479E-2</v>
      </c>
      <c r="W11" s="10"/>
      <c r="X11" s="10"/>
      <c r="Y11" s="10"/>
      <c r="Z11" s="10"/>
    </row>
    <row r="12" spans="2:63">
      <c r="B12" s="5" t="s">
        <v>229</v>
      </c>
      <c r="C12" s="249"/>
      <c r="D12" s="228">
        <f>(VOD!D12/Prices!$F$153)+ELISA!D12+(TELE2!D12/Prices!$F$158)+OBEL!D12+(LBTY!D12/Prices!$C$155)+NOS!D12+UTDI!D12</f>
        <v>52700.759742684466</v>
      </c>
      <c r="E12" s="228">
        <f>(VOD!E12/Prices!$F$153)+ELISA!E12+(TELE2!E12/Prices!$F$158)+OBEL!E12+(LBTY!E12/Prices!$C$155)+NOS!E12+UTDI!E12</f>
        <v>49945.763909176858</v>
      </c>
      <c r="F12" s="228">
        <f>(VOD!F12/Prices!$F$153)+ELISA!F12+(TELE2!F12/Prices!$F$158)+OBEL!F12+(LBTY!F12/Prices!$C$155)+NOS!F12+UTDI!F12</f>
        <v>50149.220125862426</v>
      </c>
      <c r="G12" s="228">
        <f>(VOD!G12/Prices!$F$153)+ELISA!G12+(TELE2!G12/Prices!$F$158)+OBEL!G12+(LBTY!G12/Prices!$C$155)+NOS!G12+UTDI!G12</f>
        <v>46104.903972297856</v>
      </c>
      <c r="H12" s="247"/>
      <c r="I12" s="247"/>
      <c r="J12" s="5" t="s">
        <v>466</v>
      </c>
      <c r="L12" s="64">
        <f>'AGG DM'!D40</f>
        <v>19.213286909010346</v>
      </c>
      <c r="M12" s="64">
        <f>'AGG DM'!E40</f>
        <v>16.347188206412962</v>
      </c>
      <c r="N12" s="64">
        <f>'AGG DM'!F40</f>
        <v>14.618845003714046</v>
      </c>
      <c r="O12" s="64">
        <f>'AGG DM'!G40</f>
        <v>12.840265625641983</v>
      </c>
      <c r="P12" s="17">
        <f>'AGG DM'!H40</f>
        <v>9.2705111729584289E-2</v>
      </c>
      <c r="W12" s="10"/>
      <c r="X12" s="10"/>
      <c r="Y12" s="10"/>
      <c r="Z12" s="10"/>
    </row>
    <row r="13" spans="2:63">
      <c r="B13" s="5" t="s">
        <v>529</v>
      </c>
      <c r="C13" s="257"/>
      <c r="D13" s="228">
        <f>(VOD!D13/Prices!$F$153)+ELISA!D13+(TELE2!D13/Prices!$F$158)+OBEL!D13+(LBTY!D13/Prices!$C$155)+NOS!D13+UTDI!D13</f>
        <v>10929.302127310293</v>
      </c>
      <c r="E13" s="228">
        <f>(VOD!E13/Prices!$F$153)+ELISA!E13+(TELE2!E13/Prices!$F$158)+OBEL!E13+(LBTY!E13/Prices!$C$155)+NOS!E13+UTDI!E13</f>
        <v>11256.795931925926</v>
      </c>
      <c r="F13" s="228">
        <f>(VOD!F13/Prices!$F$153)+ELISA!F13+(TELE2!F13/Prices!$F$158)+OBEL!F13+(LBTY!F13/Prices!$C$155)+NOS!F13+UTDI!F13</f>
        <v>9404.4704599853012</v>
      </c>
      <c r="G13" s="228">
        <f>(VOD!G13/Prices!$F$153)+ELISA!G13+(TELE2!G13/Prices!$F$158)+OBEL!G13+(LBTY!G13/Prices!$C$155)+NOS!G13+UTDI!G13</f>
        <v>9223.0718866461357</v>
      </c>
      <c r="H13" s="247"/>
      <c r="I13" s="247"/>
      <c r="J13" s="5" t="s">
        <v>530</v>
      </c>
      <c r="L13" s="64">
        <f>'AGG DM'!D41</f>
        <v>1.3514515540183685</v>
      </c>
      <c r="M13" s="64">
        <f>'AGG DM'!E41</f>
        <v>1.4007532435377124</v>
      </c>
      <c r="N13" s="64">
        <f>'AGG DM'!F41</f>
        <v>1.3363938049874495</v>
      </c>
      <c r="O13" s="64">
        <f>'AGG DM'!G41</f>
        <v>1.2739776448559783</v>
      </c>
      <c r="P13" s="17">
        <f>'AGG DM'!H41</f>
        <v>-2.5668717959517307E-2</v>
      </c>
    </row>
    <row r="14" spans="2:63">
      <c r="B14" s="5" t="s">
        <v>532</v>
      </c>
      <c r="C14" s="274"/>
      <c r="D14" s="228">
        <f>(VOD!D14/Prices!$F$153)+ELISA!D14+(TELE2!D14/Prices!$F$158)+OBEL!D14+(LBTY!D14/Prices!$C$155)+NOS!D14+UTDI!D14</f>
        <v>14218.517751969843</v>
      </c>
      <c r="E14" s="228">
        <f>(VOD!E14/Prices!$F$153)+ELISA!E14+(TELE2!E14/Prices!$F$158)+OBEL!E14+(LBTY!E14/Prices!$C$155)+NOS!E14+UTDI!E14</f>
        <v>14218.517751969843</v>
      </c>
      <c r="F14" s="228">
        <f>(VOD!F14/Prices!$F$153)+ELISA!F14+(TELE2!F14/Prices!$F$158)+OBEL!F14+(LBTY!F14/Prices!$C$155)+NOS!F14+UTDI!F14</f>
        <v>14218.517751969843</v>
      </c>
      <c r="G14" s="228">
        <f>(VOD!G14/Prices!$F$153)+ELISA!G14+(TELE2!G14/Prices!$F$158)+OBEL!G14+(LBTY!G14/Prices!$C$155)+NOS!G14+UTDI!G14</f>
        <v>14218.517751969843</v>
      </c>
      <c r="H14" s="247"/>
      <c r="I14" s="247"/>
      <c r="J14" s="5" t="s">
        <v>593</v>
      </c>
      <c r="L14" s="64">
        <f>'AGG DM'!D42</f>
        <v>3.3000460374957705</v>
      </c>
      <c r="M14" s="64">
        <f>'AGG DM'!E42</f>
        <v>3.1838124862642916</v>
      </c>
      <c r="N14" s="64">
        <f>'AGG DM'!F42</f>
        <v>3.0594658370749888</v>
      </c>
      <c r="O14" s="64">
        <f>'AGG DM'!G42</f>
        <v>2.9412325385033187</v>
      </c>
      <c r="P14" s="17">
        <f>'AGG DM'!H42</f>
        <v>-7.2864107786076993E-3</v>
      </c>
    </row>
    <row r="15" spans="2:63">
      <c r="B15" s="5" t="s">
        <v>531</v>
      </c>
      <c r="C15" s="257"/>
      <c r="D15" s="228">
        <f>(VOD!D15/Prices!$F$153)+ELISA!D15+(TELE2!D15/Prices!$F$158)+OBEL!D15+(LBTY!D15/Prices!$C$155)+NOS!D15+UTDI!D15</f>
        <v>5831.8651656695019</v>
      </c>
      <c r="E15" s="228">
        <f>(VOD!E15/Prices!$F$153)+ELISA!E15+(TELE2!E15/Prices!$F$158)+OBEL!E15+(LBTY!E15/Prices!$C$155)+NOS!E15+UTDI!E15</f>
        <v>5831.8651656695019</v>
      </c>
      <c r="F15" s="228">
        <f>(VOD!F15/Prices!$F$153)+ELISA!F15+(TELE2!F15/Prices!$F$158)+OBEL!F15+(LBTY!F15/Prices!$C$155)+NOS!F15+UTDI!F15</f>
        <v>5831.8651656695019</v>
      </c>
      <c r="G15" s="228">
        <f>(VOD!G15/Prices!$F$153)+ELISA!G15+(TELE2!G15/Prices!$F$158)+OBEL!G15+(LBTY!G15/Prices!$C$155)+NOS!G15+UTDI!G15</f>
        <v>5831.8651656695019</v>
      </c>
      <c r="H15" s="247"/>
      <c r="I15" s="247"/>
      <c r="J15" s="5" t="s">
        <v>475</v>
      </c>
      <c r="L15" s="64">
        <f>'AGG DM'!D43</f>
        <v>11.806292254184493</v>
      </c>
      <c r="M15" s="64">
        <f>'AGG DM'!E43</f>
        <v>10.8479727708929</v>
      </c>
      <c r="N15" s="64">
        <f>'AGG DM'!F43</f>
        <v>9.79850588673491</v>
      </c>
      <c r="O15" s="64">
        <f>'AGG DM'!G43</f>
        <v>8.8149149732476211</v>
      </c>
      <c r="P15" s="17">
        <f>'AGG DM'!H43</f>
        <v>7.171679530370545E-2</v>
      </c>
      <c r="S15" s="88"/>
      <c r="T15" s="88"/>
      <c r="U15" s="88"/>
      <c r="V15" s="42"/>
      <c r="W15" s="42"/>
      <c r="X15" s="42"/>
      <c r="Y15" s="42"/>
      <c r="Z15" s="42"/>
      <c r="AA15" s="42"/>
    </row>
    <row r="16" spans="2:63">
      <c r="B16" s="5" t="s">
        <v>534</v>
      </c>
      <c r="C16" s="257"/>
      <c r="D16" s="228">
        <f>(VOD!D16/Prices!$F$153)+ELISA!D16+(TELE2!D16/Prices!$F$158)+OBEL!D16+(LBTY!D16/Prices!$C$155)+NOS!D16+UTDI!D16</f>
        <v>232.42342169301082</v>
      </c>
      <c r="E16" s="228">
        <f>(VOD!E16/Prices!$F$153)+ELISA!E16+(TELE2!E16/Prices!$F$158)+OBEL!E16+(LBTY!E16/Prices!$C$155)+NOS!E16+UTDI!E16</f>
        <v>3019.9762523452682</v>
      </c>
      <c r="F16" s="228">
        <f>(VOD!F16/Prices!$F$153)+ELISA!F16+(TELE2!F16/Prices!$F$158)+OBEL!F16+(LBTY!F16/Prices!$C$155)+NOS!F16+UTDI!F16</f>
        <v>5280.7110403202869</v>
      </c>
      <c r="G16" s="228">
        <f>(VOD!G16/Prices!$F$153)+ELISA!G16+(TELE2!G16/Prices!$F$158)+OBEL!G16+(LBTY!G16/Prices!$C$155)+NOS!G16+UTDI!G16</f>
        <v>6442.73277169626</v>
      </c>
      <c r="H16" s="247"/>
      <c r="I16" s="247"/>
      <c r="J16" s="5" t="s">
        <v>533</v>
      </c>
      <c r="L16" s="64">
        <f>'AGG DM'!D44</f>
        <v>13.624604105346204</v>
      </c>
      <c r="M16" s="64">
        <f>'AGG DM'!E44</f>
        <v>12.503028582967529</v>
      </c>
      <c r="N16" s="64">
        <f>'AGG DM'!F44</f>
        <v>11.302702719097406</v>
      </c>
      <c r="O16" s="64">
        <f>'AGG DM'!G44</f>
        <v>10.160048566687355</v>
      </c>
      <c r="P16" s="17">
        <f>'AGG DM'!H44</f>
        <v>7.6119307301105277E-2</v>
      </c>
      <c r="S16" s="88"/>
      <c r="T16" s="88"/>
      <c r="U16" s="88"/>
      <c r="V16" s="42"/>
      <c r="W16" s="42"/>
      <c r="X16" s="42"/>
      <c r="Y16" s="42"/>
      <c r="Z16" s="42"/>
      <c r="AA16" s="42"/>
    </row>
    <row r="17" spans="2:27">
      <c r="B17" s="5" t="s">
        <v>6</v>
      </c>
      <c r="C17" s="257"/>
      <c r="D17" s="228">
        <f>(VOD!D17/Prices!$F$153)+ELISA!D17+(TELE2!D17/Prices!$F$158)+OBEL!D17+(LBTY!D17/Prices!$C$155)+NOS!D17+UTDI!D17</f>
        <v>1385.5970006425507</v>
      </c>
      <c r="E17" s="228">
        <f>(VOD!E17/Prices!$F$153)+ELISA!E17+(TELE2!E17/Prices!$F$158)+OBEL!E17+(LBTY!E17/Prices!$C$155)+NOS!E17+UTDI!E17</f>
        <v>1377.9853957654793</v>
      </c>
      <c r="F17" s="228">
        <f>(VOD!F17/Prices!$F$153)+ELISA!F17+(TELE2!F17/Prices!$F$158)+OBEL!F17+(LBTY!F17/Prices!$C$155)+NOS!F17+UTDI!F17</f>
        <v>1377.9853957654793</v>
      </c>
      <c r="G17" s="228">
        <f>(VOD!G17/Prices!$F$153)+ELISA!G17+(TELE2!G17/Prices!$F$158)+OBEL!G17+(LBTY!G17/Prices!$C$155)+NOS!G17+UTDI!G17</f>
        <v>1340.8960534805926</v>
      </c>
      <c r="H17" s="247"/>
      <c r="I17" s="247"/>
      <c r="J17" s="5" t="s">
        <v>580</v>
      </c>
      <c r="L17" s="248">
        <f>'AGG DM'!D45</f>
        <v>3.8692911642747754E-2</v>
      </c>
      <c r="M17" s="248">
        <f>'AGG DM'!E45</f>
        <v>4.3419291969220015E-2</v>
      </c>
      <c r="N17" s="248">
        <f>'AGG DM'!F45</f>
        <v>4.6126321738259798E-2</v>
      </c>
      <c r="O17" s="248">
        <f>'AGG DM'!G45</f>
        <v>4.9423675586152439E-2</v>
      </c>
      <c r="P17" s="17">
        <f>'AGG DM'!H45</f>
        <v>5.8812184463164385E-2</v>
      </c>
      <c r="S17" s="88"/>
      <c r="T17" s="88"/>
      <c r="U17" s="88"/>
      <c r="V17" s="42"/>
      <c r="W17" s="42"/>
      <c r="X17" s="42"/>
      <c r="Y17" s="42"/>
      <c r="Z17" s="42"/>
      <c r="AA17" s="42"/>
    </row>
    <row r="18" spans="2:27" ht="12.6" thickBot="1">
      <c r="B18" s="41" t="s">
        <v>456</v>
      </c>
      <c r="C18" s="249"/>
      <c r="D18" s="275">
        <f>(VOD!D18/Prices!$F$153)+ELISA!D18+(TELE2!D18/Prices!$F$158)+OBEL!D18+(LBTY!D18/Prices!$C$155)+NOS!D18+UTDI!D18</f>
        <v>102062.15924072808</v>
      </c>
      <c r="E18" s="275">
        <f>(VOD!E18/Prices!$F$153)+ELISA!E18+(TELE2!E18/Prices!$F$158)+OBEL!E18+(LBTY!E18/Prices!$C$155)+NOS!E18+UTDI!E18</f>
        <v>94204.567281240103</v>
      </c>
      <c r="F18" s="275">
        <f>(VOD!F18/Prices!$F$153)+ELISA!F18+(TELE2!F18/Prices!$F$158)+OBEL!F18+(LBTY!F18/Prices!$C$155)+NOS!F18+UTDI!F18</f>
        <v>89813.216083068663</v>
      </c>
      <c r="G18" s="275">
        <f>(VOD!G18/Prices!$F$153)+ELISA!G18+(TELE2!G18/Prices!$F$158)+OBEL!G18+(LBTY!G18/Prices!$C$155)+NOS!G18+UTDI!G18</f>
        <v>84028.996527626587</v>
      </c>
      <c r="H18" s="276">
        <f>IF(D18=0,"nm",IF(G18=0,"nm",(G18/D18)^(1/3)-1))</f>
        <v>-6.2751382711814241E-2</v>
      </c>
      <c r="I18" s="254"/>
      <c r="J18" s="5" t="s">
        <v>36</v>
      </c>
      <c r="L18" s="248">
        <f>'AGG DM'!D46</f>
        <v>5.5339609483801136E-2</v>
      </c>
      <c r="M18" s="248">
        <f>'AGG DM'!E46</f>
        <v>7.6500460251698113E-2</v>
      </c>
      <c r="N18" s="248">
        <f>'AGG DM'!F46</f>
        <v>8.0311545489538158E-2</v>
      </c>
      <c r="O18" s="248">
        <f>'AGG DM'!G46</f>
        <v>9.1977124183415609E-2</v>
      </c>
      <c r="P18" s="17">
        <f>'AGG DM'!H46</f>
        <v>0.15593203466037919</v>
      </c>
      <c r="S18" s="88"/>
      <c r="T18" s="88"/>
      <c r="U18" s="88"/>
      <c r="V18" s="42"/>
      <c r="W18" s="42"/>
      <c r="X18" s="42"/>
      <c r="Y18" s="42"/>
      <c r="Z18" s="42"/>
      <c r="AA18" s="42"/>
    </row>
    <row r="19" spans="2:27" ht="12.6" thickTop="1">
      <c r="B19" s="41"/>
      <c r="C19" s="249"/>
      <c r="D19" s="229"/>
      <c r="E19" s="229"/>
      <c r="F19" s="229"/>
      <c r="G19" s="229"/>
      <c r="H19" s="276"/>
      <c r="I19" s="17"/>
      <c r="J19" s="5" t="s">
        <v>581</v>
      </c>
      <c r="L19" s="248">
        <f>'AGG DM'!D47</f>
        <v>8.4700596806382714E-2</v>
      </c>
      <c r="M19" s="248">
        <f>'AGG DM'!E47</f>
        <v>9.2183122240422966E-2</v>
      </c>
      <c r="N19" s="248">
        <f>'AGG DM'!F47</f>
        <v>0.10205637589642999</v>
      </c>
      <c r="O19" s="248">
        <f>'AGG DM'!G47</f>
        <v>0.11344408914151745</v>
      </c>
      <c r="P19" s="17">
        <f>'AGG DM'!H47</f>
        <v>7.171679530370545E-2</v>
      </c>
      <c r="S19" s="88"/>
      <c r="T19" s="88"/>
      <c r="U19" s="88"/>
      <c r="V19" s="42"/>
      <c r="W19" s="42"/>
      <c r="X19" s="42"/>
      <c r="Y19" s="42"/>
      <c r="Z19" s="42"/>
      <c r="AA19" s="42"/>
    </row>
    <row r="20" spans="2:27">
      <c r="H20" s="277"/>
      <c r="I20" s="49"/>
      <c r="J20" s="5" t="s">
        <v>604</v>
      </c>
      <c r="L20" s="248">
        <f>'AGG DM'!D48</f>
        <v>0.45770628705874244</v>
      </c>
      <c r="M20" s="248">
        <f>'AGG DM'!E48</f>
        <v>0.47291165163323612</v>
      </c>
      <c r="N20" s="248">
        <f>'AGG DM'!F48</f>
        <v>0.45515009617149715</v>
      </c>
      <c r="O20" s="248">
        <f>'AGG DM'!G48</f>
        <v>0.44137076019918969</v>
      </c>
      <c r="P20" s="17" t="str">
        <f>'AGG DM'!H48</f>
        <v>nm</v>
      </c>
      <c r="S20" s="88"/>
      <c r="T20" s="88"/>
      <c r="U20" s="88"/>
      <c r="V20" s="42"/>
      <c r="W20" s="42"/>
      <c r="X20" s="42"/>
      <c r="Y20" s="42"/>
      <c r="Z20" s="42"/>
      <c r="AA20" s="42"/>
    </row>
    <row r="21" spans="2:27" ht="12.6" thickBot="1">
      <c r="B21" s="306" t="s">
        <v>159</v>
      </c>
      <c r="C21" s="265">
        <v>2020</v>
      </c>
      <c r="D21" s="265" t="str">
        <f>D5</f>
        <v>2023E</v>
      </c>
      <c r="E21" s="265" t="str">
        <f>E5</f>
        <v>2024E</v>
      </c>
      <c r="F21" s="265" t="str">
        <f>F5</f>
        <v>2025E</v>
      </c>
      <c r="G21" s="265" t="str">
        <f>G5</f>
        <v>2026E</v>
      </c>
      <c r="H21" s="282" t="str">
        <f>H5</f>
        <v>23E-26E</v>
      </c>
      <c r="I21" s="17"/>
      <c r="S21" s="88"/>
      <c r="T21" s="88"/>
      <c r="U21" s="88"/>
      <c r="V21" s="42"/>
      <c r="W21" s="42"/>
      <c r="X21" s="42"/>
      <c r="Y21" s="42"/>
      <c r="Z21" s="42"/>
      <c r="AA21" s="42"/>
    </row>
    <row r="22" spans="2:27" ht="12.6" thickTop="1">
      <c r="B22" s="5"/>
      <c r="C22" s="257"/>
      <c r="D22" s="17"/>
      <c r="E22" s="17"/>
      <c r="F22" s="17"/>
      <c r="G22" s="17"/>
      <c r="H22" s="17"/>
      <c r="I22" s="247"/>
      <c r="P22" s="277"/>
      <c r="S22" s="88"/>
      <c r="T22" s="88"/>
      <c r="U22" s="88"/>
      <c r="V22" s="88"/>
      <c r="W22" s="88"/>
      <c r="X22" s="88"/>
      <c r="Y22" s="42"/>
      <c r="Z22" s="42"/>
      <c r="AA22" s="42"/>
    </row>
    <row r="23" spans="2:27" ht="12.6" thickBot="1">
      <c r="B23" s="5" t="s">
        <v>584</v>
      </c>
      <c r="C23" s="365">
        <f>(VOD!C23/Prices!$F$153)+ELISA!C23+(TELE2!C23/Prices!$F$158)+OBEL!C23+(LBTY!C23/Prices!$C$155)+NOS!C23+UTDI!C23</f>
        <v>66242.880314457521</v>
      </c>
      <c r="D23" s="228">
        <f>(VOD!D23/Prices!$F$153)+ELISA!D23+(TELE2!D23/Prices!$F$158)+OBEL!D23+(LBTY!D23/Prices!$C$155)+NOS!D23+UTDI!D23</f>
        <v>62778.886322335544</v>
      </c>
      <c r="E23" s="228">
        <f>(VOD!E23/Prices!$F$153)+ELISA!E23+(TELE2!E23/Prices!$F$158)+OBEL!E23+(LBTY!E23/Prices!$C$155)+NOS!E23+UTDI!E23</f>
        <v>63891.95164902338</v>
      </c>
      <c r="F23" s="228">
        <f>(VOD!F23/Prices!$F$153)+ELISA!F23+(TELE2!F23/Prices!$F$158)+OBEL!F23+(LBTY!F23/Prices!$C$155)+NOS!F23+UTDI!F23</f>
        <v>64902.708475516934</v>
      </c>
      <c r="G23" s="228">
        <f>(VOD!G23/Prices!$F$153)+ELISA!G23+(TELE2!G23/Prices!$F$158)+OBEL!G23+(LBTY!G23/Prices!$C$155)+NOS!G23+UTDI!G23</f>
        <v>65785.642535158666</v>
      </c>
      <c r="H23" s="279">
        <f t="shared" ref="H23:H33" si="0">IF(D23=0,"nm",IF(G23=0,"nm",(G23/D23)^(1/3)-1))</f>
        <v>1.5716493135688125E-2</v>
      </c>
      <c r="I23" s="249"/>
      <c r="J23" s="306" t="s">
        <v>9</v>
      </c>
      <c r="K23" s="306"/>
      <c r="L23" s="265" t="str">
        <f>L5</f>
        <v>2023E</v>
      </c>
      <c r="M23" s="265" t="str">
        <f>M5</f>
        <v>2024E</v>
      </c>
      <c r="N23" s="265" t="str">
        <f>N5</f>
        <v>2025E</v>
      </c>
      <c r="O23" s="265" t="str">
        <f>O5</f>
        <v>2026E</v>
      </c>
      <c r="P23" s="282" t="str">
        <f>P5</f>
        <v>23E-26E</v>
      </c>
      <c r="S23" s="88"/>
      <c r="T23" s="42"/>
      <c r="U23" s="42"/>
      <c r="V23" s="42"/>
      <c r="W23" s="42" t="s">
        <v>566</v>
      </c>
      <c r="X23" s="42" t="s">
        <v>610</v>
      </c>
      <c r="Y23" s="42"/>
      <c r="Z23" s="42"/>
      <c r="AA23" s="42"/>
    </row>
    <row r="24" spans="2:27" ht="12.6" thickTop="1">
      <c r="B24" s="5" t="s">
        <v>483</v>
      </c>
      <c r="C24" s="365">
        <f>(VOD!C24/Prices!$F$153)+ELISA!C24+(TELE2!C24/Prices!$F$158)+OBEL!C24+(LBTY!C24/Prices!$C$155)+NOS!C24+UTDI!C24</f>
        <v>21038.729301818836</v>
      </c>
      <c r="D24" s="228">
        <f>(VOD!D24/Prices!$F$153)+ELISA!D24+(TELE2!D24/Prices!$F$158)+OBEL!D24+(LBTY!D24/Prices!$C$155)+NOS!D24+UTDI!D24</f>
        <v>19331.691947544437</v>
      </c>
      <c r="E24" s="228">
        <f>(VOD!E24/Prices!$F$153)+ELISA!E24+(TELE2!E24/Prices!$F$158)+OBEL!E24+(LBTY!E24/Prices!$C$155)+NOS!E24+UTDI!E24</f>
        <v>18937.609982471618</v>
      </c>
      <c r="F24" s="228">
        <f>(VOD!F24/Prices!$F$153)+ELISA!F24+(TELE2!F24/Prices!$F$158)+OBEL!F24+(LBTY!F24/Prices!$C$155)+NOS!F24+UTDI!F24</f>
        <v>19881.257429255827</v>
      </c>
      <c r="G24" s="228">
        <f>(VOD!G24/Prices!$F$153)+ELISA!G24+(TELE2!G24/Prices!$F$158)+OBEL!G24+(LBTY!G24/Prices!$C$155)+NOS!G24+UTDI!G24</f>
        <v>20534.589253004378</v>
      </c>
      <c r="H24" s="279">
        <f t="shared" si="0"/>
        <v>2.0325446875936182E-2</v>
      </c>
      <c r="I24" s="248"/>
      <c r="J24" s="17"/>
      <c r="K24" s="17"/>
      <c r="L24" s="17"/>
      <c r="M24" s="17"/>
      <c r="N24" s="17"/>
      <c r="O24" s="248"/>
      <c r="S24" s="88"/>
      <c r="T24" s="42"/>
      <c r="U24" s="42"/>
      <c r="V24" s="147" t="s">
        <v>273</v>
      </c>
      <c r="W24" s="288">
        <f t="shared" ref="W24:W31" si="1">E37/M9</f>
        <v>0.66806267134015396</v>
      </c>
      <c r="X24" s="288">
        <v>1</v>
      </c>
      <c r="Y24" s="42"/>
      <c r="Z24" s="42"/>
      <c r="AA24" s="42"/>
    </row>
    <row r="25" spans="2:27">
      <c r="B25" s="5" t="s">
        <v>183</v>
      </c>
      <c r="C25" s="365">
        <f>(VOD!C25/Prices!$F$153)+ELISA!C25+(TELE2!C25/Prices!$F$158)+OBEL!C25+(LBTY!C25/Prices!$C$155)+NOS!C25+UTDI!C25</f>
        <v>9143.3206159962738</v>
      </c>
      <c r="D25" s="228">
        <f>(VOD!D25/Prices!$F$153)+ELISA!D25+(TELE2!D25/Prices!$F$158)+OBEL!D25+(LBTY!D25/Prices!$C$155)+NOS!D25+UTDI!D25</f>
        <v>8013.5553437306908</v>
      </c>
      <c r="E25" s="228">
        <f>(VOD!E25/Prices!$F$153)+ELISA!E25+(TELE2!E25/Prices!$F$158)+OBEL!E25+(LBTY!E25/Prices!$C$155)+NOS!E25+UTDI!E25</f>
        <v>7807.4610624092902</v>
      </c>
      <c r="F25" s="228">
        <f>(VOD!F25/Prices!$F$153)+ELISA!F25+(TELE2!F25/Prices!$F$158)+OBEL!F25+(LBTY!F25/Prices!$C$155)+NOS!F25+UTDI!F25</f>
        <v>9028.4416347445513</v>
      </c>
      <c r="G25" s="228">
        <f>(VOD!G25/Prices!$F$153)+ELISA!G25+(TELE2!G25/Prices!$F$158)+OBEL!G25+(LBTY!G25/Prices!$C$155)+NOS!G25+UTDI!G25</f>
        <v>9917.2658621349692</v>
      </c>
      <c r="H25" s="279">
        <f t="shared" si="0"/>
        <v>7.3632307659955432E-2</v>
      </c>
      <c r="I25" s="249"/>
      <c r="J25" s="247" t="s">
        <v>10</v>
      </c>
      <c r="K25" s="247"/>
      <c r="L25" s="332">
        <f>(VOD!L25/Prices!$F$153)+ELISA!L25+(TELE2!L25/Prices!$F$158)+OBEL!L25+(LBTY!L25/Prices!$C$155)+NOS!L25+UTDI!L25</f>
        <v>3148.9200260212187</v>
      </c>
      <c r="M25" s="332">
        <f>(VOD!M25/Prices!$F$153)+ELISA!M25+(TELE2!M25/Prices!$F$158)+OBEL!M25+(LBTY!M25/Prices!$C$155)+NOS!M25+UTDI!M25</f>
        <v>3088.1666743012001</v>
      </c>
      <c r="N25" s="332">
        <f>(VOD!N25/Prices!$F$153)+ELISA!N25+(TELE2!N25/Prices!$F$158)+OBEL!N25+(LBTY!N25/Prices!$C$155)+NOS!N25+UTDI!N25</f>
        <v>2368.586856460458</v>
      </c>
      <c r="O25" s="332">
        <f>(VOD!O25/Prices!$F$153)+ELISA!O25+(TELE2!O25/Prices!$F$158)+OBEL!O25+(LBTY!O25/Prices!$C$155)+NOS!O25+UTDI!O25</f>
        <v>908.30034725654821</v>
      </c>
      <c r="P25" s="279">
        <f>IF(L25=0,"nm",IF(O25=0,"nm",(O25/L25)^(1/3)-1))</f>
        <v>-0.33927214462888122</v>
      </c>
      <c r="Q25" s="5"/>
      <c r="S25" s="88"/>
      <c r="T25" s="42"/>
      <c r="U25" s="42"/>
      <c r="V25" s="147" t="s">
        <v>184</v>
      </c>
      <c r="W25" s="288">
        <f t="shared" si="1"/>
        <v>0.75512493940277614</v>
      </c>
      <c r="X25" s="288">
        <v>1</v>
      </c>
      <c r="Y25" s="42"/>
      <c r="Z25" s="42"/>
      <c r="AA25" s="42"/>
    </row>
    <row r="26" spans="2:27">
      <c r="B26" s="5" t="s">
        <v>586</v>
      </c>
      <c r="C26" s="365">
        <f>(VOD!C26/Prices!$F$153)+ELISA!C26+(TELE2!C26/Prices!$F$158)+OBEL!C26+(LBTY!C26/Prices!$C$155)+NOS!C26+UTDI!C26</f>
        <v>6814.8970675693545</v>
      </c>
      <c r="D26" s="228">
        <f>(VOD!D26/Prices!$F$153)+ELISA!D26+(TELE2!D26/Prices!$F$158)+OBEL!D26+(LBTY!D26/Prices!$C$155)+NOS!D26+UTDI!D26</f>
        <v>5819.8001909499626</v>
      </c>
      <c r="E26" s="228">
        <f>(VOD!E26/Prices!$F$153)+ELISA!E26+(TELE2!E26/Prices!$F$158)+OBEL!E26+(LBTY!E26/Prices!$C$155)+NOS!E26+UTDI!E26</f>
        <v>5684.6156912489014</v>
      </c>
      <c r="F26" s="228">
        <f>(VOD!F26/Prices!$F$153)+ELISA!F26+(TELE2!F26/Prices!$F$158)+OBEL!F26+(LBTY!F26/Prices!$C$155)+NOS!F26+UTDI!F26</f>
        <v>6555.4775800889092</v>
      </c>
      <c r="G26" s="228">
        <f>(VOD!G26/Prices!$F$153)+ELISA!G26+(TELE2!G26/Prices!$F$158)+OBEL!G26+(LBTY!G26/Prices!$C$155)+NOS!G26+UTDI!G26</f>
        <v>7193.6286818789349</v>
      </c>
      <c r="H26" s="279">
        <f t="shared" si="0"/>
        <v>7.319831169942681E-2</v>
      </c>
      <c r="I26" s="249"/>
      <c r="J26" s="249" t="s">
        <v>11</v>
      </c>
      <c r="K26" s="249"/>
      <c r="L26" s="281">
        <f>(VOD!L26/Prices!$F$153)+ELISA!L26+(TELE2!L26/Prices!$F$158)+OBEL!L26+(LBTY!L26/Prices!$C$155)+NOS!L26+UTDI!L26</f>
        <v>51585.690405390458</v>
      </c>
      <c r="M26" s="281">
        <f>(VOD!M26/Prices!$F$153)+ELISA!M26+(TELE2!M26/Prices!$F$158)+OBEL!M26+(LBTY!M26/Prices!$C$155)+NOS!M26+UTDI!M26</f>
        <v>48874.788348849601</v>
      </c>
      <c r="N26" s="281">
        <f>(VOD!N26/Prices!$F$153)+ELISA!N26+(TELE2!N26/Prices!$F$158)+OBEL!N26+(LBTY!N26/Prices!$C$155)+NOS!N26+UTDI!N26</f>
        <v>47673.461376067484</v>
      </c>
      <c r="O26" s="281">
        <f>(VOD!O26/Prices!$F$153)+ELISA!O26+(TELE2!O26/Prices!$F$158)+OBEL!O26+(LBTY!O26/Prices!$C$155)+NOS!O26+UTDI!O26</f>
        <v>45779.602427416336</v>
      </c>
      <c r="P26" s="279">
        <f>IF(L26=0,"nm",IF(O26=0,"nm",(O26/L26)^(1/3)-1))</f>
        <v>-3.902020519603655E-2</v>
      </c>
      <c r="Q26" s="41"/>
      <c r="S26" s="88"/>
      <c r="T26" s="42"/>
      <c r="U26" s="42"/>
      <c r="V26" s="147" t="s">
        <v>185</v>
      </c>
      <c r="W26" s="288">
        <f t="shared" si="1"/>
        <v>1.0497947698753927</v>
      </c>
      <c r="X26" s="288">
        <v>1</v>
      </c>
      <c r="Y26" s="42"/>
      <c r="Z26" s="42"/>
      <c r="AA26" s="42"/>
    </row>
    <row r="27" spans="2:27">
      <c r="B27" s="5" t="s">
        <v>587</v>
      </c>
      <c r="C27" s="365">
        <f>(VOD!C27/Prices!$F$153)+ELISA!C27+(TELE2!C27/Prices!$F$158)+OBEL!C27+(LBTY!C27/Prices!$C$155)+NOS!C27+UTDI!C27</f>
        <v>138438.51701865552</v>
      </c>
      <c r="D27" s="228">
        <f>(VOD!D27/Prices!$F$153)+ELISA!D27+(TELE2!D27/Prices!$F$158)+OBEL!D27+(LBTY!D27/Prices!$C$155)+NOS!D27+UTDI!D27</f>
        <v>139034.37418707236</v>
      </c>
      <c r="E27" s="228">
        <f>(VOD!E27/Prices!$F$153)+ELISA!E27+(TELE2!E27/Prices!$F$158)+OBEL!E27+(LBTY!E27/Prices!$C$155)+NOS!E27+UTDI!E27</f>
        <v>133323.82220808091</v>
      </c>
      <c r="F27" s="228">
        <f>(VOD!F27/Prices!$F$153)+ELISA!F27+(TELE2!F27/Prices!$F$158)+OBEL!F27+(LBTY!F27/Prices!$C$155)+NOS!F27+UTDI!F27</f>
        <v>134977.30133765901</v>
      </c>
      <c r="G27" s="228">
        <f>(VOD!G27/Prices!$F$153)+ELISA!G27+(TELE2!G27/Prices!$F$158)+OBEL!G27+(LBTY!G27/Prices!$C$155)+NOS!G27+UTDI!G27</f>
        <v>133081.79524638949</v>
      </c>
      <c r="H27" s="279">
        <f t="shared" si="0"/>
        <v>-1.4479895812281707E-2</v>
      </c>
      <c r="I27" s="248"/>
      <c r="J27" s="248"/>
      <c r="K27" s="248"/>
      <c r="L27" s="248"/>
      <c r="M27" s="248"/>
      <c r="N27" s="248"/>
      <c r="O27" s="248"/>
      <c r="Q27" s="5"/>
      <c r="S27" s="88"/>
      <c r="T27" s="42"/>
      <c r="U27" s="42"/>
      <c r="V27" s="147" t="s">
        <v>466</v>
      </c>
      <c r="W27" s="288">
        <f t="shared" si="1"/>
        <v>1.0137428095513561</v>
      </c>
      <c r="X27" s="288">
        <v>1</v>
      </c>
      <c r="Y27" s="42"/>
      <c r="Z27" s="42"/>
      <c r="AA27" s="42"/>
    </row>
    <row r="28" spans="2:27" ht="12.6" thickBot="1">
      <c r="B28" s="5" t="s">
        <v>592</v>
      </c>
      <c r="C28" s="365">
        <f>(VOD!C28/Prices!$F$153)+ELISA!C28+(TELE2!C28/Prices!$F$158)+OBEL!C28+(LBTY!C28/Prices!$C$155)+NOS!C28+UTDI!C28</f>
        <v>56353.358766983081</v>
      </c>
      <c r="D28" s="228">
        <f>(VOD!D28/Prices!$F$153)+ELISA!D28+(TELE2!D28/Prices!$F$158)+OBEL!D28+(LBTY!D28/Prices!$C$155)+NOS!D28+UTDI!D28</f>
        <v>57518.424401464807</v>
      </c>
      <c r="E28" s="228">
        <f>(VOD!E28/Prices!$F$153)+ELISA!E28+(TELE2!E28/Prices!$F$158)+OBEL!E28+(LBTY!E28/Prices!$C$155)+NOS!E28+UTDI!E28</f>
        <v>58353.216297215666</v>
      </c>
      <c r="F28" s="228">
        <f>(VOD!F28/Prices!$F$153)+ELISA!F28+(TELE2!F28/Prices!$F$158)+OBEL!F28+(LBTY!F28/Prices!$C$155)+NOS!F28+UTDI!F28</f>
        <v>59233.717285951228</v>
      </c>
      <c r="G28" s="228">
        <f>(VOD!G28/Prices!$F$153)+ELISA!G28+(TELE2!G28/Prices!$F$158)+OBEL!G28+(LBTY!G28/Prices!$C$155)+NOS!G28+UTDI!G28</f>
        <v>59492.581566539513</v>
      </c>
      <c r="H28" s="279">
        <f t="shared" si="0"/>
        <v>1.1312273411797191E-2</v>
      </c>
      <c r="I28" s="252"/>
      <c r="J28" s="306" t="s">
        <v>754</v>
      </c>
      <c r="K28" s="306"/>
      <c r="L28" s="306"/>
      <c r="M28" s="306"/>
      <c r="N28" s="266"/>
      <c r="O28" s="266"/>
      <c r="P28" s="266"/>
      <c r="Q28" s="5"/>
      <c r="S28" s="88"/>
      <c r="T28" s="42"/>
      <c r="U28" s="42"/>
      <c r="V28" s="147" t="s">
        <v>530</v>
      </c>
      <c r="W28" s="288">
        <f t="shared" si="1"/>
        <v>0.50443192688144245</v>
      </c>
      <c r="X28" s="288">
        <v>1</v>
      </c>
      <c r="Y28" s="42"/>
      <c r="Z28" s="42"/>
      <c r="AA28" s="42"/>
    </row>
    <row r="29" spans="2:27" ht="12.6" thickTop="1">
      <c r="B29" s="5" t="s">
        <v>588</v>
      </c>
      <c r="C29" s="365">
        <f>(VOD!C29/Prices!$F$153)+ELISA!C29+(TELE2!C29/Prices!$F$158)+OBEL!C29+(LBTY!C29/Prices!$C$155)+NOS!C29+UTDI!C29</f>
        <v>4091.7526318955106</v>
      </c>
      <c r="D29" s="228">
        <f>(VOD!D29/Prices!$F$153)+ELISA!D29+(TELE2!D29/Prices!$F$158)+OBEL!D29+(LBTY!D29/Prices!$C$155)+NOS!D29+UTDI!D29</f>
        <v>3076.6875798051451</v>
      </c>
      <c r="E29" s="228">
        <f>(VOD!E29/Prices!$F$153)+ELISA!E29+(TELE2!E29/Prices!$F$158)+OBEL!E29+(LBTY!E29/Prices!$C$155)+NOS!E29+UTDI!E29</f>
        <v>2710.095089124301</v>
      </c>
      <c r="F29" s="228">
        <f>(VOD!F29/Prices!$F$153)+ELISA!F29+(TELE2!F29/Prices!$F$158)+OBEL!F29+(LBTY!F29/Prices!$C$155)+NOS!F29+UTDI!F29</f>
        <v>4509.6662938014051</v>
      </c>
      <c r="G29" s="228">
        <f>(VOD!G29/Prices!$F$153)+ELISA!G29+(TELE2!G29/Prices!$F$158)+OBEL!G29+(LBTY!G29/Prices!$C$155)+NOS!G29+UTDI!G29</f>
        <v>5581.408299148412</v>
      </c>
      <c r="H29" s="279">
        <f t="shared" si="0"/>
        <v>0.21960762754614027</v>
      </c>
      <c r="I29" s="254"/>
      <c r="J29" s="249"/>
      <c r="K29" s="249"/>
      <c r="L29" s="249"/>
      <c r="M29" s="249"/>
      <c r="N29" s="249"/>
      <c r="O29" s="251"/>
      <c r="Q29" s="5"/>
      <c r="S29" s="88"/>
      <c r="T29" s="42"/>
      <c r="U29" s="42"/>
      <c r="V29" s="147" t="s">
        <v>593</v>
      </c>
      <c r="W29" s="288">
        <f t="shared" si="1"/>
        <v>0.50706038172107748</v>
      </c>
      <c r="X29" s="288">
        <v>1</v>
      </c>
      <c r="Y29" s="42"/>
      <c r="Z29" s="42"/>
      <c r="AA29" s="42"/>
    </row>
    <row r="30" spans="2:27">
      <c r="B30" s="5" t="s">
        <v>589</v>
      </c>
      <c r="C30" s="365">
        <f>(VOD!C30/Prices!$F$153)+ELISA!C30+(TELE2!C30/Prices!$F$158)+OBEL!C30+(LBTY!C30/Prices!$C$155)+NOS!C30+UTDI!C30</f>
        <v>6040.5817761651897</v>
      </c>
      <c r="D30" s="228">
        <f>(VOD!D30/Prices!$F$153)+ELISA!D30+(TELE2!D30/Prices!$F$158)+OBEL!D30+(LBTY!D30/Prices!$C$155)+NOS!D30+UTDI!D30</f>
        <v>3243.6569689230932</v>
      </c>
      <c r="E30" s="228">
        <f>(VOD!E30/Prices!$F$153)+ELISA!E30+(TELE2!E30/Prices!$F$158)+OBEL!E30+(LBTY!E30/Prices!$C$155)+NOS!E30+UTDI!E30</f>
        <v>3887.8343499495727</v>
      </c>
      <c r="F30" s="228">
        <f>(VOD!F30/Prices!$F$153)+ELISA!F30+(TELE2!F30/Prices!$F$158)+OBEL!F30+(LBTY!F30/Prices!$C$155)+NOS!F30+UTDI!F30</f>
        <v>4634.6152081352293</v>
      </c>
      <c r="G30" s="228">
        <f>(VOD!G30/Prices!$F$153)+ELISA!G30+(TELE2!G30/Prices!$F$158)+OBEL!G30+(LBTY!G30/Prices!$C$155)+NOS!G30+UTDI!G30</f>
        <v>5167.6521297496829</v>
      </c>
      <c r="H30" s="279">
        <f t="shared" si="0"/>
        <v>0.16793708979658639</v>
      </c>
      <c r="I30" s="254"/>
      <c r="J30" s="248"/>
      <c r="K30" s="248"/>
      <c r="L30" s="248"/>
      <c r="M30" s="248"/>
      <c r="N30" s="248"/>
      <c r="O30" s="5"/>
      <c r="Q30" s="5"/>
      <c r="S30" s="88"/>
      <c r="T30" s="42"/>
      <c r="U30" s="42"/>
      <c r="V30" s="147" t="s">
        <v>475</v>
      </c>
      <c r="W30" s="288">
        <f t="shared" si="1"/>
        <v>1.662462179617697</v>
      </c>
      <c r="X30" s="288">
        <v>1</v>
      </c>
      <c r="Y30" s="42"/>
      <c r="Z30" s="42"/>
      <c r="AA30" s="42"/>
    </row>
    <row r="31" spans="2:27">
      <c r="B31" s="5" t="s">
        <v>590</v>
      </c>
      <c r="C31" s="365">
        <f>(VOD!C31/Prices!$F$153)+ELISA!C31+(TELE2!C31/Prices!$F$158)+OBEL!C31+(LBTY!C31/Prices!$C$155)+NOS!C31+UTDI!C31</f>
        <v>3379.5900228291803</v>
      </c>
      <c r="D31" s="228">
        <f>(VOD!D31/Prices!$F$153)+ELISA!D31+(TELE2!D31/Prices!$F$158)+OBEL!D31+(LBTY!D31/Prices!$C$155)+NOS!D31+UTDI!D31</f>
        <v>3402.2682734960313</v>
      </c>
      <c r="E31" s="228">
        <f>(VOD!E31/Prices!$F$153)+ELISA!E31+(TELE2!E31/Prices!$F$158)+OBEL!E31+(LBTY!E31/Prices!$C$155)+NOS!E31+UTDI!E31</f>
        <v>2092.3526428785813</v>
      </c>
      <c r="F31" s="228">
        <f>(VOD!F31/Prices!$F$153)+ELISA!F31+(TELE2!F31/Prices!$F$158)+OBEL!F31+(LBTY!F31/Prices!$C$155)+NOS!F31+UTDI!F31</f>
        <v>2137.037749238666</v>
      </c>
      <c r="G31" s="228">
        <f>(VOD!G31/Prices!$F$153)+ELISA!G31+(TELE2!G31/Prices!$F$158)+OBEL!G31+(LBTY!G31/Prices!$C$155)+NOS!G31+UTDI!G31</f>
        <v>2164.6499888490307</v>
      </c>
      <c r="H31" s="279">
        <f t="shared" si="0"/>
        <v>-0.13991829578276849</v>
      </c>
      <c r="I31" s="254"/>
      <c r="J31" s="252"/>
      <c r="K31" s="252"/>
      <c r="L31" s="252"/>
      <c r="M31" s="252"/>
      <c r="N31" s="252"/>
      <c r="O31" s="5"/>
      <c r="Q31" s="5"/>
      <c r="S31" s="88"/>
      <c r="T31" s="42"/>
      <c r="U31" s="42"/>
      <c r="V31" s="147" t="s">
        <v>533</v>
      </c>
      <c r="W31" s="288">
        <f t="shared" si="1"/>
        <v>0.94192348242802271</v>
      </c>
      <c r="X31" s="288">
        <v>1</v>
      </c>
      <c r="Y31" s="42"/>
      <c r="Z31" s="42"/>
      <c r="AA31" s="42"/>
    </row>
    <row r="32" spans="2:27">
      <c r="B32" s="5" t="s">
        <v>606</v>
      </c>
      <c r="C32" s="365">
        <f>(VOD!C32/Prices!$F$153)+ELISA!C32+(TELE2!C32/Prices!$F$158)+OBEL!C32+(LBTY!C32/Prices!$C$155)+NOS!C32+UTDI!C32</f>
        <v>0</v>
      </c>
      <c r="D32" s="228">
        <f>(VOD!D32/Prices!$F$153)+ELISA!D32+(TELE2!D32/Prices!$F$158)+OBEL!D32+(LBTY!D32/Prices!$C$155)+NOS!D32+UTDI!D32</f>
        <v>0</v>
      </c>
      <c r="E32" s="228">
        <f>(VOD!E32/Prices!$F$153)+ELISA!E32+(TELE2!E32/Prices!$F$158)+OBEL!E32+(LBTY!E32/Prices!$C$155)+NOS!E32+UTDI!E32</f>
        <v>0</v>
      </c>
      <c r="F32" s="228">
        <f>(VOD!F32/Prices!$F$153)+ELISA!F32+(TELE2!F32/Prices!$F$158)+OBEL!F32+(LBTY!F32/Prices!$C$155)+NOS!F32+UTDI!F32</f>
        <v>0</v>
      </c>
      <c r="G32" s="228">
        <f>(VOD!G32/Prices!$F$153)+ELISA!G32+(TELE2!G32/Prices!$F$158)+OBEL!G32+(LBTY!G32/Prices!$C$155)+NOS!G32+UTDI!G32</f>
        <v>0</v>
      </c>
      <c r="H32" s="279" t="str">
        <f t="shared" si="0"/>
        <v>nm</v>
      </c>
      <c r="I32" s="5"/>
      <c r="J32" s="254"/>
      <c r="K32" s="254"/>
      <c r="L32" s="254"/>
      <c r="M32" s="254"/>
      <c r="N32" s="254"/>
      <c r="O32" s="251"/>
      <c r="Q32" s="5"/>
      <c r="S32" s="88"/>
      <c r="T32" s="42"/>
      <c r="U32" s="42"/>
      <c r="V32" s="147" t="s">
        <v>580</v>
      </c>
      <c r="W32" s="288">
        <f>M17/E45</f>
        <v>0.95013749309312734</v>
      </c>
      <c r="X32" s="288">
        <v>1</v>
      </c>
      <c r="Y32" s="42"/>
      <c r="Z32" s="42"/>
      <c r="AA32" s="42"/>
    </row>
    <row r="33" spans="2:42">
      <c r="B33" s="5" t="s">
        <v>5</v>
      </c>
      <c r="C33" s="365">
        <f>(VOD!C33/Prices!$F$153)+ELISA!C33+(TELE2!C33/Prices!$F$158)+OBEL!C33+(LBTY!C33/Prices!$C$155)+NOS!C33+UTDI!C33</f>
        <v>2045.1528668742217</v>
      </c>
      <c r="D33" s="228">
        <f>(VOD!D33/Prices!$F$153)+ELISA!D33+(TELE2!D33/Prices!$F$158)+OBEL!D33+(LBTY!D33/Prices!$C$155)+NOS!D33+UTDI!D33</f>
        <v>2223.190118543007</v>
      </c>
      <c r="E33" s="228">
        <f>(VOD!E33/Prices!$F$153)+ELISA!E33+(TELE2!E33/Prices!$F$158)+OBEL!E33+(LBTY!E33/Prices!$C$155)+NOS!E33+UTDI!E33</f>
        <v>2269.1909950407648</v>
      </c>
      <c r="F33" s="228">
        <f>(VOD!F33/Prices!$F$153)+ELISA!F33+(TELE2!F33/Prices!$F$158)+OBEL!F33+(LBTY!F33/Prices!$C$155)+NOS!F33+UTDI!F33</f>
        <v>2361.1074395356677</v>
      </c>
      <c r="G33" s="228">
        <f>(VOD!G33/Prices!$F$153)+ELISA!G33+(TELE2!G33/Prices!$F$158)+OBEL!G33+(LBTY!G33/Prices!$C$155)+NOS!G33+UTDI!G33</f>
        <v>2395.8019377553601</v>
      </c>
      <c r="H33" s="279">
        <f t="shared" si="0"/>
        <v>2.5238176380024235E-2</v>
      </c>
      <c r="I33" s="49"/>
      <c r="J33" s="254"/>
      <c r="K33" s="254"/>
      <c r="L33" s="254"/>
      <c r="M33" s="254"/>
      <c r="N33" s="254"/>
      <c r="O33" s="251"/>
      <c r="Q33" s="5"/>
      <c r="S33" s="88"/>
      <c r="T33" s="42"/>
      <c r="U33" s="42"/>
      <c r="V33" s="147" t="s">
        <v>581</v>
      </c>
      <c r="W33" s="288">
        <f>M19/E47</f>
        <v>1.662462179617697</v>
      </c>
      <c r="X33" s="288">
        <v>1</v>
      </c>
      <c r="Y33" s="288"/>
      <c r="Z33" s="288"/>
      <c r="AA33" s="42"/>
      <c r="AC33" s="10"/>
      <c r="AD33" s="10"/>
      <c r="AE33" s="10"/>
      <c r="AF33" s="10"/>
      <c r="AH33" s="10"/>
      <c r="AI33" s="10"/>
      <c r="AJ33" s="10"/>
      <c r="AK33" s="10"/>
      <c r="AM33" s="10"/>
      <c r="AN33" s="10"/>
      <c r="AO33" s="10"/>
      <c r="AP33" s="10"/>
    </row>
    <row r="34" spans="2:42">
      <c r="H34" s="277"/>
      <c r="I34" s="254"/>
      <c r="J34" s="254"/>
      <c r="K34" s="254"/>
      <c r="L34" s="254"/>
      <c r="M34" s="254"/>
      <c r="N34" s="254"/>
      <c r="O34" s="251"/>
      <c r="Q34" s="5"/>
      <c r="S34" s="88"/>
      <c r="T34" s="42"/>
      <c r="U34" s="42"/>
      <c r="V34" s="42"/>
      <c r="W34" s="42"/>
      <c r="X34" s="42"/>
      <c r="Y34" s="288"/>
      <c r="Z34" s="288"/>
      <c r="AA34" s="42"/>
      <c r="AC34" s="10"/>
      <c r="AD34" s="10"/>
      <c r="AE34" s="10"/>
      <c r="AF34" s="10"/>
      <c r="AH34" s="10"/>
      <c r="AI34" s="10"/>
      <c r="AJ34" s="10"/>
      <c r="AK34" s="10"/>
      <c r="AM34" s="10"/>
      <c r="AN34" s="10"/>
      <c r="AO34" s="10"/>
      <c r="AP34" s="10"/>
    </row>
    <row r="35" spans="2:42" ht="12.6" thickBot="1">
      <c r="B35" s="306" t="s">
        <v>79</v>
      </c>
      <c r="C35" s="265"/>
      <c r="D35" s="265" t="str">
        <f>D5</f>
        <v>2023E</v>
      </c>
      <c r="E35" s="265" t="str">
        <f>E5</f>
        <v>2024E</v>
      </c>
      <c r="F35" s="265" t="str">
        <f>F5</f>
        <v>2025E</v>
      </c>
      <c r="G35" s="265" t="str">
        <f>G5</f>
        <v>2026E</v>
      </c>
      <c r="H35" s="265" t="str">
        <f>H5</f>
        <v>23E-26E</v>
      </c>
      <c r="I35" s="17"/>
      <c r="J35" s="5"/>
      <c r="K35" s="5"/>
      <c r="L35" s="5"/>
      <c r="M35" s="5"/>
      <c r="N35" s="5"/>
      <c r="O35" s="5"/>
      <c r="Q35" s="5"/>
      <c r="S35" s="88"/>
      <c r="T35" s="88"/>
      <c r="U35" s="42"/>
      <c r="V35" s="42"/>
      <c r="W35" s="42"/>
      <c r="X35" s="42"/>
      <c r="Y35" s="288"/>
      <c r="Z35" s="288"/>
      <c r="AA35" s="42"/>
      <c r="AC35" s="10"/>
      <c r="AD35" s="10"/>
      <c r="AE35" s="10"/>
      <c r="AF35" s="10"/>
      <c r="AH35" s="10"/>
      <c r="AI35" s="10"/>
      <c r="AJ35" s="10"/>
      <c r="AK35" s="10"/>
      <c r="AM35" s="10"/>
      <c r="AN35" s="10"/>
      <c r="AO35" s="10"/>
      <c r="AP35" s="10"/>
    </row>
    <row r="36" spans="2:42" ht="12.6" thickTop="1">
      <c r="B36" s="41"/>
      <c r="C36" s="249"/>
      <c r="D36" s="254"/>
      <c r="E36" s="254"/>
      <c r="F36" s="254"/>
      <c r="G36" s="254"/>
      <c r="H36" s="254"/>
      <c r="I36" s="5"/>
      <c r="J36" s="49"/>
      <c r="K36" s="49"/>
      <c r="L36" s="49"/>
      <c r="M36" s="49"/>
      <c r="N36" s="49"/>
      <c r="O36" s="49"/>
      <c r="Q36" s="5"/>
      <c r="R36" s="5"/>
      <c r="S36" s="42"/>
      <c r="T36" s="42"/>
      <c r="U36" s="42"/>
      <c r="V36" s="42"/>
      <c r="W36" s="42"/>
      <c r="X36" s="42"/>
      <c r="Y36" s="42"/>
      <c r="Z36" s="42"/>
      <c r="AA36" s="42"/>
      <c r="AC36" s="10"/>
      <c r="AD36" s="10"/>
      <c r="AE36" s="10"/>
      <c r="AF36" s="10"/>
      <c r="AH36" s="10"/>
      <c r="AI36" s="10"/>
      <c r="AJ36" s="10"/>
      <c r="AK36" s="10"/>
      <c r="AM36" s="10"/>
      <c r="AN36" s="10"/>
      <c r="AO36" s="10"/>
      <c r="AP36" s="10"/>
    </row>
    <row r="37" spans="2:42">
      <c r="B37" s="5" t="s">
        <v>273</v>
      </c>
      <c r="C37" s="247"/>
      <c r="D37" s="64">
        <f t="shared" ref="D37:G41" si="2">D$18/D23</f>
        <v>1.625740200561925</v>
      </c>
      <c r="E37" s="64">
        <f t="shared" si="2"/>
        <v>1.4744355877361912</v>
      </c>
      <c r="F37" s="64">
        <f t="shared" si="2"/>
        <v>1.3838130671688169</v>
      </c>
      <c r="G37" s="64">
        <f t="shared" si="2"/>
        <v>1.2773151297065752</v>
      </c>
      <c r="H37" s="17">
        <f t="shared" ref="H37:H45" si="3">H23</f>
        <v>1.5716493135688125E-2</v>
      </c>
      <c r="I37" s="259"/>
      <c r="J37" s="259"/>
      <c r="K37" s="259"/>
      <c r="L37" s="259"/>
      <c r="M37" s="259"/>
      <c r="N37" s="259"/>
      <c r="O37" s="18"/>
      <c r="Q37" s="5"/>
      <c r="R37" s="5"/>
      <c r="S37" s="42"/>
      <c r="T37" s="42"/>
      <c r="U37" s="42"/>
      <c r="V37" s="42"/>
      <c r="W37" s="42"/>
      <c r="X37" s="42"/>
      <c r="Y37" s="42"/>
      <c r="Z37" s="42"/>
      <c r="AA37" s="42"/>
      <c r="AC37" s="10"/>
      <c r="AD37" s="10"/>
      <c r="AE37" s="10"/>
      <c r="AF37" s="10"/>
      <c r="AH37" s="10"/>
      <c r="AI37" s="10"/>
      <c r="AJ37" s="10"/>
      <c r="AK37" s="10"/>
      <c r="AM37" s="10"/>
      <c r="AN37" s="10"/>
      <c r="AO37" s="10"/>
      <c r="AP37" s="10"/>
    </row>
    <row r="38" spans="2:42">
      <c r="B38" s="5" t="s">
        <v>184</v>
      </c>
      <c r="C38" s="247"/>
      <c r="D38" s="64">
        <f t="shared" si="2"/>
        <v>5.2795254299348739</v>
      </c>
      <c r="E38" s="64">
        <f t="shared" si="2"/>
        <v>4.974469712304483</v>
      </c>
      <c r="F38" s="64">
        <f t="shared" si="2"/>
        <v>4.5174816735135677</v>
      </c>
      <c r="G38" s="64">
        <f t="shared" si="2"/>
        <v>4.0920709682728358</v>
      </c>
      <c r="H38" s="17">
        <f t="shared" si="3"/>
        <v>2.0325446875936182E-2</v>
      </c>
      <c r="I38" s="17"/>
      <c r="J38" s="17"/>
      <c r="K38" s="17"/>
      <c r="L38" s="17"/>
      <c r="M38" s="17"/>
      <c r="N38" s="17"/>
      <c r="O38" s="5"/>
      <c r="Q38" s="5"/>
      <c r="R38" s="5"/>
      <c r="S38" s="42"/>
      <c r="T38" s="42"/>
      <c r="U38" s="42"/>
      <c r="V38" s="42"/>
      <c r="W38" s="42"/>
      <c r="X38" s="42"/>
      <c r="Y38" s="42"/>
      <c r="Z38" s="42"/>
      <c r="AA38" s="42"/>
    </row>
    <row r="39" spans="2:42">
      <c r="B39" s="5" t="s">
        <v>185</v>
      </c>
      <c r="C39" s="247"/>
      <c r="D39" s="64">
        <f t="shared" si="2"/>
        <v>12.736189476818824</v>
      </c>
      <c r="E39" s="64">
        <f t="shared" si="2"/>
        <v>12.065966967777575</v>
      </c>
      <c r="F39" s="64">
        <f t="shared" si="2"/>
        <v>9.9478093470125</v>
      </c>
      <c r="G39" s="64">
        <f t="shared" si="2"/>
        <v>8.473000290176449</v>
      </c>
      <c r="H39" s="17">
        <f t="shared" si="3"/>
        <v>7.3632307659955432E-2</v>
      </c>
      <c r="I39" s="5"/>
      <c r="J39" s="5"/>
      <c r="K39" s="5"/>
      <c r="L39" s="5"/>
      <c r="M39" s="5"/>
      <c r="N39" s="5"/>
      <c r="O39" s="5"/>
      <c r="Q39" s="5"/>
      <c r="R39" s="5"/>
      <c r="S39" s="42"/>
      <c r="T39" s="42"/>
      <c r="U39" s="42"/>
      <c r="V39" s="42"/>
      <c r="W39" s="288"/>
      <c r="X39" s="288"/>
      <c r="Y39" s="42"/>
      <c r="Z39" s="42"/>
      <c r="AA39" s="42"/>
    </row>
    <row r="40" spans="2:42">
      <c r="B40" s="5" t="s">
        <v>466</v>
      </c>
      <c r="C40" s="247"/>
      <c r="D40" s="64">
        <f t="shared" si="2"/>
        <v>17.537055550367363</v>
      </c>
      <c r="E40" s="64">
        <f t="shared" si="2"/>
        <v>16.571844500633869</v>
      </c>
      <c r="F40" s="64">
        <f t="shared" si="2"/>
        <v>13.70048405868403</v>
      </c>
      <c r="G40" s="64">
        <f t="shared" si="2"/>
        <v>11.681030567966248</v>
      </c>
      <c r="H40" s="17">
        <f t="shared" si="3"/>
        <v>7.319831169942681E-2</v>
      </c>
      <c r="I40" s="247"/>
      <c r="J40" s="259"/>
      <c r="K40" s="259"/>
      <c r="L40" s="259"/>
      <c r="M40" s="259"/>
      <c r="N40" s="259"/>
      <c r="O40" s="18"/>
      <c r="Q40" s="5"/>
      <c r="R40" s="5"/>
      <c r="S40" s="42"/>
      <c r="T40" s="42"/>
      <c r="U40" s="42"/>
      <c r="V40" s="42"/>
      <c r="W40" s="288"/>
      <c r="X40" s="288"/>
      <c r="Y40" s="288"/>
      <c r="Z40" s="288"/>
      <c r="AA40" s="42"/>
    </row>
    <row r="41" spans="2:42">
      <c r="B41" s="5" t="s">
        <v>530</v>
      </c>
      <c r="C41" s="247"/>
      <c r="D41" s="64">
        <f t="shared" si="2"/>
        <v>0.73407860349270371</v>
      </c>
      <c r="E41" s="64">
        <f t="shared" si="2"/>
        <v>0.70658465772315859</v>
      </c>
      <c r="F41" s="64">
        <f t="shared" si="2"/>
        <v>0.66539496043406632</v>
      </c>
      <c r="G41" s="64">
        <f t="shared" si="2"/>
        <v>0.63140864888435067</v>
      </c>
      <c r="H41" s="17">
        <f t="shared" si="3"/>
        <v>-1.4479895812281707E-2</v>
      </c>
      <c r="I41" s="248"/>
      <c r="J41" s="17"/>
      <c r="K41" s="17"/>
      <c r="L41" s="17"/>
      <c r="M41" s="17"/>
      <c r="N41" s="17"/>
      <c r="O41" s="5"/>
      <c r="Q41" s="5"/>
      <c r="R41" s="5"/>
      <c r="S41" s="42"/>
      <c r="T41" s="42"/>
      <c r="U41" s="42"/>
      <c r="V41" s="42"/>
      <c r="W41" s="288"/>
      <c r="X41" s="288"/>
      <c r="Y41" s="288"/>
      <c r="Z41" s="288"/>
      <c r="AA41" s="42"/>
    </row>
    <row r="42" spans="2:42">
      <c r="B42" s="5" t="s">
        <v>593</v>
      </c>
      <c r="C42" s="247"/>
      <c r="D42" s="64">
        <f>D18/D28</f>
        <v>1.7744255045715212</v>
      </c>
      <c r="E42" s="64">
        <f>E18/E28</f>
        <v>1.6143851746135043</v>
      </c>
      <c r="F42" s="64">
        <f>F18/F28</f>
        <v>1.516251557360391</v>
      </c>
      <c r="G42" s="64">
        <f>G18/G28</f>
        <v>1.4124281433920347</v>
      </c>
      <c r="H42" s="17">
        <f t="shared" si="3"/>
        <v>1.1312273411797191E-2</v>
      </c>
      <c r="I42" s="247"/>
      <c r="J42" s="5"/>
      <c r="K42" s="5"/>
      <c r="L42" s="5"/>
      <c r="M42" s="5"/>
      <c r="N42" s="5"/>
      <c r="O42" s="5"/>
      <c r="Q42" s="5"/>
      <c r="R42" s="5"/>
      <c r="S42" s="42"/>
      <c r="T42" s="42"/>
      <c r="U42" s="42"/>
      <c r="V42" s="42"/>
      <c r="W42" s="288"/>
      <c r="X42" s="288"/>
      <c r="Y42" s="288"/>
      <c r="Z42" s="288"/>
      <c r="AA42" s="42"/>
    </row>
    <row r="43" spans="2:42">
      <c r="B43" s="5" t="s">
        <v>475</v>
      </c>
      <c r="C43" s="247"/>
      <c r="D43" s="64">
        <f>L26/D29</f>
        <v>16.766632642192913</v>
      </c>
      <c r="E43" s="64">
        <f>M26/E29</f>
        <v>18.03434445713204</v>
      </c>
      <c r="F43" s="64">
        <f>N26/F29</f>
        <v>10.571394482468753</v>
      </c>
      <c r="G43" s="64">
        <f>O26/G29</f>
        <v>8.2021597370687243</v>
      </c>
      <c r="H43" s="17">
        <f t="shared" si="3"/>
        <v>0.21960762754614027</v>
      </c>
      <c r="I43" s="247"/>
      <c r="J43" s="247"/>
      <c r="K43" s="247"/>
      <c r="L43" s="247"/>
      <c r="M43" s="247"/>
      <c r="N43" s="247"/>
      <c r="O43" s="18"/>
      <c r="Q43" s="5"/>
      <c r="R43" s="5"/>
      <c r="S43" s="42"/>
      <c r="T43" s="42"/>
      <c r="U43" s="42"/>
      <c r="V43" s="42"/>
      <c r="W43" s="325"/>
      <c r="X43" s="325"/>
      <c r="Y43" s="288"/>
      <c r="Z43" s="288"/>
      <c r="AA43" s="42"/>
    </row>
    <row r="44" spans="2:42">
      <c r="B44" s="5" t="s">
        <v>533</v>
      </c>
      <c r="C44" s="69"/>
      <c r="D44" s="64">
        <f>D11/D30</f>
        <v>14.93276596244098</v>
      </c>
      <c r="E44" s="64">
        <f>E11/E30</f>
        <v>11.776896223765881</v>
      </c>
      <c r="F44" s="64">
        <f>F11/F30</f>
        <v>9.7753259947195836</v>
      </c>
      <c r="G44" s="64">
        <f>G11/G30</f>
        <v>8.6831119730060706</v>
      </c>
      <c r="H44" s="17">
        <f t="shared" si="3"/>
        <v>0.16793708979658639</v>
      </c>
      <c r="I44" s="248"/>
      <c r="J44" s="248"/>
      <c r="K44" s="248"/>
      <c r="L44" s="248"/>
      <c r="M44" s="248"/>
      <c r="N44" s="248"/>
      <c r="O44" s="248"/>
      <c r="Q44" s="5"/>
      <c r="R44" s="5"/>
      <c r="S44" s="42"/>
      <c r="T44" s="42"/>
      <c r="U44" s="42"/>
      <c r="V44" s="42"/>
      <c r="W44" s="42"/>
      <c r="X44" s="42"/>
      <c r="Y44" s="325"/>
      <c r="Z44" s="325"/>
      <c r="AA44" s="42"/>
    </row>
    <row r="45" spans="2:42">
      <c r="B45" s="5" t="s">
        <v>580</v>
      </c>
      <c r="C45" s="247"/>
      <c r="D45" s="248">
        <f>D31/D11</f>
        <v>7.0241435315537989E-2</v>
      </c>
      <c r="E45" s="248">
        <f>E31/E11</f>
        <v>4.5697904024259245E-2</v>
      </c>
      <c r="F45" s="248">
        <f>F31/F11</f>
        <v>4.7170150494817063E-2</v>
      </c>
      <c r="G45" s="248">
        <f>G31/G11</f>
        <v>4.8241300976334903E-2</v>
      </c>
      <c r="H45" s="17">
        <f t="shared" si="3"/>
        <v>-0.13991829578276849</v>
      </c>
      <c r="I45" s="247"/>
      <c r="J45" s="247"/>
      <c r="K45" s="247"/>
      <c r="L45" s="247"/>
      <c r="M45" s="247"/>
      <c r="N45" s="247"/>
      <c r="O45" s="248"/>
      <c r="Q45" s="5"/>
      <c r="R45" s="5"/>
      <c r="S45" s="42"/>
      <c r="T45" s="42"/>
      <c r="U45" s="42"/>
      <c r="V45" s="42"/>
      <c r="W45" s="42"/>
      <c r="X45" s="42"/>
      <c r="Y45" s="42"/>
      <c r="Z45" s="42"/>
      <c r="AA45" s="326"/>
      <c r="AB45" s="303"/>
    </row>
    <row r="46" spans="2:42">
      <c r="B46" s="5" t="s">
        <v>605</v>
      </c>
      <c r="C46" s="247"/>
      <c r="D46" s="248">
        <f>(D31+D32)/D11</f>
        <v>7.0241435315537989E-2</v>
      </c>
      <c r="E46" s="248">
        <f>(E31+E32)/E11</f>
        <v>4.5697904024259245E-2</v>
      </c>
      <c r="F46" s="248">
        <f>(F31+F32)/F11</f>
        <v>4.7170150494817063E-2</v>
      </c>
      <c r="G46" s="248">
        <f>(G31+G32)/G11</f>
        <v>4.8241300976334903E-2</v>
      </c>
      <c r="H46" s="279">
        <f>((G31+G32)/(D31+D32))^(1/3)-1</f>
        <v>-0.13991829578276849</v>
      </c>
      <c r="I46" s="17"/>
      <c r="J46" s="247"/>
      <c r="K46" s="247"/>
      <c r="L46" s="247"/>
      <c r="M46" s="247"/>
      <c r="N46" s="247"/>
      <c r="O46" s="18"/>
      <c r="Q46" s="5"/>
      <c r="R46" s="5"/>
      <c r="S46" s="42"/>
      <c r="T46" s="42"/>
      <c r="U46" s="42"/>
      <c r="V46" s="42"/>
      <c r="W46" s="42"/>
      <c r="X46" s="42"/>
      <c r="Y46" s="42"/>
      <c r="Z46" s="42"/>
      <c r="AA46" s="326"/>
      <c r="AB46" s="303"/>
    </row>
    <row r="47" spans="2:42">
      <c r="B47" s="5" t="s">
        <v>581</v>
      </c>
      <c r="C47" s="5"/>
      <c r="D47" s="248">
        <f>1/D43</f>
        <v>5.9642268148913748E-2</v>
      </c>
      <c r="E47" s="248">
        <f>1/E43</f>
        <v>5.5449756012868556E-2</v>
      </c>
      <c r="F47" s="248">
        <f>1/F43</f>
        <v>9.4594899628271986E-2</v>
      </c>
      <c r="G47" s="248">
        <f>1/G43</f>
        <v>0.12191910814423843</v>
      </c>
      <c r="H47" s="17">
        <f>H29</f>
        <v>0.21960762754614027</v>
      </c>
      <c r="I47" s="247"/>
      <c r="J47" s="248"/>
      <c r="K47" s="248"/>
      <c r="L47" s="248"/>
      <c r="M47" s="248"/>
      <c r="N47" s="248"/>
      <c r="O47" s="248"/>
      <c r="Q47" s="5"/>
      <c r="R47" s="5"/>
      <c r="S47" s="5"/>
      <c r="T47" s="5"/>
      <c r="U47" s="5"/>
      <c r="AA47" s="303"/>
      <c r="AB47" s="303"/>
    </row>
    <row r="48" spans="2:42">
      <c r="B48" s="5" t="s">
        <v>618</v>
      </c>
      <c r="C48" s="5"/>
      <c r="D48" s="305">
        <f>D31/D29</f>
        <v>1.1058218246883247</v>
      </c>
      <c r="E48" s="305">
        <f>E31/E29</f>
        <v>0.7720587558994737</v>
      </c>
      <c r="F48" s="305">
        <f>F31/F29</f>
        <v>0.47387935381738827</v>
      </c>
      <c r="G48" s="305">
        <f>G31/G29</f>
        <v>0.38783222312893756</v>
      </c>
      <c r="H48" s="17" t="s">
        <v>607</v>
      </c>
      <c r="I48" s="259"/>
      <c r="J48" s="247"/>
      <c r="K48" s="247"/>
      <c r="L48" s="247"/>
      <c r="M48" s="247"/>
      <c r="N48" s="247"/>
      <c r="O48" s="248"/>
      <c r="Q48" s="5"/>
      <c r="R48" s="5"/>
      <c r="S48" s="5"/>
      <c r="T48" s="5"/>
      <c r="U48" s="5"/>
      <c r="AA48" s="303"/>
      <c r="AB48" s="303"/>
    </row>
    <row r="49" spans="2:28">
      <c r="B49" s="41"/>
      <c r="C49" s="17"/>
      <c r="D49" s="17"/>
      <c r="E49" s="17"/>
      <c r="F49" s="17"/>
      <c r="G49" s="17"/>
      <c r="H49" s="17"/>
      <c r="I49" s="17"/>
      <c r="J49" s="17"/>
      <c r="K49" s="17"/>
      <c r="L49" s="17"/>
      <c r="M49" s="17"/>
      <c r="N49" s="17"/>
      <c r="O49" s="248"/>
      <c r="Q49" s="5"/>
      <c r="R49" s="5"/>
      <c r="S49" s="5"/>
      <c r="T49" s="5"/>
      <c r="U49" s="5"/>
      <c r="W49" s="10"/>
      <c r="X49" s="10"/>
      <c r="AA49" s="303"/>
      <c r="AB49" s="303"/>
    </row>
    <row r="50" spans="2:28">
      <c r="B50" s="5"/>
      <c r="C50" s="257"/>
      <c r="D50" s="257"/>
      <c r="E50" s="257"/>
      <c r="F50" s="5"/>
      <c r="G50" s="41"/>
      <c r="H50" s="249"/>
      <c r="I50" s="259"/>
      <c r="J50" s="254"/>
      <c r="K50" s="254"/>
      <c r="L50" s="254"/>
      <c r="M50" s="254"/>
      <c r="N50" s="254"/>
      <c r="O50" s="251"/>
      <c r="Q50" s="5"/>
      <c r="R50" s="5"/>
      <c r="S50" s="5"/>
      <c r="T50" s="5"/>
      <c r="U50" s="5"/>
      <c r="W50" s="10"/>
      <c r="X50" s="10"/>
      <c r="Y50" s="10"/>
      <c r="Z50" s="10"/>
    </row>
    <row r="51" spans="2:28">
      <c r="B51" s="41"/>
      <c r="C51" s="249"/>
      <c r="D51" s="254"/>
      <c r="E51" s="254"/>
      <c r="F51" s="254"/>
      <c r="G51" s="254"/>
      <c r="H51" s="254"/>
      <c r="I51" s="254"/>
      <c r="J51" s="17"/>
      <c r="K51" s="17"/>
      <c r="L51" s="17"/>
      <c r="M51" s="17"/>
      <c r="N51" s="17"/>
      <c r="O51" s="248"/>
      <c r="Q51" s="5"/>
      <c r="R51" s="5"/>
      <c r="S51" s="5"/>
      <c r="T51" s="5"/>
      <c r="U51" s="5"/>
      <c r="Y51" s="10"/>
      <c r="Z51" s="10"/>
    </row>
    <row r="52" spans="2:28">
      <c r="B52" s="5"/>
      <c r="C52" s="257"/>
      <c r="D52" s="17"/>
      <c r="E52" s="17"/>
      <c r="F52" s="17"/>
      <c r="G52" s="17"/>
      <c r="H52" s="17"/>
      <c r="I52" s="17"/>
      <c r="J52" s="259"/>
      <c r="K52" s="259"/>
      <c r="L52" s="259"/>
      <c r="M52" s="259"/>
      <c r="N52" s="259"/>
      <c r="O52" s="18"/>
      <c r="Q52" s="5"/>
      <c r="R52" s="5"/>
      <c r="S52" s="5"/>
      <c r="T52" s="5"/>
      <c r="U52" s="5"/>
    </row>
    <row r="53" spans="2:28">
      <c r="B53" s="5"/>
      <c r="C53" s="257"/>
      <c r="D53" s="257"/>
      <c r="E53" s="257"/>
      <c r="F53" s="5"/>
      <c r="G53" s="5"/>
      <c r="H53" s="259"/>
      <c r="I53" s="259"/>
      <c r="J53" s="254"/>
      <c r="K53" s="254"/>
      <c r="L53" s="254"/>
      <c r="M53" s="254"/>
      <c r="N53" s="254"/>
      <c r="O53" s="251"/>
      <c r="Q53" s="5"/>
      <c r="R53" s="5"/>
      <c r="S53" s="5"/>
      <c r="T53" s="5"/>
      <c r="U53" s="5"/>
    </row>
    <row r="54" spans="2:28">
      <c r="B54" s="41"/>
      <c r="C54" s="249"/>
      <c r="D54" s="254"/>
      <c r="E54" s="254"/>
      <c r="F54" s="254"/>
      <c r="G54" s="254"/>
      <c r="H54" s="254"/>
      <c r="I54" s="249"/>
      <c r="J54" s="17"/>
      <c r="K54" s="17"/>
      <c r="L54" s="17"/>
      <c r="M54" s="17"/>
      <c r="N54" s="17"/>
      <c r="O54" s="18"/>
      <c r="Q54" s="5"/>
      <c r="R54" s="5"/>
      <c r="S54" s="5"/>
      <c r="T54" s="5"/>
      <c r="U54" s="5"/>
    </row>
    <row r="55" spans="2:28">
      <c r="B55" s="5"/>
      <c r="C55" s="257"/>
      <c r="D55" s="17"/>
      <c r="E55" s="17"/>
      <c r="F55" s="17"/>
      <c r="G55" s="17"/>
      <c r="H55" s="17"/>
      <c r="I55" s="248"/>
      <c r="J55" s="259"/>
      <c r="K55" s="259"/>
      <c r="L55" s="259"/>
      <c r="M55" s="259"/>
      <c r="N55" s="259"/>
      <c r="O55" s="18"/>
      <c r="Q55" s="5"/>
      <c r="R55" s="5"/>
      <c r="S55" s="5"/>
      <c r="T55" s="5"/>
      <c r="U55" s="5"/>
    </row>
    <row r="56" spans="2:28">
      <c r="B56" s="5"/>
      <c r="C56" s="248"/>
      <c r="D56" s="248"/>
      <c r="E56" s="248"/>
      <c r="F56" s="5"/>
      <c r="G56" s="5"/>
      <c r="H56" s="259"/>
      <c r="I56" s="5"/>
      <c r="J56" s="249"/>
      <c r="K56" s="249"/>
      <c r="L56" s="249"/>
      <c r="M56" s="249"/>
      <c r="N56" s="249"/>
      <c r="O56" s="251"/>
      <c r="Q56" s="5"/>
      <c r="R56" s="5"/>
      <c r="S56" s="5"/>
      <c r="T56" s="5"/>
      <c r="U56" s="5"/>
    </row>
    <row r="57" spans="2:28">
      <c r="B57" s="41"/>
      <c r="C57" s="249"/>
      <c r="D57" s="249"/>
      <c r="E57" s="249"/>
      <c r="F57" s="249"/>
      <c r="G57" s="249"/>
      <c r="H57" s="249"/>
      <c r="I57" s="17"/>
      <c r="J57" s="248"/>
      <c r="K57" s="248"/>
      <c r="L57" s="248"/>
      <c r="M57" s="248"/>
      <c r="N57" s="248"/>
      <c r="O57" s="18"/>
      <c r="Q57" s="5"/>
      <c r="R57" s="5"/>
      <c r="S57" s="5"/>
      <c r="T57" s="5"/>
      <c r="U57" s="5"/>
    </row>
    <row r="58" spans="2:28">
      <c r="B58" s="5"/>
      <c r="C58" s="5"/>
      <c r="D58" s="248"/>
      <c r="E58" s="248"/>
      <c r="F58" s="248"/>
      <c r="G58" s="248"/>
      <c r="H58" s="248"/>
      <c r="I58" s="5"/>
      <c r="J58" s="5"/>
      <c r="K58" s="5"/>
      <c r="L58" s="5"/>
      <c r="M58" s="5"/>
      <c r="N58" s="5"/>
      <c r="O58" s="5"/>
      <c r="Q58" s="5"/>
      <c r="R58" s="5"/>
      <c r="S58" s="5"/>
      <c r="T58" s="5"/>
      <c r="U58" s="5"/>
    </row>
    <row r="59" spans="2:28">
      <c r="B59" s="5"/>
      <c r="C59" s="5"/>
      <c r="D59" s="5"/>
      <c r="E59" s="5"/>
      <c r="F59" s="5"/>
      <c r="G59" s="5"/>
      <c r="H59" s="5"/>
      <c r="I59" s="249"/>
      <c r="J59" s="17"/>
      <c r="K59" s="17"/>
      <c r="L59" s="17"/>
      <c r="M59" s="17"/>
      <c r="N59" s="17"/>
      <c r="O59" s="251"/>
      <c r="Q59" s="5"/>
      <c r="R59" s="5"/>
      <c r="S59" s="5"/>
      <c r="T59" s="5"/>
      <c r="U59" s="5"/>
    </row>
    <row r="60" spans="2:28">
      <c r="B60" s="41"/>
      <c r="C60" s="17"/>
      <c r="D60" s="17"/>
      <c r="E60" s="17"/>
      <c r="F60" s="17"/>
      <c r="G60" s="17"/>
      <c r="H60" s="17"/>
      <c r="I60" s="5"/>
      <c r="J60" s="5"/>
      <c r="K60" s="5"/>
      <c r="L60" s="5"/>
      <c r="M60" s="5"/>
      <c r="N60" s="5"/>
      <c r="O60" s="5"/>
      <c r="Q60" s="41"/>
      <c r="R60" s="5"/>
      <c r="S60" s="5"/>
      <c r="T60" s="5"/>
      <c r="U60" s="5"/>
    </row>
    <row r="61" spans="2:28">
      <c r="B61" s="5"/>
      <c r="C61" s="5"/>
      <c r="D61" s="5"/>
      <c r="E61" s="5"/>
      <c r="F61" s="5"/>
      <c r="G61" s="5"/>
      <c r="H61" s="5"/>
      <c r="I61" s="5"/>
      <c r="J61" s="249"/>
      <c r="K61" s="249"/>
      <c r="L61" s="249"/>
      <c r="M61" s="249"/>
      <c r="N61" s="249"/>
      <c r="O61" s="251"/>
      <c r="Q61" s="5"/>
      <c r="R61" s="5"/>
      <c r="S61" s="5"/>
      <c r="T61" s="5"/>
      <c r="U61" s="5"/>
    </row>
    <row r="62" spans="2:28">
      <c r="B62" s="41"/>
      <c r="C62" s="249"/>
      <c r="D62" s="249"/>
      <c r="E62" s="249"/>
      <c r="F62" s="249"/>
      <c r="G62" s="249"/>
      <c r="H62" s="249"/>
      <c r="I62" s="254"/>
      <c r="J62" s="5"/>
      <c r="K62" s="5"/>
      <c r="L62" s="5"/>
      <c r="M62" s="5"/>
      <c r="N62" s="5"/>
      <c r="O62" s="5"/>
      <c r="Q62" s="5"/>
      <c r="R62" s="5"/>
      <c r="S62" s="5"/>
      <c r="T62" s="5"/>
      <c r="U62" s="5"/>
    </row>
    <row r="63" spans="2:28">
      <c r="B63" s="5"/>
      <c r="C63" s="5"/>
      <c r="D63" s="5"/>
      <c r="E63" s="5"/>
      <c r="F63" s="5"/>
      <c r="G63" s="5"/>
      <c r="H63" s="5"/>
      <c r="I63" s="17"/>
      <c r="J63" s="5"/>
      <c r="K63" s="5"/>
      <c r="L63" s="5"/>
      <c r="M63" s="5"/>
      <c r="N63" s="5"/>
      <c r="O63" s="5"/>
      <c r="Q63" s="5"/>
      <c r="R63" s="5"/>
      <c r="S63" s="5"/>
      <c r="T63" s="5"/>
      <c r="U63" s="5"/>
    </row>
    <row r="64" spans="2:28">
      <c r="B64" s="5"/>
      <c r="C64" s="5"/>
      <c r="D64" s="5"/>
      <c r="E64" s="5"/>
      <c r="F64" s="5"/>
      <c r="G64" s="5"/>
      <c r="H64" s="5"/>
      <c r="I64" s="254"/>
      <c r="J64" s="254"/>
      <c r="K64" s="254"/>
      <c r="L64" s="254"/>
      <c r="M64" s="254"/>
      <c r="N64" s="254"/>
      <c r="O64" s="251"/>
      <c r="Q64" s="5"/>
      <c r="R64" s="5"/>
      <c r="S64" s="5"/>
      <c r="T64" s="5"/>
      <c r="U64" s="5"/>
    </row>
    <row r="65" spans="2:26">
      <c r="B65" s="41"/>
      <c r="C65" s="249"/>
      <c r="D65" s="254"/>
      <c r="E65" s="254"/>
      <c r="F65" s="254"/>
      <c r="G65" s="254"/>
      <c r="H65" s="254"/>
      <c r="I65" s="248"/>
      <c r="J65" s="17"/>
      <c r="K65" s="17"/>
      <c r="L65" s="17"/>
      <c r="M65" s="17"/>
      <c r="N65" s="17"/>
      <c r="O65" s="5"/>
      <c r="Q65" s="5"/>
      <c r="R65" s="5"/>
      <c r="S65" s="5"/>
      <c r="T65" s="5"/>
      <c r="U65" s="5"/>
    </row>
    <row r="66" spans="2:26">
      <c r="B66" s="5"/>
      <c r="C66" s="5"/>
      <c r="D66" s="17"/>
      <c r="E66" s="17"/>
      <c r="F66" s="17"/>
      <c r="G66" s="17"/>
      <c r="H66" s="17"/>
      <c r="I66" s="5"/>
      <c r="J66" s="254"/>
      <c r="K66" s="254"/>
      <c r="L66" s="254"/>
      <c r="M66" s="254"/>
      <c r="N66" s="254"/>
      <c r="O66" s="251"/>
      <c r="Q66" s="41"/>
      <c r="R66" s="5"/>
      <c r="S66" s="5"/>
      <c r="T66" s="5"/>
      <c r="U66" s="5"/>
    </row>
    <row r="67" spans="2:26">
      <c r="B67" s="41"/>
      <c r="C67" s="249"/>
      <c r="D67" s="254"/>
      <c r="E67" s="254"/>
      <c r="F67" s="254"/>
      <c r="G67" s="254"/>
      <c r="H67" s="254"/>
      <c r="I67" s="245"/>
      <c r="J67" s="248"/>
      <c r="K67" s="248"/>
      <c r="L67" s="248"/>
      <c r="M67" s="248"/>
      <c r="N67" s="248"/>
      <c r="O67" s="5"/>
      <c r="Q67" s="5"/>
      <c r="R67" s="5"/>
      <c r="S67" s="5"/>
      <c r="T67" s="5"/>
      <c r="U67" s="5"/>
    </row>
    <row r="68" spans="2:26">
      <c r="B68" s="5"/>
      <c r="C68" s="5"/>
      <c r="D68" s="248"/>
      <c r="E68" s="248"/>
      <c r="F68" s="248"/>
      <c r="G68" s="248"/>
      <c r="H68" s="248"/>
      <c r="I68" s="248"/>
      <c r="J68" s="5"/>
      <c r="K68" s="5"/>
      <c r="L68" s="5"/>
      <c r="M68" s="5"/>
      <c r="N68" s="5"/>
      <c r="O68" s="5"/>
      <c r="Q68" s="5"/>
      <c r="R68" s="5"/>
      <c r="S68" s="5"/>
      <c r="T68" s="5"/>
      <c r="U68" s="5"/>
    </row>
    <row r="69" spans="2:26">
      <c r="B69" s="41"/>
      <c r="C69" s="5"/>
      <c r="D69" s="5"/>
      <c r="E69" s="5"/>
      <c r="F69" s="5"/>
      <c r="G69" s="5"/>
      <c r="H69" s="5"/>
      <c r="I69" s="5"/>
      <c r="J69" s="245"/>
      <c r="K69" s="245"/>
      <c r="L69" s="245"/>
      <c r="M69" s="245"/>
      <c r="N69" s="245"/>
      <c r="O69" s="251"/>
      <c r="Q69" s="5"/>
      <c r="R69" s="5"/>
      <c r="S69" s="5"/>
      <c r="T69" s="5"/>
      <c r="U69" s="5"/>
      <c r="W69" s="76"/>
      <c r="X69" s="76"/>
    </row>
    <row r="70" spans="2:26">
      <c r="B70" s="41"/>
      <c r="C70" s="245"/>
      <c r="D70" s="245"/>
      <c r="E70" s="245"/>
      <c r="F70" s="245"/>
      <c r="G70" s="245"/>
      <c r="H70" s="245"/>
      <c r="I70" s="245"/>
      <c r="J70" s="248"/>
      <c r="K70" s="248"/>
      <c r="L70" s="248"/>
      <c r="M70" s="248"/>
      <c r="N70" s="248"/>
      <c r="O70" s="5"/>
      <c r="Q70" s="5"/>
      <c r="R70" s="5"/>
      <c r="S70" s="5"/>
      <c r="T70" s="5"/>
      <c r="U70" s="5"/>
      <c r="W70" s="76"/>
      <c r="X70" s="76"/>
      <c r="Y70" s="76"/>
      <c r="Z70" s="76"/>
    </row>
    <row r="71" spans="2:26">
      <c r="B71" s="5"/>
      <c r="C71" s="5"/>
      <c r="D71" s="248"/>
      <c r="E71" s="248"/>
      <c r="F71" s="248"/>
      <c r="G71" s="248"/>
      <c r="H71" s="248"/>
      <c r="I71" s="18"/>
      <c r="J71" s="5"/>
      <c r="K71" s="5"/>
      <c r="L71" s="5"/>
      <c r="M71" s="5"/>
      <c r="N71" s="5"/>
      <c r="O71" s="5"/>
      <c r="Q71" s="5"/>
      <c r="R71" s="5"/>
      <c r="S71" s="5"/>
      <c r="T71" s="5"/>
      <c r="U71" s="5"/>
      <c r="Y71" s="76"/>
      <c r="Z71" s="76"/>
    </row>
    <row r="72" spans="2:26">
      <c r="B72" s="41"/>
      <c r="C72" s="5"/>
      <c r="D72" s="5"/>
      <c r="E72" s="5"/>
      <c r="F72" s="5"/>
      <c r="G72" s="5"/>
      <c r="H72" s="5"/>
      <c r="I72" s="5"/>
      <c r="J72" s="245"/>
      <c r="K72" s="245"/>
      <c r="L72" s="245"/>
      <c r="M72" s="245"/>
      <c r="N72" s="245"/>
      <c r="O72" s="251"/>
      <c r="Q72" s="5"/>
      <c r="R72" s="5"/>
      <c r="S72" s="5"/>
      <c r="T72" s="5"/>
      <c r="U72" s="5"/>
    </row>
    <row r="73" spans="2:26">
      <c r="B73" s="41"/>
      <c r="C73" s="245"/>
      <c r="D73" s="245"/>
      <c r="E73" s="245"/>
      <c r="F73" s="245"/>
      <c r="G73" s="245"/>
      <c r="H73" s="245"/>
      <c r="I73" s="249"/>
      <c r="J73" s="18"/>
      <c r="K73" s="18"/>
      <c r="L73" s="18"/>
      <c r="M73" s="18"/>
      <c r="N73" s="18"/>
      <c r="O73" s="5"/>
      <c r="Q73" s="5"/>
      <c r="R73" s="5"/>
      <c r="S73" s="5"/>
      <c r="T73" s="5"/>
      <c r="U73" s="5"/>
    </row>
    <row r="74" spans="2:26">
      <c r="B74" s="5"/>
      <c r="C74" s="5"/>
      <c r="D74" s="18"/>
      <c r="E74" s="18"/>
      <c r="F74" s="18"/>
      <c r="G74" s="18"/>
      <c r="H74" s="18"/>
      <c r="I74" s="248"/>
      <c r="J74" s="5"/>
      <c r="K74" s="5"/>
      <c r="L74" s="5"/>
      <c r="M74" s="5"/>
      <c r="N74" s="5"/>
      <c r="O74" s="5"/>
      <c r="Q74" s="5"/>
      <c r="R74" s="5"/>
      <c r="S74" s="5"/>
      <c r="T74" s="5"/>
      <c r="U74" s="5"/>
    </row>
    <row r="75" spans="2:26">
      <c r="B75" s="41"/>
      <c r="C75" s="5"/>
      <c r="D75" s="5"/>
      <c r="E75" s="5"/>
      <c r="F75" s="5"/>
      <c r="G75" s="5"/>
      <c r="H75" s="5"/>
      <c r="I75" s="5"/>
      <c r="J75" s="249"/>
      <c r="K75" s="249"/>
      <c r="L75" s="249"/>
      <c r="M75" s="249"/>
      <c r="N75" s="249"/>
      <c r="O75" s="251"/>
      <c r="Q75" s="5"/>
      <c r="R75" s="5"/>
      <c r="S75" s="5"/>
      <c r="T75" s="5"/>
      <c r="U75" s="5"/>
    </row>
    <row r="76" spans="2:26">
      <c r="B76" s="41"/>
      <c r="C76" s="249"/>
      <c r="D76" s="249"/>
      <c r="E76" s="249"/>
      <c r="F76" s="249"/>
      <c r="G76" s="249"/>
      <c r="H76" s="249"/>
      <c r="I76" s="245"/>
      <c r="J76" s="248"/>
      <c r="K76" s="248"/>
      <c r="L76" s="248"/>
      <c r="M76" s="248"/>
      <c r="N76" s="248"/>
      <c r="O76" s="5"/>
      <c r="Q76" s="5"/>
      <c r="R76" s="5"/>
      <c r="S76" s="5"/>
      <c r="T76" s="5"/>
      <c r="U76" s="5"/>
    </row>
    <row r="77" spans="2:26">
      <c r="B77" s="5"/>
      <c r="C77" s="5"/>
      <c r="D77" s="248"/>
      <c r="E77" s="248"/>
      <c r="F77" s="248"/>
      <c r="G77" s="248"/>
      <c r="H77" s="248"/>
      <c r="I77" s="248"/>
      <c r="J77" s="5"/>
      <c r="K77" s="5"/>
      <c r="L77" s="5"/>
      <c r="M77" s="5"/>
      <c r="N77" s="5"/>
      <c r="O77" s="5"/>
      <c r="Q77" s="5"/>
      <c r="R77" s="5"/>
      <c r="S77" s="5"/>
      <c r="T77" s="5"/>
      <c r="U77" s="5"/>
    </row>
    <row r="78" spans="2:26">
      <c r="B78" s="41"/>
      <c r="C78" s="5"/>
      <c r="D78" s="5"/>
      <c r="E78" s="5"/>
      <c r="F78" s="5"/>
      <c r="G78" s="5"/>
      <c r="H78" s="5"/>
      <c r="I78" s="5"/>
      <c r="J78" s="245"/>
      <c r="K78" s="245"/>
      <c r="L78" s="245"/>
      <c r="M78" s="245"/>
      <c r="N78" s="245"/>
      <c r="O78" s="251"/>
      <c r="Q78" s="5"/>
      <c r="R78" s="5"/>
      <c r="S78" s="5"/>
      <c r="T78" s="5"/>
      <c r="U78" s="5"/>
    </row>
    <row r="79" spans="2:26">
      <c r="B79" s="41"/>
      <c r="C79" s="245"/>
      <c r="D79" s="245"/>
      <c r="E79" s="245"/>
      <c r="F79" s="245"/>
      <c r="G79" s="245"/>
      <c r="H79" s="245"/>
      <c r="I79" s="249"/>
      <c r="J79" s="248"/>
      <c r="K79" s="248"/>
      <c r="L79" s="248"/>
      <c r="M79" s="248"/>
      <c r="N79" s="248"/>
      <c r="O79" s="5"/>
      <c r="Q79" s="5"/>
      <c r="R79" s="5"/>
      <c r="S79" s="5"/>
      <c r="T79" s="5"/>
      <c r="U79" s="5"/>
    </row>
    <row r="80" spans="2:26">
      <c r="B80" s="5"/>
      <c r="C80" s="5"/>
      <c r="D80" s="248"/>
      <c r="E80" s="248"/>
      <c r="F80" s="248"/>
      <c r="G80" s="248"/>
      <c r="H80" s="248"/>
      <c r="I80" s="248"/>
      <c r="J80" s="5"/>
      <c r="K80" s="5"/>
      <c r="L80" s="5"/>
      <c r="M80" s="5"/>
      <c r="N80" s="5"/>
      <c r="O80" s="5"/>
      <c r="Q80" s="5"/>
      <c r="R80" s="5"/>
      <c r="S80" s="5"/>
      <c r="T80" s="5"/>
      <c r="U80" s="5"/>
    </row>
    <row r="81" spans="2:26">
      <c r="B81" s="41"/>
      <c r="C81" s="5"/>
      <c r="D81" s="5"/>
      <c r="E81" s="5"/>
      <c r="F81" s="5"/>
      <c r="G81" s="5"/>
      <c r="H81" s="5"/>
      <c r="I81" s="259"/>
      <c r="J81" s="249"/>
      <c r="K81" s="249"/>
      <c r="L81" s="249"/>
      <c r="M81" s="249"/>
      <c r="N81" s="249"/>
      <c r="O81" s="251"/>
      <c r="Q81" s="5"/>
      <c r="R81" s="5"/>
      <c r="S81" s="5"/>
      <c r="T81" s="5"/>
      <c r="U81" s="5"/>
    </row>
    <row r="82" spans="2:26">
      <c r="B82" s="41"/>
      <c r="C82" s="249"/>
      <c r="D82" s="249"/>
      <c r="E82" s="249"/>
      <c r="F82" s="249"/>
      <c r="G82" s="249"/>
      <c r="H82" s="249"/>
      <c r="I82" s="5"/>
      <c r="J82" s="248"/>
      <c r="K82" s="248"/>
      <c r="L82" s="248"/>
      <c r="M82" s="248"/>
      <c r="N82" s="248"/>
      <c r="O82" s="5"/>
      <c r="Q82" s="5"/>
      <c r="R82" s="5"/>
      <c r="S82" s="5"/>
      <c r="T82" s="5"/>
      <c r="U82" s="5"/>
    </row>
    <row r="83" spans="2:26">
      <c r="B83" s="5"/>
      <c r="C83" s="5"/>
      <c r="D83" s="248"/>
      <c r="E83" s="248"/>
      <c r="F83" s="248"/>
      <c r="G83" s="248"/>
      <c r="H83" s="248"/>
      <c r="I83" s="245"/>
      <c r="J83" s="259"/>
      <c r="K83" s="259"/>
      <c r="L83" s="259"/>
      <c r="M83" s="259"/>
      <c r="N83" s="259"/>
      <c r="O83" s="251"/>
      <c r="Q83" s="5"/>
      <c r="R83" s="5"/>
      <c r="S83" s="5"/>
      <c r="T83" s="5"/>
      <c r="U83" s="5"/>
    </row>
    <row r="84" spans="2:26">
      <c r="B84" s="5"/>
      <c r="C84" s="259"/>
      <c r="D84" s="259"/>
      <c r="E84" s="259"/>
      <c r="F84" s="259"/>
      <c r="G84" s="259"/>
      <c r="H84" s="259"/>
      <c r="I84" s="248"/>
      <c r="J84" s="5"/>
      <c r="K84" s="5"/>
      <c r="L84" s="5"/>
      <c r="M84" s="5"/>
      <c r="N84" s="5"/>
      <c r="O84" s="5"/>
      <c r="Q84" s="5"/>
      <c r="R84" s="5"/>
      <c r="S84" s="5"/>
      <c r="T84" s="5"/>
      <c r="U84" s="5"/>
    </row>
    <row r="85" spans="2:26">
      <c r="B85" s="41"/>
      <c r="C85" s="5"/>
      <c r="D85" s="5"/>
      <c r="E85" s="5"/>
      <c r="F85" s="5"/>
      <c r="G85" s="5"/>
      <c r="H85" s="5"/>
      <c r="I85" s="5"/>
      <c r="J85" s="245"/>
      <c r="K85" s="245"/>
      <c r="L85" s="245"/>
      <c r="M85" s="245"/>
      <c r="N85" s="245"/>
      <c r="O85" s="251"/>
      <c r="Q85" s="5"/>
      <c r="R85" s="5"/>
      <c r="S85" s="5"/>
      <c r="T85" s="5"/>
      <c r="U85" s="5"/>
    </row>
    <row r="86" spans="2:26">
      <c r="B86" s="41"/>
      <c r="C86" s="245"/>
      <c r="D86" s="245"/>
      <c r="E86" s="245"/>
      <c r="F86" s="245"/>
      <c r="G86" s="245"/>
      <c r="H86" s="245"/>
      <c r="I86" s="5"/>
      <c r="J86" s="248"/>
      <c r="K86" s="248"/>
      <c r="L86" s="248"/>
      <c r="M86" s="248"/>
      <c r="N86" s="248"/>
      <c r="O86" s="5"/>
      <c r="Q86" s="5"/>
      <c r="R86" s="5"/>
      <c r="S86" s="5"/>
      <c r="T86" s="5"/>
      <c r="U86" s="5"/>
    </row>
    <row r="87" spans="2:26">
      <c r="B87" s="5"/>
      <c r="C87" s="5"/>
      <c r="D87" s="248"/>
      <c r="E87" s="248"/>
      <c r="F87" s="248"/>
      <c r="G87" s="248"/>
      <c r="H87" s="248"/>
      <c r="I87" s="5"/>
      <c r="J87" s="5"/>
      <c r="K87" s="5"/>
      <c r="L87" s="5"/>
      <c r="M87" s="5"/>
      <c r="N87" s="5"/>
      <c r="O87" s="5"/>
      <c r="Q87" s="5"/>
      <c r="R87" s="5"/>
      <c r="S87" s="5"/>
      <c r="T87" s="5"/>
      <c r="U87" s="5"/>
    </row>
    <row r="88" spans="2:26">
      <c r="B88" s="41"/>
      <c r="C88" s="5"/>
      <c r="D88" s="5"/>
      <c r="E88" s="5"/>
      <c r="F88" s="5"/>
      <c r="G88" s="5"/>
      <c r="H88" s="5"/>
      <c r="I88" s="5"/>
      <c r="J88" s="5"/>
      <c r="K88" s="5"/>
      <c r="L88" s="5"/>
      <c r="M88" s="5"/>
      <c r="N88" s="5"/>
      <c r="O88" s="5"/>
      <c r="Q88" s="5"/>
      <c r="R88" s="5"/>
      <c r="S88" s="5"/>
      <c r="T88" s="5"/>
      <c r="U88" s="5"/>
    </row>
    <row r="89" spans="2:26">
      <c r="B89" s="41"/>
      <c r="C89" s="5"/>
      <c r="D89" s="5"/>
      <c r="E89" s="5"/>
      <c r="F89" s="5"/>
      <c r="G89" s="5"/>
      <c r="H89" s="5"/>
      <c r="I89" s="49"/>
      <c r="J89" s="5"/>
      <c r="K89" s="5"/>
      <c r="L89" s="5"/>
      <c r="M89" s="5"/>
      <c r="N89" s="5"/>
      <c r="O89" s="5"/>
      <c r="Q89" s="41"/>
      <c r="R89" s="5"/>
      <c r="S89" s="5"/>
      <c r="T89" s="5"/>
      <c r="U89" s="5"/>
    </row>
    <row r="90" spans="2:26">
      <c r="B90" s="41"/>
      <c r="C90" s="5"/>
      <c r="D90" s="5"/>
      <c r="E90" s="5"/>
      <c r="F90" s="5"/>
      <c r="G90" s="5"/>
      <c r="H90" s="5"/>
      <c r="I90" s="5"/>
      <c r="J90" s="5"/>
      <c r="K90" s="5"/>
      <c r="L90" s="5"/>
      <c r="M90" s="5"/>
      <c r="N90" s="5"/>
      <c r="O90" s="5"/>
      <c r="Q90" s="5"/>
      <c r="R90" s="5"/>
      <c r="S90" s="5"/>
      <c r="T90" s="5"/>
      <c r="U90" s="5"/>
    </row>
    <row r="91" spans="2:26">
      <c r="B91" s="5"/>
      <c r="C91" s="5"/>
      <c r="D91" s="5"/>
      <c r="E91" s="5"/>
      <c r="F91" s="5"/>
      <c r="G91" s="5"/>
      <c r="H91" s="5"/>
      <c r="I91" s="247"/>
      <c r="J91" s="49"/>
      <c r="K91" s="49"/>
      <c r="L91" s="49"/>
      <c r="M91" s="49"/>
      <c r="N91" s="49"/>
      <c r="O91" s="49"/>
      <c r="Q91" s="5"/>
      <c r="R91" s="5"/>
      <c r="S91" s="5"/>
      <c r="T91" s="5"/>
      <c r="U91" s="5"/>
      <c r="W91" s="21"/>
      <c r="X91" s="21"/>
    </row>
    <row r="92" spans="2:26">
      <c r="B92" s="41"/>
      <c r="C92" s="49"/>
      <c r="D92" s="49"/>
      <c r="E92" s="49"/>
      <c r="F92" s="49"/>
      <c r="G92" s="49"/>
      <c r="H92" s="49"/>
      <c r="I92" s="247"/>
      <c r="J92" s="5"/>
      <c r="K92" s="5"/>
      <c r="L92" s="5"/>
      <c r="M92" s="5"/>
      <c r="N92" s="5"/>
      <c r="O92" s="5"/>
      <c r="Q92" s="5"/>
      <c r="R92" s="5"/>
      <c r="S92" s="5"/>
      <c r="T92" s="5"/>
      <c r="U92" s="5"/>
      <c r="W92" s="21"/>
      <c r="X92" s="21"/>
      <c r="Y92" s="21"/>
      <c r="Z92" s="21"/>
    </row>
    <row r="93" spans="2:26">
      <c r="B93" s="5"/>
      <c r="C93" s="5"/>
      <c r="D93" s="5"/>
      <c r="E93" s="5"/>
      <c r="F93" s="5"/>
      <c r="G93" s="5"/>
      <c r="H93" s="5"/>
      <c r="I93" s="247"/>
      <c r="J93" s="247"/>
      <c r="K93" s="247"/>
      <c r="L93" s="247"/>
      <c r="M93" s="247"/>
      <c r="N93" s="247"/>
      <c r="O93" s="248"/>
      <c r="Q93" s="5"/>
      <c r="R93" s="5"/>
      <c r="S93" s="5"/>
      <c r="T93" s="5"/>
      <c r="U93" s="5"/>
      <c r="Y93" s="21"/>
      <c r="Z93" s="21"/>
    </row>
    <row r="94" spans="2:26">
      <c r="B94" s="5"/>
      <c r="C94" s="259"/>
      <c r="D94" s="247"/>
      <c r="E94" s="247"/>
      <c r="F94" s="247"/>
      <c r="G94" s="247"/>
      <c r="H94" s="247"/>
      <c r="I94" s="248"/>
      <c r="J94" s="247"/>
      <c r="K94" s="247"/>
      <c r="L94" s="247"/>
      <c r="M94" s="247"/>
      <c r="N94" s="247"/>
      <c r="O94" s="248"/>
      <c r="Q94" s="5"/>
      <c r="R94" s="5"/>
      <c r="S94" s="5"/>
      <c r="T94" s="5"/>
      <c r="U94" s="5"/>
    </row>
    <row r="95" spans="2:26">
      <c r="B95" s="5"/>
      <c r="C95" s="259"/>
      <c r="D95" s="247"/>
      <c r="E95" s="247"/>
      <c r="F95" s="247"/>
      <c r="G95" s="247"/>
      <c r="H95" s="247"/>
      <c r="I95" s="247"/>
      <c r="J95" s="247"/>
      <c r="K95" s="247"/>
      <c r="L95" s="247"/>
      <c r="M95" s="247"/>
      <c r="N95" s="247"/>
      <c r="O95" s="248"/>
      <c r="Q95" s="5"/>
      <c r="R95" s="5"/>
      <c r="S95" s="5"/>
      <c r="T95" s="5"/>
      <c r="U95" s="5"/>
    </row>
    <row r="96" spans="2:26">
      <c r="B96" s="5"/>
      <c r="C96" s="259"/>
      <c r="D96" s="247"/>
      <c r="E96" s="247"/>
      <c r="F96" s="247"/>
      <c r="G96" s="247"/>
      <c r="H96" s="247"/>
      <c r="I96" s="249"/>
      <c r="J96" s="248"/>
      <c r="K96" s="248"/>
      <c r="L96" s="248"/>
      <c r="M96" s="248"/>
      <c r="N96" s="248"/>
      <c r="O96" s="248"/>
      <c r="Q96" s="5"/>
      <c r="R96" s="5"/>
      <c r="S96" s="5"/>
      <c r="T96" s="5"/>
      <c r="U96" s="5"/>
    </row>
    <row r="97" spans="2:21">
      <c r="B97" s="5"/>
      <c r="C97" s="259"/>
      <c r="D97" s="248"/>
      <c r="E97" s="248"/>
      <c r="F97" s="248"/>
      <c r="G97" s="248"/>
      <c r="H97" s="248"/>
      <c r="I97" s="248"/>
      <c r="J97" s="247"/>
      <c r="K97" s="247"/>
      <c r="L97" s="247"/>
      <c r="M97" s="247"/>
      <c r="N97" s="247"/>
      <c r="O97" s="248"/>
      <c r="Q97" s="5"/>
      <c r="R97" s="5"/>
      <c r="S97" s="5"/>
      <c r="T97" s="5"/>
      <c r="U97" s="5"/>
    </row>
    <row r="98" spans="2:21">
      <c r="B98" s="5"/>
      <c r="C98" s="259"/>
      <c r="D98" s="247"/>
      <c r="E98" s="247"/>
      <c r="F98" s="247"/>
      <c r="G98" s="247"/>
      <c r="H98" s="247"/>
      <c r="I98" s="5"/>
      <c r="J98" s="249"/>
      <c r="K98" s="249"/>
      <c r="L98" s="249"/>
      <c r="M98" s="249"/>
      <c r="N98" s="249"/>
      <c r="O98" s="248"/>
      <c r="Q98" s="5"/>
      <c r="R98" s="5"/>
      <c r="S98" s="5"/>
      <c r="T98" s="5"/>
      <c r="U98" s="5"/>
    </row>
    <row r="99" spans="2:21">
      <c r="B99" s="41"/>
      <c r="C99" s="249"/>
      <c r="D99" s="249"/>
      <c r="E99" s="249"/>
      <c r="F99" s="249"/>
      <c r="G99" s="249"/>
      <c r="H99" s="249"/>
      <c r="I99" s="259"/>
      <c r="J99" s="248"/>
      <c r="K99" s="248"/>
      <c r="L99" s="248"/>
      <c r="M99" s="248"/>
      <c r="N99" s="248"/>
      <c r="O99" s="248"/>
      <c r="Q99" s="5"/>
      <c r="R99" s="5"/>
      <c r="S99" s="5"/>
      <c r="T99" s="5"/>
      <c r="U99" s="5"/>
    </row>
    <row r="100" spans="2:21" s="5" customFormat="1">
      <c r="B100" s="41"/>
      <c r="C100" s="257"/>
      <c r="D100" s="248"/>
      <c r="E100" s="248"/>
      <c r="F100" s="248"/>
      <c r="G100" s="248"/>
      <c r="H100" s="248"/>
      <c r="I100" s="259"/>
      <c r="O100" s="248"/>
      <c r="P100" s="39"/>
    </row>
    <row r="101" spans="2:21">
      <c r="B101" s="41"/>
      <c r="C101" s="5"/>
      <c r="D101" s="5"/>
      <c r="E101" s="5"/>
      <c r="F101" s="5"/>
      <c r="G101" s="5"/>
      <c r="H101" s="5"/>
      <c r="I101" s="247"/>
      <c r="J101" s="259"/>
      <c r="K101" s="259"/>
      <c r="L101" s="259"/>
      <c r="M101" s="259"/>
      <c r="N101" s="259"/>
      <c r="O101" s="5"/>
      <c r="Q101" s="5"/>
      <c r="R101" s="5"/>
      <c r="S101" s="5"/>
      <c r="T101" s="5"/>
      <c r="U101" s="5"/>
    </row>
    <row r="102" spans="2:21">
      <c r="B102" s="5"/>
      <c r="C102" s="259"/>
      <c r="D102" s="259"/>
      <c r="E102" s="259"/>
      <c r="F102" s="259"/>
      <c r="G102" s="259"/>
      <c r="H102" s="259"/>
      <c r="I102" s="5"/>
      <c r="J102" s="259"/>
      <c r="K102" s="259"/>
      <c r="L102" s="259"/>
      <c r="M102" s="259"/>
      <c r="N102" s="259"/>
      <c r="O102" s="5"/>
      <c r="P102" s="5"/>
      <c r="Q102" s="5"/>
      <c r="R102" s="5"/>
      <c r="S102" s="5"/>
      <c r="T102" s="5"/>
      <c r="U102" s="5"/>
    </row>
    <row r="103" spans="2:21">
      <c r="B103" s="5"/>
      <c r="C103" s="259"/>
      <c r="D103" s="259"/>
      <c r="E103" s="259"/>
      <c r="F103" s="259"/>
      <c r="G103" s="259"/>
      <c r="H103" s="259"/>
      <c r="I103" s="247"/>
      <c r="J103" s="247"/>
      <c r="K103" s="247"/>
      <c r="L103" s="247"/>
      <c r="M103" s="247"/>
      <c r="N103" s="247"/>
      <c r="O103" s="5"/>
      <c r="Q103" s="5"/>
      <c r="R103" s="5"/>
      <c r="S103" s="5"/>
      <c r="T103" s="5"/>
      <c r="U103" s="5"/>
    </row>
    <row r="104" spans="2:21" s="5" customFormat="1">
      <c r="C104" s="247"/>
      <c r="D104" s="247"/>
      <c r="E104" s="247"/>
      <c r="F104" s="247"/>
      <c r="G104" s="247"/>
      <c r="H104" s="247"/>
      <c r="P104" s="39"/>
    </row>
    <row r="105" spans="2:21" s="5" customFormat="1">
      <c r="I105" s="259"/>
      <c r="J105" s="247"/>
      <c r="K105" s="247"/>
      <c r="L105" s="247"/>
      <c r="M105" s="247"/>
      <c r="N105" s="247"/>
      <c r="P105" s="39"/>
    </row>
    <row r="106" spans="2:21">
      <c r="B106" s="5"/>
      <c r="C106" s="259"/>
      <c r="D106" s="247"/>
      <c r="E106" s="247"/>
      <c r="F106" s="247"/>
      <c r="G106" s="247"/>
      <c r="H106" s="247"/>
      <c r="I106" s="247"/>
      <c r="J106" s="5"/>
      <c r="K106" s="5"/>
      <c r="L106" s="5"/>
      <c r="M106" s="5"/>
      <c r="N106" s="5"/>
      <c r="O106" s="5"/>
      <c r="P106" s="5"/>
      <c r="Q106" s="5"/>
      <c r="R106" s="5"/>
      <c r="S106" s="5"/>
      <c r="T106" s="5"/>
      <c r="U106" s="5"/>
    </row>
    <row r="107" spans="2:21">
      <c r="B107" s="5"/>
      <c r="C107" s="259"/>
      <c r="D107" s="5"/>
      <c r="E107" s="5"/>
      <c r="F107" s="5"/>
      <c r="G107" s="5"/>
      <c r="H107" s="5"/>
      <c r="I107" s="249"/>
      <c r="J107" s="259"/>
      <c r="K107" s="259"/>
      <c r="L107" s="259"/>
      <c r="M107" s="259"/>
      <c r="N107" s="259"/>
      <c r="O107" s="5"/>
      <c r="P107" s="5"/>
      <c r="Q107" s="5"/>
      <c r="R107" s="5"/>
      <c r="S107" s="5"/>
      <c r="T107" s="5"/>
      <c r="U107" s="5"/>
    </row>
    <row r="108" spans="2:21">
      <c r="B108" s="5"/>
      <c r="C108" s="259"/>
      <c r="D108" s="259"/>
      <c r="E108" s="259"/>
      <c r="F108" s="259"/>
      <c r="G108" s="259"/>
      <c r="H108" s="259"/>
      <c r="I108" s="249"/>
      <c r="J108" s="247"/>
      <c r="K108" s="247"/>
      <c r="L108" s="247"/>
      <c r="M108" s="247"/>
      <c r="N108" s="247"/>
      <c r="O108" s="5"/>
      <c r="Q108" s="5"/>
      <c r="R108" s="5"/>
      <c r="S108" s="5"/>
      <c r="T108" s="5"/>
      <c r="U108" s="5"/>
    </row>
    <row r="109" spans="2:21">
      <c r="B109" s="5"/>
      <c r="C109" s="247"/>
      <c r="D109" s="247"/>
      <c r="E109" s="247"/>
      <c r="F109" s="247"/>
      <c r="G109" s="247"/>
      <c r="H109" s="247"/>
      <c r="I109" s="247"/>
      <c r="J109" s="249"/>
      <c r="K109" s="249"/>
      <c r="L109" s="249"/>
      <c r="M109" s="249"/>
      <c r="N109" s="249"/>
      <c r="O109" s="5"/>
      <c r="Q109" s="5"/>
      <c r="R109" s="5"/>
      <c r="S109" s="5"/>
      <c r="T109" s="5"/>
      <c r="U109" s="5"/>
    </row>
    <row r="110" spans="2:21">
      <c r="B110" s="41"/>
      <c r="C110" s="249"/>
      <c r="D110" s="249"/>
      <c r="E110" s="249"/>
      <c r="F110" s="249"/>
      <c r="G110" s="249"/>
      <c r="H110" s="249"/>
      <c r="I110" s="5"/>
      <c r="J110" s="249"/>
      <c r="K110" s="249"/>
      <c r="L110" s="249"/>
      <c r="M110" s="249"/>
      <c r="N110" s="249"/>
      <c r="O110" s="5"/>
      <c r="Q110" s="5"/>
      <c r="R110" s="5"/>
      <c r="S110" s="5"/>
      <c r="T110" s="5"/>
      <c r="U110" s="5"/>
    </row>
    <row r="111" spans="2:21">
      <c r="B111" s="5"/>
      <c r="C111" s="249"/>
      <c r="D111" s="249"/>
      <c r="E111" s="249"/>
      <c r="F111" s="249"/>
      <c r="G111" s="249"/>
      <c r="H111" s="249"/>
      <c r="I111" s="5"/>
      <c r="J111" s="247"/>
      <c r="K111" s="247"/>
      <c r="L111" s="247"/>
      <c r="M111" s="247"/>
      <c r="N111" s="247"/>
      <c r="O111" s="5"/>
      <c r="Q111" s="5"/>
      <c r="R111" s="5"/>
      <c r="S111" s="5"/>
      <c r="T111" s="5"/>
      <c r="U111" s="5"/>
    </row>
    <row r="112" spans="2:21">
      <c r="B112" s="5"/>
      <c r="C112" s="247"/>
      <c r="D112" s="247"/>
      <c r="E112" s="247"/>
      <c r="F112" s="247"/>
      <c r="G112" s="247"/>
      <c r="H112" s="247"/>
      <c r="I112" s="5"/>
      <c r="J112" s="5"/>
      <c r="K112" s="5"/>
      <c r="L112" s="5"/>
      <c r="M112" s="5"/>
      <c r="N112" s="5"/>
      <c r="O112" s="5"/>
      <c r="Q112" s="5"/>
      <c r="R112" s="5"/>
      <c r="S112" s="5"/>
      <c r="T112" s="5"/>
      <c r="U112" s="5"/>
    </row>
    <row r="113" spans="2:21">
      <c r="B113" s="5"/>
      <c r="C113" s="5"/>
      <c r="D113" s="5"/>
      <c r="E113" s="5"/>
      <c r="F113" s="5"/>
      <c r="G113" s="5"/>
      <c r="H113" s="5"/>
      <c r="I113" s="5"/>
      <c r="J113" s="5"/>
      <c r="K113" s="5"/>
      <c r="L113" s="5"/>
      <c r="M113" s="5"/>
      <c r="N113" s="5"/>
      <c r="O113" s="5"/>
      <c r="Q113" s="5"/>
      <c r="R113" s="5"/>
      <c r="S113" s="5"/>
      <c r="T113" s="5"/>
      <c r="U113" s="5"/>
    </row>
    <row r="114" spans="2:21">
      <c r="B114" s="5"/>
      <c r="C114" s="5"/>
      <c r="D114" s="5"/>
      <c r="E114" s="5"/>
      <c r="F114" s="5"/>
      <c r="G114" s="5"/>
      <c r="H114" s="5"/>
      <c r="I114" s="49"/>
      <c r="J114" s="5"/>
      <c r="K114" s="5"/>
      <c r="L114" s="5"/>
      <c r="M114" s="5"/>
      <c r="N114" s="5"/>
      <c r="O114" s="5"/>
      <c r="Q114" s="41"/>
      <c r="R114" s="5"/>
      <c r="S114" s="5"/>
      <c r="T114" s="5"/>
      <c r="U114" s="5"/>
    </row>
    <row r="115" spans="2:21">
      <c r="B115" s="5"/>
      <c r="C115" s="5"/>
      <c r="D115" s="5"/>
      <c r="E115" s="5"/>
      <c r="F115" s="5"/>
      <c r="G115" s="5"/>
      <c r="H115" s="5"/>
      <c r="I115" s="5"/>
      <c r="J115" s="5"/>
      <c r="K115" s="5"/>
      <c r="L115" s="5"/>
      <c r="M115" s="5"/>
      <c r="N115" s="5"/>
      <c r="O115" s="5"/>
      <c r="Q115" s="5"/>
      <c r="R115" s="5"/>
      <c r="S115" s="5"/>
      <c r="T115" s="5"/>
      <c r="U115" s="5"/>
    </row>
    <row r="116" spans="2:21">
      <c r="B116" s="5"/>
      <c r="C116" s="5"/>
      <c r="D116" s="5"/>
      <c r="E116" s="5"/>
      <c r="F116" s="5"/>
      <c r="G116" s="5"/>
      <c r="H116" s="5"/>
      <c r="I116" s="254"/>
      <c r="J116" s="49"/>
      <c r="K116" s="49"/>
      <c r="L116" s="49"/>
      <c r="M116" s="49"/>
      <c r="N116" s="49"/>
      <c r="O116" s="49"/>
      <c r="Q116" s="5"/>
      <c r="R116" s="5"/>
      <c r="S116" s="5"/>
      <c r="T116" s="5"/>
      <c r="U116" s="5"/>
    </row>
    <row r="117" spans="2:21">
      <c r="B117" s="41"/>
      <c r="C117" s="49"/>
      <c r="D117" s="49"/>
      <c r="E117" s="49"/>
      <c r="F117" s="49"/>
      <c r="G117" s="49"/>
      <c r="H117" s="49"/>
      <c r="I117" s="249"/>
      <c r="J117" s="5"/>
      <c r="K117" s="5"/>
      <c r="L117" s="5"/>
      <c r="M117" s="5"/>
      <c r="N117" s="5"/>
      <c r="O117" s="5"/>
      <c r="Q117" s="5"/>
      <c r="R117" s="5"/>
      <c r="S117" s="5"/>
      <c r="T117" s="5"/>
      <c r="U117" s="5"/>
    </row>
    <row r="118" spans="2:21">
      <c r="B118" s="5"/>
      <c r="C118" s="5"/>
      <c r="D118" s="5"/>
      <c r="E118" s="5"/>
      <c r="F118" s="5"/>
      <c r="G118" s="5"/>
      <c r="H118" s="5"/>
      <c r="I118" s="254"/>
      <c r="J118" s="254"/>
      <c r="K118" s="254"/>
      <c r="L118" s="254"/>
      <c r="M118" s="254"/>
      <c r="N118" s="254"/>
      <c r="O118" s="248"/>
      <c r="Q118" s="5"/>
      <c r="R118" s="5"/>
      <c r="S118" s="5"/>
      <c r="T118" s="5"/>
      <c r="U118" s="5"/>
    </row>
    <row r="119" spans="2:21">
      <c r="B119" s="41"/>
      <c r="C119" s="254"/>
      <c r="D119" s="254"/>
      <c r="E119" s="254"/>
      <c r="F119" s="254"/>
      <c r="G119" s="254"/>
      <c r="H119" s="254"/>
      <c r="I119" s="254"/>
      <c r="J119" s="249"/>
      <c r="K119" s="249"/>
      <c r="L119" s="249"/>
      <c r="M119" s="249"/>
      <c r="N119" s="249"/>
      <c r="O119" s="248"/>
      <c r="Q119" s="5"/>
      <c r="R119" s="5"/>
      <c r="S119" s="5"/>
      <c r="T119" s="5"/>
      <c r="U119" s="5"/>
    </row>
    <row r="120" spans="2:21">
      <c r="B120" s="41"/>
      <c r="C120" s="254"/>
      <c r="D120" s="249"/>
      <c r="E120" s="249"/>
      <c r="F120" s="249"/>
      <c r="G120" s="249"/>
      <c r="H120" s="249"/>
      <c r="I120" s="254"/>
      <c r="J120" s="254"/>
      <c r="K120" s="254"/>
      <c r="L120" s="254"/>
      <c r="M120" s="254"/>
      <c r="N120" s="254"/>
      <c r="O120" s="248"/>
      <c r="Q120" s="5"/>
      <c r="R120" s="5"/>
      <c r="S120" s="5"/>
      <c r="T120" s="5"/>
      <c r="U120" s="5"/>
    </row>
    <row r="121" spans="2:21">
      <c r="B121" s="41"/>
      <c r="C121" s="254"/>
      <c r="D121" s="254"/>
      <c r="E121" s="254"/>
      <c r="F121" s="254"/>
      <c r="G121" s="254"/>
      <c r="H121" s="254"/>
      <c r="I121" s="254"/>
      <c r="J121" s="254"/>
      <c r="K121" s="254"/>
      <c r="L121" s="254"/>
      <c r="M121" s="254"/>
      <c r="N121" s="254"/>
      <c r="O121" s="248"/>
      <c r="Q121" s="5"/>
      <c r="R121" s="5"/>
      <c r="S121" s="5"/>
      <c r="T121" s="5"/>
      <c r="U121" s="5"/>
    </row>
    <row r="122" spans="2:21">
      <c r="B122" s="41"/>
      <c r="C122" s="254"/>
      <c r="D122" s="254"/>
      <c r="E122" s="254"/>
      <c r="F122" s="254"/>
      <c r="G122" s="254"/>
      <c r="H122" s="254"/>
      <c r="I122" s="254"/>
      <c r="J122" s="254"/>
      <c r="K122" s="254"/>
      <c r="L122" s="254"/>
      <c r="M122" s="254"/>
      <c r="N122" s="254"/>
      <c r="O122" s="248"/>
      <c r="Q122" s="5"/>
      <c r="R122" s="5"/>
      <c r="S122" s="5"/>
      <c r="T122" s="5"/>
      <c r="U122" s="5"/>
    </row>
    <row r="123" spans="2:21">
      <c r="B123" s="41"/>
      <c r="C123" s="254"/>
      <c r="D123" s="254"/>
      <c r="E123" s="254"/>
      <c r="F123" s="254"/>
      <c r="G123" s="254"/>
      <c r="H123" s="254"/>
      <c r="I123" s="254"/>
      <c r="J123" s="254"/>
      <c r="K123" s="254"/>
      <c r="L123" s="254"/>
      <c r="M123" s="254"/>
      <c r="N123" s="254"/>
      <c r="O123" s="248"/>
      <c r="Q123" s="5"/>
      <c r="R123" s="5"/>
      <c r="S123" s="5"/>
      <c r="T123" s="5"/>
      <c r="U123" s="5"/>
    </row>
    <row r="124" spans="2:21">
      <c r="B124" s="41"/>
      <c r="C124" s="254"/>
      <c r="D124" s="254"/>
      <c r="E124" s="254"/>
      <c r="F124" s="254"/>
      <c r="G124" s="254"/>
      <c r="H124" s="254"/>
      <c r="I124" s="254"/>
      <c r="J124" s="254"/>
      <c r="K124" s="254"/>
      <c r="L124" s="254"/>
      <c r="M124" s="254"/>
      <c r="N124" s="254"/>
      <c r="O124" s="5"/>
      <c r="Q124" s="5"/>
      <c r="R124" s="5"/>
      <c r="S124" s="5"/>
      <c r="T124" s="5"/>
      <c r="U124" s="5"/>
    </row>
    <row r="125" spans="2:21">
      <c r="B125" s="41"/>
      <c r="C125" s="254"/>
      <c r="D125" s="254"/>
      <c r="E125" s="254"/>
      <c r="F125" s="254"/>
      <c r="G125" s="254"/>
      <c r="H125" s="254"/>
      <c r="I125" s="254"/>
      <c r="J125" s="254"/>
      <c r="K125" s="254"/>
      <c r="L125" s="254"/>
      <c r="M125" s="254"/>
      <c r="N125" s="254"/>
      <c r="O125" s="5"/>
      <c r="Q125" s="5"/>
      <c r="R125" s="5"/>
      <c r="S125" s="5"/>
      <c r="T125" s="5"/>
      <c r="U125" s="5"/>
    </row>
    <row r="126" spans="2:21">
      <c r="B126" s="41"/>
      <c r="C126" s="254"/>
      <c r="D126" s="254"/>
      <c r="E126" s="254"/>
      <c r="F126" s="254"/>
      <c r="G126" s="254"/>
      <c r="H126" s="254"/>
      <c r="I126" s="18"/>
      <c r="J126" s="254"/>
      <c r="K126" s="254"/>
      <c r="L126" s="254"/>
      <c r="M126" s="254"/>
      <c r="N126" s="254"/>
      <c r="O126" s="5"/>
      <c r="Q126" s="5"/>
      <c r="R126" s="5"/>
      <c r="S126" s="5"/>
      <c r="T126" s="5"/>
      <c r="U126" s="5"/>
    </row>
    <row r="127" spans="2:21">
      <c r="B127" s="41"/>
      <c r="C127" s="254"/>
      <c r="D127" s="254"/>
      <c r="E127" s="254"/>
      <c r="F127" s="254"/>
      <c r="G127" s="254"/>
      <c r="H127" s="254"/>
      <c r="I127" s="5"/>
      <c r="J127" s="254"/>
      <c r="K127" s="254"/>
      <c r="L127" s="254"/>
      <c r="M127" s="254"/>
      <c r="N127" s="254"/>
      <c r="O127" s="5"/>
      <c r="Q127" s="5"/>
      <c r="R127" s="5"/>
      <c r="S127" s="5"/>
      <c r="T127" s="5"/>
      <c r="U127" s="5"/>
    </row>
    <row r="128" spans="2:21">
      <c r="B128" s="41"/>
      <c r="C128" s="254"/>
      <c r="D128" s="254"/>
      <c r="E128" s="254"/>
      <c r="F128" s="254"/>
      <c r="G128" s="254"/>
      <c r="H128" s="254"/>
      <c r="I128" s="254"/>
      <c r="J128" s="18"/>
      <c r="K128" s="18"/>
      <c r="L128" s="18"/>
      <c r="M128" s="18"/>
      <c r="N128" s="18"/>
      <c r="O128" s="5"/>
      <c r="Q128" s="5"/>
      <c r="R128" s="5"/>
      <c r="S128" s="5"/>
      <c r="T128" s="5"/>
      <c r="U128" s="5"/>
    </row>
    <row r="129" spans="2:27">
      <c r="B129" s="5"/>
      <c r="C129" s="5"/>
      <c r="D129" s="18"/>
      <c r="E129" s="18"/>
      <c r="F129" s="18"/>
      <c r="G129" s="18"/>
      <c r="H129" s="18"/>
      <c r="I129" s="18"/>
      <c r="J129" s="5"/>
      <c r="K129" s="5"/>
      <c r="L129" s="5"/>
      <c r="M129" s="5"/>
      <c r="N129" s="5"/>
      <c r="O129" s="5"/>
      <c r="Q129" s="5"/>
      <c r="R129" s="5"/>
      <c r="S129" s="5"/>
      <c r="T129" s="5"/>
      <c r="U129" s="5"/>
    </row>
    <row r="130" spans="2:27">
      <c r="B130" s="5"/>
      <c r="C130" s="5"/>
      <c r="D130" s="5"/>
      <c r="E130" s="5"/>
      <c r="F130" s="5"/>
      <c r="G130" s="5"/>
      <c r="H130" s="5"/>
      <c r="I130" s="5"/>
      <c r="J130" s="254"/>
      <c r="K130" s="254"/>
      <c r="L130" s="254"/>
      <c r="M130" s="254"/>
      <c r="N130" s="254"/>
      <c r="O130" s="5"/>
      <c r="Q130" s="5"/>
      <c r="R130" s="5"/>
      <c r="S130" s="5"/>
      <c r="T130" s="5"/>
      <c r="U130" s="5"/>
    </row>
    <row r="131" spans="2:27">
      <c r="B131" s="41"/>
      <c r="C131" s="254"/>
      <c r="D131" s="254"/>
      <c r="E131" s="254"/>
      <c r="F131" s="254"/>
      <c r="G131" s="254"/>
      <c r="H131" s="254"/>
      <c r="I131" s="5"/>
      <c r="J131" s="18"/>
      <c r="K131" s="18"/>
      <c r="L131" s="18"/>
      <c r="M131" s="18"/>
      <c r="N131" s="18"/>
      <c r="O131" s="5"/>
      <c r="Q131" s="5"/>
      <c r="R131" s="5"/>
      <c r="S131" s="5"/>
      <c r="T131" s="5"/>
      <c r="U131" s="5"/>
    </row>
    <row r="132" spans="2:27">
      <c r="B132" s="5"/>
      <c r="C132" s="259"/>
      <c r="D132" s="18"/>
      <c r="E132" s="18"/>
      <c r="F132" s="18"/>
      <c r="G132" s="18"/>
      <c r="H132" s="18"/>
      <c r="I132" s="17"/>
      <c r="J132" s="5"/>
      <c r="K132" s="5"/>
      <c r="L132" s="5"/>
      <c r="M132" s="5"/>
      <c r="N132" s="5"/>
      <c r="O132" s="5"/>
      <c r="Q132" s="5"/>
      <c r="R132" s="5"/>
      <c r="S132" s="5"/>
      <c r="T132" s="5"/>
      <c r="U132" s="5"/>
    </row>
    <row r="133" spans="2:27">
      <c r="B133" s="5"/>
      <c r="C133" s="5"/>
      <c r="D133" s="5"/>
      <c r="E133" s="5"/>
      <c r="F133" s="5"/>
      <c r="G133" s="5"/>
      <c r="H133" s="5"/>
      <c r="I133" s="17"/>
      <c r="J133" s="5"/>
      <c r="K133" s="5"/>
      <c r="L133" s="5"/>
      <c r="M133" s="5"/>
      <c r="N133" s="5"/>
      <c r="O133" s="5"/>
      <c r="Q133" s="5"/>
      <c r="R133" s="5"/>
      <c r="S133" s="5"/>
      <c r="T133" s="5"/>
      <c r="U133" s="5"/>
    </row>
    <row r="134" spans="2:27">
      <c r="B134" s="41"/>
      <c r="C134" s="5"/>
      <c r="D134" s="5"/>
      <c r="E134" s="5"/>
      <c r="F134" s="5"/>
      <c r="G134" s="5"/>
      <c r="H134" s="5"/>
      <c r="I134" s="17"/>
      <c r="J134" s="17"/>
      <c r="K134" s="17"/>
      <c r="L134" s="17"/>
      <c r="M134" s="17"/>
      <c r="N134" s="17"/>
      <c r="O134" s="5"/>
      <c r="Q134" s="41"/>
      <c r="R134" s="5"/>
      <c r="S134" s="5"/>
      <c r="T134" s="5"/>
      <c r="U134" s="5"/>
    </row>
    <row r="135" spans="2:27">
      <c r="B135" s="5"/>
      <c r="C135" s="17"/>
      <c r="D135" s="17"/>
      <c r="E135" s="17"/>
      <c r="F135" s="17"/>
      <c r="G135" s="17"/>
      <c r="H135" s="17"/>
      <c r="I135" s="17"/>
      <c r="J135" s="17"/>
      <c r="K135" s="17"/>
      <c r="L135" s="17"/>
      <c r="M135" s="17"/>
      <c r="N135" s="17"/>
      <c r="O135" s="5"/>
      <c r="Q135" s="5"/>
      <c r="R135" s="5"/>
      <c r="S135" s="5"/>
      <c r="T135" s="5"/>
      <c r="U135" s="5"/>
      <c r="X135" s="304"/>
    </row>
    <row r="136" spans="2:27">
      <c r="B136" s="5"/>
      <c r="C136" s="17"/>
      <c r="D136" s="17"/>
      <c r="E136" s="17"/>
      <c r="F136" s="17"/>
      <c r="G136" s="17"/>
      <c r="H136" s="17"/>
      <c r="I136" s="17"/>
      <c r="J136" s="17"/>
      <c r="K136" s="17"/>
      <c r="L136" s="17"/>
      <c r="M136" s="17"/>
      <c r="N136" s="17"/>
      <c r="O136" s="5"/>
      <c r="Q136" s="5"/>
      <c r="R136" s="5"/>
      <c r="S136" s="5"/>
      <c r="T136" s="5"/>
      <c r="U136" s="5"/>
      <c r="X136" s="10"/>
      <c r="Y136" s="304"/>
      <c r="Z136" s="304"/>
      <c r="AA136" s="304"/>
    </row>
    <row r="137" spans="2:27">
      <c r="B137" s="5"/>
      <c r="C137" s="5"/>
      <c r="D137" s="17"/>
      <c r="E137" s="17"/>
      <c r="F137" s="17"/>
      <c r="G137" s="17"/>
      <c r="H137" s="17"/>
      <c r="I137" s="17"/>
      <c r="J137" s="17"/>
      <c r="K137" s="17"/>
      <c r="L137" s="17"/>
      <c r="M137" s="17"/>
      <c r="N137" s="17"/>
      <c r="O137" s="5"/>
      <c r="Q137" s="5"/>
      <c r="R137" s="5"/>
      <c r="S137" s="5"/>
      <c r="T137" s="5"/>
      <c r="U137" s="5"/>
      <c r="Y137" s="10"/>
      <c r="Z137" s="10"/>
      <c r="AA137" s="10"/>
    </row>
    <row r="138" spans="2:27">
      <c r="B138" s="5"/>
      <c r="C138" s="5"/>
      <c r="D138" s="17"/>
      <c r="E138" s="17"/>
      <c r="F138" s="17"/>
      <c r="G138" s="17"/>
      <c r="H138" s="17"/>
      <c r="I138" s="5"/>
      <c r="J138" s="17"/>
      <c r="K138" s="17"/>
      <c r="L138" s="17"/>
      <c r="M138" s="17"/>
      <c r="N138" s="17"/>
      <c r="O138" s="5"/>
      <c r="Q138" s="5"/>
      <c r="R138" s="5"/>
      <c r="S138" s="5"/>
      <c r="T138" s="5"/>
      <c r="U138" s="5"/>
    </row>
    <row r="139" spans="2:27">
      <c r="B139" s="5"/>
      <c r="C139" s="5"/>
      <c r="D139" s="17"/>
      <c r="E139" s="17"/>
      <c r="F139" s="17"/>
      <c r="G139" s="17"/>
      <c r="H139" s="17"/>
      <c r="I139" s="5"/>
      <c r="J139" s="17"/>
      <c r="K139" s="17"/>
      <c r="L139" s="17"/>
      <c r="M139" s="17"/>
      <c r="N139" s="17"/>
      <c r="O139" s="5"/>
      <c r="Q139" s="5"/>
      <c r="R139" s="5"/>
      <c r="S139" s="5"/>
      <c r="T139" s="5"/>
      <c r="U139" s="5"/>
    </row>
    <row r="140" spans="2:27">
      <c r="B140" s="5"/>
      <c r="C140" s="17"/>
      <c r="D140" s="17"/>
      <c r="E140" s="17"/>
      <c r="F140" s="17"/>
      <c r="G140" s="17"/>
      <c r="H140" s="17"/>
      <c r="I140" s="5"/>
      <c r="J140" s="5"/>
      <c r="K140" s="5"/>
      <c r="L140" s="5"/>
      <c r="M140" s="5"/>
      <c r="N140" s="5"/>
      <c r="O140" s="5"/>
      <c r="Q140" s="5"/>
      <c r="R140" s="5"/>
      <c r="S140" s="5"/>
      <c r="T140" s="5"/>
      <c r="U140" s="5"/>
    </row>
    <row r="141" spans="2:27">
      <c r="B141" s="5"/>
      <c r="C141" s="5"/>
      <c r="D141" s="5"/>
      <c r="E141" s="5"/>
      <c r="F141" s="5"/>
      <c r="G141" s="5"/>
      <c r="H141" s="5"/>
      <c r="I141" s="5"/>
      <c r="J141" s="5"/>
      <c r="K141" s="5"/>
      <c r="L141" s="5"/>
      <c r="M141" s="5"/>
      <c r="N141" s="5"/>
      <c r="O141" s="5"/>
      <c r="Q141" s="5"/>
      <c r="R141" s="5"/>
      <c r="S141" s="5"/>
      <c r="T141" s="5"/>
      <c r="U141" s="5"/>
    </row>
    <row r="142" spans="2:27">
      <c r="B142" s="5"/>
      <c r="C142" s="5"/>
      <c r="D142" s="5"/>
      <c r="E142" s="5"/>
      <c r="F142" s="5"/>
      <c r="G142" s="5"/>
      <c r="H142" s="5"/>
      <c r="I142" s="5"/>
      <c r="J142" s="5"/>
      <c r="K142" s="5"/>
      <c r="L142" s="5"/>
      <c r="M142" s="5"/>
      <c r="N142" s="5"/>
      <c r="O142" s="5"/>
      <c r="Q142" s="5"/>
      <c r="R142" s="5"/>
      <c r="S142" s="5"/>
      <c r="T142" s="5"/>
      <c r="U142" s="5"/>
    </row>
    <row r="143" spans="2:27">
      <c r="B143" s="5"/>
      <c r="C143" s="5"/>
      <c r="D143" s="5"/>
      <c r="E143" s="5"/>
      <c r="F143" s="5"/>
      <c r="G143" s="5"/>
      <c r="H143" s="5"/>
      <c r="I143" s="5"/>
      <c r="J143" s="5"/>
      <c r="K143" s="5"/>
      <c r="L143" s="5"/>
      <c r="M143" s="5"/>
      <c r="N143" s="5"/>
      <c r="O143" s="5"/>
      <c r="Q143" s="5"/>
      <c r="R143" s="5"/>
      <c r="S143" s="5"/>
      <c r="T143" s="5"/>
      <c r="U143" s="5"/>
    </row>
    <row r="144" spans="2:27">
      <c r="B144" s="5"/>
      <c r="C144" s="5"/>
      <c r="D144" s="5"/>
      <c r="E144" s="5"/>
      <c r="F144" s="5"/>
      <c r="G144" s="5"/>
      <c r="H144" s="5"/>
      <c r="I144" s="5"/>
      <c r="J144" s="5"/>
      <c r="K144" s="5"/>
      <c r="L144" s="5"/>
      <c r="M144" s="5"/>
      <c r="N144" s="5"/>
      <c r="O144" s="5"/>
      <c r="Q144" s="5"/>
      <c r="R144" s="5"/>
      <c r="S144" s="5"/>
      <c r="T144" s="5"/>
      <c r="U144" s="5"/>
    </row>
    <row r="145" spans="2:21">
      <c r="B145" s="5"/>
      <c r="C145" s="5"/>
      <c r="D145" s="5"/>
      <c r="E145" s="5"/>
      <c r="F145" s="5"/>
      <c r="G145" s="5"/>
      <c r="H145" s="5"/>
      <c r="I145" s="5"/>
      <c r="J145" s="5"/>
      <c r="K145" s="5"/>
      <c r="L145" s="5"/>
      <c r="M145" s="5"/>
      <c r="N145" s="5"/>
      <c r="O145" s="5"/>
      <c r="Q145" s="5"/>
      <c r="R145" s="5"/>
      <c r="S145" s="5"/>
      <c r="T145" s="5"/>
      <c r="U145" s="5"/>
    </row>
    <row r="146" spans="2:21">
      <c r="B146" s="5"/>
      <c r="C146" s="5"/>
      <c r="D146" s="5"/>
      <c r="E146" s="5"/>
      <c r="F146" s="5"/>
      <c r="G146" s="5"/>
      <c r="H146" s="5"/>
      <c r="I146" s="5"/>
      <c r="J146" s="5"/>
      <c r="K146" s="5"/>
      <c r="L146" s="5"/>
      <c r="M146" s="5"/>
      <c r="N146" s="5"/>
      <c r="O146" s="5"/>
      <c r="Q146" s="5"/>
      <c r="R146" s="5"/>
      <c r="S146" s="5"/>
      <c r="T146" s="5"/>
      <c r="U146" s="5"/>
    </row>
    <row r="147" spans="2:21">
      <c r="B147" s="5"/>
      <c r="C147" s="5"/>
      <c r="D147" s="5"/>
      <c r="E147" s="5"/>
      <c r="F147" s="5"/>
      <c r="G147" s="5"/>
      <c r="H147" s="5"/>
      <c r="I147" s="5"/>
      <c r="J147" s="5"/>
      <c r="K147" s="5"/>
      <c r="L147" s="5"/>
      <c r="M147" s="5"/>
      <c r="N147" s="5"/>
      <c r="O147" s="5"/>
      <c r="Q147" s="5"/>
      <c r="R147" s="5"/>
      <c r="S147" s="5"/>
      <c r="T147" s="5"/>
      <c r="U147" s="5"/>
    </row>
    <row r="148" spans="2:21">
      <c r="B148" s="5"/>
      <c r="C148" s="5"/>
      <c r="D148" s="5"/>
      <c r="E148" s="5"/>
      <c r="F148" s="5"/>
      <c r="G148" s="5"/>
      <c r="H148" s="5"/>
      <c r="J148" s="5"/>
      <c r="K148" s="5"/>
      <c r="L148" s="5"/>
      <c r="M148" s="5"/>
      <c r="N148" s="5"/>
      <c r="O148" s="5"/>
      <c r="Q148" s="5"/>
      <c r="R148" s="5"/>
      <c r="S148" s="5"/>
      <c r="T148" s="5"/>
      <c r="U148" s="5"/>
    </row>
    <row r="149" spans="2:21">
      <c r="B149" s="5"/>
      <c r="C149" s="5"/>
      <c r="D149" s="5"/>
      <c r="E149" s="5"/>
      <c r="F149" s="5"/>
      <c r="G149" s="5"/>
      <c r="H149" s="5"/>
      <c r="J149" s="5"/>
      <c r="K149" s="5"/>
      <c r="L149" s="5"/>
      <c r="M149" s="5"/>
      <c r="N149" s="5"/>
      <c r="O149" s="5"/>
      <c r="Q149" s="5"/>
      <c r="R149" s="5"/>
      <c r="S149" s="5"/>
      <c r="T149" s="5"/>
      <c r="U149" s="5"/>
    </row>
    <row r="150" spans="2:21">
      <c r="B150" s="5"/>
      <c r="C150" s="5"/>
      <c r="D150" s="5"/>
      <c r="E150" s="5"/>
      <c r="F150" s="5"/>
      <c r="G150" s="5"/>
      <c r="H150" s="5"/>
      <c r="Q150" s="5"/>
      <c r="R150" s="5"/>
      <c r="S150" s="5"/>
      <c r="T150" s="5"/>
      <c r="U150" s="5"/>
    </row>
    <row r="151" spans="2:21">
      <c r="Q151" s="5"/>
      <c r="R151" s="5"/>
      <c r="S151" s="5"/>
      <c r="T151" s="5"/>
      <c r="U151" s="5"/>
    </row>
    <row r="152" spans="2:21">
      <c r="Q152" s="5"/>
      <c r="R152" s="5"/>
      <c r="S152" s="5"/>
      <c r="T152" s="5"/>
      <c r="U152" s="5"/>
    </row>
    <row r="153" spans="2:21">
      <c r="C153" s="263"/>
      <c r="Q153" s="5"/>
      <c r="R153" s="5"/>
      <c r="S153" s="5"/>
      <c r="T153" s="5"/>
      <c r="U153" s="5"/>
    </row>
    <row r="154" spans="2:21">
      <c r="Q154" s="5"/>
      <c r="R154" s="5"/>
      <c r="S154" s="5"/>
      <c r="T154" s="5"/>
      <c r="U154" s="5"/>
    </row>
    <row r="155" spans="2:21">
      <c r="Q155" s="5"/>
      <c r="R155" s="5"/>
      <c r="S155" s="5"/>
      <c r="T155" s="5"/>
      <c r="U155" s="5"/>
    </row>
    <row r="156" spans="2:21">
      <c r="Q156" s="5"/>
      <c r="R156" s="5"/>
      <c r="S156" s="5"/>
      <c r="T156" s="5"/>
      <c r="U156" s="5"/>
    </row>
    <row r="157" spans="2:21">
      <c r="Q157" s="5"/>
      <c r="R157" s="5"/>
      <c r="S157" s="5"/>
      <c r="T157" s="5"/>
      <c r="U157" s="5"/>
    </row>
    <row r="158" spans="2:21">
      <c r="Q158" s="5"/>
      <c r="R158" s="5"/>
      <c r="S158" s="5"/>
      <c r="T158" s="5"/>
      <c r="U158" s="5"/>
    </row>
    <row r="159" spans="2:21">
      <c r="Q159" s="5"/>
      <c r="R159" s="5"/>
      <c r="S159" s="5"/>
      <c r="T159" s="5"/>
      <c r="U159" s="5"/>
    </row>
    <row r="160" spans="2:21">
      <c r="Q160" s="5"/>
      <c r="R160" s="5"/>
      <c r="S160" s="5"/>
      <c r="T160" s="5"/>
      <c r="U160" s="5"/>
    </row>
    <row r="161" spans="17:21">
      <c r="Q161" s="5"/>
      <c r="R161" s="5"/>
      <c r="S161" s="5"/>
      <c r="T161" s="5"/>
      <c r="U161" s="5"/>
    </row>
    <row r="162" spans="17:21">
      <c r="Q162" s="5"/>
      <c r="R162" s="5"/>
      <c r="S162" s="5"/>
      <c r="T162" s="5"/>
      <c r="U162" s="5"/>
    </row>
    <row r="163" spans="17:21">
      <c r="Q163" s="5"/>
      <c r="R163" s="5"/>
      <c r="S163" s="5"/>
      <c r="T163" s="5"/>
      <c r="U163" s="5"/>
    </row>
    <row r="164" spans="17:21">
      <c r="Q164" s="5"/>
      <c r="R164" s="5"/>
      <c r="S164" s="5"/>
      <c r="T164" s="5"/>
      <c r="U164" s="5"/>
    </row>
  </sheetData>
  <phoneticPr fontId="7" type="noConversion"/>
  <pageMargins left="0.75" right="0.75" top="1" bottom="1" header="0.5" footer="0.5"/>
  <pageSetup scale="69" orientation="landscape" r:id="rId1"/>
  <headerFooter alignWithMargins="0"/>
  <drawing r:id="rId2"/>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300-000000000000}">
  <sheetPr codeName="Sheet79">
    <tabColor theme="3" tint="0.59999389629810485"/>
    <pageSetUpPr fitToPage="1"/>
  </sheetPr>
  <dimension ref="B1:BK164"/>
  <sheetViews>
    <sheetView showGridLines="0" zoomScale="80" zoomScaleNormal="80" workbookViewId="0"/>
  </sheetViews>
  <sheetFormatPr defaultColWidth="8.88671875" defaultRowHeight="12"/>
  <cols>
    <col min="1" max="1" width="2.33203125" style="39" customWidth="1"/>
    <col min="2" max="2" width="26.6640625" style="39" customWidth="1"/>
    <col min="3" max="9" width="10" style="39" customWidth="1"/>
    <col min="10" max="10" width="26.6640625" style="39" customWidth="1"/>
    <col min="11" max="16" width="10" style="39" customWidth="1"/>
    <col min="17" max="17" width="4.5546875" style="39" customWidth="1"/>
    <col min="18" max="20" width="8.88671875" style="39"/>
    <col min="21" max="21" width="3.6640625" style="39" customWidth="1"/>
    <col min="22" max="63" width="9.109375" style="5" customWidth="1"/>
    <col min="64" max="16384" width="8.88671875" style="39"/>
  </cols>
  <sheetData>
    <row r="1" spans="2:63" s="312" customFormat="1">
      <c r="V1" s="149"/>
      <c r="W1" s="149"/>
      <c r="X1" s="149"/>
      <c r="Y1" s="149"/>
      <c r="Z1" s="149"/>
      <c r="AA1" s="149"/>
      <c r="AB1" s="149"/>
      <c r="AC1" s="149"/>
      <c r="AD1" s="149"/>
      <c r="AE1" s="149"/>
      <c r="AF1" s="149"/>
      <c r="AG1" s="149"/>
      <c r="AH1" s="149"/>
      <c r="AI1" s="149"/>
      <c r="AJ1" s="149"/>
      <c r="AK1" s="149"/>
      <c r="AL1" s="149"/>
      <c r="AM1" s="149"/>
      <c r="AN1" s="149"/>
      <c r="AO1" s="149"/>
      <c r="AP1" s="149"/>
      <c r="AQ1" s="149"/>
      <c r="AR1" s="149"/>
      <c r="AS1" s="149"/>
      <c r="AT1" s="149"/>
      <c r="AU1" s="149"/>
      <c r="AV1" s="149"/>
      <c r="AW1" s="149"/>
      <c r="AX1" s="149"/>
      <c r="AY1" s="149"/>
      <c r="AZ1" s="149"/>
      <c r="BA1" s="149"/>
      <c r="BB1" s="149"/>
      <c r="BC1" s="149"/>
      <c r="BD1" s="149"/>
      <c r="BE1" s="149"/>
      <c r="BF1" s="149"/>
      <c r="BG1" s="149"/>
      <c r="BH1" s="149"/>
      <c r="BI1" s="149"/>
      <c r="BJ1" s="149"/>
      <c r="BK1" s="149"/>
    </row>
    <row r="2" spans="2:63" s="312" customFormat="1">
      <c r="V2" s="149"/>
      <c r="W2" s="149"/>
      <c r="X2" s="149"/>
      <c r="Y2" s="149"/>
      <c r="Z2" s="149"/>
      <c r="AA2" s="149"/>
      <c r="AB2" s="149"/>
      <c r="AC2" s="149"/>
      <c r="AD2" s="149"/>
      <c r="AE2" s="149"/>
      <c r="AF2" s="149"/>
      <c r="AG2" s="149"/>
      <c r="AH2" s="149"/>
      <c r="AI2" s="149"/>
      <c r="AJ2" s="149"/>
      <c r="AK2" s="149"/>
      <c r="AL2" s="149"/>
      <c r="AM2" s="149"/>
      <c r="AN2" s="149"/>
      <c r="AO2" s="149"/>
      <c r="AP2" s="149"/>
      <c r="AQ2" s="149"/>
      <c r="AR2" s="149"/>
      <c r="AS2" s="149"/>
      <c r="AT2" s="149"/>
      <c r="AU2" s="149"/>
      <c r="AV2" s="149"/>
      <c r="AW2" s="149"/>
      <c r="AX2" s="149"/>
      <c r="AY2" s="149"/>
      <c r="AZ2" s="149"/>
      <c r="BA2" s="149"/>
      <c r="BB2" s="149"/>
      <c r="BC2" s="149"/>
      <c r="BD2" s="149"/>
      <c r="BE2" s="149"/>
      <c r="BF2" s="149"/>
      <c r="BG2" s="149"/>
      <c r="BH2" s="149"/>
      <c r="BI2" s="149"/>
      <c r="BJ2" s="149"/>
      <c r="BK2" s="149"/>
    </row>
    <row r="3" spans="2:63" s="149" customFormat="1">
      <c r="H3" s="153"/>
      <c r="P3" s="153"/>
    </row>
    <row r="4" spans="2:63" s="156" customFormat="1" ht="21">
      <c r="B4" s="129" t="s">
        <v>1132</v>
      </c>
      <c r="H4" s="222"/>
      <c r="P4" s="222"/>
    </row>
    <row r="5" spans="2:63" s="149" customFormat="1">
      <c r="C5" s="153"/>
      <c r="D5" s="153" t="str" cm="1">
        <f t="array" ref="D5:H5">headings</f>
        <v>2023E</v>
      </c>
      <c r="E5" s="153" t="str">
        <v>2024E</v>
      </c>
      <c r="F5" s="153" t="str">
        <v>2025E</v>
      </c>
      <c r="G5" s="153" t="str">
        <v>2026E</v>
      </c>
      <c r="H5" s="153" t="str">
        <v>23E-26E</v>
      </c>
      <c r="I5" s="153"/>
      <c r="J5" s="153"/>
      <c r="K5" s="153"/>
      <c r="L5" s="153" t="str" cm="1">
        <f t="array" ref="L5:P5">headings</f>
        <v>2023E</v>
      </c>
      <c r="M5" s="153" t="str">
        <v>2024E</v>
      </c>
      <c r="N5" s="153" t="str">
        <v>2025E</v>
      </c>
      <c r="O5" s="153" t="str">
        <v>2026E</v>
      </c>
      <c r="P5" s="153" t="str">
        <v>23E-26E</v>
      </c>
      <c r="Q5" s="162"/>
      <c r="R5" s="162"/>
      <c r="S5" s="162"/>
      <c r="T5" s="162"/>
      <c r="U5" s="162"/>
      <c r="V5" s="162"/>
      <c r="W5" s="162"/>
      <c r="X5" s="162"/>
      <c r="Y5" s="162"/>
    </row>
    <row r="6" spans="2:63">
      <c r="I6" s="5"/>
      <c r="J6" s="5"/>
      <c r="K6" s="5"/>
      <c r="L6" s="5"/>
      <c r="M6" s="5"/>
      <c r="N6" s="5"/>
      <c r="O6" s="49"/>
    </row>
    <row r="7" spans="2:63" ht="12.6" thickBot="1">
      <c r="B7" s="306" t="s">
        <v>271</v>
      </c>
      <c r="C7" s="265"/>
      <c r="D7" s="265"/>
      <c r="E7" s="265"/>
      <c r="F7" s="265"/>
      <c r="G7" s="265"/>
      <c r="H7" s="265"/>
      <c r="I7" s="49"/>
      <c r="J7" s="306" t="s">
        <v>200</v>
      </c>
      <c r="K7" s="306"/>
      <c r="L7" s="306"/>
      <c r="M7" s="306"/>
      <c r="N7" s="266"/>
      <c r="O7" s="266"/>
      <c r="P7" s="266"/>
    </row>
    <row r="8" spans="2:63" ht="12.6" thickTop="1">
      <c r="B8" s="5"/>
      <c r="C8" s="5"/>
      <c r="D8" s="5"/>
      <c r="E8" s="5"/>
      <c r="F8" s="5"/>
      <c r="G8" s="5"/>
      <c r="H8" s="5"/>
      <c r="I8" s="5"/>
      <c r="J8" s="5"/>
      <c r="K8" s="5"/>
      <c r="L8" s="5"/>
      <c r="M8" s="5"/>
      <c r="N8" s="5"/>
    </row>
    <row r="9" spans="2:63">
      <c r="B9" s="41" t="s">
        <v>500</v>
      </c>
      <c r="C9" s="287"/>
      <c r="D9" s="5"/>
      <c r="E9" s="249"/>
      <c r="F9" s="249"/>
      <c r="G9" s="249"/>
      <c r="H9" s="249"/>
      <c r="I9" s="249"/>
      <c r="J9" s="5" t="s">
        <v>273</v>
      </c>
      <c r="L9" s="64">
        <f>'AGG DM'!D37</f>
        <v>2.329412469433874</v>
      </c>
      <c r="M9" s="64">
        <f>'AGG DM'!E37</f>
        <v>2.207031841456474</v>
      </c>
      <c r="N9" s="64">
        <f>'AGG DM'!F37</f>
        <v>2.0665364578686574</v>
      </c>
      <c r="O9" s="64">
        <f>'AGG DM'!G37</f>
        <v>1.9167412853037995</v>
      </c>
      <c r="P9" s="17">
        <f>'AGG DM'!H37</f>
        <v>1.9501934659983178E-2</v>
      </c>
    </row>
    <row r="10" spans="2:63">
      <c r="B10" s="5" t="s">
        <v>274</v>
      </c>
      <c r="C10" s="5"/>
      <c r="D10" s="332"/>
      <c r="E10" s="332"/>
      <c r="F10" s="332"/>
      <c r="G10" s="332"/>
      <c r="H10" s="247"/>
      <c r="I10" s="247"/>
      <c r="J10" s="5" t="s">
        <v>184</v>
      </c>
      <c r="L10" s="64">
        <f>'AGG DM'!D38</f>
        <v>7.0841879802792365</v>
      </c>
      <c r="M10" s="64">
        <f>'AGG DM'!E38</f>
        <v>6.5876114702803505</v>
      </c>
      <c r="N10" s="64">
        <f>'AGG DM'!F38</f>
        <v>6.0864198915332164</v>
      </c>
      <c r="O10" s="64">
        <f>'AGG DM'!G38</f>
        <v>5.5767680131537691</v>
      </c>
      <c r="P10" s="17">
        <f>'AGG DM'!H38</f>
        <v>3.4656651554389573E-2</v>
      </c>
      <c r="W10" s="10"/>
      <c r="X10" s="10"/>
      <c r="Y10" s="10"/>
      <c r="Z10" s="10"/>
    </row>
    <row r="11" spans="2:63">
      <c r="B11" s="41" t="s">
        <v>457</v>
      </c>
      <c r="C11" s="5"/>
      <c r="D11" s="271">
        <f>INWIT!D11+CLNX!D11</f>
        <v>33065.762695949998</v>
      </c>
      <c r="E11" s="271">
        <f>INWIT!E11+CLNX!E11</f>
        <v>32902.148473950001</v>
      </c>
      <c r="F11" s="271">
        <f>INWIT!F11+CLNX!F11</f>
        <v>32706.649452423582</v>
      </c>
      <c r="G11" s="271">
        <f>INWIT!G11+CLNX!G11</f>
        <v>32706.649452423582</v>
      </c>
      <c r="H11" s="249"/>
      <c r="I11" s="249"/>
      <c r="J11" s="5" t="s">
        <v>185</v>
      </c>
      <c r="L11" s="64">
        <f>'AGG DM'!D39</f>
        <v>13.53328960256645</v>
      </c>
      <c r="M11" s="64">
        <f>'AGG DM'!E39</f>
        <v>11.493643628277713</v>
      </c>
      <c r="N11" s="64">
        <f>'AGG DM'!F39</f>
        <v>10.264735122504899</v>
      </c>
      <c r="O11" s="64">
        <f>'AGG DM'!G39</f>
        <v>9.0451770938503948</v>
      </c>
      <c r="P11" s="17">
        <f>'AGG DM'!H39</f>
        <v>9.2670425427640479E-2</v>
      </c>
      <c r="W11" s="10"/>
      <c r="X11" s="10"/>
      <c r="Y11" s="10"/>
      <c r="Z11" s="10"/>
    </row>
    <row r="12" spans="2:63">
      <c r="B12" s="5" t="s">
        <v>229</v>
      </c>
      <c r="C12" s="249"/>
      <c r="D12" s="228">
        <f>INWIT!D12+CLNX!D12</f>
        <v>20512.684000000001</v>
      </c>
      <c r="E12" s="228">
        <f>INWIT!E12+CLNX!E12</f>
        <v>21583.572010851989</v>
      </c>
      <c r="F12" s="228">
        <f>INWIT!F12+CLNX!F12</f>
        <v>22025.426248328895</v>
      </c>
      <c r="G12" s="228">
        <f>INWIT!G12+CLNX!G12</f>
        <v>22225.295274257405</v>
      </c>
      <c r="H12" s="247"/>
      <c r="I12" s="247"/>
      <c r="J12" s="5" t="s">
        <v>466</v>
      </c>
      <c r="L12" s="64">
        <f>'AGG DM'!D40</f>
        <v>19.213286909010346</v>
      </c>
      <c r="M12" s="64">
        <f>'AGG DM'!E40</f>
        <v>16.347188206412962</v>
      </c>
      <c r="N12" s="64">
        <f>'AGG DM'!F40</f>
        <v>14.618845003714046</v>
      </c>
      <c r="O12" s="64">
        <f>'AGG DM'!G40</f>
        <v>12.840265625641983</v>
      </c>
      <c r="P12" s="17">
        <f>'AGG DM'!H40</f>
        <v>9.2705111729584289E-2</v>
      </c>
      <c r="W12" s="10"/>
      <c r="X12" s="10"/>
      <c r="Y12" s="10"/>
      <c r="Z12" s="10"/>
    </row>
    <row r="13" spans="2:63">
      <c r="B13" s="5" t="s">
        <v>529</v>
      </c>
      <c r="C13" s="257"/>
      <c r="D13" s="228">
        <f>INWIT!D13+CLNX!D13</f>
        <v>89.592031072631471</v>
      </c>
      <c r="E13" s="228">
        <f>INWIT!E13+CLNX!E13</f>
        <v>477.86169087484404</v>
      </c>
      <c r="F13" s="228">
        <f>INWIT!F13+CLNX!F13</f>
        <v>305.57766894558506</v>
      </c>
      <c r="G13" s="228">
        <f>INWIT!G13+CLNX!G13</f>
        <v>123.30117374442887</v>
      </c>
      <c r="H13" s="247"/>
      <c r="I13" s="247"/>
      <c r="J13" s="5" t="s">
        <v>530</v>
      </c>
      <c r="L13" s="64">
        <f>'AGG DM'!D41</f>
        <v>1.3514515540183685</v>
      </c>
      <c r="M13" s="64">
        <f>'AGG DM'!E41</f>
        <v>1.4007532435377124</v>
      </c>
      <c r="N13" s="64">
        <f>'AGG DM'!F41</f>
        <v>1.3363938049874495</v>
      </c>
      <c r="O13" s="64">
        <f>'AGG DM'!G41</f>
        <v>1.2739776448559783</v>
      </c>
      <c r="P13" s="17">
        <f>'AGG DM'!H41</f>
        <v>-2.5668717959517307E-2</v>
      </c>
    </row>
    <row r="14" spans="2:63">
      <c r="B14" s="5" t="s">
        <v>532</v>
      </c>
      <c r="C14" s="274"/>
      <c r="D14" s="228">
        <f>INWIT!D14+CLNX!D14</f>
        <v>0</v>
      </c>
      <c r="E14" s="228">
        <f>INWIT!E14+CLNX!E14</f>
        <v>0</v>
      </c>
      <c r="F14" s="228">
        <f>INWIT!F14+CLNX!F14</f>
        <v>0</v>
      </c>
      <c r="G14" s="228">
        <f>INWIT!G14+CLNX!G14</f>
        <v>0</v>
      </c>
      <c r="H14" s="247"/>
      <c r="I14" s="247"/>
      <c r="J14" s="5" t="s">
        <v>593</v>
      </c>
      <c r="L14" s="64">
        <f>'AGG DM'!D42</f>
        <v>3.3000460374957705</v>
      </c>
      <c r="M14" s="64">
        <f>'AGG DM'!E42</f>
        <v>3.1838124862642916</v>
      </c>
      <c r="N14" s="64">
        <f>'AGG DM'!F42</f>
        <v>3.0594658370749888</v>
      </c>
      <c r="O14" s="64">
        <f>'AGG DM'!G42</f>
        <v>2.9412325385033187</v>
      </c>
      <c r="P14" s="17">
        <f>'AGG DM'!H42</f>
        <v>-7.2864107786076993E-3</v>
      </c>
    </row>
    <row r="15" spans="2:63">
      <c r="B15" s="5" t="s">
        <v>531</v>
      </c>
      <c r="C15" s="257"/>
      <c r="D15" s="228">
        <f>INWIT!D15+CLNX!D15</f>
        <v>1241.7658536585366</v>
      </c>
      <c r="E15" s="228">
        <f>INWIT!E15+CLNX!E15</f>
        <v>1241.7658536585366</v>
      </c>
      <c r="F15" s="228">
        <f>INWIT!F15+CLNX!F15</f>
        <v>1241.7658536585366</v>
      </c>
      <c r="G15" s="228">
        <f>INWIT!G15+CLNX!G15</f>
        <v>1241.7658536585366</v>
      </c>
      <c r="H15" s="247"/>
      <c r="I15" s="247"/>
      <c r="J15" s="5" t="s">
        <v>475</v>
      </c>
      <c r="L15" s="64">
        <f>'AGG DM'!D43</f>
        <v>11.806292254184493</v>
      </c>
      <c r="M15" s="64">
        <f>'AGG DM'!E43</f>
        <v>10.8479727708929</v>
      </c>
      <c r="N15" s="64">
        <f>'AGG DM'!F43</f>
        <v>9.79850588673491</v>
      </c>
      <c r="O15" s="64">
        <f>'AGG DM'!G43</f>
        <v>8.8149149732476211</v>
      </c>
      <c r="P15" s="17">
        <f>'AGG DM'!H43</f>
        <v>7.171679530370545E-2</v>
      </c>
      <c r="S15" s="88"/>
      <c r="T15" s="88"/>
      <c r="U15" s="88"/>
      <c r="V15" s="42"/>
      <c r="W15" s="42"/>
      <c r="X15" s="42"/>
      <c r="Y15" s="42"/>
      <c r="Z15" s="42"/>
      <c r="AA15" s="42"/>
    </row>
    <row r="16" spans="2:63">
      <c r="B16" s="5" t="s">
        <v>534</v>
      </c>
      <c r="C16" s="257"/>
      <c r="D16" s="228">
        <f>INWIT!D16+CLNX!D16</f>
        <v>0</v>
      </c>
      <c r="E16" s="228">
        <f>INWIT!E16+CLNX!E16</f>
        <v>44.3</v>
      </c>
      <c r="F16" s="228">
        <f>INWIT!F16+CLNX!F16</f>
        <v>567.84431432187864</v>
      </c>
      <c r="G16" s="228">
        <f>INWIT!G16+CLNX!G16</f>
        <v>1573.5074522178982</v>
      </c>
      <c r="H16" s="247"/>
      <c r="I16" s="247"/>
      <c r="J16" s="5" t="s">
        <v>533</v>
      </c>
      <c r="L16" s="64">
        <f>'AGG DM'!D44</f>
        <v>13.624604105346204</v>
      </c>
      <c r="M16" s="64">
        <f>'AGG DM'!E44</f>
        <v>12.503028582967529</v>
      </c>
      <c r="N16" s="64">
        <f>'AGG DM'!F44</f>
        <v>11.302702719097406</v>
      </c>
      <c r="O16" s="64">
        <f>'AGG DM'!G44</f>
        <v>10.160048566687355</v>
      </c>
      <c r="P16" s="17">
        <f>'AGG DM'!H44</f>
        <v>7.6119307301105277E-2</v>
      </c>
      <c r="S16" s="88"/>
      <c r="T16" s="88"/>
      <c r="U16" s="88"/>
      <c r="V16" s="42"/>
      <c r="W16" s="42"/>
      <c r="X16" s="42"/>
      <c r="Y16" s="42"/>
      <c r="Z16" s="42"/>
      <c r="AA16" s="42"/>
    </row>
    <row r="17" spans="2:27">
      <c r="B17" s="5" t="s">
        <v>6</v>
      </c>
      <c r="C17" s="257"/>
      <c r="D17" s="228">
        <f>INWIT!D17+CLNX!D17</f>
        <v>430.14867383355971</v>
      </c>
      <c r="E17" s="228">
        <f>INWIT!E17+CLNX!E17</f>
        <v>333.11729691590631</v>
      </c>
      <c r="F17" s="228">
        <f>INWIT!F17+CLNX!F17</f>
        <v>230.45810013702888</v>
      </c>
      <c r="G17" s="228">
        <f>INWIT!G17+CLNX!G17</f>
        <v>121.84466994497654</v>
      </c>
      <c r="H17" s="247"/>
      <c r="I17" s="247"/>
      <c r="J17" s="5" t="s">
        <v>580</v>
      </c>
      <c r="L17" s="248">
        <f>'AGG DM'!D45</f>
        <v>3.8692911642747754E-2</v>
      </c>
      <c r="M17" s="248">
        <f>'AGG DM'!E45</f>
        <v>4.3419291969220015E-2</v>
      </c>
      <c r="N17" s="248">
        <f>'AGG DM'!F45</f>
        <v>4.6126321738259798E-2</v>
      </c>
      <c r="O17" s="248">
        <f>'AGG DM'!G45</f>
        <v>4.9423675586152439E-2</v>
      </c>
      <c r="P17" s="17">
        <f>'AGG DM'!H45</f>
        <v>5.8812184463164385E-2</v>
      </c>
      <c r="S17" s="88"/>
      <c r="T17" s="88"/>
      <c r="U17" s="88"/>
      <c r="V17" s="42"/>
      <c r="W17" s="42"/>
      <c r="X17" s="42"/>
      <c r="Y17" s="42"/>
      <c r="Z17" s="42"/>
      <c r="AA17" s="42"/>
    </row>
    <row r="18" spans="2:27" ht="12.6" thickBot="1">
      <c r="B18" s="41" t="s">
        <v>456</v>
      </c>
      <c r="C18" s="249"/>
      <c r="D18" s="275">
        <f>INWIT!D18+CLNX!D18</f>
        <v>54479.655906847605</v>
      </c>
      <c r="E18" s="275">
        <f>INWIT!E18+CLNX!E18</f>
        <v>55827.93073241946</v>
      </c>
      <c r="F18" s="275">
        <f>INWIT!F18+CLNX!F18</f>
        <v>55481.116808897685</v>
      </c>
      <c r="G18" s="275">
        <f>INWIT!G18+CLNX!G18</f>
        <v>54601.65963192108</v>
      </c>
      <c r="H18" s="276">
        <f>IF(D18=0,"nm",IF(G18=0,"nm",(G18/D18)^(1/3)-1))</f>
        <v>7.4592226515601823E-4</v>
      </c>
      <c r="I18" s="254"/>
      <c r="J18" s="5" t="s">
        <v>36</v>
      </c>
      <c r="L18" s="248">
        <f>'AGG DM'!D46</f>
        <v>5.5339609483801136E-2</v>
      </c>
      <c r="M18" s="248">
        <f>'AGG DM'!E46</f>
        <v>7.6500460251698113E-2</v>
      </c>
      <c r="N18" s="248">
        <f>'AGG DM'!F46</f>
        <v>8.0311545489538158E-2</v>
      </c>
      <c r="O18" s="248">
        <f>'AGG DM'!G46</f>
        <v>9.1977124183415609E-2</v>
      </c>
      <c r="P18" s="17">
        <f>'AGG DM'!H46</f>
        <v>0.15593203466037919</v>
      </c>
      <c r="S18" s="88"/>
      <c r="T18" s="88"/>
      <c r="U18" s="88"/>
      <c r="V18" s="42"/>
      <c r="W18" s="42"/>
      <c r="X18" s="42"/>
      <c r="Y18" s="42"/>
      <c r="Z18" s="42"/>
      <c r="AA18" s="42"/>
    </row>
    <row r="19" spans="2:27" ht="12.6" thickTop="1">
      <c r="B19" s="41"/>
      <c r="C19" s="249"/>
      <c r="D19" s="229"/>
      <c r="E19" s="229"/>
      <c r="F19" s="229"/>
      <c r="G19" s="229"/>
      <c r="H19" s="276"/>
      <c r="I19" s="17"/>
      <c r="J19" s="5" t="s">
        <v>581</v>
      </c>
      <c r="L19" s="248">
        <f>'AGG DM'!D47</f>
        <v>8.4700596806382714E-2</v>
      </c>
      <c r="M19" s="248">
        <f>'AGG DM'!E47</f>
        <v>9.2183122240422966E-2</v>
      </c>
      <c r="N19" s="248">
        <f>'AGG DM'!F47</f>
        <v>0.10205637589642999</v>
      </c>
      <c r="O19" s="248">
        <f>'AGG DM'!G47</f>
        <v>0.11344408914151745</v>
      </c>
      <c r="P19" s="17">
        <f>'AGG DM'!H47</f>
        <v>7.171679530370545E-2</v>
      </c>
      <c r="S19" s="88"/>
      <c r="T19" s="88"/>
      <c r="U19" s="88"/>
      <c r="V19" s="42"/>
      <c r="W19" s="42"/>
      <c r="X19" s="42"/>
      <c r="Y19" s="42"/>
      <c r="Z19" s="42"/>
      <c r="AA19" s="42"/>
    </row>
    <row r="20" spans="2:27">
      <c r="H20" s="277"/>
      <c r="I20" s="49"/>
      <c r="J20" s="5" t="s">
        <v>604</v>
      </c>
      <c r="L20" s="248">
        <f>'AGG DM'!D48</f>
        <v>0.45770628705874244</v>
      </c>
      <c r="M20" s="248">
        <f>'AGG DM'!E48</f>
        <v>0.47291165163323612</v>
      </c>
      <c r="N20" s="248">
        <f>'AGG DM'!F48</f>
        <v>0.45515009617149715</v>
      </c>
      <c r="O20" s="248">
        <f>'AGG DM'!G48</f>
        <v>0.44137076019918969</v>
      </c>
      <c r="P20" s="17" t="str">
        <f>'AGG DM'!H48</f>
        <v>nm</v>
      </c>
      <c r="S20" s="42"/>
      <c r="T20" s="42"/>
      <c r="U20" s="42"/>
      <c r="V20" s="42"/>
      <c r="W20" s="42"/>
      <c r="X20" s="42"/>
      <c r="Y20" s="42"/>
      <c r="Z20" s="42"/>
      <c r="AA20" s="42"/>
    </row>
    <row r="21" spans="2:27" ht="12.6" thickBot="1">
      <c r="B21" s="306" t="s">
        <v>159</v>
      </c>
      <c r="C21" s="265">
        <v>2020</v>
      </c>
      <c r="D21" s="265" t="str">
        <f>D5</f>
        <v>2023E</v>
      </c>
      <c r="E21" s="265" t="str">
        <f>E5</f>
        <v>2024E</v>
      </c>
      <c r="F21" s="265" t="str">
        <f>F5</f>
        <v>2025E</v>
      </c>
      <c r="G21" s="265" t="str">
        <f>G5</f>
        <v>2026E</v>
      </c>
      <c r="H21" s="282" t="str">
        <f>H5</f>
        <v>23E-26E</v>
      </c>
      <c r="I21" s="17"/>
      <c r="S21" s="42"/>
      <c r="T21" s="42"/>
      <c r="U21" s="42"/>
      <c r="V21" s="42"/>
      <c r="W21" s="42"/>
      <c r="X21" s="42"/>
      <c r="Y21" s="42"/>
      <c r="Z21" s="42"/>
      <c r="AA21" s="42"/>
    </row>
    <row r="22" spans="2:27" ht="12.6" thickTop="1">
      <c r="B22" s="5"/>
      <c r="C22" s="257"/>
      <c r="D22" s="17"/>
      <c r="E22" s="17"/>
      <c r="F22" s="17"/>
      <c r="G22" s="17"/>
      <c r="H22" s="17"/>
      <c r="I22" s="247"/>
      <c r="P22" s="277"/>
      <c r="S22" s="42"/>
      <c r="T22" s="42"/>
      <c r="U22" s="42"/>
      <c r="V22" s="42"/>
      <c r="W22" s="42"/>
      <c r="X22" s="42"/>
      <c r="Y22" s="42"/>
      <c r="Z22" s="42"/>
      <c r="AA22" s="42"/>
    </row>
    <row r="23" spans="2:27" ht="12.6" thickBot="1">
      <c r="B23" s="5" t="s">
        <v>584</v>
      </c>
      <c r="C23" s="365">
        <f>INWIT!C23+CLNX!C23</f>
        <v>5013.4941357809321</v>
      </c>
      <c r="D23" s="228">
        <f>INWIT!D23+CLNX!D23</f>
        <v>5344.8786057030065</v>
      </c>
      <c r="E23" s="228">
        <f>INWIT!E23+CLNX!E23</f>
        <v>5580.3232085627578</v>
      </c>
      <c r="F23" s="228">
        <f>INWIT!F23+CLNX!F23</f>
        <v>5859.2627015067956</v>
      </c>
      <c r="G23" s="228">
        <f>INWIT!G23+CLNX!G23</f>
        <v>6121.2866724163696</v>
      </c>
      <c r="H23" s="279">
        <f t="shared" ref="H23:H33" si="0">IF(D23=0,"nm",IF(G23=0,"nm",(G23/D23)^(1/3)-1))</f>
        <v>4.624876336206829E-2</v>
      </c>
      <c r="I23" s="249"/>
      <c r="J23" s="306" t="s">
        <v>9</v>
      </c>
      <c r="K23" s="306"/>
      <c r="L23" s="265" t="str">
        <f>L5</f>
        <v>2023E</v>
      </c>
      <c r="M23" s="265" t="str">
        <f>M5</f>
        <v>2024E</v>
      </c>
      <c r="N23" s="265" t="str">
        <f>N5</f>
        <v>2025E</v>
      </c>
      <c r="O23" s="265" t="str">
        <f>O5</f>
        <v>2026E</v>
      </c>
      <c r="P23" s="282" t="str">
        <f>P5</f>
        <v>23E-26E</v>
      </c>
      <c r="S23" s="42"/>
      <c r="T23" s="42"/>
      <c r="U23" s="42"/>
      <c r="V23" s="42"/>
      <c r="W23" s="42" t="s">
        <v>567</v>
      </c>
      <c r="X23" s="42" t="s">
        <v>610</v>
      </c>
      <c r="Y23" s="42"/>
      <c r="Z23" s="42"/>
      <c r="AA23" s="42"/>
    </row>
    <row r="24" spans="2:27" ht="12.6" thickTop="1">
      <c r="B24" s="5" t="s">
        <v>483</v>
      </c>
      <c r="C24" s="365">
        <f>INWIT!C24+CLNX!C24</f>
        <v>2271.6989999999996</v>
      </c>
      <c r="D24" s="228">
        <f>INWIT!D24+CLNX!D24</f>
        <v>2701.5264884017688</v>
      </c>
      <c r="E24" s="228">
        <f>INWIT!E24+CLNX!E24</f>
        <v>2989.9125315979663</v>
      </c>
      <c r="F24" s="228">
        <f>INWIT!F24+CLNX!F24</f>
        <v>3246.1524108429739</v>
      </c>
      <c r="G24" s="228">
        <f>INWIT!G24+CLNX!G24</f>
        <v>3467.3433336862399</v>
      </c>
      <c r="H24" s="279">
        <f t="shared" si="0"/>
        <v>8.6748891100800751E-2</v>
      </c>
      <c r="I24" s="248"/>
      <c r="J24" s="17"/>
      <c r="K24" s="17"/>
      <c r="L24" s="17"/>
      <c r="M24" s="17"/>
      <c r="N24" s="17"/>
      <c r="O24" s="248"/>
      <c r="S24" s="42"/>
      <c r="T24" s="42"/>
      <c r="U24" s="42"/>
      <c r="V24" s="147" t="s">
        <v>273</v>
      </c>
      <c r="W24" s="288">
        <f t="shared" ref="W24:W27" si="1">E37/M9</f>
        <v>4.5329776564608641</v>
      </c>
      <c r="X24" s="288">
        <v>1</v>
      </c>
      <c r="Y24" s="42"/>
      <c r="Z24" s="42"/>
      <c r="AA24" s="42"/>
    </row>
    <row r="25" spans="2:27">
      <c r="B25" s="5" t="s">
        <v>183</v>
      </c>
      <c r="C25" s="365">
        <f>INWIT!C25+CLNX!C25</f>
        <v>-432.44100000000003</v>
      </c>
      <c r="D25" s="228">
        <f>INWIT!D25+CLNX!D25</f>
        <v>911.38848840176877</v>
      </c>
      <c r="E25" s="228">
        <f>INWIT!E25+CLNX!E25</f>
        <v>1194.0814751048429</v>
      </c>
      <c r="F25" s="228">
        <f>INWIT!F25+CLNX!F25</f>
        <v>1281.1342489552658</v>
      </c>
      <c r="G25" s="228">
        <f>INWIT!G25+CLNX!G25</f>
        <v>1882.3337436339791</v>
      </c>
      <c r="H25" s="279">
        <f t="shared" si="0"/>
        <v>0.27349632578510952</v>
      </c>
      <c r="I25" s="249"/>
      <c r="J25" s="247" t="s">
        <v>10</v>
      </c>
      <c r="K25" s="247"/>
      <c r="L25" s="332">
        <f>INWIT!L25 + CLNX!L25</f>
        <v>100</v>
      </c>
      <c r="M25" s="332">
        <f>INWIT!M25 + CLNX!M25</f>
        <v>100</v>
      </c>
      <c r="N25" s="332">
        <f>INWIT!N25 + CLNX!N25</f>
        <v>100</v>
      </c>
      <c r="O25" s="332">
        <f>INWIT!O25 + CLNX!O25</f>
        <v>100</v>
      </c>
      <c r="P25" s="279">
        <f>IF(L25=0,"nm",IF(O25=0,"nm",(O25/L25)^(1/3)-1))</f>
        <v>0</v>
      </c>
      <c r="Q25" s="5"/>
      <c r="S25" s="42"/>
      <c r="T25" s="42"/>
      <c r="U25" s="42"/>
      <c r="V25" s="147" t="s">
        <v>184</v>
      </c>
      <c r="W25" s="288">
        <f t="shared" si="1"/>
        <v>2.8344256565580825</v>
      </c>
      <c r="X25" s="288">
        <v>1</v>
      </c>
      <c r="Y25" s="42"/>
      <c r="Z25" s="42"/>
      <c r="AA25" s="42"/>
    </row>
    <row r="26" spans="2:27">
      <c r="B26" s="5" t="s">
        <v>586</v>
      </c>
      <c r="C26" s="365">
        <f>INWIT!C26+CLNX!C26</f>
        <v>-350.51560131849988</v>
      </c>
      <c r="D26" s="228">
        <f>INWIT!D26+CLNX!D26</f>
        <v>673.90570639072394</v>
      </c>
      <c r="E26" s="228">
        <f>INWIT!E26+CLNX!E26</f>
        <v>885.69414846818813</v>
      </c>
      <c r="F26" s="228">
        <f>INWIT!F26+CLNX!F26</f>
        <v>948.05589113247152</v>
      </c>
      <c r="G26" s="228">
        <f>INWIT!G26+CLNX!G26</f>
        <v>1401.4734987954876</v>
      </c>
      <c r="H26" s="279">
        <f t="shared" si="0"/>
        <v>0.27642485403069084</v>
      </c>
      <c r="I26" s="249"/>
      <c r="J26" s="249" t="s">
        <v>11</v>
      </c>
      <c r="K26" s="249"/>
      <c r="L26" s="281">
        <f>INWIT!L26 + CLNX!L26</f>
        <v>33165.762695949998</v>
      </c>
      <c r="M26" s="281">
        <f>INWIT!M26 + CLNX!M26</f>
        <v>33002.148473950001</v>
      </c>
      <c r="N26" s="281">
        <f>INWIT!N26 + CLNX!N26</f>
        <v>32806.649452423582</v>
      </c>
      <c r="O26" s="281">
        <f>INWIT!O26 + CLNX!O26</f>
        <v>32806.649452423582</v>
      </c>
      <c r="P26" s="279">
        <f>IF(L26=0,"nm",IF(O26=0,"nm",(O26/L26)^(1/3)-1))</f>
        <v>-3.6223825103399721E-3</v>
      </c>
      <c r="Q26" s="41"/>
      <c r="S26" s="42"/>
      <c r="T26" s="42"/>
      <c r="U26" s="42"/>
      <c r="V26" s="147" t="s">
        <v>185</v>
      </c>
      <c r="W26" s="288">
        <f t="shared" si="1"/>
        <v>4.067802350428142</v>
      </c>
      <c r="X26" s="288">
        <v>1</v>
      </c>
      <c r="Y26" s="42"/>
      <c r="Z26" s="42"/>
      <c r="AA26" s="42"/>
    </row>
    <row r="27" spans="2:27">
      <c r="B27" s="5" t="s">
        <v>587</v>
      </c>
      <c r="C27" s="365">
        <f>INWIT!C27+CLNX!C27</f>
        <v>39494.085999999996</v>
      </c>
      <c r="D27" s="228">
        <f>INWIT!D27+CLNX!D27</f>
        <v>39027.722000000002</v>
      </c>
      <c r="E27" s="228">
        <f>INWIT!E27+CLNX!E27</f>
        <v>39456.354435525609</v>
      </c>
      <c r="F27" s="228">
        <f>INWIT!F27+CLNX!F27</f>
        <v>39518.981278096144</v>
      </c>
      <c r="G27" s="228">
        <f>INWIT!G27+CLNX!G27</f>
        <v>39214.921464436098</v>
      </c>
      <c r="H27" s="279">
        <f t="shared" si="0"/>
        <v>1.5963093613284851E-3</v>
      </c>
      <c r="I27" s="248"/>
      <c r="J27" s="248"/>
      <c r="K27" s="248"/>
      <c r="L27" s="248"/>
      <c r="M27" s="248"/>
      <c r="N27" s="248"/>
      <c r="O27" s="248"/>
      <c r="Q27" s="5"/>
      <c r="S27" s="42"/>
      <c r="T27" s="42"/>
      <c r="U27" s="42"/>
      <c r="V27" s="147" t="s">
        <v>466</v>
      </c>
      <c r="W27" s="288">
        <f t="shared" si="1"/>
        <v>3.855890505104421</v>
      </c>
      <c r="X27" s="288">
        <v>1</v>
      </c>
      <c r="Y27" s="42"/>
      <c r="Z27" s="42"/>
      <c r="AA27" s="42"/>
    </row>
    <row r="28" spans="2:27" ht="12.6" thickBot="1">
      <c r="B28" s="5" t="s">
        <v>592</v>
      </c>
      <c r="C28" s="365">
        <f>INWIT!C28+CLNX!C28</f>
        <v>933.00800000000004</v>
      </c>
      <c r="D28" s="228">
        <f>INWIT!D28+CLNX!D28</f>
        <v>1109.5530000000001</v>
      </c>
      <c r="E28" s="228">
        <f>INWIT!E28+CLNX!E28</f>
        <v>1254.884593784908</v>
      </c>
      <c r="F28" s="228">
        <f>INWIT!F28+CLNX!F28</f>
        <v>1360.7493967132045</v>
      </c>
      <c r="G28" s="228">
        <f>INWIT!G28+CLNX!G28</f>
        <v>1436.1181968788105</v>
      </c>
      <c r="H28" s="279">
        <f t="shared" si="0"/>
        <v>8.9801440726483106E-2</v>
      </c>
      <c r="I28" s="252"/>
      <c r="J28" s="306" t="s">
        <v>754</v>
      </c>
      <c r="K28" s="306"/>
      <c r="L28" s="306"/>
      <c r="M28" s="306"/>
      <c r="N28" s="266"/>
      <c r="O28" s="266"/>
      <c r="P28" s="266"/>
      <c r="Q28" s="5"/>
      <c r="S28" s="42"/>
      <c r="T28" s="42"/>
      <c r="U28" s="42"/>
      <c r="V28" s="147" t="s">
        <v>530</v>
      </c>
      <c r="W28" s="288" t="e">
        <f>#REF!/M13</f>
        <v>#REF!</v>
      </c>
      <c r="X28" s="288">
        <v>1</v>
      </c>
      <c r="Y28" s="42"/>
      <c r="Z28" s="42"/>
      <c r="AA28" s="42"/>
    </row>
    <row r="29" spans="2:27" ht="12.6" thickTop="1">
      <c r="B29" s="5" t="s">
        <v>588</v>
      </c>
      <c r="C29" s="365">
        <f>INWIT!C29+CLNX!C29</f>
        <v>-913.98557362000042</v>
      </c>
      <c r="D29" s="228">
        <f>INWIT!D29+CLNX!D29</f>
        <v>371.09593940176865</v>
      </c>
      <c r="E29" s="228">
        <f>INWIT!E29+CLNX!E29</f>
        <v>487.90201454801218</v>
      </c>
      <c r="F29" s="228">
        <f>INWIT!F29+CLNX!F29</f>
        <v>509.44195184496823</v>
      </c>
      <c r="G29" s="228">
        <f>INWIT!G29+CLNX!G29</f>
        <v>1033.5459869675128</v>
      </c>
      <c r="H29" s="279">
        <f t="shared" si="0"/>
        <v>0.40695821934634813</v>
      </c>
      <c r="I29" s="254"/>
      <c r="J29" s="249"/>
      <c r="K29" s="249"/>
      <c r="L29" s="249"/>
      <c r="M29" s="249"/>
      <c r="N29" s="249"/>
      <c r="O29" s="251"/>
      <c r="Q29" s="5"/>
      <c r="S29" s="42"/>
      <c r="T29" s="42"/>
      <c r="U29" s="42"/>
      <c r="V29" s="147" t="s">
        <v>593</v>
      </c>
      <c r="W29" s="288" t="e">
        <f>#REF!/M14</f>
        <v>#REF!</v>
      </c>
      <c r="X29" s="288">
        <v>1</v>
      </c>
      <c r="Y29" s="42"/>
      <c r="Z29" s="42"/>
      <c r="AA29" s="42"/>
    </row>
    <row r="30" spans="2:27">
      <c r="B30" s="5" t="s">
        <v>589</v>
      </c>
      <c r="C30" s="365">
        <f>INWIT!C30+CLNX!C30</f>
        <v>-3.7189000000002466</v>
      </c>
      <c r="D30" s="228">
        <f>INWIT!D30+CLNX!D30</f>
        <v>42.305488401768685</v>
      </c>
      <c r="E30" s="228">
        <f>INWIT!E30+CLNX!E30</f>
        <v>195.23433693897738</v>
      </c>
      <c r="F30" s="228">
        <f>INWIT!F30+CLNX!F30</f>
        <v>379.20904865445635</v>
      </c>
      <c r="G30" s="228">
        <f>INWIT!G30+CLNX!G30</f>
        <v>539.90259902019613</v>
      </c>
      <c r="H30" s="279">
        <f t="shared" si="0"/>
        <v>1.3368969852446151</v>
      </c>
      <c r="I30" s="254"/>
      <c r="J30" s="248"/>
      <c r="K30" s="248"/>
      <c r="L30" s="248"/>
      <c r="M30" s="248"/>
      <c r="N30" s="248"/>
      <c r="O30" s="5"/>
      <c r="Q30" s="5"/>
      <c r="S30" s="42"/>
      <c r="T30" s="42"/>
      <c r="U30" s="42"/>
      <c r="V30" s="147" t="s">
        <v>475</v>
      </c>
      <c r="W30" s="288">
        <f>E43/M15</f>
        <v>6.2353525836310073</v>
      </c>
      <c r="X30" s="288">
        <v>1</v>
      </c>
      <c r="Y30" s="42"/>
      <c r="Z30" s="42"/>
      <c r="AA30" s="42"/>
    </row>
    <row r="31" spans="2:27">
      <c r="B31" s="5" t="s">
        <v>590</v>
      </c>
      <c r="C31" s="365">
        <f>INWIT!C31+CLNX!C31</f>
        <v>369.43566398482</v>
      </c>
      <c r="D31" s="228">
        <f>INWIT!D31+CLNX!D31</f>
        <v>495.12140293124992</v>
      </c>
      <c r="E31" s="228">
        <f>INWIT!E31+CLNX!E31</f>
        <v>524.78216167999994</v>
      </c>
      <c r="F31" s="228">
        <f>INWIT!F31+CLNX!F31</f>
        <v>558.82313789601949</v>
      </c>
      <c r="G31" s="228">
        <f>INWIT!G31+CLNX!G31</f>
        <v>1043.5878732382209</v>
      </c>
      <c r="H31" s="279">
        <f t="shared" si="0"/>
        <v>0.28215080054202502</v>
      </c>
      <c r="I31" s="254"/>
      <c r="J31" s="252"/>
      <c r="K31" s="252"/>
      <c r="L31" s="252"/>
      <c r="M31" s="252"/>
      <c r="N31" s="252"/>
      <c r="O31" s="5"/>
      <c r="Q31" s="5"/>
      <c r="S31" s="42"/>
      <c r="T31" s="42"/>
      <c r="U31" s="42"/>
      <c r="V31" s="147" t="s">
        <v>533</v>
      </c>
      <c r="W31" s="288">
        <f>E44/M16</f>
        <v>13.478849743237634</v>
      </c>
      <c r="X31" s="288">
        <v>1</v>
      </c>
      <c r="Y31" s="42"/>
      <c r="Z31" s="42"/>
      <c r="AA31" s="42"/>
    </row>
    <row r="32" spans="2:27">
      <c r="B32" s="5" t="s">
        <v>606</v>
      </c>
      <c r="C32" s="365">
        <f>INWIT!C32+CLNX!C32</f>
        <v>0</v>
      </c>
      <c r="D32" s="228">
        <f>INWIT!D32+CLNX!D32</f>
        <v>0</v>
      </c>
      <c r="E32" s="228">
        <f>INWIT!E32+CLNX!E32</f>
        <v>0</v>
      </c>
      <c r="F32" s="228">
        <f>INWIT!F32+CLNX!F32</f>
        <v>0</v>
      </c>
      <c r="G32" s="228">
        <f>INWIT!G32+CLNX!G32</f>
        <v>0</v>
      </c>
      <c r="H32" s="279" t="str">
        <f t="shared" si="0"/>
        <v>nm</v>
      </c>
      <c r="I32" s="5"/>
      <c r="J32" s="254"/>
      <c r="K32" s="254"/>
      <c r="L32" s="254"/>
      <c r="M32" s="254"/>
      <c r="N32" s="254"/>
      <c r="O32" s="251"/>
      <c r="Q32" s="5"/>
      <c r="S32" s="42"/>
      <c r="T32" s="42"/>
      <c r="U32" s="42"/>
      <c r="V32" s="147" t="s">
        <v>580</v>
      </c>
      <c r="W32" s="288">
        <f>M17/E45</f>
        <v>2.7222495262256681</v>
      </c>
      <c r="X32" s="288">
        <v>1</v>
      </c>
      <c r="Y32" s="42"/>
      <c r="Z32" s="42"/>
      <c r="AA32" s="42"/>
    </row>
    <row r="33" spans="2:42">
      <c r="B33" s="5" t="s">
        <v>5</v>
      </c>
      <c r="C33" s="365">
        <f>INWIT!C33+CLNX!C33</f>
        <v>-320.33009999999996</v>
      </c>
      <c r="D33" s="228">
        <f>INWIT!D33+CLNX!D33</f>
        <v>-367.58300000000003</v>
      </c>
      <c r="E33" s="228">
        <f>INWIT!E33+CLNX!E33</f>
        <v>-356.61689709721338</v>
      </c>
      <c r="F33" s="228">
        <f>INWIT!F33+CLNX!F33</f>
        <v>-390.85736537647119</v>
      </c>
      <c r="G33" s="228">
        <f>INWIT!G33+CLNX!G33</f>
        <v>-368.13485276927724</v>
      </c>
      <c r="H33" s="279">
        <f t="shared" si="0"/>
        <v>5.0018348115288269E-4</v>
      </c>
      <c r="I33" s="49"/>
      <c r="J33" s="254"/>
      <c r="K33" s="254"/>
      <c r="L33" s="254"/>
      <c r="M33" s="254"/>
      <c r="N33" s="254"/>
      <c r="O33" s="251"/>
      <c r="Q33" s="5"/>
      <c r="S33" s="42"/>
      <c r="T33" s="42"/>
      <c r="U33" s="42"/>
      <c r="V33" s="147" t="s">
        <v>581</v>
      </c>
      <c r="W33" s="288">
        <f>M19/E47</f>
        <v>6.2353525836310073</v>
      </c>
      <c r="X33" s="288">
        <v>1</v>
      </c>
      <c r="Y33" s="288"/>
      <c r="Z33" s="288"/>
      <c r="AA33" s="42"/>
      <c r="AC33" s="10"/>
      <c r="AD33" s="10"/>
      <c r="AE33" s="10"/>
      <c r="AF33" s="10"/>
      <c r="AH33" s="10"/>
      <c r="AI33" s="10"/>
      <c r="AJ33" s="10"/>
      <c r="AK33" s="10"/>
      <c r="AM33" s="10"/>
      <c r="AN33" s="10"/>
      <c r="AO33" s="10"/>
      <c r="AP33" s="10"/>
    </row>
    <row r="34" spans="2:42">
      <c r="H34" s="277"/>
      <c r="I34" s="254"/>
      <c r="J34" s="254"/>
      <c r="K34" s="254"/>
      <c r="L34" s="254"/>
      <c r="M34" s="254"/>
      <c r="N34" s="254"/>
      <c r="O34" s="251"/>
      <c r="Q34" s="5"/>
      <c r="S34" s="42"/>
      <c r="T34" s="42"/>
      <c r="U34" s="42"/>
      <c r="V34" s="42"/>
      <c r="W34" s="42"/>
      <c r="X34" s="42"/>
      <c r="Y34" s="288"/>
      <c r="Z34" s="288"/>
      <c r="AA34" s="42"/>
      <c r="AC34" s="10"/>
      <c r="AD34" s="10"/>
      <c r="AE34" s="10"/>
      <c r="AF34" s="10"/>
      <c r="AH34" s="10"/>
      <c r="AI34" s="10"/>
      <c r="AJ34" s="10"/>
      <c r="AK34" s="10"/>
      <c r="AM34" s="10"/>
      <c r="AN34" s="10"/>
      <c r="AO34" s="10"/>
      <c r="AP34" s="10"/>
    </row>
    <row r="35" spans="2:42" ht="12.6" thickBot="1">
      <c r="B35" s="306" t="s">
        <v>285</v>
      </c>
      <c r="C35" s="265"/>
      <c r="D35" s="265" t="str">
        <f>D5</f>
        <v>2023E</v>
      </c>
      <c r="E35" s="265" t="str">
        <f>E5</f>
        <v>2024E</v>
      </c>
      <c r="F35" s="265" t="str">
        <f>F5</f>
        <v>2025E</v>
      </c>
      <c r="G35" s="265" t="str">
        <f>G5</f>
        <v>2026E</v>
      </c>
      <c r="H35" s="265" t="str">
        <f>H5</f>
        <v>23E-26E</v>
      </c>
      <c r="I35" s="17"/>
      <c r="J35" s="5"/>
      <c r="K35" s="5"/>
      <c r="L35" s="5"/>
      <c r="M35" s="5"/>
      <c r="N35" s="5"/>
      <c r="O35" s="5"/>
      <c r="Q35" s="5"/>
      <c r="S35" s="42"/>
      <c r="T35" s="42"/>
      <c r="U35" s="42"/>
      <c r="V35" s="42"/>
      <c r="W35" s="42"/>
      <c r="X35" s="42"/>
      <c r="Y35" s="288"/>
      <c r="Z35" s="288"/>
      <c r="AA35" s="42"/>
      <c r="AC35" s="10"/>
      <c r="AD35" s="10"/>
      <c r="AE35" s="10"/>
      <c r="AF35" s="10"/>
      <c r="AH35" s="10"/>
      <c r="AI35" s="10"/>
      <c r="AJ35" s="10"/>
      <c r="AK35" s="10"/>
      <c r="AM35" s="10"/>
      <c r="AN35" s="10"/>
      <c r="AO35" s="10"/>
      <c r="AP35" s="10"/>
    </row>
    <row r="36" spans="2:42" ht="12.6" thickTop="1">
      <c r="B36" s="41"/>
      <c r="C36" s="249"/>
      <c r="D36" s="254"/>
      <c r="E36" s="254"/>
      <c r="F36" s="254"/>
      <c r="G36" s="254"/>
      <c r="H36" s="254"/>
      <c r="I36" s="5"/>
      <c r="J36" s="49"/>
      <c r="K36" s="49"/>
      <c r="L36" s="49"/>
      <c r="M36" s="49"/>
      <c r="N36" s="49"/>
      <c r="O36" s="49"/>
      <c r="Q36" s="5"/>
      <c r="R36" s="5"/>
      <c r="S36" s="42"/>
      <c r="T36" s="42"/>
      <c r="U36" s="42"/>
      <c r="V36" s="42"/>
      <c r="W36" s="42"/>
      <c r="X36" s="42"/>
      <c r="Y36" s="42"/>
      <c r="Z36" s="42"/>
      <c r="AA36" s="42"/>
      <c r="AC36" s="10"/>
      <c r="AD36" s="10"/>
      <c r="AE36" s="10"/>
      <c r="AF36" s="10"/>
      <c r="AH36" s="10"/>
      <c r="AI36" s="10"/>
      <c r="AJ36" s="10"/>
      <c r="AK36" s="10"/>
      <c r="AM36" s="10"/>
      <c r="AN36" s="10"/>
      <c r="AO36" s="10"/>
      <c r="AP36" s="10"/>
    </row>
    <row r="37" spans="2:42">
      <c r="B37" s="5" t="s">
        <v>273</v>
      </c>
      <c r="C37" s="247"/>
      <c r="D37" s="557">
        <f t="shared" ref="D37:G40" si="2">D$18/D23</f>
        <v>10.192870582452068</v>
      </c>
      <c r="E37" s="557">
        <f t="shared" si="2"/>
        <v>10.004426024419873</v>
      </c>
      <c r="F37" s="557">
        <f t="shared" si="2"/>
        <v>9.4689587470843222</v>
      </c>
      <c r="G37" s="557">
        <f t="shared" si="2"/>
        <v>8.9199644705362484</v>
      </c>
      <c r="H37" s="17">
        <f t="shared" ref="H37:H41" si="3">H23</f>
        <v>4.624876336206829E-2</v>
      </c>
      <c r="I37" s="259"/>
      <c r="J37" s="259"/>
      <c r="K37" s="259"/>
      <c r="L37" s="259"/>
      <c r="M37" s="259"/>
      <c r="N37" s="259"/>
      <c r="O37" s="18"/>
      <c r="Q37" s="5"/>
      <c r="R37" s="5"/>
      <c r="S37" s="42"/>
      <c r="T37" s="42"/>
      <c r="U37" s="42"/>
      <c r="V37" s="42"/>
      <c r="W37" s="42"/>
      <c r="X37" s="42"/>
      <c r="Y37" s="42"/>
      <c r="Z37" s="42"/>
      <c r="AA37" s="42"/>
      <c r="AC37" s="10"/>
      <c r="AD37" s="10"/>
      <c r="AE37" s="10"/>
      <c r="AF37" s="10"/>
      <c r="AH37" s="10"/>
      <c r="AI37" s="10"/>
      <c r="AJ37" s="10"/>
      <c r="AK37" s="10"/>
      <c r="AM37" s="10"/>
      <c r="AN37" s="10"/>
      <c r="AO37" s="10"/>
      <c r="AP37" s="10"/>
    </row>
    <row r="38" spans="2:42">
      <c r="B38" s="5" t="s">
        <v>184</v>
      </c>
      <c r="C38" s="247"/>
      <c r="D38" s="557">
        <f t="shared" si="2"/>
        <v>20.166249022817443</v>
      </c>
      <c r="E38" s="557">
        <f t="shared" si="2"/>
        <v>18.672094966798937</v>
      </c>
      <c r="F38" s="557">
        <f t="shared" si="2"/>
        <v>17.091346858384298</v>
      </c>
      <c r="G38" s="557">
        <f t="shared" si="2"/>
        <v>15.747404966058658</v>
      </c>
      <c r="H38" s="17">
        <f t="shared" si="3"/>
        <v>8.6748891100800751E-2</v>
      </c>
      <c r="I38" s="17"/>
      <c r="J38" s="17"/>
      <c r="K38" s="17"/>
      <c r="L38" s="17"/>
      <c r="M38" s="17"/>
      <c r="N38" s="17"/>
      <c r="O38" s="5"/>
      <c r="Q38" s="5"/>
      <c r="R38" s="5"/>
      <c r="S38" s="42"/>
      <c r="T38" s="42"/>
      <c r="U38" s="42"/>
      <c r="V38" s="42"/>
      <c r="W38" s="42"/>
      <c r="X38" s="42"/>
      <c r="Y38" s="42"/>
      <c r="Z38" s="42"/>
      <c r="AA38" s="42"/>
    </row>
    <row r="39" spans="2:42">
      <c r="B39" s="5" t="s">
        <v>185</v>
      </c>
      <c r="C39" s="247"/>
      <c r="D39" s="557">
        <f t="shared" si="2"/>
        <v>59.776546006614971</v>
      </c>
      <c r="E39" s="557">
        <f t="shared" si="2"/>
        <v>46.753870566091521</v>
      </c>
      <c r="F39" s="557">
        <f t="shared" si="2"/>
        <v>43.306247455441301</v>
      </c>
      <c r="G39" s="557">
        <f t="shared" si="2"/>
        <v>29.007427517348063</v>
      </c>
      <c r="H39" s="17">
        <f t="shared" si="3"/>
        <v>0.27349632578510952</v>
      </c>
      <c r="I39" s="5"/>
      <c r="J39" s="5"/>
      <c r="K39" s="5"/>
      <c r="L39" s="5"/>
      <c r="M39" s="5"/>
      <c r="N39" s="5"/>
      <c r="O39" s="5"/>
      <c r="Q39" s="5"/>
      <c r="R39" s="5"/>
      <c r="S39" s="42"/>
      <c r="T39" s="42"/>
      <c r="U39" s="42"/>
      <c r="V39" s="42"/>
      <c r="W39" s="288"/>
      <c r="X39" s="288"/>
      <c r="Y39" s="42"/>
      <c r="Z39" s="42"/>
      <c r="AA39" s="42"/>
    </row>
    <row r="40" spans="2:42">
      <c r="B40" s="5" t="s">
        <v>466</v>
      </c>
      <c r="C40" s="247"/>
      <c r="D40" s="557">
        <f t="shared" si="2"/>
        <v>80.841659879432498</v>
      </c>
      <c r="E40" s="557">
        <f t="shared" si="2"/>
        <v>63.03296779026271</v>
      </c>
      <c r="F40" s="557">
        <f t="shared" si="2"/>
        <v>58.5209346071616</v>
      </c>
      <c r="G40" s="557">
        <f t="shared" si="2"/>
        <v>38.960179895552145</v>
      </c>
      <c r="H40" s="17">
        <f t="shared" si="3"/>
        <v>0.27642485403069084</v>
      </c>
      <c r="I40" s="247"/>
      <c r="J40" s="259"/>
      <c r="K40" s="259"/>
      <c r="L40" s="259"/>
      <c r="M40" s="259"/>
      <c r="N40" s="259"/>
      <c r="O40" s="18"/>
      <c r="Q40" s="5"/>
      <c r="R40" s="5"/>
      <c r="S40" s="42"/>
      <c r="T40" s="42"/>
      <c r="U40" s="42"/>
      <c r="V40" s="42"/>
      <c r="W40" s="288"/>
      <c r="X40" s="288"/>
      <c r="Y40" s="288"/>
      <c r="Z40" s="288"/>
      <c r="AA40" s="42"/>
    </row>
    <row r="41" spans="2:42">
      <c r="B41" s="5" t="s">
        <v>530</v>
      </c>
      <c r="D41" s="557">
        <f>D18/D27</f>
        <v>1.3959220040269735</v>
      </c>
      <c r="E41" s="557">
        <f t="shared" ref="E41:G41" si="4">E18/E27</f>
        <v>1.4149287619474864</v>
      </c>
      <c r="F41" s="557">
        <f t="shared" si="4"/>
        <v>1.4039106023122296</v>
      </c>
      <c r="G41" s="557">
        <f t="shared" si="4"/>
        <v>1.392369475518118</v>
      </c>
      <c r="H41" s="17">
        <f t="shared" si="3"/>
        <v>1.5963093613284851E-3</v>
      </c>
      <c r="I41" s="248"/>
      <c r="J41" s="17"/>
      <c r="K41" s="17"/>
      <c r="L41" s="17"/>
      <c r="M41" s="17"/>
      <c r="N41" s="17"/>
      <c r="O41" s="5"/>
      <c r="Q41" s="5"/>
      <c r="R41" s="5"/>
      <c r="S41" s="42"/>
      <c r="T41" s="42"/>
      <c r="U41" s="42"/>
      <c r="V41" s="42"/>
      <c r="W41" s="288"/>
      <c r="X41" s="288"/>
      <c r="Y41" s="288"/>
      <c r="Z41" s="288"/>
      <c r="AA41" s="42"/>
    </row>
    <row r="42" spans="2:42">
      <c r="B42" s="5" t="s">
        <v>593</v>
      </c>
      <c r="D42" s="557">
        <f>IFERROR(D18/D28,"na")</f>
        <v>49.100544009026699</v>
      </c>
      <c r="E42" s="557">
        <f>IFERROR(E18/E28,"na")</f>
        <v>44.488497993297209</v>
      </c>
      <c r="F42" s="557">
        <f>IFERROR(F18/F28,"na")</f>
        <v>40.772472097293196</v>
      </c>
      <c r="G42" s="557">
        <f>IFERROR(G18/G28,"na")</f>
        <v>38.020310410793257</v>
      </c>
      <c r="H42" s="17">
        <f>H28</f>
        <v>8.9801440726483106E-2</v>
      </c>
      <c r="I42" s="247"/>
      <c r="J42" s="5"/>
      <c r="K42" s="5"/>
      <c r="L42" s="5"/>
      <c r="M42" s="5"/>
      <c r="N42" s="5"/>
      <c r="O42" s="5"/>
      <c r="Q42" s="5"/>
      <c r="R42" s="5"/>
      <c r="S42" s="42"/>
      <c r="T42" s="42"/>
      <c r="U42" s="42"/>
      <c r="V42" s="42"/>
      <c r="W42" s="288"/>
      <c r="X42" s="288"/>
      <c r="Y42" s="288"/>
      <c r="Z42" s="288"/>
      <c r="AA42" s="42"/>
    </row>
    <row r="43" spans="2:42">
      <c r="B43" s="5" t="s">
        <v>475</v>
      </c>
      <c r="C43" s="247"/>
      <c r="D43" s="557">
        <f>L26/D29</f>
        <v>89.372475348060703</v>
      </c>
      <c r="E43" s="557">
        <f>M26/E29</f>
        <v>67.640935044145863</v>
      </c>
      <c r="F43" s="557">
        <f>N26/F29</f>
        <v>64.397227856113432</v>
      </c>
      <c r="G43" s="557">
        <f>O26/G29</f>
        <v>31.741838163080001</v>
      </c>
      <c r="H43" s="17">
        <f>H29</f>
        <v>0.40695821934634813</v>
      </c>
      <c r="I43" s="247"/>
      <c r="J43" s="247"/>
      <c r="K43" s="247"/>
      <c r="L43" s="247"/>
      <c r="M43" s="247"/>
      <c r="N43" s="247"/>
      <c r="O43" s="18"/>
      <c r="Q43" s="5"/>
      <c r="R43" s="5"/>
      <c r="S43" s="42"/>
      <c r="T43" s="42"/>
      <c r="U43" s="42"/>
      <c r="V43" s="42"/>
      <c r="W43" s="325"/>
      <c r="X43" s="325"/>
      <c r="Y43" s="288"/>
      <c r="Z43" s="288"/>
      <c r="AA43" s="42"/>
    </row>
    <row r="44" spans="2:42">
      <c r="B44" s="5" t="s">
        <v>533</v>
      </c>
      <c r="C44" s="69"/>
      <c r="D44" s="557">
        <f>D11/D30</f>
        <v>781.5951060989903</v>
      </c>
      <c r="E44" s="557">
        <f>E11/E30</f>
        <v>168.52644360522467</v>
      </c>
      <c r="F44" s="557">
        <f>F11/F30</f>
        <v>86.249654559869441</v>
      </c>
      <c r="G44" s="557">
        <f>G11/G30</f>
        <v>60.57879608614391</v>
      </c>
      <c r="H44" s="17">
        <f>H30</f>
        <v>1.3368969852446151</v>
      </c>
      <c r="I44" s="248"/>
      <c r="J44" s="248"/>
      <c r="K44" s="248"/>
      <c r="L44" s="248"/>
      <c r="M44" s="248"/>
      <c r="N44" s="248"/>
      <c r="O44" s="248"/>
      <c r="Q44" s="5"/>
      <c r="R44" s="5"/>
      <c r="S44" s="42"/>
      <c r="T44" s="42"/>
      <c r="U44" s="42"/>
      <c r="V44" s="42"/>
      <c r="W44" s="42"/>
      <c r="X44" s="42"/>
      <c r="Y44" s="325"/>
      <c r="Z44" s="325"/>
      <c r="AA44" s="42"/>
    </row>
    <row r="45" spans="2:42">
      <c r="B45" s="5" t="s">
        <v>580</v>
      </c>
      <c r="C45" s="247"/>
      <c r="D45" s="248">
        <f>D31/D11</f>
        <v>1.4973838876303736E-2</v>
      </c>
      <c r="E45" s="248">
        <f>E31/E11</f>
        <v>1.5949784011688228E-2</v>
      </c>
      <c r="F45" s="248">
        <f>F31/F11</f>
        <v>1.7085918223109533E-2</v>
      </c>
      <c r="G45" s="248">
        <f>G31/G11</f>
        <v>3.1907513937074666E-2</v>
      </c>
      <c r="H45" s="17">
        <f>H31</f>
        <v>0.28215080054202502</v>
      </c>
      <c r="I45" s="247"/>
      <c r="J45" s="247"/>
      <c r="K45" s="247"/>
      <c r="L45" s="247"/>
      <c r="M45" s="247"/>
      <c r="N45" s="247"/>
      <c r="O45" s="248"/>
      <c r="Q45" s="5"/>
      <c r="R45" s="5"/>
      <c r="S45" s="42"/>
      <c r="T45" s="42"/>
      <c r="U45" s="42"/>
      <c r="V45" s="42"/>
      <c r="W45" s="42"/>
      <c r="X45" s="42"/>
      <c r="Y45" s="42"/>
      <c r="Z45" s="42"/>
      <c r="AA45" s="326"/>
      <c r="AB45" s="303"/>
    </row>
    <row r="46" spans="2:42">
      <c r="B46" s="5" t="s">
        <v>605</v>
      </c>
      <c r="C46" s="247"/>
      <c r="D46" s="248">
        <f>(D31+D32)/D11</f>
        <v>1.4973838876303736E-2</v>
      </c>
      <c r="E46" s="248">
        <f>(E31+E32)/E11</f>
        <v>1.5949784011688228E-2</v>
      </c>
      <c r="F46" s="248">
        <f>(F31+F32)/F11</f>
        <v>1.7085918223109533E-2</v>
      </c>
      <c r="G46" s="248">
        <f>(G31+G32)/G11</f>
        <v>3.1907513937074666E-2</v>
      </c>
      <c r="H46" s="279">
        <f>((G31+G32)/(D31+D32))^(1/3)-1</f>
        <v>0.28215080054202502</v>
      </c>
      <c r="I46" s="17"/>
      <c r="J46" s="247"/>
      <c r="K46" s="247"/>
      <c r="L46" s="247"/>
      <c r="M46" s="247"/>
      <c r="N46" s="247"/>
      <c r="O46" s="18"/>
      <c r="Q46" s="5"/>
      <c r="R46" s="5"/>
      <c r="S46" s="42"/>
      <c r="T46" s="42"/>
      <c r="U46" s="42"/>
      <c r="V46" s="42"/>
      <c r="W46" s="42"/>
      <c r="X46" s="42"/>
      <c r="Y46" s="42"/>
      <c r="Z46" s="42"/>
      <c r="AA46" s="326"/>
      <c r="AB46" s="303"/>
    </row>
    <row r="47" spans="2:42">
      <c r="B47" s="5" t="s">
        <v>581</v>
      </c>
      <c r="C47" s="5"/>
      <c r="D47" s="248">
        <f>1/D43</f>
        <v>1.1189127257642853E-2</v>
      </c>
      <c r="E47" s="248">
        <f>1/E43</f>
        <v>1.4783947018877695E-2</v>
      </c>
      <c r="F47" s="248">
        <f>1/F43</f>
        <v>1.5528618751017662E-2</v>
      </c>
      <c r="G47" s="248">
        <f>1/G43</f>
        <v>3.1504161632426621E-2</v>
      </c>
      <c r="H47" s="17">
        <f>H29</f>
        <v>0.40695821934634813</v>
      </c>
      <c r="I47" s="247"/>
      <c r="J47" s="248"/>
      <c r="K47" s="248"/>
      <c r="L47" s="248"/>
      <c r="M47" s="248"/>
      <c r="N47" s="248"/>
      <c r="O47" s="248"/>
      <c r="Q47" s="5"/>
      <c r="R47" s="5"/>
      <c r="S47" s="5"/>
      <c r="T47" s="5"/>
      <c r="U47" s="5"/>
      <c r="AA47" s="303"/>
      <c r="AB47" s="303"/>
    </row>
    <row r="48" spans="2:42">
      <c r="B48" s="5" t="s">
        <v>618</v>
      </c>
      <c r="C48" s="5"/>
      <c r="D48" s="305">
        <f>D31/D29</f>
        <v>1.3342140141156451</v>
      </c>
      <c r="E48" s="305">
        <f>E31/E29</f>
        <v>1.0755892495466599</v>
      </c>
      <c r="F48" s="305">
        <f>F31/F29</f>
        <v>1.0969319190777573</v>
      </c>
      <c r="G48" s="305">
        <f>G31/G29</f>
        <v>1.0097159549718457</v>
      </c>
      <c r="H48" s="17" t="s">
        <v>607</v>
      </c>
      <c r="I48" s="259"/>
      <c r="J48" s="247"/>
      <c r="K48" s="247"/>
      <c r="L48" s="247"/>
      <c r="M48" s="247"/>
      <c r="N48" s="247"/>
      <c r="O48" s="248"/>
      <c r="Q48" s="5"/>
      <c r="R48" s="5"/>
      <c r="S48" s="5"/>
      <c r="T48" s="5"/>
      <c r="U48" s="5"/>
      <c r="AA48" s="303"/>
      <c r="AB48" s="303"/>
    </row>
    <row r="49" spans="2:28">
      <c r="B49" s="41"/>
      <c r="C49" s="17"/>
      <c r="D49" s="17"/>
      <c r="E49" s="17"/>
      <c r="F49" s="17"/>
      <c r="G49" s="17"/>
      <c r="H49" s="17"/>
      <c r="I49" s="17"/>
      <c r="J49" s="17"/>
      <c r="K49" s="17"/>
      <c r="L49" s="17"/>
      <c r="M49" s="17"/>
      <c r="N49" s="17"/>
      <c r="O49" s="248"/>
      <c r="Q49" s="5"/>
      <c r="R49" s="5"/>
      <c r="S49" s="5"/>
      <c r="T49" s="5"/>
      <c r="U49" s="5"/>
      <c r="W49" s="10"/>
      <c r="X49" s="10"/>
      <c r="AA49" s="303"/>
      <c r="AB49" s="303"/>
    </row>
    <row r="50" spans="2:28">
      <c r="B50" s="5"/>
      <c r="C50" s="257"/>
      <c r="D50" s="257"/>
      <c r="E50" s="257"/>
      <c r="F50" s="5"/>
      <c r="G50" s="41"/>
      <c r="H50" s="249"/>
      <c r="I50" s="259"/>
      <c r="J50" s="254"/>
      <c r="K50" s="254"/>
      <c r="L50" s="254"/>
      <c r="M50" s="254"/>
      <c r="N50" s="254"/>
      <c r="O50" s="251"/>
      <c r="Q50" s="5"/>
      <c r="R50" s="5"/>
      <c r="S50" s="5"/>
      <c r="T50" s="5"/>
      <c r="U50" s="5"/>
      <c r="W50" s="10"/>
      <c r="X50" s="10"/>
      <c r="Y50" s="10"/>
      <c r="Z50" s="10"/>
    </row>
    <row r="51" spans="2:28">
      <c r="B51" s="41"/>
      <c r="C51" s="249"/>
      <c r="D51" s="254"/>
      <c r="E51" s="254"/>
      <c r="F51" s="254"/>
      <c r="G51" s="254"/>
      <c r="H51" s="254"/>
      <c r="I51" s="254"/>
      <c r="J51" s="17"/>
      <c r="K51" s="17"/>
      <c r="L51" s="17"/>
      <c r="M51" s="17"/>
      <c r="N51" s="17"/>
      <c r="O51" s="248"/>
      <c r="Q51" s="5"/>
      <c r="R51" s="5"/>
      <c r="S51" s="5"/>
      <c r="T51" s="5"/>
      <c r="U51" s="5"/>
      <c r="Y51" s="10"/>
      <c r="Z51" s="10"/>
    </row>
    <row r="52" spans="2:28">
      <c r="B52" s="5"/>
      <c r="C52" s="257"/>
      <c r="D52" s="17"/>
      <c r="E52" s="17"/>
      <c r="F52" s="17"/>
      <c r="G52" s="17"/>
      <c r="H52" s="17"/>
      <c r="I52" s="17"/>
      <c r="J52" s="259"/>
      <c r="K52" s="259"/>
      <c r="L52" s="259"/>
      <c r="M52" s="259"/>
      <c r="N52" s="259"/>
      <c r="O52" s="18"/>
      <c r="Q52" s="5"/>
      <c r="R52" s="5"/>
      <c r="S52" s="5"/>
      <c r="T52" s="5"/>
      <c r="U52" s="5"/>
    </row>
    <row r="53" spans="2:28">
      <c r="B53" s="5"/>
      <c r="C53" s="257"/>
      <c r="D53" s="257"/>
      <c r="E53" s="257"/>
      <c r="F53" s="5"/>
      <c r="G53" s="5"/>
      <c r="H53" s="259"/>
      <c r="I53" s="259"/>
      <c r="J53" s="254"/>
      <c r="K53" s="254"/>
      <c r="L53" s="254"/>
      <c r="M53" s="254"/>
      <c r="N53" s="254"/>
      <c r="O53" s="251"/>
      <c r="Q53" s="5"/>
      <c r="R53" s="5"/>
      <c r="S53" s="5"/>
      <c r="T53" s="5"/>
      <c r="U53" s="5"/>
    </row>
    <row r="54" spans="2:28">
      <c r="B54" s="41"/>
      <c r="C54" s="249"/>
      <c r="D54" s="254"/>
      <c r="E54" s="254"/>
      <c r="F54" s="254"/>
      <c r="G54" s="254"/>
      <c r="H54" s="254"/>
      <c r="I54" s="249"/>
      <c r="J54" s="17"/>
      <c r="K54" s="17"/>
      <c r="L54" s="17"/>
      <c r="M54" s="17"/>
      <c r="N54" s="17"/>
      <c r="O54" s="18"/>
      <c r="Q54" s="5"/>
      <c r="R54" s="5"/>
      <c r="S54" s="5"/>
      <c r="T54" s="5"/>
      <c r="U54" s="5"/>
    </row>
    <row r="55" spans="2:28">
      <c r="B55" s="5"/>
      <c r="C55" s="257"/>
      <c r="D55" s="17"/>
      <c r="E55" s="17"/>
      <c r="F55" s="17"/>
      <c r="G55" s="17"/>
      <c r="H55" s="17"/>
      <c r="I55" s="248"/>
      <c r="J55" s="259"/>
      <c r="K55" s="259"/>
      <c r="L55" s="259"/>
      <c r="M55" s="259"/>
      <c r="N55" s="259"/>
      <c r="O55" s="18"/>
      <c r="Q55" s="5"/>
      <c r="R55" s="5"/>
      <c r="S55" s="5"/>
      <c r="T55" s="5"/>
      <c r="U55" s="5"/>
    </row>
    <row r="56" spans="2:28">
      <c r="B56" s="5"/>
      <c r="C56" s="248"/>
      <c r="D56" s="248"/>
      <c r="E56" s="248"/>
      <c r="F56" s="5"/>
      <c r="G56" s="5"/>
      <c r="H56" s="259"/>
      <c r="I56" s="5"/>
      <c r="J56" s="249"/>
      <c r="K56" s="249"/>
      <c r="L56" s="249"/>
      <c r="M56" s="249"/>
      <c r="N56" s="249"/>
      <c r="O56" s="251"/>
      <c r="Q56" s="5"/>
      <c r="R56" s="5"/>
      <c r="S56" s="5"/>
      <c r="T56" s="5"/>
      <c r="U56" s="5"/>
    </row>
    <row r="57" spans="2:28">
      <c r="B57" s="41"/>
      <c r="C57" s="249"/>
      <c r="D57" s="249"/>
      <c r="E57" s="249"/>
      <c r="F57" s="249"/>
      <c r="G57" s="249"/>
      <c r="H57" s="249"/>
      <c r="I57" s="17"/>
      <c r="J57" s="248"/>
      <c r="K57" s="248"/>
      <c r="L57" s="248"/>
      <c r="M57" s="248"/>
      <c r="N57" s="248"/>
      <c r="O57" s="18"/>
      <c r="Q57" s="5"/>
      <c r="R57" s="5"/>
      <c r="S57" s="5"/>
      <c r="T57" s="5"/>
      <c r="U57" s="5"/>
    </row>
    <row r="58" spans="2:28">
      <c r="B58" s="5"/>
      <c r="C58" s="5"/>
      <c r="D58" s="248"/>
      <c r="E58" s="248"/>
      <c r="F58" s="248"/>
      <c r="G58" s="248"/>
      <c r="H58" s="248"/>
      <c r="I58" s="5"/>
      <c r="J58" s="5"/>
      <c r="K58" s="5"/>
      <c r="L58" s="5"/>
      <c r="M58" s="5"/>
      <c r="N58" s="5"/>
      <c r="O58" s="5"/>
      <c r="Q58" s="5"/>
      <c r="R58" s="5"/>
      <c r="S58" s="5"/>
      <c r="T58" s="5"/>
      <c r="U58" s="5"/>
    </row>
    <row r="59" spans="2:28">
      <c r="B59" s="5"/>
      <c r="C59" s="5"/>
      <c r="D59" s="5"/>
      <c r="E59" s="5"/>
      <c r="F59" s="5"/>
      <c r="G59" s="5"/>
      <c r="H59" s="5"/>
      <c r="I59" s="249"/>
      <c r="J59" s="17"/>
      <c r="K59" s="17"/>
      <c r="L59" s="17"/>
      <c r="M59" s="17"/>
      <c r="N59" s="17"/>
      <c r="O59" s="251"/>
      <c r="Q59" s="5"/>
      <c r="R59" s="5"/>
      <c r="S59" s="5"/>
      <c r="T59" s="5"/>
      <c r="U59" s="5"/>
    </row>
    <row r="60" spans="2:28">
      <c r="B60" s="41"/>
      <c r="C60" s="17"/>
      <c r="D60" s="17"/>
      <c r="E60" s="17"/>
      <c r="F60" s="17"/>
      <c r="G60" s="17"/>
      <c r="H60" s="17"/>
      <c r="I60" s="5"/>
      <c r="J60" s="5"/>
      <c r="K60" s="5"/>
      <c r="L60" s="5"/>
      <c r="M60" s="5"/>
      <c r="N60" s="5"/>
      <c r="O60" s="5"/>
      <c r="Q60" s="41"/>
      <c r="R60" s="5"/>
      <c r="S60" s="5"/>
      <c r="T60" s="5"/>
      <c r="U60" s="5"/>
    </row>
    <row r="61" spans="2:28">
      <c r="B61" s="5"/>
      <c r="C61" s="5"/>
      <c r="D61" s="5"/>
      <c r="E61" s="5"/>
      <c r="F61" s="5"/>
      <c r="G61" s="5"/>
      <c r="H61" s="5"/>
      <c r="I61" s="5"/>
      <c r="J61" s="249"/>
      <c r="K61" s="249"/>
      <c r="L61" s="249"/>
      <c r="M61" s="249"/>
      <c r="N61" s="249"/>
      <c r="O61" s="251"/>
      <c r="Q61" s="5"/>
      <c r="R61" s="5"/>
      <c r="S61" s="5"/>
      <c r="T61" s="5"/>
      <c r="U61" s="5"/>
    </row>
    <row r="62" spans="2:28">
      <c r="B62" s="41"/>
      <c r="C62" s="249"/>
      <c r="D62" s="249"/>
      <c r="E62" s="249"/>
      <c r="F62" s="249"/>
      <c r="G62" s="249"/>
      <c r="H62" s="249"/>
      <c r="I62" s="254"/>
      <c r="J62" s="5"/>
      <c r="K62" s="5"/>
      <c r="L62" s="5"/>
      <c r="M62" s="5"/>
      <c r="N62" s="5"/>
      <c r="O62" s="5"/>
      <c r="Q62" s="5"/>
      <c r="R62" s="5"/>
      <c r="S62" s="5"/>
      <c r="T62" s="5"/>
      <c r="U62" s="5"/>
    </row>
    <row r="63" spans="2:28">
      <c r="B63" s="5"/>
      <c r="C63" s="5"/>
      <c r="D63" s="5"/>
      <c r="E63" s="5"/>
      <c r="F63" s="5"/>
      <c r="G63" s="5"/>
      <c r="H63" s="5"/>
      <c r="I63" s="17"/>
      <c r="J63" s="5"/>
      <c r="K63" s="5"/>
      <c r="L63" s="5"/>
      <c r="M63" s="5"/>
      <c r="N63" s="5"/>
      <c r="O63" s="5"/>
      <c r="Q63" s="5"/>
      <c r="R63" s="5"/>
      <c r="S63" s="5"/>
      <c r="T63" s="5"/>
      <c r="U63" s="5"/>
    </row>
    <row r="64" spans="2:28">
      <c r="B64" s="5"/>
      <c r="C64" s="5"/>
      <c r="D64" s="5"/>
      <c r="E64" s="5"/>
      <c r="F64" s="5"/>
      <c r="G64" s="5"/>
      <c r="H64" s="5"/>
      <c r="I64" s="254"/>
      <c r="J64" s="254"/>
      <c r="K64" s="254"/>
      <c r="L64" s="254"/>
      <c r="M64" s="254"/>
      <c r="N64" s="254"/>
      <c r="O64" s="251"/>
      <c r="Q64" s="5"/>
      <c r="R64" s="5"/>
      <c r="S64" s="5"/>
      <c r="T64" s="5"/>
      <c r="U64" s="5"/>
    </row>
    <row r="65" spans="2:26">
      <c r="B65" s="41"/>
      <c r="C65" s="249"/>
      <c r="D65" s="254"/>
      <c r="E65" s="254"/>
      <c r="F65" s="254"/>
      <c r="G65" s="254"/>
      <c r="H65" s="254"/>
      <c r="I65" s="248"/>
      <c r="J65" s="17"/>
      <c r="K65" s="17"/>
      <c r="L65" s="17"/>
      <c r="M65" s="17"/>
      <c r="N65" s="17"/>
      <c r="O65" s="5"/>
      <c r="Q65" s="5"/>
      <c r="R65" s="5"/>
      <c r="S65" s="5"/>
      <c r="T65" s="5"/>
      <c r="U65" s="5"/>
    </row>
    <row r="66" spans="2:26">
      <c r="B66" s="5"/>
      <c r="C66" s="5"/>
      <c r="D66" s="17"/>
      <c r="E66" s="17"/>
      <c r="F66" s="17"/>
      <c r="G66" s="17"/>
      <c r="H66" s="17"/>
      <c r="I66" s="5"/>
      <c r="J66" s="254"/>
      <c r="K66" s="254"/>
      <c r="L66" s="254"/>
      <c r="M66" s="254"/>
      <c r="N66" s="254"/>
      <c r="O66" s="251"/>
      <c r="Q66" s="41"/>
      <c r="R66" s="5"/>
      <c r="S66" s="5"/>
      <c r="T66" s="5"/>
      <c r="U66" s="5"/>
    </row>
    <row r="67" spans="2:26">
      <c r="B67" s="41"/>
      <c r="C67" s="249"/>
      <c r="D67" s="254"/>
      <c r="E67" s="254"/>
      <c r="F67" s="254"/>
      <c r="G67" s="254"/>
      <c r="H67" s="254"/>
      <c r="I67" s="245"/>
      <c r="J67" s="248"/>
      <c r="K67" s="248"/>
      <c r="L67" s="248"/>
      <c r="M67" s="248"/>
      <c r="N67" s="248"/>
      <c r="O67" s="5"/>
      <c r="Q67" s="5"/>
      <c r="R67" s="5"/>
      <c r="S67" s="5"/>
      <c r="T67" s="5"/>
      <c r="U67" s="5"/>
    </row>
    <row r="68" spans="2:26">
      <c r="B68" s="5"/>
      <c r="C68" s="5"/>
      <c r="D68" s="248"/>
      <c r="E68" s="248"/>
      <c r="F68" s="248"/>
      <c r="G68" s="248"/>
      <c r="H68" s="248"/>
      <c r="I68" s="248"/>
      <c r="J68" s="5"/>
      <c r="K68" s="5"/>
      <c r="L68" s="5"/>
      <c r="M68" s="5"/>
      <c r="N68" s="5"/>
      <c r="O68" s="5"/>
      <c r="Q68" s="5"/>
      <c r="R68" s="5"/>
      <c r="S68" s="5"/>
      <c r="T68" s="5"/>
      <c r="U68" s="5"/>
    </row>
    <row r="69" spans="2:26">
      <c r="B69" s="41"/>
      <c r="C69" s="5"/>
      <c r="D69" s="5"/>
      <c r="E69" s="5"/>
      <c r="F69" s="5"/>
      <c r="G69" s="5"/>
      <c r="H69" s="5"/>
      <c r="I69" s="5"/>
      <c r="J69" s="245"/>
      <c r="K69" s="245"/>
      <c r="L69" s="245"/>
      <c r="M69" s="245"/>
      <c r="N69" s="245"/>
      <c r="O69" s="251"/>
      <c r="Q69" s="5"/>
      <c r="R69" s="5"/>
      <c r="S69" s="5"/>
      <c r="T69" s="5"/>
      <c r="U69" s="5"/>
      <c r="W69" s="76"/>
      <c r="X69" s="76"/>
    </row>
    <row r="70" spans="2:26">
      <c r="B70" s="41"/>
      <c r="C70" s="245"/>
      <c r="D70" s="245"/>
      <c r="E70" s="245"/>
      <c r="F70" s="245"/>
      <c r="G70" s="245"/>
      <c r="H70" s="245"/>
      <c r="I70" s="245"/>
      <c r="J70" s="248"/>
      <c r="K70" s="248"/>
      <c r="L70" s="248"/>
      <c r="M70" s="248"/>
      <c r="N70" s="248"/>
      <c r="O70" s="5"/>
      <c r="Q70" s="5"/>
      <c r="R70" s="5"/>
      <c r="S70" s="5"/>
      <c r="T70" s="5"/>
      <c r="U70" s="5"/>
      <c r="W70" s="76"/>
      <c r="X70" s="76"/>
      <c r="Y70" s="76"/>
      <c r="Z70" s="76"/>
    </row>
    <row r="71" spans="2:26">
      <c r="B71" s="5"/>
      <c r="C71" s="5"/>
      <c r="D71" s="248"/>
      <c r="E71" s="248"/>
      <c r="F71" s="248"/>
      <c r="G71" s="248"/>
      <c r="H71" s="248"/>
      <c r="I71" s="18"/>
      <c r="J71" s="5"/>
      <c r="K71" s="5"/>
      <c r="L71" s="5"/>
      <c r="M71" s="5"/>
      <c r="N71" s="5"/>
      <c r="O71" s="5"/>
      <c r="Q71" s="5"/>
      <c r="R71" s="5"/>
      <c r="S71" s="5"/>
      <c r="T71" s="5"/>
      <c r="U71" s="5"/>
      <c r="Y71" s="76"/>
      <c r="Z71" s="76"/>
    </row>
    <row r="72" spans="2:26">
      <c r="B72" s="41"/>
      <c r="C72" s="5"/>
      <c r="D72" s="5"/>
      <c r="E72" s="5"/>
      <c r="F72" s="5"/>
      <c r="G72" s="5"/>
      <c r="H72" s="5"/>
      <c r="I72" s="5"/>
      <c r="J72" s="245"/>
      <c r="K72" s="245"/>
      <c r="L72" s="245"/>
      <c r="M72" s="245"/>
      <c r="N72" s="245"/>
      <c r="O72" s="251"/>
      <c r="Q72" s="5"/>
      <c r="R72" s="5"/>
      <c r="S72" s="5"/>
      <c r="T72" s="5"/>
      <c r="U72" s="5"/>
    </row>
    <row r="73" spans="2:26">
      <c r="B73" s="41"/>
      <c r="C73" s="245"/>
      <c r="D73" s="245"/>
      <c r="E73" s="245"/>
      <c r="F73" s="245"/>
      <c r="G73" s="245"/>
      <c r="H73" s="245"/>
      <c r="I73" s="249"/>
      <c r="J73" s="18"/>
      <c r="K73" s="18"/>
      <c r="L73" s="18"/>
      <c r="M73" s="18"/>
      <c r="N73" s="18"/>
      <c r="O73" s="5"/>
      <c r="Q73" s="5"/>
      <c r="R73" s="5"/>
      <c r="S73" s="5"/>
      <c r="T73" s="5"/>
      <c r="U73" s="5"/>
    </row>
    <row r="74" spans="2:26">
      <c r="B74" s="5"/>
      <c r="C74" s="5"/>
      <c r="D74" s="18"/>
      <c r="E74" s="18"/>
      <c r="F74" s="18"/>
      <c r="G74" s="18"/>
      <c r="H74" s="18"/>
      <c r="I74" s="248"/>
      <c r="J74" s="5"/>
      <c r="K74" s="5"/>
      <c r="L74" s="5"/>
      <c r="M74" s="5"/>
      <c r="N74" s="5"/>
      <c r="O74" s="5"/>
      <c r="Q74" s="5"/>
      <c r="R74" s="5"/>
      <c r="S74" s="5"/>
      <c r="T74" s="5"/>
      <c r="U74" s="5"/>
    </row>
    <row r="75" spans="2:26">
      <c r="B75" s="41"/>
      <c r="C75" s="5"/>
      <c r="D75" s="5"/>
      <c r="E75" s="5"/>
      <c r="F75" s="5"/>
      <c r="G75" s="5"/>
      <c r="H75" s="5"/>
      <c r="I75" s="5"/>
      <c r="J75" s="249"/>
      <c r="K75" s="249"/>
      <c r="L75" s="249"/>
      <c r="M75" s="249"/>
      <c r="N75" s="249"/>
      <c r="O75" s="251"/>
      <c r="Q75" s="5"/>
      <c r="R75" s="5"/>
      <c r="S75" s="5"/>
      <c r="T75" s="5"/>
      <c r="U75" s="5"/>
    </row>
    <row r="76" spans="2:26">
      <c r="B76" s="41"/>
      <c r="C76" s="249"/>
      <c r="D76" s="249"/>
      <c r="E76" s="249"/>
      <c r="F76" s="249"/>
      <c r="G76" s="249"/>
      <c r="H76" s="249"/>
      <c r="I76" s="245"/>
      <c r="J76" s="248"/>
      <c r="K76" s="248"/>
      <c r="L76" s="248"/>
      <c r="M76" s="248"/>
      <c r="N76" s="248"/>
      <c r="O76" s="5"/>
      <c r="Q76" s="5"/>
      <c r="R76" s="5"/>
      <c r="S76" s="5"/>
      <c r="T76" s="5"/>
      <c r="U76" s="5"/>
    </row>
    <row r="77" spans="2:26">
      <c r="B77" s="5"/>
      <c r="C77" s="5"/>
      <c r="D77" s="248"/>
      <c r="E77" s="248"/>
      <c r="F77" s="248"/>
      <c r="G77" s="248"/>
      <c r="H77" s="248"/>
      <c r="I77" s="248"/>
      <c r="J77" s="5"/>
      <c r="K77" s="5"/>
      <c r="L77" s="5"/>
      <c r="M77" s="5"/>
      <c r="N77" s="5"/>
      <c r="O77" s="5"/>
      <c r="Q77" s="5"/>
      <c r="R77" s="5"/>
      <c r="S77" s="5"/>
      <c r="T77" s="5"/>
      <c r="U77" s="5"/>
    </row>
    <row r="78" spans="2:26">
      <c r="B78" s="41"/>
      <c r="C78" s="5"/>
      <c r="D78" s="5"/>
      <c r="E78" s="5"/>
      <c r="F78" s="5"/>
      <c r="G78" s="5"/>
      <c r="H78" s="5"/>
      <c r="I78" s="5"/>
      <c r="J78" s="245"/>
      <c r="K78" s="245"/>
      <c r="L78" s="245"/>
      <c r="M78" s="245"/>
      <c r="N78" s="245"/>
      <c r="O78" s="251"/>
      <c r="Q78" s="5"/>
      <c r="R78" s="5"/>
      <c r="S78" s="5"/>
      <c r="T78" s="5"/>
      <c r="U78" s="5"/>
    </row>
    <row r="79" spans="2:26">
      <c r="B79" s="41"/>
      <c r="C79" s="245"/>
      <c r="D79" s="245"/>
      <c r="E79" s="245"/>
      <c r="F79" s="245"/>
      <c r="G79" s="245"/>
      <c r="H79" s="245"/>
      <c r="I79" s="249"/>
      <c r="J79" s="248"/>
      <c r="K79" s="248"/>
      <c r="L79" s="248"/>
      <c r="M79" s="248"/>
      <c r="N79" s="248"/>
      <c r="O79" s="5"/>
      <c r="Q79" s="5"/>
      <c r="R79" s="5"/>
      <c r="S79" s="5"/>
      <c r="T79" s="5"/>
      <c r="U79" s="5"/>
    </row>
    <row r="80" spans="2:26">
      <c r="B80" s="5"/>
      <c r="C80" s="5"/>
      <c r="D80" s="248"/>
      <c r="E80" s="248"/>
      <c r="F80" s="248"/>
      <c r="G80" s="248"/>
      <c r="H80" s="248"/>
      <c r="I80" s="248"/>
      <c r="J80" s="5"/>
      <c r="K80" s="5"/>
      <c r="L80" s="5"/>
      <c r="M80" s="5"/>
      <c r="N80" s="5"/>
      <c r="O80" s="5"/>
      <c r="Q80" s="5"/>
      <c r="R80" s="5"/>
      <c r="S80" s="5"/>
      <c r="T80" s="5"/>
      <c r="U80" s="5"/>
    </row>
    <row r="81" spans="2:26">
      <c r="B81" s="41"/>
      <c r="C81" s="5"/>
      <c r="D81" s="5"/>
      <c r="E81" s="5"/>
      <c r="F81" s="5"/>
      <c r="G81" s="5"/>
      <c r="H81" s="5"/>
      <c r="I81" s="259"/>
      <c r="J81" s="249"/>
      <c r="K81" s="249"/>
      <c r="L81" s="249"/>
      <c r="M81" s="249"/>
      <c r="N81" s="249"/>
      <c r="O81" s="251"/>
      <c r="Q81" s="5"/>
      <c r="R81" s="5"/>
      <c r="S81" s="5"/>
      <c r="T81" s="5"/>
      <c r="U81" s="5"/>
    </row>
    <row r="82" spans="2:26">
      <c r="B82" s="41"/>
      <c r="C82" s="249"/>
      <c r="D82" s="249"/>
      <c r="E82" s="249"/>
      <c r="F82" s="249"/>
      <c r="G82" s="249"/>
      <c r="H82" s="249"/>
      <c r="I82" s="5"/>
      <c r="J82" s="248"/>
      <c r="K82" s="248"/>
      <c r="L82" s="248"/>
      <c r="M82" s="248"/>
      <c r="N82" s="248"/>
      <c r="O82" s="5"/>
      <c r="Q82" s="5"/>
      <c r="R82" s="5"/>
      <c r="S82" s="5"/>
      <c r="T82" s="5"/>
      <c r="U82" s="5"/>
    </row>
    <row r="83" spans="2:26">
      <c r="B83" s="5"/>
      <c r="C83" s="5"/>
      <c r="D83" s="248"/>
      <c r="E83" s="248"/>
      <c r="F83" s="248"/>
      <c r="G83" s="248"/>
      <c r="H83" s="248"/>
      <c r="I83" s="245"/>
      <c r="J83" s="259"/>
      <c r="K83" s="259"/>
      <c r="L83" s="259"/>
      <c r="M83" s="259"/>
      <c r="N83" s="259"/>
      <c r="O83" s="251"/>
      <c r="Q83" s="5"/>
      <c r="R83" s="5"/>
      <c r="S83" s="5"/>
      <c r="T83" s="5"/>
      <c r="U83" s="5"/>
    </row>
    <row r="84" spans="2:26">
      <c r="B84" s="5"/>
      <c r="C84" s="259"/>
      <c r="D84" s="259"/>
      <c r="E84" s="259"/>
      <c r="F84" s="259"/>
      <c r="G84" s="259"/>
      <c r="H84" s="259"/>
      <c r="I84" s="248"/>
      <c r="J84" s="5"/>
      <c r="K84" s="5"/>
      <c r="L84" s="5"/>
      <c r="M84" s="5"/>
      <c r="N84" s="5"/>
      <c r="O84" s="5"/>
      <c r="Q84" s="5"/>
      <c r="R84" s="5"/>
      <c r="S84" s="5"/>
      <c r="T84" s="5"/>
      <c r="U84" s="5"/>
    </row>
    <row r="85" spans="2:26">
      <c r="B85" s="41"/>
      <c r="C85" s="5"/>
      <c r="D85" s="5"/>
      <c r="E85" s="5"/>
      <c r="F85" s="5"/>
      <c r="G85" s="5"/>
      <c r="H85" s="5"/>
      <c r="I85" s="5"/>
      <c r="J85" s="245"/>
      <c r="K85" s="245"/>
      <c r="L85" s="245"/>
      <c r="M85" s="245"/>
      <c r="N85" s="245"/>
      <c r="O85" s="251"/>
      <c r="Q85" s="5"/>
      <c r="R85" s="5"/>
      <c r="S85" s="5"/>
      <c r="T85" s="5"/>
      <c r="U85" s="5"/>
    </row>
    <row r="86" spans="2:26">
      <c r="B86" s="41"/>
      <c r="C86" s="245"/>
      <c r="D86" s="245"/>
      <c r="E86" s="245"/>
      <c r="F86" s="245"/>
      <c r="G86" s="245"/>
      <c r="H86" s="245"/>
      <c r="I86" s="5"/>
      <c r="J86" s="248"/>
      <c r="K86" s="248"/>
      <c r="L86" s="248"/>
      <c r="M86" s="248"/>
      <c r="N86" s="248"/>
      <c r="O86" s="5"/>
      <c r="Q86" s="5"/>
      <c r="R86" s="5"/>
      <c r="S86" s="5"/>
      <c r="T86" s="5"/>
      <c r="U86" s="5"/>
    </row>
    <row r="87" spans="2:26">
      <c r="B87" s="5"/>
      <c r="C87" s="5"/>
      <c r="D87" s="248"/>
      <c r="E87" s="248"/>
      <c r="F87" s="248"/>
      <c r="G87" s="248"/>
      <c r="H87" s="248"/>
      <c r="I87" s="5"/>
      <c r="J87" s="5"/>
      <c r="K87" s="5"/>
      <c r="L87" s="5"/>
      <c r="M87" s="5"/>
      <c r="N87" s="5"/>
      <c r="O87" s="5"/>
      <c r="Q87" s="5"/>
      <c r="R87" s="5"/>
      <c r="S87" s="5"/>
      <c r="T87" s="5"/>
      <c r="U87" s="5"/>
    </row>
    <row r="88" spans="2:26">
      <c r="B88" s="41"/>
      <c r="C88" s="5"/>
      <c r="D88" s="5"/>
      <c r="E88" s="5"/>
      <c r="F88" s="5"/>
      <c r="G88" s="5"/>
      <c r="H88" s="5"/>
      <c r="I88" s="5"/>
      <c r="J88" s="5"/>
      <c r="K88" s="5"/>
      <c r="L88" s="5"/>
      <c r="M88" s="5"/>
      <c r="N88" s="5"/>
      <c r="O88" s="5"/>
      <c r="Q88" s="5"/>
      <c r="R88" s="5"/>
      <c r="S88" s="5"/>
      <c r="T88" s="5"/>
      <c r="U88" s="5"/>
    </row>
    <row r="89" spans="2:26">
      <c r="B89" s="41"/>
      <c r="C89" s="5"/>
      <c r="D89" s="5"/>
      <c r="E89" s="5"/>
      <c r="F89" s="5"/>
      <c r="G89" s="5"/>
      <c r="H89" s="5"/>
      <c r="I89" s="49"/>
      <c r="J89" s="5"/>
      <c r="K89" s="5"/>
      <c r="L89" s="5"/>
      <c r="M89" s="5"/>
      <c r="N89" s="5"/>
      <c r="O89" s="5"/>
      <c r="Q89" s="41"/>
      <c r="R89" s="5"/>
      <c r="S89" s="5"/>
      <c r="T89" s="5"/>
      <c r="U89" s="5"/>
    </row>
    <row r="90" spans="2:26">
      <c r="B90" s="41"/>
      <c r="C90" s="5"/>
      <c r="D90" s="5"/>
      <c r="E90" s="5"/>
      <c r="F90" s="5"/>
      <c r="G90" s="5"/>
      <c r="H90" s="5"/>
      <c r="I90" s="5"/>
      <c r="J90" s="5"/>
      <c r="K90" s="5"/>
      <c r="L90" s="5"/>
      <c r="M90" s="5"/>
      <c r="N90" s="5"/>
      <c r="O90" s="5"/>
      <c r="Q90" s="5"/>
      <c r="R90" s="5"/>
      <c r="S90" s="5"/>
      <c r="T90" s="5"/>
      <c r="U90" s="5"/>
    </row>
    <row r="91" spans="2:26">
      <c r="B91" s="5"/>
      <c r="C91" s="5"/>
      <c r="D91" s="5"/>
      <c r="E91" s="5"/>
      <c r="F91" s="5"/>
      <c r="G91" s="5"/>
      <c r="H91" s="5"/>
      <c r="I91" s="247"/>
      <c r="J91" s="49"/>
      <c r="K91" s="49"/>
      <c r="L91" s="49"/>
      <c r="M91" s="49"/>
      <c r="N91" s="49"/>
      <c r="O91" s="49"/>
      <c r="Q91" s="5"/>
      <c r="R91" s="5"/>
      <c r="S91" s="5"/>
      <c r="T91" s="5"/>
      <c r="U91" s="5"/>
      <c r="W91" s="21"/>
      <c r="X91" s="21"/>
    </row>
    <row r="92" spans="2:26">
      <c r="B92" s="41"/>
      <c r="C92" s="49"/>
      <c r="D92" s="49"/>
      <c r="E92" s="49"/>
      <c r="F92" s="49"/>
      <c r="G92" s="49"/>
      <c r="H92" s="49"/>
      <c r="I92" s="247"/>
      <c r="J92" s="5"/>
      <c r="K92" s="5"/>
      <c r="L92" s="5"/>
      <c r="M92" s="5"/>
      <c r="N92" s="5"/>
      <c r="O92" s="5"/>
      <c r="Q92" s="5"/>
      <c r="R92" s="5"/>
      <c r="S92" s="5"/>
      <c r="T92" s="5"/>
      <c r="U92" s="5"/>
      <c r="W92" s="21"/>
      <c r="X92" s="21"/>
      <c r="Y92" s="21"/>
      <c r="Z92" s="21"/>
    </row>
    <row r="93" spans="2:26">
      <c r="B93" s="5"/>
      <c r="C93" s="5"/>
      <c r="D93" s="5"/>
      <c r="E93" s="5"/>
      <c r="F93" s="5"/>
      <c r="G93" s="5"/>
      <c r="H93" s="5"/>
      <c r="I93" s="247"/>
      <c r="J93" s="247"/>
      <c r="K93" s="247"/>
      <c r="L93" s="247"/>
      <c r="M93" s="247"/>
      <c r="N93" s="247"/>
      <c r="O93" s="248"/>
      <c r="Q93" s="5"/>
      <c r="R93" s="5"/>
      <c r="S93" s="5"/>
      <c r="T93" s="5"/>
      <c r="U93" s="5"/>
      <c r="Y93" s="21"/>
      <c r="Z93" s="21"/>
    </row>
    <row r="94" spans="2:26">
      <c r="B94" s="5"/>
      <c r="C94" s="259"/>
      <c r="D94" s="247"/>
      <c r="E94" s="247"/>
      <c r="F94" s="247"/>
      <c r="G94" s="247"/>
      <c r="H94" s="247"/>
      <c r="I94" s="248"/>
      <c r="J94" s="247"/>
      <c r="K94" s="247"/>
      <c r="L94" s="247"/>
      <c r="M94" s="247"/>
      <c r="N94" s="247"/>
      <c r="O94" s="248"/>
      <c r="Q94" s="5"/>
      <c r="R94" s="5"/>
      <c r="S94" s="5"/>
      <c r="T94" s="5"/>
      <c r="U94" s="5"/>
    </row>
    <row r="95" spans="2:26">
      <c r="B95" s="5"/>
      <c r="C95" s="259"/>
      <c r="D95" s="247"/>
      <c r="E95" s="247"/>
      <c r="F95" s="247"/>
      <c r="G95" s="247"/>
      <c r="H95" s="247"/>
      <c r="I95" s="247"/>
      <c r="J95" s="247"/>
      <c r="K95" s="247"/>
      <c r="L95" s="247"/>
      <c r="M95" s="247"/>
      <c r="N95" s="247"/>
      <c r="O95" s="248"/>
      <c r="Q95" s="5"/>
      <c r="R95" s="5"/>
      <c r="S95" s="5"/>
      <c r="T95" s="5"/>
      <c r="U95" s="5"/>
    </row>
    <row r="96" spans="2:26">
      <c r="B96" s="5"/>
      <c r="C96" s="259"/>
      <c r="D96" s="247"/>
      <c r="E96" s="247"/>
      <c r="F96" s="247"/>
      <c r="G96" s="247"/>
      <c r="H96" s="247"/>
      <c r="I96" s="249"/>
      <c r="J96" s="248"/>
      <c r="K96" s="248"/>
      <c r="L96" s="248"/>
      <c r="M96" s="248"/>
      <c r="N96" s="248"/>
      <c r="O96" s="248"/>
      <c r="Q96" s="5"/>
      <c r="R96" s="5"/>
      <c r="S96" s="5"/>
      <c r="T96" s="5"/>
      <c r="U96" s="5"/>
    </row>
    <row r="97" spans="2:21">
      <c r="B97" s="5"/>
      <c r="C97" s="259"/>
      <c r="D97" s="248"/>
      <c r="E97" s="248"/>
      <c r="F97" s="248"/>
      <c r="G97" s="248"/>
      <c r="H97" s="248"/>
      <c r="I97" s="248"/>
      <c r="J97" s="247"/>
      <c r="K97" s="247"/>
      <c r="L97" s="247"/>
      <c r="M97" s="247"/>
      <c r="N97" s="247"/>
      <c r="O97" s="248"/>
      <c r="Q97" s="5"/>
      <c r="R97" s="5"/>
      <c r="S97" s="5"/>
      <c r="T97" s="5"/>
      <c r="U97" s="5"/>
    </row>
    <row r="98" spans="2:21">
      <c r="B98" s="5"/>
      <c r="C98" s="259"/>
      <c r="D98" s="247"/>
      <c r="E98" s="247"/>
      <c r="F98" s="247"/>
      <c r="G98" s="247"/>
      <c r="H98" s="247"/>
      <c r="I98" s="5"/>
      <c r="J98" s="249"/>
      <c r="K98" s="249"/>
      <c r="L98" s="249"/>
      <c r="M98" s="249"/>
      <c r="N98" s="249"/>
      <c r="O98" s="248"/>
      <c r="Q98" s="5"/>
      <c r="R98" s="5"/>
      <c r="S98" s="5"/>
      <c r="T98" s="5"/>
      <c r="U98" s="5"/>
    </row>
    <row r="99" spans="2:21">
      <c r="B99" s="41"/>
      <c r="C99" s="249"/>
      <c r="D99" s="249"/>
      <c r="E99" s="249"/>
      <c r="F99" s="249"/>
      <c r="G99" s="249"/>
      <c r="H99" s="249"/>
      <c r="I99" s="259"/>
      <c r="J99" s="248"/>
      <c r="K99" s="248"/>
      <c r="L99" s="248"/>
      <c r="M99" s="248"/>
      <c r="N99" s="248"/>
      <c r="O99" s="248"/>
      <c r="Q99" s="5"/>
      <c r="R99" s="5"/>
      <c r="S99" s="5"/>
      <c r="T99" s="5"/>
      <c r="U99" s="5"/>
    </row>
    <row r="100" spans="2:21" s="5" customFormat="1">
      <c r="B100" s="41"/>
      <c r="C100" s="257"/>
      <c r="D100" s="248"/>
      <c r="E100" s="248"/>
      <c r="F100" s="248"/>
      <c r="G100" s="248"/>
      <c r="H100" s="248"/>
      <c r="I100" s="259"/>
      <c r="O100" s="248"/>
      <c r="P100" s="39"/>
    </row>
    <row r="101" spans="2:21">
      <c r="B101" s="41"/>
      <c r="C101" s="5"/>
      <c r="D101" s="5"/>
      <c r="E101" s="5"/>
      <c r="F101" s="5"/>
      <c r="G101" s="5"/>
      <c r="H101" s="5"/>
      <c r="I101" s="247"/>
      <c r="J101" s="259"/>
      <c r="K101" s="259"/>
      <c r="L101" s="259"/>
      <c r="M101" s="259"/>
      <c r="N101" s="259"/>
      <c r="O101" s="5"/>
      <c r="Q101" s="5"/>
      <c r="R101" s="5"/>
      <c r="S101" s="5"/>
      <c r="T101" s="5"/>
      <c r="U101" s="5"/>
    </row>
    <row r="102" spans="2:21">
      <c r="B102" s="5"/>
      <c r="C102" s="259"/>
      <c r="D102" s="259"/>
      <c r="E102" s="259"/>
      <c r="F102" s="259"/>
      <c r="G102" s="259"/>
      <c r="H102" s="259"/>
      <c r="I102" s="5"/>
      <c r="J102" s="259"/>
      <c r="K102" s="259"/>
      <c r="L102" s="259"/>
      <c r="M102" s="259"/>
      <c r="N102" s="259"/>
      <c r="O102" s="5"/>
      <c r="P102" s="5"/>
      <c r="Q102" s="5"/>
      <c r="R102" s="5"/>
      <c r="S102" s="5"/>
      <c r="T102" s="5"/>
      <c r="U102" s="5"/>
    </row>
    <row r="103" spans="2:21">
      <c r="B103" s="5"/>
      <c r="C103" s="259"/>
      <c r="D103" s="259"/>
      <c r="E103" s="259"/>
      <c r="F103" s="259"/>
      <c r="G103" s="259"/>
      <c r="H103" s="259"/>
      <c r="I103" s="247"/>
      <c r="J103" s="247"/>
      <c r="K103" s="247"/>
      <c r="L103" s="247"/>
      <c r="M103" s="247"/>
      <c r="N103" s="247"/>
      <c r="O103" s="5"/>
      <c r="Q103" s="5"/>
      <c r="R103" s="5"/>
      <c r="S103" s="5"/>
      <c r="T103" s="5"/>
      <c r="U103" s="5"/>
    </row>
    <row r="104" spans="2:21" s="5" customFormat="1">
      <c r="C104" s="247"/>
      <c r="D104" s="247"/>
      <c r="E104" s="247"/>
      <c r="F104" s="247"/>
      <c r="G104" s="247"/>
      <c r="H104" s="247"/>
      <c r="P104" s="39"/>
    </row>
    <row r="105" spans="2:21" s="5" customFormat="1">
      <c r="I105" s="259"/>
      <c r="J105" s="247"/>
      <c r="K105" s="247"/>
      <c r="L105" s="247"/>
      <c r="M105" s="247"/>
      <c r="N105" s="247"/>
      <c r="P105" s="39"/>
    </row>
    <row r="106" spans="2:21">
      <c r="B106" s="5"/>
      <c r="C106" s="259"/>
      <c r="D106" s="247"/>
      <c r="E106" s="247"/>
      <c r="F106" s="247"/>
      <c r="G106" s="247"/>
      <c r="H106" s="247"/>
      <c r="I106" s="247"/>
      <c r="J106" s="5"/>
      <c r="K106" s="5"/>
      <c r="L106" s="5"/>
      <c r="M106" s="5"/>
      <c r="N106" s="5"/>
      <c r="O106" s="5"/>
      <c r="P106" s="5"/>
      <c r="Q106" s="5"/>
      <c r="R106" s="5"/>
      <c r="S106" s="5"/>
      <c r="T106" s="5"/>
      <c r="U106" s="5"/>
    </row>
    <row r="107" spans="2:21">
      <c r="B107" s="5"/>
      <c r="C107" s="259"/>
      <c r="D107" s="5"/>
      <c r="E107" s="5"/>
      <c r="F107" s="5"/>
      <c r="G107" s="5"/>
      <c r="H107" s="5"/>
      <c r="I107" s="249"/>
      <c r="J107" s="259"/>
      <c r="K107" s="259"/>
      <c r="L107" s="259"/>
      <c r="M107" s="259"/>
      <c r="N107" s="259"/>
      <c r="O107" s="5"/>
      <c r="P107" s="5"/>
      <c r="Q107" s="5"/>
      <c r="R107" s="5"/>
      <c r="S107" s="5"/>
      <c r="T107" s="5"/>
      <c r="U107" s="5"/>
    </row>
    <row r="108" spans="2:21">
      <c r="B108" s="5"/>
      <c r="C108" s="259"/>
      <c r="D108" s="259"/>
      <c r="E108" s="259"/>
      <c r="F108" s="259"/>
      <c r="G108" s="259"/>
      <c r="H108" s="259"/>
      <c r="I108" s="249"/>
      <c r="J108" s="247"/>
      <c r="K108" s="247"/>
      <c r="L108" s="247"/>
      <c r="M108" s="247"/>
      <c r="N108" s="247"/>
      <c r="O108" s="5"/>
      <c r="Q108" s="5"/>
      <c r="R108" s="5"/>
      <c r="S108" s="5"/>
      <c r="T108" s="5"/>
      <c r="U108" s="5"/>
    </row>
    <row r="109" spans="2:21">
      <c r="B109" s="5"/>
      <c r="C109" s="247"/>
      <c r="D109" s="247"/>
      <c r="E109" s="247"/>
      <c r="F109" s="247"/>
      <c r="G109" s="247"/>
      <c r="H109" s="247"/>
      <c r="I109" s="247"/>
      <c r="J109" s="249"/>
      <c r="K109" s="249"/>
      <c r="L109" s="249"/>
      <c r="M109" s="249"/>
      <c r="N109" s="249"/>
      <c r="O109" s="5"/>
      <c r="Q109" s="5"/>
      <c r="R109" s="5"/>
      <c r="S109" s="5"/>
      <c r="T109" s="5"/>
      <c r="U109" s="5"/>
    </row>
    <row r="110" spans="2:21">
      <c r="B110" s="41"/>
      <c r="C110" s="249"/>
      <c r="D110" s="249"/>
      <c r="E110" s="249"/>
      <c r="F110" s="249"/>
      <c r="G110" s="249"/>
      <c r="H110" s="249"/>
      <c r="I110" s="5"/>
      <c r="J110" s="249"/>
      <c r="K110" s="249"/>
      <c r="L110" s="249"/>
      <c r="M110" s="249"/>
      <c r="N110" s="249"/>
      <c r="O110" s="5"/>
      <c r="Q110" s="5"/>
      <c r="R110" s="5"/>
      <c r="S110" s="5"/>
      <c r="T110" s="5"/>
      <c r="U110" s="5"/>
    </row>
    <row r="111" spans="2:21">
      <c r="B111" s="5"/>
      <c r="C111" s="249"/>
      <c r="D111" s="249"/>
      <c r="E111" s="249"/>
      <c r="F111" s="249"/>
      <c r="G111" s="249"/>
      <c r="H111" s="249"/>
      <c r="I111" s="5"/>
      <c r="J111" s="247"/>
      <c r="K111" s="247"/>
      <c r="L111" s="247"/>
      <c r="M111" s="247"/>
      <c r="N111" s="247"/>
      <c r="O111" s="5"/>
      <c r="Q111" s="5"/>
      <c r="R111" s="5"/>
      <c r="S111" s="5"/>
      <c r="T111" s="5"/>
      <c r="U111" s="5"/>
    </row>
    <row r="112" spans="2:21">
      <c r="B112" s="5"/>
      <c r="C112" s="247"/>
      <c r="D112" s="247"/>
      <c r="E112" s="247"/>
      <c r="F112" s="247"/>
      <c r="G112" s="247"/>
      <c r="H112" s="247"/>
      <c r="I112" s="5"/>
      <c r="J112" s="5"/>
      <c r="K112" s="5"/>
      <c r="L112" s="5"/>
      <c r="M112" s="5"/>
      <c r="N112" s="5"/>
      <c r="O112" s="5"/>
      <c r="Q112" s="5"/>
      <c r="R112" s="5"/>
      <c r="S112" s="5"/>
      <c r="T112" s="5"/>
      <c r="U112" s="5"/>
    </row>
    <row r="113" spans="2:21">
      <c r="B113" s="5"/>
      <c r="C113" s="5"/>
      <c r="D113" s="5"/>
      <c r="E113" s="5"/>
      <c r="F113" s="5"/>
      <c r="G113" s="5"/>
      <c r="H113" s="5"/>
      <c r="I113" s="5"/>
      <c r="J113" s="5"/>
      <c r="K113" s="5"/>
      <c r="L113" s="5"/>
      <c r="M113" s="5"/>
      <c r="N113" s="5"/>
      <c r="O113" s="5"/>
      <c r="Q113" s="5"/>
      <c r="R113" s="5"/>
      <c r="S113" s="5"/>
      <c r="T113" s="5"/>
      <c r="U113" s="5"/>
    </row>
    <row r="114" spans="2:21">
      <c r="B114" s="5"/>
      <c r="C114" s="5"/>
      <c r="D114" s="5"/>
      <c r="E114" s="5"/>
      <c r="F114" s="5"/>
      <c r="G114" s="5"/>
      <c r="H114" s="5"/>
      <c r="I114" s="49"/>
      <c r="J114" s="5"/>
      <c r="K114" s="5"/>
      <c r="L114" s="5"/>
      <c r="M114" s="5"/>
      <c r="N114" s="5"/>
      <c r="O114" s="5"/>
      <c r="Q114" s="41"/>
      <c r="R114" s="5"/>
      <c r="S114" s="5"/>
      <c r="T114" s="5"/>
      <c r="U114" s="5"/>
    </row>
    <row r="115" spans="2:21">
      <c r="B115" s="5"/>
      <c r="C115" s="5"/>
      <c r="D115" s="5"/>
      <c r="E115" s="5"/>
      <c r="F115" s="5"/>
      <c r="G115" s="5"/>
      <c r="H115" s="5"/>
      <c r="I115" s="5"/>
      <c r="J115" s="5"/>
      <c r="K115" s="5"/>
      <c r="L115" s="5"/>
      <c r="M115" s="5"/>
      <c r="N115" s="5"/>
      <c r="O115" s="5"/>
      <c r="Q115" s="5"/>
      <c r="R115" s="5"/>
      <c r="S115" s="5"/>
      <c r="T115" s="5"/>
      <c r="U115" s="5"/>
    </row>
    <row r="116" spans="2:21">
      <c r="B116" s="5"/>
      <c r="C116" s="5"/>
      <c r="D116" s="5"/>
      <c r="E116" s="5"/>
      <c r="F116" s="5"/>
      <c r="G116" s="5"/>
      <c r="H116" s="5"/>
      <c r="I116" s="254"/>
      <c r="J116" s="49"/>
      <c r="K116" s="49"/>
      <c r="L116" s="49"/>
      <c r="M116" s="49"/>
      <c r="N116" s="49"/>
      <c r="O116" s="49"/>
      <c r="Q116" s="5"/>
      <c r="R116" s="5"/>
      <c r="S116" s="5"/>
      <c r="T116" s="5"/>
      <c r="U116" s="5"/>
    </row>
    <row r="117" spans="2:21">
      <c r="B117" s="41"/>
      <c r="C117" s="49"/>
      <c r="D117" s="49"/>
      <c r="E117" s="49"/>
      <c r="F117" s="49"/>
      <c r="G117" s="49"/>
      <c r="H117" s="49"/>
      <c r="I117" s="249"/>
      <c r="J117" s="5"/>
      <c r="K117" s="5"/>
      <c r="L117" s="5"/>
      <c r="M117" s="5"/>
      <c r="N117" s="5"/>
      <c r="O117" s="5"/>
      <c r="Q117" s="5"/>
      <c r="R117" s="5"/>
      <c r="S117" s="5"/>
      <c r="T117" s="5"/>
      <c r="U117" s="5"/>
    </row>
    <row r="118" spans="2:21">
      <c r="B118" s="5"/>
      <c r="C118" s="5"/>
      <c r="D118" s="5"/>
      <c r="E118" s="5"/>
      <c r="F118" s="5"/>
      <c r="G118" s="5"/>
      <c r="H118" s="5"/>
      <c r="I118" s="254"/>
      <c r="J118" s="254"/>
      <c r="K118" s="254"/>
      <c r="L118" s="254"/>
      <c r="M118" s="254"/>
      <c r="N118" s="254"/>
      <c r="O118" s="248"/>
      <c r="Q118" s="5"/>
      <c r="R118" s="5"/>
      <c r="S118" s="5"/>
      <c r="T118" s="5"/>
      <c r="U118" s="5"/>
    </row>
    <row r="119" spans="2:21">
      <c r="B119" s="41"/>
      <c r="C119" s="254"/>
      <c r="D119" s="254"/>
      <c r="E119" s="254"/>
      <c r="F119" s="254"/>
      <c r="G119" s="254"/>
      <c r="H119" s="254"/>
      <c r="I119" s="254"/>
      <c r="J119" s="249"/>
      <c r="K119" s="249"/>
      <c r="L119" s="249"/>
      <c r="M119" s="249"/>
      <c r="N119" s="249"/>
      <c r="O119" s="248"/>
      <c r="Q119" s="5"/>
      <c r="R119" s="5"/>
      <c r="S119" s="5"/>
      <c r="T119" s="5"/>
      <c r="U119" s="5"/>
    </row>
    <row r="120" spans="2:21">
      <c r="B120" s="41"/>
      <c r="C120" s="254"/>
      <c r="D120" s="249"/>
      <c r="E120" s="249"/>
      <c r="F120" s="249"/>
      <c r="G120" s="249"/>
      <c r="H120" s="249"/>
      <c r="I120" s="254"/>
      <c r="J120" s="254"/>
      <c r="K120" s="254"/>
      <c r="L120" s="254"/>
      <c r="M120" s="254"/>
      <c r="N120" s="254"/>
      <c r="O120" s="248"/>
      <c r="Q120" s="5"/>
      <c r="R120" s="5"/>
      <c r="S120" s="5"/>
      <c r="T120" s="5"/>
      <c r="U120" s="5"/>
    </row>
    <row r="121" spans="2:21">
      <c r="B121" s="41"/>
      <c r="C121" s="254"/>
      <c r="D121" s="254"/>
      <c r="E121" s="254"/>
      <c r="F121" s="254"/>
      <c r="G121" s="254"/>
      <c r="H121" s="254"/>
      <c r="I121" s="254"/>
      <c r="J121" s="254"/>
      <c r="K121" s="254"/>
      <c r="L121" s="254"/>
      <c r="M121" s="254"/>
      <c r="N121" s="254"/>
      <c r="O121" s="248"/>
      <c r="Q121" s="5"/>
      <c r="R121" s="5"/>
      <c r="S121" s="5"/>
      <c r="T121" s="5"/>
      <c r="U121" s="5"/>
    </row>
    <row r="122" spans="2:21">
      <c r="B122" s="41"/>
      <c r="C122" s="254"/>
      <c r="D122" s="254"/>
      <c r="E122" s="254"/>
      <c r="F122" s="254"/>
      <c r="G122" s="254"/>
      <c r="H122" s="254"/>
      <c r="I122" s="254"/>
      <c r="J122" s="254"/>
      <c r="K122" s="254"/>
      <c r="L122" s="254"/>
      <c r="M122" s="254"/>
      <c r="N122" s="254"/>
      <c r="O122" s="248"/>
      <c r="Q122" s="5"/>
      <c r="R122" s="5"/>
      <c r="S122" s="5"/>
      <c r="T122" s="5"/>
      <c r="U122" s="5"/>
    </row>
    <row r="123" spans="2:21">
      <c r="B123" s="41"/>
      <c r="C123" s="254"/>
      <c r="D123" s="254"/>
      <c r="E123" s="254"/>
      <c r="F123" s="254"/>
      <c r="G123" s="254"/>
      <c r="H123" s="254"/>
      <c r="I123" s="254"/>
      <c r="J123" s="254"/>
      <c r="K123" s="254"/>
      <c r="L123" s="254"/>
      <c r="M123" s="254"/>
      <c r="N123" s="254"/>
      <c r="O123" s="248"/>
      <c r="Q123" s="5"/>
      <c r="R123" s="5"/>
      <c r="S123" s="5"/>
      <c r="T123" s="5"/>
      <c r="U123" s="5"/>
    </row>
    <row r="124" spans="2:21">
      <c r="B124" s="41"/>
      <c r="C124" s="254"/>
      <c r="D124" s="254"/>
      <c r="E124" s="254"/>
      <c r="F124" s="254"/>
      <c r="G124" s="254"/>
      <c r="H124" s="254"/>
      <c r="I124" s="254"/>
      <c r="J124" s="254"/>
      <c r="K124" s="254"/>
      <c r="L124" s="254"/>
      <c r="M124" s="254"/>
      <c r="N124" s="254"/>
      <c r="O124" s="5"/>
      <c r="Q124" s="5"/>
      <c r="R124" s="5"/>
      <c r="S124" s="5"/>
      <c r="T124" s="5"/>
      <c r="U124" s="5"/>
    </row>
    <row r="125" spans="2:21">
      <c r="B125" s="41"/>
      <c r="C125" s="254"/>
      <c r="D125" s="254"/>
      <c r="E125" s="254"/>
      <c r="F125" s="254"/>
      <c r="G125" s="254"/>
      <c r="H125" s="254"/>
      <c r="I125" s="254"/>
      <c r="J125" s="254"/>
      <c r="K125" s="254"/>
      <c r="L125" s="254"/>
      <c r="M125" s="254"/>
      <c r="N125" s="254"/>
      <c r="O125" s="5"/>
      <c r="Q125" s="5"/>
      <c r="R125" s="5"/>
      <c r="S125" s="5"/>
      <c r="T125" s="5"/>
      <c r="U125" s="5"/>
    </row>
    <row r="126" spans="2:21">
      <c r="B126" s="41"/>
      <c r="C126" s="254"/>
      <c r="D126" s="254"/>
      <c r="E126" s="254"/>
      <c r="F126" s="254"/>
      <c r="G126" s="254"/>
      <c r="H126" s="254"/>
      <c r="I126" s="18"/>
      <c r="J126" s="254"/>
      <c r="K126" s="254"/>
      <c r="L126" s="254"/>
      <c r="M126" s="254"/>
      <c r="N126" s="254"/>
      <c r="O126" s="5"/>
      <c r="Q126" s="5"/>
      <c r="R126" s="5"/>
      <c r="S126" s="5"/>
      <c r="T126" s="5"/>
      <c r="U126" s="5"/>
    </row>
    <row r="127" spans="2:21">
      <c r="B127" s="41"/>
      <c r="C127" s="254"/>
      <c r="D127" s="254"/>
      <c r="E127" s="254"/>
      <c r="F127" s="254"/>
      <c r="G127" s="254"/>
      <c r="H127" s="254"/>
      <c r="I127" s="5"/>
      <c r="J127" s="254"/>
      <c r="K127" s="254"/>
      <c r="L127" s="254"/>
      <c r="M127" s="254"/>
      <c r="N127" s="254"/>
      <c r="O127" s="5"/>
      <c r="Q127" s="5"/>
      <c r="R127" s="5"/>
      <c r="S127" s="5"/>
      <c r="T127" s="5"/>
      <c r="U127" s="5"/>
    </row>
    <row r="128" spans="2:21">
      <c r="B128" s="41"/>
      <c r="C128" s="254"/>
      <c r="D128" s="254"/>
      <c r="E128" s="254"/>
      <c r="F128" s="254"/>
      <c r="G128" s="254"/>
      <c r="H128" s="254"/>
      <c r="I128" s="254"/>
      <c r="J128" s="18"/>
      <c r="K128" s="18"/>
      <c r="L128" s="18"/>
      <c r="M128" s="18"/>
      <c r="N128" s="18"/>
      <c r="O128" s="5"/>
      <c r="Q128" s="5"/>
      <c r="R128" s="5"/>
      <c r="S128" s="5"/>
      <c r="T128" s="5"/>
      <c r="U128" s="5"/>
    </row>
    <row r="129" spans="2:27">
      <c r="B129" s="5"/>
      <c r="C129" s="5"/>
      <c r="D129" s="18"/>
      <c r="E129" s="18"/>
      <c r="F129" s="18"/>
      <c r="G129" s="18"/>
      <c r="H129" s="18"/>
      <c r="I129" s="18"/>
      <c r="J129" s="5"/>
      <c r="K129" s="5"/>
      <c r="L129" s="5"/>
      <c r="M129" s="5"/>
      <c r="N129" s="5"/>
      <c r="O129" s="5"/>
      <c r="Q129" s="5"/>
      <c r="R129" s="5"/>
      <c r="S129" s="5"/>
      <c r="T129" s="5"/>
      <c r="U129" s="5"/>
    </row>
    <row r="130" spans="2:27">
      <c r="B130" s="5"/>
      <c r="C130" s="5"/>
      <c r="D130" s="5"/>
      <c r="E130" s="5"/>
      <c r="F130" s="5"/>
      <c r="G130" s="5"/>
      <c r="H130" s="5"/>
      <c r="I130" s="5"/>
      <c r="J130" s="254"/>
      <c r="K130" s="254"/>
      <c r="L130" s="254"/>
      <c r="M130" s="254"/>
      <c r="N130" s="254"/>
      <c r="O130" s="5"/>
      <c r="Q130" s="5"/>
      <c r="R130" s="5"/>
      <c r="S130" s="5"/>
      <c r="T130" s="5"/>
      <c r="U130" s="5"/>
    </row>
    <row r="131" spans="2:27">
      <c r="B131" s="41"/>
      <c r="C131" s="254"/>
      <c r="D131" s="254"/>
      <c r="E131" s="254"/>
      <c r="F131" s="254"/>
      <c r="G131" s="254"/>
      <c r="H131" s="254"/>
      <c r="I131" s="5"/>
      <c r="J131" s="18"/>
      <c r="K131" s="18"/>
      <c r="L131" s="18"/>
      <c r="M131" s="18"/>
      <c r="N131" s="18"/>
      <c r="O131" s="5"/>
      <c r="Q131" s="5"/>
      <c r="R131" s="5"/>
      <c r="S131" s="5"/>
      <c r="T131" s="5"/>
      <c r="U131" s="5"/>
    </row>
    <row r="132" spans="2:27">
      <c r="B132" s="5"/>
      <c r="C132" s="259"/>
      <c r="D132" s="18"/>
      <c r="E132" s="18"/>
      <c r="F132" s="18"/>
      <c r="G132" s="18"/>
      <c r="H132" s="18"/>
      <c r="I132" s="17"/>
      <c r="J132" s="5"/>
      <c r="K132" s="5"/>
      <c r="L132" s="5"/>
      <c r="M132" s="5"/>
      <c r="N132" s="5"/>
      <c r="O132" s="5"/>
      <c r="Q132" s="5"/>
      <c r="R132" s="5"/>
      <c r="S132" s="5"/>
      <c r="T132" s="5"/>
      <c r="U132" s="5"/>
    </row>
    <row r="133" spans="2:27">
      <c r="B133" s="5"/>
      <c r="C133" s="5"/>
      <c r="D133" s="5"/>
      <c r="E133" s="5"/>
      <c r="F133" s="5"/>
      <c r="G133" s="5"/>
      <c r="H133" s="5"/>
      <c r="I133" s="17"/>
      <c r="J133" s="5"/>
      <c r="K133" s="5"/>
      <c r="L133" s="5"/>
      <c r="M133" s="5"/>
      <c r="N133" s="5"/>
      <c r="O133" s="5"/>
      <c r="Q133" s="5"/>
      <c r="R133" s="5"/>
      <c r="S133" s="5"/>
      <c r="T133" s="5"/>
      <c r="U133" s="5"/>
    </row>
    <row r="134" spans="2:27">
      <c r="B134" s="41"/>
      <c r="C134" s="5"/>
      <c r="D134" s="5"/>
      <c r="E134" s="5"/>
      <c r="F134" s="5"/>
      <c r="G134" s="5"/>
      <c r="H134" s="5"/>
      <c r="I134" s="17"/>
      <c r="J134" s="17"/>
      <c r="K134" s="17"/>
      <c r="L134" s="17"/>
      <c r="M134" s="17"/>
      <c r="N134" s="17"/>
      <c r="O134" s="5"/>
      <c r="Q134" s="41"/>
      <c r="R134" s="5"/>
      <c r="S134" s="5"/>
      <c r="T134" s="5"/>
      <c r="U134" s="5"/>
    </row>
    <row r="135" spans="2:27">
      <c r="B135" s="5"/>
      <c r="C135" s="17"/>
      <c r="D135" s="17"/>
      <c r="E135" s="17"/>
      <c r="F135" s="17"/>
      <c r="G135" s="17"/>
      <c r="H135" s="17"/>
      <c r="I135" s="17"/>
      <c r="J135" s="17"/>
      <c r="K135" s="17"/>
      <c r="L135" s="17"/>
      <c r="M135" s="17"/>
      <c r="N135" s="17"/>
      <c r="O135" s="5"/>
      <c r="Q135" s="5"/>
      <c r="R135" s="5"/>
      <c r="S135" s="5"/>
      <c r="T135" s="5"/>
      <c r="U135" s="5"/>
      <c r="X135" s="304"/>
    </row>
    <row r="136" spans="2:27">
      <c r="B136" s="5"/>
      <c r="C136" s="17"/>
      <c r="D136" s="17"/>
      <c r="E136" s="17"/>
      <c r="F136" s="17"/>
      <c r="G136" s="17"/>
      <c r="H136" s="17"/>
      <c r="I136" s="17"/>
      <c r="J136" s="17"/>
      <c r="K136" s="17"/>
      <c r="L136" s="17"/>
      <c r="M136" s="17"/>
      <c r="N136" s="17"/>
      <c r="O136" s="5"/>
      <c r="Q136" s="5"/>
      <c r="R136" s="5"/>
      <c r="S136" s="5"/>
      <c r="T136" s="5"/>
      <c r="U136" s="5"/>
      <c r="X136" s="10"/>
      <c r="Y136" s="304"/>
      <c r="Z136" s="304"/>
      <c r="AA136" s="304"/>
    </row>
    <row r="137" spans="2:27">
      <c r="B137" s="5"/>
      <c r="C137" s="5"/>
      <c r="D137" s="17"/>
      <c r="E137" s="17"/>
      <c r="F137" s="17"/>
      <c r="G137" s="17"/>
      <c r="H137" s="17"/>
      <c r="I137" s="17"/>
      <c r="J137" s="17"/>
      <c r="K137" s="17"/>
      <c r="L137" s="17"/>
      <c r="M137" s="17"/>
      <c r="N137" s="17"/>
      <c r="O137" s="5"/>
      <c r="Q137" s="5"/>
      <c r="R137" s="5"/>
      <c r="S137" s="5"/>
      <c r="T137" s="5"/>
      <c r="U137" s="5"/>
      <c r="Y137" s="10"/>
      <c r="Z137" s="10"/>
      <c r="AA137" s="10"/>
    </row>
    <row r="138" spans="2:27">
      <c r="B138" s="5"/>
      <c r="C138" s="5"/>
      <c r="D138" s="17"/>
      <c r="E138" s="17"/>
      <c r="F138" s="17"/>
      <c r="G138" s="17"/>
      <c r="H138" s="17"/>
      <c r="I138" s="5"/>
      <c r="J138" s="17"/>
      <c r="K138" s="17"/>
      <c r="L138" s="17"/>
      <c r="M138" s="17"/>
      <c r="N138" s="17"/>
      <c r="O138" s="5"/>
      <c r="Q138" s="5"/>
      <c r="R138" s="5"/>
      <c r="S138" s="5"/>
      <c r="T138" s="5"/>
      <c r="U138" s="5"/>
    </row>
    <row r="139" spans="2:27">
      <c r="B139" s="5"/>
      <c r="C139" s="5"/>
      <c r="D139" s="17"/>
      <c r="E139" s="17"/>
      <c r="F139" s="17"/>
      <c r="G139" s="17"/>
      <c r="H139" s="17"/>
      <c r="I139" s="5"/>
      <c r="J139" s="17"/>
      <c r="K139" s="17"/>
      <c r="L139" s="17"/>
      <c r="M139" s="17"/>
      <c r="N139" s="17"/>
      <c r="O139" s="5"/>
      <c r="Q139" s="5"/>
      <c r="R139" s="5"/>
      <c r="S139" s="5"/>
      <c r="T139" s="5"/>
      <c r="U139" s="5"/>
    </row>
    <row r="140" spans="2:27">
      <c r="B140" s="5"/>
      <c r="C140" s="17"/>
      <c r="D140" s="17"/>
      <c r="E140" s="17"/>
      <c r="F140" s="17"/>
      <c r="G140" s="17"/>
      <c r="H140" s="17"/>
      <c r="I140" s="5"/>
      <c r="J140" s="5"/>
      <c r="K140" s="5"/>
      <c r="L140" s="5"/>
      <c r="M140" s="5"/>
      <c r="N140" s="5"/>
      <c r="O140" s="5"/>
      <c r="Q140" s="5"/>
      <c r="R140" s="5"/>
      <c r="S140" s="5"/>
      <c r="T140" s="5"/>
      <c r="U140" s="5"/>
    </row>
    <row r="141" spans="2:27">
      <c r="B141" s="5"/>
      <c r="C141" s="5"/>
      <c r="D141" s="5"/>
      <c r="E141" s="5"/>
      <c r="F141" s="5"/>
      <c r="G141" s="5"/>
      <c r="H141" s="5"/>
      <c r="I141" s="5"/>
      <c r="J141" s="5"/>
      <c r="K141" s="5"/>
      <c r="L141" s="5"/>
      <c r="M141" s="5"/>
      <c r="N141" s="5"/>
      <c r="O141" s="5"/>
      <c r="Q141" s="5"/>
      <c r="R141" s="5"/>
      <c r="S141" s="5"/>
      <c r="T141" s="5"/>
      <c r="U141" s="5"/>
    </row>
    <row r="142" spans="2:27">
      <c r="B142" s="5"/>
      <c r="C142" s="5"/>
      <c r="D142" s="5"/>
      <c r="E142" s="5"/>
      <c r="F142" s="5"/>
      <c r="G142" s="5"/>
      <c r="H142" s="5"/>
      <c r="I142" s="5"/>
      <c r="J142" s="5"/>
      <c r="K142" s="5"/>
      <c r="L142" s="5"/>
      <c r="M142" s="5"/>
      <c r="N142" s="5"/>
      <c r="O142" s="5"/>
      <c r="Q142" s="5"/>
      <c r="R142" s="5"/>
      <c r="S142" s="5"/>
      <c r="T142" s="5"/>
      <c r="U142" s="5"/>
    </row>
    <row r="143" spans="2:27">
      <c r="B143" s="5"/>
      <c r="C143" s="5"/>
      <c r="D143" s="5"/>
      <c r="E143" s="5"/>
      <c r="F143" s="5"/>
      <c r="G143" s="5"/>
      <c r="H143" s="5"/>
      <c r="I143" s="5"/>
      <c r="J143" s="5"/>
      <c r="K143" s="5"/>
      <c r="L143" s="5"/>
      <c r="M143" s="5"/>
      <c r="N143" s="5"/>
      <c r="O143" s="5"/>
      <c r="Q143" s="5"/>
      <c r="R143" s="5"/>
      <c r="S143" s="5"/>
      <c r="T143" s="5"/>
      <c r="U143" s="5"/>
    </row>
    <row r="144" spans="2:27">
      <c r="B144" s="5"/>
      <c r="C144" s="5"/>
      <c r="D144" s="5"/>
      <c r="E144" s="5"/>
      <c r="F144" s="5"/>
      <c r="G144" s="5"/>
      <c r="H144" s="5"/>
      <c r="I144" s="5"/>
      <c r="J144" s="5"/>
      <c r="K144" s="5"/>
      <c r="L144" s="5"/>
      <c r="M144" s="5"/>
      <c r="N144" s="5"/>
      <c r="O144" s="5"/>
      <c r="Q144" s="5"/>
      <c r="R144" s="5"/>
      <c r="S144" s="5"/>
      <c r="T144" s="5"/>
      <c r="U144" s="5"/>
    </row>
    <row r="145" spans="2:21">
      <c r="B145" s="5"/>
      <c r="C145" s="5"/>
      <c r="D145" s="5"/>
      <c r="E145" s="5"/>
      <c r="F145" s="5"/>
      <c r="G145" s="5"/>
      <c r="H145" s="5"/>
      <c r="I145" s="5"/>
      <c r="J145" s="5"/>
      <c r="K145" s="5"/>
      <c r="L145" s="5"/>
      <c r="M145" s="5"/>
      <c r="N145" s="5"/>
      <c r="O145" s="5"/>
      <c r="Q145" s="5"/>
      <c r="R145" s="5"/>
      <c r="S145" s="5"/>
      <c r="T145" s="5"/>
      <c r="U145" s="5"/>
    </row>
    <row r="146" spans="2:21">
      <c r="B146" s="5"/>
      <c r="C146" s="5"/>
      <c r="D146" s="5"/>
      <c r="E146" s="5"/>
      <c r="F146" s="5"/>
      <c r="G146" s="5"/>
      <c r="H146" s="5"/>
      <c r="I146" s="5"/>
      <c r="J146" s="5"/>
      <c r="K146" s="5"/>
      <c r="L146" s="5"/>
      <c r="M146" s="5"/>
      <c r="N146" s="5"/>
      <c r="O146" s="5"/>
      <c r="Q146" s="5"/>
      <c r="R146" s="5"/>
      <c r="S146" s="5"/>
      <c r="T146" s="5"/>
      <c r="U146" s="5"/>
    </row>
    <row r="147" spans="2:21">
      <c r="B147" s="5"/>
      <c r="C147" s="5"/>
      <c r="D147" s="5"/>
      <c r="E147" s="5"/>
      <c r="F147" s="5"/>
      <c r="G147" s="5"/>
      <c r="H147" s="5"/>
      <c r="I147" s="5"/>
      <c r="J147" s="5"/>
      <c r="K147" s="5"/>
      <c r="L147" s="5"/>
      <c r="M147" s="5"/>
      <c r="N147" s="5"/>
      <c r="O147" s="5"/>
      <c r="Q147" s="5"/>
      <c r="R147" s="5"/>
      <c r="S147" s="5"/>
      <c r="T147" s="5"/>
      <c r="U147" s="5"/>
    </row>
    <row r="148" spans="2:21">
      <c r="B148" s="5"/>
      <c r="C148" s="5"/>
      <c r="D148" s="5"/>
      <c r="E148" s="5"/>
      <c r="F148" s="5"/>
      <c r="G148" s="5"/>
      <c r="H148" s="5"/>
      <c r="J148" s="5"/>
      <c r="K148" s="5"/>
      <c r="L148" s="5"/>
      <c r="M148" s="5"/>
      <c r="N148" s="5"/>
      <c r="O148" s="5"/>
      <c r="Q148" s="5"/>
      <c r="R148" s="5"/>
      <c r="S148" s="5"/>
      <c r="T148" s="5"/>
      <c r="U148" s="5"/>
    </row>
    <row r="149" spans="2:21">
      <c r="B149" s="5"/>
      <c r="C149" s="5"/>
      <c r="D149" s="5"/>
      <c r="E149" s="5"/>
      <c r="F149" s="5"/>
      <c r="G149" s="5"/>
      <c r="H149" s="5"/>
      <c r="J149" s="5"/>
      <c r="K149" s="5"/>
      <c r="L149" s="5"/>
      <c r="M149" s="5"/>
      <c r="N149" s="5"/>
      <c r="O149" s="5"/>
      <c r="Q149" s="5"/>
      <c r="R149" s="5"/>
      <c r="S149" s="5"/>
      <c r="T149" s="5"/>
      <c r="U149" s="5"/>
    </row>
    <row r="150" spans="2:21">
      <c r="B150" s="5"/>
      <c r="C150" s="5"/>
      <c r="D150" s="5"/>
      <c r="E150" s="5"/>
      <c r="F150" s="5"/>
      <c r="G150" s="5"/>
      <c r="H150" s="5"/>
      <c r="Q150" s="5"/>
      <c r="R150" s="5"/>
      <c r="S150" s="5"/>
      <c r="T150" s="5"/>
      <c r="U150" s="5"/>
    </row>
    <row r="151" spans="2:21">
      <c r="Q151" s="5"/>
      <c r="R151" s="5"/>
      <c r="S151" s="5"/>
      <c r="T151" s="5"/>
      <c r="U151" s="5"/>
    </row>
    <row r="152" spans="2:21">
      <c r="Q152" s="5"/>
      <c r="R152" s="5"/>
      <c r="S152" s="5"/>
      <c r="T152" s="5"/>
      <c r="U152" s="5"/>
    </row>
    <row r="153" spans="2:21">
      <c r="C153" s="263"/>
      <c r="Q153" s="5"/>
      <c r="R153" s="5"/>
      <c r="S153" s="5"/>
      <c r="T153" s="5"/>
      <c r="U153" s="5"/>
    </row>
    <row r="154" spans="2:21">
      <c r="Q154" s="5"/>
      <c r="R154" s="5"/>
      <c r="S154" s="5"/>
      <c r="T154" s="5"/>
      <c r="U154" s="5"/>
    </row>
    <row r="155" spans="2:21">
      <c r="Q155" s="5"/>
      <c r="R155" s="5"/>
      <c r="S155" s="5"/>
      <c r="T155" s="5"/>
      <c r="U155" s="5"/>
    </row>
    <row r="156" spans="2:21">
      <c r="Q156" s="5"/>
      <c r="R156" s="5"/>
      <c r="S156" s="5"/>
      <c r="T156" s="5"/>
      <c r="U156" s="5"/>
    </row>
    <row r="157" spans="2:21">
      <c r="Q157" s="5"/>
      <c r="R157" s="5"/>
      <c r="S157" s="5"/>
      <c r="T157" s="5"/>
      <c r="U157" s="5"/>
    </row>
    <row r="158" spans="2:21">
      <c r="Q158" s="5"/>
      <c r="R158" s="5"/>
      <c r="S158" s="5"/>
      <c r="T158" s="5"/>
      <c r="U158" s="5"/>
    </row>
    <row r="159" spans="2:21">
      <c r="Q159" s="5"/>
      <c r="R159" s="5"/>
      <c r="S159" s="5"/>
      <c r="T159" s="5"/>
      <c r="U159" s="5"/>
    </row>
    <row r="160" spans="2:21">
      <c r="Q160" s="5"/>
      <c r="R160" s="5"/>
      <c r="S160" s="5"/>
      <c r="T160" s="5"/>
      <c r="U160" s="5"/>
    </row>
    <row r="161" spans="17:21">
      <c r="Q161" s="5"/>
      <c r="R161" s="5"/>
      <c r="S161" s="5"/>
      <c r="T161" s="5"/>
      <c r="U161" s="5"/>
    </row>
    <row r="162" spans="17:21">
      <c r="Q162" s="5"/>
      <c r="R162" s="5"/>
      <c r="S162" s="5"/>
      <c r="T162" s="5"/>
      <c r="U162" s="5"/>
    </row>
    <row r="163" spans="17:21">
      <c r="Q163" s="5"/>
      <c r="R163" s="5"/>
      <c r="S163" s="5"/>
      <c r="T163" s="5"/>
      <c r="U163" s="5"/>
    </row>
    <row r="164" spans="17:21">
      <c r="Q164" s="5"/>
      <c r="R164" s="5"/>
      <c r="S164" s="5"/>
      <c r="T164" s="5"/>
      <c r="U164" s="5"/>
    </row>
  </sheetData>
  <pageMargins left="0.75" right="0.75" top="1" bottom="1" header="0.5" footer="0.5"/>
  <pageSetup scale="69" orientation="landscape" r:id="rId1"/>
  <headerFooter alignWithMargins="0"/>
  <drawing r:id="rId2"/>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400-000000000000}">
  <sheetPr codeName="Sheet55">
    <tabColor theme="3" tint="0.39997558519241921"/>
    <pageSetUpPr fitToPage="1"/>
  </sheetPr>
  <dimension ref="B1:BK164"/>
  <sheetViews>
    <sheetView showGridLines="0" zoomScale="80" zoomScaleNormal="80" workbookViewId="0"/>
  </sheetViews>
  <sheetFormatPr defaultColWidth="8.88671875" defaultRowHeight="12"/>
  <cols>
    <col min="1" max="1" width="2.33203125" style="39" customWidth="1"/>
    <col min="2" max="2" width="26.6640625" style="39" customWidth="1"/>
    <col min="3" max="9" width="10" style="39" customWidth="1"/>
    <col min="10" max="10" width="26.6640625" style="39" customWidth="1"/>
    <col min="11" max="16" width="10" style="39" customWidth="1"/>
    <col min="17" max="17" width="4.5546875" style="39" customWidth="1"/>
    <col min="18" max="20" width="8.88671875" style="39"/>
    <col min="21" max="21" width="3.6640625" style="39" customWidth="1"/>
    <col min="22" max="26" width="9.109375" style="5"/>
    <col min="27" max="27" width="9.6640625" style="5" bestFit="1" customWidth="1"/>
    <col min="28" max="63" width="9.109375" style="5" customWidth="1"/>
    <col min="64" max="16384" width="8.88671875" style="39"/>
  </cols>
  <sheetData>
    <row r="1" spans="2:63" s="312" customFormat="1">
      <c r="V1" s="149"/>
      <c r="W1" s="149"/>
      <c r="X1" s="149"/>
      <c r="Y1" s="149"/>
      <c r="Z1" s="149"/>
      <c r="AA1" s="149"/>
      <c r="AB1" s="149"/>
      <c r="AC1" s="149"/>
      <c r="AD1" s="149"/>
      <c r="AE1" s="149"/>
      <c r="AF1" s="149"/>
      <c r="AG1" s="149"/>
      <c r="AH1" s="149"/>
      <c r="AI1" s="149"/>
      <c r="AJ1" s="149"/>
      <c r="AK1" s="149"/>
      <c r="AL1" s="149"/>
      <c r="AM1" s="149"/>
      <c r="AN1" s="149"/>
      <c r="AO1" s="149"/>
      <c r="AP1" s="149"/>
      <c r="AQ1" s="149"/>
      <c r="AR1" s="149"/>
      <c r="AS1" s="149"/>
      <c r="AT1" s="149"/>
      <c r="AU1" s="149"/>
      <c r="AV1" s="149"/>
      <c r="AW1" s="149"/>
      <c r="AX1" s="149"/>
      <c r="AY1" s="149"/>
      <c r="AZ1" s="149"/>
      <c r="BA1" s="149"/>
      <c r="BB1" s="149"/>
      <c r="BC1" s="149"/>
      <c r="BD1" s="149"/>
      <c r="BE1" s="149"/>
      <c r="BF1" s="149"/>
      <c r="BG1" s="149"/>
      <c r="BH1" s="149"/>
      <c r="BI1" s="149"/>
      <c r="BJ1" s="149"/>
      <c r="BK1" s="149"/>
    </row>
    <row r="2" spans="2:63" s="312" customFormat="1">
      <c r="V2" s="149"/>
      <c r="W2" s="149"/>
      <c r="X2" s="149"/>
      <c r="Y2" s="149"/>
      <c r="Z2" s="149"/>
      <c r="AA2" s="149"/>
      <c r="AB2" s="149"/>
      <c r="AC2" s="149"/>
      <c r="AD2" s="149"/>
      <c r="AE2" s="149"/>
      <c r="AF2" s="149"/>
      <c r="AG2" s="149"/>
      <c r="AH2" s="149"/>
      <c r="AI2" s="149"/>
      <c r="AJ2" s="149"/>
      <c r="AK2" s="149"/>
      <c r="AL2" s="149"/>
      <c r="AM2" s="149"/>
      <c r="AN2" s="149"/>
      <c r="AO2" s="149"/>
      <c r="AP2" s="149"/>
      <c r="AQ2" s="149"/>
      <c r="AR2" s="149"/>
      <c r="AS2" s="149"/>
      <c r="AT2" s="149"/>
      <c r="AU2" s="149"/>
      <c r="AV2" s="149"/>
      <c r="AW2" s="149"/>
      <c r="AX2" s="149"/>
      <c r="AY2" s="149"/>
      <c r="AZ2" s="149"/>
      <c r="BA2" s="149"/>
      <c r="BB2" s="149"/>
      <c r="BC2" s="149"/>
      <c r="BD2" s="149"/>
      <c r="BE2" s="149"/>
      <c r="BF2" s="149"/>
      <c r="BG2" s="149"/>
      <c r="BH2" s="149"/>
      <c r="BI2" s="149"/>
      <c r="BJ2" s="149"/>
      <c r="BK2" s="149"/>
    </row>
    <row r="3" spans="2:63" s="149" customFormat="1">
      <c r="H3" s="153"/>
      <c r="P3" s="153"/>
    </row>
    <row r="4" spans="2:63" s="156" customFormat="1" ht="21">
      <c r="B4" s="129" t="s">
        <v>609</v>
      </c>
      <c r="H4" s="222"/>
      <c r="P4" s="222"/>
    </row>
    <row r="5" spans="2:63" s="149" customFormat="1">
      <c r="C5" s="153"/>
      <c r="D5" s="153" t="str" cm="1">
        <f t="array" ref="D5:H5">headings</f>
        <v>2023E</v>
      </c>
      <c r="E5" s="153" t="str">
        <v>2024E</v>
      </c>
      <c r="F5" s="153" t="str">
        <v>2025E</v>
      </c>
      <c r="G5" s="153" t="str">
        <v>2026E</v>
      </c>
      <c r="H5" s="153" t="str">
        <v>23E-26E</v>
      </c>
      <c r="I5" s="153"/>
      <c r="J5" s="153"/>
      <c r="K5" s="153"/>
      <c r="L5" s="153" t="str" cm="1">
        <f t="array" ref="L5:P5">headings</f>
        <v>2023E</v>
      </c>
      <c r="M5" s="153" t="str">
        <v>2024E</v>
      </c>
      <c r="N5" s="153" t="str">
        <v>2025E</v>
      </c>
      <c r="O5" s="153" t="str">
        <v>2026E</v>
      </c>
      <c r="P5" s="153" t="str">
        <v>23E-26E</v>
      </c>
      <c r="Q5" s="162"/>
      <c r="R5" s="162"/>
      <c r="S5" s="162"/>
      <c r="T5" s="162"/>
      <c r="U5" s="162"/>
      <c r="V5" s="162"/>
      <c r="W5" s="162"/>
      <c r="X5" s="162"/>
      <c r="Y5" s="162"/>
    </row>
    <row r="6" spans="2:63">
      <c r="I6" s="5"/>
      <c r="J6" s="5"/>
      <c r="K6" s="5"/>
      <c r="L6" s="5"/>
      <c r="M6" s="5"/>
      <c r="N6" s="5"/>
      <c r="O6" s="49"/>
    </row>
    <row r="7" spans="2:63" ht="12.6" thickBot="1">
      <c r="B7" s="306" t="s">
        <v>271</v>
      </c>
      <c r="C7" s="265"/>
      <c r="D7" s="265"/>
      <c r="E7" s="265"/>
      <c r="F7" s="265"/>
      <c r="G7" s="265"/>
      <c r="H7" s="265"/>
      <c r="I7" s="49"/>
      <c r="J7" s="306" t="s">
        <v>200</v>
      </c>
      <c r="K7" s="306"/>
      <c r="L7" s="306"/>
      <c r="M7" s="306"/>
      <c r="N7" s="266"/>
      <c r="O7" s="266"/>
      <c r="P7" s="266"/>
    </row>
    <row r="8" spans="2:63" ht="12.6" thickTop="1">
      <c r="B8" s="5"/>
      <c r="C8" s="5"/>
      <c r="D8" s="5"/>
      <c r="E8" s="5"/>
      <c r="F8" s="5"/>
      <c r="G8" s="5"/>
      <c r="H8" s="5"/>
      <c r="I8" s="5"/>
      <c r="J8" s="5"/>
      <c r="K8" s="5"/>
      <c r="L8" s="5"/>
      <c r="M8" s="5"/>
      <c r="N8" s="5"/>
    </row>
    <row r="9" spans="2:63">
      <c r="B9" s="41" t="s">
        <v>500</v>
      </c>
      <c r="C9" s="287"/>
      <c r="D9" s="5"/>
      <c r="E9" s="249"/>
      <c r="F9" s="249"/>
      <c r="G9" s="249"/>
      <c r="H9" s="249"/>
      <c r="I9" s="249"/>
      <c r="J9" s="5" t="s">
        <v>273</v>
      </c>
      <c r="L9" s="64">
        <f>'AGG DM'!D37</f>
        <v>2.329412469433874</v>
      </c>
      <c r="M9" s="64">
        <f>'AGG DM'!E37</f>
        <v>2.207031841456474</v>
      </c>
      <c r="N9" s="64">
        <f>'AGG DM'!F37</f>
        <v>2.0665364578686574</v>
      </c>
      <c r="O9" s="64">
        <f>'AGG DM'!G37</f>
        <v>1.9167412853037995</v>
      </c>
      <c r="P9" s="17">
        <f>'AGG DM'!H37</f>
        <v>1.9501934659983178E-2</v>
      </c>
    </row>
    <row r="10" spans="2:63">
      <c r="B10" s="5" t="s">
        <v>274</v>
      </c>
      <c r="C10" s="5"/>
      <c r="D10" s="332"/>
      <c r="E10" s="332"/>
      <c r="F10" s="332"/>
      <c r="G10" s="332"/>
      <c r="H10" s="247"/>
      <c r="I10" s="247"/>
      <c r="J10" s="5" t="s">
        <v>184</v>
      </c>
      <c r="L10" s="64">
        <f>'AGG DM'!D38</f>
        <v>7.0841879802792365</v>
      </c>
      <c r="M10" s="64">
        <f>'AGG DM'!E38</f>
        <v>6.5876114702803505</v>
      </c>
      <c r="N10" s="64">
        <f>'AGG DM'!F38</f>
        <v>6.0864198915332164</v>
      </c>
      <c r="O10" s="64">
        <f>'AGG DM'!G38</f>
        <v>5.5767680131537691</v>
      </c>
      <c r="P10" s="17">
        <f>'AGG DM'!H38</f>
        <v>3.4656651554389573E-2</v>
      </c>
      <c r="W10" s="10"/>
      <c r="X10" s="10"/>
      <c r="Y10" s="10"/>
      <c r="Z10" s="10"/>
    </row>
    <row r="11" spans="2:63">
      <c r="B11" s="41" t="s">
        <v>457</v>
      </c>
      <c r="C11" s="5"/>
      <c r="D11" s="271">
        <f>'W.EUR OTHER'!D11+'W.EUR INCUMB'!D11+'W.EUR TOWER'!D11</f>
        <v>333086.69041784637</v>
      </c>
      <c r="E11" s="271">
        <f>'W.EUR OTHER'!E11+'W.EUR INCUMB'!E11+'W.EUR TOWER'!E11</f>
        <v>327533.253430237</v>
      </c>
      <c r="F11" s="271">
        <f>'W.EUR OTHER'!F11+'W.EUR INCUMB'!F11+'W.EUR TOWER'!F11</f>
        <v>326465.64284227934</v>
      </c>
      <c r="G11" s="271">
        <f>'W.EUR OTHER'!G11+'W.EUR INCUMB'!G11+'W.EUR TOWER'!G11</f>
        <v>325670.86453131458</v>
      </c>
      <c r="H11" s="249"/>
      <c r="I11" s="249"/>
      <c r="J11" s="5" t="s">
        <v>185</v>
      </c>
      <c r="L11" s="64">
        <f>'AGG DM'!D39</f>
        <v>13.53328960256645</v>
      </c>
      <c r="M11" s="64">
        <f>'AGG DM'!E39</f>
        <v>11.493643628277713</v>
      </c>
      <c r="N11" s="64">
        <f>'AGG DM'!F39</f>
        <v>10.264735122504899</v>
      </c>
      <c r="O11" s="64">
        <f>'AGG DM'!G39</f>
        <v>9.0451770938503948</v>
      </c>
      <c r="P11" s="17">
        <f>'AGG DM'!H39</f>
        <v>9.2670425427640479E-2</v>
      </c>
      <c r="W11" s="10"/>
      <c r="X11" s="10"/>
      <c r="Y11" s="10"/>
      <c r="Z11" s="10"/>
    </row>
    <row r="12" spans="2:63">
      <c r="B12" s="5" t="s">
        <v>229</v>
      </c>
      <c r="C12" s="249"/>
      <c r="D12" s="228">
        <f>'W.EUR OTHER'!D12+'W.EUR INCUMB'!D12+'W.EUR TOWER'!D12</f>
        <v>283936.38804780453</v>
      </c>
      <c r="E12" s="228">
        <f>'W.EUR OTHER'!E12+'W.EUR INCUMB'!E12+'W.EUR TOWER'!E12</f>
        <v>288009.95068449987</v>
      </c>
      <c r="F12" s="228">
        <f>'W.EUR OTHER'!F12+'W.EUR INCUMB'!F12+'W.EUR TOWER'!F12</f>
        <v>288621.49142442911</v>
      </c>
      <c r="G12" s="228">
        <f>'W.EUR OTHER'!G12+'W.EUR INCUMB'!G12+'W.EUR TOWER'!G12</f>
        <v>280188.25648599747</v>
      </c>
      <c r="H12" s="247"/>
      <c r="I12" s="247"/>
      <c r="J12" s="5" t="s">
        <v>466</v>
      </c>
      <c r="L12" s="64">
        <f>'AGG DM'!D40</f>
        <v>19.213286909010346</v>
      </c>
      <c r="M12" s="64">
        <f>'AGG DM'!E40</f>
        <v>16.347188206412962</v>
      </c>
      <c r="N12" s="64">
        <f>'AGG DM'!F40</f>
        <v>14.618845003714046</v>
      </c>
      <c r="O12" s="64">
        <f>'AGG DM'!G40</f>
        <v>12.840265625641983</v>
      </c>
      <c r="P12" s="17">
        <f>'AGG DM'!H40</f>
        <v>9.2705111729584289E-2</v>
      </c>
      <c r="W12" s="10"/>
      <c r="X12" s="10"/>
      <c r="Y12" s="10"/>
      <c r="Z12" s="10"/>
    </row>
    <row r="13" spans="2:63">
      <c r="B13" s="5" t="s">
        <v>529</v>
      </c>
      <c r="C13" s="257"/>
      <c r="D13" s="228">
        <f>'W.EUR OTHER'!D13+'W.EUR INCUMB'!D13+'W.EUR TOWER'!D13</f>
        <v>77431.939219914071</v>
      </c>
      <c r="E13" s="228">
        <f>'W.EUR OTHER'!E13+'W.EUR INCUMB'!E13+'W.EUR TOWER'!E13</f>
        <v>76749.584644835893</v>
      </c>
      <c r="F13" s="228">
        <f>'W.EUR OTHER'!F13+'W.EUR INCUMB'!F13+'W.EUR TOWER'!F13</f>
        <v>73047.969683666102</v>
      </c>
      <c r="G13" s="228">
        <f>'W.EUR OTHER'!G13+'W.EUR INCUMB'!G13+'W.EUR TOWER'!G13</f>
        <v>71183.142067301946</v>
      </c>
      <c r="H13" s="247"/>
      <c r="I13" s="247"/>
      <c r="J13" s="5" t="s">
        <v>530</v>
      </c>
      <c r="L13" s="64">
        <f>'AGG DM'!D41</f>
        <v>1.3514515540183685</v>
      </c>
      <c r="M13" s="64">
        <f>'AGG DM'!E41</f>
        <v>1.4007532435377124</v>
      </c>
      <c r="N13" s="64">
        <f>'AGG DM'!F41</f>
        <v>1.3363938049874495</v>
      </c>
      <c r="O13" s="64">
        <f>'AGG DM'!G41</f>
        <v>1.2739776448559783</v>
      </c>
      <c r="P13" s="17">
        <f>'AGG DM'!H41</f>
        <v>-2.5668717959517307E-2</v>
      </c>
    </row>
    <row r="14" spans="2:63">
      <c r="B14" s="5" t="s">
        <v>532</v>
      </c>
      <c r="C14" s="274"/>
      <c r="D14" s="228">
        <f>'W.EUR OTHER'!D14+'W.EUR INCUMB'!D14+'W.EUR TOWER'!D14</f>
        <v>31683.479270980184</v>
      </c>
      <c r="E14" s="228">
        <f>'W.EUR OTHER'!E14+'W.EUR INCUMB'!E14+'W.EUR TOWER'!E14</f>
        <v>31683.479270980184</v>
      </c>
      <c r="F14" s="228">
        <f>'W.EUR OTHER'!F14+'W.EUR INCUMB'!F14+'W.EUR TOWER'!F14</f>
        <v>31683.479270980184</v>
      </c>
      <c r="G14" s="228">
        <f>'W.EUR OTHER'!G14+'W.EUR INCUMB'!G14+'W.EUR TOWER'!G14</f>
        <v>31683.479270980184</v>
      </c>
      <c r="H14" s="247"/>
      <c r="I14" s="247"/>
      <c r="J14" s="5" t="s">
        <v>593</v>
      </c>
      <c r="L14" s="64">
        <f>'AGG DM'!D42</f>
        <v>3.3000460374957705</v>
      </c>
      <c r="M14" s="64">
        <f>'AGG DM'!E42</f>
        <v>3.1838124862642916</v>
      </c>
      <c r="N14" s="64">
        <f>'AGG DM'!F42</f>
        <v>3.0594658370749888</v>
      </c>
      <c r="O14" s="64">
        <f>'AGG DM'!G42</f>
        <v>2.9412325385033187</v>
      </c>
      <c r="P14" s="17">
        <f>'AGG DM'!H42</f>
        <v>-7.2864107786076993E-3</v>
      </c>
    </row>
    <row r="15" spans="2:63">
      <c r="B15" s="5" t="s">
        <v>531</v>
      </c>
      <c r="C15" s="257"/>
      <c r="D15" s="228">
        <f>'W.EUR OTHER'!D15+'W.EUR INCUMB'!D15+'W.EUR TOWER'!D15</f>
        <v>117548.44103079149</v>
      </c>
      <c r="E15" s="228">
        <f>'W.EUR OTHER'!E15+'W.EUR INCUMB'!E15+'W.EUR TOWER'!E15</f>
        <v>114484.97275397278</v>
      </c>
      <c r="F15" s="228">
        <f>'W.EUR OTHER'!F15+'W.EUR INCUMB'!F15+'W.EUR TOWER'!F15</f>
        <v>112239.02465061499</v>
      </c>
      <c r="G15" s="228">
        <f>'W.EUR OTHER'!G15+'W.EUR INCUMB'!G15+'W.EUR TOWER'!G15</f>
        <v>109647.66461036311</v>
      </c>
      <c r="H15" s="247"/>
      <c r="I15" s="247"/>
      <c r="J15" s="5" t="s">
        <v>475</v>
      </c>
      <c r="L15" s="64">
        <f>'AGG DM'!D43</f>
        <v>11.806292254184493</v>
      </c>
      <c r="M15" s="64">
        <f>'AGG DM'!E43</f>
        <v>10.8479727708929</v>
      </c>
      <c r="N15" s="64">
        <f>'AGG DM'!F43</f>
        <v>9.79850588673491</v>
      </c>
      <c r="O15" s="64">
        <f>'AGG DM'!G43</f>
        <v>8.8149149732476211</v>
      </c>
      <c r="P15" s="17">
        <f>'AGG DM'!H43</f>
        <v>7.171679530370545E-2</v>
      </c>
      <c r="S15" s="88"/>
      <c r="T15" s="88"/>
      <c r="U15" s="88"/>
      <c r="V15" s="42"/>
      <c r="W15" s="42"/>
      <c r="X15" s="42"/>
      <c r="Y15" s="42"/>
      <c r="Z15" s="42"/>
      <c r="AA15" s="42"/>
    </row>
    <row r="16" spans="2:63">
      <c r="B16" s="5" t="s">
        <v>534</v>
      </c>
      <c r="C16" s="257"/>
      <c r="D16" s="228">
        <f>'W.EUR OTHER'!D16+'W.EUR INCUMB'!D16+'W.EUR TOWER'!D16</f>
        <v>394.1409891930108</v>
      </c>
      <c r="E16" s="228">
        <f>'W.EUR OTHER'!E16+'W.EUR INCUMB'!E16+'W.EUR TOWER'!E16</f>
        <v>15986.694032885644</v>
      </c>
      <c r="F16" s="228">
        <f>'W.EUR OTHER'!F16+'W.EUR INCUMB'!F16+'W.EUR TOWER'!F16</f>
        <v>31849.441321710983</v>
      </c>
      <c r="G16" s="228">
        <f>'W.EUR OTHER'!G16+'W.EUR INCUMB'!G16+'W.EUR TOWER'!G16</f>
        <v>47739.755118139779</v>
      </c>
      <c r="H16" s="247"/>
      <c r="I16" s="247"/>
      <c r="J16" s="5" t="s">
        <v>533</v>
      </c>
      <c r="L16" s="64">
        <f>'AGG DM'!D44</f>
        <v>13.624604105346204</v>
      </c>
      <c r="M16" s="64">
        <f>'AGG DM'!E44</f>
        <v>12.503028582967529</v>
      </c>
      <c r="N16" s="64">
        <f>'AGG DM'!F44</f>
        <v>11.302702719097406</v>
      </c>
      <c r="O16" s="64">
        <f>'AGG DM'!G44</f>
        <v>10.160048566687355</v>
      </c>
      <c r="P16" s="17">
        <f>'AGG DM'!H44</f>
        <v>7.6119307301105277E-2</v>
      </c>
      <c r="S16" s="88"/>
      <c r="T16" s="88"/>
      <c r="U16" s="88"/>
      <c r="V16" s="42"/>
      <c r="W16" s="42"/>
      <c r="X16" s="42"/>
      <c r="Y16" s="42"/>
      <c r="Z16" s="42"/>
      <c r="AA16" s="42"/>
    </row>
    <row r="17" spans="2:27">
      <c r="B17" s="5" t="s">
        <v>6</v>
      </c>
      <c r="C17" s="257"/>
      <c r="D17" s="228">
        <f>'W.EUR OTHER'!D17+'W.EUR INCUMB'!D17+'W.EUR TOWER'!D17</f>
        <v>6823.5143490864757</v>
      </c>
      <c r="E17" s="228">
        <f>'W.EUR OTHER'!E17+'W.EUR INCUMB'!E17+'W.EUR TOWER'!E17</f>
        <v>6638.2432557562097</v>
      </c>
      <c r="F17" s="228">
        <f>'W.EUR OTHER'!F17+'W.EUR INCUMB'!F17+'W.EUR TOWER'!F17</f>
        <v>6418.5956075881886</v>
      </c>
      <c r="G17" s="228">
        <f>'W.EUR OTHER'!G17+'W.EUR INCUMB'!G17+'W.EUR TOWER'!G17</f>
        <v>6210.080020714242</v>
      </c>
      <c r="H17" s="247"/>
      <c r="I17" s="247"/>
      <c r="J17" s="5" t="s">
        <v>580</v>
      </c>
      <c r="L17" s="248">
        <f>'AGG DM'!D45</f>
        <v>3.8692911642747754E-2</v>
      </c>
      <c r="M17" s="248">
        <f>'AGG DM'!E45</f>
        <v>4.3419291969220015E-2</v>
      </c>
      <c r="N17" s="248">
        <f>'AGG DM'!F45</f>
        <v>4.6126321738259798E-2</v>
      </c>
      <c r="O17" s="248">
        <f>'AGG DM'!G45</f>
        <v>4.9423675586152439E-2</v>
      </c>
      <c r="P17" s="17">
        <f>'AGG DM'!H45</f>
        <v>5.8812184463164385E-2</v>
      </c>
      <c r="S17" s="88"/>
      <c r="T17" s="88"/>
      <c r="U17" s="88"/>
      <c r="V17" s="42"/>
      <c r="W17" s="42"/>
      <c r="X17" s="42"/>
      <c r="Y17" s="42"/>
      <c r="Z17" s="42"/>
      <c r="AA17" s="42"/>
    </row>
    <row r="18" spans="2:27" ht="12.6" thickBot="1">
      <c r="B18" s="41" t="s">
        <v>456</v>
      </c>
      <c r="C18" s="249"/>
      <c r="D18" s="275">
        <f>'W.EUR OTHER'!D18+'W.EUR INCUMB'!D18+'W.EUR TOWER'!D18</f>
        <v>773102.32410709665</v>
      </c>
      <c r="E18" s="275">
        <f>'W.EUR OTHER'!E18+'W.EUR INCUMB'!E18+'W.EUR TOWER'!E18</f>
        <v>752469.34495392372</v>
      </c>
      <c r="F18" s="275">
        <f>'W.EUR OTHER'!F18+'W.EUR INCUMB'!F18+'W.EUR TOWER'!F18</f>
        <v>730422.61240071012</v>
      </c>
      <c r="G18" s="275">
        <f>'W.EUR OTHER'!G18+'W.EUR INCUMB'!G18+'W.EUR TOWER'!G18</f>
        <v>701056.61328514281</v>
      </c>
      <c r="H18" s="276">
        <f>IF(D18=0,"nm",IF(G18=0,"nm",(G18/D18)^(1/3)-1))</f>
        <v>-3.2081693461789351E-2</v>
      </c>
      <c r="I18" s="254"/>
      <c r="J18" s="5" t="s">
        <v>36</v>
      </c>
      <c r="L18" s="248">
        <f>'AGG DM'!D46</f>
        <v>5.5339609483801136E-2</v>
      </c>
      <c r="M18" s="248">
        <f>'AGG DM'!E46</f>
        <v>7.6500460251698113E-2</v>
      </c>
      <c r="N18" s="248">
        <f>'AGG DM'!F46</f>
        <v>8.0311545489538158E-2</v>
      </c>
      <c r="O18" s="248">
        <f>'AGG DM'!G46</f>
        <v>9.1977124183415609E-2</v>
      </c>
      <c r="P18" s="17">
        <f>'AGG DM'!H46</f>
        <v>0.15593203466037919</v>
      </c>
      <c r="S18" s="42"/>
      <c r="T18" s="42"/>
      <c r="U18" s="42"/>
      <c r="V18" s="42"/>
      <c r="W18" s="42"/>
      <c r="X18" s="42"/>
      <c r="Y18" s="42"/>
      <c r="Z18" s="42"/>
      <c r="AA18" s="42"/>
    </row>
    <row r="19" spans="2:27" ht="12.6" thickTop="1">
      <c r="B19" s="41"/>
      <c r="C19" s="249"/>
      <c r="D19" s="229"/>
      <c r="E19" s="229"/>
      <c r="F19" s="229"/>
      <c r="G19" s="229"/>
      <c r="H19" s="276"/>
      <c r="I19" s="17"/>
      <c r="J19" s="5" t="s">
        <v>581</v>
      </c>
      <c r="L19" s="248">
        <f>'AGG DM'!D47</f>
        <v>8.4700596806382714E-2</v>
      </c>
      <c r="M19" s="248">
        <f>'AGG DM'!E47</f>
        <v>9.2183122240422966E-2</v>
      </c>
      <c r="N19" s="248">
        <f>'AGG DM'!F47</f>
        <v>0.10205637589642999</v>
      </c>
      <c r="O19" s="248">
        <f>'AGG DM'!G47</f>
        <v>0.11344408914151745</v>
      </c>
      <c r="P19" s="17">
        <f>'AGG DM'!H47</f>
        <v>7.171679530370545E-2</v>
      </c>
      <c r="S19" s="42"/>
      <c r="T19" s="42"/>
      <c r="U19" s="42"/>
      <c r="V19" s="42"/>
      <c r="W19" s="42"/>
      <c r="X19" s="42"/>
      <c r="Y19" s="42"/>
      <c r="Z19" s="42"/>
      <c r="AA19" s="42"/>
    </row>
    <row r="20" spans="2:27">
      <c r="H20" s="277"/>
      <c r="I20" s="49"/>
      <c r="J20" s="5" t="s">
        <v>604</v>
      </c>
      <c r="L20" s="248">
        <f>'AGG DM'!D48</f>
        <v>0.45770628705874244</v>
      </c>
      <c r="M20" s="248">
        <f>'AGG DM'!E48</f>
        <v>0.47291165163323612</v>
      </c>
      <c r="N20" s="248">
        <f>'AGG DM'!F48</f>
        <v>0.45515009617149715</v>
      </c>
      <c r="O20" s="248">
        <f>'AGG DM'!G48</f>
        <v>0.44137076019918969</v>
      </c>
      <c r="P20" s="17" t="str">
        <f>'AGG DM'!H48</f>
        <v>nm</v>
      </c>
      <c r="S20" s="42"/>
      <c r="T20" s="42"/>
      <c r="U20" s="42"/>
      <c r="V20" s="42"/>
      <c r="W20" s="42"/>
      <c r="X20" s="42"/>
      <c r="Y20" s="42"/>
      <c r="Z20" s="42"/>
      <c r="AA20" s="42"/>
    </row>
    <row r="21" spans="2:27" ht="12.6" thickBot="1">
      <c r="B21" s="306" t="s">
        <v>159</v>
      </c>
      <c r="C21" s="265">
        <v>2020</v>
      </c>
      <c r="D21" s="265" t="str">
        <f>D5</f>
        <v>2023E</v>
      </c>
      <c r="E21" s="265" t="str">
        <f>E5</f>
        <v>2024E</v>
      </c>
      <c r="F21" s="265" t="str">
        <f>F5</f>
        <v>2025E</v>
      </c>
      <c r="G21" s="265" t="str">
        <f>G5</f>
        <v>2026E</v>
      </c>
      <c r="H21" s="282" t="str">
        <f>H5</f>
        <v>23E-26E</v>
      </c>
      <c r="I21" s="17"/>
      <c r="S21" s="42"/>
      <c r="T21" s="42"/>
      <c r="U21" s="42"/>
      <c r="V21" s="42"/>
      <c r="W21" s="42"/>
      <c r="X21" s="42"/>
      <c r="Y21" s="42"/>
      <c r="Z21" s="42"/>
      <c r="AA21" s="42"/>
    </row>
    <row r="22" spans="2:27" ht="12.6" thickTop="1">
      <c r="B22" s="5"/>
      <c r="C22" s="257"/>
      <c r="D22" s="17"/>
      <c r="E22" s="17"/>
      <c r="F22" s="17"/>
      <c r="G22" s="17"/>
      <c r="H22" s="17"/>
      <c r="I22" s="247"/>
      <c r="P22" s="277"/>
      <c r="S22" s="42"/>
      <c r="T22" s="42"/>
      <c r="U22" s="42"/>
      <c r="V22" s="42"/>
      <c r="W22" s="42"/>
      <c r="X22" s="42"/>
      <c r="Y22" s="42"/>
      <c r="Z22" s="42"/>
      <c r="AA22" s="42"/>
    </row>
    <row r="23" spans="2:27" ht="12.6" thickBot="1">
      <c r="B23" s="5" t="s">
        <v>584</v>
      </c>
      <c r="C23" s="365">
        <f>'W.EUR OTHER'!C23+'W.EUR INCUMB'!C23+'W.EUR TOWER'!C23</f>
        <v>349324.52362205257</v>
      </c>
      <c r="D23" s="228">
        <f>'W.EUR OTHER'!D23+'W.EUR INCUMB'!D23+'W.EUR TOWER'!D23</f>
        <v>350685.67535689508</v>
      </c>
      <c r="E23" s="228">
        <f>'W.EUR OTHER'!E23+'W.EUR INCUMB'!E23+'W.EUR TOWER'!E23</f>
        <v>356404.24240597262</v>
      </c>
      <c r="F23" s="228">
        <f>'W.EUR OTHER'!F23+'W.EUR INCUMB'!F23+'W.EUR TOWER'!F23</f>
        <v>362250.86509120837</v>
      </c>
      <c r="G23" s="228">
        <f>'W.EUR OTHER'!G23+'W.EUR INCUMB'!G23+'W.EUR TOWER'!G23</f>
        <v>367853.28342934098</v>
      </c>
      <c r="H23" s="279">
        <f t="shared" ref="H23:H33" si="0">IF(D23=0,"nm",IF(G23=0,"nm",(G23/D23)^(1/3)-1))</f>
        <v>1.6058866854969933E-2</v>
      </c>
      <c r="I23" s="249"/>
      <c r="J23" s="306" t="s">
        <v>9</v>
      </c>
      <c r="K23" s="306"/>
      <c r="L23" s="265" t="str">
        <f>L5</f>
        <v>2023E</v>
      </c>
      <c r="M23" s="265" t="str">
        <f>M5</f>
        <v>2024E</v>
      </c>
      <c r="N23" s="265" t="str">
        <f>N5</f>
        <v>2025E</v>
      </c>
      <c r="O23" s="265" t="str">
        <f>O5</f>
        <v>2026E</v>
      </c>
      <c r="P23" s="282" t="str">
        <f>P5</f>
        <v>23E-26E</v>
      </c>
      <c r="S23" s="42"/>
      <c r="T23" s="42"/>
      <c r="U23" s="42"/>
      <c r="V23" s="353"/>
      <c r="W23" s="354"/>
      <c r="X23" s="354" t="s">
        <v>141</v>
      </c>
      <c r="Y23" s="354" t="s">
        <v>161</v>
      </c>
      <c r="Z23" s="355" t="s">
        <v>585</v>
      </c>
      <c r="AA23" s="42"/>
    </row>
    <row r="24" spans="2:27" ht="12.6" thickTop="1">
      <c r="B24" s="5" t="s">
        <v>483</v>
      </c>
      <c r="C24" s="365">
        <f>'W.EUR OTHER'!C24+'W.EUR INCUMB'!C24+'W.EUR TOWER'!C24</f>
        <v>115597.54211213304</v>
      </c>
      <c r="D24" s="228">
        <f>'W.EUR OTHER'!D24+'W.EUR INCUMB'!D24+'W.EUR TOWER'!D24</f>
        <v>114663.57295484455</v>
      </c>
      <c r="E24" s="228">
        <f>'W.EUR OTHER'!E24+'W.EUR INCUMB'!E24+'W.EUR TOWER'!E24</f>
        <v>117908.0162177098</v>
      </c>
      <c r="F24" s="228">
        <f>'W.EUR OTHER'!F24+'W.EUR INCUMB'!F24+'W.EUR TOWER'!F24</f>
        <v>122157.32570724747</v>
      </c>
      <c r="G24" s="228">
        <f>'W.EUR OTHER'!G24+'W.EUR INCUMB'!G24+'W.EUR TOWER'!G24</f>
        <v>125798.764628887</v>
      </c>
      <c r="H24" s="279">
        <f t="shared" si="0"/>
        <v>3.1375875113297758E-2</v>
      </c>
      <c r="I24" s="248"/>
      <c r="J24" s="17"/>
      <c r="K24" s="17"/>
      <c r="L24" s="17"/>
      <c r="M24" s="17"/>
      <c r="N24" s="17"/>
      <c r="O24" s="248"/>
      <c r="S24" s="42"/>
      <c r="T24" s="42"/>
      <c r="U24" s="42"/>
      <c r="V24" s="356" t="s">
        <v>273</v>
      </c>
      <c r="W24" s="42"/>
      <c r="X24" s="357">
        <f>'W.EUR OTHER'!E37/M9</f>
        <v>0.66806267134015396</v>
      </c>
      <c r="Y24" s="357">
        <f>'W.EUR INCUMB'!E37/M9</f>
        <v>0.95131422664591903</v>
      </c>
      <c r="Z24" s="358">
        <v>1</v>
      </c>
      <c r="AA24" s="42"/>
    </row>
    <row r="25" spans="2:27">
      <c r="B25" s="5" t="s">
        <v>183</v>
      </c>
      <c r="C25" s="365">
        <f>'W.EUR OTHER'!C25+'W.EUR INCUMB'!C25+'W.EUR TOWER'!C25</f>
        <v>46744.576503366283</v>
      </c>
      <c r="D25" s="228">
        <f>'W.EUR OTHER'!D25+'W.EUR INCUMB'!D25+'W.EUR TOWER'!D25</f>
        <v>53408.789609677588</v>
      </c>
      <c r="E25" s="228">
        <f>'W.EUR OTHER'!E25+'W.EUR INCUMB'!E25+'W.EUR TOWER'!E25</f>
        <v>58805.254426064348</v>
      </c>
      <c r="F25" s="228">
        <f>'W.EUR OTHER'!F25+'W.EUR INCUMB'!F25+'W.EUR TOWER'!F25</f>
        <v>64109.131529551181</v>
      </c>
      <c r="G25" s="228">
        <f>'W.EUR OTHER'!G25+'W.EUR INCUMB'!G25+'W.EUR TOWER'!G25</f>
        <v>69193.600586585118</v>
      </c>
      <c r="H25" s="279">
        <f t="shared" si="0"/>
        <v>9.0145328741173314E-2</v>
      </c>
      <c r="I25" s="249"/>
      <c r="J25" s="247" t="s">
        <v>10</v>
      </c>
      <c r="K25" s="247"/>
      <c r="L25" s="332">
        <f>'W.EUR OTHER'!L25+'W.EUR INCUMB'!L25+'W.EUR TOWER'!L25</f>
        <v>28442.033102789421</v>
      </c>
      <c r="M25" s="332">
        <f>'W.EUR OTHER'!M25+'W.EUR INCUMB'!M25+'W.EUR TOWER'!M25</f>
        <v>28551.286131571665</v>
      </c>
      <c r="N25" s="332">
        <f>'W.EUR OTHER'!N25+'W.EUR INCUMB'!N25+'W.EUR TOWER'!N25</f>
        <v>27765.921974769688</v>
      </c>
      <c r="O25" s="332">
        <f>'W.EUR OTHER'!O25+'W.EUR INCUMB'!O25+'W.EUR TOWER'!O25</f>
        <v>23505.875199676215</v>
      </c>
      <c r="P25" s="279">
        <f>IF(L25=0,"nm",IF(O25=0,"nm",(O25/L25)^(1/3)-1))</f>
        <v>-6.1562696761002567E-2</v>
      </c>
      <c r="Q25" s="5"/>
      <c r="S25" s="42"/>
      <c r="T25" s="42"/>
      <c r="U25" s="42"/>
      <c r="V25" s="356" t="s">
        <v>184</v>
      </c>
      <c r="W25" s="42"/>
      <c r="X25" s="357">
        <f>'W.EUR OTHER'!E38/M10</f>
        <v>0.75512493940277614</v>
      </c>
      <c r="Y25" s="357">
        <f>'W.EUR INCUMB'!E38/M10</f>
        <v>0.95279741506841864</v>
      </c>
      <c r="Z25" s="358">
        <v>1</v>
      </c>
      <c r="AA25" s="42"/>
    </row>
    <row r="26" spans="2:27">
      <c r="B26" s="5" t="s">
        <v>586</v>
      </c>
      <c r="C26" s="365">
        <f>'W.EUR OTHER'!C26+'W.EUR INCUMB'!C26+'W.EUR TOWER'!C26</f>
        <v>35223.651179602719</v>
      </c>
      <c r="D26" s="228">
        <f>'W.EUR OTHER'!D26+'W.EUR INCUMB'!D26+'W.EUR TOWER'!D26</f>
        <v>39336.346838941317</v>
      </c>
      <c r="E26" s="228">
        <f>'W.EUR OTHER'!E26+'W.EUR INCUMB'!E26+'W.EUR TOWER'!E26</f>
        <v>43493.153761792841</v>
      </c>
      <c r="F26" s="228">
        <f>'W.EUR OTHER'!F26+'W.EUR INCUMB'!F26+'W.EUR TOWER'!F26</f>
        <v>47365.961412822566</v>
      </c>
      <c r="G26" s="228">
        <f>'W.EUR OTHER'!G26+'W.EUR INCUMB'!G26+'W.EUR TOWER'!G26</f>
        <v>51040.229291932177</v>
      </c>
      <c r="H26" s="279">
        <f t="shared" si="0"/>
        <v>9.0702220723227311E-2</v>
      </c>
      <c r="I26" s="249"/>
      <c r="J26" s="249" t="s">
        <v>11</v>
      </c>
      <c r="K26" s="249"/>
      <c r="L26" s="281">
        <f>'W.EUR OTHER'!L26+'W.EUR INCUMB'!L26+'W.EUR TOWER'!L26</f>
        <v>361528.72352063574</v>
      </c>
      <c r="M26" s="281">
        <f>'W.EUR OTHER'!M26+'W.EUR INCUMB'!M26+'W.EUR TOWER'!M26</f>
        <v>356084.53956180857</v>
      </c>
      <c r="N26" s="281">
        <f>'W.EUR OTHER'!N26+'W.EUR INCUMB'!N26+'W.EUR TOWER'!N26</f>
        <v>354231.56481704896</v>
      </c>
      <c r="O26" s="281">
        <f>'W.EUR OTHER'!O26+'W.EUR INCUMB'!O26+'W.EUR TOWER'!O26</f>
        <v>349176.73973099072</v>
      </c>
      <c r="P26" s="279">
        <f>IF(L26=0,"nm",IF(O26=0,"nm",(O26/L26)^(1/3)-1))</f>
        <v>-1.1520881589183074E-2</v>
      </c>
      <c r="Q26" s="41"/>
      <c r="S26" s="42"/>
      <c r="T26" s="42"/>
      <c r="U26" s="42"/>
      <c r="V26" s="356" t="s">
        <v>185</v>
      </c>
      <c r="W26" s="42"/>
      <c r="X26" s="357">
        <f>'W.EUR OTHER'!E39/M11</f>
        <v>1.0497947698753927</v>
      </c>
      <c r="Y26" s="357">
        <f>'W.EUR INCUMB'!E39/M11</f>
        <v>1.0524272570709974</v>
      </c>
      <c r="Z26" s="358">
        <v>1</v>
      </c>
      <c r="AA26" s="42"/>
    </row>
    <row r="27" spans="2:27">
      <c r="B27" s="5" t="s">
        <v>587</v>
      </c>
      <c r="C27" s="365">
        <f>'W.EUR OTHER'!C27+'W.EUR INCUMB'!C27+'W.EUR TOWER'!C27</f>
        <v>620540.10964056442</v>
      </c>
      <c r="D27" s="228">
        <f>'W.EUR OTHER'!D27+'W.EUR INCUMB'!D27+'W.EUR TOWER'!D27</f>
        <v>601697.11546899588</v>
      </c>
      <c r="E27" s="228">
        <f>'W.EUR OTHER'!E27+'W.EUR INCUMB'!E27+'W.EUR TOWER'!E27</f>
        <v>614044.82168466528</v>
      </c>
      <c r="F27" s="228">
        <f>'W.EUR OTHER'!F27+'W.EUR INCUMB'!F27+'W.EUR TOWER'!F27</f>
        <v>625677.33823929634</v>
      </c>
      <c r="G27" s="228">
        <f>'W.EUR OTHER'!G27+'W.EUR INCUMB'!G27+'W.EUR TOWER'!G27</f>
        <v>630245.06785692926</v>
      </c>
      <c r="H27" s="279">
        <f t="shared" si="0"/>
        <v>1.5571509283011764E-2</v>
      </c>
      <c r="I27" s="248"/>
      <c r="J27" s="248"/>
      <c r="K27" s="248"/>
      <c r="L27" s="248"/>
      <c r="M27" s="248"/>
      <c r="N27" s="248"/>
      <c r="O27" s="248"/>
      <c r="Q27" s="5"/>
      <c r="S27" s="42"/>
      <c r="T27" s="42"/>
      <c r="U27" s="42"/>
      <c r="V27" s="356" t="s">
        <v>466</v>
      </c>
      <c r="W27" s="42"/>
      <c r="X27" s="357">
        <f>'W.EUR OTHER'!E40/M12</f>
        <v>1.0137428095513561</v>
      </c>
      <c r="Y27" s="357">
        <f>'W.EUR INCUMB'!E40/M12</f>
        <v>0.99809830863770099</v>
      </c>
      <c r="Z27" s="358">
        <v>1</v>
      </c>
      <c r="AA27" s="42"/>
    </row>
    <row r="28" spans="2:27" ht="12.6" thickBot="1">
      <c r="B28" s="5" t="s">
        <v>592</v>
      </c>
      <c r="C28" s="365">
        <f>'W.EUR OTHER'!C28+'W.EUR INCUMB'!C28+'W.EUR TOWER'!C28</f>
        <v>251821.95721789348</v>
      </c>
      <c r="D28" s="228">
        <f>'W.EUR OTHER'!D28+'W.EUR INCUMB'!D28+'W.EUR TOWER'!D28</f>
        <v>244144.55180582585</v>
      </c>
      <c r="E28" s="228">
        <f>'W.EUR OTHER'!E28+'W.EUR INCUMB'!E28+'W.EUR TOWER'!E28</f>
        <v>245406.80054317581</v>
      </c>
      <c r="F28" s="228">
        <f>'W.EUR OTHER'!F28+'W.EUR INCUMB'!F28+'W.EUR TOWER'!F28</f>
        <v>245396.04462737564</v>
      </c>
      <c r="G28" s="228">
        <f>'W.EUR OTHER'!G28+'W.EUR INCUMB'!G28+'W.EUR TOWER'!G28</f>
        <v>244546.5642383938</v>
      </c>
      <c r="H28" s="279">
        <f t="shared" si="0"/>
        <v>5.4857116108597559E-4</v>
      </c>
      <c r="I28" s="252"/>
      <c r="J28" s="306" t="s">
        <v>754</v>
      </c>
      <c r="K28" s="306"/>
      <c r="L28" s="306"/>
      <c r="M28" s="306"/>
      <c r="N28" s="266"/>
      <c r="O28" s="266"/>
      <c r="P28" s="266"/>
      <c r="Q28" s="5"/>
      <c r="S28" s="42"/>
      <c r="T28" s="42"/>
      <c r="U28" s="42"/>
      <c r="V28" s="356" t="s">
        <v>530</v>
      </c>
      <c r="W28" s="42"/>
      <c r="X28" s="357">
        <f>'W.EUR OTHER'!E41/M13</f>
        <v>0.50443192688144245</v>
      </c>
      <c r="Y28" s="357">
        <f>'W.EUR INCUMB'!E41/M13</f>
        <v>0.97465464683071068</v>
      </c>
      <c r="Z28" s="358">
        <v>1</v>
      </c>
      <c r="AA28" s="42"/>
    </row>
    <row r="29" spans="2:27" ht="12.6" thickTop="1">
      <c r="B29" s="5" t="s">
        <v>588</v>
      </c>
      <c r="C29" s="365">
        <f>'W.EUR OTHER'!C29+'W.EUR INCUMB'!C29+'W.EUR TOWER'!C29</f>
        <v>24915.957648982399</v>
      </c>
      <c r="D29" s="228">
        <f>'W.EUR OTHER'!D29+'W.EUR INCUMB'!D29+'W.EUR TOWER'!D29</f>
        <v>21456.356683168218</v>
      </c>
      <c r="E29" s="228">
        <f>'W.EUR OTHER'!E29+'W.EUR INCUMB'!E29+'W.EUR TOWER'!E29</f>
        <v>22924.480159817169</v>
      </c>
      <c r="F29" s="228">
        <f>'W.EUR OTHER'!F29+'W.EUR INCUMB'!F29+'W.EUR TOWER'!F29</f>
        <v>28202.595267594428</v>
      </c>
      <c r="G29" s="228">
        <f>'W.EUR OTHER'!G29+'W.EUR INCUMB'!G29+'W.EUR TOWER'!G29</f>
        <v>31737.565785442926</v>
      </c>
      <c r="H29" s="279">
        <f t="shared" si="0"/>
        <v>0.13939037032474633</v>
      </c>
      <c r="I29" s="254"/>
      <c r="J29" s="249"/>
      <c r="K29" s="249"/>
      <c r="L29" s="249"/>
      <c r="M29" s="249"/>
      <c r="N29" s="249"/>
      <c r="O29" s="251"/>
      <c r="Q29" s="5"/>
      <c r="S29" s="42"/>
      <c r="T29" s="42"/>
      <c r="U29" s="42"/>
      <c r="V29" s="356" t="s">
        <v>593</v>
      </c>
      <c r="W29" s="42"/>
      <c r="X29" s="357">
        <f>'W.EUR OTHER'!E42/M14</f>
        <v>0.50706038172107748</v>
      </c>
      <c r="Y29" s="357">
        <f>'W.EUR INCUMB'!E42/M14</f>
        <v>1.0184069982631847</v>
      </c>
      <c r="Z29" s="358">
        <v>1</v>
      </c>
      <c r="AA29" s="42"/>
    </row>
    <row r="30" spans="2:27">
      <c r="B30" s="5" t="s">
        <v>589</v>
      </c>
      <c r="C30" s="365">
        <f>'W.EUR OTHER'!C30+'W.EUR INCUMB'!C30+'W.EUR TOWER'!C30</f>
        <v>27127.357136076964</v>
      </c>
      <c r="D30" s="228">
        <f>'W.EUR OTHER'!D30+'W.EUR INCUMB'!D30+'W.EUR TOWER'!D30</f>
        <v>21451.611135278854</v>
      </c>
      <c r="E30" s="228">
        <f>'W.EUR OTHER'!E30+'W.EUR INCUMB'!E30+'W.EUR TOWER'!E30</f>
        <v>24091.008470087254</v>
      </c>
      <c r="F30" s="228">
        <f>'W.EUR OTHER'!F30+'W.EUR INCUMB'!F30+'W.EUR TOWER'!F30</f>
        <v>26845.50838317124</v>
      </c>
      <c r="G30" s="228">
        <f>'W.EUR OTHER'!G30+'W.EUR INCUMB'!G30+'W.EUR TOWER'!G30</f>
        <v>29383.382035360202</v>
      </c>
      <c r="H30" s="279">
        <f t="shared" si="0"/>
        <v>0.11057345490940995</v>
      </c>
      <c r="I30" s="254"/>
      <c r="J30" s="248"/>
      <c r="K30" s="248"/>
      <c r="L30" s="248"/>
      <c r="M30" s="248"/>
      <c r="N30" s="248"/>
      <c r="O30" s="5"/>
      <c r="Q30" s="5"/>
      <c r="S30" s="42"/>
      <c r="T30" s="42"/>
      <c r="U30" s="42"/>
      <c r="V30" s="356" t="s">
        <v>475</v>
      </c>
      <c r="W30" s="42"/>
      <c r="X30" s="357">
        <f>'W.EUR OTHER'!E43/M15</f>
        <v>1.662462179617697</v>
      </c>
      <c r="Y30" s="357">
        <f>'W.EUR INCUMB'!E43/M15</f>
        <v>1.2813897383836728</v>
      </c>
      <c r="Z30" s="358">
        <v>1</v>
      </c>
      <c r="AA30" s="42"/>
    </row>
    <row r="31" spans="2:27">
      <c r="B31" s="5" t="s">
        <v>590</v>
      </c>
      <c r="C31" s="365">
        <f>'W.EUR OTHER'!C31+'W.EUR INCUMB'!C31+'W.EUR TOWER'!C31</f>
        <v>15882.630056221165</v>
      </c>
      <c r="D31" s="228">
        <f>'W.EUR OTHER'!D31+'W.EUR INCUMB'!D31+'W.EUR TOWER'!D31</f>
        <v>16458.928356748685</v>
      </c>
      <c r="E31" s="228">
        <f>'W.EUR OTHER'!E31+'W.EUR INCUMB'!E31+'W.EUR TOWER'!E31</f>
        <v>15691.505203927301</v>
      </c>
      <c r="F31" s="228">
        <f>'W.EUR OTHER'!F31+'W.EUR INCUMB'!F31+'W.EUR TOWER'!F31</f>
        <v>16324.101438503247</v>
      </c>
      <c r="G31" s="228">
        <f>'W.EUR OTHER'!G31+'W.EUR INCUMB'!G31+'W.EUR TOWER'!G31</f>
        <v>17677.660742946715</v>
      </c>
      <c r="H31" s="279">
        <f t="shared" si="0"/>
        <v>2.4096967308986583E-2</v>
      </c>
      <c r="I31" s="254"/>
      <c r="J31" s="252"/>
      <c r="K31" s="252"/>
      <c r="L31" s="252"/>
      <c r="M31" s="252"/>
      <c r="N31" s="252"/>
      <c r="O31" s="5"/>
      <c r="Q31" s="5"/>
      <c r="S31" s="42"/>
      <c r="T31" s="42"/>
      <c r="U31" s="42"/>
      <c r="V31" s="356" t="s">
        <v>533</v>
      </c>
      <c r="W31" s="42"/>
      <c r="X31" s="357">
        <f>'W.EUR OTHER'!E44/M16</f>
        <v>0.94192348242802271</v>
      </c>
      <c r="Y31" s="357">
        <f>'W.EUR INCUMB'!E44/M16</f>
        <v>0.99474192301155651</v>
      </c>
      <c r="Z31" s="358">
        <v>1</v>
      </c>
      <c r="AA31" s="42"/>
    </row>
    <row r="32" spans="2:27">
      <c r="B32" s="5" t="s">
        <v>606</v>
      </c>
      <c r="C32" s="365">
        <f>'W.EUR OTHER'!C32+'W.EUR INCUMB'!C32+'W.EUR TOWER'!C32</f>
        <v>0</v>
      </c>
      <c r="D32" s="228">
        <f>'W.EUR OTHER'!D32+'W.EUR INCUMB'!D32+'W.EUR TOWER'!D32</f>
        <v>0</v>
      </c>
      <c r="E32" s="228">
        <f>'W.EUR OTHER'!E32+'W.EUR INCUMB'!E32+'W.EUR TOWER'!E32</f>
        <v>0</v>
      </c>
      <c r="F32" s="228">
        <f>'W.EUR OTHER'!F32+'W.EUR INCUMB'!F32+'W.EUR TOWER'!F32</f>
        <v>0</v>
      </c>
      <c r="G32" s="228">
        <f>'W.EUR OTHER'!G32+'W.EUR INCUMB'!G32+'W.EUR TOWER'!G32</f>
        <v>0</v>
      </c>
      <c r="H32" s="279" t="str">
        <f t="shared" si="0"/>
        <v>nm</v>
      </c>
      <c r="I32" s="5"/>
      <c r="J32" s="254"/>
      <c r="K32" s="254"/>
      <c r="L32" s="254"/>
      <c r="M32" s="254"/>
      <c r="N32" s="254"/>
      <c r="O32" s="251"/>
      <c r="Q32" s="5"/>
      <c r="S32" s="42"/>
      <c r="T32" s="42"/>
      <c r="U32" s="42"/>
      <c r="V32" s="356" t="s">
        <v>580</v>
      </c>
      <c r="W32" s="42"/>
      <c r="X32" s="288">
        <f>N17/'W.EUR OTHER'!E45</f>
        <v>1.0093749970189687</v>
      </c>
      <c r="Y32" s="288">
        <f>N17/'W.EUR INCUMB'!E45</f>
        <v>0.87792225155244941</v>
      </c>
      <c r="Z32" s="358">
        <v>1</v>
      </c>
      <c r="AA32" s="42"/>
    </row>
    <row r="33" spans="2:42">
      <c r="B33" s="5" t="s">
        <v>5</v>
      </c>
      <c r="C33" s="365">
        <f>'W.EUR OTHER'!C33+'W.EUR INCUMB'!C33+'W.EUR TOWER'!C33</f>
        <v>10415.729515339232</v>
      </c>
      <c r="D33" s="228">
        <f>'W.EUR OTHER'!D33+'W.EUR INCUMB'!D33+'W.EUR TOWER'!D33</f>
        <v>13814.144176777701</v>
      </c>
      <c r="E33" s="228">
        <f>'W.EUR OTHER'!E33+'W.EUR INCUMB'!E33+'W.EUR TOWER'!E33</f>
        <v>13303.060249328792</v>
      </c>
      <c r="F33" s="228">
        <f>'W.EUR OTHER'!F33+'W.EUR INCUMB'!F33+'W.EUR TOWER'!F33</f>
        <v>13467.901402122288</v>
      </c>
      <c r="G33" s="228">
        <f>'W.EUR OTHER'!G33+'W.EUR INCUMB'!G33+'W.EUR TOWER'!G33</f>
        <v>13268.495842886148</v>
      </c>
      <c r="H33" s="279">
        <f t="shared" si="0"/>
        <v>-1.334367844545159E-2</v>
      </c>
      <c r="I33" s="49"/>
      <c r="J33" s="254"/>
      <c r="K33" s="254"/>
      <c r="L33" s="254"/>
      <c r="M33" s="254"/>
      <c r="N33" s="254"/>
      <c r="O33" s="251"/>
      <c r="Q33" s="5"/>
      <c r="S33" s="42"/>
      <c r="T33" s="42"/>
      <c r="U33" s="42"/>
      <c r="V33" s="359" t="s">
        <v>581</v>
      </c>
      <c r="W33" s="362"/>
      <c r="X33" s="360">
        <f>N19/'W.EUR OTHER'!E47</f>
        <v>1.840519836962766</v>
      </c>
      <c r="Y33" s="360">
        <f>N19/'W.EUR INCUMB'!E47</f>
        <v>1.4186327131472105</v>
      </c>
      <c r="Z33" s="361">
        <v>1</v>
      </c>
      <c r="AA33" s="42"/>
      <c r="AC33" s="10"/>
      <c r="AD33" s="10"/>
      <c r="AE33" s="10"/>
      <c r="AF33" s="10"/>
      <c r="AH33" s="10"/>
      <c r="AI33" s="10"/>
      <c r="AJ33" s="10"/>
      <c r="AK33" s="10"/>
      <c r="AM33" s="10"/>
      <c r="AN33" s="10"/>
      <c r="AO33" s="10"/>
      <c r="AP33" s="10"/>
    </row>
    <row r="34" spans="2:42">
      <c r="H34" s="277"/>
      <c r="I34" s="254"/>
      <c r="J34" s="254"/>
      <c r="K34" s="254"/>
      <c r="L34" s="254"/>
      <c r="M34" s="254"/>
      <c r="N34" s="254"/>
      <c r="O34" s="251"/>
      <c r="Q34" s="5"/>
      <c r="S34" s="42"/>
      <c r="T34" s="42"/>
      <c r="U34" s="42"/>
      <c r="V34" s="42"/>
      <c r="W34" s="42"/>
      <c r="X34" s="42"/>
      <c r="Y34" s="288"/>
      <c r="Z34" s="288"/>
      <c r="AA34" s="42"/>
      <c r="AC34" s="10"/>
      <c r="AD34" s="10"/>
      <c r="AE34" s="10"/>
      <c r="AF34" s="10"/>
      <c r="AH34" s="10"/>
      <c r="AI34" s="10"/>
      <c r="AJ34" s="10"/>
      <c r="AK34" s="10"/>
      <c r="AM34" s="10"/>
      <c r="AN34" s="10"/>
      <c r="AO34" s="10"/>
      <c r="AP34" s="10"/>
    </row>
    <row r="35" spans="2:42" ht="12.6" thickBot="1">
      <c r="B35" s="306" t="s">
        <v>285</v>
      </c>
      <c r="C35" s="265"/>
      <c r="D35" s="265" t="str">
        <f>D5</f>
        <v>2023E</v>
      </c>
      <c r="E35" s="265" t="str">
        <f>E5</f>
        <v>2024E</v>
      </c>
      <c r="F35" s="265" t="str">
        <f>F5</f>
        <v>2025E</v>
      </c>
      <c r="G35" s="265" t="str">
        <f>G5</f>
        <v>2026E</v>
      </c>
      <c r="H35" s="265" t="str">
        <f>H5</f>
        <v>23E-26E</v>
      </c>
      <c r="I35" s="17"/>
      <c r="J35" s="5"/>
      <c r="K35" s="5"/>
      <c r="L35" s="5"/>
      <c r="M35" s="5"/>
      <c r="N35" s="5"/>
      <c r="O35" s="5"/>
      <c r="Q35" s="5"/>
      <c r="S35" s="42"/>
      <c r="T35" s="42"/>
      <c r="U35" s="42"/>
      <c r="V35" s="42"/>
      <c r="W35" s="42"/>
      <c r="X35" s="42"/>
      <c r="Y35" s="288"/>
      <c r="Z35" s="288"/>
      <c r="AA35" s="42"/>
      <c r="AC35" s="10"/>
      <c r="AD35" s="10"/>
      <c r="AE35" s="10"/>
      <c r="AF35" s="10"/>
      <c r="AH35" s="10"/>
      <c r="AI35" s="10"/>
      <c r="AJ35" s="10"/>
      <c r="AK35" s="10"/>
      <c r="AM35" s="10"/>
      <c r="AN35" s="10"/>
      <c r="AO35" s="10"/>
      <c r="AP35" s="10"/>
    </row>
    <row r="36" spans="2:42" ht="12.6" thickTop="1">
      <c r="B36" s="41"/>
      <c r="C36" s="249"/>
      <c r="D36" s="254"/>
      <c r="E36" s="254"/>
      <c r="F36" s="254"/>
      <c r="G36" s="254"/>
      <c r="H36" s="254"/>
      <c r="I36" s="5"/>
      <c r="J36" s="49"/>
      <c r="K36" s="49"/>
      <c r="L36" s="49"/>
      <c r="M36" s="49"/>
      <c r="N36" s="49"/>
      <c r="O36" s="49"/>
      <c r="Q36" s="5"/>
      <c r="R36" s="5"/>
      <c r="S36" s="42"/>
      <c r="T36" s="42"/>
      <c r="U36" s="42"/>
      <c r="V36" s="42"/>
      <c r="W36" s="42"/>
      <c r="X36" s="42"/>
      <c r="Y36" s="42"/>
      <c r="Z36" s="42"/>
      <c r="AA36" s="42"/>
      <c r="AC36" s="10"/>
      <c r="AD36" s="10"/>
      <c r="AE36" s="10"/>
      <c r="AF36" s="10"/>
      <c r="AH36" s="10"/>
      <c r="AI36" s="10"/>
      <c r="AJ36" s="10"/>
      <c r="AK36" s="10"/>
      <c r="AM36" s="10"/>
      <c r="AN36" s="10"/>
      <c r="AO36" s="10"/>
      <c r="AP36" s="10"/>
    </row>
    <row r="37" spans="2:42">
      <c r="B37" s="5" t="s">
        <v>273</v>
      </c>
      <c r="C37" s="247"/>
      <c r="D37" s="64">
        <f t="shared" ref="D37:G41" si="1">D$18/D23</f>
        <v>2.2045449199494831</v>
      </c>
      <c r="E37" s="64">
        <f t="shared" si="1"/>
        <v>2.1112805500693272</v>
      </c>
      <c r="F37" s="64">
        <f t="shared" si="1"/>
        <v>2.0163447013902993</v>
      </c>
      <c r="G37" s="64">
        <f t="shared" si="1"/>
        <v>1.9058049631893665</v>
      </c>
      <c r="H37" s="17">
        <f t="shared" ref="H37:H45" si="2">H23</f>
        <v>1.6058866854969933E-2</v>
      </c>
      <c r="I37" s="259"/>
      <c r="J37" s="259"/>
      <c r="K37" s="259"/>
      <c r="L37" s="259"/>
      <c r="M37" s="259"/>
      <c r="N37" s="259"/>
      <c r="O37" s="18"/>
      <c r="Q37" s="5"/>
      <c r="R37" s="5"/>
      <c r="S37" s="42"/>
      <c r="T37" s="42"/>
      <c r="U37" s="42"/>
      <c r="V37" s="42"/>
      <c r="W37" s="42"/>
      <c r="X37" s="42"/>
      <c r="Y37" s="42"/>
      <c r="Z37" s="42"/>
      <c r="AA37" s="42"/>
      <c r="AC37" s="10"/>
      <c r="AD37" s="10"/>
      <c r="AE37" s="10"/>
      <c r="AF37" s="10"/>
      <c r="AH37" s="10"/>
      <c r="AI37" s="10"/>
      <c r="AJ37" s="10"/>
      <c r="AK37" s="10"/>
      <c r="AM37" s="10"/>
      <c r="AN37" s="10"/>
      <c r="AO37" s="10"/>
      <c r="AP37" s="10"/>
    </row>
    <row r="38" spans="2:42">
      <c r="B38" s="5" t="s">
        <v>184</v>
      </c>
      <c r="C38" s="247"/>
      <c r="D38" s="64">
        <f t="shared" si="1"/>
        <v>6.7423533401627962</v>
      </c>
      <c r="E38" s="64">
        <f t="shared" si="1"/>
        <v>6.381833645343808</v>
      </c>
      <c r="F38" s="64">
        <f t="shared" si="1"/>
        <v>5.9793598801530976</v>
      </c>
      <c r="G38" s="64">
        <f t="shared" si="1"/>
        <v>5.5728417950152123</v>
      </c>
      <c r="H38" s="17">
        <f t="shared" si="2"/>
        <v>3.1375875113297758E-2</v>
      </c>
      <c r="I38" s="17"/>
      <c r="J38" s="17"/>
      <c r="K38" s="17"/>
      <c r="L38" s="17"/>
      <c r="M38" s="17"/>
      <c r="N38" s="17"/>
      <c r="O38" s="5"/>
      <c r="Q38" s="5"/>
      <c r="R38" s="5"/>
      <c r="S38" s="42"/>
      <c r="T38" s="42"/>
      <c r="U38" s="42"/>
      <c r="V38" s="42"/>
      <c r="W38" s="42"/>
      <c r="X38" s="42"/>
      <c r="Y38" s="42"/>
      <c r="Z38" s="42"/>
      <c r="AA38" s="42"/>
    </row>
    <row r="39" spans="2:42">
      <c r="B39" s="5" t="s">
        <v>185</v>
      </c>
      <c r="C39" s="247"/>
      <c r="D39" s="64">
        <f t="shared" si="1"/>
        <v>14.475189004601814</v>
      </c>
      <c r="E39" s="64">
        <f t="shared" si="1"/>
        <v>12.795954244190899</v>
      </c>
      <c r="F39" s="64">
        <f t="shared" si="1"/>
        <v>11.393425475807934</v>
      </c>
      <c r="G39" s="64">
        <f t="shared" si="1"/>
        <v>10.131812874918666</v>
      </c>
      <c r="H39" s="17">
        <f t="shared" si="2"/>
        <v>9.0145328741173314E-2</v>
      </c>
      <c r="I39" s="5"/>
      <c r="J39" s="5"/>
      <c r="K39" s="5"/>
      <c r="L39" s="5"/>
      <c r="M39" s="5"/>
      <c r="N39" s="5"/>
      <c r="O39" s="5"/>
      <c r="Q39" s="5"/>
      <c r="R39" s="5"/>
      <c r="S39" s="42"/>
      <c r="T39" s="42"/>
      <c r="U39" s="42"/>
      <c r="V39" s="42"/>
      <c r="W39" s="288"/>
      <c r="X39" s="288"/>
      <c r="Y39" s="42"/>
      <c r="Z39" s="42"/>
      <c r="AA39" s="42"/>
    </row>
    <row r="40" spans="2:42">
      <c r="B40" s="5" t="s">
        <v>466</v>
      </c>
      <c r="C40" s="247"/>
      <c r="D40" s="64">
        <f t="shared" si="1"/>
        <v>19.653638078606683</v>
      </c>
      <c r="E40" s="64">
        <f t="shared" si="1"/>
        <v>17.300868754542716</v>
      </c>
      <c r="F40" s="64">
        <f t="shared" si="1"/>
        <v>15.420833666494003</v>
      </c>
      <c r="G40" s="64">
        <f t="shared" si="1"/>
        <v>13.735373508519041</v>
      </c>
      <c r="H40" s="17">
        <f t="shared" si="2"/>
        <v>9.0702220723227311E-2</v>
      </c>
      <c r="I40" s="247"/>
      <c r="J40" s="259"/>
      <c r="K40" s="259"/>
      <c r="L40" s="259"/>
      <c r="M40" s="259"/>
      <c r="N40" s="259"/>
      <c r="O40" s="18"/>
      <c r="Q40" s="5"/>
      <c r="R40" s="5"/>
      <c r="S40" s="42"/>
      <c r="T40" s="42"/>
      <c r="U40" s="42"/>
      <c r="V40" s="42"/>
      <c r="W40" s="288"/>
      <c r="X40" s="288"/>
      <c r="Y40" s="288"/>
      <c r="Z40" s="288"/>
      <c r="AA40" s="42"/>
    </row>
    <row r="41" spans="2:42">
      <c r="B41" s="5" t="s">
        <v>530</v>
      </c>
      <c r="C41" s="247"/>
      <c r="D41" s="64">
        <f t="shared" si="1"/>
        <v>1.2848695867596076</v>
      </c>
      <c r="E41" s="64">
        <f t="shared" si="1"/>
        <v>1.2254306499800507</v>
      </c>
      <c r="F41" s="64">
        <f t="shared" si="1"/>
        <v>1.167411008453934</v>
      </c>
      <c r="G41" s="64">
        <f t="shared" si="1"/>
        <v>1.1123555725219707</v>
      </c>
      <c r="H41" s="17">
        <f t="shared" si="2"/>
        <v>1.5571509283011764E-2</v>
      </c>
      <c r="I41" s="248"/>
      <c r="J41" s="17"/>
      <c r="K41" s="17"/>
      <c r="L41" s="17"/>
      <c r="M41" s="17"/>
      <c r="N41" s="17"/>
      <c r="O41" s="5"/>
      <c r="Q41" s="5"/>
      <c r="R41" s="5"/>
      <c r="S41" s="42"/>
      <c r="T41" s="42"/>
      <c r="U41" s="42"/>
      <c r="V41" s="42"/>
      <c r="W41" s="288"/>
      <c r="X41" s="288"/>
      <c r="Y41" s="288"/>
      <c r="Z41" s="288"/>
      <c r="AA41" s="42"/>
    </row>
    <row r="42" spans="2:42">
      <c r="B42" s="5" t="s">
        <v>593</v>
      </c>
      <c r="C42" s="247"/>
      <c r="D42" s="64">
        <f>D18/D28</f>
        <v>3.1665761877085172</v>
      </c>
      <c r="E42" s="64">
        <f>E18/E28</f>
        <v>3.0662122780967414</v>
      </c>
      <c r="F42" s="64">
        <f>F18/F28</f>
        <v>2.9765052387451005</v>
      </c>
      <c r="G42" s="64">
        <f>G18/G28</f>
        <v>2.8667612463437626</v>
      </c>
      <c r="H42" s="17">
        <f t="shared" si="2"/>
        <v>5.4857116108597559E-4</v>
      </c>
      <c r="I42" s="247"/>
      <c r="J42" s="5"/>
      <c r="K42" s="5"/>
      <c r="L42" s="5"/>
      <c r="M42" s="5"/>
      <c r="N42" s="5"/>
      <c r="O42" s="5"/>
      <c r="Q42" s="5"/>
      <c r="R42" s="5"/>
      <c r="S42" s="42"/>
      <c r="T42" s="42"/>
      <c r="U42" s="42"/>
      <c r="V42" s="42"/>
      <c r="W42" s="288"/>
      <c r="X42" s="288"/>
      <c r="Y42" s="288"/>
      <c r="Z42" s="288"/>
      <c r="AA42" s="42"/>
    </row>
    <row r="43" spans="2:42">
      <c r="B43" s="5" t="s">
        <v>475</v>
      </c>
      <c r="C43" s="247"/>
      <c r="D43" s="64">
        <f>L26/D29</f>
        <v>16.849492616994137</v>
      </c>
      <c r="E43" s="64">
        <f>M26/E29</f>
        <v>15.532938460518116</v>
      </c>
      <c r="F43" s="64">
        <f>N26/F29</f>
        <v>12.56024707854</v>
      </c>
      <c r="G43" s="64">
        <f>O26/G29</f>
        <v>11.002001290569916</v>
      </c>
      <c r="H43" s="17">
        <f t="shared" si="2"/>
        <v>0.13939037032474633</v>
      </c>
      <c r="I43" s="247"/>
      <c r="J43" s="247"/>
      <c r="K43" s="247"/>
      <c r="L43" s="247"/>
      <c r="M43" s="247"/>
      <c r="N43" s="247"/>
      <c r="O43" s="18"/>
      <c r="Q43" s="5"/>
      <c r="R43" s="5"/>
      <c r="S43" s="42"/>
      <c r="T43" s="42"/>
      <c r="U43" s="42"/>
      <c r="V43" s="42"/>
      <c r="W43" s="325"/>
      <c r="X43" s="325"/>
      <c r="Y43" s="288"/>
      <c r="Z43" s="288"/>
      <c r="AA43" s="42"/>
    </row>
    <row r="44" spans="2:42">
      <c r="B44" s="5" t="s">
        <v>533</v>
      </c>
      <c r="C44" s="69"/>
      <c r="D44" s="64">
        <f>D11/D30</f>
        <v>15.527350757820667</v>
      </c>
      <c r="E44" s="64">
        <f>E11/E30</f>
        <v>13.595663869236551</v>
      </c>
      <c r="F44" s="64">
        <f>F11/F30</f>
        <v>12.160903722983033</v>
      </c>
      <c r="G44" s="64">
        <f>G11/G30</f>
        <v>11.083505096159442</v>
      </c>
      <c r="H44" s="17">
        <f t="shared" si="2"/>
        <v>0.11057345490940995</v>
      </c>
      <c r="I44" s="248"/>
      <c r="J44" s="248"/>
      <c r="K44" s="248"/>
      <c r="L44" s="248"/>
      <c r="M44" s="248"/>
      <c r="N44" s="248"/>
      <c r="O44" s="248"/>
      <c r="Q44" s="5"/>
      <c r="R44" s="5"/>
      <c r="S44" s="42"/>
      <c r="T44" s="42"/>
      <c r="U44" s="42"/>
      <c r="V44" s="42"/>
      <c r="W44" s="42"/>
      <c r="X44" s="42"/>
      <c r="Y44" s="325"/>
      <c r="Z44" s="325"/>
      <c r="AA44" s="42"/>
    </row>
    <row r="45" spans="2:42">
      <c r="B45" s="5" t="s">
        <v>580</v>
      </c>
      <c r="C45" s="247"/>
      <c r="D45" s="248">
        <f>D31/D11</f>
        <v>4.9413347426465755E-2</v>
      </c>
      <c r="E45" s="248">
        <f>E31/E11</f>
        <v>4.7908128532266774E-2</v>
      </c>
      <c r="F45" s="248">
        <f>F31/F11</f>
        <v>5.0002509594523167E-2</v>
      </c>
      <c r="G45" s="248">
        <f>G31/G11</f>
        <v>5.4280756027676326E-2</v>
      </c>
      <c r="H45" s="17">
        <f t="shared" si="2"/>
        <v>2.4096967308986583E-2</v>
      </c>
      <c r="I45" s="247"/>
      <c r="J45" s="247"/>
      <c r="K45" s="247"/>
      <c r="L45" s="247"/>
      <c r="M45" s="247"/>
      <c r="N45" s="247"/>
      <c r="O45" s="248"/>
      <c r="Q45" s="5"/>
      <c r="R45" s="5"/>
      <c r="S45" s="42"/>
      <c r="T45" s="42"/>
      <c r="U45" s="42"/>
      <c r="V45" s="42"/>
      <c r="W45" s="42"/>
      <c r="X45" s="42"/>
      <c r="Y45" s="42"/>
      <c r="Z45" s="42"/>
      <c r="AA45" s="326"/>
      <c r="AB45" s="303"/>
    </row>
    <row r="46" spans="2:42">
      <c r="B46" s="5" t="s">
        <v>605</v>
      </c>
      <c r="C46" s="247"/>
      <c r="D46" s="248">
        <f>(D31+D32)/D11</f>
        <v>4.9413347426465755E-2</v>
      </c>
      <c r="E46" s="248">
        <f>(E31+E32)/E11</f>
        <v>4.7908128532266774E-2</v>
      </c>
      <c r="F46" s="248">
        <f>(F31+F32)/F11</f>
        <v>5.0002509594523167E-2</v>
      </c>
      <c r="G46" s="248">
        <f>(G31+G32)/G11</f>
        <v>5.4280756027676326E-2</v>
      </c>
      <c r="H46" s="279">
        <f>((G31+G32)/(D31+D32))^(1/3)-1</f>
        <v>2.4096967308986583E-2</v>
      </c>
      <c r="I46" s="17"/>
      <c r="J46" s="247"/>
      <c r="K46" s="247"/>
      <c r="L46" s="247"/>
      <c r="M46" s="247"/>
      <c r="N46" s="247"/>
      <c r="O46" s="18"/>
      <c r="Q46" s="5"/>
      <c r="R46" s="5"/>
      <c r="S46" s="42"/>
      <c r="T46" s="42"/>
      <c r="U46" s="42"/>
      <c r="V46" s="42"/>
      <c r="W46" s="42"/>
      <c r="X46" s="42"/>
      <c r="Y46" s="42"/>
      <c r="Z46" s="42"/>
      <c r="AA46" s="326"/>
      <c r="AB46" s="303"/>
    </row>
    <row r="47" spans="2:42">
      <c r="B47" s="5" t="s">
        <v>581</v>
      </c>
      <c r="C47" s="5"/>
      <c r="D47" s="248">
        <f>1/D43</f>
        <v>5.934896811025725E-2</v>
      </c>
      <c r="E47" s="248">
        <f>1/E43</f>
        <v>6.4379318989888287E-2</v>
      </c>
      <c r="F47" s="248">
        <f>1/F43</f>
        <v>7.9616268194959733E-2</v>
      </c>
      <c r="G47" s="248">
        <f>1/G43</f>
        <v>9.0892554326195585E-2</v>
      </c>
      <c r="H47" s="17">
        <f>H29</f>
        <v>0.13939037032474633</v>
      </c>
      <c r="I47" s="247"/>
      <c r="J47" s="248"/>
      <c r="K47" s="248"/>
      <c r="L47" s="248"/>
      <c r="M47" s="248"/>
      <c r="N47" s="248"/>
      <c r="O47" s="248"/>
      <c r="Q47" s="5"/>
      <c r="R47" s="5"/>
      <c r="S47" s="5"/>
      <c r="T47" s="5"/>
      <c r="U47" s="5"/>
      <c r="AA47" s="303"/>
      <c r="AB47" s="303"/>
    </row>
    <row r="48" spans="2:42">
      <c r="B48" s="5" t="s">
        <v>618</v>
      </c>
      <c r="C48" s="5"/>
      <c r="D48" s="305">
        <f>D31/D29</f>
        <v>0.76708868144703035</v>
      </c>
      <c r="E48" s="305">
        <f>E31/E29</f>
        <v>0.68448684962688577</v>
      </c>
      <c r="F48" s="305">
        <f>F31/F29</f>
        <v>0.57881557649625592</v>
      </c>
      <c r="G48" s="305">
        <f>G31/G29</f>
        <v>0.5569948515413532</v>
      </c>
      <c r="H48" s="17" t="s">
        <v>607</v>
      </c>
      <c r="I48" s="259"/>
      <c r="J48" s="247"/>
      <c r="K48" s="247"/>
      <c r="L48" s="247"/>
      <c r="M48" s="247"/>
      <c r="N48" s="247"/>
      <c r="O48" s="248"/>
      <c r="Q48" s="5"/>
      <c r="R48" s="5"/>
      <c r="S48" s="5"/>
      <c r="T48" s="5"/>
      <c r="U48" s="5"/>
      <c r="AA48" s="303"/>
      <c r="AB48" s="303"/>
    </row>
    <row r="49" spans="2:28">
      <c r="B49" s="41"/>
      <c r="C49" s="17"/>
      <c r="D49" s="17"/>
      <c r="E49" s="17"/>
      <c r="F49" s="17"/>
      <c r="G49" s="17"/>
      <c r="H49" s="17"/>
      <c r="I49" s="17"/>
      <c r="J49" s="17"/>
      <c r="K49" s="17"/>
      <c r="L49" s="17"/>
      <c r="M49" s="17"/>
      <c r="N49" s="17"/>
      <c r="O49" s="248"/>
      <c r="Q49" s="5"/>
      <c r="R49" s="5"/>
      <c r="S49" s="5"/>
      <c r="T49" s="5"/>
      <c r="U49" s="5"/>
      <c r="W49" s="10"/>
      <c r="X49" s="10"/>
      <c r="AA49" s="303"/>
      <c r="AB49" s="303"/>
    </row>
    <row r="50" spans="2:28">
      <c r="B50" s="5"/>
      <c r="C50" s="257"/>
      <c r="D50" s="257"/>
      <c r="E50" s="257"/>
      <c r="F50" s="5"/>
      <c r="G50" s="41"/>
      <c r="H50" s="249"/>
      <c r="I50" s="259"/>
      <c r="J50" s="249"/>
      <c r="K50" s="249"/>
      <c r="L50" s="249"/>
      <c r="M50" s="249"/>
      <c r="N50" s="249"/>
      <c r="O50" s="250"/>
      <c r="Q50" s="5"/>
      <c r="R50" s="5"/>
      <c r="S50" s="5"/>
      <c r="T50" s="5"/>
      <c r="U50" s="5"/>
      <c r="W50" s="10"/>
      <c r="X50" s="10"/>
      <c r="Y50" s="10"/>
      <c r="Z50" s="10"/>
    </row>
    <row r="51" spans="2:28">
      <c r="B51" s="41"/>
      <c r="C51" s="249"/>
      <c r="D51" s="254"/>
      <c r="E51" s="254"/>
      <c r="F51" s="254"/>
      <c r="G51" s="254"/>
      <c r="H51" s="254"/>
      <c r="I51" s="254"/>
      <c r="J51" s="254"/>
      <c r="K51" s="254"/>
      <c r="L51" s="254"/>
      <c r="M51" s="254"/>
      <c r="N51" s="254"/>
      <c r="O51" s="251"/>
      <c r="Q51" s="5"/>
      <c r="R51" s="5"/>
      <c r="S51" s="5"/>
      <c r="T51" s="5"/>
      <c r="U51" s="5"/>
      <c r="Y51" s="10"/>
      <c r="Z51" s="10"/>
    </row>
    <row r="52" spans="2:28">
      <c r="B52" s="5"/>
      <c r="C52" s="257"/>
      <c r="D52" s="17"/>
      <c r="E52" s="17"/>
      <c r="F52" s="17"/>
      <c r="G52" s="17"/>
      <c r="H52" s="17"/>
      <c r="I52" s="17"/>
      <c r="J52" s="259"/>
      <c r="K52" s="259"/>
      <c r="L52" s="259"/>
      <c r="M52" s="259"/>
      <c r="N52" s="259"/>
      <c r="O52" s="18"/>
      <c r="Q52" s="5"/>
      <c r="R52" s="5"/>
      <c r="S52" s="5"/>
      <c r="T52" s="5"/>
      <c r="U52" s="5"/>
    </row>
    <row r="53" spans="2:28">
      <c r="B53" s="5"/>
      <c r="C53" s="257"/>
      <c r="D53" s="257"/>
      <c r="E53" s="257"/>
      <c r="F53" s="5"/>
      <c r="G53" s="5"/>
      <c r="H53" s="259"/>
      <c r="I53" s="259"/>
      <c r="J53" s="254"/>
      <c r="K53" s="254"/>
      <c r="L53" s="254"/>
      <c r="M53" s="254"/>
      <c r="N53" s="254"/>
      <c r="O53" s="251"/>
      <c r="Q53" s="5"/>
      <c r="R53" s="5"/>
      <c r="S53" s="5"/>
      <c r="T53" s="5"/>
      <c r="U53" s="5"/>
    </row>
    <row r="54" spans="2:28">
      <c r="B54" s="41"/>
      <c r="C54" s="249"/>
      <c r="D54" s="254"/>
      <c r="E54" s="254"/>
      <c r="F54" s="254"/>
      <c r="G54" s="254"/>
      <c r="H54" s="254"/>
      <c r="I54" s="249"/>
      <c r="J54" s="17"/>
      <c r="K54" s="17"/>
      <c r="L54" s="17"/>
      <c r="M54" s="17"/>
      <c r="N54" s="17"/>
      <c r="O54" s="18"/>
      <c r="Q54" s="5"/>
      <c r="R54" s="5"/>
      <c r="S54" s="5"/>
      <c r="T54" s="5"/>
      <c r="U54" s="5"/>
    </row>
    <row r="55" spans="2:28">
      <c r="B55" s="5"/>
      <c r="C55" s="257"/>
      <c r="D55" s="17"/>
      <c r="E55" s="17"/>
      <c r="F55" s="17"/>
      <c r="G55" s="17"/>
      <c r="H55" s="17"/>
      <c r="I55" s="248"/>
      <c r="J55" s="259"/>
      <c r="K55" s="259"/>
      <c r="L55" s="259"/>
      <c r="M55" s="259"/>
      <c r="N55" s="259"/>
      <c r="O55" s="18"/>
      <c r="Q55" s="5"/>
      <c r="R55" s="5"/>
      <c r="S55" s="5"/>
      <c r="T55" s="5"/>
      <c r="U55" s="5"/>
    </row>
    <row r="56" spans="2:28">
      <c r="B56" s="5"/>
      <c r="C56" s="248"/>
      <c r="D56" s="248"/>
      <c r="E56" s="248"/>
      <c r="F56" s="5"/>
      <c r="G56" s="5"/>
      <c r="H56" s="259"/>
      <c r="I56" s="5"/>
      <c r="J56" s="249"/>
      <c r="K56" s="249"/>
      <c r="L56" s="249"/>
      <c r="M56" s="249"/>
      <c r="N56" s="249"/>
      <c r="O56" s="251"/>
      <c r="Q56" s="5"/>
      <c r="R56" s="5"/>
      <c r="S56" s="5"/>
      <c r="T56" s="5"/>
      <c r="U56" s="5"/>
    </row>
    <row r="57" spans="2:28">
      <c r="B57" s="41"/>
      <c r="C57" s="249"/>
      <c r="D57" s="249"/>
      <c r="E57" s="249"/>
      <c r="F57" s="249"/>
      <c r="G57" s="249"/>
      <c r="H57" s="249"/>
      <c r="I57" s="17"/>
      <c r="J57" s="248"/>
      <c r="K57" s="248"/>
      <c r="L57" s="248"/>
      <c r="M57" s="248"/>
      <c r="N57" s="248"/>
      <c r="O57" s="18"/>
      <c r="Q57" s="5"/>
      <c r="R57" s="5"/>
      <c r="S57" s="5"/>
      <c r="T57" s="5"/>
      <c r="U57" s="5"/>
    </row>
    <row r="58" spans="2:28">
      <c r="B58" s="5"/>
      <c r="C58" s="5"/>
      <c r="D58" s="248"/>
      <c r="E58" s="248"/>
      <c r="F58" s="248"/>
      <c r="G58" s="248"/>
      <c r="H58" s="248"/>
      <c r="I58" s="5"/>
      <c r="J58" s="5"/>
      <c r="K58" s="5"/>
      <c r="L58" s="5"/>
      <c r="M58" s="5"/>
      <c r="N58" s="5"/>
      <c r="O58" s="5"/>
      <c r="Q58" s="5"/>
      <c r="R58" s="5"/>
      <c r="S58" s="5"/>
      <c r="T58" s="5"/>
      <c r="U58" s="5"/>
    </row>
    <row r="59" spans="2:28">
      <c r="B59" s="5"/>
      <c r="C59" s="5"/>
      <c r="D59" s="5"/>
      <c r="E59" s="5"/>
      <c r="F59" s="5"/>
      <c r="G59" s="5"/>
      <c r="H59" s="5"/>
      <c r="I59" s="249"/>
      <c r="J59" s="17"/>
      <c r="K59" s="17"/>
      <c r="L59" s="17"/>
      <c r="M59" s="17"/>
      <c r="N59" s="17"/>
      <c r="O59" s="251"/>
      <c r="Q59" s="5"/>
      <c r="R59" s="5"/>
      <c r="S59" s="5"/>
      <c r="T59" s="5"/>
      <c r="U59" s="5"/>
    </row>
    <row r="60" spans="2:28">
      <c r="B60" s="41"/>
      <c r="C60" s="17"/>
      <c r="D60" s="17"/>
      <c r="E60" s="17"/>
      <c r="F60" s="17"/>
      <c r="G60" s="17"/>
      <c r="H60" s="17"/>
      <c r="I60" s="5"/>
      <c r="J60" s="5"/>
      <c r="K60" s="5"/>
      <c r="L60" s="5"/>
      <c r="M60" s="5"/>
      <c r="N60" s="5"/>
      <c r="O60" s="5"/>
      <c r="Q60" s="41"/>
      <c r="R60" s="5"/>
      <c r="S60" s="5"/>
      <c r="T60" s="5"/>
      <c r="U60" s="5"/>
    </row>
    <row r="61" spans="2:28">
      <c r="B61" s="5"/>
      <c r="C61" s="5"/>
      <c r="D61" s="5"/>
      <c r="E61" s="5"/>
      <c r="F61" s="5"/>
      <c r="G61" s="5"/>
      <c r="H61" s="5"/>
      <c r="I61" s="5"/>
      <c r="J61" s="249"/>
      <c r="K61" s="249"/>
      <c r="L61" s="249"/>
      <c r="M61" s="249"/>
      <c r="N61" s="249"/>
      <c r="O61" s="251"/>
      <c r="Q61" s="5"/>
      <c r="R61" s="5"/>
      <c r="S61" s="5"/>
      <c r="T61" s="5"/>
      <c r="U61" s="5"/>
    </row>
    <row r="62" spans="2:28">
      <c r="B62" s="41"/>
      <c r="C62" s="249"/>
      <c r="D62" s="249"/>
      <c r="E62" s="249"/>
      <c r="F62" s="249"/>
      <c r="G62" s="249"/>
      <c r="H62" s="249"/>
      <c r="I62" s="254"/>
      <c r="J62" s="5"/>
      <c r="K62" s="5"/>
      <c r="L62" s="5"/>
      <c r="M62" s="5"/>
      <c r="N62" s="5"/>
      <c r="O62" s="5"/>
      <c r="Q62" s="5"/>
      <c r="R62" s="5"/>
      <c r="S62" s="5"/>
      <c r="T62" s="5"/>
      <c r="U62" s="5"/>
    </row>
    <row r="63" spans="2:28">
      <c r="B63" s="5"/>
      <c r="C63" s="5"/>
      <c r="D63" s="5"/>
      <c r="E63" s="5"/>
      <c r="F63" s="5"/>
      <c r="G63" s="5"/>
      <c r="H63" s="5"/>
      <c r="I63" s="17"/>
      <c r="J63" s="5"/>
      <c r="K63" s="5"/>
      <c r="L63" s="5"/>
      <c r="M63" s="5"/>
      <c r="N63" s="5"/>
      <c r="O63" s="5"/>
      <c r="Q63" s="5"/>
      <c r="R63" s="5"/>
      <c r="S63" s="5"/>
      <c r="T63" s="5"/>
      <c r="U63" s="5"/>
    </row>
    <row r="64" spans="2:28">
      <c r="B64" s="5"/>
      <c r="C64" s="5"/>
      <c r="D64" s="5"/>
      <c r="E64" s="5"/>
      <c r="F64" s="5"/>
      <c r="G64" s="5"/>
      <c r="H64" s="5"/>
      <c r="I64" s="254"/>
      <c r="J64" s="254"/>
      <c r="K64" s="254"/>
      <c r="L64" s="254"/>
      <c r="M64" s="254"/>
      <c r="N64" s="254"/>
      <c r="O64" s="251"/>
      <c r="Q64" s="5"/>
      <c r="R64" s="5"/>
      <c r="S64" s="5"/>
      <c r="T64" s="5"/>
      <c r="U64" s="5"/>
    </row>
    <row r="65" spans="2:26">
      <c r="B65" s="41"/>
      <c r="C65" s="249"/>
      <c r="D65" s="254"/>
      <c r="E65" s="254"/>
      <c r="F65" s="254"/>
      <c r="G65" s="254"/>
      <c r="H65" s="254"/>
      <c r="I65" s="248"/>
      <c r="J65" s="17"/>
      <c r="K65" s="17"/>
      <c r="L65" s="17"/>
      <c r="M65" s="17"/>
      <c r="N65" s="17"/>
      <c r="O65" s="5"/>
      <c r="Q65" s="5"/>
      <c r="R65" s="5"/>
      <c r="S65" s="5"/>
      <c r="T65" s="5"/>
      <c r="U65" s="5"/>
    </row>
    <row r="66" spans="2:26">
      <c r="B66" s="5"/>
      <c r="C66" s="5"/>
      <c r="D66" s="17"/>
      <c r="E66" s="17"/>
      <c r="F66" s="17"/>
      <c r="G66" s="17"/>
      <c r="H66" s="17"/>
      <c r="I66" s="5"/>
      <c r="J66" s="254"/>
      <c r="K66" s="254"/>
      <c r="L66" s="254"/>
      <c r="M66" s="254"/>
      <c r="N66" s="254"/>
      <c r="O66" s="251"/>
      <c r="Q66" s="41"/>
      <c r="R66" s="5"/>
      <c r="S66" s="5"/>
      <c r="T66" s="5"/>
      <c r="U66" s="5"/>
    </row>
    <row r="67" spans="2:26">
      <c r="B67" s="41"/>
      <c r="C67" s="249"/>
      <c r="D67" s="254"/>
      <c r="E67" s="254"/>
      <c r="F67" s="254"/>
      <c r="G67" s="254"/>
      <c r="H67" s="254"/>
      <c r="I67" s="245"/>
      <c r="J67" s="248"/>
      <c r="K67" s="248"/>
      <c r="L67" s="248"/>
      <c r="M67" s="248"/>
      <c r="N67" s="248"/>
      <c r="O67" s="5"/>
      <c r="Q67" s="5"/>
      <c r="R67" s="5"/>
      <c r="S67" s="5"/>
      <c r="T67" s="5"/>
      <c r="U67" s="5"/>
    </row>
    <row r="68" spans="2:26">
      <c r="B68" s="5"/>
      <c r="C68" s="5"/>
      <c r="D68" s="248"/>
      <c r="E68" s="248"/>
      <c r="F68" s="248"/>
      <c r="G68" s="248"/>
      <c r="H68" s="248"/>
      <c r="I68" s="248"/>
      <c r="J68" s="5"/>
      <c r="K68" s="5"/>
      <c r="L68" s="5"/>
      <c r="M68" s="5"/>
      <c r="N68" s="5"/>
      <c r="O68" s="5"/>
      <c r="Q68" s="5"/>
      <c r="R68" s="5"/>
      <c r="S68" s="5"/>
      <c r="T68" s="5"/>
      <c r="U68" s="5"/>
    </row>
    <row r="69" spans="2:26">
      <c r="B69" s="41"/>
      <c r="C69" s="5"/>
      <c r="D69" s="5"/>
      <c r="E69" s="5"/>
      <c r="F69" s="5"/>
      <c r="G69" s="5"/>
      <c r="H69" s="5"/>
      <c r="I69" s="5"/>
      <c r="J69" s="245"/>
      <c r="K69" s="245"/>
      <c r="L69" s="245"/>
      <c r="M69" s="245"/>
      <c r="N69" s="245"/>
      <c r="O69" s="251"/>
      <c r="Q69" s="5"/>
      <c r="R69" s="5"/>
      <c r="S69" s="5"/>
      <c r="T69" s="5"/>
      <c r="U69" s="5"/>
      <c r="W69" s="76"/>
      <c r="X69" s="76"/>
    </row>
    <row r="70" spans="2:26">
      <c r="B70" s="41"/>
      <c r="C70" s="245"/>
      <c r="D70" s="245"/>
      <c r="E70" s="245"/>
      <c r="F70" s="245"/>
      <c r="G70" s="245"/>
      <c r="H70" s="245"/>
      <c r="I70" s="245"/>
      <c r="J70" s="248"/>
      <c r="K70" s="248"/>
      <c r="L70" s="248"/>
      <c r="M70" s="248"/>
      <c r="N70" s="248"/>
      <c r="O70" s="5"/>
      <c r="Q70" s="5"/>
      <c r="R70" s="5"/>
      <c r="S70" s="5"/>
      <c r="T70" s="5"/>
      <c r="U70" s="5"/>
      <c r="W70" s="76"/>
      <c r="X70" s="76"/>
      <c r="Y70" s="76"/>
      <c r="Z70" s="76"/>
    </row>
    <row r="71" spans="2:26">
      <c r="B71" s="5"/>
      <c r="C71" s="5"/>
      <c r="D71" s="248"/>
      <c r="E71" s="248"/>
      <c r="F71" s="248"/>
      <c r="G71" s="248"/>
      <c r="H71" s="248"/>
      <c r="I71" s="18"/>
      <c r="J71" s="5"/>
      <c r="K71" s="5"/>
      <c r="L71" s="5"/>
      <c r="M71" s="5"/>
      <c r="N71" s="5"/>
      <c r="O71" s="5"/>
      <c r="Q71" s="5"/>
      <c r="R71" s="5"/>
      <c r="S71" s="5"/>
      <c r="T71" s="5"/>
      <c r="U71" s="5"/>
      <c r="Y71" s="76"/>
      <c r="Z71" s="76"/>
    </row>
    <row r="72" spans="2:26">
      <c r="B72" s="41"/>
      <c r="C72" s="5"/>
      <c r="D72" s="5"/>
      <c r="E72" s="5"/>
      <c r="F72" s="5"/>
      <c r="G72" s="5"/>
      <c r="H72" s="5"/>
      <c r="I72" s="5"/>
      <c r="J72" s="245"/>
      <c r="K72" s="245"/>
      <c r="L72" s="245"/>
      <c r="M72" s="245"/>
      <c r="N72" s="245"/>
      <c r="O72" s="251"/>
      <c r="Q72" s="5"/>
      <c r="R72" s="5"/>
      <c r="S72" s="5"/>
      <c r="T72" s="5"/>
      <c r="U72" s="5"/>
    </row>
    <row r="73" spans="2:26">
      <c r="B73" s="41"/>
      <c r="C73" s="245"/>
      <c r="D73" s="245"/>
      <c r="E73" s="245"/>
      <c r="F73" s="245"/>
      <c r="G73" s="245"/>
      <c r="H73" s="245"/>
      <c r="I73" s="249"/>
      <c r="J73" s="18"/>
      <c r="K73" s="18"/>
      <c r="L73" s="18"/>
      <c r="M73" s="18"/>
      <c r="N73" s="18"/>
      <c r="O73" s="5"/>
      <c r="Q73" s="5"/>
      <c r="R73" s="5"/>
      <c r="S73" s="5"/>
      <c r="T73" s="5"/>
      <c r="U73" s="5"/>
    </row>
    <row r="74" spans="2:26">
      <c r="B74" s="5"/>
      <c r="C74" s="5"/>
      <c r="D74" s="18"/>
      <c r="E74" s="18"/>
      <c r="F74" s="18"/>
      <c r="G74" s="18"/>
      <c r="H74" s="18"/>
      <c r="I74" s="248"/>
      <c r="J74" s="5"/>
      <c r="K74" s="5"/>
      <c r="L74" s="5"/>
      <c r="M74" s="5"/>
      <c r="N74" s="5"/>
      <c r="O74" s="5"/>
      <c r="Q74" s="5"/>
      <c r="R74" s="5"/>
      <c r="S74" s="5"/>
      <c r="T74" s="5"/>
      <c r="U74" s="5"/>
    </row>
    <row r="75" spans="2:26">
      <c r="B75" s="41"/>
      <c r="C75" s="5"/>
      <c r="D75" s="5"/>
      <c r="E75" s="5"/>
      <c r="F75" s="5"/>
      <c r="G75" s="5"/>
      <c r="H75" s="5"/>
      <c r="I75" s="5"/>
      <c r="J75" s="249"/>
      <c r="K75" s="249"/>
      <c r="L75" s="249"/>
      <c r="M75" s="249"/>
      <c r="N75" s="249"/>
      <c r="O75" s="251"/>
      <c r="Q75" s="5"/>
      <c r="R75" s="5"/>
      <c r="S75" s="5"/>
      <c r="T75" s="5"/>
      <c r="U75" s="5"/>
    </row>
    <row r="76" spans="2:26">
      <c r="B76" s="41"/>
      <c r="C76" s="249"/>
      <c r="D76" s="249"/>
      <c r="E76" s="249"/>
      <c r="F76" s="249"/>
      <c r="G76" s="249"/>
      <c r="H76" s="249"/>
      <c r="I76" s="245"/>
      <c r="J76" s="248"/>
      <c r="K76" s="248"/>
      <c r="L76" s="248"/>
      <c r="M76" s="248"/>
      <c r="N76" s="248"/>
      <c r="O76" s="5"/>
      <c r="Q76" s="5"/>
      <c r="R76" s="5"/>
      <c r="S76" s="5"/>
      <c r="T76" s="5"/>
      <c r="U76" s="5"/>
    </row>
    <row r="77" spans="2:26">
      <c r="B77" s="5"/>
      <c r="C77" s="5"/>
      <c r="D77" s="248"/>
      <c r="E77" s="248"/>
      <c r="F77" s="248"/>
      <c r="G77" s="248"/>
      <c r="H77" s="248"/>
      <c r="I77" s="248"/>
      <c r="J77" s="5"/>
      <c r="K77" s="5"/>
      <c r="L77" s="5"/>
      <c r="M77" s="5"/>
      <c r="N77" s="5"/>
      <c r="O77" s="5"/>
      <c r="Q77" s="5"/>
      <c r="R77" s="5"/>
      <c r="S77" s="5"/>
      <c r="T77" s="5"/>
      <c r="U77" s="5"/>
    </row>
    <row r="78" spans="2:26">
      <c r="B78" s="41"/>
      <c r="C78" s="5"/>
      <c r="D78" s="5"/>
      <c r="E78" s="5"/>
      <c r="F78" s="5"/>
      <c r="G78" s="5"/>
      <c r="H78" s="5"/>
      <c r="I78" s="5"/>
      <c r="J78" s="245"/>
      <c r="K78" s="245"/>
      <c r="L78" s="245"/>
      <c r="M78" s="245"/>
      <c r="N78" s="245"/>
      <c r="O78" s="251"/>
      <c r="Q78" s="5"/>
      <c r="R78" s="5"/>
      <c r="S78" s="5"/>
      <c r="T78" s="5"/>
      <c r="U78" s="5"/>
    </row>
    <row r="79" spans="2:26">
      <c r="B79" s="41"/>
      <c r="C79" s="245"/>
      <c r="D79" s="245"/>
      <c r="E79" s="245"/>
      <c r="F79" s="245"/>
      <c r="G79" s="245"/>
      <c r="H79" s="245"/>
      <c r="I79" s="249"/>
      <c r="J79" s="248"/>
      <c r="K79" s="248"/>
      <c r="L79" s="248"/>
      <c r="M79" s="248"/>
      <c r="N79" s="248"/>
      <c r="O79" s="5"/>
      <c r="Q79" s="5"/>
      <c r="R79" s="5"/>
      <c r="S79" s="5"/>
      <c r="T79" s="5"/>
      <c r="U79" s="5"/>
    </row>
    <row r="80" spans="2:26">
      <c r="B80" s="5"/>
      <c r="C80" s="5"/>
      <c r="D80" s="248"/>
      <c r="E80" s="248"/>
      <c r="F80" s="248"/>
      <c r="G80" s="248"/>
      <c r="H80" s="248"/>
      <c r="I80" s="248"/>
      <c r="J80" s="5"/>
      <c r="K80" s="5"/>
      <c r="L80" s="5"/>
      <c r="M80" s="5"/>
      <c r="N80" s="5"/>
      <c r="O80" s="5"/>
      <c r="Q80" s="5"/>
      <c r="R80" s="5"/>
      <c r="S80" s="5"/>
      <c r="T80" s="5"/>
      <c r="U80" s="5"/>
    </row>
    <row r="81" spans="2:26">
      <c r="B81" s="41"/>
      <c r="C81" s="5"/>
      <c r="D81" s="5"/>
      <c r="E81" s="5"/>
      <c r="F81" s="5"/>
      <c r="G81" s="5"/>
      <c r="H81" s="5"/>
      <c r="I81" s="259"/>
      <c r="J81" s="249"/>
      <c r="K81" s="249"/>
      <c r="L81" s="249"/>
      <c r="M81" s="249"/>
      <c r="N81" s="249"/>
      <c r="O81" s="251"/>
      <c r="Q81" s="5"/>
      <c r="R81" s="5"/>
      <c r="S81" s="5"/>
      <c r="T81" s="5"/>
      <c r="U81" s="5"/>
    </row>
    <row r="82" spans="2:26">
      <c r="B82" s="41"/>
      <c r="C82" s="249"/>
      <c r="D82" s="249"/>
      <c r="E82" s="249"/>
      <c r="F82" s="249"/>
      <c r="G82" s="249"/>
      <c r="H82" s="249"/>
      <c r="I82" s="5"/>
      <c r="J82" s="248"/>
      <c r="K82" s="248"/>
      <c r="L82" s="248"/>
      <c r="M82" s="248"/>
      <c r="N82" s="248"/>
      <c r="O82" s="5"/>
      <c r="Q82" s="5"/>
      <c r="R82" s="5"/>
      <c r="S82" s="5"/>
      <c r="T82" s="5"/>
      <c r="U82" s="5"/>
    </row>
    <row r="83" spans="2:26">
      <c r="B83" s="5"/>
      <c r="C83" s="5"/>
      <c r="D83" s="248"/>
      <c r="E83" s="248"/>
      <c r="F83" s="248"/>
      <c r="G83" s="248"/>
      <c r="H83" s="248"/>
      <c r="I83" s="245"/>
      <c r="J83" s="259"/>
      <c r="K83" s="259"/>
      <c r="L83" s="259"/>
      <c r="M83" s="259"/>
      <c r="N83" s="259"/>
      <c r="O83" s="251"/>
      <c r="Q83" s="5"/>
      <c r="R83" s="5"/>
      <c r="S83" s="5"/>
      <c r="T83" s="5"/>
      <c r="U83" s="5"/>
    </row>
    <row r="84" spans="2:26">
      <c r="B84" s="5"/>
      <c r="C84" s="259"/>
      <c r="D84" s="259"/>
      <c r="E84" s="259"/>
      <c r="F84" s="259"/>
      <c r="G84" s="259"/>
      <c r="H84" s="259"/>
      <c r="I84" s="248"/>
      <c r="J84" s="5"/>
      <c r="K84" s="5"/>
      <c r="L84" s="5"/>
      <c r="M84" s="5"/>
      <c r="N84" s="5"/>
      <c r="O84" s="5"/>
      <c r="Q84" s="5"/>
      <c r="R84" s="5"/>
      <c r="S84" s="5"/>
      <c r="T84" s="5"/>
      <c r="U84" s="5"/>
    </row>
    <row r="85" spans="2:26">
      <c r="B85" s="41"/>
      <c r="C85" s="5"/>
      <c r="D85" s="5"/>
      <c r="E85" s="5"/>
      <c r="F85" s="5"/>
      <c r="G85" s="5"/>
      <c r="H85" s="5"/>
      <c r="I85" s="5"/>
      <c r="J85" s="245"/>
      <c r="K85" s="245"/>
      <c r="L85" s="245"/>
      <c r="M85" s="245"/>
      <c r="N85" s="245"/>
      <c r="O85" s="251"/>
      <c r="Q85" s="5"/>
      <c r="R85" s="5"/>
      <c r="S85" s="5"/>
      <c r="T85" s="5"/>
      <c r="U85" s="5"/>
    </row>
    <row r="86" spans="2:26">
      <c r="B86" s="41"/>
      <c r="C86" s="245"/>
      <c r="D86" s="245"/>
      <c r="E86" s="245"/>
      <c r="F86" s="245"/>
      <c r="G86" s="245"/>
      <c r="H86" s="245"/>
      <c r="I86" s="5"/>
      <c r="J86" s="248"/>
      <c r="K86" s="248"/>
      <c r="L86" s="248"/>
      <c r="M86" s="248"/>
      <c r="N86" s="248"/>
      <c r="O86" s="5"/>
      <c r="Q86" s="5"/>
      <c r="R86" s="5"/>
      <c r="S86" s="5"/>
      <c r="T86" s="5"/>
      <c r="U86" s="5"/>
    </row>
    <row r="87" spans="2:26">
      <c r="B87" s="5"/>
      <c r="C87" s="5"/>
      <c r="D87" s="248"/>
      <c r="E87" s="248"/>
      <c r="F87" s="248"/>
      <c r="G87" s="248"/>
      <c r="H87" s="248"/>
      <c r="I87" s="5"/>
      <c r="J87" s="5"/>
      <c r="K87" s="5"/>
      <c r="L87" s="5"/>
      <c r="M87" s="5"/>
      <c r="N87" s="5"/>
      <c r="O87" s="5"/>
      <c r="Q87" s="5"/>
      <c r="R87" s="5"/>
      <c r="S87" s="5"/>
      <c r="T87" s="5"/>
      <c r="U87" s="5"/>
    </row>
    <row r="88" spans="2:26">
      <c r="B88" s="41"/>
      <c r="C88" s="5"/>
      <c r="D88" s="5"/>
      <c r="E88" s="5"/>
      <c r="F88" s="5"/>
      <c r="G88" s="5"/>
      <c r="H88" s="5"/>
      <c r="I88" s="5"/>
      <c r="J88" s="5"/>
      <c r="K88" s="5"/>
      <c r="L88" s="5"/>
      <c r="M88" s="5"/>
      <c r="N88" s="5"/>
      <c r="O88" s="5"/>
      <c r="Q88" s="5"/>
      <c r="R88" s="5"/>
      <c r="S88" s="5"/>
      <c r="T88" s="5"/>
      <c r="U88" s="5"/>
    </row>
    <row r="89" spans="2:26">
      <c r="B89" s="41"/>
      <c r="C89" s="5"/>
      <c r="D89" s="5"/>
      <c r="E89" s="5"/>
      <c r="F89" s="5"/>
      <c r="G89" s="5"/>
      <c r="H89" s="5"/>
      <c r="I89" s="49"/>
      <c r="J89" s="5"/>
      <c r="K89" s="5"/>
      <c r="L89" s="5"/>
      <c r="M89" s="5"/>
      <c r="N89" s="5"/>
      <c r="O89" s="5"/>
      <c r="Q89" s="41"/>
      <c r="R89" s="5"/>
      <c r="S89" s="5"/>
      <c r="T89" s="5"/>
      <c r="U89" s="5"/>
    </row>
    <row r="90" spans="2:26">
      <c r="B90" s="41"/>
      <c r="C90" s="5"/>
      <c r="D90" s="5"/>
      <c r="E90" s="5"/>
      <c r="F90" s="5"/>
      <c r="G90" s="5"/>
      <c r="H90" s="5"/>
      <c r="I90" s="5"/>
      <c r="J90" s="5"/>
      <c r="K90" s="5"/>
      <c r="L90" s="5"/>
      <c r="M90" s="5"/>
      <c r="N90" s="5"/>
      <c r="O90" s="5"/>
      <c r="Q90" s="5"/>
      <c r="R90" s="5"/>
      <c r="S90" s="5"/>
      <c r="T90" s="5"/>
      <c r="U90" s="5"/>
    </row>
    <row r="91" spans="2:26">
      <c r="B91" s="5"/>
      <c r="C91" s="5"/>
      <c r="D91" s="5"/>
      <c r="E91" s="5"/>
      <c r="F91" s="5"/>
      <c r="G91" s="5"/>
      <c r="H91" s="5"/>
      <c r="I91" s="247"/>
      <c r="J91" s="49"/>
      <c r="K91" s="49"/>
      <c r="L91" s="49"/>
      <c r="M91" s="49"/>
      <c r="N91" s="49"/>
      <c r="O91" s="49"/>
      <c r="Q91" s="5"/>
      <c r="R91" s="5"/>
      <c r="S91" s="5"/>
      <c r="T91" s="5"/>
      <c r="U91" s="5"/>
      <c r="W91" s="21"/>
      <c r="X91" s="21"/>
    </row>
    <row r="92" spans="2:26">
      <c r="B92" s="41"/>
      <c r="C92" s="49"/>
      <c r="D92" s="49"/>
      <c r="E92" s="49"/>
      <c r="F92" s="49"/>
      <c r="G92" s="49"/>
      <c r="H92" s="49"/>
      <c r="I92" s="247"/>
      <c r="J92" s="5"/>
      <c r="K92" s="5"/>
      <c r="L92" s="5"/>
      <c r="M92" s="5"/>
      <c r="N92" s="5"/>
      <c r="O92" s="5"/>
      <c r="Q92" s="5"/>
      <c r="R92" s="5"/>
      <c r="S92" s="5"/>
      <c r="T92" s="5"/>
      <c r="U92" s="5"/>
      <c r="W92" s="21"/>
      <c r="X92" s="21"/>
      <c r="Y92" s="21"/>
      <c r="Z92" s="21"/>
    </row>
    <row r="93" spans="2:26">
      <c r="B93" s="5"/>
      <c r="C93" s="5"/>
      <c r="D93" s="5"/>
      <c r="E93" s="5"/>
      <c r="F93" s="5"/>
      <c r="G93" s="5"/>
      <c r="H93" s="5"/>
      <c r="I93" s="247"/>
      <c r="J93" s="247"/>
      <c r="K93" s="247"/>
      <c r="L93" s="247"/>
      <c r="M93" s="247"/>
      <c r="N93" s="247"/>
      <c r="O93" s="248"/>
      <c r="Q93" s="5"/>
      <c r="R93" s="5"/>
      <c r="S93" s="5"/>
      <c r="T93" s="5"/>
      <c r="U93" s="5"/>
      <c r="Y93" s="21"/>
      <c r="Z93" s="21"/>
    </row>
    <row r="94" spans="2:26">
      <c r="B94" s="5"/>
      <c r="C94" s="259"/>
      <c r="D94" s="247"/>
      <c r="E94" s="247"/>
      <c r="F94" s="247"/>
      <c r="G94" s="247"/>
      <c r="H94" s="247"/>
      <c r="I94" s="248"/>
      <c r="J94" s="247"/>
      <c r="K94" s="247"/>
      <c r="L94" s="247"/>
      <c r="M94" s="247"/>
      <c r="N94" s="247"/>
      <c r="O94" s="248"/>
      <c r="Q94" s="5"/>
      <c r="R94" s="5"/>
      <c r="S94" s="5"/>
      <c r="T94" s="5"/>
      <c r="U94" s="5"/>
    </row>
    <row r="95" spans="2:26">
      <c r="B95" s="5"/>
      <c r="C95" s="259"/>
      <c r="D95" s="247"/>
      <c r="E95" s="247"/>
      <c r="F95" s="247"/>
      <c r="G95" s="247"/>
      <c r="H95" s="247"/>
      <c r="I95" s="247"/>
      <c r="J95" s="247"/>
      <c r="K95" s="247"/>
      <c r="L95" s="247"/>
      <c r="M95" s="247"/>
      <c r="N95" s="247"/>
      <c r="O95" s="248"/>
      <c r="Q95" s="5"/>
      <c r="R95" s="5"/>
      <c r="S95" s="5"/>
      <c r="T95" s="5"/>
      <c r="U95" s="5"/>
    </row>
    <row r="96" spans="2:26">
      <c r="B96" s="5"/>
      <c r="C96" s="259"/>
      <c r="D96" s="247"/>
      <c r="E96" s="247"/>
      <c r="F96" s="247"/>
      <c r="G96" s="247"/>
      <c r="H96" s="247"/>
      <c r="I96" s="249"/>
      <c r="J96" s="248"/>
      <c r="K96" s="248"/>
      <c r="L96" s="248"/>
      <c r="M96" s="248"/>
      <c r="N96" s="248"/>
      <c r="O96" s="248"/>
      <c r="Q96" s="5"/>
      <c r="R96" s="5"/>
      <c r="S96" s="5"/>
      <c r="T96" s="5"/>
      <c r="U96" s="5"/>
    </row>
    <row r="97" spans="2:21">
      <c r="B97" s="5"/>
      <c r="C97" s="259"/>
      <c r="D97" s="248"/>
      <c r="E97" s="248"/>
      <c r="F97" s="248"/>
      <c r="G97" s="248"/>
      <c r="H97" s="248"/>
      <c r="I97" s="248"/>
      <c r="J97" s="247"/>
      <c r="K97" s="247"/>
      <c r="L97" s="247"/>
      <c r="M97" s="247"/>
      <c r="N97" s="247"/>
      <c r="O97" s="248"/>
      <c r="Q97" s="5"/>
      <c r="R97" s="5"/>
      <c r="S97" s="5"/>
      <c r="T97" s="5"/>
      <c r="U97" s="5"/>
    </row>
    <row r="98" spans="2:21">
      <c r="B98" s="5"/>
      <c r="C98" s="259"/>
      <c r="D98" s="247"/>
      <c r="E98" s="247"/>
      <c r="F98" s="247"/>
      <c r="G98" s="247"/>
      <c r="H98" s="247"/>
      <c r="I98" s="5"/>
      <c r="J98" s="249"/>
      <c r="K98" s="249"/>
      <c r="L98" s="249"/>
      <c r="M98" s="249"/>
      <c r="N98" s="249"/>
      <c r="O98" s="248"/>
      <c r="Q98" s="5"/>
      <c r="R98" s="5"/>
      <c r="S98" s="5"/>
      <c r="T98" s="5"/>
      <c r="U98" s="5"/>
    </row>
    <row r="99" spans="2:21">
      <c r="B99" s="41"/>
      <c r="C99" s="249"/>
      <c r="D99" s="249"/>
      <c r="E99" s="249"/>
      <c r="F99" s="249"/>
      <c r="G99" s="249"/>
      <c r="H99" s="249"/>
      <c r="I99" s="259"/>
      <c r="J99" s="248"/>
      <c r="K99" s="248"/>
      <c r="L99" s="248"/>
      <c r="M99" s="248"/>
      <c r="N99" s="248"/>
      <c r="O99" s="248"/>
      <c r="Q99" s="5"/>
      <c r="R99" s="5"/>
      <c r="S99" s="5"/>
      <c r="T99" s="5"/>
      <c r="U99" s="5"/>
    </row>
    <row r="100" spans="2:21" s="5" customFormat="1">
      <c r="B100" s="41"/>
      <c r="C100" s="257"/>
      <c r="D100" s="248"/>
      <c r="E100" s="248"/>
      <c r="F100" s="248"/>
      <c r="G100" s="248"/>
      <c r="H100" s="248"/>
      <c r="I100" s="259"/>
      <c r="O100" s="248"/>
      <c r="P100" s="39"/>
    </row>
    <row r="101" spans="2:21">
      <c r="B101" s="41"/>
      <c r="C101" s="5"/>
      <c r="D101" s="5"/>
      <c r="E101" s="5"/>
      <c r="F101" s="5"/>
      <c r="G101" s="5"/>
      <c r="H101" s="5"/>
      <c r="I101" s="247"/>
      <c r="J101" s="259"/>
      <c r="K101" s="259"/>
      <c r="L101" s="259"/>
      <c r="M101" s="259"/>
      <c r="N101" s="259"/>
      <c r="O101" s="5"/>
      <c r="Q101" s="5"/>
      <c r="R101" s="5"/>
      <c r="S101" s="5"/>
      <c r="T101" s="5"/>
      <c r="U101" s="5"/>
    </row>
    <row r="102" spans="2:21">
      <c r="B102" s="5"/>
      <c r="C102" s="259"/>
      <c r="D102" s="259"/>
      <c r="E102" s="259"/>
      <c r="F102" s="259"/>
      <c r="G102" s="259"/>
      <c r="H102" s="259"/>
      <c r="I102" s="5"/>
      <c r="J102" s="259"/>
      <c r="K102" s="259"/>
      <c r="L102" s="259"/>
      <c r="M102" s="259"/>
      <c r="N102" s="259"/>
      <c r="O102" s="5"/>
      <c r="P102" s="5"/>
      <c r="Q102" s="5"/>
      <c r="R102" s="5"/>
      <c r="S102" s="5"/>
      <c r="T102" s="5"/>
      <c r="U102" s="5"/>
    </row>
    <row r="103" spans="2:21">
      <c r="B103" s="5"/>
      <c r="C103" s="259"/>
      <c r="D103" s="259"/>
      <c r="E103" s="259"/>
      <c r="F103" s="259"/>
      <c r="G103" s="259"/>
      <c r="H103" s="259"/>
      <c r="I103" s="247"/>
      <c r="J103" s="247"/>
      <c r="K103" s="247"/>
      <c r="L103" s="247"/>
      <c r="M103" s="247"/>
      <c r="N103" s="247"/>
      <c r="O103" s="5"/>
      <c r="Q103" s="5"/>
      <c r="R103" s="5"/>
      <c r="S103" s="5"/>
      <c r="T103" s="5"/>
      <c r="U103" s="5"/>
    </row>
    <row r="104" spans="2:21" s="5" customFormat="1">
      <c r="C104" s="247"/>
      <c r="D104" s="247"/>
      <c r="E104" s="247"/>
      <c r="F104" s="247"/>
      <c r="G104" s="247"/>
      <c r="H104" s="247"/>
      <c r="P104" s="39"/>
    </row>
    <row r="105" spans="2:21" s="5" customFormat="1">
      <c r="I105" s="259"/>
      <c r="J105" s="247"/>
      <c r="K105" s="247"/>
      <c r="L105" s="247"/>
      <c r="M105" s="247"/>
      <c r="N105" s="247"/>
      <c r="P105" s="39"/>
    </row>
    <row r="106" spans="2:21">
      <c r="B106" s="5"/>
      <c r="C106" s="259"/>
      <c r="D106" s="247"/>
      <c r="E106" s="247"/>
      <c r="F106" s="247"/>
      <c r="G106" s="247"/>
      <c r="H106" s="247"/>
      <c r="I106" s="247"/>
      <c r="J106" s="5"/>
      <c r="K106" s="5"/>
      <c r="L106" s="5"/>
      <c r="M106" s="5"/>
      <c r="N106" s="5"/>
      <c r="O106" s="5"/>
      <c r="P106" s="5"/>
      <c r="Q106" s="5"/>
      <c r="R106" s="5"/>
      <c r="S106" s="5"/>
      <c r="T106" s="5"/>
      <c r="U106" s="5"/>
    </row>
    <row r="107" spans="2:21">
      <c r="B107" s="5"/>
      <c r="C107" s="259"/>
      <c r="D107" s="5"/>
      <c r="E107" s="5"/>
      <c r="F107" s="5"/>
      <c r="G107" s="5"/>
      <c r="H107" s="5"/>
      <c r="I107" s="249"/>
      <c r="J107" s="259"/>
      <c r="K107" s="259"/>
      <c r="L107" s="259"/>
      <c r="M107" s="259"/>
      <c r="N107" s="259"/>
      <c r="O107" s="5"/>
      <c r="P107" s="5"/>
      <c r="Q107" s="5"/>
      <c r="R107" s="5"/>
      <c r="S107" s="5"/>
      <c r="T107" s="5"/>
      <c r="U107" s="5"/>
    </row>
    <row r="108" spans="2:21">
      <c r="B108" s="5"/>
      <c r="C108" s="259"/>
      <c r="D108" s="259"/>
      <c r="E108" s="259"/>
      <c r="F108" s="259"/>
      <c r="G108" s="259"/>
      <c r="H108" s="259"/>
      <c r="I108" s="249"/>
      <c r="J108" s="247"/>
      <c r="K108" s="247"/>
      <c r="L108" s="247"/>
      <c r="M108" s="247"/>
      <c r="N108" s="247"/>
      <c r="O108" s="5"/>
      <c r="Q108" s="5"/>
      <c r="R108" s="5"/>
      <c r="S108" s="5"/>
      <c r="T108" s="5"/>
      <c r="U108" s="5"/>
    </row>
    <row r="109" spans="2:21">
      <c r="B109" s="5"/>
      <c r="C109" s="247"/>
      <c r="D109" s="247"/>
      <c r="E109" s="247"/>
      <c r="F109" s="247"/>
      <c r="G109" s="247"/>
      <c r="H109" s="247"/>
      <c r="I109" s="247"/>
      <c r="J109" s="249"/>
      <c r="K109" s="249"/>
      <c r="L109" s="249"/>
      <c r="M109" s="249"/>
      <c r="N109" s="249"/>
      <c r="O109" s="5"/>
      <c r="Q109" s="5"/>
      <c r="R109" s="5"/>
      <c r="S109" s="5"/>
      <c r="T109" s="5"/>
      <c r="U109" s="5"/>
    </row>
    <row r="110" spans="2:21">
      <c r="B110" s="41"/>
      <c r="C110" s="249"/>
      <c r="D110" s="249"/>
      <c r="E110" s="249"/>
      <c r="F110" s="249"/>
      <c r="G110" s="249"/>
      <c r="H110" s="249"/>
      <c r="I110" s="5"/>
      <c r="J110" s="249"/>
      <c r="K110" s="249"/>
      <c r="L110" s="249"/>
      <c r="M110" s="249"/>
      <c r="N110" s="249"/>
      <c r="O110" s="5"/>
      <c r="Q110" s="5"/>
      <c r="R110" s="5"/>
      <c r="S110" s="5"/>
      <c r="T110" s="5"/>
      <c r="U110" s="5"/>
    </row>
    <row r="111" spans="2:21">
      <c r="B111" s="5"/>
      <c r="C111" s="249"/>
      <c r="D111" s="249"/>
      <c r="E111" s="249"/>
      <c r="F111" s="249"/>
      <c r="G111" s="249"/>
      <c r="H111" s="249"/>
      <c r="I111" s="5"/>
      <c r="J111" s="247"/>
      <c r="K111" s="247"/>
      <c r="L111" s="247"/>
      <c r="M111" s="247"/>
      <c r="N111" s="247"/>
      <c r="O111" s="5"/>
      <c r="Q111" s="5"/>
      <c r="R111" s="5"/>
      <c r="S111" s="5"/>
      <c r="T111" s="5"/>
      <c r="U111" s="5"/>
    </row>
    <row r="112" spans="2:21">
      <c r="B112" s="5"/>
      <c r="C112" s="247"/>
      <c r="D112" s="247"/>
      <c r="E112" s="247"/>
      <c r="F112" s="247"/>
      <c r="G112" s="247"/>
      <c r="H112" s="247"/>
      <c r="I112" s="5"/>
      <c r="J112" s="5"/>
      <c r="K112" s="5"/>
      <c r="L112" s="5"/>
      <c r="M112" s="5"/>
      <c r="N112" s="5"/>
      <c r="O112" s="5"/>
      <c r="Q112" s="5"/>
      <c r="R112" s="5"/>
      <c r="S112" s="5"/>
      <c r="T112" s="5"/>
      <c r="U112" s="5"/>
    </row>
    <row r="113" spans="2:21">
      <c r="B113" s="5"/>
      <c r="C113" s="5"/>
      <c r="D113" s="5"/>
      <c r="E113" s="5"/>
      <c r="F113" s="5"/>
      <c r="G113" s="5"/>
      <c r="H113" s="5"/>
      <c r="I113" s="5"/>
      <c r="J113" s="5"/>
      <c r="K113" s="5"/>
      <c r="L113" s="5"/>
      <c r="M113" s="5"/>
      <c r="N113" s="5"/>
      <c r="O113" s="5"/>
      <c r="Q113" s="5"/>
      <c r="R113" s="5"/>
      <c r="S113" s="5"/>
      <c r="T113" s="5"/>
      <c r="U113" s="5"/>
    </row>
    <row r="114" spans="2:21">
      <c r="B114" s="5"/>
      <c r="C114" s="5"/>
      <c r="D114" s="5"/>
      <c r="E114" s="5"/>
      <c r="F114" s="5"/>
      <c r="G114" s="5"/>
      <c r="H114" s="5"/>
      <c r="I114" s="49"/>
      <c r="J114" s="5"/>
      <c r="K114" s="5"/>
      <c r="L114" s="5"/>
      <c r="M114" s="5"/>
      <c r="N114" s="5"/>
      <c r="O114" s="5"/>
      <c r="Q114" s="41"/>
      <c r="R114" s="5"/>
      <c r="S114" s="5"/>
      <c r="T114" s="5"/>
      <c r="U114" s="5"/>
    </row>
    <row r="115" spans="2:21">
      <c r="B115" s="5"/>
      <c r="C115" s="5"/>
      <c r="D115" s="5"/>
      <c r="E115" s="5"/>
      <c r="F115" s="5"/>
      <c r="G115" s="5"/>
      <c r="H115" s="5"/>
      <c r="I115" s="5"/>
      <c r="J115" s="5"/>
      <c r="K115" s="5"/>
      <c r="L115" s="5"/>
      <c r="M115" s="5"/>
      <c r="N115" s="5"/>
      <c r="O115" s="5"/>
      <c r="Q115" s="5"/>
      <c r="R115" s="5"/>
      <c r="S115" s="5"/>
      <c r="T115" s="5"/>
      <c r="U115" s="5"/>
    </row>
    <row r="116" spans="2:21">
      <c r="B116" s="5"/>
      <c r="C116" s="5"/>
      <c r="D116" s="5"/>
      <c r="E116" s="5"/>
      <c r="F116" s="5"/>
      <c r="G116" s="5"/>
      <c r="H116" s="5"/>
      <c r="I116" s="254"/>
      <c r="J116" s="49"/>
      <c r="K116" s="49"/>
      <c r="L116" s="49"/>
      <c r="M116" s="49"/>
      <c r="N116" s="49"/>
      <c r="O116" s="49"/>
      <c r="Q116" s="5"/>
      <c r="R116" s="5"/>
      <c r="S116" s="5"/>
      <c r="T116" s="5"/>
      <c r="U116" s="5"/>
    </row>
    <row r="117" spans="2:21">
      <c r="B117" s="41"/>
      <c r="C117" s="49"/>
      <c r="D117" s="49"/>
      <c r="E117" s="49"/>
      <c r="F117" s="49"/>
      <c r="G117" s="49"/>
      <c r="H117" s="49"/>
      <c r="I117" s="249"/>
      <c r="J117" s="5"/>
      <c r="K117" s="5"/>
      <c r="L117" s="5"/>
      <c r="M117" s="5"/>
      <c r="N117" s="5"/>
      <c r="O117" s="5"/>
      <c r="Q117" s="5"/>
      <c r="R117" s="5"/>
      <c r="S117" s="5"/>
      <c r="T117" s="5"/>
      <c r="U117" s="5"/>
    </row>
    <row r="118" spans="2:21">
      <c r="B118" s="5"/>
      <c r="C118" s="5"/>
      <c r="D118" s="5"/>
      <c r="E118" s="5"/>
      <c r="F118" s="5"/>
      <c r="G118" s="5"/>
      <c r="H118" s="5"/>
      <c r="I118" s="254"/>
      <c r="J118" s="254"/>
      <c r="K118" s="254"/>
      <c r="L118" s="254"/>
      <c r="M118" s="254"/>
      <c r="N118" s="254"/>
      <c r="O118" s="248"/>
      <c r="Q118" s="5"/>
      <c r="R118" s="5"/>
      <c r="S118" s="5"/>
      <c r="T118" s="5"/>
      <c r="U118" s="5"/>
    </row>
    <row r="119" spans="2:21">
      <c r="B119" s="41"/>
      <c r="C119" s="254"/>
      <c r="D119" s="254"/>
      <c r="E119" s="254"/>
      <c r="F119" s="254"/>
      <c r="G119" s="254"/>
      <c r="H119" s="254"/>
      <c r="I119" s="254"/>
      <c r="J119" s="249"/>
      <c r="K119" s="249"/>
      <c r="L119" s="249"/>
      <c r="M119" s="249"/>
      <c r="N119" s="249"/>
      <c r="O119" s="248"/>
      <c r="Q119" s="5"/>
      <c r="R119" s="5"/>
      <c r="S119" s="5"/>
      <c r="T119" s="5"/>
      <c r="U119" s="5"/>
    </row>
    <row r="120" spans="2:21">
      <c r="B120" s="41"/>
      <c r="C120" s="254"/>
      <c r="D120" s="249"/>
      <c r="E120" s="249"/>
      <c r="F120" s="249"/>
      <c r="G120" s="249"/>
      <c r="H120" s="249"/>
      <c r="I120" s="254"/>
      <c r="J120" s="254"/>
      <c r="K120" s="254"/>
      <c r="L120" s="254"/>
      <c r="M120" s="254"/>
      <c r="N120" s="254"/>
      <c r="O120" s="248"/>
      <c r="Q120" s="5"/>
      <c r="R120" s="5"/>
      <c r="S120" s="5"/>
      <c r="T120" s="5"/>
      <c r="U120" s="5"/>
    </row>
    <row r="121" spans="2:21">
      <c r="B121" s="41"/>
      <c r="C121" s="254"/>
      <c r="D121" s="254"/>
      <c r="E121" s="254"/>
      <c r="F121" s="254"/>
      <c r="G121" s="254"/>
      <c r="H121" s="254"/>
      <c r="I121" s="254"/>
      <c r="J121" s="254"/>
      <c r="K121" s="254"/>
      <c r="L121" s="254"/>
      <c r="M121" s="254"/>
      <c r="N121" s="254"/>
      <c r="O121" s="248"/>
      <c r="Q121" s="5"/>
      <c r="R121" s="5"/>
      <c r="S121" s="5"/>
      <c r="T121" s="5"/>
      <c r="U121" s="5"/>
    </row>
    <row r="122" spans="2:21">
      <c r="B122" s="41"/>
      <c r="C122" s="254"/>
      <c r="D122" s="254"/>
      <c r="E122" s="254"/>
      <c r="F122" s="254"/>
      <c r="G122" s="254"/>
      <c r="H122" s="254"/>
      <c r="I122" s="254"/>
      <c r="J122" s="254"/>
      <c r="K122" s="254"/>
      <c r="L122" s="254"/>
      <c r="M122" s="254"/>
      <c r="N122" s="254"/>
      <c r="O122" s="248"/>
      <c r="Q122" s="5"/>
      <c r="R122" s="5"/>
      <c r="S122" s="5"/>
      <c r="T122" s="5"/>
      <c r="U122" s="5"/>
    </row>
    <row r="123" spans="2:21">
      <c r="B123" s="41"/>
      <c r="C123" s="254"/>
      <c r="D123" s="254"/>
      <c r="E123" s="254"/>
      <c r="F123" s="254"/>
      <c r="G123" s="254"/>
      <c r="H123" s="254"/>
      <c r="I123" s="254"/>
      <c r="J123" s="254"/>
      <c r="K123" s="254"/>
      <c r="L123" s="254"/>
      <c r="M123" s="254"/>
      <c r="N123" s="254"/>
      <c r="O123" s="248"/>
      <c r="Q123" s="5"/>
      <c r="R123" s="5"/>
      <c r="S123" s="5"/>
      <c r="T123" s="5"/>
      <c r="U123" s="5"/>
    </row>
    <row r="124" spans="2:21">
      <c r="B124" s="41"/>
      <c r="C124" s="254"/>
      <c r="D124" s="254"/>
      <c r="E124" s="254"/>
      <c r="F124" s="254"/>
      <c r="G124" s="254"/>
      <c r="H124" s="254"/>
      <c r="I124" s="254"/>
      <c r="J124" s="254"/>
      <c r="K124" s="254"/>
      <c r="L124" s="254"/>
      <c r="M124" s="254"/>
      <c r="N124" s="254"/>
      <c r="O124" s="5"/>
      <c r="Q124" s="5"/>
      <c r="R124" s="5"/>
      <c r="S124" s="5"/>
      <c r="T124" s="5"/>
      <c r="U124" s="5"/>
    </row>
    <row r="125" spans="2:21">
      <c r="B125" s="41"/>
      <c r="C125" s="254"/>
      <c r="D125" s="254"/>
      <c r="E125" s="254"/>
      <c r="F125" s="254"/>
      <c r="G125" s="254"/>
      <c r="H125" s="254"/>
      <c r="I125" s="254"/>
      <c r="J125" s="254"/>
      <c r="K125" s="254"/>
      <c r="L125" s="254"/>
      <c r="M125" s="254"/>
      <c r="N125" s="254"/>
      <c r="O125" s="5"/>
      <c r="Q125" s="5"/>
      <c r="R125" s="5"/>
      <c r="S125" s="5"/>
      <c r="T125" s="5"/>
      <c r="U125" s="5"/>
    </row>
    <row r="126" spans="2:21">
      <c r="B126" s="41"/>
      <c r="C126" s="254"/>
      <c r="D126" s="254"/>
      <c r="E126" s="254"/>
      <c r="F126" s="254"/>
      <c r="G126" s="254"/>
      <c r="H126" s="254"/>
      <c r="I126" s="18"/>
      <c r="J126" s="254"/>
      <c r="K126" s="254"/>
      <c r="L126" s="254"/>
      <c r="M126" s="254"/>
      <c r="N126" s="254"/>
      <c r="O126" s="5"/>
      <c r="Q126" s="5"/>
      <c r="R126" s="5"/>
      <c r="S126" s="5"/>
      <c r="T126" s="5"/>
      <c r="U126" s="5"/>
    </row>
    <row r="127" spans="2:21">
      <c r="B127" s="41"/>
      <c r="C127" s="254"/>
      <c r="D127" s="254"/>
      <c r="E127" s="254"/>
      <c r="F127" s="254"/>
      <c r="G127" s="254"/>
      <c r="H127" s="254"/>
      <c r="I127" s="5"/>
      <c r="J127" s="254"/>
      <c r="K127" s="254"/>
      <c r="L127" s="254"/>
      <c r="M127" s="254"/>
      <c r="N127" s="254"/>
      <c r="O127" s="5"/>
      <c r="Q127" s="5"/>
      <c r="R127" s="5"/>
      <c r="S127" s="5"/>
      <c r="T127" s="5"/>
      <c r="U127" s="5"/>
    </row>
    <row r="128" spans="2:21">
      <c r="B128" s="41"/>
      <c r="C128" s="254"/>
      <c r="D128" s="254"/>
      <c r="E128" s="254"/>
      <c r="F128" s="254"/>
      <c r="G128" s="254"/>
      <c r="H128" s="254"/>
      <c r="I128" s="254"/>
      <c r="J128" s="18"/>
      <c r="K128" s="18"/>
      <c r="L128" s="18"/>
      <c r="M128" s="18"/>
      <c r="N128" s="18"/>
      <c r="O128" s="5"/>
      <c r="Q128" s="5"/>
      <c r="R128" s="5"/>
      <c r="S128" s="5"/>
      <c r="T128" s="5"/>
      <c r="U128" s="5"/>
    </row>
    <row r="129" spans="2:27">
      <c r="B129" s="5"/>
      <c r="C129" s="5"/>
      <c r="D129" s="18"/>
      <c r="E129" s="18"/>
      <c r="F129" s="18"/>
      <c r="G129" s="18"/>
      <c r="H129" s="18"/>
      <c r="I129" s="18"/>
      <c r="J129" s="5"/>
      <c r="K129" s="5"/>
      <c r="L129" s="5"/>
      <c r="M129" s="5"/>
      <c r="N129" s="5"/>
      <c r="O129" s="5"/>
      <c r="Q129" s="5"/>
      <c r="R129" s="5"/>
      <c r="S129" s="5"/>
      <c r="T129" s="5"/>
      <c r="U129" s="5"/>
    </row>
    <row r="130" spans="2:27">
      <c r="B130" s="5"/>
      <c r="C130" s="5"/>
      <c r="D130" s="5"/>
      <c r="E130" s="5"/>
      <c r="F130" s="5"/>
      <c r="G130" s="5"/>
      <c r="H130" s="5"/>
      <c r="I130" s="5"/>
      <c r="J130" s="254"/>
      <c r="K130" s="254"/>
      <c r="L130" s="254"/>
      <c r="M130" s="254"/>
      <c r="N130" s="254"/>
      <c r="O130" s="5"/>
      <c r="Q130" s="5"/>
      <c r="R130" s="5"/>
      <c r="S130" s="5"/>
      <c r="T130" s="5"/>
      <c r="U130" s="5"/>
    </row>
    <row r="131" spans="2:27">
      <c r="B131" s="41"/>
      <c r="C131" s="254"/>
      <c r="D131" s="254"/>
      <c r="E131" s="254"/>
      <c r="F131" s="254"/>
      <c r="G131" s="254"/>
      <c r="H131" s="254"/>
      <c r="I131" s="5"/>
      <c r="J131" s="18"/>
      <c r="K131" s="18"/>
      <c r="L131" s="18"/>
      <c r="M131" s="18"/>
      <c r="N131" s="18"/>
      <c r="O131" s="5"/>
      <c r="Q131" s="5"/>
      <c r="R131" s="5"/>
      <c r="S131" s="5"/>
      <c r="T131" s="5"/>
      <c r="U131" s="5"/>
    </row>
    <row r="132" spans="2:27">
      <c r="B132" s="5"/>
      <c r="C132" s="259"/>
      <c r="D132" s="18"/>
      <c r="E132" s="18"/>
      <c r="F132" s="18"/>
      <c r="G132" s="18"/>
      <c r="H132" s="18"/>
      <c r="I132" s="17"/>
      <c r="J132" s="5"/>
      <c r="K132" s="5"/>
      <c r="L132" s="5"/>
      <c r="M132" s="5"/>
      <c r="N132" s="5"/>
      <c r="O132" s="5"/>
      <c r="Q132" s="5"/>
      <c r="R132" s="5"/>
      <c r="S132" s="5"/>
      <c r="T132" s="5"/>
      <c r="U132" s="5"/>
    </row>
    <row r="133" spans="2:27">
      <c r="B133" s="5"/>
      <c r="C133" s="5"/>
      <c r="D133" s="5"/>
      <c r="E133" s="5"/>
      <c r="F133" s="5"/>
      <c r="G133" s="5"/>
      <c r="H133" s="5"/>
      <c r="I133" s="17"/>
      <c r="J133" s="5"/>
      <c r="K133" s="5"/>
      <c r="L133" s="5"/>
      <c r="M133" s="5"/>
      <c r="N133" s="5"/>
      <c r="O133" s="5"/>
      <c r="Q133" s="5"/>
      <c r="R133" s="5"/>
      <c r="S133" s="5"/>
      <c r="T133" s="5"/>
      <c r="U133" s="5"/>
    </row>
    <row r="134" spans="2:27">
      <c r="B134" s="41"/>
      <c r="C134" s="5"/>
      <c r="D134" s="5"/>
      <c r="E134" s="5"/>
      <c r="F134" s="5"/>
      <c r="G134" s="5"/>
      <c r="H134" s="5"/>
      <c r="I134" s="17"/>
      <c r="J134" s="17"/>
      <c r="K134" s="17"/>
      <c r="L134" s="17"/>
      <c r="M134" s="17"/>
      <c r="N134" s="17"/>
      <c r="O134" s="5"/>
      <c r="Q134" s="41"/>
      <c r="R134" s="5"/>
      <c r="S134" s="5"/>
      <c r="T134" s="5"/>
      <c r="U134" s="5"/>
    </row>
    <row r="135" spans="2:27">
      <c r="B135" s="5"/>
      <c r="C135" s="17"/>
      <c r="D135" s="17"/>
      <c r="E135" s="17"/>
      <c r="F135" s="17"/>
      <c r="G135" s="17"/>
      <c r="H135" s="17"/>
      <c r="I135" s="17"/>
      <c r="J135" s="17"/>
      <c r="K135" s="17"/>
      <c r="L135" s="17"/>
      <c r="M135" s="17"/>
      <c r="N135" s="17"/>
      <c r="O135" s="5"/>
      <c r="Q135" s="5"/>
      <c r="R135" s="5"/>
      <c r="S135" s="5"/>
      <c r="T135" s="5"/>
      <c r="U135" s="5"/>
      <c r="X135" s="304"/>
    </row>
    <row r="136" spans="2:27">
      <c r="B136" s="5"/>
      <c r="C136" s="17"/>
      <c r="D136" s="17"/>
      <c r="E136" s="17"/>
      <c r="F136" s="17"/>
      <c r="G136" s="17"/>
      <c r="H136" s="17"/>
      <c r="I136" s="17"/>
      <c r="J136" s="17"/>
      <c r="K136" s="17"/>
      <c r="L136" s="17"/>
      <c r="M136" s="17"/>
      <c r="N136" s="17"/>
      <c r="O136" s="5"/>
      <c r="Q136" s="5"/>
      <c r="R136" s="5"/>
      <c r="S136" s="5"/>
      <c r="T136" s="5"/>
      <c r="U136" s="5"/>
      <c r="X136" s="10"/>
      <c r="Y136" s="304"/>
      <c r="Z136" s="304"/>
      <c r="AA136" s="304"/>
    </row>
    <row r="137" spans="2:27">
      <c r="B137" s="5"/>
      <c r="C137" s="5"/>
      <c r="D137" s="17"/>
      <c r="E137" s="17"/>
      <c r="F137" s="17"/>
      <c r="G137" s="17"/>
      <c r="H137" s="17"/>
      <c r="I137" s="17"/>
      <c r="J137" s="17"/>
      <c r="K137" s="17"/>
      <c r="L137" s="17"/>
      <c r="M137" s="17"/>
      <c r="N137" s="17"/>
      <c r="O137" s="5"/>
      <c r="Q137" s="5"/>
      <c r="R137" s="5"/>
      <c r="S137" s="5"/>
      <c r="T137" s="5"/>
      <c r="U137" s="5"/>
      <c r="Y137" s="10"/>
      <c r="Z137" s="10"/>
      <c r="AA137" s="10"/>
    </row>
    <row r="138" spans="2:27">
      <c r="B138" s="5"/>
      <c r="C138" s="5"/>
      <c r="D138" s="17"/>
      <c r="E138" s="17"/>
      <c r="F138" s="17"/>
      <c r="G138" s="17"/>
      <c r="H138" s="17"/>
      <c r="I138" s="5"/>
      <c r="J138" s="17"/>
      <c r="K138" s="17"/>
      <c r="L138" s="17"/>
      <c r="M138" s="17"/>
      <c r="N138" s="17"/>
      <c r="O138" s="5"/>
      <c r="Q138" s="5"/>
      <c r="R138" s="5"/>
      <c r="S138" s="5"/>
      <c r="T138" s="5"/>
      <c r="U138" s="5"/>
    </row>
    <row r="139" spans="2:27">
      <c r="B139" s="5"/>
      <c r="C139" s="5"/>
      <c r="D139" s="17"/>
      <c r="E139" s="17"/>
      <c r="F139" s="17"/>
      <c r="G139" s="17"/>
      <c r="H139" s="17"/>
      <c r="I139" s="5"/>
      <c r="J139" s="17"/>
      <c r="K139" s="17"/>
      <c r="L139" s="17"/>
      <c r="M139" s="17"/>
      <c r="N139" s="17"/>
      <c r="O139" s="5"/>
      <c r="Q139" s="5"/>
      <c r="R139" s="5"/>
      <c r="S139" s="5"/>
      <c r="T139" s="5"/>
      <c r="U139" s="5"/>
    </row>
    <row r="140" spans="2:27">
      <c r="B140" s="5"/>
      <c r="C140" s="17"/>
      <c r="D140" s="17"/>
      <c r="E140" s="17"/>
      <c r="F140" s="17"/>
      <c r="G140" s="17"/>
      <c r="H140" s="17"/>
      <c r="I140" s="5"/>
      <c r="J140" s="5"/>
      <c r="K140" s="5"/>
      <c r="L140" s="5"/>
      <c r="M140" s="5"/>
      <c r="N140" s="5"/>
      <c r="O140" s="5"/>
      <c r="Q140" s="5"/>
      <c r="R140" s="5"/>
      <c r="S140" s="5"/>
      <c r="T140" s="5"/>
      <c r="U140" s="5"/>
    </row>
    <row r="141" spans="2:27">
      <c r="B141" s="5"/>
      <c r="C141" s="5"/>
      <c r="D141" s="5"/>
      <c r="E141" s="5"/>
      <c r="F141" s="5"/>
      <c r="G141" s="5"/>
      <c r="H141" s="5"/>
      <c r="I141" s="5"/>
      <c r="J141" s="5"/>
      <c r="K141" s="5"/>
      <c r="L141" s="5"/>
      <c r="M141" s="5"/>
      <c r="N141" s="5"/>
      <c r="O141" s="5"/>
      <c r="Q141" s="5"/>
      <c r="R141" s="5"/>
      <c r="S141" s="5"/>
      <c r="T141" s="5"/>
      <c r="U141" s="5"/>
    </row>
    <row r="142" spans="2:27">
      <c r="B142" s="5"/>
      <c r="C142" s="5"/>
      <c r="D142" s="5"/>
      <c r="E142" s="5"/>
      <c r="F142" s="5"/>
      <c r="G142" s="5"/>
      <c r="H142" s="5"/>
      <c r="I142" s="5"/>
      <c r="J142" s="5"/>
      <c r="K142" s="5"/>
      <c r="L142" s="5"/>
      <c r="M142" s="5"/>
      <c r="N142" s="5"/>
      <c r="O142" s="5"/>
      <c r="Q142" s="5"/>
      <c r="R142" s="5"/>
      <c r="S142" s="5"/>
      <c r="T142" s="5"/>
      <c r="U142" s="5"/>
    </row>
    <row r="143" spans="2:27">
      <c r="B143" s="5"/>
      <c r="C143" s="5"/>
      <c r="D143" s="5"/>
      <c r="E143" s="5"/>
      <c r="F143" s="5"/>
      <c r="G143" s="5"/>
      <c r="H143" s="5"/>
      <c r="I143" s="5"/>
      <c r="J143" s="5"/>
      <c r="K143" s="5"/>
      <c r="L143" s="5"/>
      <c r="M143" s="5"/>
      <c r="N143" s="5"/>
      <c r="O143" s="5"/>
      <c r="Q143" s="5"/>
      <c r="R143" s="5"/>
      <c r="S143" s="5"/>
      <c r="T143" s="5"/>
      <c r="U143" s="5"/>
    </row>
    <row r="144" spans="2:27">
      <c r="B144" s="5"/>
      <c r="C144" s="5"/>
      <c r="D144" s="5"/>
      <c r="E144" s="5"/>
      <c r="F144" s="5"/>
      <c r="G144" s="5"/>
      <c r="H144" s="5"/>
      <c r="I144" s="5"/>
      <c r="J144" s="5"/>
      <c r="K144" s="5"/>
      <c r="L144" s="5"/>
      <c r="M144" s="5"/>
      <c r="N144" s="5"/>
      <c r="O144" s="5"/>
      <c r="Q144" s="5"/>
      <c r="R144" s="5"/>
      <c r="S144" s="5"/>
      <c r="T144" s="5"/>
      <c r="U144" s="5"/>
    </row>
    <row r="145" spans="2:21">
      <c r="B145" s="5"/>
      <c r="C145" s="5"/>
      <c r="D145" s="5"/>
      <c r="E145" s="5"/>
      <c r="F145" s="5"/>
      <c r="G145" s="5"/>
      <c r="H145" s="5"/>
      <c r="I145" s="5"/>
      <c r="J145" s="5"/>
      <c r="K145" s="5"/>
      <c r="L145" s="5"/>
      <c r="M145" s="5"/>
      <c r="N145" s="5"/>
      <c r="O145" s="5"/>
      <c r="Q145" s="5"/>
      <c r="R145" s="5"/>
      <c r="S145" s="5"/>
      <c r="T145" s="5"/>
      <c r="U145" s="5"/>
    </row>
    <row r="146" spans="2:21">
      <c r="B146" s="5"/>
      <c r="C146" s="5"/>
      <c r="D146" s="5"/>
      <c r="E146" s="5"/>
      <c r="F146" s="5"/>
      <c r="G146" s="5"/>
      <c r="H146" s="5"/>
      <c r="I146" s="5"/>
      <c r="J146" s="5"/>
      <c r="K146" s="5"/>
      <c r="L146" s="5"/>
      <c r="M146" s="5"/>
      <c r="N146" s="5"/>
      <c r="O146" s="5"/>
      <c r="Q146" s="5"/>
      <c r="R146" s="5"/>
      <c r="S146" s="5"/>
      <c r="T146" s="5"/>
      <c r="U146" s="5"/>
    </row>
    <row r="147" spans="2:21">
      <c r="B147" s="5"/>
      <c r="C147" s="5"/>
      <c r="D147" s="5"/>
      <c r="E147" s="5"/>
      <c r="F147" s="5"/>
      <c r="G147" s="5"/>
      <c r="H147" s="5"/>
      <c r="I147" s="5"/>
      <c r="J147" s="5"/>
      <c r="K147" s="5"/>
      <c r="L147" s="5"/>
      <c r="M147" s="5"/>
      <c r="N147" s="5"/>
      <c r="O147" s="5"/>
      <c r="Q147" s="5"/>
      <c r="R147" s="5"/>
      <c r="S147" s="5"/>
      <c r="T147" s="5"/>
      <c r="U147" s="5"/>
    </row>
    <row r="148" spans="2:21">
      <c r="B148" s="5"/>
      <c r="C148" s="5"/>
      <c r="D148" s="5"/>
      <c r="E148" s="5"/>
      <c r="F148" s="5"/>
      <c r="G148" s="5"/>
      <c r="H148" s="5"/>
      <c r="J148" s="5"/>
      <c r="K148" s="5"/>
      <c r="L148" s="5"/>
      <c r="M148" s="5"/>
      <c r="N148" s="5"/>
      <c r="O148" s="5"/>
      <c r="Q148" s="5"/>
      <c r="R148" s="5"/>
      <c r="S148" s="5"/>
      <c r="T148" s="5"/>
      <c r="U148" s="5"/>
    </row>
    <row r="149" spans="2:21">
      <c r="B149" s="5"/>
      <c r="C149" s="5"/>
      <c r="D149" s="5"/>
      <c r="E149" s="5"/>
      <c r="F149" s="5"/>
      <c r="G149" s="5"/>
      <c r="H149" s="5"/>
      <c r="J149" s="5"/>
      <c r="K149" s="5"/>
      <c r="L149" s="5"/>
      <c r="M149" s="5"/>
      <c r="N149" s="5"/>
      <c r="O149" s="5"/>
      <c r="Q149" s="5"/>
      <c r="R149" s="5"/>
      <c r="S149" s="5"/>
      <c r="T149" s="5"/>
      <c r="U149" s="5"/>
    </row>
    <row r="150" spans="2:21">
      <c r="B150" s="5"/>
      <c r="C150" s="5"/>
      <c r="D150" s="5"/>
      <c r="E150" s="5"/>
      <c r="F150" s="5"/>
      <c r="G150" s="5"/>
      <c r="H150" s="5"/>
      <c r="Q150" s="5"/>
      <c r="R150" s="5"/>
      <c r="S150" s="5"/>
      <c r="T150" s="5"/>
      <c r="U150" s="5"/>
    </row>
    <row r="151" spans="2:21">
      <c r="Q151" s="5"/>
      <c r="R151" s="5"/>
      <c r="S151" s="5"/>
      <c r="T151" s="5"/>
      <c r="U151" s="5"/>
    </row>
    <row r="152" spans="2:21">
      <c r="Q152" s="5"/>
      <c r="R152" s="5"/>
      <c r="S152" s="5"/>
      <c r="T152" s="5"/>
      <c r="U152" s="5"/>
    </row>
    <row r="153" spans="2:21">
      <c r="C153" s="263"/>
      <c r="Q153" s="5"/>
      <c r="R153" s="5"/>
      <c r="S153" s="5"/>
      <c r="T153" s="5"/>
      <c r="U153" s="5"/>
    </row>
    <row r="154" spans="2:21">
      <c r="Q154" s="5"/>
      <c r="R154" s="5"/>
      <c r="S154" s="5"/>
      <c r="T154" s="5"/>
      <c r="U154" s="5"/>
    </row>
    <row r="155" spans="2:21">
      <c r="Q155" s="5"/>
      <c r="R155" s="5"/>
      <c r="S155" s="5"/>
      <c r="T155" s="5"/>
      <c r="U155" s="5"/>
    </row>
    <row r="156" spans="2:21">
      <c r="Q156" s="5"/>
      <c r="R156" s="5"/>
      <c r="S156" s="5"/>
      <c r="T156" s="5"/>
      <c r="U156" s="5"/>
    </row>
    <row r="157" spans="2:21">
      <c r="Q157" s="5"/>
      <c r="R157" s="5"/>
      <c r="S157" s="5"/>
      <c r="T157" s="5"/>
      <c r="U157" s="5"/>
    </row>
    <row r="158" spans="2:21">
      <c r="Q158" s="5"/>
      <c r="R158" s="5"/>
      <c r="S158" s="5"/>
      <c r="T158" s="5"/>
      <c r="U158" s="5"/>
    </row>
    <row r="159" spans="2:21">
      <c r="Q159" s="5"/>
      <c r="R159" s="5"/>
      <c r="S159" s="5"/>
      <c r="T159" s="5"/>
      <c r="U159" s="5"/>
    </row>
    <row r="160" spans="2:21">
      <c r="Q160" s="5"/>
      <c r="R160" s="5"/>
      <c r="S160" s="5"/>
      <c r="T160" s="5"/>
      <c r="U160" s="5"/>
    </row>
    <row r="161" spans="17:21">
      <c r="Q161" s="5"/>
      <c r="R161" s="5"/>
      <c r="S161" s="5"/>
      <c r="T161" s="5"/>
      <c r="U161" s="5"/>
    </row>
    <row r="162" spans="17:21">
      <c r="Q162" s="5"/>
      <c r="R162" s="5"/>
      <c r="S162" s="5"/>
      <c r="T162" s="5"/>
      <c r="U162" s="5"/>
    </row>
    <row r="163" spans="17:21">
      <c r="Q163" s="5"/>
      <c r="R163" s="5"/>
      <c r="S163" s="5"/>
      <c r="T163" s="5"/>
      <c r="U163" s="5"/>
    </row>
    <row r="164" spans="17:21">
      <c r="Q164" s="5"/>
      <c r="R164" s="5"/>
      <c r="S164" s="5"/>
      <c r="T164" s="5"/>
      <c r="U164" s="5"/>
    </row>
  </sheetData>
  <phoneticPr fontId="7" type="noConversion"/>
  <pageMargins left="0.75" right="0.75" top="1" bottom="1" header="0.5" footer="0.5"/>
  <pageSetup scale="70" orientation="landscape" r:id="rId1"/>
  <headerFooter alignWithMargins="0"/>
  <drawing r:id="rId2"/>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500-000000000000}">
  <sheetPr codeName="Sheet171">
    <tabColor theme="3" tint="0.39997558519241921"/>
    <pageSetUpPr fitToPage="1"/>
  </sheetPr>
  <dimension ref="B1:BK164"/>
  <sheetViews>
    <sheetView showGridLines="0" zoomScale="80" zoomScaleNormal="80" workbookViewId="0"/>
  </sheetViews>
  <sheetFormatPr defaultColWidth="8.88671875" defaultRowHeight="12"/>
  <cols>
    <col min="1" max="1" width="2.33203125" style="39" customWidth="1"/>
    <col min="2" max="2" width="26.6640625" style="39" customWidth="1"/>
    <col min="3" max="9" width="10" style="39" customWidth="1"/>
    <col min="10" max="10" width="26.6640625" style="39" customWidth="1"/>
    <col min="11" max="16" width="10" style="39" customWidth="1"/>
    <col min="17" max="17" width="4.5546875" style="39" customWidth="1"/>
    <col min="18" max="20" width="8.88671875" style="39"/>
    <col min="21" max="21" width="3.6640625" style="39" customWidth="1"/>
    <col min="22" max="26" width="9.109375" style="5"/>
    <col min="27" max="27" width="9.6640625" style="5" bestFit="1" customWidth="1"/>
    <col min="28" max="63" width="9.109375" style="5" customWidth="1"/>
    <col min="64" max="16384" width="8.88671875" style="39"/>
  </cols>
  <sheetData>
    <row r="1" spans="2:63" s="312" customFormat="1">
      <c r="V1" s="149"/>
      <c r="W1" s="149"/>
      <c r="X1" s="149"/>
      <c r="Y1" s="149"/>
      <c r="Z1" s="149"/>
      <c r="AA1" s="149"/>
      <c r="AB1" s="149"/>
      <c r="AC1" s="149"/>
      <c r="AD1" s="149"/>
      <c r="AE1" s="149"/>
      <c r="AF1" s="149"/>
      <c r="AG1" s="149"/>
      <c r="AH1" s="149"/>
      <c r="AI1" s="149"/>
      <c r="AJ1" s="149"/>
      <c r="AK1" s="149"/>
      <c r="AL1" s="149"/>
      <c r="AM1" s="149"/>
      <c r="AN1" s="149"/>
      <c r="AO1" s="149"/>
      <c r="AP1" s="149"/>
      <c r="AQ1" s="149"/>
      <c r="AR1" s="149"/>
      <c r="AS1" s="149"/>
      <c r="AT1" s="149"/>
      <c r="AU1" s="149"/>
      <c r="AV1" s="149"/>
      <c r="AW1" s="149"/>
      <c r="AX1" s="149"/>
      <c r="AY1" s="149"/>
      <c r="AZ1" s="149"/>
      <c r="BA1" s="149"/>
      <c r="BB1" s="149"/>
      <c r="BC1" s="149"/>
      <c r="BD1" s="149"/>
      <c r="BE1" s="149"/>
      <c r="BF1" s="149"/>
      <c r="BG1" s="149"/>
      <c r="BH1" s="149"/>
      <c r="BI1" s="149"/>
      <c r="BJ1" s="149"/>
      <c r="BK1" s="149"/>
    </row>
    <row r="2" spans="2:63" s="312" customFormat="1">
      <c r="V2" s="149"/>
      <c r="W2" s="149"/>
      <c r="X2" s="149"/>
      <c r="Y2" s="149"/>
      <c r="Z2" s="149"/>
      <c r="AA2" s="149"/>
      <c r="AB2" s="149"/>
      <c r="AC2" s="149"/>
      <c r="AD2" s="149"/>
      <c r="AE2" s="149"/>
      <c r="AF2" s="149"/>
      <c r="AG2" s="149"/>
      <c r="AH2" s="149"/>
      <c r="AI2" s="149"/>
      <c r="AJ2" s="149"/>
      <c r="AK2" s="149"/>
      <c r="AL2" s="149"/>
      <c r="AM2" s="149"/>
      <c r="AN2" s="149"/>
      <c r="AO2" s="149"/>
      <c r="AP2" s="149"/>
      <c r="AQ2" s="149"/>
      <c r="AR2" s="149"/>
      <c r="AS2" s="149"/>
      <c r="AT2" s="149"/>
      <c r="AU2" s="149"/>
      <c r="AV2" s="149"/>
      <c r="AW2" s="149"/>
      <c r="AX2" s="149"/>
      <c r="AY2" s="149"/>
      <c r="AZ2" s="149"/>
      <c r="BA2" s="149"/>
      <c r="BB2" s="149"/>
      <c r="BC2" s="149"/>
      <c r="BD2" s="149"/>
      <c r="BE2" s="149"/>
      <c r="BF2" s="149"/>
      <c r="BG2" s="149"/>
      <c r="BH2" s="149"/>
      <c r="BI2" s="149"/>
      <c r="BJ2" s="149"/>
      <c r="BK2" s="149"/>
    </row>
    <row r="3" spans="2:63" s="149" customFormat="1">
      <c r="H3" s="153"/>
      <c r="P3" s="153"/>
    </row>
    <row r="4" spans="2:63" s="156" customFormat="1" ht="21">
      <c r="B4" s="129" t="s">
        <v>1133</v>
      </c>
      <c r="H4" s="222"/>
      <c r="P4" s="222"/>
    </row>
    <row r="5" spans="2:63" s="149" customFormat="1">
      <c r="C5" s="153"/>
      <c r="D5" s="153" t="str" cm="1">
        <f t="array" ref="D5:H5">headings</f>
        <v>2023E</v>
      </c>
      <c r="E5" s="153" t="str">
        <v>2024E</v>
      </c>
      <c r="F5" s="153" t="str">
        <v>2025E</v>
      </c>
      <c r="G5" s="153" t="str">
        <v>2026E</v>
      </c>
      <c r="H5" s="153" t="str">
        <v>23E-26E</v>
      </c>
      <c r="I5" s="153"/>
      <c r="J5" s="153"/>
      <c r="K5" s="153"/>
      <c r="L5" s="153" t="str" cm="1">
        <f t="array" ref="L5:P5">headings</f>
        <v>2023E</v>
      </c>
      <c r="M5" s="153" t="str">
        <v>2024E</v>
      </c>
      <c r="N5" s="153" t="str">
        <v>2025E</v>
      </c>
      <c r="O5" s="153" t="str">
        <v>2026E</v>
      </c>
      <c r="P5" s="153" t="str">
        <v>23E-26E</v>
      </c>
      <c r="Q5" s="162"/>
      <c r="R5" s="162"/>
      <c r="S5" s="162"/>
      <c r="T5" s="162"/>
      <c r="U5" s="162"/>
      <c r="V5" s="162"/>
      <c r="W5" s="162"/>
      <c r="X5" s="162"/>
      <c r="Y5" s="162"/>
    </row>
    <row r="6" spans="2:63">
      <c r="I6" s="5"/>
      <c r="J6" s="5"/>
      <c r="K6" s="5"/>
      <c r="L6" s="5"/>
      <c r="M6" s="5"/>
      <c r="N6" s="5"/>
      <c r="O6" s="49"/>
    </row>
    <row r="7" spans="2:63" ht="12.6" thickBot="1">
      <c r="B7" s="306" t="s">
        <v>271</v>
      </c>
      <c r="C7" s="265"/>
      <c r="D7" s="265"/>
      <c r="E7" s="265"/>
      <c r="F7" s="265"/>
      <c r="G7" s="265"/>
      <c r="H7" s="265"/>
      <c r="I7" s="49"/>
      <c r="J7" s="306" t="s">
        <v>200</v>
      </c>
      <c r="K7" s="306"/>
      <c r="L7" s="306"/>
      <c r="M7" s="306"/>
      <c r="N7" s="266"/>
      <c r="O7" s="266"/>
      <c r="P7" s="266"/>
    </row>
    <row r="8" spans="2:63" ht="12.6" thickTop="1">
      <c r="B8" s="5"/>
      <c r="C8" s="5"/>
      <c r="D8" s="5"/>
      <c r="E8" s="5"/>
      <c r="F8" s="5"/>
      <c r="G8" s="5"/>
      <c r="H8" s="5"/>
      <c r="I8" s="5"/>
      <c r="J8" s="5"/>
      <c r="K8" s="5"/>
      <c r="L8" s="5"/>
      <c r="M8" s="5"/>
      <c r="N8" s="5"/>
    </row>
    <row r="9" spans="2:63">
      <c r="B9" s="41" t="s">
        <v>500</v>
      </c>
      <c r="C9" s="287"/>
      <c r="D9" s="5"/>
      <c r="E9" s="249"/>
      <c r="F9" s="249"/>
      <c r="G9" s="249"/>
      <c r="H9" s="249"/>
      <c r="I9" s="249"/>
      <c r="J9" s="5" t="s">
        <v>273</v>
      </c>
      <c r="L9" s="64">
        <f>'AGG DM'!D37</f>
        <v>2.329412469433874</v>
      </c>
      <c r="M9" s="64">
        <f>'AGG DM'!E37</f>
        <v>2.207031841456474</v>
      </c>
      <c r="N9" s="64">
        <f>'AGG DM'!F37</f>
        <v>2.0665364578686574</v>
      </c>
      <c r="O9" s="64">
        <f>'AGG DM'!G37</f>
        <v>1.9167412853037995</v>
      </c>
      <c r="P9" s="17">
        <f>'AGG DM'!H37</f>
        <v>1.9501934659983178E-2</v>
      </c>
    </row>
    <row r="10" spans="2:63">
      <c r="B10" s="5" t="s">
        <v>274</v>
      </c>
      <c r="C10" s="5"/>
      <c r="D10" s="332"/>
      <c r="E10" s="332"/>
      <c r="F10" s="332"/>
      <c r="G10" s="332"/>
      <c r="H10" s="247"/>
      <c r="I10" s="247"/>
      <c r="J10" s="5" t="s">
        <v>184</v>
      </c>
      <c r="L10" s="64">
        <f>'AGG DM'!D38</f>
        <v>7.0841879802792365</v>
      </c>
      <c r="M10" s="64">
        <f>'AGG DM'!E38</f>
        <v>6.5876114702803505</v>
      </c>
      <c r="N10" s="64">
        <f>'AGG DM'!F38</f>
        <v>6.0864198915332164</v>
      </c>
      <c r="O10" s="64">
        <f>'AGG DM'!G38</f>
        <v>5.5767680131537691</v>
      </c>
      <c r="P10" s="17">
        <f>'AGG DM'!H38</f>
        <v>3.4656651554389573E-2</v>
      </c>
      <c r="W10" s="10"/>
      <c r="X10" s="10"/>
      <c r="Y10" s="10"/>
      <c r="Z10" s="10"/>
    </row>
    <row r="11" spans="2:63">
      <c r="B11" s="41" t="s">
        <v>457</v>
      </c>
      <c r="C11" s="5"/>
      <c r="D11" s="271">
        <f>'W.EUR OTHER'!D11+'W.EUR INCUMB'!D11</f>
        <v>300020.92772189638</v>
      </c>
      <c r="E11" s="271">
        <f>'W.EUR OTHER'!E11+'W.EUR INCUMB'!E11</f>
        <v>294631.10495628702</v>
      </c>
      <c r="F11" s="271">
        <f>'W.EUR OTHER'!F11+'W.EUR INCUMB'!F11</f>
        <v>293758.99338985578</v>
      </c>
      <c r="G11" s="271">
        <f>'W.EUR OTHER'!G11+'W.EUR INCUMB'!G11</f>
        <v>292964.21507889102</v>
      </c>
      <c r="H11" s="249"/>
      <c r="I11" s="249"/>
      <c r="J11" s="5" t="s">
        <v>185</v>
      </c>
      <c r="L11" s="64">
        <f>'AGG DM'!D39</f>
        <v>13.53328960256645</v>
      </c>
      <c r="M11" s="64">
        <f>'AGG DM'!E39</f>
        <v>11.493643628277713</v>
      </c>
      <c r="N11" s="64">
        <f>'AGG DM'!F39</f>
        <v>10.264735122504899</v>
      </c>
      <c r="O11" s="64">
        <f>'AGG DM'!G39</f>
        <v>9.0451770938503948</v>
      </c>
      <c r="P11" s="17">
        <f>'AGG DM'!H39</f>
        <v>9.2670425427640479E-2</v>
      </c>
      <c r="W11" s="10"/>
      <c r="X11" s="10"/>
      <c r="Y11" s="10"/>
      <c r="Z11" s="10"/>
    </row>
    <row r="12" spans="2:63">
      <c r="B12" s="5" t="s">
        <v>229</v>
      </c>
      <c r="C12" s="249"/>
      <c r="D12" s="228">
        <f>'W.EUR OTHER'!D12+'W.EUR INCUMB'!D12</f>
        <v>263423.70404780452</v>
      </c>
      <c r="E12" s="228">
        <f>'W.EUR OTHER'!E12+'W.EUR INCUMB'!E12</f>
        <v>266426.37867364788</v>
      </c>
      <c r="F12" s="228">
        <f>'W.EUR OTHER'!F12+'W.EUR INCUMB'!F12</f>
        <v>266596.06517610024</v>
      </c>
      <c r="G12" s="228">
        <f>'W.EUR OTHER'!G12+'W.EUR INCUMB'!G12</f>
        <v>257962.96121174004</v>
      </c>
      <c r="H12" s="247"/>
      <c r="I12" s="247"/>
      <c r="J12" s="5" t="s">
        <v>466</v>
      </c>
      <c r="L12" s="64">
        <f>'AGG DM'!D40</f>
        <v>19.213286909010346</v>
      </c>
      <c r="M12" s="64">
        <f>'AGG DM'!E40</f>
        <v>16.347188206412962</v>
      </c>
      <c r="N12" s="64">
        <f>'AGG DM'!F40</f>
        <v>14.618845003714046</v>
      </c>
      <c r="O12" s="64">
        <f>'AGG DM'!G40</f>
        <v>12.840265625641983</v>
      </c>
      <c r="P12" s="17">
        <f>'AGG DM'!H40</f>
        <v>9.2705111729584289E-2</v>
      </c>
      <c r="W12" s="10"/>
      <c r="X12" s="10"/>
      <c r="Y12" s="10"/>
      <c r="Z12" s="10"/>
    </row>
    <row r="13" spans="2:63">
      <c r="B13" s="5" t="s">
        <v>529</v>
      </c>
      <c r="C13" s="257"/>
      <c r="D13" s="228">
        <f>'W.EUR OTHER'!D13+'W.EUR INCUMB'!D13</f>
        <v>77342.347188841435</v>
      </c>
      <c r="E13" s="228">
        <f>'W.EUR OTHER'!E13+'W.EUR INCUMB'!E13</f>
        <v>76271.722953961056</v>
      </c>
      <c r="F13" s="228">
        <f>'W.EUR OTHER'!F13+'W.EUR INCUMB'!F13</f>
        <v>72742.392014720521</v>
      </c>
      <c r="G13" s="228">
        <f>'W.EUR OTHER'!G13+'W.EUR INCUMB'!G13</f>
        <v>71059.840893557513</v>
      </c>
      <c r="H13" s="247"/>
      <c r="I13" s="247"/>
      <c r="J13" s="5" t="s">
        <v>530</v>
      </c>
      <c r="L13" s="64">
        <f>'AGG DM'!D41</f>
        <v>1.3514515540183685</v>
      </c>
      <c r="M13" s="64">
        <f>'AGG DM'!E41</f>
        <v>1.4007532435377124</v>
      </c>
      <c r="N13" s="64">
        <f>'AGG DM'!F41</f>
        <v>1.3363938049874495</v>
      </c>
      <c r="O13" s="64">
        <f>'AGG DM'!G41</f>
        <v>1.2739776448559783</v>
      </c>
      <c r="P13" s="17">
        <f>'AGG DM'!H41</f>
        <v>-2.5668717959517307E-2</v>
      </c>
    </row>
    <row r="14" spans="2:63">
      <c r="B14" s="5" t="s">
        <v>532</v>
      </c>
      <c r="C14" s="274"/>
      <c r="D14" s="228">
        <f>'W.EUR OTHER'!D14+'W.EUR INCUMB'!D14</f>
        <v>31683.479270980184</v>
      </c>
      <c r="E14" s="228">
        <f>'W.EUR OTHER'!E14+'W.EUR INCUMB'!E14</f>
        <v>31683.479270980184</v>
      </c>
      <c r="F14" s="228">
        <f>'W.EUR OTHER'!F14+'W.EUR INCUMB'!F14</f>
        <v>31683.479270980184</v>
      </c>
      <c r="G14" s="228">
        <f>'W.EUR OTHER'!G14+'W.EUR INCUMB'!G14</f>
        <v>31683.479270980184</v>
      </c>
      <c r="H14" s="247"/>
      <c r="I14" s="247"/>
      <c r="J14" s="5" t="s">
        <v>593</v>
      </c>
      <c r="L14" s="64">
        <f>'AGG DM'!D42</f>
        <v>3.3000460374957705</v>
      </c>
      <c r="M14" s="64">
        <f>'AGG DM'!E42</f>
        <v>3.1838124862642916</v>
      </c>
      <c r="N14" s="64">
        <f>'AGG DM'!F42</f>
        <v>3.0594658370749888</v>
      </c>
      <c r="O14" s="64">
        <f>'AGG DM'!G42</f>
        <v>2.9412325385033187</v>
      </c>
      <c r="P14" s="17">
        <f>'AGG DM'!H42</f>
        <v>-7.2864107786076993E-3</v>
      </c>
    </row>
    <row r="15" spans="2:63">
      <c r="B15" s="5" t="s">
        <v>531</v>
      </c>
      <c r="C15" s="257"/>
      <c r="D15" s="228">
        <f>'W.EUR OTHER'!D15+'W.EUR INCUMB'!D15</f>
        <v>116306.67517713296</v>
      </c>
      <c r="E15" s="228">
        <f>'W.EUR OTHER'!E15+'W.EUR INCUMB'!E15</f>
        <v>113243.20690031424</v>
      </c>
      <c r="F15" s="228">
        <f>'W.EUR OTHER'!F15+'W.EUR INCUMB'!F15</f>
        <v>110997.25879695645</v>
      </c>
      <c r="G15" s="228">
        <f>'W.EUR OTHER'!G15+'W.EUR INCUMB'!G15</f>
        <v>108405.89875670457</v>
      </c>
      <c r="H15" s="247"/>
      <c r="I15" s="247"/>
      <c r="J15" s="5" t="s">
        <v>475</v>
      </c>
      <c r="L15" s="64">
        <f>'AGG DM'!D43</f>
        <v>11.806292254184493</v>
      </c>
      <c r="M15" s="64">
        <f>'AGG DM'!E43</f>
        <v>10.8479727708929</v>
      </c>
      <c r="N15" s="64">
        <f>'AGG DM'!F43</f>
        <v>9.79850588673491</v>
      </c>
      <c r="O15" s="64">
        <f>'AGG DM'!G43</f>
        <v>8.8149149732476211</v>
      </c>
      <c r="P15" s="17">
        <f>'AGG DM'!H43</f>
        <v>7.171679530370545E-2</v>
      </c>
      <c r="S15" s="88"/>
      <c r="T15" s="88"/>
      <c r="U15" s="88"/>
      <c r="V15" s="42"/>
      <c r="W15" s="42"/>
      <c r="X15" s="42"/>
      <c r="Y15" s="42"/>
      <c r="Z15" s="42"/>
      <c r="AA15" s="42"/>
    </row>
    <row r="16" spans="2:63">
      <c r="B16" s="5" t="s">
        <v>534</v>
      </c>
      <c r="C16" s="257"/>
      <c r="D16" s="228">
        <f>'W.EUR OTHER'!D16+'W.EUR INCUMB'!D16</f>
        <v>394.1409891930108</v>
      </c>
      <c r="E16" s="228">
        <f>'W.EUR OTHER'!E16+'W.EUR INCUMB'!E16</f>
        <v>15942.394032885644</v>
      </c>
      <c r="F16" s="228">
        <f>'W.EUR OTHER'!F16+'W.EUR INCUMB'!F16</f>
        <v>31281.597007389104</v>
      </c>
      <c r="G16" s="228">
        <f>'W.EUR OTHER'!G16+'W.EUR INCUMB'!G16</f>
        <v>46166.247665921881</v>
      </c>
      <c r="H16" s="247"/>
      <c r="I16" s="247"/>
      <c r="J16" s="5" t="s">
        <v>533</v>
      </c>
      <c r="L16" s="64">
        <f>'AGG DM'!D44</f>
        <v>13.624604105346204</v>
      </c>
      <c r="M16" s="64">
        <f>'AGG DM'!E44</f>
        <v>12.503028582967529</v>
      </c>
      <c r="N16" s="64">
        <f>'AGG DM'!F44</f>
        <v>11.302702719097406</v>
      </c>
      <c r="O16" s="64">
        <f>'AGG DM'!G44</f>
        <v>10.160048566687355</v>
      </c>
      <c r="P16" s="17">
        <f>'AGG DM'!H44</f>
        <v>7.6119307301105277E-2</v>
      </c>
      <c r="S16" s="88"/>
      <c r="T16" s="88"/>
      <c r="U16" s="88"/>
      <c r="V16" s="42"/>
      <c r="W16" s="42"/>
      <c r="X16" s="42"/>
      <c r="Y16" s="42"/>
      <c r="Z16" s="42"/>
      <c r="AA16" s="42"/>
    </row>
    <row r="17" spans="2:27">
      <c r="B17" s="5" t="s">
        <v>6</v>
      </c>
      <c r="C17" s="257"/>
      <c r="D17" s="228">
        <f>'W.EUR OTHER'!D17+'W.EUR INCUMB'!D17</f>
        <v>6393.3656752529159</v>
      </c>
      <c r="E17" s="228">
        <f>'W.EUR OTHER'!E17+'W.EUR INCUMB'!E17</f>
        <v>6305.1259588403036</v>
      </c>
      <c r="F17" s="228">
        <f>'W.EUR OTHER'!F17+'W.EUR INCUMB'!F17</f>
        <v>6188.1375074511598</v>
      </c>
      <c r="G17" s="228">
        <f>'W.EUR OTHER'!G17+'W.EUR INCUMB'!G17</f>
        <v>6088.2353507692651</v>
      </c>
      <c r="H17" s="247"/>
      <c r="I17" s="247"/>
      <c r="J17" s="5" t="s">
        <v>580</v>
      </c>
      <c r="L17" s="248">
        <f>'AGG DM'!D45</f>
        <v>3.8692911642747754E-2</v>
      </c>
      <c r="M17" s="248">
        <f>'AGG DM'!E45</f>
        <v>4.3419291969220015E-2</v>
      </c>
      <c r="N17" s="248">
        <f>'AGG DM'!F45</f>
        <v>4.6126321738259798E-2</v>
      </c>
      <c r="O17" s="248">
        <f>'AGG DM'!G45</f>
        <v>4.9423675586152439E-2</v>
      </c>
      <c r="P17" s="17">
        <f>'AGG DM'!H45</f>
        <v>5.8812184463164385E-2</v>
      </c>
      <c r="S17" s="88"/>
      <c r="T17" s="88"/>
      <c r="U17" s="88"/>
      <c r="V17" s="42"/>
      <c r="W17" s="42"/>
      <c r="X17" s="42"/>
      <c r="Y17" s="42"/>
      <c r="Z17" s="42"/>
      <c r="AA17" s="42"/>
    </row>
    <row r="18" spans="2:27" ht="12.6" thickBot="1">
      <c r="B18" s="41" t="s">
        <v>456</v>
      </c>
      <c r="C18" s="249"/>
      <c r="D18" s="275">
        <f>'W.EUR OTHER'!D18+'W.EUR INCUMB'!D18</f>
        <v>718622.66820024909</v>
      </c>
      <c r="E18" s="275">
        <f>'W.EUR OTHER'!E18+'W.EUR INCUMB'!E18</f>
        <v>696641.41422150424</v>
      </c>
      <c r="F18" s="275">
        <f>'W.EUR OTHER'!F18+'W.EUR INCUMB'!F18</f>
        <v>674941.49559181242</v>
      </c>
      <c r="G18" s="275">
        <f>'W.EUR OTHER'!G18+'W.EUR INCUMB'!G18</f>
        <v>646454.95365322172</v>
      </c>
      <c r="H18" s="276">
        <f>IF(D18=0,"nm",IF(G18=0,"nm",(G18/D18)^(1/3)-1))</f>
        <v>-3.4662630975942355E-2</v>
      </c>
      <c r="I18" s="254"/>
      <c r="J18" s="5" t="s">
        <v>36</v>
      </c>
      <c r="L18" s="248">
        <f>'AGG DM'!D46</f>
        <v>5.5339609483801136E-2</v>
      </c>
      <c r="M18" s="248">
        <f>'AGG DM'!E46</f>
        <v>7.6500460251698113E-2</v>
      </c>
      <c r="N18" s="248">
        <f>'AGG DM'!F46</f>
        <v>8.0311545489538158E-2</v>
      </c>
      <c r="O18" s="248">
        <f>'AGG DM'!G46</f>
        <v>9.1977124183415609E-2</v>
      </c>
      <c r="P18" s="17">
        <f>'AGG DM'!H46</f>
        <v>0.15593203466037919</v>
      </c>
      <c r="S18" s="42"/>
      <c r="T18" s="42"/>
      <c r="U18" s="42"/>
      <c r="V18" s="42"/>
      <c r="W18" s="42"/>
      <c r="X18" s="42"/>
      <c r="Y18" s="42"/>
      <c r="Z18" s="42"/>
      <c r="AA18" s="42"/>
    </row>
    <row r="19" spans="2:27" ht="12.6" thickTop="1">
      <c r="B19" s="41"/>
      <c r="C19" s="249"/>
      <c r="D19" s="229"/>
      <c r="E19" s="229"/>
      <c r="F19" s="229"/>
      <c r="G19" s="229"/>
      <c r="H19" s="276"/>
      <c r="I19" s="17"/>
      <c r="J19" s="5" t="s">
        <v>581</v>
      </c>
      <c r="L19" s="248">
        <f>'AGG DM'!D47</f>
        <v>8.4700596806382714E-2</v>
      </c>
      <c r="M19" s="248">
        <f>'AGG DM'!E47</f>
        <v>9.2183122240422966E-2</v>
      </c>
      <c r="N19" s="248">
        <f>'AGG DM'!F47</f>
        <v>0.10205637589642999</v>
      </c>
      <c r="O19" s="248">
        <f>'AGG DM'!G47</f>
        <v>0.11344408914151745</v>
      </c>
      <c r="P19" s="17">
        <f>'AGG DM'!H47</f>
        <v>7.171679530370545E-2</v>
      </c>
      <c r="S19" s="42"/>
      <c r="T19" s="42"/>
      <c r="U19" s="42"/>
      <c r="V19" s="42"/>
      <c r="W19" s="42"/>
      <c r="X19" s="42"/>
      <c r="Y19" s="42"/>
      <c r="Z19" s="42"/>
      <c r="AA19" s="42"/>
    </row>
    <row r="20" spans="2:27">
      <c r="H20" s="277"/>
      <c r="I20" s="49"/>
      <c r="J20" s="5" t="s">
        <v>604</v>
      </c>
      <c r="L20" s="248">
        <f>'AGG DM'!D48</f>
        <v>0.45770628705874244</v>
      </c>
      <c r="M20" s="248">
        <f>'AGG DM'!E48</f>
        <v>0.47291165163323612</v>
      </c>
      <c r="N20" s="248">
        <f>'AGG DM'!F48</f>
        <v>0.45515009617149715</v>
      </c>
      <c r="O20" s="248">
        <f>'AGG DM'!G48</f>
        <v>0.44137076019918969</v>
      </c>
      <c r="P20" s="17" t="str">
        <f>'AGG DM'!H48</f>
        <v>nm</v>
      </c>
      <c r="S20" s="42"/>
      <c r="T20" s="42"/>
      <c r="U20" s="42"/>
      <c r="V20" s="42"/>
      <c r="W20" s="42"/>
      <c r="X20" s="42"/>
      <c r="Y20" s="42"/>
      <c r="Z20" s="42"/>
      <c r="AA20" s="42"/>
    </row>
    <row r="21" spans="2:27" ht="12.6" thickBot="1">
      <c r="B21" s="306" t="s">
        <v>159</v>
      </c>
      <c r="C21" s="265">
        <v>2020</v>
      </c>
      <c r="D21" s="265" t="str">
        <f>D5</f>
        <v>2023E</v>
      </c>
      <c r="E21" s="265" t="str">
        <f>E5</f>
        <v>2024E</v>
      </c>
      <c r="F21" s="265" t="str">
        <f>F5</f>
        <v>2025E</v>
      </c>
      <c r="G21" s="265" t="str">
        <f>G5</f>
        <v>2026E</v>
      </c>
      <c r="H21" s="282" t="str">
        <f>H5</f>
        <v>23E-26E</v>
      </c>
      <c r="I21" s="17"/>
      <c r="S21" s="42"/>
      <c r="T21" s="42"/>
      <c r="U21" s="42"/>
      <c r="V21" s="42"/>
      <c r="W21" s="42"/>
      <c r="X21" s="42"/>
      <c r="Y21" s="42"/>
      <c r="Z21" s="42"/>
      <c r="AA21" s="42"/>
    </row>
    <row r="22" spans="2:27" ht="12.6" thickTop="1">
      <c r="B22" s="5"/>
      <c r="C22" s="257"/>
      <c r="D22" s="17"/>
      <c r="E22" s="17"/>
      <c r="F22" s="17"/>
      <c r="G22" s="17"/>
      <c r="H22" s="17"/>
      <c r="I22" s="247"/>
      <c r="P22" s="277"/>
      <c r="S22" s="42"/>
      <c r="T22" s="42"/>
      <c r="U22" s="42"/>
      <c r="V22" s="42"/>
      <c r="W22" s="42"/>
      <c r="X22" s="42"/>
      <c r="Y22" s="42"/>
      <c r="Z22" s="42"/>
      <c r="AA22" s="42"/>
    </row>
    <row r="23" spans="2:27" ht="12.6" thickBot="1">
      <c r="B23" s="5" t="s">
        <v>584</v>
      </c>
      <c r="C23" s="365">
        <f>'W.EUR OTHER'!C23+'W.EUR INCUMB'!C23</f>
        <v>344311.02948627161</v>
      </c>
      <c r="D23" s="228">
        <f>'W.EUR OTHER'!D23+'W.EUR INCUMB'!D23</f>
        <v>345340.79675119207</v>
      </c>
      <c r="E23" s="228">
        <f>'W.EUR OTHER'!E23+'W.EUR INCUMB'!E23</f>
        <v>350823.91919740988</v>
      </c>
      <c r="F23" s="228">
        <f>'W.EUR OTHER'!F23+'W.EUR INCUMB'!F23</f>
        <v>356391.60238970158</v>
      </c>
      <c r="G23" s="228">
        <f>'W.EUR OTHER'!G23+'W.EUR INCUMB'!G23</f>
        <v>361731.99675692461</v>
      </c>
      <c r="H23" s="279">
        <f t="shared" ref="H23:H33" si="0">IF(D23=0,"nm",IF(G23=0,"nm",(G23/D23)^(1/3)-1))</f>
        <v>1.5577365409537691E-2</v>
      </c>
      <c r="I23" s="249"/>
      <c r="J23" s="306" t="s">
        <v>9</v>
      </c>
      <c r="K23" s="306"/>
      <c r="L23" s="265" t="str">
        <f>L5</f>
        <v>2023E</v>
      </c>
      <c r="M23" s="265" t="str">
        <f>M5</f>
        <v>2024E</v>
      </c>
      <c r="N23" s="265" t="str">
        <f>N5</f>
        <v>2025E</v>
      </c>
      <c r="O23" s="265" t="str">
        <f>O5</f>
        <v>2026E</v>
      </c>
      <c r="P23" s="282" t="str">
        <f>P5</f>
        <v>23E-26E</v>
      </c>
      <c r="S23" s="42"/>
      <c r="T23" s="42"/>
      <c r="U23" s="42"/>
      <c r="V23" s="353"/>
      <c r="W23" s="354"/>
      <c r="X23" s="354" t="s">
        <v>162</v>
      </c>
      <c r="Y23" s="354" t="s">
        <v>161</v>
      </c>
      <c r="Z23" s="355" t="s">
        <v>585</v>
      </c>
      <c r="AA23" s="42"/>
    </row>
    <row r="24" spans="2:27" ht="12.6" thickTop="1">
      <c r="B24" s="5" t="s">
        <v>483</v>
      </c>
      <c r="C24" s="365">
        <f>'W.EUR OTHER'!C24+'W.EUR INCUMB'!C24</f>
        <v>113325.84311213305</v>
      </c>
      <c r="D24" s="228">
        <f>'W.EUR OTHER'!D24+'W.EUR INCUMB'!D24</f>
        <v>111962.04646644279</v>
      </c>
      <c r="E24" s="228">
        <f>'W.EUR OTHER'!E24+'W.EUR INCUMB'!E24</f>
        <v>114918.10368611183</v>
      </c>
      <c r="F24" s="228">
        <f>'W.EUR OTHER'!F24+'W.EUR INCUMB'!F24</f>
        <v>118911.17329640449</v>
      </c>
      <c r="G24" s="228">
        <f>'W.EUR OTHER'!G24+'W.EUR INCUMB'!G24</f>
        <v>122331.42129520077</v>
      </c>
      <c r="H24" s="279">
        <f t="shared" si="0"/>
        <v>2.996483632132052E-2</v>
      </c>
      <c r="I24" s="248"/>
      <c r="J24" s="17"/>
      <c r="K24" s="17"/>
      <c r="L24" s="17"/>
      <c r="M24" s="17"/>
      <c r="N24" s="17"/>
      <c r="O24" s="248"/>
      <c r="S24" s="42"/>
      <c r="T24" s="42"/>
      <c r="U24" s="42"/>
      <c r="V24" s="356" t="s">
        <v>273</v>
      </c>
      <c r="W24" s="42"/>
      <c r="X24" s="357">
        <f>'W.EUR OTHER'!E37/M9</f>
        <v>0.66806267134015396</v>
      </c>
      <c r="Y24" s="357">
        <f>'W.EUR INCUMB'!E37/M9</f>
        <v>0.95131422664591903</v>
      </c>
      <c r="Z24" s="358">
        <v>1</v>
      </c>
      <c r="AA24" s="42"/>
    </row>
    <row r="25" spans="2:27">
      <c r="B25" s="5" t="s">
        <v>183</v>
      </c>
      <c r="C25" s="365">
        <f>'W.EUR OTHER'!C25+'W.EUR INCUMB'!C25</f>
        <v>47177.017503366282</v>
      </c>
      <c r="D25" s="228">
        <f>'W.EUR OTHER'!D25+'W.EUR INCUMB'!D25</f>
        <v>52497.40112127582</v>
      </c>
      <c r="E25" s="228">
        <f>'W.EUR OTHER'!E25+'W.EUR INCUMB'!E25</f>
        <v>57611.172950959502</v>
      </c>
      <c r="F25" s="228">
        <f>'W.EUR OTHER'!F25+'W.EUR INCUMB'!F25</f>
        <v>62827.997280595919</v>
      </c>
      <c r="G25" s="228">
        <f>'W.EUR OTHER'!G25+'W.EUR INCUMB'!G25</f>
        <v>67311.26684295114</v>
      </c>
      <c r="H25" s="279">
        <f t="shared" si="0"/>
        <v>8.6383898034352313E-2</v>
      </c>
      <c r="I25" s="249"/>
      <c r="J25" s="247" t="s">
        <v>10</v>
      </c>
      <c r="K25" s="247"/>
      <c r="L25" s="332">
        <f>'W.EUR OTHER'!L25+'W.EUR INCUMB'!L25</f>
        <v>28342.033102789421</v>
      </c>
      <c r="M25" s="332">
        <f>'W.EUR OTHER'!M25+'W.EUR INCUMB'!M25</f>
        <v>28451.286131571665</v>
      </c>
      <c r="N25" s="332">
        <f>'W.EUR OTHER'!N25+'W.EUR INCUMB'!N25</f>
        <v>27665.921974769688</v>
      </c>
      <c r="O25" s="332">
        <f>'W.EUR OTHER'!O25+'W.EUR INCUMB'!O25</f>
        <v>23405.875199676215</v>
      </c>
      <c r="P25" s="279">
        <f>IF(L25=0,"nm",IF(O25=0,"nm",(O25/L25)^(1/3)-1))</f>
        <v>-6.1794528513221203E-2</v>
      </c>
      <c r="Q25" s="5"/>
      <c r="S25" s="42"/>
      <c r="T25" s="42"/>
      <c r="U25" s="42"/>
      <c r="V25" s="356" t="s">
        <v>184</v>
      </c>
      <c r="W25" s="42"/>
      <c r="X25" s="357">
        <f>'W.EUR OTHER'!E38/M10</f>
        <v>0.75512493940277614</v>
      </c>
      <c r="Y25" s="357">
        <f>'W.EUR INCUMB'!E38/M10</f>
        <v>0.95279741506841864</v>
      </c>
      <c r="Z25" s="358">
        <v>1</v>
      </c>
      <c r="AA25" s="42"/>
    </row>
    <row r="26" spans="2:27">
      <c r="B26" s="5" t="s">
        <v>586</v>
      </c>
      <c r="C26" s="365">
        <f>'W.EUR OTHER'!C26+'W.EUR INCUMB'!C26</f>
        <v>35574.166780921216</v>
      </c>
      <c r="D26" s="228">
        <f>'W.EUR OTHER'!D26+'W.EUR INCUMB'!D26</f>
        <v>38662.441132550593</v>
      </c>
      <c r="E26" s="228">
        <f>'W.EUR OTHER'!E26+'W.EUR INCUMB'!E26</f>
        <v>42607.459613324652</v>
      </c>
      <c r="F26" s="228">
        <f>'W.EUR OTHER'!F26+'W.EUR INCUMB'!F26</f>
        <v>46417.905521690096</v>
      </c>
      <c r="G26" s="228">
        <f>'W.EUR OTHER'!G26+'W.EUR INCUMB'!G26</f>
        <v>49638.75579313669</v>
      </c>
      <c r="H26" s="279">
        <f t="shared" si="0"/>
        <v>8.6869008302424167E-2</v>
      </c>
      <c r="I26" s="249"/>
      <c r="J26" s="249" t="s">
        <v>11</v>
      </c>
      <c r="K26" s="249"/>
      <c r="L26" s="281">
        <f>'W.EUR OTHER'!L26+'W.EUR INCUMB'!L26</f>
        <v>328362.96082468575</v>
      </c>
      <c r="M26" s="281">
        <f>'W.EUR OTHER'!M26+'W.EUR INCUMB'!M26</f>
        <v>323082.39108785859</v>
      </c>
      <c r="N26" s="281">
        <f>'W.EUR OTHER'!N26+'W.EUR INCUMB'!N26</f>
        <v>321424.9153646254</v>
      </c>
      <c r="O26" s="281">
        <f>'W.EUR OTHER'!O26+'W.EUR INCUMB'!O26</f>
        <v>316370.09027856716</v>
      </c>
      <c r="P26" s="279">
        <f>IF(L26=0,"nm",IF(O26=0,"nm",(O26/L26)^(1/3)-1))</f>
        <v>-1.2325703298791901E-2</v>
      </c>
      <c r="Q26" s="41"/>
      <c r="S26" s="42"/>
      <c r="T26" s="42"/>
      <c r="U26" s="42"/>
      <c r="V26" s="356" t="s">
        <v>185</v>
      </c>
      <c r="W26" s="42"/>
      <c r="X26" s="357">
        <f>'W.EUR OTHER'!E39/M11</f>
        <v>1.0497947698753927</v>
      </c>
      <c r="Y26" s="357">
        <f>'W.EUR INCUMB'!E39/M11</f>
        <v>1.0524272570709974</v>
      </c>
      <c r="Z26" s="358">
        <v>1</v>
      </c>
      <c r="AA26" s="42"/>
    </row>
    <row r="27" spans="2:27">
      <c r="B27" s="5" t="s">
        <v>587</v>
      </c>
      <c r="C27" s="365">
        <f>'W.EUR OTHER'!C27+'W.EUR INCUMB'!C27</f>
        <v>581046.02364056441</v>
      </c>
      <c r="D27" s="228">
        <f>'W.EUR OTHER'!D27+'W.EUR INCUMB'!D27</f>
        <v>562669.39346899593</v>
      </c>
      <c r="E27" s="228">
        <f>'W.EUR OTHER'!E27+'W.EUR INCUMB'!E27</f>
        <v>574588.46724913968</v>
      </c>
      <c r="F27" s="228">
        <f>'W.EUR OTHER'!F27+'W.EUR INCUMB'!F27</f>
        <v>586158.35696120025</v>
      </c>
      <c r="G27" s="228">
        <f>'W.EUR OTHER'!G27+'W.EUR INCUMB'!G27</f>
        <v>591030.14639249316</v>
      </c>
      <c r="H27" s="279">
        <f t="shared" si="0"/>
        <v>1.6526676793934048E-2</v>
      </c>
      <c r="I27" s="248"/>
      <c r="J27" s="248"/>
      <c r="K27" s="248"/>
      <c r="L27" s="248"/>
      <c r="M27" s="248"/>
      <c r="N27" s="248"/>
      <c r="O27" s="248"/>
      <c r="Q27" s="5"/>
      <c r="S27" s="42"/>
      <c r="T27" s="42"/>
      <c r="U27" s="42"/>
      <c r="V27" s="356" t="s">
        <v>466</v>
      </c>
      <c r="W27" s="42"/>
      <c r="X27" s="357">
        <f>'W.EUR OTHER'!E40/M12</f>
        <v>1.0137428095513561</v>
      </c>
      <c r="Y27" s="357">
        <f>'W.EUR INCUMB'!E40/M12</f>
        <v>0.99809830863770099</v>
      </c>
      <c r="Z27" s="358">
        <v>1</v>
      </c>
      <c r="AA27" s="42"/>
    </row>
    <row r="28" spans="2:27" ht="12.6" thickBot="1">
      <c r="B28" s="5" t="s">
        <v>592</v>
      </c>
      <c r="C28" s="365">
        <f>'W.EUR OTHER'!C28+'W.EUR INCUMB'!C28</f>
        <v>250888.94921789347</v>
      </c>
      <c r="D28" s="228">
        <f>'W.EUR OTHER'!D28+'W.EUR INCUMB'!D28</f>
        <v>243034.99880582583</v>
      </c>
      <c r="E28" s="228">
        <f>'W.EUR OTHER'!E28+'W.EUR INCUMB'!E28</f>
        <v>244151.91594939091</v>
      </c>
      <c r="F28" s="228">
        <f>'W.EUR OTHER'!F28+'W.EUR INCUMB'!F28</f>
        <v>244035.29523066242</v>
      </c>
      <c r="G28" s="228">
        <f>'W.EUR OTHER'!G28+'W.EUR INCUMB'!G28</f>
        <v>243110.44604151498</v>
      </c>
      <c r="H28" s="279">
        <f t="shared" si="0"/>
        <v>1.0346854044751552E-4</v>
      </c>
      <c r="I28" s="252"/>
      <c r="J28" s="306" t="s">
        <v>754</v>
      </c>
      <c r="K28" s="306"/>
      <c r="L28" s="306"/>
      <c r="M28" s="306"/>
      <c r="N28" s="266"/>
      <c r="O28" s="266"/>
      <c r="P28" s="266"/>
      <c r="Q28" s="5"/>
      <c r="S28" s="42"/>
      <c r="T28" s="42"/>
      <c r="U28" s="42"/>
      <c r="V28" s="356" t="s">
        <v>530</v>
      </c>
      <c r="W28" s="42"/>
      <c r="X28" s="357">
        <f>'W.EUR OTHER'!E41/M13</f>
        <v>0.50443192688144245</v>
      </c>
      <c r="Y28" s="357">
        <f>'W.EUR INCUMB'!E41/M13</f>
        <v>0.97465464683071068</v>
      </c>
      <c r="Z28" s="358">
        <v>1</v>
      </c>
      <c r="AA28" s="42"/>
    </row>
    <row r="29" spans="2:27" ht="12.6" thickTop="1">
      <c r="B29" s="5" t="s">
        <v>588</v>
      </c>
      <c r="C29" s="365">
        <f>'W.EUR OTHER'!C29+'W.EUR INCUMB'!C29</f>
        <v>25829.9432226024</v>
      </c>
      <c r="D29" s="228">
        <f>'W.EUR OTHER'!D29+'W.EUR INCUMB'!D29</f>
        <v>21085.260743766448</v>
      </c>
      <c r="E29" s="228">
        <f>'W.EUR OTHER'!E29+'W.EUR INCUMB'!E29</f>
        <v>22436.578145269155</v>
      </c>
      <c r="F29" s="228">
        <f>'W.EUR OTHER'!F29+'W.EUR INCUMB'!F29</f>
        <v>27693.15331574946</v>
      </c>
      <c r="G29" s="228">
        <f>'W.EUR OTHER'!G29+'W.EUR INCUMB'!G29</f>
        <v>30704.019798475412</v>
      </c>
      <c r="H29" s="279">
        <f t="shared" si="0"/>
        <v>0.13345796974857094</v>
      </c>
      <c r="I29" s="254"/>
      <c r="J29" s="249"/>
      <c r="K29" s="249"/>
      <c r="L29" s="249"/>
      <c r="M29" s="249"/>
      <c r="N29" s="249"/>
      <c r="O29" s="251"/>
      <c r="Q29" s="5"/>
      <c r="S29" s="42"/>
      <c r="T29" s="42"/>
      <c r="U29" s="42"/>
      <c r="V29" s="356" t="s">
        <v>593</v>
      </c>
      <c r="W29" s="42"/>
      <c r="X29" s="357">
        <f>'W.EUR OTHER'!E42/M14</f>
        <v>0.50706038172107748</v>
      </c>
      <c r="Y29" s="357">
        <f>'W.EUR INCUMB'!E42/M14</f>
        <v>1.0184069982631847</v>
      </c>
      <c r="Z29" s="358">
        <v>1</v>
      </c>
      <c r="AA29" s="42"/>
    </row>
    <row r="30" spans="2:27">
      <c r="B30" s="5" t="s">
        <v>589</v>
      </c>
      <c r="C30" s="365">
        <f>'W.EUR OTHER'!C30+'W.EUR INCUMB'!C30</f>
        <v>27131.076036076964</v>
      </c>
      <c r="D30" s="228">
        <f>'W.EUR OTHER'!D30+'W.EUR INCUMB'!D30</f>
        <v>21409.305646877085</v>
      </c>
      <c r="E30" s="228">
        <f>'W.EUR OTHER'!E30+'W.EUR INCUMB'!E30</f>
        <v>23895.774133148276</v>
      </c>
      <c r="F30" s="228">
        <f>'W.EUR OTHER'!F30+'W.EUR INCUMB'!F30</f>
        <v>26466.299334516785</v>
      </c>
      <c r="G30" s="228">
        <f>'W.EUR OTHER'!G30+'W.EUR INCUMB'!G30</f>
        <v>28843.479436340007</v>
      </c>
      <c r="H30" s="279">
        <f t="shared" si="0"/>
        <v>0.10445583887894871</v>
      </c>
      <c r="I30" s="254"/>
      <c r="J30" s="248"/>
      <c r="K30" s="248"/>
      <c r="L30" s="248"/>
      <c r="M30" s="248"/>
      <c r="N30" s="248"/>
      <c r="O30" s="5"/>
      <c r="Q30" s="5"/>
      <c r="S30" s="42"/>
      <c r="T30" s="42"/>
      <c r="U30" s="42"/>
      <c r="V30" s="356" t="s">
        <v>475</v>
      </c>
      <c r="W30" s="42"/>
      <c r="X30" s="357">
        <f>'W.EUR OTHER'!E43/M15</f>
        <v>1.662462179617697</v>
      </c>
      <c r="Y30" s="357">
        <f>'W.EUR INCUMB'!E43/M15</f>
        <v>1.2813897383836728</v>
      </c>
      <c r="Z30" s="358">
        <v>1</v>
      </c>
      <c r="AA30" s="42"/>
    </row>
    <row r="31" spans="2:27">
      <c r="B31" s="5" t="s">
        <v>590</v>
      </c>
      <c r="C31" s="365">
        <f>'W.EUR OTHER'!C31+'W.EUR INCUMB'!C31</f>
        <v>15513.194392236346</v>
      </c>
      <c r="D31" s="228">
        <f>'W.EUR OTHER'!D31+'W.EUR INCUMB'!D31</f>
        <v>15963.806953817437</v>
      </c>
      <c r="E31" s="228">
        <f>'W.EUR OTHER'!E31+'W.EUR INCUMB'!E31</f>
        <v>15166.723042247302</v>
      </c>
      <c r="F31" s="228">
        <f>'W.EUR OTHER'!F31+'W.EUR INCUMB'!F31</f>
        <v>15765.278300607228</v>
      </c>
      <c r="G31" s="228">
        <f>'W.EUR OTHER'!G31+'W.EUR INCUMB'!G31</f>
        <v>16634.072869708492</v>
      </c>
      <c r="H31" s="279">
        <f t="shared" si="0"/>
        <v>1.3804102018404318E-2</v>
      </c>
      <c r="I31" s="254"/>
      <c r="J31" s="252"/>
      <c r="K31" s="252"/>
      <c r="L31" s="252"/>
      <c r="M31" s="252"/>
      <c r="N31" s="252"/>
      <c r="O31" s="5"/>
      <c r="Q31" s="5"/>
      <c r="S31" s="42"/>
      <c r="T31" s="42"/>
      <c r="U31" s="42"/>
      <c r="V31" s="356" t="s">
        <v>533</v>
      </c>
      <c r="W31" s="42"/>
      <c r="X31" s="357">
        <f>'W.EUR OTHER'!E44/M16</f>
        <v>0.94192348242802271</v>
      </c>
      <c r="Y31" s="357">
        <f>'W.EUR INCUMB'!E44/M16</f>
        <v>0.99474192301155651</v>
      </c>
      <c r="Z31" s="358">
        <v>1</v>
      </c>
      <c r="AA31" s="42"/>
    </row>
    <row r="32" spans="2:27">
      <c r="B32" s="5" t="s">
        <v>606</v>
      </c>
      <c r="C32" s="365">
        <f>'W.EUR OTHER'!C32+'W.EUR INCUMB'!C32</f>
        <v>0</v>
      </c>
      <c r="D32" s="228">
        <f>'W.EUR OTHER'!D32+'W.EUR INCUMB'!D32</f>
        <v>0</v>
      </c>
      <c r="E32" s="228">
        <f>'W.EUR OTHER'!E32+'W.EUR INCUMB'!E32</f>
        <v>0</v>
      </c>
      <c r="F32" s="228">
        <f>'W.EUR OTHER'!F32+'W.EUR INCUMB'!F32</f>
        <v>0</v>
      </c>
      <c r="G32" s="228">
        <f>'W.EUR OTHER'!G32+'W.EUR INCUMB'!G32</f>
        <v>0</v>
      </c>
      <c r="H32" s="279" t="str">
        <f t="shared" si="0"/>
        <v>nm</v>
      </c>
      <c r="I32" s="5"/>
      <c r="J32" s="254"/>
      <c r="K32" s="254"/>
      <c r="L32" s="254"/>
      <c r="M32" s="254"/>
      <c r="N32" s="254"/>
      <c r="O32" s="251"/>
      <c r="Q32" s="5"/>
      <c r="S32" s="42"/>
      <c r="T32" s="42"/>
      <c r="U32" s="42"/>
      <c r="V32" s="356" t="s">
        <v>580</v>
      </c>
      <c r="W32" s="42"/>
      <c r="X32" s="288">
        <f>N17/'W.EUR OTHER'!E45</f>
        <v>1.0093749970189687</v>
      </c>
      <c r="Y32" s="288">
        <f>N17/'W.EUR INCUMB'!E45</f>
        <v>0.87792225155244941</v>
      </c>
      <c r="Z32" s="358">
        <v>1</v>
      </c>
      <c r="AA32" s="42"/>
    </row>
    <row r="33" spans="2:42">
      <c r="B33" s="5" t="s">
        <v>5</v>
      </c>
      <c r="C33" s="365">
        <f>'W.EUR OTHER'!C33+'W.EUR INCUMB'!C33</f>
        <v>10736.059615339231</v>
      </c>
      <c r="D33" s="228">
        <f>'W.EUR OTHER'!D33+'W.EUR INCUMB'!D33</f>
        <v>14181.727176777702</v>
      </c>
      <c r="E33" s="228">
        <f>'W.EUR OTHER'!E33+'W.EUR INCUMB'!E33</f>
        <v>13659.677146426005</v>
      </c>
      <c r="F33" s="228">
        <f>'W.EUR OTHER'!F33+'W.EUR INCUMB'!F33</f>
        <v>13858.758767498759</v>
      </c>
      <c r="G33" s="228">
        <f>'W.EUR OTHER'!G33+'W.EUR INCUMB'!G33</f>
        <v>13636.630695655425</v>
      </c>
      <c r="H33" s="279">
        <f t="shared" si="0"/>
        <v>-1.2979928594365142E-2</v>
      </c>
      <c r="I33" s="49"/>
      <c r="J33" s="254"/>
      <c r="K33" s="254"/>
      <c r="L33" s="254"/>
      <c r="M33" s="254"/>
      <c r="N33" s="254"/>
      <c r="O33" s="251"/>
      <c r="Q33" s="5"/>
      <c r="S33" s="42"/>
      <c r="T33" s="42"/>
      <c r="U33" s="42"/>
      <c r="V33" s="359" t="s">
        <v>581</v>
      </c>
      <c r="W33" s="362"/>
      <c r="X33" s="360">
        <f>N19/'W.EUR OTHER'!E47</f>
        <v>1.840519836962766</v>
      </c>
      <c r="Y33" s="360">
        <f>N19/'W.EUR INCUMB'!E47</f>
        <v>1.4186327131472105</v>
      </c>
      <c r="Z33" s="361">
        <v>1</v>
      </c>
      <c r="AA33" s="42"/>
      <c r="AC33" s="10"/>
      <c r="AD33" s="10"/>
      <c r="AE33" s="10"/>
      <c r="AF33" s="10"/>
      <c r="AH33" s="10"/>
      <c r="AI33" s="10"/>
      <c r="AJ33" s="10"/>
      <c r="AK33" s="10"/>
      <c r="AM33" s="10"/>
      <c r="AN33" s="10"/>
      <c r="AO33" s="10"/>
      <c r="AP33" s="10"/>
    </row>
    <row r="34" spans="2:42">
      <c r="H34" s="277"/>
      <c r="I34" s="254"/>
      <c r="J34" s="254"/>
      <c r="K34" s="254"/>
      <c r="L34" s="254"/>
      <c r="M34" s="254"/>
      <c r="N34" s="254"/>
      <c r="O34" s="251"/>
      <c r="Q34" s="5"/>
      <c r="S34" s="42"/>
      <c r="T34" s="42"/>
      <c r="U34" s="42"/>
      <c r="V34" s="42"/>
      <c r="W34" s="42"/>
      <c r="X34" s="42"/>
      <c r="Y34" s="288"/>
      <c r="Z34" s="288"/>
      <c r="AA34" s="42"/>
      <c r="AC34" s="10"/>
      <c r="AD34" s="10"/>
      <c r="AE34" s="10"/>
      <c r="AF34" s="10"/>
      <c r="AH34" s="10"/>
      <c r="AI34" s="10"/>
      <c r="AJ34" s="10"/>
      <c r="AK34" s="10"/>
      <c r="AM34" s="10"/>
      <c r="AN34" s="10"/>
      <c r="AO34" s="10"/>
      <c r="AP34" s="10"/>
    </row>
    <row r="35" spans="2:42" ht="12.6" thickBot="1">
      <c r="B35" s="306" t="s">
        <v>285</v>
      </c>
      <c r="C35" s="265"/>
      <c r="D35" s="265" t="str">
        <f>D5</f>
        <v>2023E</v>
      </c>
      <c r="E35" s="265" t="str">
        <f>E5</f>
        <v>2024E</v>
      </c>
      <c r="F35" s="265" t="str">
        <f>F5</f>
        <v>2025E</v>
      </c>
      <c r="G35" s="265" t="str">
        <f>G5</f>
        <v>2026E</v>
      </c>
      <c r="H35" s="265" t="str">
        <f>H5</f>
        <v>23E-26E</v>
      </c>
      <c r="I35" s="17"/>
      <c r="J35" s="5"/>
      <c r="K35" s="5"/>
      <c r="L35" s="5"/>
      <c r="M35" s="5"/>
      <c r="N35" s="5"/>
      <c r="O35" s="5"/>
      <c r="Q35" s="5"/>
      <c r="S35" s="42"/>
      <c r="T35" s="42"/>
      <c r="U35" s="42"/>
      <c r="V35" s="42"/>
      <c r="W35" s="42"/>
      <c r="X35" s="42"/>
      <c r="Y35" s="288"/>
      <c r="Z35" s="288"/>
      <c r="AA35" s="42"/>
      <c r="AC35" s="10"/>
      <c r="AD35" s="10"/>
      <c r="AE35" s="10"/>
      <c r="AF35" s="10"/>
      <c r="AH35" s="10"/>
      <c r="AI35" s="10"/>
      <c r="AJ35" s="10"/>
      <c r="AK35" s="10"/>
      <c r="AM35" s="10"/>
      <c r="AN35" s="10"/>
      <c r="AO35" s="10"/>
      <c r="AP35" s="10"/>
    </row>
    <row r="36" spans="2:42" ht="12.6" thickTop="1">
      <c r="B36" s="41"/>
      <c r="C36" s="249"/>
      <c r="D36" s="254"/>
      <c r="E36" s="254"/>
      <c r="F36" s="254"/>
      <c r="G36" s="254"/>
      <c r="H36" s="254"/>
      <c r="I36" s="5"/>
      <c r="J36" s="49"/>
      <c r="K36" s="49"/>
      <c r="L36" s="49"/>
      <c r="M36" s="49"/>
      <c r="N36" s="49"/>
      <c r="O36" s="49"/>
      <c r="Q36" s="5"/>
      <c r="R36" s="5"/>
      <c r="S36" s="42"/>
      <c r="T36" s="42"/>
      <c r="U36" s="42"/>
      <c r="V36" s="42"/>
      <c r="W36" s="42"/>
      <c r="X36" s="42"/>
      <c r="Y36" s="42"/>
      <c r="Z36" s="42"/>
      <c r="AA36" s="42"/>
      <c r="AC36" s="10"/>
      <c r="AD36" s="10"/>
      <c r="AE36" s="10"/>
      <c r="AF36" s="10"/>
      <c r="AH36" s="10"/>
      <c r="AI36" s="10"/>
      <c r="AJ36" s="10"/>
      <c r="AK36" s="10"/>
      <c r="AM36" s="10"/>
      <c r="AN36" s="10"/>
      <c r="AO36" s="10"/>
      <c r="AP36" s="10"/>
    </row>
    <row r="37" spans="2:42">
      <c r="B37" s="5" t="s">
        <v>273</v>
      </c>
      <c r="C37" s="247"/>
      <c r="D37" s="64">
        <f t="shared" ref="D37:G41" si="1">D$18/D23</f>
        <v>2.0809086993506756</v>
      </c>
      <c r="E37" s="64">
        <f t="shared" si="1"/>
        <v>1.9857295244156417</v>
      </c>
      <c r="F37" s="64">
        <f t="shared" si="1"/>
        <v>1.8938198629433132</v>
      </c>
      <c r="G37" s="64">
        <f t="shared" si="1"/>
        <v>1.787110234784191</v>
      </c>
      <c r="H37" s="17">
        <f t="shared" ref="H37:H45" si="2">H23</f>
        <v>1.5577365409537691E-2</v>
      </c>
      <c r="I37" s="259"/>
      <c r="J37" s="259"/>
      <c r="K37" s="259"/>
      <c r="L37" s="259"/>
      <c r="M37" s="259"/>
      <c r="N37" s="259"/>
      <c r="O37" s="18"/>
      <c r="Q37" s="5"/>
      <c r="R37" s="5"/>
      <c r="S37" s="42"/>
      <c r="T37" s="42"/>
      <c r="U37" s="42"/>
      <c r="V37" s="42"/>
      <c r="W37" s="42"/>
      <c r="X37" s="42"/>
      <c r="Y37" s="42"/>
      <c r="Z37" s="42"/>
      <c r="AA37" s="42"/>
      <c r="AC37" s="10"/>
      <c r="AD37" s="10"/>
      <c r="AE37" s="10"/>
      <c r="AF37" s="10"/>
      <c r="AH37" s="10"/>
      <c r="AI37" s="10"/>
      <c r="AJ37" s="10"/>
      <c r="AK37" s="10"/>
      <c r="AM37" s="10"/>
      <c r="AN37" s="10"/>
      <c r="AO37" s="10"/>
      <c r="AP37" s="10"/>
    </row>
    <row r="38" spans="2:42">
      <c r="B38" s="5" t="s">
        <v>184</v>
      </c>
      <c r="C38" s="247"/>
      <c r="D38" s="64">
        <f t="shared" si="1"/>
        <v>6.4184488483392839</v>
      </c>
      <c r="E38" s="64">
        <f t="shared" si="1"/>
        <v>6.0620684807357748</v>
      </c>
      <c r="F38" s="64">
        <f t="shared" si="1"/>
        <v>5.676014094229954</v>
      </c>
      <c r="G38" s="64">
        <f t="shared" si="1"/>
        <v>5.2844555128093083</v>
      </c>
      <c r="H38" s="17">
        <f t="shared" si="2"/>
        <v>2.996483632132052E-2</v>
      </c>
      <c r="I38" s="17"/>
      <c r="J38" s="17"/>
      <c r="K38" s="17"/>
      <c r="L38" s="17"/>
      <c r="M38" s="17"/>
      <c r="N38" s="17"/>
      <c r="O38" s="5"/>
      <c r="Q38" s="5"/>
      <c r="R38" s="5"/>
      <c r="S38" s="42"/>
      <c r="T38" s="42"/>
      <c r="U38" s="42"/>
      <c r="V38" s="42"/>
      <c r="W38" s="42"/>
      <c r="X38" s="42"/>
      <c r="Y38" s="42"/>
      <c r="Z38" s="42"/>
      <c r="AA38" s="42"/>
    </row>
    <row r="39" spans="2:42">
      <c r="B39" s="5" t="s">
        <v>185</v>
      </c>
      <c r="C39" s="247"/>
      <c r="D39" s="64">
        <f t="shared" si="1"/>
        <v>13.688728448483332</v>
      </c>
      <c r="E39" s="64">
        <f t="shared" si="1"/>
        <v>12.092123429156841</v>
      </c>
      <c r="F39" s="64">
        <f t="shared" si="1"/>
        <v>10.742686776684259</v>
      </c>
      <c r="G39" s="64">
        <f t="shared" si="1"/>
        <v>9.6039635557820251</v>
      </c>
      <c r="H39" s="17">
        <f t="shared" si="2"/>
        <v>8.6383898034352313E-2</v>
      </c>
      <c r="I39" s="5"/>
      <c r="J39" s="5"/>
      <c r="K39" s="5"/>
      <c r="L39" s="5"/>
      <c r="M39" s="5"/>
      <c r="N39" s="5"/>
      <c r="O39" s="5"/>
      <c r="Q39" s="5"/>
      <c r="R39" s="5"/>
      <c r="S39" s="42"/>
      <c r="T39" s="42"/>
      <c r="U39" s="42"/>
      <c r="V39" s="42"/>
      <c r="W39" s="288"/>
      <c r="X39" s="288"/>
      <c r="Y39" s="42"/>
      <c r="Z39" s="42"/>
      <c r="AA39" s="42"/>
    </row>
    <row r="40" spans="2:42">
      <c r="B40" s="5" t="s">
        <v>466</v>
      </c>
      <c r="C40" s="247"/>
      <c r="D40" s="64">
        <f t="shared" si="1"/>
        <v>18.587100223095533</v>
      </c>
      <c r="E40" s="64">
        <f t="shared" si="1"/>
        <v>16.350221781437615</v>
      </c>
      <c r="F40" s="64">
        <f t="shared" si="1"/>
        <v>14.540541801836076</v>
      </c>
      <c r="G40" s="64">
        <f t="shared" si="1"/>
        <v>13.023190112726473</v>
      </c>
      <c r="H40" s="17">
        <f t="shared" si="2"/>
        <v>8.6869008302424167E-2</v>
      </c>
      <c r="I40" s="247"/>
      <c r="J40" s="259"/>
      <c r="K40" s="259"/>
      <c r="L40" s="259"/>
      <c r="M40" s="259"/>
      <c r="N40" s="259"/>
      <c r="O40" s="18"/>
      <c r="Q40" s="5"/>
      <c r="R40" s="5"/>
      <c r="S40" s="42"/>
      <c r="T40" s="42"/>
      <c r="U40" s="42"/>
      <c r="V40" s="42"/>
      <c r="W40" s="288"/>
      <c r="X40" s="288"/>
      <c r="Y40" s="288"/>
      <c r="Z40" s="288"/>
      <c r="AA40" s="42"/>
    </row>
    <row r="41" spans="2:42">
      <c r="B41" s="5" t="s">
        <v>530</v>
      </c>
      <c r="C41" s="247"/>
      <c r="D41" s="64">
        <f t="shared" si="1"/>
        <v>1.2771667990856277</v>
      </c>
      <c r="E41" s="64">
        <f t="shared" si="1"/>
        <v>1.2124180242542926</v>
      </c>
      <c r="F41" s="64">
        <f t="shared" si="1"/>
        <v>1.1514661312531436</v>
      </c>
      <c r="G41" s="64">
        <f t="shared" si="1"/>
        <v>1.0937766163012637</v>
      </c>
      <c r="H41" s="17">
        <f t="shared" si="2"/>
        <v>1.6526676793934048E-2</v>
      </c>
      <c r="I41" s="248"/>
      <c r="J41" s="17"/>
      <c r="K41" s="17"/>
      <c r="L41" s="17"/>
      <c r="M41" s="17"/>
      <c r="N41" s="17"/>
      <c r="O41" s="5"/>
      <c r="Q41" s="5"/>
      <c r="R41" s="5"/>
      <c r="S41" s="42"/>
      <c r="T41" s="42"/>
      <c r="U41" s="42"/>
      <c r="V41" s="42"/>
      <c r="W41" s="288"/>
      <c r="X41" s="288"/>
      <c r="Y41" s="288"/>
      <c r="Z41" s="288"/>
      <c r="AA41" s="42"/>
    </row>
    <row r="42" spans="2:42">
      <c r="B42" s="5" t="s">
        <v>593</v>
      </c>
      <c r="C42" s="247"/>
      <c r="D42" s="64">
        <f>D18/D28</f>
        <v>2.9568690589061895</v>
      </c>
      <c r="E42" s="64">
        <f>E18/E28</f>
        <v>2.8533112734855939</v>
      </c>
      <c r="F42" s="64">
        <f>F18/F28</f>
        <v>2.7657535970518405</v>
      </c>
      <c r="G42" s="64">
        <f>G18/G28</f>
        <v>2.659099862549013</v>
      </c>
      <c r="H42" s="17">
        <f t="shared" si="2"/>
        <v>1.0346854044751552E-4</v>
      </c>
      <c r="I42" s="247"/>
      <c r="J42" s="5"/>
      <c r="K42" s="5"/>
      <c r="L42" s="5"/>
      <c r="M42" s="5"/>
      <c r="N42" s="5"/>
      <c r="O42" s="5"/>
      <c r="Q42" s="5"/>
      <c r="R42" s="5"/>
      <c r="S42" s="42"/>
      <c r="T42" s="42"/>
      <c r="U42" s="42"/>
      <c r="V42" s="42"/>
      <c r="W42" s="288"/>
      <c r="X42" s="288"/>
      <c r="Y42" s="288"/>
      <c r="Z42" s="288"/>
      <c r="AA42" s="42"/>
    </row>
    <row r="43" spans="2:42">
      <c r="B43" s="5" t="s">
        <v>475</v>
      </c>
      <c r="C43" s="247"/>
      <c r="D43" s="64">
        <f>L26/D29</f>
        <v>15.573104113581403</v>
      </c>
      <c r="E43" s="64">
        <f>M26/E29</f>
        <v>14.399806824196222</v>
      </c>
      <c r="F43" s="64">
        <f>N26/F29</f>
        <v>11.60665640708481</v>
      </c>
      <c r="G43" s="64">
        <f>O26/G29</f>
        <v>10.303865498884166</v>
      </c>
      <c r="H43" s="17">
        <f t="shared" si="2"/>
        <v>0.13345796974857094</v>
      </c>
      <c r="I43" s="247"/>
      <c r="J43" s="247"/>
      <c r="K43" s="247"/>
      <c r="L43" s="247"/>
      <c r="M43" s="247"/>
      <c r="N43" s="247"/>
      <c r="O43" s="18"/>
      <c r="Q43" s="5"/>
      <c r="R43" s="5"/>
      <c r="S43" s="42"/>
      <c r="T43" s="42"/>
      <c r="U43" s="42"/>
      <c r="V43" s="42"/>
      <c r="W43" s="325"/>
      <c r="X43" s="325"/>
      <c r="Y43" s="288"/>
      <c r="Z43" s="288"/>
      <c r="AA43" s="42"/>
    </row>
    <row r="44" spans="2:42">
      <c r="B44" s="5" t="s">
        <v>533</v>
      </c>
      <c r="C44" s="69"/>
      <c r="D44" s="64">
        <f>D11/D30</f>
        <v>14.013575809996416</v>
      </c>
      <c r="E44" s="64">
        <f>E11/E30</f>
        <v>12.329841390138268</v>
      </c>
      <c r="F44" s="64">
        <f>F11/F30</f>
        <v>11.09936034792524</v>
      </c>
      <c r="G44" s="64">
        <f>G11/G30</f>
        <v>10.157034477254651</v>
      </c>
      <c r="H44" s="17">
        <f t="shared" si="2"/>
        <v>0.10445583887894871</v>
      </c>
      <c r="I44" s="248"/>
      <c r="J44" s="248"/>
      <c r="K44" s="248"/>
      <c r="L44" s="248"/>
      <c r="M44" s="248"/>
      <c r="N44" s="248"/>
      <c r="O44" s="248"/>
      <c r="Q44" s="5"/>
      <c r="R44" s="5"/>
      <c r="S44" s="42"/>
      <c r="T44" s="42"/>
      <c r="U44" s="42"/>
      <c r="V44" s="42"/>
      <c r="W44" s="42"/>
      <c r="X44" s="42"/>
      <c r="Y44" s="325"/>
      <c r="Z44" s="325"/>
      <c r="AA44" s="42"/>
    </row>
    <row r="45" spans="2:42">
      <c r="B45" s="5" t="s">
        <v>580</v>
      </c>
      <c r="C45" s="247"/>
      <c r="D45" s="248">
        <f>D31/D11</f>
        <v>5.3208978037075617E-2</v>
      </c>
      <c r="E45" s="248">
        <f>E31/E11</f>
        <v>5.1476992032112548E-2</v>
      </c>
      <c r="F45" s="248">
        <f>F31/F11</f>
        <v>5.3667389442898471E-2</v>
      </c>
      <c r="G45" s="248">
        <f>G31/G11</f>
        <v>5.6778514281101457E-2</v>
      </c>
      <c r="H45" s="17">
        <f t="shared" si="2"/>
        <v>1.3804102018404318E-2</v>
      </c>
      <c r="I45" s="247"/>
      <c r="J45" s="247"/>
      <c r="K45" s="247"/>
      <c r="L45" s="247"/>
      <c r="M45" s="247"/>
      <c r="N45" s="247"/>
      <c r="O45" s="248"/>
      <c r="Q45" s="5"/>
      <c r="R45" s="5"/>
      <c r="S45" s="42"/>
      <c r="T45" s="42"/>
      <c r="U45" s="42"/>
      <c r="V45" s="42"/>
      <c r="W45" s="42"/>
      <c r="X45" s="42"/>
      <c r="Y45" s="42"/>
      <c r="Z45" s="42"/>
      <c r="AA45" s="326"/>
      <c r="AB45" s="303"/>
    </row>
    <row r="46" spans="2:42">
      <c r="B46" s="5" t="s">
        <v>605</v>
      </c>
      <c r="C46" s="247"/>
      <c r="D46" s="248">
        <f>(D31+D32)/D11</f>
        <v>5.3208978037075617E-2</v>
      </c>
      <c r="E46" s="248">
        <f>(E31+E32)/E11</f>
        <v>5.1476992032112548E-2</v>
      </c>
      <c r="F46" s="248">
        <f>(F31+F32)/F11</f>
        <v>5.3667389442898471E-2</v>
      </c>
      <c r="G46" s="248">
        <f>(G31+G32)/G11</f>
        <v>5.6778514281101457E-2</v>
      </c>
      <c r="H46" s="279">
        <f>((G31+G32)/(D31+D32))^(1/3)-1</f>
        <v>1.3804102018404318E-2</v>
      </c>
      <c r="I46" s="17"/>
      <c r="J46" s="247"/>
      <c r="K46" s="247"/>
      <c r="L46" s="247"/>
      <c r="M46" s="247"/>
      <c r="N46" s="247"/>
      <c r="O46" s="18"/>
      <c r="Q46" s="5"/>
      <c r="R46" s="5"/>
      <c r="S46" s="42"/>
      <c r="T46" s="42"/>
      <c r="U46" s="42"/>
      <c r="V46" s="42"/>
      <c r="W46" s="42"/>
      <c r="X46" s="42"/>
      <c r="Y46" s="42"/>
      <c r="Z46" s="42"/>
      <c r="AA46" s="326"/>
      <c r="AB46" s="303"/>
    </row>
    <row r="47" spans="2:42">
      <c r="B47" s="5" t="s">
        <v>581</v>
      </c>
      <c r="C47" s="5"/>
      <c r="D47" s="248">
        <f>1/D43</f>
        <v>6.4213273905225715E-2</v>
      </c>
      <c r="E47" s="248">
        <f>1/E43</f>
        <v>6.9445376053217892E-2</v>
      </c>
      <c r="F47" s="248">
        <f>1/F43</f>
        <v>8.6157456973533816E-2</v>
      </c>
      <c r="G47" s="248">
        <f>1/G43</f>
        <v>9.705095627541846E-2</v>
      </c>
      <c r="H47" s="17">
        <f>H29</f>
        <v>0.13345796974857094</v>
      </c>
      <c r="I47" s="247"/>
      <c r="J47" s="248"/>
      <c r="K47" s="248"/>
      <c r="L47" s="248"/>
      <c r="M47" s="248"/>
      <c r="N47" s="248"/>
      <c r="O47" s="248"/>
      <c r="Q47" s="5"/>
      <c r="R47" s="5"/>
      <c r="S47" s="5"/>
      <c r="T47" s="5"/>
      <c r="U47" s="5"/>
      <c r="AA47" s="303"/>
      <c r="AB47" s="303"/>
    </row>
    <row r="48" spans="2:42">
      <c r="B48" s="5" t="s">
        <v>618</v>
      </c>
      <c r="C48" s="5"/>
      <c r="D48" s="305">
        <f>D31/D29</f>
        <v>0.75710740065364879</v>
      </c>
      <c r="E48" s="305">
        <f>E31/E29</f>
        <v>0.67598200331832992</v>
      </c>
      <c r="F48" s="305">
        <f>F31/F29</f>
        <v>0.56928433251555022</v>
      </c>
      <c r="G48" s="305">
        <f>G31/G29</f>
        <v>0.54175554142048998</v>
      </c>
      <c r="H48" s="17" t="s">
        <v>607</v>
      </c>
      <c r="I48" s="259"/>
      <c r="J48" s="247"/>
      <c r="K48" s="247"/>
      <c r="L48" s="247"/>
      <c r="M48" s="247"/>
      <c r="N48" s="247"/>
      <c r="O48" s="248"/>
      <c r="Q48" s="5"/>
      <c r="R48" s="5"/>
      <c r="S48" s="5"/>
      <c r="T48" s="5"/>
      <c r="U48" s="5"/>
      <c r="AA48" s="303"/>
      <c r="AB48" s="303"/>
    </row>
    <row r="49" spans="2:28">
      <c r="B49" s="41"/>
      <c r="C49" s="17"/>
      <c r="D49" s="17"/>
      <c r="E49" s="17"/>
      <c r="F49" s="17"/>
      <c r="G49" s="17"/>
      <c r="H49" s="17"/>
      <c r="I49" s="17"/>
      <c r="J49" s="17"/>
      <c r="K49" s="17"/>
      <c r="L49" s="17"/>
      <c r="M49" s="17"/>
      <c r="N49" s="17"/>
      <c r="O49" s="248"/>
      <c r="Q49" s="5"/>
      <c r="R49" s="5"/>
      <c r="S49" s="5"/>
      <c r="T49" s="5"/>
      <c r="U49" s="5"/>
      <c r="W49" s="10"/>
      <c r="X49" s="10"/>
      <c r="AA49" s="303"/>
      <c r="AB49" s="303"/>
    </row>
    <row r="50" spans="2:28">
      <c r="B50" s="5"/>
      <c r="C50" s="257"/>
      <c r="D50" s="257"/>
      <c r="E50" s="257"/>
      <c r="F50" s="5"/>
      <c r="G50" s="41"/>
      <c r="H50" s="249"/>
      <c r="I50" s="259"/>
      <c r="J50" s="249"/>
      <c r="K50" s="249"/>
      <c r="L50" s="249"/>
      <c r="M50" s="249"/>
      <c r="N50" s="249"/>
      <c r="O50" s="250"/>
      <c r="Q50" s="5"/>
      <c r="R50" s="5"/>
      <c r="S50" s="5"/>
      <c r="T50" s="5"/>
      <c r="U50" s="5"/>
      <c r="W50" s="10"/>
      <c r="X50" s="10"/>
      <c r="Y50" s="10"/>
      <c r="Z50" s="10"/>
    </row>
    <row r="51" spans="2:28">
      <c r="B51" s="41"/>
      <c r="C51" s="249"/>
      <c r="D51" s="254"/>
      <c r="E51" s="254"/>
      <c r="F51" s="254"/>
      <c r="G51" s="254"/>
      <c r="H51" s="254"/>
      <c r="I51" s="254"/>
      <c r="J51" s="254"/>
      <c r="K51" s="254"/>
      <c r="L51" s="254"/>
      <c r="M51" s="254"/>
      <c r="N51" s="254"/>
      <c r="O51" s="251"/>
      <c r="Q51" s="5"/>
      <c r="R51" s="5"/>
      <c r="S51" s="5"/>
      <c r="T51" s="5"/>
      <c r="U51" s="5"/>
      <c r="Y51" s="10"/>
      <c r="Z51" s="10"/>
    </row>
    <row r="52" spans="2:28">
      <c r="B52" s="5"/>
      <c r="C52" s="257"/>
      <c r="D52" s="17"/>
      <c r="E52" s="17"/>
      <c r="F52" s="17"/>
      <c r="G52" s="17"/>
      <c r="H52" s="17"/>
      <c r="I52" s="17"/>
      <c r="J52" s="259"/>
      <c r="K52" s="259"/>
      <c r="L52" s="259"/>
      <c r="M52" s="259"/>
      <c r="N52" s="259"/>
      <c r="O52" s="18"/>
      <c r="Q52" s="5"/>
      <c r="R52" s="5"/>
      <c r="S52" s="5"/>
      <c r="T52" s="5"/>
      <c r="U52" s="5"/>
    </row>
    <row r="53" spans="2:28">
      <c r="B53" s="5"/>
      <c r="C53" s="257"/>
      <c r="D53" s="257"/>
      <c r="E53" s="257"/>
      <c r="F53" s="5"/>
      <c r="G53" s="5"/>
      <c r="H53" s="259"/>
      <c r="I53" s="259"/>
      <c r="J53" s="254"/>
      <c r="K53" s="254"/>
      <c r="L53" s="254"/>
      <c r="M53" s="254"/>
      <c r="N53" s="254"/>
      <c r="O53" s="251"/>
      <c r="Q53" s="5"/>
      <c r="R53" s="5"/>
      <c r="S53" s="5"/>
      <c r="T53" s="5"/>
      <c r="U53" s="5"/>
    </row>
    <row r="54" spans="2:28">
      <c r="B54" s="41"/>
      <c r="C54" s="249"/>
      <c r="D54" s="254"/>
      <c r="E54" s="254"/>
      <c r="F54" s="254"/>
      <c r="G54" s="254"/>
      <c r="H54" s="254"/>
      <c r="I54" s="249"/>
      <c r="J54" s="17"/>
      <c r="K54" s="17"/>
      <c r="L54" s="17"/>
      <c r="M54" s="17"/>
      <c r="N54" s="17"/>
      <c r="O54" s="18"/>
      <c r="Q54" s="5"/>
      <c r="R54" s="5"/>
      <c r="S54" s="5"/>
      <c r="T54" s="5"/>
      <c r="U54" s="5"/>
    </row>
    <row r="55" spans="2:28">
      <c r="B55" s="5"/>
      <c r="C55" s="257"/>
      <c r="D55" s="17"/>
      <c r="E55" s="17"/>
      <c r="F55" s="17"/>
      <c r="G55" s="17"/>
      <c r="H55" s="17"/>
      <c r="I55" s="248"/>
      <c r="J55" s="259"/>
      <c r="K55" s="259"/>
      <c r="L55" s="259"/>
      <c r="M55" s="259"/>
      <c r="N55" s="259"/>
      <c r="O55" s="18"/>
      <c r="Q55" s="5"/>
      <c r="R55" s="5"/>
      <c r="S55" s="5"/>
      <c r="T55" s="5"/>
      <c r="U55" s="5"/>
    </row>
    <row r="56" spans="2:28">
      <c r="B56" s="5"/>
      <c r="C56" s="248"/>
      <c r="D56" s="248"/>
      <c r="E56" s="248"/>
      <c r="F56" s="5"/>
      <c r="G56" s="5"/>
      <c r="H56" s="259"/>
      <c r="I56" s="5"/>
      <c r="J56" s="249"/>
      <c r="K56" s="249"/>
      <c r="L56" s="249"/>
      <c r="M56" s="249"/>
      <c r="N56" s="249"/>
      <c r="O56" s="251"/>
      <c r="Q56" s="5"/>
      <c r="R56" s="5"/>
      <c r="S56" s="5"/>
      <c r="T56" s="5"/>
      <c r="U56" s="5"/>
    </row>
    <row r="57" spans="2:28">
      <c r="B57" s="41"/>
      <c r="C57" s="249"/>
      <c r="D57" s="249"/>
      <c r="E57" s="249"/>
      <c r="F57" s="249"/>
      <c r="G57" s="249"/>
      <c r="H57" s="249"/>
      <c r="I57" s="17"/>
      <c r="J57" s="248"/>
      <c r="K57" s="248"/>
      <c r="L57" s="248"/>
      <c r="M57" s="248"/>
      <c r="N57" s="248"/>
      <c r="O57" s="18"/>
      <c r="Q57" s="5"/>
      <c r="R57" s="5"/>
      <c r="S57" s="5"/>
      <c r="T57" s="5"/>
      <c r="U57" s="5"/>
    </row>
    <row r="58" spans="2:28">
      <c r="B58" s="5"/>
      <c r="C58" s="5"/>
      <c r="D58" s="248"/>
      <c r="E58" s="248"/>
      <c r="F58" s="248"/>
      <c r="G58" s="248"/>
      <c r="H58" s="248"/>
      <c r="I58" s="5"/>
      <c r="J58" s="5"/>
      <c r="K58" s="5"/>
      <c r="L58" s="5"/>
      <c r="M58" s="5"/>
      <c r="N58" s="5"/>
      <c r="O58" s="5"/>
      <c r="Q58" s="5"/>
      <c r="R58" s="5"/>
      <c r="S58" s="5"/>
      <c r="T58" s="5"/>
      <c r="U58" s="5"/>
    </row>
    <row r="59" spans="2:28">
      <c r="B59" s="5"/>
      <c r="C59" s="5"/>
      <c r="D59" s="5"/>
      <c r="E59" s="5"/>
      <c r="F59" s="5"/>
      <c r="G59" s="5"/>
      <c r="H59" s="5"/>
      <c r="I59" s="249"/>
      <c r="J59" s="17"/>
      <c r="K59" s="17"/>
      <c r="L59" s="17"/>
      <c r="M59" s="17"/>
      <c r="N59" s="17"/>
      <c r="O59" s="251"/>
      <c r="Q59" s="5"/>
      <c r="R59" s="5"/>
      <c r="S59" s="5"/>
      <c r="T59" s="5"/>
      <c r="U59" s="5"/>
    </row>
    <row r="60" spans="2:28">
      <c r="B60" s="41"/>
      <c r="C60" s="17"/>
      <c r="D60" s="17"/>
      <c r="E60" s="17"/>
      <c r="F60" s="17"/>
      <c r="G60" s="17"/>
      <c r="H60" s="17"/>
      <c r="I60" s="5"/>
      <c r="J60" s="5"/>
      <c r="K60" s="5"/>
      <c r="L60" s="5"/>
      <c r="M60" s="5"/>
      <c r="N60" s="5"/>
      <c r="O60" s="5"/>
      <c r="Q60" s="41"/>
      <c r="R60" s="5"/>
      <c r="S60" s="5"/>
      <c r="T60" s="5"/>
      <c r="U60" s="5"/>
    </row>
    <row r="61" spans="2:28">
      <c r="B61" s="5"/>
      <c r="C61" s="5"/>
      <c r="D61" s="5"/>
      <c r="E61" s="5"/>
      <c r="F61" s="5"/>
      <c r="G61" s="5"/>
      <c r="H61" s="5"/>
      <c r="I61" s="5"/>
      <c r="J61" s="249"/>
      <c r="K61" s="249"/>
      <c r="L61" s="249"/>
      <c r="M61" s="249"/>
      <c r="N61" s="249"/>
      <c r="O61" s="251"/>
      <c r="Q61" s="5"/>
      <c r="R61" s="5"/>
      <c r="S61" s="5"/>
      <c r="T61" s="5"/>
      <c r="U61" s="5"/>
    </row>
    <row r="62" spans="2:28">
      <c r="B62" s="41"/>
      <c r="C62" s="249"/>
      <c r="D62" s="249"/>
      <c r="E62" s="249"/>
      <c r="F62" s="249"/>
      <c r="G62" s="249"/>
      <c r="H62" s="249"/>
      <c r="I62" s="254"/>
      <c r="J62" s="5"/>
      <c r="K62" s="5"/>
      <c r="L62" s="5"/>
      <c r="M62" s="5"/>
      <c r="N62" s="5"/>
      <c r="O62" s="5"/>
      <c r="Q62" s="5"/>
      <c r="R62" s="5"/>
      <c r="S62" s="5"/>
      <c r="T62" s="5"/>
      <c r="U62" s="5"/>
    </row>
    <row r="63" spans="2:28">
      <c r="B63" s="5"/>
      <c r="C63" s="5"/>
      <c r="D63" s="5"/>
      <c r="E63" s="5"/>
      <c r="F63" s="5"/>
      <c r="G63" s="5"/>
      <c r="H63" s="5"/>
      <c r="I63" s="17"/>
      <c r="J63" s="5"/>
      <c r="K63" s="5"/>
      <c r="L63" s="5"/>
      <c r="M63" s="5"/>
      <c r="N63" s="5"/>
      <c r="O63" s="5"/>
      <c r="Q63" s="5"/>
      <c r="R63" s="5"/>
      <c r="S63" s="5"/>
      <c r="T63" s="5"/>
      <c r="U63" s="5"/>
    </row>
    <row r="64" spans="2:28">
      <c r="B64" s="5"/>
      <c r="C64" s="5"/>
      <c r="D64" s="5"/>
      <c r="E64" s="5"/>
      <c r="F64" s="5"/>
      <c r="G64" s="5"/>
      <c r="H64" s="5"/>
      <c r="I64" s="254"/>
      <c r="J64" s="254"/>
      <c r="K64" s="254"/>
      <c r="L64" s="254"/>
      <c r="M64" s="254"/>
      <c r="N64" s="254"/>
      <c r="O64" s="251"/>
      <c r="Q64" s="5"/>
      <c r="R64" s="5"/>
      <c r="S64" s="5"/>
      <c r="T64" s="5"/>
      <c r="U64" s="5"/>
    </row>
    <row r="65" spans="2:26">
      <c r="B65" s="41"/>
      <c r="C65" s="249"/>
      <c r="D65" s="254"/>
      <c r="E65" s="254"/>
      <c r="F65" s="254"/>
      <c r="G65" s="254"/>
      <c r="H65" s="254"/>
      <c r="I65" s="248"/>
      <c r="J65" s="17"/>
      <c r="K65" s="17"/>
      <c r="L65" s="17"/>
      <c r="M65" s="17"/>
      <c r="N65" s="17"/>
      <c r="O65" s="5"/>
      <c r="Q65" s="5"/>
      <c r="R65" s="5"/>
      <c r="S65" s="5"/>
      <c r="T65" s="5"/>
      <c r="U65" s="5"/>
    </row>
    <row r="66" spans="2:26">
      <c r="B66" s="5"/>
      <c r="C66" s="5"/>
      <c r="D66" s="17"/>
      <c r="E66" s="17"/>
      <c r="F66" s="17"/>
      <c r="G66" s="17"/>
      <c r="H66" s="17"/>
      <c r="I66" s="5"/>
      <c r="J66" s="254"/>
      <c r="K66" s="254"/>
      <c r="L66" s="254"/>
      <c r="M66" s="254"/>
      <c r="N66" s="254"/>
      <c r="O66" s="251"/>
      <c r="Q66" s="41"/>
      <c r="R66" s="5"/>
      <c r="S66" s="5"/>
      <c r="T66" s="5"/>
      <c r="U66" s="5"/>
    </row>
    <row r="67" spans="2:26">
      <c r="B67" s="41"/>
      <c r="C67" s="249"/>
      <c r="D67" s="254"/>
      <c r="E67" s="254"/>
      <c r="F67" s="254"/>
      <c r="G67" s="254"/>
      <c r="H67" s="254"/>
      <c r="I67" s="245"/>
      <c r="J67" s="248"/>
      <c r="K67" s="248"/>
      <c r="L67" s="248"/>
      <c r="M67" s="248"/>
      <c r="N67" s="248"/>
      <c r="O67" s="5"/>
      <c r="Q67" s="5"/>
      <c r="R67" s="5"/>
      <c r="S67" s="5"/>
      <c r="T67" s="5"/>
      <c r="U67" s="5"/>
    </row>
    <row r="68" spans="2:26">
      <c r="B68" s="5"/>
      <c r="C68" s="5"/>
      <c r="D68" s="248"/>
      <c r="E68" s="248"/>
      <c r="F68" s="248"/>
      <c r="G68" s="248"/>
      <c r="H68" s="248"/>
      <c r="I68" s="248"/>
      <c r="J68" s="5"/>
      <c r="K68" s="5"/>
      <c r="L68" s="5"/>
      <c r="M68" s="5"/>
      <c r="N68" s="5"/>
      <c r="O68" s="5"/>
      <c r="Q68" s="5"/>
      <c r="R68" s="5"/>
      <c r="S68" s="5"/>
      <c r="T68" s="5"/>
      <c r="U68" s="5"/>
    </row>
    <row r="69" spans="2:26">
      <c r="B69" s="41"/>
      <c r="C69" s="5"/>
      <c r="D69" s="5"/>
      <c r="E69" s="5"/>
      <c r="F69" s="5"/>
      <c r="G69" s="5"/>
      <c r="H69" s="5"/>
      <c r="I69" s="5"/>
      <c r="J69" s="245"/>
      <c r="K69" s="245"/>
      <c r="L69" s="245"/>
      <c r="M69" s="245"/>
      <c r="N69" s="245"/>
      <c r="O69" s="251"/>
      <c r="Q69" s="5"/>
      <c r="R69" s="5"/>
      <c r="S69" s="5"/>
      <c r="T69" s="5"/>
      <c r="U69" s="5"/>
      <c r="W69" s="76"/>
      <c r="X69" s="76"/>
    </row>
    <row r="70" spans="2:26">
      <c r="B70" s="41"/>
      <c r="C70" s="245"/>
      <c r="D70" s="245"/>
      <c r="E70" s="245"/>
      <c r="F70" s="245"/>
      <c r="G70" s="245"/>
      <c r="H70" s="245"/>
      <c r="I70" s="245"/>
      <c r="J70" s="248"/>
      <c r="K70" s="248"/>
      <c r="L70" s="248"/>
      <c r="M70" s="248"/>
      <c r="N70" s="248"/>
      <c r="O70" s="5"/>
      <c r="Q70" s="5"/>
      <c r="R70" s="5"/>
      <c r="S70" s="5"/>
      <c r="T70" s="5"/>
      <c r="U70" s="5"/>
      <c r="W70" s="76"/>
      <c r="X70" s="76"/>
      <c r="Y70" s="76"/>
      <c r="Z70" s="76"/>
    </row>
    <row r="71" spans="2:26">
      <c r="B71" s="5"/>
      <c r="C71" s="5"/>
      <c r="D71" s="248"/>
      <c r="E71" s="248"/>
      <c r="F71" s="248"/>
      <c r="G71" s="248"/>
      <c r="H71" s="248"/>
      <c r="I71" s="18"/>
      <c r="J71" s="5"/>
      <c r="K71" s="5"/>
      <c r="L71" s="5"/>
      <c r="M71" s="5"/>
      <c r="N71" s="5"/>
      <c r="O71" s="5"/>
      <c r="Q71" s="5"/>
      <c r="R71" s="5"/>
      <c r="S71" s="5"/>
      <c r="T71" s="5"/>
      <c r="U71" s="5"/>
      <c r="Y71" s="76"/>
      <c r="Z71" s="76"/>
    </row>
    <row r="72" spans="2:26">
      <c r="B72" s="41"/>
      <c r="C72" s="5"/>
      <c r="D72" s="5"/>
      <c r="E72" s="5"/>
      <c r="F72" s="5"/>
      <c r="G72" s="5"/>
      <c r="H72" s="5"/>
      <c r="I72" s="5"/>
      <c r="J72" s="245"/>
      <c r="K72" s="245"/>
      <c r="L72" s="245"/>
      <c r="M72" s="245"/>
      <c r="N72" s="245"/>
      <c r="O72" s="251"/>
      <c r="Q72" s="5"/>
      <c r="R72" s="5"/>
      <c r="S72" s="5"/>
      <c r="T72" s="5"/>
      <c r="U72" s="5"/>
    </row>
    <row r="73" spans="2:26">
      <c r="B73" s="41"/>
      <c r="C73" s="245"/>
      <c r="D73" s="245"/>
      <c r="E73" s="245"/>
      <c r="F73" s="245"/>
      <c r="G73" s="245"/>
      <c r="H73" s="245"/>
      <c r="I73" s="249"/>
      <c r="J73" s="18"/>
      <c r="K73" s="18"/>
      <c r="L73" s="18"/>
      <c r="M73" s="18"/>
      <c r="N73" s="18"/>
      <c r="O73" s="5"/>
      <c r="Q73" s="5"/>
      <c r="R73" s="5"/>
      <c r="S73" s="5"/>
      <c r="T73" s="5"/>
      <c r="U73" s="5"/>
    </row>
    <row r="74" spans="2:26">
      <c r="B74" s="5"/>
      <c r="C74" s="5"/>
      <c r="D74" s="18"/>
      <c r="E74" s="18"/>
      <c r="F74" s="18"/>
      <c r="G74" s="18"/>
      <c r="H74" s="18"/>
      <c r="I74" s="248"/>
      <c r="J74" s="5"/>
      <c r="K74" s="5"/>
      <c r="L74" s="5"/>
      <c r="M74" s="5"/>
      <c r="N74" s="5"/>
      <c r="O74" s="5"/>
      <c r="Q74" s="5"/>
      <c r="R74" s="5"/>
      <c r="S74" s="5"/>
      <c r="T74" s="5"/>
      <c r="U74" s="5"/>
    </row>
    <row r="75" spans="2:26">
      <c r="B75" s="41"/>
      <c r="C75" s="5"/>
      <c r="D75" s="5"/>
      <c r="E75" s="5"/>
      <c r="F75" s="5"/>
      <c r="G75" s="5"/>
      <c r="H75" s="5"/>
      <c r="I75" s="5"/>
      <c r="J75" s="249"/>
      <c r="K75" s="249"/>
      <c r="L75" s="249"/>
      <c r="M75" s="249"/>
      <c r="N75" s="249"/>
      <c r="O75" s="251"/>
      <c r="Q75" s="5"/>
      <c r="R75" s="5"/>
      <c r="S75" s="5"/>
      <c r="T75" s="5"/>
      <c r="U75" s="5"/>
    </row>
    <row r="76" spans="2:26">
      <c r="B76" s="41"/>
      <c r="C76" s="249"/>
      <c r="D76" s="249"/>
      <c r="E76" s="249"/>
      <c r="F76" s="249"/>
      <c r="G76" s="249"/>
      <c r="H76" s="249"/>
      <c r="I76" s="245"/>
      <c r="J76" s="248"/>
      <c r="K76" s="248"/>
      <c r="L76" s="248"/>
      <c r="M76" s="248"/>
      <c r="N76" s="248"/>
      <c r="O76" s="5"/>
      <c r="Q76" s="5"/>
      <c r="R76" s="5"/>
      <c r="S76" s="5"/>
      <c r="T76" s="5"/>
      <c r="U76" s="5"/>
    </row>
    <row r="77" spans="2:26">
      <c r="B77" s="5"/>
      <c r="C77" s="5"/>
      <c r="D77" s="248"/>
      <c r="E77" s="248"/>
      <c r="F77" s="248"/>
      <c r="G77" s="248"/>
      <c r="H77" s="248"/>
      <c r="I77" s="248"/>
      <c r="J77" s="5"/>
      <c r="K77" s="5"/>
      <c r="L77" s="5"/>
      <c r="M77" s="5"/>
      <c r="N77" s="5"/>
      <c r="O77" s="5"/>
      <c r="Q77" s="5"/>
      <c r="R77" s="5"/>
      <c r="S77" s="5"/>
      <c r="T77" s="5"/>
      <c r="U77" s="5"/>
    </row>
    <row r="78" spans="2:26">
      <c r="B78" s="41"/>
      <c r="C78" s="5"/>
      <c r="D78" s="5"/>
      <c r="E78" s="5"/>
      <c r="F78" s="5"/>
      <c r="G78" s="5"/>
      <c r="H78" s="5"/>
      <c r="I78" s="5"/>
      <c r="J78" s="245"/>
      <c r="K78" s="245"/>
      <c r="L78" s="245"/>
      <c r="M78" s="245"/>
      <c r="N78" s="245"/>
      <c r="O78" s="251"/>
      <c r="Q78" s="5"/>
      <c r="R78" s="5"/>
      <c r="S78" s="5"/>
      <c r="T78" s="5"/>
      <c r="U78" s="5"/>
    </row>
    <row r="79" spans="2:26">
      <c r="B79" s="41"/>
      <c r="C79" s="245"/>
      <c r="D79" s="245"/>
      <c r="E79" s="245"/>
      <c r="F79" s="245"/>
      <c r="G79" s="245"/>
      <c r="H79" s="245"/>
      <c r="I79" s="249"/>
      <c r="J79" s="248"/>
      <c r="K79" s="248"/>
      <c r="L79" s="248"/>
      <c r="M79" s="248"/>
      <c r="N79" s="248"/>
      <c r="O79" s="5"/>
      <c r="Q79" s="5"/>
      <c r="R79" s="5"/>
      <c r="S79" s="5"/>
      <c r="T79" s="5"/>
      <c r="U79" s="5"/>
    </row>
    <row r="80" spans="2:26">
      <c r="B80" s="5"/>
      <c r="C80" s="5"/>
      <c r="D80" s="248"/>
      <c r="E80" s="248"/>
      <c r="F80" s="248"/>
      <c r="G80" s="248"/>
      <c r="H80" s="248"/>
      <c r="I80" s="248"/>
      <c r="J80" s="5"/>
      <c r="K80" s="5"/>
      <c r="L80" s="5"/>
      <c r="M80" s="5"/>
      <c r="N80" s="5"/>
      <c r="O80" s="5"/>
      <c r="Q80" s="5"/>
      <c r="R80" s="5"/>
      <c r="S80" s="5"/>
      <c r="T80" s="5"/>
      <c r="U80" s="5"/>
    </row>
    <row r="81" spans="2:26">
      <c r="B81" s="41"/>
      <c r="C81" s="5"/>
      <c r="D81" s="5"/>
      <c r="E81" s="5"/>
      <c r="F81" s="5"/>
      <c r="G81" s="5"/>
      <c r="H81" s="5"/>
      <c r="I81" s="259"/>
      <c r="J81" s="249"/>
      <c r="K81" s="249"/>
      <c r="L81" s="249"/>
      <c r="M81" s="249"/>
      <c r="N81" s="249"/>
      <c r="O81" s="251"/>
      <c r="Q81" s="5"/>
      <c r="R81" s="5"/>
      <c r="S81" s="5"/>
      <c r="T81" s="5"/>
      <c r="U81" s="5"/>
    </row>
    <row r="82" spans="2:26">
      <c r="B82" s="41"/>
      <c r="C82" s="249"/>
      <c r="D82" s="249"/>
      <c r="E82" s="249"/>
      <c r="F82" s="249"/>
      <c r="G82" s="249"/>
      <c r="H82" s="249"/>
      <c r="I82" s="5"/>
      <c r="J82" s="248"/>
      <c r="K82" s="248"/>
      <c r="L82" s="248"/>
      <c r="M82" s="248"/>
      <c r="N82" s="248"/>
      <c r="O82" s="5"/>
      <c r="Q82" s="5"/>
      <c r="R82" s="5"/>
      <c r="S82" s="5"/>
      <c r="T82" s="5"/>
      <c r="U82" s="5"/>
    </row>
    <row r="83" spans="2:26">
      <c r="B83" s="5"/>
      <c r="C83" s="5"/>
      <c r="D83" s="248"/>
      <c r="E83" s="248"/>
      <c r="F83" s="248"/>
      <c r="G83" s="248"/>
      <c r="H83" s="248"/>
      <c r="I83" s="245"/>
      <c r="J83" s="259"/>
      <c r="K83" s="259"/>
      <c r="L83" s="259"/>
      <c r="M83" s="259"/>
      <c r="N83" s="259"/>
      <c r="O83" s="251"/>
      <c r="Q83" s="5"/>
      <c r="R83" s="5"/>
      <c r="S83" s="5"/>
      <c r="T83" s="5"/>
      <c r="U83" s="5"/>
    </row>
    <row r="84" spans="2:26">
      <c r="B84" s="5"/>
      <c r="C84" s="259"/>
      <c r="D84" s="259"/>
      <c r="E84" s="259"/>
      <c r="F84" s="259"/>
      <c r="G84" s="259"/>
      <c r="H84" s="259"/>
      <c r="I84" s="248"/>
      <c r="J84" s="5"/>
      <c r="K84" s="5"/>
      <c r="L84" s="5"/>
      <c r="M84" s="5"/>
      <c r="N84" s="5"/>
      <c r="O84" s="5"/>
      <c r="Q84" s="5"/>
      <c r="R84" s="5"/>
      <c r="S84" s="5"/>
      <c r="T84" s="5"/>
      <c r="U84" s="5"/>
    </row>
    <row r="85" spans="2:26">
      <c r="B85" s="41"/>
      <c r="C85" s="5"/>
      <c r="D85" s="5"/>
      <c r="E85" s="5"/>
      <c r="F85" s="5"/>
      <c r="G85" s="5"/>
      <c r="H85" s="5"/>
      <c r="I85" s="5"/>
      <c r="J85" s="245"/>
      <c r="K85" s="245"/>
      <c r="L85" s="245"/>
      <c r="M85" s="245"/>
      <c r="N85" s="245"/>
      <c r="O85" s="251"/>
      <c r="Q85" s="5"/>
      <c r="R85" s="5"/>
      <c r="S85" s="5"/>
      <c r="T85" s="5"/>
      <c r="U85" s="5"/>
    </row>
    <row r="86" spans="2:26">
      <c r="B86" s="41"/>
      <c r="C86" s="245"/>
      <c r="D86" s="245"/>
      <c r="E86" s="245"/>
      <c r="F86" s="245"/>
      <c r="G86" s="245"/>
      <c r="H86" s="245"/>
      <c r="I86" s="5"/>
      <c r="J86" s="248"/>
      <c r="K86" s="248"/>
      <c r="L86" s="248"/>
      <c r="M86" s="248"/>
      <c r="N86" s="248"/>
      <c r="O86" s="5"/>
      <c r="Q86" s="5"/>
      <c r="R86" s="5"/>
      <c r="S86" s="5"/>
      <c r="T86" s="5"/>
      <c r="U86" s="5"/>
    </row>
    <row r="87" spans="2:26">
      <c r="B87" s="5"/>
      <c r="C87" s="5"/>
      <c r="D87" s="248"/>
      <c r="E87" s="248"/>
      <c r="F87" s="248"/>
      <c r="G87" s="248"/>
      <c r="H87" s="248"/>
      <c r="I87" s="5"/>
      <c r="J87" s="5"/>
      <c r="K87" s="5"/>
      <c r="L87" s="5"/>
      <c r="M87" s="5"/>
      <c r="N87" s="5"/>
      <c r="O87" s="5"/>
      <c r="Q87" s="5"/>
      <c r="R87" s="5"/>
      <c r="S87" s="5"/>
      <c r="T87" s="5"/>
      <c r="U87" s="5"/>
    </row>
    <row r="88" spans="2:26">
      <c r="B88" s="41"/>
      <c r="C88" s="5"/>
      <c r="D88" s="5"/>
      <c r="E88" s="5"/>
      <c r="F88" s="5"/>
      <c r="G88" s="5"/>
      <c r="H88" s="5"/>
      <c r="I88" s="5"/>
      <c r="J88" s="5"/>
      <c r="K88" s="5"/>
      <c r="L88" s="5"/>
      <c r="M88" s="5"/>
      <c r="N88" s="5"/>
      <c r="O88" s="5"/>
      <c r="Q88" s="5"/>
      <c r="R88" s="5"/>
      <c r="S88" s="5"/>
      <c r="T88" s="5"/>
      <c r="U88" s="5"/>
    </row>
    <row r="89" spans="2:26">
      <c r="B89" s="41"/>
      <c r="C89" s="5"/>
      <c r="D89" s="5"/>
      <c r="E89" s="5"/>
      <c r="F89" s="5"/>
      <c r="G89" s="5"/>
      <c r="H89" s="5"/>
      <c r="I89" s="49"/>
      <c r="J89" s="5"/>
      <c r="K89" s="5"/>
      <c r="L89" s="5"/>
      <c r="M89" s="5"/>
      <c r="N89" s="5"/>
      <c r="O89" s="5"/>
      <c r="Q89" s="41"/>
      <c r="R89" s="5"/>
      <c r="S89" s="5"/>
      <c r="T89" s="5"/>
      <c r="U89" s="5"/>
    </row>
    <row r="90" spans="2:26">
      <c r="B90" s="41"/>
      <c r="C90" s="5"/>
      <c r="D90" s="5"/>
      <c r="E90" s="5"/>
      <c r="F90" s="5"/>
      <c r="G90" s="5"/>
      <c r="H90" s="5"/>
      <c r="I90" s="5"/>
      <c r="J90" s="5"/>
      <c r="K90" s="5"/>
      <c r="L90" s="5"/>
      <c r="M90" s="5"/>
      <c r="N90" s="5"/>
      <c r="O90" s="5"/>
      <c r="Q90" s="5"/>
      <c r="R90" s="5"/>
      <c r="S90" s="5"/>
      <c r="T90" s="5"/>
      <c r="U90" s="5"/>
    </row>
    <row r="91" spans="2:26">
      <c r="B91" s="5"/>
      <c r="C91" s="5"/>
      <c r="D91" s="5"/>
      <c r="E91" s="5"/>
      <c r="F91" s="5"/>
      <c r="G91" s="5"/>
      <c r="H91" s="5"/>
      <c r="I91" s="247"/>
      <c r="J91" s="49"/>
      <c r="K91" s="49"/>
      <c r="L91" s="49"/>
      <c r="M91" s="49"/>
      <c r="N91" s="49"/>
      <c r="O91" s="49"/>
      <c r="Q91" s="5"/>
      <c r="R91" s="5"/>
      <c r="S91" s="5"/>
      <c r="T91" s="5"/>
      <c r="U91" s="5"/>
      <c r="W91" s="21"/>
      <c r="X91" s="21"/>
    </row>
    <row r="92" spans="2:26">
      <c r="B92" s="41"/>
      <c r="C92" s="49"/>
      <c r="D92" s="49"/>
      <c r="E92" s="49"/>
      <c r="F92" s="49"/>
      <c r="G92" s="49"/>
      <c r="H92" s="49"/>
      <c r="I92" s="247"/>
      <c r="J92" s="5"/>
      <c r="K92" s="5"/>
      <c r="L92" s="5"/>
      <c r="M92" s="5"/>
      <c r="N92" s="5"/>
      <c r="O92" s="5"/>
      <c r="Q92" s="5"/>
      <c r="R92" s="5"/>
      <c r="S92" s="5"/>
      <c r="T92" s="5"/>
      <c r="U92" s="5"/>
      <c r="W92" s="21"/>
      <c r="X92" s="21"/>
      <c r="Y92" s="21"/>
      <c r="Z92" s="21"/>
    </row>
    <row r="93" spans="2:26">
      <c r="B93" s="5"/>
      <c r="C93" s="5"/>
      <c r="D93" s="5"/>
      <c r="E93" s="5"/>
      <c r="F93" s="5"/>
      <c r="G93" s="5"/>
      <c r="H93" s="5"/>
      <c r="I93" s="247"/>
      <c r="J93" s="247"/>
      <c r="K93" s="247"/>
      <c r="L93" s="247"/>
      <c r="M93" s="247"/>
      <c r="N93" s="247"/>
      <c r="O93" s="248"/>
      <c r="Q93" s="5"/>
      <c r="R93" s="5"/>
      <c r="S93" s="5"/>
      <c r="T93" s="5"/>
      <c r="U93" s="5"/>
      <c r="Y93" s="21"/>
      <c r="Z93" s="21"/>
    </row>
    <row r="94" spans="2:26">
      <c r="B94" s="5"/>
      <c r="C94" s="259"/>
      <c r="D94" s="247"/>
      <c r="E94" s="247"/>
      <c r="F94" s="247"/>
      <c r="G94" s="247"/>
      <c r="H94" s="247"/>
      <c r="I94" s="248"/>
      <c r="J94" s="247"/>
      <c r="K94" s="247"/>
      <c r="L94" s="247"/>
      <c r="M94" s="247"/>
      <c r="N94" s="247"/>
      <c r="O94" s="248"/>
      <c r="Q94" s="5"/>
      <c r="R94" s="5"/>
      <c r="S94" s="5"/>
      <c r="T94" s="5"/>
      <c r="U94" s="5"/>
    </row>
    <row r="95" spans="2:26">
      <c r="B95" s="5"/>
      <c r="C95" s="259"/>
      <c r="D95" s="247"/>
      <c r="E95" s="247"/>
      <c r="F95" s="247"/>
      <c r="G95" s="247"/>
      <c r="H95" s="247"/>
      <c r="I95" s="247"/>
      <c r="J95" s="247"/>
      <c r="K95" s="247"/>
      <c r="L95" s="247"/>
      <c r="M95" s="247"/>
      <c r="N95" s="247"/>
      <c r="O95" s="248"/>
      <c r="Q95" s="5"/>
      <c r="R95" s="5"/>
      <c r="S95" s="5"/>
      <c r="T95" s="5"/>
      <c r="U95" s="5"/>
    </row>
    <row r="96" spans="2:26">
      <c r="B96" s="5"/>
      <c r="C96" s="259"/>
      <c r="D96" s="247"/>
      <c r="E96" s="247"/>
      <c r="F96" s="247"/>
      <c r="G96" s="247"/>
      <c r="H96" s="247"/>
      <c r="I96" s="249"/>
      <c r="J96" s="248"/>
      <c r="K96" s="248"/>
      <c r="L96" s="248"/>
      <c r="M96" s="248"/>
      <c r="N96" s="248"/>
      <c r="O96" s="248"/>
      <c r="Q96" s="5"/>
      <c r="R96" s="5"/>
      <c r="S96" s="5"/>
      <c r="T96" s="5"/>
      <c r="U96" s="5"/>
    </row>
    <row r="97" spans="2:21">
      <c r="B97" s="5"/>
      <c r="C97" s="259"/>
      <c r="D97" s="248"/>
      <c r="E97" s="248"/>
      <c r="F97" s="248"/>
      <c r="G97" s="248"/>
      <c r="H97" s="248"/>
      <c r="I97" s="248"/>
      <c r="J97" s="247"/>
      <c r="K97" s="247"/>
      <c r="L97" s="247"/>
      <c r="M97" s="247"/>
      <c r="N97" s="247"/>
      <c r="O97" s="248"/>
      <c r="Q97" s="5"/>
      <c r="R97" s="5"/>
      <c r="S97" s="5"/>
      <c r="T97" s="5"/>
      <c r="U97" s="5"/>
    </row>
    <row r="98" spans="2:21">
      <c r="B98" s="5"/>
      <c r="C98" s="259"/>
      <c r="D98" s="247"/>
      <c r="E98" s="247"/>
      <c r="F98" s="247"/>
      <c r="G98" s="247"/>
      <c r="H98" s="247"/>
      <c r="I98" s="5"/>
      <c r="J98" s="249"/>
      <c r="K98" s="249"/>
      <c r="L98" s="249"/>
      <c r="M98" s="249"/>
      <c r="N98" s="249"/>
      <c r="O98" s="248"/>
      <c r="Q98" s="5"/>
      <c r="R98" s="5"/>
      <c r="S98" s="5"/>
      <c r="T98" s="5"/>
      <c r="U98" s="5"/>
    </row>
    <row r="99" spans="2:21">
      <c r="B99" s="41"/>
      <c r="C99" s="249"/>
      <c r="D99" s="249"/>
      <c r="E99" s="249"/>
      <c r="F99" s="249"/>
      <c r="G99" s="249"/>
      <c r="H99" s="249"/>
      <c r="I99" s="259"/>
      <c r="J99" s="248"/>
      <c r="K99" s="248"/>
      <c r="L99" s="248"/>
      <c r="M99" s="248"/>
      <c r="N99" s="248"/>
      <c r="O99" s="248"/>
      <c r="Q99" s="5"/>
      <c r="R99" s="5"/>
      <c r="S99" s="5"/>
      <c r="T99" s="5"/>
      <c r="U99" s="5"/>
    </row>
    <row r="100" spans="2:21" s="5" customFormat="1">
      <c r="B100" s="41"/>
      <c r="C100" s="257"/>
      <c r="D100" s="248"/>
      <c r="E100" s="248"/>
      <c r="F100" s="248"/>
      <c r="G100" s="248"/>
      <c r="H100" s="248"/>
      <c r="I100" s="259"/>
      <c r="O100" s="248"/>
      <c r="P100" s="39"/>
    </row>
    <row r="101" spans="2:21">
      <c r="B101" s="41"/>
      <c r="C101" s="5"/>
      <c r="D101" s="5"/>
      <c r="E101" s="5"/>
      <c r="F101" s="5"/>
      <c r="G101" s="5"/>
      <c r="H101" s="5"/>
      <c r="I101" s="247"/>
      <c r="J101" s="259"/>
      <c r="K101" s="259"/>
      <c r="L101" s="259"/>
      <c r="M101" s="259"/>
      <c r="N101" s="259"/>
      <c r="O101" s="5"/>
      <c r="Q101" s="5"/>
      <c r="R101" s="5"/>
      <c r="S101" s="5"/>
      <c r="T101" s="5"/>
      <c r="U101" s="5"/>
    </row>
    <row r="102" spans="2:21">
      <c r="B102" s="5"/>
      <c r="C102" s="259"/>
      <c r="D102" s="259"/>
      <c r="E102" s="259"/>
      <c r="F102" s="259"/>
      <c r="G102" s="259"/>
      <c r="H102" s="259"/>
      <c r="I102" s="5"/>
      <c r="J102" s="259"/>
      <c r="K102" s="259"/>
      <c r="L102" s="259"/>
      <c r="M102" s="259"/>
      <c r="N102" s="259"/>
      <c r="O102" s="5"/>
      <c r="P102" s="5"/>
      <c r="Q102" s="5"/>
      <c r="R102" s="5"/>
      <c r="S102" s="5"/>
      <c r="T102" s="5"/>
      <c r="U102" s="5"/>
    </row>
    <row r="103" spans="2:21">
      <c r="B103" s="5"/>
      <c r="C103" s="259"/>
      <c r="D103" s="259"/>
      <c r="E103" s="259"/>
      <c r="F103" s="259"/>
      <c r="G103" s="259"/>
      <c r="H103" s="259"/>
      <c r="I103" s="247"/>
      <c r="J103" s="247"/>
      <c r="K103" s="247"/>
      <c r="L103" s="247"/>
      <c r="M103" s="247"/>
      <c r="N103" s="247"/>
      <c r="O103" s="5"/>
      <c r="Q103" s="5"/>
      <c r="R103" s="5"/>
      <c r="S103" s="5"/>
      <c r="T103" s="5"/>
      <c r="U103" s="5"/>
    </row>
    <row r="104" spans="2:21" s="5" customFormat="1">
      <c r="C104" s="247"/>
      <c r="D104" s="247"/>
      <c r="E104" s="247"/>
      <c r="F104" s="247"/>
      <c r="G104" s="247"/>
      <c r="H104" s="247"/>
      <c r="P104" s="39"/>
    </row>
    <row r="105" spans="2:21" s="5" customFormat="1">
      <c r="I105" s="259"/>
      <c r="J105" s="247"/>
      <c r="K105" s="247"/>
      <c r="L105" s="247"/>
      <c r="M105" s="247"/>
      <c r="N105" s="247"/>
      <c r="P105" s="39"/>
    </row>
    <row r="106" spans="2:21">
      <c r="B106" s="5"/>
      <c r="C106" s="259"/>
      <c r="D106" s="247"/>
      <c r="E106" s="247"/>
      <c r="F106" s="247"/>
      <c r="G106" s="247"/>
      <c r="H106" s="247"/>
      <c r="I106" s="247"/>
      <c r="J106" s="5"/>
      <c r="K106" s="5"/>
      <c r="L106" s="5"/>
      <c r="M106" s="5"/>
      <c r="N106" s="5"/>
      <c r="O106" s="5"/>
      <c r="P106" s="5"/>
      <c r="Q106" s="5"/>
      <c r="R106" s="5"/>
      <c r="S106" s="5"/>
      <c r="T106" s="5"/>
      <c r="U106" s="5"/>
    </row>
    <row r="107" spans="2:21">
      <c r="B107" s="5"/>
      <c r="C107" s="259"/>
      <c r="D107" s="5"/>
      <c r="E107" s="5"/>
      <c r="F107" s="5"/>
      <c r="G107" s="5"/>
      <c r="H107" s="5"/>
      <c r="I107" s="249"/>
      <c r="J107" s="259"/>
      <c r="K107" s="259"/>
      <c r="L107" s="259"/>
      <c r="M107" s="259"/>
      <c r="N107" s="259"/>
      <c r="O107" s="5"/>
      <c r="P107" s="5"/>
      <c r="Q107" s="5"/>
      <c r="R107" s="5"/>
      <c r="S107" s="5"/>
      <c r="T107" s="5"/>
      <c r="U107" s="5"/>
    </row>
    <row r="108" spans="2:21">
      <c r="B108" s="5"/>
      <c r="C108" s="259"/>
      <c r="D108" s="259"/>
      <c r="E108" s="259"/>
      <c r="F108" s="259"/>
      <c r="G108" s="259"/>
      <c r="H108" s="259"/>
      <c r="I108" s="249"/>
      <c r="J108" s="247"/>
      <c r="K108" s="247"/>
      <c r="L108" s="247"/>
      <c r="M108" s="247"/>
      <c r="N108" s="247"/>
      <c r="O108" s="5"/>
      <c r="Q108" s="5"/>
      <c r="R108" s="5"/>
      <c r="S108" s="5"/>
      <c r="T108" s="5"/>
      <c r="U108" s="5"/>
    </row>
    <row r="109" spans="2:21">
      <c r="B109" s="5"/>
      <c r="C109" s="247"/>
      <c r="D109" s="247"/>
      <c r="E109" s="247"/>
      <c r="F109" s="247"/>
      <c r="G109" s="247"/>
      <c r="H109" s="247"/>
      <c r="I109" s="247"/>
      <c r="J109" s="249"/>
      <c r="K109" s="249"/>
      <c r="L109" s="249"/>
      <c r="M109" s="249"/>
      <c r="N109" s="249"/>
      <c r="O109" s="5"/>
      <c r="Q109" s="5"/>
      <c r="R109" s="5"/>
      <c r="S109" s="5"/>
      <c r="T109" s="5"/>
      <c r="U109" s="5"/>
    </row>
    <row r="110" spans="2:21">
      <c r="B110" s="41"/>
      <c r="C110" s="249"/>
      <c r="D110" s="249"/>
      <c r="E110" s="249"/>
      <c r="F110" s="249"/>
      <c r="G110" s="249"/>
      <c r="H110" s="249"/>
      <c r="I110" s="5"/>
      <c r="J110" s="249"/>
      <c r="K110" s="249"/>
      <c r="L110" s="249"/>
      <c r="M110" s="249"/>
      <c r="N110" s="249"/>
      <c r="O110" s="5"/>
      <c r="Q110" s="5"/>
      <c r="R110" s="5"/>
      <c r="S110" s="5"/>
      <c r="T110" s="5"/>
      <c r="U110" s="5"/>
    </row>
    <row r="111" spans="2:21">
      <c r="B111" s="5"/>
      <c r="C111" s="249"/>
      <c r="D111" s="249"/>
      <c r="E111" s="249"/>
      <c r="F111" s="249"/>
      <c r="G111" s="249"/>
      <c r="H111" s="249"/>
      <c r="I111" s="5"/>
      <c r="J111" s="247"/>
      <c r="K111" s="247"/>
      <c r="L111" s="247"/>
      <c r="M111" s="247"/>
      <c r="N111" s="247"/>
      <c r="O111" s="5"/>
      <c r="Q111" s="5"/>
      <c r="R111" s="5"/>
      <c r="S111" s="5"/>
      <c r="T111" s="5"/>
      <c r="U111" s="5"/>
    </row>
    <row r="112" spans="2:21">
      <c r="B112" s="5"/>
      <c r="C112" s="247"/>
      <c r="D112" s="247"/>
      <c r="E112" s="247"/>
      <c r="F112" s="247"/>
      <c r="G112" s="247"/>
      <c r="H112" s="247"/>
      <c r="I112" s="5"/>
      <c r="J112" s="5"/>
      <c r="K112" s="5"/>
      <c r="L112" s="5"/>
      <c r="M112" s="5"/>
      <c r="N112" s="5"/>
      <c r="O112" s="5"/>
      <c r="Q112" s="5"/>
      <c r="R112" s="5"/>
      <c r="S112" s="5"/>
      <c r="T112" s="5"/>
      <c r="U112" s="5"/>
    </row>
    <row r="113" spans="2:21">
      <c r="B113" s="5"/>
      <c r="C113" s="5"/>
      <c r="D113" s="5"/>
      <c r="E113" s="5"/>
      <c r="F113" s="5"/>
      <c r="G113" s="5"/>
      <c r="H113" s="5"/>
      <c r="I113" s="5"/>
      <c r="J113" s="5"/>
      <c r="K113" s="5"/>
      <c r="L113" s="5"/>
      <c r="M113" s="5"/>
      <c r="N113" s="5"/>
      <c r="O113" s="5"/>
      <c r="Q113" s="5"/>
      <c r="R113" s="5"/>
      <c r="S113" s="5"/>
      <c r="T113" s="5"/>
      <c r="U113" s="5"/>
    </row>
    <row r="114" spans="2:21">
      <c r="B114" s="5"/>
      <c r="C114" s="5"/>
      <c r="D114" s="5"/>
      <c r="E114" s="5"/>
      <c r="F114" s="5"/>
      <c r="G114" s="5"/>
      <c r="H114" s="5"/>
      <c r="I114" s="49"/>
      <c r="J114" s="5"/>
      <c r="K114" s="5"/>
      <c r="L114" s="5"/>
      <c r="M114" s="5"/>
      <c r="N114" s="5"/>
      <c r="O114" s="5"/>
      <c r="Q114" s="41"/>
      <c r="R114" s="5"/>
      <c r="S114" s="5"/>
      <c r="T114" s="5"/>
      <c r="U114" s="5"/>
    </row>
    <row r="115" spans="2:21">
      <c r="B115" s="5"/>
      <c r="C115" s="5"/>
      <c r="D115" s="5"/>
      <c r="E115" s="5"/>
      <c r="F115" s="5"/>
      <c r="G115" s="5"/>
      <c r="H115" s="5"/>
      <c r="I115" s="5"/>
      <c r="J115" s="5"/>
      <c r="K115" s="5"/>
      <c r="L115" s="5"/>
      <c r="M115" s="5"/>
      <c r="N115" s="5"/>
      <c r="O115" s="5"/>
      <c r="Q115" s="5"/>
      <c r="R115" s="5"/>
      <c r="S115" s="5"/>
      <c r="T115" s="5"/>
      <c r="U115" s="5"/>
    </row>
    <row r="116" spans="2:21">
      <c r="B116" s="5"/>
      <c r="C116" s="5"/>
      <c r="D116" s="5"/>
      <c r="E116" s="5"/>
      <c r="F116" s="5"/>
      <c r="G116" s="5"/>
      <c r="H116" s="5"/>
      <c r="I116" s="254"/>
      <c r="J116" s="49"/>
      <c r="K116" s="49"/>
      <c r="L116" s="49"/>
      <c r="M116" s="49"/>
      <c r="N116" s="49"/>
      <c r="O116" s="49"/>
      <c r="Q116" s="5"/>
      <c r="R116" s="5"/>
      <c r="S116" s="5"/>
      <c r="T116" s="5"/>
      <c r="U116" s="5"/>
    </row>
    <row r="117" spans="2:21">
      <c r="B117" s="41"/>
      <c r="C117" s="49"/>
      <c r="D117" s="49"/>
      <c r="E117" s="49"/>
      <c r="F117" s="49"/>
      <c r="G117" s="49"/>
      <c r="H117" s="49"/>
      <c r="I117" s="249"/>
      <c r="J117" s="5"/>
      <c r="K117" s="5"/>
      <c r="L117" s="5"/>
      <c r="M117" s="5"/>
      <c r="N117" s="5"/>
      <c r="O117" s="5"/>
      <c r="Q117" s="5"/>
      <c r="R117" s="5"/>
      <c r="S117" s="5"/>
      <c r="T117" s="5"/>
      <c r="U117" s="5"/>
    </row>
    <row r="118" spans="2:21">
      <c r="B118" s="5"/>
      <c r="C118" s="5"/>
      <c r="D118" s="5"/>
      <c r="E118" s="5"/>
      <c r="F118" s="5"/>
      <c r="G118" s="5"/>
      <c r="H118" s="5"/>
      <c r="I118" s="254"/>
      <c r="J118" s="254"/>
      <c r="K118" s="254"/>
      <c r="L118" s="254"/>
      <c r="M118" s="254"/>
      <c r="N118" s="254"/>
      <c r="O118" s="248"/>
      <c r="Q118" s="5"/>
      <c r="R118" s="5"/>
      <c r="S118" s="5"/>
      <c r="T118" s="5"/>
      <c r="U118" s="5"/>
    </row>
    <row r="119" spans="2:21">
      <c r="B119" s="41"/>
      <c r="C119" s="254"/>
      <c r="D119" s="254"/>
      <c r="E119" s="254"/>
      <c r="F119" s="254"/>
      <c r="G119" s="254"/>
      <c r="H119" s="254"/>
      <c r="I119" s="254"/>
      <c r="J119" s="249"/>
      <c r="K119" s="249"/>
      <c r="L119" s="249"/>
      <c r="M119" s="249"/>
      <c r="N119" s="249"/>
      <c r="O119" s="248"/>
      <c r="Q119" s="5"/>
      <c r="R119" s="5"/>
      <c r="S119" s="5"/>
      <c r="T119" s="5"/>
      <c r="U119" s="5"/>
    </row>
    <row r="120" spans="2:21">
      <c r="B120" s="41"/>
      <c r="C120" s="254"/>
      <c r="D120" s="249"/>
      <c r="E120" s="249"/>
      <c r="F120" s="249"/>
      <c r="G120" s="249"/>
      <c r="H120" s="249"/>
      <c r="I120" s="254"/>
      <c r="J120" s="254"/>
      <c r="K120" s="254"/>
      <c r="L120" s="254"/>
      <c r="M120" s="254"/>
      <c r="N120" s="254"/>
      <c r="O120" s="248"/>
      <c r="Q120" s="5"/>
      <c r="R120" s="5"/>
      <c r="S120" s="5"/>
      <c r="T120" s="5"/>
      <c r="U120" s="5"/>
    </row>
    <row r="121" spans="2:21">
      <c r="B121" s="41"/>
      <c r="C121" s="254"/>
      <c r="D121" s="254"/>
      <c r="E121" s="254"/>
      <c r="F121" s="254"/>
      <c r="G121" s="254"/>
      <c r="H121" s="254"/>
      <c r="I121" s="254"/>
      <c r="J121" s="254"/>
      <c r="K121" s="254"/>
      <c r="L121" s="254"/>
      <c r="M121" s="254"/>
      <c r="N121" s="254"/>
      <c r="O121" s="248"/>
      <c r="Q121" s="5"/>
      <c r="R121" s="5"/>
      <c r="S121" s="5"/>
      <c r="T121" s="5"/>
      <c r="U121" s="5"/>
    </row>
    <row r="122" spans="2:21">
      <c r="B122" s="41"/>
      <c r="C122" s="254"/>
      <c r="D122" s="254"/>
      <c r="E122" s="254"/>
      <c r="F122" s="254"/>
      <c r="G122" s="254"/>
      <c r="H122" s="254"/>
      <c r="I122" s="254"/>
      <c r="J122" s="254"/>
      <c r="K122" s="254"/>
      <c r="L122" s="254"/>
      <c r="M122" s="254"/>
      <c r="N122" s="254"/>
      <c r="O122" s="248"/>
      <c r="Q122" s="5"/>
      <c r="R122" s="5"/>
      <c r="S122" s="5"/>
      <c r="T122" s="5"/>
      <c r="U122" s="5"/>
    </row>
    <row r="123" spans="2:21">
      <c r="B123" s="41"/>
      <c r="C123" s="254"/>
      <c r="D123" s="254"/>
      <c r="E123" s="254"/>
      <c r="F123" s="254"/>
      <c r="G123" s="254"/>
      <c r="H123" s="254"/>
      <c r="I123" s="254"/>
      <c r="J123" s="254"/>
      <c r="K123" s="254"/>
      <c r="L123" s="254"/>
      <c r="M123" s="254"/>
      <c r="N123" s="254"/>
      <c r="O123" s="248"/>
      <c r="Q123" s="5"/>
      <c r="R123" s="5"/>
      <c r="S123" s="5"/>
      <c r="T123" s="5"/>
      <c r="U123" s="5"/>
    </row>
    <row r="124" spans="2:21">
      <c r="B124" s="41"/>
      <c r="C124" s="254"/>
      <c r="D124" s="254"/>
      <c r="E124" s="254"/>
      <c r="F124" s="254"/>
      <c r="G124" s="254"/>
      <c r="H124" s="254"/>
      <c r="I124" s="254"/>
      <c r="J124" s="254"/>
      <c r="K124" s="254"/>
      <c r="L124" s="254"/>
      <c r="M124" s="254"/>
      <c r="N124" s="254"/>
      <c r="O124" s="5"/>
      <c r="Q124" s="5"/>
      <c r="R124" s="5"/>
      <c r="S124" s="5"/>
      <c r="T124" s="5"/>
      <c r="U124" s="5"/>
    </row>
    <row r="125" spans="2:21">
      <c r="B125" s="41"/>
      <c r="C125" s="254"/>
      <c r="D125" s="254"/>
      <c r="E125" s="254"/>
      <c r="F125" s="254"/>
      <c r="G125" s="254"/>
      <c r="H125" s="254"/>
      <c r="I125" s="254"/>
      <c r="J125" s="254"/>
      <c r="K125" s="254"/>
      <c r="L125" s="254"/>
      <c r="M125" s="254"/>
      <c r="N125" s="254"/>
      <c r="O125" s="5"/>
      <c r="Q125" s="5"/>
      <c r="R125" s="5"/>
      <c r="S125" s="5"/>
      <c r="T125" s="5"/>
      <c r="U125" s="5"/>
    </row>
    <row r="126" spans="2:21">
      <c r="B126" s="41"/>
      <c r="C126" s="254"/>
      <c r="D126" s="254"/>
      <c r="E126" s="254"/>
      <c r="F126" s="254"/>
      <c r="G126" s="254"/>
      <c r="H126" s="254"/>
      <c r="I126" s="18"/>
      <c r="J126" s="254"/>
      <c r="K126" s="254"/>
      <c r="L126" s="254"/>
      <c r="M126" s="254"/>
      <c r="N126" s="254"/>
      <c r="O126" s="5"/>
      <c r="Q126" s="5"/>
      <c r="R126" s="5"/>
      <c r="S126" s="5"/>
      <c r="T126" s="5"/>
      <c r="U126" s="5"/>
    </row>
    <row r="127" spans="2:21">
      <c r="B127" s="41"/>
      <c r="C127" s="254"/>
      <c r="D127" s="254"/>
      <c r="E127" s="254"/>
      <c r="F127" s="254"/>
      <c r="G127" s="254"/>
      <c r="H127" s="254"/>
      <c r="I127" s="5"/>
      <c r="J127" s="254"/>
      <c r="K127" s="254"/>
      <c r="L127" s="254"/>
      <c r="M127" s="254"/>
      <c r="N127" s="254"/>
      <c r="O127" s="5"/>
      <c r="Q127" s="5"/>
      <c r="R127" s="5"/>
      <c r="S127" s="5"/>
      <c r="T127" s="5"/>
      <c r="U127" s="5"/>
    </row>
    <row r="128" spans="2:21">
      <c r="B128" s="41"/>
      <c r="C128" s="254"/>
      <c r="D128" s="254"/>
      <c r="E128" s="254"/>
      <c r="F128" s="254"/>
      <c r="G128" s="254"/>
      <c r="H128" s="254"/>
      <c r="I128" s="254"/>
      <c r="J128" s="18"/>
      <c r="K128" s="18"/>
      <c r="L128" s="18"/>
      <c r="M128" s="18"/>
      <c r="N128" s="18"/>
      <c r="O128" s="5"/>
      <c r="Q128" s="5"/>
      <c r="R128" s="5"/>
      <c r="S128" s="5"/>
      <c r="T128" s="5"/>
      <c r="U128" s="5"/>
    </row>
    <row r="129" spans="2:27">
      <c r="B129" s="5"/>
      <c r="C129" s="5"/>
      <c r="D129" s="18"/>
      <c r="E129" s="18"/>
      <c r="F129" s="18"/>
      <c r="G129" s="18"/>
      <c r="H129" s="18"/>
      <c r="I129" s="18"/>
      <c r="J129" s="5"/>
      <c r="K129" s="5"/>
      <c r="L129" s="5"/>
      <c r="M129" s="5"/>
      <c r="N129" s="5"/>
      <c r="O129" s="5"/>
      <c r="Q129" s="5"/>
      <c r="R129" s="5"/>
      <c r="S129" s="5"/>
      <c r="T129" s="5"/>
      <c r="U129" s="5"/>
    </row>
    <row r="130" spans="2:27">
      <c r="B130" s="5"/>
      <c r="C130" s="5"/>
      <c r="D130" s="5"/>
      <c r="E130" s="5"/>
      <c r="F130" s="5"/>
      <c r="G130" s="5"/>
      <c r="H130" s="5"/>
      <c r="I130" s="5"/>
      <c r="J130" s="254"/>
      <c r="K130" s="254"/>
      <c r="L130" s="254"/>
      <c r="M130" s="254"/>
      <c r="N130" s="254"/>
      <c r="O130" s="5"/>
      <c r="Q130" s="5"/>
      <c r="R130" s="5"/>
      <c r="S130" s="5"/>
      <c r="T130" s="5"/>
      <c r="U130" s="5"/>
    </row>
    <row r="131" spans="2:27">
      <c r="B131" s="41"/>
      <c r="C131" s="254"/>
      <c r="D131" s="254"/>
      <c r="E131" s="254"/>
      <c r="F131" s="254"/>
      <c r="G131" s="254"/>
      <c r="H131" s="254"/>
      <c r="I131" s="5"/>
      <c r="J131" s="18"/>
      <c r="K131" s="18"/>
      <c r="L131" s="18"/>
      <c r="M131" s="18"/>
      <c r="N131" s="18"/>
      <c r="O131" s="5"/>
      <c r="Q131" s="5"/>
      <c r="R131" s="5"/>
      <c r="S131" s="5"/>
      <c r="T131" s="5"/>
      <c r="U131" s="5"/>
    </row>
    <row r="132" spans="2:27">
      <c r="B132" s="5"/>
      <c r="C132" s="259"/>
      <c r="D132" s="18"/>
      <c r="E132" s="18"/>
      <c r="F132" s="18"/>
      <c r="G132" s="18"/>
      <c r="H132" s="18"/>
      <c r="I132" s="17"/>
      <c r="J132" s="5"/>
      <c r="K132" s="5"/>
      <c r="L132" s="5"/>
      <c r="M132" s="5"/>
      <c r="N132" s="5"/>
      <c r="O132" s="5"/>
      <c r="Q132" s="5"/>
      <c r="R132" s="5"/>
      <c r="S132" s="5"/>
      <c r="T132" s="5"/>
      <c r="U132" s="5"/>
    </row>
    <row r="133" spans="2:27">
      <c r="B133" s="5"/>
      <c r="C133" s="5"/>
      <c r="D133" s="5"/>
      <c r="E133" s="5"/>
      <c r="F133" s="5"/>
      <c r="G133" s="5"/>
      <c r="H133" s="5"/>
      <c r="I133" s="17"/>
      <c r="J133" s="5"/>
      <c r="K133" s="5"/>
      <c r="L133" s="5"/>
      <c r="M133" s="5"/>
      <c r="N133" s="5"/>
      <c r="O133" s="5"/>
      <c r="Q133" s="5"/>
      <c r="R133" s="5"/>
      <c r="S133" s="5"/>
      <c r="T133" s="5"/>
      <c r="U133" s="5"/>
    </row>
    <row r="134" spans="2:27">
      <c r="B134" s="41"/>
      <c r="C134" s="5"/>
      <c r="D134" s="5"/>
      <c r="E134" s="5"/>
      <c r="F134" s="5"/>
      <c r="G134" s="5"/>
      <c r="H134" s="5"/>
      <c r="I134" s="17"/>
      <c r="J134" s="17"/>
      <c r="K134" s="17"/>
      <c r="L134" s="17"/>
      <c r="M134" s="17"/>
      <c r="N134" s="17"/>
      <c r="O134" s="5"/>
      <c r="Q134" s="41"/>
      <c r="R134" s="5"/>
      <c r="S134" s="5"/>
      <c r="T134" s="5"/>
      <c r="U134" s="5"/>
    </row>
    <row r="135" spans="2:27">
      <c r="B135" s="5"/>
      <c r="C135" s="17"/>
      <c r="D135" s="17"/>
      <c r="E135" s="17"/>
      <c r="F135" s="17"/>
      <c r="G135" s="17"/>
      <c r="H135" s="17"/>
      <c r="I135" s="17"/>
      <c r="J135" s="17"/>
      <c r="K135" s="17"/>
      <c r="L135" s="17"/>
      <c r="M135" s="17"/>
      <c r="N135" s="17"/>
      <c r="O135" s="5"/>
      <c r="Q135" s="5"/>
      <c r="R135" s="5"/>
      <c r="S135" s="5"/>
      <c r="T135" s="5"/>
      <c r="U135" s="5"/>
      <c r="X135" s="304"/>
    </row>
    <row r="136" spans="2:27">
      <c r="B136" s="5"/>
      <c r="C136" s="17"/>
      <c r="D136" s="17"/>
      <c r="E136" s="17"/>
      <c r="F136" s="17"/>
      <c r="G136" s="17"/>
      <c r="H136" s="17"/>
      <c r="I136" s="17"/>
      <c r="J136" s="17"/>
      <c r="K136" s="17"/>
      <c r="L136" s="17"/>
      <c r="M136" s="17"/>
      <c r="N136" s="17"/>
      <c r="O136" s="5"/>
      <c r="Q136" s="5"/>
      <c r="R136" s="5"/>
      <c r="S136" s="5"/>
      <c r="T136" s="5"/>
      <c r="U136" s="5"/>
      <c r="X136" s="10"/>
      <c r="Y136" s="304"/>
      <c r="Z136" s="304"/>
      <c r="AA136" s="304"/>
    </row>
    <row r="137" spans="2:27">
      <c r="B137" s="5"/>
      <c r="C137" s="5"/>
      <c r="D137" s="17"/>
      <c r="E137" s="17"/>
      <c r="F137" s="17"/>
      <c r="G137" s="17"/>
      <c r="H137" s="17"/>
      <c r="I137" s="17"/>
      <c r="J137" s="17"/>
      <c r="K137" s="17"/>
      <c r="L137" s="17"/>
      <c r="M137" s="17"/>
      <c r="N137" s="17"/>
      <c r="O137" s="5"/>
      <c r="Q137" s="5"/>
      <c r="R137" s="5"/>
      <c r="S137" s="5"/>
      <c r="T137" s="5"/>
      <c r="U137" s="5"/>
      <c r="Y137" s="10"/>
      <c r="Z137" s="10"/>
      <c r="AA137" s="10"/>
    </row>
    <row r="138" spans="2:27">
      <c r="B138" s="5"/>
      <c r="C138" s="5"/>
      <c r="D138" s="17"/>
      <c r="E138" s="17"/>
      <c r="F138" s="17"/>
      <c r="G138" s="17"/>
      <c r="H138" s="17"/>
      <c r="I138" s="5"/>
      <c r="J138" s="17"/>
      <c r="K138" s="17"/>
      <c r="L138" s="17"/>
      <c r="M138" s="17"/>
      <c r="N138" s="17"/>
      <c r="O138" s="5"/>
      <c r="Q138" s="5"/>
      <c r="R138" s="5"/>
      <c r="S138" s="5"/>
      <c r="T138" s="5"/>
      <c r="U138" s="5"/>
    </row>
    <row r="139" spans="2:27">
      <c r="B139" s="5"/>
      <c r="C139" s="5"/>
      <c r="D139" s="17"/>
      <c r="E139" s="17"/>
      <c r="F139" s="17"/>
      <c r="G139" s="17"/>
      <c r="H139" s="17"/>
      <c r="I139" s="5"/>
      <c r="J139" s="17"/>
      <c r="K139" s="17"/>
      <c r="L139" s="17"/>
      <c r="M139" s="17"/>
      <c r="N139" s="17"/>
      <c r="O139" s="5"/>
      <c r="Q139" s="5"/>
      <c r="R139" s="5"/>
      <c r="S139" s="5"/>
      <c r="T139" s="5"/>
      <c r="U139" s="5"/>
    </row>
    <row r="140" spans="2:27">
      <c r="B140" s="5"/>
      <c r="C140" s="17"/>
      <c r="D140" s="17"/>
      <c r="E140" s="17"/>
      <c r="F140" s="17"/>
      <c r="G140" s="17"/>
      <c r="H140" s="17"/>
      <c r="I140" s="5"/>
      <c r="J140" s="5"/>
      <c r="K140" s="5"/>
      <c r="L140" s="5"/>
      <c r="M140" s="5"/>
      <c r="N140" s="5"/>
      <c r="O140" s="5"/>
      <c r="Q140" s="5"/>
      <c r="R140" s="5"/>
      <c r="S140" s="5"/>
      <c r="T140" s="5"/>
      <c r="U140" s="5"/>
    </row>
    <row r="141" spans="2:27">
      <c r="B141" s="5"/>
      <c r="C141" s="5"/>
      <c r="D141" s="5"/>
      <c r="E141" s="5"/>
      <c r="F141" s="5"/>
      <c r="G141" s="5"/>
      <c r="H141" s="5"/>
      <c r="I141" s="5"/>
      <c r="J141" s="5"/>
      <c r="K141" s="5"/>
      <c r="L141" s="5"/>
      <c r="M141" s="5"/>
      <c r="N141" s="5"/>
      <c r="O141" s="5"/>
      <c r="Q141" s="5"/>
      <c r="R141" s="5"/>
      <c r="S141" s="5"/>
      <c r="T141" s="5"/>
      <c r="U141" s="5"/>
    </row>
    <row r="142" spans="2:27">
      <c r="B142" s="5"/>
      <c r="C142" s="5"/>
      <c r="D142" s="5"/>
      <c r="E142" s="5"/>
      <c r="F142" s="5"/>
      <c r="G142" s="5"/>
      <c r="H142" s="5"/>
      <c r="I142" s="5"/>
      <c r="J142" s="5"/>
      <c r="K142" s="5"/>
      <c r="L142" s="5"/>
      <c r="M142" s="5"/>
      <c r="N142" s="5"/>
      <c r="O142" s="5"/>
      <c r="Q142" s="5"/>
      <c r="R142" s="5"/>
      <c r="S142" s="5"/>
      <c r="T142" s="5"/>
      <c r="U142" s="5"/>
    </row>
    <row r="143" spans="2:27">
      <c r="B143" s="5"/>
      <c r="C143" s="5"/>
      <c r="D143" s="5"/>
      <c r="E143" s="5"/>
      <c r="F143" s="5"/>
      <c r="G143" s="5"/>
      <c r="H143" s="5"/>
      <c r="I143" s="5"/>
      <c r="J143" s="5"/>
      <c r="K143" s="5"/>
      <c r="L143" s="5"/>
      <c r="M143" s="5"/>
      <c r="N143" s="5"/>
      <c r="O143" s="5"/>
      <c r="Q143" s="5"/>
      <c r="R143" s="5"/>
      <c r="S143" s="5"/>
      <c r="T143" s="5"/>
      <c r="U143" s="5"/>
    </row>
    <row r="144" spans="2:27">
      <c r="B144" s="5"/>
      <c r="C144" s="5"/>
      <c r="D144" s="5"/>
      <c r="E144" s="5"/>
      <c r="F144" s="5"/>
      <c r="G144" s="5"/>
      <c r="H144" s="5"/>
      <c r="I144" s="5"/>
      <c r="J144" s="5"/>
      <c r="K144" s="5"/>
      <c r="L144" s="5"/>
      <c r="M144" s="5"/>
      <c r="N144" s="5"/>
      <c r="O144" s="5"/>
      <c r="Q144" s="5"/>
      <c r="R144" s="5"/>
      <c r="S144" s="5"/>
      <c r="T144" s="5"/>
      <c r="U144" s="5"/>
    </row>
    <row r="145" spans="2:21">
      <c r="B145" s="5"/>
      <c r="C145" s="5"/>
      <c r="D145" s="5"/>
      <c r="E145" s="5"/>
      <c r="F145" s="5"/>
      <c r="G145" s="5"/>
      <c r="H145" s="5"/>
      <c r="I145" s="5"/>
      <c r="J145" s="5"/>
      <c r="K145" s="5"/>
      <c r="L145" s="5"/>
      <c r="M145" s="5"/>
      <c r="N145" s="5"/>
      <c r="O145" s="5"/>
      <c r="Q145" s="5"/>
      <c r="R145" s="5"/>
      <c r="S145" s="5"/>
      <c r="T145" s="5"/>
      <c r="U145" s="5"/>
    </row>
    <row r="146" spans="2:21">
      <c r="B146" s="5"/>
      <c r="C146" s="5"/>
      <c r="D146" s="5"/>
      <c r="E146" s="5"/>
      <c r="F146" s="5"/>
      <c r="G146" s="5"/>
      <c r="H146" s="5"/>
      <c r="I146" s="5"/>
      <c r="J146" s="5"/>
      <c r="K146" s="5"/>
      <c r="L146" s="5"/>
      <c r="M146" s="5"/>
      <c r="N146" s="5"/>
      <c r="O146" s="5"/>
      <c r="Q146" s="5"/>
      <c r="R146" s="5"/>
      <c r="S146" s="5"/>
      <c r="T146" s="5"/>
      <c r="U146" s="5"/>
    </row>
    <row r="147" spans="2:21">
      <c r="B147" s="5"/>
      <c r="C147" s="5"/>
      <c r="D147" s="5"/>
      <c r="E147" s="5"/>
      <c r="F147" s="5"/>
      <c r="G147" s="5"/>
      <c r="H147" s="5"/>
      <c r="I147" s="5"/>
      <c r="J147" s="5"/>
      <c r="K147" s="5"/>
      <c r="L147" s="5"/>
      <c r="M147" s="5"/>
      <c r="N147" s="5"/>
      <c r="O147" s="5"/>
      <c r="Q147" s="5"/>
      <c r="R147" s="5"/>
      <c r="S147" s="5"/>
      <c r="T147" s="5"/>
      <c r="U147" s="5"/>
    </row>
    <row r="148" spans="2:21">
      <c r="B148" s="5"/>
      <c r="C148" s="5"/>
      <c r="D148" s="5"/>
      <c r="E148" s="5"/>
      <c r="F148" s="5"/>
      <c r="G148" s="5"/>
      <c r="H148" s="5"/>
      <c r="J148" s="5"/>
      <c r="K148" s="5"/>
      <c r="L148" s="5"/>
      <c r="M148" s="5"/>
      <c r="N148" s="5"/>
      <c r="O148" s="5"/>
      <c r="Q148" s="5"/>
      <c r="R148" s="5"/>
      <c r="S148" s="5"/>
      <c r="T148" s="5"/>
      <c r="U148" s="5"/>
    </row>
    <row r="149" spans="2:21">
      <c r="B149" s="5"/>
      <c r="C149" s="5"/>
      <c r="D149" s="5"/>
      <c r="E149" s="5"/>
      <c r="F149" s="5"/>
      <c r="G149" s="5"/>
      <c r="H149" s="5"/>
      <c r="J149" s="5"/>
      <c r="K149" s="5"/>
      <c r="L149" s="5"/>
      <c r="M149" s="5"/>
      <c r="N149" s="5"/>
      <c r="O149" s="5"/>
      <c r="Q149" s="5"/>
      <c r="R149" s="5"/>
      <c r="S149" s="5"/>
      <c r="T149" s="5"/>
      <c r="U149" s="5"/>
    </row>
    <row r="150" spans="2:21">
      <c r="B150" s="5"/>
      <c r="C150" s="5"/>
      <c r="D150" s="5"/>
      <c r="E150" s="5"/>
      <c r="F150" s="5"/>
      <c r="G150" s="5"/>
      <c r="H150" s="5"/>
      <c r="Q150" s="5"/>
      <c r="R150" s="5"/>
      <c r="S150" s="5"/>
      <c r="T150" s="5"/>
      <c r="U150" s="5"/>
    </row>
    <row r="151" spans="2:21">
      <c r="Q151" s="5"/>
      <c r="R151" s="5"/>
      <c r="S151" s="5"/>
      <c r="T151" s="5"/>
      <c r="U151" s="5"/>
    </row>
    <row r="152" spans="2:21">
      <c r="Q152" s="5"/>
      <c r="R152" s="5"/>
      <c r="S152" s="5"/>
      <c r="T152" s="5"/>
      <c r="U152" s="5"/>
    </row>
    <row r="153" spans="2:21">
      <c r="C153" s="263"/>
      <c r="Q153" s="5"/>
      <c r="R153" s="5"/>
      <c r="S153" s="5"/>
      <c r="T153" s="5"/>
      <c r="U153" s="5"/>
    </row>
    <row r="154" spans="2:21">
      <c r="Q154" s="5"/>
      <c r="R154" s="5"/>
      <c r="S154" s="5"/>
      <c r="T154" s="5"/>
      <c r="U154" s="5"/>
    </row>
    <row r="155" spans="2:21">
      <c r="Q155" s="5"/>
      <c r="R155" s="5"/>
      <c r="S155" s="5"/>
      <c r="T155" s="5"/>
      <c r="U155" s="5"/>
    </row>
    <row r="156" spans="2:21">
      <c r="Q156" s="5"/>
      <c r="R156" s="5"/>
      <c r="S156" s="5"/>
      <c r="T156" s="5"/>
      <c r="U156" s="5"/>
    </row>
    <row r="157" spans="2:21">
      <c r="Q157" s="5"/>
      <c r="R157" s="5"/>
      <c r="S157" s="5"/>
      <c r="T157" s="5"/>
      <c r="U157" s="5"/>
    </row>
    <row r="158" spans="2:21">
      <c r="Q158" s="5"/>
      <c r="R158" s="5"/>
      <c r="S158" s="5"/>
      <c r="T158" s="5"/>
      <c r="U158" s="5"/>
    </row>
    <row r="159" spans="2:21">
      <c r="Q159" s="5"/>
      <c r="R159" s="5"/>
      <c r="S159" s="5"/>
      <c r="T159" s="5"/>
      <c r="U159" s="5"/>
    </row>
    <row r="160" spans="2:21">
      <c r="Q160" s="5"/>
      <c r="R160" s="5"/>
      <c r="S160" s="5"/>
      <c r="T160" s="5"/>
      <c r="U160" s="5"/>
    </row>
    <row r="161" spans="17:21">
      <c r="Q161" s="5"/>
      <c r="R161" s="5"/>
      <c r="S161" s="5"/>
      <c r="T161" s="5"/>
      <c r="U161" s="5"/>
    </row>
    <row r="162" spans="17:21">
      <c r="Q162" s="5"/>
      <c r="R162" s="5"/>
      <c r="S162" s="5"/>
      <c r="T162" s="5"/>
      <c r="U162" s="5"/>
    </row>
    <row r="163" spans="17:21">
      <c r="Q163" s="5"/>
      <c r="R163" s="5"/>
      <c r="S163" s="5"/>
      <c r="T163" s="5"/>
      <c r="U163" s="5"/>
    </row>
    <row r="164" spans="17:21">
      <c r="Q164" s="5"/>
      <c r="R164" s="5"/>
      <c r="S164" s="5"/>
      <c r="T164" s="5"/>
      <c r="U164" s="5"/>
    </row>
  </sheetData>
  <pageMargins left="0.75" right="0.75" top="1" bottom="1" header="0.5" footer="0.5"/>
  <pageSetup scale="70" orientation="landscape" r:id="rId1"/>
  <headerFooter alignWithMargins="0"/>
  <drawing r:id="rId2"/>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600-000000000000}">
  <sheetPr codeName="Sheet154">
    <tabColor theme="3" tint="0.59999389629810485"/>
    <pageSetUpPr fitToPage="1"/>
  </sheetPr>
  <dimension ref="B1:BK164"/>
  <sheetViews>
    <sheetView showGridLines="0" zoomScale="80" zoomScaleNormal="80" workbookViewId="0"/>
  </sheetViews>
  <sheetFormatPr defaultColWidth="8.88671875" defaultRowHeight="12"/>
  <cols>
    <col min="1" max="1" width="2.33203125" style="39" customWidth="1"/>
    <col min="2" max="2" width="26.6640625" style="39" customWidth="1"/>
    <col min="3" max="9" width="10" style="39" customWidth="1"/>
    <col min="10" max="10" width="26.6640625" style="39" customWidth="1"/>
    <col min="11" max="16" width="10" style="39" customWidth="1"/>
    <col min="17" max="17" width="4.5546875" style="39" customWidth="1"/>
    <col min="18" max="20" width="8.88671875" style="39"/>
    <col min="21" max="21" width="3.6640625" style="39" customWidth="1"/>
    <col min="22" max="63" width="9.109375" style="5" customWidth="1"/>
    <col min="64" max="16384" width="8.88671875" style="39"/>
  </cols>
  <sheetData>
    <row r="1" spans="2:63" s="312" customFormat="1">
      <c r="V1" s="149"/>
      <c r="W1" s="149"/>
      <c r="X1" s="149"/>
      <c r="Y1" s="149"/>
      <c r="Z1" s="149"/>
      <c r="AA1" s="149"/>
      <c r="AB1" s="149"/>
      <c r="AC1" s="149"/>
      <c r="AD1" s="149"/>
      <c r="AE1" s="149"/>
      <c r="AF1" s="149"/>
      <c r="AG1" s="149"/>
      <c r="AH1" s="149"/>
      <c r="AI1" s="149"/>
      <c r="AJ1" s="149"/>
      <c r="AK1" s="149"/>
      <c r="AL1" s="149"/>
      <c r="AM1" s="149"/>
      <c r="AN1" s="149"/>
      <c r="AO1" s="149"/>
      <c r="AP1" s="149"/>
      <c r="AQ1" s="149"/>
      <c r="AR1" s="149"/>
      <c r="AS1" s="149"/>
      <c r="AT1" s="149"/>
      <c r="AU1" s="149"/>
      <c r="AV1" s="149"/>
      <c r="AW1" s="149"/>
      <c r="AX1" s="149"/>
      <c r="AY1" s="149"/>
      <c r="AZ1" s="149"/>
      <c r="BA1" s="149"/>
      <c r="BB1" s="149"/>
      <c r="BC1" s="149"/>
      <c r="BD1" s="149"/>
      <c r="BE1" s="149"/>
      <c r="BF1" s="149"/>
      <c r="BG1" s="149"/>
      <c r="BH1" s="149"/>
      <c r="BI1" s="149"/>
      <c r="BJ1" s="149"/>
      <c r="BK1" s="149"/>
    </row>
    <row r="2" spans="2:63" s="312" customFormat="1">
      <c r="V2" s="149"/>
      <c r="W2" s="149"/>
      <c r="X2" s="149"/>
      <c r="Y2" s="149"/>
      <c r="Z2" s="149"/>
      <c r="AA2" s="149"/>
      <c r="AB2" s="149"/>
      <c r="AC2" s="149"/>
      <c r="AD2" s="149"/>
      <c r="AE2" s="149"/>
      <c r="AF2" s="149"/>
      <c r="AG2" s="149"/>
      <c r="AH2" s="149"/>
      <c r="AI2" s="149"/>
      <c r="AJ2" s="149"/>
      <c r="AK2" s="149"/>
      <c r="AL2" s="149"/>
      <c r="AM2" s="149"/>
      <c r="AN2" s="149"/>
      <c r="AO2" s="149"/>
      <c r="AP2" s="149"/>
      <c r="AQ2" s="149"/>
      <c r="AR2" s="149"/>
      <c r="AS2" s="149"/>
      <c r="AT2" s="149"/>
      <c r="AU2" s="149"/>
      <c r="AV2" s="149"/>
      <c r="AW2" s="149"/>
      <c r="AX2" s="149"/>
      <c r="AY2" s="149"/>
      <c r="AZ2" s="149"/>
      <c r="BA2" s="149"/>
      <c r="BB2" s="149"/>
      <c r="BC2" s="149"/>
      <c r="BD2" s="149"/>
      <c r="BE2" s="149"/>
      <c r="BF2" s="149"/>
      <c r="BG2" s="149"/>
      <c r="BH2" s="149"/>
      <c r="BI2" s="149"/>
      <c r="BJ2" s="149"/>
      <c r="BK2" s="149"/>
    </row>
    <row r="3" spans="2:63" s="149" customFormat="1">
      <c r="H3" s="153"/>
      <c r="P3" s="153"/>
    </row>
    <row r="4" spans="2:63" s="156" customFormat="1" ht="21">
      <c r="B4" s="129" t="s">
        <v>546</v>
      </c>
      <c r="H4" s="222"/>
      <c r="P4" s="222"/>
    </row>
    <row r="5" spans="2:63" s="149" customFormat="1">
      <c r="C5" s="153"/>
      <c r="D5" s="153" t="str" cm="1">
        <f t="array" ref="D5:H5">headings</f>
        <v>2023E</v>
      </c>
      <c r="E5" s="153" t="str">
        <v>2024E</v>
      </c>
      <c r="F5" s="153" t="str">
        <v>2025E</v>
      </c>
      <c r="G5" s="153" t="str">
        <v>2026E</v>
      </c>
      <c r="H5" s="153" t="str">
        <v>23E-26E</v>
      </c>
      <c r="I5" s="153"/>
      <c r="J5" s="153"/>
      <c r="K5" s="153"/>
      <c r="L5" s="153" t="str" cm="1">
        <f t="array" ref="L5:P5">headings</f>
        <v>2023E</v>
      </c>
      <c r="M5" s="153" t="str">
        <v>2024E</v>
      </c>
      <c r="N5" s="153" t="str">
        <v>2025E</v>
      </c>
      <c r="O5" s="153" t="str">
        <v>2026E</v>
      </c>
      <c r="P5" s="153" t="str">
        <v>23E-26E</v>
      </c>
      <c r="Q5" s="162"/>
      <c r="R5" s="162"/>
      <c r="S5" s="162"/>
      <c r="T5" s="162"/>
      <c r="U5" s="162"/>
      <c r="V5" s="162"/>
      <c r="W5" s="162"/>
      <c r="X5" s="162"/>
      <c r="Y5" s="162"/>
    </row>
    <row r="6" spans="2:63">
      <c r="I6" s="5"/>
      <c r="J6" s="5"/>
      <c r="K6" s="5"/>
      <c r="L6" s="5"/>
      <c r="M6" s="5"/>
      <c r="N6" s="5"/>
      <c r="O6" s="49"/>
    </row>
    <row r="7" spans="2:63" ht="12.6" thickBot="1">
      <c r="B7" s="306" t="s">
        <v>271</v>
      </c>
      <c r="C7" s="265"/>
      <c r="D7" s="265"/>
      <c r="E7" s="265"/>
      <c r="F7" s="265"/>
      <c r="G7" s="265"/>
      <c r="H7" s="265"/>
      <c r="I7" s="49"/>
      <c r="J7" s="306" t="s">
        <v>92</v>
      </c>
      <c r="K7" s="306"/>
      <c r="L7" s="306"/>
      <c r="M7" s="306"/>
      <c r="N7" s="266"/>
      <c r="O7" s="266"/>
      <c r="P7" s="266"/>
    </row>
    <row r="8" spans="2:63" ht="12.6" thickTop="1">
      <c r="B8" s="5"/>
      <c r="C8" s="5"/>
      <c r="D8" s="5"/>
      <c r="E8" s="5"/>
      <c r="F8" s="5"/>
      <c r="G8" s="5"/>
      <c r="H8" s="5"/>
      <c r="I8" s="5"/>
      <c r="J8" s="5"/>
      <c r="K8" s="5"/>
      <c r="L8" s="5"/>
      <c r="M8" s="5"/>
      <c r="N8" s="5"/>
    </row>
    <row r="9" spans="2:63">
      <c r="B9" s="41" t="s">
        <v>500</v>
      </c>
      <c r="C9" s="287"/>
      <c r="D9" s="5"/>
      <c r="E9" s="249"/>
      <c r="F9" s="249"/>
      <c r="G9" s="249"/>
      <c r="H9" s="249"/>
      <c r="I9" s="249"/>
      <c r="J9" s="5" t="s">
        <v>273</v>
      </c>
      <c r="L9" s="64">
        <f>'AGG ASIA'!D37</f>
        <v>30.76287258019677</v>
      </c>
      <c r="M9" s="64">
        <f>'AGG ASIA'!E37</f>
        <v>28.800139501961439</v>
      </c>
      <c r="N9" s="64">
        <f>'AGG ASIA'!F37</f>
        <v>24.738518997205688</v>
      </c>
      <c r="O9" s="64">
        <f>'AGG ASIA'!G37</f>
        <v>20.91185243284546</v>
      </c>
      <c r="P9" s="17">
        <f>'EM INCUMB'!H37</f>
        <v>4.1231626442215452E-2</v>
      </c>
    </row>
    <row r="10" spans="2:63">
      <c r="B10" s="5" t="s">
        <v>274</v>
      </c>
      <c r="C10" s="5"/>
      <c r="D10" s="332"/>
      <c r="E10" s="332"/>
      <c r="F10" s="332"/>
      <c r="G10" s="332"/>
      <c r="H10" s="247"/>
      <c r="I10" s="247"/>
      <c r="J10" s="5" t="s">
        <v>184</v>
      </c>
      <c r="L10" s="64">
        <f>'AGG ASIA'!D38</f>
        <v>101.48897988590021</v>
      </c>
      <c r="M10" s="64">
        <f>'AGG ASIA'!E38</f>
        <v>93.68888972586403</v>
      </c>
      <c r="N10" s="64">
        <f>'AGG ASIA'!F38</f>
        <v>79.914549821953457</v>
      </c>
      <c r="O10" s="64">
        <f>'AGG ASIA'!G38</f>
        <v>66.936669387167399</v>
      </c>
      <c r="P10" s="17">
        <f>'EM INCUMB'!H38</f>
        <v>4.5319782471582526E-2</v>
      </c>
      <c r="W10" s="10"/>
      <c r="X10" s="10"/>
      <c r="Y10" s="10"/>
      <c r="Z10" s="10"/>
    </row>
    <row r="11" spans="2:63">
      <c r="B11" s="41" t="s">
        <v>359</v>
      </c>
      <c r="C11" s="5"/>
      <c r="D11" s="271">
        <f>(SINGTEL!D11/Prices!$C$176)+(NTT!D11/Prices!$C$161*1000)+((TLS!D11/Prices!$C$168))+(SPK!D11/Prices!$C$187)</f>
        <v>151227.09592757907</v>
      </c>
      <c r="E11" s="271">
        <f>(SINGTEL!E11/Prices!$C$176)+(NTT!E11/Prices!$C$161*1000)+((TLS!E11/Prices!$C$168))+(SPK!E11/Prices!$C$187)</f>
        <v>149756.11475199598</v>
      </c>
      <c r="F11" s="271">
        <f>(SINGTEL!F11/Prices!$C$176)+(NTT!F11/Prices!$C$161*1000)+((TLS!F11/Prices!$C$168))+(SPK!F11/Prices!$C$187)</f>
        <v>148285.98972680117</v>
      </c>
      <c r="G11" s="271">
        <f>(SINGTEL!G11/Prices!$C$176)+(NTT!G11/Prices!$C$161*1000)+((TLS!G11/Prices!$C$168))+(SPK!G11/Prices!$C$187)</f>
        <v>146816.72085199453</v>
      </c>
      <c r="H11" s="249"/>
      <c r="I11" s="249"/>
      <c r="J11" s="5" t="s">
        <v>185</v>
      </c>
      <c r="L11" s="64">
        <f>'AGG ASIA'!D39</f>
        <v>217.29155374700943</v>
      </c>
      <c r="M11" s="64">
        <f>'AGG ASIA'!E39</f>
        <v>180.95481215991597</v>
      </c>
      <c r="N11" s="64">
        <f>'AGG ASIA'!F39</f>
        <v>147.90950056316157</v>
      </c>
      <c r="O11" s="64">
        <f>'AGG ASIA'!G39</f>
        <v>119.54361614923378</v>
      </c>
      <c r="P11" s="17">
        <f>'EM INCUMB'!H39</f>
        <v>0.13008903497063584</v>
      </c>
      <c r="W11" s="10"/>
      <c r="X11" s="10"/>
      <c r="Y11" s="10"/>
      <c r="Z11" s="10"/>
    </row>
    <row r="12" spans="2:63">
      <c r="B12" s="5" t="s">
        <v>229</v>
      </c>
      <c r="C12" s="249"/>
      <c r="D12" s="228">
        <f>(SINGTEL!D12/Prices!$C$176)+(NTT!D12/Prices!$C$161*1000)+((TLS!D12/Prices!$C$168))+(SPK!D12/Prices!$C$187)</f>
        <v>56450.939076161878</v>
      </c>
      <c r="E12" s="228">
        <f>(SINGTEL!E12/Prices!$C$176)+(NTT!E12/Prices!$C$161*1000)+((TLS!E12/Prices!$C$168))+(SPK!E12/Prices!$C$187)</f>
        <v>54597.062217352701</v>
      </c>
      <c r="F12" s="228">
        <f>(SINGTEL!F12/Prices!$C$176)+(NTT!F12/Prices!$C$161*1000)+((TLS!F12/Prices!$C$168))+(SPK!F12/Prices!$C$187)</f>
        <v>53408.949714531474</v>
      </c>
      <c r="G12" s="228">
        <f>(SINGTEL!G12/Prices!$C$176)+(NTT!G12/Prices!$C$161*1000)+((TLS!G12/Prices!$C$168))+(SPK!G12/Prices!$C$187)</f>
        <v>52542.549425117584</v>
      </c>
      <c r="H12" s="247"/>
      <c r="I12" s="247"/>
      <c r="J12" s="5" t="s">
        <v>466</v>
      </c>
      <c r="L12" s="64">
        <f>'AGG ASIA'!D40</f>
        <v>286.02087067645101</v>
      </c>
      <c r="M12" s="64">
        <f>'AGG ASIA'!E40</f>
        <v>240.35738195866892</v>
      </c>
      <c r="N12" s="64">
        <f>'AGG ASIA'!F40</f>
        <v>196.85790768819066</v>
      </c>
      <c r="O12" s="64">
        <f>'AGG ASIA'!G40</f>
        <v>159.2914066808743</v>
      </c>
      <c r="P12" s="17">
        <f>'EM INCUMB'!H40</f>
        <v>0.14671109623312839</v>
      </c>
      <c r="W12" s="10"/>
      <c r="X12" s="10"/>
      <c r="Y12" s="10"/>
      <c r="Z12" s="10"/>
    </row>
    <row r="13" spans="2:63">
      <c r="B13" s="5" t="s">
        <v>529</v>
      </c>
      <c r="C13" s="257"/>
      <c r="D13" s="228">
        <f>(SINGTEL!D13/Prices!$C$176)+(NTT!D13/Prices!$C$161*1000)+((TLS!D13/Prices!$C$168))+(SPK!D13/Prices!$C$187)</f>
        <v>7516.5975001923152</v>
      </c>
      <c r="E13" s="228">
        <f>(SINGTEL!E13/Prices!$C$176)+(NTT!E13/Prices!$C$161*1000)+((TLS!E13/Prices!$C$168))+(SPK!E13/Prices!$C$187)</f>
        <v>7516.5975001923152</v>
      </c>
      <c r="F13" s="228">
        <f>(SINGTEL!F13/Prices!$C$176)+(NTT!F13/Prices!$C$161*1000)+((TLS!F13/Prices!$C$168))+(SPK!F13/Prices!$C$187)</f>
        <v>7516.5975001923152</v>
      </c>
      <c r="G13" s="228">
        <f>(SINGTEL!G13/Prices!$C$176)+(NTT!G13/Prices!$C$161*1000)+((TLS!G13/Prices!$C$168))+(SPK!G13/Prices!$C$187)</f>
        <v>7516.5975001923152</v>
      </c>
      <c r="H13" s="247"/>
      <c r="I13" s="247"/>
      <c r="J13" s="5" t="s">
        <v>530</v>
      </c>
      <c r="L13" s="64">
        <f>'AGG ASIA'!D41</f>
        <v>23.755656364582432</v>
      </c>
      <c r="M13" s="64">
        <f>'AGG ASIA'!E41</f>
        <v>23.352404238016071</v>
      </c>
      <c r="N13" s="64">
        <f>'AGG ASIA'!F41</f>
        <v>20.979406591929234</v>
      </c>
      <c r="O13" s="64">
        <f>'AGG ASIA'!G41</f>
        <v>18.486185753060674</v>
      </c>
      <c r="P13" s="17">
        <f>'EM INCUMB'!H41</f>
        <v>-5.7044998568572813E-3</v>
      </c>
    </row>
    <row r="14" spans="2:63">
      <c r="B14" s="5" t="s">
        <v>532</v>
      </c>
      <c r="C14" s="274"/>
      <c r="D14" s="228">
        <f>(SINGTEL!D14/Prices!$C$176)+(NTT!D14/Prices!$C$161*1000)+((TLS!D14/Prices!$C$168))+(SPK!D14/Prices!$C$187)</f>
        <v>5998.0764502125312</v>
      </c>
      <c r="E14" s="228">
        <f>(SINGTEL!E14/Prices!$C$176)+(NTT!E14/Prices!$C$161*1000)+((TLS!E14/Prices!$C$168))+(SPK!E14/Prices!$C$187)</f>
        <v>6098.8039325856853</v>
      </c>
      <c r="F14" s="228">
        <f>(SINGTEL!F14/Prices!$C$176)+(NTT!F14/Prices!$C$161*1000)+((TLS!F14/Prices!$C$168))+(SPK!F14/Prices!$C$187)</f>
        <v>6204.5677890774978</v>
      </c>
      <c r="G14" s="228">
        <f>(SINGTEL!G14/Prices!$C$176)+(NTT!G14/Prices!$C$161*1000)+((TLS!G14/Prices!$C$168))+(SPK!G14/Prices!$C$187)</f>
        <v>6315.6198383939</v>
      </c>
      <c r="H14" s="247"/>
      <c r="I14" s="247"/>
      <c r="J14" s="5" t="s">
        <v>593</v>
      </c>
      <c r="L14" s="64">
        <f>'AGG ASIA'!D42</f>
        <v>39.919504084934694</v>
      </c>
      <c r="M14" s="64">
        <f>'AGG ASIA'!E42</f>
        <v>39.25449486304688</v>
      </c>
      <c r="N14" s="64">
        <f>'AGG ASIA'!F42</f>
        <v>35.298710678983397</v>
      </c>
      <c r="O14" s="64">
        <f>'AGG ASIA'!G42</f>
        <v>31.786584654987077</v>
      </c>
      <c r="P14" s="17">
        <f>'EM INCUMB'!H42</f>
        <v>-4.0288882333939902E-2</v>
      </c>
    </row>
    <row r="15" spans="2:63">
      <c r="B15" s="5" t="s">
        <v>531</v>
      </c>
      <c r="C15" s="257"/>
      <c r="D15" s="228">
        <f>(SINGTEL!D15/Prices!$C$176)+(NTT!D15/Prices!$C$161*1000)+((TLS!D15/Prices!$C$168))+(SPK!D15/Prices!$C$187)</f>
        <v>21475.539003500198</v>
      </c>
      <c r="E15" s="228">
        <f>(SINGTEL!E15/Prices!$C$176)+(NTT!E15/Prices!$C$161*1000)+((TLS!E15/Prices!$C$168))+(SPK!E15/Prices!$C$187)</f>
        <v>21475.539003500198</v>
      </c>
      <c r="F15" s="228">
        <f>(SINGTEL!F15/Prices!$C$176)+(NTT!F15/Prices!$C$161*1000)+((TLS!F15/Prices!$C$168))+(SPK!F15/Prices!$C$187)</f>
        <v>21475.539003500198</v>
      </c>
      <c r="G15" s="228">
        <f>(SINGTEL!G15/Prices!$C$176)+(NTT!G15/Prices!$C$161*1000)+((TLS!G15/Prices!$C$168))+(SPK!G15/Prices!$C$187)</f>
        <v>21475.539003500198</v>
      </c>
      <c r="H15" s="247"/>
      <c r="I15" s="247"/>
      <c r="J15" s="5" t="s">
        <v>475</v>
      </c>
      <c r="L15" s="64">
        <f>'AGG ASIA'!D43</f>
        <v>16.936975572468004</v>
      </c>
      <c r="M15" s="64">
        <f>'AGG ASIA'!E43</f>
        <v>13.085891550577118</v>
      </c>
      <c r="N15" s="64">
        <f>'AGG ASIA'!F43</f>
        <v>11.559318686177606</v>
      </c>
      <c r="O15" s="64">
        <f>'AGG ASIA'!G43</f>
        <v>10.228692653783332</v>
      </c>
      <c r="P15" s="17">
        <f>'EM INCUMB'!H43</f>
        <v>0.21725098476735072</v>
      </c>
      <c r="S15" s="88"/>
      <c r="T15" s="88"/>
      <c r="U15" s="88"/>
      <c r="V15" s="42"/>
      <c r="W15" s="42"/>
      <c r="X15" s="42"/>
      <c r="Y15" s="42"/>
      <c r="Z15" s="42"/>
      <c r="AA15" s="42"/>
    </row>
    <row r="16" spans="2:63">
      <c r="B16" s="5" t="s">
        <v>534</v>
      </c>
      <c r="C16" s="257"/>
      <c r="D16" s="228">
        <f>(SINGTEL!D16/Prices!$C$176)+(NTT!D16/Prices!$C$161*1000)+((TLS!D16/Prices!$C$168))+(SPK!D16/Prices!$C$187)</f>
        <v>7079.8446321106221</v>
      </c>
      <c r="E16" s="228">
        <f>(SINGTEL!E16/Prices!$C$176)+(NTT!E16/Prices!$C$161*1000)+((TLS!E16/Prices!$C$168))+(SPK!E16/Prices!$C$187)</f>
        <v>13899.268749768275</v>
      </c>
      <c r="F16" s="228">
        <f>(SINGTEL!F16/Prices!$C$176)+(NTT!F16/Prices!$C$161*1000)+((TLS!F16/Prices!$C$168))+(SPK!F16/Prices!$C$187)</f>
        <v>21400.371631672802</v>
      </c>
      <c r="G16" s="228">
        <f>(SINGTEL!G16/Prices!$C$176)+(NTT!G16/Prices!$C$161*1000)+((TLS!G16/Prices!$C$168))+(SPK!G16/Prices!$C$187)</f>
        <v>29749.741131962608</v>
      </c>
      <c r="H16" s="247"/>
      <c r="I16" s="247"/>
      <c r="J16" s="5" t="s">
        <v>533</v>
      </c>
      <c r="L16" s="64">
        <f>'AGG ASIA'!D44</f>
        <v>201.24631831007881</v>
      </c>
      <c r="M16" s="64">
        <f>'AGG ASIA'!E44</f>
        <v>181.96708252052719</v>
      </c>
      <c r="N16" s="64">
        <f>'AGG ASIA'!F44</f>
        <v>162.69356942679144</v>
      </c>
      <c r="O16" s="64">
        <f>'AGG ASIA'!G44</f>
        <v>146.19023536525333</v>
      </c>
      <c r="P16" s="17">
        <f>'EM INCUMB'!H44</f>
        <v>0.16110061170195666</v>
      </c>
      <c r="S16" s="88"/>
      <c r="T16" s="88"/>
      <c r="U16" s="88"/>
      <c r="V16" s="42"/>
      <c r="W16" s="42"/>
      <c r="X16" s="42"/>
      <c r="Y16" s="42"/>
      <c r="Z16" s="42"/>
      <c r="AA16" s="42"/>
    </row>
    <row r="17" spans="2:27">
      <c r="B17" s="5" t="s">
        <v>6</v>
      </c>
      <c r="C17" s="257"/>
      <c r="D17" s="228">
        <f>(SINGTEL!D17/Prices!$C$176)+(NTT!D17/Prices!$C$161*1000)+((TLS!D17/Prices!$C$168))+(SPK!D17/Prices!$C$187)</f>
        <v>0</v>
      </c>
      <c r="E17" s="228">
        <f>(SINGTEL!E17/Prices!$C$176)+(NTT!E17/Prices!$C$161*1000)+((TLS!E17/Prices!$C$168))+(SPK!E17/Prices!$C$187)</f>
        <v>0</v>
      </c>
      <c r="F17" s="228">
        <f>(SINGTEL!F17/Prices!$C$176)+(NTT!F17/Prices!$C$161*1000)+((TLS!F17/Prices!$C$168))+(SPK!F17/Prices!$C$187)</f>
        <v>0</v>
      </c>
      <c r="G17" s="228">
        <f>(SINGTEL!G17/Prices!$C$176)+(NTT!G17/Prices!$C$161*1000)+((TLS!G17/Prices!$C$168))+(SPK!G17/Prices!$C$187)</f>
        <v>0</v>
      </c>
      <c r="H17" s="247"/>
      <c r="I17" s="247"/>
      <c r="J17" s="5" t="s">
        <v>580</v>
      </c>
      <c r="L17" s="248">
        <f>'AGG ASIA'!D45</f>
        <v>3.5764012850171304E-3</v>
      </c>
      <c r="M17" s="248">
        <f>'AGG ASIA'!E45</f>
        <v>3.8692045339484673E-3</v>
      </c>
      <c r="N17" s="248">
        <f>'AGG ASIA'!F45</f>
        <v>4.4173516296300988E-3</v>
      </c>
      <c r="O17" s="248">
        <f>'AGG ASIA'!G45</f>
        <v>5.0099901152466219E-3</v>
      </c>
      <c r="P17" s="17">
        <f>'EM INCUMB'!H45</f>
        <v>0.14769227496166182</v>
      </c>
      <c r="S17" s="88"/>
      <c r="T17" s="88"/>
      <c r="U17" s="88"/>
      <c r="V17" s="42"/>
      <c r="W17" s="42"/>
      <c r="X17" s="42"/>
      <c r="Y17" s="42"/>
      <c r="Z17" s="42"/>
      <c r="AA17" s="42"/>
    </row>
    <row r="18" spans="2:27" ht="12.6" thickBot="1">
      <c r="B18" s="41" t="s">
        <v>360</v>
      </c>
      <c r="C18" s="249"/>
      <c r="D18" s="275">
        <f>(SINGTEL!D18/Prices!$C$176)+(NTT!D18/Prices!$C$161*1000)+((TLS!D18/Prices!$C$168))+(SPK!D18/Prices!$C$187)</f>
        <v>223592.25042511037</v>
      </c>
      <c r="E18" s="275">
        <f>(SINGTEL!E18/Prices!$C$176)+(NTT!E18/Prices!$C$161*1000)+((TLS!E18/Prices!$C$168))+(SPK!E18/Prices!$C$187)</f>
        <v>213347.24079068721</v>
      </c>
      <c r="F18" s="275">
        <f>(SINGTEL!F18/Prices!$C$176)+(NTT!F18/Prices!$C$161*1000)+((TLS!F18/Prices!$C$168))+(SPK!F18/Prices!$C$187)</f>
        <v>203082.13652427489</v>
      </c>
      <c r="G18" s="275">
        <f>(SINGTEL!G18/Prices!$C$176)+(NTT!G18/Prices!$C$161*1000)+((TLS!G18/Prices!$C$168))+(SPK!G18/Prices!$C$187)</f>
        <v>192286.04581044812</v>
      </c>
      <c r="H18" s="276">
        <f>IF(D18=0,"nm",IF(G18=0,"nm",(G18/D18)^(1/3)-1))</f>
        <v>-4.9036881566081658E-2</v>
      </c>
      <c r="I18" s="254"/>
      <c r="J18" s="5" t="s">
        <v>36</v>
      </c>
      <c r="L18" s="248" t="e">
        <f>'AGG ASIA'!D46</f>
        <v>#VALUE!</v>
      </c>
      <c r="M18" s="248" t="e">
        <f>'AGG ASIA'!E46</f>
        <v>#VALUE!</v>
      </c>
      <c r="N18" s="248" t="e">
        <f>'AGG ASIA'!F46</f>
        <v>#VALUE!</v>
      </c>
      <c r="O18" s="248" t="e">
        <f>'AGG ASIA'!G46</f>
        <v>#VALUE!</v>
      </c>
      <c r="P18" s="17">
        <f>'EM INCUMB'!H46</f>
        <v>0.19655757517991312</v>
      </c>
      <c r="S18" s="88"/>
      <c r="T18" s="88"/>
      <c r="U18" s="88"/>
      <c r="V18" s="42"/>
      <c r="W18" s="42"/>
      <c r="X18" s="42"/>
      <c r="Y18" s="42"/>
      <c r="Z18" s="42"/>
      <c r="AA18" s="42"/>
    </row>
    <row r="19" spans="2:27" ht="12.6" thickTop="1">
      <c r="B19" s="41"/>
      <c r="C19" s="249"/>
      <c r="D19" s="229"/>
      <c r="E19" s="229"/>
      <c r="F19" s="229"/>
      <c r="G19" s="229"/>
      <c r="H19" s="276"/>
      <c r="I19" s="17"/>
      <c r="J19" s="5" t="s">
        <v>581</v>
      </c>
      <c r="L19" s="248">
        <f>'AGG ASIA'!D47</f>
        <v>5.9042418507443302E-2</v>
      </c>
      <c r="M19" s="248">
        <f>'AGG ASIA'!E47</f>
        <v>7.6418178779412066E-2</v>
      </c>
      <c r="N19" s="248">
        <f>'AGG ASIA'!F47</f>
        <v>8.6510288984053982E-2</v>
      </c>
      <c r="O19" s="248">
        <f>'AGG ASIA'!G47</f>
        <v>9.7764204463619844E-2</v>
      </c>
      <c r="P19" s="17">
        <f>'EM INCUMB'!H47</f>
        <v>0.21725098476735072</v>
      </c>
      <c r="S19" s="88"/>
      <c r="T19" s="88"/>
      <c r="U19" s="88"/>
      <c r="V19" s="42"/>
      <c r="W19" s="42"/>
      <c r="X19" s="42"/>
      <c r="Y19" s="42"/>
      <c r="Z19" s="42"/>
      <c r="AA19" s="42"/>
    </row>
    <row r="20" spans="2:27">
      <c r="H20" s="277"/>
      <c r="I20" s="49"/>
      <c r="J20" s="5" t="s">
        <v>604</v>
      </c>
      <c r="L20" s="248">
        <f>'AGG ASIA'!D48</f>
        <v>0.75435631129854941</v>
      </c>
      <c r="M20" s="248">
        <f>'AGG ASIA'!E48</f>
        <v>0.64463939188790653</v>
      </c>
      <c r="N20" s="248">
        <f>'AGG ASIA'!F48</f>
        <v>0.65525359948474426</v>
      </c>
      <c r="O20" s="248">
        <f>'AGG ASIA'!G48</f>
        <v>0.66309451572244593</v>
      </c>
      <c r="P20" s="17" t="str">
        <f>'EM INCUMB'!H48</f>
        <v>nm</v>
      </c>
      <c r="S20" s="42"/>
      <c r="T20" s="42"/>
      <c r="U20" s="42"/>
      <c r="V20" s="42"/>
      <c r="W20" s="42"/>
      <c r="X20" s="42"/>
      <c r="Y20" s="42"/>
      <c r="Z20" s="42"/>
      <c r="AA20" s="42"/>
    </row>
    <row r="21" spans="2:27" ht="12.6" thickBot="1">
      <c r="B21" s="306" t="s">
        <v>482</v>
      </c>
      <c r="C21" s="265">
        <v>2020</v>
      </c>
      <c r="D21" s="265" t="str">
        <f>D5</f>
        <v>2023E</v>
      </c>
      <c r="E21" s="265" t="str">
        <f>E5</f>
        <v>2024E</v>
      </c>
      <c r="F21" s="265" t="str">
        <f>F5</f>
        <v>2025E</v>
      </c>
      <c r="G21" s="265" t="str">
        <f>G5</f>
        <v>2026E</v>
      </c>
      <c r="H21" s="282" t="str">
        <f>H5</f>
        <v>23E-26E</v>
      </c>
      <c r="I21" s="17"/>
      <c r="S21" s="42"/>
      <c r="T21" s="42"/>
      <c r="U21" s="42"/>
      <c r="V21" s="42"/>
      <c r="W21" s="42"/>
      <c r="X21" s="42"/>
      <c r="Y21" s="42"/>
      <c r="Z21" s="42"/>
      <c r="AA21" s="42"/>
    </row>
    <row r="22" spans="2:27" ht="12.6" thickTop="1">
      <c r="B22" s="5"/>
      <c r="C22" s="257"/>
      <c r="D22" s="17"/>
      <c r="E22" s="17"/>
      <c r="F22" s="17"/>
      <c r="G22" s="17"/>
      <c r="H22" s="17"/>
      <c r="I22" s="247"/>
      <c r="P22" s="277"/>
      <c r="S22" s="42"/>
      <c r="T22" s="42"/>
      <c r="U22" s="42"/>
      <c r="V22" s="42"/>
      <c r="W22" s="42"/>
      <c r="X22" s="42"/>
      <c r="Y22" s="42"/>
      <c r="Z22" s="42"/>
      <c r="AA22" s="42"/>
    </row>
    <row r="23" spans="2:27" ht="12.6" thickBot="1">
      <c r="B23" s="5" t="s">
        <v>584</v>
      </c>
      <c r="C23" s="365">
        <f>(SINGTEL!C23/Prices!$C$176)+(NTT!C23/Prices!$C$161*1000)+((TLS!C23/Prices!$C$168))+(SPK!C23/Prices!$C$187)</f>
        <v>118726.05299206388</v>
      </c>
      <c r="D23" s="228">
        <f>(SINGTEL!D23/Prices!$C$176)+(NTT!D23/Prices!$C$161*1000)+((TLS!D23/Prices!$C$168))+(SPK!D23/Prices!$C$187)</f>
        <v>119964.02943082862</v>
      </c>
      <c r="E23" s="228">
        <f>(SINGTEL!E23/Prices!$C$176)+(NTT!E23/Prices!$C$161*1000)+((TLS!E23/Prices!$C$168))+(SPK!E23/Prices!$C$187)</f>
        <v>122196.02748821069</v>
      </c>
      <c r="F23" s="228">
        <f>(SINGTEL!F23/Prices!$C$176)+(NTT!F23/Prices!$C$161*1000)+((TLS!F23/Prices!$C$168))+(SPK!F23/Prices!$C$187)</f>
        <v>125455.20289831108</v>
      </c>
      <c r="G23" s="228">
        <f>(SINGTEL!G23/Prices!$C$176)+(NTT!G23/Prices!$C$161*1000)+((TLS!G23/Prices!$C$168))+(SPK!G23/Prices!$C$187)</f>
        <v>129508.65564353726</v>
      </c>
      <c r="H23" s="279">
        <f t="shared" ref="H23:H33" si="0">IF(D23=0,"nm",IF(G23=0,"nm",(G23/D23)^(1/3)-1))</f>
        <v>2.5846978212288318E-2</v>
      </c>
      <c r="I23" s="249"/>
      <c r="J23" s="306" t="s">
        <v>9</v>
      </c>
      <c r="K23" s="306"/>
      <c r="L23" s="265" t="str">
        <f>L5</f>
        <v>2023E</v>
      </c>
      <c r="M23" s="265" t="str">
        <f>M5</f>
        <v>2024E</v>
      </c>
      <c r="N23" s="265" t="str">
        <f>N5</f>
        <v>2025E</v>
      </c>
      <c r="O23" s="265" t="str">
        <f>O5</f>
        <v>2026E</v>
      </c>
      <c r="P23" s="282" t="str">
        <f>P5</f>
        <v>23E-26E</v>
      </c>
      <c r="S23" s="42"/>
      <c r="T23" s="42"/>
      <c r="U23" s="42"/>
      <c r="V23" s="42"/>
      <c r="W23" s="42" t="s">
        <v>614</v>
      </c>
      <c r="X23" s="42" t="s">
        <v>615</v>
      </c>
      <c r="Y23" s="42"/>
      <c r="Z23" s="42"/>
      <c r="AA23" s="42"/>
    </row>
    <row r="24" spans="2:27" ht="12.6" thickTop="1">
      <c r="B24" s="5" t="s">
        <v>483</v>
      </c>
      <c r="C24" s="365">
        <f>(SINGTEL!C24/Prices!$C$176)+(NTT!C24/Prices!$C$161*1000)+((TLS!C24/Prices!$C$168))+(SPK!C24/Prices!$C$187)</f>
        <v>30723.026718838006</v>
      </c>
      <c r="D24" s="228">
        <f>(SINGTEL!D24/Prices!$C$176)+(NTT!D24/Prices!$C$161*1000)+((TLS!D24/Prices!$C$168))+(SPK!D24/Prices!$C$187)</f>
        <v>32446.419377303842</v>
      </c>
      <c r="E24" s="228">
        <f>(SINGTEL!E24/Prices!$C$176)+(NTT!E24/Prices!$C$161*1000)+((TLS!E24/Prices!$C$168))+(SPK!E24/Prices!$C$187)</f>
        <v>35603.198495109449</v>
      </c>
      <c r="F24" s="228">
        <f>(SINGTEL!F24/Prices!$C$176)+(NTT!F24/Prices!$C$161*1000)+((TLS!F24/Prices!$C$168))+(SPK!F24/Prices!$C$187)</f>
        <v>36766.548415962126</v>
      </c>
      <c r="G24" s="228">
        <f>(SINGTEL!G24/Prices!$C$176)+(NTT!G24/Prices!$C$161*1000)+((TLS!G24/Prices!$C$168))+(SPK!G24/Prices!$C$187)</f>
        <v>38221.524395474669</v>
      </c>
      <c r="H24" s="279">
        <f t="shared" si="0"/>
        <v>5.6121155713759308E-2</v>
      </c>
      <c r="I24" s="248"/>
      <c r="J24" s="17"/>
      <c r="K24" s="17"/>
      <c r="L24" s="17"/>
      <c r="M24" s="17"/>
      <c r="N24" s="17"/>
      <c r="O24" s="248"/>
      <c r="S24" s="42"/>
      <c r="T24" s="42"/>
      <c r="U24" s="42"/>
      <c r="V24" s="147" t="s">
        <v>273</v>
      </c>
      <c r="W24" s="288">
        <f t="shared" ref="W24:W31" si="1">E37/M9</f>
        <v>6.0622710698574202E-2</v>
      </c>
      <c r="X24" s="288">
        <v>1</v>
      </c>
      <c r="Y24" s="42"/>
      <c r="Z24" s="42"/>
      <c r="AA24" s="42"/>
    </row>
    <row r="25" spans="2:27">
      <c r="B25" s="5" t="s">
        <v>183</v>
      </c>
      <c r="C25" s="365">
        <f>(SINGTEL!C25/Prices!$C$176)+(NTT!C25/Prices!$C$161*1000)+((TLS!C25/Prices!$C$168))+(SPK!C25/Prices!$C$187)</f>
        <v>13695.575276235742</v>
      </c>
      <c r="D25" s="228">
        <f>(SINGTEL!D25/Prices!$C$176)+(NTT!D25/Prices!$C$161*1000)+((TLS!D25/Prices!$C$168))+(SPK!D25/Prices!$C$187)</f>
        <v>15607.617363936672</v>
      </c>
      <c r="E25" s="228">
        <f>(SINGTEL!E25/Prices!$C$176)+(NTT!E25/Prices!$C$161*1000)+((TLS!E25/Prices!$C$168))+(SPK!E25/Prices!$C$187)</f>
        <v>20358.450637696522</v>
      </c>
      <c r="F25" s="228">
        <f>(SINGTEL!F25/Prices!$C$176)+(NTT!F25/Prices!$C$161*1000)+((TLS!F25/Prices!$C$168))+(SPK!F25/Prices!$C$187)</f>
        <v>21575.409173862274</v>
      </c>
      <c r="G25" s="228">
        <f>(SINGTEL!G25/Prices!$C$176)+(NTT!G25/Prices!$C$161*1000)+((TLS!G25/Prices!$C$168))+(SPK!G25/Prices!$C$187)</f>
        <v>22820.095522196316</v>
      </c>
      <c r="H25" s="279">
        <f t="shared" si="0"/>
        <v>0.13499413202117938</v>
      </c>
      <c r="I25" s="249"/>
      <c r="J25" s="247" t="s">
        <v>10</v>
      </c>
      <c r="K25" s="247"/>
      <c r="L25" s="332">
        <f>(SINGTEL!L25/Prices!$C$176)+(NTT!L25/Prices!$C$161*1000)+((TLS!L25/Prices!$C$168))+(SPK!L25/Prices!$C$187)</f>
        <v>44181.58145137316</v>
      </c>
      <c r="M25" s="332">
        <f>(SINGTEL!M25/Prices!$C$176)+(NTT!M25/Prices!$C$161*1000)+((TLS!M25/Prices!$C$168))+(SPK!M25/Prices!$C$187)</f>
        <v>40989.08877824981</v>
      </c>
      <c r="N25" s="332">
        <f>(SINGTEL!N25/Prices!$C$176)+(NTT!N25/Prices!$C$161*1000)+((TLS!N25/Prices!$C$168))+(SPK!N25/Prices!$C$187)</f>
        <v>37618.66963372293</v>
      </c>
      <c r="O25" s="332">
        <f>(SINGTEL!O25/Prices!$C$176)+(NTT!O25/Prices!$C$161*1000)+((TLS!O25/Prices!$C$168))+(SPK!O25/Prices!$C$187)</f>
        <v>33981.6713023747</v>
      </c>
      <c r="P25" s="279">
        <f>IF(L25=0,"nm",IF(O25=0,"nm",(O25/L25)^(1/3)-1))</f>
        <v>-8.3777064320756489E-2</v>
      </c>
      <c r="Q25" s="5"/>
      <c r="S25" s="42"/>
      <c r="T25" s="42"/>
      <c r="U25" s="42"/>
      <c r="V25" s="147" t="s">
        <v>184</v>
      </c>
      <c r="W25" s="288">
        <f t="shared" si="1"/>
        <v>6.396021613455187E-2</v>
      </c>
      <c r="X25" s="288">
        <v>1</v>
      </c>
      <c r="Y25" s="42"/>
      <c r="Z25" s="42"/>
      <c r="AA25" s="42"/>
    </row>
    <row r="26" spans="2:27">
      <c r="B26" s="5" t="s">
        <v>586</v>
      </c>
      <c r="C26" s="365">
        <f>(SINGTEL!C26/Prices!$C$176)+(NTT!C26/Prices!$C$161*1000)+((TLS!C26/Prices!$C$168))+(SPK!C26/Prices!$C$187)</f>
        <v>9628.9393744567624</v>
      </c>
      <c r="D26" s="228">
        <f>(SINGTEL!D26/Prices!$C$176)+(NTT!D26/Prices!$C$161*1000)+((TLS!D26/Prices!$C$168))+(SPK!D26/Prices!$C$187)</f>
        <v>10971.176964450742</v>
      </c>
      <c r="E26" s="228">
        <f>(SINGTEL!E26/Prices!$C$176)+(NTT!E26/Prices!$C$161*1000)+((TLS!E26/Prices!$C$168))+(SPK!E26/Prices!$C$187)</f>
        <v>14284.597257017387</v>
      </c>
      <c r="F26" s="228">
        <f>(SINGTEL!F26/Prices!$C$176)+(NTT!F26/Prices!$C$161*1000)+((TLS!F26/Prices!$C$168))+(SPK!F26/Prices!$C$187)</f>
        <v>15153.715866379363</v>
      </c>
      <c r="G26" s="228">
        <f>(SINGTEL!G26/Prices!$C$176)+(NTT!G26/Prices!$C$161*1000)+((TLS!G26/Prices!$C$168))+(SPK!G26/Prices!$C$187)</f>
        <v>16016.531246257044</v>
      </c>
      <c r="H26" s="279">
        <f t="shared" si="0"/>
        <v>0.1344144460895893</v>
      </c>
      <c r="I26" s="249"/>
      <c r="J26" s="249" t="s">
        <v>11</v>
      </c>
      <c r="K26" s="249"/>
      <c r="L26" s="281">
        <f>(SINGTEL!L26/Prices!$C$176)+(NTT!L26/Prices!$C$161*1000)+((TLS!L26/Prices!$C$168))+(SPK!L26/Prices!$C$187)</f>
        <v>195408.67737895221</v>
      </c>
      <c r="M26" s="281">
        <f>(SINGTEL!M26/Prices!$C$176)+(NTT!M26/Prices!$C$161*1000)+((TLS!M26/Prices!$C$168))+(SPK!M26/Prices!$C$187)</f>
        <v>190745.20353024581</v>
      </c>
      <c r="N26" s="281">
        <f>(SINGTEL!N26/Prices!$C$176)+(NTT!N26/Prices!$C$161*1000)+((TLS!N26/Prices!$C$168))+(SPK!N26/Prices!$C$187)</f>
        <v>185904.65936052409</v>
      </c>
      <c r="O26" s="281">
        <f>(SINGTEL!O26/Prices!$C$176)+(NTT!O26/Prices!$C$161*1000)+((TLS!O26/Prices!$C$168))+(SPK!O26/Prices!$C$187)</f>
        <v>180798.39215436921</v>
      </c>
      <c r="P26" s="279">
        <f>IF(L26=0,"nm",IF(O26=0,"nm",(O26/L26)^(1/3)-1))</f>
        <v>-2.5570912381644439E-2</v>
      </c>
      <c r="Q26" s="41"/>
      <c r="S26" s="42"/>
      <c r="T26" s="42"/>
      <c r="U26" s="42"/>
      <c r="V26" s="147" t="s">
        <v>185</v>
      </c>
      <c r="W26" s="288">
        <f t="shared" si="1"/>
        <v>5.7912480949301334E-2</v>
      </c>
      <c r="X26" s="288">
        <v>1</v>
      </c>
      <c r="Y26" s="42"/>
      <c r="Z26" s="42"/>
      <c r="AA26" s="42"/>
    </row>
    <row r="27" spans="2:27">
      <c r="B27" s="5" t="s">
        <v>587</v>
      </c>
      <c r="C27" s="365">
        <f>(SINGTEL!C27/Prices!$C$176)+(NTT!C27/Prices!$C$161*1000)+((TLS!C27/Prices!$C$168))+(SPK!C27/Prices!$C$187)</f>
        <v>165697.82137615897</v>
      </c>
      <c r="D27" s="228">
        <f>(SINGTEL!D27/Prices!$C$176)+(NTT!D27/Prices!$C$161*1000)+((TLS!D27/Prices!$C$168))+(SPK!D27/Prices!$C$187)</f>
        <v>159575.9109523985</v>
      </c>
      <c r="E27" s="228">
        <f>(SINGTEL!E27/Prices!$C$176)+(NTT!E27/Prices!$C$161*1000)+((TLS!E27/Prices!$C$168))+(SPK!E27/Prices!$C$187)</f>
        <v>168274.64987074112</v>
      </c>
      <c r="F27" s="228">
        <f>(SINGTEL!F27/Prices!$C$176)+(NTT!F27/Prices!$C$161*1000)+((TLS!F27/Prices!$C$168))+(SPK!F27/Prices!$C$187)</f>
        <v>178128.79967755862</v>
      </c>
      <c r="G27" s="228">
        <f>(SINGTEL!G27/Prices!$C$176)+(NTT!G27/Prices!$C$161*1000)+((TLS!G27/Prices!$C$168))+(SPK!G27/Prices!$C$187)</f>
        <v>188720.61203440724</v>
      </c>
      <c r="H27" s="279">
        <f t="shared" si="0"/>
        <v>5.7508827560146303E-2</v>
      </c>
      <c r="I27" s="248"/>
      <c r="J27" s="248"/>
      <c r="K27" s="248"/>
      <c r="L27" s="248"/>
      <c r="M27" s="248"/>
      <c r="N27" s="248"/>
      <c r="O27" s="248"/>
      <c r="Q27" s="5"/>
      <c r="S27" s="42"/>
      <c r="T27" s="42"/>
      <c r="U27" s="42"/>
      <c r="V27" s="147" t="s">
        <v>466</v>
      </c>
      <c r="W27" s="288">
        <f t="shared" si="1"/>
        <v>6.213861445988169E-2</v>
      </c>
      <c r="X27" s="288">
        <v>1</v>
      </c>
      <c r="Y27" s="42"/>
      <c r="Z27" s="42"/>
      <c r="AA27" s="42"/>
    </row>
    <row r="28" spans="2:27" ht="12.6" thickBot="1">
      <c r="B28" s="5" t="s">
        <v>592</v>
      </c>
      <c r="C28" s="365">
        <f>(SINGTEL!C28/Prices!$C$176)+(NTT!C28/Prices!$C$161*1000)+((TLS!C28/Prices!$C$168))+(SPK!C28/Prices!$C$187)</f>
        <v>91702.704738568573</v>
      </c>
      <c r="D28" s="228">
        <f>(SINGTEL!D28/Prices!$C$176)+(NTT!D28/Prices!$C$161*1000)+((TLS!D28/Prices!$C$168))+(SPK!D28/Prices!$C$187)</f>
        <v>95286.777047535754</v>
      </c>
      <c r="E28" s="228">
        <f>(SINGTEL!E28/Prices!$C$176)+(NTT!E28/Prices!$C$161*1000)+((TLS!E28/Prices!$C$168))+(SPK!E28/Prices!$C$187)</f>
        <v>95766.182489799336</v>
      </c>
      <c r="F28" s="228">
        <f>(SINGTEL!F28/Prices!$C$176)+(NTT!F28/Prices!$C$161*1000)+((TLS!F28/Prices!$C$168))+(SPK!F28/Prices!$C$187)</f>
        <v>95985.248852580495</v>
      </c>
      <c r="G28" s="228">
        <f>(SINGTEL!G28/Prices!$C$176)+(NTT!G28/Prices!$C$161*1000)+((TLS!G28/Prices!$C$168))+(SPK!G28/Prices!$C$187)</f>
        <v>96298.763628824687</v>
      </c>
      <c r="H28" s="279">
        <f t="shared" si="0"/>
        <v>3.5276842685374454E-3</v>
      </c>
      <c r="I28" s="252"/>
      <c r="J28" s="306" t="s">
        <v>754</v>
      </c>
      <c r="K28" s="306"/>
      <c r="L28" s="306"/>
      <c r="M28" s="306"/>
      <c r="N28" s="266"/>
      <c r="O28" s="266"/>
      <c r="P28" s="266"/>
      <c r="Q28" s="5"/>
      <c r="S28" s="42"/>
      <c r="T28" s="42"/>
      <c r="U28" s="42"/>
      <c r="V28" s="147" t="s">
        <v>530</v>
      </c>
      <c r="W28" s="288">
        <f t="shared" si="1"/>
        <v>5.4292111845753575E-2</v>
      </c>
      <c r="X28" s="288">
        <v>1</v>
      </c>
      <c r="Y28" s="42"/>
      <c r="Z28" s="42"/>
      <c r="AA28" s="42"/>
    </row>
    <row r="29" spans="2:27" ht="12.6" thickTop="1">
      <c r="B29" s="5" t="s">
        <v>588</v>
      </c>
      <c r="C29" s="365">
        <f>(SINGTEL!C29/Prices!$C$176)+(NTT!C29/Prices!$C$161*1000)+((TLS!C29/Prices!$C$168))+(SPK!C29/Prices!$C$187)</f>
        <v>9789.4990758536205</v>
      </c>
      <c r="D29" s="228">
        <f>(SINGTEL!D29/Prices!$C$176)+(NTT!D29/Prices!$C$161*1000)+((TLS!D29/Prices!$C$168))+(SPK!D29/Prices!$C$187)</f>
        <v>10773.908587747106</v>
      </c>
      <c r="E29" s="228">
        <f>(SINGTEL!E29/Prices!$C$176)+(NTT!E29/Prices!$C$161*1000)+((TLS!E29/Prices!$C$168))+(SPK!E29/Prices!$C$187)</f>
        <v>15813.938859552109</v>
      </c>
      <c r="F29" s="228">
        <f>(SINGTEL!F29/Prices!$C$176)+(NTT!F29/Prices!$C$161*1000)+((TLS!F29/Prices!$C$168))+(SPK!F29/Prices!$C$187)</f>
        <v>16454.184988361358</v>
      </c>
      <c r="G29" s="228">
        <f>(SINGTEL!G29/Prices!$C$176)+(NTT!G29/Prices!$C$161*1000)+((TLS!G29/Prices!$C$168))+(SPK!G29/Prices!$C$187)</f>
        <v>17418.365514084147</v>
      </c>
      <c r="H29" s="279">
        <f t="shared" si="0"/>
        <v>0.17366648853729272</v>
      </c>
      <c r="I29" s="254"/>
      <c r="J29" s="249"/>
      <c r="K29" s="249"/>
      <c r="L29" s="249"/>
      <c r="M29" s="249"/>
      <c r="N29" s="249"/>
      <c r="O29" s="251"/>
      <c r="Q29" s="5"/>
      <c r="S29" s="42"/>
      <c r="T29" s="42"/>
      <c r="U29" s="42"/>
      <c r="V29" s="147" t="s">
        <v>593</v>
      </c>
      <c r="W29" s="288">
        <f t="shared" si="1"/>
        <v>5.6752560697528306E-2</v>
      </c>
      <c r="X29" s="288">
        <v>1</v>
      </c>
      <c r="Y29" s="42"/>
      <c r="Z29" s="42"/>
      <c r="AA29" s="42"/>
    </row>
    <row r="30" spans="2:27">
      <c r="B30" s="5" t="s">
        <v>589</v>
      </c>
      <c r="C30" s="365">
        <f>(SINGTEL!C30/Prices!$C$176)+(NTT!C30/Prices!$C$161*1000)+((TLS!C30/Prices!$C$168))+(SPK!C30/Prices!$C$187)</f>
        <v>11800.449248326802</v>
      </c>
      <c r="D30" s="228">
        <f>(SINGTEL!D30/Prices!$C$176)+(NTT!D30/Prices!$C$161*1000)+((TLS!D30/Prices!$C$168))+(SPK!D30/Prices!$C$187)</f>
        <v>13225.303506711751</v>
      </c>
      <c r="E30" s="228">
        <f>(SINGTEL!E30/Prices!$C$176)+(NTT!E30/Prices!$C$161*1000)+((TLS!E30/Prices!$C$168))+(SPK!E30/Prices!$C$187)</f>
        <v>13666.531410402615</v>
      </c>
      <c r="F30" s="228">
        <f>(SINGTEL!F30/Prices!$C$176)+(NTT!F30/Prices!$C$161*1000)+((TLS!F30/Prices!$C$168))+(SPK!F30/Prices!$C$187)</f>
        <v>14451.086847943805</v>
      </c>
      <c r="G30" s="228">
        <f>(SINGTEL!G30/Prices!$C$176)+(NTT!G30/Prices!$C$161*1000)+((TLS!G30/Prices!$C$168))+(SPK!G30/Prices!$C$187)</f>
        <v>15341.203897310364</v>
      </c>
      <c r="H30" s="279">
        <f t="shared" si="0"/>
        <v>5.0714191793177044E-2</v>
      </c>
      <c r="I30" s="254"/>
      <c r="J30" s="248"/>
      <c r="K30" s="248"/>
      <c r="L30" s="248"/>
      <c r="M30" s="248"/>
      <c r="N30" s="248"/>
      <c r="O30" s="5"/>
      <c r="Q30" s="5"/>
      <c r="S30" s="42"/>
      <c r="T30" s="42"/>
      <c r="U30" s="42"/>
      <c r="V30" s="147" t="s">
        <v>475</v>
      </c>
      <c r="W30" s="288">
        <f t="shared" si="1"/>
        <v>0.92174386116872253</v>
      </c>
      <c r="X30" s="288">
        <v>1</v>
      </c>
      <c r="Y30" s="42"/>
      <c r="Z30" s="42"/>
      <c r="AA30" s="42"/>
    </row>
    <row r="31" spans="2:27">
      <c r="B31" s="5" t="s">
        <v>590</v>
      </c>
      <c r="C31" s="365">
        <f>(SINGTEL!C31/Prices!$C$176)+(NTT!C31/Prices!$C$161*1000)+((TLS!C31/Prices!$C$168))+(SPK!C31/Prices!$C$187)</f>
        <v>6446.0250366933642</v>
      </c>
      <c r="D31" s="228">
        <f>(SINGTEL!D31/Prices!$C$176)+(NTT!D31/Prices!$C$161*1000)+((TLS!D31/Prices!$C$168))+(SPK!D31/Prices!$C$187)</f>
        <v>6176.0018427733994</v>
      </c>
      <c r="E31" s="228">
        <f>(SINGTEL!E31/Prices!$C$176)+(NTT!E31/Prices!$C$161*1000)+((TLS!E31/Prices!$C$168))+(SPK!E31/Prices!$C$187)</f>
        <v>7141.8171856635881</v>
      </c>
      <c r="F31" s="228">
        <f>(SINGTEL!F31/Prices!$C$176)+(NTT!F31/Prices!$C$161*1000)+((TLS!F31/Prices!$C$168))+(SPK!F31/Prices!$C$187)</f>
        <v>7897.5287644845457</v>
      </c>
      <c r="G31" s="228">
        <f>(SINGTEL!G31/Prices!$C$176)+(NTT!G31/Prices!$C$161*1000)+((TLS!G31/Prices!$C$168))+(SPK!G31/Prices!$C$187)</f>
        <v>8601.4164660188035</v>
      </c>
      <c r="H31" s="279">
        <f t="shared" si="0"/>
        <v>0.11674543629833689</v>
      </c>
      <c r="I31" s="254"/>
      <c r="J31" s="252"/>
      <c r="K31" s="252"/>
      <c r="L31" s="252"/>
      <c r="M31" s="252"/>
      <c r="N31" s="252"/>
      <c r="O31" s="5"/>
      <c r="Q31" s="5"/>
      <c r="S31" s="42"/>
      <c r="T31" s="42"/>
      <c r="U31" s="42"/>
      <c r="V31" s="147" t="s">
        <v>533</v>
      </c>
      <c r="W31" s="288">
        <f t="shared" si="1"/>
        <v>6.0218984610511603E-2</v>
      </c>
      <c r="X31" s="288">
        <v>1</v>
      </c>
      <c r="Y31" s="42"/>
      <c r="Z31" s="42"/>
      <c r="AA31" s="42"/>
    </row>
    <row r="32" spans="2:27">
      <c r="B32" s="5" t="s">
        <v>606</v>
      </c>
      <c r="C32" s="365">
        <f>(SINGTEL!C32/Prices!$C$176)+(NTT!C32/Prices!$C$161*1000)+((TLS!C32/Prices!$C$168))+(SPK!C32/Prices!$C$187)</f>
        <v>1506.8615990419087</v>
      </c>
      <c r="D32" s="228">
        <f>(SINGTEL!D32/Prices!$C$176)+(NTT!D32/Prices!$C$161*1000)+((TLS!D32/Prices!$C$168))+(SPK!D32/Prices!$C$187)</f>
        <v>9.8079280751941145</v>
      </c>
      <c r="E32" s="228">
        <f>(SINGTEL!E32/Prices!$C$176)+(NTT!E32/Prices!$C$161*1000)+((TLS!E32/Prices!$C$168))+(SPK!E32/Prices!$C$187)</f>
        <v>9.8079280751941145</v>
      </c>
      <c r="F32" s="228">
        <f>(SINGTEL!F32/Prices!$C$176)+(NTT!F32/Prices!$C$161*1000)+((TLS!F32/Prices!$C$168))+(SPK!F32/Prices!$C$187)</f>
        <v>9.8079280751941145</v>
      </c>
      <c r="G32" s="228">
        <f>(SINGTEL!G32/Prices!$C$176)+(NTT!G32/Prices!$C$161*1000)+((TLS!G32/Prices!$C$168))+(SPK!G32/Prices!$C$187)</f>
        <v>9.8079280751941145</v>
      </c>
      <c r="H32" s="279">
        <f t="shared" si="0"/>
        <v>0</v>
      </c>
      <c r="I32" s="5"/>
      <c r="J32" s="254"/>
      <c r="K32" s="254"/>
      <c r="L32" s="254"/>
      <c r="M32" s="254"/>
      <c r="N32" s="254"/>
      <c r="O32" s="251"/>
      <c r="Q32" s="5"/>
      <c r="S32" s="42"/>
      <c r="T32" s="42"/>
      <c r="U32" s="42"/>
      <c r="V32" s="147" t="s">
        <v>580</v>
      </c>
      <c r="W32" s="288">
        <f>M17/E45</f>
        <v>8.1132997824151232E-2</v>
      </c>
      <c r="X32" s="288">
        <v>1</v>
      </c>
      <c r="Y32" s="42"/>
      <c r="Z32" s="42"/>
      <c r="AA32" s="42"/>
    </row>
    <row r="33" spans="2:42">
      <c r="B33" s="5" t="s">
        <v>5</v>
      </c>
      <c r="C33" s="365">
        <f>(SINGTEL!C33/Prices!$C$176)+(NTT!C33/Prices!$C$161*1000)+((TLS!C33/Prices!$C$168))+(SPK!C33/Prices!$C$187)</f>
        <v>34.236767996332929</v>
      </c>
      <c r="D33" s="228">
        <f>(SINGTEL!D33/Prices!$C$176)+(NTT!D33/Prices!$C$161*1000)+((TLS!D33/Prices!$C$168))+(SPK!D33/Prices!$C$187)</f>
        <v>210.8683837877864</v>
      </c>
      <c r="E33" s="228">
        <f>(SINGTEL!E33/Prices!$C$176)+(NTT!E33/Prices!$C$161*1000)+((TLS!E33/Prices!$C$168))+(SPK!E33/Prices!$C$187)</f>
        <v>251.71869964946464</v>
      </c>
      <c r="F33" s="228">
        <f>(SINGTEL!F33/Prices!$C$176)+(NTT!F33/Prices!$C$161*1000)+((TLS!F33/Prices!$C$168))+(SPK!F33/Prices!$C$187)</f>
        <v>268.81703597700078</v>
      </c>
      <c r="G33" s="228">
        <f>(SINGTEL!G33/Prices!$C$176)+(NTT!G33/Prices!$C$161*1000)+((TLS!G33/Prices!$C$168))+(SPK!G33/Prices!$C$187)</f>
        <v>287.86668017192039</v>
      </c>
      <c r="H33" s="279">
        <f t="shared" si="0"/>
        <v>0.10932800436177192</v>
      </c>
      <c r="I33" s="49"/>
      <c r="J33" s="254"/>
      <c r="K33" s="254"/>
      <c r="L33" s="254"/>
      <c r="M33" s="254"/>
      <c r="N33" s="254"/>
      <c r="O33" s="251"/>
      <c r="Q33" s="5"/>
      <c r="S33" s="42"/>
      <c r="T33" s="42"/>
      <c r="U33" s="42"/>
      <c r="V33" s="147" t="s">
        <v>581</v>
      </c>
      <c r="W33" s="288">
        <f>M19/E47</f>
        <v>0.92174386116872264</v>
      </c>
      <c r="X33" s="288">
        <v>1</v>
      </c>
      <c r="Y33" s="288"/>
      <c r="Z33" s="288"/>
      <c r="AA33" s="42"/>
      <c r="AC33" s="10"/>
      <c r="AD33" s="10"/>
      <c r="AE33" s="10"/>
      <c r="AF33" s="10"/>
      <c r="AH33" s="10"/>
      <c r="AI33" s="10"/>
      <c r="AJ33" s="10"/>
      <c r="AK33" s="10"/>
      <c r="AM33" s="10"/>
      <c r="AN33" s="10"/>
      <c r="AO33" s="10"/>
      <c r="AP33" s="10"/>
    </row>
    <row r="34" spans="2:42">
      <c r="H34" s="277"/>
      <c r="I34" s="254"/>
      <c r="J34" s="254"/>
      <c r="K34" s="254"/>
      <c r="L34" s="254"/>
      <c r="M34" s="254"/>
      <c r="N34" s="254"/>
      <c r="O34" s="251"/>
      <c r="Q34" s="5"/>
      <c r="S34" s="42"/>
      <c r="T34" s="42"/>
      <c r="U34" s="42"/>
      <c r="V34" s="42"/>
      <c r="W34" s="42"/>
      <c r="X34" s="42"/>
      <c r="Y34" s="288"/>
      <c r="Z34" s="288"/>
      <c r="AA34" s="42"/>
      <c r="AC34" s="10"/>
      <c r="AD34" s="10"/>
      <c r="AE34" s="10"/>
      <c r="AF34" s="10"/>
      <c r="AH34" s="10"/>
      <c r="AI34" s="10"/>
      <c r="AJ34" s="10"/>
      <c r="AK34" s="10"/>
      <c r="AM34" s="10"/>
      <c r="AN34" s="10"/>
      <c r="AO34" s="10"/>
      <c r="AP34" s="10"/>
    </row>
    <row r="35" spans="2:42" ht="12.6" thickBot="1">
      <c r="B35" s="306" t="s">
        <v>285</v>
      </c>
      <c r="C35" s="265"/>
      <c r="D35" s="265" t="str">
        <f>D5</f>
        <v>2023E</v>
      </c>
      <c r="E35" s="265" t="str">
        <f>E5</f>
        <v>2024E</v>
      </c>
      <c r="F35" s="265" t="str">
        <f>F5</f>
        <v>2025E</v>
      </c>
      <c r="G35" s="265" t="str">
        <f>G5</f>
        <v>2026E</v>
      </c>
      <c r="H35" s="265" t="str">
        <f>H5</f>
        <v>23E-26E</v>
      </c>
      <c r="I35" s="17"/>
      <c r="J35" s="5"/>
      <c r="K35" s="5"/>
      <c r="L35" s="5"/>
      <c r="M35" s="5"/>
      <c r="N35" s="5"/>
      <c r="O35" s="5"/>
      <c r="Q35" s="5"/>
      <c r="S35" s="42"/>
      <c r="T35" s="42"/>
      <c r="U35" s="42"/>
      <c r="V35" s="42"/>
      <c r="W35" s="42"/>
      <c r="X35" s="42"/>
      <c r="Y35" s="288"/>
      <c r="Z35" s="288"/>
      <c r="AA35" s="42"/>
      <c r="AC35" s="10"/>
      <c r="AD35" s="10"/>
      <c r="AE35" s="10"/>
      <c r="AF35" s="10"/>
      <c r="AH35" s="10"/>
      <c r="AI35" s="10"/>
      <c r="AJ35" s="10"/>
      <c r="AK35" s="10"/>
      <c r="AM35" s="10"/>
      <c r="AN35" s="10"/>
      <c r="AO35" s="10"/>
      <c r="AP35" s="10"/>
    </row>
    <row r="36" spans="2:42" ht="12.6" thickTop="1">
      <c r="B36" s="41"/>
      <c r="C36" s="249"/>
      <c r="D36" s="254"/>
      <c r="E36" s="254"/>
      <c r="F36" s="254"/>
      <c r="G36" s="254"/>
      <c r="H36" s="254"/>
      <c r="I36" s="5"/>
      <c r="J36" s="49"/>
      <c r="K36" s="49"/>
      <c r="L36" s="49"/>
      <c r="M36" s="49"/>
      <c r="N36" s="49"/>
      <c r="O36" s="49"/>
      <c r="Q36" s="5"/>
      <c r="R36" s="5"/>
      <c r="S36" s="42"/>
      <c r="T36" s="42"/>
      <c r="U36" s="42"/>
      <c r="V36" s="42"/>
      <c r="W36" s="42"/>
      <c r="X36" s="42"/>
      <c r="Y36" s="42"/>
      <c r="Z36" s="42"/>
      <c r="AA36" s="42"/>
      <c r="AC36" s="10"/>
      <c r="AD36" s="10"/>
      <c r="AE36" s="10"/>
      <c r="AF36" s="10"/>
      <c r="AH36" s="10"/>
      <c r="AI36" s="10"/>
      <c r="AJ36" s="10"/>
      <c r="AK36" s="10"/>
      <c r="AM36" s="10"/>
      <c r="AN36" s="10"/>
      <c r="AO36" s="10"/>
      <c r="AP36" s="10"/>
    </row>
    <row r="37" spans="2:42">
      <c r="B37" s="5" t="s">
        <v>273</v>
      </c>
      <c r="C37" s="247"/>
      <c r="D37" s="557">
        <f t="shared" ref="D37:G41" si="2">D$18/D23</f>
        <v>1.8638274446594334</v>
      </c>
      <c r="E37" s="557">
        <f t="shared" si="2"/>
        <v>1.7459425251059872</v>
      </c>
      <c r="F37" s="557">
        <f t="shared" si="2"/>
        <v>1.6187621703412736</v>
      </c>
      <c r="G37" s="557">
        <f t="shared" si="2"/>
        <v>1.4847350924535951</v>
      </c>
      <c r="H37" s="17">
        <f t="shared" ref="H37:H45" si="3">H23</f>
        <v>2.5846978212288318E-2</v>
      </c>
      <c r="I37" s="259"/>
      <c r="J37" s="259"/>
      <c r="K37" s="259"/>
      <c r="L37" s="259"/>
      <c r="M37" s="259"/>
      <c r="N37" s="259"/>
      <c r="O37" s="18"/>
      <c r="Q37" s="5"/>
      <c r="R37" s="5"/>
      <c r="S37" s="42"/>
      <c r="T37" s="42"/>
      <c r="U37" s="42"/>
      <c r="V37" s="42"/>
      <c r="W37" s="42"/>
      <c r="X37" s="42"/>
      <c r="Y37" s="42"/>
      <c r="Z37" s="42"/>
      <c r="AA37" s="42"/>
      <c r="AC37" s="10"/>
      <c r="AD37" s="10"/>
      <c r="AE37" s="10"/>
      <c r="AF37" s="10"/>
      <c r="AH37" s="10"/>
      <c r="AI37" s="10"/>
      <c r="AJ37" s="10"/>
      <c r="AK37" s="10"/>
      <c r="AM37" s="10"/>
      <c r="AN37" s="10"/>
      <c r="AO37" s="10"/>
      <c r="AP37" s="10"/>
    </row>
    <row r="38" spans="2:42">
      <c r="B38" s="5" t="s">
        <v>184</v>
      </c>
      <c r="C38" s="247"/>
      <c r="D38" s="557">
        <f t="shared" si="2"/>
        <v>6.8911224941360514</v>
      </c>
      <c r="E38" s="557">
        <f t="shared" si="2"/>
        <v>5.9923616362724594</v>
      </c>
      <c r="F38" s="557">
        <f t="shared" si="2"/>
        <v>5.5235572898136711</v>
      </c>
      <c r="G38" s="557">
        <f t="shared" si="2"/>
        <v>5.0308314189900365</v>
      </c>
      <c r="H38" s="17">
        <f t="shared" si="3"/>
        <v>5.6121155713759308E-2</v>
      </c>
      <c r="I38" s="17"/>
      <c r="J38" s="17"/>
      <c r="K38" s="17"/>
      <c r="L38" s="17"/>
      <c r="M38" s="17"/>
      <c r="N38" s="17"/>
      <c r="O38" s="5"/>
      <c r="Q38" s="5"/>
      <c r="R38" s="5"/>
      <c r="S38" s="42"/>
      <c r="T38" s="42"/>
      <c r="U38" s="42"/>
      <c r="V38" s="42"/>
      <c r="W38" s="42"/>
      <c r="X38" s="42"/>
      <c r="Y38" s="42"/>
      <c r="Z38" s="42"/>
      <c r="AA38" s="42"/>
    </row>
    <row r="39" spans="2:42">
      <c r="B39" s="5" t="s">
        <v>185</v>
      </c>
      <c r="C39" s="247"/>
      <c r="D39" s="557">
        <f t="shared" si="2"/>
        <v>14.325841363957826</v>
      </c>
      <c r="E39" s="557">
        <f t="shared" si="2"/>
        <v>10.479542111895535</v>
      </c>
      <c r="F39" s="557">
        <f t="shared" si="2"/>
        <v>9.4126667488791167</v>
      </c>
      <c r="G39" s="557">
        <f t="shared" si="2"/>
        <v>8.4261718196323123</v>
      </c>
      <c r="H39" s="17">
        <f t="shared" si="3"/>
        <v>0.13499413202117938</v>
      </c>
      <c r="I39" s="5"/>
      <c r="J39" s="5"/>
      <c r="K39" s="5"/>
      <c r="L39" s="5"/>
      <c r="M39" s="5"/>
      <c r="N39" s="5"/>
      <c r="O39" s="5"/>
      <c r="Q39" s="5"/>
      <c r="R39" s="5"/>
      <c r="S39" s="42"/>
      <c r="T39" s="42"/>
      <c r="U39" s="42"/>
      <c r="V39" s="42"/>
      <c r="W39" s="288"/>
      <c r="X39" s="288"/>
      <c r="Y39" s="42"/>
      <c r="Z39" s="42"/>
      <c r="AA39" s="42"/>
    </row>
    <row r="40" spans="2:42">
      <c r="B40" s="5" t="s">
        <v>466</v>
      </c>
      <c r="C40" s="247"/>
      <c r="D40" s="557">
        <f t="shared" si="2"/>
        <v>20.379969364235318</v>
      </c>
      <c r="E40" s="557">
        <f t="shared" si="2"/>
        <v>14.935474690116251</v>
      </c>
      <c r="F40" s="557">
        <f t="shared" si="2"/>
        <v>13.401474484211558</v>
      </c>
      <c r="G40" s="557">
        <f t="shared" si="2"/>
        <v>12.005473772942196</v>
      </c>
      <c r="H40" s="17">
        <f t="shared" si="3"/>
        <v>0.1344144460895893</v>
      </c>
      <c r="I40" s="247"/>
      <c r="J40" s="259"/>
      <c r="K40" s="259"/>
      <c r="L40" s="259"/>
      <c r="M40" s="259"/>
      <c r="N40" s="259"/>
      <c r="O40" s="18"/>
      <c r="Q40" s="5"/>
      <c r="R40" s="5"/>
      <c r="S40" s="42"/>
      <c r="T40" s="42"/>
      <c r="U40" s="42"/>
      <c r="V40" s="42"/>
      <c r="W40" s="288"/>
      <c r="X40" s="288"/>
      <c r="Y40" s="288"/>
      <c r="Z40" s="288"/>
      <c r="AA40" s="42"/>
    </row>
    <row r="41" spans="2:42">
      <c r="B41" s="5" t="s">
        <v>530</v>
      </c>
      <c r="C41" s="247"/>
      <c r="D41" s="557">
        <f t="shared" si="2"/>
        <v>1.4011654333705039</v>
      </c>
      <c r="E41" s="557">
        <f t="shared" si="2"/>
        <v>1.2678513427576183</v>
      </c>
      <c r="F41" s="557">
        <f t="shared" si="2"/>
        <v>1.1400859203670926</v>
      </c>
      <c r="G41" s="557">
        <f t="shared" si="2"/>
        <v>1.0188926569154557</v>
      </c>
      <c r="H41" s="17">
        <f t="shared" si="3"/>
        <v>5.7508827560146303E-2</v>
      </c>
      <c r="I41" s="248"/>
      <c r="J41" s="17"/>
      <c r="K41" s="17"/>
      <c r="L41" s="17"/>
      <c r="M41" s="17"/>
      <c r="N41" s="17"/>
      <c r="O41" s="5"/>
      <c r="Q41" s="5"/>
      <c r="R41" s="5"/>
      <c r="S41" s="42"/>
      <c r="T41" s="42"/>
      <c r="U41" s="42"/>
      <c r="V41" s="42"/>
      <c r="W41" s="288"/>
      <c r="X41" s="288"/>
      <c r="Y41" s="288"/>
      <c r="Z41" s="288"/>
      <c r="AA41" s="42"/>
    </row>
    <row r="42" spans="2:42">
      <c r="B42" s="5" t="s">
        <v>593</v>
      </c>
      <c r="C42" s="247"/>
      <c r="D42" s="557">
        <f>D18/D28</f>
        <v>2.346519185065592</v>
      </c>
      <c r="E42" s="557">
        <f>E18/E28</f>
        <v>2.2277931023658812</v>
      </c>
      <c r="F42" s="557">
        <f>F18/F28</f>
        <v>2.1157640257429531</v>
      </c>
      <c r="G42" s="557">
        <f>G18/G28</f>
        <v>1.9967654678475226</v>
      </c>
      <c r="H42" s="17">
        <f t="shared" si="3"/>
        <v>3.5276842685374454E-3</v>
      </c>
      <c r="I42" s="247"/>
      <c r="J42" s="5"/>
      <c r="K42" s="5"/>
      <c r="L42" s="5"/>
      <c r="M42" s="5"/>
      <c r="N42" s="5"/>
      <c r="O42" s="5"/>
      <c r="Q42" s="5"/>
      <c r="R42" s="5"/>
      <c r="S42" s="42"/>
      <c r="T42" s="42"/>
      <c r="U42" s="42"/>
      <c r="V42" s="42"/>
      <c r="W42" s="288"/>
      <c r="X42" s="288"/>
      <c r="Y42" s="288"/>
      <c r="Z42" s="288"/>
      <c r="AA42" s="42"/>
    </row>
    <row r="43" spans="2:42">
      <c r="B43" s="5" t="s">
        <v>475</v>
      </c>
      <c r="C43" s="247"/>
      <c r="D43" s="557">
        <f>L26/D29</f>
        <v>18.137213230227847</v>
      </c>
      <c r="E43" s="557">
        <f>M26/E29</f>
        <v>12.061840204664115</v>
      </c>
      <c r="F43" s="557">
        <f>N26/F29</f>
        <v>11.298320730684699</v>
      </c>
      <c r="G43" s="557">
        <f>O26/G29</f>
        <v>10.379756470730804</v>
      </c>
      <c r="H43" s="17">
        <f t="shared" si="3"/>
        <v>0.17366648853729272</v>
      </c>
      <c r="I43" s="247"/>
      <c r="J43" s="247"/>
      <c r="K43" s="247"/>
      <c r="L43" s="247"/>
      <c r="M43" s="247"/>
      <c r="N43" s="247"/>
      <c r="O43" s="18"/>
      <c r="Q43" s="5"/>
      <c r="R43" s="5"/>
      <c r="S43" s="42"/>
      <c r="T43" s="42"/>
      <c r="U43" s="42"/>
      <c r="V43" s="42"/>
      <c r="W43" s="325"/>
      <c r="X43" s="325"/>
      <c r="Y43" s="288"/>
      <c r="Z43" s="288"/>
      <c r="AA43" s="42"/>
    </row>
    <row r="44" spans="2:42">
      <c r="B44" s="5" t="s">
        <v>533</v>
      </c>
      <c r="C44" s="69"/>
      <c r="D44" s="557">
        <f>D11/D30</f>
        <v>11.434678671142205</v>
      </c>
      <c r="E44" s="557">
        <f>E11/E30</f>
        <v>10.957872941923322</v>
      </c>
      <c r="F44" s="557">
        <f>F11/F30</f>
        <v>10.261234416973991</v>
      </c>
      <c r="G44" s="557">
        <f>G11/G30</f>
        <v>9.5700912284813953</v>
      </c>
      <c r="H44" s="17">
        <f t="shared" si="3"/>
        <v>5.0714191793177044E-2</v>
      </c>
      <c r="I44" s="248"/>
      <c r="J44" s="248"/>
      <c r="K44" s="248"/>
      <c r="L44" s="248"/>
      <c r="M44" s="248"/>
      <c r="N44" s="248"/>
      <c r="O44" s="248"/>
      <c r="Q44" s="5"/>
      <c r="R44" s="5"/>
      <c r="S44" s="42"/>
      <c r="T44" s="42"/>
      <c r="U44" s="42"/>
      <c r="V44" s="42"/>
      <c r="W44" s="42"/>
      <c r="X44" s="42"/>
      <c r="Y44" s="325"/>
      <c r="Z44" s="325"/>
      <c r="AA44" s="42"/>
    </row>
    <row r="45" spans="2:42">
      <c r="B45" s="5" t="s">
        <v>580</v>
      </c>
      <c r="C45" s="247"/>
      <c r="D45" s="248">
        <f>D31/D11</f>
        <v>4.0839254400091216E-2</v>
      </c>
      <c r="E45" s="248">
        <f>E31/E11</f>
        <v>4.768965325716959E-2</v>
      </c>
      <c r="F45" s="248">
        <f>F31/F11</f>
        <v>5.32587655720866E-2</v>
      </c>
      <c r="G45" s="248">
        <f>G31/G11</f>
        <v>5.8586082130862083E-2</v>
      </c>
      <c r="H45" s="17">
        <f t="shared" si="3"/>
        <v>0.11674543629833689</v>
      </c>
      <c r="I45" s="247"/>
      <c r="J45" s="247"/>
      <c r="K45" s="247"/>
      <c r="L45" s="247"/>
      <c r="M45" s="247"/>
      <c r="N45" s="247"/>
      <c r="O45" s="248"/>
      <c r="Q45" s="5"/>
      <c r="R45" s="5"/>
      <c r="S45" s="42"/>
      <c r="T45" s="42"/>
      <c r="U45" s="42"/>
      <c r="V45" s="42"/>
      <c r="W45" s="42"/>
      <c r="X45" s="42"/>
      <c r="Y45" s="42"/>
      <c r="Z45" s="42"/>
      <c r="AA45" s="326"/>
      <c r="AB45" s="303"/>
    </row>
    <row r="46" spans="2:42">
      <c r="B46" s="5" t="s">
        <v>605</v>
      </c>
      <c r="C46" s="247"/>
      <c r="D46" s="248">
        <f>(D31+D32)/D11</f>
        <v>4.0904110026756764E-2</v>
      </c>
      <c r="E46" s="248">
        <f>(E31+E32)/E11</f>
        <v>4.7755145928980933E-2</v>
      </c>
      <c r="F46" s="248">
        <f>(F31+F32)/F11</f>
        <v>5.3324907546073927E-2</v>
      </c>
      <c r="G46" s="248">
        <f>(G31+G32)/G11</f>
        <v>5.865288602089775E-2</v>
      </c>
      <c r="H46" s="279">
        <f>((G31+G32)/(D31+D32))^(1/3)-1</f>
        <v>0.11657898223782093</v>
      </c>
      <c r="I46" s="17"/>
      <c r="J46" s="247"/>
      <c r="K46" s="247"/>
      <c r="L46" s="247"/>
      <c r="M46" s="247"/>
      <c r="N46" s="247"/>
      <c r="O46" s="18"/>
      <c r="Q46" s="5"/>
      <c r="R46" s="5"/>
      <c r="S46" s="42"/>
      <c r="T46" s="42"/>
      <c r="U46" s="42"/>
      <c r="V46" s="42"/>
      <c r="W46" s="42"/>
      <c r="X46" s="42"/>
      <c r="Y46" s="42"/>
      <c r="Z46" s="42"/>
      <c r="AA46" s="326"/>
      <c r="AB46" s="303"/>
    </row>
    <row r="47" spans="2:42">
      <c r="B47" s="5" t="s">
        <v>581</v>
      </c>
      <c r="C47" s="5"/>
      <c r="D47" s="248">
        <f>1/D43</f>
        <v>5.5135261812623994E-2</v>
      </c>
      <c r="E47" s="248">
        <f>1/E43</f>
        <v>8.2906089206298425E-2</v>
      </c>
      <c r="F47" s="248">
        <f>1/F43</f>
        <v>8.8508728317840749E-2</v>
      </c>
      <c r="G47" s="248">
        <f>1/G43</f>
        <v>9.634137398308279E-2</v>
      </c>
      <c r="H47" s="17">
        <f>H29</f>
        <v>0.17366648853729272</v>
      </c>
      <c r="I47" s="247"/>
      <c r="J47" s="248"/>
      <c r="K47" s="248"/>
      <c r="L47" s="248"/>
      <c r="M47" s="248"/>
      <c r="N47" s="248"/>
      <c r="O47" s="248"/>
      <c r="Q47" s="5"/>
      <c r="R47" s="5"/>
      <c r="S47" s="5"/>
      <c r="T47" s="5"/>
      <c r="U47" s="5"/>
      <c r="AA47" s="303"/>
      <c r="AB47" s="303"/>
    </row>
    <row r="48" spans="2:42">
      <c r="B48" s="5" t="s">
        <v>618</v>
      </c>
      <c r="C48" s="5"/>
      <c r="D48" s="305">
        <f>D31/D29</f>
        <v>0.5732368891450601</v>
      </c>
      <c r="E48" s="305">
        <f>E31/E29</f>
        <v>0.45161532804015553</v>
      </c>
      <c r="F48" s="305">
        <f>F31/F29</f>
        <v>0.47997082627129539</v>
      </c>
      <c r="G48" s="305">
        <f>G31/G29</f>
        <v>0.49381306524219321</v>
      </c>
      <c r="H48" s="17" t="s">
        <v>607</v>
      </c>
      <c r="I48" s="259"/>
      <c r="J48" s="247"/>
      <c r="K48" s="247"/>
      <c r="L48" s="247"/>
      <c r="M48" s="247"/>
      <c r="N48" s="247"/>
      <c r="O48" s="248"/>
      <c r="Q48" s="5"/>
      <c r="R48" s="5"/>
      <c r="S48" s="5"/>
      <c r="T48" s="5"/>
      <c r="U48" s="5"/>
      <c r="AA48" s="303"/>
      <c r="AB48" s="303"/>
    </row>
    <row r="49" spans="2:28">
      <c r="B49" s="41"/>
      <c r="C49" s="17"/>
      <c r="D49" s="17"/>
      <c r="E49" s="17"/>
      <c r="F49" s="17"/>
      <c r="G49" s="17"/>
      <c r="H49" s="17"/>
      <c r="I49" s="17"/>
      <c r="J49" s="17"/>
      <c r="K49" s="17"/>
      <c r="L49" s="17"/>
      <c r="M49" s="17"/>
      <c r="N49" s="17"/>
      <c r="O49" s="248"/>
      <c r="Q49" s="5"/>
      <c r="R49" s="5"/>
      <c r="S49" s="5"/>
      <c r="T49" s="5"/>
      <c r="U49" s="5"/>
      <c r="W49" s="10"/>
      <c r="X49" s="10"/>
      <c r="AA49" s="303"/>
      <c r="AB49" s="303"/>
    </row>
    <row r="50" spans="2:28">
      <c r="B50" s="5"/>
      <c r="C50" s="257"/>
      <c r="D50" s="257"/>
      <c r="E50" s="257"/>
      <c r="F50" s="5"/>
      <c r="G50" s="41"/>
      <c r="H50" s="249"/>
      <c r="I50" s="259"/>
      <c r="J50" s="249"/>
      <c r="K50" s="249"/>
      <c r="L50" s="249"/>
      <c r="M50" s="249"/>
      <c r="N50" s="249"/>
      <c r="O50" s="250"/>
      <c r="Q50" s="5"/>
      <c r="R50" s="5"/>
      <c r="S50" s="5"/>
      <c r="T50" s="5"/>
      <c r="U50" s="5"/>
      <c r="W50" s="10"/>
      <c r="X50" s="10"/>
      <c r="Y50" s="10"/>
      <c r="Z50" s="10"/>
    </row>
    <row r="51" spans="2:28">
      <c r="B51" s="41"/>
      <c r="C51" s="249"/>
      <c r="D51" s="254"/>
      <c r="E51" s="254"/>
      <c r="F51" s="254"/>
      <c r="G51" s="254"/>
      <c r="H51" s="254"/>
      <c r="I51" s="254"/>
      <c r="J51" s="17"/>
      <c r="K51" s="17"/>
      <c r="L51" s="17"/>
      <c r="M51" s="17"/>
      <c r="N51" s="17"/>
      <c r="O51" s="248"/>
      <c r="Q51" s="5"/>
      <c r="R51" s="5"/>
      <c r="S51" s="5"/>
      <c r="T51" s="5"/>
      <c r="U51" s="5"/>
      <c r="Y51" s="10"/>
      <c r="Z51" s="10"/>
    </row>
    <row r="52" spans="2:28">
      <c r="B52" s="5"/>
      <c r="C52" s="257"/>
      <c r="D52" s="17"/>
      <c r="E52" s="17"/>
      <c r="F52" s="17"/>
      <c r="G52" s="17"/>
      <c r="H52" s="17"/>
      <c r="I52" s="17"/>
      <c r="J52" s="259"/>
      <c r="K52" s="259"/>
      <c r="L52" s="259"/>
      <c r="M52" s="259"/>
      <c r="N52" s="259"/>
      <c r="O52" s="18"/>
      <c r="Q52" s="5"/>
      <c r="R52" s="5"/>
      <c r="S52" s="5"/>
      <c r="T52" s="5"/>
      <c r="U52" s="5"/>
    </row>
    <row r="53" spans="2:28">
      <c r="B53" s="5"/>
      <c r="C53" s="257"/>
      <c r="D53" s="257"/>
      <c r="E53" s="257"/>
      <c r="F53" s="5"/>
      <c r="G53" s="5"/>
      <c r="H53" s="259"/>
      <c r="I53" s="259"/>
      <c r="J53" s="254"/>
      <c r="K53" s="254"/>
      <c r="L53" s="254"/>
      <c r="M53" s="254"/>
      <c r="N53" s="254"/>
      <c r="O53" s="251"/>
      <c r="Q53" s="5"/>
      <c r="R53" s="5"/>
      <c r="S53" s="5"/>
      <c r="T53" s="5"/>
      <c r="U53" s="5"/>
    </row>
    <row r="54" spans="2:28">
      <c r="B54" s="41"/>
      <c r="C54" s="249"/>
      <c r="D54" s="254"/>
      <c r="E54" s="254"/>
      <c r="F54" s="254"/>
      <c r="G54" s="254"/>
      <c r="H54" s="254"/>
      <c r="I54" s="249"/>
      <c r="J54" s="17"/>
      <c r="K54" s="17"/>
      <c r="L54" s="17"/>
      <c r="M54" s="17"/>
      <c r="N54" s="17"/>
      <c r="O54" s="18"/>
      <c r="Q54" s="5"/>
      <c r="R54" s="5"/>
      <c r="S54" s="5"/>
      <c r="T54" s="5"/>
      <c r="U54" s="5"/>
    </row>
    <row r="55" spans="2:28">
      <c r="B55" s="5"/>
      <c r="C55" s="257"/>
      <c r="D55" s="17"/>
      <c r="E55" s="17"/>
      <c r="F55" s="17"/>
      <c r="G55" s="17"/>
      <c r="H55" s="17"/>
      <c r="I55" s="248"/>
      <c r="J55" s="259"/>
      <c r="K55" s="259"/>
      <c r="L55" s="259"/>
      <c r="M55" s="259"/>
      <c r="N55" s="259"/>
      <c r="O55" s="18"/>
      <c r="Q55" s="5"/>
      <c r="R55" s="5"/>
      <c r="S55" s="5"/>
      <c r="T55" s="5"/>
      <c r="U55" s="5"/>
    </row>
    <row r="56" spans="2:28">
      <c r="B56" s="5"/>
      <c r="C56" s="248"/>
      <c r="D56" s="248"/>
      <c r="E56" s="248"/>
      <c r="F56" s="5"/>
      <c r="G56" s="5"/>
      <c r="H56" s="259"/>
      <c r="I56" s="5"/>
      <c r="J56" s="249"/>
      <c r="K56" s="249"/>
      <c r="L56" s="249"/>
      <c r="M56" s="249"/>
      <c r="N56" s="249"/>
      <c r="O56" s="251"/>
      <c r="Q56" s="5"/>
      <c r="R56" s="5"/>
      <c r="S56" s="5"/>
      <c r="T56" s="5"/>
      <c r="U56" s="5"/>
    </row>
    <row r="57" spans="2:28">
      <c r="B57" s="41"/>
      <c r="C57" s="249"/>
      <c r="D57" s="249"/>
      <c r="E57" s="249"/>
      <c r="F57" s="249"/>
      <c r="G57" s="249"/>
      <c r="H57" s="249"/>
      <c r="I57" s="17"/>
      <c r="J57" s="248"/>
      <c r="K57" s="248"/>
      <c r="L57" s="248"/>
      <c r="M57" s="248"/>
      <c r="N57" s="248"/>
      <c r="O57" s="18"/>
      <c r="Q57" s="5"/>
      <c r="R57" s="5"/>
      <c r="S57" s="5"/>
      <c r="T57" s="5"/>
      <c r="U57" s="5"/>
    </row>
    <row r="58" spans="2:28">
      <c r="B58" s="5"/>
      <c r="C58" s="5"/>
      <c r="D58" s="248"/>
      <c r="E58" s="248"/>
      <c r="F58" s="248"/>
      <c r="G58" s="248"/>
      <c r="H58" s="248"/>
      <c r="I58" s="5"/>
      <c r="J58" s="5"/>
      <c r="K58" s="5"/>
      <c r="L58" s="5"/>
      <c r="M58" s="5"/>
      <c r="N58" s="5"/>
      <c r="O58" s="5"/>
      <c r="Q58" s="5"/>
      <c r="R58" s="5"/>
      <c r="S58" s="5"/>
      <c r="T58" s="5"/>
      <c r="U58" s="5"/>
    </row>
    <row r="59" spans="2:28">
      <c r="B59" s="5"/>
      <c r="C59" s="5"/>
      <c r="D59" s="5"/>
      <c r="E59" s="5"/>
      <c r="F59" s="5"/>
      <c r="G59" s="5"/>
      <c r="H59" s="5"/>
      <c r="I59" s="249"/>
      <c r="J59" s="17"/>
      <c r="K59" s="17"/>
      <c r="L59" s="17"/>
      <c r="M59" s="17"/>
      <c r="N59" s="17"/>
      <c r="O59" s="251"/>
      <c r="Q59" s="5"/>
      <c r="R59" s="5"/>
      <c r="S59" s="5"/>
      <c r="T59" s="5"/>
      <c r="U59" s="5"/>
    </row>
    <row r="60" spans="2:28">
      <c r="B60" s="41"/>
      <c r="C60" s="17"/>
      <c r="D60" s="17"/>
      <c r="E60" s="17"/>
      <c r="F60" s="17"/>
      <c r="G60" s="17"/>
      <c r="H60" s="17"/>
      <c r="I60" s="5"/>
      <c r="J60" s="5"/>
      <c r="K60" s="5"/>
      <c r="L60" s="5"/>
      <c r="M60" s="5"/>
      <c r="N60" s="5"/>
      <c r="O60" s="5"/>
      <c r="Q60" s="41"/>
      <c r="R60" s="5"/>
      <c r="S60" s="5"/>
      <c r="T60" s="5"/>
      <c r="U60" s="5"/>
    </row>
    <row r="61" spans="2:28">
      <c r="B61" s="5"/>
      <c r="C61" s="5"/>
      <c r="D61" s="5"/>
      <c r="E61" s="5"/>
      <c r="F61" s="5"/>
      <c r="G61" s="5"/>
      <c r="H61" s="5"/>
      <c r="I61" s="5"/>
      <c r="J61" s="249"/>
      <c r="K61" s="249"/>
      <c r="L61" s="249"/>
      <c r="M61" s="249"/>
      <c r="N61" s="249"/>
      <c r="O61" s="251"/>
      <c r="Q61" s="5"/>
      <c r="R61" s="5"/>
      <c r="S61" s="5"/>
      <c r="T61" s="5"/>
      <c r="U61" s="5"/>
    </row>
    <row r="62" spans="2:28">
      <c r="B62" s="41"/>
      <c r="C62" s="249"/>
      <c r="D62" s="249"/>
      <c r="E62" s="249"/>
      <c r="F62" s="249"/>
      <c r="G62" s="249"/>
      <c r="H62" s="249"/>
      <c r="I62" s="254"/>
      <c r="J62" s="5"/>
      <c r="K62" s="5"/>
      <c r="L62" s="5"/>
      <c r="M62" s="5"/>
      <c r="N62" s="5"/>
      <c r="O62" s="5"/>
      <c r="Q62" s="5"/>
      <c r="R62" s="5"/>
      <c r="S62" s="5"/>
      <c r="T62" s="5"/>
      <c r="U62" s="5"/>
    </row>
    <row r="63" spans="2:28">
      <c r="B63" s="5"/>
      <c r="C63" s="5"/>
      <c r="D63" s="5"/>
      <c r="E63" s="5"/>
      <c r="F63" s="5"/>
      <c r="G63" s="5"/>
      <c r="H63" s="5"/>
      <c r="I63" s="17"/>
      <c r="J63" s="5"/>
      <c r="K63" s="5"/>
      <c r="L63" s="5"/>
      <c r="M63" s="5"/>
      <c r="N63" s="5"/>
      <c r="O63" s="5"/>
      <c r="Q63" s="5"/>
      <c r="R63" s="5"/>
      <c r="S63" s="5"/>
      <c r="T63" s="5"/>
      <c r="U63" s="5"/>
    </row>
    <row r="64" spans="2:28">
      <c r="B64" s="5"/>
      <c r="C64" s="5"/>
      <c r="D64" s="5"/>
      <c r="E64" s="5"/>
      <c r="F64" s="5"/>
      <c r="G64" s="5"/>
      <c r="H64" s="5"/>
      <c r="I64" s="254"/>
      <c r="J64" s="254"/>
      <c r="K64" s="254"/>
      <c r="L64" s="254"/>
      <c r="M64" s="254"/>
      <c r="N64" s="254"/>
      <c r="O64" s="251"/>
      <c r="Q64" s="5"/>
      <c r="R64" s="5"/>
      <c r="S64" s="5"/>
      <c r="T64" s="5"/>
      <c r="U64" s="5"/>
    </row>
    <row r="65" spans="2:26">
      <c r="B65" s="41"/>
      <c r="C65" s="249"/>
      <c r="D65" s="254"/>
      <c r="E65" s="254"/>
      <c r="F65" s="254"/>
      <c r="G65" s="254"/>
      <c r="H65" s="254"/>
      <c r="I65" s="248"/>
      <c r="J65" s="17"/>
      <c r="K65" s="17"/>
      <c r="L65" s="17"/>
      <c r="M65" s="17"/>
      <c r="N65" s="17"/>
      <c r="O65" s="5"/>
      <c r="Q65" s="5"/>
      <c r="R65" s="5"/>
      <c r="S65" s="5"/>
      <c r="T65" s="5"/>
      <c r="U65" s="5"/>
    </row>
    <row r="66" spans="2:26">
      <c r="B66" s="5"/>
      <c r="C66" s="5"/>
      <c r="D66" s="17"/>
      <c r="E66" s="17"/>
      <c r="F66" s="17"/>
      <c r="G66" s="17"/>
      <c r="H66" s="17"/>
      <c r="I66" s="5"/>
      <c r="J66" s="254"/>
      <c r="K66" s="254"/>
      <c r="L66" s="254"/>
      <c r="M66" s="254"/>
      <c r="N66" s="254"/>
      <c r="O66" s="251"/>
      <c r="Q66" s="41"/>
      <c r="R66" s="5"/>
      <c r="S66" s="5"/>
      <c r="T66" s="5"/>
      <c r="U66" s="5"/>
    </row>
    <row r="67" spans="2:26">
      <c r="B67" s="41"/>
      <c r="C67" s="249"/>
      <c r="D67" s="254"/>
      <c r="E67" s="254"/>
      <c r="F67" s="254"/>
      <c r="G67" s="254"/>
      <c r="H67" s="254"/>
      <c r="I67" s="245"/>
      <c r="J67" s="248"/>
      <c r="K67" s="248"/>
      <c r="L67" s="248"/>
      <c r="M67" s="248"/>
      <c r="N67" s="248"/>
      <c r="O67" s="5"/>
      <c r="Q67" s="5"/>
      <c r="R67" s="5"/>
      <c r="S67" s="5"/>
      <c r="T67" s="5"/>
      <c r="U67" s="5"/>
    </row>
    <row r="68" spans="2:26">
      <c r="B68" s="5"/>
      <c r="C68" s="5"/>
      <c r="D68" s="248"/>
      <c r="E68" s="248"/>
      <c r="F68" s="248"/>
      <c r="G68" s="248"/>
      <c r="H68" s="248"/>
      <c r="I68" s="248"/>
      <c r="J68" s="5"/>
      <c r="K68" s="5"/>
      <c r="L68" s="5"/>
      <c r="M68" s="5"/>
      <c r="N68" s="5"/>
      <c r="O68" s="5"/>
      <c r="Q68" s="5"/>
      <c r="R68" s="5"/>
      <c r="S68" s="5"/>
      <c r="T68" s="5"/>
      <c r="U68" s="5"/>
    </row>
    <row r="69" spans="2:26">
      <c r="B69" s="41"/>
      <c r="C69" s="5"/>
      <c r="D69" s="5"/>
      <c r="E69" s="5"/>
      <c r="F69" s="5"/>
      <c r="G69" s="5"/>
      <c r="H69" s="5"/>
      <c r="I69" s="5"/>
      <c r="J69" s="245"/>
      <c r="K69" s="245"/>
      <c r="L69" s="245"/>
      <c r="M69" s="245"/>
      <c r="N69" s="245"/>
      <c r="O69" s="251"/>
      <c r="Q69" s="5"/>
      <c r="R69" s="5"/>
      <c r="S69" s="5"/>
      <c r="T69" s="5"/>
      <c r="U69" s="5"/>
      <c r="W69" s="76"/>
      <c r="X69" s="76"/>
    </row>
    <row r="70" spans="2:26">
      <c r="B70" s="41"/>
      <c r="C70" s="245"/>
      <c r="D70" s="245"/>
      <c r="E70" s="245"/>
      <c r="F70" s="245"/>
      <c r="G70" s="245"/>
      <c r="H70" s="245"/>
      <c r="I70" s="245"/>
      <c r="J70" s="248"/>
      <c r="K70" s="248"/>
      <c r="L70" s="248"/>
      <c r="M70" s="248"/>
      <c r="N70" s="248"/>
      <c r="O70" s="5"/>
      <c r="Q70" s="5"/>
      <c r="R70" s="5"/>
      <c r="S70" s="5"/>
      <c r="T70" s="5"/>
      <c r="U70" s="5"/>
      <c r="W70" s="76"/>
      <c r="X70" s="76"/>
      <c r="Y70" s="76"/>
      <c r="Z70" s="76"/>
    </row>
    <row r="71" spans="2:26">
      <c r="B71" s="5"/>
      <c r="C71" s="5"/>
      <c r="D71" s="248"/>
      <c r="E71" s="248"/>
      <c r="F71" s="248"/>
      <c r="G71" s="248"/>
      <c r="H71" s="248"/>
      <c r="I71" s="18"/>
      <c r="J71" s="5"/>
      <c r="K71" s="5"/>
      <c r="L71" s="5"/>
      <c r="M71" s="5"/>
      <c r="N71" s="5"/>
      <c r="O71" s="5"/>
      <c r="Q71" s="5"/>
      <c r="R71" s="5"/>
      <c r="S71" s="5"/>
      <c r="T71" s="5"/>
      <c r="U71" s="5"/>
      <c r="Y71" s="76"/>
      <c r="Z71" s="76"/>
    </row>
    <row r="72" spans="2:26">
      <c r="B72" s="41"/>
      <c r="C72" s="5"/>
      <c r="D72" s="5"/>
      <c r="E72" s="5"/>
      <c r="F72" s="5"/>
      <c r="G72" s="5"/>
      <c r="H72" s="5"/>
      <c r="I72" s="5"/>
      <c r="J72" s="245"/>
      <c r="K72" s="245"/>
      <c r="L72" s="245"/>
      <c r="M72" s="245"/>
      <c r="N72" s="245"/>
      <c r="O72" s="251"/>
      <c r="Q72" s="5"/>
      <c r="R72" s="5"/>
      <c r="S72" s="5"/>
      <c r="T72" s="5"/>
      <c r="U72" s="5"/>
    </row>
    <row r="73" spans="2:26">
      <c r="B73" s="41"/>
      <c r="C73" s="245"/>
      <c r="D73" s="245"/>
      <c r="E73" s="245"/>
      <c r="F73" s="245"/>
      <c r="G73" s="245"/>
      <c r="H73" s="245"/>
      <c r="I73" s="249"/>
      <c r="J73" s="18"/>
      <c r="K73" s="18"/>
      <c r="L73" s="18"/>
      <c r="M73" s="18"/>
      <c r="N73" s="18"/>
      <c r="O73" s="5"/>
      <c r="Q73" s="5"/>
      <c r="R73" s="5"/>
      <c r="S73" s="5"/>
      <c r="T73" s="5"/>
      <c r="U73" s="5"/>
    </row>
    <row r="74" spans="2:26">
      <c r="B74" s="5"/>
      <c r="C74" s="5"/>
      <c r="D74" s="18"/>
      <c r="E74" s="18"/>
      <c r="F74" s="18"/>
      <c r="G74" s="18"/>
      <c r="H74" s="18"/>
      <c r="I74" s="248"/>
      <c r="J74" s="5"/>
      <c r="K74" s="5"/>
      <c r="L74" s="5"/>
      <c r="M74" s="5"/>
      <c r="N74" s="5"/>
      <c r="O74" s="5"/>
      <c r="Q74" s="5"/>
      <c r="R74" s="5"/>
      <c r="S74" s="5"/>
      <c r="T74" s="5"/>
      <c r="U74" s="5"/>
    </row>
    <row r="75" spans="2:26">
      <c r="B75" s="41"/>
      <c r="C75" s="5"/>
      <c r="D75" s="5"/>
      <c r="E75" s="5"/>
      <c r="F75" s="5"/>
      <c r="G75" s="5"/>
      <c r="H75" s="5"/>
      <c r="I75" s="5"/>
      <c r="J75" s="249"/>
      <c r="K75" s="249"/>
      <c r="L75" s="249"/>
      <c r="M75" s="249"/>
      <c r="N75" s="249"/>
      <c r="O75" s="251"/>
      <c r="Q75" s="5"/>
      <c r="R75" s="5"/>
      <c r="S75" s="5"/>
      <c r="T75" s="5"/>
      <c r="U75" s="5"/>
    </row>
    <row r="76" spans="2:26">
      <c r="B76" s="41"/>
      <c r="C76" s="249"/>
      <c r="D76" s="249"/>
      <c r="E76" s="249"/>
      <c r="F76" s="249"/>
      <c r="G76" s="249"/>
      <c r="H76" s="249"/>
      <c r="I76" s="245"/>
      <c r="J76" s="248"/>
      <c r="K76" s="248"/>
      <c r="L76" s="248"/>
      <c r="M76" s="248"/>
      <c r="N76" s="248"/>
      <c r="O76" s="5"/>
      <c r="Q76" s="5"/>
      <c r="R76" s="5"/>
      <c r="S76" s="5"/>
      <c r="T76" s="5"/>
      <c r="U76" s="5"/>
    </row>
    <row r="77" spans="2:26">
      <c r="B77" s="5"/>
      <c r="C77" s="5"/>
      <c r="D77" s="248"/>
      <c r="E77" s="248"/>
      <c r="F77" s="248"/>
      <c r="G77" s="248"/>
      <c r="H77" s="248"/>
      <c r="I77" s="248"/>
      <c r="J77" s="5"/>
      <c r="K77" s="5"/>
      <c r="L77" s="5"/>
      <c r="M77" s="5"/>
      <c r="N77" s="5"/>
      <c r="O77" s="5"/>
      <c r="Q77" s="5"/>
      <c r="R77" s="5"/>
      <c r="S77" s="5"/>
      <c r="T77" s="5"/>
      <c r="U77" s="5"/>
    </row>
    <row r="78" spans="2:26">
      <c r="B78" s="41"/>
      <c r="C78" s="5"/>
      <c r="D78" s="5"/>
      <c r="E78" s="5"/>
      <c r="F78" s="5"/>
      <c r="G78" s="5"/>
      <c r="H78" s="5"/>
      <c r="I78" s="5"/>
      <c r="J78" s="245"/>
      <c r="K78" s="245"/>
      <c r="L78" s="245"/>
      <c r="M78" s="245"/>
      <c r="N78" s="245"/>
      <c r="O78" s="251"/>
      <c r="Q78" s="5"/>
      <c r="R78" s="5"/>
      <c r="S78" s="5"/>
      <c r="T78" s="5"/>
      <c r="U78" s="5"/>
    </row>
    <row r="79" spans="2:26">
      <c r="B79" s="41"/>
      <c r="C79" s="245"/>
      <c r="D79" s="245"/>
      <c r="E79" s="245"/>
      <c r="F79" s="245"/>
      <c r="G79" s="245"/>
      <c r="H79" s="245"/>
      <c r="I79" s="249"/>
      <c r="J79" s="248"/>
      <c r="K79" s="248"/>
      <c r="L79" s="248"/>
      <c r="M79" s="248"/>
      <c r="N79" s="248"/>
      <c r="O79" s="5"/>
      <c r="Q79" s="5"/>
      <c r="R79" s="5"/>
      <c r="S79" s="5"/>
      <c r="T79" s="5"/>
      <c r="U79" s="5"/>
    </row>
    <row r="80" spans="2:26">
      <c r="B80" s="5"/>
      <c r="C80" s="5"/>
      <c r="D80" s="248"/>
      <c r="E80" s="248"/>
      <c r="F80" s="248"/>
      <c r="G80" s="248"/>
      <c r="H80" s="248"/>
      <c r="I80" s="248"/>
      <c r="J80" s="5"/>
      <c r="K80" s="5"/>
      <c r="L80" s="5"/>
      <c r="M80" s="5"/>
      <c r="N80" s="5"/>
      <c r="O80" s="5"/>
      <c r="Q80" s="5"/>
      <c r="R80" s="5"/>
      <c r="S80" s="5"/>
      <c r="T80" s="5"/>
      <c r="U80" s="5"/>
    </row>
    <row r="81" spans="2:26">
      <c r="B81" s="41"/>
      <c r="C81" s="5"/>
      <c r="D81" s="5"/>
      <c r="E81" s="5"/>
      <c r="F81" s="5"/>
      <c r="G81" s="5"/>
      <c r="H81" s="5"/>
      <c r="I81" s="259"/>
      <c r="J81" s="249"/>
      <c r="K81" s="249"/>
      <c r="L81" s="249"/>
      <c r="M81" s="249"/>
      <c r="N81" s="249"/>
      <c r="O81" s="251"/>
      <c r="Q81" s="5"/>
      <c r="R81" s="5"/>
      <c r="S81" s="5"/>
      <c r="T81" s="5"/>
      <c r="U81" s="5"/>
    </row>
    <row r="82" spans="2:26">
      <c r="B82" s="41"/>
      <c r="C82" s="249"/>
      <c r="D82" s="249"/>
      <c r="E82" s="249"/>
      <c r="F82" s="249"/>
      <c r="G82" s="249"/>
      <c r="H82" s="249"/>
      <c r="I82" s="5"/>
      <c r="J82" s="248"/>
      <c r="K82" s="248"/>
      <c r="L82" s="248"/>
      <c r="M82" s="248"/>
      <c r="N82" s="248"/>
      <c r="O82" s="5"/>
      <c r="Q82" s="5"/>
      <c r="R82" s="5"/>
      <c r="S82" s="5"/>
      <c r="T82" s="5"/>
      <c r="U82" s="5"/>
    </row>
    <row r="83" spans="2:26">
      <c r="B83" s="5"/>
      <c r="C83" s="5"/>
      <c r="D83" s="248"/>
      <c r="E83" s="248"/>
      <c r="F83" s="248"/>
      <c r="G83" s="248"/>
      <c r="H83" s="248"/>
      <c r="I83" s="245"/>
      <c r="J83" s="259"/>
      <c r="K83" s="259"/>
      <c r="L83" s="259"/>
      <c r="M83" s="259"/>
      <c r="N83" s="259"/>
      <c r="O83" s="251"/>
      <c r="Q83" s="5"/>
      <c r="R83" s="5"/>
      <c r="S83" s="5"/>
      <c r="T83" s="5"/>
      <c r="U83" s="5"/>
    </row>
    <row r="84" spans="2:26">
      <c r="B84" s="5"/>
      <c r="C84" s="259"/>
      <c r="D84" s="259"/>
      <c r="E84" s="259"/>
      <c r="F84" s="259"/>
      <c r="G84" s="259"/>
      <c r="H84" s="259"/>
      <c r="I84" s="248"/>
      <c r="J84" s="5"/>
      <c r="K84" s="5"/>
      <c r="L84" s="5"/>
      <c r="M84" s="5"/>
      <c r="N84" s="5"/>
      <c r="O84" s="5"/>
      <c r="Q84" s="5"/>
      <c r="R84" s="5"/>
      <c r="S84" s="5"/>
      <c r="T84" s="5"/>
      <c r="U84" s="5"/>
    </row>
    <row r="85" spans="2:26">
      <c r="B85" s="41"/>
      <c r="C85" s="5"/>
      <c r="D85" s="5"/>
      <c r="E85" s="5"/>
      <c r="F85" s="5"/>
      <c r="G85" s="5"/>
      <c r="H85" s="5"/>
      <c r="I85" s="5"/>
      <c r="J85" s="245"/>
      <c r="K85" s="245"/>
      <c r="L85" s="245"/>
      <c r="M85" s="245"/>
      <c r="N85" s="245"/>
      <c r="O85" s="251"/>
      <c r="Q85" s="5"/>
      <c r="R85" s="5"/>
      <c r="S85" s="5"/>
      <c r="T85" s="5"/>
      <c r="U85" s="5"/>
    </row>
    <row r="86" spans="2:26">
      <c r="B86" s="41"/>
      <c r="C86" s="245"/>
      <c r="D86" s="245"/>
      <c r="E86" s="245"/>
      <c r="F86" s="245"/>
      <c r="G86" s="245"/>
      <c r="H86" s="245"/>
      <c r="I86" s="5"/>
      <c r="J86" s="248"/>
      <c r="K86" s="248"/>
      <c r="L86" s="248"/>
      <c r="M86" s="248"/>
      <c r="N86" s="248"/>
      <c r="O86" s="5"/>
      <c r="Q86" s="5"/>
      <c r="R86" s="5"/>
      <c r="S86" s="5"/>
      <c r="T86" s="5"/>
      <c r="U86" s="5"/>
    </row>
    <row r="87" spans="2:26">
      <c r="B87" s="5"/>
      <c r="C87" s="5"/>
      <c r="D87" s="248"/>
      <c r="E87" s="248"/>
      <c r="F87" s="248"/>
      <c r="G87" s="248"/>
      <c r="H87" s="248"/>
      <c r="I87" s="5"/>
      <c r="J87" s="5"/>
      <c r="K87" s="5"/>
      <c r="L87" s="5"/>
      <c r="M87" s="5"/>
      <c r="N87" s="5"/>
      <c r="O87" s="5"/>
      <c r="Q87" s="5"/>
      <c r="R87" s="5"/>
      <c r="S87" s="5"/>
      <c r="T87" s="5"/>
      <c r="U87" s="5"/>
    </row>
    <row r="88" spans="2:26">
      <c r="B88" s="41"/>
      <c r="C88" s="5"/>
      <c r="D88" s="5"/>
      <c r="E88" s="5"/>
      <c r="F88" s="5"/>
      <c r="G88" s="5"/>
      <c r="H88" s="5"/>
      <c r="I88" s="5"/>
      <c r="J88" s="5"/>
      <c r="K88" s="5"/>
      <c r="L88" s="5"/>
      <c r="M88" s="5"/>
      <c r="N88" s="5"/>
      <c r="O88" s="5"/>
      <c r="Q88" s="5"/>
      <c r="R88" s="5"/>
      <c r="S88" s="5"/>
      <c r="T88" s="5"/>
      <c r="U88" s="5"/>
    </row>
    <row r="89" spans="2:26">
      <c r="B89" s="41"/>
      <c r="C89" s="5"/>
      <c r="D89" s="5"/>
      <c r="E89" s="5"/>
      <c r="F89" s="5"/>
      <c r="G89" s="5"/>
      <c r="H89" s="5"/>
      <c r="I89" s="49"/>
      <c r="J89" s="5"/>
      <c r="K89" s="5"/>
      <c r="L89" s="5"/>
      <c r="M89" s="5"/>
      <c r="N89" s="5"/>
      <c r="O89" s="5"/>
      <c r="Q89" s="41"/>
      <c r="R89" s="5"/>
      <c r="S89" s="5"/>
      <c r="T89" s="5"/>
      <c r="U89" s="5"/>
    </row>
    <row r="90" spans="2:26">
      <c r="B90" s="41"/>
      <c r="C90" s="5"/>
      <c r="D90" s="5"/>
      <c r="E90" s="5"/>
      <c r="F90" s="5"/>
      <c r="G90" s="5"/>
      <c r="H90" s="5"/>
      <c r="I90" s="5"/>
      <c r="J90" s="5"/>
      <c r="K90" s="5"/>
      <c r="L90" s="5"/>
      <c r="M90" s="5"/>
      <c r="N90" s="5"/>
      <c r="O90" s="5"/>
      <c r="Q90" s="5"/>
      <c r="R90" s="5"/>
      <c r="S90" s="5"/>
      <c r="T90" s="5"/>
      <c r="U90" s="5"/>
    </row>
    <row r="91" spans="2:26">
      <c r="B91" s="5"/>
      <c r="C91" s="5"/>
      <c r="D91" s="5"/>
      <c r="E91" s="5"/>
      <c r="F91" s="5"/>
      <c r="G91" s="5"/>
      <c r="H91" s="5"/>
      <c r="I91" s="247"/>
      <c r="J91" s="49"/>
      <c r="K91" s="49"/>
      <c r="L91" s="49"/>
      <c r="M91" s="49"/>
      <c r="N91" s="49"/>
      <c r="O91" s="49"/>
      <c r="Q91" s="5"/>
      <c r="R91" s="5"/>
      <c r="S91" s="5"/>
      <c r="T91" s="5"/>
      <c r="U91" s="5"/>
      <c r="W91" s="21"/>
      <c r="X91" s="21"/>
    </row>
    <row r="92" spans="2:26">
      <c r="B92" s="41"/>
      <c r="C92" s="49"/>
      <c r="D92" s="49"/>
      <c r="E92" s="49"/>
      <c r="F92" s="49"/>
      <c r="G92" s="49"/>
      <c r="H92" s="49"/>
      <c r="I92" s="247"/>
      <c r="J92" s="5"/>
      <c r="K92" s="5"/>
      <c r="L92" s="5"/>
      <c r="M92" s="5"/>
      <c r="N92" s="5"/>
      <c r="O92" s="5"/>
      <c r="Q92" s="5"/>
      <c r="R92" s="5"/>
      <c r="S92" s="5"/>
      <c r="T92" s="5"/>
      <c r="U92" s="5"/>
      <c r="W92" s="21"/>
      <c r="X92" s="21"/>
      <c r="Y92" s="21"/>
      <c r="Z92" s="21"/>
    </row>
    <row r="93" spans="2:26">
      <c r="B93" s="5"/>
      <c r="C93" s="5"/>
      <c r="D93" s="5"/>
      <c r="E93" s="5"/>
      <c r="F93" s="5"/>
      <c r="G93" s="5"/>
      <c r="H93" s="5"/>
      <c r="I93" s="247"/>
      <c r="J93" s="247"/>
      <c r="K93" s="247"/>
      <c r="L93" s="247"/>
      <c r="M93" s="247"/>
      <c r="N93" s="247"/>
      <c r="O93" s="248"/>
      <c r="Q93" s="5"/>
      <c r="R93" s="5"/>
      <c r="S93" s="5"/>
      <c r="T93" s="5"/>
      <c r="U93" s="5"/>
      <c r="Y93" s="21"/>
      <c r="Z93" s="21"/>
    </row>
    <row r="94" spans="2:26">
      <c r="B94" s="5"/>
      <c r="C94" s="259"/>
      <c r="D94" s="247"/>
      <c r="E94" s="247"/>
      <c r="F94" s="247"/>
      <c r="G94" s="247"/>
      <c r="H94" s="247"/>
      <c r="I94" s="248"/>
      <c r="J94" s="247"/>
      <c r="K94" s="247"/>
      <c r="L94" s="247"/>
      <c r="M94" s="247"/>
      <c r="N94" s="247"/>
      <c r="O94" s="248"/>
      <c r="Q94" s="5"/>
      <c r="R94" s="5"/>
      <c r="S94" s="5"/>
      <c r="T94" s="5"/>
      <c r="U94" s="5"/>
    </row>
    <row r="95" spans="2:26">
      <c r="B95" s="5"/>
      <c r="C95" s="259"/>
      <c r="D95" s="247"/>
      <c r="E95" s="247"/>
      <c r="F95" s="247"/>
      <c r="G95" s="247"/>
      <c r="H95" s="247"/>
      <c r="I95" s="247"/>
      <c r="J95" s="247"/>
      <c r="K95" s="247"/>
      <c r="L95" s="247"/>
      <c r="M95" s="247"/>
      <c r="N95" s="247"/>
      <c r="O95" s="248"/>
      <c r="Q95" s="5"/>
      <c r="R95" s="5"/>
      <c r="S95" s="5"/>
      <c r="T95" s="5"/>
      <c r="U95" s="5"/>
    </row>
    <row r="96" spans="2:26">
      <c r="B96" s="5"/>
      <c r="C96" s="259"/>
      <c r="D96" s="247"/>
      <c r="E96" s="247"/>
      <c r="F96" s="247"/>
      <c r="G96" s="247"/>
      <c r="H96" s="247"/>
      <c r="I96" s="249"/>
      <c r="J96" s="248"/>
      <c r="K96" s="248"/>
      <c r="L96" s="248"/>
      <c r="M96" s="248"/>
      <c r="N96" s="248"/>
      <c r="O96" s="248"/>
      <c r="Q96" s="5"/>
      <c r="R96" s="5"/>
      <c r="S96" s="5"/>
      <c r="T96" s="5"/>
      <c r="U96" s="5"/>
    </row>
    <row r="97" spans="2:21">
      <c r="B97" s="5"/>
      <c r="C97" s="259"/>
      <c r="D97" s="248"/>
      <c r="E97" s="248"/>
      <c r="F97" s="248"/>
      <c r="G97" s="248"/>
      <c r="H97" s="248"/>
      <c r="I97" s="248"/>
      <c r="J97" s="247"/>
      <c r="K97" s="247"/>
      <c r="L97" s="247"/>
      <c r="M97" s="247"/>
      <c r="N97" s="247"/>
      <c r="O97" s="248"/>
      <c r="Q97" s="5"/>
      <c r="R97" s="5"/>
      <c r="S97" s="5"/>
      <c r="T97" s="5"/>
      <c r="U97" s="5"/>
    </row>
    <row r="98" spans="2:21">
      <c r="B98" s="5"/>
      <c r="C98" s="259"/>
      <c r="D98" s="247"/>
      <c r="E98" s="247"/>
      <c r="F98" s="247"/>
      <c r="G98" s="247"/>
      <c r="H98" s="247"/>
      <c r="I98" s="5"/>
      <c r="J98" s="249"/>
      <c r="K98" s="249"/>
      <c r="L98" s="249"/>
      <c r="M98" s="249"/>
      <c r="N98" s="249"/>
      <c r="O98" s="248"/>
      <c r="Q98" s="5"/>
      <c r="R98" s="5"/>
      <c r="S98" s="5"/>
      <c r="T98" s="5"/>
      <c r="U98" s="5"/>
    </row>
    <row r="99" spans="2:21">
      <c r="B99" s="41"/>
      <c r="C99" s="249"/>
      <c r="D99" s="249"/>
      <c r="E99" s="249"/>
      <c r="F99" s="249"/>
      <c r="G99" s="249"/>
      <c r="H99" s="249"/>
      <c r="I99" s="259"/>
      <c r="J99" s="248"/>
      <c r="K99" s="248"/>
      <c r="L99" s="248"/>
      <c r="M99" s="248"/>
      <c r="N99" s="248"/>
      <c r="O99" s="248"/>
      <c r="Q99" s="5"/>
      <c r="R99" s="5"/>
      <c r="S99" s="5"/>
      <c r="T99" s="5"/>
      <c r="U99" s="5"/>
    </row>
    <row r="100" spans="2:21" s="5" customFormat="1">
      <c r="B100" s="41"/>
      <c r="C100" s="257"/>
      <c r="D100" s="248"/>
      <c r="E100" s="248"/>
      <c r="F100" s="248"/>
      <c r="G100" s="248"/>
      <c r="H100" s="248"/>
      <c r="I100" s="259"/>
      <c r="O100" s="248"/>
      <c r="P100" s="39"/>
    </row>
    <row r="101" spans="2:21">
      <c r="B101" s="41"/>
      <c r="C101" s="5"/>
      <c r="D101" s="5"/>
      <c r="E101" s="5"/>
      <c r="F101" s="5"/>
      <c r="G101" s="5"/>
      <c r="H101" s="5"/>
      <c r="I101" s="247"/>
      <c r="J101" s="259"/>
      <c r="K101" s="259"/>
      <c r="L101" s="259"/>
      <c r="M101" s="259"/>
      <c r="N101" s="259"/>
      <c r="O101" s="5"/>
      <c r="Q101" s="5"/>
      <c r="R101" s="5"/>
      <c r="S101" s="5"/>
      <c r="T101" s="5"/>
      <c r="U101" s="5"/>
    </row>
    <row r="102" spans="2:21">
      <c r="B102" s="5"/>
      <c r="C102" s="259"/>
      <c r="D102" s="259"/>
      <c r="E102" s="259"/>
      <c r="F102" s="259"/>
      <c r="G102" s="259"/>
      <c r="H102" s="259"/>
      <c r="I102" s="5"/>
      <c r="J102" s="259"/>
      <c r="K102" s="259"/>
      <c r="L102" s="259"/>
      <c r="M102" s="259"/>
      <c r="N102" s="259"/>
      <c r="O102" s="5"/>
      <c r="P102" s="5"/>
      <c r="Q102" s="5"/>
      <c r="R102" s="5"/>
      <c r="S102" s="5"/>
      <c r="T102" s="5"/>
      <c r="U102" s="5"/>
    </row>
    <row r="103" spans="2:21">
      <c r="B103" s="5"/>
      <c r="C103" s="259"/>
      <c r="D103" s="259"/>
      <c r="E103" s="259"/>
      <c r="F103" s="259"/>
      <c r="G103" s="259"/>
      <c r="H103" s="259"/>
      <c r="I103" s="247"/>
      <c r="J103" s="247"/>
      <c r="K103" s="247"/>
      <c r="L103" s="247"/>
      <c r="M103" s="247"/>
      <c r="N103" s="247"/>
      <c r="O103" s="5"/>
      <c r="Q103" s="5"/>
      <c r="R103" s="5"/>
      <c r="S103" s="5"/>
      <c r="T103" s="5"/>
      <c r="U103" s="5"/>
    </row>
    <row r="104" spans="2:21" s="5" customFormat="1">
      <c r="C104" s="247"/>
      <c r="D104" s="247"/>
      <c r="E104" s="247"/>
      <c r="F104" s="247"/>
      <c r="G104" s="247"/>
      <c r="H104" s="247"/>
      <c r="P104" s="39"/>
    </row>
    <row r="105" spans="2:21" s="5" customFormat="1">
      <c r="I105" s="259"/>
      <c r="J105" s="247"/>
      <c r="K105" s="247"/>
      <c r="L105" s="247"/>
      <c r="M105" s="247"/>
      <c r="N105" s="247"/>
      <c r="P105" s="39"/>
    </row>
    <row r="106" spans="2:21">
      <c r="B106" s="5"/>
      <c r="C106" s="259"/>
      <c r="D106" s="247"/>
      <c r="E106" s="247"/>
      <c r="F106" s="247"/>
      <c r="G106" s="247"/>
      <c r="H106" s="247"/>
      <c r="I106" s="247"/>
      <c r="J106" s="5"/>
      <c r="K106" s="5"/>
      <c r="L106" s="5"/>
      <c r="M106" s="5"/>
      <c r="N106" s="5"/>
      <c r="O106" s="5"/>
      <c r="P106" s="5"/>
      <c r="Q106" s="5"/>
      <c r="R106" s="5"/>
      <c r="S106" s="5"/>
      <c r="T106" s="5"/>
      <c r="U106" s="5"/>
    </row>
    <row r="107" spans="2:21">
      <c r="B107" s="5"/>
      <c r="C107" s="259"/>
      <c r="D107" s="5"/>
      <c r="E107" s="5"/>
      <c r="F107" s="5"/>
      <c r="G107" s="5"/>
      <c r="H107" s="5"/>
      <c r="I107" s="249"/>
      <c r="J107" s="259"/>
      <c r="K107" s="259"/>
      <c r="L107" s="259"/>
      <c r="M107" s="259"/>
      <c r="N107" s="259"/>
      <c r="O107" s="5"/>
      <c r="P107" s="5"/>
      <c r="Q107" s="5"/>
      <c r="R107" s="5"/>
      <c r="S107" s="5"/>
      <c r="T107" s="5"/>
      <c r="U107" s="5"/>
    </row>
    <row r="108" spans="2:21">
      <c r="B108" s="5"/>
      <c r="C108" s="259"/>
      <c r="D108" s="259"/>
      <c r="E108" s="259"/>
      <c r="F108" s="259"/>
      <c r="G108" s="259"/>
      <c r="H108" s="259"/>
      <c r="I108" s="249"/>
      <c r="J108" s="247"/>
      <c r="K108" s="247"/>
      <c r="L108" s="247"/>
      <c r="M108" s="247"/>
      <c r="N108" s="247"/>
      <c r="O108" s="5"/>
      <c r="Q108" s="5"/>
      <c r="R108" s="5"/>
      <c r="S108" s="5"/>
      <c r="T108" s="5"/>
      <c r="U108" s="5"/>
    </row>
    <row r="109" spans="2:21">
      <c r="B109" s="5"/>
      <c r="C109" s="247"/>
      <c r="D109" s="247"/>
      <c r="E109" s="247"/>
      <c r="F109" s="247"/>
      <c r="G109" s="247"/>
      <c r="H109" s="247"/>
      <c r="I109" s="247"/>
      <c r="J109" s="249"/>
      <c r="K109" s="249"/>
      <c r="L109" s="249"/>
      <c r="M109" s="249"/>
      <c r="N109" s="249"/>
      <c r="O109" s="5"/>
      <c r="Q109" s="5"/>
      <c r="R109" s="5"/>
      <c r="S109" s="5"/>
      <c r="T109" s="5"/>
      <c r="U109" s="5"/>
    </row>
    <row r="110" spans="2:21">
      <c r="B110" s="41"/>
      <c r="C110" s="249"/>
      <c r="D110" s="249"/>
      <c r="E110" s="249"/>
      <c r="F110" s="249"/>
      <c r="G110" s="249"/>
      <c r="H110" s="249"/>
      <c r="I110" s="5"/>
      <c r="J110" s="249"/>
      <c r="K110" s="249"/>
      <c r="L110" s="249"/>
      <c r="M110" s="249"/>
      <c r="N110" s="249"/>
      <c r="O110" s="5"/>
      <c r="Q110" s="5"/>
      <c r="R110" s="5"/>
      <c r="S110" s="5"/>
      <c r="T110" s="5"/>
      <c r="U110" s="5"/>
    </row>
    <row r="111" spans="2:21">
      <c r="B111" s="5"/>
      <c r="C111" s="249"/>
      <c r="D111" s="249"/>
      <c r="E111" s="249"/>
      <c r="F111" s="249"/>
      <c r="G111" s="249"/>
      <c r="H111" s="249"/>
      <c r="I111" s="5"/>
      <c r="J111" s="247"/>
      <c r="K111" s="247"/>
      <c r="L111" s="247"/>
      <c r="M111" s="247"/>
      <c r="N111" s="247"/>
      <c r="O111" s="5"/>
      <c r="Q111" s="5"/>
      <c r="R111" s="5"/>
      <c r="S111" s="5"/>
      <c r="T111" s="5"/>
      <c r="U111" s="5"/>
    </row>
    <row r="112" spans="2:21">
      <c r="B112" s="5"/>
      <c r="C112" s="247"/>
      <c r="D112" s="247"/>
      <c r="E112" s="247"/>
      <c r="F112" s="247"/>
      <c r="G112" s="247"/>
      <c r="H112" s="247"/>
      <c r="I112" s="5"/>
      <c r="J112" s="5"/>
      <c r="K112" s="5"/>
      <c r="L112" s="5"/>
      <c r="M112" s="5"/>
      <c r="N112" s="5"/>
      <c r="O112" s="5"/>
      <c r="Q112" s="5"/>
      <c r="R112" s="5"/>
      <c r="S112" s="5"/>
      <c r="T112" s="5"/>
      <c r="U112" s="5"/>
    </row>
    <row r="113" spans="2:21">
      <c r="B113" s="5"/>
      <c r="C113" s="5"/>
      <c r="D113" s="5"/>
      <c r="E113" s="5"/>
      <c r="F113" s="5"/>
      <c r="G113" s="5"/>
      <c r="H113" s="5"/>
      <c r="I113" s="5"/>
      <c r="J113" s="5"/>
      <c r="K113" s="5"/>
      <c r="L113" s="5"/>
      <c r="M113" s="5"/>
      <c r="N113" s="5"/>
      <c r="O113" s="5"/>
      <c r="Q113" s="5"/>
      <c r="R113" s="5"/>
      <c r="S113" s="5"/>
      <c r="T113" s="5"/>
      <c r="U113" s="5"/>
    </row>
    <row r="114" spans="2:21">
      <c r="B114" s="5"/>
      <c r="C114" s="5"/>
      <c r="D114" s="5"/>
      <c r="E114" s="5"/>
      <c r="F114" s="5"/>
      <c r="G114" s="5"/>
      <c r="H114" s="5"/>
      <c r="I114" s="49"/>
      <c r="J114" s="5"/>
      <c r="K114" s="5"/>
      <c r="L114" s="5"/>
      <c r="M114" s="5"/>
      <c r="N114" s="5"/>
      <c r="O114" s="5"/>
      <c r="Q114" s="41"/>
      <c r="R114" s="5"/>
      <c r="S114" s="5"/>
      <c r="T114" s="5"/>
      <c r="U114" s="5"/>
    </row>
    <row r="115" spans="2:21">
      <c r="B115" s="5"/>
      <c r="C115" s="5"/>
      <c r="D115" s="5"/>
      <c r="E115" s="5"/>
      <c r="F115" s="5"/>
      <c r="G115" s="5"/>
      <c r="H115" s="5"/>
      <c r="I115" s="5"/>
      <c r="J115" s="5"/>
      <c r="K115" s="5"/>
      <c r="L115" s="5"/>
      <c r="M115" s="5"/>
      <c r="N115" s="5"/>
      <c r="O115" s="5"/>
      <c r="Q115" s="5"/>
      <c r="R115" s="5"/>
      <c r="S115" s="5"/>
      <c r="T115" s="5"/>
      <c r="U115" s="5"/>
    </row>
    <row r="116" spans="2:21">
      <c r="B116" s="5"/>
      <c r="C116" s="5"/>
      <c r="D116" s="5"/>
      <c r="E116" s="5"/>
      <c r="F116" s="5"/>
      <c r="G116" s="5"/>
      <c r="H116" s="5"/>
      <c r="I116" s="254"/>
      <c r="J116" s="49"/>
      <c r="K116" s="49"/>
      <c r="L116" s="49"/>
      <c r="M116" s="49"/>
      <c r="N116" s="49"/>
      <c r="O116" s="49"/>
      <c r="Q116" s="5"/>
      <c r="R116" s="5"/>
      <c r="S116" s="5"/>
      <c r="T116" s="5"/>
      <c r="U116" s="5"/>
    </row>
    <row r="117" spans="2:21">
      <c r="B117" s="41"/>
      <c r="C117" s="49"/>
      <c r="D117" s="49"/>
      <c r="E117" s="49"/>
      <c r="F117" s="49"/>
      <c r="G117" s="49"/>
      <c r="H117" s="49"/>
      <c r="I117" s="249"/>
      <c r="J117" s="5"/>
      <c r="K117" s="5"/>
      <c r="L117" s="5"/>
      <c r="M117" s="5"/>
      <c r="N117" s="5"/>
      <c r="O117" s="5"/>
      <c r="Q117" s="5"/>
      <c r="R117" s="5"/>
      <c r="S117" s="5"/>
      <c r="T117" s="5"/>
      <c r="U117" s="5"/>
    </row>
    <row r="118" spans="2:21">
      <c r="B118" s="5"/>
      <c r="C118" s="5"/>
      <c r="D118" s="5"/>
      <c r="E118" s="5"/>
      <c r="F118" s="5"/>
      <c r="G118" s="5"/>
      <c r="H118" s="5"/>
      <c r="I118" s="254"/>
      <c r="J118" s="254"/>
      <c r="K118" s="254"/>
      <c r="L118" s="254"/>
      <c r="M118" s="254"/>
      <c r="N118" s="254"/>
      <c r="O118" s="248"/>
      <c r="Q118" s="5"/>
      <c r="R118" s="5"/>
      <c r="S118" s="5"/>
      <c r="T118" s="5"/>
      <c r="U118" s="5"/>
    </row>
    <row r="119" spans="2:21">
      <c r="B119" s="41"/>
      <c r="C119" s="254"/>
      <c r="D119" s="254"/>
      <c r="E119" s="254"/>
      <c r="F119" s="254"/>
      <c r="G119" s="254"/>
      <c r="H119" s="254"/>
      <c r="I119" s="254"/>
      <c r="J119" s="249"/>
      <c r="K119" s="249"/>
      <c r="L119" s="249"/>
      <c r="M119" s="249"/>
      <c r="N119" s="249"/>
      <c r="O119" s="248"/>
      <c r="Q119" s="5"/>
      <c r="R119" s="5"/>
      <c r="S119" s="5"/>
      <c r="T119" s="5"/>
      <c r="U119" s="5"/>
    </row>
    <row r="120" spans="2:21">
      <c r="B120" s="41"/>
      <c r="C120" s="254"/>
      <c r="D120" s="249"/>
      <c r="E120" s="249"/>
      <c r="F120" s="249"/>
      <c r="G120" s="249"/>
      <c r="H120" s="249"/>
      <c r="I120" s="254"/>
      <c r="J120" s="254"/>
      <c r="K120" s="254"/>
      <c r="L120" s="254"/>
      <c r="M120" s="254"/>
      <c r="N120" s="254"/>
      <c r="O120" s="248"/>
      <c r="Q120" s="5"/>
      <c r="R120" s="5"/>
      <c r="S120" s="5"/>
      <c r="T120" s="5"/>
      <c r="U120" s="5"/>
    </row>
    <row r="121" spans="2:21">
      <c r="B121" s="41"/>
      <c r="C121" s="254"/>
      <c r="D121" s="254"/>
      <c r="E121" s="254"/>
      <c r="F121" s="254"/>
      <c r="G121" s="254"/>
      <c r="H121" s="254"/>
      <c r="I121" s="254"/>
      <c r="J121" s="254"/>
      <c r="K121" s="254"/>
      <c r="L121" s="254"/>
      <c r="M121" s="254"/>
      <c r="N121" s="254"/>
      <c r="O121" s="248"/>
      <c r="Q121" s="5"/>
      <c r="R121" s="5"/>
      <c r="S121" s="5"/>
      <c r="T121" s="5"/>
      <c r="U121" s="5"/>
    </row>
    <row r="122" spans="2:21">
      <c r="B122" s="41"/>
      <c r="C122" s="254"/>
      <c r="D122" s="254"/>
      <c r="E122" s="254"/>
      <c r="F122" s="254"/>
      <c r="G122" s="254"/>
      <c r="H122" s="254"/>
      <c r="I122" s="254"/>
      <c r="J122" s="254"/>
      <c r="K122" s="254"/>
      <c r="L122" s="254"/>
      <c r="M122" s="254"/>
      <c r="N122" s="254"/>
      <c r="O122" s="248"/>
      <c r="Q122" s="5"/>
      <c r="R122" s="5"/>
      <c r="S122" s="5"/>
      <c r="T122" s="5"/>
      <c r="U122" s="5"/>
    </row>
    <row r="123" spans="2:21">
      <c r="B123" s="41"/>
      <c r="C123" s="254"/>
      <c r="D123" s="254"/>
      <c r="E123" s="254"/>
      <c r="F123" s="254"/>
      <c r="G123" s="254"/>
      <c r="H123" s="254"/>
      <c r="I123" s="254"/>
      <c r="J123" s="254"/>
      <c r="K123" s="254"/>
      <c r="L123" s="254"/>
      <c r="M123" s="254"/>
      <c r="N123" s="254"/>
      <c r="O123" s="248"/>
      <c r="Q123" s="5"/>
      <c r="R123" s="5"/>
      <c r="S123" s="5"/>
      <c r="T123" s="5"/>
      <c r="U123" s="5"/>
    </row>
    <row r="124" spans="2:21">
      <c r="B124" s="41"/>
      <c r="C124" s="254"/>
      <c r="D124" s="254"/>
      <c r="E124" s="254"/>
      <c r="F124" s="254"/>
      <c r="G124" s="254"/>
      <c r="H124" s="254"/>
      <c r="I124" s="254"/>
      <c r="J124" s="254"/>
      <c r="K124" s="254"/>
      <c r="L124" s="254"/>
      <c r="M124" s="254"/>
      <c r="N124" s="254"/>
      <c r="O124" s="5"/>
      <c r="Q124" s="5"/>
      <c r="R124" s="5"/>
      <c r="S124" s="5"/>
      <c r="T124" s="5"/>
      <c r="U124" s="5"/>
    </row>
    <row r="125" spans="2:21">
      <c r="B125" s="41"/>
      <c r="C125" s="254"/>
      <c r="D125" s="254"/>
      <c r="E125" s="254"/>
      <c r="F125" s="254"/>
      <c r="G125" s="254"/>
      <c r="H125" s="254"/>
      <c r="I125" s="254"/>
      <c r="J125" s="254"/>
      <c r="K125" s="254"/>
      <c r="L125" s="254"/>
      <c r="M125" s="254"/>
      <c r="N125" s="254"/>
      <c r="O125" s="5"/>
      <c r="Q125" s="5"/>
      <c r="R125" s="5"/>
      <c r="S125" s="5"/>
      <c r="T125" s="5"/>
      <c r="U125" s="5"/>
    </row>
    <row r="126" spans="2:21">
      <c r="B126" s="41"/>
      <c r="C126" s="254"/>
      <c r="D126" s="254"/>
      <c r="E126" s="254"/>
      <c r="F126" s="254"/>
      <c r="G126" s="254"/>
      <c r="H126" s="254"/>
      <c r="I126" s="18"/>
      <c r="J126" s="254"/>
      <c r="K126" s="254"/>
      <c r="L126" s="254"/>
      <c r="M126" s="254"/>
      <c r="N126" s="254"/>
      <c r="O126" s="5"/>
      <c r="Q126" s="5"/>
      <c r="R126" s="5"/>
      <c r="S126" s="5"/>
      <c r="T126" s="5"/>
      <c r="U126" s="5"/>
    </row>
    <row r="127" spans="2:21">
      <c r="B127" s="41"/>
      <c r="C127" s="254"/>
      <c r="D127" s="254"/>
      <c r="E127" s="254"/>
      <c r="F127" s="254"/>
      <c r="G127" s="254"/>
      <c r="H127" s="254"/>
      <c r="I127" s="5"/>
      <c r="J127" s="254"/>
      <c r="K127" s="254"/>
      <c r="L127" s="254"/>
      <c r="M127" s="254"/>
      <c r="N127" s="254"/>
      <c r="O127" s="5"/>
      <c r="Q127" s="5"/>
      <c r="R127" s="5"/>
      <c r="S127" s="5"/>
      <c r="T127" s="5"/>
      <c r="U127" s="5"/>
    </row>
    <row r="128" spans="2:21">
      <c r="B128" s="41"/>
      <c r="C128" s="254"/>
      <c r="D128" s="254"/>
      <c r="E128" s="254"/>
      <c r="F128" s="254"/>
      <c r="G128" s="254"/>
      <c r="H128" s="254"/>
      <c r="I128" s="254"/>
      <c r="J128" s="18"/>
      <c r="K128" s="18"/>
      <c r="L128" s="18"/>
      <c r="M128" s="18"/>
      <c r="N128" s="18"/>
      <c r="O128" s="5"/>
      <c r="Q128" s="5"/>
      <c r="R128" s="5"/>
      <c r="S128" s="5"/>
      <c r="T128" s="5"/>
      <c r="U128" s="5"/>
    </row>
    <row r="129" spans="2:27">
      <c r="B129" s="5"/>
      <c r="C129" s="5"/>
      <c r="D129" s="18"/>
      <c r="E129" s="18"/>
      <c r="F129" s="18"/>
      <c r="G129" s="18"/>
      <c r="H129" s="18"/>
      <c r="I129" s="18"/>
      <c r="J129" s="5"/>
      <c r="K129" s="5"/>
      <c r="L129" s="5"/>
      <c r="M129" s="5"/>
      <c r="N129" s="5"/>
      <c r="O129" s="5"/>
      <c r="Q129" s="5"/>
      <c r="R129" s="5"/>
      <c r="S129" s="5"/>
      <c r="T129" s="5"/>
      <c r="U129" s="5"/>
    </row>
    <row r="130" spans="2:27">
      <c r="B130" s="5"/>
      <c r="C130" s="5"/>
      <c r="D130" s="5"/>
      <c r="E130" s="5"/>
      <c r="F130" s="5"/>
      <c r="G130" s="5"/>
      <c r="H130" s="5"/>
      <c r="I130" s="5"/>
      <c r="J130" s="254"/>
      <c r="K130" s="254"/>
      <c r="L130" s="254"/>
      <c r="M130" s="254"/>
      <c r="N130" s="254"/>
      <c r="O130" s="5"/>
      <c r="Q130" s="5"/>
      <c r="R130" s="5"/>
      <c r="S130" s="5"/>
      <c r="T130" s="5"/>
      <c r="U130" s="5"/>
    </row>
    <row r="131" spans="2:27">
      <c r="B131" s="41"/>
      <c r="C131" s="254"/>
      <c r="D131" s="254"/>
      <c r="E131" s="254"/>
      <c r="F131" s="254"/>
      <c r="G131" s="254"/>
      <c r="H131" s="254"/>
      <c r="I131" s="5"/>
      <c r="J131" s="18"/>
      <c r="K131" s="18"/>
      <c r="L131" s="18"/>
      <c r="M131" s="18"/>
      <c r="N131" s="18"/>
      <c r="O131" s="5"/>
      <c r="Q131" s="5"/>
      <c r="R131" s="5"/>
      <c r="S131" s="5"/>
      <c r="T131" s="5"/>
      <c r="U131" s="5"/>
    </row>
    <row r="132" spans="2:27">
      <c r="B132" s="5"/>
      <c r="C132" s="259"/>
      <c r="D132" s="18"/>
      <c r="E132" s="18"/>
      <c r="F132" s="18"/>
      <c r="G132" s="18"/>
      <c r="H132" s="18"/>
      <c r="I132" s="17"/>
      <c r="J132" s="5"/>
      <c r="K132" s="5"/>
      <c r="L132" s="5"/>
      <c r="M132" s="5"/>
      <c r="N132" s="5"/>
      <c r="O132" s="5"/>
      <c r="Q132" s="5"/>
      <c r="R132" s="5"/>
      <c r="S132" s="5"/>
      <c r="T132" s="5"/>
      <c r="U132" s="5"/>
    </row>
    <row r="133" spans="2:27">
      <c r="B133" s="5"/>
      <c r="C133" s="5"/>
      <c r="D133" s="5"/>
      <c r="E133" s="5"/>
      <c r="F133" s="5"/>
      <c r="G133" s="5"/>
      <c r="H133" s="5"/>
      <c r="I133" s="17"/>
      <c r="J133" s="5"/>
      <c r="K133" s="5"/>
      <c r="L133" s="5"/>
      <c r="M133" s="5"/>
      <c r="N133" s="5"/>
      <c r="O133" s="5"/>
      <c r="Q133" s="5"/>
      <c r="R133" s="5"/>
      <c r="S133" s="5"/>
      <c r="T133" s="5"/>
      <c r="U133" s="5"/>
    </row>
    <row r="134" spans="2:27">
      <c r="B134" s="41"/>
      <c r="C134" s="5"/>
      <c r="D134" s="5"/>
      <c r="E134" s="5"/>
      <c r="F134" s="5"/>
      <c r="G134" s="5"/>
      <c r="H134" s="5"/>
      <c r="I134" s="17"/>
      <c r="J134" s="17"/>
      <c r="K134" s="17"/>
      <c r="L134" s="17"/>
      <c r="M134" s="17"/>
      <c r="N134" s="17"/>
      <c r="O134" s="5"/>
      <c r="Q134" s="41"/>
      <c r="R134" s="5"/>
      <c r="S134" s="5"/>
      <c r="T134" s="5"/>
      <c r="U134" s="5"/>
    </row>
    <row r="135" spans="2:27">
      <c r="B135" s="5"/>
      <c r="C135" s="17"/>
      <c r="D135" s="17"/>
      <c r="E135" s="17"/>
      <c r="F135" s="17"/>
      <c r="G135" s="17"/>
      <c r="H135" s="17"/>
      <c r="I135" s="17"/>
      <c r="J135" s="17"/>
      <c r="K135" s="17"/>
      <c r="L135" s="17"/>
      <c r="M135" s="17"/>
      <c r="N135" s="17"/>
      <c r="O135" s="5"/>
      <c r="Q135" s="5"/>
      <c r="R135" s="5"/>
      <c r="S135" s="5"/>
      <c r="T135" s="5"/>
      <c r="U135" s="5"/>
      <c r="X135" s="304"/>
    </row>
    <row r="136" spans="2:27">
      <c r="B136" s="5"/>
      <c r="C136" s="17"/>
      <c r="D136" s="17"/>
      <c r="E136" s="17"/>
      <c r="F136" s="17"/>
      <c r="G136" s="17"/>
      <c r="H136" s="17"/>
      <c r="I136" s="17"/>
      <c r="J136" s="17"/>
      <c r="K136" s="17"/>
      <c r="L136" s="17"/>
      <c r="M136" s="17"/>
      <c r="N136" s="17"/>
      <c r="O136" s="5"/>
      <c r="Q136" s="5"/>
      <c r="R136" s="5"/>
      <c r="S136" s="5"/>
      <c r="T136" s="5"/>
      <c r="U136" s="5"/>
      <c r="X136" s="10"/>
      <c r="Y136" s="304"/>
      <c r="Z136" s="304"/>
      <c r="AA136" s="304"/>
    </row>
    <row r="137" spans="2:27">
      <c r="B137" s="5"/>
      <c r="C137" s="5"/>
      <c r="D137" s="17"/>
      <c r="E137" s="17"/>
      <c r="F137" s="17"/>
      <c r="G137" s="17"/>
      <c r="H137" s="17"/>
      <c r="I137" s="17"/>
      <c r="J137" s="17"/>
      <c r="K137" s="17"/>
      <c r="L137" s="17"/>
      <c r="M137" s="17"/>
      <c r="N137" s="17"/>
      <c r="O137" s="5"/>
      <c r="Q137" s="5"/>
      <c r="R137" s="5"/>
      <c r="S137" s="5"/>
      <c r="T137" s="5"/>
      <c r="U137" s="5"/>
      <c r="Y137" s="10"/>
      <c r="Z137" s="10"/>
      <c r="AA137" s="10"/>
    </row>
    <row r="138" spans="2:27">
      <c r="B138" s="5"/>
      <c r="C138" s="5"/>
      <c r="D138" s="17"/>
      <c r="E138" s="17"/>
      <c r="F138" s="17"/>
      <c r="G138" s="17"/>
      <c r="H138" s="17"/>
      <c r="I138" s="5"/>
      <c r="J138" s="17"/>
      <c r="K138" s="17"/>
      <c r="L138" s="17"/>
      <c r="M138" s="17"/>
      <c r="N138" s="17"/>
      <c r="O138" s="5"/>
      <c r="Q138" s="5"/>
      <c r="R138" s="5"/>
      <c r="S138" s="5"/>
      <c r="T138" s="5"/>
      <c r="U138" s="5"/>
    </row>
    <row r="139" spans="2:27">
      <c r="B139" s="5"/>
      <c r="C139" s="5"/>
      <c r="D139" s="17"/>
      <c r="E139" s="17"/>
      <c r="F139" s="17"/>
      <c r="G139" s="17"/>
      <c r="H139" s="17"/>
      <c r="I139" s="5"/>
      <c r="J139" s="17"/>
      <c r="K139" s="17"/>
      <c r="L139" s="17"/>
      <c r="M139" s="17"/>
      <c r="N139" s="17"/>
      <c r="O139" s="5"/>
      <c r="Q139" s="5"/>
      <c r="R139" s="5"/>
      <c r="S139" s="5"/>
      <c r="T139" s="5"/>
      <c r="U139" s="5"/>
    </row>
    <row r="140" spans="2:27">
      <c r="B140" s="5"/>
      <c r="C140" s="17"/>
      <c r="D140" s="17"/>
      <c r="E140" s="17"/>
      <c r="F140" s="17"/>
      <c r="G140" s="17"/>
      <c r="H140" s="17"/>
      <c r="I140" s="5"/>
      <c r="J140" s="5"/>
      <c r="K140" s="5"/>
      <c r="L140" s="5"/>
      <c r="M140" s="5"/>
      <c r="N140" s="5"/>
      <c r="O140" s="5"/>
      <c r="Q140" s="5"/>
      <c r="R140" s="5"/>
      <c r="S140" s="5"/>
      <c r="T140" s="5"/>
      <c r="U140" s="5"/>
    </row>
    <row r="141" spans="2:27">
      <c r="B141" s="5"/>
      <c r="C141" s="5"/>
      <c r="D141" s="5"/>
      <c r="E141" s="5"/>
      <c r="F141" s="5"/>
      <c r="G141" s="5"/>
      <c r="H141" s="5"/>
      <c r="I141" s="5"/>
      <c r="J141" s="5"/>
      <c r="K141" s="5"/>
      <c r="L141" s="5"/>
      <c r="M141" s="5"/>
      <c r="N141" s="5"/>
      <c r="O141" s="5"/>
      <c r="Q141" s="5"/>
      <c r="R141" s="5"/>
      <c r="S141" s="5"/>
      <c r="T141" s="5"/>
      <c r="U141" s="5"/>
    </row>
    <row r="142" spans="2:27">
      <c r="B142" s="5"/>
      <c r="C142" s="5"/>
      <c r="D142" s="5"/>
      <c r="E142" s="5"/>
      <c r="F142" s="5"/>
      <c r="G142" s="5"/>
      <c r="H142" s="5"/>
      <c r="I142" s="5"/>
      <c r="J142" s="5"/>
      <c r="K142" s="5"/>
      <c r="L142" s="5"/>
      <c r="M142" s="5"/>
      <c r="N142" s="5"/>
      <c r="O142" s="5"/>
      <c r="Q142" s="5"/>
      <c r="R142" s="5"/>
      <c r="S142" s="5"/>
      <c r="T142" s="5"/>
      <c r="U142" s="5"/>
    </row>
    <row r="143" spans="2:27">
      <c r="B143" s="5"/>
      <c r="C143" s="5"/>
      <c r="D143" s="5"/>
      <c r="E143" s="5"/>
      <c r="F143" s="5"/>
      <c r="G143" s="5"/>
      <c r="H143" s="5"/>
      <c r="I143" s="5"/>
      <c r="J143" s="5"/>
      <c r="K143" s="5"/>
      <c r="L143" s="5"/>
      <c r="M143" s="5"/>
      <c r="N143" s="5"/>
      <c r="O143" s="5"/>
      <c r="Q143" s="5"/>
      <c r="R143" s="5"/>
      <c r="S143" s="5"/>
      <c r="T143" s="5"/>
      <c r="U143" s="5"/>
    </row>
    <row r="144" spans="2:27">
      <c r="B144" s="5"/>
      <c r="C144" s="5"/>
      <c r="D144" s="5"/>
      <c r="E144" s="5"/>
      <c r="F144" s="5"/>
      <c r="G144" s="5"/>
      <c r="H144" s="5"/>
      <c r="I144" s="5"/>
      <c r="J144" s="5"/>
      <c r="K144" s="5"/>
      <c r="L144" s="5"/>
      <c r="M144" s="5"/>
      <c r="N144" s="5"/>
      <c r="O144" s="5"/>
      <c r="Q144" s="5"/>
      <c r="R144" s="5"/>
      <c r="S144" s="5"/>
      <c r="T144" s="5"/>
      <c r="U144" s="5"/>
    </row>
    <row r="145" spans="2:21">
      <c r="B145" s="5"/>
      <c r="C145" s="5"/>
      <c r="D145" s="5"/>
      <c r="E145" s="5"/>
      <c r="F145" s="5"/>
      <c r="G145" s="5"/>
      <c r="H145" s="5"/>
      <c r="I145" s="5"/>
      <c r="J145" s="5"/>
      <c r="K145" s="5"/>
      <c r="L145" s="5"/>
      <c r="M145" s="5"/>
      <c r="N145" s="5"/>
      <c r="O145" s="5"/>
      <c r="Q145" s="5"/>
      <c r="R145" s="5"/>
      <c r="S145" s="5"/>
      <c r="T145" s="5"/>
      <c r="U145" s="5"/>
    </row>
    <row r="146" spans="2:21">
      <c r="B146" s="5"/>
      <c r="C146" s="5"/>
      <c r="D146" s="5"/>
      <c r="E146" s="5"/>
      <c r="F146" s="5"/>
      <c r="G146" s="5"/>
      <c r="H146" s="5"/>
      <c r="I146" s="5"/>
      <c r="J146" s="5"/>
      <c r="K146" s="5"/>
      <c r="L146" s="5"/>
      <c r="M146" s="5"/>
      <c r="N146" s="5"/>
      <c r="O146" s="5"/>
      <c r="Q146" s="5"/>
      <c r="R146" s="5"/>
      <c r="S146" s="5"/>
      <c r="T146" s="5"/>
      <c r="U146" s="5"/>
    </row>
    <row r="147" spans="2:21">
      <c r="B147" s="5"/>
      <c r="C147" s="5"/>
      <c r="D147" s="5"/>
      <c r="E147" s="5"/>
      <c r="F147" s="5"/>
      <c r="G147" s="5"/>
      <c r="H147" s="5"/>
      <c r="I147" s="5"/>
      <c r="J147" s="5"/>
      <c r="K147" s="5"/>
      <c r="L147" s="5"/>
      <c r="M147" s="5"/>
      <c r="N147" s="5"/>
      <c r="O147" s="5"/>
      <c r="Q147" s="5"/>
      <c r="R147" s="5"/>
      <c r="S147" s="5"/>
      <c r="T147" s="5"/>
      <c r="U147" s="5"/>
    </row>
    <row r="148" spans="2:21">
      <c r="B148" s="5"/>
      <c r="C148" s="5"/>
      <c r="D148" s="5"/>
      <c r="E148" s="5"/>
      <c r="F148" s="5"/>
      <c r="G148" s="5"/>
      <c r="H148" s="5"/>
      <c r="J148" s="5"/>
      <c r="K148" s="5"/>
      <c r="L148" s="5"/>
      <c r="M148" s="5"/>
      <c r="N148" s="5"/>
      <c r="O148" s="5"/>
      <c r="Q148" s="5"/>
      <c r="R148" s="5"/>
      <c r="S148" s="5"/>
      <c r="T148" s="5"/>
      <c r="U148" s="5"/>
    </row>
    <row r="149" spans="2:21">
      <c r="B149" s="5"/>
      <c r="C149" s="5"/>
      <c r="D149" s="5"/>
      <c r="E149" s="5"/>
      <c r="F149" s="5"/>
      <c r="G149" s="5"/>
      <c r="H149" s="5"/>
      <c r="J149" s="5"/>
      <c r="K149" s="5"/>
      <c r="L149" s="5"/>
      <c r="M149" s="5"/>
      <c r="N149" s="5"/>
      <c r="O149" s="5"/>
      <c r="Q149" s="5"/>
      <c r="R149" s="5"/>
      <c r="S149" s="5"/>
      <c r="T149" s="5"/>
      <c r="U149" s="5"/>
    </row>
    <row r="150" spans="2:21">
      <c r="B150" s="5"/>
      <c r="C150" s="5"/>
      <c r="D150" s="5"/>
      <c r="E150" s="5"/>
      <c r="F150" s="5"/>
      <c r="G150" s="5"/>
      <c r="H150" s="5"/>
      <c r="Q150" s="5"/>
      <c r="R150" s="5"/>
      <c r="S150" s="5"/>
      <c r="T150" s="5"/>
      <c r="U150" s="5"/>
    </row>
    <row r="151" spans="2:21">
      <c r="Q151" s="5"/>
      <c r="R151" s="5"/>
      <c r="S151" s="5"/>
      <c r="T151" s="5"/>
      <c r="U151" s="5"/>
    </row>
    <row r="152" spans="2:21">
      <c r="Q152" s="5"/>
      <c r="R152" s="5"/>
      <c r="S152" s="5"/>
      <c r="T152" s="5"/>
      <c r="U152" s="5"/>
    </row>
    <row r="153" spans="2:21">
      <c r="C153" s="263"/>
      <c r="Q153" s="5"/>
      <c r="R153" s="5"/>
      <c r="S153" s="5"/>
      <c r="T153" s="5"/>
      <c r="U153" s="5"/>
    </row>
    <row r="154" spans="2:21">
      <c r="Q154" s="5"/>
      <c r="R154" s="5"/>
      <c r="S154" s="5"/>
      <c r="T154" s="5"/>
      <c r="U154" s="5"/>
    </row>
    <row r="155" spans="2:21">
      <c r="Q155" s="5"/>
      <c r="R155" s="5"/>
      <c r="S155" s="5"/>
      <c r="T155" s="5"/>
      <c r="U155" s="5"/>
    </row>
    <row r="156" spans="2:21">
      <c r="Q156" s="5"/>
      <c r="R156" s="5"/>
      <c r="S156" s="5"/>
      <c r="T156" s="5"/>
      <c r="U156" s="5"/>
    </row>
    <row r="157" spans="2:21">
      <c r="Q157" s="5"/>
      <c r="R157" s="5"/>
      <c r="S157" s="5"/>
      <c r="T157" s="5"/>
      <c r="U157" s="5"/>
    </row>
    <row r="158" spans="2:21">
      <c r="Q158" s="5"/>
      <c r="R158" s="5"/>
      <c r="S158" s="5"/>
      <c r="T158" s="5"/>
      <c r="U158" s="5"/>
    </row>
    <row r="159" spans="2:21">
      <c r="Q159" s="5"/>
      <c r="R159" s="5"/>
      <c r="S159" s="5"/>
      <c r="T159" s="5"/>
      <c r="U159" s="5"/>
    </row>
    <row r="160" spans="2:21">
      <c r="Q160" s="5"/>
      <c r="R160" s="5"/>
      <c r="S160" s="5"/>
      <c r="T160" s="5"/>
      <c r="U160" s="5"/>
    </row>
    <row r="161" spans="17:21">
      <c r="Q161" s="5"/>
      <c r="R161" s="5"/>
      <c r="S161" s="5"/>
      <c r="T161" s="5"/>
      <c r="U161" s="5"/>
    </row>
    <row r="162" spans="17:21">
      <c r="Q162" s="5"/>
      <c r="R162" s="5"/>
      <c r="S162" s="5"/>
      <c r="T162" s="5"/>
      <c r="U162" s="5"/>
    </row>
    <row r="163" spans="17:21">
      <c r="Q163" s="5"/>
      <c r="R163" s="5"/>
      <c r="S163" s="5"/>
      <c r="T163" s="5"/>
      <c r="U163" s="5"/>
    </row>
    <row r="164" spans="17:21">
      <c r="Q164" s="5"/>
      <c r="R164" s="5"/>
      <c r="S164" s="5"/>
      <c r="T164" s="5"/>
      <c r="U164" s="5"/>
    </row>
  </sheetData>
  <phoneticPr fontId="7" type="noConversion"/>
  <pageMargins left="0.75" right="0.75" top="1" bottom="1" header="0.5" footer="0.5"/>
  <pageSetup scale="21" orientation="landscape" r:id="rId1"/>
  <headerFooter alignWithMargins="0"/>
  <drawing r:id="rId2"/>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700-000000000000}">
  <sheetPr codeName="Sheet95">
    <tabColor theme="3" tint="0.59999389629810485"/>
    <pageSetUpPr fitToPage="1"/>
  </sheetPr>
  <dimension ref="B1:BK164"/>
  <sheetViews>
    <sheetView showGridLines="0" zoomScale="80" zoomScaleNormal="80" workbookViewId="0">
      <selection activeCell="G11" sqref="G11"/>
    </sheetView>
  </sheetViews>
  <sheetFormatPr defaultColWidth="8.88671875" defaultRowHeight="12"/>
  <cols>
    <col min="1" max="1" width="2.33203125" style="39" customWidth="1"/>
    <col min="2" max="2" width="26.6640625" style="39" customWidth="1"/>
    <col min="3" max="9" width="10" style="39" customWidth="1"/>
    <col min="10" max="10" width="26.6640625" style="39" customWidth="1"/>
    <col min="11" max="16" width="10" style="39" customWidth="1"/>
    <col min="17" max="17" width="4.5546875" style="39" customWidth="1"/>
    <col min="18" max="20" width="8.88671875" style="39"/>
    <col min="21" max="21" width="3.6640625" style="39" customWidth="1"/>
    <col min="22" max="63" width="9.109375" style="5" customWidth="1"/>
    <col min="64" max="16384" width="8.88671875" style="39"/>
  </cols>
  <sheetData>
    <row r="1" spans="2:63" s="312" customFormat="1">
      <c r="V1" s="149"/>
      <c r="W1" s="149"/>
      <c r="X1" s="149"/>
      <c r="Y1" s="149"/>
      <c r="Z1" s="149"/>
      <c r="AA1" s="149"/>
      <c r="AB1" s="149"/>
      <c r="AC1" s="149"/>
      <c r="AD1" s="149"/>
      <c r="AE1" s="149"/>
      <c r="AF1" s="149"/>
      <c r="AG1" s="149"/>
      <c r="AH1" s="149"/>
      <c r="AI1" s="149"/>
      <c r="AJ1" s="149"/>
      <c r="AK1" s="149"/>
      <c r="AL1" s="149"/>
      <c r="AM1" s="149"/>
      <c r="AN1" s="149"/>
      <c r="AO1" s="149"/>
      <c r="AP1" s="149"/>
      <c r="AQ1" s="149"/>
      <c r="AR1" s="149"/>
      <c r="AS1" s="149"/>
      <c r="AT1" s="149"/>
      <c r="AU1" s="149"/>
      <c r="AV1" s="149"/>
      <c r="AW1" s="149"/>
      <c r="AX1" s="149"/>
      <c r="AY1" s="149"/>
      <c r="AZ1" s="149"/>
      <c r="BA1" s="149"/>
      <c r="BB1" s="149"/>
      <c r="BC1" s="149"/>
      <c r="BD1" s="149"/>
      <c r="BE1" s="149"/>
      <c r="BF1" s="149"/>
      <c r="BG1" s="149"/>
      <c r="BH1" s="149"/>
      <c r="BI1" s="149"/>
      <c r="BJ1" s="149"/>
      <c r="BK1" s="149"/>
    </row>
    <row r="2" spans="2:63" s="312" customFormat="1">
      <c r="V2" s="149"/>
      <c r="W2" s="149"/>
      <c r="X2" s="149"/>
      <c r="Y2" s="149"/>
      <c r="Z2" s="149"/>
      <c r="AA2" s="149"/>
      <c r="AB2" s="149"/>
      <c r="AC2" s="149"/>
      <c r="AD2" s="149"/>
      <c r="AE2" s="149"/>
      <c r="AF2" s="149"/>
      <c r="AG2" s="149"/>
      <c r="AH2" s="149"/>
      <c r="AI2" s="149"/>
      <c r="AJ2" s="149"/>
      <c r="AK2" s="149"/>
      <c r="AL2" s="149"/>
      <c r="AM2" s="149"/>
      <c r="AN2" s="149"/>
      <c r="AO2" s="149"/>
      <c r="AP2" s="149"/>
      <c r="AQ2" s="149"/>
      <c r="AR2" s="149"/>
      <c r="AS2" s="149"/>
      <c r="AT2" s="149"/>
      <c r="AU2" s="149"/>
      <c r="AV2" s="149"/>
      <c r="AW2" s="149"/>
      <c r="AX2" s="149"/>
      <c r="AY2" s="149"/>
      <c r="AZ2" s="149"/>
      <c r="BA2" s="149"/>
      <c r="BB2" s="149"/>
      <c r="BC2" s="149"/>
      <c r="BD2" s="149"/>
      <c r="BE2" s="149"/>
      <c r="BF2" s="149"/>
      <c r="BG2" s="149"/>
      <c r="BH2" s="149"/>
      <c r="BI2" s="149"/>
      <c r="BJ2" s="149"/>
      <c r="BK2" s="149"/>
    </row>
    <row r="3" spans="2:63" s="149" customFormat="1">
      <c r="H3" s="153"/>
      <c r="P3" s="153"/>
    </row>
    <row r="4" spans="2:63" s="156" customFormat="1" ht="21">
      <c r="B4" s="129" t="s">
        <v>1391</v>
      </c>
      <c r="H4" s="222"/>
      <c r="P4" s="222"/>
    </row>
    <row r="5" spans="2:63" s="149" customFormat="1">
      <c r="C5" s="153"/>
      <c r="D5" s="153" t="str" cm="1">
        <f t="array" ref="D5:H5">headings</f>
        <v>2023E</v>
      </c>
      <c r="E5" s="153" t="str">
        <v>2024E</v>
      </c>
      <c r="F5" s="153" t="str">
        <v>2025E</v>
      </c>
      <c r="G5" s="153" t="str">
        <v>2026E</v>
      </c>
      <c r="H5" s="153" t="str">
        <v>23E-26E</v>
      </c>
      <c r="I5" s="153"/>
      <c r="J5" s="153"/>
      <c r="K5" s="153"/>
      <c r="L5" s="153" t="str" cm="1">
        <f t="array" ref="L5:P5">headings</f>
        <v>2023E</v>
      </c>
      <c r="M5" s="153" t="str">
        <v>2024E</v>
      </c>
      <c r="N5" s="153" t="str">
        <v>2025E</v>
      </c>
      <c r="O5" s="153" t="str">
        <v>2026E</v>
      </c>
      <c r="P5" s="153" t="str">
        <v>23E-26E</v>
      </c>
      <c r="Q5" s="162"/>
      <c r="R5" s="162"/>
      <c r="S5" s="162"/>
      <c r="T5" s="162"/>
      <c r="U5" s="162"/>
      <c r="V5" s="162"/>
      <c r="W5" s="162"/>
      <c r="X5" s="162"/>
      <c r="Y5" s="162"/>
    </row>
    <row r="6" spans="2:63">
      <c r="I6" s="5"/>
      <c r="J6" s="5"/>
      <c r="K6" s="5"/>
      <c r="L6" s="5"/>
      <c r="M6" s="5"/>
      <c r="N6" s="5"/>
      <c r="O6" s="49"/>
    </row>
    <row r="7" spans="2:63" ht="12.6" thickBot="1">
      <c r="B7" s="306" t="s">
        <v>271</v>
      </c>
      <c r="C7" s="265"/>
      <c r="D7" s="265"/>
      <c r="E7" s="265"/>
      <c r="F7" s="265"/>
      <c r="G7" s="265"/>
      <c r="H7" s="265"/>
      <c r="I7" s="49"/>
      <c r="J7" s="306" t="s">
        <v>92</v>
      </c>
      <c r="K7" s="306"/>
      <c r="L7" s="306"/>
      <c r="M7" s="306"/>
      <c r="N7" s="266"/>
      <c r="O7" s="266"/>
      <c r="P7" s="266"/>
    </row>
    <row r="8" spans="2:63" ht="12.6" thickTop="1">
      <c r="B8" s="5"/>
      <c r="C8" s="5"/>
      <c r="D8" s="5"/>
      <c r="E8" s="5"/>
      <c r="F8" s="5"/>
      <c r="G8" s="5"/>
      <c r="H8" s="5"/>
      <c r="I8" s="5"/>
      <c r="J8" s="5"/>
      <c r="K8" s="5"/>
      <c r="L8" s="5"/>
      <c r="M8" s="5"/>
      <c r="N8" s="5"/>
    </row>
    <row r="9" spans="2:63">
      <c r="B9" s="41" t="s">
        <v>500</v>
      </c>
      <c r="C9" s="287"/>
      <c r="D9" s="5"/>
      <c r="E9" s="249"/>
      <c r="F9" s="249"/>
      <c r="G9" s="249"/>
      <c r="H9" s="249"/>
      <c r="I9" s="249"/>
      <c r="J9" s="5" t="s">
        <v>273</v>
      </c>
      <c r="L9" s="64">
        <f>'AGG DM ASIA'!D37</f>
        <v>1.8519342895112167</v>
      </c>
      <c r="M9" s="64">
        <f>'AGG DM ASIA'!E37</f>
        <v>1.6981296516120512</v>
      </c>
      <c r="N9" s="64">
        <f>'AGG DM ASIA'!F37</f>
        <v>1.5467283397955327</v>
      </c>
      <c r="O9" s="64">
        <f>'AGG DM ASIA'!G37</f>
        <v>1.3955049938533843</v>
      </c>
      <c r="P9" s="17">
        <f>'EM CELLULAR'!H37</f>
        <v>5.0377730628003325E-2</v>
      </c>
    </row>
    <row r="10" spans="2:63">
      <c r="B10" s="5" t="s">
        <v>274</v>
      </c>
      <c r="C10" s="5"/>
      <c r="D10" s="332"/>
      <c r="E10" s="332"/>
      <c r="F10" s="332"/>
      <c r="G10" s="332"/>
      <c r="H10" s="247"/>
      <c r="I10" s="247"/>
      <c r="J10" s="5" t="s">
        <v>184</v>
      </c>
      <c r="L10" s="64">
        <f>'AGG DM ASIA'!D38</f>
        <v>7.0740430200328683</v>
      </c>
      <c r="M10" s="64">
        <f>'AGG DM ASIA'!E38</f>
        <v>6.2829400165667018</v>
      </c>
      <c r="N10" s="64">
        <f>'AGG DM ASIA'!F38</f>
        <v>5.678669083282502</v>
      </c>
      <c r="O10" s="64">
        <f>'AGG DM ASIA'!G38</f>
        <v>5.0724811298912051</v>
      </c>
      <c r="P10" s="17">
        <f>'EM CELLULAR'!H38</f>
        <v>6.0231249791276253E-2</v>
      </c>
      <c r="W10" s="10"/>
      <c r="X10" s="10"/>
      <c r="Y10" s="10"/>
      <c r="Z10" s="10"/>
    </row>
    <row r="11" spans="2:63">
      <c r="B11" s="41" t="s">
        <v>359</v>
      </c>
      <c r="C11" s="5"/>
      <c r="D11" s="271">
        <f>(SBKK!D11/Prices!$C$161*1000)+(KDDI!D11/Prices!$C$161*1000)+(RAK!D11/Prices!$C$161*1000)+(HKBN!D11/Prices!$C$167)+(TPG!D11/Prices!$C$168)+(MAQ!D11/Prices!$C$168)</f>
        <v>129368.28419787571</v>
      </c>
      <c r="E11" s="271">
        <f>(SBKK!E11/Prices!$C$161*1000)+(KDDI!E11/Prices!$C$161*1000)+(RAK!E11/Prices!$C$161*1000)+(HKBN!E11/Prices!$C$167)+(TPG!E11/Prices!$C$168)+(MAQ!E11/Prices!$C$168)</f>
        <v>128160.46565694976</v>
      </c>
      <c r="F11" s="271">
        <f>(SBKK!F11/Prices!$C$161*1000)+(KDDI!F11/Prices!$C$161*1000)+(RAK!F11/Prices!$C$161*1000)+(HKBN!F11/Prices!$C$167)+(TPG!F11/Prices!$C$168)+(MAQ!F11/Prices!$C$168)</f>
        <v>126639.85100388281</v>
      </c>
      <c r="G11" s="271">
        <f>(SBKK!G11/Prices!$C$161*1000)+(KDDI!G11/Prices!$C$161*1000)+(RAK!G11/Prices!$C$161*1000)+(HKBN!G11/Prices!$C$167)+(TPG!G11/Prices!$C$168)+(MAQ!G11/Prices!$C$168)</f>
        <v>125106.00921646359</v>
      </c>
      <c r="H11" s="249"/>
      <c r="I11" s="249"/>
      <c r="J11" s="5" t="s">
        <v>185</v>
      </c>
      <c r="L11" s="64">
        <f>'AGG DM ASIA'!D39</f>
        <v>14.215633940624684</v>
      </c>
      <c r="M11" s="64">
        <f>'AGG DM ASIA'!E39</f>
        <v>10.736512034838739</v>
      </c>
      <c r="N11" s="64">
        <f>'AGG DM ASIA'!F39</f>
        <v>9.4704273777143744</v>
      </c>
      <c r="O11" s="64">
        <f>'AGG DM ASIA'!G39</f>
        <v>8.3681838637601285</v>
      </c>
      <c r="P11" s="17">
        <f>'EM CELLULAR'!H39</f>
        <v>0.10809997877797661</v>
      </c>
      <c r="W11" s="10"/>
      <c r="X11" s="10"/>
      <c r="Y11" s="10"/>
      <c r="Z11" s="10"/>
    </row>
    <row r="12" spans="2:63">
      <c r="B12" s="5" t="s">
        <v>229</v>
      </c>
      <c r="C12" s="249"/>
      <c r="D12" s="228">
        <f>(SBKK!D12/Prices!$C$161*1000)+(KDDI!D12/Prices!$C$161*1000)+(RAK!D12/Prices!$C$161*1000)+(HKBN!D12/Prices!$C$167)+(TPG!D12/Prices!$C$168)+(MAQ!D12/Prices!$C$168)</f>
        <v>42455.535369768513</v>
      </c>
      <c r="E12" s="228">
        <f>(SBKK!E12/Prices!$C$161*1000)+(KDDI!E12/Prices!$C$161*1000)+(RAK!E12/Prices!$C$161*1000)+(HKBN!E12/Prices!$C$167)+(TPG!E12/Prices!$C$168)+(MAQ!E12/Prices!$C$168)</f>
        <v>38523.965693117229</v>
      </c>
      <c r="F12" s="228">
        <f>(SBKK!F12/Prices!$C$161*1000)+(KDDI!F12/Prices!$C$161*1000)+(RAK!F12/Prices!$C$161*1000)+(HKBN!F12/Prices!$C$167)+(TPG!F12/Prices!$C$168)+(MAQ!F12/Prices!$C$168)</f>
        <v>34711.757492958102</v>
      </c>
      <c r="G12" s="228">
        <f>(SBKK!G12/Prices!$C$161*1000)+(KDDI!G12/Prices!$C$161*1000)+(RAK!G12/Prices!$C$161*1000)+(HKBN!G12/Prices!$C$167)+(TPG!G12/Prices!$C$168)+(MAQ!G12/Prices!$C$168)</f>
        <v>30501.226673990281</v>
      </c>
      <c r="H12" s="247"/>
      <c r="I12" s="247"/>
      <c r="J12" s="5" t="s">
        <v>466</v>
      </c>
      <c r="L12" s="64">
        <f>'AGG DM ASIA'!D40</f>
        <v>19.927376923165404</v>
      </c>
      <c r="M12" s="64">
        <f>'AGG DM ASIA'!E40</f>
        <v>15.137526678020246</v>
      </c>
      <c r="N12" s="64">
        <f>'AGG DM ASIA'!F40</f>
        <v>13.416425904872728</v>
      </c>
      <c r="O12" s="64">
        <f>'AGG DM ASIA'!G40</f>
        <v>11.907052643089225</v>
      </c>
      <c r="P12" s="17">
        <f>'EM CELLULAR'!H40</f>
        <v>0.10359585146755945</v>
      </c>
      <c r="W12" s="10"/>
      <c r="X12" s="10"/>
      <c r="Y12" s="10"/>
      <c r="Z12" s="10"/>
    </row>
    <row r="13" spans="2:63">
      <c r="B13" s="5" t="s">
        <v>529</v>
      </c>
      <c r="C13" s="257"/>
      <c r="D13" s="228">
        <f>(SBKK!D13/Prices!$C$161*1000)+(KDDI!D13/Prices!$C$161*1000)+(RAK!D13/Prices!$C$161*1000)+(HKBN!D13/Prices!$C$167)+(TPG!D13/Prices!$C$168)+(MAQ!D13/Prices!$C$168)</f>
        <v>1348.0854946584964</v>
      </c>
      <c r="E13" s="228">
        <f>(SBKK!E13/Prices!$C$161*1000)+(KDDI!E13/Prices!$C$161*1000)+(RAK!E13/Prices!$C$161*1000)+(HKBN!E13/Prices!$C$167)+(TPG!E13/Prices!$C$168)+(MAQ!E13/Prices!$C$168)</f>
        <v>1348.0854946584964</v>
      </c>
      <c r="F13" s="228">
        <f>(SBKK!F13/Prices!$C$161*1000)+(KDDI!F13/Prices!$C$161*1000)+(RAK!F13/Prices!$C$161*1000)+(HKBN!F13/Prices!$C$167)+(TPG!F13/Prices!$C$168)+(MAQ!F13/Prices!$C$168)</f>
        <v>1348.0854946584964</v>
      </c>
      <c r="G13" s="228">
        <f>(SBKK!G13/Prices!$C$161*1000)+(KDDI!G13/Prices!$C$161*1000)+(RAK!G13/Prices!$C$161*1000)+(HKBN!G13/Prices!$C$167)+(TPG!G13/Prices!$C$168)+(MAQ!G13/Prices!$C$168)</f>
        <v>1348.0854946584964</v>
      </c>
      <c r="H13" s="247"/>
      <c r="I13" s="247"/>
      <c r="J13" s="5" t="s">
        <v>530</v>
      </c>
      <c r="L13" s="64">
        <f>'AGG DM ASIA'!D41</f>
        <v>1.548196696995612</v>
      </c>
      <c r="M13" s="64">
        <f>'AGG DM ASIA'!E41</f>
        <v>1.4263679082798271</v>
      </c>
      <c r="N13" s="64">
        <f>'AGG DM ASIA'!F41</f>
        <v>1.3032451145267485</v>
      </c>
      <c r="O13" s="64">
        <f>'AGG DM ASIA'!G41</f>
        <v>1.179167143227567</v>
      </c>
      <c r="P13" s="17">
        <f>'EM CELLULAR'!H41</f>
        <v>-1.7756462726124411E-2</v>
      </c>
    </row>
    <row r="14" spans="2:63">
      <c r="B14" s="5" t="s">
        <v>532</v>
      </c>
      <c r="C14" s="274"/>
      <c r="D14" s="228">
        <f>(SBKK!D14/Prices!$C$161*1000)+(KDDI!D14/Prices!$C$161*1000)+(RAK!D14/Prices!$C$161*1000)+(HKBN!D14/Prices!$C$167)+(TPG!D14/Prices!$C$168)+(MAQ!D14/Prices!$C$168)</f>
        <v>-45.593247332377764</v>
      </c>
      <c r="E14" s="228">
        <f>(SBKK!E14/Prices!$C$161*1000)+(KDDI!E14/Prices!$C$161*1000)+(RAK!E14/Prices!$C$161*1000)+(HKBN!E14/Prices!$C$167)+(TPG!E14/Prices!$C$168)+(MAQ!E14/Prices!$C$168)</f>
        <v>-45.593247332377764</v>
      </c>
      <c r="F14" s="228">
        <f>(SBKK!F14/Prices!$C$161*1000)+(KDDI!F14/Prices!$C$161*1000)+(RAK!F14/Prices!$C$161*1000)+(HKBN!F14/Prices!$C$167)+(TPG!F14/Prices!$C$168)+(MAQ!F14/Prices!$C$168)</f>
        <v>-45.593247332377764</v>
      </c>
      <c r="G14" s="228">
        <f>(SBKK!G14/Prices!$C$161*1000)+(KDDI!G14/Prices!$C$161*1000)+(RAK!G14/Prices!$C$161*1000)+(HKBN!G14/Prices!$C$167)+(TPG!G14/Prices!$C$168)+(MAQ!G14/Prices!$C$168)</f>
        <v>-45.593247332377764</v>
      </c>
      <c r="H14" s="247"/>
      <c r="I14" s="247"/>
      <c r="J14" s="5" t="s">
        <v>593</v>
      </c>
      <c r="L14" s="64">
        <f>'AGG DM ASIA'!D42</f>
        <v>2.9761535190845296</v>
      </c>
      <c r="M14" s="64">
        <f>'AGG DM ASIA'!E42</f>
        <v>2.8401586117797524</v>
      </c>
      <c r="N14" s="64">
        <f>'AGG DM ASIA'!F42</f>
        <v>2.7020994555331947</v>
      </c>
      <c r="O14" s="64">
        <f>'AGG DM ASIA'!G42</f>
        <v>2.5489772254355927</v>
      </c>
      <c r="P14" s="17">
        <f>'EM CELLULAR'!H42</f>
        <v>1.6392074372026055E-2</v>
      </c>
    </row>
    <row r="15" spans="2:63">
      <c r="B15" s="5" t="s">
        <v>531</v>
      </c>
      <c r="C15" s="257"/>
      <c r="D15" s="228">
        <f>(SBKK!D15/Prices!$C$161*1000)+(KDDI!D15/Prices!$C$161*1000)+(RAK!D15/Prices!$C$161*1000)+(HKBN!D15/Prices!$C$167)+(TPG!D15/Prices!$C$168)+(MAQ!D15/Prices!$C$168)</f>
        <v>3.1158649634509041</v>
      </c>
      <c r="E15" s="228">
        <f>(SBKK!E15/Prices!$C$161*1000)+(KDDI!E15/Prices!$C$161*1000)+(RAK!E15/Prices!$C$161*1000)+(HKBN!E15/Prices!$C$167)+(TPG!E15/Prices!$C$168)+(MAQ!E15/Prices!$C$168)</f>
        <v>3.1158649634509041</v>
      </c>
      <c r="F15" s="228">
        <f>(SBKK!F15/Prices!$C$161*1000)+(KDDI!F15/Prices!$C$161*1000)+(RAK!F15/Prices!$C$161*1000)+(HKBN!F15/Prices!$C$167)+(TPG!F15/Prices!$C$168)+(MAQ!F15/Prices!$C$168)</f>
        <v>3.1158649634509041</v>
      </c>
      <c r="G15" s="228">
        <f>(SBKK!G15/Prices!$C$161*1000)+(KDDI!G15/Prices!$C$161*1000)+(RAK!G15/Prices!$C$161*1000)+(HKBN!G15/Prices!$C$167)+(TPG!G15/Prices!$C$168)+(MAQ!G15/Prices!$C$168)</f>
        <v>3.1158649634509041</v>
      </c>
      <c r="H15" s="247"/>
      <c r="I15" s="247"/>
      <c r="J15" s="5" t="s">
        <v>475</v>
      </c>
      <c r="L15" s="64">
        <f>'AGG DM ASIA'!D43</f>
        <v>15.409030434949488</v>
      </c>
      <c r="M15" s="64">
        <f>'AGG DM ASIA'!E43</f>
        <v>10.248893251590736</v>
      </c>
      <c r="N15" s="64">
        <f>'AGG DM ASIA'!F43</f>
        <v>9.4855017817057945</v>
      </c>
      <c r="O15" s="64">
        <f>'AGG DM ASIA'!G43</f>
        <v>8.7866272840439894</v>
      </c>
      <c r="P15" s="17">
        <f>'EM CELLULAR'!H43</f>
        <v>0.1773224152875903</v>
      </c>
      <c r="S15" s="88"/>
      <c r="T15" s="88"/>
      <c r="U15" s="88"/>
      <c r="V15" s="42"/>
      <c r="W15" s="42"/>
      <c r="X15" s="42"/>
      <c r="Y15" s="42"/>
      <c r="Z15" s="42"/>
      <c r="AA15" s="42"/>
    </row>
    <row r="16" spans="2:63">
      <c r="B16" s="5" t="s">
        <v>534</v>
      </c>
      <c r="C16" s="257"/>
      <c r="D16" s="228">
        <f>(SBKK!D16/Prices!$C$161*1000)+(KDDI!D16/Prices!$C$161*1000)+(RAK!D16/Prices!$C$161*1000)+(HKBN!D16/Prices!$C$167)+(TPG!D16/Prices!$C$168)+(MAQ!D16/Prices!$C$168)</f>
        <v>549.27375698488709</v>
      </c>
      <c r="E16" s="228">
        <f>(SBKK!E16/Prices!$C$161*1000)+(KDDI!E16/Prices!$C$161*1000)+(RAK!E16/Prices!$C$161*1000)+(HKBN!E16/Prices!$C$167)+(TPG!E16/Prices!$C$168)+(MAQ!E16/Prices!$C$168)</f>
        <v>5274.7403539604366</v>
      </c>
      <c r="F16" s="228">
        <f>(SBKK!F16/Prices!$C$161*1000)+(KDDI!F16/Prices!$C$161*1000)+(RAK!F16/Prices!$C$161*1000)+(HKBN!F16/Prices!$C$167)+(TPG!F16/Prices!$C$168)+(MAQ!F16/Prices!$C$168)</f>
        <v>10085.082229822237</v>
      </c>
      <c r="G16" s="228">
        <f>(SBKK!G16/Prices!$C$161*1000)+(KDDI!G16/Prices!$C$161*1000)+(RAK!G16/Prices!$C$161*1000)+(HKBN!G16/Prices!$C$167)+(TPG!G16/Prices!$C$168)+(MAQ!G16/Prices!$C$168)</f>
        <v>15141.878702127802</v>
      </c>
      <c r="H16" s="247"/>
      <c r="I16" s="247"/>
      <c r="J16" s="5" t="s">
        <v>533</v>
      </c>
      <c r="L16" s="64">
        <f>'AGG DM ASIA'!D44</f>
        <v>15.062153469183468</v>
      </c>
      <c r="M16" s="64">
        <f>'AGG DM ASIA'!E44</f>
        <v>13.637269067433067</v>
      </c>
      <c r="N16" s="64">
        <f>'AGG DM ASIA'!F44</f>
        <v>12.5479032720138</v>
      </c>
      <c r="O16" s="64">
        <f>'AGG DM ASIA'!G44</f>
        <v>11.585386341089469</v>
      </c>
      <c r="P16" s="17">
        <f>'EM CELLULAR'!H44</f>
        <v>0.16425371227743413</v>
      </c>
      <c r="S16" s="88"/>
      <c r="T16" s="88"/>
      <c r="U16" s="88"/>
      <c r="V16" s="42"/>
      <c r="W16" s="42"/>
      <c r="X16" s="42"/>
      <c r="Y16" s="42"/>
      <c r="Z16" s="42"/>
      <c r="AA16" s="42"/>
    </row>
    <row r="17" spans="2:27">
      <c r="B17" s="5" t="s">
        <v>6</v>
      </c>
      <c r="C17" s="257"/>
      <c r="D17" s="228">
        <f>(SBKK!D17/Prices!$C$161*1000)+(KDDI!D17/Prices!$C$161*1000)+(RAK!D17/Prices!$C$161*1000)+(HKBN!D17/Prices!$C$167)+(TPG!D17/Prices!$C$168)+(MAQ!D17/Prices!$C$168)</f>
        <v>0</v>
      </c>
      <c r="E17" s="228">
        <f>(SBKK!E17/Prices!$C$161*1000)+(KDDI!E17/Prices!$C$161*1000)+(RAK!E17/Prices!$C$161*1000)+(HKBN!E17/Prices!$C$167)+(TPG!E17/Prices!$C$168)+(MAQ!E17/Prices!$C$168)</f>
        <v>0</v>
      </c>
      <c r="F17" s="228">
        <f>(SBKK!F17/Prices!$C$161*1000)+(KDDI!F17/Prices!$C$161*1000)+(RAK!F17/Prices!$C$161*1000)+(HKBN!F17/Prices!$C$167)+(TPG!F17/Prices!$C$168)+(MAQ!F17/Prices!$C$168)</f>
        <v>0</v>
      </c>
      <c r="G17" s="228">
        <f>(SBKK!G17/Prices!$C$161*1000)+(KDDI!G17/Prices!$C$161*1000)+(RAK!G17/Prices!$C$161*1000)+(HKBN!G17/Prices!$C$167)+(TPG!G17/Prices!$C$168)+(MAQ!G17/Prices!$C$168)</f>
        <v>0</v>
      </c>
      <c r="H17" s="247"/>
      <c r="I17" s="247"/>
      <c r="J17" s="5" t="s">
        <v>580</v>
      </c>
      <c r="L17" s="248">
        <f>'AGG DM ASIA'!D45</f>
        <v>3.9524190084015344E-2</v>
      </c>
      <c r="M17" s="248">
        <f>'AGG DM ASIA'!E45</f>
        <v>4.4010077546565551E-2</v>
      </c>
      <c r="N17" s="248">
        <f>'AGG DM ASIA'!F45</f>
        <v>4.837274834008419E-2</v>
      </c>
      <c r="O17" s="248">
        <f>'AGG DM ASIA'!G45</f>
        <v>5.2040393870140741E-2</v>
      </c>
      <c r="P17" s="17">
        <f>'EM CELLULAR'!H45</f>
        <v>0.1356682547662138</v>
      </c>
      <c r="S17" s="88"/>
      <c r="T17" s="88"/>
      <c r="U17" s="88"/>
      <c r="V17" s="42"/>
      <c r="W17" s="42"/>
      <c r="X17" s="42"/>
      <c r="Y17" s="42"/>
      <c r="Z17" s="42"/>
      <c r="AA17" s="42"/>
    </row>
    <row r="18" spans="2:27" ht="12.6" thickBot="1">
      <c r="B18" s="41" t="s">
        <v>360</v>
      </c>
      <c r="C18" s="249"/>
      <c r="D18" s="275">
        <f>(SBKK!D18/Prices!$C$161*1000)+(KDDI!D18/Prices!$C$161*1000)+(RAK!D18/Prices!$C$161*1000)+(HKBN!D18/Prices!$C$167)+(TPG!D18/Prices!$C$168)+(MAQ!D18/Prices!$C$168)</f>
        <v>172671.34041761365</v>
      </c>
      <c r="E18" s="275">
        <f>(SBKK!E18/Prices!$C$161*1000)+(KDDI!E18/Prices!$C$161*1000)+(RAK!E18/Prices!$C$161*1000)+(HKBN!E18/Prices!$C$167)+(TPG!E18/Prices!$C$168)+(MAQ!E18/Prices!$C$168)</f>
        <v>162806.48560306084</v>
      </c>
      <c r="F18" s="275">
        <f>(SBKK!F18/Prices!$C$161*1000)+(KDDI!F18/Prices!$C$161*1000)+(RAK!F18/Prices!$C$161*1000)+(HKBN!F18/Prices!$C$167)+(TPG!F18/Prices!$C$168)+(MAQ!F18/Prices!$C$168)</f>
        <v>152663.32087397302</v>
      </c>
      <c r="G18" s="275">
        <f>(SBKK!G18/Prices!$C$161*1000)+(KDDI!G18/Prices!$C$161*1000)+(RAK!G18/Prices!$C$161*1000)+(HKBN!G18/Prices!$C$167)+(TPG!G18/Prices!$C$168)+(MAQ!G18/Prices!$C$168)</f>
        <v>141862.1517952804</v>
      </c>
      <c r="H18" s="276">
        <f>IF(D18=0,"nm",IF(G18=0,"nm",(G18/D18)^(1/3)-1))</f>
        <v>-6.341162952797863E-2</v>
      </c>
      <c r="I18" s="254"/>
      <c r="J18" s="5" t="s">
        <v>36</v>
      </c>
      <c r="L18" s="248">
        <f>'AGG DM ASIA'!D46</f>
        <v>4.3708281135847356E-2</v>
      </c>
      <c r="M18" s="248">
        <f>'AGG DM ASIA'!E46</f>
        <v>5.2748227439949127E-2</v>
      </c>
      <c r="N18" s="248">
        <f>'AGG DM ASIA'!F46</f>
        <v>5.3504695544415545E-2</v>
      </c>
      <c r="O18" s="248">
        <f>'AGG DM ASIA'!G46</f>
        <v>4.2706907501000764E-2</v>
      </c>
      <c r="P18" s="17" t="e">
        <f>'EM CELLULAR'!H46</f>
        <v>#VALUE!</v>
      </c>
      <c r="S18" s="88"/>
      <c r="T18" s="42"/>
      <c r="U18" s="42"/>
      <c r="V18" s="42"/>
      <c r="W18" s="42"/>
      <c r="X18" s="42"/>
      <c r="Y18" s="42"/>
      <c r="Z18" s="42"/>
      <c r="AA18" s="42"/>
    </row>
    <row r="19" spans="2:27" ht="12.6" thickTop="1">
      <c r="B19" s="41"/>
      <c r="C19" s="249"/>
      <c r="D19" s="229"/>
      <c r="E19" s="229"/>
      <c r="F19" s="229"/>
      <c r="G19" s="229"/>
      <c r="H19" s="276"/>
      <c r="I19" s="17"/>
      <c r="J19" s="5" t="s">
        <v>581</v>
      </c>
      <c r="L19" s="248">
        <f>'AGG DM ASIA'!D47</f>
        <v>6.489700985546E-2</v>
      </c>
      <c r="M19" s="248">
        <f>'AGG DM ASIA'!E47</f>
        <v>9.7571510938001954E-2</v>
      </c>
      <c r="N19" s="248">
        <f>'AGG DM ASIA'!F47</f>
        <v>0.10542404851250455</v>
      </c>
      <c r="O19" s="248">
        <f>'AGG DM ASIA'!G47</f>
        <v>0.11380931131743149</v>
      </c>
      <c r="P19" s="17">
        <f>'EM CELLULAR'!H47</f>
        <v>0.1773224152875903</v>
      </c>
      <c r="S19" s="88"/>
      <c r="T19" s="42"/>
      <c r="U19" s="42"/>
      <c r="V19" s="42"/>
      <c r="W19" s="42"/>
      <c r="X19" s="42"/>
      <c r="Y19" s="42"/>
      <c r="Z19" s="42"/>
      <c r="AA19" s="42"/>
    </row>
    <row r="20" spans="2:27">
      <c r="H20" s="277"/>
      <c r="I20" s="49"/>
      <c r="J20" s="5" t="s">
        <v>604</v>
      </c>
      <c r="L20" s="248">
        <f>'AGG DM ASIA'!D48</f>
        <v>0.65950351281770536</v>
      </c>
      <c r="M20" s="248">
        <f>'AGG DM ASIA'!E48</f>
        <v>0.49501050683247422</v>
      </c>
      <c r="N20" s="248">
        <f>'AGG DM ASIA'!F48</f>
        <v>0.51097833074790944</v>
      </c>
      <c r="O20" s="248">
        <f>'AGG DM ASIA'!G48</f>
        <v>0.51756008943989462</v>
      </c>
      <c r="P20" s="17" t="str">
        <f>'EM CELLULAR'!H48</f>
        <v>nm</v>
      </c>
      <c r="S20" s="42"/>
      <c r="T20" s="42"/>
      <c r="U20" s="42"/>
      <c r="V20" s="42"/>
      <c r="W20" s="42"/>
      <c r="X20" s="42"/>
      <c r="Y20" s="42"/>
      <c r="Z20" s="42"/>
      <c r="AA20" s="42"/>
    </row>
    <row r="21" spans="2:27" ht="12.6" thickBot="1">
      <c r="B21" s="306" t="s">
        <v>482</v>
      </c>
      <c r="C21" s="265">
        <v>2020</v>
      </c>
      <c r="D21" s="265" t="str">
        <f>D5</f>
        <v>2023E</v>
      </c>
      <c r="E21" s="265" t="str">
        <f>E5</f>
        <v>2024E</v>
      </c>
      <c r="F21" s="265" t="str">
        <f>F5</f>
        <v>2025E</v>
      </c>
      <c r="G21" s="265" t="str">
        <f>G5</f>
        <v>2026E</v>
      </c>
      <c r="H21" s="282" t="str">
        <f>H5</f>
        <v>23E-26E</v>
      </c>
      <c r="I21" s="17"/>
      <c r="S21" s="42"/>
      <c r="T21" s="42"/>
      <c r="U21" s="42"/>
      <c r="V21" s="42"/>
      <c r="W21" s="42"/>
      <c r="X21" s="42"/>
      <c r="Y21" s="42"/>
      <c r="Z21" s="42"/>
      <c r="AA21" s="42"/>
    </row>
    <row r="22" spans="2:27" ht="12.6" thickTop="1">
      <c r="B22" s="5"/>
      <c r="C22" s="17"/>
      <c r="D22" s="17"/>
      <c r="E22" s="17"/>
      <c r="F22" s="17"/>
      <c r="G22" s="17"/>
      <c r="H22" s="17"/>
      <c r="I22" s="247"/>
      <c r="P22" s="277"/>
      <c r="S22" s="42"/>
      <c r="T22" s="42"/>
      <c r="U22" s="42"/>
      <c r="V22" s="42"/>
      <c r="W22" s="42"/>
      <c r="X22" s="42"/>
      <c r="Y22" s="42"/>
      <c r="Z22" s="42"/>
      <c r="AA22" s="42"/>
    </row>
    <row r="23" spans="2:27" ht="12.6" thickBot="1">
      <c r="B23" s="5" t="s">
        <v>584</v>
      </c>
      <c r="C23" s="365">
        <f>(SBKK!C23/Prices!$C$161*1000)+(KDDI!C23/Prices!$C$161*1000)+(RAK!C23/Prices!$C$161*1000)+HKBN!C23/Prices!$C$167+TPG!C23/Prices!$C$168+TPG!C23/Prices!$C$168</f>
        <v>91115.853798195196</v>
      </c>
      <c r="D23" s="228">
        <f>(SBKK!D23/Prices!$C$161*1000)+(KDDI!D23/Prices!$C$161*1000)+(RAK!D23/Prices!$C$161*1000)+HKBN!D23/Prices!$C$167+TPG!D23/Prices!$C$168+TPG!D23/Prices!$C$168</f>
        <v>94008.784338557525</v>
      </c>
      <c r="E23" s="228">
        <f>(SBKK!E23/Prices!$C$161*1000)+(KDDI!E23/Prices!$C$161*1000)+(RAK!E23/Prices!$C$161*1000)+HKBN!E23/Prices!$C$167+TPG!E23/Prices!$C$168+TPG!E23/Prices!$C$168</f>
        <v>99314.577450971454</v>
      </c>
      <c r="F23" s="228">
        <f>(SBKK!F23/Prices!$C$161*1000)+(KDDI!F23/Prices!$C$161*1000)+(RAK!F23/Prices!$C$161*1000)+HKBN!F23/Prices!$C$167+TPG!F23/Prices!$C$168+TPG!F23/Prices!$C$168</f>
        <v>104543.46477029522</v>
      </c>
      <c r="G23" s="228">
        <f>(SBKK!G23/Prices!$C$161*1000)+(KDDI!G23/Prices!$C$161*1000)+(RAK!G23/Prices!$C$161*1000)+HKBN!G23/Prices!$C$167+TPG!G23/Prices!$C$168+TPG!G23/Prices!$C$168</f>
        <v>109937.42235511668</v>
      </c>
      <c r="H23" s="279">
        <f t="shared" ref="H23:H33" si="0">IF(D23=0,"nm",IF(G23=0,"nm",(G23/D23)^(1/3)-1))</f>
        <v>5.3559427902102774E-2</v>
      </c>
      <c r="I23" s="249"/>
      <c r="J23" s="306" t="s">
        <v>9</v>
      </c>
      <c r="K23" s="306"/>
      <c r="L23" s="265" t="str">
        <f>L5</f>
        <v>2023E</v>
      </c>
      <c r="M23" s="265" t="str">
        <f>M5</f>
        <v>2024E</v>
      </c>
      <c r="N23" s="265" t="str">
        <f>N5</f>
        <v>2025E</v>
      </c>
      <c r="O23" s="265" t="str">
        <f>O5</f>
        <v>2026E</v>
      </c>
      <c r="P23" s="282" t="str">
        <f>P5</f>
        <v>23E-26E</v>
      </c>
      <c r="S23" s="42"/>
      <c r="T23" s="42"/>
      <c r="U23" s="42"/>
      <c r="V23" s="42"/>
      <c r="W23" s="42" t="s">
        <v>617</v>
      </c>
      <c r="X23" s="42" t="s">
        <v>616</v>
      </c>
      <c r="Y23" s="42"/>
      <c r="Z23" s="42"/>
      <c r="AA23" s="42"/>
    </row>
    <row r="24" spans="2:27" ht="12.6" thickTop="1">
      <c r="B24" s="5" t="s">
        <v>483</v>
      </c>
      <c r="C24" s="365">
        <f>(SBKK!C24/Prices!$C$161*1000)+(KDDI!C24/Prices!$C$161*1000)+(RAK!C24/Prices!$C$161*1000)+HKBN!C24/Prices!$C$167+TPG!C24/Prices!$C$168+TPG!C24/Prices!$C$168</f>
        <v>22356.418449927842</v>
      </c>
      <c r="D24" s="228">
        <f>(SBKK!D24/Prices!$C$161*1000)+(KDDI!D24/Prices!$C$161*1000)+(RAK!D24/Prices!$C$161*1000)+HKBN!D24/Prices!$C$167+TPG!D24/Prices!$C$168+TPG!D24/Prices!$C$168</f>
        <v>23570.145650722079</v>
      </c>
      <c r="E24" s="228">
        <f>(SBKK!E24/Prices!$C$161*1000)+(KDDI!E24/Prices!$C$161*1000)+(RAK!E24/Prices!$C$161*1000)+HKBN!E24/Prices!$C$167+TPG!E24/Prices!$C$168+TPG!E24/Prices!$C$168</f>
        <v>24265.863663993649</v>
      </c>
      <c r="F24" s="228">
        <f>(SBKK!F24/Prices!$C$161*1000)+(KDDI!F24/Prices!$C$161*1000)+(RAK!F24/Prices!$C$161*1000)+HKBN!F24/Prices!$C$167+TPG!F24/Prices!$C$168+TPG!F24/Prices!$C$168</f>
        <v>25879.373045728778</v>
      </c>
      <c r="G24" s="228">
        <f>(SBKK!G24/Prices!$C$161*1000)+(KDDI!G24/Prices!$C$161*1000)+(RAK!G24/Prices!$C$161*1000)+HKBN!G24/Prices!$C$167+TPG!G24/Prices!$C$168+TPG!G24/Prices!$C$168</f>
        <v>27653.180517009718</v>
      </c>
      <c r="H24" s="279">
        <f t="shared" si="0"/>
        <v>5.4696749337629358E-2</v>
      </c>
      <c r="I24" s="248"/>
      <c r="J24" s="17"/>
      <c r="K24" s="17"/>
      <c r="L24" s="17"/>
      <c r="M24" s="17"/>
      <c r="N24" s="17"/>
      <c r="O24" s="248"/>
      <c r="S24" s="42"/>
      <c r="T24" s="42"/>
      <c r="U24" s="42"/>
      <c r="V24" s="147" t="s">
        <v>273</v>
      </c>
      <c r="W24" s="288">
        <f t="shared" ref="W24:W31" si="1">E37/M9</f>
        <v>0.96535679306847411</v>
      </c>
      <c r="X24" s="288">
        <v>1</v>
      </c>
      <c r="Y24" s="42"/>
      <c r="Z24" s="42"/>
      <c r="AA24" s="42"/>
    </row>
    <row r="25" spans="2:27">
      <c r="B25" s="5" t="s">
        <v>183</v>
      </c>
      <c r="C25" s="365">
        <f>(SBKK!C25/Prices!$C$161*1000)+(KDDI!C25/Prices!$C$161*1000)+(RAK!C25/Prices!$C$161*1000)+HKBN!C25/Prices!$C$167+TPG!C25/Prices!$C$168+TPG!C25/Prices!$C$168</f>
        <v>10043.192623932959</v>
      </c>
      <c r="D25" s="228">
        <f>(SBKK!D25/Prices!$C$161*1000)+(KDDI!D25/Prices!$C$161*1000)+(RAK!D25/Prices!$C$161*1000)+HKBN!D25/Prices!$C$167+TPG!D25/Prices!$C$168+TPG!D25/Prices!$C$168</f>
        <v>12267.579232839991</v>
      </c>
      <c r="E25" s="228">
        <f>(SBKK!E25/Prices!$C$161*1000)+(KDDI!E25/Prices!$C$161*1000)+(RAK!E25/Prices!$C$161*1000)+HKBN!E25/Prices!$C$167+TPG!E25/Prices!$C$168+TPG!E25/Prices!$C$168</f>
        <v>14676.551900667217</v>
      </c>
      <c r="F25" s="228">
        <f>(SBKK!F25/Prices!$C$161*1000)+(KDDI!F25/Prices!$C$161*1000)+(RAK!F25/Prices!$C$161*1000)+HKBN!F25/Prices!$C$167+TPG!F25/Prices!$C$168+TPG!F25/Prices!$C$168</f>
        <v>15988.413788909313</v>
      </c>
      <c r="G25" s="228">
        <f>(SBKK!G25/Prices!$C$161*1000)+(KDDI!G25/Prices!$C$161*1000)+(RAK!G25/Prices!$C$161*1000)+HKBN!G25/Prices!$C$167+TPG!G25/Prices!$C$168+TPG!G25/Prices!$C$168</f>
        <v>17110.695082538747</v>
      </c>
      <c r="H25" s="279">
        <f t="shared" si="0"/>
        <v>0.11729947188557732</v>
      </c>
      <c r="I25" s="249"/>
      <c r="J25" s="247" t="s">
        <v>10</v>
      </c>
      <c r="K25" s="247"/>
      <c r="L25" s="332">
        <f>(SBKK!L25/Prices!$C$176)+(KDDI!L25/Prices!$C$161*1000)</f>
        <v>0</v>
      </c>
      <c r="M25" s="332">
        <f>(SBKK!M25/Prices!$C$176)+(KDDI!M25/Prices!$C$161*1000)</f>
        <v>0</v>
      </c>
      <c r="N25" s="332">
        <f>(SBKK!N25/Prices!$C$176)+(KDDI!N25/Prices!$C$161*1000)</f>
        <v>0</v>
      </c>
      <c r="O25" s="332">
        <f>(SBKK!O25/Prices!$C$176)+(KDDI!O25/Prices!$C$161*1000)</f>
        <v>0</v>
      </c>
      <c r="P25" s="279" t="str">
        <f>IF(L25=0,"nm",IF(O25=0,"nm",(O25/L25)^(1/3)-1))</f>
        <v>nm</v>
      </c>
      <c r="Q25" s="5"/>
      <c r="S25" s="42"/>
      <c r="T25" s="42"/>
      <c r="U25" s="42"/>
      <c r="V25" s="147" t="s">
        <v>184</v>
      </c>
      <c r="W25" s="288">
        <f t="shared" si="1"/>
        <v>1.0678568425318125</v>
      </c>
      <c r="X25" s="288">
        <v>1</v>
      </c>
      <c r="Y25" s="42"/>
      <c r="Z25" s="42"/>
      <c r="AA25" s="42"/>
    </row>
    <row r="26" spans="2:27">
      <c r="B26" s="5" t="s">
        <v>586</v>
      </c>
      <c r="C26" s="365">
        <f>(SBKK!C26/Prices!$C$161*1000)+(KDDI!C26/Prices!$C$161*1000)+(RAK!C26/Prices!$C$161*1000)+HKBN!C26/Prices!$C$167+TPG!C26/Prices!$C$168+TPG!C26/Prices!$C$168</f>
        <v>6763.8900954142036</v>
      </c>
      <c r="D26" s="228">
        <f>(SBKK!D26/Prices!$C$161*1000)+(KDDI!D26/Prices!$C$161*1000)+(RAK!D26/Prices!$C$161*1000)+HKBN!D26/Prices!$C$167+TPG!D26/Prices!$C$168+TPG!D26/Prices!$C$168</f>
        <v>8914.2094750495326</v>
      </c>
      <c r="E26" s="228">
        <f>(SBKK!E26/Prices!$C$161*1000)+(KDDI!E26/Prices!$C$161*1000)+(RAK!E26/Prices!$C$161*1000)+HKBN!E26/Prices!$C$167+TPG!E26/Prices!$C$168+TPG!E26/Prices!$C$168</f>
        <v>10564.490337980871</v>
      </c>
      <c r="F26" s="228">
        <f>(SBKK!F26/Prices!$C$161*1000)+(KDDI!F26/Prices!$C$161*1000)+(RAK!F26/Prices!$C$161*1000)+HKBN!F26/Prices!$C$167+TPG!F26/Prices!$C$168+TPG!F26/Prices!$C$168</f>
        <v>11361.949327958593</v>
      </c>
      <c r="G26" s="228">
        <f>(SBKK!G26/Prices!$C$161*1000)+(KDDI!G26/Prices!$C$161*1000)+(RAK!G26/Prices!$C$161*1000)+HKBN!G26/Prices!$C$167+TPG!G26/Prices!$C$168+TPG!G26/Prices!$C$168</f>
        <v>12046.517404129661</v>
      </c>
      <c r="H26" s="279">
        <f t="shared" si="0"/>
        <v>0.10558692088844279</v>
      </c>
      <c r="I26" s="249"/>
      <c r="J26" s="249" t="s">
        <v>11</v>
      </c>
      <c r="K26" s="249"/>
      <c r="L26" s="281">
        <f>(SBKK!L26/Prices!$C$176)+(KDDI!L26/Prices!$C$161*1000)</f>
        <v>63711.776304385785</v>
      </c>
      <c r="M26" s="281">
        <f>(SBKK!M26/Prices!$C$176)+(KDDI!M26/Prices!$C$161*1000)</f>
        <v>62492.953240897477</v>
      </c>
      <c r="N26" s="281">
        <f>(SBKK!N26/Prices!$C$176)+(KDDI!N26/Prices!$C$161*1000)</f>
        <v>60968.657160306015</v>
      </c>
      <c r="O26" s="281">
        <f>(SBKK!O26/Prices!$C$176)+(KDDI!O26/Prices!$C$161*1000)</f>
        <v>59442.820930918839</v>
      </c>
      <c r="P26" s="279">
        <f>IF(L26=0,"nm",IF(O26=0,"nm",(O26/L26)^(1/3)-1))</f>
        <v>-2.2853008499985727E-2</v>
      </c>
      <c r="Q26" s="41"/>
      <c r="S26" s="42"/>
      <c r="T26" s="42"/>
      <c r="U26" s="42"/>
      <c r="V26" s="147" t="s">
        <v>185</v>
      </c>
      <c r="W26" s="288">
        <f t="shared" si="1"/>
        <v>1.0332001287305401</v>
      </c>
      <c r="X26" s="288">
        <v>1</v>
      </c>
      <c r="Y26" s="42"/>
      <c r="Z26" s="42"/>
      <c r="AA26" s="42"/>
    </row>
    <row r="27" spans="2:27">
      <c r="B27" s="5" t="s">
        <v>587</v>
      </c>
      <c r="C27" s="365">
        <f>(SBKK!C27/Prices!$C$161*1000)+(KDDI!C27/Prices!$C$161*1000)+(RAK!C27/Prices!$C$161*1000)+HKBN!C27/Prices!$C$167+TPG!C27/Prices!$C$168+TPG!C27/Prices!$C$168</f>
        <v>95410.499120564287</v>
      </c>
      <c r="D27" s="228">
        <f>(SBKK!D27/Prices!$C$161*1000)+(KDDI!D27/Prices!$C$161*1000)+(RAK!D27/Prices!$C$161*1000)+HKBN!D27/Prices!$C$167+TPG!D27/Prices!$C$168+TPG!D27/Prices!$C$168</f>
        <v>96375.79829210657</v>
      </c>
      <c r="E27" s="228">
        <f>(SBKK!E27/Prices!$C$161*1000)+(KDDI!E27/Prices!$C$161*1000)+(RAK!E27/Prices!$C$161*1000)+HKBN!E27/Prices!$C$167+TPG!E27/Prices!$C$168+TPG!E27/Prices!$C$168</f>
        <v>95439.728593776046</v>
      </c>
      <c r="F27" s="228">
        <f>(SBKK!F27/Prices!$C$161*1000)+(KDDI!F27/Prices!$C$161*1000)+(RAK!F27/Prices!$C$161*1000)+HKBN!F27/Prices!$C$167+TPG!F27/Prices!$C$168+TPG!F27/Prices!$C$168</f>
        <v>94840.155611739232</v>
      </c>
      <c r="G27" s="228">
        <f>(SBKK!G27/Prices!$C$161*1000)+(KDDI!G27/Prices!$C$161*1000)+(RAK!G27/Prices!$C$161*1000)+HKBN!G27/Prices!$C$167+TPG!G27/Prices!$C$168+TPG!G27/Prices!$C$168</f>
        <v>94655.836779381789</v>
      </c>
      <c r="H27" s="279">
        <f t="shared" si="0"/>
        <v>-5.9845449451896293E-3</v>
      </c>
      <c r="I27" s="248"/>
      <c r="J27" s="248"/>
      <c r="K27" s="248"/>
      <c r="L27" s="248"/>
      <c r="M27" s="248"/>
      <c r="N27" s="248"/>
      <c r="O27" s="248"/>
      <c r="Q27" s="5"/>
      <c r="S27" s="42"/>
      <c r="T27" s="42"/>
      <c r="U27" s="42"/>
      <c r="V27" s="147" t="s">
        <v>466</v>
      </c>
      <c r="W27" s="288">
        <f t="shared" si="1"/>
        <v>1.0180479407331151</v>
      </c>
      <c r="X27" s="288">
        <v>1</v>
      </c>
      <c r="Y27" s="42"/>
      <c r="Z27" s="42"/>
      <c r="AA27" s="42"/>
    </row>
    <row r="28" spans="2:27" ht="12.6" thickBot="1">
      <c r="B28" s="5" t="s">
        <v>592</v>
      </c>
      <c r="C28" s="365">
        <f>(SBKK!C28/Prices!$C$161*1000)+(KDDI!C28/Prices!$C$161*1000)+(RAK!C28/Prices!$C$161*1000)+HKBN!C28/Prices!$C$167+TPG!C28/Prices!$C$168+TPG!C28/Prices!$C$168</f>
        <v>38039.392159524294</v>
      </c>
      <c r="D28" s="228">
        <f>(SBKK!D28/Prices!$C$161*1000)+(KDDI!D28/Prices!$C$161*1000)+(RAK!D28/Prices!$C$161*1000)+HKBN!D28/Prices!$C$167+TPG!D28/Prices!$C$168+TPG!D28/Prices!$C$168</f>
        <v>37859.442830468208</v>
      </c>
      <c r="E28" s="228">
        <f>(SBKK!E28/Prices!$C$161*1000)+(KDDI!E28/Prices!$C$161*1000)+(RAK!E28/Prices!$C$161*1000)+HKBN!E28/Prices!$C$167+TPG!E28/Prices!$C$168+TPG!E28/Prices!$C$168</f>
        <v>36674.915987456377</v>
      </c>
      <c r="F28" s="228">
        <f>(SBKK!F28/Prices!$C$161*1000)+(KDDI!F28/Prices!$C$161*1000)+(RAK!F28/Prices!$C$161*1000)+HKBN!F28/Prices!$C$167+TPG!F28/Prices!$C$168+TPG!F28/Prices!$C$168</f>
        <v>35669.956017756173</v>
      </c>
      <c r="G28" s="228">
        <f>(SBKK!G28/Prices!$C$161*1000)+(KDDI!G28/Prices!$C$161*1000)+(RAK!G28/Prices!$C$161*1000)+HKBN!G28/Prices!$C$167+TPG!G28/Prices!$C$168+TPG!G28/Prices!$C$168</f>
        <v>34792.324306896749</v>
      </c>
      <c r="H28" s="279">
        <f t="shared" si="0"/>
        <v>-2.776838011546956E-2</v>
      </c>
      <c r="I28" s="252"/>
      <c r="J28" s="306" t="s">
        <v>754</v>
      </c>
      <c r="K28" s="306"/>
      <c r="L28" s="306"/>
      <c r="M28" s="306"/>
      <c r="N28" s="266"/>
      <c r="O28" s="266"/>
      <c r="P28" s="266"/>
      <c r="Q28" s="5"/>
      <c r="S28" s="42"/>
      <c r="T28" s="42"/>
      <c r="U28" s="42"/>
      <c r="V28" s="147" t="s">
        <v>530</v>
      </c>
      <c r="W28" s="288">
        <f t="shared" si="1"/>
        <v>1.1959442822198909</v>
      </c>
      <c r="X28" s="288">
        <v>1</v>
      </c>
      <c r="Y28" s="42"/>
      <c r="Z28" s="42"/>
      <c r="AA28" s="42"/>
    </row>
    <row r="29" spans="2:27" ht="12.6" thickTop="1">
      <c r="B29" s="5" t="s">
        <v>588</v>
      </c>
      <c r="C29" s="365">
        <f>(SBKK!C29/Prices!$C$161*1000)+(KDDI!C29/Prices!$C$161*1000)+(RAK!C29/Prices!$C$161*1000)+HKBN!C29/Prices!$C$167+TPG!C29/Prices!$C$168+TPG!C29/Prices!$C$168</f>
        <v>5192.5496203278435</v>
      </c>
      <c r="D29" s="228">
        <f>(SBKK!D29/Prices!$C$161*1000)+(KDDI!D29/Prices!$C$161*1000)+(RAK!D29/Prices!$C$161*1000)+HKBN!D29/Prices!$C$167+TPG!D29/Prices!$C$168+TPG!D29/Prices!$C$168</f>
        <v>6042.2340486917483</v>
      </c>
      <c r="E29" s="228">
        <f>(SBKK!E29/Prices!$C$161*1000)+(KDDI!E29/Prices!$C$161*1000)+(RAK!E29/Prices!$C$161*1000)+HKBN!E29/Prices!$C$167+TPG!E29/Prices!$C$168+TPG!E29/Prices!$C$168</f>
        <v>8894.8907237629555</v>
      </c>
      <c r="F29" s="228">
        <f>(SBKK!F29/Prices!$C$161*1000)+(KDDI!F29/Prices!$C$161*1000)+(RAK!F29/Prices!$C$161*1000)+HKBN!F29/Prices!$C$167+TPG!F29/Prices!$C$168+TPG!F29/Prices!$C$168</f>
        <v>9572.1995089735246</v>
      </c>
      <c r="G29" s="228">
        <f>(SBKK!G29/Prices!$C$161*1000)+(KDDI!G29/Prices!$C$161*1000)+(RAK!G29/Prices!$C$161*1000)+HKBN!G29/Prices!$C$167+TPG!G29/Prices!$C$168+TPG!G29/Prices!$C$168</f>
        <v>9923.3214972168025</v>
      </c>
      <c r="H29" s="279">
        <f t="shared" si="0"/>
        <v>0.17983109862883917</v>
      </c>
      <c r="I29" s="254"/>
      <c r="J29" s="249"/>
      <c r="K29" s="249"/>
      <c r="L29" s="249"/>
      <c r="M29" s="249"/>
      <c r="N29" s="249"/>
      <c r="O29" s="251"/>
      <c r="Q29" s="5"/>
      <c r="S29" s="42"/>
      <c r="T29" s="42"/>
      <c r="U29" s="42"/>
      <c r="V29" s="147" t="s">
        <v>593</v>
      </c>
      <c r="W29" s="288">
        <f t="shared" si="1"/>
        <v>1.563003604383052</v>
      </c>
      <c r="X29" s="288">
        <v>1</v>
      </c>
      <c r="Y29" s="42"/>
      <c r="Z29" s="42"/>
      <c r="AA29" s="42"/>
    </row>
    <row r="30" spans="2:27">
      <c r="B30" s="5" t="s">
        <v>589</v>
      </c>
      <c r="C30" s="365">
        <f>(SBKK!C30/Prices!$C$161*1000)+(KDDI!C30/Prices!$C$161*1000)+(RAK!C30/Prices!$C$161*1000)+HKBN!C30/Prices!$C$167+TPG!C30/Prices!$C$168+TPG!C30/Prices!$C$168</f>
        <v>5748.0226443629072</v>
      </c>
      <c r="D30" s="228">
        <f>(SBKK!D30/Prices!$C$161*1000)+(KDDI!D30/Prices!$C$161*1000)+(RAK!D30/Prices!$C$161*1000)+HKBN!D30/Prices!$C$167+TPG!D30/Prices!$C$168+TPG!D30/Prices!$C$168</f>
        <v>5403.8640090449517</v>
      </c>
      <c r="E30" s="228">
        <f>(SBKK!E30/Prices!$C$161*1000)+(KDDI!E30/Prices!$C$161*1000)+(RAK!E30/Prices!$C$161*1000)+HKBN!E30/Prices!$C$167+TPG!E30/Prices!$C$168+TPG!E30/Prices!$C$168</f>
        <v>6712.6646760509157</v>
      </c>
      <c r="F30" s="228">
        <f>(SBKK!F30/Prices!$C$161*1000)+(KDDI!F30/Prices!$C$161*1000)+(RAK!F30/Prices!$C$161*1000)+HKBN!F30/Prices!$C$167+TPG!F30/Prices!$C$168+TPG!F30/Prices!$C$168</f>
        <v>7459.0151643871704</v>
      </c>
      <c r="G30" s="228">
        <f>(SBKK!G30/Prices!$C$161*1000)+(KDDI!G30/Prices!$C$161*1000)+(RAK!G30/Prices!$C$161*1000)+HKBN!G30/Prices!$C$167+TPG!G30/Prices!$C$168+TPG!G30/Prices!$C$168</f>
        <v>8129.9797182104785</v>
      </c>
      <c r="H30" s="279">
        <f t="shared" si="0"/>
        <v>0.14585153350726876</v>
      </c>
      <c r="I30" s="254"/>
      <c r="J30" s="248"/>
      <c r="K30" s="248"/>
      <c r="L30" s="248"/>
      <c r="M30" s="248"/>
      <c r="N30" s="248"/>
      <c r="O30" s="5"/>
      <c r="Q30" s="5"/>
      <c r="S30" s="42"/>
      <c r="T30" s="42"/>
      <c r="U30" s="42"/>
      <c r="V30" s="147" t="s">
        <v>475</v>
      </c>
      <c r="W30" s="288">
        <f t="shared" si="1"/>
        <v>0.68550947505207027</v>
      </c>
      <c r="X30" s="288">
        <v>1</v>
      </c>
      <c r="Y30" s="42"/>
      <c r="Z30" s="42"/>
      <c r="AA30" s="42"/>
    </row>
    <row r="31" spans="2:27">
      <c r="B31" s="5" t="s">
        <v>590</v>
      </c>
      <c r="C31" s="365">
        <f>(SBKK!C31/Prices!$C$161*1000)+(KDDI!C31/Prices!$C$161*1000)+(RAK!C31/Prices!$C$161*1000)+HKBN!C31/Prices!$C$167+TPG!C31/Prices!$C$168+TPG!C31/Prices!$C$168</f>
        <v>4860.7080683981048</v>
      </c>
      <c r="D31" s="228">
        <f>(SBKK!D31/Prices!$C$161*1000)+(KDDI!D31/Prices!$C$161*1000)+(RAK!D31/Prices!$C$161*1000)+HKBN!D31/Prices!$C$167+TPG!D31/Prices!$C$168+TPG!D31/Prices!$C$168</f>
        <v>4914.3032980016133</v>
      </c>
      <c r="E31" s="228">
        <f>(SBKK!E31/Prices!$C$161*1000)+(KDDI!E31/Prices!$C$161*1000)+(RAK!E31/Prices!$C$161*1000)+HKBN!E31/Prices!$C$167+TPG!E31/Prices!$C$168+TPG!E31/Prices!$C$168</f>
        <v>5089.3130696104336</v>
      </c>
      <c r="F31" s="228">
        <f>(SBKK!F31/Prices!$C$161*1000)+(KDDI!F31/Prices!$C$161*1000)+(RAK!F31/Prices!$C$161*1000)+HKBN!F31/Prices!$C$167+TPG!F31/Prices!$C$168+TPG!F31/Prices!$C$168</f>
        <v>5401.3897413668983</v>
      </c>
      <c r="G31" s="228">
        <f>(SBKK!G31/Prices!$C$161*1000)+(KDDI!G31/Prices!$C$161*1000)+(RAK!G31/Prices!$C$161*1000)+HKBN!G31/Prices!$C$167+TPG!G31/Prices!$C$168+TPG!G31/Prices!$C$168</f>
        <v>5549.5495089877204</v>
      </c>
      <c r="H31" s="279">
        <f t="shared" si="0"/>
        <v>4.1354483578221801E-2</v>
      </c>
      <c r="I31" s="254"/>
      <c r="J31" s="252"/>
      <c r="K31" s="252"/>
      <c r="L31" s="252"/>
      <c r="M31" s="252"/>
      <c r="N31" s="252"/>
      <c r="O31" s="5"/>
      <c r="Q31" s="5"/>
      <c r="S31" s="42"/>
      <c r="T31" s="42"/>
      <c r="U31" s="42"/>
      <c r="V31" s="147" t="s">
        <v>533</v>
      </c>
      <c r="W31" s="288">
        <f t="shared" si="1"/>
        <v>1.4000118586722214</v>
      </c>
      <c r="X31" s="288">
        <v>1</v>
      </c>
      <c r="Y31" s="42"/>
      <c r="Z31" s="42"/>
      <c r="AA31" s="42"/>
    </row>
    <row r="32" spans="2:27">
      <c r="B32" s="5" t="s">
        <v>606</v>
      </c>
      <c r="C32" s="365">
        <f>(SBKK!C32/Prices!$C$161*1000)+(KDDI!C32/Prices!$C$161*1000)+(RAK!C32/Prices!$C$161*1000)+HKBN!C32/Prices!$C$167+TPG!C32/Prices!$C$168+TPG!C32/Prices!$C$168</f>
        <v>335.76615509512101</v>
      </c>
      <c r="D32" s="228">
        <f>(SBKK!D32/Prices!$C$161*1000)+(KDDI!D32/Prices!$C$161*1000)+(RAK!D32/Prices!$C$161*1000)+HKBN!D32/Prices!$C$167+TPG!D32/Prices!$C$168+TPG!D32/Prices!$C$168</f>
        <v>1164.2286910931243</v>
      </c>
      <c r="E32" s="228">
        <f>(SBKK!E32/Prices!$C$161*1000)+(KDDI!E32/Prices!$C$161*1000)+(RAK!E32/Prices!$C$161*1000)+HKBN!E32/Prices!$C$167+TPG!E32/Prices!$C$168+TPG!E32/Prices!$C$168</f>
        <v>2418.6688093947641</v>
      </c>
      <c r="F32" s="228">
        <f>(SBKK!F32/Prices!$C$161*1000)+(KDDI!F32/Prices!$C$161*1000)+(RAK!F32/Prices!$C$161*1000)+HKBN!F32/Prices!$C$167+TPG!F32/Prices!$C$168+TPG!F32/Prices!$C$168</f>
        <v>1401.0969716610857</v>
      </c>
      <c r="G32" s="228">
        <f>(SBKK!G32/Prices!$C$161*1000)+(KDDI!G32/Prices!$C$161*1000)+(RAK!G32/Prices!$C$161*1000)+HKBN!G32/Prices!$C$167+TPG!G32/Prices!$C$168+TPG!G32/Prices!$C$168</f>
        <v>-2547.7950226284775</v>
      </c>
      <c r="H32" s="279">
        <f t="shared" si="0"/>
        <v>-2.2983010122073342</v>
      </c>
      <c r="I32" s="5"/>
      <c r="J32" s="254"/>
      <c r="K32" s="254"/>
      <c r="L32" s="254"/>
      <c r="M32" s="254"/>
      <c r="N32" s="254"/>
      <c r="O32" s="251"/>
      <c r="Q32" s="5"/>
      <c r="S32" s="42"/>
      <c r="T32" s="42"/>
      <c r="U32" s="42"/>
      <c r="V32" s="147" t="s">
        <v>580</v>
      </c>
      <c r="W32" s="288">
        <f>M17/E45</f>
        <v>1.1082737404476586</v>
      </c>
      <c r="X32" s="288">
        <v>1</v>
      </c>
      <c r="Y32" s="42"/>
      <c r="Z32" s="42"/>
      <c r="AA32" s="42"/>
    </row>
    <row r="33" spans="2:42">
      <c r="B33" s="5" t="s">
        <v>5</v>
      </c>
      <c r="C33" s="365">
        <f>(SBKK!C33/Prices!$C$161*1000)+(KDDI!C33/Prices!$C$161*1000)+(RAK!C33/Prices!$C$161*1000)+HKBN!C33/Prices!$C$167+TPG!C33/Prices!$C$168+TPG!C33/Prices!$C$168</f>
        <v>-230.22911872524156</v>
      </c>
      <c r="D33" s="228">
        <f>(SBKK!D33/Prices!$C$161*1000)+(KDDI!D33/Prices!$C$161*1000)+(RAK!D33/Prices!$C$161*1000)+HKBN!D33/Prices!$C$167+TPG!D33/Prices!$C$168+TPG!D33/Prices!$C$168</f>
        <v>-152.58790999039115</v>
      </c>
      <c r="E33" s="228">
        <f>(SBKK!E33/Prices!$C$161*1000)+(KDDI!E33/Prices!$C$161*1000)+(RAK!E33/Prices!$C$161*1000)+HKBN!E33/Prices!$C$167+TPG!E33/Prices!$C$168+TPG!E33/Prices!$C$168</f>
        <v>700.27254850853501</v>
      </c>
      <c r="F33" s="228">
        <f>(SBKK!F33/Prices!$C$161*1000)+(KDDI!F33/Prices!$C$161*1000)+(RAK!F33/Prices!$C$161*1000)+HKBN!F33/Prices!$C$167+TPG!F33/Prices!$C$168+TPG!F33/Prices!$C$168</f>
        <v>908.82738386182143</v>
      </c>
      <c r="G33" s="228">
        <f>(SBKK!G33/Prices!$C$161*1000)+(KDDI!G33/Prices!$C$161*1000)+(RAK!G33/Prices!$C$161*1000)+HKBN!G33/Prices!$C$167+TPG!G33/Prices!$C$168+TPG!G33/Prices!$C$168</f>
        <v>1099.021384372867</v>
      </c>
      <c r="H33" s="279">
        <f t="shared" si="0"/>
        <v>-2.9312063145494625</v>
      </c>
      <c r="I33" s="49"/>
      <c r="J33" s="254"/>
      <c r="K33" s="254"/>
      <c r="L33" s="254"/>
      <c r="M33" s="254"/>
      <c r="N33" s="254"/>
      <c r="O33" s="251"/>
      <c r="Q33" s="5"/>
      <c r="S33" s="42"/>
      <c r="T33" s="42"/>
      <c r="U33" s="42"/>
      <c r="V33" s="147" t="s">
        <v>266</v>
      </c>
      <c r="W33" s="288">
        <f>N19/F47</f>
        <v>0.67148231335805275</v>
      </c>
      <c r="X33" s="288">
        <v>1</v>
      </c>
      <c r="Y33" s="288"/>
      <c r="Z33" s="288"/>
      <c r="AA33" s="42"/>
      <c r="AC33" s="10"/>
      <c r="AD33" s="10"/>
      <c r="AE33" s="10"/>
      <c r="AF33" s="10"/>
      <c r="AH33" s="10"/>
      <c r="AI33" s="10"/>
      <c r="AJ33" s="10"/>
      <c r="AK33" s="10"/>
      <c r="AM33" s="10"/>
      <c r="AN33" s="10"/>
      <c r="AO33" s="10"/>
      <c r="AP33" s="10"/>
    </row>
    <row r="34" spans="2:42">
      <c r="H34" s="277"/>
      <c r="I34" s="254"/>
      <c r="J34" s="254"/>
      <c r="K34" s="254"/>
      <c r="L34" s="254"/>
      <c r="M34" s="254"/>
      <c r="N34" s="254"/>
      <c r="O34" s="251"/>
      <c r="Q34" s="5"/>
      <c r="S34" s="42"/>
      <c r="T34" s="42"/>
      <c r="U34" s="42"/>
      <c r="V34" s="42"/>
      <c r="W34" s="42"/>
      <c r="X34" s="42"/>
      <c r="Y34" s="288"/>
      <c r="Z34" s="288"/>
      <c r="AA34" s="42"/>
      <c r="AC34" s="10"/>
      <c r="AD34" s="10"/>
      <c r="AE34" s="10"/>
      <c r="AF34" s="10"/>
      <c r="AH34" s="10"/>
      <c r="AI34" s="10"/>
      <c r="AJ34" s="10"/>
      <c r="AK34" s="10"/>
      <c r="AM34" s="10"/>
      <c r="AN34" s="10"/>
      <c r="AO34" s="10"/>
      <c r="AP34" s="10"/>
    </row>
    <row r="35" spans="2:42" ht="12.6" thickBot="1">
      <c r="B35" s="306" t="s">
        <v>90</v>
      </c>
      <c r="C35" s="265"/>
      <c r="D35" s="265" t="str">
        <f>D5</f>
        <v>2023E</v>
      </c>
      <c r="E35" s="265" t="str">
        <f>E5</f>
        <v>2024E</v>
      </c>
      <c r="F35" s="265" t="str">
        <f>F5</f>
        <v>2025E</v>
      </c>
      <c r="G35" s="265" t="str">
        <f>G5</f>
        <v>2026E</v>
      </c>
      <c r="H35" s="265" t="str">
        <f>H5</f>
        <v>23E-26E</v>
      </c>
      <c r="I35" s="17"/>
      <c r="J35" s="5"/>
      <c r="K35" s="5"/>
      <c r="L35" s="5"/>
      <c r="M35" s="5"/>
      <c r="N35" s="5"/>
      <c r="O35" s="5"/>
      <c r="Q35" s="5"/>
      <c r="S35" s="42"/>
      <c r="T35" s="42"/>
      <c r="U35" s="42"/>
      <c r="V35" s="42"/>
      <c r="W35" s="42"/>
      <c r="X35" s="42"/>
      <c r="Y35" s="288"/>
      <c r="Z35" s="288"/>
      <c r="AA35" s="42"/>
      <c r="AC35" s="10"/>
      <c r="AD35" s="10"/>
      <c r="AE35" s="10"/>
      <c r="AF35" s="10"/>
      <c r="AH35" s="10"/>
      <c r="AI35" s="10"/>
      <c r="AJ35" s="10"/>
      <c r="AK35" s="10"/>
      <c r="AM35" s="10"/>
      <c r="AN35" s="10"/>
      <c r="AO35" s="10"/>
      <c r="AP35" s="10"/>
    </row>
    <row r="36" spans="2:42" ht="12.6" thickTop="1">
      <c r="B36" s="41"/>
      <c r="C36" s="249"/>
      <c r="D36" s="254"/>
      <c r="E36" s="254"/>
      <c r="F36" s="254"/>
      <c r="G36" s="254"/>
      <c r="H36" s="254"/>
      <c r="I36" s="5"/>
      <c r="J36" s="49"/>
      <c r="K36" s="49"/>
      <c r="L36" s="49"/>
      <c r="M36" s="49"/>
      <c r="N36" s="49"/>
      <c r="O36" s="49"/>
      <c r="Q36" s="5"/>
      <c r="R36" s="5"/>
      <c r="S36" s="42"/>
      <c r="T36" s="42"/>
      <c r="U36" s="42"/>
      <c r="V36" s="42"/>
      <c r="W36" s="42"/>
      <c r="X36" s="42"/>
      <c r="Y36" s="42"/>
      <c r="Z36" s="42"/>
      <c r="AA36" s="42"/>
      <c r="AC36" s="10"/>
      <c r="AD36" s="10"/>
      <c r="AE36" s="10"/>
      <c r="AF36" s="10"/>
      <c r="AH36" s="10"/>
      <c r="AI36" s="10"/>
      <c r="AJ36" s="10"/>
      <c r="AK36" s="10"/>
      <c r="AM36" s="10"/>
      <c r="AN36" s="10"/>
      <c r="AO36" s="10"/>
      <c r="AP36" s="10"/>
    </row>
    <row r="37" spans="2:42">
      <c r="B37" s="5" t="s">
        <v>273</v>
      </c>
      <c r="C37" s="247"/>
      <c r="D37" s="64">
        <f t="shared" ref="D37:G41" si="2">D$18/D23</f>
        <v>1.8367575076363669</v>
      </c>
      <c r="E37" s="64">
        <f t="shared" si="2"/>
        <v>1.639300994694695</v>
      </c>
      <c r="F37" s="64">
        <f t="shared" si="2"/>
        <v>1.4602856449172372</v>
      </c>
      <c r="G37" s="64">
        <f t="shared" si="2"/>
        <v>1.2903900123930629</v>
      </c>
      <c r="H37" s="17">
        <f t="shared" ref="H37:H45" si="3">H23</f>
        <v>5.3559427902102774E-2</v>
      </c>
      <c r="I37" s="259"/>
      <c r="J37" s="259"/>
      <c r="K37" s="259"/>
      <c r="L37" s="259"/>
      <c r="M37" s="259"/>
      <c r="N37" s="259"/>
      <c r="O37" s="18"/>
      <c r="Q37" s="5"/>
      <c r="R37" s="5"/>
      <c r="S37" s="42"/>
      <c r="T37" s="42"/>
      <c r="U37" s="42"/>
      <c r="V37" s="42"/>
      <c r="W37" s="42"/>
      <c r="X37" s="42"/>
      <c r="Y37" s="42"/>
      <c r="Z37" s="42"/>
      <c r="AA37" s="42"/>
      <c r="AC37" s="10"/>
      <c r="AD37" s="10"/>
      <c r="AE37" s="10"/>
      <c r="AF37" s="10"/>
      <c r="AH37" s="10"/>
      <c r="AI37" s="10"/>
      <c r="AJ37" s="10"/>
      <c r="AK37" s="10"/>
      <c r="AM37" s="10"/>
      <c r="AN37" s="10"/>
      <c r="AO37" s="10"/>
      <c r="AP37" s="10"/>
    </row>
    <row r="38" spans="2:42">
      <c r="B38" s="5" t="s">
        <v>184</v>
      </c>
      <c r="C38" s="247"/>
      <c r="D38" s="64">
        <f t="shared" si="2"/>
        <v>7.3258495291616414</v>
      </c>
      <c r="E38" s="64">
        <f t="shared" si="2"/>
        <v>6.7092804879076917</v>
      </c>
      <c r="F38" s="64">
        <f t="shared" si="2"/>
        <v>5.899034748802352</v>
      </c>
      <c r="G38" s="64">
        <f t="shared" si="2"/>
        <v>5.1300483034137692</v>
      </c>
      <c r="H38" s="17">
        <f t="shared" si="3"/>
        <v>5.4696749337629358E-2</v>
      </c>
      <c r="I38" s="17"/>
      <c r="J38" s="17"/>
      <c r="K38" s="17"/>
      <c r="L38" s="17"/>
      <c r="M38" s="17"/>
      <c r="N38" s="17"/>
      <c r="O38" s="5"/>
      <c r="Q38" s="5"/>
      <c r="R38" s="5"/>
      <c r="S38" s="42"/>
      <c r="T38" s="42"/>
      <c r="U38" s="42"/>
      <c r="V38" s="42"/>
      <c r="W38" s="42"/>
      <c r="X38" s="42"/>
      <c r="Y38" s="42"/>
      <c r="Z38" s="42"/>
      <c r="AA38" s="42"/>
    </row>
    <row r="39" spans="2:42">
      <c r="B39" s="5" t="s">
        <v>185</v>
      </c>
      <c r="C39" s="247"/>
      <c r="D39" s="64">
        <f t="shared" si="2"/>
        <v>14.075420842229162</v>
      </c>
      <c r="E39" s="64">
        <f t="shared" si="2"/>
        <v>11.092965616512378</v>
      </c>
      <c r="F39" s="64">
        <f t="shared" si="2"/>
        <v>9.5483718953953414</v>
      </c>
      <c r="G39" s="64">
        <f t="shared" si="2"/>
        <v>8.2908468131168434</v>
      </c>
      <c r="H39" s="17">
        <f t="shared" si="3"/>
        <v>0.11729947188557732</v>
      </c>
      <c r="I39" s="5"/>
      <c r="J39" s="5"/>
      <c r="K39" s="5"/>
      <c r="L39" s="5"/>
      <c r="M39" s="5"/>
      <c r="N39" s="5"/>
      <c r="O39" s="5"/>
      <c r="Q39" s="5"/>
      <c r="R39" s="5"/>
      <c r="S39" s="42"/>
      <c r="T39" s="42"/>
      <c r="U39" s="42"/>
      <c r="V39" s="42"/>
      <c r="W39" s="288"/>
      <c r="X39" s="288"/>
      <c r="Y39" s="42"/>
      <c r="Z39" s="42"/>
      <c r="AA39" s="42"/>
    </row>
    <row r="40" spans="2:42">
      <c r="B40" s="5" t="s">
        <v>466</v>
      </c>
      <c r="C40" s="247"/>
      <c r="D40" s="64">
        <f t="shared" si="2"/>
        <v>19.370348083126483</v>
      </c>
      <c r="E40" s="64">
        <f t="shared" si="2"/>
        <v>15.410727862351104</v>
      </c>
      <c r="F40" s="64">
        <f t="shared" si="2"/>
        <v>13.436366988392662</v>
      </c>
      <c r="G40" s="64">
        <f t="shared" si="2"/>
        <v>11.776196143347512</v>
      </c>
      <c r="H40" s="17">
        <f t="shared" si="3"/>
        <v>0.10558692088844279</v>
      </c>
      <c r="I40" s="247"/>
      <c r="J40" s="259"/>
      <c r="K40" s="259"/>
      <c r="L40" s="259"/>
      <c r="M40" s="259"/>
      <c r="N40" s="259"/>
      <c r="O40" s="18"/>
      <c r="Q40" s="5"/>
      <c r="R40" s="5"/>
      <c r="S40" s="42"/>
      <c r="T40" s="42"/>
      <c r="U40" s="42"/>
      <c r="V40" s="42"/>
      <c r="W40" s="288"/>
      <c r="X40" s="288"/>
      <c r="Y40" s="288"/>
      <c r="Z40" s="288"/>
      <c r="AA40" s="42"/>
    </row>
    <row r="41" spans="2:42">
      <c r="B41" s="5" t="s">
        <v>530</v>
      </c>
      <c r="C41" s="247"/>
      <c r="D41" s="64">
        <f t="shared" si="2"/>
        <v>1.7916462792273016</v>
      </c>
      <c r="E41" s="64">
        <f t="shared" si="2"/>
        <v>1.7058565442492049</v>
      </c>
      <c r="F41" s="64">
        <f t="shared" si="2"/>
        <v>1.6096907463854528</v>
      </c>
      <c r="G41" s="64">
        <f t="shared" si="2"/>
        <v>1.4987153103503199</v>
      </c>
      <c r="H41" s="17">
        <f t="shared" si="3"/>
        <v>-5.9845449451896293E-3</v>
      </c>
      <c r="I41" s="248"/>
      <c r="J41" s="17"/>
      <c r="K41" s="17"/>
      <c r="L41" s="17"/>
      <c r="M41" s="17"/>
      <c r="N41" s="17"/>
      <c r="O41" s="5"/>
      <c r="Q41" s="5"/>
      <c r="R41" s="5"/>
      <c r="S41" s="42"/>
      <c r="T41" s="42"/>
      <c r="U41" s="42"/>
      <c r="V41" s="42"/>
      <c r="W41" s="288"/>
      <c r="X41" s="288"/>
      <c r="Y41" s="288"/>
      <c r="Z41" s="288"/>
      <c r="AA41" s="42"/>
    </row>
    <row r="42" spans="2:42">
      <c r="B42" s="5" t="s">
        <v>593</v>
      </c>
      <c r="C42" s="247"/>
      <c r="D42" s="64">
        <f>D18/D28</f>
        <v>4.560852656781643</v>
      </c>
      <c r="E42" s="64">
        <f>E18/E28</f>
        <v>4.4391781472313179</v>
      </c>
      <c r="F42" s="64">
        <f>F18/F28</f>
        <v>4.2798853129501655</v>
      </c>
      <c r="G42" s="64">
        <f>G18/G28</f>
        <v>4.0773979497299528</v>
      </c>
      <c r="H42" s="17">
        <f t="shared" si="3"/>
        <v>-2.776838011546956E-2</v>
      </c>
      <c r="I42" s="247"/>
      <c r="J42" s="5"/>
      <c r="K42" s="5"/>
      <c r="L42" s="5"/>
      <c r="M42" s="5"/>
      <c r="N42" s="5"/>
      <c r="O42" s="5"/>
      <c r="Q42" s="5"/>
      <c r="R42" s="5"/>
      <c r="S42" s="42"/>
      <c r="T42" s="42"/>
      <c r="U42" s="42"/>
      <c r="V42" s="42"/>
      <c r="W42" s="288"/>
      <c r="X42" s="288"/>
      <c r="Y42" s="288"/>
      <c r="Z42" s="288"/>
      <c r="AA42" s="42"/>
    </row>
    <row r="43" spans="2:42">
      <c r="B43" s="5" t="s">
        <v>475</v>
      </c>
      <c r="C43" s="247"/>
      <c r="D43" s="64">
        <f>L26/D29</f>
        <v>10.544407216099238</v>
      </c>
      <c r="E43" s="64">
        <f>M26/E29</f>
        <v>7.0257134327626716</v>
      </c>
      <c r="F43" s="64">
        <f>N26/F29</f>
        <v>6.3693466797417377</v>
      </c>
      <c r="G43" s="64">
        <f>O26/G29</f>
        <v>5.9902141583935169</v>
      </c>
      <c r="H43" s="17">
        <f t="shared" si="3"/>
        <v>0.17983109862883917</v>
      </c>
      <c r="I43" s="247"/>
      <c r="J43" s="247"/>
      <c r="K43" s="247"/>
      <c r="L43" s="247"/>
      <c r="M43" s="247"/>
      <c r="N43" s="247"/>
      <c r="O43" s="18"/>
      <c r="Q43" s="5"/>
      <c r="R43" s="5"/>
      <c r="S43" s="42"/>
      <c r="T43" s="42"/>
      <c r="U43" s="42"/>
      <c r="V43" s="42"/>
      <c r="W43" s="325"/>
      <c r="X43" s="325"/>
      <c r="Y43" s="288"/>
      <c r="Z43" s="288"/>
      <c r="AA43" s="42"/>
    </row>
    <row r="44" spans="2:42">
      <c r="B44" s="5" t="s">
        <v>533</v>
      </c>
      <c r="C44" s="69"/>
      <c r="D44" s="64">
        <f>D11/D30</f>
        <v>23.939959255329136</v>
      </c>
      <c r="E44" s="64">
        <f>E11/E30</f>
        <v>19.092338414310159</v>
      </c>
      <c r="F44" s="64">
        <f>F11/F30</f>
        <v>16.97809271236245</v>
      </c>
      <c r="G44" s="64">
        <f>G11/G30</f>
        <v>15.388231404346129</v>
      </c>
      <c r="H44" s="17">
        <f t="shared" si="3"/>
        <v>0.14585153350726876</v>
      </c>
      <c r="I44" s="248"/>
      <c r="J44" s="248"/>
      <c r="K44" s="248"/>
      <c r="L44" s="248"/>
      <c r="M44" s="248"/>
      <c r="N44" s="248"/>
      <c r="O44" s="248"/>
      <c r="Q44" s="5"/>
      <c r="R44" s="5"/>
      <c r="S44" s="42"/>
      <c r="T44" s="42"/>
      <c r="U44" s="42"/>
      <c r="V44" s="42"/>
      <c r="W44" s="42"/>
      <c r="X44" s="42"/>
      <c r="Y44" s="325"/>
      <c r="Z44" s="325"/>
      <c r="AA44" s="42"/>
    </row>
    <row r="45" spans="2:42">
      <c r="B45" s="5" t="s">
        <v>580</v>
      </c>
      <c r="C45" s="247"/>
      <c r="D45" s="248">
        <f>D31/D11</f>
        <v>3.7986924913411727E-2</v>
      </c>
      <c r="E45" s="248">
        <f>E31/E11</f>
        <v>3.9710475797061488E-2</v>
      </c>
      <c r="F45" s="248">
        <f>F31/F11</f>
        <v>4.2651580040166739E-2</v>
      </c>
      <c r="G45" s="248">
        <f>G31/G11</f>
        <v>4.435877655873157E-2</v>
      </c>
      <c r="H45" s="17">
        <f t="shared" si="3"/>
        <v>4.1354483578221801E-2</v>
      </c>
      <c r="I45" s="247"/>
      <c r="J45" s="247"/>
      <c r="K45" s="247"/>
      <c r="L45" s="247"/>
      <c r="M45" s="247"/>
      <c r="N45" s="247"/>
      <c r="O45" s="248"/>
      <c r="Q45" s="5"/>
      <c r="R45" s="5"/>
      <c r="S45" s="42"/>
      <c r="T45" s="42"/>
      <c r="U45" s="42"/>
      <c r="V45" s="42"/>
      <c r="W45" s="42"/>
      <c r="X45" s="42"/>
      <c r="Y45" s="42"/>
      <c r="Z45" s="42"/>
      <c r="AA45" s="326"/>
      <c r="AB45" s="303"/>
    </row>
    <row r="46" spans="2:42">
      <c r="B46" s="5" t="s">
        <v>605</v>
      </c>
      <c r="C46" s="247"/>
      <c r="D46" s="248">
        <f>(D31+D32)/D11</f>
        <v>4.6986261175090624E-2</v>
      </c>
      <c r="E46" s="248">
        <f>(E31+E32)/E11</f>
        <v>5.8582666975493018E-2</v>
      </c>
      <c r="F46" s="248">
        <f>(F31+F32)/F11</f>
        <v>5.3715214121812398E-2</v>
      </c>
      <c r="G46" s="248">
        <f>(G31+G32)/G11</f>
        <v>2.3993687474799737E-2</v>
      </c>
      <c r="H46" s="279">
        <f>((G31+G32)/(D31+D32))^(1/3)-1</f>
        <v>-0.20957836211079617</v>
      </c>
      <c r="I46" s="17"/>
      <c r="J46" s="247"/>
      <c r="K46" s="247"/>
      <c r="L46" s="247"/>
      <c r="M46" s="247"/>
      <c r="N46" s="247"/>
      <c r="O46" s="18"/>
      <c r="Q46" s="5"/>
      <c r="R46" s="5"/>
      <c r="S46" s="42"/>
      <c r="T46" s="42"/>
      <c r="U46" s="42"/>
      <c r="V46" s="42"/>
      <c r="W46" s="42"/>
      <c r="X46" s="42"/>
      <c r="Y46" s="42"/>
      <c r="Z46" s="42"/>
      <c r="AA46" s="326"/>
      <c r="AB46" s="303"/>
    </row>
    <row r="47" spans="2:42">
      <c r="B47" s="5" t="s">
        <v>581</v>
      </c>
      <c r="C47" s="5"/>
      <c r="D47" s="248">
        <f>1/D43</f>
        <v>9.4837005011831912E-2</v>
      </c>
      <c r="E47" s="248">
        <f>1/E43</f>
        <v>0.1423342995085379</v>
      </c>
      <c r="F47" s="248">
        <f>1/F43</f>
        <v>0.15700197371585803</v>
      </c>
      <c r="G47" s="248">
        <f>1/G43</f>
        <v>0.16693893967026124</v>
      </c>
      <c r="H47" s="17">
        <f>H29</f>
        <v>0.17983109862883917</v>
      </c>
      <c r="I47" s="247"/>
      <c r="J47" s="248"/>
      <c r="K47" s="248"/>
      <c r="L47" s="248"/>
      <c r="M47" s="248"/>
      <c r="N47" s="248"/>
      <c r="O47" s="248"/>
      <c r="Q47" s="5"/>
      <c r="R47" s="5"/>
      <c r="S47" s="5"/>
      <c r="T47" s="5"/>
      <c r="U47" s="5"/>
      <c r="AA47" s="303"/>
      <c r="AB47" s="303"/>
    </row>
    <row r="48" spans="2:42">
      <c r="B48" s="5" t="s">
        <v>618</v>
      </c>
      <c r="C48" s="5"/>
      <c r="D48" s="305">
        <f>D31/D29</f>
        <v>0.8133255445584151</v>
      </c>
      <c r="E48" s="305">
        <f>E31/E29</f>
        <v>0.57216139328324611</v>
      </c>
      <c r="F48" s="305">
        <f>F31/F29</f>
        <v>0.56427885109408016</v>
      </c>
      <c r="G48" s="305">
        <f>G31/G29</f>
        <v>0.55924314359302019</v>
      </c>
      <c r="H48" s="17" t="s">
        <v>607</v>
      </c>
      <c r="I48" s="259"/>
      <c r="J48" s="247"/>
      <c r="K48" s="247"/>
      <c r="L48" s="247"/>
      <c r="M48" s="247"/>
      <c r="N48" s="247"/>
      <c r="O48" s="248"/>
      <c r="Q48" s="5"/>
      <c r="R48" s="5"/>
      <c r="S48" s="5"/>
      <c r="T48" s="5"/>
      <c r="U48" s="5"/>
      <c r="AA48" s="303"/>
      <c r="AB48" s="303"/>
    </row>
    <row r="49" spans="2:28">
      <c r="B49" s="41"/>
      <c r="C49" s="17"/>
      <c r="D49" s="17"/>
      <c r="E49" s="17"/>
      <c r="F49" s="17"/>
      <c r="G49" s="17"/>
      <c r="H49" s="17"/>
      <c r="I49" s="17"/>
      <c r="J49" s="17"/>
      <c r="K49" s="17"/>
      <c r="L49" s="17"/>
      <c r="M49" s="17"/>
      <c r="N49" s="17"/>
      <c r="O49" s="248"/>
      <c r="Q49" s="5"/>
      <c r="R49" s="5"/>
      <c r="S49" s="5"/>
      <c r="T49" s="5"/>
      <c r="U49" s="5"/>
      <c r="W49" s="10"/>
      <c r="X49" s="10"/>
      <c r="AA49" s="303"/>
      <c r="AB49" s="303"/>
    </row>
    <row r="50" spans="2:28">
      <c r="B50" s="5"/>
      <c r="C50" s="257"/>
      <c r="D50" s="257"/>
      <c r="E50" s="257"/>
      <c r="F50" s="5"/>
      <c r="G50" s="41"/>
      <c r="H50" s="249"/>
      <c r="I50" s="259"/>
      <c r="J50" s="249"/>
      <c r="K50" s="249"/>
      <c r="L50" s="249"/>
      <c r="M50" s="249"/>
      <c r="N50" s="249"/>
      <c r="O50" s="250"/>
      <c r="Q50" s="5"/>
      <c r="R50" s="5"/>
      <c r="S50" s="5"/>
      <c r="T50" s="5"/>
      <c r="U50" s="5"/>
      <c r="W50" s="10"/>
      <c r="X50" s="10"/>
      <c r="Y50" s="10"/>
      <c r="Z50" s="10"/>
    </row>
    <row r="51" spans="2:28">
      <c r="B51" s="41"/>
      <c r="C51" s="249"/>
      <c r="D51" s="254"/>
      <c r="E51" s="254"/>
      <c r="F51" s="254"/>
      <c r="G51" s="254"/>
      <c r="H51" s="254"/>
      <c r="I51" s="254"/>
      <c r="J51" s="17"/>
      <c r="K51" s="17"/>
      <c r="L51" s="17"/>
      <c r="M51" s="17"/>
      <c r="N51" s="17"/>
      <c r="O51" s="248"/>
      <c r="Q51" s="5"/>
      <c r="R51" s="5"/>
      <c r="S51" s="5"/>
      <c r="T51" s="5"/>
      <c r="U51" s="5"/>
      <c r="Y51" s="10"/>
      <c r="Z51" s="10"/>
    </row>
    <row r="52" spans="2:28">
      <c r="B52" s="5"/>
      <c r="C52" s="257"/>
      <c r="D52" s="17"/>
      <c r="E52" s="17"/>
      <c r="F52" s="17"/>
      <c r="G52" s="17"/>
      <c r="H52" s="17"/>
      <c r="I52" s="17"/>
      <c r="J52" s="259"/>
      <c r="K52" s="259"/>
      <c r="L52" s="259"/>
      <c r="M52" s="259"/>
      <c r="N52" s="259"/>
      <c r="O52" s="18"/>
      <c r="Q52" s="5"/>
      <c r="R52" s="5"/>
      <c r="S52" s="5"/>
      <c r="T52" s="5"/>
      <c r="U52" s="5"/>
    </row>
    <row r="53" spans="2:28">
      <c r="B53" s="5"/>
      <c r="C53" s="257"/>
      <c r="D53" s="257"/>
      <c r="E53" s="257"/>
      <c r="F53" s="5"/>
      <c r="G53" s="5"/>
      <c r="H53" s="259"/>
      <c r="I53" s="259"/>
      <c r="J53" s="254"/>
      <c r="K53" s="254"/>
      <c r="L53" s="254"/>
      <c r="M53" s="254"/>
      <c r="N53" s="254"/>
      <c r="O53" s="251"/>
      <c r="Q53" s="5"/>
      <c r="R53" s="5"/>
      <c r="S53" s="5"/>
      <c r="T53" s="5"/>
      <c r="U53" s="5"/>
    </row>
    <row r="54" spans="2:28">
      <c r="B54" s="41"/>
      <c r="C54" s="249"/>
      <c r="D54" s="254"/>
      <c r="E54" s="254"/>
      <c r="F54" s="254"/>
      <c r="G54" s="254"/>
      <c r="H54" s="254"/>
      <c r="I54" s="249"/>
      <c r="J54" s="17"/>
      <c r="K54" s="17"/>
      <c r="L54" s="17"/>
      <c r="M54" s="17"/>
      <c r="N54" s="17"/>
      <c r="O54" s="18"/>
      <c r="Q54" s="5"/>
      <c r="R54" s="5"/>
      <c r="S54" s="5"/>
      <c r="T54" s="5"/>
      <c r="U54" s="5"/>
    </row>
    <row r="55" spans="2:28">
      <c r="B55" s="5"/>
      <c r="C55" s="257"/>
      <c r="D55" s="17"/>
      <c r="E55" s="17"/>
      <c r="F55" s="17"/>
      <c r="G55" s="17"/>
      <c r="H55" s="17"/>
      <c r="I55" s="248"/>
      <c r="J55" s="259"/>
      <c r="K55" s="259"/>
      <c r="L55" s="259"/>
      <c r="M55" s="259"/>
      <c r="N55" s="259"/>
      <c r="O55" s="18"/>
      <c r="Q55" s="5"/>
      <c r="R55" s="5"/>
      <c r="S55" s="5"/>
      <c r="T55" s="5"/>
      <c r="U55" s="5"/>
    </row>
    <row r="56" spans="2:28">
      <c r="B56" s="5"/>
      <c r="C56" s="248"/>
      <c r="D56" s="248"/>
      <c r="E56" s="248"/>
      <c r="F56" s="5"/>
      <c r="G56" s="5"/>
      <c r="H56" s="259"/>
      <c r="I56" s="5"/>
      <c r="J56" s="249"/>
      <c r="K56" s="249"/>
      <c r="L56" s="249"/>
      <c r="M56" s="249"/>
      <c r="N56" s="249"/>
      <c r="O56" s="251"/>
      <c r="Q56" s="5"/>
      <c r="R56" s="5"/>
      <c r="S56" s="5"/>
      <c r="T56" s="5"/>
      <c r="U56" s="5"/>
    </row>
    <row r="57" spans="2:28">
      <c r="B57" s="41"/>
      <c r="C57" s="249"/>
      <c r="D57" s="249"/>
      <c r="E57" s="249"/>
      <c r="F57" s="249"/>
      <c r="G57" s="249"/>
      <c r="H57" s="249"/>
      <c r="I57" s="17"/>
      <c r="J57" s="248"/>
      <c r="K57" s="248"/>
      <c r="L57" s="248"/>
      <c r="M57" s="248"/>
      <c r="N57" s="248"/>
      <c r="O57" s="18"/>
      <c r="Q57" s="5"/>
      <c r="R57" s="5"/>
      <c r="S57" s="5"/>
      <c r="T57" s="5"/>
      <c r="U57" s="5"/>
    </row>
    <row r="58" spans="2:28">
      <c r="B58" s="5"/>
      <c r="C58" s="5"/>
      <c r="D58" s="248"/>
      <c r="E58" s="248"/>
      <c r="F58" s="248"/>
      <c r="G58" s="248"/>
      <c r="H58" s="248"/>
      <c r="I58" s="5"/>
      <c r="J58" s="5"/>
      <c r="K58" s="5"/>
      <c r="L58" s="5"/>
      <c r="M58" s="5"/>
      <c r="N58" s="5"/>
      <c r="O58" s="5"/>
      <c r="Q58" s="5"/>
      <c r="R58" s="5"/>
      <c r="S58" s="5"/>
      <c r="T58" s="5"/>
      <c r="U58" s="5"/>
    </row>
    <row r="59" spans="2:28">
      <c r="B59" s="5"/>
      <c r="C59" s="5"/>
      <c r="D59" s="5"/>
      <c r="E59" s="5"/>
      <c r="F59" s="5"/>
      <c r="G59" s="5"/>
      <c r="H59" s="5"/>
      <c r="I59" s="249"/>
      <c r="J59" s="17"/>
      <c r="K59" s="17"/>
      <c r="L59" s="17"/>
      <c r="M59" s="17"/>
      <c r="N59" s="17"/>
      <c r="O59" s="251"/>
      <c r="Q59" s="5"/>
      <c r="R59" s="5"/>
      <c r="S59" s="5"/>
      <c r="T59" s="5"/>
      <c r="U59" s="5"/>
    </row>
    <row r="60" spans="2:28">
      <c r="B60" s="41"/>
      <c r="C60" s="17"/>
      <c r="D60" s="17"/>
      <c r="E60" s="17"/>
      <c r="F60" s="17"/>
      <c r="G60" s="17"/>
      <c r="H60" s="17"/>
      <c r="I60" s="5"/>
      <c r="J60" s="5"/>
      <c r="K60" s="5"/>
      <c r="L60" s="5"/>
      <c r="M60" s="5"/>
      <c r="N60" s="5"/>
      <c r="O60" s="5"/>
      <c r="Q60" s="41"/>
      <c r="R60" s="5"/>
      <c r="S60" s="5"/>
      <c r="T60" s="5"/>
      <c r="U60" s="5"/>
    </row>
    <row r="61" spans="2:28">
      <c r="B61" s="5"/>
      <c r="C61" s="5"/>
      <c r="D61" s="5"/>
      <c r="E61" s="5"/>
      <c r="F61" s="5"/>
      <c r="G61" s="5"/>
      <c r="H61" s="5"/>
      <c r="I61" s="5"/>
      <c r="J61" s="249"/>
      <c r="K61" s="249"/>
      <c r="L61" s="249"/>
      <c r="M61" s="249"/>
      <c r="N61" s="249"/>
      <c r="O61" s="251"/>
      <c r="Q61" s="5"/>
      <c r="R61" s="5"/>
      <c r="S61" s="5"/>
      <c r="T61" s="5"/>
      <c r="U61" s="5"/>
    </row>
    <row r="62" spans="2:28">
      <c r="B62" s="41"/>
      <c r="C62" s="249"/>
      <c r="D62" s="249"/>
      <c r="E62" s="249"/>
      <c r="F62" s="249"/>
      <c r="G62" s="249"/>
      <c r="H62" s="249"/>
      <c r="I62" s="254"/>
      <c r="J62" s="5"/>
      <c r="K62" s="5"/>
      <c r="L62" s="5"/>
      <c r="M62" s="5"/>
      <c r="N62" s="5"/>
      <c r="O62" s="5"/>
      <c r="Q62" s="5"/>
      <c r="R62" s="5"/>
      <c r="S62" s="5"/>
      <c r="T62" s="5"/>
      <c r="U62" s="5"/>
    </row>
    <row r="63" spans="2:28">
      <c r="B63" s="5"/>
      <c r="C63" s="5"/>
      <c r="D63" s="5"/>
      <c r="E63" s="5"/>
      <c r="F63" s="5"/>
      <c r="G63" s="5"/>
      <c r="H63" s="5"/>
      <c r="I63" s="17"/>
      <c r="J63" s="5"/>
      <c r="K63" s="5"/>
      <c r="L63" s="5"/>
      <c r="M63" s="5"/>
      <c r="N63" s="5"/>
      <c r="O63" s="5"/>
      <c r="Q63" s="5"/>
      <c r="R63" s="5"/>
      <c r="S63" s="5"/>
      <c r="T63" s="5"/>
      <c r="U63" s="5"/>
    </row>
    <row r="64" spans="2:28">
      <c r="B64" s="5"/>
      <c r="C64" s="5"/>
      <c r="D64" s="5"/>
      <c r="E64" s="5"/>
      <c r="F64" s="5"/>
      <c r="G64" s="5"/>
      <c r="H64" s="5"/>
      <c r="I64" s="254"/>
      <c r="J64" s="254"/>
      <c r="K64" s="254"/>
      <c r="L64" s="254"/>
      <c r="M64" s="254"/>
      <c r="N64" s="254"/>
      <c r="O64" s="251"/>
      <c r="Q64" s="5"/>
      <c r="R64" s="5"/>
      <c r="S64" s="5"/>
      <c r="T64" s="5"/>
      <c r="U64" s="5"/>
    </row>
    <row r="65" spans="2:26">
      <c r="B65" s="41"/>
      <c r="C65" s="249"/>
      <c r="D65" s="254"/>
      <c r="E65" s="254"/>
      <c r="F65" s="254"/>
      <c r="G65" s="254"/>
      <c r="H65" s="254"/>
      <c r="I65" s="248"/>
      <c r="J65" s="17"/>
      <c r="K65" s="17"/>
      <c r="L65" s="17"/>
      <c r="M65" s="17"/>
      <c r="N65" s="17"/>
      <c r="O65" s="5"/>
      <c r="Q65" s="5"/>
      <c r="R65" s="5"/>
      <c r="S65" s="5"/>
      <c r="T65" s="5"/>
      <c r="U65" s="5"/>
    </row>
    <row r="66" spans="2:26">
      <c r="B66" s="5"/>
      <c r="C66" s="5"/>
      <c r="D66" s="17"/>
      <c r="E66" s="17"/>
      <c r="F66" s="17"/>
      <c r="G66" s="17"/>
      <c r="H66" s="17"/>
      <c r="I66" s="5"/>
      <c r="J66" s="254"/>
      <c r="K66" s="254"/>
      <c r="L66" s="254"/>
      <c r="M66" s="254"/>
      <c r="N66" s="254"/>
      <c r="O66" s="251"/>
      <c r="Q66" s="41"/>
      <c r="R66" s="5"/>
      <c r="S66" s="5"/>
      <c r="T66" s="5"/>
      <c r="U66" s="5"/>
    </row>
    <row r="67" spans="2:26">
      <c r="B67" s="41"/>
      <c r="C67" s="249"/>
      <c r="D67" s="254"/>
      <c r="E67" s="254"/>
      <c r="F67" s="254"/>
      <c r="G67" s="254"/>
      <c r="H67" s="254"/>
      <c r="I67" s="245"/>
      <c r="J67" s="248"/>
      <c r="K67" s="248"/>
      <c r="L67" s="248"/>
      <c r="M67" s="248"/>
      <c r="N67" s="248"/>
      <c r="O67" s="5"/>
      <c r="Q67" s="5"/>
      <c r="R67" s="5"/>
      <c r="S67" s="5"/>
      <c r="T67" s="5"/>
      <c r="U67" s="5"/>
    </row>
    <row r="68" spans="2:26">
      <c r="B68" s="5"/>
      <c r="C68" s="5"/>
      <c r="D68" s="248"/>
      <c r="E68" s="248"/>
      <c r="F68" s="248"/>
      <c r="G68" s="248"/>
      <c r="H68" s="248"/>
      <c r="I68" s="248"/>
      <c r="J68" s="5"/>
      <c r="K68" s="5"/>
      <c r="L68" s="5"/>
      <c r="M68" s="5"/>
      <c r="N68" s="5"/>
      <c r="O68" s="5"/>
      <c r="Q68" s="5"/>
      <c r="R68" s="5"/>
      <c r="S68" s="5"/>
      <c r="T68" s="5"/>
      <c r="U68" s="5"/>
    </row>
    <row r="69" spans="2:26">
      <c r="B69" s="41"/>
      <c r="C69" s="5"/>
      <c r="D69" s="5"/>
      <c r="E69" s="5"/>
      <c r="F69" s="5"/>
      <c r="G69" s="5"/>
      <c r="H69" s="5"/>
      <c r="I69" s="5"/>
      <c r="J69" s="245"/>
      <c r="K69" s="245"/>
      <c r="L69" s="245"/>
      <c r="M69" s="245"/>
      <c r="N69" s="245"/>
      <c r="O69" s="251"/>
      <c r="Q69" s="5"/>
      <c r="R69" s="5"/>
      <c r="S69" s="5"/>
      <c r="T69" s="5"/>
      <c r="U69" s="5"/>
      <c r="W69" s="76"/>
      <c r="X69" s="76"/>
    </row>
    <row r="70" spans="2:26">
      <c r="B70" s="41"/>
      <c r="C70" s="245"/>
      <c r="D70" s="245"/>
      <c r="E70" s="245"/>
      <c r="F70" s="245"/>
      <c r="G70" s="245"/>
      <c r="H70" s="245"/>
      <c r="I70" s="245"/>
      <c r="J70" s="248"/>
      <c r="K70" s="248"/>
      <c r="L70" s="248"/>
      <c r="M70" s="248"/>
      <c r="N70" s="248"/>
      <c r="O70" s="5"/>
      <c r="Q70" s="5"/>
      <c r="R70" s="5"/>
      <c r="S70" s="5"/>
      <c r="T70" s="5"/>
      <c r="U70" s="5"/>
      <c r="W70" s="76"/>
      <c r="X70" s="76"/>
      <c r="Y70" s="76"/>
      <c r="Z70" s="76"/>
    </row>
    <row r="71" spans="2:26">
      <c r="B71" s="5"/>
      <c r="C71" s="5"/>
      <c r="D71" s="248"/>
      <c r="E71" s="248"/>
      <c r="F71" s="248"/>
      <c r="G71" s="248"/>
      <c r="H71" s="248"/>
      <c r="I71" s="18"/>
      <c r="J71" s="5"/>
      <c r="K71" s="5"/>
      <c r="L71" s="5"/>
      <c r="M71" s="5"/>
      <c r="N71" s="5"/>
      <c r="O71" s="5"/>
      <c r="Q71" s="5"/>
      <c r="R71" s="5"/>
      <c r="S71" s="5"/>
      <c r="T71" s="5"/>
      <c r="U71" s="5"/>
      <c r="Y71" s="76"/>
      <c r="Z71" s="76"/>
    </row>
    <row r="72" spans="2:26">
      <c r="B72" s="41"/>
      <c r="C72" s="5"/>
      <c r="D72" s="5"/>
      <c r="E72" s="5"/>
      <c r="F72" s="5"/>
      <c r="G72" s="5"/>
      <c r="H72" s="5"/>
      <c r="I72" s="5"/>
      <c r="J72" s="245"/>
      <c r="K72" s="245"/>
      <c r="L72" s="245"/>
      <c r="M72" s="245"/>
      <c r="N72" s="245"/>
      <c r="O72" s="251"/>
      <c r="Q72" s="5"/>
      <c r="R72" s="5"/>
      <c r="S72" s="5"/>
      <c r="T72" s="5"/>
      <c r="U72" s="5"/>
    </row>
    <row r="73" spans="2:26">
      <c r="B73" s="41"/>
      <c r="C73" s="245"/>
      <c r="D73" s="245"/>
      <c r="E73" s="245"/>
      <c r="F73" s="245"/>
      <c r="G73" s="245"/>
      <c r="H73" s="245"/>
      <c r="I73" s="249"/>
      <c r="J73" s="18"/>
      <c r="K73" s="18"/>
      <c r="L73" s="18"/>
      <c r="M73" s="18"/>
      <c r="N73" s="18"/>
      <c r="O73" s="5"/>
      <c r="Q73" s="5"/>
      <c r="R73" s="5"/>
      <c r="S73" s="5"/>
      <c r="T73" s="5"/>
      <c r="U73" s="5"/>
    </row>
    <row r="74" spans="2:26">
      <c r="B74" s="5"/>
      <c r="C74" s="5"/>
      <c r="D74" s="18"/>
      <c r="E74" s="18"/>
      <c r="F74" s="18"/>
      <c r="G74" s="18"/>
      <c r="H74" s="18"/>
      <c r="I74" s="248"/>
      <c r="J74" s="5"/>
      <c r="K74" s="5"/>
      <c r="L74" s="5"/>
      <c r="M74" s="5"/>
      <c r="N74" s="5"/>
      <c r="O74" s="5"/>
      <c r="Q74" s="5"/>
      <c r="R74" s="5"/>
      <c r="S74" s="5"/>
      <c r="T74" s="5"/>
      <c r="U74" s="5"/>
    </row>
    <row r="75" spans="2:26">
      <c r="B75" s="41"/>
      <c r="C75" s="5"/>
      <c r="D75" s="5"/>
      <c r="E75" s="5"/>
      <c r="F75" s="5"/>
      <c r="G75" s="5"/>
      <c r="H75" s="5"/>
      <c r="I75" s="5"/>
      <c r="J75" s="249"/>
      <c r="K75" s="249"/>
      <c r="L75" s="249"/>
      <c r="M75" s="249"/>
      <c r="N75" s="249"/>
      <c r="O75" s="251"/>
      <c r="Q75" s="5"/>
      <c r="R75" s="5"/>
      <c r="S75" s="5"/>
      <c r="T75" s="5"/>
      <c r="U75" s="5"/>
    </row>
    <row r="76" spans="2:26">
      <c r="B76" s="41"/>
      <c r="C76" s="249"/>
      <c r="D76" s="249"/>
      <c r="E76" s="249"/>
      <c r="F76" s="249"/>
      <c r="G76" s="249"/>
      <c r="H76" s="249"/>
      <c r="I76" s="245"/>
      <c r="J76" s="248"/>
      <c r="K76" s="248"/>
      <c r="L76" s="248"/>
      <c r="M76" s="248"/>
      <c r="N76" s="248"/>
      <c r="O76" s="5"/>
      <c r="Q76" s="5"/>
      <c r="R76" s="5"/>
      <c r="S76" s="5"/>
      <c r="T76" s="5"/>
      <c r="U76" s="5"/>
    </row>
    <row r="77" spans="2:26">
      <c r="B77" s="5"/>
      <c r="C77" s="5"/>
      <c r="D77" s="248"/>
      <c r="E77" s="248"/>
      <c r="F77" s="248"/>
      <c r="G77" s="248"/>
      <c r="H77" s="248"/>
      <c r="I77" s="248"/>
      <c r="J77" s="5"/>
      <c r="K77" s="5"/>
      <c r="L77" s="5"/>
      <c r="M77" s="5"/>
      <c r="N77" s="5"/>
      <c r="O77" s="5"/>
      <c r="Q77" s="5"/>
      <c r="R77" s="5"/>
      <c r="S77" s="5"/>
      <c r="T77" s="5"/>
      <c r="U77" s="5"/>
    </row>
    <row r="78" spans="2:26">
      <c r="B78" s="41"/>
      <c r="C78" s="5"/>
      <c r="D78" s="5"/>
      <c r="E78" s="5"/>
      <c r="F78" s="5"/>
      <c r="G78" s="5"/>
      <c r="H78" s="5"/>
      <c r="I78" s="5"/>
      <c r="J78" s="245"/>
      <c r="K78" s="245"/>
      <c r="L78" s="245"/>
      <c r="M78" s="245"/>
      <c r="N78" s="245"/>
      <c r="O78" s="251"/>
      <c r="Q78" s="5"/>
      <c r="R78" s="5"/>
      <c r="S78" s="5"/>
      <c r="T78" s="5"/>
      <c r="U78" s="5"/>
    </row>
    <row r="79" spans="2:26">
      <c r="B79" s="41"/>
      <c r="C79" s="245"/>
      <c r="D79" s="245"/>
      <c r="E79" s="245"/>
      <c r="F79" s="245"/>
      <c r="G79" s="245"/>
      <c r="H79" s="245"/>
      <c r="I79" s="249"/>
      <c r="J79" s="248"/>
      <c r="K79" s="248"/>
      <c r="L79" s="248"/>
      <c r="M79" s="248"/>
      <c r="N79" s="248"/>
      <c r="O79" s="5"/>
      <c r="Q79" s="5"/>
      <c r="R79" s="5"/>
      <c r="S79" s="5"/>
      <c r="T79" s="5"/>
      <c r="U79" s="5"/>
    </row>
    <row r="80" spans="2:26">
      <c r="B80" s="5"/>
      <c r="C80" s="5"/>
      <c r="D80" s="248"/>
      <c r="E80" s="248"/>
      <c r="F80" s="248"/>
      <c r="G80" s="248"/>
      <c r="H80" s="248"/>
      <c r="I80" s="248"/>
      <c r="J80" s="5"/>
      <c r="K80" s="5"/>
      <c r="L80" s="5"/>
      <c r="M80" s="5"/>
      <c r="N80" s="5"/>
      <c r="O80" s="5"/>
      <c r="Q80" s="5"/>
      <c r="R80" s="5"/>
      <c r="S80" s="5"/>
      <c r="T80" s="5"/>
      <c r="U80" s="5"/>
    </row>
    <row r="81" spans="2:26">
      <c r="B81" s="41"/>
      <c r="C81" s="5"/>
      <c r="D81" s="5"/>
      <c r="E81" s="5"/>
      <c r="F81" s="5"/>
      <c r="G81" s="5"/>
      <c r="H81" s="5"/>
      <c r="I81" s="259"/>
      <c r="J81" s="249"/>
      <c r="K81" s="249"/>
      <c r="L81" s="249"/>
      <c r="M81" s="249"/>
      <c r="N81" s="249"/>
      <c r="O81" s="251"/>
      <c r="Q81" s="5"/>
      <c r="R81" s="5"/>
      <c r="S81" s="5"/>
      <c r="T81" s="5"/>
      <c r="U81" s="5"/>
    </row>
    <row r="82" spans="2:26">
      <c r="B82" s="41"/>
      <c r="C82" s="249"/>
      <c r="D82" s="249"/>
      <c r="E82" s="249"/>
      <c r="F82" s="249"/>
      <c r="G82" s="249"/>
      <c r="H82" s="249"/>
      <c r="I82" s="5"/>
      <c r="J82" s="248"/>
      <c r="K82" s="248"/>
      <c r="L82" s="248"/>
      <c r="M82" s="248"/>
      <c r="N82" s="248"/>
      <c r="O82" s="5"/>
      <c r="Q82" s="5"/>
      <c r="R82" s="5"/>
      <c r="S82" s="5"/>
      <c r="T82" s="5"/>
      <c r="U82" s="5"/>
    </row>
    <row r="83" spans="2:26">
      <c r="B83" s="5"/>
      <c r="C83" s="5"/>
      <c r="D83" s="248"/>
      <c r="E83" s="248"/>
      <c r="F83" s="248"/>
      <c r="G83" s="248"/>
      <c r="H83" s="248"/>
      <c r="I83" s="245"/>
      <c r="J83" s="259"/>
      <c r="K83" s="259"/>
      <c r="L83" s="259"/>
      <c r="M83" s="259"/>
      <c r="N83" s="259"/>
      <c r="O83" s="251"/>
      <c r="Q83" s="5"/>
      <c r="R83" s="5"/>
      <c r="S83" s="5"/>
      <c r="T83" s="5"/>
      <c r="U83" s="5"/>
    </row>
    <row r="84" spans="2:26">
      <c r="B84" s="5"/>
      <c r="C84" s="259"/>
      <c r="D84" s="259"/>
      <c r="E84" s="259"/>
      <c r="F84" s="259"/>
      <c r="G84" s="259"/>
      <c r="H84" s="259"/>
      <c r="I84" s="248"/>
      <c r="J84" s="5"/>
      <c r="K84" s="5"/>
      <c r="L84" s="5"/>
      <c r="M84" s="5"/>
      <c r="N84" s="5"/>
      <c r="O84" s="5"/>
      <c r="Q84" s="5"/>
      <c r="R84" s="5"/>
      <c r="S84" s="5"/>
      <c r="T84" s="5"/>
      <c r="U84" s="5"/>
    </row>
    <row r="85" spans="2:26">
      <c r="B85" s="41"/>
      <c r="C85" s="5"/>
      <c r="D85" s="5"/>
      <c r="E85" s="5"/>
      <c r="F85" s="5"/>
      <c r="G85" s="5"/>
      <c r="H85" s="5"/>
      <c r="I85" s="5"/>
      <c r="J85" s="245"/>
      <c r="K85" s="245"/>
      <c r="L85" s="245"/>
      <c r="M85" s="245"/>
      <c r="N85" s="245"/>
      <c r="O85" s="251"/>
      <c r="Q85" s="5"/>
      <c r="R85" s="5"/>
      <c r="S85" s="5"/>
      <c r="T85" s="5"/>
      <c r="U85" s="5"/>
    </row>
    <row r="86" spans="2:26">
      <c r="B86" s="41"/>
      <c r="C86" s="245"/>
      <c r="D86" s="245"/>
      <c r="E86" s="245"/>
      <c r="F86" s="245"/>
      <c r="G86" s="245"/>
      <c r="H86" s="245"/>
      <c r="I86" s="5"/>
      <c r="J86" s="248"/>
      <c r="K86" s="248"/>
      <c r="L86" s="248"/>
      <c r="M86" s="248"/>
      <c r="N86" s="248"/>
      <c r="O86" s="5"/>
      <c r="Q86" s="5"/>
      <c r="R86" s="5"/>
      <c r="S86" s="5"/>
      <c r="T86" s="5"/>
      <c r="U86" s="5"/>
    </row>
    <row r="87" spans="2:26">
      <c r="B87" s="5"/>
      <c r="C87" s="5"/>
      <c r="D87" s="248"/>
      <c r="E87" s="248"/>
      <c r="F87" s="248"/>
      <c r="G87" s="248"/>
      <c r="H87" s="248"/>
      <c r="I87" s="5"/>
      <c r="J87" s="5"/>
      <c r="K87" s="5"/>
      <c r="L87" s="5"/>
      <c r="M87" s="5"/>
      <c r="N87" s="5"/>
      <c r="O87" s="5"/>
      <c r="Q87" s="5"/>
      <c r="R87" s="5"/>
      <c r="S87" s="5"/>
      <c r="T87" s="5"/>
      <c r="U87" s="5"/>
    </row>
    <row r="88" spans="2:26">
      <c r="B88" s="41"/>
      <c r="C88" s="5"/>
      <c r="D88" s="5"/>
      <c r="E88" s="5"/>
      <c r="F88" s="5"/>
      <c r="G88" s="5"/>
      <c r="H88" s="5"/>
      <c r="I88" s="5"/>
      <c r="J88" s="5"/>
      <c r="K88" s="5"/>
      <c r="L88" s="5"/>
      <c r="M88" s="5"/>
      <c r="N88" s="5"/>
      <c r="O88" s="5"/>
      <c r="Q88" s="5"/>
      <c r="R88" s="5"/>
      <c r="S88" s="5"/>
      <c r="T88" s="5"/>
      <c r="U88" s="5"/>
    </row>
    <row r="89" spans="2:26">
      <c r="B89" s="41"/>
      <c r="C89" s="5"/>
      <c r="D89" s="5"/>
      <c r="E89" s="5"/>
      <c r="F89" s="5"/>
      <c r="G89" s="5"/>
      <c r="H89" s="5"/>
      <c r="I89" s="49"/>
      <c r="J89" s="5"/>
      <c r="K89" s="5"/>
      <c r="L89" s="5"/>
      <c r="M89" s="5"/>
      <c r="N89" s="5"/>
      <c r="O89" s="5"/>
      <c r="Q89" s="41"/>
      <c r="R89" s="5"/>
      <c r="S89" s="5"/>
      <c r="T89" s="5"/>
      <c r="U89" s="5"/>
    </row>
    <row r="90" spans="2:26">
      <c r="B90" s="41"/>
      <c r="C90" s="5"/>
      <c r="D90" s="5"/>
      <c r="E90" s="5"/>
      <c r="F90" s="5"/>
      <c r="G90" s="5"/>
      <c r="H90" s="5"/>
      <c r="I90" s="5"/>
      <c r="J90" s="5"/>
      <c r="K90" s="5"/>
      <c r="L90" s="5"/>
      <c r="M90" s="5"/>
      <c r="N90" s="5"/>
      <c r="O90" s="5"/>
      <c r="Q90" s="5"/>
      <c r="R90" s="5"/>
      <c r="S90" s="5"/>
      <c r="T90" s="5"/>
      <c r="U90" s="5"/>
    </row>
    <row r="91" spans="2:26">
      <c r="B91" s="5"/>
      <c r="C91" s="5"/>
      <c r="D91" s="5"/>
      <c r="E91" s="5"/>
      <c r="F91" s="5"/>
      <c r="G91" s="5"/>
      <c r="H91" s="5"/>
      <c r="I91" s="247"/>
      <c r="J91" s="49"/>
      <c r="K91" s="49"/>
      <c r="L91" s="49"/>
      <c r="M91" s="49"/>
      <c r="N91" s="49"/>
      <c r="O91" s="49"/>
      <c r="Q91" s="5"/>
      <c r="R91" s="5"/>
      <c r="S91" s="5"/>
      <c r="T91" s="5"/>
      <c r="U91" s="5"/>
      <c r="W91" s="21"/>
      <c r="X91" s="21"/>
    </row>
    <row r="92" spans="2:26">
      <c r="B92" s="41"/>
      <c r="C92" s="49"/>
      <c r="D92" s="49"/>
      <c r="E92" s="49"/>
      <c r="F92" s="49"/>
      <c r="G92" s="49"/>
      <c r="H92" s="49"/>
      <c r="I92" s="247"/>
      <c r="J92" s="5"/>
      <c r="K92" s="5"/>
      <c r="L92" s="5"/>
      <c r="M92" s="5"/>
      <c r="N92" s="5"/>
      <c r="O92" s="5"/>
      <c r="Q92" s="5"/>
      <c r="R92" s="5"/>
      <c r="S92" s="5"/>
      <c r="T92" s="5"/>
      <c r="U92" s="5"/>
      <c r="W92" s="21"/>
      <c r="X92" s="21"/>
      <c r="Y92" s="21"/>
      <c r="Z92" s="21"/>
    </row>
    <row r="93" spans="2:26">
      <c r="B93" s="5"/>
      <c r="C93" s="5"/>
      <c r="D93" s="5"/>
      <c r="E93" s="5"/>
      <c r="F93" s="5"/>
      <c r="G93" s="5"/>
      <c r="H93" s="5"/>
      <c r="I93" s="247"/>
      <c r="J93" s="247"/>
      <c r="K93" s="247"/>
      <c r="L93" s="247"/>
      <c r="M93" s="247"/>
      <c r="N93" s="247"/>
      <c r="O93" s="248"/>
      <c r="Q93" s="5"/>
      <c r="R93" s="5"/>
      <c r="S93" s="5"/>
      <c r="T93" s="5"/>
      <c r="U93" s="5"/>
      <c r="Y93" s="21"/>
      <c r="Z93" s="21"/>
    </row>
    <row r="94" spans="2:26">
      <c r="B94" s="5"/>
      <c r="C94" s="259"/>
      <c r="D94" s="247"/>
      <c r="E94" s="247"/>
      <c r="F94" s="247"/>
      <c r="G94" s="247"/>
      <c r="H94" s="247"/>
      <c r="I94" s="248"/>
      <c r="J94" s="247"/>
      <c r="K94" s="247"/>
      <c r="L94" s="247"/>
      <c r="M94" s="247"/>
      <c r="N94" s="247"/>
      <c r="O94" s="248"/>
      <c r="Q94" s="5"/>
      <c r="R94" s="5"/>
      <c r="S94" s="5"/>
      <c r="T94" s="5"/>
      <c r="U94" s="5"/>
    </row>
    <row r="95" spans="2:26">
      <c r="B95" s="5"/>
      <c r="C95" s="259"/>
      <c r="D95" s="247"/>
      <c r="E95" s="247"/>
      <c r="F95" s="247"/>
      <c r="G95" s="247"/>
      <c r="H95" s="247"/>
      <c r="I95" s="247"/>
      <c r="J95" s="247"/>
      <c r="K95" s="247"/>
      <c r="L95" s="247"/>
      <c r="M95" s="247"/>
      <c r="N95" s="247"/>
      <c r="O95" s="248"/>
      <c r="Q95" s="5"/>
      <c r="R95" s="5"/>
      <c r="S95" s="5"/>
      <c r="T95" s="5"/>
      <c r="U95" s="5"/>
    </row>
    <row r="96" spans="2:26">
      <c r="B96" s="5"/>
      <c r="C96" s="259"/>
      <c r="D96" s="247"/>
      <c r="E96" s="247"/>
      <c r="F96" s="247"/>
      <c r="G96" s="247"/>
      <c r="H96" s="247"/>
      <c r="I96" s="249"/>
      <c r="J96" s="248"/>
      <c r="K96" s="248"/>
      <c r="L96" s="248"/>
      <c r="M96" s="248"/>
      <c r="N96" s="248"/>
      <c r="O96" s="248"/>
      <c r="Q96" s="5"/>
      <c r="R96" s="5"/>
      <c r="S96" s="5"/>
      <c r="T96" s="5"/>
      <c r="U96" s="5"/>
    </row>
    <row r="97" spans="2:21">
      <c r="B97" s="5"/>
      <c r="C97" s="259"/>
      <c r="D97" s="248"/>
      <c r="E97" s="248"/>
      <c r="F97" s="248"/>
      <c r="G97" s="248"/>
      <c r="H97" s="248"/>
      <c r="I97" s="248"/>
      <c r="J97" s="247"/>
      <c r="K97" s="247"/>
      <c r="L97" s="247"/>
      <c r="M97" s="247"/>
      <c r="N97" s="247"/>
      <c r="O97" s="248"/>
      <c r="Q97" s="5"/>
      <c r="R97" s="5"/>
      <c r="S97" s="5"/>
      <c r="T97" s="5"/>
      <c r="U97" s="5"/>
    </row>
    <row r="98" spans="2:21">
      <c r="B98" s="5"/>
      <c r="C98" s="259"/>
      <c r="D98" s="247"/>
      <c r="E98" s="247"/>
      <c r="F98" s="247"/>
      <c r="G98" s="247"/>
      <c r="H98" s="247"/>
      <c r="I98" s="5"/>
      <c r="J98" s="249"/>
      <c r="K98" s="249"/>
      <c r="L98" s="249"/>
      <c r="M98" s="249"/>
      <c r="N98" s="249"/>
      <c r="O98" s="248"/>
      <c r="Q98" s="5"/>
      <c r="R98" s="5"/>
      <c r="S98" s="5"/>
      <c r="T98" s="5"/>
      <c r="U98" s="5"/>
    </row>
    <row r="99" spans="2:21">
      <c r="B99" s="41"/>
      <c r="C99" s="249"/>
      <c r="D99" s="249"/>
      <c r="E99" s="249"/>
      <c r="F99" s="249"/>
      <c r="G99" s="249"/>
      <c r="H99" s="249"/>
      <c r="I99" s="259"/>
      <c r="J99" s="248"/>
      <c r="K99" s="248"/>
      <c r="L99" s="248"/>
      <c r="M99" s="248"/>
      <c r="N99" s="248"/>
      <c r="O99" s="248"/>
      <c r="Q99" s="5"/>
      <c r="R99" s="5"/>
      <c r="S99" s="5"/>
      <c r="T99" s="5"/>
      <c r="U99" s="5"/>
    </row>
    <row r="100" spans="2:21" s="5" customFormat="1">
      <c r="B100" s="41"/>
      <c r="C100" s="257"/>
      <c r="D100" s="248"/>
      <c r="E100" s="248"/>
      <c r="F100" s="248"/>
      <c r="G100" s="248"/>
      <c r="H100" s="248"/>
      <c r="I100" s="259"/>
      <c r="O100" s="248"/>
      <c r="P100" s="39"/>
    </row>
    <row r="101" spans="2:21">
      <c r="B101" s="41"/>
      <c r="C101" s="5"/>
      <c r="D101" s="5"/>
      <c r="E101" s="5"/>
      <c r="F101" s="5"/>
      <c r="G101" s="5"/>
      <c r="H101" s="5"/>
      <c r="I101" s="247"/>
      <c r="J101" s="259"/>
      <c r="K101" s="259"/>
      <c r="L101" s="259"/>
      <c r="M101" s="259"/>
      <c r="N101" s="259"/>
      <c r="O101" s="5"/>
      <c r="Q101" s="5"/>
      <c r="R101" s="5"/>
      <c r="S101" s="5"/>
      <c r="T101" s="5"/>
      <c r="U101" s="5"/>
    </row>
    <row r="102" spans="2:21">
      <c r="B102" s="5"/>
      <c r="C102" s="259"/>
      <c r="D102" s="259"/>
      <c r="E102" s="259"/>
      <c r="F102" s="259"/>
      <c r="G102" s="259"/>
      <c r="H102" s="259"/>
      <c r="I102" s="5"/>
      <c r="J102" s="259"/>
      <c r="K102" s="259"/>
      <c r="L102" s="259"/>
      <c r="M102" s="259"/>
      <c r="N102" s="259"/>
      <c r="O102" s="5"/>
      <c r="P102" s="5"/>
      <c r="Q102" s="5"/>
      <c r="R102" s="5"/>
      <c r="S102" s="5"/>
      <c r="T102" s="5"/>
      <c r="U102" s="5"/>
    </row>
    <row r="103" spans="2:21">
      <c r="B103" s="5"/>
      <c r="C103" s="259"/>
      <c r="D103" s="259"/>
      <c r="E103" s="259"/>
      <c r="F103" s="259"/>
      <c r="G103" s="259"/>
      <c r="H103" s="259"/>
      <c r="I103" s="247"/>
      <c r="J103" s="247"/>
      <c r="K103" s="247"/>
      <c r="L103" s="247"/>
      <c r="M103" s="247"/>
      <c r="N103" s="247"/>
      <c r="O103" s="5"/>
      <c r="Q103" s="5"/>
      <c r="R103" s="5"/>
      <c r="S103" s="5"/>
      <c r="T103" s="5"/>
      <c r="U103" s="5"/>
    </row>
    <row r="104" spans="2:21" s="5" customFormat="1">
      <c r="C104" s="247"/>
      <c r="D104" s="247"/>
      <c r="E104" s="247"/>
      <c r="F104" s="247"/>
      <c r="G104" s="247"/>
      <c r="H104" s="247"/>
      <c r="P104" s="39"/>
    </row>
    <row r="105" spans="2:21" s="5" customFormat="1">
      <c r="I105" s="259"/>
      <c r="J105" s="247"/>
      <c r="K105" s="247"/>
      <c r="L105" s="247"/>
      <c r="M105" s="247"/>
      <c r="N105" s="247"/>
      <c r="P105" s="39"/>
    </row>
    <row r="106" spans="2:21">
      <c r="B106" s="5"/>
      <c r="C106" s="259"/>
      <c r="D106" s="247"/>
      <c r="E106" s="247"/>
      <c r="F106" s="247"/>
      <c r="G106" s="247"/>
      <c r="H106" s="247"/>
      <c r="I106" s="247"/>
      <c r="J106" s="5"/>
      <c r="K106" s="5"/>
      <c r="L106" s="5"/>
      <c r="M106" s="5"/>
      <c r="N106" s="5"/>
      <c r="O106" s="5"/>
      <c r="P106" s="5"/>
      <c r="Q106" s="5"/>
      <c r="R106" s="5"/>
      <c r="S106" s="5"/>
      <c r="T106" s="5"/>
      <c r="U106" s="5"/>
    </row>
    <row r="107" spans="2:21">
      <c r="B107" s="5"/>
      <c r="C107" s="259"/>
      <c r="D107" s="5"/>
      <c r="E107" s="5"/>
      <c r="F107" s="5"/>
      <c r="G107" s="5"/>
      <c r="H107" s="5"/>
      <c r="I107" s="249"/>
      <c r="J107" s="259"/>
      <c r="K107" s="259"/>
      <c r="L107" s="259"/>
      <c r="M107" s="259"/>
      <c r="N107" s="259"/>
      <c r="O107" s="5"/>
      <c r="P107" s="5"/>
      <c r="Q107" s="5"/>
      <c r="R107" s="5"/>
      <c r="S107" s="5"/>
      <c r="T107" s="5"/>
      <c r="U107" s="5"/>
    </row>
    <row r="108" spans="2:21">
      <c r="B108" s="5"/>
      <c r="C108" s="259"/>
      <c r="D108" s="259"/>
      <c r="E108" s="259"/>
      <c r="F108" s="259"/>
      <c r="G108" s="259"/>
      <c r="H108" s="259"/>
      <c r="I108" s="249"/>
      <c r="J108" s="247"/>
      <c r="K108" s="247"/>
      <c r="L108" s="247"/>
      <c r="M108" s="247"/>
      <c r="N108" s="247"/>
      <c r="O108" s="5"/>
      <c r="Q108" s="5"/>
      <c r="R108" s="5"/>
      <c r="S108" s="5"/>
      <c r="T108" s="5"/>
      <c r="U108" s="5"/>
    </row>
    <row r="109" spans="2:21">
      <c r="B109" s="5"/>
      <c r="C109" s="247"/>
      <c r="D109" s="247"/>
      <c r="E109" s="247"/>
      <c r="F109" s="247"/>
      <c r="G109" s="247"/>
      <c r="H109" s="247"/>
      <c r="I109" s="247"/>
      <c r="J109" s="249"/>
      <c r="K109" s="249"/>
      <c r="L109" s="249"/>
      <c r="M109" s="249"/>
      <c r="N109" s="249"/>
      <c r="O109" s="5"/>
      <c r="Q109" s="5"/>
      <c r="R109" s="5"/>
      <c r="S109" s="5"/>
      <c r="T109" s="5"/>
      <c r="U109" s="5"/>
    </row>
    <row r="110" spans="2:21">
      <c r="B110" s="41"/>
      <c r="C110" s="249"/>
      <c r="D110" s="249"/>
      <c r="E110" s="249"/>
      <c r="F110" s="249"/>
      <c r="G110" s="249"/>
      <c r="H110" s="249"/>
      <c r="I110" s="5"/>
      <c r="J110" s="249"/>
      <c r="K110" s="249"/>
      <c r="L110" s="249"/>
      <c r="M110" s="249"/>
      <c r="N110" s="249"/>
      <c r="O110" s="5"/>
      <c r="Q110" s="5"/>
      <c r="R110" s="5"/>
      <c r="S110" s="5"/>
      <c r="T110" s="5"/>
      <c r="U110" s="5"/>
    </row>
    <row r="111" spans="2:21">
      <c r="B111" s="5"/>
      <c r="C111" s="249"/>
      <c r="D111" s="249"/>
      <c r="E111" s="249"/>
      <c r="F111" s="249"/>
      <c r="G111" s="249"/>
      <c r="H111" s="249"/>
      <c r="I111" s="5"/>
      <c r="J111" s="247"/>
      <c r="K111" s="247"/>
      <c r="L111" s="247"/>
      <c r="M111" s="247"/>
      <c r="N111" s="247"/>
      <c r="O111" s="5"/>
      <c r="Q111" s="5"/>
      <c r="R111" s="5"/>
      <c r="S111" s="5"/>
      <c r="T111" s="5"/>
      <c r="U111" s="5"/>
    </row>
    <row r="112" spans="2:21">
      <c r="B112" s="5"/>
      <c r="C112" s="247"/>
      <c r="D112" s="247"/>
      <c r="E112" s="247"/>
      <c r="F112" s="247"/>
      <c r="G112" s="247"/>
      <c r="H112" s="247"/>
      <c r="I112" s="5"/>
      <c r="J112" s="5"/>
      <c r="K112" s="5"/>
      <c r="L112" s="5"/>
      <c r="M112" s="5"/>
      <c r="N112" s="5"/>
      <c r="O112" s="5"/>
      <c r="Q112" s="5"/>
      <c r="R112" s="5"/>
      <c r="S112" s="5"/>
      <c r="T112" s="5"/>
      <c r="U112" s="5"/>
    </row>
    <row r="113" spans="2:21">
      <c r="B113" s="5"/>
      <c r="C113" s="5"/>
      <c r="D113" s="5"/>
      <c r="E113" s="5"/>
      <c r="F113" s="5"/>
      <c r="G113" s="5"/>
      <c r="H113" s="5"/>
      <c r="I113" s="5"/>
      <c r="J113" s="5"/>
      <c r="K113" s="5"/>
      <c r="L113" s="5"/>
      <c r="M113" s="5"/>
      <c r="N113" s="5"/>
      <c r="O113" s="5"/>
      <c r="Q113" s="5"/>
      <c r="R113" s="5"/>
      <c r="S113" s="5"/>
      <c r="T113" s="5"/>
      <c r="U113" s="5"/>
    </row>
    <row r="114" spans="2:21">
      <c r="B114" s="5"/>
      <c r="C114" s="5"/>
      <c r="D114" s="5"/>
      <c r="E114" s="5"/>
      <c r="F114" s="5"/>
      <c r="G114" s="5"/>
      <c r="H114" s="5"/>
      <c r="I114" s="49"/>
      <c r="J114" s="5"/>
      <c r="K114" s="5"/>
      <c r="L114" s="5"/>
      <c r="M114" s="5"/>
      <c r="N114" s="5"/>
      <c r="O114" s="5"/>
      <c r="Q114" s="41"/>
      <c r="R114" s="5"/>
      <c r="S114" s="5"/>
      <c r="T114" s="5"/>
      <c r="U114" s="5"/>
    </row>
    <row r="115" spans="2:21">
      <c r="B115" s="5"/>
      <c r="C115" s="5"/>
      <c r="D115" s="5"/>
      <c r="E115" s="5"/>
      <c r="F115" s="5"/>
      <c r="G115" s="5"/>
      <c r="H115" s="5"/>
      <c r="I115" s="5"/>
      <c r="J115" s="5"/>
      <c r="K115" s="5"/>
      <c r="L115" s="5"/>
      <c r="M115" s="5"/>
      <c r="N115" s="5"/>
      <c r="O115" s="5"/>
      <c r="Q115" s="5"/>
      <c r="R115" s="5"/>
      <c r="S115" s="5"/>
      <c r="T115" s="5"/>
      <c r="U115" s="5"/>
    </row>
    <row r="116" spans="2:21">
      <c r="B116" s="5"/>
      <c r="C116" s="5"/>
      <c r="D116" s="5"/>
      <c r="E116" s="5"/>
      <c r="F116" s="5"/>
      <c r="G116" s="5"/>
      <c r="H116" s="5"/>
      <c r="I116" s="254"/>
      <c r="J116" s="49"/>
      <c r="K116" s="49"/>
      <c r="L116" s="49"/>
      <c r="M116" s="49"/>
      <c r="N116" s="49"/>
      <c r="O116" s="49"/>
      <c r="Q116" s="5"/>
      <c r="R116" s="5"/>
      <c r="S116" s="5"/>
      <c r="T116" s="5"/>
      <c r="U116" s="5"/>
    </row>
    <row r="117" spans="2:21">
      <c r="B117" s="41"/>
      <c r="C117" s="49"/>
      <c r="D117" s="49"/>
      <c r="E117" s="49"/>
      <c r="F117" s="49"/>
      <c r="G117" s="49"/>
      <c r="H117" s="49"/>
      <c r="I117" s="249"/>
      <c r="J117" s="5"/>
      <c r="K117" s="5"/>
      <c r="L117" s="5"/>
      <c r="M117" s="5"/>
      <c r="N117" s="5"/>
      <c r="O117" s="5"/>
      <c r="Q117" s="5"/>
      <c r="R117" s="5"/>
      <c r="S117" s="5"/>
      <c r="T117" s="5"/>
      <c r="U117" s="5"/>
    </row>
    <row r="118" spans="2:21">
      <c r="B118" s="5"/>
      <c r="C118" s="5"/>
      <c r="D118" s="5"/>
      <c r="E118" s="5"/>
      <c r="F118" s="5"/>
      <c r="G118" s="5"/>
      <c r="H118" s="5"/>
      <c r="I118" s="254"/>
      <c r="J118" s="254"/>
      <c r="K118" s="254"/>
      <c r="L118" s="254"/>
      <c r="M118" s="254"/>
      <c r="N118" s="254"/>
      <c r="O118" s="248"/>
      <c r="Q118" s="5"/>
      <c r="R118" s="5"/>
      <c r="S118" s="5"/>
      <c r="T118" s="5"/>
      <c r="U118" s="5"/>
    </row>
    <row r="119" spans="2:21">
      <c r="B119" s="41"/>
      <c r="C119" s="254"/>
      <c r="D119" s="254"/>
      <c r="E119" s="254"/>
      <c r="F119" s="254"/>
      <c r="G119" s="254"/>
      <c r="H119" s="254"/>
      <c r="I119" s="254"/>
      <c r="J119" s="249"/>
      <c r="K119" s="249"/>
      <c r="L119" s="249"/>
      <c r="M119" s="249"/>
      <c r="N119" s="249"/>
      <c r="O119" s="248"/>
      <c r="Q119" s="5"/>
      <c r="R119" s="5"/>
      <c r="S119" s="5"/>
      <c r="T119" s="5"/>
      <c r="U119" s="5"/>
    </row>
    <row r="120" spans="2:21">
      <c r="B120" s="41"/>
      <c r="C120" s="254"/>
      <c r="D120" s="249"/>
      <c r="E120" s="249"/>
      <c r="F120" s="249"/>
      <c r="G120" s="249"/>
      <c r="H120" s="249"/>
      <c r="I120" s="254"/>
      <c r="J120" s="254"/>
      <c r="K120" s="254"/>
      <c r="L120" s="254"/>
      <c r="M120" s="254"/>
      <c r="N120" s="254"/>
      <c r="O120" s="248"/>
      <c r="Q120" s="5"/>
      <c r="R120" s="5"/>
      <c r="S120" s="5"/>
      <c r="T120" s="5"/>
      <c r="U120" s="5"/>
    </row>
    <row r="121" spans="2:21">
      <c r="B121" s="41"/>
      <c r="C121" s="254"/>
      <c r="D121" s="254"/>
      <c r="E121" s="254"/>
      <c r="F121" s="254"/>
      <c r="G121" s="254"/>
      <c r="H121" s="254"/>
      <c r="I121" s="254"/>
      <c r="J121" s="254"/>
      <c r="K121" s="254"/>
      <c r="L121" s="254"/>
      <c r="M121" s="254"/>
      <c r="N121" s="254"/>
      <c r="O121" s="248"/>
      <c r="Q121" s="5"/>
      <c r="R121" s="5"/>
      <c r="S121" s="5"/>
      <c r="T121" s="5"/>
      <c r="U121" s="5"/>
    </row>
    <row r="122" spans="2:21">
      <c r="B122" s="41"/>
      <c r="C122" s="254"/>
      <c r="D122" s="254"/>
      <c r="E122" s="254"/>
      <c r="F122" s="254"/>
      <c r="G122" s="254"/>
      <c r="H122" s="254"/>
      <c r="I122" s="254"/>
      <c r="J122" s="254"/>
      <c r="K122" s="254"/>
      <c r="L122" s="254"/>
      <c r="M122" s="254"/>
      <c r="N122" s="254"/>
      <c r="O122" s="248"/>
      <c r="Q122" s="5"/>
      <c r="R122" s="5"/>
      <c r="S122" s="5"/>
      <c r="T122" s="5"/>
      <c r="U122" s="5"/>
    </row>
    <row r="123" spans="2:21">
      <c r="B123" s="41"/>
      <c r="C123" s="254"/>
      <c r="D123" s="254"/>
      <c r="E123" s="254"/>
      <c r="F123" s="254"/>
      <c r="G123" s="254"/>
      <c r="H123" s="254"/>
      <c r="I123" s="254"/>
      <c r="J123" s="254"/>
      <c r="K123" s="254"/>
      <c r="L123" s="254"/>
      <c r="M123" s="254"/>
      <c r="N123" s="254"/>
      <c r="O123" s="248"/>
      <c r="Q123" s="5"/>
      <c r="R123" s="5"/>
      <c r="S123" s="5"/>
      <c r="T123" s="5"/>
      <c r="U123" s="5"/>
    </row>
    <row r="124" spans="2:21">
      <c r="B124" s="41"/>
      <c r="C124" s="254"/>
      <c r="D124" s="254"/>
      <c r="E124" s="254"/>
      <c r="F124" s="254"/>
      <c r="G124" s="254"/>
      <c r="H124" s="254"/>
      <c r="I124" s="254"/>
      <c r="J124" s="254"/>
      <c r="K124" s="254"/>
      <c r="L124" s="254"/>
      <c r="M124" s="254"/>
      <c r="N124" s="254"/>
      <c r="O124" s="5"/>
      <c r="Q124" s="5"/>
      <c r="R124" s="5"/>
      <c r="S124" s="5"/>
      <c r="T124" s="5"/>
      <c r="U124" s="5"/>
    </row>
    <row r="125" spans="2:21">
      <c r="B125" s="41"/>
      <c r="C125" s="254"/>
      <c r="D125" s="254"/>
      <c r="E125" s="254"/>
      <c r="F125" s="254"/>
      <c r="G125" s="254"/>
      <c r="H125" s="254"/>
      <c r="I125" s="254"/>
      <c r="J125" s="254"/>
      <c r="K125" s="254"/>
      <c r="L125" s="254"/>
      <c r="M125" s="254"/>
      <c r="N125" s="254"/>
      <c r="O125" s="5"/>
      <c r="Q125" s="5"/>
      <c r="R125" s="5"/>
      <c r="S125" s="5"/>
      <c r="T125" s="5"/>
      <c r="U125" s="5"/>
    </row>
    <row r="126" spans="2:21">
      <c r="B126" s="41"/>
      <c r="C126" s="254"/>
      <c r="D126" s="254"/>
      <c r="E126" s="254"/>
      <c r="F126" s="254"/>
      <c r="G126" s="254"/>
      <c r="H126" s="254"/>
      <c r="I126" s="18"/>
      <c r="J126" s="254"/>
      <c r="K126" s="254"/>
      <c r="L126" s="254"/>
      <c r="M126" s="254"/>
      <c r="N126" s="254"/>
      <c r="O126" s="5"/>
      <c r="Q126" s="5"/>
      <c r="R126" s="5"/>
      <c r="S126" s="5"/>
      <c r="T126" s="5"/>
      <c r="U126" s="5"/>
    </row>
    <row r="127" spans="2:21">
      <c r="B127" s="41"/>
      <c r="C127" s="254"/>
      <c r="D127" s="254"/>
      <c r="E127" s="254"/>
      <c r="F127" s="254"/>
      <c r="G127" s="254"/>
      <c r="H127" s="254"/>
      <c r="I127" s="5"/>
      <c r="J127" s="254"/>
      <c r="K127" s="254"/>
      <c r="L127" s="254"/>
      <c r="M127" s="254"/>
      <c r="N127" s="254"/>
      <c r="O127" s="5"/>
      <c r="Q127" s="5"/>
      <c r="R127" s="5"/>
      <c r="S127" s="5"/>
      <c r="T127" s="5"/>
      <c r="U127" s="5"/>
    </row>
    <row r="128" spans="2:21">
      <c r="B128" s="41"/>
      <c r="C128" s="254"/>
      <c r="D128" s="254"/>
      <c r="E128" s="254"/>
      <c r="F128" s="254"/>
      <c r="G128" s="254"/>
      <c r="H128" s="254"/>
      <c r="I128" s="254"/>
      <c r="J128" s="18"/>
      <c r="K128" s="18"/>
      <c r="L128" s="18"/>
      <c r="M128" s="18"/>
      <c r="N128" s="18"/>
      <c r="O128" s="5"/>
      <c r="Q128" s="5"/>
      <c r="R128" s="5"/>
      <c r="S128" s="5"/>
      <c r="T128" s="5"/>
      <c r="U128" s="5"/>
    </row>
    <row r="129" spans="2:27">
      <c r="B129" s="5"/>
      <c r="C129" s="5"/>
      <c r="D129" s="18"/>
      <c r="E129" s="18"/>
      <c r="F129" s="18"/>
      <c r="G129" s="18"/>
      <c r="H129" s="18"/>
      <c r="I129" s="18"/>
      <c r="J129" s="5"/>
      <c r="K129" s="5"/>
      <c r="L129" s="5"/>
      <c r="M129" s="5"/>
      <c r="N129" s="5"/>
      <c r="O129" s="5"/>
      <c r="Q129" s="5"/>
      <c r="R129" s="5"/>
      <c r="S129" s="5"/>
      <c r="T129" s="5"/>
      <c r="U129" s="5"/>
    </row>
    <row r="130" spans="2:27">
      <c r="B130" s="5"/>
      <c r="C130" s="5"/>
      <c r="D130" s="5"/>
      <c r="E130" s="5"/>
      <c r="F130" s="5"/>
      <c r="G130" s="5"/>
      <c r="H130" s="5"/>
      <c r="I130" s="5"/>
      <c r="J130" s="254"/>
      <c r="K130" s="254"/>
      <c r="L130" s="254"/>
      <c r="M130" s="254"/>
      <c r="N130" s="254"/>
      <c r="O130" s="5"/>
      <c r="Q130" s="5"/>
      <c r="R130" s="5"/>
      <c r="S130" s="5"/>
      <c r="T130" s="5"/>
      <c r="U130" s="5"/>
    </row>
    <row r="131" spans="2:27">
      <c r="B131" s="41"/>
      <c r="C131" s="254"/>
      <c r="D131" s="254"/>
      <c r="E131" s="254"/>
      <c r="F131" s="254"/>
      <c r="G131" s="254"/>
      <c r="H131" s="254"/>
      <c r="I131" s="5"/>
      <c r="J131" s="18"/>
      <c r="K131" s="18"/>
      <c r="L131" s="18"/>
      <c r="M131" s="18"/>
      <c r="N131" s="18"/>
      <c r="O131" s="5"/>
      <c r="Q131" s="5"/>
      <c r="R131" s="5"/>
      <c r="S131" s="5"/>
      <c r="T131" s="5"/>
      <c r="U131" s="5"/>
    </row>
    <row r="132" spans="2:27">
      <c r="B132" s="5"/>
      <c r="C132" s="259"/>
      <c r="D132" s="18"/>
      <c r="E132" s="18"/>
      <c r="F132" s="18"/>
      <c r="G132" s="18"/>
      <c r="H132" s="18"/>
      <c r="I132" s="17"/>
      <c r="J132" s="5"/>
      <c r="K132" s="5"/>
      <c r="L132" s="5"/>
      <c r="M132" s="5"/>
      <c r="N132" s="5"/>
      <c r="O132" s="5"/>
      <c r="Q132" s="5"/>
      <c r="R132" s="5"/>
      <c r="S132" s="5"/>
      <c r="T132" s="5"/>
      <c r="U132" s="5"/>
    </row>
    <row r="133" spans="2:27">
      <c r="B133" s="5"/>
      <c r="C133" s="5"/>
      <c r="D133" s="5"/>
      <c r="E133" s="5"/>
      <c r="F133" s="5"/>
      <c r="G133" s="5"/>
      <c r="H133" s="5"/>
      <c r="I133" s="17"/>
      <c r="J133" s="5"/>
      <c r="K133" s="5"/>
      <c r="L133" s="5"/>
      <c r="M133" s="5"/>
      <c r="N133" s="5"/>
      <c r="O133" s="5"/>
      <c r="Q133" s="5"/>
      <c r="R133" s="5"/>
      <c r="S133" s="5"/>
      <c r="T133" s="5"/>
      <c r="U133" s="5"/>
    </row>
    <row r="134" spans="2:27">
      <c r="B134" s="41"/>
      <c r="C134" s="5"/>
      <c r="D134" s="5"/>
      <c r="E134" s="5"/>
      <c r="F134" s="5"/>
      <c r="G134" s="5"/>
      <c r="H134" s="5"/>
      <c r="I134" s="17"/>
      <c r="J134" s="17"/>
      <c r="K134" s="17"/>
      <c r="L134" s="17"/>
      <c r="M134" s="17"/>
      <c r="N134" s="17"/>
      <c r="O134" s="5"/>
      <c r="Q134" s="41"/>
      <c r="R134" s="5"/>
      <c r="S134" s="5"/>
      <c r="T134" s="5"/>
      <c r="U134" s="5"/>
    </row>
    <row r="135" spans="2:27">
      <c r="B135" s="5"/>
      <c r="C135" s="17"/>
      <c r="D135" s="17"/>
      <c r="E135" s="17"/>
      <c r="F135" s="17"/>
      <c r="G135" s="17"/>
      <c r="H135" s="17"/>
      <c r="I135" s="17"/>
      <c r="J135" s="17"/>
      <c r="K135" s="17"/>
      <c r="L135" s="17"/>
      <c r="M135" s="17"/>
      <c r="N135" s="17"/>
      <c r="O135" s="5"/>
      <c r="Q135" s="5"/>
      <c r="R135" s="5"/>
      <c r="S135" s="5"/>
      <c r="T135" s="5"/>
      <c r="U135" s="5"/>
      <c r="X135" s="304"/>
    </row>
    <row r="136" spans="2:27">
      <c r="B136" s="5"/>
      <c r="C136" s="17"/>
      <c r="D136" s="17"/>
      <c r="E136" s="17"/>
      <c r="F136" s="17"/>
      <c r="G136" s="17"/>
      <c r="H136" s="17"/>
      <c r="I136" s="17"/>
      <c r="J136" s="17"/>
      <c r="K136" s="17"/>
      <c r="L136" s="17"/>
      <c r="M136" s="17"/>
      <c r="N136" s="17"/>
      <c r="O136" s="5"/>
      <c r="Q136" s="5"/>
      <c r="R136" s="5"/>
      <c r="S136" s="5"/>
      <c r="T136" s="5"/>
      <c r="U136" s="5"/>
      <c r="X136" s="10"/>
      <c r="Y136" s="304"/>
      <c r="Z136" s="304"/>
      <c r="AA136" s="304"/>
    </row>
    <row r="137" spans="2:27">
      <c r="B137" s="5"/>
      <c r="C137" s="5"/>
      <c r="D137" s="17"/>
      <c r="E137" s="17"/>
      <c r="F137" s="17"/>
      <c r="G137" s="17"/>
      <c r="H137" s="17"/>
      <c r="I137" s="17"/>
      <c r="J137" s="17"/>
      <c r="K137" s="17"/>
      <c r="L137" s="17"/>
      <c r="M137" s="17"/>
      <c r="N137" s="17"/>
      <c r="O137" s="5"/>
      <c r="Q137" s="5"/>
      <c r="R137" s="5"/>
      <c r="S137" s="5"/>
      <c r="T137" s="5"/>
      <c r="U137" s="5"/>
      <c r="Y137" s="10"/>
      <c r="Z137" s="10"/>
      <c r="AA137" s="10"/>
    </row>
    <row r="138" spans="2:27">
      <c r="B138" s="5"/>
      <c r="C138" s="5"/>
      <c r="D138" s="17"/>
      <c r="E138" s="17"/>
      <c r="F138" s="17"/>
      <c r="G138" s="17"/>
      <c r="H138" s="17"/>
      <c r="I138" s="5"/>
      <c r="J138" s="17"/>
      <c r="K138" s="17"/>
      <c r="L138" s="17"/>
      <c r="M138" s="17"/>
      <c r="N138" s="17"/>
      <c r="O138" s="5"/>
      <c r="Q138" s="5"/>
      <c r="R138" s="5"/>
      <c r="S138" s="5"/>
      <c r="T138" s="5"/>
      <c r="U138" s="5"/>
    </row>
    <row r="139" spans="2:27">
      <c r="B139" s="5"/>
      <c r="C139" s="5"/>
      <c r="D139" s="17"/>
      <c r="E139" s="17"/>
      <c r="F139" s="17"/>
      <c r="G139" s="17"/>
      <c r="H139" s="17"/>
      <c r="I139" s="5"/>
      <c r="J139" s="17"/>
      <c r="K139" s="17"/>
      <c r="L139" s="17"/>
      <c r="M139" s="17"/>
      <c r="N139" s="17"/>
      <c r="O139" s="5"/>
      <c r="Q139" s="5"/>
      <c r="R139" s="5"/>
      <c r="S139" s="5"/>
      <c r="T139" s="5"/>
      <c r="U139" s="5"/>
    </row>
    <row r="140" spans="2:27">
      <c r="B140" s="5"/>
      <c r="C140" s="17"/>
      <c r="D140" s="17"/>
      <c r="E140" s="17"/>
      <c r="F140" s="17"/>
      <c r="G140" s="17"/>
      <c r="H140" s="17"/>
      <c r="I140" s="5"/>
      <c r="J140" s="5"/>
      <c r="K140" s="5"/>
      <c r="L140" s="5"/>
      <c r="M140" s="5"/>
      <c r="N140" s="5"/>
      <c r="O140" s="5"/>
      <c r="Q140" s="5"/>
      <c r="R140" s="5"/>
      <c r="S140" s="5"/>
      <c r="T140" s="5"/>
      <c r="U140" s="5"/>
    </row>
    <row r="141" spans="2:27">
      <c r="B141" s="5"/>
      <c r="C141" s="5"/>
      <c r="D141" s="5"/>
      <c r="E141" s="5"/>
      <c r="F141" s="5"/>
      <c r="G141" s="5"/>
      <c r="H141" s="5"/>
      <c r="I141" s="5"/>
      <c r="J141" s="5"/>
      <c r="K141" s="5"/>
      <c r="L141" s="5"/>
      <c r="M141" s="5"/>
      <c r="N141" s="5"/>
      <c r="O141" s="5"/>
      <c r="Q141" s="5"/>
      <c r="R141" s="5"/>
      <c r="S141" s="5"/>
      <c r="T141" s="5"/>
      <c r="U141" s="5"/>
    </row>
    <row r="142" spans="2:27">
      <c r="B142" s="5"/>
      <c r="C142" s="5"/>
      <c r="D142" s="5"/>
      <c r="E142" s="5"/>
      <c r="F142" s="5"/>
      <c r="G142" s="5"/>
      <c r="H142" s="5"/>
      <c r="I142" s="5"/>
      <c r="J142" s="5"/>
      <c r="K142" s="5"/>
      <c r="L142" s="5"/>
      <c r="M142" s="5"/>
      <c r="N142" s="5"/>
      <c r="O142" s="5"/>
      <c r="Q142" s="5"/>
      <c r="R142" s="5"/>
      <c r="S142" s="5"/>
      <c r="T142" s="5"/>
      <c r="U142" s="5"/>
    </row>
    <row r="143" spans="2:27">
      <c r="B143" s="5"/>
      <c r="C143" s="5"/>
      <c r="D143" s="5"/>
      <c r="E143" s="5"/>
      <c r="F143" s="5"/>
      <c r="G143" s="5"/>
      <c r="H143" s="5"/>
      <c r="I143" s="5"/>
      <c r="J143" s="5"/>
      <c r="K143" s="5"/>
      <c r="L143" s="5"/>
      <c r="M143" s="5"/>
      <c r="N143" s="5"/>
      <c r="O143" s="5"/>
      <c r="Q143" s="5"/>
      <c r="R143" s="5"/>
      <c r="S143" s="5"/>
      <c r="T143" s="5"/>
      <c r="U143" s="5"/>
    </row>
    <row r="144" spans="2:27">
      <c r="B144" s="5"/>
      <c r="C144" s="5"/>
      <c r="D144" s="5"/>
      <c r="E144" s="5"/>
      <c r="F144" s="5"/>
      <c r="G144" s="5"/>
      <c r="H144" s="5"/>
      <c r="I144" s="5"/>
      <c r="J144" s="5"/>
      <c r="K144" s="5"/>
      <c r="L144" s="5"/>
      <c r="M144" s="5"/>
      <c r="N144" s="5"/>
      <c r="O144" s="5"/>
      <c r="Q144" s="5"/>
      <c r="R144" s="5"/>
      <c r="S144" s="5"/>
      <c r="T144" s="5"/>
      <c r="U144" s="5"/>
    </row>
    <row r="145" spans="2:21">
      <c r="B145" s="5"/>
      <c r="C145" s="5"/>
      <c r="D145" s="5"/>
      <c r="E145" s="5"/>
      <c r="F145" s="5"/>
      <c r="G145" s="5"/>
      <c r="H145" s="5"/>
      <c r="I145" s="5"/>
      <c r="J145" s="5"/>
      <c r="K145" s="5"/>
      <c r="L145" s="5"/>
      <c r="M145" s="5"/>
      <c r="N145" s="5"/>
      <c r="O145" s="5"/>
      <c r="Q145" s="5"/>
      <c r="R145" s="5"/>
      <c r="S145" s="5"/>
      <c r="T145" s="5"/>
      <c r="U145" s="5"/>
    </row>
    <row r="146" spans="2:21">
      <c r="B146" s="5"/>
      <c r="C146" s="5"/>
      <c r="D146" s="5"/>
      <c r="E146" s="5"/>
      <c r="F146" s="5"/>
      <c r="G146" s="5"/>
      <c r="H146" s="5"/>
      <c r="I146" s="5"/>
      <c r="J146" s="5"/>
      <c r="K146" s="5"/>
      <c r="L146" s="5"/>
      <c r="M146" s="5"/>
      <c r="N146" s="5"/>
      <c r="O146" s="5"/>
      <c r="Q146" s="5"/>
      <c r="R146" s="5"/>
      <c r="S146" s="5"/>
      <c r="T146" s="5"/>
      <c r="U146" s="5"/>
    </row>
    <row r="147" spans="2:21">
      <c r="B147" s="5"/>
      <c r="C147" s="5"/>
      <c r="D147" s="5"/>
      <c r="E147" s="5"/>
      <c r="F147" s="5"/>
      <c r="G147" s="5"/>
      <c r="H147" s="5"/>
      <c r="I147" s="5"/>
      <c r="J147" s="5"/>
      <c r="K147" s="5"/>
      <c r="L147" s="5"/>
      <c r="M147" s="5"/>
      <c r="N147" s="5"/>
      <c r="O147" s="5"/>
      <c r="Q147" s="5"/>
      <c r="R147" s="5"/>
      <c r="S147" s="5"/>
      <c r="T147" s="5"/>
      <c r="U147" s="5"/>
    </row>
    <row r="148" spans="2:21">
      <c r="B148" s="5"/>
      <c r="C148" s="5"/>
      <c r="D148" s="5"/>
      <c r="E148" s="5"/>
      <c r="F148" s="5"/>
      <c r="G148" s="5"/>
      <c r="H148" s="5"/>
      <c r="J148" s="5"/>
      <c r="K148" s="5"/>
      <c r="L148" s="5"/>
      <c r="M148" s="5"/>
      <c r="N148" s="5"/>
      <c r="O148" s="5"/>
      <c r="Q148" s="5"/>
      <c r="R148" s="5"/>
      <c r="S148" s="5"/>
      <c r="T148" s="5"/>
      <c r="U148" s="5"/>
    </row>
    <row r="149" spans="2:21">
      <c r="B149" s="5"/>
      <c r="C149" s="5"/>
      <c r="D149" s="5"/>
      <c r="E149" s="5"/>
      <c r="F149" s="5"/>
      <c r="G149" s="5"/>
      <c r="H149" s="5"/>
      <c r="J149" s="5"/>
      <c r="K149" s="5"/>
      <c r="L149" s="5"/>
      <c r="M149" s="5"/>
      <c r="N149" s="5"/>
      <c r="O149" s="5"/>
      <c r="Q149" s="5"/>
      <c r="R149" s="5"/>
      <c r="S149" s="5"/>
      <c r="T149" s="5"/>
      <c r="U149" s="5"/>
    </row>
    <row r="150" spans="2:21">
      <c r="B150" s="5"/>
      <c r="C150" s="5"/>
      <c r="D150" s="5"/>
      <c r="E150" s="5"/>
      <c r="F150" s="5"/>
      <c r="G150" s="5"/>
      <c r="H150" s="5"/>
      <c r="Q150" s="5"/>
      <c r="R150" s="5"/>
      <c r="S150" s="5"/>
      <c r="T150" s="5"/>
      <c r="U150" s="5"/>
    </row>
    <row r="151" spans="2:21">
      <c r="Q151" s="5"/>
      <c r="R151" s="5"/>
      <c r="S151" s="5"/>
      <c r="T151" s="5"/>
      <c r="U151" s="5"/>
    </row>
    <row r="152" spans="2:21">
      <c r="Q152" s="5"/>
      <c r="R152" s="5"/>
      <c r="S152" s="5"/>
      <c r="T152" s="5"/>
      <c r="U152" s="5"/>
    </row>
    <row r="153" spans="2:21">
      <c r="C153" s="263"/>
      <c r="Q153" s="5"/>
      <c r="R153" s="5"/>
      <c r="S153" s="5"/>
      <c r="T153" s="5"/>
      <c r="U153" s="5"/>
    </row>
    <row r="154" spans="2:21">
      <c r="Q154" s="5"/>
      <c r="R154" s="5"/>
      <c r="S154" s="5"/>
      <c r="T154" s="5"/>
      <c r="U154" s="5"/>
    </row>
    <row r="155" spans="2:21">
      <c r="Q155" s="5"/>
      <c r="R155" s="5"/>
      <c r="S155" s="5"/>
      <c r="T155" s="5"/>
      <c r="U155" s="5"/>
    </row>
    <row r="156" spans="2:21">
      <c r="Q156" s="5"/>
      <c r="R156" s="5"/>
      <c r="S156" s="5"/>
      <c r="T156" s="5"/>
      <c r="U156" s="5"/>
    </row>
    <row r="157" spans="2:21">
      <c r="Q157" s="5"/>
      <c r="R157" s="5"/>
      <c r="S157" s="5"/>
      <c r="T157" s="5"/>
      <c r="U157" s="5"/>
    </row>
    <row r="158" spans="2:21">
      <c r="Q158" s="5"/>
      <c r="R158" s="5"/>
      <c r="S158" s="5"/>
      <c r="T158" s="5"/>
      <c r="U158" s="5"/>
    </row>
    <row r="159" spans="2:21">
      <c r="Q159" s="5"/>
      <c r="R159" s="5"/>
      <c r="S159" s="5"/>
      <c r="T159" s="5"/>
      <c r="U159" s="5"/>
    </row>
    <row r="160" spans="2:21">
      <c r="Q160" s="5"/>
      <c r="R160" s="5"/>
      <c r="S160" s="5"/>
      <c r="T160" s="5"/>
      <c r="U160" s="5"/>
    </row>
    <row r="161" spans="17:21">
      <c r="Q161" s="5"/>
      <c r="R161" s="5"/>
      <c r="S161" s="5"/>
      <c r="T161" s="5"/>
      <c r="U161" s="5"/>
    </row>
    <row r="162" spans="17:21">
      <c r="Q162" s="5"/>
      <c r="R162" s="5"/>
      <c r="S162" s="5"/>
      <c r="T162" s="5"/>
      <c r="U162" s="5"/>
    </row>
    <row r="163" spans="17:21">
      <c r="Q163" s="5"/>
      <c r="R163" s="5"/>
      <c r="S163" s="5"/>
      <c r="T163" s="5"/>
      <c r="U163" s="5"/>
    </row>
    <row r="164" spans="17:21">
      <c r="Q164" s="5"/>
      <c r="R164" s="5"/>
      <c r="S164" s="5"/>
      <c r="T164" s="5"/>
      <c r="U164" s="5"/>
    </row>
  </sheetData>
  <phoneticPr fontId="7" type="noConversion"/>
  <pageMargins left="0.75" right="0.75" top="1" bottom="1" header="0.5" footer="0.5"/>
  <pageSetup scale="21" orientation="landscape" r:id="rId1"/>
  <headerFooter alignWithMargins="0"/>
  <drawing r:id="rId2"/>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900-000000000000}">
  <sheetPr codeName="Sheet169">
    <tabColor theme="3" tint="0.39997558519241921"/>
    <pageSetUpPr fitToPage="1"/>
  </sheetPr>
  <dimension ref="B1:BK164"/>
  <sheetViews>
    <sheetView showGridLines="0" zoomScale="80" zoomScaleNormal="80" workbookViewId="0">
      <selection activeCell="G11" sqref="G11"/>
    </sheetView>
  </sheetViews>
  <sheetFormatPr defaultColWidth="8.88671875" defaultRowHeight="12"/>
  <cols>
    <col min="1" max="1" width="2.33203125" style="39" customWidth="1"/>
    <col min="2" max="2" width="26.6640625" style="39" customWidth="1"/>
    <col min="3" max="9" width="10" style="39" customWidth="1"/>
    <col min="10" max="10" width="26.6640625" style="39" customWidth="1"/>
    <col min="11" max="16" width="10" style="39" customWidth="1"/>
    <col min="17" max="17" width="4.5546875" style="39" customWidth="1"/>
    <col min="18" max="20" width="8.88671875" style="39"/>
    <col min="21" max="21" width="3.6640625" style="39" customWidth="1"/>
    <col min="22" max="63" width="9.109375" style="5" customWidth="1"/>
    <col min="64" max="16384" width="8.88671875" style="39"/>
  </cols>
  <sheetData>
    <row r="1" spans="2:63" s="312" customFormat="1">
      <c r="V1" s="149"/>
      <c r="W1" s="149"/>
      <c r="X1" s="149"/>
      <c r="Y1" s="149"/>
      <c r="Z1" s="149"/>
      <c r="AA1" s="149"/>
      <c r="AB1" s="149"/>
      <c r="AC1" s="149"/>
      <c r="AD1" s="149"/>
      <c r="AE1" s="149"/>
      <c r="AF1" s="149"/>
      <c r="AG1" s="149"/>
      <c r="AH1" s="149"/>
      <c r="AI1" s="149"/>
      <c r="AJ1" s="149"/>
      <c r="AK1" s="149"/>
      <c r="AL1" s="149"/>
      <c r="AM1" s="149"/>
      <c r="AN1" s="149"/>
      <c r="AO1" s="149"/>
      <c r="AP1" s="149"/>
      <c r="AQ1" s="149"/>
      <c r="AR1" s="149"/>
      <c r="AS1" s="149"/>
      <c r="AT1" s="149"/>
      <c r="AU1" s="149"/>
      <c r="AV1" s="149"/>
      <c r="AW1" s="149"/>
      <c r="AX1" s="149"/>
      <c r="AY1" s="149"/>
      <c r="AZ1" s="149"/>
      <c r="BA1" s="149"/>
      <c r="BB1" s="149"/>
      <c r="BC1" s="149"/>
      <c r="BD1" s="149"/>
      <c r="BE1" s="149"/>
      <c r="BF1" s="149"/>
      <c r="BG1" s="149"/>
      <c r="BH1" s="149"/>
      <c r="BI1" s="149"/>
      <c r="BJ1" s="149"/>
      <c r="BK1" s="149"/>
    </row>
    <row r="2" spans="2:63" s="312" customFormat="1">
      <c r="V2" s="149"/>
      <c r="W2" s="149"/>
      <c r="X2" s="149"/>
      <c r="Y2" s="149"/>
      <c r="Z2" s="149"/>
      <c r="AA2" s="149"/>
      <c r="AB2" s="149"/>
      <c r="AC2" s="149"/>
      <c r="AD2" s="149"/>
      <c r="AE2" s="149"/>
      <c r="AF2" s="149"/>
      <c r="AG2" s="149"/>
      <c r="AH2" s="149"/>
      <c r="AI2" s="149"/>
      <c r="AJ2" s="149"/>
      <c r="AK2" s="149"/>
      <c r="AL2" s="149"/>
      <c r="AM2" s="149"/>
      <c r="AN2" s="149"/>
      <c r="AO2" s="149"/>
      <c r="AP2" s="149"/>
      <c r="AQ2" s="149"/>
      <c r="AR2" s="149"/>
      <c r="AS2" s="149"/>
      <c r="AT2" s="149"/>
      <c r="AU2" s="149"/>
      <c r="AV2" s="149"/>
      <c r="AW2" s="149"/>
      <c r="AX2" s="149"/>
      <c r="AY2" s="149"/>
      <c r="AZ2" s="149"/>
      <c r="BA2" s="149"/>
      <c r="BB2" s="149"/>
      <c r="BC2" s="149"/>
      <c r="BD2" s="149"/>
      <c r="BE2" s="149"/>
      <c r="BF2" s="149"/>
      <c r="BG2" s="149"/>
      <c r="BH2" s="149"/>
      <c r="BI2" s="149"/>
      <c r="BJ2" s="149"/>
      <c r="BK2" s="149"/>
    </row>
    <row r="3" spans="2:63" s="149" customFormat="1">
      <c r="H3" s="153"/>
      <c r="P3" s="153"/>
    </row>
    <row r="4" spans="2:63" s="156" customFormat="1" ht="21">
      <c r="B4" s="129" t="s">
        <v>321</v>
      </c>
      <c r="H4" s="222"/>
      <c r="P4" s="222"/>
    </row>
    <row r="5" spans="2:63" s="149" customFormat="1">
      <c r="C5" s="153"/>
      <c r="D5" s="153" t="str" cm="1">
        <f t="array" ref="D5:H5">headings</f>
        <v>2023E</v>
      </c>
      <c r="E5" s="153" t="str">
        <v>2024E</v>
      </c>
      <c r="F5" s="153" t="str">
        <v>2025E</v>
      </c>
      <c r="G5" s="153" t="str">
        <v>2026E</v>
      </c>
      <c r="H5" s="153" t="str">
        <v>23E-26E</v>
      </c>
      <c r="I5" s="153"/>
      <c r="J5" s="153"/>
      <c r="K5" s="153"/>
      <c r="L5" s="153" t="str" cm="1">
        <f t="array" ref="L5:P5">headings</f>
        <v>2023E</v>
      </c>
      <c r="M5" s="153" t="str">
        <v>2024E</v>
      </c>
      <c r="N5" s="153" t="str">
        <v>2025E</v>
      </c>
      <c r="O5" s="153" t="str">
        <v>2026E</v>
      </c>
      <c r="P5" s="153" t="str">
        <v>23E-26E</v>
      </c>
      <c r="Q5" s="162"/>
      <c r="R5" s="162"/>
      <c r="S5" s="162"/>
      <c r="T5" s="162"/>
      <c r="U5" s="162"/>
      <c r="V5" s="162"/>
      <c r="W5" s="162"/>
      <c r="X5" s="162"/>
      <c r="Y5" s="162"/>
    </row>
    <row r="6" spans="2:63">
      <c r="I6" s="5"/>
      <c r="J6" s="5"/>
      <c r="K6" s="5"/>
      <c r="L6" s="5"/>
      <c r="M6" s="5"/>
      <c r="N6" s="5"/>
      <c r="O6" s="49"/>
    </row>
    <row r="7" spans="2:63" ht="12.6" thickBot="1">
      <c r="B7" s="306" t="s">
        <v>271</v>
      </c>
      <c r="C7" s="265"/>
      <c r="D7" s="265"/>
      <c r="E7" s="265"/>
      <c r="F7" s="265"/>
      <c r="G7" s="265"/>
      <c r="H7" s="265"/>
      <c r="I7" s="49"/>
      <c r="J7" s="306" t="s">
        <v>200</v>
      </c>
      <c r="K7" s="306"/>
      <c r="L7" s="306"/>
      <c r="M7" s="306"/>
      <c r="N7" s="266"/>
      <c r="O7" s="266"/>
      <c r="P7" s="266"/>
    </row>
    <row r="8" spans="2:63" ht="12.6" thickTop="1">
      <c r="B8" s="5"/>
      <c r="C8" s="5"/>
      <c r="D8" s="5"/>
      <c r="E8" s="5"/>
      <c r="F8" s="5"/>
      <c r="G8" s="5"/>
      <c r="H8" s="5"/>
      <c r="I8" s="5"/>
      <c r="J8" s="5"/>
      <c r="K8" s="5"/>
      <c r="L8" s="5"/>
      <c r="M8" s="5"/>
      <c r="N8" s="5"/>
    </row>
    <row r="9" spans="2:63">
      <c r="B9" s="41" t="s">
        <v>500</v>
      </c>
      <c r="C9" s="287"/>
      <c r="D9" s="5"/>
      <c r="E9" s="249"/>
      <c r="F9" s="249"/>
      <c r="G9" s="249"/>
      <c r="H9" s="249"/>
      <c r="I9" s="249"/>
      <c r="J9" s="5" t="s">
        <v>273</v>
      </c>
      <c r="L9" s="64">
        <f>'AGG DM'!D37</f>
        <v>2.329412469433874</v>
      </c>
      <c r="M9" s="64">
        <f>'AGG DM'!E37</f>
        <v>2.207031841456474</v>
      </c>
      <c r="N9" s="64">
        <f>'AGG DM'!F37</f>
        <v>2.0665364578686574</v>
      </c>
      <c r="O9" s="64">
        <f>'AGG DM'!G37</f>
        <v>1.9167412853037995</v>
      </c>
      <c r="P9" s="17">
        <f>'EM INCUMB'!H37</f>
        <v>4.1231626442215452E-2</v>
      </c>
    </row>
    <row r="10" spans="2:63">
      <c r="B10" s="5" t="s">
        <v>274</v>
      </c>
      <c r="C10" s="5"/>
      <c r="D10" s="332"/>
      <c r="E10" s="332"/>
      <c r="F10" s="332"/>
      <c r="G10" s="332"/>
      <c r="H10" s="247"/>
      <c r="I10" s="247"/>
      <c r="J10" s="5" t="s">
        <v>184</v>
      </c>
      <c r="L10" s="64">
        <f>'AGG DM'!D38</f>
        <v>7.0841879802792365</v>
      </c>
      <c r="M10" s="64">
        <f>'AGG DM'!E38</f>
        <v>6.5876114702803505</v>
      </c>
      <c r="N10" s="64">
        <f>'AGG DM'!F38</f>
        <v>6.0864198915332164</v>
      </c>
      <c r="O10" s="64">
        <f>'AGG DM'!G38</f>
        <v>5.5767680131537691</v>
      </c>
      <c r="P10" s="17">
        <f>'EM INCUMB'!H38</f>
        <v>4.5319782471582526E-2</v>
      </c>
      <c r="W10" s="10"/>
      <c r="X10" s="10"/>
      <c r="Y10" s="10"/>
      <c r="Z10" s="10"/>
    </row>
    <row r="11" spans="2:63">
      <c r="B11" s="41" t="s">
        <v>359</v>
      </c>
      <c r="C11" s="5"/>
      <c r="D11" s="271">
        <f>'DM ASIA INCUMB'!D11+'DM ASIA OTHER'!D11</f>
        <v>280595.38012545474</v>
      </c>
      <c r="E11" s="271">
        <f>'DM ASIA INCUMB'!E11+'DM ASIA OTHER'!E11</f>
        <v>277916.58040894574</v>
      </c>
      <c r="F11" s="271">
        <f>'DM ASIA INCUMB'!F11+'DM ASIA OTHER'!F11</f>
        <v>274925.84073068399</v>
      </c>
      <c r="G11" s="271">
        <f>'DM ASIA INCUMB'!G11+'DM ASIA OTHER'!G11</f>
        <v>271922.73006845813</v>
      </c>
      <c r="H11" s="249"/>
      <c r="I11" s="249"/>
      <c r="J11" s="5" t="s">
        <v>185</v>
      </c>
      <c r="L11" s="64">
        <f>'AGG DM'!D39</f>
        <v>13.53328960256645</v>
      </c>
      <c r="M11" s="64">
        <f>'AGG DM'!E39</f>
        <v>11.493643628277713</v>
      </c>
      <c r="N11" s="64">
        <f>'AGG DM'!F39</f>
        <v>10.264735122504899</v>
      </c>
      <c r="O11" s="64">
        <f>'AGG DM'!G39</f>
        <v>9.0451770938503948</v>
      </c>
      <c r="P11" s="17">
        <f>'EM INCUMB'!H39</f>
        <v>0.13008903497063584</v>
      </c>
      <c r="W11" s="10"/>
      <c r="X11" s="10"/>
      <c r="Y11" s="10"/>
      <c r="Z11" s="10"/>
    </row>
    <row r="12" spans="2:63">
      <c r="B12" s="5" t="s">
        <v>229</v>
      </c>
      <c r="C12" s="249"/>
      <c r="D12" s="228">
        <f>'DM ASIA INCUMB'!D12+'DM ASIA OTHER'!D12</f>
        <v>98906.474445930391</v>
      </c>
      <c r="E12" s="228">
        <f>'DM ASIA INCUMB'!E12+'DM ASIA OTHER'!E12</f>
        <v>93121.027910469929</v>
      </c>
      <c r="F12" s="228">
        <f>'DM ASIA INCUMB'!F12+'DM ASIA OTHER'!F12</f>
        <v>88120.707207489584</v>
      </c>
      <c r="G12" s="228">
        <f>'DM ASIA INCUMB'!G12+'DM ASIA OTHER'!G12</f>
        <v>83043.776099107869</v>
      </c>
      <c r="H12" s="247"/>
      <c r="I12" s="247"/>
      <c r="J12" s="5" t="s">
        <v>466</v>
      </c>
      <c r="L12" s="64">
        <f>'AGG DM'!D40</f>
        <v>19.213286909010346</v>
      </c>
      <c r="M12" s="64">
        <f>'AGG DM'!E40</f>
        <v>16.347188206412962</v>
      </c>
      <c r="N12" s="64">
        <f>'AGG DM'!F40</f>
        <v>14.618845003714046</v>
      </c>
      <c r="O12" s="64">
        <f>'AGG DM'!G40</f>
        <v>12.840265625641983</v>
      </c>
      <c r="P12" s="17">
        <f>'EM INCUMB'!H40</f>
        <v>0.14671109623312839</v>
      </c>
      <c r="W12" s="10"/>
      <c r="X12" s="10"/>
      <c r="Y12" s="10"/>
      <c r="Z12" s="10"/>
    </row>
    <row r="13" spans="2:63">
      <c r="B13" s="5" t="s">
        <v>529</v>
      </c>
      <c r="C13" s="257"/>
      <c r="D13" s="228">
        <f>'DM ASIA INCUMB'!D13+'DM ASIA OTHER'!D13</f>
        <v>8864.6829948508112</v>
      </c>
      <c r="E13" s="228">
        <f>'DM ASIA INCUMB'!E13+'DM ASIA OTHER'!E13</f>
        <v>8864.6829948508112</v>
      </c>
      <c r="F13" s="228">
        <f>'DM ASIA INCUMB'!F13+'DM ASIA OTHER'!F13</f>
        <v>8864.6829948508112</v>
      </c>
      <c r="G13" s="228">
        <f>'DM ASIA INCUMB'!G13+'DM ASIA OTHER'!G13</f>
        <v>8864.6829948508112</v>
      </c>
      <c r="H13" s="247"/>
      <c r="I13" s="247"/>
      <c r="J13" s="5" t="s">
        <v>530</v>
      </c>
      <c r="L13" s="64">
        <f>'AGG DM'!D41</f>
        <v>1.3514515540183685</v>
      </c>
      <c r="M13" s="64">
        <f>'AGG DM'!E41</f>
        <v>1.4007532435377124</v>
      </c>
      <c r="N13" s="64">
        <f>'AGG DM'!F41</f>
        <v>1.3363938049874495</v>
      </c>
      <c r="O13" s="64">
        <f>'AGG DM'!G41</f>
        <v>1.2739776448559783</v>
      </c>
      <c r="P13" s="17">
        <f>'EM INCUMB'!H41</f>
        <v>-5.7044998568572813E-3</v>
      </c>
    </row>
    <row r="14" spans="2:63">
      <c r="B14" s="5" t="s">
        <v>532</v>
      </c>
      <c r="C14" s="274"/>
      <c r="D14" s="228">
        <f>'DM ASIA INCUMB'!D14+'DM ASIA OTHER'!D14</f>
        <v>5952.4832028801538</v>
      </c>
      <c r="E14" s="228">
        <f>'DM ASIA INCUMB'!E14+'DM ASIA OTHER'!E14</f>
        <v>6053.2106852533079</v>
      </c>
      <c r="F14" s="228">
        <f>'DM ASIA INCUMB'!F14+'DM ASIA OTHER'!F14</f>
        <v>6158.9745417451204</v>
      </c>
      <c r="G14" s="228">
        <f>'DM ASIA INCUMB'!G14+'DM ASIA OTHER'!G14</f>
        <v>6270.0265910615226</v>
      </c>
      <c r="H14" s="247"/>
      <c r="I14" s="247"/>
      <c r="J14" s="5" t="s">
        <v>593</v>
      </c>
      <c r="L14" s="64">
        <f>'AGG DM'!D42</f>
        <v>3.3000460374957705</v>
      </c>
      <c r="M14" s="64">
        <f>'AGG DM'!E42</f>
        <v>3.1838124862642916</v>
      </c>
      <c r="N14" s="64">
        <f>'AGG DM'!F42</f>
        <v>3.0594658370749888</v>
      </c>
      <c r="O14" s="64">
        <f>'AGG DM'!G42</f>
        <v>2.9412325385033187</v>
      </c>
      <c r="P14" s="17">
        <f>'EM INCUMB'!H42</f>
        <v>-4.0288882333939902E-2</v>
      </c>
    </row>
    <row r="15" spans="2:63">
      <c r="B15" s="5" t="s">
        <v>531</v>
      </c>
      <c r="C15" s="257"/>
      <c r="D15" s="228">
        <f>'DM ASIA INCUMB'!D15+'DM ASIA OTHER'!D15</f>
        <v>21478.654868463651</v>
      </c>
      <c r="E15" s="228">
        <f>'DM ASIA INCUMB'!E15+'DM ASIA OTHER'!E15</f>
        <v>21478.654868463651</v>
      </c>
      <c r="F15" s="228">
        <f>'DM ASIA INCUMB'!F15+'DM ASIA OTHER'!F15</f>
        <v>21478.654868463651</v>
      </c>
      <c r="G15" s="228">
        <f>'DM ASIA INCUMB'!G15+'DM ASIA OTHER'!G15</f>
        <v>21478.654868463651</v>
      </c>
      <c r="H15" s="247"/>
      <c r="I15" s="247"/>
      <c r="J15" s="5" t="s">
        <v>475</v>
      </c>
      <c r="L15" s="64">
        <f>'AGG DM'!D43</f>
        <v>11.806292254184493</v>
      </c>
      <c r="M15" s="64">
        <f>'AGG DM'!E43</f>
        <v>10.8479727708929</v>
      </c>
      <c r="N15" s="64">
        <f>'AGG DM'!F43</f>
        <v>9.79850588673491</v>
      </c>
      <c r="O15" s="64">
        <f>'AGG DM'!G43</f>
        <v>8.8149149732476211</v>
      </c>
      <c r="P15" s="17">
        <f>'EM INCUMB'!H43</f>
        <v>0.21725098476735072</v>
      </c>
      <c r="S15" s="88"/>
      <c r="T15" s="88"/>
      <c r="U15" s="88"/>
      <c r="V15" s="42"/>
      <c r="W15" s="42"/>
      <c r="X15" s="42"/>
      <c r="Y15" s="42"/>
      <c r="Z15" s="42"/>
      <c r="AA15" s="42"/>
    </row>
    <row r="16" spans="2:63">
      <c r="B16" s="5" t="s">
        <v>534</v>
      </c>
      <c r="C16" s="257"/>
      <c r="D16" s="228">
        <f>'DM ASIA INCUMB'!D16+'DM ASIA OTHER'!D16</f>
        <v>7629.118389095509</v>
      </c>
      <c r="E16" s="228">
        <f>'DM ASIA INCUMB'!E16+'DM ASIA OTHER'!E16</f>
        <v>19174.009103728713</v>
      </c>
      <c r="F16" s="228">
        <f>'DM ASIA INCUMB'!F16+'DM ASIA OTHER'!F16</f>
        <v>31485.45386149504</v>
      </c>
      <c r="G16" s="228">
        <f>'DM ASIA INCUMB'!G16+'DM ASIA OTHER'!G16</f>
        <v>44891.619834090408</v>
      </c>
      <c r="H16" s="247"/>
      <c r="I16" s="247"/>
      <c r="J16" s="5" t="s">
        <v>533</v>
      </c>
      <c r="L16" s="64">
        <f>'AGG DM'!D44</f>
        <v>13.624604105346204</v>
      </c>
      <c r="M16" s="64">
        <f>'AGG DM'!E44</f>
        <v>12.503028582967529</v>
      </c>
      <c r="N16" s="64">
        <f>'AGG DM'!F44</f>
        <v>11.302702719097406</v>
      </c>
      <c r="O16" s="64">
        <f>'AGG DM'!G44</f>
        <v>10.160048566687355</v>
      </c>
      <c r="P16" s="17">
        <f>'EM INCUMB'!H44</f>
        <v>0.16110061170195666</v>
      </c>
      <c r="S16" s="88"/>
      <c r="T16" s="88"/>
      <c r="U16" s="88"/>
      <c r="V16" s="42"/>
      <c r="W16" s="42"/>
      <c r="X16" s="42"/>
      <c r="Y16" s="42"/>
      <c r="Z16" s="42"/>
      <c r="AA16" s="42"/>
    </row>
    <row r="17" spans="2:27">
      <c r="B17" s="5" t="s">
        <v>6</v>
      </c>
      <c r="C17" s="257"/>
      <c r="D17" s="228">
        <f>'DM ASIA INCUMB'!D17+'DM ASIA OTHER'!D17</f>
        <v>0</v>
      </c>
      <c r="E17" s="228">
        <f>'DM ASIA INCUMB'!E17+'DM ASIA OTHER'!E17</f>
        <v>0</v>
      </c>
      <c r="F17" s="228">
        <f>'DM ASIA INCUMB'!F17+'DM ASIA OTHER'!F17</f>
        <v>0</v>
      </c>
      <c r="G17" s="228">
        <f>'DM ASIA INCUMB'!G17+'DM ASIA OTHER'!G17</f>
        <v>0</v>
      </c>
      <c r="H17" s="247"/>
      <c r="I17" s="247"/>
      <c r="J17" s="5" t="s">
        <v>580</v>
      </c>
      <c r="L17" s="248">
        <f>'AGG DM'!D45</f>
        <v>3.8692911642747754E-2</v>
      </c>
      <c r="M17" s="248">
        <f>'AGG DM'!E45</f>
        <v>4.3419291969220015E-2</v>
      </c>
      <c r="N17" s="248">
        <f>'AGG DM'!F45</f>
        <v>4.6126321738259798E-2</v>
      </c>
      <c r="O17" s="248">
        <f>'AGG DM'!G45</f>
        <v>4.9423675586152439E-2</v>
      </c>
      <c r="P17" s="17">
        <f>'EM INCUMB'!H45</f>
        <v>0.14769227496166182</v>
      </c>
      <c r="S17" s="88"/>
      <c r="T17" s="88"/>
      <c r="U17" s="88"/>
      <c r="V17" s="42"/>
      <c r="W17" s="42"/>
      <c r="X17" s="42"/>
      <c r="Y17" s="42"/>
      <c r="Z17" s="42"/>
      <c r="AA17" s="42"/>
    </row>
    <row r="18" spans="2:27" ht="12.6" thickBot="1">
      <c r="B18" s="41" t="s">
        <v>360</v>
      </c>
      <c r="C18" s="249"/>
      <c r="D18" s="275">
        <f>'DM ASIA INCUMB'!D18+'DM ASIA OTHER'!D18</f>
        <v>396263.59084272402</v>
      </c>
      <c r="E18" s="275">
        <f>'DM ASIA INCUMB'!E18+'DM ASIA OTHER'!E18</f>
        <v>376153.72639374807</v>
      </c>
      <c r="F18" s="275">
        <f>'DM ASIA INCUMB'!F18+'DM ASIA OTHER'!F18</f>
        <v>355745.45739824791</v>
      </c>
      <c r="G18" s="275">
        <f>'DM ASIA INCUMB'!G18+'DM ASIA OTHER'!G18</f>
        <v>334148.19760572852</v>
      </c>
      <c r="H18" s="276">
        <f>IF(D18=0,"nm",IF(G18=0,"nm",(G18/D18)^(1/3)-1))</f>
        <v>-5.5246917914205995E-2</v>
      </c>
      <c r="I18" s="254"/>
      <c r="J18" s="5" t="s">
        <v>36</v>
      </c>
      <c r="L18" s="248">
        <f>'AGG DM'!D46</f>
        <v>5.5339609483801136E-2</v>
      </c>
      <c r="M18" s="248">
        <f>'AGG DM'!E46</f>
        <v>7.6500460251698113E-2</v>
      </c>
      <c r="N18" s="248">
        <f>'AGG DM'!F46</f>
        <v>8.0311545489538158E-2</v>
      </c>
      <c r="O18" s="248">
        <f>'AGG DM'!G46</f>
        <v>9.1977124183415609E-2</v>
      </c>
      <c r="P18" s="17">
        <f>'EM INCUMB'!H46</f>
        <v>0.19655757517991312</v>
      </c>
      <c r="S18" s="88"/>
      <c r="T18" s="88"/>
      <c r="U18" s="88"/>
      <c r="V18" s="42"/>
      <c r="W18" s="42"/>
      <c r="X18" s="42"/>
      <c r="Y18" s="42"/>
      <c r="Z18" s="42"/>
      <c r="AA18" s="42"/>
    </row>
    <row r="19" spans="2:27" ht="12.6" thickTop="1">
      <c r="B19" s="41"/>
      <c r="C19" s="249"/>
      <c r="D19" s="229"/>
      <c r="E19" s="229"/>
      <c r="F19" s="229"/>
      <c r="G19" s="229"/>
      <c r="H19" s="276"/>
      <c r="I19" s="17"/>
      <c r="J19" s="5" t="s">
        <v>581</v>
      </c>
      <c r="L19" s="248">
        <f>'AGG DM'!D47</f>
        <v>8.4700596806382714E-2</v>
      </c>
      <c r="M19" s="248">
        <f>'AGG DM'!E47</f>
        <v>9.2183122240422966E-2</v>
      </c>
      <c r="N19" s="248">
        <f>'AGG DM'!F47</f>
        <v>0.10205637589642999</v>
      </c>
      <c r="O19" s="248">
        <f>'AGG DM'!G47</f>
        <v>0.11344408914151745</v>
      </c>
      <c r="P19" s="17">
        <f>'EM INCUMB'!H47</f>
        <v>0.21725098476735072</v>
      </c>
      <c r="S19" s="88"/>
      <c r="T19" s="88"/>
      <c r="U19" s="88"/>
      <c r="V19" s="42"/>
      <c r="W19" s="42"/>
      <c r="X19" s="42"/>
      <c r="Y19" s="42"/>
      <c r="Z19" s="42"/>
      <c r="AA19" s="42"/>
    </row>
    <row r="20" spans="2:27">
      <c r="H20" s="277"/>
      <c r="I20" s="49"/>
      <c r="J20" s="5" t="s">
        <v>604</v>
      </c>
      <c r="L20" s="248">
        <f>'AGG DM'!D48</f>
        <v>0.45770628705874244</v>
      </c>
      <c r="M20" s="248">
        <f>'AGG DM'!E48</f>
        <v>0.47291165163323612</v>
      </c>
      <c r="N20" s="248">
        <f>'AGG DM'!F48</f>
        <v>0.45515009617149715</v>
      </c>
      <c r="O20" s="248">
        <f>'AGG DM'!G48</f>
        <v>0.44137076019918969</v>
      </c>
      <c r="P20" s="17" t="str">
        <f>'EM INCUMB'!H48</f>
        <v>nm</v>
      </c>
      <c r="S20" s="42"/>
      <c r="T20" s="42"/>
      <c r="U20" s="42"/>
      <c r="V20" s="42"/>
      <c r="W20" s="42"/>
      <c r="X20" s="42"/>
      <c r="Y20" s="42"/>
      <c r="Z20" s="42"/>
      <c r="AA20" s="42"/>
    </row>
    <row r="21" spans="2:27" ht="12.6" thickBot="1">
      <c r="B21" s="306" t="s">
        <v>482</v>
      </c>
      <c r="C21" s="265">
        <v>2020</v>
      </c>
      <c r="D21" s="265" t="str">
        <f>D5</f>
        <v>2023E</v>
      </c>
      <c r="E21" s="265" t="str">
        <f>E5</f>
        <v>2024E</v>
      </c>
      <c r="F21" s="265" t="str">
        <f>F5</f>
        <v>2025E</v>
      </c>
      <c r="G21" s="265" t="str">
        <f>G5</f>
        <v>2026E</v>
      </c>
      <c r="H21" s="282" t="str">
        <f>H5</f>
        <v>23E-26E</v>
      </c>
      <c r="I21" s="17"/>
      <c r="S21" s="42"/>
      <c r="T21" s="42"/>
      <c r="U21" s="42"/>
      <c r="V21" s="42"/>
      <c r="W21" s="42"/>
      <c r="X21" s="42"/>
      <c r="Y21" s="42"/>
      <c r="Z21" s="42"/>
      <c r="AA21" s="42"/>
    </row>
    <row r="22" spans="2:27" ht="12.6" thickTop="1">
      <c r="B22" s="5"/>
      <c r="C22" s="257"/>
      <c r="D22" s="17"/>
      <c r="E22" s="17"/>
      <c r="F22" s="17"/>
      <c r="G22" s="17"/>
      <c r="H22" s="17"/>
      <c r="I22" s="247"/>
      <c r="P22" s="277"/>
      <c r="S22" s="42"/>
      <c r="T22" s="42"/>
      <c r="U22" s="42"/>
      <c r="V22" s="42"/>
      <c r="W22" s="42"/>
      <c r="X22" s="42"/>
      <c r="Y22" s="42"/>
      <c r="Z22" s="42"/>
      <c r="AA22" s="42"/>
    </row>
    <row r="23" spans="2:27" ht="12.6" thickBot="1">
      <c r="B23" s="5" t="s">
        <v>584</v>
      </c>
      <c r="C23" s="365">
        <f>'DM ASIA INCUMB'!C23+'DM ASIA OTHER'!C23</f>
        <v>209841.90679025906</v>
      </c>
      <c r="D23" s="228">
        <f>'DM ASIA INCUMB'!D23+'DM ASIA OTHER'!D23</f>
        <v>213972.81376938615</v>
      </c>
      <c r="E23" s="228">
        <f>'DM ASIA INCUMB'!E23+'DM ASIA OTHER'!E23</f>
        <v>221510.60493918214</v>
      </c>
      <c r="F23" s="228">
        <f>'DM ASIA INCUMB'!F23+'DM ASIA OTHER'!F23</f>
        <v>229998.6676686063</v>
      </c>
      <c r="G23" s="228">
        <f>'DM ASIA INCUMB'!G23+'DM ASIA OTHER'!G23</f>
        <v>239446.07799865393</v>
      </c>
      <c r="H23" s="279">
        <f t="shared" ref="H23:H33" si="0">IF(D23=0,"nm",IF(G23=0,"nm",(G23/D23)^(1/3)-1))</f>
        <v>3.8204826160942229E-2</v>
      </c>
      <c r="I23" s="249"/>
      <c r="J23" s="306" t="s">
        <v>9</v>
      </c>
      <c r="K23" s="306"/>
      <c r="L23" s="265" t="str">
        <f>L5</f>
        <v>2023E</v>
      </c>
      <c r="M23" s="265" t="str">
        <f>M5</f>
        <v>2024E</v>
      </c>
      <c r="N23" s="265" t="str">
        <f>N5</f>
        <v>2025E</v>
      </c>
      <c r="O23" s="265" t="str">
        <f>O5</f>
        <v>2026E</v>
      </c>
      <c r="P23" s="282" t="str">
        <f>P5</f>
        <v>23E-26E</v>
      </c>
      <c r="S23" s="42"/>
      <c r="T23" s="42"/>
      <c r="U23" s="42"/>
      <c r="V23" s="42"/>
      <c r="W23" s="42" t="s">
        <v>545</v>
      </c>
      <c r="X23" s="42" t="s">
        <v>610</v>
      </c>
      <c r="Y23" s="42"/>
      <c r="Z23" s="42"/>
      <c r="AA23" s="42"/>
    </row>
    <row r="24" spans="2:27" ht="12.6" thickTop="1">
      <c r="B24" s="5" t="s">
        <v>483</v>
      </c>
      <c r="C24" s="365">
        <f>'DM ASIA INCUMB'!C24+'DM ASIA OTHER'!C24</f>
        <v>53079.445168765844</v>
      </c>
      <c r="D24" s="228">
        <f>'DM ASIA INCUMB'!D24+'DM ASIA OTHER'!D24</f>
        <v>56016.565028025921</v>
      </c>
      <c r="E24" s="228">
        <f>'DM ASIA INCUMB'!E24+'DM ASIA OTHER'!E24</f>
        <v>59869.062159103094</v>
      </c>
      <c r="F24" s="228">
        <f>'DM ASIA INCUMB'!F24+'DM ASIA OTHER'!F24</f>
        <v>62645.921461690901</v>
      </c>
      <c r="G24" s="228">
        <f>'DM ASIA INCUMB'!G24+'DM ASIA OTHER'!G24</f>
        <v>65874.704912484391</v>
      </c>
      <c r="H24" s="279">
        <f t="shared" si="0"/>
        <v>5.5522275281963074E-2</v>
      </c>
      <c r="I24" s="248"/>
      <c r="J24" s="17"/>
      <c r="K24" s="17"/>
      <c r="L24" s="17"/>
      <c r="M24" s="17"/>
      <c r="N24" s="17"/>
      <c r="O24" s="248"/>
      <c r="S24" s="42"/>
      <c r="T24" s="42"/>
      <c r="U24" s="42"/>
      <c r="V24" s="147" t="s">
        <v>273</v>
      </c>
      <c r="W24" s="288">
        <f t="shared" ref="W24:W31" si="1">E37/M9</f>
        <v>0.76941783064235902</v>
      </c>
      <c r="X24" s="288">
        <v>1</v>
      </c>
      <c r="Y24" s="42"/>
      <c r="Z24" s="42"/>
      <c r="AA24" s="42"/>
    </row>
    <row r="25" spans="2:27">
      <c r="B25" s="5" t="s">
        <v>183</v>
      </c>
      <c r="C25" s="365">
        <f>'DM ASIA INCUMB'!C25+'DM ASIA OTHER'!C25</f>
        <v>23738.767900168699</v>
      </c>
      <c r="D25" s="228">
        <f>'DM ASIA INCUMB'!D25+'DM ASIA OTHER'!D25</f>
        <v>27875.196596776663</v>
      </c>
      <c r="E25" s="228">
        <f>'DM ASIA INCUMB'!E25+'DM ASIA OTHER'!E25</f>
        <v>35035.00253836374</v>
      </c>
      <c r="F25" s="228">
        <f>'DM ASIA INCUMB'!F25+'DM ASIA OTHER'!F25</f>
        <v>37563.822962771585</v>
      </c>
      <c r="G25" s="228">
        <f>'DM ASIA INCUMB'!G25+'DM ASIA OTHER'!G25</f>
        <v>39930.790604735063</v>
      </c>
      <c r="H25" s="279">
        <f t="shared" si="0"/>
        <v>0.12727529695194928</v>
      </c>
      <c r="I25" s="249"/>
      <c r="J25" s="247" t="s">
        <v>10</v>
      </c>
      <c r="K25" s="247"/>
      <c r="L25" s="332">
        <f>'DM ASIA INCUMB'!L25+'DM ASIA OTHER'!L25</f>
        <v>44181.58145137316</v>
      </c>
      <c r="M25" s="332">
        <f>'DM ASIA INCUMB'!M25+'DM ASIA OTHER'!M25</f>
        <v>40989.08877824981</v>
      </c>
      <c r="N25" s="332">
        <f>'DM ASIA INCUMB'!N25+'DM ASIA OTHER'!N25</f>
        <v>37618.66963372293</v>
      </c>
      <c r="O25" s="332">
        <f>'DM ASIA INCUMB'!O25+'DM ASIA OTHER'!O25</f>
        <v>33981.6713023747</v>
      </c>
      <c r="P25" s="279">
        <f>IF(L25=0,"nm",IF(O25=0,"nm",(O25/L25)^(1/3)-1))</f>
        <v>-8.3777064320756489E-2</v>
      </c>
      <c r="Q25" s="5"/>
      <c r="S25" s="42"/>
      <c r="T25" s="42"/>
      <c r="U25" s="42"/>
      <c r="V25" s="147" t="s">
        <v>184</v>
      </c>
      <c r="W25" s="288">
        <f t="shared" si="1"/>
        <v>0.95375084655672893</v>
      </c>
      <c r="X25" s="288">
        <v>1</v>
      </c>
      <c r="Y25" s="42"/>
      <c r="Z25" s="42"/>
      <c r="AA25" s="42"/>
    </row>
    <row r="26" spans="2:27">
      <c r="B26" s="5" t="s">
        <v>586</v>
      </c>
      <c r="C26" s="365">
        <f>'DM ASIA INCUMB'!C26+'DM ASIA OTHER'!C26</f>
        <v>16392.829469870965</v>
      </c>
      <c r="D26" s="228">
        <f>'DM ASIA INCUMB'!D26+'DM ASIA OTHER'!D26</f>
        <v>19885.386439500275</v>
      </c>
      <c r="E26" s="228">
        <f>'DM ASIA INCUMB'!E26+'DM ASIA OTHER'!E26</f>
        <v>24849.087594998258</v>
      </c>
      <c r="F26" s="228">
        <f>'DM ASIA INCUMB'!F26+'DM ASIA OTHER'!F26</f>
        <v>26515.665194337955</v>
      </c>
      <c r="G26" s="228">
        <f>'DM ASIA INCUMB'!G26+'DM ASIA OTHER'!G26</f>
        <v>28063.048650386707</v>
      </c>
      <c r="H26" s="279">
        <f t="shared" si="0"/>
        <v>0.12167473553642627</v>
      </c>
      <c r="I26" s="249"/>
      <c r="J26" s="249" t="s">
        <v>11</v>
      </c>
      <c r="K26" s="249"/>
      <c r="L26" s="281">
        <f>'DM ASIA INCUMB'!L26+'DM ASIA OTHER'!L26</f>
        <v>259120.45368333801</v>
      </c>
      <c r="M26" s="281">
        <f>'DM ASIA INCUMB'!M26+'DM ASIA OTHER'!M26</f>
        <v>253238.15677114329</v>
      </c>
      <c r="N26" s="281">
        <f>'DM ASIA INCUMB'!N26+'DM ASIA OTHER'!N26</f>
        <v>246873.31652083009</v>
      </c>
      <c r="O26" s="281">
        <f>'DM ASIA INCUMB'!O26+'DM ASIA OTHER'!O26</f>
        <v>240241.21308528807</v>
      </c>
      <c r="P26" s="279">
        <f>IF(L26=0,"nm",IF(O26=0,"nm",(O26/L26)^(1/3)-1))</f>
        <v>-2.4901236804800386E-2</v>
      </c>
      <c r="Q26" s="41"/>
      <c r="S26" s="42"/>
      <c r="T26" s="42"/>
      <c r="U26" s="42"/>
      <c r="V26" s="147" t="s">
        <v>185</v>
      </c>
      <c r="W26" s="288">
        <f t="shared" si="1"/>
        <v>0.93412605976609464</v>
      </c>
      <c r="X26" s="288">
        <v>1</v>
      </c>
      <c r="Y26" s="42"/>
      <c r="Z26" s="42"/>
      <c r="AA26" s="42"/>
    </row>
    <row r="27" spans="2:27">
      <c r="B27" s="5" t="s">
        <v>587</v>
      </c>
      <c r="C27" s="365">
        <f>'DM ASIA INCUMB'!C27+'DM ASIA OTHER'!C27</f>
        <v>261108.32049672326</v>
      </c>
      <c r="D27" s="228">
        <f>'DM ASIA INCUMB'!D27+'DM ASIA OTHER'!D27</f>
        <v>255951.70924450507</v>
      </c>
      <c r="E27" s="228">
        <f>'DM ASIA INCUMB'!E27+'DM ASIA OTHER'!E27</f>
        <v>263714.37846451718</v>
      </c>
      <c r="F27" s="228">
        <f>'DM ASIA INCUMB'!F27+'DM ASIA OTHER'!F27</f>
        <v>272968.95528929785</v>
      </c>
      <c r="G27" s="228">
        <f>'DM ASIA INCUMB'!G27+'DM ASIA OTHER'!G27</f>
        <v>283376.44881378906</v>
      </c>
      <c r="H27" s="279">
        <f t="shared" si="0"/>
        <v>3.4511302315921366E-2</v>
      </c>
      <c r="I27" s="248"/>
      <c r="J27" s="248"/>
      <c r="K27" s="248"/>
      <c r="L27" s="248"/>
      <c r="M27" s="248"/>
      <c r="N27" s="248"/>
      <c r="O27" s="248"/>
      <c r="Q27" s="5"/>
      <c r="S27" s="42"/>
      <c r="T27" s="42"/>
      <c r="U27" s="42"/>
      <c r="V27" s="147" t="s">
        <v>466</v>
      </c>
      <c r="W27" s="288">
        <f t="shared" si="1"/>
        <v>0.92600185957862957</v>
      </c>
      <c r="X27" s="288">
        <v>1</v>
      </c>
      <c r="Y27" s="42"/>
      <c r="Z27" s="42"/>
      <c r="AA27" s="42"/>
    </row>
    <row r="28" spans="2:27" ht="12.6" thickBot="1">
      <c r="B28" s="5" t="s">
        <v>592</v>
      </c>
      <c r="C28" s="365">
        <f>'DM ASIA INCUMB'!C28+'DM ASIA OTHER'!C28</f>
        <v>129742.09689809286</v>
      </c>
      <c r="D28" s="228">
        <f>'DM ASIA INCUMB'!D28+'DM ASIA OTHER'!D28</f>
        <v>133146.21987800396</v>
      </c>
      <c r="E28" s="228">
        <f>'DM ASIA INCUMB'!E28+'DM ASIA OTHER'!E28</f>
        <v>132441.09847725573</v>
      </c>
      <c r="F28" s="228">
        <f>'DM ASIA INCUMB'!F28+'DM ASIA OTHER'!F28</f>
        <v>131655.20487033666</v>
      </c>
      <c r="G28" s="228">
        <f>'DM ASIA INCUMB'!G28+'DM ASIA OTHER'!G28</f>
        <v>131091.08793572144</v>
      </c>
      <c r="H28" s="279">
        <f t="shared" si="0"/>
        <v>-5.1717510660298505E-3</v>
      </c>
      <c r="I28" s="252"/>
      <c r="J28" s="306" t="s">
        <v>754</v>
      </c>
      <c r="K28" s="306"/>
      <c r="L28" s="306"/>
      <c r="M28" s="306"/>
      <c r="N28" s="266"/>
      <c r="O28" s="266"/>
      <c r="P28" s="266"/>
      <c r="Q28" s="5"/>
      <c r="S28" s="42"/>
      <c r="T28" s="42"/>
      <c r="U28" s="42"/>
      <c r="V28" s="147" t="s">
        <v>530</v>
      </c>
      <c r="W28" s="288">
        <f t="shared" si="1"/>
        <v>1.0182863504762787</v>
      </c>
      <c r="X28" s="288">
        <v>1</v>
      </c>
      <c r="Y28" s="42"/>
      <c r="Z28" s="42"/>
      <c r="AA28" s="42"/>
    </row>
    <row r="29" spans="2:27" ht="12.6" thickTop="1">
      <c r="B29" s="5" t="s">
        <v>588</v>
      </c>
      <c r="C29" s="365">
        <f>'DM ASIA INCUMB'!C29+'DM ASIA OTHER'!C29</f>
        <v>14982.048696181464</v>
      </c>
      <c r="D29" s="228">
        <f>'DM ASIA INCUMB'!D29+'DM ASIA OTHER'!D29</f>
        <v>16816.142636438854</v>
      </c>
      <c r="E29" s="228">
        <f>'DM ASIA INCUMB'!E29+'DM ASIA OTHER'!E29</f>
        <v>24708.829583315062</v>
      </c>
      <c r="F29" s="228">
        <f>'DM ASIA INCUMB'!F29+'DM ASIA OTHER'!F29</f>
        <v>26026.384497334882</v>
      </c>
      <c r="G29" s="228">
        <f>'DM ASIA INCUMB'!G29+'DM ASIA OTHER'!G29</f>
        <v>27341.68701130095</v>
      </c>
      <c r="H29" s="279">
        <f t="shared" si="0"/>
        <v>0.17588894754894624</v>
      </c>
      <c r="I29" s="254"/>
      <c r="J29" s="249"/>
      <c r="K29" s="249"/>
      <c r="L29" s="249"/>
      <c r="M29" s="249"/>
      <c r="N29" s="249"/>
      <c r="O29" s="251"/>
      <c r="Q29" s="5"/>
      <c r="S29" s="42"/>
      <c r="T29" s="42"/>
      <c r="U29" s="42"/>
      <c r="V29" s="147" t="s">
        <v>593</v>
      </c>
      <c r="W29" s="288">
        <f t="shared" si="1"/>
        <v>0.89206215002700628</v>
      </c>
      <c r="X29" s="288">
        <v>1</v>
      </c>
      <c r="Y29" s="42"/>
      <c r="Z29" s="42"/>
      <c r="AA29" s="42"/>
    </row>
    <row r="30" spans="2:27">
      <c r="B30" s="5" t="s">
        <v>589</v>
      </c>
      <c r="C30" s="365">
        <f>'DM ASIA INCUMB'!C30+'DM ASIA OTHER'!C30</f>
        <v>17548.471892689711</v>
      </c>
      <c r="D30" s="228">
        <f>'DM ASIA INCUMB'!D30+'DM ASIA OTHER'!D30</f>
        <v>18629.167515756701</v>
      </c>
      <c r="E30" s="228">
        <f>'DM ASIA INCUMB'!E30+'DM ASIA OTHER'!E30</f>
        <v>20379.196086453529</v>
      </c>
      <c r="F30" s="228">
        <f>'DM ASIA INCUMB'!F30+'DM ASIA OTHER'!F30</f>
        <v>21910.102012330975</v>
      </c>
      <c r="G30" s="228">
        <f>'DM ASIA INCUMB'!G30+'DM ASIA OTHER'!G30</f>
        <v>23471.183615520844</v>
      </c>
      <c r="H30" s="279">
        <f t="shared" si="0"/>
        <v>8.005825594684679E-2</v>
      </c>
      <c r="I30" s="254"/>
      <c r="J30" s="248"/>
      <c r="K30" s="248"/>
      <c r="L30" s="248"/>
      <c r="M30" s="248"/>
      <c r="N30" s="248"/>
      <c r="O30" s="5"/>
      <c r="Q30" s="5"/>
      <c r="S30" s="42"/>
      <c r="T30" s="42"/>
      <c r="U30" s="42"/>
      <c r="V30" s="147" t="s">
        <v>475</v>
      </c>
      <c r="W30" s="288">
        <f t="shared" si="1"/>
        <v>0.94477497944043487</v>
      </c>
      <c r="X30" s="288">
        <v>1</v>
      </c>
      <c r="Y30" s="42"/>
      <c r="Z30" s="42"/>
      <c r="AA30" s="42"/>
    </row>
    <row r="31" spans="2:27">
      <c r="B31" s="5" t="s">
        <v>590</v>
      </c>
      <c r="C31" s="365">
        <f>'DM ASIA INCUMB'!C31+'DM ASIA OTHER'!C31</f>
        <v>11306.733105091469</v>
      </c>
      <c r="D31" s="228">
        <f>'DM ASIA INCUMB'!D31+'DM ASIA OTHER'!D31</f>
        <v>11090.305140775014</v>
      </c>
      <c r="E31" s="228">
        <f>'DM ASIA INCUMB'!E31+'DM ASIA OTHER'!E31</f>
        <v>12231.130255274022</v>
      </c>
      <c r="F31" s="228">
        <f>'DM ASIA INCUMB'!F31+'DM ASIA OTHER'!F31</f>
        <v>13298.918505851445</v>
      </c>
      <c r="G31" s="228">
        <f>'DM ASIA INCUMB'!G31+'DM ASIA OTHER'!G31</f>
        <v>14150.965975006524</v>
      </c>
      <c r="H31" s="279">
        <f t="shared" si="0"/>
        <v>8.4628129949410269E-2</v>
      </c>
      <c r="I31" s="254"/>
      <c r="J31" s="252"/>
      <c r="K31" s="252"/>
      <c r="L31" s="252"/>
      <c r="M31" s="252"/>
      <c r="N31" s="252"/>
      <c r="O31" s="5"/>
      <c r="Q31" s="5"/>
      <c r="S31" s="42"/>
      <c r="T31" s="42"/>
      <c r="U31" s="42"/>
      <c r="V31" s="147" t="s">
        <v>533</v>
      </c>
      <c r="W31" s="288">
        <f t="shared" si="1"/>
        <v>1.0907172591775625</v>
      </c>
      <c r="X31" s="288">
        <v>1</v>
      </c>
      <c r="Y31" s="42"/>
      <c r="Z31" s="42"/>
      <c r="AA31" s="42"/>
    </row>
    <row r="32" spans="2:27">
      <c r="B32" s="5" t="s">
        <v>606</v>
      </c>
      <c r="C32" s="365">
        <f>'DM ASIA INCUMB'!C32+'DM ASIA OTHER'!C32</f>
        <v>1842.6277541370296</v>
      </c>
      <c r="D32" s="228">
        <f>'DM ASIA INCUMB'!D32+'DM ASIA OTHER'!D32</f>
        <v>1174.0366191683183</v>
      </c>
      <c r="E32" s="228">
        <f>'DM ASIA INCUMB'!E32+'DM ASIA OTHER'!E32</f>
        <v>2428.4767374699582</v>
      </c>
      <c r="F32" s="228">
        <f>'DM ASIA INCUMB'!F32+'DM ASIA OTHER'!F32</f>
        <v>1410.9048997362797</v>
      </c>
      <c r="G32" s="228">
        <f>'DM ASIA INCUMB'!G32+'DM ASIA OTHER'!G32</f>
        <v>-2537.9870945532834</v>
      </c>
      <c r="H32" s="279">
        <f t="shared" si="0"/>
        <v>-2.2930120992206806</v>
      </c>
      <c r="I32" s="5"/>
      <c r="J32" s="254"/>
      <c r="K32" s="254"/>
      <c r="L32" s="254"/>
      <c r="M32" s="254"/>
      <c r="N32" s="254"/>
      <c r="O32" s="251"/>
      <c r="Q32" s="5"/>
      <c r="S32" s="42"/>
      <c r="T32" s="42"/>
      <c r="U32" s="42"/>
      <c r="V32" s="147" t="s">
        <v>580</v>
      </c>
      <c r="W32" s="288">
        <f>M17/E45</f>
        <v>0.98657612959848917</v>
      </c>
      <c r="X32" s="288">
        <v>1</v>
      </c>
      <c r="Y32" s="42"/>
      <c r="Z32" s="42"/>
      <c r="AA32" s="42"/>
    </row>
    <row r="33" spans="2:42">
      <c r="B33" s="5" t="s">
        <v>5</v>
      </c>
      <c r="C33" s="365">
        <f>'DM ASIA INCUMB'!C33+'DM ASIA OTHER'!C33</f>
        <v>-195.99235072890863</v>
      </c>
      <c r="D33" s="228">
        <f>'DM ASIA INCUMB'!D33+'DM ASIA OTHER'!D33</f>
        <v>58.280473797395246</v>
      </c>
      <c r="E33" s="228">
        <f>'DM ASIA INCUMB'!E33+'DM ASIA OTHER'!E33</f>
        <v>951.99124815799962</v>
      </c>
      <c r="F33" s="228">
        <f>'DM ASIA INCUMB'!F33+'DM ASIA OTHER'!F33</f>
        <v>1177.6444198388222</v>
      </c>
      <c r="G33" s="228">
        <f>'DM ASIA INCUMB'!G33+'DM ASIA OTHER'!G33</f>
        <v>1386.8880645447875</v>
      </c>
      <c r="H33" s="279">
        <f t="shared" si="0"/>
        <v>1.8763348656829515</v>
      </c>
      <c r="I33" s="49"/>
      <c r="J33" s="254"/>
      <c r="K33" s="254"/>
      <c r="L33" s="254"/>
      <c r="M33" s="254"/>
      <c r="N33" s="254"/>
      <c r="O33" s="251"/>
      <c r="Q33" s="5"/>
      <c r="S33" s="42"/>
      <c r="T33" s="42"/>
      <c r="U33" s="42"/>
      <c r="V33" s="147" t="s">
        <v>581</v>
      </c>
      <c r="W33" s="288">
        <f>M19/E47</f>
        <v>0.94477497944043487</v>
      </c>
      <c r="X33" s="288">
        <v>1</v>
      </c>
      <c r="Y33" s="288"/>
      <c r="Z33" s="288"/>
      <c r="AA33" s="42"/>
      <c r="AC33" s="10"/>
      <c r="AD33" s="10"/>
      <c r="AE33" s="10"/>
      <c r="AF33" s="10"/>
      <c r="AH33" s="10"/>
      <c r="AI33" s="10"/>
      <c r="AJ33" s="10"/>
      <c r="AK33" s="10"/>
      <c r="AM33" s="10"/>
      <c r="AN33" s="10"/>
      <c r="AO33" s="10"/>
      <c r="AP33" s="10"/>
    </row>
    <row r="34" spans="2:42">
      <c r="H34" s="277"/>
      <c r="I34" s="254"/>
      <c r="J34" s="254"/>
      <c r="K34" s="254"/>
      <c r="L34" s="254"/>
      <c r="M34" s="254"/>
      <c r="N34" s="254"/>
      <c r="O34" s="251"/>
      <c r="Q34" s="5"/>
      <c r="S34" s="42"/>
      <c r="T34" s="42"/>
      <c r="U34" s="42"/>
      <c r="V34" s="42"/>
      <c r="W34" s="42"/>
      <c r="X34" s="42"/>
      <c r="Y34" s="288"/>
      <c r="Z34" s="288"/>
      <c r="AA34" s="42"/>
      <c r="AC34" s="10"/>
      <c r="AD34" s="10"/>
      <c r="AE34" s="10"/>
      <c r="AF34" s="10"/>
      <c r="AH34" s="10"/>
      <c r="AI34" s="10"/>
      <c r="AJ34" s="10"/>
      <c r="AK34" s="10"/>
      <c r="AM34" s="10"/>
      <c r="AN34" s="10"/>
      <c r="AO34" s="10"/>
      <c r="AP34" s="10"/>
    </row>
    <row r="35" spans="2:42" ht="12.6" thickBot="1">
      <c r="B35" s="306" t="s">
        <v>285</v>
      </c>
      <c r="C35" s="265"/>
      <c r="D35" s="265" t="str">
        <f>D5</f>
        <v>2023E</v>
      </c>
      <c r="E35" s="265" t="str">
        <f>E5</f>
        <v>2024E</v>
      </c>
      <c r="F35" s="265" t="str">
        <f>F5</f>
        <v>2025E</v>
      </c>
      <c r="G35" s="265" t="str">
        <f>G5</f>
        <v>2026E</v>
      </c>
      <c r="H35" s="265" t="str">
        <f>H5</f>
        <v>23E-26E</v>
      </c>
      <c r="I35" s="17"/>
      <c r="J35" s="5"/>
      <c r="K35" s="5"/>
      <c r="L35" s="5"/>
      <c r="M35" s="5"/>
      <c r="N35" s="5"/>
      <c r="O35" s="5"/>
      <c r="Q35" s="5"/>
      <c r="S35" s="42"/>
      <c r="T35" s="42"/>
      <c r="U35" s="42"/>
      <c r="V35" s="42"/>
      <c r="W35" s="42"/>
      <c r="X35" s="42"/>
      <c r="Y35" s="288"/>
      <c r="Z35" s="288"/>
      <c r="AA35" s="42"/>
      <c r="AC35" s="10"/>
      <c r="AD35" s="10"/>
      <c r="AE35" s="10"/>
      <c r="AF35" s="10"/>
      <c r="AH35" s="10"/>
      <c r="AI35" s="10"/>
      <c r="AJ35" s="10"/>
      <c r="AK35" s="10"/>
      <c r="AM35" s="10"/>
      <c r="AN35" s="10"/>
      <c r="AO35" s="10"/>
      <c r="AP35" s="10"/>
    </row>
    <row r="36" spans="2:42" ht="12.6" thickTop="1">
      <c r="B36" s="41"/>
      <c r="C36" s="249"/>
      <c r="D36" s="254"/>
      <c r="E36" s="254"/>
      <c r="F36" s="254"/>
      <c r="G36" s="254"/>
      <c r="H36" s="254"/>
      <c r="I36" s="5"/>
      <c r="J36" s="49"/>
      <c r="K36" s="49"/>
      <c r="L36" s="49"/>
      <c r="M36" s="49"/>
      <c r="N36" s="49"/>
      <c r="O36" s="49"/>
      <c r="Q36" s="5"/>
      <c r="R36" s="5"/>
      <c r="S36" s="42"/>
      <c r="T36" s="42"/>
      <c r="U36" s="42"/>
      <c r="V36" s="42"/>
      <c r="W36" s="42"/>
      <c r="X36" s="42"/>
      <c r="Y36" s="42"/>
      <c r="Z36" s="42"/>
      <c r="AA36" s="42"/>
      <c r="AC36" s="10"/>
      <c r="AD36" s="10"/>
      <c r="AE36" s="10"/>
      <c r="AF36" s="10"/>
      <c r="AH36" s="10"/>
      <c r="AI36" s="10"/>
      <c r="AJ36" s="10"/>
      <c r="AK36" s="10"/>
      <c r="AM36" s="10"/>
      <c r="AN36" s="10"/>
      <c r="AO36" s="10"/>
      <c r="AP36" s="10"/>
    </row>
    <row r="37" spans="2:42">
      <c r="B37" s="5" t="s">
        <v>273</v>
      </c>
      <c r="C37" s="247"/>
      <c r="D37" s="557">
        <f t="shared" ref="D37:G41" si="2">D$18/D23</f>
        <v>1.8519342895112167</v>
      </c>
      <c r="E37" s="557">
        <f t="shared" si="2"/>
        <v>1.6981296516120512</v>
      </c>
      <c r="F37" s="557">
        <f t="shared" si="2"/>
        <v>1.5467283397955327</v>
      </c>
      <c r="G37" s="557">
        <f t="shared" si="2"/>
        <v>1.3955049938533843</v>
      </c>
      <c r="H37" s="17">
        <f t="shared" ref="H37:H45" si="3">H23</f>
        <v>3.8204826160942229E-2</v>
      </c>
      <c r="I37" s="259"/>
      <c r="J37" s="259"/>
      <c r="K37" s="259"/>
      <c r="L37" s="259"/>
      <c r="M37" s="259"/>
      <c r="N37" s="259"/>
      <c r="O37" s="18"/>
      <c r="Q37" s="5"/>
      <c r="R37" s="5"/>
      <c r="S37" s="42"/>
      <c r="T37" s="42"/>
      <c r="U37" s="42"/>
      <c r="V37" s="42"/>
      <c r="W37" s="42"/>
      <c r="X37" s="42"/>
      <c r="Y37" s="42"/>
      <c r="Z37" s="42"/>
      <c r="AA37" s="42"/>
      <c r="AC37" s="10"/>
      <c r="AD37" s="10"/>
      <c r="AE37" s="10"/>
      <c r="AF37" s="10"/>
      <c r="AH37" s="10"/>
      <c r="AI37" s="10"/>
      <c r="AJ37" s="10"/>
      <c r="AK37" s="10"/>
      <c r="AM37" s="10"/>
      <c r="AN37" s="10"/>
      <c r="AO37" s="10"/>
      <c r="AP37" s="10"/>
    </row>
    <row r="38" spans="2:42">
      <c r="B38" s="5" t="s">
        <v>184</v>
      </c>
      <c r="C38" s="247"/>
      <c r="D38" s="557">
        <f t="shared" si="2"/>
        <v>7.0740430200328683</v>
      </c>
      <c r="E38" s="557">
        <f t="shared" si="2"/>
        <v>6.2829400165667018</v>
      </c>
      <c r="F38" s="557">
        <f t="shared" si="2"/>
        <v>5.678669083282502</v>
      </c>
      <c r="G38" s="557">
        <f t="shared" si="2"/>
        <v>5.0724811298912051</v>
      </c>
      <c r="H38" s="17">
        <f t="shared" si="3"/>
        <v>5.5522275281963074E-2</v>
      </c>
      <c r="I38" s="17"/>
      <c r="J38" s="17"/>
      <c r="K38" s="17"/>
      <c r="L38" s="17"/>
      <c r="M38" s="17"/>
      <c r="N38" s="17"/>
      <c r="O38" s="5"/>
      <c r="Q38" s="5"/>
      <c r="R38" s="5"/>
      <c r="S38" s="42"/>
      <c r="T38" s="42"/>
      <c r="U38" s="42"/>
      <c r="V38" s="42"/>
      <c r="W38" s="42"/>
      <c r="X38" s="42"/>
      <c r="Y38" s="42"/>
      <c r="Z38" s="42"/>
      <c r="AA38" s="42"/>
    </row>
    <row r="39" spans="2:42">
      <c r="B39" s="5" t="s">
        <v>185</v>
      </c>
      <c r="C39" s="247"/>
      <c r="D39" s="557">
        <f t="shared" si="2"/>
        <v>14.215633940624684</v>
      </c>
      <c r="E39" s="557">
        <f t="shared" si="2"/>
        <v>10.736512034838739</v>
      </c>
      <c r="F39" s="557">
        <f t="shared" si="2"/>
        <v>9.4704273777143744</v>
      </c>
      <c r="G39" s="557">
        <f t="shared" si="2"/>
        <v>8.3681838637601285</v>
      </c>
      <c r="H39" s="17">
        <f t="shared" si="3"/>
        <v>0.12727529695194928</v>
      </c>
      <c r="I39" s="5"/>
      <c r="J39" s="5"/>
      <c r="K39" s="5"/>
      <c r="L39" s="5"/>
      <c r="M39" s="5"/>
      <c r="N39" s="5"/>
      <c r="O39" s="5"/>
      <c r="Q39" s="5"/>
      <c r="R39" s="5"/>
      <c r="S39" s="42"/>
      <c r="T39" s="42"/>
      <c r="U39" s="42"/>
      <c r="V39" s="42"/>
      <c r="W39" s="288"/>
      <c r="X39" s="288"/>
      <c r="Y39" s="42"/>
      <c r="Z39" s="42"/>
      <c r="AA39" s="42"/>
    </row>
    <row r="40" spans="2:42">
      <c r="B40" s="5" t="s">
        <v>466</v>
      </c>
      <c r="C40" s="247"/>
      <c r="D40" s="557">
        <f t="shared" si="2"/>
        <v>19.927376923165404</v>
      </c>
      <c r="E40" s="557">
        <f t="shared" si="2"/>
        <v>15.137526678020246</v>
      </c>
      <c r="F40" s="557">
        <f t="shared" si="2"/>
        <v>13.416425904872728</v>
      </c>
      <c r="G40" s="557">
        <f t="shared" si="2"/>
        <v>11.907052643089225</v>
      </c>
      <c r="H40" s="17">
        <f t="shared" si="3"/>
        <v>0.12167473553642627</v>
      </c>
      <c r="I40" s="247"/>
      <c r="J40" s="259"/>
      <c r="K40" s="259"/>
      <c r="L40" s="259"/>
      <c r="M40" s="259"/>
      <c r="N40" s="259"/>
      <c r="O40" s="18"/>
      <c r="Q40" s="5"/>
      <c r="R40" s="5"/>
      <c r="S40" s="42"/>
      <c r="T40" s="42"/>
      <c r="U40" s="42"/>
      <c r="V40" s="42"/>
      <c r="W40" s="288"/>
      <c r="X40" s="288"/>
      <c r="Y40" s="288"/>
      <c r="Z40" s="288"/>
      <c r="AA40" s="42"/>
    </row>
    <row r="41" spans="2:42">
      <c r="B41" s="5" t="s">
        <v>530</v>
      </c>
      <c r="C41" s="247"/>
      <c r="D41" s="557">
        <f t="shared" si="2"/>
        <v>1.548196696995612</v>
      </c>
      <c r="E41" s="557">
        <f t="shared" si="2"/>
        <v>1.4263679082798271</v>
      </c>
      <c r="F41" s="557">
        <f t="shared" si="2"/>
        <v>1.3032451145267485</v>
      </c>
      <c r="G41" s="557">
        <f t="shared" si="2"/>
        <v>1.179167143227567</v>
      </c>
      <c r="H41" s="17">
        <f t="shared" si="3"/>
        <v>3.4511302315921366E-2</v>
      </c>
      <c r="I41" s="248"/>
      <c r="J41" s="17"/>
      <c r="K41" s="17"/>
      <c r="L41" s="17"/>
      <c r="M41" s="17"/>
      <c r="N41" s="17"/>
      <c r="O41" s="5"/>
      <c r="Q41" s="5"/>
      <c r="R41" s="5"/>
      <c r="S41" s="42"/>
      <c r="T41" s="42"/>
      <c r="U41" s="42"/>
      <c r="V41" s="42"/>
      <c r="W41" s="288"/>
      <c r="X41" s="288"/>
      <c r="Y41" s="288"/>
      <c r="Z41" s="288"/>
      <c r="AA41" s="42"/>
    </row>
    <row r="42" spans="2:42">
      <c r="B42" s="5" t="s">
        <v>593</v>
      </c>
      <c r="C42" s="247"/>
      <c r="D42" s="557">
        <f>D18/D28</f>
        <v>2.9761535190845296</v>
      </c>
      <c r="E42" s="557">
        <f>E18/E28</f>
        <v>2.8401586117797524</v>
      </c>
      <c r="F42" s="557">
        <f>F18/F28</f>
        <v>2.7020994555331947</v>
      </c>
      <c r="G42" s="557">
        <f>G18/G28</f>
        <v>2.5489772254355927</v>
      </c>
      <c r="H42" s="17">
        <f t="shared" si="3"/>
        <v>-5.1717510660298505E-3</v>
      </c>
      <c r="I42" s="247"/>
      <c r="J42" s="5"/>
      <c r="K42" s="5"/>
      <c r="L42" s="5"/>
      <c r="M42" s="5"/>
      <c r="N42" s="5"/>
      <c r="O42" s="5"/>
      <c r="Q42" s="5"/>
      <c r="R42" s="5"/>
      <c r="S42" s="42"/>
      <c r="T42" s="42"/>
      <c r="U42" s="42"/>
      <c r="V42" s="42"/>
      <c r="W42" s="288"/>
      <c r="X42" s="288"/>
      <c r="Y42" s="288"/>
      <c r="Z42" s="288"/>
      <c r="AA42" s="42"/>
    </row>
    <row r="43" spans="2:42">
      <c r="B43" s="5" t="s">
        <v>475</v>
      </c>
      <c r="C43" s="247"/>
      <c r="D43" s="557">
        <f>L26/D29</f>
        <v>15.409030434949488</v>
      </c>
      <c r="E43" s="557">
        <f>M26/E29</f>
        <v>10.248893251590736</v>
      </c>
      <c r="F43" s="557">
        <f>N26/F29</f>
        <v>9.4855017817057945</v>
      </c>
      <c r="G43" s="557">
        <f>O26/G29</f>
        <v>8.7866272840439894</v>
      </c>
      <c r="H43" s="17">
        <f t="shared" si="3"/>
        <v>0.17588894754894624</v>
      </c>
      <c r="I43" s="247"/>
      <c r="J43" s="247"/>
      <c r="K43" s="247"/>
      <c r="L43" s="247"/>
      <c r="M43" s="247"/>
      <c r="N43" s="247"/>
      <c r="O43" s="18"/>
      <c r="Q43" s="5"/>
      <c r="R43" s="5"/>
      <c r="S43" s="42"/>
      <c r="T43" s="42"/>
      <c r="U43" s="42"/>
      <c r="V43" s="42"/>
      <c r="W43" s="325"/>
      <c r="X43" s="325"/>
      <c r="Y43" s="288"/>
      <c r="Z43" s="288"/>
      <c r="AA43" s="42"/>
    </row>
    <row r="44" spans="2:42">
      <c r="B44" s="5" t="s">
        <v>533</v>
      </c>
      <c r="C44" s="69"/>
      <c r="D44" s="557">
        <f>D11/D30</f>
        <v>15.062153469183468</v>
      </c>
      <c r="E44" s="557">
        <f>E11/E30</f>
        <v>13.637269067433067</v>
      </c>
      <c r="F44" s="557">
        <f>F11/F30</f>
        <v>12.5479032720138</v>
      </c>
      <c r="G44" s="557">
        <f>G11/G30</f>
        <v>11.585386341089469</v>
      </c>
      <c r="H44" s="17">
        <f t="shared" si="3"/>
        <v>8.005825594684679E-2</v>
      </c>
      <c r="I44" s="248"/>
      <c r="J44" s="248"/>
      <c r="K44" s="248"/>
      <c r="L44" s="248"/>
      <c r="M44" s="248"/>
      <c r="N44" s="248"/>
      <c r="O44" s="248"/>
      <c r="Q44" s="5"/>
      <c r="R44" s="5"/>
      <c r="S44" s="42"/>
      <c r="T44" s="42"/>
      <c r="U44" s="42"/>
      <c r="V44" s="42"/>
      <c r="W44" s="42"/>
      <c r="X44" s="42"/>
      <c r="Y44" s="325"/>
      <c r="Z44" s="325"/>
      <c r="AA44" s="42"/>
    </row>
    <row r="45" spans="2:42">
      <c r="B45" s="5" t="s">
        <v>580</v>
      </c>
      <c r="C45" s="247"/>
      <c r="D45" s="248">
        <f>D31/D11</f>
        <v>3.9524190084015344E-2</v>
      </c>
      <c r="E45" s="248">
        <f>E31/E11</f>
        <v>4.4010077546565551E-2</v>
      </c>
      <c r="F45" s="248">
        <f>F31/F11</f>
        <v>4.837274834008419E-2</v>
      </c>
      <c r="G45" s="248">
        <f>G31/G11</f>
        <v>5.2040393870140741E-2</v>
      </c>
      <c r="H45" s="17">
        <f t="shared" si="3"/>
        <v>8.4628129949410269E-2</v>
      </c>
      <c r="I45" s="247"/>
      <c r="J45" s="247"/>
      <c r="K45" s="247"/>
      <c r="L45" s="247"/>
      <c r="M45" s="247"/>
      <c r="N45" s="247"/>
      <c r="O45" s="248"/>
      <c r="Q45" s="5"/>
      <c r="R45" s="5"/>
      <c r="S45" s="42"/>
      <c r="T45" s="42"/>
      <c r="U45" s="42"/>
      <c r="V45" s="42"/>
      <c r="W45" s="42"/>
      <c r="X45" s="42"/>
      <c r="Y45" s="42"/>
      <c r="Z45" s="42"/>
      <c r="AA45" s="326"/>
      <c r="AB45" s="303"/>
    </row>
    <row r="46" spans="2:42">
      <c r="B46" s="5" t="s">
        <v>605</v>
      </c>
      <c r="C46" s="247"/>
      <c r="D46" s="248">
        <f>(D31+D32)/D11</f>
        <v>4.3708281135847356E-2</v>
      </c>
      <c r="E46" s="248">
        <f>(E31+E32)/E11</f>
        <v>5.2748227439949127E-2</v>
      </c>
      <c r="F46" s="248">
        <f>(F31+F32)/F11</f>
        <v>5.3504695544415545E-2</v>
      </c>
      <c r="G46" s="248">
        <f>(G31+G32)/G11</f>
        <v>4.2706907501000764E-2</v>
      </c>
      <c r="H46" s="279">
        <f>((G31+G32)/(D31+D32))^(1/3)-1</f>
        <v>-1.8026433307370304E-2</v>
      </c>
      <c r="I46" s="17"/>
      <c r="J46" s="247"/>
      <c r="K46" s="247"/>
      <c r="L46" s="247"/>
      <c r="M46" s="247"/>
      <c r="N46" s="247"/>
      <c r="O46" s="18"/>
      <c r="Q46" s="5"/>
      <c r="R46" s="5"/>
      <c r="S46" s="42"/>
      <c r="T46" s="42"/>
      <c r="U46" s="42"/>
      <c r="V46" s="42"/>
      <c r="W46" s="42"/>
      <c r="X46" s="42"/>
      <c r="Y46" s="42"/>
      <c r="Z46" s="42"/>
      <c r="AA46" s="326"/>
      <c r="AB46" s="303"/>
    </row>
    <row r="47" spans="2:42">
      <c r="B47" s="5" t="s">
        <v>581</v>
      </c>
      <c r="C47" s="5"/>
      <c r="D47" s="248">
        <f>1/D43</f>
        <v>6.489700985546E-2</v>
      </c>
      <c r="E47" s="248">
        <f>1/E43</f>
        <v>9.7571510938001954E-2</v>
      </c>
      <c r="F47" s="248">
        <f>1/F43</f>
        <v>0.10542404851250455</v>
      </c>
      <c r="G47" s="248">
        <f>1/G43</f>
        <v>0.11380931131743149</v>
      </c>
      <c r="H47" s="17">
        <f>H29</f>
        <v>0.17588894754894624</v>
      </c>
      <c r="I47" s="247"/>
      <c r="J47" s="248"/>
      <c r="K47" s="248"/>
      <c r="L47" s="248"/>
      <c r="M47" s="248"/>
      <c r="N47" s="248"/>
      <c r="O47" s="248"/>
      <c r="Q47" s="5"/>
      <c r="R47" s="5"/>
      <c r="S47" s="5"/>
      <c r="T47" s="5"/>
      <c r="U47" s="5"/>
      <c r="AA47" s="303"/>
      <c r="AB47" s="303"/>
    </row>
    <row r="48" spans="2:42">
      <c r="B48" s="5" t="s">
        <v>618</v>
      </c>
      <c r="C48" s="5"/>
      <c r="D48" s="305">
        <f>D31/D29</f>
        <v>0.65950351281770536</v>
      </c>
      <c r="E48" s="305">
        <f>E31/E29</f>
        <v>0.49501050683247422</v>
      </c>
      <c r="F48" s="305">
        <f>F31/F29</f>
        <v>0.51097833074790944</v>
      </c>
      <c r="G48" s="305">
        <f>G31/G29</f>
        <v>0.51756008943989462</v>
      </c>
      <c r="H48" s="17" t="s">
        <v>607</v>
      </c>
      <c r="I48" s="259"/>
      <c r="J48" s="247"/>
      <c r="K48" s="247"/>
      <c r="L48" s="247"/>
      <c r="M48" s="247"/>
      <c r="N48" s="247"/>
      <c r="O48" s="248"/>
      <c r="Q48" s="5"/>
      <c r="R48" s="5"/>
      <c r="S48" s="5"/>
      <c r="T48" s="5"/>
      <c r="U48" s="5"/>
      <c r="AA48" s="303"/>
      <c r="AB48" s="303"/>
    </row>
    <row r="49" spans="2:28">
      <c r="B49" s="41"/>
      <c r="C49" s="17"/>
      <c r="D49" s="17"/>
      <c r="E49" s="17"/>
      <c r="F49" s="17"/>
      <c r="G49" s="17"/>
      <c r="H49" s="17"/>
      <c r="I49" s="17"/>
      <c r="J49" s="17"/>
      <c r="K49" s="17"/>
      <c r="L49" s="17"/>
      <c r="M49" s="17"/>
      <c r="N49" s="17"/>
      <c r="O49" s="248"/>
      <c r="Q49" s="5"/>
      <c r="R49" s="5"/>
      <c r="S49" s="5"/>
      <c r="T49" s="5"/>
      <c r="U49" s="5"/>
      <c r="W49" s="10"/>
      <c r="X49" s="10"/>
      <c r="AA49" s="303"/>
      <c r="AB49" s="303"/>
    </row>
    <row r="50" spans="2:28">
      <c r="B50" s="5"/>
      <c r="C50" s="257"/>
      <c r="D50" s="257"/>
      <c r="E50" s="257"/>
      <c r="F50" s="5"/>
      <c r="G50" s="41"/>
      <c r="H50" s="249"/>
      <c r="I50" s="259"/>
      <c r="J50" s="249"/>
      <c r="K50" s="249"/>
      <c r="L50" s="249"/>
      <c r="M50" s="249"/>
      <c r="N50" s="249"/>
      <c r="O50" s="250"/>
      <c r="Q50" s="5"/>
      <c r="R50" s="5"/>
      <c r="S50" s="5"/>
      <c r="T50" s="5"/>
      <c r="U50" s="5"/>
      <c r="W50" s="10"/>
      <c r="X50" s="10"/>
      <c r="Y50" s="10"/>
      <c r="Z50" s="10"/>
    </row>
    <row r="51" spans="2:28">
      <c r="B51" s="41"/>
      <c r="C51" s="249"/>
      <c r="D51" s="254"/>
      <c r="E51" s="254"/>
      <c r="F51" s="254"/>
      <c r="G51" s="254"/>
      <c r="H51" s="254"/>
      <c r="I51" s="254"/>
      <c r="J51" s="254"/>
      <c r="K51" s="254"/>
      <c r="L51" s="254"/>
      <c r="M51" s="254"/>
      <c r="N51" s="254"/>
      <c r="O51" s="251"/>
      <c r="Q51" s="5"/>
      <c r="R51" s="5"/>
      <c r="S51" s="5"/>
      <c r="T51" s="5"/>
      <c r="U51" s="5"/>
      <c r="Y51" s="10"/>
      <c r="Z51" s="10"/>
    </row>
    <row r="52" spans="2:28">
      <c r="B52" s="5"/>
      <c r="C52" s="257"/>
      <c r="D52" s="17"/>
      <c r="E52" s="17"/>
      <c r="F52" s="17"/>
      <c r="G52" s="17"/>
      <c r="H52" s="17"/>
      <c r="I52" s="17"/>
      <c r="J52" s="259"/>
      <c r="K52" s="259"/>
      <c r="L52" s="259"/>
      <c r="M52" s="259"/>
      <c r="N52" s="259"/>
      <c r="O52" s="18"/>
      <c r="Q52" s="5"/>
      <c r="R52" s="5"/>
      <c r="S52" s="5"/>
      <c r="T52" s="5"/>
      <c r="U52" s="5"/>
    </row>
    <row r="53" spans="2:28">
      <c r="B53" s="5"/>
      <c r="C53" s="257"/>
      <c r="D53" s="257"/>
      <c r="E53" s="257"/>
      <c r="F53" s="5"/>
      <c r="G53" s="5"/>
      <c r="H53" s="259"/>
      <c r="I53" s="259"/>
      <c r="J53" s="254"/>
      <c r="K53" s="254"/>
      <c r="L53" s="254"/>
      <c r="M53" s="254"/>
      <c r="N53" s="254"/>
      <c r="O53" s="251"/>
      <c r="Q53" s="5"/>
      <c r="R53" s="5"/>
      <c r="S53" s="5"/>
      <c r="T53" s="5"/>
      <c r="U53" s="5"/>
    </row>
    <row r="54" spans="2:28">
      <c r="B54" s="41"/>
      <c r="C54" s="249"/>
      <c r="D54" s="254"/>
      <c r="E54" s="254"/>
      <c r="F54" s="254"/>
      <c r="G54" s="254"/>
      <c r="H54" s="254"/>
      <c r="I54" s="249"/>
      <c r="J54" s="17"/>
      <c r="K54" s="17"/>
      <c r="L54" s="17"/>
      <c r="M54" s="17"/>
      <c r="N54" s="17"/>
      <c r="O54" s="18"/>
      <c r="Q54" s="5"/>
      <c r="R54" s="5"/>
      <c r="S54" s="5"/>
      <c r="T54" s="5"/>
      <c r="U54" s="5"/>
    </row>
    <row r="55" spans="2:28">
      <c r="B55" s="5"/>
      <c r="C55" s="257"/>
      <c r="D55" s="17"/>
      <c r="E55" s="17"/>
      <c r="F55" s="17"/>
      <c r="G55" s="17"/>
      <c r="H55" s="17"/>
      <c r="I55" s="248"/>
      <c r="J55" s="259"/>
      <c r="K55" s="259"/>
      <c r="L55" s="259"/>
      <c r="M55" s="259"/>
      <c r="N55" s="259"/>
      <c r="O55" s="18"/>
      <c r="Q55" s="5"/>
      <c r="R55" s="5"/>
      <c r="S55" s="5"/>
      <c r="T55" s="5"/>
      <c r="U55" s="5"/>
    </row>
    <row r="56" spans="2:28">
      <c r="B56" s="5"/>
      <c r="C56" s="248"/>
      <c r="D56" s="248"/>
      <c r="E56" s="248"/>
      <c r="F56" s="5"/>
      <c r="G56" s="5"/>
      <c r="H56" s="259"/>
      <c r="I56" s="5"/>
      <c r="J56" s="249"/>
      <c r="K56" s="249"/>
      <c r="L56" s="249"/>
      <c r="M56" s="249"/>
      <c r="N56" s="249"/>
      <c r="O56" s="251"/>
      <c r="Q56" s="5"/>
      <c r="R56" s="5"/>
      <c r="S56" s="5"/>
      <c r="T56" s="5"/>
      <c r="U56" s="5"/>
    </row>
    <row r="57" spans="2:28">
      <c r="B57" s="41"/>
      <c r="C57" s="249"/>
      <c r="D57" s="249"/>
      <c r="E57" s="249"/>
      <c r="F57" s="249"/>
      <c r="G57" s="249"/>
      <c r="H57" s="249"/>
      <c r="I57" s="17"/>
      <c r="J57" s="248"/>
      <c r="K57" s="248"/>
      <c r="L57" s="248"/>
      <c r="M57" s="248"/>
      <c r="N57" s="248"/>
      <c r="O57" s="18"/>
      <c r="Q57" s="5"/>
      <c r="R57" s="5"/>
      <c r="S57" s="5"/>
      <c r="T57" s="5"/>
      <c r="U57" s="5"/>
    </row>
    <row r="58" spans="2:28">
      <c r="B58" s="5"/>
      <c r="C58" s="5"/>
      <c r="D58" s="248"/>
      <c r="E58" s="248"/>
      <c r="F58" s="248"/>
      <c r="G58" s="248"/>
      <c r="H58" s="248"/>
      <c r="I58" s="5"/>
      <c r="J58" s="5"/>
      <c r="K58" s="5"/>
      <c r="L58" s="5"/>
      <c r="M58" s="5"/>
      <c r="N58" s="5"/>
      <c r="O58" s="5"/>
      <c r="Q58" s="5"/>
      <c r="R58" s="5"/>
      <c r="S58" s="5"/>
      <c r="T58" s="5"/>
      <c r="U58" s="5"/>
    </row>
    <row r="59" spans="2:28">
      <c r="B59" s="5"/>
      <c r="C59" s="5"/>
      <c r="D59" s="5"/>
      <c r="E59" s="5"/>
      <c r="F59" s="5"/>
      <c r="G59" s="5"/>
      <c r="H59" s="5"/>
      <c r="I59" s="249"/>
      <c r="J59" s="17"/>
      <c r="K59" s="17"/>
      <c r="L59" s="17"/>
      <c r="M59" s="17"/>
      <c r="N59" s="17"/>
      <c r="O59" s="251"/>
      <c r="Q59" s="5"/>
      <c r="R59" s="5"/>
      <c r="S59" s="5"/>
      <c r="T59" s="5"/>
      <c r="U59" s="5"/>
    </row>
    <row r="60" spans="2:28">
      <c r="B60" s="41"/>
      <c r="C60" s="17"/>
      <c r="D60" s="17"/>
      <c r="E60" s="17"/>
      <c r="F60" s="17"/>
      <c r="G60" s="17"/>
      <c r="H60" s="17"/>
      <c r="I60" s="5"/>
      <c r="J60" s="5"/>
      <c r="K60" s="5"/>
      <c r="L60" s="5"/>
      <c r="M60" s="5"/>
      <c r="N60" s="5"/>
      <c r="O60" s="5"/>
      <c r="Q60" s="41"/>
      <c r="R60" s="5"/>
      <c r="S60" s="5"/>
      <c r="T60" s="5"/>
      <c r="U60" s="5"/>
    </row>
    <row r="61" spans="2:28">
      <c r="B61" s="5"/>
      <c r="C61" s="5"/>
      <c r="D61" s="5"/>
      <c r="E61" s="5"/>
      <c r="F61" s="5"/>
      <c r="G61" s="5"/>
      <c r="H61" s="5"/>
      <c r="I61" s="5"/>
      <c r="J61" s="249"/>
      <c r="K61" s="249"/>
      <c r="L61" s="249"/>
      <c r="M61" s="249"/>
      <c r="N61" s="249"/>
      <c r="O61" s="251"/>
      <c r="Q61" s="5"/>
      <c r="R61" s="5"/>
      <c r="S61" s="5"/>
      <c r="T61" s="5"/>
      <c r="U61" s="5"/>
    </row>
    <row r="62" spans="2:28">
      <c r="B62" s="41"/>
      <c r="C62" s="249"/>
      <c r="D62" s="249"/>
      <c r="E62" s="249"/>
      <c r="F62" s="249"/>
      <c r="G62" s="249"/>
      <c r="H62" s="249"/>
      <c r="I62" s="254"/>
      <c r="J62" s="5"/>
      <c r="K62" s="5"/>
      <c r="L62" s="5"/>
      <c r="M62" s="5"/>
      <c r="N62" s="5"/>
      <c r="O62" s="5"/>
      <c r="Q62" s="5"/>
      <c r="R62" s="5"/>
      <c r="S62" s="5"/>
      <c r="T62" s="5"/>
      <c r="U62" s="5"/>
    </row>
    <row r="63" spans="2:28">
      <c r="B63" s="5"/>
      <c r="C63" s="5"/>
      <c r="D63" s="5"/>
      <c r="E63" s="5"/>
      <c r="F63" s="5"/>
      <c r="G63" s="5"/>
      <c r="H63" s="5"/>
      <c r="I63" s="17"/>
      <c r="J63" s="5"/>
      <c r="K63" s="5"/>
      <c r="L63" s="5"/>
      <c r="M63" s="5"/>
      <c r="N63" s="5"/>
      <c r="O63" s="5"/>
      <c r="Q63" s="5"/>
      <c r="R63" s="5"/>
      <c r="S63" s="5"/>
      <c r="T63" s="5"/>
      <c r="U63" s="5"/>
    </row>
    <row r="64" spans="2:28">
      <c r="B64" s="5"/>
      <c r="C64" s="5"/>
      <c r="D64" s="5"/>
      <c r="E64" s="5"/>
      <c r="F64" s="5"/>
      <c r="G64" s="5"/>
      <c r="H64" s="5"/>
      <c r="I64" s="254"/>
      <c r="J64" s="254"/>
      <c r="K64" s="254"/>
      <c r="L64" s="254"/>
      <c r="M64" s="254"/>
      <c r="N64" s="254"/>
      <c r="O64" s="251"/>
      <c r="Q64" s="5"/>
      <c r="R64" s="5"/>
      <c r="S64" s="5"/>
      <c r="T64" s="5"/>
      <c r="U64" s="5"/>
    </row>
    <row r="65" spans="2:26">
      <c r="B65" s="41"/>
      <c r="C65" s="249"/>
      <c r="D65" s="254"/>
      <c r="E65" s="254"/>
      <c r="F65" s="254"/>
      <c r="G65" s="254"/>
      <c r="H65" s="254"/>
      <c r="I65" s="248"/>
      <c r="J65" s="17"/>
      <c r="K65" s="17"/>
      <c r="L65" s="17"/>
      <c r="M65" s="17"/>
      <c r="N65" s="17"/>
      <c r="O65" s="5"/>
      <c r="Q65" s="5"/>
      <c r="R65" s="5"/>
      <c r="S65" s="5"/>
      <c r="T65" s="5"/>
      <c r="U65" s="5"/>
    </row>
    <row r="66" spans="2:26">
      <c r="B66" s="5"/>
      <c r="C66" s="5"/>
      <c r="D66" s="17"/>
      <c r="E66" s="17"/>
      <c r="F66" s="17"/>
      <c r="G66" s="17"/>
      <c r="H66" s="17"/>
      <c r="I66" s="5"/>
      <c r="J66" s="254"/>
      <c r="K66" s="254"/>
      <c r="L66" s="254"/>
      <c r="M66" s="254"/>
      <c r="N66" s="254"/>
      <c r="O66" s="251"/>
      <c r="Q66" s="41"/>
      <c r="R66" s="5"/>
      <c r="S66" s="5"/>
      <c r="T66" s="5"/>
      <c r="U66" s="5"/>
    </row>
    <row r="67" spans="2:26">
      <c r="B67" s="41"/>
      <c r="C67" s="249"/>
      <c r="D67" s="254"/>
      <c r="E67" s="254"/>
      <c r="F67" s="254"/>
      <c r="G67" s="254"/>
      <c r="H67" s="254"/>
      <c r="I67" s="245"/>
      <c r="J67" s="248"/>
      <c r="K67" s="248"/>
      <c r="L67" s="248"/>
      <c r="M67" s="248"/>
      <c r="N67" s="248"/>
      <c r="O67" s="5"/>
      <c r="Q67" s="5"/>
      <c r="R67" s="5"/>
      <c r="S67" s="5"/>
      <c r="T67" s="5"/>
      <c r="U67" s="5"/>
    </row>
    <row r="68" spans="2:26">
      <c r="B68" s="5"/>
      <c r="C68" s="5"/>
      <c r="D68" s="248"/>
      <c r="E68" s="248"/>
      <c r="F68" s="248"/>
      <c r="G68" s="248"/>
      <c r="H68" s="248"/>
      <c r="I68" s="248"/>
      <c r="J68" s="5"/>
      <c r="K68" s="5"/>
      <c r="L68" s="5"/>
      <c r="M68" s="5"/>
      <c r="N68" s="5"/>
      <c r="O68" s="5"/>
      <c r="Q68" s="5"/>
      <c r="R68" s="5"/>
      <c r="S68" s="5"/>
      <c r="T68" s="5"/>
      <c r="U68" s="5"/>
    </row>
    <row r="69" spans="2:26">
      <c r="B69" s="41"/>
      <c r="C69" s="5"/>
      <c r="D69" s="5"/>
      <c r="E69" s="5"/>
      <c r="F69" s="5"/>
      <c r="G69" s="5"/>
      <c r="H69" s="5"/>
      <c r="I69" s="5"/>
      <c r="J69" s="245"/>
      <c r="K69" s="245"/>
      <c r="L69" s="245"/>
      <c r="M69" s="245"/>
      <c r="N69" s="245"/>
      <c r="O69" s="251"/>
      <c r="Q69" s="5"/>
      <c r="R69" s="5"/>
      <c r="S69" s="5"/>
      <c r="T69" s="5"/>
      <c r="U69" s="5"/>
      <c r="W69" s="76"/>
      <c r="X69" s="76"/>
    </row>
    <row r="70" spans="2:26">
      <c r="B70" s="41"/>
      <c r="C70" s="245"/>
      <c r="D70" s="245"/>
      <c r="E70" s="245"/>
      <c r="F70" s="245"/>
      <c r="G70" s="245"/>
      <c r="H70" s="245"/>
      <c r="I70" s="245"/>
      <c r="J70" s="248"/>
      <c r="K70" s="248"/>
      <c r="L70" s="248"/>
      <c r="M70" s="248"/>
      <c r="N70" s="248"/>
      <c r="O70" s="5"/>
      <c r="Q70" s="5"/>
      <c r="R70" s="5"/>
      <c r="S70" s="5"/>
      <c r="T70" s="5"/>
      <c r="U70" s="5"/>
      <c r="W70" s="76"/>
      <c r="X70" s="76"/>
      <c r="Y70" s="76"/>
      <c r="Z70" s="76"/>
    </row>
    <row r="71" spans="2:26">
      <c r="B71" s="5"/>
      <c r="C71" s="5"/>
      <c r="D71" s="248"/>
      <c r="E71" s="248"/>
      <c r="F71" s="248"/>
      <c r="G71" s="248"/>
      <c r="H71" s="248"/>
      <c r="I71" s="18"/>
      <c r="J71" s="5"/>
      <c r="K71" s="5"/>
      <c r="L71" s="5"/>
      <c r="M71" s="5"/>
      <c r="N71" s="5"/>
      <c r="O71" s="5"/>
      <c r="Q71" s="5"/>
      <c r="R71" s="5"/>
      <c r="S71" s="5"/>
      <c r="T71" s="5"/>
      <c r="U71" s="5"/>
      <c r="Y71" s="76"/>
      <c r="Z71" s="76"/>
    </row>
    <row r="72" spans="2:26">
      <c r="B72" s="41"/>
      <c r="C72" s="5"/>
      <c r="D72" s="5"/>
      <c r="E72" s="5"/>
      <c r="F72" s="5"/>
      <c r="G72" s="5"/>
      <c r="H72" s="5"/>
      <c r="I72" s="5"/>
      <c r="J72" s="245"/>
      <c r="K72" s="245"/>
      <c r="L72" s="245"/>
      <c r="M72" s="245"/>
      <c r="N72" s="245"/>
      <c r="O72" s="251"/>
      <c r="Q72" s="5"/>
      <c r="R72" s="5"/>
      <c r="S72" s="5"/>
      <c r="T72" s="5"/>
      <c r="U72" s="5"/>
    </row>
    <row r="73" spans="2:26">
      <c r="B73" s="41"/>
      <c r="C73" s="245"/>
      <c r="D73" s="245"/>
      <c r="E73" s="245"/>
      <c r="F73" s="245"/>
      <c r="G73" s="245"/>
      <c r="H73" s="245"/>
      <c r="I73" s="249"/>
      <c r="J73" s="18"/>
      <c r="K73" s="18"/>
      <c r="L73" s="18"/>
      <c r="M73" s="18"/>
      <c r="N73" s="18"/>
      <c r="O73" s="5"/>
      <c r="Q73" s="5"/>
      <c r="R73" s="5"/>
      <c r="S73" s="5"/>
      <c r="T73" s="5"/>
      <c r="U73" s="5"/>
    </row>
    <row r="74" spans="2:26">
      <c r="B74" s="5"/>
      <c r="C74" s="5"/>
      <c r="D74" s="18"/>
      <c r="E74" s="18"/>
      <c r="F74" s="18"/>
      <c r="G74" s="18"/>
      <c r="H74" s="18"/>
      <c r="I74" s="248"/>
      <c r="J74" s="5"/>
      <c r="K74" s="5"/>
      <c r="L74" s="5"/>
      <c r="M74" s="5"/>
      <c r="N74" s="5"/>
      <c r="O74" s="5"/>
      <c r="Q74" s="5"/>
      <c r="R74" s="5"/>
      <c r="S74" s="5"/>
      <c r="T74" s="5"/>
      <c r="U74" s="5"/>
    </row>
    <row r="75" spans="2:26">
      <c r="B75" s="41"/>
      <c r="C75" s="5"/>
      <c r="D75" s="5"/>
      <c r="E75" s="5"/>
      <c r="F75" s="5"/>
      <c r="G75" s="5"/>
      <c r="H75" s="5"/>
      <c r="I75" s="5"/>
      <c r="J75" s="249"/>
      <c r="K75" s="249"/>
      <c r="L75" s="249"/>
      <c r="M75" s="249"/>
      <c r="N75" s="249"/>
      <c r="O75" s="251"/>
      <c r="Q75" s="5"/>
      <c r="R75" s="5"/>
      <c r="S75" s="5"/>
      <c r="T75" s="5"/>
      <c r="U75" s="5"/>
    </row>
    <row r="76" spans="2:26">
      <c r="B76" s="41"/>
      <c r="C76" s="249"/>
      <c r="D76" s="249"/>
      <c r="E76" s="249"/>
      <c r="F76" s="249"/>
      <c r="G76" s="249"/>
      <c r="H76" s="249"/>
      <c r="I76" s="245"/>
      <c r="J76" s="248"/>
      <c r="K76" s="248"/>
      <c r="L76" s="248"/>
      <c r="M76" s="248"/>
      <c r="N76" s="248"/>
      <c r="O76" s="5"/>
      <c r="Q76" s="5"/>
      <c r="R76" s="5"/>
      <c r="S76" s="5"/>
      <c r="T76" s="5"/>
      <c r="U76" s="5"/>
    </row>
    <row r="77" spans="2:26">
      <c r="B77" s="5"/>
      <c r="C77" s="5"/>
      <c r="D77" s="248"/>
      <c r="E77" s="248"/>
      <c r="F77" s="248"/>
      <c r="G77" s="248"/>
      <c r="H77" s="248"/>
      <c r="I77" s="248"/>
      <c r="J77" s="5"/>
      <c r="K77" s="5"/>
      <c r="L77" s="5"/>
      <c r="M77" s="5"/>
      <c r="N77" s="5"/>
      <c r="O77" s="5"/>
      <c r="Q77" s="5"/>
      <c r="R77" s="5"/>
      <c r="S77" s="5"/>
      <c r="T77" s="5"/>
      <c r="U77" s="5"/>
    </row>
    <row r="78" spans="2:26">
      <c r="B78" s="41"/>
      <c r="C78" s="5"/>
      <c r="D78" s="5"/>
      <c r="E78" s="5"/>
      <c r="F78" s="5"/>
      <c r="G78" s="5"/>
      <c r="H78" s="5"/>
      <c r="I78" s="5"/>
      <c r="J78" s="245"/>
      <c r="K78" s="245"/>
      <c r="L78" s="245"/>
      <c r="M78" s="245"/>
      <c r="N78" s="245"/>
      <c r="O78" s="251"/>
      <c r="Q78" s="5"/>
      <c r="R78" s="5"/>
      <c r="S78" s="5"/>
      <c r="T78" s="5"/>
      <c r="U78" s="5"/>
    </row>
    <row r="79" spans="2:26">
      <c r="B79" s="41"/>
      <c r="C79" s="245"/>
      <c r="D79" s="245"/>
      <c r="E79" s="245"/>
      <c r="F79" s="245"/>
      <c r="G79" s="245"/>
      <c r="H79" s="245"/>
      <c r="I79" s="249"/>
      <c r="J79" s="248"/>
      <c r="K79" s="248"/>
      <c r="L79" s="248"/>
      <c r="M79" s="248"/>
      <c r="N79" s="248"/>
      <c r="O79" s="5"/>
      <c r="Q79" s="5"/>
      <c r="R79" s="5"/>
      <c r="S79" s="5"/>
      <c r="T79" s="5"/>
      <c r="U79" s="5"/>
    </row>
    <row r="80" spans="2:26">
      <c r="B80" s="5"/>
      <c r="C80" s="5"/>
      <c r="D80" s="248"/>
      <c r="E80" s="248"/>
      <c r="F80" s="248"/>
      <c r="G80" s="248"/>
      <c r="H80" s="248"/>
      <c r="I80" s="248"/>
      <c r="J80" s="5"/>
      <c r="K80" s="5"/>
      <c r="L80" s="5"/>
      <c r="M80" s="5"/>
      <c r="N80" s="5"/>
      <c r="O80" s="5"/>
      <c r="Q80" s="5"/>
      <c r="R80" s="5"/>
      <c r="S80" s="5"/>
      <c r="T80" s="5"/>
      <c r="U80" s="5"/>
    </row>
    <row r="81" spans="2:26">
      <c r="B81" s="41"/>
      <c r="C81" s="5"/>
      <c r="D81" s="5"/>
      <c r="E81" s="5"/>
      <c r="F81" s="5"/>
      <c r="G81" s="5"/>
      <c r="H81" s="5"/>
      <c r="I81" s="259"/>
      <c r="J81" s="249"/>
      <c r="K81" s="249"/>
      <c r="L81" s="249"/>
      <c r="M81" s="249"/>
      <c r="N81" s="249"/>
      <c r="O81" s="251"/>
      <c r="Q81" s="5"/>
      <c r="R81" s="5"/>
      <c r="S81" s="5"/>
      <c r="T81" s="5"/>
      <c r="U81" s="5"/>
    </row>
    <row r="82" spans="2:26">
      <c r="B82" s="41"/>
      <c r="C82" s="249"/>
      <c r="D82" s="249"/>
      <c r="E82" s="249"/>
      <c r="F82" s="249"/>
      <c r="G82" s="249"/>
      <c r="H82" s="249"/>
      <c r="I82" s="5"/>
      <c r="J82" s="248"/>
      <c r="K82" s="248"/>
      <c r="L82" s="248"/>
      <c r="M82" s="248"/>
      <c r="N82" s="248"/>
      <c r="O82" s="5"/>
      <c r="Q82" s="5"/>
      <c r="R82" s="5"/>
      <c r="S82" s="5"/>
      <c r="T82" s="5"/>
      <c r="U82" s="5"/>
    </row>
    <row r="83" spans="2:26">
      <c r="B83" s="5"/>
      <c r="C83" s="5"/>
      <c r="D83" s="248"/>
      <c r="E83" s="248"/>
      <c r="F83" s="248"/>
      <c r="G83" s="248"/>
      <c r="H83" s="248"/>
      <c r="I83" s="245"/>
      <c r="J83" s="259"/>
      <c r="K83" s="259"/>
      <c r="L83" s="259"/>
      <c r="M83" s="259"/>
      <c r="N83" s="259"/>
      <c r="O83" s="251"/>
      <c r="Q83" s="5"/>
      <c r="R83" s="5"/>
      <c r="S83" s="5"/>
      <c r="T83" s="5"/>
      <c r="U83" s="5"/>
    </row>
    <row r="84" spans="2:26">
      <c r="B84" s="5"/>
      <c r="C84" s="259"/>
      <c r="D84" s="259"/>
      <c r="E84" s="259"/>
      <c r="F84" s="259"/>
      <c r="G84" s="259"/>
      <c r="H84" s="259"/>
      <c r="I84" s="248"/>
      <c r="J84" s="5"/>
      <c r="K84" s="5"/>
      <c r="L84" s="5"/>
      <c r="M84" s="5"/>
      <c r="N84" s="5"/>
      <c r="O84" s="5"/>
      <c r="Q84" s="5"/>
      <c r="R84" s="5"/>
      <c r="S84" s="5"/>
      <c r="T84" s="5"/>
      <c r="U84" s="5"/>
    </row>
    <row r="85" spans="2:26">
      <c r="B85" s="41"/>
      <c r="C85" s="5"/>
      <c r="D85" s="5"/>
      <c r="E85" s="5"/>
      <c r="F85" s="5"/>
      <c r="G85" s="5"/>
      <c r="H85" s="5"/>
      <c r="I85" s="5"/>
      <c r="J85" s="245"/>
      <c r="K85" s="245"/>
      <c r="L85" s="245"/>
      <c r="M85" s="245"/>
      <c r="N85" s="245"/>
      <c r="O85" s="251"/>
      <c r="Q85" s="5"/>
      <c r="R85" s="5"/>
      <c r="S85" s="5"/>
      <c r="T85" s="5"/>
      <c r="U85" s="5"/>
    </row>
    <row r="86" spans="2:26">
      <c r="B86" s="41"/>
      <c r="C86" s="245"/>
      <c r="D86" s="245"/>
      <c r="E86" s="245"/>
      <c r="F86" s="245"/>
      <c r="G86" s="245"/>
      <c r="H86" s="245"/>
      <c r="I86" s="5"/>
      <c r="J86" s="248"/>
      <c r="K86" s="248"/>
      <c r="L86" s="248"/>
      <c r="M86" s="248"/>
      <c r="N86" s="248"/>
      <c r="O86" s="5"/>
      <c r="Q86" s="5"/>
      <c r="R86" s="5"/>
      <c r="S86" s="5"/>
      <c r="T86" s="5"/>
      <c r="U86" s="5"/>
    </row>
    <row r="87" spans="2:26">
      <c r="B87" s="5"/>
      <c r="C87" s="5"/>
      <c r="D87" s="248"/>
      <c r="E87" s="248"/>
      <c r="F87" s="248"/>
      <c r="G87" s="248"/>
      <c r="H87" s="248"/>
      <c r="I87" s="5"/>
      <c r="J87" s="5"/>
      <c r="K87" s="5"/>
      <c r="L87" s="5"/>
      <c r="M87" s="5"/>
      <c r="N87" s="5"/>
      <c r="O87" s="5"/>
      <c r="Q87" s="5"/>
      <c r="R87" s="5"/>
      <c r="S87" s="5"/>
      <c r="T87" s="5"/>
      <c r="U87" s="5"/>
    </row>
    <row r="88" spans="2:26">
      <c r="B88" s="41"/>
      <c r="C88" s="5"/>
      <c r="D88" s="5"/>
      <c r="E88" s="5"/>
      <c r="F88" s="5"/>
      <c r="G88" s="5"/>
      <c r="H88" s="5"/>
      <c r="I88" s="5"/>
      <c r="J88" s="5"/>
      <c r="K88" s="5"/>
      <c r="L88" s="5"/>
      <c r="M88" s="5"/>
      <c r="N88" s="5"/>
      <c r="O88" s="5"/>
      <c r="Q88" s="5"/>
      <c r="R88" s="5"/>
      <c r="S88" s="5"/>
      <c r="T88" s="5"/>
      <c r="U88" s="5"/>
    </row>
    <row r="89" spans="2:26">
      <c r="B89" s="41"/>
      <c r="C89" s="5"/>
      <c r="D89" s="5"/>
      <c r="E89" s="5"/>
      <c r="F89" s="5"/>
      <c r="G89" s="5"/>
      <c r="H89" s="5"/>
      <c r="I89" s="49"/>
      <c r="J89" s="5"/>
      <c r="K89" s="5"/>
      <c r="L89" s="5"/>
      <c r="M89" s="5"/>
      <c r="N89" s="5"/>
      <c r="O89" s="5"/>
      <c r="Q89" s="41"/>
      <c r="R89" s="5"/>
      <c r="S89" s="5"/>
      <c r="T89" s="5"/>
      <c r="U89" s="5"/>
    </row>
    <row r="90" spans="2:26">
      <c r="B90" s="41"/>
      <c r="C90" s="5"/>
      <c r="D90" s="5"/>
      <c r="E90" s="5"/>
      <c r="F90" s="5"/>
      <c r="G90" s="5"/>
      <c r="H90" s="5"/>
      <c r="I90" s="5"/>
      <c r="J90" s="5"/>
      <c r="K90" s="5"/>
      <c r="L90" s="5"/>
      <c r="M90" s="5"/>
      <c r="N90" s="5"/>
      <c r="O90" s="5"/>
      <c r="Q90" s="5"/>
      <c r="R90" s="5"/>
      <c r="S90" s="5"/>
      <c r="T90" s="5"/>
      <c r="U90" s="5"/>
    </row>
    <row r="91" spans="2:26">
      <c r="B91" s="5"/>
      <c r="C91" s="5"/>
      <c r="D91" s="5"/>
      <c r="E91" s="5"/>
      <c r="F91" s="5"/>
      <c r="G91" s="5"/>
      <c r="H91" s="5"/>
      <c r="I91" s="247"/>
      <c r="J91" s="49"/>
      <c r="K91" s="49"/>
      <c r="L91" s="49"/>
      <c r="M91" s="49"/>
      <c r="N91" s="49"/>
      <c r="O91" s="49"/>
      <c r="Q91" s="5"/>
      <c r="R91" s="5"/>
      <c r="S91" s="5"/>
      <c r="T91" s="5"/>
      <c r="U91" s="5"/>
      <c r="W91" s="21"/>
      <c r="X91" s="21"/>
    </row>
    <row r="92" spans="2:26">
      <c r="B92" s="41"/>
      <c r="C92" s="49"/>
      <c r="D92" s="49"/>
      <c r="E92" s="49"/>
      <c r="F92" s="49"/>
      <c r="G92" s="49"/>
      <c r="H92" s="49"/>
      <c r="I92" s="247"/>
      <c r="J92" s="5"/>
      <c r="K92" s="5"/>
      <c r="L92" s="5"/>
      <c r="M92" s="5"/>
      <c r="N92" s="5"/>
      <c r="O92" s="5"/>
      <c r="Q92" s="5"/>
      <c r="R92" s="5"/>
      <c r="S92" s="5"/>
      <c r="T92" s="5"/>
      <c r="U92" s="5"/>
      <c r="W92" s="21"/>
      <c r="X92" s="21"/>
      <c r="Y92" s="21"/>
      <c r="Z92" s="21"/>
    </row>
    <row r="93" spans="2:26">
      <c r="B93" s="5"/>
      <c r="C93" s="5"/>
      <c r="D93" s="5"/>
      <c r="E93" s="5"/>
      <c r="F93" s="5"/>
      <c r="G93" s="5"/>
      <c r="H93" s="5"/>
      <c r="I93" s="247"/>
      <c r="J93" s="247"/>
      <c r="K93" s="247"/>
      <c r="L93" s="247"/>
      <c r="M93" s="247"/>
      <c r="N93" s="247"/>
      <c r="O93" s="248"/>
      <c r="Q93" s="5"/>
      <c r="R93" s="5"/>
      <c r="S93" s="5"/>
      <c r="T93" s="5"/>
      <c r="U93" s="5"/>
      <c r="Y93" s="21"/>
      <c r="Z93" s="21"/>
    </row>
    <row r="94" spans="2:26">
      <c r="B94" s="5"/>
      <c r="C94" s="259"/>
      <c r="D94" s="247"/>
      <c r="E94" s="247"/>
      <c r="F94" s="247"/>
      <c r="G94" s="247"/>
      <c r="H94" s="247"/>
      <c r="I94" s="248"/>
      <c r="J94" s="247"/>
      <c r="K94" s="247"/>
      <c r="L94" s="247"/>
      <c r="M94" s="247"/>
      <c r="N94" s="247"/>
      <c r="O94" s="248"/>
      <c r="Q94" s="5"/>
      <c r="R94" s="5"/>
      <c r="S94" s="5"/>
      <c r="T94" s="5"/>
      <c r="U94" s="5"/>
    </row>
    <row r="95" spans="2:26">
      <c r="B95" s="5"/>
      <c r="C95" s="259"/>
      <c r="D95" s="247"/>
      <c r="E95" s="247"/>
      <c r="F95" s="247"/>
      <c r="G95" s="247"/>
      <c r="H95" s="247"/>
      <c r="I95" s="247"/>
      <c r="J95" s="247"/>
      <c r="K95" s="247"/>
      <c r="L95" s="247"/>
      <c r="M95" s="247"/>
      <c r="N95" s="247"/>
      <c r="O95" s="248"/>
      <c r="Q95" s="5"/>
      <c r="R95" s="5"/>
      <c r="S95" s="5"/>
      <c r="T95" s="5"/>
      <c r="U95" s="5"/>
    </row>
    <row r="96" spans="2:26">
      <c r="B96" s="5"/>
      <c r="C96" s="259"/>
      <c r="D96" s="247"/>
      <c r="E96" s="247"/>
      <c r="F96" s="247"/>
      <c r="G96" s="247"/>
      <c r="H96" s="247"/>
      <c r="I96" s="249"/>
      <c r="J96" s="248"/>
      <c r="K96" s="248"/>
      <c r="L96" s="248"/>
      <c r="M96" s="248"/>
      <c r="N96" s="248"/>
      <c r="O96" s="248"/>
      <c r="Q96" s="5"/>
      <c r="R96" s="5"/>
      <c r="S96" s="5"/>
      <c r="T96" s="5"/>
      <c r="U96" s="5"/>
    </row>
    <row r="97" spans="2:21">
      <c r="B97" s="5"/>
      <c r="C97" s="259"/>
      <c r="D97" s="248"/>
      <c r="E97" s="248"/>
      <c r="F97" s="248"/>
      <c r="G97" s="248"/>
      <c r="H97" s="248"/>
      <c r="I97" s="248"/>
      <c r="J97" s="247"/>
      <c r="K97" s="247"/>
      <c r="L97" s="247"/>
      <c r="M97" s="247"/>
      <c r="N97" s="247"/>
      <c r="O97" s="248"/>
      <c r="Q97" s="5"/>
      <c r="R97" s="5"/>
      <c r="S97" s="5"/>
      <c r="T97" s="5"/>
      <c r="U97" s="5"/>
    </row>
    <row r="98" spans="2:21">
      <c r="B98" s="5"/>
      <c r="C98" s="259"/>
      <c r="D98" s="247"/>
      <c r="E98" s="247"/>
      <c r="F98" s="247"/>
      <c r="G98" s="247"/>
      <c r="H98" s="247"/>
      <c r="I98" s="5"/>
      <c r="J98" s="249"/>
      <c r="K98" s="249"/>
      <c r="L98" s="249"/>
      <c r="M98" s="249"/>
      <c r="N98" s="249"/>
      <c r="O98" s="248"/>
      <c r="Q98" s="5"/>
      <c r="R98" s="5"/>
      <c r="S98" s="5"/>
      <c r="T98" s="5"/>
      <c r="U98" s="5"/>
    </row>
    <row r="99" spans="2:21">
      <c r="B99" s="41"/>
      <c r="C99" s="249"/>
      <c r="D99" s="249"/>
      <c r="E99" s="249"/>
      <c r="F99" s="249"/>
      <c r="G99" s="249"/>
      <c r="H99" s="249"/>
      <c r="I99" s="259"/>
      <c r="J99" s="248"/>
      <c r="K99" s="248"/>
      <c r="L99" s="248"/>
      <c r="M99" s="248"/>
      <c r="N99" s="248"/>
      <c r="O99" s="248"/>
      <c r="Q99" s="5"/>
      <c r="R99" s="5"/>
      <c r="S99" s="5"/>
      <c r="T99" s="5"/>
      <c r="U99" s="5"/>
    </row>
    <row r="100" spans="2:21" s="5" customFormat="1">
      <c r="B100" s="41"/>
      <c r="C100" s="257"/>
      <c r="D100" s="248"/>
      <c r="E100" s="248"/>
      <c r="F100" s="248"/>
      <c r="G100" s="248"/>
      <c r="H100" s="248"/>
      <c r="I100" s="259"/>
      <c r="O100" s="248"/>
      <c r="P100" s="39"/>
    </row>
    <row r="101" spans="2:21">
      <c r="B101" s="41"/>
      <c r="C101" s="5"/>
      <c r="D101" s="5"/>
      <c r="E101" s="5"/>
      <c r="F101" s="5"/>
      <c r="G101" s="5"/>
      <c r="H101" s="5"/>
      <c r="I101" s="247"/>
      <c r="J101" s="259"/>
      <c r="K101" s="259"/>
      <c r="L101" s="259"/>
      <c r="M101" s="259"/>
      <c r="N101" s="259"/>
      <c r="O101" s="5"/>
      <c r="Q101" s="5"/>
      <c r="R101" s="5"/>
      <c r="S101" s="5"/>
      <c r="T101" s="5"/>
      <c r="U101" s="5"/>
    </row>
    <row r="102" spans="2:21">
      <c r="B102" s="5"/>
      <c r="C102" s="259"/>
      <c r="D102" s="259"/>
      <c r="E102" s="259"/>
      <c r="F102" s="259"/>
      <c r="G102" s="259"/>
      <c r="H102" s="259"/>
      <c r="I102" s="5"/>
      <c r="J102" s="259"/>
      <c r="K102" s="259"/>
      <c r="L102" s="259"/>
      <c r="M102" s="259"/>
      <c r="N102" s="259"/>
      <c r="O102" s="5"/>
      <c r="P102" s="5"/>
      <c r="Q102" s="5"/>
      <c r="R102" s="5"/>
      <c r="S102" s="5"/>
      <c r="T102" s="5"/>
      <c r="U102" s="5"/>
    </row>
    <row r="103" spans="2:21">
      <c r="B103" s="5"/>
      <c r="C103" s="259"/>
      <c r="D103" s="259"/>
      <c r="E103" s="259"/>
      <c r="F103" s="259"/>
      <c r="G103" s="259"/>
      <c r="H103" s="259"/>
      <c r="I103" s="247"/>
      <c r="J103" s="247"/>
      <c r="K103" s="247"/>
      <c r="L103" s="247"/>
      <c r="M103" s="247"/>
      <c r="N103" s="247"/>
      <c r="O103" s="5"/>
      <c r="Q103" s="5"/>
      <c r="R103" s="5"/>
      <c r="S103" s="5"/>
      <c r="T103" s="5"/>
      <c r="U103" s="5"/>
    </row>
    <row r="104" spans="2:21" s="5" customFormat="1">
      <c r="C104" s="247"/>
      <c r="D104" s="247"/>
      <c r="E104" s="247"/>
      <c r="F104" s="247"/>
      <c r="G104" s="247"/>
      <c r="H104" s="247"/>
      <c r="P104" s="39"/>
    </row>
    <row r="105" spans="2:21" s="5" customFormat="1">
      <c r="I105" s="259"/>
      <c r="J105" s="247"/>
      <c r="K105" s="247"/>
      <c r="L105" s="247"/>
      <c r="M105" s="247"/>
      <c r="N105" s="247"/>
      <c r="P105" s="39"/>
    </row>
    <row r="106" spans="2:21">
      <c r="B106" s="5"/>
      <c r="C106" s="259"/>
      <c r="D106" s="247"/>
      <c r="E106" s="247"/>
      <c r="F106" s="247"/>
      <c r="G106" s="247"/>
      <c r="H106" s="247"/>
      <c r="I106" s="247"/>
      <c r="J106" s="5"/>
      <c r="K106" s="5"/>
      <c r="L106" s="5"/>
      <c r="M106" s="5"/>
      <c r="N106" s="5"/>
      <c r="O106" s="5"/>
      <c r="P106" s="5"/>
      <c r="Q106" s="5"/>
      <c r="R106" s="5"/>
      <c r="S106" s="5"/>
      <c r="T106" s="5"/>
      <c r="U106" s="5"/>
    </row>
    <row r="107" spans="2:21">
      <c r="B107" s="5"/>
      <c r="C107" s="259"/>
      <c r="D107" s="5"/>
      <c r="E107" s="5"/>
      <c r="F107" s="5"/>
      <c r="G107" s="5"/>
      <c r="H107" s="5"/>
      <c r="I107" s="249"/>
      <c r="J107" s="259"/>
      <c r="K107" s="259"/>
      <c r="L107" s="259"/>
      <c r="M107" s="259"/>
      <c r="N107" s="259"/>
      <c r="O107" s="5"/>
      <c r="P107" s="5"/>
      <c r="Q107" s="5"/>
      <c r="R107" s="5"/>
      <c r="S107" s="5"/>
      <c r="T107" s="5"/>
      <c r="U107" s="5"/>
    </row>
    <row r="108" spans="2:21">
      <c r="B108" s="5"/>
      <c r="C108" s="259"/>
      <c r="D108" s="259"/>
      <c r="E108" s="259"/>
      <c r="F108" s="259"/>
      <c r="G108" s="259"/>
      <c r="H108" s="259"/>
      <c r="I108" s="249"/>
      <c r="J108" s="247"/>
      <c r="K108" s="247"/>
      <c r="L108" s="247"/>
      <c r="M108" s="247"/>
      <c r="N108" s="247"/>
      <c r="O108" s="5"/>
      <c r="Q108" s="5"/>
      <c r="R108" s="5"/>
      <c r="S108" s="5"/>
      <c r="T108" s="5"/>
      <c r="U108" s="5"/>
    </row>
    <row r="109" spans="2:21">
      <c r="B109" s="5"/>
      <c r="C109" s="247"/>
      <c r="D109" s="247"/>
      <c r="E109" s="247"/>
      <c r="F109" s="247"/>
      <c r="G109" s="247"/>
      <c r="H109" s="247"/>
      <c r="I109" s="247"/>
      <c r="J109" s="249"/>
      <c r="K109" s="249"/>
      <c r="L109" s="249"/>
      <c r="M109" s="249"/>
      <c r="N109" s="249"/>
      <c r="O109" s="5"/>
      <c r="Q109" s="5"/>
      <c r="R109" s="5"/>
      <c r="S109" s="5"/>
      <c r="T109" s="5"/>
      <c r="U109" s="5"/>
    </row>
    <row r="110" spans="2:21">
      <c r="B110" s="41"/>
      <c r="C110" s="249"/>
      <c r="D110" s="249"/>
      <c r="E110" s="249"/>
      <c r="F110" s="249"/>
      <c r="G110" s="249"/>
      <c r="H110" s="249"/>
      <c r="I110" s="5"/>
      <c r="J110" s="249"/>
      <c r="K110" s="249"/>
      <c r="L110" s="249"/>
      <c r="M110" s="249"/>
      <c r="N110" s="249"/>
      <c r="O110" s="5"/>
      <c r="Q110" s="5"/>
      <c r="R110" s="5"/>
      <c r="S110" s="5"/>
      <c r="T110" s="5"/>
      <c r="U110" s="5"/>
    </row>
    <row r="111" spans="2:21">
      <c r="B111" s="5"/>
      <c r="C111" s="249"/>
      <c r="D111" s="249"/>
      <c r="E111" s="249"/>
      <c r="F111" s="249"/>
      <c r="G111" s="249"/>
      <c r="H111" s="249"/>
      <c r="I111" s="5"/>
      <c r="J111" s="247"/>
      <c r="K111" s="247"/>
      <c r="L111" s="247"/>
      <c r="M111" s="247"/>
      <c r="N111" s="247"/>
      <c r="O111" s="5"/>
      <c r="Q111" s="5"/>
      <c r="R111" s="5"/>
      <c r="S111" s="5"/>
      <c r="T111" s="5"/>
      <c r="U111" s="5"/>
    </row>
    <row r="112" spans="2:21">
      <c r="B112" s="5"/>
      <c r="C112" s="247"/>
      <c r="D112" s="247"/>
      <c r="E112" s="247"/>
      <c r="F112" s="247"/>
      <c r="G112" s="247"/>
      <c r="H112" s="247"/>
      <c r="I112" s="5"/>
      <c r="J112" s="5"/>
      <c r="K112" s="5"/>
      <c r="L112" s="5"/>
      <c r="M112" s="5"/>
      <c r="N112" s="5"/>
      <c r="O112" s="5"/>
      <c r="Q112" s="5"/>
      <c r="R112" s="5"/>
      <c r="S112" s="5"/>
      <c r="T112" s="5"/>
      <c r="U112" s="5"/>
    </row>
    <row r="113" spans="2:21">
      <c r="B113" s="5"/>
      <c r="C113" s="5"/>
      <c r="D113" s="5"/>
      <c r="E113" s="5"/>
      <c r="F113" s="5"/>
      <c r="G113" s="5"/>
      <c r="H113" s="5"/>
      <c r="I113" s="5"/>
      <c r="J113" s="5"/>
      <c r="K113" s="5"/>
      <c r="L113" s="5"/>
      <c r="M113" s="5"/>
      <c r="N113" s="5"/>
      <c r="O113" s="5"/>
      <c r="Q113" s="5"/>
      <c r="R113" s="5"/>
      <c r="S113" s="5"/>
      <c r="T113" s="5"/>
      <c r="U113" s="5"/>
    </row>
    <row r="114" spans="2:21">
      <c r="B114" s="5"/>
      <c r="C114" s="5"/>
      <c r="D114" s="5"/>
      <c r="E114" s="5"/>
      <c r="F114" s="5"/>
      <c r="G114" s="5"/>
      <c r="H114" s="5"/>
      <c r="I114" s="49"/>
      <c r="J114" s="5"/>
      <c r="K114" s="5"/>
      <c r="L114" s="5"/>
      <c r="M114" s="5"/>
      <c r="N114" s="5"/>
      <c r="O114" s="5"/>
      <c r="Q114" s="41"/>
      <c r="R114" s="5"/>
      <c r="S114" s="5"/>
      <c r="T114" s="5"/>
      <c r="U114" s="5"/>
    </row>
    <row r="115" spans="2:21">
      <c r="B115" s="5"/>
      <c r="C115" s="5"/>
      <c r="D115" s="5"/>
      <c r="E115" s="5"/>
      <c r="F115" s="5"/>
      <c r="G115" s="5"/>
      <c r="H115" s="5"/>
      <c r="I115" s="5"/>
      <c r="J115" s="5"/>
      <c r="K115" s="5"/>
      <c r="L115" s="5"/>
      <c r="M115" s="5"/>
      <c r="N115" s="5"/>
      <c r="O115" s="5"/>
      <c r="Q115" s="5"/>
      <c r="R115" s="5"/>
      <c r="S115" s="5"/>
      <c r="T115" s="5"/>
      <c r="U115" s="5"/>
    </row>
    <row r="116" spans="2:21">
      <c r="B116" s="5"/>
      <c r="C116" s="5"/>
      <c r="D116" s="5"/>
      <c r="E116" s="5"/>
      <c r="F116" s="5"/>
      <c r="G116" s="5"/>
      <c r="H116" s="5"/>
      <c r="I116" s="254"/>
      <c r="J116" s="49"/>
      <c r="K116" s="49"/>
      <c r="L116" s="49"/>
      <c r="M116" s="49"/>
      <c r="N116" s="49"/>
      <c r="O116" s="49"/>
      <c r="Q116" s="5"/>
      <c r="R116" s="5"/>
      <c r="S116" s="5"/>
      <c r="T116" s="5"/>
      <c r="U116" s="5"/>
    </row>
    <row r="117" spans="2:21">
      <c r="B117" s="41"/>
      <c r="C117" s="49"/>
      <c r="D117" s="49"/>
      <c r="E117" s="49"/>
      <c r="F117" s="49"/>
      <c r="G117" s="49"/>
      <c r="H117" s="49"/>
      <c r="I117" s="249"/>
      <c r="J117" s="5"/>
      <c r="K117" s="5"/>
      <c r="L117" s="5"/>
      <c r="M117" s="5"/>
      <c r="N117" s="5"/>
      <c r="O117" s="5"/>
      <c r="Q117" s="5"/>
      <c r="R117" s="5"/>
      <c r="S117" s="5"/>
      <c r="T117" s="5"/>
      <c r="U117" s="5"/>
    </row>
    <row r="118" spans="2:21">
      <c r="B118" s="5"/>
      <c r="C118" s="5"/>
      <c r="D118" s="5"/>
      <c r="E118" s="5"/>
      <c r="F118" s="5"/>
      <c r="G118" s="5"/>
      <c r="H118" s="5"/>
      <c r="I118" s="254"/>
      <c r="J118" s="254"/>
      <c r="K118" s="254"/>
      <c r="L118" s="254"/>
      <c r="M118" s="254"/>
      <c r="N118" s="254"/>
      <c r="O118" s="248"/>
      <c r="Q118" s="5"/>
      <c r="R118" s="5"/>
      <c r="S118" s="5"/>
      <c r="T118" s="5"/>
      <c r="U118" s="5"/>
    </row>
    <row r="119" spans="2:21">
      <c r="B119" s="41"/>
      <c r="C119" s="254"/>
      <c r="D119" s="254"/>
      <c r="E119" s="254"/>
      <c r="F119" s="254"/>
      <c r="G119" s="254"/>
      <c r="H119" s="254"/>
      <c r="I119" s="254"/>
      <c r="J119" s="249"/>
      <c r="K119" s="249"/>
      <c r="L119" s="249"/>
      <c r="M119" s="249"/>
      <c r="N119" s="249"/>
      <c r="O119" s="248"/>
      <c r="Q119" s="5"/>
      <c r="R119" s="5"/>
      <c r="S119" s="5"/>
      <c r="T119" s="5"/>
      <c r="U119" s="5"/>
    </row>
    <row r="120" spans="2:21">
      <c r="B120" s="41"/>
      <c r="C120" s="254"/>
      <c r="D120" s="249"/>
      <c r="E120" s="249"/>
      <c r="F120" s="249"/>
      <c r="G120" s="249"/>
      <c r="H120" s="249"/>
      <c r="I120" s="254"/>
      <c r="J120" s="254"/>
      <c r="K120" s="254"/>
      <c r="L120" s="254"/>
      <c r="M120" s="254"/>
      <c r="N120" s="254"/>
      <c r="O120" s="248"/>
      <c r="Q120" s="5"/>
      <c r="R120" s="5"/>
      <c r="S120" s="5"/>
      <c r="T120" s="5"/>
      <c r="U120" s="5"/>
    </row>
    <row r="121" spans="2:21">
      <c r="B121" s="41"/>
      <c r="C121" s="254"/>
      <c r="D121" s="254"/>
      <c r="E121" s="254"/>
      <c r="F121" s="254"/>
      <c r="G121" s="254"/>
      <c r="H121" s="254"/>
      <c r="I121" s="254"/>
      <c r="J121" s="254"/>
      <c r="K121" s="254"/>
      <c r="L121" s="254"/>
      <c r="M121" s="254"/>
      <c r="N121" s="254"/>
      <c r="O121" s="248"/>
      <c r="Q121" s="5"/>
      <c r="R121" s="5"/>
      <c r="S121" s="5"/>
      <c r="T121" s="5"/>
      <c r="U121" s="5"/>
    </row>
    <row r="122" spans="2:21">
      <c r="B122" s="41"/>
      <c r="C122" s="254"/>
      <c r="D122" s="254"/>
      <c r="E122" s="254"/>
      <c r="F122" s="254"/>
      <c r="G122" s="254"/>
      <c r="H122" s="254"/>
      <c r="I122" s="254"/>
      <c r="J122" s="254"/>
      <c r="K122" s="254"/>
      <c r="L122" s="254"/>
      <c r="M122" s="254"/>
      <c r="N122" s="254"/>
      <c r="O122" s="248"/>
      <c r="Q122" s="5"/>
      <c r="R122" s="5"/>
      <c r="S122" s="5"/>
      <c r="T122" s="5"/>
      <c r="U122" s="5"/>
    </row>
    <row r="123" spans="2:21">
      <c r="B123" s="41"/>
      <c r="C123" s="254"/>
      <c r="D123" s="254"/>
      <c r="E123" s="254"/>
      <c r="F123" s="254"/>
      <c r="G123" s="254"/>
      <c r="H123" s="254"/>
      <c r="I123" s="254"/>
      <c r="J123" s="254"/>
      <c r="K123" s="254"/>
      <c r="L123" s="254"/>
      <c r="M123" s="254"/>
      <c r="N123" s="254"/>
      <c r="O123" s="248"/>
      <c r="Q123" s="5"/>
      <c r="R123" s="5"/>
      <c r="S123" s="5"/>
      <c r="T123" s="5"/>
      <c r="U123" s="5"/>
    </row>
    <row r="124" spans="2:21">
      <c r="B124" s="41"/>
      <c r="C124" s="254"/>
      <c r="D124" s="254"/>
      <c r="E124" s="254"/>
      <c r="F124" s="254"/>
      <c r="G124" s="254"/>
      <c r="H124" s="254"/>
      <c r="I124" s="254"/>
      <c r="J124" s="254"/>
      <c r="K124" s="254"/>
      <c r="L124" s="254"/>
      <c r="M124" s="254"/>
      <c r="N124" s="254"/>
      <c r="O124" s="5"/>
      <c r="Q124" s="5"/>
      <c r="R124" s="5"/>
      <c r="S124" s="5"/>
      <c r="T124" s="5"/>
      <c r="U124" s="5"/>
    </row>
    <row r="125" spans="2:21">
      <c r="B125" s="41"/>
      <c r="C125" s="254"/>
      <c r="D125" s="254"/>
      <c r="E125" s="254"/>
      <c r="F125" s="254"/>
      <c r="G125" s="254"/>
      <c r="H125" s="254"/>
      <c r="I125" s="254"/>
      <c r="J125" s="254"/>
      <c r="K125" s="254"/>
      <c r="L125" s="254"/>
      <c r="M125" s="254"/>
      <c r="N125" s="254"/>
      <c r="O125" s="5"/>
      <c r="Q125" s="5"/>
      <c r="R125" s="5"/>
      <c r="S125" s="5"/>
      <c r="T125" s="5"/>
      <c r="U125" s="5"/>
    </row>
    <row r="126" spans="2:21">
      <c r="B126" s="41"/>
      <c r="C126" s="254"/>
      <c r="D126" s="254"/>
      <c r="E126" s="254"/>
      <c r="F126" s="254"/>
      <c r="G126" s="254"/>
      <c r="H126" s="254"/>
      <c r="I126" s="18"/>
      <c r="J126" s="254"/>
      <c r="K126" s="254"/>
      <c r="L126" s="254"/>
      <c r="M126" s="254"/>
      <c r="N126" s="254"/>
      <c r="O126" s="5"/>
      <c r="Q126" s="5"/>
      <c r="R126" s="5"/>
      <c r="S126" s="5"/>
      <c r="T126" s="5"/>
      <c r="U126" s="5"/>
    </row>
    <row r="127" spans="2:21">
      <c r="B127" s="41"/>
      <c r="C127" s="254"/>
      <c r="D127" s="254"/>
      <c r="E127" s="254"/>
      <c r="F127" s="254"/>
      <c r="G127" s="254"/>
      <c r="H127" s="254"/>
      <c r="I127" s="5"/>
      <c r="J127" s="254"/>
      <c r="K127" s="254"/>
      <c r="L127" s="254"/>
      <c r="M127" s="254"/>
      <c r="N127" s="254"/>
      <c r="O127" s="5"/>
      <c r="Q127" s="5"/>
      <c r="R127" s="5"/>
      <c r="S127" s="5"/>
      <c r="T127" s="5"/>
      <c r="U127" s="5"/>
    </row>
    <row r="128" spans="2:21">
      <c r="B128" s="41"/>
      <c r="C128" s="254"/>
      <c r="D128" s="254"/>
      <c r="E128" s="254"/>
      <c r="F128" s="254"/>
      <c r="G128" s="254"/>
      <c r="H128" s="254"/>
      <c r="I128" s="254"/>
      <c r="J128" s="18"/>
      <c r="K128" s="18"/>
      <c r="L128" s="18"/>
      <c r="M128" s="18"/>
      <c r="N128" s="18"/>
      <c r="O128" s="5"/>
      <c r="Q128" s="5"/>
      <c r="R128" s="5"/>
      <c r="S128" s="5"/>
      <c r="T128" s="5"/>
      <c r="U128" s="5"/>
    </row>
    <row r="129" spans="2:27">
      <c r="B129" s="5"/>
      <c r="C129" s="5"/>
      <c r="D129" s="18"/>
      <c r="E129" s="18"/>
      <c r="F129" s="18"/>
      <c r="G129" s="18"/>
      <c r="H129" s="18"/>
      <c r="I129" s="18"/>
      <c r="J129" s="5"/>
      <c r="K129" s="5"/>
      <c r="L129" s="5"/>
      <c r="M129" s="5"/>
      <c r="N129" s="5"/>
      <c r="O129" s="5"/>
      <c r="Q129" s="5"/>
      <c r="R129" s="5"/>
      <c r="S129" s="5"/>
      <c r="T129" s="5"/>
      <c r="U129" s="5"/>
    </row>
    <row r="130" spans="2:27">
      <c r="B130" s="5"/>
      <c r="C130" s="5"/>
      <c r="D130" s="5"/>
      <c r="E130" s="5"/>
      <c r="F130" s="5"/>
      <c r="G130" s="5"/>
      <c r="H130" s="5"/>
      <c r="I130" s="5"/>
      <c r="J130" s="254"/>
      <c r="K130" s="254"/>
      <c r="L130" s="254"/>
      <c r="M130" s="254"/>
      <c r="N130" s="254"/>
      <c r="O130" s="5"/>
      <c r="Q130" s="5"/>
      <c r="R130" s="5"/>
      <c r="S130" s="5"/>
      <c r="T130" s="5"/>
      <c r="U130" s="5"/>
    </row>
    <row r="131" spans="2:27">
      <c r="B131" s="41"/>
      <c r="C131" s="254"/>
      <c r="D131" s="254"/>
      <c r="E131" s="254"/>
      <c r="F131" s="254"/>
      <c r="G131" s="254"/>
      <c r="H131" s="254"/>
      <c r="I131" s="5"/>
      <c r="J131" s="18"/>
      <c r="K131" s="18"/>
      <c r="L131" s="18"/>
      <c r="M131" s="18"/>
      <c r="N131" s="18"/>
      <c r="O131" s="5"/>
      <c r="Q131" s="5"/>
      <c r="R131" s="5"/>
      <c r="S131" s="5"/>
      <c r="T131" s="5"/>
      <c r="U131" s="5"/>
    </row>
    <row r="132" spans="2:27">
      <c r="B132" s="5"/>
      <c r="C132" s="259"/>
      <c r="D132" s="18"/>
      <c r="E132" s="18"/>
      <c r="F132" s="18"/>
      <c r="G132" s="18"/>
      <c r="H132" s="18"/>
      <c r="I132" s="17"/>
      <c r="J132" s="5"/>
      <c r="K132" s="5"/>
      <c r="L132" s="5"/>
      <c r="M132" s="5"/>
      <c r="N132" s="5"/>
      <c r="O132" s="5"/>
      <c r="Q132" s="5"/>
      <c r="R132" s="5"/>
      <c r="S132" s="5"/>
      <c r="T132" s="5"/>
      <c r="U132" s="5"/>
    </row>
    <row r="133" spans="2:27">
      <c r="B133" s="5"/>
      <c r="C133" s="5"/>
      <c r="D133" s="5"/>
      <c r="E133" s="5"/>
      <c r="F133" s="5"/>
      <c r="G133" s="5"/>
      <c r="H133" s="5"/>
      <c r="I133" s="17"/>
      <c r="J133" s="5"/>
      <c r="K133" s="5"/>
      <c r="L133" s="5"/>
      <c r="M133" s="5"/>
      <c r="N133" s="5"/>
      <c r="O133" s="5"/>
      <c r="Q133" s="5"/>
      <c r="R133" s="5"/>
      <c r="S133" s="5"/>
      <c r="T133" s="5"/>
      <c r="U133" s="5"/>
    </row>
    <row r="134" spans="2:27">
      <c r="B134" s="41"/>
      <c r="C134" s="5"/>
      <c r="D134" s="5"/>
      <c r="E134" s="5"/>
      <c r="F134" s="5"/>
      <c r="G134" s="5"/>
      <c r="H134" s="5"/>
      <c r="I134" s="17"/>
      <c r="J134" s="17"/>
      <c r="K134" s="17"/>
      <c r="L134" s="17"/>
      <c r="M134" s="17"/>
      <c r="N134" s="17"/>
      <c r="O134" s="5"/>
      <c r="Q134" s="41"/>
      <c r="R134" s="5"/>
      <c r="S134" s="5"/>
      <c r="T134" s="5"/>
      <c r="U134" s="5"/>
    </row>
    <row r="135" spans="2:27">
      <c r="B135" s="5"/>
      <c r="C135" s="17"/>
      <c r="D135" s="17"/>
      <c r="E135" s="17"/>
      <c r="F135" s="17"/>
      <c r="G135" s="17"/>
      <c r="H135" s="17"/>
      <c r="I135" s="17"/>
      <c r="J135" s="17"/>
      <c r="K135" s="17"/>
      <c r="L135" s="17"/>
      <c r="M135" s="17"/>
      <c r="N135" s="17"/>
      <c r="O135" s="5"/>
      <c r="Q135" s="5"/>
      <c r="R135" s="5"/>
      <c r="S135" s="5"/>
      <c r="T135" s="5"/>
      <c r="U135" s="5"/>
      <c r="X135" s="304"/>
    </row>
    <row r="136" spans="2:27">
      <c r="B136" s="5"/>
      <c r="C136" s="17"/>
      <c r="D136" s="17"/>
      <c r="E136" s="17"/>
      <c r="F136" s="17"/>
      <c r="G136" s="17"/>
      <c r="H136" s="17"/>
      <c r="I136" s="17"/>
      <c r="J136" s="17"/>
      <c r="K136" s="17"/>
      <c r="L136" s="17"/>
      <c r="M136" s="17"/>
      <c r="N136" s="17"/>
      <c r="O136" s="5"/>
      <c r="Q136" s="5"/>
      <c r="R136" s="5"/>
      <c r="S136" s="5"/>
      <c r="T136" s="5"/>
      <c r="U136" s="5"/>
      <c r="X136" s="10"/>
      <c r="Y136" s="304"/>
      <c r="Z136" s="304"/>
      <c r="AA136" s="304"/>
    </row>
    <row r="137" spans="2:27">
      <c r="B137" s="5"/>
      <c r="C137" s="5"/>
      <c r="D137" s="17"/>
      <c r="E137" s="17"/>
      <c r="F137" s="17"/>
      <c r="G137" s="17"/>
      <c r="H137" s="17"/>
      <c r="I137" s="17"/>
      <c r="J137" s="17"/>
      <c r="K137" s="17"/>
      <c r="L137" s="17"/>
      <c r="M137" s="17"/>
      <c r="N137" s="17"/>
      <c r="O137" s="5"/>
      <c r="Q137" s="5"/>
      <c r="R137" s="5"/>
      <c r="S137" s="5"/>
      <c r="T137" s="5"/>
      <c r="U137" s="5"/>
      <c r="Y137" s="10"/>
      <c r="Z137" s="10"/>
      <c r="AA137" s="10"/>
    </row>
    <row r="138" spans="2:27">
      <c r="B138" s="5"/>
      <c r="C138" s="5"/>
      <c r="D138" s="17"/>
      <c r="E138" s="17"/>
      <c r="F138" s="17"/>
      <c r="G138" s="17"/>
      <c r="H138" s="17"/>
      <c r="I138" s="5"/>
      <c r="J138" s="17"/>
      <c r="K138" s="17"/>
      <c r="L138" s="17"/>
      <c r="M138" s="17"/>
      <c r="N138" s="17"/>
      <c r="O138" s="5"/>
      <c r="Q138" s="5"/>
      <c r="R138" s="5"/>
      <c r="S138" s="5"/>
      <c r="T138" s="5"/>
      <c r="U138" s="5"/>
    </row>
    <row r="139" spans="2:27">
      <c r="B139" s="5"/>
      <c r="C139" s="5"/>
      <c r="D139" s="17"/>
      <c r="E139" s="17"/>
      <c r="F139" s="17"/>
      <c r="G139" s="17"/>
      <c r="H139" s="17"/>
      <c r="I139" s="5"/>
      <c r="J139" s="17"/>
      <c r="K139" s="17"/>
      <c r="L139" s="17"/>
      <c r="M139" s="17"/>
      <c r="N139" s="17"/>
      <c r="O139" s="5"/>
      <c r="Q139" s="5"/>
      <c r="R139" s="5"/>
      <c r="S139" s="5"/>
      <c r="T139" s="5"/>
      <c r="U139" s="5"/>
    </row>
    <row r="140" spans="2:27">
      <c r="B140" s="5"/>
      <c r="C140" s="17"/>
      <c r="D140" s="17"/>
      <c r="E140" s="17"/>
      <c r="F140" s="17"/>
      <c r="G140" s="17"/>
      <c r="H140" s="17"/>
      <c r="I140" s="5"/>
      <c r="J140" s="5"/>
      <c r="K140" s="5"/>
      <c r="L140" s="5"/>
      <c r="M140" s="5"/>
      <c r="N140" s="5"/>
      <c r="O140" s="5"/>
      <c r="Q140" s="5"/>
      <c r="R140" s="5"/>
      <c r="S140" s="5"/>
      <c r="T140" s="5"/>
      <c r="U140" s="5"/>
    </row>
    <row r="141" spans="2:27">
      <c r="B141" s="5"/>
      <c r="C141" s="5"/>
      <c r="D141" s="5"/>
      <c r="E141" s="5"/>
      <c r="F141" s="5"/>
      <c r="G141" s="5"/>
      <c r="H141" s="5"/>
      <c r="I141" s="5"/>
      <c r="J141" s="5"/>
      <c r="K141" s="5"/>
      <c r="L141" s="5"/>
      <c r="M141" s="5"/>
      <c r="N141" s="5"/>
      <c r="O141" s="5"/>
      <c r="Q141" s="5"/>
      <c r="R141" s="5"/>
      <c r="S141" s="5"/>
      <c r="T141" s="5"/>
      <c r="U141" s="5"/>
    </row>
    <row r="142" spans="2:27">
      <c r="B142" s="5"/>
      <c r="C142" s="5"/>
      <c r="D142" s="5"/>
      <c r="E142" s="5"/>
      <c r="F142" s="5"/>
      <c r="G142" s="5"/>
      <c r="H142" s="5"/>
      <c r="I142" s="5"/>
      <c r="J142" s="5"/>
      <c r="K142" s="5"/>
      <c r="L142" s="5"/>
      <c r="M142" s="5"/>
      <c r="N142" s="5"/>
      <c r="O142" s="5"/>
      <c r="Q142" s="5"/>
      <c r="R142" s="5"/>
      <c r="S142" s="5"/>
      <c r="T142" s="5"/>
      <c r="U142" s="5"/>
    </row>
    <row r="143" spans="2:27">
      <c r="B143" s="5"/>
      <c r="C143" s="5"/>
      <c r="D143" s="5"/>
      <c r="E143" s="5"/>
      <c r="F143" s="5"/>
      <c r="G143" s="5"/>
      <c r="H143" s="5"/>
      <c r="I143" s="5"/>
      <c r="J143" s="5"/>
      <c r="K143" s="5"/>
      <c r="L143" s="5"/>
      <c r="M143" s="5"/>
      <c r="N143" s="5"/>
      <c r="O143" s="5"/>
      <c r="Q143" s="5"/>
      <c r="R143" s="5"/>
      <c r="S143" s="5"/>
      <c r="T143" s="5"/>
      <c r="U143" s="5"/>
    </row>
    <row r="144" spans="2:27">
      <c r="B144" s="5"/>
      <c r="C144" s="5"/>
      <c r="D144" s="5"/>
      <c r="E144" s="5"/>
      <c r="F144" s="5"/>
      <c r="G144" s="5"/>
      <c r="H144" s="5"/>
      <c r="I144" s="5"/>
      <c r="J144" s="5"/>
      <c r="K144" s="5"/>
      <c r="L144" s="5"/>
      <c r="M144" s="5"/>
      <c r="N144" s="5"/>
      <c r="O144" s="5"/>
      <c r="Q144" s="5"/>
      <c r="R144" s="5"/>
      <c r="S144" s="5"/>
      <c r="T144" s="5"/>
      <c r="U144" s="5"/>
    </row>
    <row r="145" spans="2:21">
      <c r="B145" s="5"/>
      <c r="C145" s="5"/>
      <c r="D145" s="5"/>
      <c r="E145" s="5"/>
      <c r="F145" s="5"/>
      <c r="G145" s="5"/>
      <c r="H145" s="5"/>
      <c r="I145" s="5"/>
      <c r="J145" s="5"/>
      <c r="K145" s="5"/>
      <c r="L145" s="5"/>
      <c r="M145" s="5"/>
      <c r="N145" s="5"/>
      <c r="O145" s="5"/>
      <c r="Q145" s="5"/>
      <c r="R145" s="5"/>
      <c r="S145" s="5"/>
      <c r="T145" s="5"/>
      <c r="U145" s="5"/>
    </row>
    <row r="146" spans="2:21">
      <c r="B146" s="5"/>
      <c r="C146" s="5"/>
      <c r="D146" s="5"/>
      <c r="E146" s="5"/>
      <c r="F146" s="5"/>
      <c r="G146" s="5"/>
      <c r="H146" s="5"/>
      <c r="I146" s="5"/>
      <c r="J146" s="5"/>
      <c r="K146" s="5"/>
      <c r="L146" s="5"/>
      <c r="M146" s="5"/>
      <c r="N146" s="5"/>
      <c r="O146" s="5"/>
      <c r="Q146" s="5"/>
      <c r="R146" s="5"/>
      <c r="S146" s="5"/>
      <c r="T146" s="5"/>
      <c r="U146" s="5"/>
    </row>
    <row r="147" spans="2:21">
      <c r="B147" s="5"/>
      <c r="C147" s="5"/>
      <c r="D147" s="5"/>
      <c r="E147" s="5"/>
      <c r="F147" s="5"/>
      <c r="G147" s="5"/>
      <c r="H147" s="5"/>
      <c r="I147" s="5"/>
      <c r="J147" s="5"/>
      <c r="K147" s="5"/>
      <c r="L147" s="5"/>
      <c r="M147" s="5"/>
      <c r="N147" s="5"/>
      <c r="O147" s="5"/>
      <c r="Q147" s="5"/>
      <c r="R147" s="5"/>
      <c r="S147" s="5"/>
      <c r="T147" s="5"/>
      <c r="U147" s="5"/>
    </row>
    <row r="148" spans="2:21">
      <c r="B148" s="5"/>
      <c r="C148" s="5"/>
      <c r="D148" s="5"/>
      <c r="E148" s="5"/>
      <c r="F148" s="5"/>
      <c r="G148" s="5"/>
      <c r="H148" s="5"/>
      <c r="J148" s="5"/>
      <c r="K148" s="5"/>
      <c r="L148" s="5"/>
      <c r="M148" s="5"/>
      <c r="N148" s="5"/>
      <c r="O148" s="5"/>
      <c r="Q148" s="5"/>
      <c r="R148" s="5"/>
      <c r="S148" s="5"/>
      <c r="T148" s="5"/>
      <c r="U148" s="5"/>
    </row>
    <row r="149" spans="2:21">
      <c r="B149" s="5"/>
      <c r="C149" s="5"/>
      <c r="D149" s="5"/>
      <c r="E149" s="5"/>
      <c r="F149" s="5"/>
      <c r="G149" s="5"/>
      <c r="H149" s="5"/>
      <c r="J149" s="5"/>
      <c r="K149" s="5"/>
      <c r="L149" s="5"/>
      <c r="M149" s="5"/>
      <c r="N149" s="5"/>
      <c r="O149" s="5"/>
      <c r="Q149" s="5"/>
      <c r="R149" s="5"/>
      <c r="S149" s="5"/>
      <c r="T149" s="5"/>
      <c r="U149" s="5"/>
    </row>
    <row r="150" spans="2:21">
      <c r="B150" s="5"/>
      <c r="C150" s="5"/>
      <c r="D150" s="5"/>
      <c r="E150" s="5"/>
      <c r="F150" s="5"/>
      <c r="G150" s="5"/>
      <c r="H150" s="5"/>
      <c r="Q150" s="5"/>
      <c r="R150" s="5"/>
      <c r="S150" s="5"/>
      <c r="T150" s="5"/>
      <c r="U150" s="5"/>
    </row>
    <row r="151" spans="2:21">
      <c r="Q151" s="5"/>
      <c r="R151" s="5"/>
      <c r="S151" s="5"/>
      <c r="T151" s="5"/>
      <c r="U151" s="5"/>
    </row>
    <row r="152" spans="2:21">
      <c r="Q152" s="5"/>
      <c r="R152" s="5"/>
      <c r="S152" s="5"/>
      <c r="T152" s="5"/>
      <c r="U152" s="5"/>
    </row>
    <row r="153" spans="2:21">
      <c r="C153" s="263"/>
      <c r="Q153" s="5"/>
      <c r="R153" s="5"/>
      <c r="S153" s="5"/>
      <c r="T153" s="5"/>
      <c r="U153" s="5"/>
    </row>
    <row r="154" spans="2:21">
      <c r="Q154" s="5"/>
      <c r="R154" s="5"/>
      <c r="S154" s="5"/>
      <c r="T154" s="5"/>
      <c r="U154" s="5"/>
    </row>
    <row r="155" spans="2:21">
      <c r="Q155" s="5"/>
      <c r="R155" s="5"/>
      <c r="S155" s="5"/>
      <c r="T155" s="5"/>
      <c r="U155" s="5"/>
    </row>
    <row r="156" spans="2:21">
      <c r="Q156" s="5"/>
      <c r="R156" s="5"/>
      <c r="S156" s="5"/>
      <c r="T156" s="5"/>
      <c r="U156" s="5"/>
    </row>
    <row r="157" spans="2:21">
      <c r="Q157" s="5"/>
      <c r="R157" s="5"/>
      <c r="S157" s="5"/>
      <c r="T157" s="5"/>
      <c r="U157" s="5"/>
    </row>
    <row r="158" spans="2:21">
      <c r="Q158" s="5"/>
      <c r="R158" s="5"/>
      <c r="S158" s="5"/>
      <c r="T158" s="5"/>
      <c r="U158" s="5"/>
    </row>
    <row r="159" spans="2:21">
      <c r="Q159" s="5"/>
      <c r="R159" s="5"/>
      <c r="S159" s="5"/>
      <c r="T159" s="5"/>
      <c r="U159" s="5"/>
    </row>
    <row r="160" spans="2:21">
      <c r="Q160" s="5"/>
      <c r="R160" s="5"/>
      <c r="S160" s="5"/>
      <c r="T160" s="5"/>
      <c r="U160" s="5"/>
    </row>
    <row r="161" spans="17:21">
      <c r="Q161" s="5"/>
      <c r="R161" s="5"/>
      <c r="S161" s="5"/>
      <c r="T161" s="5"/>
      <c r="U161" s="5"/>
    </row>
    <row r="162" spans="17:21">
      <c r="Q162" s="5"/>
      <c r="R162" s="5"/>
      <c r="S162" s="5"/>
      <c r="T162" s="5"/>
      <c r="U162" s="5"/>
    </row>
    <row r="163" spans="17:21">
      <c r="Q163" s="5"/>
      <c r="R163" s="5"/>
      <c r="S163" s="5"/>
      <c r="T163" s="5"/>
      <c r="U163" s="5"/>
    </row>
    <row r="164" spans="17:21">
      <c r="Q164" s="5"/>
      <c r="R164" s="5"/>
      <c r="S164" s="5"/>
      <c r="T164" s="5"/>
      <c r="U164" s="5"/>
    </row>
  </sheetData>
  <phoneticPr fontId="7" type="noConversion"/>
  <pageMargins left="0.75" right="0.75" top="1" bottom="1" header="0.5" footer="0.5"/>
  <pageSetup scale="70" orientation="landscape"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60">
    <pageSetUpPr fitToPage="1"/>
  </sheetPr>
  <dimension ref="B1:AA165"/>
  <sheetViews>
    <sheetView showGridLines="0" zoomScale="80" zoomScaleNormal="80" zoomScaleSheetLayoutView="80" workbookViewId="0"/>
  </sheetViews>
  <sheetFormatPr defaultColWidth="9.109375" defaultRowHeight="12"/>
  <cols>
    <col min="1" max="1" width="2.33203125" style="39" customWidth="1"/>
    <col min="2" max="2" width="26.5546875" style="39" customWidth="1"/>
    <col min="3" max="9" width="10" style="39" customWidth="1"/>
    <col min="10" max="10" width="26.6640625" style="39" customWidth="1"/>
    <col min="11" max="16" width="10" style="39" customWidth="1"/>
    <col min="17" max="19" width="8.6640625" style="39" customWidth="1"/>
    <col min="20" max="27" width="8.6640625" style="5" customWidth="1"/>
    <col min="28" max="28" width="8.6640625" style="39" customWidth="1"/>
    <col min="29" max="16384" width="9.109375" style="39"/>
  </cols>
  <sheetData>
    <row r="1" spans="2:27" s="312" customFormat="1">
      <c r="T1" s="149"/>
      <c r="U1" s="149"/>
      <c r="V1" s="149"/>
      <c r="W1" s="149"/>
      <c r="X1" s="149"/>
      <c r="Y1" s="149"/>
      <c r="Z1" s="149"/>
      <c r="AA1" s="149"/>
    </row>
    <row r="2" spans="2:27" s="149" customFormat="1"/>
    <row r="3" spans="2:27" s="149" customFormat="1">
      <c r="H3" s="153"/>
      <c r="P3" s="153"/>
    </row>
    <row r="4" spans="2:27" s="156" customFormat="1" ht="21">
      <c r="B4" s="129" t="s">
        <v>690</v>
      </c>
      <c r="H4" s="222"/>
      <c r="P4" s="222"/>
    </row>
    <row r="5" spans="2:27" s="149" customFormat="1">
      <c r="C5" s="153"/>
      <c r="D5" s="153" t="str" cm="1">
        <f t="array" ref="D5:H5">headings</f>
        <v>2023E</v>
      </c>
      <c r="E5" s="153" t="str">
        <v>2024E</v>
      </c>
      <c r="F5" s="153" t="str">
        <v>2025E</v>
      </c>
      <c r="G5" s="153" t="str">
        <v>2026E</v>
      </c>
      <c r="H5" s="153" t="str">
        <v>23E-26E</v>
      </c>
      <c r="I5" s="153"/>
      <c r="J5" s="153"/>
      <c r="K5" s="153"/>
      <c r="L5" s="153" t="str" cm="1">
        <f t="array" ref="L5:P5">headings</f>
        <v>2023E</v>
      </c>
      <c r="M5" s="153" t="str">
        <v>2024E</v>
      </c>
      <c r="N5" s="153" t="str">
        <v>2025E</v>
      </c>
      <c r="O5" s="153" t="str">
        <v>2026E</v>
      </c>
      <c r="P5" s="153" t="str">
        <v>23E-26E</v>
      </c>
      <c r="Q5" s="162"/>
      <c r="R5" s="162"/>
      <c r="S5" s="162"/>
      <c r="T5" s="162"/>
      <c r="U5" s="162"/>
      <c r="V5" s="162"/>
      <c r="W5" s="162"/>
      <c r="X5" s="162"/>
      <c r="Y5" s="162"/>
    </row>
    <row r="6" spans="2:27">
      <c r="I6" s="5"/>
      <c r="J6" s="5"/>
      <c r="K6" s="5"/>
      <c r="L6" s="5"/>
      <c r="M6" s="5"/>
      <c r="N6" s="5"/>
      <c r="O6" s="49"/>
    </row>
    <row r="7" spans="2:27" ht="12.6" thickBot="1">
      <c r="B7" s="306" t="s">
        <v>271</v>
      </c>
      <c r="C7" s="265"/>
      <c r="D7" s="265" t="str">
        <f>D5</f>
        <v>2023E</v>
      </c>
      <c r="E7" s="265" t="str">
        <f t="shared" ref="E7:H7" si="0">E5</f>
        <v>2024E</v>
      </c>
      <c r="F7" s="265" t="str">
        <f t="shared" si="0"/>
        <v>2025E</v>
      </c>
      <c r="G7" s="265" t="str">
        <f t="shared" si="0"/>
        <v>2026E</v>
      </c>
      <c r="H7" s="265" t="str">
        <f t="shared" si="0"/>
        <v>23E-26E</v>
      </c>
      <c r="I7" s="49"/>
      <c r="J7" s="306" t="s">
        <v>702</v>
      </c>
      <c r="K7" s="306"/>
      <c r="L7" s="265" t="str">
        <f>L5</f>
        <v>2023E</v>
      </c>
      <c r="M7" s="265" t="str">
        <f t="shared" ref="M7:P7" si="1">M5</f>
        <v>2024E</v>
      </c>
      <c r="N7" s="265" t="str">
        <f t="shared" si="1"/>
        <v>2025E</v>
      </c>
      <c r="O7" s="265" t="str">
        <f t="shared" si="1"/>
        <v>2026E</v>
      </c>
      <c r="P7" s="265" t="str">
        <f t="shared" si="1"/>
        <v>23E-26E</v>
      </c>
    </row>
    <row r="8" spans="2:27" ht="12.6" thickTop="1">
      <c r="I8" s="5"/>
      <c r="J8" s="5"/>
      <c r="K8" s="5"/>
      <c r="L8" s="5"/>
      <c r="M8" s="5"/>
      <c r="N8" s="5"/>
      <c r="S8" s="88"/>
      <c r="T8" s="42"/>
      <c r="U8" s="42"/>
      <c r="V8" s="42"/>
      <c r="W8" s="42"/>
      <c r="X8" s="42"/>
      <c r="Y8" s="42"/>
      <c r="Z8" s="42"/>
      <c r="AA8" s="42"/>
    </row>
    <row r="9" spans="2:27">
      <c r="B9" s="41" t="s">
        <v>15</v>
      </c>
      <c r="C9" s="287">
        <f>Prices!C51</f>
        <v>185.93</v>
      </c>
      <c r="D9" s="535">
        <v>0</v>
      </c>
      <c r="E9" s="536">
        <v>0</v>
      </c>
      <c r="F9" s="536">
        <v>0</v>
      </c>
      <c r="G9" s="536">
        <v>0</v>
      </c>
      <c r="H9" s="249"/>
      <c r="I9" s="249"/>
      <c r="J9" s="5" t="s">
        <v>273</v>
      </c>
      <c r="L9" s="529">
        <f>'US TOWERS'!D37</f>
        <v>10.049628801880935</v>
      </c>
      <c r="M9" s="529">
        <f>'US TOWERS'!E37</f>
        <v>9.7351031194405895</v>
      </c>
      <c r="N9" s="529">
        <f>'US TOWERS'!F37</f>
        <v>9.1333592657890534</v>
      </c>
      <c r="O9" s="529">
        <f>'US TOWERS'!G37</f>
        <v>8.5692328791541694</v>
      </c>
      <c r="P9" s="279">
        <f>'US TOWERS'!H37</f>
        <v>2.6157777948455641E-2</v>
      </c>
      <c r="S9" s="88"/>
      <c r="T9" s="42"/>
      <c r="U9" s="42"/>
      <c r="V9" s="42"/>
      <c r="W9" s="42"/>
      <c r="X9" s="42"/>
      <c r="Y9" s="42"/>
      <c r="Z9" s="42"/>
      <c r="AA9" s="42"/>
    </row>
    <row r="10" spans="2:27">
      <c r="B10" s="5" t="s">
        <v>274</v>
      </c>
      <c r="C10" s="5"/>
      <c r="D10" s="531">
        <v>467.22100860405419</v>
      </c>
      <c r="E10" s="531">
        <v>462.18916625173574</v>
      </c>
      <c r="F10" s="531">
        <v>447.80168189138033</v>
      </c>
      <c r="G10" s="531">
        <v>432.87012569438713</v>
      </c>
      <c r="H10" s="247"/>
      <c r="I10" s="247"/>
      <c r="J10" s="5" t="s">
        <v>184</v>
      </c>
      <c r="L10" s="529">
        <f>'US TOWERS'!D38</f>
        <v>15.736689477497261</v>
      </c>
      <c r="M10" s="529">
        <f>'US TOWERS'!E38</f>
        <v>15.269044129286291</v>
      </c>
      <c r="N10" s="529">
        <f>'US TOWERS'!F38</f>
        <v>14.30460796962047</v>
      </c>
      <c r="O10" s="529">
        <f>'US TOWERS'!G38</f>
        <v>13.247105771845881</v>
      </c>
      <c r="P10" s="279">
        <f>'US TOWERS'!H38</f>
        <v>3.0565437622663838E-2</v>
      </c>
      <c r="S10" s="88"/>
      <c r="T10" s="42"/>
      <c r="U10" s="42"/>
      <c r="V10" s="42"/>
      <c r="W10" s="288"/>
      <c r="X10" s="288"/>
      <c r="Y10" s="288"/>
      <c r="Z10" s="288"/>
      <c r="AA10" s="42"/>
    </row>
    <row r="11" spans="2:27">
      <c r="B11" s="41" t="s">
        <v>442</v>
      </c>
      <c r="C11" s="5"/>
      <c r="D11" s="532">
        <f>$C$9*D10</f>
        <v>86870.402129751805</v>
      </c>
      <c r="E11" s="532">
        <f>$C$9*E10</f>
        <v>85934.831681185227</v>
      </c>
      <c r="F11" s="532">
        <f>$C$9*F10</f>
        <v>83259.766714064346</v>
      </c>
      <c r="G11" s="532">
        <f>$C$9*G10</f>
        <v>80483.542470357395</v>
      </c>
      <c r="H11" s="249"/>
      <c r="I11" s="249"/>
      <c r="J11" s="5" t="s">
        <v>185</v>
      </c>
      <c r="L11" s="529">
        <f>'US TOWERS'!D39</f>
        <v>21.482219098117994</v>
      </c>
      <c r="M11" s="529">
        <f>'US TOWERS'!E39</f>
        <v>20.224913419292644</v>
      </c>
      <c r="N11" s="529">
        <f>'US TOWERS'!F39</f>
        <v>18.695415999878062</v>
      </c>
      <c r="O11" s="529">
        <f>'US TOWERS'!G39</f>
        <v>17.033255039378986</v>
      </c>
      <c r="P11" s="279">
        <f>'US TOWERS'!H39</f>
        <v>5.1328926157078847E-2</v>
      </c>
      <c r="S11" s="88"/>
      <c r="T11" s="42"/>
      <c r="U11" s="42"/>
      <c r="V11" s="42"/>
      <c r="W11" s="288"/>
      <c r="X11" s="288"/>
      <c r="Y11" s="288"/>
      <c r="Z11" s="288"/>
      <c r="AA11" s="42"/>
    </row>
    <row r="12" spans="2:27">
      <c r="B12" s="5" t="s">
        <v>24</v>
      </c>
      <c r="C12" s="249"/>
      <c r="D12" s="533">
        <v>35544.442816079427</v>
      </c>
      <c r="E12" s="533">
        <v>36531.874135841863</v>
      </c>
      <c r="F12" s="533">
        <v>37106.148771359731</v>
      </c>
      <c r="G12" s="533">
        <v>38111.907882310981</v>
      </c>
      <c r="H12" s="247"/>
      <c r="I12" s="247"/>
      <c r="J12" s="5" t="s">
        <v>466</v>
      </c>
      <c r="L12" s="529">
        <f>'US TOWERS'!D40</f>
        <v>23.869132331242216</v>
      </c>
      <c r="M12" s="529">
        <f>'US TOWERS'!E40</f>
        <v>22.472126021436274</v>
      </c>
      <c r="N12" s="529">
        <f>'US TOWERS'!F40</f>
        <v>20.772684444308958</v>
      </c>
      <c r="O12" s="529">
        <f>'US TOWERS'!G40</f>
        <v>18.92583893264332</v>
      </c>
      <c r="P12" s="279">
        <f>'US TOWERS'!H40</f>
        <v>5.1328926157078847E-2</v>
      </c>
      <c r="S12" s="88"/>
      <c r="T12" s="42"/>
      <c r="U12" s="42"/>
      <c r="V12" s="42"/>
      <c r="W12" s="288"/>
      <c r="X12" s="288"/>
      <c r="Y12" s="288"/>
      <c r="Z12" s="288"/>
      <c r="AA12" s="42"/>
    </row>
    <row r="13" spans="2:27">
      <c r="B13" s="5" t="s">
        <v>529</v>
      </c>
      <c r="C13" s="257"/>
      <c r="D13" s="533">
        <v>0</v>
      </c>
      <c r="E13" s="533">
        <v>0</v>
      </c>
      <c r="F13" s="533">
        <v>0</v>
      </c>
      <c r="G13" s="533">
        <v>0</v>
      </c>
      <c r="H13" s="247"/>
      <c r="I13" s="247"/>
      <c r="J13" s="5" t="s">
        <v>530</v>
      </c>
      <c r="L13" s="529">
        <f>'US TOWERS'!D41</f>
        <v>2.6552669895509275</v>
      </c>
      <c r="M13" s="529">
        <f>'US TOWERS'!E41</f>
        <v>3.0390215885874743</v>
      </c>
      <c r="N13" s="529">
        <f>'US TOWERS'!F41</f>
        <v>3.3873618764573186</v>
      </c>
      <c r="O13" s="529">
        <f>'US TOWERS'!G41</f>
        <v>3.856768018445595</v>
      </c>
      <c r="P13" s="279">
        <f>'US TOWERS'!H41</f>
        <v>-0.14077611221633957</v>
      </c>
      <c r="S13" s="88"/>
      <c r="T13" s="42"/>
      <c r="U13" s="42"/>
      <c r="V13" s="42"/>
      <c r="W13" s="42"/>
      <c r="X13" s="42"/>
      <c r="Y13" s="42"/>
      <c r="Z13" s="42"/>
      <c r="AA13" s="42"/>
    </row>
    <row r="14" spans="2:27">
      <c r="B14" s="5" t="s">
        <v>532</v>
      </c>
      <c r="C14" s="257"/>
      <c r="D14" s="533">
        <v>0</v>
      </c>
      <c r="E14" s="533">
        <v>0</v>
      </c>
      <c r="F14" s="533">
        <v>0</v>
      </c>
      <c r="G14" s="533">
        <v>0</v>
      </c>
      <c r="H14" s="247"/>
      <c r="I14" s="247"/>
      <c r="J14" s="5" t="s">
        <v>593</v>
      </c>
      <c r="L14" s="529">
        <f>'US TOWERS'!D42</f>
        <v>5.629030544483359</v>
      </c>
      <c r="M14" s="529">
        <f>'US TOWERS'!E42</f>
        <v>5.7413499241655757</v>
      </c>
      <c r="N14" s="529">
        <f>'US TOWERS'!F42</f>
        <v>5.6898129286182373</v>
      </c>
      <c r="O14" s="529">
        <f>'US TOWERS'!G42</f>
        <v>5.954156438061303</v>
      </c>
      <c r="P14" s="279">
        <f>'US TOWERS'!H42</f>
        <v>-4.4972440556020565E-2</v>
      </c>
      <c r="S14" s="88"/>
      <c r="T14" s="42"/>
      <c r="U14" s="42"/>
      <c r="V14" s="42"/>
      <c r="W14" s="42"/>
      <c r="X14" s="42"/>
      <c r="Y14" s="42"/>
      <c r="Z14" s="42"/>
      <c r="AA14" s="42"/>
    </row>
    <row r="15" spans="2:27">
      <c r="B15" s="5" t="s">
        <v>531</v>
      </c>
      <c r="C15" s="274"/>
      <c r="D15" s="533">
        <v>0</v>
      </c>
      <c r="E15" s="533">
        <v>0</v>
      </c>
      <c r="F15" s="533">
        <v>0</v>
      </c>
      <c r="G15" s="533">
        <v>0</v>
      </c>
      <c r="H15" s="247"/>
      <c r="I15" s="247"/>
      <c r="J15" s="5" t="s">
        <v>475</v>
      </c>
      <c r="L15" s="529">
        <f>'US TOWERS'!D43</f>
        <v>21.563312134699952</v>
      </c>
      <c r="M15" s="529">
        <f>'US TOWERS'!E43</f>
        <v>20.238721964226091</v>
      </c>
      <c r="N15" s="529">
        <f>'US TOWERS'!F43</f>
        <v>19.113054405118561</v>
      </c>
      <c r="O15" s="529">
        <f>'US TOWERS'!G43</f>
        <v>17.187842414839761</v>
      </c>
      <c r="P15" s="279">
        <f>'US TOWERS'!H43</f>
        <v>6.3471221095444452E-2</v>
      </c>
      <c r="S15" s="88"/>
      <c r="T15" s="42"/>
      <c r="U15" s="42"/>
      <c r="V15" s="42"/>
      <c r="W15" s="42"/>
      <c r="X15" s="42"/>
      <c r="Y15" s="42"/>
      <c r="Z15" s="42"/>
      <c r="AA15" s="42"/>
    </row>
    <row r="16" spans="2:27">
      <c r="B16" s="5" t="s">
        <v>534</v>
      </c>
      <c r="C16" s="257"/>
      <c r="D16" s="533">
        <v>4730.3068199999998</v>
      </c>
      <c r="E16" s="533">
        <v>7305.1036806639331</v>
      </c>
      <c r="F16" s="533">
        <v>13720.690029510806</v>
      </c>
      <c r="G16" s="533">
        <v>8324.2926971378893</v>
      </c>
      <c r="H16" s="247"/>
      <c r="I16" s="247"/>
      <c r="J16" s="5" t="s">
        <v>533</v>
      </c>
      <c r="L16" s="529">
        <f>'US TOWERS'!D44</f>
        <v>29.749179976206118</v>
      </c>
      <c r="M16" s="529">
        <f>'US TOWERS'!E44</f>
        <v>27.588612434162371</v>
      </c>
      <c r="N16" s="529">
        <f>'US TOWERS'!F44</f>
        <v>25.011802504439171</v>
      </c>
      <c r="O16" s="529">
        <f>'US TOWERS'!G44</f>
        <v>21.118696321382231</v>
      </c>
      <c r="P16" s="279">
        <f>'US TOWERS'!H44</f>
        <v>0.1053428450222762</v>
      </c>
      <c r="S16" s="88"/>
      <c r="T16" s="42"/>
      <c r="U16" s="42"/>
      <c r="V16" s="42"/>
      <c r="W16" s="42"/>
      <c r="X16" s="42"/>
      <c r="Y16" s="42"/>
      <c r="Z16" s="42"/>
      <c r="AA16" s="42"/>
    </row>
    <row r="17" spans="2:27">
      <c r="B17" s="5" t="s">
        <v>6</v>
      </c>
      <c r="C17" s="257"/>
      <c r="D17" s="533">
        <v>0</v>
      </c>
      <c r="E17" s="533">
        <v>0</v>
      </c>
      <c r="F17" s="533">
        <v>0</v>
      </c>
      <c r="G17" s="533">
        <v>0</v>
      </c>
      <c r="H17" s="247"/>
      <c r="I17" s="247"/>
      <c r="J17" s="5" t="s">
        <v>580</v>
      </c>
      <c r="L17" s="529">
        <f>'US TOWERS'!D45</f>
        <v>3.9356420501378997E-2</v>
      </c>
      <c r="M17" s="529">
        <f>'US TOWERS'!E45</f>
        <v>5.6640235372662065E-2</v>
      </c>
      <c r="N17" s="529">
        <f>'US TOWERS'!F45</f>
        <v>6.0987888738166893E-2</v>
      </c>
      <c r="O17" s="529">
        <f>'US TOWERS'!G45</f>
        <v>6.5010714903985786E-2</v>
      </c>
      <c r="P17" s="279">
        <f>'US TOWERS'!H45</f>
        <v>0.16560344677482641</v>
      </c>
      <c r="S17" s="88"/>
      <c r="T17" s="42"/>
      <c r="U17" s="42"/>
      <c r="V17" s="42"/>
      <c r="W17" s="42"/>
      <c r="X17" s="42"/>
      <c r="Y17" s="42"/>
      <c r="Z17" s="42"/>
      <c r="AA17" s="42"/>
    </row>
    <row r="18" spans="2:27" ht="12.6" thickBot="1">
      <c r="B18" s="41" t="s">
        <v>518</v>
      </c>
      <c r="C18" s="249"/>
      <c r="D18" s="534">
        <f>D11+D12+D13-D14+D15-D16-D17</f>
        <v>117684.53812583123</v>
      </c>
      <c r="E18" s="534">
        <f>E11+E12+E13-E14+E15-E16-E17</f>
        <v>115161.60213636316</v>
      </c>
      <c r="F18" s="534">
        <f>F11+F12+F13-F14+F15-F16-F17</f>
        <v>106645.22545591327</v>
      </c>
      <c r="G18" s="534">
        <f>G11+G12+G13-G14+G15-G16-G17</f>
        <v>110271.15765553049</v>
      </c>
      <c r="H18" s="276">
        <f>IF(D18=0,"nm",IF(G18=0,"nm",(G18/D18)^(1/3)-1))</f>
        <v>-2.1454909777525399E-2</v>
      </c>
      <c r="I18" s="254"/>
      <c r="J18" s="5" t="s">
        <v>36</v>
      </c>
      <c r="L18" s="529">
        <f>'US TOWERS'!D46</f>
        <v>3.5028279468803276E-2</v>
      </c>
      <c r="M18" s="529">
        <f>'US TOWERS'!E46</f>
        <v>0.10623594315908216</v>
      </c>
      <c r="N18" s="529">
        <f>'US TOWERS'!F46</f>
        <v>0.1048156411226375</v>
      </c>
      <c r="O18" s="529">
        <f>'US TOWERS'!G46</f>
        <v>0.11958787568615957</v>
      </c>
      <c r="P18" s="279">
        <f>'US TOWERS'!H46</f>
        <v>0.48474027103495088</v>
      </c>
      <c r="S18" s="88"/>
      <c r="T18" s="42"/>
      <c r="U18" s="42"/>
      <c r="V18" s="42"/>
      <c r="W18" s="42"/>
      <c r="X18" s="42"/>
      <c r="Y18" s="42"/>
      <c r="Z18" s="42"/>
      <c r="AA18" s="42"/>
    </row>
    <row r="19" spans="2:27" ht="12.6" thickTop="1">
      <c r="B19" s="41"/>
      <c r="C19" s="249"/>
      <c r="D19" s="229"/>
      <c r="E19" s="229"/>
      <c r="F19" s="229"/>
      <c r="G19" s="229"/>
      <c r="H19" s="276"/>
      <c r="I19" s="254"/>
      <c r="J19" s="5" t="s">
        <v>581</v>
      </c>
      <c r="L19" s="529">
        <f>'US TOWERS'!D47</f>
        <v>4.637506491364967E-2</v>
      </c>
      <c r="M19" s="529">
        <f>'US TOWERS'!E47</f>
        <v>4.9410234587322126E-2</v>
      </c>
      <c r="N19" s="529">
        <f>'US TOWERS'!F47</f>
        <v>5.2320261262490605E-2</v>
      </c>
      <c r="O19" s="529">
        <f>'US TOWERS'!G47</f>
        <v>5.8180659088229301E-2</v>
      </c>
      <c r="P19" s="279">
        <f>'US TOWERS'!H47</f>
        <v>6.3471221095444452E-2</v>
      </c>
      <c r="S19" s="88"/>
      <c r="T19" s="42"/>
      <c r="U19" s="42"/>
      <c r="V19" s="42"/>
      <c r="W19" s="42"/>
      <c r="X19" s="42"/>
      <c r="Y19" s="42"/>
      <c r="Z19" s="42"/>
      <c r="AA19" s="42"/>
    </row>
    <row r="20" spans="2:27">
      <c r="H20" s="277"/>
      <c r="I20" s="17"/>
      <c r="J20" s="5" t="s">
        <v>604</v>
      </c>
      <c r="L20" s="552">
        <f>'US TOWERS'!D48</f>
        <v>0.84865477977573978</v>
      </c>
      <c r="M20" s="552">
        <f>'US TOWERS'!E48</f>
        <v>1.1463259756956312</v>
      </c>
      <c r="N20" s="552">
        <f>'US TOWERS'!F48</f>
        <v>1.1656648355059014</v>
      </c>
      <c r="O20" s="552">
        <f>'US TOWERS'!G48</f>
        <v>1.1173939230457823</v>
      </c>
      <c r="P20" s="279" t="str">
        <f>'US TOWERS'!H48</f>
        <v>nm</v>
      </c>
      <c r="S20" s="88"/>
      <c r="T20" s="42"/>
      <c r="U20" s="42"/>
      <c r="V20" s="42"/>
      <c r="W20" s="42"/>
      <c r="X20" s="42"/>
      <c r="Y20" s="42"/>
      <c r="Z20" s="42"/>
      <c r="AA20" s="42"/>
    </row>
    <row r="21" spans="2:27" ht="12.6" thickBot="1">
      <c r="B21" s="306" t="s">
        <v>924</v>
      </c>
      <c r="C21" s="265"/>
      <c r="D21" s="265" t="str">
        <f>D5</f>
        <v>2023E</v>
      </c>
      <c r="E21" s="265" t="str">
        <f t="shared" ref="E21:H21" si="2">E5</f>
        <v>2024E</v>
      </c>
      <c r="F21" s="265" t="str">
        <f t="shared" si="2"/>
        <v>2025E</v>
      </c>
      <c r="G21" s="265" t="str">
        <f t="shared" si="2"/>
        <v>2026E</v>
      </c>
      <c r="H21" s="265" t="str">
        <f t="shared" si="2"/>
        <v>23E-26E</v>
      </c>
      <c r="I21" s="49"/>
      <c r="J21" s="41"/>
      <c r="L21" s="250"/>
      <c r="M21" s="250"/>
      <c r="N21" s="250"/>
      <c r="O21" s="250"/>
      <c r="P21" s="279"/>
      <c r="S21" s="88"/>
      <c r="T21" s="42"/>
      <c r="U21" s="42"/>
      <c r="V21" s="42"/>
      <c r="W21" s="42"/>
      <c r="X21" s="42"/>
      <c r="Y21" s="42"/>
      <c r="Z21" s="42"/>
      <c r="AA21" s="42"/>
    </row>
    <row r="22" spans="2:27" ht="12.6" thickTop="1">
      <c r="B22" s="5"/>
      <c r="C22" s="257"/>
      <c r="D22" s="17"/>
      <c r="E22" s="17"/>
      <c r="F22" s="17"/>
      <c r="G22" s="17"/>
      <c r="H22" s="17"/>
      <c r="I22" s="17"/>
      <c r="P22" s="277"/>
      <c r="S22" s="88"/>
      <c r="T22" s="42"/>
      <c r="U22" s="42"/>
      <c r="V22" s="42"/>
      <c r="W22" s="42"/>
      <c r="X22" s="42"/>
      <c r="Y22" s="42"/>
      <c r="Z22" s="42"/>
      <c r="AA22" s="42"/>
    </row>
    <row r="23" spans="2:27" ht="12.6" thickBot="1">
      <c r="B23" s="5" t="s">
        <v>584</v>
      </c>
      <c r="C23" s="548">
        <v>10711.1</v>
      </c>
      <c r="D23" s="533">
        <v>11093.098824516857</v>
      </c>
      <c r="E23" s="533">
        <v>11420.127918543996</v>
      </c>
      <c r="F23" s="533">
        <v>11783.792532816567</v>
      </c>
      <c r="G23" s="533">
        <v>12261.365143481213</v>
      </c>
      <c r="H23" s="279">
        <f t="shared" ref="H23:H33" si="3">IF(D23=0,"nm",IF(G23=0,"nm",(G23/D23)^(1/3)-1))</f>
        <v>3.3939946332114612E-2</v>
      </c>
      <c r="I23" s="305"/>
      <c r="J23" s="306" t="s">
        <v>9</v>
      </c>
      <c r="K23" s="306"/>
      <c r="L23" s="265" t="str">
        <f>D21</f>
        <v>2023E</v>
      </c>
      <c r="M23" s="265" t="str">
        <f t="shared" ref="M23:P23" si="4">E21</f>
        <v>2024E</v>
      </c>
      <c r="N23" s="265" t="str">
        <f t="shared" si="4"/>
        <v>2025E</v>
      </c>
      <c r="O23" s="265" t="str">
        <f t="shared" si="4"/>
        <v>2026E</v>
      </c>
      <c r="P23" s="265" t="str">
        <f t="shared" si="4"/>
        <v>23E-26E</v>
      </c>
      <c r="S23" s="88"/>
      <c r="T23" s="42"/>
      <c r="U23" s="42"/>
      <c r="V23" s="42"/>
      <c r="W23" s="42"/>
      <c r="X23" s="42"/>
      <c r="Y23" s="42"/>
      <c r="Z23" s="42"/>
      <c r="AA23" s="42"/>
    </row>
    <row r="24" spans="2:27" ht="12.6" thickTop="1">
      <c r="B24" s="5" t="s">
        <v>483</v>
      </c>
      <c r="C24" s="549">
        <v>6644.3</v>
      </c>
      <c r="D24" s="533">
        <v>7068.4746478470306</v>
      </c>
      <c r="E24" s="533">
        <v>7306.3748271683726</v>
      </c>
      <c r="F24" s="533">
        <v>7572.6834227264744</v>
      </c>
      <c r="G24" s="533">
        <v>7939.9808088147884</v>
      </c>
      <c r="H24" s="279">
        <f t="shared" si="3"/>
        <v>3.9516170103460091E-2</v>
      </c>
      <c r="I24" s="249"/>
      <c r="J24" s="17"/>
      <c r="K24" s="17"/>
      <c r="L24" s="17"/>
      <c r="M24" s="17"/>
      <c r="N24" s="17"/>
      <c r="O24" s="248"/>
      <c r="S24" s="88"/>
      <c r="T24" s="42"/>
      <c r="U24" s="42"/>
      <c r="V24" s="42"/>
      <c r="W24" s="42" t="s">
        <v>703</v>
      </c>
      <c r="X24" s="42" t="s">
        <v>704</v>
      </c>
      <c r="Y24" s="42"/>
      <c r="Z24" s="42"/>
      <c r="AA24" s="42"/>
    </row>
    <row r="25" spans="2:27">
      <c r="B25" s="5" t="s">
        <v>183</v>
      </c>
      <c r="C25" s="548">
        <v>4770.7000000000007</v>
      </c>
      <c r="D25" s="533">
        <v>5395.0237129354937</v>
      </c>
      <c r="E25" s="533">
        <v>5841.1319971712146</v>
      </c>
      <c r="F25" s="533">
        <v>6148.8451715914089</v>
      </c>
      <c r="G25" s="533">
        <v>6551.2039046721466</v>
      </c>
      <c r="H25" s="279">
        <f t="shared" si="3"/>
        <v>6.6864472571608546E-2</v>
      </c>
      <c r="I25" s="248"/>
      <c r="J25" s="247" t="s">
        <v>10</v>
      </c>
      <c r="K25" s="247"/>
      <c r="L25" s="321">
        <v>0</v>
      </c>
      <c r="M25" s="321">
        <v>0</v>
      </c>
      <c r="N25" s="321">
        <v>0</v>
      </c>
      <c r="O25" s="321">
        <v>0</v>
      </c>
      <c r="P25" s="279" t="str">
        <f>IF(L25=0,"nm",IF(O25=0,"nm",(O25/L25)^(1/3)-1))</f>
        <v>nm</v>
      </c>
      <c r="S25" s="88"/>
      <c r="T25" s="42"/>
      <c r="U25" s="42"/>
      <c r="V25" s="147" t="s">
        <v>273</v>
      </c>
      <c r="W25" s="288">
        <f t="shared" ref="W25:W33" si="5">D37/L9</f>
        <v>1.0556416200072014</v>
      </c>
      <c r="X25" s="288">
        <v>1</v>
      </c>
      <c r="Y25" s="42"/>
      <c r="Z25" s="42"/>
      <c r="AA25" s="42"/>
    </row>
    <row r="26" spans="2:27">
      <c r="B26" s="5" t="s">
        <v>586</v>
      </c>
      <c r="C26" s="548">
        <v>4293.630000000001</v>
      </c>
      <c r="D26" s="533">
        <v>4855.5213416419447</v>
      </c>
      <c r="E26" s="533">
        <v>5257.0187974540931</v>
      </c>
      <c r="F26" s="533">
        <v>5533.9606544322678</v>
      </c>
      <c r="G26" s="533">
        <v>5896.0835142049318</v>
      </c>
      <c r="H26" s="279">
        <f t="shared" si="3"/>
        <v>6.6864472571608324E-2</v>
      </c>
      <c r="I26" s="249"/>
      <c r="J26" s="249" t="s">
        <v>11</v>
      </c>
      <c r="K26" s="249"/>
      <c r="L26" s="281">
        <f>D11+L25</f>
        <v>86870.402129751805</v>
      </c>
      <c r="M26" s="281">
        <f>E11+M25</f>
        <v>85934.831681185227</v>
      </c>
      <c r="N26" s="281">
        <f>F11+N25</f>
        <v>83259.766714064346</v>
      </c>
      <c r="O26" s="281">
        <f>G11+O25</f>
        <v>80483.542470357395</v>
      </c>
      <c r="P26" s="279">
        <f>IF(L26=0,"nm",IF(O26=0,"nm",(O26/L26)^(1/3)-1))</f>
        <v>-2.5133640994801643E-2</v>
      </c>
      <c r="Q26" s="5"/>
      <c r="S26" s="88"/>
      <c r="T26" s="42"/>
      <c r="U26" s="42"/>
      <c r="V26" s="147" t="s">
        <v>184</v>
      </c>
      <c r="W26" s="288">
        <f t="shared" si="5"/>
        <v>1.0579869901526884</v>
      </c>
      <c r="X26" s="288">
        <v>1</v>
      </c>
      <c r="Y26" s="42"/>
      <c r="Z26" s="42"/>
      <c r="AA26" s="42"/>
    </row>
    <row r="27" spans="2:27">
      <c r="B27" s="5" t="s">
        <v>587</v>
      </c>
      <c r="C27" s="549">
        <v>48938</v>
      </c>
      <c r="D27" s="533">
        <v>47244.698819204546</v>
      </c>
      <c r="E27" s="533">
        <v>39384.468757708484</v>
      </c>
      <c r="F27" s="533">
        <v>31629.13344422264</v>
      </c>
      <c r="G27" s="533">
        <v>24116.114376100046</v>
      </c>
      <c r="H27" s="279">
        <f t="shared" si="3"/>
        <v>-0.20080746849872122</v>
      </c>
      <c r="I27" s="249"/>
      <c r="J27" s="248"/>
      <c r="K27" s="248"/>
      <c r="L27" s="248"/>
      <c r="M27" s="248"/>
      <c r="N27" s="248"/>
      <c r="O27" s="248"/>
      <c r="Q27" s="41"/>
      <c r="S27" s="88"/>
      <c r="T27" s="42"/>
      <c r="U27" s="42"/>
      <c r="V27" s="147" t="s">
        <v>185</v>
      </c>
      <c r="W27" s="288">
        <f t="shared" si="5"/>
        <v>1.0154227929020074</v>
      </c>
      <c r="X27" s="288">
        <v>1</v>
      </c>
      <c r="Y27" s="42"/>
      <c r="Z27" s="42"/>
      <c r="AA27" s="42"/>
    </row>
    <row r="28" spans="2:27">
      <c r="B28" s="5" t="s">
        <v>592</v>
      </c>
      <c r="C28" s="548">
        <v>19998.3</v>
      </c>
      <c r="D28" s="533">
        <v>19279.696096610242</v>
      </c>
      <c r="E28" s="533">
        <v>18018.047111664273</v>
      </c>
      <c r="F28" s="533">
        <v>16975.824650740793</v>
      </c>
      <c r="G28" s="533">
        <v>16181.613835000171</v>
      </c>
      <c r="H28" s="279">
        <f t="shared" si="3"/>
        <v>-5.6720166662855176E-2</v>
      </c>
      <c r="I28" s="248"/>
      <c r="J28" s="248"/>
      <c r="K28" s="248"/>
      <c r="L28" s="248"/>
      <c r="M28" s="248"/>
      <c r="N28" s="248"/>
      <c r="O28" s="5"/>
      <c r="Q28" s="5"/>
      <c r="S28" s="88"/>
      <c r="T28" s="42"/>
      <c r="U28" s="42"/>
      <c r="V28" s="147" t="s">
        <v>466</v>
      </c>
      <c r="W28" s="288">
        <f t="shared" si="5"/>
        <v>1.0154227929020074</v>
      </c>
      <c r="X28" s="288">
        <v>1</v>
      </c>
      <c r="Y28" s="42"/>
      <c r="Z28" s="42"/>
      <c r="AA28" s="42"/>
    </row>
    <row r="29" spans="2:27" ht="12.6" thickBot="1">
      <c r="B29" s="5" t="s">
        <v>588</v>
      </c>
      <c r="C29" s="548">
        <v>4115.5000000000018</v>
      </c>
      <c r="D29" s="533">
        <v>4058.2869457146053</v>
      </c>
      <c r="E29" s="533">
        <v>4481.8127091541719</v>
      </c>
      <c r="F29" s="533">
        <v>4823.064565713059</v>
      </c>
      <c r="G29" s="533">
        <v>5259.3416769263467</v>
      </c>
      <c r="H29" s="279">
        <f t="shared" si="3"/>
        <v>9.0258659961241383E-2</v>
      </c>
      <c r="I29" s="252"/>
      <c r="J29" s="306" t="s">
        <v>1363</v>
      </c>
      <c r="K29" s="306"/>
      <c r="L29" s="265" t="str">
        <f>L$5</f>
        <v>2023E</v>
      </c>
      <c r="M29" s="265" t="str">
        <f t="shared" ref="M29:P29" si="6">M$5</f>
        <v>2024E</v>
      </c>
      <c r="N29" s="265" t="str">
        <f t="shared" si="6"/>
        <v>2025E</v>
      </c>
      <c r="O29" s="265" t="str">
        <f t="shared" si="6"/>
        <v>2026E</v>
      </c>
      <c r="P29" s="265" t="str">
        <f t="shared" si="6"/>
        <v>23E-26E</v>
      </c>
      <c r="Q29" s="5"/>
      <c r="S29" s="88"/>
      <c r="T29" s="42"/>
      <c r="U29" s="42"/>
      <c r="V29" s="147" t="s">
        <v>530</v>
      </c>
      <c r="W29" s="288">
        <f t="shared" si="5"/>
        <v>0.93811941948513133</v>
      </c>
      <c r="X29" s="288">
        <v>1</v>
      </c>
      <c r="Y29" s="42"/>
      <c r="Z29" s="42"/>
      <c r="AA29" s="42"/>
    </row>
    <row r="30" spans="2:27" ht="12.6" thickTop="1">
      <c r="B30" s="5" t="s">
        <v>589</v>
      </c>
      <c r="C30" s="549">
        <v>2634.0000000000009</v>
      </c>
      <c r="D30" s="533">
        <v>2658.8455423248502</v>
      </c>
      <c r="E30" s="533">
        <v>3146.4525897544218</v>
      </c>
      <c r="F30" s="533">
        <v>3707.1309703357983</v>
      </c>
      <c r="G30" s="533">
        <v>4391.419726731945</v>
      </c>
      <c r="H30" s="279">
        <f t="shared" si="3"/>
        <v>0.18205389888391954</v>
      </c>
      <c r="I30" s="254"/>
      <c r="J30" s="248"/>
      <c r="K30" s="248"/>
      <c r="L30" s="248"/>
      <c r="M30" s="248"/>
      <c r="N30" s="248"/>
      <c r="O30" s="5"/>
      <c r="Q30" s="5"/>
      <c r="S30" s="88"/>
      <c r="T30" s="42"/>
      <c r="U30" s="42"/>
      <c r="V30" s="147" t="s">
        <v>593</v>
      </c>
      <c r="W30" s="288">
        <f t="shared" si="5"/>
        <v>1.0843902849104643</v>
      </c>
      <c r="X30" s="288">
        <v>1</v>
      </c>
      <c r="Y30" s="42"/>
      <c r="Z30" s="42"/>
      <c r="AA30" s="42"/>
    </row>
    <row r="31" spans="2:27">
      <c r="B31" s="5" t="s">
        <v>590</v>
      </c>
      <c r="C31" s="549">
        <v>2630.4</v>
      </c>
      <c r="D31" s="533">
        <v>2950.0008199999997</v>
      </c>
      <c r="E31" s="533">
        <v>5466.1626806639333</v>
      </c>
      <c r="F31" s="533">
        <v>5893.9500295108064</v>
      </c>
      <c r="G31" s="533">
        <v>6110.2106971378889</v>
      </c>
      <c r="H31" s="279">
        <f t="shared" si="3"/>
        <v>0.27470987379400347</v>
      </c>
      <c r="I31" s="254"/>
      <c r="J31" s="5" t="s">
        <v>737</v>
      </c>
      <c r="K31" s="247"/>
      <c r="L31" s="322">
        <v>185229.61256603996</v>
      </c>
      <c r="M31" s="322">
        <v>189972.64770617557</v>
      </c>
      <c r="N31" s="322">
        <v>194599.90954103542</v>
      </c>
      <c r="O31" s="322">
        <v>194599.90954103542</v>
      </c>
      <c r="Q31" s="5"/>
      <c r="S31" s="88"/>
      <c r="T31" s="42"/>
      <c r="U31" s="42"/>
      <c r="V31" s="147" t="s">
        <v>475</v>
      </c>
      <c r="W31" s="288">
        <f t="shared" si="5"/>
        <v>0.99268991861114175</v>
      </c>
      <c r="X31" s="288">
        <v>1</v>
      </c>
      <c r="Y31" s="42"/>
      <c r="Z31" s="42"/>
      <c r="AA31" s="42"/>
    </row>
    <row r="32" spans="2:27">
      <c r="B32" s="5" t="s">
        <v>606</v>
      </c>
      <c r="C32" s="550">
        <v>18.8</v>
      </c>
      <c r="D32" s="533">
        <v>-814.31128080027202</v>
      </c>
      <c r="E32" s="533">
        <v>5789.4512903489904</v>
      </c>
      <c r="F32" s="533">
        <v>5404.2908898287042</v>
      </c>
      <c r="G32" s="533">
        <v>6061.4872086679006</v>
      </c>
      <c r="H32" s="279">
        <f t="shared" si="3"/>
        <v>-2.9525233995395337</v>
      </c>
      <c r="I32" s="254"/>
      <c r="J32" s="5" t="s">
        <v>1361</v>
      </c>
      <c r="K32" s="254"/>
      <c r="L32" s="322">
        <v>403800.55539396638</v>
      </c>
      <c r="M32" s="322">
        <v>433137.63677007961</v>
      </c>
      <c r="N32" s="322">
        <v>463147.78470766358</v>
      </c>
      <c r="O32" s="322">
        <v>463147.78470766358</v>
      </c>
      <c r="Q32" s="5"/>
      <c r="S32" s="88"/>
      <c r="T32" s="42"/>
      <c r="U32" s="42"/>
      <c r="V32" s="147" t="s">
        <v>533</v>
      </c>
      <c r="W32" s="288">
        <f t="shared" si="5"/>
        <v>1.0982563520306416</v>
      </c>
      <c r="X32" s="288">
        <v>1</v>
      </c>
      <c r="Y32" s="42"/>
      <c r="Z32" s="42"/>
      <c r="AA32" s="42"/>
    </row>
    <row r="33" spans="2:27">
      <c r="B33" s="5" t="s">
        <v>5</v>
      </c>
      <c r="C33" s="549">
        <v>-1064.9000000000001</v>
      </c>
      <c r="D33" s="533">
        <v>-1262.5586686323604</v>
      </c>
      <c r="E33" s="533">
        <v>-1229.1005466586228</v>
      </c>
      <c r="F33" s="533">
        <v>-1182.2464347420259</v>
      </c>
      <c r="G33" s="533">
        <v>-1129.9631873050605</v>
      </c>
      <c r="H33" s="279">
        <f t="shared" si="3"/>
        <v>-3.6309504710805851E-2</v>
      </c>
      <c r="I33" s="5"/>
      <c r="Q33" s="5"/>
      <c r="S33" s="88"/>
      <c r="T33" s="42"/>
      <c r="U33" s="42"/>
      <c r="V33" s="147" t="s">
        <v>580</v>
      </c>
      <c r="W33" s="288">
        <f t="shared" si="5"/>
        <v>0.8628488262892412</v>
      </c>
      <c r="X33" s="288">
        <v>1</v>
      </c>
      <c r="Y33" s="42"/>
      <c r="Z33" s="42"/>
      <c r="AA33" s="42"/>
    </row>
    <row r="34" spans="2:27">
      <c r="H34" s="277"/>
      <c r="I34" s="49"/>
      <c r="Q34" s="5"/>
      <c r="S34" s="88"/>
      <c r="T34" s="42"/>
      <c r="U34" s="42"/>
      <c r="V34" s="147" t="s">
        <v>581</v>
      </c>
      <c r="W34" s="288">
        <f>D47/L19</f>
        <v>1.0073639121862803</v>
      </c>
      <c r="X34" s="288">
        <v>1</v>
      </c>
      <c r="Y34" s="288"/>
      <c r="Z34" s="288"/>
      <c r="AA34" s="42"/>
    </row>
    <row r="35" spans="2:27" ht="12.6" thickBot="1">
      <c r="B35" s="306" t="s">
        <v>705</v>
      </c>
      <c r="C35" s="265"/>
      <c r="D35" s="265" t="str">
        <f>D5</f>
        <v>2023E</v>
      </c>
      <c r="E35" s="265" t="str">
        <f t="shared" ref="E35:H35" si="7">E5</f>
        <v>2024E</v>
      </c>
      <c r="F35" s="265" t="str">
        <f t="shared" si="7"/>
        <v>2025E</v>
      </c>
      <c r="G35" s="265" t="str">
        <f t="shared" si="7"/>
        <v>2026E</v>
      </c>
      <c r="H35" s="265" t="str">
        <f t="shared" si="7"/>
        <v>23E-26E</v>
      </c>
      <c r="I35" s="254"/>
      <c r="J35" s="306" t="s">
        <v>1362</v>
      </c>
      <c r="K35" s="306"/>
      <c r="L35" s="306"/>
      <c r="M35" s="306"/>
      <c r="N35" s="266"/>
      <c r="O35" s="266"/>
      <c r="P35" s="266"/>
      <c r="Q35" s="5"/>
      <c r="S35" s="88"/>
      <c r="T35" s="42"/>
      <c r="U35" s="42"/>
      <c r="V35" s="42"/>
      <c r="W35" s="42"/>
      <c r="X35" s="42"/>
      <c r="Y35" s="288"/>
      <c r="Z35" s="288"/>
      <c r="AA35" s="42"/>
    </row>
    <row r="36" spans="2:27" ht="12.6" thickTop="1">
      <c r="B36" s="41"/>
      <c r="C36" s="249"/>
      <c r="D36" s="254"/>
      <c r="E36" s="254"/>
      <c r="F36" s="254"/>
      <c r="G36" s="254"/>
      <c r="H36" s="254"/>
      <c r="I36" s="17"/>
      <c r="J36" s="249"/>
      <c r="K36" s="249"/>
      <c r="L36" s="249"/>
      <c r="M36" s="249"/>
      <c r="N36" s="249"/>
      <c r="O36" s="251"/>
      <c r="Q36" s="5"/>
      <c r="S36" s="88"/>
      <c r="T36" s="42"/>
      <c r="U36" s="42"/>
      <c r="V36" s="42"/>
      <c r="W36" s="42"/>
      <c r="X36" s="42"/>
      <c r="Y36" s="288"/>
      <c r="Z36" s="288"/>
      <c r="AA36" s="42"/>
    </row>
    <row r="37" spans="2:27">
      <c r="B37" s="5" t="s">
        <v>273</v>
      </c>
      <c r="C37" s="247"/>
      <c r="D37" s="529">
        <f t="shared" ref="D37:G41" si="8">D$18/D23</f>
        <v>10.60880642888862</v>
      </c>
      <c r="E37" s="529">
        <f t="shared" si="8"/>
        <v>10.084090384781401</v>
      </c>
      <c r="F37" s="529">
        <f t="shared" si="8"/>
        <v>9.0501614958781769</v>
      </c>
      <c r="G37" s="529">
        <f t="shared" si="8"/>
        <v>8.9933833928888784</v>
      </c>
      <c r="H37" s="17">
        <f>H23</f>
        <v>3.3939946332114612E-2</v>
      </c>
      <c r="I37" s="5"/>
      <c r="J37" s="248"/>
      <c r="K37" s="248"/>
      <c r="L37" s="248"/>
      <c r="M37" s="248"/>
      <c r="N37" s="248"/>
      <c r="O37" s="5"/>
      <c r="Q37" s="5"/>
      <c r="R37" s="5"/>
      <c r="S37" s="42"/>
      <c r="T37" s="42"/>
      <c r="U37" s="42"/>
      <c r="V37" s="42"/>
      <c r="W37" s="42"/>
      <c r="X37" s="42"/>
      <c r="Y37" s="42"/>
      <c r="Z37" s="42"/>
      <c r="AA37" s="42"/>
    </row>
    <row r="38" spans="2:27">
      <c r="B38" s="5" t="s">
        <v>184</v>
      </c>
      <c r="C38" s="247"/>
      <c r="D38" s="529">
        <f>D$18/D24</f>
        <v>16.649212735264811</v>
      </c>
      <c r="E38" s="529">
        <f t="shared" si="8"/>
        <v>15.761797726026971</v>
      </c>
      <c r="F38" s="529">
        <f t="shared" si="8"/>
        <v>14.082884428505087</v>
      </c>
      <c r="G38" s="529">
        <f t="shared" si="8"/>
        <v>13.888088688213191</v>
      </c>
      <c r="H38" s="17">
        <f t="shared" ref="H38:H45" si="9">H24</f>
        <v>3.9516170103460091E-2</v>
      </c>
      <c r="I38" s="259"/>
      <c r="J38" s="252"/>
      <c r="K38" s="252"/>
      <c r="L38" s="252"/>
      <c r="M38" s="252"/>
      <c r="N38" s="252"/>
      <c r="O38" s="5"/>
      <c r="Q38" s="5"/>
      <c r="R38" s="5"/>
      <c r="S38" s="42"/>
      <c r="T38" s="42"/>
      <c r="U38" s="42"/>
      <c r="V38" s="42"/>
      <c r="W38" s="42"/>
      <c r="X38" s="42"/>
      <c r="Y38" s="42"/>
      <c r="Z38" s="42"/>
      <c r="AA38" s="42"/>
    </row>
    <row r="39" spans="2:27">
      <c r="B39" s="5" t="s">
        <v>185</v>
      </c>
      <c r="C39" s="247"/>
      <c r="D39" s="529">
        <f t="shared" si="8"/>
        <v>21.813534914343819</v>
      </c>
      <c r="E39" s="529">
        <f t="shared" si="8"/>
        <v>19.715630838702918</v>
      </c>
      <c r="F39" s="529">
        <f t="shared" si="8"/>
        <v>17.343943859349441</v>
      </c>
      <c r="G39" s="529">
        <f t="shared" si="8"/>
        <v>16.832197449523438</v>
      </c>
      <c r="H39" s="17">
        <f t="shared" si="9"/>
        <v>6.6864472571608546E-2</v>
      </c>
      <c r="I39" s="17"/>
      <c r="J39" s="259"/>
      <c r="K39" s="259"/>
      <c r="L39" s="259"/>
      <c r="M39" s="259"/>
      <c r="N39" s="259"/>
      <c r="O39" s="18"/>
      <c r="Q39" s="5"/>
      <c r="R39" s="5"/>
      <c r="S39" s="42"/>
      <c r="T39" s="42"/>
      <c r="U39" s="42"/>
      <c r="V39" s="42"/>
      <c r="W39" s="42"/>
      <c r="X39" s="42"/>
      <c r="Y39" s="42"/>
      <c r="Z39" s="42"/>
      <c r="AA39" s="42"/>
    </row>
    <row r="40" spans="2:27">
      <c r="B40" s="5" t="s">
        <v>466</v>
      </c>
      <c r="C40" s="247"/>
      <c r="D40" s="529">
        <f t="shared" si="8"/>
        <v>24.237261015937577</v>
      </c>
      <c r="E40" s="529">
        <f t="shared" si="8"/>
        <v>21.906256487447685</v>
      </c>
      <c r="F40" s="529">
        <f t="shared" si="8"/>
        <v>19.271048732610488</v>
      </c>
      <c r="G40" s="529">
        <f t="shared" si="8"/>
        <v>18.702441610581598</v>
      </c>
      <c r="H40" s="17">
        <f t="shared" si="9"/>
        <v>6.6864472571608324E-2</v>
      </c>
      <c r="I40" s="5"/>
      <c r="J40" s="259"/>
      <c r="K40" s="259"/>
      <c r="L40" s="259"/>
      <c r="M40" s="259"/>
      <c r="N40" s="259"/>
      <c r="O40" s="18"/>
      <c r="Q40" s="5"/>
      <c r="R40" s="5"/>
      <c r="S40" s="42"/>
      <c r="T40" s="42"/>
      <c r="U40" s="42"/>
      <c r="V40" s="42"/>
      <c r="W40" s="288"/>
      <c r="X40" s="288"/>
      <c r="Y40" s="42"/>
      <c r="Z40" s="42"/>
      <c r="AA40" s="42"/>
    </row>
    <row r="41" spans="2:27">
      <c r="B41" s="5" t="s">
        <v>530</v>
      </c>
      <c r="C41" s="247"/>
      <c r="D41" s="529">
        <f t="shared" si="8"/>
        <v>2.4909575268155484</v>
      </c>
      <c r="E41" s="529">
        <f t="shared" si="8"/>
        <v>2.9240359402797145</v>
      </c>
      <c r="F41" s="529">
        <f t="shared" si="8"/>
        <v>3.371740349572967</v>
      </c>
      <c r="G41" s="529">
        <f t="shared" si="8"/>
        <v>4.572509316211125</v>
      </c>
      <c r="H41" s="17">
        <f t="shared" si="9"/>
        <v>-0.20080746849872122</v>
      </c>
      <c r="I41" s="247"/>
      <c r="J41" s="259"/>
      <c r="K41" s="259"/>
      <c r="L41" s="259"/>
      <c r="M41" s="259"/>
      <c r="N41" s="259"/>
      <c r="O41" s="18"/>
      <c r="Q41" s="5"/>
      <c r="R41" s="5"/>
      <c r="S41" s="42"/>
      <c r="T41" s="42"/>
      <c r="U41" s="42"/>
      <c r="V41" s="42"/>
      <c r="W41" s="288"/>
      <c r="X41" s="288"/>
      <c r="Y41" s="288"/>
      <c r="Z41" s="288"/>
      <c r="AA41" s="42"/>
    </row>
    <row r="42" spans="2:27">
      <c r="B42" s="5" t="s">
        <v>593</v>
      </c>
      <c r="C42" s="247"/>
      <c r="D42" s="529">
        <f>D18/D28</f>
        <v>6.1040660359020151</v>
      </c>
      <c r="E42" s="529">
        <f>E18/E28</f>
        <v>6.3914585982967846</v>
      </c>
      <c r="F42" s="529">
        <f>F18/F28</f>
        <v>6.2821823180919507</v>
      </c>
      <c r="G42" s="529">
        <f>G18/G28</f>
        <v>6.8145957986599877</v>
      </c>
      <c r="H42" s="17">
        <f t="shared" si="9"/>
        <v>-5.6720166662855176E-2</v>
      </c>
      <c r="I42" s="248"/>
      <c r="J42" s="5"/>
      <c r="K42" s="5"/>
      <c r="L42" s="5"/>
      <c r="M42" s="5"/>
      <c r="N42" s="5"/>
      <c r="O42" s="5"/>
      <c r="Q42" s="5"/>
      <c r="R42" s="5"/>
      <c r="S42" s="42"/>
      <c r="T42" s="42"/>
      <c r="U42" s="42"/>
      <c r="V42" s="42"/>
      <c r="W42" s="288"/>
      <c r="X42" s="288"/>
      <c r="Y42" s="288"/>
      <c r="Z42" s="288"/>
      <c r="AA42" s="42"/>
    </row>
    <row r="43" spans="2:27">
      <c r="B43" s="5" t="s">
        <v>475</v>
      </c>
      <c r="C43" s="247"/>
      <c r="D43" s="529">
        <f>L26/D29</f>
        <v>21.405682567981941</v>
      </c>
      <c r="E43" s="529">
        <f>M26/E29</f>
        <v>19.174123788274777</v>
      </c>
      <c r="F43" s="529">
        <f>N26/F29</f>
        <v>17.262834776451914</v>
      </c>
      <c r="G43" s="529">
        <f>O26/G29</f>
        <v>15.302968967285924</v>
      </c>
      <c r="H43" s="17">
        <f t="shared" si="9"/>
        <v>9.0258659961241383E-2</v>
      </c>
      <c r="I43" s="247"/>
      <c r="J43" s="69"/>
      <c r="K43" s="69"/>
      <c r="L43" s="69"/>
      <c r="M43" s="69"/>
      <c r="N43" s="69"/>
      <c r="O43" s="69"/>
      <c r="Q43" s="5"/>
      <c r="R43" s="5"/>
      <c r="S43" s="42"/>
      <c r="T43" s="42"/>
      <c r="U43" s="42"/>
      <c r="V43" s="42"/>
      <c r="W43" s="288"/>
      <c r="X43" s="288"/>
      <c r="Y43" s="288"/>
      <c r="Z43" s="288"/>
      <c r="AA43" s="42"/>
    </row>
    <row r="44" spans="2:27">
      <c r="B44" s="5" t="s">
        <v>533</v>
      </c>
      <c r="C44" s="69"/>
      <c r="D44" s="529">
        <f>D11/D30</f>
        <v>32.67222587657114</v>
      </c>
      <c r="E44" s="529">
        <f>E11/E30</f>
        <v>27.311656295413108</v>
      </c>
      <c r="F44" s="529">
        <f>F11/F30</f>
        <v>22.459353980289112</v>
      </c>
      <c r="G44" s="529">
        <f>G11/G30</f>
        <v>18.327453871108904</v>
      </c>
      <c r="H44" s="17">
        <f t="shared" si="9"/>
        <v>0.18205389888391954</v>
      </c>
      <c r="I44" s="247"/>
      <c r="J44" s="259"/>
      <c r="K44" s="259"/>
      <c r="L44" s="259"/>
      <c r="M44" s="259"/>
      <c r="N44" s="259"/>
      <c r="O44" s="18"/>
      <c r="Q44" s="5"/>
      <c r="R44" s="5"/>
      <c r="S44" s="42"/>
      <c r="T44" s="42"/>
      <c r="U44" s="42"/>
      <c r="V44" s="42"/>
      <c r="W44" s="325"/>
      <c r="X44" s="325"/>
      <c r="Y44" s="288"/>
      <c r="Z44" s="288"/>
      <c r="AA44" s="42"/>
    </row>
    <row r="45" spans="2:27">
      <c r="B45" s="5" t="s">
        <v>580</v>
      </c>
      <c r="C45" s="247"/>
      <c r="D45" s="248">
        <f>D31/D11</f>
        <v>3.3958641236560699E-2</v>
      </c>
      <c r="E45" s="248">
        <f>E31/E11</f>
        <v>6.3608231653297195E-2</v>
      </c>
      <c r="F45" s="248">
        <f>F31/F11</f>
        <v>7.0789893631964654E-2</v>
      </c>
      <c r="G45" s="248">
        <f>G31/G11</f>
        <v>7.5918759408338907E-2</v>
      </c>
      <c r="H45" s="17">
        <f t="shared" si="9"/>
        <v>0.27470987379400347</v>
      </c>
      <c r="I45" s="248"/>
      <c r="J45" s="17"/>
      <c r="K45" s="17"/>
      <c r="L45" s="17"/>
      <c r="M45" s="17"/>
      <c r="N45" s="17"/>
      <c r="O45" s="5"/>
      <c r="Q45" s="5"/>
      <c r="R45" s="5"/>
      <c r="S45" s="42"/>
      <c r="T45" s="42"/>
      <c r="U45" s="42"/>
      <c r="V45" s="42"/>
      <c r="W45" s="42"/>
      <c r="X45" s="42"/>
      <c r="Y45" s="325"/>
      <c r="Z45" s="325"/>
      <c r="AA45" s="42"/>
    </row>
    <row r="46" spans="2:27">
      <c r="B46" s="5" t="s">
        <v>605</v>
      </c>
      <c r="C46" s="247"/>
      <c r="D46" s="248">
        <f>(D31+D32)/D11</f>
        <v>2.4584777862658082E-2</v>
      </c>
      <c r="E46" s="248">
        <f>(E31+E32)/E11</f>
        <v>0.13097848393734918</v>
      </c>
      <c r="F46" s="248">
        <f>(F31+F32)/F11</f>
        <v>0.13569868575467672</v>
      </c>
      <c r="G46" s="248">
        <f>(G31+G32)/G11</f>
        <v>0.15123213432471247</v>
      </c>
      <c r="H46" s="279">
        <f>((G31+G32)/(D31+D32))^(1/3)-1</f>
        <v>0.78623124354647866</v>
      </c>
      <c r="I46" s="247"/>
      <c r="J46" s="5"/>
      <c r="K46" s="5"/>
      <c r="L46" s="5"/>
      <c r="M46" s="5"/>
      <c r="N46" s="5"/>
      <c r="O46" s="5"/>
      <c r="Q46" s="5"/>
      <c r="R46" s="5"/>
      <c r="S46" s="42"/>
      <c r="T46" s="42"/>
      <c r="U46" s="42"/>
      <c r="V46" s="42"/>
      <c r="W46" s="42"/>
      <c r="X46" s="42"/>
      <c r="Y46" s="42"/>
      <c r="Z46" s="42"/>
      <c r="AA46" s="326"/>
    </row>
    <row r="47" spans="2:27">
      <c r="B47" s="5" t="s">
        <v>581</v>
      </c>
      <c r="C47" s="5"/>
      <c r="D47" s="248">
        <f>1/D43</f>
        <v>4.6716566819306839E-2</v>
      </c>
      <c r="E47" s="248">
        <f>1/E43</f>
        <v>5.2153621779135108E-2</v>
      </c>
      <c r="F47" s="248">
        <f>1/F43</f>
        <v>5.792791351766232E-2</v>
      </c>
      <c r="G47" s="248">
        <f>1/G43</f>
        <v>6.5346796568545626E-2</v>
      </c>
      <c r="H47" s="17">
        <f>H29</f>
        <v>9.0258659961241383E-2</v>
      </c>
      <c r="I47" s="17"/>
      <c r="J47" s="259"/>
      <c r="K47" s="259"/>
      <c r="L47" s="259"/>
      <c r="M47" s="259"/>
      <c r="N47" s="259"/>
      <c r="O47" s="18"/>
      <c r="Q47" s="5"/>
      <c r="R47" s="5"/>
      <c r="S47" s="42"/>
      <c r="T47" s="42"/>
      <c r="U47" s="42"/>
      <c r="V47" s="42"/>
      <c r="W47" s="42"/>
      <c r="X47" s="42"/>
      <c r="Y47" s="42"/>
      <c r="Z47" s="42"/>
      <c r="AA47" s="326"/>
    </row>
    <row r="48" spans="2:27">
      <c r="B48" s="5" t="s">
        <v>618</v>
      </c>
      <c r="C48" s="5"/>
      <c r="D48" s="305">
        <f>D31/D29</f>
        <v>0.7269078947498</v>
      </c>
      <c r="E48" s="305">
        <f>E31/E29</f>
        <v>1.2196321076735785</v>
      </c>
      <c r="F48" s="305">
        <f>F31/F29</f>
        <v>1.2220342376112114</v>
      </c>
      <c r="G48" s="305">
        <f>G31/G29</f>
        <v>1.1617824192606565</v>
      </c>
      <c r="H48" s="279" t="s">
        <v>607</v>
      </c>
      <c r="I48" s="247"/>
      <c r="J48" s="17"/>
      <c r="K48" s="17"/>
      <c r="L48" s="17"/>
      <c r="M48" s="17"/>
      <c r="N48" s="17"/>
      <c r="O48" s="5"/>
      <c r="Q48" s="5"/>
      <c r="R48" s="5"/>
      <c r="S48" s="42"/>
      <c r="T48" s="42"/>
      <c r="U48" s="42"/>
      <c r="V48" s="42"/>
      <c r="W48" s="42"/>
      <c r="X48" s="42"/>
      <c r="Y48" s="42"/>
      <c r="Z48" s="42"/>
      <c r="AA48" s="326"/>
    </row>
    <row r="49" spans="2:27">
      <c r="B49" s="41"/>
      <c r="C49" s="17"/>
      <c r="D49" s="17"/>
      <c r="E49" s="17"/>
      <c r="F49" s="17"/>
      <c r="G49" s="17"/>
      <c r="H49" s="17"/>
      <c r="I49" s="254"/>
      <c r="J49" s="5"/>
      <c r="K49" s="5"/>
      <c r="L49" s="5"/>
      <c r="M49" s="5"/>
      <c r="N49" s="5"/>
      <c r="O49" s="5"/>
      <c r="Q49" s="5"/>
      <c r="R49" s="5"/>
      <c r="S49" s="42"/>
      <c r="T49" s="42"/>
      <c r="U49" s="42"/>
      <c r="V49" s="42"/>
      <c r="W49" s="42"/>
      <c r="X49" s="42"/>
      <c r="Y49" s="42"/>
      <c r="Z49" s="42"/>
      <c r="AA49" s="326"/>
    </row>
    <row r="50" spans="2:27">
      <c r="B50" s="5"/>
      <c r="C50" s="257"/>
      <c r="D50" s="257"/>
      <c r="E50" s="257"/>
      <c r="F50" s="5"/>
      <c r="G50" s="41"/>
      <c r="H50" s="249"/>
      <c r="I50" s="17"/>
      <c r="J50" s="249"/>
      <c r="K50" s="249"/>
      <c r="L50" s="249"/>
      <c r="M50" s="249"/>
      <c r="N50" s="249"/>
      <c r="O50" s="251"/>
      <c r="Q50" s="5"/>
      <c r="R50" s="5"/>
      <c r="S50" s="42"/>
      <c r="T50" s="42"/>
      <c r="U50" s="42"/>
      <c r="V50" s="42"/>
      <c r="W50" s="288"/>
      <c r="X50" s="288"/>
      <c r="Y50" s="42"/>
      <c r="Z50" s="42"/>
      <c r="AA50" s="326"/>
    </row>
    <row r="51" spans="2:27">
      <c r="B51" s="41"/>
      <c r="C51" s="249"/>
      <c r="D51" s="254"/>
      <c r="E51" s="254"/>
      <c r="F51" s="254"/>
      <c r="G51" s="254"/>
      <c r="H51" s="254"/>
      <c r="I51" s="259"/>
      <c r="J51" s="248"/>
      <c r="K51" s="248"/>
      <c r="L51" s="248"/>
      <c r="M51" s="248"/>
      <c r="N51" s="248"/>
      <c r="O51" s="248"/>
      <c r="Q51" s="5"/>
      <c r="R51" s="5"/>
      <c r="S51" s="42"/>
      <c r="T51" s="42"/>
      <c r="U51" s="42"/>
      <c r="V51" s="42"/>
      <c r="W51" s="288"/>
      <c r="X51" s="288"/>
      <c r="Y51" s="288"/>
      <c r="Z51" s="288"/>
      <c r="AA51" s="42"/>
    </row>
    <row r="52" spans="2:27">
      <c r="B52" s="5"/>
      <c r="C52" s="257"/>
      <c r="D52" s="17"/>
      <c r="E52" s="17"/>
      <c r="F52" s="17"/>
      <c r="G52" s="17"/>
      <c r="H52" s="17"/>
      <c r="I52" s="254"/>
      <c r="J52" s="247"/>
      <c r="K52" s="247"/>
      <c r="L52" s="247"/>
      <c r="M52" s="247"/>
      <c r="N52" s="247"/>
      <c r="O52" s="248"/>
      <c r="Q52" s="5"/>
      <c r="R52" s="5"/>
      <c r="S52" s="5"/>
      <c r="Y52" s="10"/>
      <c r="Z52" s="10"/>
    </row>
    <row r="53" spans="2:27">
      <c r="B53" s="5"/>
      <c r="C53" s="257"/>
      <c r="D53" s="257"/>
      <c r="E53" s="257"/>
      <c r="F53" s="5"/>
      <c r="G53" s="5"/>
      <c r="H53" s="259"/>
      <c r="I53" s="17"/>
      <c r="J53" s="249"/>
      <c r="K53" s="249"/>
      <c r="L53" s="249"/>
      <c r="M53" s="249"/>
      <c r="N53" s="249"/>
      <c r="O53" s="251"/>
      <c r="Q53" s="5"/>
      <c r="R53" s="5"/>
      <c r="S53" s="5"/>
    </row>
    <row r="54" spans="2:27">
      <c r="B54" s="41"/>
      <c r="C54" s="249"/>
      <c r="D54" s="254"/>
      <c r="E54" s="254"/>
      <c r="F54" s="254"/>
      <c r="G54" s="254"/>
      <c r="H54" s="254"/>
      <c r="I54" s="259"/>
      <c r="J54" s="248"/>
      <c r="K54" s="248"/>
      <c r="L54" s="248"/>
      <c r="M54" s="248"/>
      <c r="N54" s="248"/>
      <c r="O54" s="248"/>
      <c r="Q54" s="5"/>
      <c r="R54" s="5"/>
      <c r="S54" s="5"/>
    </row>
    <row r="55" spans="2:27">
      <c r="B55" s="5"/>
      <c r="C55" s="257"/>
      <c r="D55" s="17"/>
      <c r="E55" s="17"/>
      <c r="F55" s="17"/>
      <c r="G55" s="17"/>
      <c r="H55" s="17"/>
      <c r="I55" s="249"/>
      <c r="J55" s="247"/>
      <c r="K55" s="247"/>
      <c r="L55" s="247"/>
      <c r="M55" s="247"/>
      <c r="N55" s="247"/>
      <c r="O55" s="248"/>
      <c r="Q55" s="5"/>
      <c r="R55" s="5"/>
      <c r="S55" s="5"/>
    </row>
    <row r="56" spans="2:27">
      <c r="B56" s="5"/>
      <c r="C56" s="248"/>
      <c r="D56" s="248"/>
      <c r="E56" s="248"/>
      <c r="F56" s="5"/>
      <c r="G56" s="5"/>
      <c r="H56" s="259"/>
      <c r="I56" s="248"/>
      <c r="J56" s="17"/>
      <c r="K56" s="17"/>
      <c r="L56" s="17"/>
      <c r="M56" s="17"/>
      <c r="N56" s="17"/>
      <c r="O56" s="248"/>
      <c r="Q56" s="5"/>
      <c r="R56" s="5"/>
      <c r="S56" s="5"/>
    </row>
    <row r="57" spans="2:27">
      <c r="B57" s="41"/>
      <c r="C57" s="249"/>
      <c r="D57" s="249"/>
      <c r="E57" s="249"/>
      <c r="F57" s="249"/>
      <c r="G57" s="249"/>
      <c r="H57" s="249"/>
      <c r="I57" s="5"/>
      <c r="J57" s="254"/>
      <c r="K57" s="254"/>
      <c r="L57" s="254"/>
      <c r="M57" s="254"/>
      <c r="N57" s="254"/>
      <c r="O57" s="251"/>
      <c r="Q57" s="5"/>
      <c r="R57" s="5"/>
      <c r="S57" s="5"/>
    </row>
    <row r="58" spans="2:27">
      <c r="B58" s="5"/>
      <c r="C58" s="5"/>
      <c r="D58" s="248"/>
      <c r="E58" s="248"/>
      <c r="F58" s="248"/>
      <c r="G58" s="248"/>
      <c r="H58" s="248"/>
      <c r="I58" s="17"/>
      <c r="J58" s="17"/>
      <c r="K58" s="17"/>
      <c r="L58" s="17"/>
      <c r="M58" s="17"/>
      <c r="N58" s="17"/>
      <c r="O58" s="248"/>
      <c r="Q58" s="5"/>
      <c r="R58" s="5"/>
      <c r="S58" s="5"/>
    </row>
    <row r="59" spans="2:27">
      <c r="B59" s="5"/>
      <c r="C59" s="5"/>
      <c r="D59" s="5"/>
      <c r="E59" s="5"/>
      <c r="F59" s="5"/>
      <c r="G59" s="5"/>
      <c r="H59" s="5"/>
      <c r="I59" s="5"/>
      <c r="Q59" s="5"/>
      <c r="R59" s="5"/>
      <c r="S59" s="5"/>
    </row>
    <row r="60" spans="2:27">
      <c r="B60" s="41"/>
      <c r="C60" s="17"/>
      <c r="D60" s="17"/>
      <c r="E60" s="17"/>
      <c r="F60" s="17"/>
      <c r="G60" s="17"/>
      <c r="H60" s="17"/>
      <c r="I60" s="249"/>
      <c r="Q60" s="5"/>
      <c r="R60" s="5"/>
      <c r="S60" s="5"/>
    </row>
    <row r="61" spans="2:27">
      <c r="B61" s="5"/>
      <c r="C61" s="5"/>
      <c r="D61" s="5"/>
      <c r="E61" s="5"/>
      <c r="F61" s="5"/>
      <c r="G61" s="5"/>
      <c r="H61" s="5"/>
      <c r="I61" s="5"/>
      <c r="Q61" s="41"/>
      <c r="R61" s="5"/>
      <c r="S61" s="5"/>
    </row>
    <row r="62" spans="2:27">
      <c r="B62" s="41"/>
      <c r="C62" s="249"/>
      <c r="D62" s="249"/>
      <c r="E62" s="249"/>
      <c r="F62" s="249"/>
      <c r="G62" s="249"/>
      <c r="H62" s="249"/>
      <c r="I62" s="5"/>
      <c r="J62" s="259"/>
      <c r="K62" s="259"/>
      <c r="L62" s="259"/>
      <c r="M62" s="259"/>
      <c r="N62" s="259"/>
      <c r="O62" s="18"/>
      <c r="Q62" s="5"/>
      <c r="R62" s="5"/>
      <c r="S62" s="5"/>
    </row>
    <row r="63" spans="2:27">
      <c r="B63" s="5"/>
      <c r="C63" s="5"/>
      <c r="D63" s="5"/>
      <c r="E63" s="5"/>
      <c r="F63" s="5"/>
      <c r="G63" s="5"/>
      <c r="H63" s="5"/>
      <c r="I63" s="254"/>
      <c r="J63" s="254"/>
      <c r="K63" s="254"/>
      <c r="L63" s="254"/>
      <c r="M63" s="254"/>
      <c r="N63" s="254"/>
      <c r="O63" s="251"/>
      <c r="Q63" s="5"/>
      <c r="R63" s="5"/>
      <c r="S63" s="5"/>
    </row>
    <row r="64" spans="2:27">
      <c r="B64" s="5"/>
      <c r="C64" s="5"/>
      <c r="D64" s="5"/>
      <c r="E64" s="5"/>
      <c r="F64" s="5"/>
      <c r="G64" s="5"/>
      <c r="H64" s="5"/>
      <c r="I64" s="17"/>
      <c r="J64" s="5"/>
      <c r="K64" s="5"/>
      <c r="L64" s="5"/>
      <c r="M64" s="5"/>
      <c r="N64" s="5"/>
      <c r="O64" s="5"/>
      <c r="Q64" s="5"/>
      <c r="R64" s="5"/>
      <c r="S64" s="5"/>
    </row>
    <row r="65" spans="2:26">
      <c r="B65" s="41"/>
      <c r="C65" s="249"/>
      <c r="D65" s="254"/>
      <c r="E65" s="254"/>
      <c r="F65" s="254"/>
      <c r="G65" s="254"/>
      <c r="H65" s="254"/>
      <c r="I65" s="254"/>
      <c r="J65" s="254"/>
      <c r="K65" s="254"/>
      <c r="L65" s="254"/>
      <c r="M65" s="254"/>
      <c r="N65" s="254"/>
      <c r="O65" s="251"/>
      <c r="Q65" s="5"/>
      <c r="R65" s="5"/>
      <c r="S65" s="5"/>
    </row>
    <row r="66" spans="2:26">
      <c r="B66" s="5"/>
      <c r="C66" s="5"/>
      <c r="D66" s="17"/>
      <c r="E66" s="17"/>
      <c r="F66" s="17"/>
      <c r="G66" s="17"/>
      <c r="H66" s="17"/>
      <c r="I66" s="248"/>
      <c r="J66" s="17"/>
      <c r="K66" s="17"/>
      <c r="L66" s="17"/>
      <c r="M66" s="17"/>
      <c r="N66" s="17"/>
      <c r="O66" s="5"/>
      <c r="Q66" s="5"/>
      <c r="R66" s="5"/>
      <c r="S66" s="5"/>
    </row>
    <row r="67" spans="2:26">
      <c r="B67" s="41"/>
      <c r="C67" s="249"/>
      <c r="D67" s="254"/>
      <c r="E67" s="254"/>
      <c r="F67" s="254"/>
      <c r="G67" s="254"/>
      <c r="H67" s="254"/>
      <c r="I67" s="5"/>
      <c r="J67" s="254"/>
      <c r="K67" s="254"/>
      <c r="L67" s="254"/>
      <c r="M67" s="254"/>
      <c r="N67" s="254"/>
      <c r="O67" s="251"/>
      <c r="Q67" s="41"/>
      <c r="R67" s="5"/>
      <c r="S67" s="5"/>
    </row>
    <row r="68" spans="2:26">
      <c r="B68" s="5"/>
      <c r="C68" s="5"/>
      <c r="D68" s="248"/>
      <c r="E68" s="248"/>
      <c r="F68" s="248"/>
      <c r="G68" s="248"/>
      <c r="H68" s="248"/>
      <c r="I68" s="245"/>
      <c r="J68" s="248"/>
      <c r="K68" s="248"/>
      <c r="L68" s="248"/>
      <c r="M68" s="248"/>
      <c r="N68" s="248"/>
      <c r="O68" s="5"/>
      <c r="Q68" s="5"/>
      <c r="R68" s="5"/>
      <c r="S68" s="5"/>
    </row>
    <row r="69" spans="2:26">
      <c r="B69" s="41"/>
      <c r="C69" s="5"/>
      <c r="D69" s="5"/>
      <c r="E69" s="5"/>
      <c r="F69" s="5"/>
      <c r="G69" s="5"/>
      <c r="H69" s="5"/>
      <c r="I69" s="248"/>
      <c r="J69" s="5"/>
      <c r="K69" s="5"/>
      <c r="L69" s="5"/>
      <c r="M69" s="5"/>
      <c r="N69" s="5"/>
      <c r="O69" s="5"/>
      <c r="Q69" s="5"/>
      <c r="R69" s="5"/>
      <c r="S69" s="5"/>
    </row>
    <row r="70" spans="2:26">
      <c r="B70" s="41"/>
      <c r="C70" s="245"/>
      <c r="D70" s="245"/>
      <c r="E70" s="245"/>
      <c r="F70" s="245"/>
      <c r="G70" s="245"/>
      <c r="H70" s="245"/>
      <c r="I70" s="5"/>
      <c r="J70" s="245"/>
      <c r="K70" s="245"/>
      <c r="L70" s="245"/>
      <c r="M70" s="245"/>
      <c r="N70" s="245"/>
      <c r="O70" s="251"/>
      <c r="Q70" s="5"/>
      <c r="R70" s="5"/>
      <c r="S70" s="5"/>
      <c r="W70" s="76"/>
      <c r="X70" s="76"/>
    </row>
    <row r="71" spans="2:26">
      <c r="B71" s="5"/>
      <c r="C71" s="5"/>
      <c r="D71" s="248"/>
      <c r="E71" s="248"/>
      <c r="F71" s="248"/>
      <c r="G71" s="248"/>
      <c r="H71" s="248"/>
      <c r="I71" s="245"/>
      <c r="Q71" s="5"/>
      <c r="R71" s="5"/>
      <c r="S71" s="5"/>
      <c r="W71" s="76"/>
      <c r="X71" s="76"/>
      <c r="Y71" s="76"/>
      <c r="Z71" s="76"/>
    </row>
    <row r="72" spans="2:26">
      <c r="B72" s="41"/>
      <c r="C72" s="5"/>
      <c r="D72" s="5"/>
      <c r="E72" s="5"/>
      <c r="F72" s="5"/>
      <c r="G72" s="5"/>
      <c r="H72" s="5"/>
      <c r="I72" s="18"/>
      <c r="Q72" s="5"/>
      <c r="R72" s="5"/>
      <c r="S72" s="5"/>
      <c r="Y72" s="76"/>
      <c r="Z72" s="76"/>
    </row>
    <row r="73" spans="2:26">
      <c r="B73" s="41"/>
      <c r="C73" s="245"/>
      <c r="D73" s="245"/>
      <c r="E73" s="245"/>
      <c r="F73" s="245"/>
      <c r="G73" s="245"/>
      <c r="H73" s="245"/>
      <c r="I73" s="5"/>
      <c r="Q73" s="5"/>
      <c r="R73" s="5"/>
      <c r="S73" s="5"/>
    </row>
    <row r="74" spans="2:26">
      <c r="B74" s="5"/>
      <c r="C74" s="5"/>
      <c r="D74" s="18"/>
      <c r="E74" s="18"/>
      <c r="F74" s="18"/>
      <c r="G74" s="18"/>
      <c r="H74" s="18"/>
      <c r="I74" s="249"/>
      <c r="Q74" s="5"/>
      <c r="R74" s="5"/>
      <c r="S74" s="5"/>
    </row>
    <row r="75" spans="2:26">
      <c r="B75" s="41"/>
      <c r="C75" s="5"/>
      <c r="D75" s="5"/>
      <c r="E75" s="5"/>
      <c r="F75" s="5"/>
      <c r="G75" s="5"/>
      <c r="H75" s="5"/>
      <c r="I75" s="248"/>
      <c r="Q75" s="5"/>
      <c r="R75" s="5"/>
      <c r="S75" s="5"/>
    </row>
    <row r="76" spans="2:26">
      <c r="B76" s="41"/>
      <c r="C76" s="249"/>
      <c r="D76" s="249"/>
      <c r="E76" s="249"/>
      <c r="F76" s="249"/>
      <c r="G76" s="249"/>
      <c r="H76" s="249"/>
      <c r="I76" s="5"/>
      <c r="J76" s="249"/>
      <c r="K76" s="249"/>
      <c r="L76" s="249"/>
      <c r="M76" s="249"/>
      <c r="N76" s="249"/>
      <c r="O76" s="251"/>
      <c r="Q76" s="5"/>
      <c r="R76" s="5"/>
      <c r="S76" s="5"/>
    </row>
    <row r="77" spans="2:26">
      <c r="B77" s="5"/>
      <c r="C77" s="5"/>
      <c r="D77" s="248"/>
      <c r="E77" s="248"/>
      <c r="F77" s="248"/>
      <c r="G77" s="248"/>
      <c r="H77" s="248"/>
      <c r="I77" s="245"/>
      <c r="J77" s="248"/>
      <c r="K77" s="248"/>
      <c r="L77" s="248"/>
      <c r="M77" s="248"/>
      <c r="N77" s="248"/>
      <c r="O77" s="5"/>
      <c r="Q77" s="5"/>
      <c r="R77" s="5"/>
      <c r="S77" s="5"/>
    </row>
    <row r="78" spans="2:26">
      <c r="B78" s="41"/>
      <c r="C78" s="5"/>
      <c r="D78" s="5"/>
      <c r="E78" s="5"/>
      <c r="F78" s="5"/>
      <c r="G78" s="5"/>
      <c r="H78" s="5"/>
      <c r="I78" s="248"/>
      <c r="J78" s="5"/>
      <c r="K78" s="5"/>
      <c r="L78" s="5"/>
      <c r="M78" s="5"/>
      <c r="N78" s="5"/>
      <c r="O78" s="5"/>
      <c r="Q78" s="5"/>
      <c r="R78" s="5"/>
      <c r="S78" s="5"/>
    </row>
    <row r="79" spans="2:26">
      <c r="B79" s="41"/>
      <c r="C79" s="245"/>
      <c r="D79" s="245"/>
      <c r="E79" s="245"/>
      <c r="F79" s="245"/>
      <c r="G79" s="245"/>
      <c r="H79" s="245"/>
      <c r="I79" s="5"/>
      <c r="J79" s="245"/>
      <c r="K79" s="245"/>
      <c r="L79" s="245"/>
      <c r="M79" s="245"/>
      <c r="N79" s="245"/>
      <c r="O79" s="251"/>
      <c r="Q79" s="5"/>
      <c r="R79" s="5"/>
      <c r="S79" s="5"/>
    </row>
    <row r="80" spans="2:26">
      <c r="B80" s="5"/>
      <c r="C80" s="5"/>
      <c r="D80" s="248"/>
      <c r="E80" s="248"/>
      <c r="F80" s="248"/>
      <c r="G80" s="248"/>
      <c r="H80" s="248"/>
      <c r="I80" s="249"/>
      <c r="J80" s="248"/>
      <c r="K80" s="248"/>
      <c r="L80" s="248"/>
      <c r="M80" s="248"/>
      <c r="N80" s="248"/>
      <c r="O80" s="5"/>
      <c r="Q80" s="5"/>
      <c r="R80" s="5"/>
      <c r="S80" s="5"/>
    </row>
    <row r="81" spans="2:26">
      <c r="B81" s="41"/>
      <c r="C81" s="5"/>
      <c r="D81" s="5"/>
      <c r="E81" s="5"/>
      <c r="F81" s="5"/>
      <c r="G81" s="5"/>
      <c r="H81" s="5"/>
      <c r="I81" s="248"/>
      <c r="J81" s="5"/>
      <c r="K81" s="5"/>
      <c r="L81" s="5"/>
      <c r="M81" s="5"/>
      <c r="N81" s="5"/>
      <c r="O81" s="5"/>
      <c r="Q81" s="5"/>
      <c r="R81" s="5"/>
      <c r="S81" s="5"/>
    </row>
    <row r="82" spans="2:26">
      <c r="B82" s="41"/>
      <c r="C82" s="249"/>
      <c r="D82" s="249"/>
      <c r="E82" s="249"/>
      <c r="F82" s="249"/>
      <c r="G82" s="249"/>
      <c r="H82" s="249"/>
      <c r="I82" s="259"/>
      <c r="J82" s="249"/>
      <c r="K82" s="249"/>
      <c r="L82" s="249"/>
      <c r="M82" s="249"/>
      <c r="N82" s="249"/>
      <c r="O82" s="251"/>
      <c r="Q82" s="5"/>
      <c r="R82" s="5"/>
      <c r="S82" s="5"/>
    </row>
    <row r="83" spans="2:26">
      <c r="B83" s="5"/>
      <c r="C83" s="5"/>
      <c r="D83" s="248"/>
      <c r="E83" s="248"/>
      <c r="F83" s="248"/>
      <c r="G83" s="248"/>
      <c r="H83" s="248"/>
      <c r="I83" s="5"/>
      <c r="J83" s="248"/>
      <c r="K83" s="248"/>
      <c r="L83" s="248"/>
      <c r="M83" s="248"/>
      <c r="N83" s="248"/>
      <c r="O83" s="5"/>
      <c r="Q83" s="5"/>
      <c r="R83" s="5"/>
      <c r="S83" s="5"/>
    </row>
    <row r="84" spans="2:26">
      <c r="B84" s="5"/>
      <c r="C84" s="259"/>
      <c r="D84" s="259"/>
      <c r="E84" s="259"/>
      <c r="F84" s="259"/>
      <c r="G84" s="259"/>
      <c r="H84" s="259"/>
      <c r="I84" s="245"/>
      <c r="J84" s="259"/>
      <c r="K84" s="259"/>
      <c r="L84" s="259"/>
      <c r="M84" s="259"/>
      <c r="N84" s="259"/>
      <c r="O84" s="251"/>
      <c r="Q84" s="5"/>
      <c r="R84" s="5"/>
      <c r="S84" s="5"/>
    </row>
    <row r="85" spans="2:26">
      <c r="B85" s="41"/>
      <c r="C85" s="5"/>
      <c r="D85" s="5"/>
      <c r="E85" s="5"/>
      <c r="F85" s="5"/>
      <c r="G85" s="5"/>
      <c r="H85" s="5"/>
      <c r="I85" s="248"/>
      <c r="J85" s="5"/>
      <c r="K85" s="5"/>
      <c r="L85" s="5"/>
      <c r="M85" s="5"/>
      <c r="N85" s="5"/>
      <c r="O85" s="5"/>
      <c r="Q85" s="5"/>
      <c r="R85" s="5"/>
      <c r="S85" s="5"/>
    </row>
    <row r="86" spans="2:26">
      <c r="B86" s="41"/>
      <c r="C86" s="245"/>
      <c r="D86" s="245"/>
      <c r="E86" s="245"/>
      <c r="F86" s="245"/>
      <c r="G86" s="245"/>
      <c r="H86" s="245"/>
      <c r="I86" s="5"/>
      <c r="J86" s="245"/>
      <c r="K86" s="245"/>
      <c r="L86" s="245"/>
      <c r="M86" s="245"/>
      <c r="N86" s="245"/>
      <c r="O86" s="251"/>
      <c r="Q86" s="5"/>
      <c r="R86" s="5"/>
      <c r="S86" s="5"/>
    </row>
    <row r="87" spans="2:26">
      <c r="B87" s="5"/>
      <c r="C87" s="5"/>
      <c r="D87" s="248"/>
      <c r="E87" s="248"/>
      <c r="F87" s="248"/>
      <c r="G87" s="248"/>
      <c r="H87" s="248"/>
      <c r="I87" s="5"/>
      <c r="J87" s="248"/>
      <c r="K87" s="248"/>
      <c r="L87" s="248"/>
      <c r="M87" s="248"/>
      <c r="N87" s="248"/>
      <c r="O87" s="5"/>
      <c r="Q87" s="5"/>
      <c r="R87" s="5"/>
      <c r="S87" s="5"/>
    </row>
    <row r="88" spans="2:26">
      <c r="B88" s="41"/>
      <c r="C88" s="5"/>
      <c r="D88" s="5"/>
      <c r="E88" s="5"/>
      <c r="F88" s="5"/>
      <c r="G88" s="5"/>
      <c r="H88" s="5"/>
      <c r="I88" s="5"/>
      <c r="J88" s="5"/>
      <c r="K88" s="5"/>
      <c r="L88" s="5"/>
      <c r="M88" s="5"/>
      <c r="N88" s="5"/>
      <c r="O88" s="5"/>
      <c r="Q88" s="5"/>
      <c r="R88" s="5"/>
      <c r="S88" s="5"/>
    </row>
    <row r="89" spans="2:26">
      <c r="B89" s="41"/>
      <c r="C89" s="5"/>
      <c r="D89" s="5"/>
      <c r="E89" s="5"/>
      <c r="F89" s="5"/>
      <c r="G89" s="5"/>
      <c r="H89" s="5"/>
      <c r="I89" s="5"/>
      <c r="J89" s="5"/>
      <c r="K89" s="5"/>
      <c r="L89" s="5"/>
      <c r="M89" s="5"/>
      <c r="N89" s="5"/>
      <c r="O89" s="5"/>
      <c r="Q89" s="5"/>
      <c r="R89" s="5"/>
      <c r="S89" s="5"/>
    </row>
    <row r="90" spans="2:26">
      <c r="B90" s="41"/>
      <c r="C90" s="5"/>
      <c r="D90" s="5"/>
      <c r="E90" s="5"/>
      <c r="F90" s="5"/>
      <c r="G90" s="5"/>
      <c r="H90" s="5"/>
      <c r="I90" s="49"/>
      <c r="J90" s="5"/>
      <c r="K90" s="5"/>
      <c r="L90" s="5"/>
      <c r="M90" s="5"/>
      <c r="N90" s="5"/>
      <c r="O90" s="5"/>
      <c r="Q90" s="41"/>
      <c r="R90" s="5"/>
      <c r="S90" s="5"/>
    </row>
    <row r="91" spans="2:26">
      <c r="B91" s="5"/>
      <c r="C91" s="5"/>
      <c r="D91" s="5"/>
      <c r="E91" s="5"/>
      <c r="F91" s="5"/>
      <c r="G91" s="5"/>
      <c r="H91" s="5"/>
      <c r="I91" s="5"/>
      <c r="J91" s="5"/>
      <c r="K91" s="5"/>
      <c r="L91" s="5"/>
      <c r="M91" s="5"/>
      <c r="N91" s="5"/>
      <c r="O91" s="5"/>
      <c r="Q91" s="5"/>
      <c r="R91" s="5"/>
      <c r="S91" s="5"/>
    </row>
    <row r="92" spans="2:26">
      <c r="B92" s="41"/>
      <c r="C92" s="49"/>
      <c r="D92" s="49"/>
      <c r="E92" s="49"/>
      <c r="F92" s="49"/>
      <c r="G92" s="49"/>
      <c r="H92" s="49"/>
      <c r="I92" s="247"/>
      <c r="J92" s="49"/>
      <c r="K92" s="49"/>
      <c r="L92" s="49"/>
      <c r="M92" s="49"/>
      <c r="N92" s="49"/>
      <c r="O92" s="49"/>
      <c r="Q92" s="5"/>
      <c r="R92" s="5"/>
      <c r="S92" s="5"/>
      <c r="W92" s="21"/>
      <c r="X92" s="21"/>
    </row>
    <row r="93" spans="2:26">
      <c r="B93" s="5"/>
      <c r="C93" s="5"/>
      <c r="D93" s="5"/>
      <c r="E93" s="5"/>
      <c r="F93" s="5"/>
      <c r="G93" s="5"/>
      <c r="H93" s="5"/>
      <c r="I93" s="247"/>
      <c r="J93" s="5"/>
      <c r="K93" s="5"/>
      <c r="L93" s="5"/>
      <c r="M93" s="5"/>
      <c r="N93" s="5"/>
      <c r="O93" s="5"/>
      <c r="Q93" s="5"/>
      <c r="R93" s="5"/>
      <c r="S93" s="5"/>
      <c r="W93" s="21"/>
      <c r="X93" s="21"/>
      <c r="Y93" s="21"/>
      <c r="Z93" s="21"/>
    </row>
    <row r="94" spans="2:26">
      <c r="B94" s="5"/>
      <c r="C94" s="259"/>
      <c r="D94" s="247"/>
      <c r="E94" s="247"/>
      <c r="F94" s="247"/>
      <c r="G94" s="247"/>
      <c r="H94" s="247"/>
      <c r="I94" s="247"/>
      <c r="J94" s="247"/>
      <c r="K94" s="247"/>
      <c r="L94" s="247"/>
      <c r="M94" s="247"/>
      <c r="N94" s="247"/>
      <c r="O94" s="248"/>
      <c r="Q94" s="5"/>
      <c r="R94" s="5"/>
      <c r="S94" s="5"/>
      <c r="Y94" s="21"/>
      <c r="Z94" s="21"/>
    </row>
    <row r="95" spans="2:26">
      <c r="B95" s="5"/>
      <c r="C95" s="259"/>
      <c r="D95" s="247"/>
      <c r="E95" s="247"/>
      <c r="F95" s="247"/>
      <c r="G95" s="247"/>
      <c r="H95" s="247"/>
      <c r="I95" s="248"/>
      <c r="J95" s="247"/>
      <c r="K95" s="247"/>
      <c r="L95" s="247"/>
      <c r="M95" s="247"/>
      <c r="N95" s="247"/>
      <c r="O95" s="248"/>
      <c r="Q95" s="5"/>
      <c r="R95" s="5"/>
      <c r="S95" s="5"/>
    </row>
    <row r="96" spans="2:26">
      <c r="B96" s="5"/>
      <c r="C96" s="259"/>
      <c r="D96" s="247"/>
      <c r="E96" s="247"/>
      <c r="F96" s="247"/>
      <c r="G96" s="247"/>
      <c r="H96" s="247"/>
      <c r="I96" s="247"/>
      <c r="J96" s="247"/>
      <c r="K96" s="247"/>
      <c r="L96" s="247"/>
      <c r="M96" s="247"/>
      <c r="N96" s="247"/>
      <c r="O96" s="248"/>
      <c r="Q96" s="5"/>
      <c r="R96" s="5"/>
      <c r="S96" s="5"/>
    </row>
    <row r="97" spans="2:19">
      <c r="B97" s="5"/>
      <c r="C97" s="259"/>
      <c r="D97" s="248"/>
      <c r="E97" s="248"/>
      <c r="F97" s="248"/>
      <c r="G97" s="248"/>
      <c r="H97" s="248"/>
      <c r="I97" s="249"/>
      <c r="J97" s="248"/>
      <c r="K97" s="248"/>
      <c r="L97" s="248"/>
      <c r="M97" s="248"/>
      <c r="N97" s="248"/>
      <c r="O97" s="248"/>
      <c r="Q97" s="5"/>
      <c r="R97" s="5"/>
      <c r="S97" s="5"/>
    </row>
    <row r="98" spans="2:19">
      <c r="B98" s="5"/>
      <c r="C98" s="259"/>
      <c r="D98" s="247"/>
      <c r="E98" s="247"/>
      <c r="F98" s="247"/>
      <c r="G98" s="247"/>
      <c r="H98" s="247"/>
      <c r="I98" s="248"/>
      <c r="J98" s="247"/>
      <c r="K98" s="247"/>
      <c r="L98" s="247"/>
      <c r="M98" s="247"/>
      <c r="N98" s="247"/>
      <c r="O98" s="248"/>
      <c r="Q98" s="5"/>
      <c r="R98" s="5"/>
      <c r="S98" s="5"/>
    </row>
    <row r="99" spans="2:19">
      <c r="B99" s="41"/>
      <c r="C99" s="249"/>
      <c r="D99" s="249"/>
      <c r="E99" s="249"/>
      <c r="F99" s="249"/>
      <c r="G99" s="249"/>
      <c r="H99" s="249"/>
      <c r="I99" s="5"/>
      <c r="J99" s="249"/>
      <c r="K99" s="249"/>
      <c r="L99" s="249"/>
      <c r="M99" s="249"/>
      <c r="N99" s="249"/>
      <c r="O99" s="248"/>
      <c r="Q99" s="5"/>
      <c r="R99" s="5"/>
      <c r="S99" s="5"/>
    </row>
    <row r="100" spans="2:19">
      <c r="B100" s="41"/>
      <c r="C100" s="257"/>
      <c r="D100" s="248"/>
      <c r="E100" s="248"/>
      <c r="F100" s="248"/>
      <c r="G100" s="248"/>
      <c r="H100" s="248"/>
      <c r="I100" s="259"/>
      <c r="J100" s="248"/>
      <c r="K100" s="248"/>
      <c r="L100" s="248"/>
      <c r="M100" s="248"/>
      <c r="N100" s="248"/>
      <c r="O100" s="248"/>
      <c r="Q100" s="5"/>
      <c r="R100" s="5"/>
      <c r="S100" s="5"/>
    </row>
    <row r="101" spans="2:19" s="5" customFormat="1">
      <c r="B101" s="41"/>
      <c r="I101" s="259"/>
      <c r="O101" s="248"/>
      <c r="P101" s="39"/>
    </row>
    <row r="102" spans="2:19">
      <c r="B102" s="5"/>
      <c r="C102" s="259"/>
      <c r="D102" s="259"/>
      <c r="E102" s="259"/>
      <c r="F102" s="259"/>
      <c r="G102" s="259"/>
      <c r="H102" s="259"/>
      <c r="I102" s="247"/>
      <c r="J102" s="259"/>
      <c r="K102" s="259"/>
      <c r="L102" s="259"/>
      <c r="M102" s="259"/>
      <c r="N102" s="259"/>
      <c r="O102" s="5"/>
      <c r="Q102" s="5"/>
      <c r="R102" s="5"/>
      <c r="S102" s="5"/>
    </row>
    <row r="103" spans="2:19">
      <c r="B103" s="5"/>
      <c r="C103" s="259"/>
      <c r="D103" s="259"/>
      <c r="E103" s="259"/>
      <c r="F103" s="259"/>
      <c r="G103" s="259"/>
      <c r="H103" s="259"/>
      <c r="I103" s="5"/>
      <c r="J103" s="259"/>
      <c r="K103" s="259"/>
      <c r="L103" s="259"/>
      <c r="M103" s="259"/>
      <c r="N103" s="259"/>
      <c r="O103" s="5"/>
      <c r="P103" s="5"/>
      <c r="Q103" s="5"/>
      <c r="R103" s="5"/>
      <c r="S103" s="5"/>
    </row>
    <row r="104" spans="2:19">
      <c r="B104" s="5"/>
      <c r="C104" s="247"/>
      <c r="D104" s="247"/>
      <c r="E104" s="247"/>
      <c r="F104" s="247"/>
      <c r="G104" s="247"/>
      <c r="H104" s="247"/>
      <c r="I104" s="247"/>
      <c r="J104" s="247"/>
      <c r="K104" s="247"/>
      <c r="L104" s="247"/>
      <c r="M104" s="247"/>
      <c r="N104" s="247"/>
      <c r="O104" s="5"/>
      <c r="Q104" s="5"/>
      <c r="R104" s="5"/>
      <c r="S104" s="5"/>
    </row>
    <row r="105" spans="2:19" s="5" customFormat="1">
      <c r="P105" s="39"/>
    </row>
    <row r="106" spans="2:19" s="5" customFormat="1">
      <c r="C106" s="259"/>
      <c r="D106" s="247"/>
      <c r="E106" s="247"/>
      <c r="F106" s="247"/>
      <c r="G106" s="247"/>
      <c r="H106" s="247"/>
      <c r="I106" s="259"/>
      <c r="J106" s="247"/>
      <c r="K106" s="247"/>
      <c r="L106" s="247"/>
      <c r="M106" s="247"/>
      <c r="N106" s="247"/>
      <c r="P106" s="39"/>
    </row>
    <row r="107" spans="2:19">
      <c r="B107" s="5"/>
      <c r="C107" s="259"/>
      <c r="D107" s="5"/>
      <c r="E107" s="5"/>
      <c r="F107" s="5"/>
      <c r="G107" s="5"/>
      <c r="H107" s="5"/>
      <c r="I107" s="247"/>
      <c r="J107" s="5"/>
      <c r="K107" s="5"/>
      <c r="L107" s="5"/>
      <c r="M107" s="5"/>
      <c r="N107" s="5"/>
      <c r="O107" s="5"/>
      <c r="P107" s="5"/>
      <c r="Q107" s="5"/>
      <c r="R107" s="5"/>
      <c r="S107" s="5"/>
    </row>
    <row r="108" spans="2:19">
      <c r="B108" s="5"/>
      <c r="C108" s="259"/>
      <c r="D108" s="259"/>
      <c r="E108" s="259"/>
      <c r="F108" s="259"/>
      <c r="G108" s="259"/>
      <c r="H108" s="259"/>
      <c r="I108" s="249"/>
      <c r="J108" s="259"/>
      <c r="K108" s="259"/>
      <c r="L108" s="259"/>
      <c r="M108" s="259"/>
      <c r="N108" s="259"/>
      <c r="O108" s="5"/>
      <c r="P108" s="5"/>
      <c r="Q108" s="5"/>
      <c r="R108" s="5"/>
      <c r="S108" s="5"/>
    </row>
    <row r="109" spans="2:19">
      <c r="B109" s="5"/>
      <c r="C109" s="247"/>
      <c r="D109" s="247"/>
      <c r="E109" s="247"/>
      <c r="F109" s="247"/>
      <c r="G109" s="247"/>
      <c r="H109" s="247"/>
      <c r="I109" s="249"/>
      <c r="J109" s="247"/>
      <c r="K109" s="247"/>
      <c r="L109" s="247"/>
      <c r="M109" s="247"/>
      <c r="N109" s="247"/>
      <c r="O109" s="5"/>
      <c r="Q109" s="5"/>
      <c r="R109" s="5"/>
      <c r="S109" s="5"/>
    </row>
    <row r="110" spans="2:19">
      <c r="B110" s="41"/>
      <c r="C110" s="249"/>
      <c r="D110" s="249"/>
      <c r="E110" s="249"/>
      <c r="F110" s="249"/>
      <c r="G110" s="249"/>
      <c r="H110" s="249"/>
      <c r="I110" s="247"/>
      <c r="J110" s="249"/>
      <c r="K110" s="249"/>
      <c r="L110" s="249"/>
      <c r="M110" s="249"/>
      <c r="N110" s="249"/>
      <c r="O110" s="5"/>
      <c r="Q110" s="5"/>
      <c r="R110" s="5"/>
      <c r="S110" s="5"/>
    </row>
    <row r="111" spans="2:19">
      <c r="B111" s="5"/>
      <c r="C111" s="249"/>
      <c r="D111" s="249"/>
      <c r="E111" s="249"/>
      <c r="F111" s="249"/>
      <c r="G111" s="249"/>
      <c r="H111" s="249"/>
      <c r="I111" s="5"/>
      <c r="J111" s="249"/>
      <c r="K111" s="249"/>
      <c r="L111" s="249"/>
      <c r="M111" s="249"/>
      <c r="N111" s="249"/>
      <c r="O111" s="5"/>
      <c r="Q111" s="5"/>
      <c r="R111" s="5"/>
      <c r="S111" s="5"/>
    </row>
    <row r="112" spans="2:19">
      <c r="B112" s="5"/>
      <c r="C112" s="247"/>
      <c r="D112" s="247"/>
      <c r="E112" s="247"/>
      <c r="F112" s="247"/>
      <c r="G112" s="247"/>
      <c r="H112" s="247"/>
      <c r="I112" s="5"/>
      <c r="J112" s="247"/>
      <c r="K112" s="247"/>
      <c r="L112" s="247"/>
      <c r="M112" s="247"/>
      <c r="N112" s="247"/>
      <c r="O112" s="5"/>
      <c r="Q112" s="5"/>
      <c r="R112" s="5"/>
      <c r="S112" s="5"/>
    </row>
    <row r="113" spans="2:19">
      <c r="B113" s="5"/>
      <c r="C113" s="5"/>
      <c r="D113" s="5"/>
      <c r="E113" s="5"/>
      <c r="F113" s="5"/>
      <c r="G113" s="5"/>
      <c r="H113" s="5"/>
      <c r="I113" s="5"/>
      <c r="J113" s="5"/>
      <c r="K113" s="5"/>
      <c r="L113" s="5"/>
      <c r="M113" s="5"/>
      <c r="N113" s="5"/>
      <c r="O113" s="5"/>
      <c r="Q113" s="5"/>
      <c r="R113" s="5"/>
      <c r="S113" s="5"/>
    </row>
    <row r="114" spans="2:19">
      <c r="B114" s="5"/>
      <c r="C114" s="5"/>
      <c r="D114" s="5"/>
      <c r="E114" s="5"/>
      <c r="F114" s="5"/>
      <c r="G114" s="5"/>
      <c r="H114" s="5"/>
      <c r="I114" s="5"/>
      <c r="J114" s="5"/>
      <c r="K114" s="5"/>
      <c r="L114" s="5"/>
      <c r="M114" s="5"/>
      <c r="N114" s="5"/>
      <c r="O114" s="5"/>
      <c r="Q114" s="5"/>
      <c r="R114" s="5"/>
      <c r="S114" s="5"/>
    </row>
    <row r="115" spans="2:19">
      <c r="B115" s="5"/>
      <c r="C115" s="5"/>
      <c r="D115" s="5"/>
      <c r="E115" s="5"/>
      <c r="F115" s="5"/>
      <c r="G115" s="5"/>
      <c r="H115" s="5"/>
      <c r="I115" s="49"/>
      <c r="J115" s="5"/>
      <c r="K115" s="5"/>
      <c r="L115" s="5"/>
      <c r="M115" s="5"/>
      <c r="N115" s="5"/>
      <c r="O115" s="5"/>
      <c r="Q115" s="41"/>
      <c r="R115" s="5"/>
      <c r="S115" s="5"/>
    </row>
    <row r="116" spans="2:19">
      <c r="B116" s="5"/>
      <c r="C116" s="5"/>
      <c r="D116" s="5"/>
      <c r="E116" s="5"/>
      <c r="F116" s="5"/>
      <c r="G116" s="5"/>
      <c r="H116" s="5"/>
      <c r="I116" s="5"/>
      <c r="J116" s="5"/>
      <c r="K116" s="5"/>
      <c r="L116" s="5"/>
      <c r="M116" s="5"/>
      <c r="N116" s="5"/>
      <c r="O116" s="5"/>
      <c r="Q116" s="5"/>
      <c r="R116" s="5"/>
      <c r="S116" s="5"/>
    </row>
    <row r="117" spans="2:19">
      <c r="B117" s="41"/>
      <c r="C117" s="49"/>
      <c r="D117" s="49"/>
      <c r="E117" s="49"/>
      <c r="F117" s="49"/>
      <c r="G117" s="49"/>
      <c r="H117" s="49"/>
      <c r="I117" s="254"/>
      <c r="J117" s="49"/>
      <c r="K117" s="49"/>
      <c r="L117" s="49"/>
      <c r="M117" s="49"/>
      <c r="N117" s="49"/>
      <c r="O117" s="49"/>
      <c r="Q117" s="5"/>
      <c r="R117" s="5"/>
      <c r="S117" s="5"/>
    </row>
    <row r="118" spans="2:19">
      <c r="B118" s="5"/>
      <c r="C118" s="5"/>
      <c r="D118" s="5"/>
      <c r="E118" s="5"/>
      <c r="F118" s="5"/>
      <c r="G118" s="5"/>
      <c r="H118" s="5"/>
      <c r="I118" s="249"/>
      <c r="J118" s="5"/>
      <c r="K118" s="5"/>
      <c r="L118" s="5"/>
      <c r="M118" s="5"/>
      <c r="N118" s="5"/>
      <c r="O118" s="5"/>
      <c r="Q118" s="5"/>
      <c r="R118" s="5"/>
      <c r="S118" s="5"/>
    </row>
    <row r="119" spans="2:19">
      <c r="B119" s="41"/>
      <c r="C119" s="254"/>
      <c r="D119" s="254"/>
      <c r="E119" s="254"/>
      <c r="F119" s="254"/>
      <c r="G119" s="254"/>
      <c r="H119" s="254"/>
      <c r="I119" s="254"/>
      <c r="J119" s="254"/>
      <c r="K119" s="254"/>
      <c r="L119" s="254"/>
      <c r="M119" s="254"/>
      <c r="N119" s="254"/>
      <c r="O119" s="248"/>
      <c r="Q119" s="5"/>
      <c r="R119" s="5"/>
      <c r="S119" s="5"/>
    </row>
    <row r="120" spans="2:19">
      <c r="B120" s="41"/>
      <c r="C120" s="254"/>
      <c r="D120" s="249"/>
      <c r="E120" s="249"/>
      <c r="F120" s="249"/>
      <c r="G120" s="249"/>
      <c r="H120" s="249"/>
      <c r="I120" s="254"/>
      <c r="J120" s="249"/>
      <c r="K120" s="249"/>
      <c r="L120" s="249"/>
      <c r="M120" s="249"/>
      <c r="N120" s="249"/>
      <c r="O120" s="248"/>
      <c r="Q120" s="5"/>
      <c r="R120" s="5"/>
      <c r="S120" s="5"/>
    </row>
    <row r="121" spans="2:19">
      <c r="B121" s="41"/>
      <c r="C121" s="254"/>
      <c r="D121" s="254"/>
      <c r="E121" s="254"/>
      <c r="F121" s="254"/>
      <c r="G121" s="254"/>
      <c r="H121" s="254"/>
      <c r="I121" s="254"/>
      <c r="J121" s="254"/>
      <c r="K121" s="254"/>
      <c r="L121" s="254"/>
      <c r="M121" s="254"/>
      <c r="N121" s="254"/>
      <c r="O121" s="248"/>
      <c r="Q121" s="5"/>
      <c r="R121" s="5"/>
      <c r="S121" s="5"/>
    </row>
    <row r="122" spans="2:19">
      <c r="B122" s="41"/>
      <c r="C122" s="254"/>
      <c r="D122" s="254"/>
      <c r="E122" s="254"/>
      <c r="F122" s="254"/>
      <c r="G122" s="254"/>
      <c r="H122" s="254"/>
      <c r="I122" s="254"/>
      <c r="J122" s="254"/>
      <c r="K122" s="254"/>
      <c r="L122" s="254"/>
      <c r="M122" s="254"/>
      <c r="N122" s="254"/>
      <c r="O122" s="248"/>
      <c r="Q122" s="5"/>
      <c r="R122" s="5"/>
      <c r="S122" s="5"/>
    </row>
    <row r="123" spans="2:19">
      <c r="B123" s="41"/>
      <c r="C123" s="254"/>
      <c r="D123" s="254"/>
      <c r="E123" s="254"/>
      <c r="F123" s="254"/>
      <c r="G123" s="254"/>
      <c r="H123" s="254"/>
      <c r="I123" s="254"/>
      <c r="J123" s="254"/>
      <c r="K123" s="254"/>
      <c r="L123" s="254"/>
      <c r="M123" s="254"/>
      <c r="N123" s="254"/>
      <c r="O123" s="248"/>
      <c r="Q123" s="5"/>
      <c r="R123" s="5"/>
      <c r="S123" s="5"/>
    </row>
    <row r="124" spans="2:19">
      <c r="B124" s="41"/>
      <c r="C124" s="254"/>
      <c r="D124" s="254"/>
      <c r="E124" s="254"/>
      <c r="F124" s="254"/>
      <c r="G124" s="254"/>
      <c r="H124" s="254"/>
      <c r="I124" s="254"/>
      <c r="J124" s="254"/>
      <c r="K124" s="254"/>
      <c r="L124" s="254"/>
      <c r="M124" s="254"/>
      <c r="N124" s="254"/>
      <c r="O124" s="248"/>
      <c r="Q124" s="5"/>
      <c r="R124" s="5"/>
      <c r="S124" s="5"/>
    </row>
    <row r="125" spans="2:19">
      <c r="B125" s="41"/>
      <c r="C125" s="254"/>
      <c r="D125" s="254"/>
      <c r="E125" s="254"/>
      <c r="F125" s="254"/>
      <c r="G125" s="254"/>
      <c r="H125" s="254"/>
      <c r="I125" s="254"/>
      <c r="J125" s="254"/>
      <c r="K125" s="254"/>
      <c r="L125" s="254"/>
      <c r="M125" s="254"/>
      <c r="N125" s="254"/>
      <c r="O125" s="5"/>
      <c r="Q125" s="5"/>
      <c r="R125" s="5"/>
      <c r="S125" s="5"/>
    </row>
    <row r="126" spans="2:19">
      <c r="B126" s="41"/>
      <c r="C126" s="254"/>
      <c r="D126" s="254"/>
      <c r="E126" s="254"/>
      <c r="F126" s="254"/>
      <c r="G126" s="254"/>
      <c r="H126" s="254"/>
      <c r="I126" s="254"/>
      <c r="J126" s="254"/>
      <c r="K126" s="254"/>
      <c r="L126" s="254"/>
      <c r="M126" s="254"/>
      <c r="N126" s="254"/>
      <c r="O126" s="5"/>
      <c r="Q126" s="5"/>
      <c r="R126" s="5"/>
      <c r="S126" s="5"/>
    </row>
    <row r="127" spans="2:19">
      <c r="B127" s="41"/>
      <c r="C127" s="254"/>
      <c r="D127" s="254"/>
      <c r="E127" s="254"/>
      <c r="F127" s="254"/>
      <c r="G127" s="254"/>
      <c r="H127" s="254"/>
      <c r="I127" s="18"/>
      <c r="J127" s="254"/>
      <c r="K127" s="254"/>
      <c r="L127" s="254"/>
      <c r="M127" s="254"/>
      <c r="N127" s="254"/>
      <c r="O127" s="5"/>
      <c r="Q127" s="5"/>
      <c r="R127" s="5"/>
      <c r="S127" s="5"/>
    </row>
    <row r="128" spans="2:19">
      <c r="B128" s="41"/>
      <c r="C128" s="254"/>
      <c r="D128" s="254"/>
      <c r="E128" s="254"/>
      <c r="F128" s="254"/>
      <c r="G128" s="254"/>
      <c r="H128" s="254"/>
      <c r="I128" s="5"/>
      <c r="J128" s="254"/>
      <c r="K128" s="254"/>
      <c r="L128" s="254"/>
      <c r="M128" s="254"/>
      <c r="N128" s="254"/>
      <c r="O128" s="5"/>
      <c r="Q128" s="5"/>
      <c r="R128" s="5"/>
      <c r="S128" s="5"/>
    </row>
    <row r="129" spans="2:27">
      <c r="B129" s="5"/>
      <c r="C129" s="5"/>
      <c r="D129" s="18"/>
      <c r="E129" s="18"/>
      <c r="F129" s="18"/>
      <c r="G129" s="18"/>
      <c r="H129" s="18"/>
      <c r="I129" s="254"/>
      <c r="J129" s="18"/>
      <c r="K129" s="18"/>
      <c r="L129" s="18"/>
      <c r="M129" s="18"/>
      <c r="N129" s="18"/>
      <c r="O129" s="5"/>
      <c r="Q129" s="5"/>
      <c r="R129" s="5"/>
      <c r="S129" s="5"/>
    </row>
    <row r="130" spans="2:27">
      <c r="B130" s="5"/>
      <c r="C130" s="5"/>
      <c r="D130" s="5"/>
      <c r="E130" s="5"/>
      <c r="F130" s="5"/>
      <c r="G130" s="5"/>
      <c r="H130" s="5"/>
      <c r="I130" s="18"/>
      <c r="J130" s="5"/>
      <c r="K130" s="5"/>
      <c r="L130" s="5"/>
      <c r="M130" s="5"/>
      <c r="N130" s="5"/>
      <c r="O130" s="5"/>
      <c r="Q130" s="5"/>
      <c r="R130" s="5"/>
      <c r="S130" s="5"/>
    </row>
    <row r="131" spans="2:27">
      <c r="B131" s="41"/>
      <c r="C131" s="254"/>
      <c r="D131" s="254"/>
      <c r="E131" s="254"/>
      <c r="F131" s="254"/>
      <c r="G131" s="254"/>
      <c r="H131" s="254"/>
      <c r="I131" s="5"/>
      <c r="J131" s="254"/>
      <c r="K131" s="254"/>
      <c r="L131" s="254"/>
      <c r="M131" s="254"/>
      <c r="N131" s="254"/>
      <c r="O131" s="5"/>
      <c r="Q131" s="5"/>
      <c r="R131" s="5"/>
      <c r="S131" s="5"/>
    </row>
    <row r="132" spans="2:27">
      <c r="B132" s="5"/>
      <c r="C132" s="259"/>
      <c r="D132" s="18"/>
      <c r="E132" s="18"/>
      <c r="F132" s="18"/>
      <c r="G132" s="18"/>
      <c r="H132" s="18"/>
      <c r="I132" s="5"/>
      <c r="J132" s="18"/>
      <c r="K132" s="18"/>
      <c r="L132" s="18"/>
      <c r="M132" s="18"/>
      <c r="N132" s="18"/>
      <c r="O132" s="5"/>
      <c r="Q132" s="5"/>
      <c r="R132" s="5"/>
      <c r="S132" s="5"/>
    </row>
    <row r="133" spans="2:27">
      <c r="B133" s="5"/>
      <c r="C133" s="5"/>
      <c r="D133" s="5"/>
      <c r="E133" s="5"/>
      <c r="F133" s="5"/>
      <c r="G133" s="5"/>
      <c r="H133" s="5"/>
      <c r="I133" s="17"/>
      <c r="J133" s="5"/>
      <c r="K133" s="5"/>
      <c r="L133" s="5"/>
      <c r="M133" s="5"/>
      <c r="N133" s="5"/>
      <c r="O133" s="5"/>
      <c r="Q133" s="5"/>
      <c r="R133" s="5"/>
      <c r="S133" s="5"/>
    </row>
    <row r="134" spans="2:27">
      <c r="B134" s="41"/>
      <c r="C134" s="5"/>
      <c r="D134" s="5"/>
      <c r="E134" s="5"/>
      <c r="F134" s="5"/>
      <c r="G134" s="5"/>
      <c r="H134" s="5"/>
      <c r="I134" s="17"/>
      <c r="J134" s="5"/>
      <c r="K134" s="5"/>
      <c r="L134" s="5"/>
      <c r="M134" s="5"/>
      <c r="N134" s="5"/>
      <c r="O134" s="5"/>
      <c r="Q134" s="5"/>
      <c r="R134" s="5"/>
      <c r="S134" s="5"/>
    </row>
    <row r="135" spans="2:27">
      <c r="B135" s="5"/>
      <c r="C135" s="17"/>
      <c r="D135" s="17"/>
      <c r="E135" s="17"/>
      <c r="F135" s="17"/>
      <c r="G135" s="17"/>
      <c r="H135" s="17"/>
      <c r="I135" s="17"/>
      <c r="J135" s="17"/>
      <c r="K135" s="17"/>
      <c r="L135" s="17"/>
      <c r="M135" s="17"/>
      <c r="N135" s="17"/>
      <c r="O135" s="5"/>
      <c r="Q135" s="41"/>
      <c r="R135" s="5"/>
      <c r="S135" s="5"/>
    </row>
    <row r="136" spans="2:27">
      <c r="B136" s="5"/>
      <c r="C136" s="17"/>
      <c r="D136" s="17"/>
      <c r="E136" s="17"/>
      <c r="F136" s="17"/>
      <c r="G136" s="17"/>
      <c r="H136" s="17"/>
      <c r="I136" s="17"/>
      <c r="J136" s="17"/>
      <c r="K136" s="17"/>
      <c r="L136" s="17"/>
      <c r="M136" s="17"/>
      <c r="N136" s="17"/>
      <c r="O136" s="5"/>
      <c r="Q136" s="5"/>
      <c r="R136" s="5"/>
      <c r="S136" s="5"/>
      <c r="X136" s="304"/>
    </row>
    <row r="137" spans="2:27">
      <c r="B137" s="5"/>
      <c r="C137" s="5"/>
      <c r="D137" s="17"/>
      <c r="E137" s="17"/>
      <c r="F137" s="17"/>
      <c r="G137" s="17"/>
      <c r="H137" s="17"/>
      <c r="I137" s="17"/>
      <c r="J137" s="17"/>
      <c r="K137" s="17"/>
      <c r="L137" s="17"/>
      <c r="M137" s="17"/>
      <c r="N137" s="17"/>
      <c r="O137" s="5"/>
      <c r="Q137" s="5"/>
      <c r="R137" s="5"/>
      <c r="S137" s="5"/>
      <c r="X137" s="10"/>
      <c r="Y137" s="304"/>
      <c r="Z137" s="304"/>
      <c r="AA137" s="304"/>
    </row>
    <row r="138" spans="2:27">
      <c r="B138" s="5"/>
      <c r="C138" s="5"/>
      <c r="D138" s="17"/>
      <c r="E138" s="17"/>
      <c r="F138" s="17"/>
      <c r="G138" s="17"/>
      <c r="H138" s="17"/>
      <c r="I138" s="17"/>
      <c r="J138" s="17"/>
      <c r="K138" s="17"/>
      <c r="L138" s="17"/>
      <c r="M138" s="17"/>
      <c r="N138" s="17"/>
      <c r="O138" s="5"/>
      <c r="Q138" s="5"/>
      <c r="R138" s="5"/>
      <c r="S138" s="5"/>
      <c r="Y138" s="10"/>
      <c r="Z138" s="10"/>
      <c r="AA138" s="10"/>
    </row>
    <row r="139" spans="2:27">
      <c r="B139" s="5"/>
      <c r="C139" s="5"/>
      <c r="D139" s="17"/>
      <c r="E139" s="17"/>
      <c r="F139" s="17"/>
      <c r="G139" s="17"/>
      <c r="H139" s="17"/>
      <c r="I139" s="5"/>
      <c r="J139" s="17"/>
      <c r="K139" s="17"/>
      <c r="L139" s="17"/>
      <c r="M139" s="17"/>
      <c r="N139" s="17"/>
      <c r="O139" s="5"/>
      <c r="Q139" s="5"/>
      <c r="R139" s="5"/>
      <c r="S139" s="5"/>
    </row>
    <row r="140" spans="2:27">
      <c r="B140" s="5"/>
      <c r="C140" s="17"/>
      <c r="D140" s="17"/>
      <c r="E140" s="17"/>
      <c r="F140" s="17"/>
      <c r="G140" s="17"/>
      <c r="H140" s="17"/>
      <c r="I140" s="5"/>
      <c r="J140" s="17"/>
      <c r="K140" s="17"/>
      <c r="L140" s="17"/>
      <c r="M140" s="17"/>
      <c r="N140" s="17"/>
      <c r="O140" s="5"/>
      <c r="Q140" s="5"/>
      <c r="R140" s="5"/>
      <c r="S140" s="5"/>
    </row>
    <row r="141" spans="2:27">
      <c r="B141" s="5"/>
      <c r="C141" s="5"/>
      <c r="D141" s="5"/>
      <c r="E141" s="5"/>
      <c r="F141" s="5"/>
      <c r="G141" s="5"/>
      <c r="H141" s="5"/>
      <c r="I141" s="5"/>
      <c r="J141" s="5"/>
      <c r="K141" s="5"/>
      <c r="L141" s="5"/>
      <c r="M141" s="5"/>
      <c r="N141" s="5"/>
      <c r="O141" s="5"/>
      <c r="Q141" s="5"/>
      <c r="R141" s="5"/>
      <c r="S141" s="5"/>
    </row>
    <row r="142" spans="2:27">
      <c r="B142" s="5"/>
      <c r="C142" s="5"/>
      <c r="D142" s="5"/>
      <c r="E142" s="5"/>
      <c r="F142" s="5"/>
      <c r="G142" s="5"/>
      <c r="H142" s="5"/>
      <c r="I142" s="5"/>
      <c r="J142" s="5"/>
      <c r="K142" s="5"/>
      <c r="L142" s="5"/>
      <c r="M142" s="5"/>
      <c r="N142" s="5"/>
      <c r="O142" s="5"/>
      <c r="Q142" s="5"/>
      <c r="R142" s="5"/>
      <c r="S142" s="5"/>
    </row>
    <row r="143" spans="2:27">
      <c r="B143" s="5"/>
      <c r="C143" s="5"/>
      <c r="D143" s="5"/>
      <c r="E143" s="5"/>
      <c r="F143" s="5"/>
      <c r="G143" s="5"/>
      <c r="H143" s="5"/>
      <c r="I143" s="5"/>
      <c r="J143" s="5"/>
      <c r="K143" s="5"/>
      <c r="L143" s="5"/>
      <c r="M143" s="5"/>
      <c r="N143" s="5"/>
      <c r="O143" s="5"/>
      <c r="Q143" s="5"/>
      <c r="R143" s="5"/>
      <c r="S143" s="5"/>
    </row>
    <row r="144" spans="2:27">
      <c r="B144" s="5"/>
      <c r="C144" s="5"/>
      <c r="D144" s="5"/>
      <c r="E144" s="5"/>
      <c r="F144" s="5"/>
      <c r="G144" s="5"/>
      <c r="H144" s="5"/>
      <c r="I144" s="5"/>
      <c r="J144" s="5"/>
      <c r="K144" s="5"/>
      <c r="L144" s="5"/>
      <c r="M144" s="5"/>
      <c r="N144" s="5"/>
      <c r="O144" s="5"/>
      <c r="Q144" s="5"/>
      <c r="R144" s="5"/>
      <c r="S144" s="5"/>
    </row>
    <row r="145" spans="2:19">
      <c r="B145" s="5"/>
      <c r="C145" s="5"/>
      <c r="D145" s="5"/>
      <c r="E145" s="5"/>
      <c r="F145" s="5"/>
      <c r="G145" s="5"/>
      <c r="H145" s="5"/>
      <c r="I145" s="5"/>
      <c r="J145" s="5"/>
      <c r="K145" s="5"/>
      <c r="L145" s="5"/>
      <c r="M145" s="5"/>
      <c r="N145" s="5"/>
      <c r="O145" s="5"/>
      <c r="Q145" s="5"/>
      <c r="R145" s="5"/>
      <c r="S145" s="5"/>
    </row>
    <row r="146" spans="2:19">
      <c r="B146" s="5"/>
      <c r="C146" s="5"/>
      <c r="D146" s="5"/>
      <c r="E146" s="5"/>
      <c r="F146" s="5"/>
      <c r="G146" s="5"/>
      <c r="H146" s="5"/>
      <c r="I146" s="5"/>
      <c r="J146" s="5"/>
      <c r="K146" s="5"/>
      <c r="L146" s="5"/>
      <c r="M146" s="5"/>
      <c r="N146" s="5"/>
      <c r="O146" s="5"/>
      <c r="Q146" s="5"/>
      <c r="R146" s="5"/>
      <c r="S146" s="5"/>
    </row>
    <row r="147" spans="2:19">
      <c r="B147" s="5"/>
      <c r="C147" s="5"/>
      <c r="D147" s="5"/>
      <c r="E147" s="5"/>
      <c r="F147" s="5"/>
      <c r="G147" s="5"/>
      <c r="H147" s="5"/>
      <c r="I147" s="5"/>
      <c r="J147" s="5"/>
      <c r="K147" s="5"/>
      <c r="L147" s="5"/>
      <c r="M147" s="5"/>
      <c r="N147" s="5"/>
      <c r="O147" s="5"/>
      <c r="Q147" s="5"/>
      <c r="R147" s="5"/>
      <c r="S147" s="5"/>
    </row>
    <row r="148" spans="2:19">
      <c r="B148" s="5"/>
      <c r="C148" s="5"/>
      <c r="D148" s="5"/>
      <c r="E148" s="5"/>
      <c r="F148" s="5"/>
      <c r="G148" s="5"/>
      <c r="H148" s="5"/>
      <c r="I148" s="5"/>
      <c r="J148" s="5"/>
      <c r="K148" s="5"/>
      <c r="L148" s="5"/>
      <c r="M148" s="5"/>
      <c r="N148" s="5"/>
      <c r="O148" s="5"/>
      <c r="Q148" s="5"/>
      <c r="R148" s="5"/>
      <c r="S148" s="5"/>
    </row>
    <row r="149" spans="2:19">
      <c r="B149" s="5"/>
      <c r="C149" s="5"/>
      <c r="D149" s="5"/>
      <c r="E149" s="5"/>
      <c r="F149" s="5"/>
      <c r="G149" s="5"/>
      <c r="H149" s="5"/>
      <c r="J149" s="5"/>
      <c r="K149" s="5"/>
      <c r="L149" s="5"/>
      <c r="M149" s="5"/>
      <c r="N149" s="5"/>
      <c r="O149" s="5"/>
      <c r="Q149" s="5"/>
      <c r="R149" s="5"/>
      <c r="S149" s="5"/>
    </row>
    <row r="150" spans="2:19">
      <c r="B150" s="5"/>
      <c r="C150" s="5"/>
      <c r="D150" s="5"/>
      <c r="E150" s="5"/>
      <c r="F150" s="5"/>
      <c r="G150" s="5"/>
      <c r="H150" s="5"/>
      <c r="J150" s="5"/>
      <c r="K150" s="5"/>
      <c r="L150" s="5"/>
      <c r="M150" s="5"/>
      <c r="N150" s="5"/>
      <c r="O150" s="5"/>
      <c r="Q150" s="5"/>
      <c r="R150" s="5"/>
      <c r="S150" s="5"/>
    </row>
    <row r="151" spans="2:19">
      <c r="Q151" s="5"/>
      <c r="R151" s="5"/>
      <c r="S151" s="5"/>
    </row>
    <row r="152" spans="2:19">
      <c r="Q152" s="5"/>
      <c r="R152" s="5"/>
      <c r="S152" s="5"/>
    </row>
    <row r="153" spans="2:19">
      <c r="C153" s="263"/>
      <c r="Q153" s="5"/>
      <c r="R153" s="5"/>
      <c r="S153" s="5"/>
    </row>
    <row r="154" spans="2:19">
      <c r="Q154" s="5"/>
      <c r="R154" s="5"/>
      <c r="S154" s="5"/>
    </row>
    <row r="155" spans="2:19">
      <c r="Q155" s="5"/>
      <c r="R155" s="5"/>
      <c r="S155" s="5"/>
    </row>
    <row r="156" spans="2:19">
      <c r="Q156" s="5"/>
      <c r="R156" s="5"/>
      <c r="S156" s="5"/>
    </row>
    <row r="157" spans="2:19">
      <c r="Q157" s="5"/>
      <c r="R157" s="5"/>
      <c r="S157" s="5"/>
    </row>
    <row r="158" spans="2:19">
      <c r="Q158" s="5"/>
      <c r="R158" s="5"/>
      <c r="S158" s="5"/>
    </row>
    <row r="159" spans="2:19">
      <c r="Q159" s="5"/>
      <c r="R159" s="5"/>
      <c r="S159" s="5"/>
    </row>
    <row r="160" spans="2:19">
      <c r="Q160" s="5"/>
      <c r="R160" s="5"/>
      <c r="S160" s="5"/>
    </row>
    <row r="161" spans="17:19">
      <c r="Q161" s="5"/>
      <c r="R161" s="5"/>
      <c r="S161" s="5"/>
    </row>
    <row r="162" spans="17:19">
      <c r="Q162" s="5"/>
      <c r="R162" s="5"/>
      <c r="S162" s="5"/>
    </row>
    <row r="163" spans="17:19">
      <c r="Q163" s="5"/>
      <c r="R163" s="5"/>
      <c r="S163" s="5"/>
    </row>
    <row r="164" spans="17:19">
      <c r="Q164" s="5"/>
      <c r="R164" s="5"/>
      <c r="S164" s="5"/>
    </row>
    <row r="165" spans="17:19">
      <c r="Q165" s="5"/>
      <c r="R165" s="5"/>
      <c r="S165" s="5"/>
    </row>
  </sheetData>
  <pageMargins left="0.75" right="0.75" top="1" bottom="1" header="0.5" footer="0.5"/>
  <pageSetup scale="71" orientation="landscape" r:id="rId1"/>
  <headerFooter alignWithMargins="0"/>
  <drawing r:id="rId2"/>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A00-000000000000}">
  <sheetPr codeName="Sheet139">
    <tabColor theme="3" tint="0.59999389629810485"/>
    <pageSetUpPr fitToPage="1"/>
  </sheetPr>
  <dimension ref="B1:BK164"/>
  <sheetViews>
    <sheetView showGridLines="0" zoomScale="80" zoomScaleNormal="80" workbookViewId="0"/>
  </sheetViews>
  <sheetFormatPr defaultColWidth="8.88671875" defaultRowHeight="12"/>
  <cols>
    <col min="1" max="1" width="2.33203125" style="39" customWidth="1"/>
    <col min="2" max="2" width="26.6640625" style="39" customWidth="1"/>
    <col min="3" max="9" width="10" style="39" customWidth="1"/>
    <col min="10" max="10" width="26.6640625" style="39" customWidth="1"/>
    <col min="11" max="16" width="10" style="39" customWidth="1"/>
    <col min="17" max="17" width="4.5546875" style="39" customWidth="1"/>
    <col min="18" max="20" width="8.88671875" style="39"/>
    <col min="21" max="21" width="3.6640625" style="39" customWidth="1"/>
    <col min="22" max="63" width="9.109375" style="5" customWidth="1"/>
    <col min="64" max="16384" width="8.88671875" style="39"/>
  </cols>
  <sheetData>
    <row r="1" spans="2:63" s="312" customFormat="1">
      <c r="V1" s="149"/>
      <c r="W1" s="149"/>
      <c r="X1" s="149"/>
      <c r="Y1" s="149"/>
      <c r="Z1" s="149"/>
      <c r="AA1" s="149"/>
      <c r="AB1" s="149"/>
      <c r="AC1" s="149"/>
      <c r="AD1" s="149"/>
      <c r="AE1" s="149"/>
      <c r="AF1" s="149"/>
      <c r="AG1" s="149"/>
      <c r="AH1" s="149"/>
      <c r="AI1" s="149"/>
      <c r="AJ1" s="149"/>
      <c r="AK1" s="149"/>
      <c r="AL1" s="149"/>
      <c r="AM1" s="149"/>
      <c r="AN1" s="149"/>
      <c r="AO1" s="149"/>
      <c r="AP1" s="149"/>
      <c r="AQ1" s="149"/>
      <c r="AR1" s="149"/>
      <c r="AS1" s="149"/>
      <c r="AT1" s="149"/>
      <c r="AU1" s="149"/>
      <c r="AV1" s="149"/>
      <c r="AW1" s="149"/>
      <c r="AX1" s="149"/>
      <c r="AY1" s="149"/>
      <c r="AZ1" s="149"/>
      <c r="BA1" s="149"/>
      <c r="BB1" s="149"/>
      <c r="BC1" s="149"/>
      <c r="BD1" s="149"/>
      <c r="BE1" s="149"/>
      <c r="BF1" s="149"/>
      <c r="BG1" s="149"/>
      <c r="BH1" s="149"/>
      <c r="BI1" s="149"/>
      <c r="BJ1" s="149"/>
      <c r="BK1" s="149"/>
    </row>
    <row r="2" spans="2:63" s="312" customFormat="1">
      <c r="V2" s="149"/>
      <c r="W2" s="149"/>
      <c r="X2" s="149"/>
      <c r="Y2" s="149"/>
      <c r="Z2" s="149"/>
      <c r="AA2" s="149"/>
      <c r="AB2" s="149"/>
      <c r="AC2" s="149"/>
      <c r="AD2" s="149"/>
      <c r="AE2" s="149"/>
      <c r="AF2" s="149"/>
      <c r="AG2" s="149"/>
      <c r="AH2" s="149"/>
      <c r="AI2" s="149"/>
      <c r="AJ2" s="149"/>
      <c r="AK2" s="149"/>
      <c r="AL2" s="149"/>
      <c r="AM2" s="149"/>
      <c r="AN2" s="149"/>
      <c r="AO2" s="149"/>
      <c r="AP2" s="149"/>
      <c r="AQ2" s="149"/>
      <c r="AR2" s="149"/>
      <c r="AS2" s="149"/>
      <c r="AT2" s="149"/>
      <c r="AU2" s="149"/>
      <c r="AV2" s="149"/>
      <c r="AW2" s="149"/>
      <c r="AX2" s="149"/>
      <c r="AY2" s="149"/>
      <c r="AZ2" s="149"/>
      <c r="BA2" s="149"/>
      <c r="BB2" s="149"/>
      <c r="BC2" s="149"/>
      <c r="BD2" s="149"/>
      <c r="BE2" s="149"/>
      <c r="BF2" s="149"/>
      <c r="BG2" s="149"/>
      <c r="BH2" s="149"/>
      <c r="BI2" s="149"/>
      <c r="BJ2" s="149"/>
      <c r="BK2" s="149"/>
    </row>
    <row r="3" spans="2:63" s="149" customFormat="1">
      <c r="H3" s="153"/>
      <c r="P3" s="153"/>
    </row>
    <row r="4" spans="2:63" s="156" customFormat="1" ht="21">
      <c r="B4" s="129" t="s">
        <v>172</v>
      </c>
      <c r="H4" s="222"/>
      <c r="P4" s="222"/>
    </row>
    <row r="5" spans="2:63" s="149" customFormat="1">
      <c r="C5" s="153"/>
      <c r="D5" s="153" t="str" cm="1">
        <f t="array" ref="D5:H5">headings</f>
        <v>2023E</v>
      </c>
      <c r="E5" s="153" t="str">
        <v>2024E</v>
      </c>
      <c r="F5" s="153" t="str">
        <v>2025E</v>
      </c>
      <c r="G5" s="153" t="str">
        <v>2026E</v>
      </c>
      <c r="H5" s="153" t="str">
        <v>23E-26E</v>
      </c>
      <c r="I5" s="153"/>
      <c r="J5" s="153"/>
      <c r="K5" s="153"/>
      <c r="L5" s="153" t="str" cm="1">
        <f t="array" ref="L5:P5">headings</f>
        <v>2023E</v>
      </c>
      <c r="M5" s="153" t="str">
        <v>2024E</v>
      </c>
      <c r="N5" s="153" t="str">
        <v>2025E</v>
      </c>
      <c r="O5" s="153" t="str">
        <v>2026E</v>
      </c>
      <c r="P5" s="153" t="str">
        <v>23E-26E</v>
      </c>
      <c r="Q5" s="162"/>
      <c r="R5" s="162"/>
      <c r="S5" s="162"/>
      <c r="T5" s="162"/>
      <c r="U5" s="162"/>
      <c r="V5" s="162"/>
      <c r="W5" s="162"/>
      <c r="X5" s="162"/>
      <c r="Y5" s="162"/>
    </row>
    <row r="6" spans="2:63">
      <c r="I6" s="5"/>
      <c r="J6" s="5"/>
      <c r="K6" s="5"/>
      <c r="L6" s="5"/>
      <c r="M6" s="5"/>
      <c r="N6" s="5"/>
      <c r="O6" s="49"/>
    </row>
    <row r="7" spans="2:63" ht="12.6" thickBot="1">
      <c r="B7" s="306" t="s">
        <v>271</v>
      </c>
      <c r="C7" s="265"/>
      <c r="D7" s="265"/>
      <c r="E7" s="265"/>
      <c r="F7" s="265"/>
      <c r="G7" s="265"/>
      <c r="H7" s="265"/>
      <c r="I7" s="49"/>
      <c r="J7" s="306" t="s">
        <v>510</v>
      </c>
      <c r="K7" s="306"/>
      <c r="L7" s="306"/>
      <c r="M7" s="306"/>
      <c r="N7" s="266"/>
      <c r="O7" s="266"/>
      <c r="P7" s="266"/>
    </row>
    <row r="8" spans="2:63" ht="12.6" thickTop="1">
      <c r="B8" s="5"/>
      <c r="C8" s="5"/>
      <c r="D8" s="5"/>
      <c r="E8" s="5"/>
      <c r="F8" s="5"/>
      <c r="G8" s="5"/>
      <c r="H8" s="5"/>
      <c r="I8" s="5"/>
      <c r="J8" s="5"/>
      <c r="K8" s="5"/>
      <c r="L8" s="5"/>
      <c r="M8" s="5"/>
      <c r="N8" s="5"/>
    </row>
    <row r="9" spans="2:63">
      <c r="B9" s="41" t="s">
        <v>500</v>
      </c>
      <c r="C9" s="287"/>
      <c r="D9" s="5"/>
      <c r="E9" s="249"/>
      <c r="F9" s="249"/>
      <c r="G9" s="249"/>
      <c r="H9" s="249"/>
      <c r="I9" s="249"/>
      <c r="J9" s="5" t="s">
        <v>273</v>
      </c>
      <c r="L9" s="64">
        <f>'EM INCUMB'!D37</f>
        <v>77.390130364881429</v>
      </c>
      <c r="M9" s="64">
        <f>'EM INCUMB'!E37</f>
        <v>72.512941061391317</v>
      </c>
      <c r="N9" s="64">
        <f>'EM INCUMB'!F37</f>
        <v>62.400788137070009</v>
      </c>
      <c r="O9" s="64">
        <f>'EM INCUMB'!G37</f>
        <v>53.058255887060461</v>
      </c>
      <c r="P9" s="17">
        <f>'EM INCUMB'!H37</f>
        <v>4.1231626442215452E-2</v>
      </c>
    </row>
    <row r="10" spans="2:63">
      <c r="B10" s="5" t="s">
        <v>274</v>
      </c>
      <c r="C10" s="5"/>
      <c r="D10" s="332"/>
      <c r="E10" s="332"/>
      <c r="F10" s="332"/>
      <c r="G10" s="332"/>
      <c r="H10" s="247"/>
      <c r="I10" s="247"/>
      <c r="J10" s="5" t="s">
        <v>184</v>
      </c>
      <c r="L10" s="64">
        <f>'EM INCUMB'!D38</f>
        <v>251.76312581207961</v>
      </c>
      <c r="M10" s="64">
        <f>'EM INCUMB'!E38</f>
        <v>235.47331923446734</v>
      </c>
      <c r="N10" s="64">
        <f>'EM INCUMB'!F38</f>
        <v>202.08803624698223</v>
      </c>
      <c r="O10" s="64">
        <f>'EM INCUMB'!G38</f>
        <v>170.59019208597164</v>
      </c>
      <c r="P10" s="17">
        <f>'EM INCUMB'!H38</f>
        <v>4.5319782471582526E-2</v>
      </c>
      <c r="W10" s="10"/>
      <c r="X10" s="10"/>
      <c r="Y10" s="10"/>
      <c r="Z10" s="10"/>
    </row>
    <row r="11" spans="2:63">
      <c r="B11" s="41" t="s">
        <v>359</v>
      </c>
      <c r="C11" s="5"/>
      <c r="D11" s="271">
        <f>AMX!D11+(OIBR!D11/Prices!$C$160)+(VIVO!D11/Prices!$C$160)+TVIS!D11</f>
        <v>67798.413640060637</v>
      </c>
      <c r="E11" s="271">
        <f>AMX!E11+(OIBR!E11/Prices!$C$160)+(VIVO!E11/Prices!$C$160)+TVIS!E11</f>
        <v>66087.313378001039</v>
      </c>
      <c r="F11" s="271">
        <f>AMX!F11+(OIBR!F11/Prices!$C$160)+(VIVO!F11/Prices!$C$160)+TVIS!F11</f>
        <v>63952.89306352954</v>
      </c>
      <c r="G11" s="271">
        <f>AMX!G11+(OIBR!G11/Prices!$C$160)+(VIVO!G11/Prices!$C$160)+TVIS!G11</f>
        <v>61791.742670440144</v>
      </c>
      <c r="H11" s="249"/>
      <c r="I11" s="249"/>
      <c r="J11" s="5" t="s">
        <v>185</v>
      </c>
      <c r="L11" s="64">
        <f>'EM INCUMB'!D39</f>
        <v>633.79269108992571</v>
      </c>
      <c r="M11" s="64">
        <f>'EM INCUMB'!E39</f>
        <v>519.97663465590415</v>
      </c>
      <c r="N11" s="64">
        <f>'EM INCUMB'!F39</f>
        <v>421.98747207824152</v>
      </c>
      <c r="O11" s="64">
        <f>'EM INCUMB'!G39</f>
        <v>339.87458306214415</v>
      </c>
      <c r="P11" s="17">
        <f>'EM INCUMB'!H39</f>
        <v>0.13008903497063584</v>
      </c>
      <c r="W11" s="10"/>
      <c r="X11" s="10"/>
      <c r="Y11" s="10"/>
      <c r="Z11" s="10"/>
    </row>
    <row r="12" spans="2:63">
      <c r="B12" s="5" t="s">
        <v>229</v>
      </c>
      <c r="C12" s="249"/>
      <c r="D12" s="228">
        <f>AMX!D12+(OIBR!D12/Prices!$C$160)+(VIVO!D12/Prices!$C$160)+TVIS!D12</f>
        <v>38758.020768842645</v>
      </c>
      <c r="E12" s="228">
        <f>AMX!E12+(OIBR!E12/Prices!$C$160)+(VIVO!E12/Prices!$C$160)+TVIS!E12</f>
        <v>38708.586506822059</v>
      </c>
      <c r="F12" s="228">
        <f>AMX!F12+(OIBR!F12/Prices!$C$160)+(VIVO!F12/Prices!$C$160)+TVIS!F12</f>
        <v>37327.82847131462</v>
      </c>
      <c r="G12" s="228">
        <f>AMX!G12+(OIBR!G12/Prices!$C$160)+(VIVO!G12/Prices!$C$160)+TVIS!G12</f>
        <v>36809.782559058156</v>
      </c>
      <c r="H12" s="247"/>
      <c r="I12" s="247"/>
      <c r="J12" s="5" t="s">
        <v>466</v>
      </c>
      <c r="L12" s="64">
        <f>'EM INCUMB'!D40</f>
        <v>892.97096758269697</v>
      </c>
      <c r="M12" s="64">
        <f>'EM INCUMB'!E40</f>
        <v>705.80398591621361</v>
      </c>
      <c r="N12" s="64">
        <f>'EM INCUMB'!F40</f>
        <v>571.3100453625151</v>
      </c>
      <c r="O12" s="64">
        <f>'EM INCUMB'!G40</f>
        <v>458.33681098022043</v>
      </c>
      <c r="P12" s="17">
        <f>'EM INCUMB'!H40</f>
        <v>0.14671109623312839</v>
      </c>
      <c r="W12" s="10"/>
      <c r="X12" s="10"/>
      <c r="Y12" s="10"/>
      <c r="Z12" s="10"/>
    </row>
    <row r="13" spans="2:63">
      <c r="B13" s="5" t="s">
        <v>529</v>
      </c>
      <c r="C13" s="257"/>
      <c r="D13" s="228">
        <f>AMX!D13+(OIBR!D13/Prices!$C$160)+(VIVO!D13/Prices!$C$160)+TVIS!D13</f>
        <v>7746.7163649655959</v>
      </c>
      <c r="E13" s="228">
        <f>AMX!E13+(OIBR!E13/Prices!$C$160)+(VIVO!E13/Prices!$C$160)+TVIS!E13</f>
        <v>7746.7163649655959</v>
      </c>
      <c r="F13" s="228">
        <f>AMX!F13+(OIBR!F13/Prices!$C$160)+(VIVO!F13/Prices!$C$160)+TVIS!F13</f>
        <v>7746.7163649655959</v>
      </c>
      <c r="G13" s="228">
        <f>AMX!G13+(OIBR!G13/Prices!$C$160)+(VIVO!G13/Prices!$C$160)+TVIS!G13</f>
        <v>7746.7163649655959</v>
      </c>
      <c r="H13" s="247"/>
      <c r="I13" s="247"/>
      <c r="J13" s="5" t="s">
        <v>530</v>
      </c>
      <c r="L13" s="64">
        <f>'EM INCUMB'!D41</f>
        <v>73.192015654274968</v>
      </c>
      <c r="M13" s="64">
        <f>'EM INCUMB'!E41</f>
        <v>72.225901315613712</v>
      </c>
      <c r="N13" s="64">
        <f>'EM INCUMB'!F41</f>
        <v>65.390223329659477</v>
      </c>
      <c r="O13" s="64">
        <f>'EM INCUMB'!G41</f>
        <v>57.627095382058755</v>
      </c>
      <c r="P13" s="17">
        <f>'EM INCUMB'!H41</f>
        <v>-5.7044998568572813E-3</v>
      </c>
    </row>
    <row r="14" spans="2:63">
      <c r="B14" s="5" t="s">
        <v>532</v>
      </c>
      <c r="C14" s="274"/>
      <c r="D14" s="228">
        <f>AMX!D14+(OIBR!D14/Prices!$C$160)+(VIVO!D14/Prices!$C$160)+TVIS!D14</f>
        <v>6060.678127413229</v>
      </c>
      <c r="E14" s="228">
        <f>AMX!E14+(OIBR!E14/Prices!$C$160)+(VIVO!E14/Prices!$C$160)+TVIS!E14</f>
        <v>6371.2672762048433</v>
      </c>
      <c r="F14" s="228">
        <f>AMX!F14+(OIBR!F14/Prices!$C$160)+(VIVO!F14/Prices!$C$160)+TVIS!F14</f>
        <v>6371.2672762048433</v>
      </c>
      <c r="G14" s="228">
        <f>AMX!G14+(OIBR!G14/Prices!$C$160)+(VIVO!G14/Prices!$C$160)+TVIS!G14</f>
        <v>6371.2672762048433</v>
      </c>
      <c r="H14" s="247"/>
      <c r="I14" s="247"/>
      <c r="J14" s="5" t="s">
        <v>593</v>
      </c>
      <c r="L14" s="64">
        <f>'EM INCUMB'!D42</f>
        <v>92.154024734754898</v>
      </c>
      <c r="M14" s="64">
        <f>'EM INCUMB'!E42</f>
        <v>92.71619293829275</v>
      </c>
      <c r="N14" s="64">
        <f>'EM INCUMB'!F42</f>
        <v>85.347970481322818</v>
      </c>
      <c r="O14" s="64">
        <f>'EM INCUMB'!G42</f>
        <v>80.686740973878528</v>
      </c>
      <c r="P14" s="17">
        <f>'EM INCUMB'!H42</f>
        <v>-4.0288882333939902E-2</v>
      </c>
    </row>
    <row r="15" spans="2:63">
      <c r="B15" s="5" t="s">
        <v>531</v>
      </c>
      <c r="C15" s="257"/>
      <c r="D15" s="228">
        <f>AMX!D15+(OIBR!D15/Prices!$C$160)+(VIVO!D15/Prices!$C$160)+TVIS!D15</f>
        <v>3692.0884903664369</v>
      </c>
      <c r="E15" s="228">
        <f>AMX!E15+(OIBR!E15/Prices!$C$160)+(VIVO!E15/Prices!$C$160)+TVIS!E15</f>
        <v>3740.6180448651266</v>
      </c>
      <c r="F15" s="228">
        <f>AMX!F15+(OIBR!F15/Prices!$C$160)+(VIVO!F15/Prices!$C$160)+TVIS!F15</f>
        <v>3740.6180448651266</v>
      </c>
      <c r="G15" s="228">
        <f>AMX!G15+(OIBR!G15/Prices!$C$160)+(VIVO!G15/Prices!$C$160)+TVIS!G15</f>
        <v>3740.6180448651266</v>
      </c>
      <c r="H15" s="247"/>
      <c r="I15" s="247"/>
      <c r="J15" s="5" t="s">
        <v>475</v>
      </c>
      <c r="L15" s="64">
        <f>'EM INCUMB'!D43</f>
        <v>14.54326315160441</v>
      </c>
      <c r="M15" s="64">
        <f>'EM INCUMB'!E43</f>
        <v>10.729515399031095</v>
      </c>
      <c r="N15" s="64">
        <f>'EM INCUMB'!F43</f>
        <v>9.0923319720800446</v>
      </c>
      <c r="O15" s="64">
        <f>'EM INCUMB'!G43</f>
        <v>7.8418571106094896</v>
      </c>
      <c r="P15" s="17">
        <f>'EM INCUMB'!H43</f>
        <v>0.21725098476735072</v>
      </c>
      <c r="S15" s="88"/>
      <c r="T15" s="88"/>
      <c r="U15" s="88"/>
      <c r="V15" s="42"/>
      <c r="W15" s="42"/>
      <c r="X15" s="42"/>
      <c r="Y15" s="42"/>
      <c r="Z15" s="42"/>
      <c r="AA15" s="42"/>
    </row>
    <row r="16" spans="2:63">
      <c r="B16" s="5" t="s">
        <v>534</v>
      </c>
      <c r="C16" s="257"/>
      <c r="D16" s="228">
        <f>AMX!D16+(OIBR!D16/Prices!$C$160)+(VIVO!D16/Prices!$C$160)+TVIS!D16</f>
        <v>1524.1908354530383</v>
      </c>
      <c r="E16" s="228">
        <f>AMX!E16+(OIBR!E16/Prices!$C$160)+(VIVO!E16/Prices!$C$160)+TVIS!E16</f>
        <v>4507.0123038022857</v>
      </c>
      <c r="F16" s="228">
        <f>AMX!F16+(OIBR!F16/Prices!$C$160)+(VIVO!F16/Prices!$C$160)+TVIS!F16</f>
        <v>7763.50032314703</v>
      </c>
      <c r="G16" s="228">
        <f>AMX!G16+(OIBR!G16/Prices!$C$160)+(VIVO!G16/Prices!$C$160)+TVIS!G16</f>
        <v>11260.715915469509</v>
      </c>
      <c r="H16" s="247"/>
      <c r="I16" s="247"/>
      <c r="J16" s="5" t="s">
        <v>533</v>
      </c>
      <c r="L16" s="64">
        <f>'EM INCUMB'!D44</f>
        <v>634.01902759549682</v>
      </c>
      <c r="M16" s="64">
        <f>'EM INCUMB'!E44</f>
        <v>553.37622650460344</v>
      </c>
      <c r="N16" s="64">
        <f>'EM INCUMB'!F44</f>
        <v>480.19823322626689</v>
      </c>
      <c r="O16" s="64">
        <f>'EM INCUMB'!G44</f>
        <v>413.04467594801395</v>
      </c>
      <c r="P16" s="17">
        <f>'EM INCUMB'!H44</f>
        <v>0.16110061170195666</v>
      </c>
      <c r="S16" s="88"/>
      <c r="T16" s="88"/>
      <c r="U16" s="88"/>
      <c r="V16" s="42"/>
      <c r="W16" s="42"/>
      <c r="X16" s="42"/>
      <c r="Y16" s="42"/>
      <c r="Z16" s="42"/>
      <c r="AA16" s="42"/>
    </row>
    <row r="17" spans="2:27">
      <c r="B17" s="5" t="s">
        <v>6</v>
      </c>
      <c r="C17" s="257"/>
      <c r="D17" s="228">
        <f>AMX!D17+(OIBR!D17/Prices!$C$160)+(VIVO!D17/Prices!$C$160)+TVIS!D17</f>
        <v>737.79270425623474</v>
      </c>
      <c r="E17" s="228">
        <f>AMX!E17+(OIBR!E17/Prices!$C$160)+(VIVO!E17/Prices!$C$160)+TVIS!E17</f>
        <v>644.48133190611907</v>
      </c>
      <c r="F17" s="228">
        <f>AMX!F17+(OIBR!F17/Prices!$C$160)+(VIVO!F17/Prices!$C$160)+TVIS!F17</f>
        <v>637.50608357835165</v>
      </c>
      <c r="G17" s="228">
        <f>AMX!G17+(OIBR!G17/Prices!$C$160)+(VIVO!G17/Prices!$C$160)+TVIS!G17</f>
        <v>720.74567848341565</v>
      </c>
      <c r="H17" s="247"/>
      <c r="I17" s="247"/>
      <c r="J17" s="5" t="s">
        <v>580</v>
      </c>
      <c r="L17" s="248">
        <f>'EM INCUMB'!D45</f>
        <v>1.0345069302667427E-3</v>
      </c>
      <c r="M17" s="248">
        <f>'EM INCUMB'!E45</f>
        <v>1.1346526117121838E-3</v>
      </c>
      <c r="N17" s="248">
        <f>'EM INCUMB'!F45</f>
        <v>1.3193330533490405E-3</v>
      </c>
      <c r="O17" s="248">
        <f>'EM INCUMB'!G45</f>
        <v>1.5335766283768081E-3</v>
      </c>
      <c r="P17" s="17">
        <f>'EM INCUMB'!H45</f>
        <v>0.14769227496166182</v>
      </c>
      <c r="S17" s="88"/>
      <c r="T17" s="88"/>
      <c r="U17" s="88"/>
      <c r="V17" s="42"/>
      <c r="W17" s="42"/>
      <c r="X17" s="42"/>
      <c r="Y17" s="42"/>
      <c r="Z17" s="42"/>
      <c r="AA17" s="42"/>
    </row>
    <row r="18" spans="2:27" ht="12.6" thickBot="1">
      <c r="B18" s="41" t="s">
        <v>360</v>
      </c>
      <c r="C18" s="249"/>
      <c r="D18" s="275">
        <f>AMX!D18+(OIBR!D18/Prices!$C$160)+(VIVO!D18/Prices!$C$160)+TVIS!D18</f>
        <v>108510.19770776019</v>
      </c>
      <c r="E18" s="275">
        <f>AMX!E18+(OIBR!E18/Prices!$C$160)+(VIVO!E18/Prices!$C$160)+TVIS!E18</f>
        <v>103934.02283435661</v>
      </c>
      <c r="F18" s="275">
        <f>AMX!F18+(OIBR!F18/Prices!$C$160)+(VIVO!F18/Prices!$C$160)+TVIS!F18</f>
        <v>97520.377874672922</v>
      </c>
      <c r="G18" s="275">
        <f>AMX!G18+(OIBR!G18/Prices!$C$160)+(VIVO!G18/Prices!$C$160)+TVIS!G18</f>
        <v>91627.569620670823</v>
      </c>
      <c r="H18" s="276">
        <f>IF(D18=0,"nm",IF(G18=0,"nm",(G18/D18)^(1/3)-1))</f>
        <v>-5.4811263836839874E-2</v>
      </c>
      <c r="I18" s="254"/>
      <c r="J18" s="5" t="s">
        <v>36</v>
      </c>
      <c r="L18" s="248">
        <f>'EM INCUMB'!D46</f>
        <v>1.0374108915053846E-3</v>
      </c>
      <c r="M18" s="248">
        <f>'EM INCUMB'!E46</f>
        <v>1.1367413289027294E-3</v>
      </c>
      <c r="N18" s="248">
        <f>'EM INCUMB'!F46</f>
        <v>1.2682363145756529E-3</v>
      </c>
      <c r="O18" s="248">
        <f>'EM INCUMB'!G46</f>
        <v>1.7427990175788118E-3</v>
      </c>
      <c r="P18" s="17">
        <f>'EM INCUMB'!H46</f>
        <v>0.19655757517991312</v>
      </c>
      <c r="S18" s="88"/>
      <c r="T18" s="88"/>
      <c r="U18" s="88"/>
      <c r="V18" s="42"/>
      <c r="W18" s="42"/>
      <c r="X18" s="42"/>
      <c r="Y18" s="42"/>
      <c r="Z18" s="42"/>
      <c r="AA18" s="42"/>
    </row>
    <row r="19" spans="2:27" ht="12.6" thickTop="1">
      <c r="B19" s="41"/>
      <c r="C19" s="249"/>
      <c r="D19" s="229"/>
      <c r="E19" s="229"/>
      <c r="F19" s="229"/>
      <c r="G19" s="229"/>
      <c r="H19" s="276"/>
      <c r="I19" s="17"/>
      <c r="J19" s="5" t="s">
        <v>581</v>
      </c>
      <c r="L19" s="248">
        <f>'EM INCUMB'!D47</f>
        <v>6.8760359320712713E-2</v>
      </c>
      <c r="M19" s="248">
        <f>'EM INCUMB'!E47</f>
        <v>9.3200854168148425E-2</v>
      </c>
      <c r="N19" s="248">
        <f>'EM INCUMB'!F47</f>
        <v>0.10998278583214015</v>
      </c>
      <c r="O19" s="248">
        <f>'EM INCUMB'!G47</f>
        <v>0.12752081374284024</v>
      </c>
      <c r="P19" s="17">
        <f>'EM INCUMB'!H47</f>
        <v>0.21725098476735072</v>
      </c>
      <c r="S19" s="88"/>
      <c r="T19" s="88"/>
      <c r="U19" s="88"/>
      <c r="V19" s="42"/>
      <c r="W19" s="42"/>
      <c r="X19" s="42"/>
      <c r="Y19" s="42"/>
      <c r="Z19" s="42"/>
      <c r="AA19" s="42"/>
    </row>
    <row r="20" spans="2:27">
      <c r="H20" s="277"/>
      <c r="I20" s="49"/>
      <c r="J20" s="5" t="s">
        <v>604</v>
      </c>
      <c r="L20" s="248">
        <f>'EM INCUMB'!D48</f>
        <v>0.64455315794230339</v>
      </c>
      <c r="M20" s="248">
        <f>'EM INCUMB'!E48</f>
        <v>0.5360729455694393</v>
      </c>
      <c r="N20" s="248">
        <f>'EM INCUMB'!F48</f>
        <v>0.53346452793261268</v>
      </c>
      <c r="O20" s="248">
        <f>'EM INCUMB'!G48</f>
        <v>0.54024992115500903</v>
      </c>
      <c r="P20" s="17" t="str">
        <f>'EM INCUMB'!H48</f>
        <v>nm</v>
      </c>
      <c r="S20" s="42"/>
      <c r="T20" s="42"/>
      <c r="U20" s="42"/>
      <c r="V20" s="42"/>
      <c r="W20" s="42"/>
      <c r="X20" s="42"/>
      <c r="Y20" s="42"/>
      <c r="Z20" s="42"/>
      <c r="AA20" s="42"/>
    </row>
    <row r="21" spans="2:27" ht="12.6" thickBot="1">
      <c r="B21" s="306" t="s">
        <v>482</v>
      </c>
      <c r="C21" s="265">
        <v>2020</v>
      </c>
      <c r="D21" s="265" t="str">
        <f>D5</f>
        <v>2023E</v>
      </c>
      <c r="E21" s="265" t="str">
        <f>E5</f>
        <v>2024E</v>
      </c>
      <c r="F21" s="265" t="str">
        <f>F5</f>
        <v>2025E</v>
      </c>
      <c r="G21" s="265" t="str">
        <f>G5</f>
        <v>2026E</v>
      </c>
      <c r="H21" s="282" t="str">
        <f>H5</f>
        <v>23E-26E</v>
      </c>
      <c r="I21" s="17"/>
      <c r="S21" s="42"/>
      <c r="T21" s="42"/>
      <c r="U21" s="42"/>
      <c r="V21" s="42"/>
      <c r="W21" s="42"/>
      <c r="X21" s="42"/>
      <c r="Y21" s="42"/>
      <c r="Z21" s="42"/>
      <c r="AA21" s="42"/>
    </row>
    <row r="22" spans="2:27" ht="12.6" thickTop="1">
      <c r="B22" s="5"/>
      <c r="C22" s="257"/>
      <c r="D22" s="17"/>
      <c r="E22" s="17"/>
      <c r="F22" s="17"/>
      <c r="G22" s="17"/>
      <c r="H22" s="17"/>
      <c r="I22" s="247"/>
      <c r="P22" s="277"/>
      <c r="S22" s="42"/>
      <c r="T22" s="42"/>
      <c r="U22" s="42"/>
      <c r="V22" s="42"/>
      <c r="W22" s="42"/>
      <c r="X22" s="42"/>
      <c r="Y22" s="42"/>
      <c r="Z22" s="42"/>
      <c r="AA22" s="42"/>
    </row>
    <row r="23" spans="2:27" ht="12.6" thickBot="1">
      <c r="B23" s="5" t="s">
        <v>584</v>
      </c>
      <c r="C23" s="365">
        <f>AMX!C23+(OIBR!C23/Prices!$C$160)+(VIVO!C23/Prices!$C$160)+TVIS!C23</f>
        <v>59783.077007628373</v>
      </c>
      <c r="D23" s="228">
        <f>AMX!D23+(OIBR!D23/Prices!$C$160)+(VIVO!D23/Prices!$C$160)+TVIS!D23</f>
        <v>64762.981505761702</v>
      </c>
      <c r="E23" s="228">
        <f>AMX!E23+(OIBR!E23/Prices!$C$160)+(VIVO!E23/Prices!$C$160)+TVIS!E23</f>
        <v>67428.88073030638</v>
      </c>
      <c r="F23" s="228">
        <f>AMX!F23+(OIBR!F23/Prices!$C$160)+(VIVO!F23/Prices!$C$160)+TVIS!F23</f>
        <v>69395.297185834541</v>
      </c>
      <c r="G23" s="228">
        <f>AMX!G23+(OIBR!G23/Prices!$C$160)+(VIVO!G23/Prices!$C$160)+TVIS!G23</f>
        <v>71240.562093570799</v>
      </c>
      <c r="H23" s="279">
        <f t="shared" ref="H23:H33" si="0">IF(D23=0,"nm",IF(G23=0,"nm",(G23/D23)^(1/3)-1))</f>
        <v>3.2286309728766227E-2</v>
      </c>
      <c r="I23" s="249"/>
      <c r="J23" s="306" t="s">
        <v>9</v>
      </c>
      <c r="K23" s="306"/>
      <c r="L23" s="265" t="str">
        <f>L5</f>
        <v>2023E</v>
      </c>
      <c r="M23" s="265" t="str">
        <f>M5</f>
        <v>2024E</v>
      </c>
      <c r="N23" s="265" t="str">
        <f>N5</f>
        <v>2025E</v>
      </c>
      <c r="O23" s="265" t="str">
        <f>O5</f>
        <v>2026E</v>
      </c>
      <c r="P23" s="282" t="str">
        <f>P5</f>
        <v>23E-26E</v>
      </c>
      <c r="S23" s="42"/>
      <c r="T23" s="42"/>
      <c r="U23" s="42"/>
      <c r="V23" s="42"/>
      <c r="W23" s="42" t="s">
        <v>173</v>
      </c>
      <c r="X23" s="42" t="s">
        <v>561</v>
      </c>
      <c r="Y23" s="42"/>
      <c r="Z23" s="42"/>
      <c r="AA23" s="42"/>
    </row>
    <row r="24" spans="2:27" ht="12.6" thickTop="1">
      <c r="B24" s="5" t="s">
        <v>483</v>
      </c>
      <c r="C24" s="365">
        <f>AMX!C24+(OIBR!C24/Prices!$C$160)+(VIVO!C24/Prices!$C$160)+TVIS!C24</f>
        <v>22276.286415684503</v>
      </c>
      <c r="D24" s="228">
        <f>AMX!D24+(OIBR!D24/Prices!$C$160)+(VIVO!D24/Prices!$C$160)+TVIS!D24</f>
        <v>24454.938768276385</v>
      </c>
      <c r="E24" s="228">
        <f>AMX!E24+(OIBR!E24/Prices!$C$160)+(VIVO!E24/Prices!$C$160)+TVIS!E24</f>
        <v>26054.74938867446</v>
      </c>
      <c r="F24" s="228">
        <f>AMX!F24+(OIBR!F24/Prices!$C$160)+(VIVO!F24/Prices!$C$160)+TVIS!F24</f>
        <v>27365.865522036151</v>
      </c>
      <c r="G24" s="228">
        <f>AMX!G24+(OIBR!G24/Prices!$C$160)+(VIVO!G24/Prices!$C$160)+TVIS!G24</f>
        <v>28516.024913069741</v>
      </c>
      <c r="H24" s="279">
        <f t="shared" si="0"/>
        <v>5.2545313573403529E-2</v>
      </c>
      <c r="I24" s="248"/>
      <c r="J24" s="17"/>
      <c r="K24" s="17"/>
      <c r="L24" s="17"/>
      <c r="M24" s="17"/>
      <c r="N24" s="17"/>
      <c r="O24" s="248"/>
      <c r="S24" s="42"/>
      <c r="T24" s="42"/>
      <c r="U24" s="42"/>
      <c r="V24" s="147" t="s">
        <v>273</v>
      </c>
      <c r="W24" s="288">
        <f t="shared" ref="W24:W31" si="1">E37/M9</f>
        <v>2.1256720709146491E-2</v>
      </c>
      <c r="X24" s="288">
        <v>1</v>
      </c>
      <c r="Y24" s="42"/>
      <c r="Z24" s="42"/>
      <c r="AA24" s="42"/>
    </row>
    <row r="25" spans="2:27">
      <c r="B25" s="5" t="s">
        <v>183</v>
      </c>
      <c r="C25" s="365">
        <f>AMX!C25+(OIBR!C25/Prices!$C$160)+(VIVO!C25/Prices!$C$160)+TVIS!C25</f>
        <v>10020.769337130439</v>
      </c>
      <c r="D25" s="228">
        <f>AMX!D25+(OIBR!D25/Prices!$C$160)+(VIVO!D25/Prices!$C$160)+TVIS!D25</f>
        <v>12362.301762020261</v>
      </c>
      <c r="E25" s="228">
        <f>AMX!E25+(OIBR!E25/Prices!$C$160)+(VIVO!E25/Prices!$C$160)+TVIS!E25</f>
        <v>14697.055455532041</v>
      </c>
      <c r="F25" s="228">
        <f>AMX!F25+(OIBR!F25/Prices!$C$160)+(VIVO!F25/Prices!$C$160)+TVIS!F25</f>
        <v>16431.935827337566</v>
      </c>
      <c r="G25" s="228">
        <f>AMX!G25+(OIBR!G25/Prices!$C$160)+(VIVO!G25/Prices!$C$160)+TVIS!G25</f>
        <v>18017.059409122259</v>
      </c>
      <c r="H25" s="279">
        <f t="shared" si="0"/>
        <v>0.13377842924611083</v>
      </c>
      <c r="I25" s="249"/>
      <c r="J25" s="247" t="s">
        <v>10</v>
      </c>
      <c r="K25" s="247"/>
      <c r="L25" s="332">
        <f>AMX!L25+(OIBR!L25/Prices!$C$160)+(VIVO!L25/Prices!$C$160)+TVIS!L25</f>
        <v>13554.929969684572</v>
      </c>
      <c r="M25" s="332">
        <f>AMX!M25+(OIBR!M25/Prices!$C$160)+(VIVO!M25/Prices!$C$160)+TVIS!M25</f>
        <v>13554.929969684572</v>
      </c>
      <c r="N25" s="332">
        <f>AMX!N25+(OIBR!N25/Prices!$C$160)+(VIVO!N25/Prices!$C$160)+TVIS!N25</f>
        <v>13554.929969684572</v>
      </c>
      <c r="O25" s="332">
        <f>AMX!O25+(OIBR!O25/Prices!$C$160)+(VIVO!O25/Prices!$C$160)+TVIS!O25</f>
        <v>13554.929969684572</v>
      </c>
      <c r="P25" s="279">
        <f>IF(L25=0,"nm",IF(O25=0,"nm",(O25/L25)^(1/3)-1))</f>
        <v>0</v>
      </c>
      <c r="Q25" s="5"/>
      <c r="S25" s="42"/>
      <c r="T25" s="42"/>
      <c r="U25" s="42"/>
      <c r="V25" s="147" t="s">
        <v>184</v>
      </c>
      <c r="W25" s="288">
        <f t="shared" si="1"/>
        <v>1.6940613392923094E-2</v>
      </c>
      <c r="X25" s="288">
        <v>1</v>
      </c>
      <c r="Y25" s="42"/>
      <c r="Z25" s="42"/>
      <c r="AA25" s="42"/>
    </row>
    <row r="26" spans="2:27">
      <c r="B26" s="5" t="s">
        <v>586</v>
      </c>
      <c r="C26" s="365">
        <f>AMX!C26+(OIBR!C26/Prices!$C$160)+(VIVO!C26/Prices!$C$160)+TVIS!C26</f>
        <v>6619.0889916038705</v>
      </c>
      <c r="D26" s="228">
        <f>AMX!D26+(OIBR!D26/Prices!$C$160)+(VIVO!D26/Prices!$C$160)+TVIS!D26</f>
        <v>7608.0205202384041</v>
      </c>
      <c r="E26" s="228">
        <f>AMX!E26+(OIBR!E26/Prices!$C$160)+(VIVO!E26/Prices!$C$160)+TVIS!E26</f>
        <v>9970.801241583893</v>
      </c>
      <c r="F26" s="228">
        <f>AMX!F26+(OIBR!F26/Prices!$C$160)+(VIVO!F26/Prices!$C$160)+TVIS!F26</f>
        <v>11264.946825721836</v>
      </c>
      <c r="G26" s="228">
        <f>AMX!G26+(OIBR!G26/Prices!$C$160)+(VIVO!G26/Prices!$C$160)+TVIS!G26</f>
        <v>12483.963201134891</v>
      </c>
      <c r="H26" s="279">
        <f t="shared" si="0"/>
        <v>0.17948820297265589</v>
      </c>
      <c r="I26" s="249"/>
      <c r="J26" s="249" t="s">
        <v>11</v>
      </c>
      <c r="K26" s="249"/>
      <c r="L26" s="281">
        <f>AMX!L26+(OIBR!L26/Prices!$C$160)+(VIVO!L26/Prices!$C$160)+TVIS!L26</f>
        <v>81353.343609745207</v>
      </c>
      <c r="M26" s="281">
        <f>AMX!M26+(OIBR!M26/Prices!$C$160)+(VIVO!M26/Prices!$C$160)+TVIS!M26</f>
        <v>79642.243347685624</v>
      </c>
      <c r="N26" s="281">
        <f>AMX!N26+(OIBR!N26/Prices!$C$160)+(VIVO!N26/Prices!$C$160)+TVIS!N26</f>
        <v>77507.82303321411</v>
      </c>
      <c r="O26" s="281">
        <f>AMX!O26+(OIBR!O26/Prices!$C$160)+(VIVO!O26/Prices!$C$160)+TVIS!O26</f>
        <v>75346.672640124714</v>
      </c>
      <c r="P26" s="279">
        <f>IF(L26=0,"nm",IF(O26=0,"nm",(O26/L26)^(1/3)-1))</f>
        <v>-2.5243311769686416E-2</v>
      </c>
      <c r="Q26" s="41"/>
      <c r="S26" s="42"/>
      <c r="T26" s="42"/>
      <c r="U26" s="42"/>
      <c r="V26" s="147" t="s">
        <v>185</v>
      </c>
      <c r="W26" s="288">
        <f t="shared" si="1"/>
        <v>1.3600146152631377E-2</v>
      </c>
      <c r="X26" s="288">
        <v>1</v>
      </c>
      <c r="Y26" s="42"/>
      <c r="Z26" s="42"/>
      <c r="AA26" s="42"/>
    </row>
    <row r="27" spans="2:27">
      <c r="B27" s="5" t="s">
        <v>587</v>
      </c>
      <c r="C27" s="365">
        <f>AMX!C27+(OIBR!C27/Prices!$C$160)+(VIVO!C27/Prices!$C$160)+TVIS!C27</f>
        <v>79264.823498395999</v>
      </c>
      <c r="D27" s="228">
        <f>AMX!D27+(OIBR!D27/Prices!$C$160)+(VIVO!D27/Prices!$C$160)+TVIS!D27</f>
        <v>87152.994288673581</v>
      </c>
      <c r="E27" s="228">
        <f>AMX!E27+(OIBR!E27/Prices!$C$160)+(VIVO!E27/Prices!$C$160)+TVIS!E27</f>
        <v>87172.934226953337</v>
      </c>
      <c r="F27" s="228">
        <f>AMX!F27+(OIBR!F27/Prices!$C$160)+(VIVO!F27/Prices!$C$160)+TVIS!F27</f>
        <v>86517.281618937574</v>
      </c>
      <c r="G27" s="228">
        <f>AMX!G27+(OIBR!G27/Prices!$C$160)+(VIVO!G27/Prices!$C$160)+TVIS!G27</f>
        <v>86767.318663431302</v>
      </c>
      <c r="H27" s="279">
        <f t="shared" si="0"/>
        <v>-1.4772716171091993E-3</v>
      </c>
      <c r="I27" s="248"/>
      <c r="J27" s="248"/>
      <c r="K27" s="248"/>
      <c r="L27" s="248"/>
      <c r="M27" s="248"/>
      <c r="N27" s="248"/>
      <c r="O27" s="248"/>
      <c r="Q27" s="5"/>
      <c r="S27" s="42"/>
      <c r="T27" s="42"/>
      <c r="U27" s="42"/>
      <c r="V27" s="147" t="s">
        <v>466</v>
      </c>
      <c r="W27" s="288">
        <f t="shared" si="1"/>
        <v>1.4768744305691748E-2</v>
      </c>
      <c r="X27" s="288">
        <v>1</v>
      </c>
      <c r="Y27" s="42"/>
      <c r="Z27" s="42"/>
      <c r="AA27" s="42"/>
    </row>
    <row r="28" spans="2:27" ht="12.6" thickBot="1">
      <c r="B28" s="5" t="s">
        <v>592</v>
      </c>
      <c r="C28" s="365">
        <f>AMX!C28+(OIBR!C28/Prices!$C$160)+(VIVO!C28/Prices!$C$160)+TVIS!C28</f>
        <v>46550.417538369984</v>
      </c>
      <c r="D28" s="228">
        <f>AMX!D28+(OIBR!D28/Prices!$C$160)+(VIVO!D28/Prices!$C$160)+TVIS!D28</f>
        <v>50641.421788048166</v>
      </c>
      <c r="E28" s="228">
        <f>AMX!E28+(OIBR!E28/Prices!$C$160)+(VIVO!E28/Prices!$C$160)+TVIS!E28</f>
        <v>49334.423399104926</v>
      </c>
      <c r="F28" s="228">
        <f>AMX!F28+(OIBR!F28/Prices!$C$160)+(VIVO!F28/Prices!$C$160)+TVIS!F28</f>
        <v>47951.984805217158</v>
      </c>
      <c r="G28" s="228">
        <f>AMX!G28+(OIBR!G28/Prices!$C$160)+(VIVO!G28/Prices!$C$160)+TVIS!G28</f>
        <v>46768.566434188782</v>
      </c>
      <c r="H28" s="279">
        <f t="shared" si="0"/>
        <v>-2.6170957037785714E-2</v>
      </c>
      <c r="I28" s="252"/>
      <c r="J28" s="306" t="s">
        <v>754</v>
      </c>
      <c r="K28" s="306"/>
      <c r="L28" s="306"/>
      <c r="M28" s="306"/>
      <c r="N28" s="266"/>
      <c r="O28" s="266"/>
      <c r="P28" s="266"/>
      <c r="Q28" s="5"/>
      <c r="S28" s="42"/>
      <c r="T28" s="42"/>
      <c r="U28" s="42"/>
      <c r="V28" s="147" t="s">
        <v>530</v>
      </c>
      <c r="W28" s="288">
        <f t="shared" si="1"/>
        <v>1.6507568290362901E-2</v>
      </c>
      <c r="X28" s="288">
        <v>1</v>
      </c>
      <c r="Y28" s="42"/>
      <c r="Z28" s="42"/>
      <c r="AA28" s="42"/>
    </row>
    <row r="29" spans="2:27" ht="12.6" thickTop="1">
      <c r="B29" s="5" t="s">
        <v>588</v>
      </c>
      <c r="C29" s="365">
        <f>AMX!C29+(OIBR!C29/Prices!$C$160)+(VIVO!C29/Prices!$C$160)+TVIS!C29</f>
        <v>1393.428507243214</v>
      </c>
      <c r="D29" s="228">
        <f>AMX!D29+(OIBR!D29/Prices!$C$160)+(VIVO!D29/Prices!$C$160)+TVIS!D29</f>
        <v>2722.6494819679619</v>
      </c>
      <c r="E29" s="228">
        <f>AMX!E29+(OIBR!E29/Prices!$C$160)+(VIVO!E29/Prices!$C$160)+TVIS!E29</f>
        <v>5271.515206260261</v>
      </c>
      <c r="F29" s="228">
        <f>AMX!F29+(OIBR!F29/Prices!$C$160)+(VIVO!F29/Prices!$C$160)+TVIS!F29</f>
        <v>6838.2904708154902</v>
      </c>
      <c r="G29" s="228">
        <f>AMX!G29+(OIBR!G29/Prices!$C$160)+(VIVO!G29/Prices!$C$160)+TVIS!G29</f>
        <v>8387.6025650098873</v>
      </c>
      <c r="H29" s="279">
        <f t="shared" si="0"/>
        <v>0.45506380228138199</v>
      </c>
      <c r="I29" s="254"/>
      <c r="J29" s="249"/>
      <c r="K29" s="249"/>
      <c r="L29" s="249"/>
      <c r="M29" s="249"/>
      <c r="N29" s="249"/>
      <c r="O29" s="251"/>
      <c r="Q29" s="5"/>
      <c r="S29" s="42"/>
      <c r="T29" s="42"/>
      <c r="U29" s="42"/>
      <c r="V29" s="147" t="s">
        <v>593</v>
      </c>
      <c r="W29" s="288">
        <f t="shared" si="1"/>
        <v>2.2722289562790082E-2</v>
      </c>
      <c r="X29" s="288">
        <v>1</v>
      </c>
      <c r="Y29" s="42"/>
      <c r="Z29" s="42"/>
      <c r="AA29" s="42"/>
    </row>
    <row r="30" spans="2:27">
      <c r="B30" s="5" t="s">
        <v>589</v>
      </c>
      <c r="C30" s="365">
        <f>AMX!C30+(OIBR!C30/Prices!$C$160)+(VIVO!C30/Prices!$C$160)+TVIS!C30</f>
        <v>3450.2048114194113</v>
      </c>
      <c r="D30" s="228">
        <f>AMX!D30+(OIBR!D30/Prices!$C$160)+(VIVO!D30/Prices!$C$160)+TVIS!D30</f>
        <v>4444.6848812947173</v>
      </c>
      <c r="E30" s="228">
        <f>AMX!E30+(OIBR!E30/Prices!$C$160)+(VIVO!E30/Prices!$C$160)+TVIS!E30</f>
        <v>5967.8008688018563</v>
      </c>
      <c r="F30" s="228">
        <f>AMX!F30+(OIBR!F30/Prices!$C$160)+(VIVO!F30/Prices!$C$160)+TVIS!F30</f>
        <v>7711.8171739253139</v>
      </c>
      <c r="G30" s="228">
        <f>AMX!G30+(OIBR!G30/Prices!$C$160)+(VIVO!G30/Prices!$C$160)+TVIS!G30</f>
        <v>9341.6208996281875</v>
      </c>
      <c r="H30" s="279">
        <f t="shared" si="0"/>
        <v>0.2809349860711805</v>
      </c>
      <c r="I30" s="254"/>
      <c r="J30" s="248"/>
      <c r="K30" s="248"/>
      <c r="L30" s="248"/>
      <c r="M30" s="248"/>
      <c r="N30" s="248"/>
      <c r="O30" s="5"/>
      <c r="Q30" s="5"/>
      <c r="S30" s="42"/>
      <c r="T30" s="42"/>
      <c r="U30" s="42"/>
      <c r="V30" s="147" t="s">
        <v>475</v>
      </c>
      <c r="W30" s="288">
        <f t="shared" si="1"/>
        <v>1.4080818924807192</v>
      </c>
      <c r="X30" s="288">
        <v>1</v>
      </c>
      <c r="Y30" s="42"/>
      <c r="Z30" s="42"/>
      <c r="AA30" s="42"/>
    </row>
    <row r="31" spans="2:27">
      <c r="B31" s="5" t="s">
        <v>590</v>
      </c>
      <c r="C31" s="365">
        <f>AMX!C31+(OIBR!C31/Prices!$C$160)+(VIVO!C31/Prices!$C$160)+TVIS!C31</f>
        <v>2670.0612857431447</v>
      </c>
      <c r="D31" s="228">
        <f>AMX!D31+(OIBR!D31/Prices!$C$160)+(VIVO!D31/Prices!$C$160)+TVIS!D31</f>
        <v>2425.5875778281629</v>
      </c>
      <c r="E31" s="228">
        <f>AMX!E31+(OIBR!E31/Prices!$C$160)+(VIVO!E31/Prices!$C$160)+TVIS!E31</f>
        <v>2625.0391327087486</v>
      </c>
      <c r="F31" s="228">
        <f>AMX!F31+(OIBR!F31/Prices!$C$160)+(VIVO!F31/Prices!$C$160)+TVIS!F31</f>
        <v>2948.305767949249</v>
      </c>
      <c r="G31" s="228">
        <f>AMX!G31+(OIBR!G31/Prices!$C$160)+(VIVO!G31/Prices!$C$160)+TVIS!G31</f>
        <v>3190.3227843812742</v>
      </c>
      <c r="H31" s="279">
        <f t="shared" si="0"/>
        <v>9.5651796667158839E-2</v>
      </c>
      <c r="I31" s="254"/>
      <c r="J31" s="252"/>
      <c r="K31" s="252"/>
      <c r="L31" s="252"/>
      <c r="M31" s="252"/>
      <c r="N31" s="252"/>
      <c r="O31" s="5"/>
      <c r="Q31" s="5"/>
      <c r="S31" s="42"/>
      <c r="T31" s="42"/>
      <c r="U31" s="42"/>
      <c r="V31" s="147" t="s">
        <v>533</v>
      </c>
      <c r="W31" s="288">
        <f t="shared" si="1"/>
        <v>2.0011667398056317E-2</v>
      </c>
      <c r="X31" s="288">
        <v>1</v>
      </c>
      <c r="Y31" s="42"/>
      <c r="Z31" s="42"/>
      <c r="AA31" s="42"/>
    </row>
    <row r="32" spans="2:27">
      <c r="B32" s="5" t="s">
        <v>606</v>
      </c>
      <c r="C32" s="365">
        <f>AMX!C32+(OIBR!C32/Prices!$C$160)+(VIVO!C32/Prices!$C$160)+TVIS!C32</f>
        <v>65.795090715048033</v>
      </c>
      <c r="D32" s="228">
        <f>AMX!D32+(OIBR!D32/Prices!$C$160)+(VIVO!D32/Prices!$C$160)+TVIS!D32</f>
        <v>26.5730629225169</v>
      </c>
      <c r="E32" s="228">
        <f>AMX!E32+(OIBR!E32/Prices!$C$160)+(VIVO!E32/Prices!$C$160)+TVIS!E32</f>
        <v>19.5</v>
      </c>
      <c r="F32" s="228">
        <f>AMX!F32+(OIBR!F32/Prices!$C$160)+(VIVO!F32/Prices!$C$160)+TVIS!F32</f>
        <v>-560.66442185000415</v>
      </c>
      <c r="G32" s="228">
        <f>AMX!G32+(OIBR!G32/Prices!$C$160)+(VIVO!G32/Prices!$C$160)+TVIS!G32</f>
        <v>1810.9906357811744</v>
      </c>
      <c r="H32" s="279">
        <f t="shared" si="0"/>
        <v>3.0846814798953694</v>
      </c>
      <c r="I32" s="5"/>
      <c r="J32" s="254"/>
      <c r="K32" s="254"/>
      <c r="L32" s="254"/>
      <c r="M32" s="254"/>
      <c r="N32" s="254"/>
      <c r="O32" s="251"/>
      <c r="Q32" s="5"/>
      <c r="S32" s="42"/>
      <c r="T32" s="42"/>
      <c r="U32" s="42"/>
      <c r="V32" s="147" t="s">
        <v>580</v>
      </c>
      <c r="W32" s="288">
        <f>M17/E45</f>
        <v>2.8565723760473262E-2</v>
      </c>
      <c r="X32" s="288">
        <v>1</v>
      </c>
      <c r="Y32" s="42"/>
      <c r="Z32" s="42"/>
      <c r="AA32" s="42"/>
    </row>
    <row r="33" spans="2:42">
      <c r="B33" s="5" t="s">
        <v>5</v>
      </c>
      <c r="C33" s="365">
        <f>AMX!C33+(OIBR!C33/Prices!$C$160)+(VIVO!C33/Prices!$C$160)+TVIS!C33</f>
        <v>-529.80656978836214</v>
      </c>
      <c r="D33" s="228">
        <f>AMX!D33+(OIBR!D33/Prices!$C$160)+(VIVO!D33/Prices!$C$160)+TVIS!D33</f>
        <v>-813.53160914372745</v>
      </c>
      <c r="E33" s="228">
        <f>AMX!E33+(OIBR!E33/Prices!$C$160)+(VIVO!E33/Prices!$C$160)+TVIS!E33</f>
        <v>-750.43134735081537</v>
      </c>
      <c r="F33" s="228">
        <f>AMX!F33+(OIBR!F33/Prices!$C$160)+(VIVO!F33/Prices!$C$160)+TVIS!F33</f>
        <v>-413.71933474631891</v>
      </c>
      <c r="G33" s="228">
        <f>AMX!G33+(OIBR!G33/Prices!$C$160)+(VIVO!G33/Prices!$C$160)+TVIS!G33</f>
        <v>-72.894235891732478</v>
      </c>
      <c r="H33" s="279">
        <f t="shared" si="0"/>
        <v>-0.55252073229222676</v>
      </c>
      <c r="I33" s="49"/>
      <c r="J33" s="254"/>
      <c r="K33" s="254"/>
      <c r="L33" s="254"/>
      <c r="M33" s="254"/>
      <c r="N33" s="254"/>
      <c r="O33" s="251"/>
      <c r="Q33" s="5"/>
      <c r="S33" s="42"/>
      <c r="T33" s="42"/>
      <c r="U33" s="42"/>
      <c r="V33" s="147" t="s">
        <v>581</v>
      </c>
      <c r="W33" s="288">
        <f>M19/E47</f>
        <v>1.4080818924807195</v>
      </c>
      <c r="X33" s="288">
        <v>1</v>
      </c>
      <c r="Y33" s="288"/>
      <c r="Z33" s="288"/>
      <c r="AA33" s="42"/>
      <c r="AC33" s="10"/>
      <c r="AD33" s="10"/>
      <c r="AE33" s="10"/>
      <c r="AF33" s="10"/>
      <c r="AH33" s="10"/>
      <c r="AI33" s="10"/>
      <c r="AJ33" s="10"/>
      <c r="AK33" s="10"/>
      <c r="AM33" s="10"/>
      <c r="AN33" s="10"/>
      <c r="AO33" s="10"/>
      <c r="AP33" s="10"/>
    </row>
    <row r="34" spans="2:42">
      <c r="H34" s="277"/>
      <c r="I34" s="254"/>
      <c r="J34" s="254"/>
      <c r="K34" s="254"/>
      <c r="L34" s="254"/>
      <c r="M34" s="254"/>
      <c r="N34" s="254"/>
      <c r="O34" s="251"/>
      <c r="Q34" s="5"/>
      <c r="S34" s="42"/>
      <c r="T34" s="42"/>
      <c r="U34" s="42"/>
      <c r="V34" s="42"/>
      <c r="W34" s="42"/>
      <c r="X34" s="42"/>
      <c r="Y34" s="288"/>
      <c r="Z34" s="288"/>
      <c r="AA34" s="42"/>
      <c r="AC34" s="10"/>
      <c r="AD34" s="10"/>
      <c r="AE34" s="10"/>
      <c r="AF34" s="10"/>
      <c r="AH34" s="10"/>
      <c r="AI34" s="10"/>
      <c r="AJ34" s="10"/>
      <c r="AK34" s="10"/>
      <c r="AM34" s="10"/>
      <c r="AN34" s="10"/>
      <c r="AO34" s="10"/>
      <c r="AP34" s="10"/>
    </row>
    <row r="35" spans="2:42" ht="12.6" thickBot="1">
      <c r="B35" s="306" t="s">
        <v>611</v>
      </c>
      <c r="C35" s="265"/>
      <c r="D35" s="265" t="str">
        <f>D5</f>
        <v>2023E</v>
      </c>
      <c r="E35" s="265" t="str">
        <f>E5</f>
        <v>2024E</v>
      </c>
      <c r="F35" s="265" t="str">
        <f>F5</f>
        <v>2025E</v>
      </c>
      <c r="G35" s="265" t="str">
        <f>G5</f>
        <v>2026E</v>
      </c>
      <c r="H35" s="265" t="str">
        <f>H5</f>
        <v>23E-26E</v>
      </c>
      <c r="I35" s="17"/>
      <c r="J35" s="5"/>
      <c r="K35" s="5"/>
      <c r="L35" s="5"/>
      <c r="M35" s="5"/>
      <c r="N35" s="5"/>
      <c r="O35" s="5"/>
      <c r="Q35" s="5"/>
      <c r="S35" s="42"/>
      <c r="T35" s="42"/>
      <c r="U35" s="42"/>
      <c r="V35" s="42"/>
      <c r="W35" s="42"/>
      <c r="X35" s="42"/>
      <c r="Y35" s="288"/>
      <c r="Z35" s="288"/>
      <c r="AA35" s="42"/>
      <c r="AC35" s="10"/>
      <c r="AD35" s="10"/>
      <c r="AE35" s="10"/>
      <c r="AF35" s="10"/>
      <c r="AH35" s="10"/>
      <c r="AI35" s="10"/>
      <c r="AJ35" s="10"/>
      <c r="AK35" s="10"/>
      <c r="AM35" s="10"/>
      <c r="AN35" s="10"/>
      <c r="AO35" s="10"/>
      <c r="AP35" s="10"/>
    </row>
    <row r="36" spans="2:42" ht="12.6" thickTop="1">
      <c r="B36" s="41"/>
      <c r="C36" s="249"/>
      <c r="D36" s="254"/>
      <c r="E36" s="254"/>
      <c r="F36" s="254"/>
      <c r="G36" s="254"/>
      <c r="H36" s="254"/>
      <c r="I36" s="5"/>
      <c r="J36" s="49"/>
      <c r="K36" s="49"/>
      <c r="L36" s="49"/>
      <c r="M36" s="49"/>
      <c r="N36" s="49"/>
      <c r="O36" s="49"/>
      <c r="Q36" s="5"/>
      <c r="R36" s="5"/>
      <c r="S36" s="42"/>
      <c r="T36" s="42"/>
      <c r="U36" s="42"/>
      <c r="V36" s="42"/>
      <c r="W36" s="42"/>
      <c r="X36" s="42"/>
      <c r="Y36" s="42"/>
      <c r="Z36" s="42"/>
      <c r="AA36" s="42"/>
      <c r="AC36" s="10"/>
      <c r="AD36" s="10"/>
      <c r="AE36" s="10"/>
      <c r="AF36" s="10"/>
      <c r="AH36" s="10"/>
      <c r="AI36" s="10"/>
      <c r="AJ36" s="10"/>
      <c r="AK36" s="10"/>
      <c r="AM36" s="10"/>
      <c r="AN36" s="10"/>
      <c r="AO36" s="10"/>
      <c r="AP36" s="10"/>
    </row>
    <row r="37" spans="2:42">
      <c r="B37" s="5" t="s">
        <v>273</v>
      </c>
      <c r="C37" s="247"/>
      <c r="D37" s="557">
        <f t="shared" ref="D37:G41" si="2">D$18/D23</f>
        <v>1.6754972545250479</v>
      </c>
      <c r="E37" s="557">
        <f t="shared" si="2"/>
        <v>1.5413873359407957</v>
      </c>
      <c r="F37" s="557">
        <f t="shared" si="2"/>
        <v>1.4052879925497239</v>
      </c>
      <c r="G37" s="557">
        <f t="shared" si="2"/>
        <v>1.2861713457611794</v>
      </c>
      <c r="H37" s="17">
        <f t="shared" ref="H37:H45" si="3">H23</f>
        <v>3.2286309728766227E-2</v>
      </c>
      <c r="I37" s="259"/>
      <c r="J37" s="259"/>
      <c r="K37" s="259"/>
      <c r="L37" s="259"/>
      <c r="M37" s="259"/>
      <c r="N37" s="259"/>
      <c r="O37" s="18"/>
      <c r="Q37" s="5"/>
      <c r="R37" s="5"/>
      <c r="S37" s="42"/>
      <c r="T37" s="42"/>
      <c r="U37" s="42"/>
      <c r="V37" s="42"/>
      <c r="W37" s="42"/>
      <c r="X37" s="42"/>
      <c r="Y37" s="42"/>
      <c r="Z37" s="42"/>
      <c r="AA37" s="42"/>
      <c r="AC37" s="10"/>
      <c r="AD37" s="10"/>
      <c r="AE37" s="10"/>
      <c r="AF37" s="10"/>
      <c r="AH37" s="10"/>
      <c r="AI37" s="10"/>
      <c r="AJ37" s="10"/>
      <c r="AK37" s="10"/>
      <c r="AM37" s="10"/>
      <c r="AN37" s="10"/>
      <c r="AO37" s="10"/>
      <c r="AP37" s="10"/>
    </row>
    <row r="38" spans="2:42">
      <c r="B38" s="5" t="s">
        <v>184</v>
      </c>
      <c r="C38" s="247"/>
      <c r="D38" s="557">
        <f t="shared" si="2"/>
        <v>4.4371486159074989</v>
      </c>
      <c r="E38" s="557">
        <f t="shared" si="2"/>
        <v>3.9890624654994724</v>
      </c>
      <c r="F38" s="557">
        <f t="shared" si="2"/>
        <v>3.5635773257800083</v>
      </c>
      <c r="G38" s="557">
        <f t="shared" si="2"/>
        <v>3.2131957346788256</v>
      </c>
      <c r="H38" s="17">
        <f t="shared" si="3"/>
        <v>5.2545313573403529E-2</v>
      </c>
      <c r="I38" s="17"/>
      <c r="J38" s="17"/>
      <c r="K38" s="17"/>
      <c r="L38" s="17"/>
      <c r="M38" s="17"/>
      <c r="N38" s="17"/>
      <c r="O38" s="5"/>
      <c r="Q38" s="5"/>
      <c r="R38" s="5"/>
      <c r="S38" s="42"/>
      <c r="T38" s="42"/>
      <c r="U38" s="42"/>
      <c r="V38" s="42"/>
      <c r="W38" s="42"/>
      <c r="X38" s="42"/>
      <c r="Y38" s="42"/>
      <c r="Z38" s="42"/>
      <c r="AA38" s="42"/>
    </row>
    <row r="39" spans="2:42">
      <c r="B39" s="5" t="s">
        <v>185</v>
      </c>
      <c r="C39" s="247"/>
      <c r="D39" s="557">
        <f t="shared" si="2"/>
        <v>8.7775076030846968</v>
      </c>
      <c r="E39" s="557">
        <f t="shared" si="2"/>
        <v>7.0717582272737056</v>
      </c>
      <c r="F39" s="557">
        <f t="shared" si="2"/>
        <v>5.9348076148416871</v>
      </c>
      <c r="G39" s="557">
        <f t="shared" si="2"/>
        <v>5.0856006821112363</v>
      </c>
      <c r="H39" s="17">
        <f t="shared" si="3"/>
        <v>0.13377842924611083</v>
      </c>
      <c r="I39" s="5"/>
      <c r="J39" s="5"/>
      <c r="K39" s="5"/>
      <c r="L39" s="5"/>
      <c r="M39" s="5"/>
      <c r="N39" s="5"/>
      <c r="O39" s="5"/>
      <c r="Q39" s="5"/>
      <c r="R39" s="5"/>
      <c r="S39" s="42"/>
      <c r="T39" s="42"/>
      <c r="U39" s="42"/>
      <c r="V39" s="42"/>
      <c r="W39" s="288"/>
      <c r="X39" s="288"/>
      <c r="Y39" s="42"/>
      <c r="Z39" s="42"/>
      <c r="AA39" s="42"/>
    </row>
    <row r="40" spans="2:42">
      <c r="B40" s="5" t="s">
        <v>466</v>
      </c>
      <c r="C40" s="247"/>
      <c r="D40" s="557">
        <f t="shared" si="2"/>
        <v>14.26260581436496</v>
      </c>
      <c r="E40" s="557">
        <f t="shared" si="2"/>
        <v>10.423838597934619</v>
      </c>
      <c r="F40" s="557">
        <f t="shared" si="2"/>
        <v>8.6569763163017868</v>
      </c>
      <c r="G40" s="557">
        <f t="shared" si="2"/>
        <v>7.3396218928570018</v>
      </c>
      <c r="H40" s="17">
        <f t="shared" si="3"/>
        <v>0.17948820297265589</v>
      </c>
      <c r="I40" s="247"/>
      <c r="J40" s="259"/>
      <c r="K40" s="259"/>
      <c r="L40" s="259"/>
      <c r="M40" s="259"/>
      <c r="N40" s="259"/>
      <c r="O40" s="18"/>
      <c r="Q40" s="5"/>
      <c r="R40" s="5"/>
      <c r="S40" s="42"/>
      <c r="T40" s="42"/>
      <c r="U40" s="42"/>
      <c r="V40" s="42"/>
      <c r="W40" s="288"/>
      <c r="X40" s="288"/>
      <c r="Y40" s="288"/>
      <c r="Z40" s="288"/>
      <c r="AA40" s="42"/>
    </row>
    <row r="41" spans="2:42">
      <c r="B41" s="5" t="s">
        <v>530</v>
      </c>
      <c r="C41" s="247"/>
      <c r="D41" s="557">
        <f t="shared" si="2"/>
        <v>1.2450541555502495</v>
      </c>
      <c r="E41" s="557">
        <f t="shared" si="2"/>
        <v>1.1922739983005051</v>
      </c>
      <c r="F41" s="557">
        <f t="shared" si="2"/>
        <v>1.1271780163435798</v>
      </c>
      <c r="G41" s="557">
        <f t="shared" si="2"/>
        <v>1.0560147649150291</v>
      </c>
      <c r="H41" s="17">
        <f t="shared" si="3"/>
        <v>-1.4772716171091993E-3</v>
      </c>
      <c r="I41" s="248"/>
      <c r="J41" s="17"/>
      <c r="K41" s="17"/>
      <c r="L41" s="17"/>
      <c r="M41" s="17"/>
      <c r="N41" s="17"/>
      <c r="O41" s="5"/>
      <c r="Q41" s="5"/>
      <c r="R41" s="5"/>
      <c r="S41" s="42"/>
      <c r="T41" s="42"/>
      <c r="U41" s="42"/>
      <c r="V41" s="42"/>
      <c r="W41" s="288"/>
      <c r="X41" s="288"/>
      <c r="Y41" s="288"/>
      <c r="Z41" s="288"/>
      <c r="AA41" s="42"/>
    </row>
    <row r="42" spans="2:42">
      <c r="B42" s="5" t="s">
        <v>593</v>
      </c>
      <c r="C42" s="247"/>
      <c r="D42" s="557">
        <f>D18/D28</f>
        <v>2.1427162563071951</v>
      </c>
      <c r="E42" s="557">
        <f>E18/E28</f>
        <v>2.1067241831034007</v>
      </c>
      <c r="F42" s="557">
        <f>F18/F28</f>
        <v>2.0337088917341903</v>
      </c>
      <c r="G42" s="557">
        <f>G18/G28</f>
        <v>1.9591699426923035</v>
      </c>
      <c r="H42" s="17">
        <f t="shared" si="3"/>
        <v>-2.6170957037785714E-2</v>
      </c>
      <c r="I42" s="247"/>
      <c r="J42" s="5"/>
      <c r="K42" s="5"/>
      <c r="L42" s="5"/>
      <c r="M42" s="5"/>
      <c r="N42" s="5"/>
      <c r="O42" s="5"/>
      <c r="Q42" s="5"/>
      <c r="R42" s="5"/>
      <c r="S42" s="42"/>
      <c r="T42" s="42"/>
      <c r="U42" s="42"/>
      <c r="V42" s="42"/>
      <c r="W42" s="288"/>
      <c r="X42" s="288"/>
      <c r="Y42" s="288"/>
      <c r="Z42" s="288"/>
      <c r="AA42" s="42"/>
    </row>
    <row r="43" spans="2:42">
      <c r="B43" s="5" t="s">
        <v>475</v>
      </c>
      <c r="C43" s="247"/>
      <c r="D43" s="557">
        <f>L26/D29</f>
        <v>29.880211958442072</v>
      </c>
      <c r="E43" s="557">
        <f>M26/E29</f>
        <v>15.108036348468724</v>
      </c>
      <c r="F43" s="557">
        <f>N26/F29</f>
        <v>11.334385891328045</v>
      </c>
      <c r="G43" s="557">
        <f>O26/G29</f>
        <v>8.9831000045763254</v>
      </c>
      <c r="H43" s="17">
        <f t="shared" si="3"/>
        <v>0.45506380228138199</v>
      </c>
      <c r="I43" s="247"/>
      <c r="J43" s="247"/>
      <c r="K43" s="247"/>
      <c r="L43" s="247"/>
      <c r="M43" s="247"/>
      <c r="N43" s="247"/>
      <c r="O43" s="18"/>
      <c r="Q43" s="5"/>
      <c r="R43" s="5"/>
      <c r="S43" s="42"/>
      <c r="T43" s="42"/>
      <c r="U43" s="42"/>
      <c r="V43" s="42"/>
      <c r="W43" s="325"/>
      <c r="X43" s="325"/>
      <c r="Y43" s="288"/>
      <c r="Z43" s="288"/>
      <c r="AA43" s="42"/>
    </row>
    <row r="44" spans="2:42">
      <c r="B44" s="5" t="s">
        <v>533</v>
      </c>
      <c r="C44" s="69"/>
      <c r="D44" s="557">
        <f>D11/D30</f>
        <v>15.253817863531252</v>
      </c>
      <c r="E44" s="557">
        <f>E11/E30</f>
        <v>11.073980990801601</v>
      </c>
      <c r="F44" s="557">
        <f>F11/F30</f>
        <v>8.2928435180962055</v>
      </c>
      <c r="G44" s="557">
        <f>G11/G30</f>
        <v>6.6146703376605194</v>
      </c>
      <c r="H44" s="17">
        <f t="shared" si="3"/>
        <v>0.2809349860711805</v>
      </c>
      <c r="I44" s="248"/>
      <c r="J44" s="248"/>
      <c r="K44" s="248"/>
      <c r="L44" s="248"/>
      <c r="M44" s="248"/>
      <c r="N44" s="248"/>
      <c r="O44" s="248"/>
      <c r="Q44" s="5"/>
      <c r="R44" s="5"/>
      <c r="S44" s="42"/>
      <c r="T44" s="42"/>
      <c r="U44" s="42"/>
      <c r="V44" s="42"/>
      <c r="W44" s="42"/>
      <c r="X44" s="42"/>
      <c r="Y44" s="325"/>
      <c r="Z44" s="325"/>
      <c r="AA44" s="42"/>
    </row>
    <row r="45" spans="2:42">
      <c r="B45" s="5" t="s">
        <v>580</v>
      </c>
      <c r="C45" s="247"/>
      <c r="D45" s="248">
        <f>D31/D11</f>
        <v>3.5776465076388382E-2</v>
      </c>
      <c r="E45" s="248">
        <f>E31/E11</f>
        <v>3.9720772392338836E-2</v>
      </c>
      <c r="F45" s="248">
        <f>F31/F11</f>
        <v>4.6101210230168325E-2</v>
      </c>
      <c r="G45" s="248">
        <f>G31/G11</f>
        <v>5.1630244536013982E-2</v>
      </c>
      <c r="H45" s="17">
        <f t="shared" si="3"/>
        <v>9.5651796667158839E-2</v>
      </c>
      <c r="I45" s="247"/>
      <c r="J45" s="247"/>
      <c r="K45" s="247"/>
      <c r="L45" s="247"/>
      <c r="M45" s="247"/>
      <c r="N45" s="247"/>
      <c r="O45" s="248"/>
      <c r="Q45" s="5"/>
      <c r="R45" s="5"/>
      <c r="S45" s="42"/>
      <c r="T45" s="42"/>
      <c r="U45" s="42"/>
      <c r="V45" s="42"/>
      <c r="W45" s="42"/>
      <c r="X45" s="42"/>
      <c r="Y45" s="42"/>
      <c r="Z45" s="42"/>
      <c r="AA45" s="326"/>
      <c r="AB45" s="303"/>
    </row>
    <row r="46" spans="2:42">
      <c r="B46" s="5" t="s">
        <v>605</v>
      </c>
      <c r="C46" s="247"/>
      <c r="D46" s="248">
        <f>(D31+D32)/D11</f>
        <v>3.6168407328364835E-2</v>
      </c>
      <c r="E46" s="248">
        <f>(E31+E32)/E11</f>
        <v>4.0015836588525255E-2</v>
      </c>
      <c r="F46" s="248">
        <f>(F31+F32)/F11</f>
        <v>3.7334375846412596E-2</v>
      </c>
      <c r="G46" s="248">
        <f>(G31+G32)/G11</f>
        <v>8.0938216079071201E-2</v>
      </c>
      <c r="H46" s="279">
        <f>((G31+G32)/(D31+D32))^(1/3)-1</f>
        <v>0.26817265579733318</v>
      </c>
      <c r="I46" s="17"/>
      <c r="J46" s="247"/>
      <c r="K46" s="247"/>
      <c r="L46" s="247"/>
      <c r="M46" s="247"/>
      <c r="N46" s="247"/>
      <c r="O46" s="18"/>
      <c r="Q46" s="5"/>
      <c r="R46" s="5"/>
      <c r="S46" s="42"/>
      <c r="T46" s="42"/>
      <c r="U46" s="42"/>
      <c r="V46" s="42"/>
      <c r="W46" s="42"/>
      <c r="X46" s="42"/>
      <c r="Y46" s="42"/>
      <c r="Z46" s="42"/>
      <c r="AA46" s="326"/>
      <c r="AB46" s="303"/>
    </row>
    <row r="47" spans="2:42">
      <c r="B47" s="5" t="s">
        <v>581</v>
      </c>
      <c r="C47" s="5"/>
      <c r="D47" s="248">
        <f>1/D43</f>
        <v>3.3466964738764829E-2</v>
      </c>
      <c r="E47" s="248">
        <f>1/E43</f>
        <v>6.6189938714395199E-2</v>
      </c>
      <c r="F47" s="248">
        <f>1/F43</f>
        <v>8.8227100222968535E-2</v>
      </c>
      <c r="G47" s="248">
        <f>1/G43</f>
        <v>0.11132014555003983</v>
      </c>
      <c r="H47" s="17">
        <f>H29</f>
        <v>0.45506380228138199</v>
      </c>
      <c r="I47" s="247"/>
      <c r="J47" s="248"/>
      <c r="K47" s="248"/>
      <c r="L47" s="248"/>
      <c r="M47" s="248"/>
      <c r="N47" s="248"/>
      <c r="O47" s="248"/>
      <c r="Q47" s="5"/>
      <c r="R47" s="5"/>
      <c r="S47" s="5"/>
      <c r="T47" s="5"/>
      <c r="U47" s="5"/>
      <c r="AA47" s="303"/>
      <c r="AB47" s="303"/>
    </row>
    <row r="48" spans="2:42">
      <c r="B48" s="5" t="s">
        <v>618</v>
      </c>
      <c r="C48" s="5"/>
      <c r="D48" s="305">
        <f>D31/D29</f>
        <v>0.89089234361336911</v>
      </c>
      <c r="E48" s="305">
        <f>E31/E29</f>
        <v>0.49796671924446828</v>
      </c>
      <c r="F48" s="305">
        <f>F31/F29</f>
        <v>0.43114661193935117</v>
      </c>
      <c r="G48" s="305">
        <f>G31/G29</f>
        <v>0.38036170164883265</v>
      </c>
      <c r="H48" s="17" t="s">
        <v>607</v>
      </c>
      <c r="I48" s="259"/>
      <c r="J48" s="247"/>
      <c r="K48" s="247"/>
      <c r="L48" s="247"/>
      <c r="M48" s="247"/>
      <c r="N48" s="247"/>
      <c r="O48" s="248"/>
      <c r="Q48" s="5"/>
      <c r="R48" s="5"/>
      <c r="S48" s="5"/>
      <c r="T48" s="5"/>
      <c r="U48" s="5"/>
      <c r="AA48" s="303"/>
      <c r="AB48" s="303"/>
    </row>
    <row r="49" spans="2:28">
      <c r="B49" s="41"/>
      <c r="C49" s="17"/>
      <c r="D49" s="17"/>
      <c r="E49" s="17"/>
      <c r="F49" s="17"/>
      <c r="G49" s="17"/>
      <c r="H49" s="17"/>
      <c r="I49" s="17"/>
      <c r="J49" s="17"/>
      <c r="K49" s="17"/>
      <c r="L49" s="17"/>
      <c r="M49" s="17"/>
      <c r="N49" s="17"/>
      <c r="O49" s="248"/>
      <c r="Q49" s="5"/>
      <c r="R49" s="5"/>
      <c r="S49" s="5"/>
      <c r="T49" s="5"/>
      <c r="U49" s="5"/>
      <c r="W49" s="10"/>
      <c r="X49" s="10"/>
      <c r="AA49" s="303"/>
      <c r="AB49" s="303"/>
    </row>
    <row r="50" spans="2:28">
      <c r="B50" s="5"/>
      <c r="C50" s="257"/>
      <c r="D50" s="257"/>
      <c r="E50" s="257"/>
      <c r="F50" s="5"/>
      <c r="G50" s="41"/>
      <c r="H50" s="249"/>
      <c r="I50" s="259"/>
      <c r="J50" s="249"/>
      <c r="K50" s="249"/>
      <c r="L50" s="249"/>
      <c r="M50" s="249"/>
      <c r="N50" s="249"/>
      <c r="O50" s="250"/>
      <c r="Q50" s="5"/>
      <c r="R50" s="5"/>
      <c r="S50" s="5"/>
      <c r="T50" s="5"/>
      <c r="U50" s="5"/>
      <c r="W50" s="10"/>
      <c r="X50" s="10"/>
      <c r="Y50" s="10"/>
      <c r="Z50" s="10"/>
    </row>
    <row r="51" spans="2:28">
      <c r="B51" s="41"/>
      <c r="C51" s="249"/>
      <c r="D51" s="254"/>
      <c r="E51" s="254"/>
      <c r="F51" s="254"/>
      <c r="G51" s="254"/>
      <c r="H51" s="254"/>
      <c r="I51" s="254"/>
      <c r="J51" s="17"/>
      <c r="K51" s="17"/>
      <c r="L51" s="17"/>
      <c r="M51" s="17"/>
      <c r="N51" s="17"/>
      <c r="O51" s="248"/>
      <c r="Q51" s="5"/>
      <c r="R51" s="5"/>
      <c r="S51" s="5"/>
      <c r="T51" s="5"/>
      <c r="U51" s="5"/>
      <c r="Y51" s="10"/>
      <c r="Z51" s="10"/>
    </row>
    <row r="52" spans="2:28">
      <c r="B52" s="5"/>
      <c r="C52" s="257"/>
      <c r="D52" s="17"/>
      <c r="E52" s="17"/>
      <c r="F52" s="17"/>
      <c r="G52" s="17"/>
      <c r="H52" s="17"/>
      <c r="I52" s="17"/>
      <c r="J52" s="259"/>
      <c r="K52" s="259"/>
      <c r="L52" s="259"/>
      <c r="M52" s="259"/>
      <c r="N52" s="259"/>
      <c r="O52" s="18"/>
      <c r="Q52" s="5"/>
      <c r="R52" s="5"/>
      <c r="S52" s="5"/>
      <c r="T52" s="5"/>
      <c r="U52" s="5"/>
    </row>
    <row r="53" spans="2:28">
      <c r="B53" s="5"/>
      <c r="C53" s="257"/>
      <c r="D53" s="257"/>
      <c r="E53" s="257"/>
      <c r="F53" s="5"/>
      <c r="G53" s="5"/>
      <c r="H53" s="259"/>
      <c r="I53" s="259"/>
      <c r="J53" s="254"/>
      <c r="K53" s="254"/>
      <c r="L53" s="254"/>
      <c r="M53" s="254"/>
      <c r="N53" s="254"/>
      <c r="O53" s="251"/>
      <c r="Q53" s="5"/>
      <c r="R53" s="5"/>
      <c r="S53" s="5"/>
      <c r="T53" s="5"/>
      <c r="U53" s="5"/>
    </row>
    <row r="54" spans="2:28">
      <c r="B54" s="41"/>
      <c r="C54" s="249"/>
      <c r="D54" s="254"/>
      <c r="E54" s="254"/>
      <c r="F54" s="254"/>
      <c r="G54" s="254"/>
      <c r="H54" s="254"/>
      <c r="I54" s="249"/>
      <c r="J54" s="17"/>
      <c r="K54" s="17"/>
      <c r="L54" s="17"/>
      <c r="M54" s="17"/>
      <c r="N54" s="17"/>
      <c r="O54" s="18"/>
      <c r="Q54" s="5"/>
      <c r="R54" s="5"/>
      <c r="S54" s="5"/>
      <c r="T54" s="5"/>
      <c r="U54" s="5"/>
    </row>
    <row r="55" spans="2:28">
      <c r="B55" s="5"/>
      <c r="C55" s="257"/>
      <c r="D55" s="17"/>
      <c r="E55" s="17"/>
      <c r="F55" s="17"/>
      <c r="G55" s="17"/>
      <c r="H55" s="17"/>
      <c r="I55" s="248"/>
      <c r="J55" s="259"/>
      <c r="K55" s="259"/>
      <c r="L55" s="259"/>
      <c r="M55" s="259"/>
      <c r="N55" s="259"/>
      <c r="O55" s="18"/>
      <c r="Q55" s="5"/>
      <c r="R55" s="5"/>
      <c r="S55" s="5"/>
      <c r="T55" s="5"/>
      <c r="U55" s="5"/>
    </row>
    <row r="56" spans="2:28">
      <c r="B56" s="5"/>
      <c r="C56" s="248"/>
      <c r="D56" s="248"/>
      <c r="E56" s="248"/>
      <c r="F56" s="5"/>
      <c r="G56" s="5"/>
      <c r="H56" s="259"/>
      <c r="I56" s="5"/>
      <c r="J56" s="249"/>
      <c r="K56" s="249"/>
      <c r="L56" s="249"/>
      <c r="M56" s="249"/>
      <c r="N56" s="249"/>
      <c r="O56" s="251"/>
      <c r="Q56" s="5"/>
      <c r="R56" s="5"/>
      <c r="S56" s="5"/>
      <c r="T56" s="5"/>
      <c r="U56" s="5"/>
    </row>
    <row r="57" spans="2:28">
      <c r="B57" s="41"/>
      <c r="C57" s="249"/>
      <c r="D57" s="249"/>
      <c r="E57" s="249"/>
      <c r="F57" s="249"/>
      <c r="G57" s="249"/>
      <c r="H57" s="249"/>
      <c r="I57" s="17"/>
      <c r="J57" s="248"/>
      <c r="K57" s="248"/>
      <c r="L57" s="248"/>
      <c r="M57" s="248"/>
      <c r="N57" s="248"/>
      <c r="O57" s="18"/>
      <c r="Q57" s="5"/>
      <c r="R57" s="5"/>
      <c r="S57" s="5"/>
      <c r="T57" s="5"/>
      <c r="U57" s="5"/>
    </row>
    <row r="58" spans="2:28">
      <c r="B58" s="5"/>
      <c r="C58" s="5"/>
      <c r="D58" s="248"/>
      <c r="E58" s="248"/>
      <c r="F58" s="248"/>
      <c r="G58" s="248"/>
      <c r="H58" s="248"/>
      <c r="I58" s="5"/>
      <c r="J58" s="5"/>
      <c r="K58" s="5"/>
      <c r="L58" s="5"/>
      <c r="M58" s="5"/>
      <c r="N58" s="5"/>
      <c r="O58" s="5"/>
      <c r="Q58" s="5"/>
      <c r="R58" s="5"/>
      <c r="S58" s="5"/>
      <c r="T58" s="5"/>
      <c r="U58" s="5"/>
    </row>
    <row r="59" spans="2:28">
      <c r="B59" s="5"/>
      <c r="C59" s="5"/>
      <c r="D59" s="5"/>
      <c r="E59" s="5"/>
      <c r="F59" s="5"/>
      <c r="G59" s="5"/>
      <c r="H59" s="5"/>
      <c r="I59" s="249"/>
      <c r="J59" s="17"/>
      <c r="K59" s="17"/>
      <c r="L59" s="17"/>
      <c r="M59" s="17"/>
      <c r="N59" s="17"/>
      <c r="O59" s="251"/>
      <c r="Q59" s="5"/>
      <c r="R59" s="5"/>
      <c r="S59" s="5"/>
      <c r="T59" s="5"/>
      <c r="U59" s="5"/>
    </row>
    <row r="60" spans="2:28">
      <c r="B60" s="41"/>
      <c r="C60" s="17"/>
      <c r="D60" s="17"/>
      <c r="E60" s="17"/>
      <c r="F60" s="17"/>
      <c r="G60" s="17"/>
      <c r="H60" s="17"/>
      <c r="I60" s="5"/>
      <c r="J60" s="5"/>
      <c r="K60" s="5"/>
      <c r="L60" s="5"/>
      <c r="M60" s="5"/>
      <c r="N60" s="5"/>
      <c r="O60" s="5"/>
      <c r="Q60" s="41"/>
      <c r="R60" s="5"/>
      <c r="S60" s="5"/>
      <c r="T60" s="5"/>
      <c r="U60" s="5"/>
    </row>
    <row r="61" spans="2:28">
      <c r="B61" s="5"/>
      <c r="C61" s="5"/>
      <c r="D61" s="5"/>
      <c r="E61" s="5"/>
      <c r="F61" s="5"/>
      <c r="G61" s="5"/>
      <c r="H61" s="5"/>
      <c r="I61" s="5"/>
      <c r="J61" s="249"/>
      <c r="K61" s="249"/>
      <c r="L61" s="249"/>
      <c r="M61" s="249"/>
      <c r="N61" s="249"/>
      <c r="O61" s="251"/>
      <c r="Q61" s="5"/>
      <c r="R61" s="5"/>
      <c r="S61" s="5"/>
      <c r="T61" s="5"/>
      <c r="U61" s="5"/>
    </row>
    <row r="62" spans="2:28">
      <c r="B62" s="41"/>
      <c r="C62" s="249"/>
      <c r="D62" s="249"/>
      <c r="E62" s="249"/>
      <c r="F62" s="249"/>
      <c r="G62" s="249"/>
      <c r="H62" s="249"/>
      <c r="I62" s="254"/>
      <c r="J62" s="5"/>
      <c r="K62" s="5"/>
      <c r="L62" s="5"/>
      <c r="M62" s="5"/>
      <c r="N62" s="5"/>
      <c r="O62" s="5"/>
      <c r="Q62" s="5"/>
      <c r="R62" s="5"/>
      <c r="S62" s="5"/>
      <c r="T62" s="5"/>
      <c r="U62" s="5"/>
    </row>
    <row r="63" spans="2:28">
      <c r="B63" s="5"/>
      <c r="C63" s="5"/>
      <c r="D63" s="5"/>
      <c r="E63" s="5"/>
      <c r="F63" s="5"/>
      <c r="G63" s="5"/>
      <c r="H63" s="5"/>
      <c r="I63" s="17"/>
      <c r="J63" s="5"/>
      <c r="K63" s="5"/>
      <c r="L63" s="5"/>
      <c r="M63" s="5"/>
      <c r="N63" s="5"/>
      <c r="O63" s="5"/>
      <c r="Q63" s="5"/>
      <c r="R63" s="5"/>
      <c r="S63" s="5"/>
      <c r="T63" s="5"/>
      <c r="U63" s="5"/>
    </row>
    <row r="64" spans="2:28">
      <c r="B64" s="5"/>
      <c r="C64" s="5"/>
      <c r="D64" s="5"/>
      <c r="E64" s="5"/>
      <c r="F64" s="5"/>
      <c r="G64" s="5"/>
      <c r="H64" s="5"/>
      <c r="I64" s="254"/>
      <c r="J64" s="254"/>
      <c r="K64" s="254"/>
      <c r="L64" s="254"/>
      <c r="M64" s="254"/>
      <c r="N64" s="254"/>
      <c r="O64" s="251"/>
      <c r="Q64" s="5"/>
      <c r="R64" s="5"/>
      <c r="S64" s="5"/>
      <c r="T64" s="5"/>
      <c r="U64" s="5"/>
    </row>
    <row r="65" spans="2:26">
      <c r="B65" s="41"/>
      <c r="C65" s="249"/>
      <c r="D65" s="254"/>
      <c r="E65" s="254"/>
      <c r="F65" s="254"/>
      <c r="G65" s="254"/>
      <c r="H65" s="254"/>
      <c r="I65" s="248"/>
      <c r="J65" s="17"/>
      <c r="K65" s="17"/>
      <c r="L65" s="17"/>
      <c r="M65" s="17"/>
      <c r="N65" s="17"/>
      <c r="O65" s="5"/>
      <c r="Q65" s="5"/>
      <c r="R65" s="5"/>
      <c r="S65" s="5"/>
      <c r="T65" s="5"/>
      <c r="U65" s="5"/>
    </row>
    <row r="66" spans="2:26">
      <c r="B66" s="5"/>
      <c r="C66" s="5"/>
      <c r="D66" s="17"/>
      <c r="E66" s="17"/>
      <c r="F66" s="17"/>
      <c r="G66" s="17"/>
      <c r="H66" s="17"/>
      <c r="I66" s="5"/>
      <c r="J66" s="254"/>
      <c r="K66" s="254"/>
      <c r="L66" s="254"/>
      <c r="M66" s="254"/>
      <c r="N66" s="254"/>
      <c r="O66" s="251"/>
      <c r="Q66" s="41"/>
      <c r="R66" s="5"/>
      <c r="S66" s="5"/>
      <c r="T66" s="5"/>
      <c r="U66" s="5"/>
    </row>
    <row r="67" spans="2:26">
      <c r="B67" s="41"/>
      <c r="C67" s="249"/>
      <c r="D67" s="254"/>
      <c r="E67" s="254"/>
      <c r="F67" s="254"/>
      <c r="G67" s="254"/>
      <c r="H67" s="254"/>
      <c r="I67" s="245"/>
      <c r="J67" s="248"/>
      <c r="K67" s="248"/>
      <c r="L67" s="248"/>
      <c r="M67" s="248"/>
      <c r="N67" s="248"/>
      <c r="O67" s="5"/>
      <c r="Q67" s="5"/>
      <c r="R67" s="5"/>
      <c r="S67" s="5"/>
      <c r="T67" s="5"/>
      <c r="U67" s="5"/>
    </row>
    <row r="68" spans="2:26">
      <c r="B68" s="5"/>
      <c r="C68" s="5"/>
      <c r="D68" s="248"/>
      <c r="E68" s="248"/>
      <c r="F68" s="248"/>
      <c r="G68" s="248"/>
      <c r="H68" s="248"/>
      <c r="I68" s="248"/>
      <c r="J68" s="5"/>
      <c r="K68" s="5"/>
      <c r="L68" s="5"/>
      <c r="M68" s="5"/>
      <c r="N68" s="5"/>
      <c r="O68" s="5"/>
      <c r="Q68" s="5"/>
      <c r="R68" s="5"/>
      <c r="S68" s="5"/>
      <c r="T68" s="5"/>
      <c r="U68" s="5"/>
    </row>
    <row r="69" spans="2:26">
      <c r="B69" s="41"/>
      <c r="C69" s="5"/>
      <c r="D69" s="5"/>
      <c r="E69" s="5"/>
      <c r="F69" s="5"/>
      <c r="G69" s="5"/>
      <c r="H69" s="5"/>
      <c r="I69" s="5"/>
      <c r="J69" s="245"/>
      <c r="K69" s="245"/>
      <c r="L69" s="245"/>
      <c r="M69" s="245"/>
      <c r="N69" s="245"/>
      <c r="O69" s="251"/>
      <c r="Q69" s="5"/>
      <c r="R69" s="5"/>
      <c r="S69" s="5"/>
      <c r="T69" s="5"/>
      <c r="U69" s="5"/>
      <c r="W69" s="76"/>
      <c r="X69" s="76"/>
    </row>
    <row r="70" spans="2:26">
      <c r="B70" s="41"/>
      <c r="C70" s="245"/>
      <c r="D70" s="245"/>
      <c r="E70" s="245"/>
      <c r="F70" s="245"/>
      <c r="G70" s="245"/>
      <c r="H70" s="245"/>
      <c r="I70" s="245"/>
      <c r="J70" s="248"/>
      <c r="K70" s="248"/>
      <c r="L70" s="248"/>
      <c r="M70" s="248"/>
      <c r="N70" s="248"/>
      <c r="O70" s="5"/>
      <c r="Q70" s="5"/>
      <c r="R70" s="5"/>
      <c r="S70" s="5"/>
      <c r="T70" s="5"/>
      <c r="U70" s="5"/>
      <c r="W70" s="76"/>
      <c r="X70" s="76"/>
      <c r="Y70" s="76"/>
      <c r="Z70" s="76"/>
    </row>
    <row r="71" spans="2:26">
      <c r="B71" s="5"/>
      <c r="C71" s="5"/>
      <c r="D71" s="248"/>
      <c r="E71" s="248"/>
      <c r="F71" s="248"/>
      <c r="G71" s="248"/>
      <c r="H71" s="248"/>
      <c r="I71" s="18"/>
      <c r="J71" s="5"/>
      <c r="K71" s="5"/>
      <c r="L71" s="5"/>
      <c r="M71" s="5"/>
      <c r="N71" s="5"/>
      <c r="O71" s="5"/>
      <c r="Q71" s="5"/>
      <c r="R71" s="5"/>
      <c r="S71" s="5"/>
      <c r="T71" s="5"/>
      <c r="U71" s="5"/>
      <c r="Y71" s="76"/>
      <c r="Z71" s="76"/>
    </row>
    <row r="72" spans="2:26">
      <c r="B72" s="41"/>
      <c r="C72" s="5"/>
      <c r="D72" s="5"/>
      <c r="E72" s="5"/>
      <c r="F72" s="5"/>
      <c r="G72" s="5"/>
      <c r="H72" s="5"/>
      <c r="I72" s="5"/>
      <c r="J72" s="245"/>
      <c r="K72" s="245"/>
      <c r="L72" s="245"/>
      <c r="M72" s="245"/>
      <c r="N72" s="245"/>
      <c r="O72" s="251"/>
      <c r="Q72" s="5"/>
      <c r="R72" s="5"/>
      <c r="S72" s="5"/>
      <c r="T72" s="5"/>
      <c r="U72" s="5"/>
    </row>
    <row r="73" spans="2:26">
      <c r="B73" s="41"/>
      <c r="C73" s="245"/>
      <c r="D73" s="245"/>
      <c r="E73" s="245"/>
      <c r="F73" s="245"/>
      <c r="G73" s="245"/>
      <c r="H73" s="245"/>
      <c r="I73" s="249"/>
      <c r="J73" s="18"/>
      <c r="K73" s="18"/>
      <c r="L73" s="18"/>
      <c r="M73" s="18"/>
      <c r="N73" s="18"/>
      <c r="O73" s="5"/>
      <c r="Q73" s="5"/>
      <c r="R73" s="5"/>
      <c r="S73" s="5"/>
      <c r="T73" s="5"/>
      <c r="U73" s="5"/>
    </row>
    <row r="74" spans="2:26">
      <c r="B74" s="5"/>
      <c r="C74" s="5"/>
      <c r="D74" s="18"/>
      <c r="E74" s="18"/>
      <c r="F74" s="18"/>
      <c r="G74" s="18"/>
      <c r="H74" s="18"/>
      <c r="I74" s="248"/>
      <c r="J74" s="5"/>
      <c r="K74" s="5"/>
      <c r="L74" s="5"/>
      <c r="M74" s="5"/>
      <c r="N74" s="5"/>
      <c r="O74" s="5"/>
      <c r="Q74" s="5"/>
      <c r="R74" s="5"/>
      <c r="S74" s="5"/>
      <c r="T74" s="5"/>
      <c r="U74" s="5"/>
    </row>
    <row r="75" spans="2:26">
      <c r="B75" s="41"/>
      <c r="C75" s="5"/>
      <c r="D75" s="5"/>
      <c r="E75" s="5"/>
      <c r="F75" s="5"/>
      <c r="G75" s="5"/>
      <c r="H75" s="5"/>
      <c r="I75" s="5"/>
      <c r="J75" s="249"/>
      <c r="K75" s="249"/>
      <c r="L75" s="249"/>
      <c r="M75" s="249"/>
      <c r="N75" s="249"/>
      <c r="O75" s="251"/>
      <c r="Q75" s="5"/>
      <c r="R75" s="5"/>
      <c r="S75" s="5"/>
      <c r="T75" s="5"/>
      <c r="U75" s="5"/>
    </row>
    <row r="76" spans="2:26">
      <c r="B76" s="41"/>
      <c r="C76" s="249"/>
      <c r="D76" s="249"/>
      <c r="E76" s="249"/>
      <c r="F76" s="249"/>
      <c r="G76" s="249"/>
      <c r="H76" s="249"/>
      <c r="I76" s="245"/>
      <c r="J76" s="248"/>
      <c r="K76" s="248"/>
      <c r="L76" s="248"/>
      <c r="M76" s="248"/>
      <c r="N76" s="248"/>
      <c r="O76" s="5"/>
      <c r="Q76" s="5"/>
      <c r="R76" s="5"/>
      <c r="S76" s="5"/>
      <c r="T76" s="5"/>
      <c r="U76" s="5"/>
    </row>
    <row r="77" spans="2:26">
      <c r="B77" s="5"/>
      <c r="C77" s="5"/>
      <c r="D77" s="248"/>
      <c r="E77" s="248"/>
      <c r="F77" s="248"/>
      <c r="G77" s="248"/>
      <c r="H77" s="248"/>
      <c r="I77" s="248"/>
      <c r="J77" s="5"/>
      <c r="K77" s="5"/>
      <c r="L77" s="5"/>
      <c r="M77" s="5"/>
      <c r="N77" s="5"/>
      <c r="O77" s="5"/>
      <c r="Q77" s="5"/>
      <c r="R77" s="5"/>
      <c r="S77" s="5"/>
      <c r="T77" s="5"/>
      <c r="U77" s="5"/>
    </row>
    <row r="78" spans="2:26">
      <c r="B78" s="41"/>
      <c r="C78" s="5"/>
      <c r="D78" s="5"/>
      <c r="E78" s="5"/>
      <c r="F78" s="5"/>
      <c r="G78" s="5"/>
      <c r="H78" s="5"/>
      <c r="I78" s="5"/>
      <c r="J78" s="245"/>
      <c r="K78" s="245"/>
      <c r="L78" s="245"/>
      <c r="M78" s="245"/>
      <c r="N78" s="245"/>
      <c r="O78" s="251"/>
      <c r="Q78" s="5"/>
      <c r="R78" s="5"/>
      <c r="S78" s="5"/>
      <c r="T78" s="5"/>
      <c r="U78" s="5"/>
    </row>
    <row r="79" spans="2:26">
      <c r="B79" s="41"/>
      <c r="C79" s="245"/>
      <c r="D79" s="245"/>
      <c r="E79" s="245"/>
      <c r="F79" s="245"/>
      <c r="G79" s="245"/>
      <c r="H79" s="245"/>
      <c r="I79" s="249"/>
      <c r="J79" s="248"/>
      <c r="K79" s="248"/>
      <c r="L79" s="248"/>
      <c r="M79" s="248"/>
      <c r="N79" s="248"/>
      <c r="O79" s="5"/>
      <c r="Q79" s="5"/>
      <c r="R79" s="5"/>
      <c r="S79" s="5"/>
      <c r="T79" s="5"/>
      <c r="U79" s="5"/>
    </row>
    <row r="80" spans="2:26">
      <c r="B80" s="5"/>
      <c r="C80" s="5"/>
      <c r="D80" s="248"/>
      <c r="E80" s="248"/>
      <c r="F80" s="248"/>
      <c r="G80" s="248"/>
      <c r="H80" s="248"/>
      <c r="I80" s="248"/>
      <c r="J80" s="5"/>
      <c r="K80" s="5"/>
      <c r="L80" s="5"/>
      <c r="M80" s="5"/>
      <c r="N80" s="5"/>
      <c r="O80" s="5"/>
      <c r="Q80" s="5"/>
      <c r="R80" s="5"/>
      <c r="S80" s="5"/>
      <c r="T80" s="5"/>
      <c r="U80" s="5"/>
    </row>
    <row r="81" spans="2:26">
      <c r="B81" s="41"/>
      <c r="C81" s="5"/>
      <c r="D81" s="5"/>
      <c r="E81" s="5"/>
      <c r="F81" s="5"/>
      <c r="G81" s="5"/>
      <c r="H81" s="5"/>
      <c r="I81" s="259"/>
      <c r="J81" s="249"/>
      <c r="K81" s="249"/>
      <c r="L81" s="249"/>
      <c r="M81" s="249"/>
      <c r="N81" s="249"/>
      <c r="O81" s="251"/>
      <c r="Q81" s="5"/>
      <c r="R81" s="5"/>
      <c r="S81" s="5"/>
      <c r="T81" s="5"/>
      <c r="U81" s="5"/>
    </row>
    <row r="82" spans="2:26">
      <c r="B82" s="41"/>
      <c r="C82" s="249"/>
      <c r="D82" s="249"/>
      <c r="E82" s="249"/>
      <c r="F82" s="249"/>
      <c r="G82" s="249"/>
      <c r="H82" s="249"/>
      <c r="I82" s="5"/>
      <c r="J82" s="248"/>
      <c r="K82" s="248"/>
      <c r="L82" s="248"/>
      <c r="M82" s="248"/>
      <c r="N82" s="248"/>
      <c r="O82" s="5"/>
      <c r="Q82" s="5"/>
      <c r="R82" s="5"/>
      <c r="S82" s="5"/>
      <c r="T82" s="5"/>
      <c r="U82" s="5"/>
    </row>
    <row r="83" spans="2:26">
      <c r="B83" s="5"/>
      <c r="C83" s="5"/>
      <c r="D83" s="248"/>
      <c r="E83" s="248"/>
      <c r="F83" s="248"/>
      <c r="G83" s="248"/>
      <c r="H83" s="248"/>
      <c r="I83" s="245"/>
      <c r="J83" s="259"/>
      <c r="K83" s="259"/>
      <c r="L83" s="259"/>
      <c r="M83" s="259"/>
      <c r="N83" s="259"/>
      <c r="O83" s="251"/>
      <c r="Q83" s="5"/>
      <c r="R83" s="5"/>
      <c r="S83" s="5"/>
      <c r="T83" s="5"/>
      <c r="U83" s="5"/>
    </row>
    <row r="84" spans="2:26">
      <c r="B84" s="5"/>
      <c r="C84" s="259"/>
      <c r="D84" s="259"/>
      <c r="E84" s="259"/>
      <c r="F84" s="259"/>
      <c r="G84" s="259"/>
      <c r="H84" s="259"/>
      <c r="I84" s="248"/>
      <c r="J84" s="5"/>
      <c r="K84" s="5"/>
      <c r="L84" s="5"/>
      <c r="M84" s="5"/>
      <c r="N84" s="5"/>
      <c r="O84" s="5"/>
      <c r="Q84" s="5"/>
      <c r="R84" s="5"/>
      <c r="S84" s="5"/>
      <c r="T84" s="5"/>
      <c r="U84" s="5"/>
    </row>
    <row r="85" spans="2:26">
      <c r="B85" s="41"/>
      <c r="C85" s="5"/>
      <c r="D85" s="5"/>
      <c r="E85" s="5"/>
      <c r="F85" s="5"/>
      <c r="G85" s="5"/>
      <c r="H85" s="5"/>
      <c r="I85" s="5"/>
      <c r="J85" s="245"/>
      <c r="K85" s="245"/>
      <c r="L85" s="245"/>
      <c r="M85" s="245"/>
      <c r="N85" s="245"/>
      <c r="O85" s="251"/>
      <c r="Q85" s="5"/>
      <c r="R85" s="5"/>
      <c r="S85" s="5"/>
      <c r="T85" s="5"/>
      <c r="U85" s="5"/>
    </row>
    <row r="86" spans="2:26">
      <c r="B86" s="41"/>
      <c r="C86" s="245"/>
      <c r="D86" s="245"/>
      <c r="E86" s="245"/>
      <c r="F86" s="245"/>
      <c r="G86" s="245"/>
      <c r="H86" s="245"/>
      <c r="I86" s="5"/>
      <c r="J86" s="248"/>
      <c r="K86" s="248"/>
      <c r="L86" s="248"/>
      <c r="M86" s="248"/>
      <c r="N86" s="248"/>
      <c r="O86" s="5"/>
      <c r="Q86" s="5"/>
      <c r="R86" s="5"/>
      <c r="S86" s="5"/>
      <c r="T86" s="5"/>
      <c r="U86" s="5"/>
    </row>
    <row r="87" spans="2:26">
      <c r="B87" s="5"/>
      <c r="C87" s="5"/>
      <c r="D87" s="248"/>
      <c r="E87" s="248"/>
      <c r="F87" s="248"/>
      <c r="G87" s="248"/>
      <c r="H87" s="248"/>
      <c r="I87" s="5"/>
      <c r="J87" s="5"/>
      <c r="K87" s="5"/>
      <c r="L87" s="5"/>
      <c r="M87" s="5"/>
      <c r="N87" s="5"/>
      <c r="O87" s="5"/>
      <c r="Q87" s="5"/>
      <c r="R87" s="5"/>
      <c r="S87" s="5"/>
      <c r="T87" s="5"/>
      <c r="U87" s="5"/>
    </row>
    <row r="88" spans="2:26">
      <c r="B88" s="41"/>
      <c r="C88" s="5"/>
      <c r="D88" s="5"/>
      <c r="E88" s="5"/>
      <c r="F88" s="5"/>
      <c r="G88" s="5"/>
      <c r="H88" s="5"/>
      <c r="I88" s="5"/>
      <c r="J88" s="5"/>
      <c r="K88" s="5"/>
      <c r="L88" s="5"/>
      <c r="M88" s="5"/>
      <c r="N88" s="5"/>
      <c r="O88" s="5"/>
      <c r="Q88" s="5"/>
      <c r="R88" s="5"/>
      <c r="S88" s="5"/>
      <c r="T88" s="5"/>
      <c r="U88" s="5"/>
    </row>
    <row r="89" spans="2:26">
      <c r="B89" s="41"/>
      <c r="C89" s="5"/>
      <c r="D89" s="5"/>
      <c r="E89" s="5"/>
      <c r="F89" s="5"/>
      <c r="G89" s="5"/>
      <c r="H89" s="5"/>
      <c r="I89" s="49"/>
      <c r="J89" s="5"/>
      <c r="K89" s="5"/>
      <c r="L89" s="5"/>
      <c r="M89" s="5"/>
      <c r="N89" s="5"/>
      <c r="O89" s="5"/>
      <c r="Q89" s="41"/>
      <c r="R89" s="5"/>
      <c r="S89" s="5"/>
      <c r="T89" s="5"/>
      <c r="U89" s="5"/>
    </row>
    <row r="90" spans="2:26">
      <c r="B90" s="41"/>
      <c r="C90" s="5"/>
      <c r="D90" s="5"/>
      <c r="E90" s="5"/>
      <c r="F90" s="5"/>
      <c r="G90" s="5"/>
      <c r="H90" s="5"/>
      <c r="I90" s="5"/>
      <c r="J90" s="5"/>
      <c r="K90" s="5"/>
      <c r="L90" s="5"/>
      <c r="M90" s="5"/>
      <c r="N90" s="5"/>
      <c r="O90" s="5"/>
      <c r="Q90" s="5"/>
      <c r="R90" s="5"/>
      <c r="S90" s="5"/>
      <c r="T90" s="5"/>
      <c r="U90" s="5"/>
    </row>
    <row r="91" spans="2:26">
      <c r="B91" s="5"/>
      <c r="C91" s="5"/>
      <c r="D91" s="5"/>
      <c r="E91" s="5"/>
      <c r="F91" s="5"/>
      <c r="G91" s="5"/>
      <c r="H91" s="5"/>
      <c r="I91" s="247"/>
      <c r="J91" s="49"/>
      <c r="K91" s="49"/>
      <c r="L91" s="49"/>
      <c r="M91" s="49"/>
      <c r="N91" s="49"/>
      <c r="O91" s="49"/>
      <c r="Q91" s="5"/>
      <c r="R91" s="5"/>
      <c r="S91" s="5"/>
      <c r="T91" s="5"/>
      <c r="U91" s="5"/>
      <c r="W91" s="21"/>
      <c r="X91" s="21"/>
    </row>
    <row r="92" spans="2:26">
      <c r="B92" s="41"/>
      <c r="C92" s="49"/>
      <c r="D92" s="49"/>
      <c r="E92" s="49"/>
      <c r="F92" s="49"/>
      <c r="G92" s="49"/>
      <c r="H92" s="49"/>
      <c r="I92" s="247"/>
      <c r="J92" s="5"/>
      <c r="K92" s="5"/>
      <c r="L92" s="5"/>
      <c r="M92" s="5"/>
      <c r="N92" s="5"/>
      <c r="O92" s="5"/>
      <c r="Q92" s="5"/>
      <c r="R92" s="5"/>
      <c r="S92" s="5"/>
      <c r="T92" s="5"/>
      <c r="U92" s="5"/>
      <c r="W92" s="21"/>
      <c r="X92" s="21"/>
      <c r="Y92" s="21"/>
      <c r="Z92" s="21"/>
    </row>
    <row r="93" spans="2:26">
      <c r="B93" s="5"/>
      <c r="C93" s="5"/>
      <c r="D93" s="5"/>
      <c r="E93" s="5"/>
      <c r="F93" s="5"/>
      <c r="G93" s="5"/>
      <c r="H93" s="5"/>
      <c r="I93" s="247"/>
      <c r="J93" s="247"/>
      <c r="K93" s="247"/>
      <c r="L93" s="247"/>
      <c r="M93" s="247"/>
      <c r="N93" s="247"/>
      <c r="O93" s="248"/>
      <c r="Q93" s="5"/>
      <c r="R93" s="5"/>
      <c r="S93" s="5"/>
      <c r="T93" s="5"/>
      <c r="U93" s="5"/>
      <c r="Y93" s="21"/>
      <c r="Z93" s="21"/>
    </row>
    <row r="94" spans="2:26">
      <c r="B94" s="5"/>
      <c r="C94" s="259"/>
      <c r="D94" s="247"/>
      <c r="E94" s="247"/>
      <c r="F94" s="247"/>
      <c r="G94" s="247"/>
      <c r="H94" s="247"/>
      <c r="I94" s="248"/>
      <c r="J94" s="247"/>
      <c r="K94" s="247"/>
      <c r="L94" s="247"/>
      <c r="M94" s="247"/>
      <c r="N94" s="247"/>
      <c r="O94" s="248"/>
      <c r="Q94" s="5"/>
      <c r="R94" s="5"/>
      <c r="S94" s="5"/>
      <c r="T94" s="5"/>
      <c r="U94" s="5"/>
    </row>
    <row r="95" spans="2:26">
      <c r="B95" s="5"/>
      <c r="C95" s="259"/>
      <c r="D95" s="247"/>
      <c r="E95" s="247"/>
      <c r="F95" s="247"/>
      <c r="G95" s="247"/>
      <c r="H95" s="247"/>
      <c r="I95" s="247"/>
      <c r="J95" s="247"/>
      <c r="K95" s="247"/>
      <c r="L95" s="247"/>
      <c r="M95" s="247"/>
      <c r="N95" s="247"/>
      <c r="O95" s="248"/>
      <c r="Q95" s="5"/>
      <c r="R95" s="5"/>
      <c r="S95" s="5"/>
      <c r="T95" s="5"/>
      <c r="U95" s="5"/>
    </row>
    <row r="96" spans="2:26">
      <c r="B96" s="5"/>
      <c r="C96" s="259"/>
      <c r="D96" s="247"/>
      <c r="E96" s="247"/>
      <c r="F96" s="247"/>
      <c r="G96" s="247"/>
      <c r="H96" s="247"/>
      <c r="I96" s="249"/>
      <c r="J96" s="248"/>
      <c r="K96" s="248"/>
      <c r="L96" s="248"/>
      <c r="M96" s="248"/>
      <c r="N96" s="248"/>
      <c r="O96" s="248"/>
      <c r="Q96" s="5"/>
      <c r="R96" s="5"/>
      <c r="S96" s="5"/>
      <c r="T96" s="5"/>
      <c r="U96" s="5"/>
    </row>
    <row r="97" spans="2:21">
      <c r="B97" s="5"/>
      <c r="C97" s="259"/>
      <c r="D97" s="248"/>
      <c r="E97" s="248"/>
      <c r="F97" s="248"/>
      <c r="G97" s="248"/>
      <c r="H97" s="248"/>
      <c r="I97" s="248"/>
      <c r="J97" s="247"/>
      <c r="K97" s="247"/>
      <c r="L97" s="247"/>
      <c r="M97" s="247"/>
      <c r="N97" s="247"/>
      <c r="O97" s="248"/>
      <c r="Q97" s="5"/>
      <c r="R97" s="5"/>
      <c r="S97" s="5"/>
      <c r="T97" s="5"/>
      <c r="U97" s="5"/>
    </row>
    <row r="98" spans="2:21">
      <c r="B98" s="5"/>
      <c r="C98" s="259"/>
      <c r="D98" s="247"/>
      <c r="E98" s="247"/>
      <c r="F98" s="247"/>
      <c r="G98" s="247"/>
      <c r="H98" s="247"/>
      <c r="I98" s="5"/>
      <c r="J98" s="249"/>
      <c r="K98" s="249"/>
      <c r="L98" s="249"/>
      <c r="M98" s="249"/>
      <c r="N98" s="249"/>
      <c r="O98" s="248"/>
      <c r="Q98" s="5"/>
      <c r="R98" s="5"/>
      <c r="S98" s="5"/>
      <c r="T98" s="5"/>
      <c r="U98" s="5"/>
    </row>
    <row r="99" spans="2:21">
      <c r="B99" s="41"/>
      <c r="C99" s="249"/>
      <c r="D99" s="249"/>
      <c r="E99" s="249"/>
      <c r="F99" s="249"/>
      <c r="G99" s="249"/>
      <c r="H99" s="249"/>
      <c r="I99" s="259"/>
      <c r="J99" s="248"/>
      <c r="K99" s="248"/>
      <c r="L99" s="248"/>
      <c r="M99" s="248"/>
      <c r="N99" s="248"/>
      <c r="O99" s="248"/>
      <c r="Q99" s="5"/>
      <c r="R99" s="5"/>
      <c r="S99" s="5"/>
      <c r="T99" s="5"/>
      <c r="U99" s="5"/>
    </row>
    <row r="100" spans="2:21" s="5" customFormat="1">
      <c r="B100" s="41"/>
      <c r="C100" s="257"/>
      <c r="D100" s="248"/>
      <c r="E100" s="248"/>
      <c r="F100" s="248"/>
      <c r="G100" s="248"/>
      <c r="H100" s="248"/>
      <c r="I100" s="259"/>
      <c r="O100" s="248"/>
      <c r="P100" s="39"/>
    </row>
    <row r="101" spans="2:21">
      <c r="B101" s="41"/>
      <c r="C101" s="5"/>
      <c r="D101" s="5"/>
      <c r="E101" s="5"/>
      <c r="F101" s="5"/>
      <c r="G101" s="5"/>
      <c r="H101" s="5"/>
      <c r="I101" s="247"/>
      <c r="J101" s="259"/>
      <c r="K101" s="259"/>
      <c r="L101" s="259"/>
      <c r="M101" s="259"/>
      <c r="N101" s="259"/>
      <c r="O101" s="5"/>
      <c r="Q101" s="5"/>
      <c r="R101" s="5"/>
      <c r="S101" s="5"/>
      <c r="T101" s="5"/>
      <c r="U101" s="5"/>
    </row>
    <row r="102" spans="2:21">
      <c r="B102" s="5"/>
      <c r="C102" s="259"/>
      <c r="D102" s="259"/>
      <c r="E102" s="259"/>
      <c r="F102" s="259"/>
      <c r="G102" s="259"/>
      <c r="H102" s="259"/>
      <c r="I102" s="5"/>
      <c r="J102" s="259"/>
      <c r="K102" s="259"/>
      <c r="L102" s="259"/>
      <c r="M102" s="259"/>
      <c r="N102" s="259"/>
      <c r="O102" s="5"/>
      <c r="P102" s="5"/>
      <c r="Q102" s="5"/>
      <c r="R102" s="5"/>
      <c r="S102" s="5"/>
      <c r="T102" s="5"/>
      <c r="U102" s="5"/>
    </row>
    <row r="103" spans="2:21">
      <c r="B103" s="5"/>
      <c r="C103" s="259"/>
      <c r="D103" s="259"/>
      <c r="E103" s="259"/>
      <c r="F103" s="259"/>
      <c r="G103" s="259"/>
      <c r="H103" s="259"/>
      <c r="I103" s="247"/>
      <c r="J103" s="247"/>
      <c r="K103" s="247"/>
      <c r="L103" s="247"/>
      <c r="M103" s="247"/>
      <c r="N103" s="247"/>
      <c r="O103" s="5"/>
      <c r="Q103" s="5"/>
      <c r="R103" s="5"/>
      <c r="S103" s="5"/>
      <c r="T103" s="5"/>
      <c r="U103" s="5"/>
    </row>
    <row r="104" spans="2:21" s="5" customFormat="1">
      <c r="C104" s="247"/>
      <c r="D104" s="247"/>
      <c r="E104" s="247"/>
      <c r="F104" s="247"/>
      <c r="G104" s="247"/>
      <c r="H104" s="247"/>
      <c r="P104" s="39"/>
    </row>
    <row r="105" spans="2:21" s="5" customFormat="1">
      <c r="I105" s="259"/>
      <c r="J105" s="247"/>
      <c r="K105" s="247"/>
      <c r="L105" s="247"/>
      <c r="M105" s="247"/>
      <c r="N105" s="247"/>
      <c r="P105" s="39"/>
    </row>
    <row r="106" spans="2:21">
      <c r="B106" s="5"/>
      <c r="C106" s="259"/>
      <c r="D106" s="247"/>
      <c r="E106" s="247"/>
      <c r="F106" s="247"/>
      <c r="G106" s="247"/>
      <c r="H106" s="247"/>
      <c r="I106" s="247"/>
      <c r="J106" s="5"/>
      <c r="K106" s="5"/>
      <c r="L106" s="5"/>
      <c r="M106" s="5"/>
      <c r="N106" s="5"/>
      <c r="O106" s="5"/>
      <c r="P106" s="5"/>
      <c r="Q106" s="5"/>
      <c r="R106" s="5"/>
      <c r="S106" s="5"/>
      <c r="T106" s="5"/>
      <c r="U106" s="5"/>
    </row>
    <row r="107" spans="2:21">
      <c r="B107" s="5"/>
      <c r="C107" s="259"/>
      <c r="D107" s="5"/>
      <c r="E107" s="5"/>
      <c r="F107" s="5"/>
      <c r="G107" s="5"/>
      <c r="H107" s="5"/>
      <c r="I107" s="249"/>
      <c r="J107" s="259"/>
      <c r="K107" s="259"/>
      <c r="L107" s="259"/>
      <c r="M107" s="259"/>
      <c r="N107" s="259"/>
      <c r="O107" s="5"/>
      <c r="P107" s="5"/>
      <c r="Q107" s="5"/>
      <c r="R107" s="5"/>
      <c r="S107" s="5"/>
      <c r="T107" s="5"/>
      <c r="U107" s="5"/>
    </row>
    <row r="108" spans="2:21">
      <c r="B108" s="5"/>
      <c r="C108" s="259"/>
      <c r="D108" s="259"/>
      <c r="E108" s="259"/>
      <c r="F108" s="259"/>
      <c r="G108" s="259"/>
      <c r="H108" s="259"/>
      <c r="I108" s="249"/>
      <c r="J108" s="247"/>
      <c r="K108" s="247"/>
      <c r="L108" s="247"/>
      <c r="M108" s="247"/>
      <c r="N108" s="247"/>
      <c r="O108" s="5"/>
      <c r="Q108" s="5"/>
      <c r="R108" s="5"/>
      <c r="S108" s="5"/>
      <c r="T108" s="5"/>
      <c r="U108" s="5"/>
    </row>
    <row r="109" spans="2:21">
      <c r="B109" s="5"/>
      <c r="C109" s="247"/>
      <c r="D109" s="247"/>
      <c r="E109" s="247"/>
      <c r="F109" s="247"/>
      <c r="G109" s="247"/>
      <c r="H109" s="247"/>
      <c r="I109" s="247"/>
      <c r="J109" s="249"/>
      <c r="K109" s="249"/>
      <c r="L109" s="249"/>
      <c r="M109" s="249"/>
      <c r="N109" s="249"/>
      <c r="O109" s="5"/>
      <c r="Q109" s="5"/>
      <c r="R109" s="5"/>
      <c r="S109" s="5"/>
      <c r="T109" s="5"/>
      <c r="U109" s="5"/>
    </row>
    <row r="110" spans="2:21">
      <c r="B110" s="41"/>
      <c r="C110" s="249"/>
      <c r="D110" s="249"/>
      <c r="E110" s="249"/>
      <c r="F110" s="249"/>
      <c r="G110" s="249"/>
      <c r="H110" s="249"/>
      <c r="I110" s="5"/>
      <c r="J110" s="249"/>
      <c r="K110" s="249"/>
      <c r="L110" s="249"/>
      <c r="M110" s="249"/>
      <c r="N110" s="249"/>
      <c r="O110" s="5"/>
      <c r="Q110" s="5"/>
      <c r="R110" s="5"/>
      <c r="S110" s="5"/>
      <c r="T110" s="5"/>
      <c r="U110" s="5"/>
    </row>
    <row r="111" spans="2:21">
      <c r="B111" s="5"/>
      <c r="C111" s="249"/>
      <c r="D111" s="249"/>
      <c r="E111" s="249"/>
      <c r="F111" s="249"/>
      <c r="G111" s="249"/>
      <c r="H111" s="249"/>
      <c r="I111" s="5"/>
      <c r="J111" s="247"/>
      <c r="K111" s="247"/>
      <c r="L111" s="247"/>
      <c r="M111" s="247"/>
      <c r="N111" s="247"/>
      <c r="O111" s="5"/>
      <c r="Q111" s="5"/>
      <c r="R111" s="5"/>
      <c r="S111" s="5"/>
      <c r="T111" s="5"/>
      <c r="U111" s="5"/>
    </row>
    <row r="112" spans="2:21">
      <c r="B112" s="5"/>
      <c r="C112" s="247"/>
      <c r="D112" s="247"/>
      <c r="E112" s="247"/>
      <c r="F112" s="247"/>
      <c r="G112" s="247"/>
      <c r="H112" s="247"/>
      <c r="I112" s="5"/>
      <c r="J112" s="5"/>
      <c r="K112" s="5"/>
      <c r="L112" s="5"/>
      <c r="M112" s="5"/>
      <c r="N112" s="5"/>
      <c r="O112" s="5"/>
      <c r="Q112" s="5"/>
      <c r="R112" s="5"/>
      <c r="S112" s="5"/>
      <c r="T112" s="5"/>
      <c r="U112" s="5"/>
    </row>
    <row r="113" spans="2:21">
      <c r="B113" s="5"/>
      <c r="C113" s="5"/>
      <c r="D113" s="5"/>
      <c r="E113" s="5"/>
      <c r="F113" s="5"/>
      <c r="G113" s="5"/>
      <c r="H113" s="5"/>
      <c r="I113" s="5"/>
      <c r="J113" s="5"/>
      <c r="K113" s="5"/>
      <c r="L113" s="5"/>
      <c r="M113" s="5"/>
      <c r="N113" s="5"/>
      <c r="O113" s="5"/>
      <c r="Q113" s="5"/>
      <c r="R113" s="5"/>
      <c r="S113" s="5"/>
      <c r="T113" s="5"/>
      <c r="U113" s="5"/>
    </row>
    <row r="114" spans="2:21">
      <c r="B114" s="5"/>
      <c r="C114" s="5"/>
      <c r="D114" s="5"/>
      <c r="E114" s="5"/>
      <c r="F114" s="5"/>
      <c r="G114" s="5"/>
      <c r="H114" s="5"/>
      <c r="I114" s="49"/>
      <c r="J114" s="5"/>
      <c r="K114" s="5"/>
      <c r="L114" s="5"/>
      <c r="M114" s="5"/>
      <c r="N114" s="5"/>
      <c r="O114" s="5"/>
      <c r="Q114" s="41"/>
      <c r="R114" s="5"/>
      <c r="S114" s="5"/>
      <c r="T114" s="5"/>
      <c r="U114" s="5"/>
    </row>
    <row r="115" spans="2:21">
      <c r="B115" s="5"/>
      <c r="C115" s="5"/>
      <c r="D115" s="5"/>
      <c r="E115" s="5"/>
      <c r="F115" s="5"/>
      <c r="G115" s="5"/>
      <c r="H115" s="5"/>
      <c r="I115" s="5"/>
      <c r="J115" s="5"/>
      <c r="K115" s="5"/>
      <c r="L115" s="5"/>
      <c r="M115" s="5"/>
      <c r="N115" s="5"/>
      <c r="O115" s="5"/>
      <c r="Q115" s="5"/>
      <c r="R115" s="5"/>
      <c r="S115" s="5"/>
      <c r="T115" s="5"/>
      <c r="U115" s="5"/>
    </row>
    <row r="116" spans="2:21">
      <c r="B116" s="5"/>
      <c r="C116" s="5"/>
      <c r="D116" s="5"/>
      <c r="E116" s="5"/>
      <c r="F116" s="5"/>
      <c r="G116" s="5"/>
      <c r="H116" s="5"/>
      <c r="I116" s="254"/>
      <c r="J116" s="49"/>
      <c r="K116" s="49"/>
      <c r="L116" s="49"/>
      <c r="M116" s="49"/>
      <c r="N116" s="49"/>
      <c r="O116" s="49"/>
      <c r="Q116" s="5"/>
      <c r="R116" s="5"/>
      <c r="S116" s="5"/>
      <c r="T116" s="5"/>
      <c r="U116" s="5"/>
    </row>
    <row r="117" spans="2:21">
      <c r="B117" s="41"/>
      <c r="C117" s="49"/>
      <c r="D117" s="49"/>
      <c r="E117" s="49"/>
      <c r="F117" s="49"/>
      <c r="G117" s="49"/>
      <c r="H117" s="49"/>
      <c r="I117" s="249"/>
      <c r="J117" s="5"/>
      <c r="K117" s="5"/>
      <c r="L117" s="5"/>
      <c r="M117" s="5"/>
      <c r="N117" s="5"/>
      <c r="O117" s="5"/>
      <c r="Q117" s="5"/>
      <c r="R117" s="5"/>
      <c r="S117" s="5"/>
      <c r="T117" s="5"/>
      <c r="U117" s="5"/>
    </row>
    <row r="118" spans="2:21">
      <c r="B118" s="5"/>
      <c r="C118" s="5"/>
      <c r="D118" s="5"/>
      <c r="E118" s="5"/>
      <c r="F118" s="5"/>
      <c r="G118" s="5"/>
      <c r="H118" s="5"/>
      <c r="I118" s="254"/>
      <c r="J118" s="254"/>
      <c r="K118" s="254"/>
      <c r="L118" s="254"/>
      <c r="M118" s="254"/>
      <c r="N118" s="254"/>
      <c r="O118" s="248"/>
      <c r="Q118" s="5"/>
      <c r="R118" s="5"/>
      <c r="S118" s="5"/>
      <c r="T118" s="5"/>
      <c r="U118" s="5"/>
    </row>
    <row r="119" spans="2:21">
      <c r="B119" s="41"/>
      <c r="C119" s="254"/>
      <c r="D119" s="254"/>
      <c r="E119" s="254"/>
      <c r="F119" s="254"/>
      <c r="G119" s="254"/>
      <c r="H119" s="254"/>
      <c r="I119" s="254"/>
      <c r="J119" s="249"/>
      <c r="K119" s="249"/>
      <c r="L119" s="249"/>
      <c r="M119" s="249"/>
      <c r="N119" s="249"/>
      <c r="O119" s="248"/>
      <c r="Q119" s="5"/>
      <c r="R119" s="5"/>
      <c r="S119" s="5"/>
      <c r="T119" s="5"/>
      <c r="U119" s="5"/>
    </row>
    <row r="120" spans="2:21">
      <c r="B120" s="41"/>
      <c r="C120" s="254"/>
      <c r="D120" s="249"/>
      <c r="E120" s="249"/>
      <c r="F120" s="249"/>
      <c r="G120" s="249"/>
      <c r="H120" s="249"/>
      <c r="I120" s="254"/>
      <c r="J120" s="254"/>
      <c r="K120" s="254"/>
      <c r="L120" s="254"/>
      <c r="M120" s="254"/>
      <c r="N120" s="254"/>
      <c r="O120" s="248"/>
      <c r="Q120" s="5"/>
      <c r="R120" s="5"/>
      <c r="S120" s="5"/>
      <c r="T120" s="5"/>
      <c r="U120" s="5"/>
    </row>
    <row r="121" spans="2:21">
      <c r="B121" s="41"/>
      <c r="C121" s="254"/>
      <c r="D121" s="254"/>
      <c r="E121" s="254"/>
      <c r="F121" s="254"/>
      <c r="G121" s="254"/>
      <c r="H121" s="254"/>
      <c r="I121" s="254"/>
      <c r="J121" s="254"/>
      <c r="K121" s="254"/>
      <c r="L121" s="254"/>
      <c r="M121" s="254"/>
      <c r="N121" s="254"/>
      <c r="O121" s="248"/>
      <c r="Q121" s="5"/>
      <c r="R121" s="5"/>
      <c r="S121" s="5"/>
      <c r="T121" s="5"/>
      <c r="U121" s="5"/>
    </row>
    <row r="122" spans="2:21">
      <c r="B122" s="41"/>
      <c r="C122" s="254"/>
      <c r="D122" s="254"/>
      <c r="E122" s="254"/>
      <c r="F122" s="254"/>
      <c r="G122" s="254"/>
      <c r="H122" s="254"/>
      <c r="I122" s="254"/>
      <c r="J122" s="254"/>
      <c r="K122" s="254"/>
      <c r="L122" s="254"/>
      <c r="M122" s="254"/>
      <c r="N122" s="254"/>
      <c r="O122" s="248"/>
      <c r="Q122" s="5"/>
      <c r="R122" s="5"/>
      <c r="S122" s="5"/>
      <c r="T122" s="5"/>
      <c r="U122" s="5"/>
    </row>
    <row r="123" spans="2:21">
      <c r="B123" s="41"/>
      <c r="C123" s="254"/>
      <c r="D123" s="254"/>
      <c r="E123" s="254"/>
      <c r="F123" s="254"/>
      <c r="G123" s="254"/>
      <c r="H123" s="254"/>
      <c r="I123" s="254"/>
      <c r="J123" s="254"/>
      <c r="K123" s="254"/>
      <c r="L123" s="254"/>
      <c r="M123" s="254"/>
      <c r="N123" s="254"/>
      <c r="O123" s="248"/>
      <c r="Q123" s="5"/>
      <c r="R123" s="5"/>
      <c r="S123" s="5"/>
      <c r="T123" s="5"/>
      <c r="U123" s="5"/>
    </row>
    <row r="124" spans="2:21">
      <c r="B124" s="41"/>
      <c r="C124" s="254"/>
      <c r="D124" s="254"/>
      <c r="E124" s="254"/>
      <c r="F124" s="254"/>
      <c r="G124" s="254"/>
      <c r="H124" s="254"/>
      <c r="I124" s="254"/>
      <c r="J124" s="254"/>
      <c r="K124" s="254"/>
      <c r="L124" s="254"/>
      <c r="M124" s="254"/>
      <c r="N124" s="254"/>
      <c r="O124" s="5"/>
      <c r="Q124" s="5"/>
      <c r="R124" s="5"/>
      <c r="S124" s="5"/>
      <c r="T124" s="5"/>
      <c r="U124" s="5"/>
    </row>
    <row r="125" spans="2:21">
      <c r="B125" s="41"/>
      <c r="C125" s="254"/>
      <c r="D125" s="254"/>
      <c r="E125" s="254"/>
      <c r="F125" s="254"/>
      <c r="G125" s="254"/>
      <c r="H125" s="254"/>
      <c r="I125" s="254"/>
      <c r="J125" s="254"/>
      <c r="K125" s="254"/>
      <c r="L125" s="254"/>
      <c r="M125" s="254"/>
      <c r="N125" s="254"/>
      <c r="O125" s="5"/>
      <c r="Q125" s="5"/>
      <c r="R125" s="5"/>
      <c r="S125" s="5"/>
      <c r="T125" s="5"/>
      <c r="U125" s="5"/>
    </row>
    <row r="126" spans="2:21">
      <c r="B126" s="41"/>
      <c r="C126" s="254"/>
      <c r="D126" s="254"/>
      <c r="E126" s="254"/>
      <c r="F126" s="254"/>
      <c r="G126" s="254"/>
      <c r="H126" s="254"/>
      <c r="I126" s="18"/>
      <c r="J126" s="254"/>
      <c r="K126" s="254"/>
      <c r="L126" s="254"/>
      <c r="M126" s="254"/>
      <c r="N126" s="254"/>
      <c r="O126" s="5"/>
      <c r="Q126" s="5"/>
      <c r="R126" s="5"/>
      <c r="S126" s="5"/>
      <c r="T126" s="5"/>
      <c r="U126" s="5"/>
    </row>
    <row r="127" spans="2:21">
      <c r="B127" s="41"/>
      <c r="C127" s="254"/>
      <c r="D127" s="254"/>
      <c r="E127" s="254"/>
      <c r="F127" s="254"/>
      <c r="G127" s="254"/>
      <c r="H127" s="254"/>
      <c r="I127" s="5"/>
      <c r="J127" s="254"/>
      <c r="K127" s="254"/>
      <c r="L127" s="254"/>
      <c r="M127" s="254"/>
      <c r="N127" s="254"/>
      <c r="O127" s="5"/>
      <c r="Q127" s="5"/>
      <c r="R127" s="5"/>
      <c r="S127" s="5"/>
      <c r="T127" s="5"/>
      <c r="U127" s="5"/>
    </row>
    <row r="128" spans="2:21">
      <c r="B128" s="41"/>
      <c r="C128" s="254"/>
      <c r="D128" s="254"/>
      <c r="E128" s="254"/>
      <c r="F128" s="254"/>
      <c r="G128" s="254"/>
      <c r="H128" s="254"/>
      <c r="I128" s="254"/>
      <c r="J128" s="18"/>
      <c r="K128" s="18"/>
      <c r="L128" s="18"/>
      <c r="M128" s="18"/>
      <c r="N128" s="18"/>
      <c r="O128" s="5"/>
      <c r="Q128" s="5"/>
      <c r="R128" s="5"/>
      <c r="S128" s="5"/>
      <c r="T128" s="5"/>
      <c r="U128" s="5"/>
    </row>
    <row r="129" spans="2:27">
      <c r="B129" s="5"/>
      <c r="C129" s="5"/>
      <c r="D129" s="18"/>
      <c r="E129" s="18"/>
      <c r="F129" s="18"/>
      <c r="G129" s="18"/>
      <c r="H129" s="18"/>
      <c r="I129" s="18"/>
      <c r="J129" s="5"/>
      <c r="K129" s="5"/>
      <c r="L129" s="5"/>
      <c r="M129" s="5"/>
      <c r="N129" s="5"/>
      <c r="O129" s="5"/>
      <c r="Q129" s="5"/>
      <c r="R129" s="5"/>
      <c r="S129" s="5"/>
      <c r="T129" s="5"/>
      <c r="U129" s="5"/>
    </row>
    <row r="130" spans="2:27">
      <c r="B130" s="5"/>
      <c r="C130" s="5"/>
      <c r="D130" s="5"/>
      <c r="E130" s="5"/>
      <c r="F130" s="5"/>
      <c r="G130" s="5"/>
      <c r="H130" s="5"/>
      <c r="I130" s="5"/>
      <c r="J130" s="254"/>
      <c r="K130" s="254"/>
      <c r="L130" s="254"/>
      <c r="M130" s="254"/>
      <c r="N130" s="254"/>
      <c r="O130" s="5"/>
      <c r="Q130" s="5"/>
      <c r="R130" s="5"/>
      <c r="S130" s="5"/>
      <c r="T130" s="5"/>
      <c r="U130" s="5"/>
    </row>
    <row r="131" spans="2:27">
      <c r="B131" s="41"/>
      <c r="C131" s="254"/>
      <c r="D131" s="254"/>
      <c r="E131" s="254"/>
      <c r="F131" s="254"/>
      <c r="G131" s="254"/>
      <c r="H131" s="254"/>
      <c r="I131" s="5"/>
      <c r="J131" s="18"/>
      <c r="K131" s="18"/>
      <c r="L131" s="18"/>
      <c r="M131" s="18"/>
      <c r="N131" s="18"/>
      <c r="O131" s="5"/>
      <c r="Q131" s="5"/>
      <c r="R131" s="5"/>
      <c r="S131" s="5"/>
      <c r="T131" s="5"/>
      <c r="U131" s="5"/>
    </row>
    <row r="132" spans="2:27">
      <c r="B132" s="5"/>
      <c r="C132" s="259"/>
      <c r="D132" s="18"/>
      <c r="E132" s="18"/>
      <c r="F132" s="18"/>
      <c r="G132" s="18"/>
      <c r="H132" s="18"/>
      <c r="I132" s="17"/>
      <c r="J132" s="5"/>
      <c r="K132" s="5"/>
      <c r="L132" s="5"/>
      <c r="M132" s="5"/>
      <c r="N132" s="5"/>
      <c r="O132" s="5"/>
      <c r="Q132" s="5"/>
      <c r="R132" s="5"/>
      <c r="S132" s="5"/>
      <c r="T132" s="5"/>
      <c r="U132" s="5"/>
    </row>
    <row r="133" spans="2:27">
      <c r="B133" s="5"/>
      <c r="C133" s="5"/>
      <c r="D133" s="5"/>
      <c r="E133" s="5"/>
      <c r="F133" s="5"/>
      <c r="G133" s="5"/>
      <c r="H133" s="5"/>
      <c r="I133" s="17"/>
      <c r="J133" s="5"/>
      <c r="K133" s="5"/>
      <c r="L133" s="5"/>
      <c r="M133" s="5"/>
      <c r="N133" s="5"/>
      <c r="O133" s="5"/>
      <c r="Q133" s="5"/>
      <c r="R133" s="5"/>
      <c r="S133" s="5"/>
      <c r="T133" s="5"/>
      <c r="U133" s="5"/>
    </row>
    <row r="134" spans="2:27">
      <c r="B134" s="41"/>
      <c r="C134" s="5"/>
      <c r="D134" s="5"/>
      <c r="E134" s="5"/>
      <c r="F134" s="5"/>
      <c r="G134" s="5"/>
      <c r="H134" s="5"/>
      <c r="I134" s="17"/>
      <c r="J134" s="17"/>
      <c r="K134" s="17"/>
      <c r="L134" s="17"/>
      <c r="M134" s="17"/>
      <c r="N134" s="17"/>
      <c r="O134" s="5"/>
      <c r="Q134" s="41"/>
      <c r="R134" s="5"/>
      <c r="S134" s="5"/>
      <c r="T134" s="5"/>
      <c r="U134" s="5"/>
    </row>
    <row r="135" spans="2:27">
      <c r="B135" s="5"/>
      <c r="C135" s="17"/>
      <c r="D135" s="17"/>
      <c r="E135" s="17"/>
      <c r="F135" s="17"/>
      <c r="G135" s="17"/>
      <c r="H135" s="17"/>
      <c r="I135" s="17"/>
      <c r="J135" s="17"/>
      <c r="K135" s="17"/>
      <c r="L135" s="17"/>
      <c r="M135" s="17"/>
      <c r="N135" s="17"/>
      <c r="O135" s="5"/>
      <c r="Q135" s="5"/>
      <c r="R135" s="5"/>
      <c r="S135" s="5"/>
      <c r="T135" s="5"/>
      <c r="U135" s="5"/>
      <c r="X135" s="304"/>
    </row>
    <row r="136" spans="2:27">
      <c r="B136" s="5"/>
      <c r="C136" s="17"/>
      <c r="D136" s="17"/>
      <c r="E136" s="17"/>
      <c r="F136" s="17"/>
      <c r="G136" s="17"/>
      <c r="H136" s="17"/>
      <c r="I136" s="17"/>
      <c r="J136" s="17"/>
      <c r="K136" s="17"/>
      <c r="L136" s="17"/>
      <c r="M136" s="17"/>
      <c r="N136" s="17"/>
      <c r="O136" s="5"/>
      <c r="Q136" s="5"/>
      <c r="R136" s="5"/>
      <c r="S136" s="5"/>
      <c r="T136" s="5"/>
      <c r="U136" s="5"/>
      <c r="X136" s="10"/>
      <c r="Y136" s="304"/>
      <c r="Z136" s="304"/>
      <c r="AA136" s="304"/>
    </row>
    <row r="137" spans="2:27">
      <c r="B137" s="5"/>
      <c r="C137" s="5"/>
      <c r="D137" s="17"/>
      <c r="E137" s="17"/>
      <c r="F137" s="17"/>
      <c r="G137" s="17"/>
      <c r="H137" s="17"/>
      <c r="I137" s="17"/>
      <c r="J137" s="17"/>
      <c r="K137" s="17"/>
      <c r="L137" s="17"/>
      <c r="M137" s="17"/>
      <c r="N137" s="17"/>
      <c r="O137" s="5"/>
      <c r="Q137" s="5"/>
      <c r="R137" s="5"/>
      <c r="S137" s="5"/>
      <c r="T137" s="5"/>
      <c r="U137" s="5"/>
      <c r="Y137" s="10"/>
      <c r="Z137" s="10"/>
      <c r="AA137" s="10"/>
    </row>
    <row r="138" spans="2:27">
      <c r="B138" s="5"/>
      <c r="C138" s="5"/>
      <c r="D138" s="17"/>
      <c r="E138" s="17"/>
      <c r="F138" s="17"/>
      <c r="G138" s="17"/>
      <c r="H138" s="17"/>
      <c r="I138" s="5"/>
      <c r="J138" s="17"/>
      <c r="K138" s="17"/>
      <c r="L138" s="17"/>
      <c r="M138" s="17"/>
      <c r="N138" s="17"/>
      <c r="O138" s="5"/>
      <c r="Q138" s="5"/>
      <c r="R138" s="5"/>
      <c r="S138" s="5"/>
      <c r="T138" s="5"/>
      <c r="U138" s="5"/>
    </row>
    <row r="139" spans="2:27">
      <c r="B139" s="5"/>
      <c r="C139" s="5"/>
      <c r="D139" s="17"/>
      <c r="E139" s="17"/>
      <c r="F139" s="17"/>
      <c r="G139" s="17"/>
      <c r="H139" s="17"/>
      <c r="I139" s="5"/>
      <c r="J139" s="17"/>
      <c r="K139" s="17"/>
      <c r="L139" s="17"/>
      <c r="M139" s="17"/>
      <c r="N139" s="17"/>
      <c r="O139" s="5"/>
      <c r="Q139" s="5"/>
      <c r="R139" s="5"/>
      <c r="S139" s="5"/>
      <c r="T139" s="5"/>
      <c r="U139" s="5"/>
    </row>
    <row r="140" spans="2:27">
      <c r="B140" s="5"/>
      <c r="C140" s="17"/>
      <c r="D140" s="17"/>
      <c r="E140" s="17"/>
      <c r="F140" s="17"/>
      <c r="G140" s="17"/>
      <c r="H140" s="17"/>
      <c r="I140" s="5"/>
      <c r="J140" s="5"/>
      <c r="K140" s="5"/>
      <c r="L140" s="5"/>
      <c r="M140" s="5"/>
      <c r="N140" s="5"/>
      <c r="O140" s="5"/>
      <c r="Q140" s="5"/>
      <c r="R140" s="5"/>
      <c r="S140" s="5"/>
      <c r="T140" s="5"/>
      <c r="U140" s="5"/>
    </row>
    <row r="141" spans="2:27">
      <c r="B141" s="5"/>
      <c r="C141" s="5"/>
      <c r="D141" s="5"/>
      <c r="E141" s="5"/>
      <c r="F141" s="5"/>
      <c r="G141" s="5"/>
      <c r="H141" s="5"/>
      <c r="I141" s="5"/>
      <c r="J141" s="5"/>
      <c r="K141" s="5"/>
      <c r="L141" s="5"/>
      <c r="M141" s="5"/>
      <c r="N141" s="5"/>
      <c r="O141" s="5"/>
      <c r="Q141" s="5"/>
      <c r="R141" s="5"/>
      <c r="S141" s="5"/>
      <c r="T141" s="5"/>
      <c r="U141" s="5"/>
    </row>
    <row r="142" spans="2:27">
      <c r="B142" s="5"/>
      <c r="C142" s="5"/>
      <c r="D142" s="5"/>
      <c r="E142" s="5"/>
      <c r="F142" s="5"/>
      <c r="G142" s="5"/>
      <c r="H142" s="5"/>
      <c r="I142" s="5"/>
      <c r="J142" s="5"/>
      <c r="K142" s="5"/>
      <c r="L142" s="5"/>
      <c r="M142" s="5"/>
      <c r="N142" s="5"/>
      <c r="O142" s="5"/>
      <c r="Q142" s="5"/>
      <c r="R142" s="5"/>
      <c r="S142" s="5"/>
      <c r="T142" s="5"/>
      <c r="U142" s="5"/>
    </row>
    <row r="143" spans="2:27">
      <c r="B143" s="5"/>
      <c r="C143" s="5"/>
      <c r="D143" s="5"/>
      <c r="E143" s="5"/>
      <c r="F143" s="5"/>
      <c r="G143" s="5"/>
      <c r="H143" s="5"/>
      <c r="I143" s="5"/>
      <c r="J143" s="5"/>
      <c r="K143" s="5"/>
      <c r="L143" s="5"/>
      <c r="M143" s="5"/>
      <c r="N143" s="5"/>
      <c r="O143" s="5"/>
      <c r="Q143" s="5"/>
      <c r="R143" s="5"/>
      <c r="S143" s="5"/>
      <c r="T143" s="5"/>
      <c r="U143" s="5"/>
    </row>
    <row r="144" spans="2:27">
      <c r="B144" s="5"/>
      <c r="C144" s="5"/>
      <c r="D144" s="5"/>
      <c r="E144" s="5"/>
      <c r="F144" s="5"/>
      <c r="G144" s="5"/>
      <c r="H144" s="5"/>
      <c r="I144" s="5"/>
      <c r="J144" s="5"/>
      <c r="K144" s="5"/>
      <c r="L144" s="5"/>
      <c r="M144" s="5"/>
      <c r="N144" s="5"/>
      <c r="O144" s="5"/>
      <c r="Q144" s="5"/>
      <c r="R144" s="5"/>
      <c r="S144" s="5"/>
      <c r="T144" s="5"/>
      <c r="U144" s="5"/>
    </row>
    <row r="145" spans="2:21">
      <c r="B145" s="5"/>
      <c r="C145" s="5"/>
      <c r="D145" s="5"/>
      <c r="E145" s="5"/>
      <c r="F145" s="5"/>
      <c r="G145" s="5"/>
      <c r="H145" s="5"/>
      <c r="I145" s="5"/>
      <c r="J145" s="5"/>
      <c r="K145" s="5"/>
      <c r="L145" s="5"/>
      <c r="M145" s="5"/>
      <c r="N145" s="5"/>
      <c r="O145" s="5"/>
      <c r="Q145" s="5"/>
      <c r="R145" s="5"/>
      <c r="S145" s="5"/>
      <c r="T145" s="5"/>
      <c r="U145" s="5"/>
    </row>
    <row r="146" spans="2:21">
      <c r="B146" s="5"/>
      <c r="C146" s="5"/>
      <c r="D146" s="5"/>
      <c r="E146" s="5"/>
      <c r="F146" s="5"/>
      <c r="G146" s="5"/>
      <c r="H146" s="5"/>
      <c r="I146" s="5"/>
      <c r="J146" s="5"/>
      <c r="K146" s="5"/>
      <c r="L146" s="5"/>
      <c r="M146" s="5"/>
      <c r="N146" s="5"/>
      <c r="O146" s="5"/>
      <c r="Q146" s="5"/>
      <c r="R146" s="5"/>
      <c r="S146" s="5"/>
      <c r="T146" s="5"/>
      <c r="U146" s="5"/>
    </row>
    <row r="147" spans="2:21">
      <c r="B147" s="5"/>
      <c r="C147" s="5"/>
      <c r="D147" s="5"/>
      <c r="E147" s="5"/>
      <c r="F147" s="5"/>
      <c r="G147" s="5"/>
      <c r="H147" s="5"/>
      <c r="I147" s="5"/>
      <c r="J147" s="5"/>
      <c r="K147" s="5"/>
      <c r="L147" s="5"/>
      <c r="M147" s="5"/>
      <c r="N147" s="5"/>
      <c r="O147" s="5"/>
      <c r="Q147" s="5"/>
      <c r="R147" s="5"/>
      <c r="S147" s="5"/>
      <c r="T147" s="5"/>
      <c r="U147" s="5"/>
    </row>
    <row r="148" spans="2:21">
      <c r="B148" s="5"/>
      <c r="C148" s="5"/>
      <c r="D148" s="5"/>
      <c r="E148" s="5"/>
      <c r="F148" s="5"/>
      <c r="G148" s="5"/>
      <c r="H148" s="5"/>
      <c r="J148" s="5"/>
      <c r="K148" s="5"/>
      <c r="L148" s="5"/>
      <c r="M148" s="5"/>
      <c r="N148" s="5"/>
      <c r="O148" s="5"/>
      <c r="Q148" s="5"/>
      <c r="R148" s="5"/>
      <c r="S148" s="5"/>
      <c r="T148" s="5"/>
      <c r="U148" s="5"/>
    </row>
    <row r="149" spans="2:21">
      <c r="B149" s="5"/>
      <c r="C149" s="5"/>
      <c r="D149" s="5"/>
      <c r="E149" s="5"/>
      <c r="F149" s="5"/>
      <c r="G149" s="5"/>
      <c r="H149" s="5"/>
      <c r="J149" s="5"/>
      <c r="K149" s="5"/>
      <c r="L149" s="5"/>
      <c r="M149" s="5"/>
      <c r="N149" s="5"/>
      <c r="O149" s="5"/>
      <c r="Q149" s="5"/>
      <c r="R149" s="5"/>
      <c r="S149" s="5"/>
      <c r="T149" s="5"/>
      <c r="U149" s="5"/>
    </row>
    <row r="150" spans="2:21">
      <c r="B150" s="5"/>
      <c r="C150" s="5"/>
      <c r="D150" s="5"/>
      <c r="E150" s="5"/>
      <c r="F150" s="5"/>
      <c r="G150" s="5"/>
      <c r="H150" s="5"/>
      <c r="Q150" s="5"/>
      <c r="R150" s="5"/>
      <c r="S150" s="5"/>
      <c r="T150" s="5"/>
      <c r="U150" s="5"/>
    </row>
    <row r="151" spans="2:21">
      <c r="Q151" s="5"/>
      <c r="R151" s="5"/>
      <c r="S151" s="5"/>
      <c r="T151" s="5"/>
      <c r="U151" s="5"/>
    </row>
    <row r="152" spans="2:21">
      <c r="Q152" s="5"/>
      <c r="R152" s="5"/>
      <c r="S152" s="5"/>
      <c r="T152" s="5"/>
      <c r="U152" s="5"/>
    </row>
    <row r="153" spans="2:21">
      <c r="C153" s="263"/>
      <c r="Q153" s="5"/>
      <c r="R153" s="5"/>
      <c r="S153" s="5"/>
      <c r="T153" s="5"/>
      <c r="U153" s="5"/>
    </row>
    <row r="154" spans="2:21">
      <c r="Q154" s="5"/>
      <c r="R154" s="5"/>
      <c r="S154" s="5"/>
      <c r="T154" s="5"/>
      <c r="U154" s="5"/>
    </row>
    <row r="155" spans="2:21">
      <c r="Q155" s="5"/>
      <c r="R155" s="5"/>
      <c r="S155" s="5"/>
      <c r="T155" s="5"/>
      <c r="U155" s="5"/>
    </row>
    <row r="156" spans="2:21">
      <c r="Q156" s="5"/>
      <c r="R156" s="5"/>
      <c r="S156" s="5"/>
      <c r="T156" s="5"/>
      <c r="U156" s="5"/>
    </row>
    <row r="157" spans="2:21">
      <c r="Q157" s="5"/>
      <c r="R157" s="5"/>
      <c r="S157" s="5"/>
      <c r="T157" s="5"/>
      <c r="U157" s="5"/>
    </row>
    <row r="158" spans="2:21">
      <c r="Q158" s="5"/>
      <c r="R158" s="5"/>
      <c r="S158" s="5"/>
      <c r="T158" s="5"/>
      <c r="U158" s="5"/>
    </row>
    <row r="159" spans="2:21">
      <c r="Q159" s="5"/>
      <c r="R159" s="5"/>
      <c r="S159" s="5"/>
      <c r="T159" s="5"/>
      <c r="U159" s="5"/>
    </row>
    <row r="160" spans="2:21">
      <c r="Q160" s="5"/>
      <c r="R160" s="5"/>
      <c r="S160" s="5"/>
      <c r="T160" s="5"/>
      <c r="U160" s="5"/>
    </row>
    <row r="161" spans="17:21">
      <c r="Q161" s="5"/>
      <c r="R161" s="5"/>
      <c r="S161" s="5"/>
      <c r="T161" s="5"/>
      <c r="U161" s="5"/>
    </row>
    <row r="162" spans="17:21">
      <c r="Q162" s="5"/>
      <c r="R162" s="5"/>
      <c r="S162" s="5"/>
      <c r="T162" s="5"/>
      <c r="U162" s="5"/>
    </row>
    <row r="163" spans="17:21">
      <c r="Q163" s="5"/>
      <c r="R163" s="5"/>
      <c r="S163" s="5"/>
      <c r="T163" s="5"/>
      <c r="U163" s="5"/>
    </row>
    <row r="164" spans="17:21">
      <c r="Q164" s="5"/>
      <c r="R164" s="5"/>
      <c r="S164" s="5"/>
      <c r="T164" s="5"/>
      <c r="U164" s="5"/>
    </row>
  </sheetData>
  <phoneticPr fontId="7" type="noConversion"/>
  <pageMargins left="0.75" right="0.75" top="1" bottom="1" header="0.5" footer="0.5"/>
  <pageSetup scale="69" orientation="landscape" r:id="rId1"/>
  <headerFooter alignWithMargins="0"/>
  <drawing r:id="rId2"/>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B00-000000000000}">
  <sheetPr codeName="Sheet102">
    <tabColor theme="3" tint="0.59999389629810485"/>
    <pageSetUpPr fitToPage="1"/>
  </sheetPr>
  <dimension ref="B1:BK164"/>
  <sheetViews>
    <sheetView showGridLines="0" zoomScale="80" zoomScaleNormal="80" workbookViewId="0"/>
  </sheetViews>
  <sheetFormatPr defaultColWidth="8.88671875" defaultRowHeight="12"/>
  <cols>
    <col min="1" max="1" width="2.33203125" style="39" customWidth="1"/>
    <col min="2" max="2" width="26.6640625" style="39" customWidth="1"/>
    <col min="3" max="9" width="10" style="39" customWidth="1"/>
    <col min="10" max="10" width="26.6640625" style="39" customWidth="1"/>
    <col min="11" max="16" width="10" style="39" customWidth="1"/>
    <col min="17" max="17" width="4.5546875" style="39" customWidth="1"/>
    <col min="18" max="20" width="8.88671875" style="39"/>
    <col min="21" max="21" width="3.6640625" style="39" customWidth="1"/>
    <col min="22" max="63" width="9.109375" style="5" customWidth="1"/>
    <col min="64" max="16384" width="8.88671875" style="39"/>
  </cols>
  <sheetData>
    <row r="1" spans="2:63" s="312" customFormat="1">
      <c r="V1" s="149"/>
      <c r="W1" s="149"/>
      <c r="X1" s="149"/>
      <c r="Y1" s="149"/>
      <c r="Z1" s="149"/>
      <c r="AA1" s="149"/>
      <c r="AB1" s="149"/>
      <c r="AC1" s="149"/>
      <c r="AD1" s="149"/>
      <c r="AE1" s="149"/>
      <c r="AF1" s="149"/>
      <c r="AG1" s="149"/>
      <c r="AH1" s="149"/>
      <c r="AI1" s="149"/>
      <c r="AJ1" s="149"/>
      <c r="AK1" s="149"/>
      <c r="AL1" s="149"/>
      <c r="AM1" s="149"/>
      <c r="AN1" s="149"/>
      <c r="AO1" s="149"/>
      <c r="AP1" s="149"/>
      <c r="AQ1" s="149"/>
      <c r="AR1" s="149"/>
      <c r="AS1" s="149"/>
      <c r="AT1" s="149"/>
      <c r="AU1" s="149"/>
      <c r="AV1" s="149"/>
      <c r="AW1" s="149"/>
      <c r="AX1" s="149"/>
      <c r="AY1" s="149"/>
      <c r="AZ1" s="149"/>
      <c r="BA1" s="149"/>
      <c r="BB1" s="149"/>
      <c r="BC1" s="149"/>
      <c r="BD1" s="149"/>
      <c r="BE1" s="149"/>
      <c r="BF1" s="149"/>
      <c r="BG1" s="149"/>
      <c r="BH1" s="149"/>
      <c r="BI1" s="149"/>
      <c r="BJ1" s="149"/>
      <c r="BK1" s="149"/>
    </row>
    <row r="2" spans="2:63" s="312" customFormat="1">
      <c r="V2" s="149"/>
      <c r="W2" s="149"/>
      <c r="X2" s="149"/>
      <c r="Y2" s="149"/>
      <c r="Z2" s="149"/>
      <c r="AA2" s="149"/>
      <c r="AB2" s="149"/>
      <c r="AC2" s="149"/>
      <c r="AD2" s="149"/>
      <c r="AE2" s="149"/>
      <c r="AF2" s="149"/>
      <c r="AG2" s="149"/>
      <c r="AH2" s="149"/>
      <c r="AI2" s="149"/>
      <c r="AJ2" s="149"/>
      <c r="AK2" s="149"/>
      <c r="AL2" s="149"/>
      <c r="AM2" s="149"/>
      <c r="AN2" s="149"/>
      <c r="AO2" s="149"/>
      <c r="AP2" s="149"/>
      <c r="AQ2" s="149"/>
      <c r="AR2" s="149"/>
      <c r="AS2" s="149"/>
      <c r="AT2" s="149"/>
      <c r="AU2" s="149"/>
      <c r="AV2" s="149"/>
      <c r="AW2" s="149"/>
      <c r="AX2" s="149"/>
      <c r="AY2" s="149"/>
      <c r="AZ2" s="149"/>
      <c r="BA2" s="149"/>
      <c r="BB2" s="149"/>
      <c r="BC2" s="149"/>
      <c r="BD2" s="149"/>
      <c r="BE2" s="149"/>
      <c r="BF2" s="149"/>
      <c r="BG2" s="149"/>
      <c r="BH2" s="149"/>
      <c r="BI2" s="149"/>
      <c r="BJ2" s="149"/>
      <c r="BK2" s="149"/>
    </row>
    <row r="3" spans="2:63" s="149" customFormat="1">
      <c r="H3" s="153"/>
      <c r="P3" s="153"/>
    </row>
    <row r="4" spans="2:63" s="156" customFormat="1" ht="21">
      <c r="B4" s="129" t="s">
        <v>168</v>
      </c>
      <c r="H4" s="222"/>
      <c r="P4" s="222"/>
    </row>
    <row r="5" spans="2:63" s="149" customFormat="1">
      <c r="C5" s="153"/>
      <c r="D5" s="153" t="str" cm="1">
        <f t="array" ref="D5:H5">headings</f>
        <v>2023E</v>
      </c>
      <c r="E5" s="153" t="str">
        <v>2024E</v>
      </c>
      <c r="F5" s="153" t="str">
        <v>2025E</v>
      </c>
      <c r="G5" s="153" t="str">
        <v>2026E</v>
      </c>
      <c r="H5" s="153" t="str">
        <v>23E-26E</v>
      </c>
      <c r="I5" s="153"/>
      <c r="J5" s="153"/>
      <c r="K5" s="153"/>
      <c r="L5" s="153" t="str" cm="1">
        <f t="array" ref="L5:P5">headings</f>
        <v>2023E</v>
      </c>
      <c r="M5" s="153" t="str">
        <v>2024E</v>
      </c>
      <c r="N5" s="153" t="str">
        <v>2025E</v>
      </c>
      <c r="O5" s="153" t="str">
        <v>2026E</v>
      </c>
      <c r="P5" s="153" t="str">
        <v>23E-26E</v>
      </c>
      <c r="Q5" s="162"/>
      <c r="R5" s="162"/>
      <c r="S5" s="162"/>
      <c r="T5" s="162"/>
      <c r="U5" s="162"/>
      <c r="V5" s="162"/>
      <c r="W5" s="162"/>
      <c r="X5" s="162"/>
      <c r="Y5" s="162"/>
    </row>
    <row r="6" spans="2:63">
      <c r="I6" s="5"/>
      <c r="J6" s="5"/>
      <c r="K6" s="5"/>
      <c r="L6" s="5"/>
      <c r="M6" s="5"/>
      <c r="N6" s="5"/>
      <c r="O6" s="49"/>
    </row>
    <row r="7" spans="2:63" ht="12.6" thickBot="1">
      <c r="B7" s="306" t="s">
        <v>271</v>
      </c>
      <c r="C7" s="265"/>
      <c r="D7" s="265"/>
      <c r="E7" s="265"/>
      <c r="F7" s="265"/>
      <c r="G7" s="265"/>
      <c r="H7" s="265"/>
      <c r="I7" s="49"/>
      <c r="J7" s="306" t="s">
        <v>29</v>
      </c>
      <c r="K7" s="306"/>
      <c r="L7" s="306"/>
      <c r="M7" s="306"/>
      <c r="N7" s="266"/>
      <c r="O7" s="266"/>
      <c r="P7" s="266"/>
    </row>
    <row r="8" spans="2:63" ht="12.6" thickTop="1">
      <c r="B8" s="5"/>
      <c r="C8" s="5"/>
      <c r="D8" s="5"/>
      <c r="E8" s="5"/>
      <c r="F8" s="5"/>
      <c r="G8" s="5"/>
      <c r="H8" s="5"/>
      <c r="I8" s="5"/>
      <c r="J8" s="5"/>
      <c r="K8" s="5"/>
      <c r="L8" s="5"/>
      <c r="M8" s="5"/>
      <c r="N8" s="5"/>
    </row>
    <row r="9" spans="2:63">
      <c r="B9" s="41" t="s">
        <v>500</v>
      </c>
      <c r="C9" s="287"/>
      <c r="D9" s="5"/>
      <c r="E9" s="249"/>
      <c r="F9" s="249"/>
      <c r="G9" s="249"/>
      <c r="H9" s="249"/>
      <c r="I9" s="249"/>
      <c r="J9" s="5" t="s">
        <v>273</v>
      </c>
      <c r="L9" s="64">
        <f>'EM CELLULAR'!D37</f>
        <v>2.3028864261184152</v>
      </c>
      <c r="M9" s="64">
        <f>'EM CELLULAR'!E37</f>
        <v>2.1687959715674001</v>
      </c>
      <c r="N9" s="64">
        <f>'EM CELLULAR'!F37</f>
        <v>1.9297924574883407</v>
      </c>
      <c r="O9" s="64">
        <f>'EM CELLULAR'!G37</f>
        <v>1.70163849543242</v>
      </c>
      <c r="P9" s="17">
        <f>'EM CELLULAR'!H37</f>
        <v>5.0377730628003325E-2</v>
      </c>
    </row>
    <row r="10" spans="2:63">
      <c r="B10" s="5" t="s">
        <v>274</v>
      </c>
      <c r="C10" s="5"/>
      <c r="D10" s="332"/>
      <c r="E10" s="332"/>
      <c r="F10" s="332"/>
      <c r="G10" s="332"/>
      <c r="H10" s="247"/>
      <c r="I10" s="247"/>
      <c r="J10" s="5" t="s">
        <v>184</v>
      </c>
      <c r="L10" s="64">
        <f>'EM CELLULAR'!D38</f>
        <v>6.211590807666914</v>
      </c>
      <c r="M10" s="64">
        <f>'EM CELLULAR'!E38</f>
        <v>5.8072036978296566</v>
      </c>
      <c r="N10" s="64">
        <f>'EM CELLULAR'!F38</f>
        <v>5.1059602676010947</v>
      </c>
      <c r="O10" s="64">
        <f>'EM CELLULAR'!G38</f>
        <v>4.4630559895464135</v>
      </c>
      <c r="P10" s="17">
        <f>'EM CELLULAR'!H38</f>
        <v>6.0231249791276253E-2</v>
      </c>
      <c r="W10" s="10"/>
      <c r="X10" s="10"/>
      <c r="Y10" s="10"/>
      <c r="Z10" s="10"/>
    </row>
    <row r="11" spans="2:63">
      <c r="B11" s="41" t="s">
        <v>359</v>
      </c>
      <c r="C11" s="5"/>
      <c r="D11" s="271">
        <f>MILLI!D11+(TIMP!D11/Prices!$C$160)+(ENTEL!D11/Prices!$C$165)</f>
        <v>11388.568001459835</v>
      </c>
      <c r="E11" s="271">
        <f>MILLI!E11+(TIMP!E11/Prices!$C$160)+(ENTEL!E11/Prices!$C$165)</f>
        <v>11388.568001459835</v>
      </c>
      <c r="F11" s="271">
        <f>MILLI!F11+(TIMP!F11/Prices!$C$160)+(ENTEL!F11/Prices!$C$165)</f>
        <v>11147.668001459835</v>
      </c>
      <c r="G11" s="271">
        <f>MILLI!G11+(TIMP!G11/Prices!$C$160)+(ENTEL!G11/Prices!$C$165)</f>
        <v>10906.768001459835</v>
      </c>
      <c r="H11" s="249"/>
      <c r="I11" s="249"/>
      <c r="J11" s="5" t="s">
        <v>185</v>
      </c>
      <c r="L11" s="64">
        <f>'EM CELLULAR'!D39</f>
        <v>11.916721009928562</v>
      </c>
      <c r="M11" s="64">
        <f>'EM CELLULAR'!E39</f>
        <v>10.745312356284957</v>
      </c>
      <c r="N11" s="64">
        <f>'EM CELLULAR'!F39</f>
        <v>8.9736502860396943</v>
      </c>
      <c r="O11" s="64">
        <f>'EM CELLULAR'!G39</f>
        <v>7.4998267467078747</v>
      </c>
      <c r="P11" s="17">
        <f>'EM CELLULAR'!H39</f>
        <v>0.10809997877797661</v>
      </c>
      <c r="W11" s="10"/>
      <c r="X11" s="10"/>
      <c r="Y11" s="10"/>
      <c r="Z11" s="10"/>
    </row>
    <row r="12" spans="2:63">
      <c r="B12" s="5" t="s">
        <v>229</v>
      </c>
      <c r="C12" s="249"/>
      <c r="D12" s="228">
        <f>MILLI!D12+(TIMP!D12/Prices!$C$160)+(ENTEL!D12/Prices!$C$165)</f>
        <v>11586.733126251615</v>
      </c>
      <c r="E12" s="228">
        <f>MILLI!E12+(TIMP!E12/Prices!$C$160)+(ENTEL!E12/Prices!$C$165)</f>
        <v>11075.366166357962</v>
      </c>
      <c r="F12" s="228">
        <f>MILLI!F12+(TIMP!F12/Prices!$C$160)+(ENTEL!F12/Prices!$C$165)</f>
        <v>10295.359327493416</v>
      </c>
      <c r="G12" s="228">
        <f>MILLI!G12+(TIMP!G12/Prices!$C$160)+(ENTEL!G12/Prices!$C$165)</f>
        <v>9142.1184053846155</v>
      </c>
      <c r="H12" s="247"/>
      <c r="I12" s="247"/>
      <c r="J12" s="5" t="s">
        <v>466</v>
      </c>
      <c r="L12" s="64">
        <f>'EM CELLULAR'!D40</f>
        <v>15.565314163351601</v>
      </c>
      <c r="M12" s="64">
        <f>'EM CELLULAR'!E40</f>
        <v>14.107230346818808</v>
      </c>
      <c r="N12" s="64">
        <f>'EM CELLULAR'!F40</f>
        <v>11.835137000764389</v>
      </c>
      <c r="O12" s="64">
        <f>'EM CELLULAR'!G40</f>
        <v>9.9165135948155338</v>
      </c>
      <c r="P12" s="17">
        <f>'EM CELLULAR'!H40</f>
        <v>0.10359585146755945</v>
      </c>
      <c r="W12" s="10"/>
      <c r="X12" s="10"/>
      <c r="Y12" s="10"/>
      <c r="Z12" s="10"/>
    </row>
    <row r="13" spans="2:63">
      <c r="B13" s="5" t="s">
        <v>529</v>
      </c>
      <c r="C13" s="257"/>
      <c r="D13" s="228">
        <f>MILLI!D13+(TIMP!D13/Prices!$C$160)+(ENTEL!D13/Prices!$C$165)</f>
        <v>2957.2224690186144</v>
      </c>
      <c r="E13" s="228">
        <f>MILLI!E13+(TIMP!E13/Prices!$C$160)+(ENTEL!E13/Prices!$C$165)</f>
        <v>2957.2224690186144</v>
      </c>
      <c r="F13" s="228">
        <f>MILLI!F13+(TIMP!F13/Prices!$C$160)+(ENTEL!F13/Prices!$C$165)</f>
        <v>2957.2224690186144</v>
      </c>
      <c r="G13" s="228">
        <f>MILLI!G13+(TIMP!G13/Prices!$C$160)+(ENTEL!G13/Prices!$C$165)</f>
        <v>2957.2224690186144</v>
      </c>
      <c r="H13" s="247"/>
      <c r="I13" s="247"/>
      <c r="J13" s="5" t="s">
        <v>530</v>
      </c>
      <c r="L13" s="64">
        <f>'EM CELLULAR'!D41</f>
        <v>1.4932378441908309</v>
      </c>
      <c r="M13" s="64">
        <f>'EM CELLULAR'!E41</f>
        <v>1.4974861733035032</v>
      </c>
      <c r="N13" s="64">
        <f>'EM CELLULAR'!F41</f>
        <v>1.4281781003335032</v>
      </c>
      <c r="O13" s="64">
        <f>'EM CELLULAR'!G41</f>
        <v>1.349282061711496</v>
      </c>
      <c r="P13" s="17">
        <f>'EM CELLULAR'!H41</f>
        <v>-1.7756462726124411E-2</v>
      </c>
    </row>
    <row r="14" spans="2:63">
      <c r="B14" s="5" t="s">
        <v>532</v>
      </c>
      <c r="C14" s="274"/>
      <c r="D14" s="228">
        <f>MILLI!D14+(TIMP!D14/Prices!$C$160)+(ENTEL!D14/Prices!$C$165)</f>
        <v>681</v>
      </c>
      <c r="E14" s="228">
        <f>MILLI!E14+(TIMP!E14/Prices!$C$160)+(ENTEL!E14/Prices!$C$165)</f>
        <v>681</v>
      </c>
      <c r="F14" s="228">
        <f>MILLI!F14+(TIMP!F14/Prices!$C$160)+(ENTEL!F14/Prices!$C$165)</f>
        <v>681</v>
      </c>
      <c r="G14" s="228">
        <f>MILLI!G14+(TIMP!G14/Prices!$C$160)+(ENTEL!G14/Prices!$C$165)</f>
        <v>681</v>
      </c>
      <c r="H14" s="247"/>
      <c r="I14" s="247"/>
      <c r="J14" s="5" t="s">
        <v>593</v>
      </c>
      <c r="L14" s="64">
        <f>'EM CELLULAR'!D42</f>
        <v>2.6624591278665166</v>
      </c>
      <c r="M14" s="64">
        <f>'EM CELLULAR'!E42</f>
        <v>2.5827331248183691</v>
      </c>
      <c r="N14" s="64">
        <f>'EM CELLULAR'!F42</f>
        <v>2.37828077636942</v>
      </c>
      <c r="O14" s="64">
        <f>'EM CELLULAR'!G42</f>
        <v>2.1713530277562678</v>
      </c>
      <c r="P14" s="17">
        <f>'EM CELLULAR'!H42</f>
        <v>1.6392074372026055E-2</v>
      </c>
    </row>
    <row r="15" spans="2:63">
      <c r="B15" s="5" t="s">
        <v>531</v>
      </c>
      <c r="C15" s="257"/>
      <c r="D15" s="228">
        <f>MILLI!D15+(TIMP!D15/Prices!$C$160)+(ENTEL!D15/Prices!$C$165)</f>
        <v>3357</v>
      </c>
      <c r="E15" s="228">
        <f>MILLI!E15+(TIMP!E15/Prices!$C$160)+(ENTEL!E15/Prices!$C$165)</f>
        <v>3357</v>
      </c>
      <c r="F15" s="228">
        <f>MILLI!F15+(TIMP!F15/Prices!$C$160)+(ENTEL!F15/Prices!$C$165)</f>
        <v>3357</v>
      </c>
      <c r="G15" s="228">
        <f>MILLI!G15+(TIMP!G15/Prices!$C$160)+(ENTEL!G15/Prices!$C$165)</f>
        <v>3357</v>
      </c>
      <c r="H15" s="247"/>
      <c r="I15" s="247"/>
      <c r="J15" s="5" t="s">
        <v>475</v>
      </c>
      <c r="L15" s="64">
        <f>'EM CELLULAR'!D43</f>
        <v>22.850937709514724</v>
      </c>
      <c r="M15" s="64">
        <f>'EM CELLULAR'!E43</f>
        <v>20.413262135123315</v>
      </c>
      <c r="N15" s="64">
        <f>'EM CELLULAR'!F43</f>
        <v>16.677308372570185</v>
      </c>
      <c r="O15" s="64">
        <f>'EM CELLULAR'!G43</f>
        <v>14.052002275363339</v>
      </c>
      <c r="P15" s="17">
        <f>'EM CELLULAR'!H43</f>
        <v>0.1773224152875903</v>
      </c>
      <c r="S15" s="88"/>
      <c r="T15" s="88"/>
      <c r="U15" s="88"/>
      <c r="V15" s="42"/>
      <c r="W15" s="42"/>
      <c r="X15" s="42"/>
      <c r="Y15" s="42"/>
      <c r="Z15" s="42"/>
      <c r="AA15" s="42"/>
    </row>
    <row r="16" spans="2:63">
      <c r="B16" s="5" t="s">
        <v>534</v>
      </c>
      <c r="C16" s="257"/>
      <c r="D16" s="228">
        <f>MILLI!D16+(TIMP!D16/Prices!$C$160)+(ENTEL!D16/Prices!$C$165)</f>
        <v>298.12694431901377</v>
      </c>
      <c r="E16" s="228">
        <f>MILLI!E16+(TIMP!E16/Prices!$C$160)+(ENTEL!E16/Prices!$C$165)</f>
        <v>980.60796026765001</v>
      </c>
      <c r="F16" s="228">
        <f>MILLI!F16+(TIMP!F16/Prices!$C$160)+(ENTEL!F16/Prices!$C$165)</f>
        <v>1738.7259047305699</v>
      </c>
      <c r="G16" s="228">
        <f>MILLI!G16+(TIMP!G16/Prices!$C$160)+(ENTEL!G16/Prices!$C$165)</f>
        <v>2579.6833806465038</v>
      </c>
      <c r="H16" s="247"/>
      <c r="I16" s="247"/>
      <c r="J16" s="5" t="s">
        <v>533</v>
      </c>
      <c r="L16" s="64">
        <f>'EM CELLULAR'!D44</f>
        <v>20.347655496934248</v>
      </c>
      <c r="M16" s="64">
        <f>'EM CELLULAR'!E44</f>
        <v>17.632113552740702</v>
      </c>
      <c r="N16" s="64">
        <f>'EM CELLULAR'!F44</f>
        <v>14.75716332600194</v>
      </c>
      <c r="O16" s="64">
        <f>'EM CELLULAR'!G44</f>
        <v>12.965336224440424</v>
      </c>
      <c r="P16" s="17">
        <f>'EM CELLULAR'!H44</f>
        <v>0.16425371227743413</v>
      </c>
      <c r="S16" s="88"/>
      <c r="T16" s="88"/>
      <c r="U16" s="88"/>
      <c r="V16" s="42"/>
      <c r="W16" s="42"/>
      <c r="X16" s="42"/>
      <c r="Y16" s="42"/>
      <c r="Z16" s="42"/>
      <c r="AA16" s="42"/>
    </row>
    <row r="17" spans="2:27">
      <c r="B17" s="5" t="s">
        <v>6</v>
      </c>
      <c r="C17" s="257"/>
      <c r="D17" s="228">
        <f>MILLI!D17+(TIMP!D17/Prices!$C$160)+(ENTEL!D17/Prices!$C$165)</f>
        <v>226.38622970578089</v>
      </c>
      <c r="E17" s="228">
        <f>MILLI!E17+(TIMP!E17/Prices!$C$160)+(ENTEL!E17/Prices!$C$165)</f>
        <v>226.38622970578089</v>
      </c>
      <c r="F17" s="228">
        <f>MILLI!F17+(TIMP!F17/Prices!$C$160)+(ENTEL!F17/Prices!$C$165)</f>
        <v>226.38622970578089</v>
      </c>
      <c r="G17" s="228">
        <f>MILLI!G17+(TIMP!G17/Prices!$C$160)+(ENTEL!G17/Prices!$C$165)</f>
        <v>226.38622970578089</v>
      </c>
      <c r="H17" s="247"/>
      <c r="I17" s="247"/>
      <c r="J17" s="5" t="s">
        <v>580</v>
      </c>
      <c r="L17" s="248">
        <f>'EM CELLULAR'!D45</f>
        <v>3.8592786101513454E-2</v>
      </c>
      <c r="M17" s="248">
        <f>'EM CELLULAR'!E45</f>
        <v>4.221028254180547E-2</v>
      </c>
      <c r="N17" s="248">
        <f>'EM CELLULAR'!F45</f>
        <v>4.9095770089858652E-2</v>
      </c>
      <c r="O17" s="248">
        <f>'EM CELLULAR'!G45</f>
        <v>5.6214491846374066E-2</v>
      </c>
      <c r="P17" s="17">
        <f>'EM CELLULAR'!H45</f>
        <v>0.1356682547662138</v>
      </c>
      <c r="S17" s="88"/>
      <c r="T17" s="88"/>
      <c r="U17" s="88"/>
      <c r="V17" s="42"/>
      <c r="W17" s="42"/>
      <c r="X17" s="42"/>
      <c r="Y17" s="42"/>
      <c r="Z17" s="42"/>
      <c r="AA17" s="42"/>
    </row>
    <row r="18" spans="2:27" ht="12.6" thickBot="1">
      <c r="B18" s="41" t="s">
        <v>360</v>
      </c>
      <c r="C18" s="249"/>
      <c r="D18" s="275">
        <f>MILLI!D18+(TIMP!D18/Prices!$C$160)+(ENTEL!D18/Prices!$C$165)</f>
        <v>28084.010422705269</v>
      </c>
      <c r="E18" s="275">
        <f>MILLI!E18+(TIMP!E18/Prices!$C$160)+(ENTEL!E18/Prices!$C$165)</f>
        <v>26890.162446862982</v>
      </c>
      <c r="F18" s="275">
        <f>MILLI!F18+(TIMP!F18/Prices!$C$160)+(ENTEL!F18/Prices!$C$165)</f>
        <v>25111.137663535519</v>
      </c>
      <c r="G18" s="275">
        <f>MILLI!G18+(TIMP!G18/Prices!$C$160)+(ENTEL!G18/Prices!$C$165)</f>
        <v>22876.039265510779</v>
      </c>
      <c r="H18" s="276">
        <f>IF(D18=0,"nm",IF(G18=0,"nm",(G18/D18)^(1/3)-1))</f>
        <v>-6.6085247121212998E-2</v>
      </c>
      <c r="I18" s="254"/>
      <c r="J18" s="5" t="s">
        <v>36</v>
      </c>
      <c r="L18" s="248" t="e">
        <f>'EM CELLULAR'!D46</f>
        <v>#VALUE!</v>
      </c>
      <c r="M18" s="248" t="e">
        <f>'EM CELLULAR'!E46</f>
        <v>#VALUE!</v>
      </c>
      <c r="N18" s="248" t="e">
        <f>'EM CELLULAR'!F46</f>
        <v>#VALUE!</v>
      </c>
      <c r="O18" s="248" t="e">
        <f>'EM CELLULAR'!G46</f>
        <v>#VALUE!</v>
      </c>
      <c r="P18" s="17" t="e">
        <f>'EM CELLULAR'!H46</f>
        <v>#VALUE!</v>
      </c>
      <c r="S18" s="88"/>
      <c r="T18" s="42"/>
      <c r="U18" s="42"/>
      <c r="V18" s="42"/>
      <c r="W18" s="42"/>
      <c r="X18" s="42"/>
      <c r="Y18" s="42"/>
      <c r="Z18" s="42"/>
      <c r="AA18" s="42"/>
    </row>
    <row r="19" spans="2:27" ht="12.6" thickTop="1">
      <c r="B19" s="41"/>
      <c r="C19" s="249"/>
      <c r="D19" s="229"/>
      <c r="E19" s="229"/>
      <c r="F19" s="229"/>
      <c r="G19" s="229"/>
      <c r="H19" s="276"/>
      <c r="I19" s="17"/>
      <c r="J19" s="5" t="s">
        <v>581</v>
      </c>
      <c r="L19" s="248">
        <f>'EM CELLULAR'!D47</f>
        <v>4.3761880265579547E-2</v>
      </c>
      <c r="M19" s="248">
        <f>'EM CELLULAR'!E47</f>
        <v>4.8987760671499313E-2</v>
      </c>
      <c r="N19" s="248">
        <f>'EM CELLULAR'!F47</f>
        <v>5.9961714304254204E-2</v>
      </c>
      <c r="O19" s="248">
        <f>'EM CELLULAR'!G47</f>
        <v>7.1164235559031272E-2</v>
      </c>
      <c r="P19" s="17">
        <f>'EM CELLULAR'!H47</f>
        <v>0.1773224152875903</v>
      </c>
      <c r="S19" s="88"/>
      <c r="T19" s="42"/>
      <c r="U19" s="42"/>
      <c r="V19" s="42"/>
      <c r="W19" s="42"/>
      <c r="X19" s="42"/>
      <c r="Y19" s="42"/>
      <c r="Z19" s="42"/>
      <c r="AA19" s="42"/>
    </row>
    <row r="20" spans="2:27">
      <c r="H20" s="277"/>
      <c r="I20" s="49"/>
      <c r="J20" s="5" t="s">
        <v>604</v>
      </c>
      <c r="L20" s="248">
        <f>'EM CELLULAR'!D48</f>
        <v>0.88668294064217501</v>
      </c>
      <c r="M20" s="248">
        <f>'EM CELLULAR'!E48</f>
        <v>0.86591383416109602</v>
      </c>
      <c r="N20" s="248">
        <f>'EM CELLULAR'!F48</f>
        <v>0.82267670747127919</v>
      </c>
      <c r="O20" s="248">
        <f>'EM CELLULAR'!G48</f>
        <v>0.79585980881552554</v>
      </c>
      <c r="P20" s="17" t="str">
        <f>'EM CELLULAR'!H48</f>
        <v>nm</v>
      </c>
      <c r="S20" s="42"/>
      <c r="T20" s="42"/>
      <c r="U20" s="42"/>
      <c r="V20" s="42"/>
      <c r="W20" s="42"/>
      <c r="X20" s="42"/>
      <c r="Y20" s="42"/>
      <c r="Z20" s="42"/>
      <c r="AA20" s="42"/>
    </row>
    <row r="21" spans="2:27" ht="12.6" thickBot="1">
      <c r="B21" s="306" t="s">
        <v>482</v>
      </c>
      <c r="C21" s="265">
        <v>2020</v>
      </c>
      <c r="D21" s="265" t="str">
        <f>D5</f>
        <v>2023E</v>
      </c>
      <c r="E21" s="265" t="str">
        <f>E5</f>
        <v>2024E</v>
      </c>
      <c r="F21" s="265" t="str">
        <f>F5</f>
        <v>2025E</v>
      </c>
      <c r="G21" s="265" t="str">
        <f>G5</f>
        <v>2026E</v>
      </c>
      <c r="H21" s="282" t="str">
        <f>H5</f>
        <v>23E-26E</v>
      </c>
      <c r="I21" s="17"/>
      <c r="S21" s="42"/>
      <c r="T21" s="42"/>
      <c r="U21" s="42"/>
      <c r="V21" s="42"/>
      <c r="W21" s="42"/>
      <c r="X21" s="42"/>
      <c r="Y21" s="42"/>
      <c r="Z21" s="42"/>
      <c r="AA21" s="42"/>
    </row>
    <row r="22" spans="2:27" ht="12.6" thickTop="1">
      <c r="B22" s="5"/>
      <c r="C22" s="257"/>
      <c r="D22" s="17"/>
      <c r="E22" s="17"/>
      <c r="F22" s="17"/>
      <c r="G22" s="17"/>
      <c r="H22" s="17"/>
      <c r="I22" s="247"/>
      <c r="P22" s="277"/>
      <c r="S22" s="42"/>
      <c r="T22" s="42"/>
      <c r="U22" s="42"/>
      <c r="V22" s="42"/>
      <c r="W22" s="42"/>
      <c r="X22" s="42"/>
      <c r="Y22" s="42"/>
      <c r="Z22" s="42"/>
      <c r="AA22" s="42"/>
    </row>
    <row r="23" spans="2:27" ht="12.6" thickBot="1">
      <c r="B23" s="5" t="s">
        <v>584</v>
      </c>
      <c r="C23" s="365">
        <f>MILLI!C23+(TIMP!C23/Prices!$C$160)+(ENTEL!C23/Prices!$C$165)</f>
        <v>12280.38724985143</v>
      </c>
      <c r="D23" s="228">
        <f>MILLI!D23+(TIMP!D23/Prices!$C$160)+(ENTEL!D23/Prices!$C$165)</f>
        <v>12908.545169685061</v>
      </c>
      <c r="E23" s="228">
        <f>MILLI!E23+(TIMP!E23/Prices!$C$160)+(ENTEL!E23/Prices!$C$165)</f>
        <v>13389.372569239742</v>
      </c>
      <c r="F23" s="228">
        <f>MILLI!F23+(TIMP!F23/Prices!$C$160)+(ENTEL!F23/Prices!$C$165)</f>
        <v>13871.65661419266</v>
      </c>
      <c r="G23" s="228">
        <f>MILLI!G23+(TIMP!G23/Prices!$C$160)+(ENTEL!G23/Prices!$C$165)</f>
        <v>14322.959704124125</v>
      </c>
      <c r="H23" s="279">
        <f t="shared" ref="H23:H33" si="0">IF(D23=0,"nm",IF(G23=0,"nm",(G23/D23)^(1/3)-1))</f>
        <v>3.5265696156160375E-2</v>
      </c>
      <c r="I23" s="249"/>
      <c r="J23" s="306" t="s">
        <v>9</v>
      </c>
      <c r="K23" s="306"/>
      <c r="L23" s="265" t="str">
        <f>L5</f>
        <v>2023E</v>
      </c>
      <c r="M23" s="265" t="str">
        <f>M5</f>
        <v>2024E</v>
      </c>
      <c r="N23" s="265" t="str">
        <f>N5</f>
        <v>2025E</v>
      </c>
      <c r="O23" s="265" t="str">
        <f>O5</f>
        <v>2026E</v>
      </c>
      <c r="P23" s="282" t="str">
        <f>P5</f>
        <v>23E-26E</v>
      </c>
      <c r="S23" s="42"/>
      <c r="T23" s="42"/>
      <c r="U23" s="42"/>
      <c r="V23" s="42"/>
      <c r="W23" s="42" t="s">
        <v>169</v>
      </c>
      <c r="X23" s="42" t="s">
        <v>563</v>
      </c>
      <c r="Y23" s="42"/>
      <c r="Z23" s="42"/>
      <c r="AA23" s="42"/>
    </row>
    <row r="24" spans="2:27" ht="12.6" thickTop="1">
      <c r="B24" s="5" t="s">
        <v>483</v>
      </c>
      <c r="C24" s="365">
        <f>MILLI!C24+(TIMP!C24/Prices!$C$160)+(ENTEL!C24/Prices!$C$165)</f>
        <v>4926.686631535119</v>
      </c>
      <c r="D24" s="228">
        <f>MILLI!D24+(TIMP!D24/Prices!$C$160)+(ENTEL!D24/Prices!$C$165)</f>
        <v>5190.2113102419953</v>
      </c>
      <c r="E24" s="228">
        <f>MILLI!E24+(TIMP!E24/Prices!$C$160)+(ENTEL!E24/Prices!$C$165)</f>
        <v>5492.3913032605324</v>
      </c>
      <c r="F24" s="228">
        <f>MILLI!F24+(TIMP!F24/Prices!$C$160)+(ENTEL!F24/Prices!$C$165)</f>
        <v>5805.7084700552005</v>
      </c>
      <c r="G24" s="228">
        <f>MILLI!G24+(TIMP!G24/Prices!$C$160)+(ENTEL!G24/Prices!$C$165)</f>
        <v>6044.450353485734</v>
      </c>
      <c r="H24" s="279">
        <f t="shared" si="0"/>
        <v>5.2100575988367481E-2</v>
      </c>
      <c r="I24" s="248"/>
      <c r="J24" s="17"/>
      <c r="K24" s="17"/>
      <c r="L24" s="17"/>
      <c r="M24" s="17"/>
      <c r="N24" s="17"/>
      <c r="O24" s="248"/>
      <c r="S24" s="42"/>
      <c r="T24" s="42"/>
      <c r="U24" s="42"/>
      <c r="V24" s="147" t="s">
        <v>273</v>
      </c>
      <c r="W24" s="288">
        <f t="shared" ref="W24:W29" si="1">E37/M9</f>
        <v>0.92600749466954135</v>
      </c>
      <c r="X24" s="288">
        <v>1</v>
      </c>
      <c r="Y24" s="42"/>
      <c r="Z24" s="42"/>
      <c r="AA24" s="42"/>
    </row>
    <row r="25" spans="2:27">
      <c r="B25" s="5" t="s">
        <v>183</v>
      </c>
      <c r="C25" s="365">
        <f>MILLI!C25+(TIMP!C25/Prices!$C$160)+(ENTEL!C25/Prices!$C$165)</f>
        <v>2559.7546889803275</v>
      </c>
      <c r="D25" s="228">
        <f>MILLI!D25+(TIMP!D25/Prices!$C$160)+(ENTEL!D25/Prices!$C$165)</f>
        <v>2987.1873213056483</v>
      </c>
      <c r="E25" s="228">
        <f>MILLI!E25+(TIMP!E25/Prices!$C$160)+(ENTEL!E25/Prices!$C$165)</f>
        <v>3309.2675951842039</v>
      </c>
      <c r="F25" s="228">
        <f>MILLI!F25+(TIMP!F25/Prices!$C$160)+(ENTEL!F25/Prices!$C$165)</f>
        <v>3636.8422693752618</v>
      </c>
      <c r="G25" s="228">
        <f>MILLI!G25+(TIMP!G25/Prices!$C$160)+(ENTEL!G25/Prices!$C$165)</f>
        <v>3820.37909496559</v>
      </c>
      <c r="H25" s="279">
        <f t="shared" si="0"/>
        <v>8.5462108298754558E-2</v>
      </c>
      <c r="I25" s="249"/>
      <c r="J25" s="247" t="s">
        <v>10</v>
      </c>
      <c r="K25" s="247"/>
      <c r="L25" s="332">
        <f>MILLI!L25+(TIMP!L25/Prices!$C$160)+(ENTEL!L25/Prices!$C$165)</f>
        <v>3099.2343520366403</v>
      </c>
      <c r="M25" s="332">
        <f>MILLI!M25+(TIMP!M25/Prices!$C$160)+(ENTEL!M25/Prices!$C$165)</f>
        <v>3206.213812662018</v>
      </c>
      <c r="N25" s="332">
        <f>MILLI!N25+(TIMP!N25/Prices!$C$160)+(ENTEL!N25/Prices!$C$165)</f>
        <v>3304.3389883240779</v>
      </c>
      <c r="O25" s="332">
        <f>MILLI!O25+(TIMP!O25/Prices!$C$160)+(ENTEL!O25/Prices!$C$165)</f>
        <v>1947.1402236379806</v>
      </c>
      <c r="P25" s="279">
        <f>IF(L25=0,"nm",IF(O25=0,"nm",(O25/L25)^(1/3)-1))</f>
        <v>-0.1435258287848763</v>
      </c>
      <c r="Q25" s="5"/>
      <c r="S25" s="42"/>
      <c r="T25" s="42"/>
      <c r="U25" s="42"/>
      <c r="V25" s="147" t="s">
        <v>184</v>
      </c>
      <c r="W25" s="288">
        <f t="shared" si="1"/>
        <v>0.84307244513741797</v>
      </c>
      <c r="X25" s="288">
        <v>1</v>
      </c>
      <c r="Y25" s="42"/>
      <c r="Z25" s="42"/>
      <c r="AA25" s="42"/>
    </row>
    <row r="26" spans="2:27">
      <c r="B26" s="5" t="s">
        <v>586</v>
      </c>
      <c r="C26" s="365">
        <f>MILLI!C26+(TIMP!C26/Prices!$C$160)+(ENTEL!C26/Prices!$C$165)</f>
        <v>2103.7723834691765</v>
      </c>
      <c r="D26" s="228">
        <f>MILLI!D26+(TIMP!D26/Prices!$C$160)+(ENTEL!D26/Prices!$C$165)</f>
        <v>2390.0868681145289</v>
      </c>
      <c r="E26" s="228">
        <f>MILLI!E26+(TIMP!E26/Prices!$C$160)+(ENTEL!E26/Prices!$C$165)</f>
        <v>2627.5563279687149</v>
      </c>
      <c r="F26" s="228">
        <f>MILLI!F26+(TIMP!F26/Prices!$C$160)+(ENTEL!F26/Prices!$C$165)</f>
        <v>2801.5039242344365</v>
      </c>
      <c r="G26" s="228">
        <f>MILLI!G26+(TIMP!G26/Prices!$C$160)+(ENTEL!G26/Prices!$C$165)</f>
        <v>2884.1353478878796</v>
      </c>
      <c r="H26" s="279">
        <f t="shared" si="0"/>
        <v>6.4634781721076617E-2</v>
      </c>
      <c r="I26" s="249"/>
      <c r="J26" s="249" t="s">
        <v>11</v>
      </c>
      <c r="K26" s="249"/>
      <c r="L26" s="281">
        <f>MILLI!L26+(TIMP!L26/Prices!$C$160)+(ENTEL!L26/Prices!$C$165)</f>
        <v>14487.802353496478</v>
      </c>
      <c r="M26" s="281">
        <f>MILLI!M26+(TIMP!M26/Prices!$C$160)+(ENTEL!M26/Prices!$C$165)</f>
        <v>14594.781814121856</v>
      </c>
      <c r="N26" s="281">
        <f>MILLI!N26+(TIMP!N26/Prices!$C$160)+(ENTEL!N26/Prices!$C$165)</f>
        <v>14452.006989783915</v>
      </c>
      <c r="O26" s="281">
        <f>MILLI!O26+(TIMP!O26/Prices!$C$160)+(ENTEL!O26/Prices!$C$165)</f>
        <v>12853.908225097815</v>
      </c>
      <c r="P26" s="279">
        <f>IF(L26=0,"nm",IF(O26=0,"nm",(O26/L26)^(1/3)-1))</f>
        <v>-3.910139976686311E-2</v>
      </c>
      <c r="Q26" s="41"/>
      <c r="S26" s="42"/>
      <c r="T26" s="42"/>
      <c r="U26" s="42"/>
      <c r="V26" s="147" t="s">
        <v>185</v>
      </c>
      <c r="W26" s="288">
        <f t="shared" si="1"/>
        <v>0.75621013677091697</v>
      </c>
      <c r="X26" s="288">
        <v>1</v>
      </c>
      <c r="Y26" s="42"/>
      <c r="Z26" s="42"/>
      <c r="AA26" s="42"/>
    </row>
    <row r="27" spans="2:27">
      <c r="B27" s="5" t="s">
        <v>587</v>
      </c>
      <c r="C27" s="365">
        <f>MILLI!C27+(TIMP!C27/Prices!$C$160)+(ENTEL!C27/Prices!$C$165)</f>
        <v>14976.662027892797</v>
      </c>
      <c r="D27" s="228">
        <f>MILLI!D27+(TIMP!D27/Prices!$C$160)+(ENTEL!D27/Prices!$C$165)</f>
        <v>15219.478545778738</v>
      </c>
      <c r="E27" s="228">
        <f>MILLI!E27+(TIMP!E27/Prices!$C$160)+(ENTEL!E27/Prices!$C$165)</f>
        <v>15166.174171518865</v>
      </c>
      <c r="F27" s="228">
        <f>MILLI!F27+(TIMP!F27/Prices!$C$160)+(ENTEL!F27/Prices!$C$165)</f>
        <v>15152.244409437761</v>
      </c>
      <c r="G27" s="228">
        <f>MILLI!G27+(TIMP!G27/Prices!$C$160)+(ENTEL!G27/Prices!$C$165)</f>
        <v>15211.974665443544</v>
      </c>
      <c r="H27" s="279">
        <f t="shared" si="0"/>
        <v>-1.6437518757150826E-4</v>
      </c>
      <c r="I27" s="248"/>
      <c r="J27" s="248"/>
      <c r="K27" s="248"/>
      <c r="L27" s="248"/>
      <c r="M27" s="248"/>
      <c r="N27" s="248"/>
      <c r="O27" s="248"/>
      <c r="Q27" s="5"/>
      <c r="S27" s="42"/>
      <c r="T27" s="42"/>
      <c r="U27" s="42"/>
      <c r="V27" s="147" t="s">
        <v>466</v>
      </c>
      <c r="W27" s="288">
        <f t="shared" si="1"/>
        <v>0.72543688437656906</v>
      </c>
      <c r="X27" s="288">
        <v>1</v>
      </c>
      <c r="Y27" s="42"/>
      <c r="Z27" s="42"/>
      <c r="AA27" s="42"/>
    </row>
    <row r="28" spans="2:27" ht="12.6" thickBot="1">
      <c r="B28" s="5" t="s">
        <v>592</v>
      </c>
      <c r="C28" s="365">
        <f>MILLI!C28+(TIMP!C28/Prices!$C$160)+(ENTEL!C28/Prices!$C$165)</f>
        <v>19181.715703537753</v>
      </c>
      <c r="D28" s="228">
        <f>MILLI!D28+(TIMP!D28/Prices!$C$160)+(ENTEL!D28/Prices!$C$165)</f>
        <v>19743.472669696243</v>
      </c>
      <c r="E28" s="228">
        <f>MILLI!E28+(TIMP!E28/Prices!$C$160)+(ENTEL!E28/Prices!$C$165)</f>
        <v>19879.14743345134</v>
      </c>
      <c r="F28" s="228">
        <f>MILLI!F28+(TIMP!F28/Prices!$C$160)+(ENTEL!F28/Prices!$C$165)</f>
        <v>19997.972347672057</v>
      </c>
      <c r="G28" s="228">
        <f>MILLI!G28+(TIMP!G28/Prices!$C$160)+(ENTEL!G28/Prices!$C$165)</f>
        <v>20220.581061121913</v>
      </c>
      <c r="H28" s="279">
        <f t="shared" si="0"/>
        <v>7.9910967777558906E-3</v>
      </c>
      <c r="I28" s="252"/>
      <c r="J28" s="306" t="s">
        <v>754</v>
      </c>
      <c r="K28" s="306"/>
      <c r="L28" s="306"/>
      <c r="M28" s="306"/>
      <c r="N28" s="266"/>
      <c r="O28" s="266"/>
      <c r="P28" s="266"/>
      <c r="Q28" s="5"/>
      <c r="S28" s="42"/>
      <c r="T28" s="42"/>
      <c r="U28" s="42"/>
      <c r="V28" s="147" t="s">
        <v>530</v>
      </c>
      <c r="W28" s="288">
        <f t="shared" si="1"/>
        <v>1.1840078057005847</v>
      </c>
      <c r="X28" s="288">
        <v>1</v>
      </c>
      <c r="Y28" s="42"/>
      <c r="Z28" s="42"/>
      <c r="AA28" s="42"/>
    </row>
    <row r="29" spans="2:27" ht="12.6" thickTop="1">
      <c r="B29" s="5" t="s">
        <v>588</v>
      </c>
      <c r="C29" s="365">
        <f>MILLI!C29+(TIMP!C29/Prices!$C$160)+(ENTEL!C29/Prices!$C$165)</f>
        <v>889.53850262201422</v>
      </c>
      <c r="D29" s="228">
        <f>MILLI!D29+(TIMP!D29/Prices!$C$160)+(ENTEL!D29/Prices!$C$165)</f>
        <v>1187.7023712582095</v>
      </c>
      <c r="E29" s="228">
        <f>MILLI!E29+(TIMP!E29/Prices!$C$160)+(ENTEL!E29/Prices!$C$165)</f>
        <v>1561.6250727279948</v>
      </c>
      <c r="F29" s="228">
        <f>MILLI!F29+(TIMP!F29/Prices!$C$160)+(ENTEL!F29/Prices!$C$165)</f>
        <v>1895.1429799983762</v>
      </c>
      <c r="G29" s="228">
        <f>MILLI!G29+(TIMP!G29/Prices!$C$160)+(ENTEL!G29/Prices!$C$165)</f>
        <v>2072.1345570200024</v>
      </c>
      <c r="H29" s="279">
        <f t="shared" si="0"/>
        <v>0.20384371568002635</v>
      </c>
      <c r="I29" s="254"/>
      <c r="J29" s="249"/>
      <c r="K29" s="249"/>
      <c r="L29" s="249"/>
      <c r="M29" s="249"/>
      <c r="N29" s="249"/>
      <c r="O29" s="251"/>
      <c r="Q29" s="5"/>
      <c r="S29" s="42"/>
      <c r="T29" s="42"/>
      <c r="U29" s="42"/>
      <c r="V29" s="147" t="s">
        <v>593</v>
      </c>
      <c r="W29" s="288">
        <f t="shared" si="1"/>
        <v>0.5237404759971872</v>
      </c>
      <c r="X29" s="288">
        <v>1</v>
      </c>
      <c r="Y29" s="42"/>
      <c r="Z29" s="42"/>
      <c r="AA29" s="42"/>
    </row>
    <row r="30" spans="2:27">
      <c r="B30" s="5" t="s">
        <v>589</v>
      </c>
      <c r="C30" s="365">
        <f>MILLI!C30+(TIMP!C30/Prices!$C$160)+(ENTEL!C30/Prices!$C$165)</f>
        <v>847.19706958535346</v>
      </c>
      <c r="D30" s="228">
        <f>MILLI!D30+(TIMP!D30/Prices!$C$160)+(ENTEL!D30/Prices!$C$165)</f>
        <v>980.80126124359435</v>
      </c>
      <c r="E30" s="228">
        <f>MILLI!E30+(TIMP!E30/Prices!$C$160)+(ENTEL!E30/Prices!$C$165)</f>
        <v>1298.0730117419514</v>
      </c>
      <c r="F30" s="228">
        <f>MILLI!F30+(TIMP!F30/Prices!$C$160)+(ENTEL!F30/Prices!$C$165)</f>
        <v>1698.3491047794396</v>
      </c>
      <c r="G30" s="228">
        <f>MILLI!G30+(TIMP!G30/Prices!$C$160)+(ENTEL!G30/Prices!$C$165)</f>
        <v>1966.0220119645739</v>
      </c>
      <c r="H30" s="279">
        <f t="shared" si="0"/>
        <v>0.26086654067969706</v>
      </c>
      <c r="I30" s="254"/>
      <c r="J30" s="248"/>
      <c r="K30" s="248"/>
      <c r="L30" s="248"/>
      <c r="M30" s="248"/>
      <c r="N30" s="248"/>
      <c r="O30" s="5"/>
      <c r="Q30" s="5"/>
      <c r="S30" s="42"/>
      <c r="T30" s="42"/>
      <c r="U30" s="42"/>
      <c r="V30" s="147" t="s">
        <v>384</v>
      </c>
      <c r="W30" s="288">
        <f>F43/N15</f>
        <v>0.45725685259127541</v>
      </c>
      <c r="X30" s="288">
        <v>1</v>
      </c>
      <c r="Y30" s="42"/>
      <c r="Z30" s="42"/>
      <c r="AA30" s="42"/>
    </row>
    <row r="31" spans="2:27">
      <c r="B31" s="5" t="s">
        <v>590</v>
      </c>
      <c r="C31" s="365">
        <f>MILLI!C31+(TIMP!C31/Prices!$C$160)+(ENTEL!C31/Prices!$C$165)</f>
        <v>228.2727473004461</v>
      </c>
      <c r="D31" s="228">
        <f>MILLI!D31+(TIMP!D31/Prices!$C$160)+(ENTEL!D31/Prices!$C$165)</f>
        <v>416.9104370330943</v>
      </c>
      <c r="E31" s="228">
        <f>MILLI!E31+(TIMP!E31/Prices!$C$160)+(ENTEL!E31/Prices!$C$165)</f>
        <v>594.4842333327349</v>
      </c>
      <c r="F31" s="228">
        <f>MILLI!F31+(TIMP!F31/Prices!$C$160)+(ENTEL!F31/Prices!$C$165)</f>
        <v>682.07979827524832</v>
      </c>
      <c r="G31" s="228">
        <f>MILLI!G31+(TIMP!G31/Prices!$C$160)+(ENTEL!G31/Prices!$C$165)</f>
        <v>717.91856525214712</v>
      </c>
      <c r="H31" s="279">
        <f t="shared" si="0"/>
        <v>0.19860882859561735</v>
      </c>
      <c r="I31" s="254"/>
      <c r="J31" s="252"/>
      <c r="K31" s="252"/>
      <c r="L31" s="252"/>
      <c r="M31" s="252"/>
      <c r="N31" s="252"/>
      <c r="O31" s="5"/>
      <c r="Q31" s="5"/>
      <c r="S31" s="42"/>
      <c r="T31" s="42"/>
      <c r="U31" s="42"/>
      <c r="V31" s="147" t="s">
        <v>533</v>
      </c>
      <c r="W31" s="288">
        <f>E44/M16</f>
        <v>0.49758310363412261</v>
      </c>
      <c r="X31" s="288">
        <v>1</v>
      </c>
      <c r="Y31" s="42"/>
      <c r="Z31" s="42"/>
      <c r="AA31" s="42"/>
    </row>
    <row r="32" spans="2:27">
      <c r="B32" s="5" t="s">
        <v>606</v>
      </c>
      <c r="C32" s="365">
        <f>MILLI!C32+(TIMP!C32/Prices!$C$160)+(ENTEL!C32/Prices!$C$165)</f>
        <v>0</v>
      </c>
      <c r="D32" s="228">
        <f>MILLI!D32+(TIMP!D32/Prices!$C$160)+(ENTEL!D32/Prices!$C$165)</f>
        <v>0</v>
      </c>
      <c r="E32" s="228">
        <f>MILLI!E32+(TIMP!E32/Prices!$C$160)+(ENTEL!E32/Prices!$C$165)</f>
        <v>0</v>
      </c>
      <c r="F32" s="228">
        <f>MILLI!F32+(TIMP!F32/Prices!$C$160)+(ENTEL!F32/Prices!$C$165)</f>
        <v>5.3040000000000003</v>
      </c>
      <c r="G32" s="228">
        <f>MILLI!G32+(TIMP!G32/Prices!$C$160)+(ENTEL!G32/Prices!$C$165)</f>
        <v>15.6</v>
      </c>
      <c r="H32" s="279" t="str">
        <f t="shared" si="0"/>
        <v>nm</v>
      </c>
      <c r="I32" s="5"/>
      <c r="J32" s="254"/>
      <c r="K32" s="254"/>
      <c r="L32" s="254"/>
      <c r="M32" s="254"/>
      <c r="N32" s="254"/>
      <c r="O32" s="251"/>
      <c r="Q32" s="5"/>
      <c r="S32" s="42"/>
      <c r="T32" s="42"/>
      <c r="U32" s="42"/>
      <c r="V32" s="147" t="s">
        <v>580</v>
      </c>
      <c r="W32" s="288">
        <f>M17/E45</f>
        <v>0.80862476434951447</v>
      </c>
      <c r="X32" s="288">
        <v>1</v>
      </c>
      <c r="Y32" s="42"/>
      <c r="Z32" s="42"/>
      <c r="AA32" s="42"/>
    </row>
    <row r="33" spans="2:42">
      <c r="B33" s="5" t="s">
        <v>5</v>
      </c>
      <c r="C33" s="365">
        <f>MILLI!C33+(TIMP!C33/Prices!$C$160)+(ENTEL!C33/Prices!$C$165)</f>
        <v>991.4241615984148</v>
      </c>
      <c r="D33" s="228">
        <f>MILLI!D33+(TIMP!D33/Prices!$C$160)+(ENTEL!D33/Prices!$C$165)</f>
        <v>1049.9362219068435</v>
      </c>
      <c r="E33" s="228">
        <f>MILLI!E33+(TIMP!E33/Prices!$C$160)+(ENTEL!E33/Prices!$C$165)</f>
        <v>992.91850181125983</v>
      </c>
      <c r="F33" s="228">
        <f>MILLI!F33+(TIMP!F33/Prices!$C$160)+(ENTEL!F33/Prices!$C$165)</f>
        <v>900.35572502554362</v>
      </c>
      <c r="G33" s="228">
        <f>MILLI!G33+(TIMP!G33/Prices!$C$160)+(ENTEL!G33/Prices!$C$165)</f>
        <v>812.04763031660787</v>
      </c>
      <c r="H33" s="279">
        <f t="shared" si="0"/>
        <v>-8.2077120606867449E-2</v>
      </c>
      <c r="I33" s="49"/>
      <c r="J33" s="254"/>
      <c r="K33" s="254"/>
      <c r="L33" s="254"/>
      <c r="M33" s="254"/>
      <c r="N33" s="254"/>
      <c r="O33" s="251"/>
      <c r="Q33" s="5"/>
      <c r="S33" s="42"/>
      <c r="T33" s="42"/>
      <c r="U33" s="42"/>
      <c r="V33" s="147" t="s">
        <v>266</v>
      </c>
      <c r="W33" s="288">
        <f>N19/F47</f>
        <v>0.45725685259127541</v>
      </c>
      <c r="X33" s="288">
        <v>1</v>
      </c>
      <c r="Y33" s="288"/>
      <c r="Z33" s="288"/>
      <c r="AA33" s="42"/>
      <c r="AC33" s="10"/>
      <c r="AD33" s="10"/>
      <c r="AE33" s="10"/>
      <c r="AF33" s="10"/>
      <c r="AH33" s="10"/>
      <c r="AI33" s="10"/>
      <c r="AJ33" s="10"/>
      <c r="AK33" s="10"/>
      <c r="AM33" s="10"/>
      <c r="AN33" s="10"/>
      <c r="AO33" s="10"/>
      <c r="AP33" s="10"/>
    </row>
    <row r="34" spans="2:42">
      <c r="H34" s="277"/>
      <c r="I34" s="254"/>
      <c r="J34" s="254"/>
      <c r="K34" s="254"/>
      <c r="L34" s="254"/>
      <c r="M34" s="254"/>
      <c r="N34" s="254"/>
      <c r="O34" s="251"/>
      <c r="Q34" s="5"/>
      <c r="S34" s="42"/>
      <c r="T34" s="42"/>
      <c r="U34" s="42"/>
      <c r="V34" s="42"/>
      <c r="W34" s="42"/>
      <c r="X34" s="42"/>
      <c r="Y34" s="288"/>
      <c r="Z34" s="288"/>
      <c r="AA34" s="42"/>
      <c r="AC34" s="10"/>
      <c r="AD34" s="10"/>
      <c r="AE34" s="10"/>
      <c r="AF34" s="10"/>
      <c r="AH34" s="10"/>
      <c r="AI34" s="10"/>
      <c r="AJ34" s="10"/>
      <c r="AK34" s="10"/>
      <c r="AM34" s="10"/>
      <c r="AN34" s="10"/>
      <c r="AO34" s="10"/>
      <c r="AP34" s="10"/>
    </row>
    <row r="35" spans="2:42" ht="12.6" thickBot="1">
      <c r="B35" s="306" t="s">
        <v>612</v>
      </c>
      <c r="C35" s="265"/>
      <c r="D35" s="265" t="str">
        <f>D5</f>
        <v>2023E</v>
      </c>
      <c r="E35" s="265" t="str">
        <f>E5</f>
        <v>2024E</v>
      </c>
      <c r="F35" s="265" t="str">
        <f>F5</f>
        <v>2025E</v>
      </c>
      <c r="G35" s="265" t="str">
        <f>G5</f>
        <v>2026E</v>
      </c>
      <c r="H35" s="265" t="str">
        <f>H5</f>
        <v>23E-26E</v>
      </c>
      <c r="I35" s="17"/>
      <c r="J35" s="5"/>
      <c r="K35" s="5"/>
      <c r="L35" s="5"/>
      <c r="M35" s="5"/>
      <c r="N35" s="5"/>
      <c r="O35" s="5"/>
      <c r="Q35" s="5"/>
      <c r="S35" s="42"/>
      <c r="T35" s="42"/>
      <c r="U35" s="42"/>
      <c r="V35" s="42"/>
      <c r="W35" s="42"/>
      <c r="X35" s="42"/>
      <c r="Y35" s="288"/>
      <c r="Z35" s="288"/>
      <c r="AA35" s="42"/>
      <c r="AC35" s="10"/>
      <c r="AD35" s="10"/>
      <c r="AE35" s="10"/>
      <c r="AF35" s="10"/>
      <c r="AH35" s="10"/>
      <c r="AI35" s="10"/>
      <c r="AJ35" s="10"/>
      <c r="AK35" s="10"/>
      <c r="AM35" s="10"/>
      <c r="AN35" s="10"/>
      <c r="AO35" s="10"/>
      <c r="AP35" s="10"/>
    </row>
    <row r="36" spans="2:42" ht="12.6" thickTop="1">
      <c r="B36" s="41"/>
      <c r="C36" s="249"/>
      <c r="D36" s="254"/>
      <c r="E36" s="254"/>
      <c r="F36" s="254"/>
      <c r="G36" s="254"/>
      <c r="H36" s="254"/>
      <c r="I36" s="5"/>
      <c r="J36" s="49"/>
      <c r="K36" s="49"/>
      <c r="L36" s="49"/>
      <c r="M36" s="49"/>
      <c r="N36" s="49"/>
      <c r="O36" s="49"/>
      <c r="Q36" s="5"/>
      <c r="R36" s="5"/>
      <c r="S36" s="42"/>
      <c r="T36" s="42"/>
      <c r="U36" s="42"/>
      <c r="V36" s="42"/>
      <c r="W36" s="42"/>
      <c r="X36" s="42"/>
      <c r="Y36" s="42"/>
      <c r="Z36" s="42"/>
      <c r="AA36" s="42"/>
      <c r="AC36" s="10"/>
      <c r="AD36" s="10"/>
      <c r="AE36" s="10"/>
      <c r="AF36" s="10"/>
      <c r="AH36" s="10"/>
      <c r="AI36" s="10"/>
      <c r="AJ36" s="10"/>
      <c r="AK36" s="10"/>
      <c r="AM36" s="10"/>
      <c r="AN36" s="10"/>
      <c r="AO36" s="10"/>
      <c r="AP36" s="10"/>
    </row>
    <row r="37" spans="2:42">
      <c r="B37" s="5" t="s">
        <v>273</v>
      </c>
      <c r="C37" s="247"/>
      <c r="D37" s="64">
        <f t="shared" ref="D37:G41" si="2">D$18/D23</f>
        <v>2.1756139095100253</v>
      </c>
      <c r="E37" s="64">
        <f t="shared" si="2"/>
        <v>2.008321324080522</v>
      </c>
      <c r="F37" s="64">
        <f t="shared" si="2"/>
        <v>1.8102479294249028</v>
      </c>
      <c r="G37" s="64">
        <f t="shared" si="2"/>
        <v>1.5971586695816715</v>
      </c>
      <c r="H37" s="17">
        <f t="shared" ref="H37:H45" si="3">H23</f>
        <v>3.5265696156160375E-2</v>
      </c>
      <c r="I37" s="259"/>
      <c r="J37" s="259"/>
      <c r="K37" s="259"/>
      <c r="L37" s="259"/>
      <c r="M37" s="259"/>
      <c r="N37" s="259"/>
      <c r="O37" s="18"/>
      <c r="Q37" s="5"/>
      <c r="R37" s="5"/>
      <c r="S37" s="42"/>
      <c r="T37" s="42"/>
      <c r="U37" s="42"/>
      <c r="V37" s="42"/>
      <c r="W37" s="42"/>
      <c r="X37" s="42"/>
      <c r="Y37" s="42"/>
      <c r="Z37" s="42"/>
      <c r="AA37" s="42"/>
      <c r="AC37" s="10"/>
      <c r="AD37" s="10"/>
      <c r="AE37" s="10"/>
      <c r="AF37" s="10"/>
      <c r="AH37" s="10"/>
      <c r="AI37" s="10"/>
      <c r="AJ37" s="10"/>
      <c r="AK37" s="10"/>
      <c r="AM37" s="10"/>
      <c r="AN37" s="10"/>
      <c r="AO37" s="10"/>
      <c r="AP37" s="10"/>
    </row>
    <row r="38" spans="2:42">
      <c r="B38" s="5" t="s">
        <v>184</v>
      </c>
      <c r="C38" s="247"/>
      <c r="D38" s="64">
        <f t="shared" si="2"/>
        <v>5.410957038933323</v>
      </c>
      <c r="E38" s="64">
        <f t="shared" si="2"/>
        <v>4.895893420940304</v>
      </c>
      <c r="F38" s="64">
        <f t="shared" si="2"/>
        <v>4.3252495010822969</v>
      </c>
      <c r="G38" s="64">
        <f t="shared" si="2"/>
        <v>3.7846351492189108</v>
      </c>
      <c r="H38" s="17">
        <f t="shared" si="3"/>
        <v>5.2100575988367481E-2</v>
      </c>
      <c r="I38" s="17"/>
      <c r="J38" s="17"/>
      <c r="K38" s="17"/>
      <c r="L38" s="17"/>
      <c r="M38" s="17"/>
      <c r="N38" s="17"/>
      <c r="O38" s="5"/>
      <c r="Q38" s="5"/>
      <c r="R38" s="5"/>
      <c r="S38" s="42"/>
      <c r="T38" s="42"/>
      <c r="U38" s="42"/>
      <c r="V38" s="42"/>
      <c r="W38" s="42"/>
      <c r="X38" s="42"/>
      <c r="Y38" s="42"/>
      <c r="Z38" s="42"/>
      <c r="AA38" s="42"/>
    </row>
    <row r="39" spans="2:42">
      <c r="B39" s="5" t="s">
        <v>185</v>
      </c>
      <c r="C39" s="247"/>
      <c r="D39" s="64">
        <f t="shared" si="2"/>
        <v>9.4014895625729391</v>
      </c>
      <c r="E39" s="64">
        <f t="shared" si="2"/>
        <v>8.1257141265924719</v>
      </c>
      <c r="F39" s="64">
        <f t="shared" si="2"/>
        <v>6.9046540387491486</v>
      </c>
      <c r="G39" s="64">
        <f t="shared" si="2"/>
        <v>5.9878977182280968</v>
      </c>
      <c r="H39" s="17">
        <f t="shared" si="3"/>
        <v>8.5462108298754558E-2</v>
      </c>
      <c r="I39" s="5"/>
      <c r="J39" s="5"/>
      <c r="K39" s="5"/>
      <c r="L39" s="5"/>
      <c r="M39" s="5"/>
      <c r="N39" s="5"/>
      <c r="O39" s="5"/>
      <c r="Q39" s="5"/>
      <c r="R39" s="5"/>
      <c r="S39" s="42"/>
      <c r="T39" s="42"/>
      <c r="U39" s="42"/>
      <c r="V39" s="42"/>
      <c r="W39" s="288"/>
      <c r="X39" s="288"/>
      <c r="Y39" s="42"/>
      <c r="Z39" s="42"/>
      <c r="AA39" s="42"/>
    </row>
    <row r="40" spans="2:42">
      <c r="B40" s="5" t="s">
        <v>466</v>
      </c>
      <c r="C40" s="247"/>
      <c r="D40" s="64">
        <f t="shared" si="2"/>
        <v>11.750204897305654</v>
      </c>
      <c r="E40" s="64">
        <f t="shared" si="2"/>
        <v>10.233905229978822</v>
      </c>
      <c r="F40" s="64">
        <f t="shared" si="2"/>
        <v>8.9634490411779844</v>
      </c>
      <c r="G40" s="64">
        <f t="shared" si="2"/>
        <v>7.9316802112853138</v>
      </c>
      <c r="H40" s="17">
        <f t="shared" si="3"/>
        <v>6.4634781721076617E-2</v>
      </c>
      <c r="I40" s="247"/>
      <c r="J40" s="259"/>
      <c r="K40" s="259"/>
      <c r="L40" s="259"/>
      <c r="M40" s="259"/>
      <c r="N40" s="259"/>
      <c r="O40" s="18"/>
      <c r="Q40" s="5"/>
      <c r="R40" s="5"/>
      <c r="S40" s="42"/>
      <c r="T40" s="42"/>
      <c r="U40" s="42"/>
      <c r="V40" s="42"/>
      <c r="W40" s="288"/>
      <c r="X40" s="288"/>
      <c r="Y40" s="288"/>
      <c r="Z40" s="288"/>
      <c r="AA40" s="42"/>
    </row>
    <row r="41" spans="2:42">
      <c r="B41" s="5" t="s">
        <v>530</v>
      </c>
      <c r="C41" s="247"/>
      <c r="D41" s="64">
        <f t="shared" si="2"/>
        <v>1.8452675851036058</v>
      </c>
      <c r="E41" s="64">
        <f t="shared" si="2"/>
        <v>1.7730353181200462</v>
      </c>
      <c r="F41" s="64">
        <f t="shared" si="2"/>
        <v>1.6572553203995799</v>
      </c>
      <c r="G41" s="64">
        <f t="shared" si="2"/>
        <v>1.5038178651110559</v>
      </c>
      <c r="H41" s="17">
        <f t="shared" si="3"/>
        <v>-1.6437518757150826E-4</v>
      </c>
      <c r="I41" s="248"/>
      <c r="J41" s="17"/>
      <c r="K41" s="17"/>
      <c r="L41" s="17"/>
      <c r="M41" s="17"/>
      <c r="N41" s="17"/>
      <c r="O41" s="5"/>
      <c r="Q41" s="5"/>
      <c r="R41" s="5"/>
      <c r="S41" s="42"/>
      <c r="T41" s="42"/>
      <c r="U41" s="42"/>
      <c r="V41" s="42"/>
      <c r="W41" s="288"/>
      <c r="X41" s="288"/>
      <c r="Y41" s="288"/>
      <c r="Z41" s="288"/>
      <c r="AA41" s="42"/>
    </row>
    <row r="42" spans="2:42">
      <c r="B42" s="5" t="s">
        <v>593</v>
      </c>
      <c r="C42" s="247"/>
      <c r="D42" s="64">
        <f>D18/D28</f>
        <v>1.4224453262374004</v>
      </c>
      <c r="E42" s="64">
        <f>E18/E28</f>
        <v>1.3526818761660755</v>
      </c>
      <c r="F42" s="64">
        <f>F18/F28</f>
        <v>1.2556841877250959</v>
      </c>
      <c r="G42" s="64">
        <f>G18/G28</f>
        <v>1.1313245250649355</v>
      </c>
      <c r="H42" s="17">
        <f t="shared" si="3"/>
        <v>7.9910967777558906E-3</v>
      </c>
      <c r="I42" s="247"/>
      <c r="J42" s="5"/>
      <c r="K42" s="5"/>
      <c r="L42" s="5"/>
      <c r="M42" s="5"/>
      <c r="N42" s="5"/>
      <c r="O42" s="5"/>
      <c r="Q42" s="5"/>
      <c r="R42" s="5"/>
      <c r="S42" s="42"/>
      <c r="T42" s="42"/>
      <c r="U42" s="42"/>
      <c r="V42" s="42"/>
      <c r="W42" s="288"/>
      <c r="X42" s="288"/>
      <c r="Y42" s="288"/>
      <c r="Z42" s="288"/>
      <c r="AA42" s="42"/>
    </row>
    <row r="43" spans="2:42">
      <c r="B43" s="5" t="s">
        <v>475</v>
      </c>
      <c r="C43" s="247"/>
      <c r="D43" s="64">
        <f>L26/D29</f>
        <v>12.198175825942503</v>
      </c>
      <c r="E43" s="64">
        <f>M26/E29</f>
        <v>9.3458936264556165</v>
      </c>
      <c r="F43" s="64">
        <f>N26/F29</f>
        <v>7.6258135361355679</v>
      </c>
      <c r="G43" s="64">
        <f>O26/G29</f>
        <v>6.2032208195897276</v>
      </c>
      <c r="H43" s="17">
        <f t="shared" si="3"/>
        <v>0.20384371568002635</v>
      </c>
      <c r="I43" s="247"/>
      <c r="J43" s="247"/>
      <c r="K43" s="247"/>
      <c r="L43" s="247"/>
      <c r="M43" s="247"/>
      <c r="N43" s="247"/>
      <c r="O43" s="18"/>
      <c r="Q43" s="5"/>
      <c r="R43" s="5"/>
      <c r="S43" s="42"/>
      <c r="T43" s="42"/>
      <c r="U43" s="42"/>
      <c r="V43" s="42"/>
      <c r="W43" s="325"/>
      <c r="X43" s="325"/>
      <c r="Y43" s="288"/>
      <c r="Z43" s="288"/>
      <c r="AA43" s="42"/>
    </row>
    <row r="44" spans="2:42">
      <c r="B44" s="5" t="s">
        <v>533</v>
      </c>
      <c r="C44" s="69"/>
      <c r="D44" s="64">
        <f>D11/D30</f>
        <v>11.611494042146568</v>
      </c>
      <c r="E44" s="64">
        <f>E11/E30</f>
        <v>8.7734417852019941</v>
      </c>
      <c r="F44" s="64">
        <f>F11/F30</f>
        <v>6.5638259943661907</v>
      </c>
      <c r="G44" s="64">
        <f>G11/G30</f>
        <v>5.5476326994737466</v>
      </c>
      <c r="H44" s="17">
        <f t="shared" si="3"/>
        <v>0.26086654067969706</v>
      </c>
      <c r="I44" s="248"/>
      <c r="J44" s="248"/>
      <c r="K44" s="248"/>
      <c r="L44" s="248"/>
      <c r="M44" s="248"/>
      <c r="N44" s="248"/>
      <c r="O44" s="248"/>
      <c r="Q44" s="5"/>
      <c r="R44" s="5"/>
      <c r="S44" s="42"/>
      <c r="T44" s="42"/>
      <c r="U44" s="42"/>
      <c r="V44" s="42"/>
      <c r="W44" s="42"/>
      <c r="X44" s="42"/>
      <c r="Y44" s="325"/>
      <c r="Z44" s="325"/>
      <c r="AA44" s="42"/>
    </row>
    <row r="45" spans="2:42">
      <c r="B45" s="5" t="s">
        <v>580</v>
      </c>
      <c r="C45" s="247"/>
      <c r="D45" s="248">
        <f>D31/D11</f>
        <v>3.6607801523391964E-2</v>
      </c>
      <c r="E45" s="248">
        <f>E31/E11</f>
        <v>5.220008637227537E-2</v>
      </c>
      <c r="F45" s="248">
        <f>F31/F11</f>
        <v>6.1185872972349648E-2</v>
      </c>
      <c r="G45" s="248">
        <f>G31/G11</f>
        <v>6.5823217763140832E-2</v>
      </c>
      <c r="H45" s="17">
        <f t="shared" si="3"/>
        <v>0.19860882859561735</v>
      </c>
      <c r="I45" s="247"/>
      <c r="J45" s="247"/>
      <c r="K45" s="247"/>
      <c r="L45" s="247"/>
      <c r="M45" s="247"/>
      <c r="N45" s="247"/>
      <c r="O45" s="248"/>
      <c r="Q45" s="5"/>
      <c r="R45" s="5"/>
      <c r="S45" s="42"/>
      <c r="T45" s="42"/>
      <c r="U45" s="42"/>
      <c r="V45" s="42"/>
      <c r="W45" s="42"/>
      <c r="X45" s="42"/>
      <c r="Y45" s="42"/>
      <c r="Z45" s="42"/>
      <c r="AA45" s="326"/>
      <c r="AB45" s="303"/>
    </row>
    <row r="46" spans="2:42">
      <c r="B46" s="5" t="s">
        <v>605</v>
      </c>
      <c r="C46" s="247"/>
      <c r="D46" s="248">
        <f>(D31+D32)/D11</f>
        <v>3.6607801523391964E-2</v>
      </c>
      <c r="E46" s="248">
        <f>(E31+E32)/E11</f>
        <v>5.220008637227537E-2</v>
      </c>
      <c r="F46" s="248">
        <f>(F31+F32)/F11</f>
        <v>6.1661667551027928E-2</v>
      </c>
      <c r="G46" s="248">
        <f>(G31+G32)/G11</f>
        <v>6.7253522322466938E-2</v>
      </c>
      <c r="H46" s="279">
        <f>((G31+G32)/(D31+D32))^(1/3)-1</f>
        <v>0.20722841094750266</v>
      </c>
      <c r="I46" s="17"/>
      <c r="J46" s="247"/>
      <c r="K46" s="247"/>
      <c r="L46" s="247"/>
      <c r="M46" s="247"/>
      <c r="N46" s="247"/>
      <c r="O46" s="18"/>
      <c r="Q46" s="5"/>
      <c r="R46" s="5"/>
      <c r="S46" s="42"/>
      <c r="T46" s="42"/>
      <c r="U46" s="42"/>
      <c r="V46" s="42"/>
      <c r="W46" s="42"/>
      <c r="X46" s="42"/>
      <c r="Y46" s="42"/>
      <c r="Z46" s="42"/>
      <c r="AA46" s="326"/>
      <c r="AB46" s="303"/>
    </row>
    <row r="47" spans="2:42">
      <c r="B47" s="5" t="s">
        <v>581</v>
      </c>
      <c r="C47" s="5"/>
      <c r="D47" s="248">
        <f>1/D43</f>
        <v>8.1979470887216382E-2</v>
      </c>
      <c r="E47" s="248">
        <f>1/E43</f>
        <v>0.10699886388277298</v>
      </c>
      <c r="F47" s="248">
        <f>1/F43</f>
        <v>0.13113354991718781</v>
      </c>
      <c r="G47" s="248">
        <f>1/G43</f>
        <v>0.16120657785420231</v>
      </c>
      <c r="H47" s="17">
        <f>H29</f>
        <v>0.20384371568002635</v>
      </c>
      <c r="I47" s="247"/>
      <c r="J47" s="248"/>
      <c r="K47" s="248"/>
      <c r="L47" s="248"/>
      <c r="M47" s="248"/>
      <c r="N47" s="248"/>
      <c r="O47" s="248"/>
      <c r="Q47" s="5"/>
      <c r="R47" s="5"/>
      <c r="S47" s="5"/>
      <c r="T47" s="5"/>
      <c r="U47" s="5"/>
      <c r="AA47" s="303"/>
      <c r="AB47" s="303"/>
    </row>
    <row r="48" spans="2:42">
      <c r="B48" s="5" t="s">
        <v>618</v>
      </c>
      <c r="C48" s="5"/>
      <c r="D48" s="305">
        <f>D31/D29</f>
        <v>0.35102265274711397</v>
      </c>
      <c r="E48" s="305">
        <f>E31/E29</f>
        <v>0.3806830741352234</v>
      </c>
      <c r="F48" s="305">
        <f>F31/F29</f>
        <v>0.35990941341841803</v>
      </c>
      <c r="G48" s="305">
        <f>G31/G29</f>
        <v>0.34646329449020286</v>
      </c>
      <c r="H48" s="17" t="s">
        <v>607</v>
      </c>
      <c r="I48" s="259"/>
      <c r="J48" s="247"/>
      <c r="K48" s="247"/>
      <c r="L48" s="247"/>
      <c r="M48" s="247"/>
      <c r="N48" s="247"/>
      <c r="O48" s="248"/>
      <c r="Q48" s="5"/>
      <c r="R48" s="5"/>
      <c r="S48" s="5"/>
      <c r="T48" s="5"/>
      <c r="U48" s="5"/>
      <c r="AA48" s="303"/>
      <c r="AB48" s="303"/>
    </row>
    <row r="49" spans="2:28">
      <c r="B49" s="41"/>
      <c r="C49" s="17"/>
      <c r="D49" s="17"/>
      <c r="E49" s="17"/>
      <c r="F49" s="17"/>
      <c r="G49" s="17"/>
      <c r="H49" s="17"/>
      <c r="I49" s="17"/>
      <c r="J49" s="17"/>
      <c r="K49" s="17"/>
      <c r="L49" s="17"/>
      <c r="M49" s="17"/>
      <c r="N49" s="17"/>
      <c r="O49" s="248"/>
      <c r="Q49" s="5"/>
      <c r="R49" s="5"/>
      <c r="S49" s="5"/>
      <c r="T49" s="5"/>
      <c r="U49" s="5"/>
      <c r="W49" s="10"/>
      <c r="X49" s="10"/>
      <c r="AA49" s="303"/>
      <c r="AB49" s="303"/>
    </row>
    <row r="50" spans="2:28">
      <c r="B50" s="5"/>
      <c r="C50" s="257"/>
      <c r="D50" s="257"/>
      <c r="E50" s="257"/>
      <c r="F50" s="5"/>
      <c r="G50" s="41"/>
      <c r="H50" s="249"/>
      <c r="I50" s="259"/>
      <c r="J50" s="249"/>
      <c r="K50" s="249"/>
      <c r="L50" s="249"/>
      <c r="M50" s="249"/>
      <c r="N50" s="249"/>
      <c r="O50" s="250"/>
      <c r="Q50" s="5"/>
      <c r="R50" s="5"/>
      <c r="S50" s="5"/>
      <c r="T50" s="5"/>
      <c r="U50" s="5"/>
      <c r="W50" s="10"/>
      <c r="X50" s="10"/>
      <c r="Y50" s="10"/>
      <c r="Z50" s="10"/>
    </row>
    <row r="51" spans="2:28">
      <c r="B51" s="41"/>
      <c r="C51" s="249"/>
      <c r="D51" s="254"/>
      <c r="E51" s="254"/>
      <c r="F51" s="254"/>
      <c r="G51" s="254"/>
      <c r="H51" s="254"/>
      <c r="I51" s="254"/>
      <c r="J51" s="17"/>
      <c r="K51" s="17"/>
      <c r="L51" s="17"/>
      <c r="M51" s="17"/>
      <c r="N51" s="17"/>
      <c r="O51" s="248"/>
      <c r="Q51" s="5"/>
      <c r="R51" s="5"/>
      <c r="S51" s="5"/>
      <c r="T51" s="5"/>
      <c r="U51" s="5"/>
      <c r="Y51" s="10"/>
      <c r="Z51" s="10"/>
    </row>
    <row r="52" spans="2:28">
      <c r="B52" s="5"/>
      <c r="C52" s="257"/>
      <c r="D52" s="17"/>
      <c r="E52" s="17"/>
      <c r="F52" s="17"/>
      <c r="G52" s="17"/>
      <c r="H52" s="17"/>
      <c r="I52" s="17"/>
      <c r="J52" s="259"/>
      <c r="K52" s="259"/>
      <c r="L52" s="259"/>
      <c r="M52" s="259"/>
      <c r="N52" s="259"/>
      <c r="O52" s="18"/>
      <c r="Q52" s="5"/>
      <c r="R52" s="5"/>
      <c r="S52" s="5"/>
      <c r="T52" s="5"/>
      <c r="U52" s="5"/>
    </row>
    <row r="53" spans="2:28">
      <c r="B53" s="5"/>
      <c r="C53" s="257"/>
      <c r="D53" s="257"/>
      <c r="E53" s="257"/>
      <c r="F53" s="5"/>
      <c r="G53" s="5"/>
      <c r="H53" s="259"/>
      <c r="I53" s="259"/>
      <c r="J53" s="254"/>
      <c r="K53" s="254"/>
      <c r="L53" s="254"/>
      <c r="M53" s="254"/>
      <c r="N53" s="254"/>
      <c r="O53" s="251"/>
      <c r="Q53" s="5"/>
      <c r="R53" s="5"/>
      <c r="S53" s="5"/>
      <c r="T53" s="5"/>
      <c r="U53" s="5"/>
    </row>
    <row r="54" spans="2:28">
      <c r="B54" s="41"/>
      <c r="C54" s="249"/>
      <c r="D54" s="254"/>
      <c r="E54" s="254"/>
      <c r="F54" s="254"/>
      <c r="G54" s="254"/>
      <c r="H54" s="254"/>
      <c r="I54" s="249"/>
      <c r="J54" s="17"/>
      <c r="K54" s="17"/>
      <c r="L54" s="17"/>
      <c r="M54" s="17"/>
      <c r="N54" s="17"/>
      <c r="O54" s="18"/>
      <c r="Q54" s="5"/>
      <c r="R54" s="5"/>
      <c r="S54" s="5"/>
      <c r="T54" s="5"/>
      <c r="U54" s="5"/>
    </row>
    <row r="55" spans="2:28">
      <c r="B55" s="5"/>
      <c r="C55" s="257"/>
      <c r="D55" s="17"/>
      <c r="E55" s="17"/>
      <c r="F55" s="17"/>
      <c r="G55" s="17"/>
      <c r="H55" s="17"/>
      <c r="I55" s="248"/>
      <c r="J55" s="259"/>
      <c r="K55" s="259"/>
      <c r="L55" s="259"/>
      <c r="M55" s="259"/>
      <c r="N55" s="259"/>
      <c r="O55" s="18"/>
      <c r="Q55" s="5"/>
      <c r="R55" s="5"/>
      <c r="S55" s="5"/>
      <c r="T55" s="5"/>
      <c r="U55" s="5"/>
    </row>
    <row r="56" spans="2:28">
      <c r="B56" s="5"/>
      <c r="C56" s="248"/>
      <c r="D56" s="248"/>
      <c r="E56" s="248"/>
      <c r="F56" s="5"/>
      <c r="G56" s="5"/>
      <c r="H56" s="259"/>
      <c r="I56" s="5"/>
      <c r="J56" s="249"/>
      <c r="K56" s="249"/>
      <c r="L56" s="249"/>
      <c r="M56" s="249"/>
      <c r="N56" s="249"/>
      <c r="O56" s="251"/>
      <c r="Q56" s="5"/>
      <c r="R56" s="5"/>
      <c r="S56" s="5"/>
      <c r="T56" s="5"/>
      <c r="U56" s="5"/>
    </row>
    <row r="57" spans="2:28">
      <c r="B57" s="41"/>
      <c r="C57" s="249"/>
      <c r="D57" s="249"/>
      <c r="E57" s="249"/>
      <c r="F57" s="249"/>
      <c r="G57" s="249"/>
      <c r="H57" s="249"/>
      <c r="I57" s="17"/>
      <c r="J57" s="248"/>
      <c r="K57" s="248"/>
      <c r="L57" s="248"/>
      <c r="M57" s="248"/>
      <c r="N57" s="248"/>
      <c r="O57" s="18"/>
      <c r="Q57" s="5"/>
      <c r="R57" s="5"/>
      <c r="S57" s="5"/>
      <c r="T57" s="5"/>
      <c r="U57" s="5"/>
    </row>
    <row r="58" spans="2:28">
      <c r="B58" s="5"/>
      <c r="C58" s="5"/>
      <c r="D58" s="248"/>
      <c r="E58" s="248"/>
      <c r="F58" s="248"/>
      <c r="G58" s="248"/>
      <c r="H58" s="248"/>
      <c r="I58" s="5"/>
      <c r="J58" s="5"/>
      <c r="K58" s="5"/>
      <c r="L58" s="5"/>
      <c r="M58" s="5"/>
      <c r="N58" s="5"/>
      <c r="O58" s="5"/>
      <c r="Q58" s="5"/>
      <c r="R58" s="5"/>
      <c r="S58" s="5"/>
      <c r="T58" s="5"/>
      <c r="U58" s="5"/>
    </row>
    <row r="59" spans="2:28">
      <c r="B59" s="5"/>
      <c r="C59" s="5"/>
      <c r="D59" s="5"/>
      <c r="E59" s="5"/>
      <c r="F59" s="5"/>
      <c r="G59" s="5"/>
      <c r="H59" s="5"/>
      <c r="I59" s="249"/>
      <c r="J59" s="17"/>
      <c r="K59" s="17"/>
      <c r="L59" s="17"/>
      <c r="M59" s="17"/>
      <c r="N59" s="17"/>
      <c r="O59" s="251"/>
      <c r="Q59" s="5"/>
      <c r="R59" s="5"/>
      <c r="S59" s="5"/>
      <c r="T59" s="5"/>
      <c r="U59" s="5"/>
    </row>
    <row r="60" spans="2:28">
      <c r="B60" s="41"/>
      <c r="C60" s="17"/>
      <c r="D60" s="17"/>
      <c r="E60" s="17"/>
      <c r="F60" s="17"/>
      <c r="G60" s="17"/>
      <c r="H60" s="17"/>
      <c r="I60" s="5"/>
      <c r="J60" s="5"/>
      <c r="K60" s="5"/>
      <c r="L60" s="5"/>
      <c r="M60" s="5"/>
      <c r="N60" s="5"/>
      <c r="O60" s="5"/>
      <c r="Q60" s="41"/>
      <c r="R60" s="5"/>
      <c r="S60" s="5"/>
      <c r="T60" s="5"/>
      <c r="U60" s="5"/>
    </row>
    <row r="61" spans="2:28">
      <c r="B61" s="5"/>
      <c r="C61" s="5"/>
      <c r="D61" s="5"/>
      <c r="E61" s="5"/>
      <c r="F61" s="5"/>
      <c r="G61" s="5"/>
      <c r="H61" s="5"/>
      <c r="I61" s="5"/>
      <c r="J61" s="249"/>
      <c r="K61" s="249"/>
      <c r="L61" s="249"/>
      <c r="M61" s="249"/>
      <c r="N61" s="249"/>
      <c r="O61" s="251"/>
      <c r="Q61" s="5"/>
      <c r="R61" s="5"/>
      <c r="S61" s="5"/>
      <c r="T61" s="5"/>
      <c r="U61" s="5"/>
    </row>
    <row r="62" spans="2:28">
      <c r="B62" s="41"/>
      <c r="C62" s="249"/>
      <c r="D62" s="249"/>
      <c r="E62" s="249"/>
      <c r="F62" s="249"/>
      <c r="G62" s="249"/>
      <c r="H62" s="249"/>
      <c r="I62" s="254"/>
      <c r="J62" s="5"/>
      <c r="K62" s="5"/>
      <c r="L62" s="5"/>
      <c r="M62" s="5"/>
      <c r="N62" s="5"/>
      <c r="O62" s="5"/>
      <c r="Q62" s="5"/>
      <c r="R62" s="5"/>
      <c r="S62" s="5"/>
      <c r="T62" s="5"/>
      <c r="U62" s="5"/>
    </row>
    <row r="63" spans="2:28">
      <c r="B63" s="5"/>
      <c r="C63" s="5"/>
      <c r="D63" s="5"/>
      <c r="E63" s="5"/>
      <c r="F63" s="5"/>
      <c r="G63" s="5"/>
      <c r="H63" s="5"/>
      <c r="I63" s="17"/>
      <c r="J63" s="5"/>
      <c r="K63" s="5"/>
      <c r="L63" s="5"/>
      <c r="M63" s="5"/>
      <c r="N63" s="5"/>
      <c r="O63" s="5"/>
      <c r="Q63" s="5"/>
      <c r="R63" s="5"/>
      <c r="S63" s="5"/>
      <c r="T63" s="5"/>
      <c r="U63" s="5"/>
    </row>
    <row r="64" spans="2:28">
      <c r="B64" s="5"/>
      <c r="C64" s="5"/>
      <c r="D64" s="5"/>
      <c r="E64" s="5"/>
      <c r="F64" s="5"/>
      <c r="G64" s="5"/>
      <c r="H64" s="5"/>
      <c r="I64" s="254"/>
      <c r="J64" s="254"/>
      <c r="K64" s="254"/>
      <c r="L64" s="254"/>
      <c r="M64" s="254"/>
      <c r="N64" s="254"/>
      <c r="O64" s="251"/>
      <c r="Q64" s="5"/>
      <c r="R64" s="5"/>
      <c r="S64" s="5"/>
      <c r="T64" s="5"/>
      <c r="U64" s="5"/>
    </row>
    <row r="65" spans="2:26">
      <c r="B65" s="41"/>
      <c r="C65" s="249"/>
      <c r="D65" s="254"/>
      <c r="E65" s="254"/>
      <c r="F65" s="254"/>
      <c r="G65" s="254"/>
      <c r="H65" s="254"/>
      <c r="I65" s="248"/>
      <c r="J65" s="17"/>
      <c r="K65" s="17"/>
      <c r="L65" s="17"/>
      <c r="M65" s="17"/>
      <c r="N65" s="17"/>
      <c r="O65" s="5"/>
      <c r="Q65" s="5"/>
      <c r="R65" s="5"/>
      <c r="S65" s="5"/>
      <c r="T65" s="5"/>
      <c r="U65" s="5"/>
    </row>
    <row r="66" spans="2:26">
      <c r="B66" s="5"/>
      <c r="C66" s="5"/>
      <c r="D66" s="17"/>
      <c r="E66" s="17"/>
      <c r="F66" s="17"/>
      <c r="G66" s="17"/>
      <c r="H66" s="17"/>
      <c r="I66" s="5"/>
      <c r="J66" s="254"/>
      <c r="K66" s="254"/>
      <c r="L66" s="254"/>
      <c r="M66" s="254"/>
      <c r="N66" s="254"/>
      <c r="O66" s="251"/>
      <c r="Q66" s="41"/>
      <c r="R66" s="5"/>
      <c r="S66" s="5"/>
      <c r="T66" s="5"/>
      <c r="U66" s="5"/>
    </row>
    <row r="67" spans="2:26">
      <c r="B67" s="41"/>
      <c r="C67" s="249"/>
      <c r="D67" s="254"/>
      <c r="E67" s="254"/>
      <c r="F67" s="254"/>
      <c r="G67" s="254"/>
      <c r="H67" s="254"/>
      <c r="I67" s="245"/>
      <c r="J67" s="248"/>
      <c r="K67" s="248"/>
      <c r="L67" s="248"/>
      <c r="M67" s="248"/>
      <c r="N67" s="248"/>
      <c r="O67" s="5"/>
      <c r="Q67" s="5"/>
      <c r="R67" s="5"/>
      <c r="S67" s="5"/>
      <c r="T67" s="5"/>
      <c r="U67" s="5"/>
    </row>
    <row r="68" spans="2:26">
      <c r="B68" s="5"/>
      <c r="C68" s="5"/>
      <c r="D68" s="248"/>
      <c r="E68" s="248"/>
      <c r="F68" s="248"/>
      <c r="G68" s="248"/>
      <c r="H68" s="248"/>
      <c r="I68" s="248"/>
      <c r="J68" s="5"/>
      <c r="K68" s="5"/>
      <c r="L68" s="5"/>
      <c r="M68" s="5"/>
      <c r="N68" s="5"/>
      <c r="O68" s="5"/>
      <c r="Q68" s="5"/>
      <c r="R68" s="5"/>
      <c r="S68" s="5"/>
      <c r="T68" s="5"/>
      <c r="U68" s="5"/>
    </row>
    <row r="69" spans="2:26">
      <c r="B69" s="41"/>
      <c r="C69" s="5"/>
      <c r="D69" s="5"/>
      <c r="E69" s="5"/>
      <c r="F69" s="5"/>
      <c r="G69" s="5"/>
      <c r="H69" s="5"/>
      <c r="I69" s="5"/>
      <c r="J69" s="245"/>
      <c r="K69" s="245"/>
      <c r="L69" s="245"/>
      <c r="M69" s="245"/>
      <c r="N69" s="245"/>
      <c r="O69" s="251"/>
      <c r="Q69" s="5"/>
      <c r="R69" s="5"/>
      <c r="S69" s="5"/>
      <c r="T69" s="5"/>
      <c r="U69" s="5"/>
      <c r="W69" s="76"/>
      <c r="X69" s="76"/>
    </row>
    <row r="70" spans="2:26">
      <c r="B70" s="41"/>
      <c r="C70" s="245"/>
      <c r="D70" s="245"/>
      <c r="E70" s="245"/>
      <c r="F70" s="245"/>
      <c r="G70" s="245"/>
      <c r="H70" s="245"/>
      <c r="I70" s="245"/>
      <c r="J70" s="248"/>
      <c r="K70" s="248"/>
      <c r="L70" s="248"/>
      <c r="M70" s="248"/>
      <c r="N70" s="248"/>
      <c r="O70" s="5"/>
      <c r="Q70" s="5"/>
      <c r="R70" s="5"/>
      <c r="S70" s="5"/>
      <c r="T70" s="5"/>
      <c r="U70" s="5"/>
      <c r="W70" s="76"/>
      <c r="X70" s="76"/>
      <c r="Y70" s="76"/>
      <c r="Z70" s="76"/>
    </row>
    <row r="71" spans="2:26">
      <c r="B71" s="5"/>
      <c r="C71" s="5"/>
      <c r="D71" s="248"/>
      <c r="E71" s="248"/>
      <c r="F71" s="248"/>
      <c r="G71" s="248"/>
      <c r="H71" s="248"/>
      <c r="I71" s="18"/>
      <c r="J71" s="5"/>
      <c r="K71" s="5"/>
      <c r="L71" s="5"/>
      <c r="M71" s="5"/>
      <c r="N71" s="5"/>
      <c r="O71" s="5"/>
      <c r="Q71" s="5"/>
      <c r="R71" s="5"/>
      <c r="S71" s="5"/>
      <c r="T71" s="5"/>
      <c r="U71" s="5"/>
      <c r="Y71" s="76"/>
      <c r="Z71" s="76"/>
    </row>
    <row r="72" spans="2:26">
      <c r="B72" s="41"/>
      <c r="C72" s="5"/>
      <c r="D72" s="5"/>
      <c r="E72" s="5"/>
      <c r="F72" s="5"/>
      <c r="G72" s="5"/>
      <c r="H72" s="5"/>
      <c r="I72" s="5"/>
      <c r="J72" s="245"/>
      <c r="K72" s="245"/>
      <c r="L72" s="245"/>
      <c r="M72" s="245"/>
      <c r="N72" s="245"/>
      <c r="O72" s="251"/>
      <c r="Q72" s="5"/>
      <c r="R72" s="5"/>
      <c r="S72" s="5"/>
      <c r="T72" s="5"/>
      <c r="U72" s="5"/>
    </row>
    <row r="73" spans="2:26">
      <c r="B73" s="41"/>
      <c r="C73" s="245"/>
      <c r="D73" s="245"/>
      <c r="E73" s="245"/>
      <c r="F73" s="245"/>
      <c r="G73" s="245"/>
      <c r="H73" s="245"/>
      <c r="I73" s="249"/>
      <c r="J73" s="18"/>
      <c r="K73" s="18"/>
      <c r="L73" s="18"/>
      <c r="M73" s="18"/>
      <c r="N73" s="18"/>
      <c r="O73" s="5"/>
      <c r="Q73" s="5"/>
      <c r="R73" s="5"/>
      <c r="S73" s="5"/>
      <c r="T73" s="5"/>
      <c r="U73" s="5"/>
    </row>
    <row r="74" spans="2:26">
      <c r="B74" s="5"/>
      <c r="C74" s="5"/>
      <c r="D74" s="18"/>
      <c r="E74" s="18"/>
      <c r="F74" s="18"/>
      <c r="G74" s="18"/>
      <c r="H74" s="18"/>
      <c r="I74" s="248"/>
      <c r="J74" s="5"/>
      <c r="K74" s="5"/>
      <c r="L74" s="5"/>
      <c r="M74" s="5"/>
      <c r="N74" s="5"/>
      <c r="O74" s="5"/>
      <c r="Q74" s="5"/>
      <c r="R74" s="5"/>
      <c r="S74" s="5"/>
      <c r="T74" s="5"/>
      <c r="U74" s="5"/>
    </row>
    <row r="75" spans="2:26">
      <c r="B75" s="41"/>
      <c r="C75" s="5"/>
      <c r="D75" s="5"/>
      <c r="E75" s="5"/>
      <c r="F75" s="5"/>
      <c r="G75" s="5"/>
      <c r="H75" s="5"/>
      <c r="I75" s="5"/>
      <c r="J75" s="249"/>
      <c r="K75" s="249"/>
      <c r="L75" s="249"/>
      <c r="M75" s="249"/>
      <c r="N75" s="249"/>
      <c r="O75" s="251"/>
      <c r="Q75" s="5"/>
      <c r="R75" s="5"/>
      <c r="S75" s="5"/>
      <c r="T75" s="5"/>
      <c r="U75" s="5"/>
    </row>
    <row r="76" spans="2:26">
      <c r="B76" s="41"/>
      <c r="C76" s="249"/>
      <c r="D76" s="249"/>
      <c r="E76" s="249"/>
      <c r="F76" s="249"/>
      <c r="G76" s="249"/>
      <c r="H76" s="249"/>
      <c r="I76" s="245"/>
      <c r="J76" s="248"/>
      <c r="K76" s="248"/>
      <c r="L76" s="248"/>
      <c r="M76" s="248"/>
      <c r="N76" s="248"/>
      <c r="O76" s="5"/>
      <c r="Q76" s="5"/>
      <c r="R76" s="5"/>
      <c r="S76" s="5"/>
      <c r="T76" s="5"/>
      <c r="U76" s="5"/>
    </row>
    <row r="77" spans="2:26">
      <c r="B77" s="5"/>
      <c r="C77" s="5"/>
      <c r="D77" s="248"/>
      <c r="E77" s="248"/>
      <c r="F77" s="248"/>
      <c r="G77" s="248"/>
      <c r="H77" s="248"/>
      <c r="I77" s="248"/>
      <c r="J77" s="5"/>
      <c r="K77" s="5"/>
      <c r="L77" s="5"/>
      <c r="M77" s="5"/>
      <c r="N77" s="5"/>
      <c r="O77" s="5"/>
      <c r="Q77" s="5"/>
      <c r="R77" s="5"/>
      <c r="S77" s="5"/>
      <c r="T77" s="5"/>
      <c r="U77" s="5"/>
    </row>
    <row r="78" spans="2:26">
      <c r="B78" s="41"/>
      <c r="C78" s="5"/>
      <c r="D78" s="5"/>
      <c r="E78" s="5"/>
      <c r="F78" s="5"/>
      <c r="G78" s="5"/>
      <c r="H78" s="5"/>
      <c r="I78" s="5"/>
      <c r="J78" s="245"/>
      <c r="K78" s="245"/>
      <c r="L78" s="245"/>
      <c r="M78" s="245"/>
      <c r="N78" s="245"/>
      <c r="O78" s="251"/>
      <c r="Q78" s="5"/>
      <c r="R78" s="5"/>
      <c r="S78" s="5"/>
      <c r="T78" s="5"/>
      <c r="U78" s="5"/>
    </row>
    <row r="79" spans="2:26">
      <c r="B79" s="41"/>
      <c r="C79" s="245"/>
      <c r="D79" s="245"/>
      <c r="E79" s="245"/>
      <c r="F79" s="245"/>
      <c r="G79" s="245"/>
      <c r="H79" s="245"/>
      <c r="I79" s="249"/>
      <c r="J79" s="248"/>
      <c r="K79" s="248"/>
      <c r="L79" s="248"/>
      <c r="M79" s="248"/>
      <c r="N79" s="248"/>
      <c r="O79" s="5"/>
      <c r="Q79" s="5"/>
      <c r="R79" s="5"/>
      <c r="S79" s="5"/>
      <c r="T79" s="5"/>
      <c r="U79" s="5"/>
    </row>
    <row r="80" spans="2:26">
      <c r="B80" s="5"/>
      <c r="C80" s="5"/>
      <c r="D80" s="248"/>
      <c r="E80" s="248"/>
      <c r="F80" s="248"/>
      <c r="G80" s="248"/>
      <c r="H80" s="248"/>
      <c r="I80" s="248"/>
      <c r="J80" s="5"/>
      <c r="K80" s="5"/>
      <c r="L80" s="5"/>
      <c r="M80" s="5"/>
      <c r="N80" s="5"/>
      <c r="O80" s="5"/>
      <c r="Q80" s="5"/>
      <c r="R80" s="5"/>
      <c r="S80" s="5"/>
      <c r="T80" s="5"/>
      <c r="U80" s="5"/>
    </row>
    <row r="81" spans="2:26">
      <c r="B81" s="41"/>
      <c r="C81" s="5"/>
      <c r="D81" s="5"/>
      <c r="E81" s="5"/>
      <c r="F81" s="5"/>
      <c r="G81" s="5"/>
      <c r="H81" s="5"/>
      <c r="I81" s="259"/>
      <c r="J81" s="249"/>
      <c r="K81" s="249"/>
      <c r="L81" s="249"/>
      <c r="M81" s="249"/>
      <c r="N81" s="249"/>
      <c r="O81" s="251"/>
      <c r="Q81" s="5"/>
      <c r="R81" s="5"/>
      <c r="S81" s="5"/>
      <c r="T81" s="5"/>
      <c r="U81" s="5"/>
    </row>
    <row r="82" spans="2:26">
      <c r="B82" s="41"/>
      <c r="C82" s="249"/>
      <c r="D82" s="249"/>
      <c r="E82" s="249"/>
      <c r="F82" s="249"/>
      <c r="G82" s="249"/>
      <c r="H82" s="249"/>
      <c r="I82" s="5"/>
      <c r="J82" s="248"/>
      <c r="K82" s="248"/>
      <c r="L82" s="248"/>
      <c r="M82" s="248"/>
      <c r="N82" s="248"/>
      <c r="O82" s="5"/>
      <c r="Q82" s="5"/>
      <c r="R82" s="5"/>
      <c r="S82" s="5"/>
      <c r="T82" s="5"/>
      <c r="U82" s="5"/>
    </row>
    <row r="83" spans="2:26">
      <c r="B83" s="5"/>
      <c r="C83" s="5"/>
      <c r="D83" s="248"/>
      <c r="E83" s="248"/>
      <c r="F83" s="248"/>
      <c r="G83" s="248"/>
      <c r="H83" s="248"/>
      <c r="I83" s="245"/>
      <c r="J83" s="259"/>
      <c r="K83" s="259"/>
      <c r="L83" s="259"/>
      <c r="M83" s="259"/>
      <c r="N83" s="259"/>
      <c r="O83" s="251"/>
      <c r="Q83" s="5"/>
      <c r="R83" s="5"/>
      <c r="S83" s="5"/>
      <c r="T83" s="5"/>
      <c r="U83" s="5"/>
    </row>
    <row r="84" spans="2:26">
      <c r="B84" s="5"/>
      <c r="C84" s="259"/>
      <c r="D84" s="259"/>
      <c r="E84" s="259"/>
      <c r="F84" s="259"/>
      <c r="G84" s="259"/>
      <c r="H84" s="259"/>
      <c r="I84" s="248"/>
      <c r="J84" s="5"/>
      <c r="K84" s="5"/>
      <c r="L84" s="5"/>
      <c r="M84" s="5"/>
      <c r="N84" s="5"/>
      <c r="O84" s="5"/>
      <c r="Q84" s="5"/>
      <c r="R84" s="5"/>
      <c r="S84" s="5"/>
      <c r="T84" s="5"/>
      <c r="U84" s="5"/>
    </row>
    <row r="85" spans="2:26">
      <c r="B85" s="41"/>
      <c r="C85" s="5"/>
      <c r="D85" s="5"/>
      <c r="E85" s="5"/>
      <c r="F85" s="5"/>
      <c r="G85" s="5"/>
      <c r="H85" s="5"/>
      <c r="I85" s="5"/>
      <c r="J85" s="245"/>
      <c r="K85" s="245"/>
      <c r="L85" s="245"/>
      <c r="M85" s="245"/>
      <c r="N85" s="245"/>
      <c r="O85" s="251"/>
      <c r="Q85" s="5"/>
      <c r="R85" s="5"/>
      <c r="S85" s="5"/>
      <c r="T85" s="5"/>
      <c r="U85" s="5"/>
    </row>
    <row r="86" spans="2:26">
      <c r="B86" s="41"/>
      <c r="C86" s="245"/>
      <c r="D86" s="245"/>
      <c r="E86" s="245"/>
      <c r="F86" s="245"/>
      <c r="G86" s="245"/>
      <c r="H86" s="245"/>
      <c r="I86" s="5"/>
      <c r="J86" s="248"/>
      <c r="K86" s="248"/>
      <c r="L86" s="248"/>
      <c r="M86" s="248"/>
      <c r="N86" s="248"/>
      <c r="O86" s="5"/>
      <c r="Q86" s="5"/>
      <c r="R86" s="5"/>
      <c r="S86" s="5"/>
      <c r="T86" s="5"/>
      <c r="U86" s="5"/>
    </row>
    <row r="87" spans="2:26">
      <c r="B87" s="5"/>
      <c r="C87" s="5"/>
      <c r="D87" s="248"/>
      <c r="E87" s="248"/>
      <c r="F87" s="248"/>
      <c r="G87" s="248"/>
      <c r="H87" s="248"/>
      <c r="I87" s="5"/>
      <c r="J87" s="5"/>
      <c r="K87" s="5"/>
      <c r="L87" s="5"/>
      <c r="M87" s="5"/>
      <c r="N87" s="5"/>
      <c r="O87" s="5"/>
      <c r="Q87" s="5"/>
      <c r="R87" s="5"/>
      <c r="S87" s="5"/>
      <c r="T87" s="5"/>
      <c r="U87" s="5"/>
    </row>
    <row r="88" spans="2:26">
      <c r="B88" s="41"/>
      <c r="C88" s="5"/>
      <c r="D88" s="5"/>
      <c r="E88" s="5"/>
      <c r="F88" s="5"/>
      <c r="G88" s="5"/>
      <c r="H88" s="5"/>
      <c r="I88" s="5"/>
      <c r="J88" s="5"/>
      <c r="K88" s="5"/>
      <c r="L88" s="5"/>
      <c r="M88" s="5"/>
      <c r="N88" s="5"/>
      <c r="O88" s="5"/>
      <c r="Q88" s="5"/>
      <c r="R88" s="5"/>
      <c r="S88" s="5"/>
      <c r="T88" s="5"/>
      <c r="U88" s="5"/>
    </row>
    <row r="89" spans="2:26">
      <c r="B89" s="41"/>
      <c r="C89" s="5"/>
      <c r="D89" s="5"/>
      <c r="E89" s="5"/>
      <c r="F89" s="5"/>
      <c r="G89" s="5"/>
      <c r="H89" s="5"/>
      <c r="I89" s="49"/>
      <c r="J89" s="5"/>
      <c r="K89" s="5"/>
      <c r="L89" s="5"/>
      <c r="M89" s="5"/>
      <c r="N89" s="5"/>
      <c r="O89" s="5"/>
      <c r="Q89" s="41"/>
      <c r="R89" s="5"/>
      <c r="S89" s="5"/>
      <c r="T89" s="5"/>
      <c r="U89" s="5"/>
    </row>
    <row r="90" spans="2:26">
      <c r="B90" s="41"/>
      <c r="C90" s="5"/>
      <c r="D90" s="5"/>
      <c r="E90" s="5"/>
      <c r="F90" s="5"/>
      <c r="G90" s="5"/>
      <c r="H90" s="5"/>
      <c r="I90" s="5"/>
      <c r="J90" s="5"/>
      <c r="K90" s="5"/>
      <c r="L90" s="5"/>
      <c r="M90" s="5"/>
      <c r="N90" s="5"/>
      <c r="O90" s="5"/>
      <c r="Q90" s="5"/>
      <c r="R90" s="5"/>
      <c r="S90" s="5"/>
      <c r="T90" s="5"/>
      <c r="U90" s="5"/>
    </row>
    <row r="91" spans="2:26">
      <c r="B91" s="5"/>
      <c r="C91" s="5"/>
      <c r="D91" s="5"/>
      <c r="E91" s="5"/>
      <c r="F91" s="5"/>
      <c r="G91" s="5"/>
      <c r="H91" s="5"/>
      <c r="I91" s="247"/>
      <c r="J91" s="49"/>
      <c r="K91" s="49"/>
      <c r="L91" s="49"/>
      <c r="M91" s="49"/>
      <c r="N91" s="49"/>
      <c r="O91" s="49"/>
      <c r="Q91" s="5"/>
      <c r="R91" s="5"/>
      <c r="S91" s="5"/>
      <c r="T91" s="5"/>
      <c r="U91" s="5"/>
      <c r="W91" s="21"/>
      <c r="X91" s="21"/>
    </row>
    <row r="92" spans="2:26">
      <c r="B92" s="41"/>
      <c r="C92" s="49"/>
      <c r="D92" s="49"/>
      <c r="E92" s="49"/>
      <c r="F92" s="49"/>
      <c r="G92" s="49"/>
      <c r="H92" s="49"/>
      <c r="I92" s="247"/>
      <c r="J92" s="5"/>
      <c r="K92" s="5"/>
      <c r="L92" s="5"/>
      <c r="M92" s="5"/>
      <c r="N92" s="5"/>
      <c r="O92" s="5"/>
      <c r="Q92" s="5"/>
      <c r="R92" s="5"/>
      <c r="S92" s="5"/>
      <c r="T92" s="5"/>
      <c r="U92" s="5"/>
      <c r="W92" s="21"/>
      <c r="X92" s="21"/>
      <c r="Y92" s="21"/>
      <c r="Z92" s="21"/>
    </row>
    <row r="93" spans="2:26">
      <c r="B93" s="5"/>
      <c r="C93" s="5"/>
      <c r="D93" s="5"/>
      <c r="E93" s="5"/>
      <c r="F93" s="5"/>
      <c r="G93" s="5"/>
      <c r="H93" s="5"/>
      <c r="I93" s="247"/>
      <c r="J93" s="247"/>
      <c r="K93" s="247"/>
      <c r="L93" s="247"/>
      <c r="M93" s="247"/>
      <c r="N93" s="247"/>
      <c r="O93" s="248"/>
      <c r="Q93" s="5"/>
      <c r="R93" s="5"/>
      <c r="S93" s="5"/>
      <c r="T93" s="5"/>
      <c r="U93" s="5"/>
      <c r="Y93" s="21"/>
      <c r="Z93" s="21"/>
    </row>
    <row r="94" spans="2:26">
      <c r="B94" s="5"/>
      <c r="C94" s="259"/>
      <c r="D94" s="247"/>
      <c r="E94" s="247"/>
      <c r="F94" s="247"/>
      <c r="G94" s="247"/>
      <c r="H94" s="247"/>
      <c r="I94" s="248"/>
      <c r="J94" s="247"/>
      <c r="K94" s="247"/>
      <c r="L94" s="247"/>
      <c r="M94" s="247"/>
      <c r="N94" s="247"/>
      <c r="O94" s="248"/>
      <c r="Q94" s="5"/>
      <c r="R94" s="5"/>
      <c r="S94" s="5"/>
      <c r="T94" s="5"/>
      <c r="U94" s="5"/>
    </row>
    <row r="95" spans="2:26">
      <c r="B95" s="5"/>
      <c r="C95" s="259"/>
      <c r="D95" s="247"/>
      <c r="E95" s="247"/>
      <c r="F95" s="247"/>
      <c r="G95" s="247"/>
      <c r="H95" s="247"/>
      <c r="I95" s="247"/>
      <c r="J95" s="247"/>
      <c r="K95" s="247"/>
      <c r="L95" s="247"/>
      <c r="M95" s="247"/>
      <c r="N95" s="247"/>
      <c r="O95" s="248"/>
      <c r="Q95" s="5"/>
      <c r="R95" s="5"/>
      <c r="S95" s="5"/>
      <c r="T95" s="5"/>
      <c r="U95" s="5"/>
    </row>
    <row r="96" spans="2:26">
      <c r="B96" s="5"/>
      <c r="C96" s="259"/>
      <c r="D96" s="247"/>
      <c r="E96" s="247"/>
      <c r="F96" s="247"/>
      <c r="G96" s="247"/>
      <c r="H96" s="247"/>
      <c r="I96" s="249"/>
      <c r="J96" s="248"/>
      <c r="K96" s="248"/>
      <c r="L96" s="248"/>
      <c r="M96" s="248"/>
      <c r="N96" s="248"/>
      <c r="O96" s="248"/>
      <c r="Q96" s="5"/>
      <c r="R96" s="5"/>
      <c r="S96" s="5"/>
      <c r="T96" s="5"/>
      <c r="U96" s="5"/>
    </row>
    <row r="97" spans="2:21">
      <c r="B97" s="5"/>
      <c r="C97" s="259"/>
      <c r="D97" s="248"/>
      <c r="E97" s="248"/>
      <c r="F97" s="248"/>
      <c r="G97" s="248"/>
      <c r="H97" s="248"/>
      <c r="I97" s="248"/>
      <c r="J97" s="247"/>
      <c r="K97" s="247"/>
      <c r="L97" s="247"/>
      <c r="M97" s="247"/>
      <c r="N97" s="247"/>
      <c r="O97" s="248"/>
      <c r="Q97" s="5"/>
      <c r="R97" s="5"/>
      <c r="S97" s="5"/>
      <c r="T97" s="5"/>
      <c r="U97" s="5"/>
    </row>
    <row r="98" spans="2:21">
      <c r="B98" s="5"/>
      <c r="C98" s="259"/>
      <c r="D98" s="247"/>
      <c r="E98" s="247"/>
      <c r="F98" s="247"/>
      <c r="G98" s="247"/>
      <c r="H98" s="247"/>
      <c r="I98" s="5"/>
      <c r="J98" s="249"/>
      <c r="K98" s="249"/>
      <c r="L98" s="249"/>
      <c r="M98" s="249"/>
      <c r="N98" s="249"/>
      <c r="O98" s="248"/>
      <c r="Q98" s="5"/>
      <c r="R98" s="5"/>
      <c r="S98" s="5"/>
      <c r="T98" s="5"/>
      <c r="U98" s="5"/>
    </row>
    <row r="99" spans="2:21">
      <c r="B99" s="41"/>
      <c r="C99" s="249"/>
      <c r="D99" s="249"/>
      <c r="E99" s="249"/>
      <c r="F99" s="249"/>
      <c r="G99" s="249"/>
      <c r="H99" s="249"/>
      <c r="I99" s="259"/>
      <c r="J99" s="248"/>
      <c r="K99" s="248"/>
      <c r="L99" s="248"/>
      <c r="M99" s="248"/>
      <c r="N99" s="248"/>
      <c r="O99" s="248"/>
      <c r="Q99" s="5"/>
      <c r="R99" s="5"/>
      <c r="S99" s="5"/>
      <c r="T99" s="5"/>
      <c r="U99" s="5"/>
    </row>
    <row r="100" spans="2:21" s="5" customFormat="1">
      <c r="B100" s="41"/>
      <c r="C100" s="257"/>
      <c r="D100" s="248"/>
      <c r="E100" s="248"/>
      <c r="F100" s="248"/>
      <c r="G100" s="248"/>
      <c r="H100" s="248"/>
      <c r="I100" s="259"/>
      <c r="O100" s="248"/>
      <c r="P100" s="39"/>
    </row>
    <row r="101" spans="2:21">
      <c r="B101" s="41"/>
      <c r="C101" s="5"/>
      <c r="D101" s="5"/>
      <c r="E101" s="5"/>
      <c r="F101" s="5"/>
      <c r="G101" s="5"/>
      <c r="H101" s="5"/>
      <c r="I101" s="247"/>
      <c r="J101" s="259"/>
      <c r="K101" s="259"/>
      <c r="L101" s="259"/>
      <c r="M101" s="259"/>
      <c r="N101" s="259"/>
      <c r="O101" s="5"/>
      <c r="Q101" s="5"/>
      <c r="R101" s="5"/>
      <c r="S101" s="5"/>
      <c r="T101" s="5"/>
      <c r="U101" s="5"/>
    </row>
    <row r="102" spans="2:21">
      <c r="B102" s="5"/>
      <c r="C102" s="259"/>
      <c r="D102" s="259"/>
      <c r="E102" s="259"/>
      <c r="F102" s="259"/>
      <c r="G102" s="259"/>
      <c r="H102" s="259"/>
      <c r="I102" s="5"/>
      <c r="J102" s="259"/>
      <c r="K102" s="259"/>
      <c r="L102" s="259"/>
      <c r="M102" s="259"/>
      <c r="N102" s="259"/>
      <c r="O102" s="5"/>
      <c r="P102" s="5"/>
      <c r="Q102" s="5"/>
      <c r="R102" s="5"/>
      <c r="S102" s="5"/>
      <c r="T102" s="5"/>
      <c r="U102" s="5"/>
    </row>
    <row r="103" spans="2:21">
      <c r="B103" s="5"/>
      <c r="C103" s="259"/>
      <c r="D103" s="259"/>
      <c r="E103" s="259"/>
      <c r="F103" s="259"/>
      <c r="G103" s="259"/>
      <c r="H103" s="259"/>
      <c r="I103" s="247"/>
      <c r="J103" s="247"/>
      <c r="K103" s="247"/>
      <c r="L103" s="247"/>
      <c r="M103" s="247"/>
      <c r="N103" s="247"/>
      <c r="O103" s="5"/>
      <c r="Q103" s="5"/>
      <c r="R103" s="5"/>
      <c r="S103" s="5"/>
      <c r="T103" s="5"/>
      <c r="U103" s="5"/>
    </row>
    <row r="104" spans="2:21" s="5" customFormat="1">
      <c r="C104" s="247"/>
      <c r="D104" s="247"/>
      <c r="E104" s="247"/>
      <c r="F104" s="247"/>
      <c r="G104" s="247"/>
      <c r="H104" s="247"/>
      <c r="P104" s="39"/>
    </row>
    <row r="105" spans="2:21" s="5" customFormat="1">
      <c r="I105" s="259"/>
      <c r="J105" s="247"/>
      <c r="K105" s="247"/>
      <c r="L105" s="247"/>
      <c r="M105" s="247"/>
      <c r="N105" s="247"/>
      <c r="P105" s="39"/>
    </row>
    <row r="106" spans="2:21">
      <c r="B106" s="5"/>
      <c r="C106" s="259"/>
      <c r="D106" s="247"/>
      <c r="E106" s="247"/>
      <c r="F106" s="247"/>
      <c r="G106" s="247"/>
      <c r="H106" s="247"/>
      <c r="I106" s="247"/>
      <c r="J106" s="5"/>
      <c r="K106" s="5"/>
      <c r="L106" s="5"/>
      <c r="M106" s="5"/>
      <c r="N106" s="5"/>
      <c r="O106" s="5"/>
      <c r="P106" s="5"/>
      <c r="Q106" s="5"/>
      <c r="R106" s="5"/>
      <c r="S106" s="5"/>
      <c r="T106" s="5"/>
      <c r="U106" s="5"/>
    </row>
    <row r="107" spans="2:21">
      <c r="B107" s="5"/>
      <c r="C107" s="259"/>
      <c r="D107" s="5"/>
      <c r="E107" s="5"/>
      <c r="F107" s="5"/>
      <c r="G107" s="5"/>
      <c r="H107" s="5"/>
      <c r="I107" s="249"/>
      <c r="J107" s="259"/>
      <c r="K107" s="259"/>
      <c r="L107" s="259"/>
      <c r="M107" s="259"/>
      <c r="N107" s="259"/>
      <c r="O107" s="5"/>
      <c r="P107" s="5"/>
      <c r="Q107" s="5"/>
      <c r="R107" s="5"/>
      <c r="S107" s="5"/>
      <c r="T107" s="5"/>
      <c r="U107" s="5"/>
    </row>
    <row r="108" spans="2:21">
      <c r="B108" s="5"/>
      <c r="C108" s="259"/>
      <c r="D108" s="259"/>
      <c r="E108" s="259"/>
      <c r="F108" s="259"/>
      <c r="G108" s="259"/>
      <c r="H108" s="259"/>
      <c r="I108" s="249"/>
      <c r="J108" s="247"/>
      <c r="K108" s="247"/>
      <c r="L108" s="247"/>
      <c r="M108" s="247"/>
      <c r="N108" s="247"/>
      <c r="O108" s="5"/>
      <c r="Q108" s="5"/>
      <c r="R108" s="5"/>
      <c r="S108" s="5"/>
      <c r="T108" s="5"/>
      <c r="U108" s="5"/>
    </row>
    <row r="109" spans="2:21">
      <c r="B109" s="5"/>
      <c r="C109" s="247"/>
      <c r="D109" s="247"/>
      <c r="E109" s="247"/>
      <c r="F109" s="247"/>
      <c r="G109" s="247"/>
      <c r="H109" s="247"/>
      <c r="I109" s="247"/>
      <c r="J109" s="249"/>
      <c r="K109" s="249"/>
      <c r="L109" s="249"/>
      <c r="M109" s="249"/>
      <c r="N109" s="249"/>
      <c r="O109" s="5"/>
      <c r="Q109" s="5"/>
      <c r="R109" s="5"/>
      <c r="S109" s="5"/>
      <c r="T109" s="5"/>
      <c r="U109" s="5"/>
    </row>
    <row r="110" spans="2:21">
      <c r="B110" s="41"/>
      <c r="C110" s="249"/>
      <c r="D110" s="249"/>
      <c r="E110" s="249"/>
      <c r="F110" s="249"/>
      <c r="G110" s="249"/>
      <c r="H110" s="249"/>
      <c r="I110" s="5"/>
      <c r="J110" s="249"/>
      <c r="K110" s="249"/>
      <c r="L110" s="249"/>
      <c r="M110" s="249"/>
      <c r="N110" s="249"/>
      <c r="O110" s="5"/>
      <c r="Q110" s="5"/>
      <c r="R110" s="5"/>
      <c r="S110" s="5"/>
      <c r="T110" s="5"/>
      <c r="U110" s="5"/>
    </row>
    <row r="111" spans="2:21">
      <c r="B111" s="5"/>
      <c r="C111" s="249"/>
      <c r="D111" s="249"/>
      <c r="E111" s="249"/>
      <c r="F111" s="249"/>
      <c r="G111" s="249"/>
      <c r="H111" s="249"/>
      <c r="I111" s="5"/>
      <c r="J111" s="247"/>
      <c r="K111" s="247"/>
      <c r="L111" s="247"/>
      <c r="M111" s="247"/>
      <c r="N111" s="247"/>
      <c r="O111" s="5"/>
      <c r="Q111" s="5"/>
      <c r="R111" s="5"/>
      <c r="S111" s="5"/>
      <c r="T111" s="5"/>
      <c r="U111" s="5"/>
    </row>
    <row r="112" spans="2:21">
      <c r="B112" s="5"/>
      <c r="C112" s="247"/>
      <c r="D112" s="247"/>
      <c r="E112" s="247"/>
      <c r="F112" s="247"/>
      <c r="G112" s="247"/>
      <c r="H112" s="247"/>
      <c r="I112" s="5"/>
      <c r="J112" s="5"/>
      <c r="K112" s="5"/>
      <c r="L112" s="5"/>
      <c r="M112" s="5"/>
      <c r="N112" s="5"/>
      <c r="O112" s="5"/>
      <c r="Q112" s="5"/>
      <c r="R112" s="5"/>
      <c r="S112" s="5"/>
      <c r="T112" s="5"/>
      <c r="U112" s="5"/>
    </row>
    <row r="113" spans="2:21">
      <c r="B113" s="5"/>
      <c r="C113" s="5"/>
      <c r="D113" s="5"/>
      <c r="E113" s="5"/>
      <c r="F113" s="5"/>
      <c r="G113" s="5"/>
      <c r="H113" s="5"/>
      <c r="I113" s="5"/>
      <c r="J113" s="5"/>
      <c r="K113" s="5"/>
      <c r="L113" s="5"/>
      <c r="M113" s="5"/>
      <c r="N113" s="5"/>
      <c r="O113" s="5"/>
      <c r="Q113" s="5"/>
      <c r="R113" s="5"/>
      <c r="S113" s="5"/>
      <c r="T113" s="5"/>
      <c r="U113" s="5"/>
    </row>
    <row r="114" spans="2:21">
      <c r="B114" s="5"/>
      <c r="C114" s="5"/>
      <c r="D114" s="5"/>
      <c r="E114" s="5"/>
      <c r="F114" s="5"/>
      <c r="G114" s="5"/>
      <c r="H114" s="5"/>
      <c r="I114" s="49"/>
      <c r="J114" s="5"/>
      <c r="K114" s="5"/>
      <c r="L114" s="5"/>
      <c r="M114" s="5"/>
      <c r="N114" s="5"/>
      <c r="O114" s="5"/>
      <c r="Q114" s="41"/>
      <c r="R114" s="5"/>
      <c r="S114" s="5"/>
      <c r="T114" s="5"/>
      <c r="U114" s="5"/>
    </row>
    <row r="115" spans="2:21">
      <c r="B115" s="5"/>
      <c r="C115" s="5"/>
      <c r="D115" s="5"/>
      <c r="E115" s="5"/>
      <c r="F115" s="5"/>
      <c r="G115" s="5"/>
      <c r="H115" s="5"/>
      <c r="I115" s="5"/>
      <c r="J115" s="5"/>
      <c r="K115" s="5"/>
      <c r="L115" s="5"/>
      <c r="M115" s="5"/>
      <c r="N115" s="5"/>
      <c r="O115" s="5"/>
      <c r="Q115" s="5"/>
      <c r="R115" s="5"/>
      <c r="S115" s="5"/>
      <c r="T115" s="5"/>
      <c r="U115" s="5"/>
    </row>
    <row r="116" spans="2:21">
      <c r="B116" s="5"/>
      <c r="C116" s="5"/>
      <c r="D116" s="5"/>
      <c r="E116" s="5"/>
      <c r="F116" s="5"/>
      <c r="G116" s="5"/>
      <c r="H116" s="5"/>
      <c r="I116" s="254"/>
      <c r="J116" s="49"/>
      <c r="K116" s="49"/>
      <c r="L116" s="49"/>
      <c r="M116" s="49"/>
      <c r="N116" s="49"/>
      <c r="O116" s="49"/>
      <c r="Q116" s="5"/>
      <c r="R116" s="5"/>
      <c r="S116" s="5"/>
      <c r="T116" s="5"/>
      <c r="U116" s="5"/>
    </row>
    <row r="117" spans="2:21">
      <c r="B117" s="41"/>
      <c r="C117" s="49"/>
      <c r="D117" s="49"/>
      <c r="E117" s="49"/>
      <c r="F117" s="49"/>
      <c r="G117" s="49"/>
      <c r="H117" s="49"/>
      <c r="I117" s="249"/>
      <c r="J117" s="5"/>
      <c r="K117" s="5"/>
      <c r="L117" s="5"/>
      <c r="M117" s="5"/>
      <c r="N117" s="5"/>
      <c r="O117" s="5"/>
      <c r="Q117" s="5"/>
      <c r="R117" s="5"/>
      <c r="S117" s="5"/>
      <c r="T117" s="5"/>
      <c r="U117" s="5"/>
    </row>
    <row r="118" spans="2:21">
      <c r="B118" s="5"/>
      <c r="C118" s="5"/>
      <c r="D118" s="5"/>
      <c r="E118" s="5"/>
      <c r="F118" s="5"/>
      <c r="G118" s="5"/>
      <c r="H118" s="5"/>
      <c r="I118" s="254"/>
      <c r="J118" s="254"/>
      <c r="K118" s="254"/>
      <c r="L118" s="254"/>
      <c r="M118" s="254"/>
      <c r="N118" s="254"/>
      <c r="O118" s="248"/>
      <c r="Q118" s="5"/>
      <c r="R118" s="5"/>
      <c r="S118" s="5"/>
      <c r="T118" s="5"/>
      <c r="U118" s="5"/>
    </row>
    <row r="119" spans="2:21">
      <c r="B119" s="41"/>
      <c r="C119" s="254"/>
      <c r="D119" s="254"/>
      <c r="E119" s="254"/>
      <c r="F119" s="254"/>
      <c r="G119" s="254"/>
      <c r="H119" s="254"/>
      <c r="I119" s="254"/>
      <c r="J119" s="249"/>
      <c r="K119" s="249"/>
      <c r="L119" s="249"/>
      <c r="M119" s="249"/>
      <c r="N119" s="249"/>
      <c r="O119" s="248"/>
      <c r="Q119" s="5"/>
      <c r="R119" s="5"/>
      <c r="S119" s="5"/>
      <c r="T119" s="5"/>
      <c r="U119" s="5"/>
    </row>
    <row r="120" spans="2:21">
      <c r="B120" s="41"/>
      <c r="C120" s="254"/>
      <c r="D120" s="249"/>
      <c r="E120" s="249"/>
      <c r="F120" s="249"/>
      <c r="G120" s="249"/>
      <c r="H120" s="249"/>
      <c r="I120" s="254"/>
      <c r="J120" s="254"/>
      <c r="K120" s="254"/>
      <c r="L120" s="254"/>
      <c r="M120" s="254"/>
      <c r="N120" s="254"/>
      <c r="O120" s="248"/>
      <c r="Q120" s="5"/>
      <c r="R120" s="5"/>
      <c r="S120" s="5"/>
      <c r="T120" s="5"/>
      <c r="U120" s="5"/>
    </row>
    <row r="121" spans="2:21">
      <c r="B121" s="41"/>
      <c r="C121" s="254"/>
      <c r="D121" s="254"/>
      <c r="E121" s="254"/>
      <c r="F121" s="254"/>
      <c r="G121" s="254"/>
      <c r="H121" s="254"/>
      <c r="I121" s="254"/>
      <c r="J121" s="254"/>
      <c r="K121" s="254"/>
      <c r="L121" s="254"/>
      <c r="M121" s="254"/>
      <c r="N121" s="254"/>
      <c r="O121" s="248"/>
      <c r="Q121" s="5"/>
      <c r="R121" s="5"/>
      <c r="S121" s="5"/>
      <c r="T121" s="5"/>
      <c r="U121" s="5"/>
    </row>
    <row r="122" spans="2:21">
      <c r="B122" s="41"/>
      <c r="C122" s="254"/>
      <c r="D122" s="254"/>
      <c r="E122" s="254"/>
      <c r="F122" s="254"/>
      <c r="G122" s="254"/>
      <c r="H122" s="254"/>
      <c r="I122" s="254"/>
      <c r="J122" s="254"/>
      <c r="K122" s="254"/>
      <c r="L122" s="254"/>
      <c r="M122" s="254"/>
      <c r="N122" s="254"/>
      <c r="O122" s="248"/>
      <c r="Q122" s="5"/>
      <c r="R122" s="5"/>
      <c r="S122" s="5"/>
      <c r="T122" s="5"/>
      <c r="U122" s="5"/>
    </row>
    <row r="123" spans="2:21">
      <c r="B123" s="41"/>
      <c r="C123" s="254"/>
      <c r="D123" s="254"/>
      <c r="E123" s="254"/>
      <c r="F123" s="254"/>
      <c r="G123" s="254"/>
      <c r="H123" s="254"/>
      <c r="I123" s="254"/>
      <c r="J123" s="254"/>
      <c r="K123" s="254"/>
      <c r="L123" s="254"/>
      <c r="M123" s="254"/>
      <c r="N123" s="254"/>
      <c r="O123" s="248"/>
      <c r="Q123" s="5"/>
      <c r="R123" s="5"/>
      <c r="S123" s="5"/>
      <c r="T123" s="5"/>
      <c r="U123" s="5"/>
    </row>
    <row r="124" spans="2:21">
      <c r="B124" s="41"/>
      <c r="C124" s="254"/>
      <c r="D124" s="254"/>
      <c r="E124" s="254"/>
      <c r="F124" s="254"/>
      <c r="G124" s="254"/>
      <c r="H124" s="254"/>
      <c r="I124" s="254"/>
      <c r="J124" s="254"/>
      <c r="K124" s="254"/>
      <c r="L124" s="254"/>
      <c r="M124" s="254"/>
      <c r="N124" s="254"/>
      <c r="O124" s="5"/>
      <c r="Q124" s="5"/>
      <c r="R124" s="5"/>
      <c r="S124" s="5"/>
      <c r="T124" s="5"/>
      <c r="U124" s="5"/>
    </row>
    <row r="125" spans="2:21">
      <c r="B125" s="41"/>
      <c r="C125" s="254"/>
      <c r="D125" s="254"/>
      <c r="E125" s="254"/>
      <c r="F125" s="254"/>
      <c r="G125" s="254"/>
      <c r="H125" s="254"/>
      <c r="I125" s="254"/>
      <c r="J125" s="254"/>
      <c r="K125" s="254"/>
      <c r="L125" s="254"/>
      <c r="M125" s="254"/>
      <c r="N125" s="254"/>
      <c r="O125" s="5"/>
      <c r="Q125" s="5"/>
      <c r="R125" s="5"/>
      <c r="S125" s="5"/>
      <c r="T125" s="5"/>
      <c r="U125" s="5"/>
    </row>
    <row r="126" spans="2:21">
      <c r="B126" s="41"/>
      <c r="C126" s="254"/>
      <c r="D126" s="254"/>
      <c r="E126" s="254"/>
      <c r="F126" s="254"/>
      <c r="G126" s="254"/>
      <c r="H126" s="254"/>
      <c r="I126" s="18"/>
      <c r="J126" s="254"/>
      <c r="K126" s="254"/>
      <c r="L126" s="254"/>
      <c r="M126" s="254"/>
      <c r="N126" s="254"/>
      <c r="O126" s="5"/>
      <c r="Q126" s="5"/>
      <c r="R126" s="5"/>
      <c r="S126" s="5"/>
      <c r="T126" s="5"/>
      <c r="U126" s="5"/>
    </row>
    <row r="127" spans="2:21">
      <c r="B127" s="41"/>
      <c r="C127" s="254"/>
      <c r="D127" s="254"/>
      <c r="E127" s="254"/>
      <c r="F127" s="254"/>
      <c r="G127" s="254"/>
      <c r="H127" s="254"/>
      <c r="I127" s="5"/>
      <c r="J127" s="254"/>
      <c r="K127" s="254"/>
      <c r="L127" s="254"/>
      <c r="M127" s="254"/>
      <c r="N127" s="254"/>
      <c r="O127" s="5"/>
      <c r="Q127" s="5"/>
      <c r="R127" s="5"/>
      <c r="S127" s="5"/>
      <c r="T127" s="5"/>
      <c r="U127" s="5"/>
    </row>
    <row r="128" spans="2:21">
      <c r="B128" s="41"/>
      <c r="C128" s="254"/>
      <c r="D128" s="254"/>
      <c r="E128" s="254"/>
      <c r="F128" s="254"/>
      <c r="G128" s="254"/>
      <c r="H128" s="254"/>
      <c r="I128" s="254"/>
      <c r="J128" s="18"/>
      <c r="K128" s="18"/>
      <c r="L128" s="18"/>
      <c r="M128" s="18"/>
      <c r="N128" s="18"/>
      <c r="O128" s="5"/>
      <c r="Q128" s="5"/>
      <c r="R128" s="5"/>
      <c r="S128" s="5"/>
      <c r="T128" s="5"/>
      <c r="U128" s="5"/>
    </row>
    <row r="129" spans="2:27">
      <c r="B129" s="5"/>
      <c r="C129" s="5"/>
      <c r="D129" s="18"/>
      <c r="E129" s="18"/>
      <c r="F129" s="18"/>
      <c r="G129" s="18"/>
      <c r="H129" s="18"/>
      <c r="I129" s="18"/>
      <c r="J129" s="5"/>
      <c r="K129" s="5"/>
      <c r="L129" s="5"/>
      <c r="M129" s="5"/>
      <c r="N129" s="5"/>
      <c r="O129" s="5"/>
      <c r="Q129" s="5"/>
      <c r="R129" s="5"/>
      <c r="S129" s="5"/>
      <c r="T129" s="5"/>
      <c r="U129" s="5"/>
    </row>
    <row r="130" spans="2:27">
      <c r="B130" s="5"/>
      <c r="C130" s="5"/>
      <c r="D130" s="5"/>
      <c r="E130" s="5"/>
      <c r="F130" s="5"/>
      <c r="G130" s="5"/>
      <c r="H130" s="5"/>
      <c r="I130" s="5"/>
      <c r="J130" s="254"/>
      <c r="K130" s="254"/>
      <c r="L130" s="254"/>
      <c r="M130" s="254"/>
      <c r="N130" s="254"/>
      <c r="O130" s="5"/>
      <c r="Q130" s="5"/>
      <c r="R130" s="5"/>
      <c r="S130" s="5"/>
      <c r="T130" s="5"/>
      <c r="U130" s="5"/>
    </row>
    <row r="131" spans="2:27">
      <c r="B131" s="41"/>
      <c r="C131" s="254"/>
      <c r="D131" s="254"/>
      <c r="E131" s="254"/>
      <c r="F131" s="254"/>
      <c r="G131" s="254"/>
      <c r="H131" s="254"/>
      <c r="I131" s="5"/>
      <c r="J131" s="18"/>
      <c r="K131" s="18"/>
      <c r="L131" s="18"/>
      <c r="M131" s="18"/>
      <c r="N131" s="18"/>
      <c r="O131" s="5"/>
      <c r="Q131" s="5"/>
      <c r="R131" s="5"/>
      <c r="S131" s="5"/>
      <c r="T131" s="5"/>
      <c r="U131" s="5"/>
    </row>
    <row r="132" spans="2:27">
      <c r="B132" s="5"/>
      <c r="C132" s="259"/>
      <c r="D132" s="18"/>
      <c r="E132" s="18"/>
      <c r="F132" s="18"/>
      <c r="G132" s="18"/>
      <c r="H132" s="18"/>
      <c r="I132" s="17"/>
      <c r="J132" s="5"/>
      <c r="K132" s="5"/>
      <c r="L132" s="5"/>
      <c r="M132" s="5"/>
      <c r="N132" s="5"/>
      <c r="O132" s="5"/>
      <c r="Q132" s="5"/>
      <c r="R132" s="5"/>
      <c r="S132" s="5"/>
      <c r="T132" s="5"/>
      <c r="U132" s="5"/>
    </row>
    <row r="133" spans="2:27">
      <c r="B133" s="5"/>
      <c r="C133" s="5"/>
      <c r="D133" s="5"/>
      <c r="E133" s="5"/>
      <c r="F133" s="5"/>
      <c r="G133" s="5"/>
      <c r="H133" s="5"/>
      <c r="I133" s="17"/>
      <c r="J133" s="5"/>
      <c r="K133" s="5"/>
      <c r="L133" s="5"/>
      <c r="M133" s="5"/>
      <c r="N133" s="5"/>
      <c r="O133" s="5"/>
      <c r="Q133" s="5"/>
      <c r="R133" s="5"/>
      <c r="S133" s="5"/>
      <c r="T133" s="5"/>
      <c r="U133" s="5"/>
    </row>
    <row r="134" spans="2:27">
      <c r="B134" s="41"/>
      <c r="C134" s="5"/>
      <c r="D134" s="5"/>
      <c r="E134" s="5"/>
      <c r="F134" s="5"/>
      <c r="G134" s="5"/>
      <c r="H134" s="5"/>
      <c r="I134" s="17"/>
      <c r="J134" s="17"/>
      <c r="K134" s="17"/>
      <c r="L134" s="17"/>
      <c r="M134" s="17"/>
      <c r="N134" s="17"/>
      <c r="O134" s="5"/>
      <c r="Q134" s="41"/>
      <c r="R134" s="5"/>
      <c r="S134" s="5"/>
      <c r="T134" s="5"/>
      <c r="U134" s="5"/>
    </row>
    <row r="135" spans="2:27">
      <c r="B135" s="5"/>
      <c r="C135" s="17"/>
      <c r="D135" s="17"/>
      <c r="E135" s="17"/>
      <c r="F135" s="17"/>
      <c r="G135" s="17"/>
      <c r="H135" s="17"/>
      <c r="I135" s="17"/>
      <c r="J135" s="17"/>
      <c r="K135" s="17"/>
      <c r="L135" s="17"/>
      <c r="M135" s="17"/>
      <c r="N135" s="17"/>
      <c r="O135" s="5"/>
      <c r="Q135" s="5"/>
      <c r="R135" s="5"/>
      <c r="S135" s="5"/>
      <c r="T135" s="5"/>
      <c r="U135" s="5"/>
      <c r="X135" s="304"/>
    </row>
    <row r="136" spans="2:27">
      <c r="B136" s="5"/>
      <c r="C136" s="17"/>
      <c r="D136" s="17"/>
      <c r="E136" s="17"/>
      <c r="F136" s="17"/>
      <c r="G136" s="17"/>
      <c r="H136" s="17"/>
      <c r="I136" s="17"/>
      <c r="J136" s="17"/>
      <c r="K136" s="17"/>
      <c r="L136" s="17"/>
      <c r="M136" s="17"/>
      <c r="N136" s="17"/>
      <c r="O136" s="5"/>
      <c r="Q136" s="5"/>
      <c r="R136" s="5"/>
      <c r="S136" s="5"/>
      <c r="T136" s="5"/>
      <c r="U136" s="5"/>
      <c r="X136" s="10"/>
      <c r="Y136" s="304"/>
      <c r="Z136" s="304"/>
      <c r="AA136" s="304"/>
    </row>
    <row r="137" spans="2:27">
      <c r="B137" s="5"/>
      <c r="C137" s="5"/>
      <c r="D137" s="17"/>
      <c r="E137" s="17"/>
      <c r="F137" s="17"/>
      <c r="G137" s="17"/>
      <c r="H137" s="17"/>
      <c r="I137" s="17"/>
      <c r="J137" s="17"/>
      <c r="K137" s="17"/>
      <c r="L137" s="17"/>
      <c r="M137" s="17"/>
      <c r="N137" s="17"/>
      <c r="O137" s="5"/>
      <c r="Q137" s="5"/>
      <c r="R137" s="5"/>
      <c r="S137" s="5"/>
      <c r="T137" s="5"/>
      <c r="U137" s="5"/>
      <c r="Y137" s="10"/>
      <c r="Z137" s="10"/>
      <c r="AA137" s="10"/>
    </row>
    <row r="138" spans="2:27">
      <c r="B138" s="5"/>
      <c r="C138" s="5"/>
      <c r="D138" s="17"/>
      <c r="E138" s="17"/>
      <c r="F138" s="17"/>
      <c r="G138" s="17"/>
      <c r="H138" s="17"/>
      <c r="I138" s="5"/>
      <c r="J138" s="17"/>
      <c r="K138" s="17"/>
      <c r="L138" s="17"/>
      <c r="M138" s="17"/>
      <c r="N138" s="17"/>
      <c r="O138" s="5"/>
      <c r="Q138" s="5"/>
      <c r="R138" s="5"/>
      <c r="S138" s="5"/>
      <c r="T138" s="5"/>
      <c r="U138" s="5"/>
    </row>
    <row r="139" spans="2:27">
      <c r="B139" s="5"/>
      <c r="C139" s="5"/>
      <c r="D139" s="17"/>
      <c r="E139" s="17"/>
      <c r="F139" s="17"/>
      <c r="G139" s="17"/>
      <c r="H139" s="17"/>
      <c r="I139" s="5"/>
      <c r="J139" s="17"/>
      <c r="K139" s="17"/>
      <c r="L139" s="17"/>
      <c r="M139" s="17"/>
      <c r="N139" s="17"/>
      <c r="O139" s="5"/>
      <c r="Q139" s="5"/>
      <c r="R139" s="5"/>
      <c r="S139" s="5"/>
      <c r="T139" s="5"/>
      <c r="U139" s="5"/>
    </row>
    <row r="140" spans="2:27">
      <c r="B140" s="5"/>
      <c r="C140" s="17"/>
      <c r="D140" s="17"/>
      <c r="E140" s="17"/>
      <c r="F140" s="17"/>
      <c r="G140" s="17"/>
      <c r="H140" s="17"/>
      <c r="I140" s="5"/>
      <c r="J140" s="5"/>
      <c r="K140" s="5"/>
      <c r="L140" s="5"/>
      <c r="M140" s="5"/>
      <c r="N140" s="5"/>
      <c r="O140" s="5"/>
      <c r="Q140" s="5"/>
      <c r="R140" s="5"/>
      <c r="S140" s="5"/>
      <c r="T140" s="5"/>
      <c r="U140" s="5"/>
    </row>
    <row r="141" spans="2:27">
      <c r="B141" s="5"/>
      <c r="C141" s="5"/>
      <c r="D141" s="5"/>
      <c r="E141" s="5"/>
      <c r="F141" s="5"/>
      <c r="G141" s="5"/>
      <c r="H141" s="5"/>
      <c r="I141" s="5"/>
      <c r="J141" s="5"/>
      <c r="K141" s="5"/>
      <c r="L141" s="5"/>
      <c r="M141" s="5"/>
      <c r="N141" s="5"/>
      <c r="O141" s="5"/>
      <c r="Q141" s="5"/>
      <c r="R141" s="5"/>
      <c r="S141" s="5"/>
      <c r="T141" s="5"/>
      <c r="U141" s="5"/>
    </row>
    <row r="142" spans="2:27">
      <c r="B142" s="5"/>
      <c r="C142" s="5"/>
      <c r="D142" s="5"/>
      <c r="E142" s="5"/>
      <c r="F142" s="5"/>
      <c r="G142" s="5"/>
      <c r="H142" s="5"/>
      <c r="I142" s="5"/>
      <c r="J142" s="5"/>
      <c r="K142" s="5"/>
      <c r="L142" s="5"/>
      <c r="M142" s="5"/>
      <c r="N142" s="5"/>
      <c r="O142" s="5"/>
      <c r="Q142" s="5"/>
      <c r="R142" s="5"/>
      <c r="S142" s="5"/>
      <c r="T142" s="5"/>
      <c r="U142" s="5"/>
    </row>
    <row r="143" spans="2:27">
      <c r="B143" s="5"/>
      <c r="C143" s="5"/>
      <c r="D143" s="5"/>
      <c r="E143" s="5"/>
      <c r="F143" s="5"/>
      <c r="G143" s="5"/>
      <c r="H143" s="5"/>
      <c r="I143" s="5"/>
      <c r="J143" s="5"/>
      <c r="K143" s="5"/>
      <c r="L143" s="5"/>
      <c r="M143" s="5"/>
      <c r="N143" s="5"/>
      <c r="O143" s="5"/>
      <c r="Q143" s="5"/>
      <c r="R143" s="5"/>
      <c r="S143" s="5"/>
      <c r="T143" s="5"/>
      <c r="U143" s="5"/>
    </row>
    <row r="144" spans="2:27">
      <c r="B144" s="5"/>
      <c r="C144" s="5"/>
      <c r="D144" s="5"/>
      <c r="E144" s="5"/>
      <c r="F144" s="5"/>
      <c r="G144" s="5"/>
      <c r="H144" s="5"/>
      <c r="I144" s="5"/>
      <c r="J144" s="5"/>
      <c r="K144" s="5"/>
      <c r="L144" s="5"/>
      <c r="M144" s="5"/>
      <c r="N144" s="5"/>
      <c r="O144" s="5"/>
      <c r="Q144" s="5"/>
      <c r="R144" s="5"/>
      <c r="S144" s="5"/>
      <c r="T144" s="5"/>
      <c r="U144" s="5"/>
    </row>
    <row r="145" spans="2:21">
      <c r="B145" s="5"/>
      <c r="C145" s="5"/>
      <c r="D145" s="5"/>
      <c r="E145" s="5"/>
      <c r="F145" s="5"/>
      <c r="G145" s="5"/>
      <c r="H145" s="5"/>
      <c r="I145" s="5"/>
      <c r="J145" s="5"/>
      <c r="K145" s="5"/>
      <c r="L145" s="5"/>
      <c r="M145" s="5"/>
      <c r="N145" s="5"/>
      <c r="O145" s="5"/>
      <c r="Q145" s="5"/>
      <c r="R145" s="5"/>
      <c r="S145" s="5"/>
      <c r="T145" s="5"/>
      <c r="U145" s="5"/>
    </row>
    <row r="146" spans="2:21">
      <c r="B146" s="5"/>
      <c r="C146" s="5"/>
      <c r="D146" s="5"/>
      <c r="E146" s="5"/>
      <c r="F146" s="5"/>
      <c r="G146" s="5"/>
      <c r="H146" s="5"/>
      <c r="I146" s="5"/>
      <c r="J146" s="5"/>
      <c r="K146" s="5"/>
      <c r="L146" s="5"/>
      <c r="M146" s="5"/>
      <c r="N146" s="5"/>
      <c r="O146" s="5"/>
      <c r="Q146" s="5"/>
      <c r="R146" s="5"/>
      <c r="S146" s="5"/>
      <c r="T146" s="5"/>
      <c r="U146" s="5"/>
    </row>
    <row r="147" spans="2:21">
      <c r="B147" s="5"/>
      <c r="C147" s="5"/>
      <c r="D147" s="5"/>
      <c r="E147" s="5"/>
      <c r="F147" s="5"/>
      <c r="G147" s="5"/>
      <c r="H147" s="5"/>
      <c r="I147" s="5"/>
      <c r="J147" s="5"/>
      <c r="K147" s="5"/>
      <c r="L147" s="5"/>
      <c r="M147" s="5"/>
      <c r="N147" s="5"/>
      <c r="O147" s="5"/>
      <c r="Q147" s="5"/>
      <c r="R147" s="5"/>
      <c r="S147" s="5"/>
      <c r="T147" s="5"/>
      <c r="U147" s="5"/>
    </row>
    <row r="148" spans="2:21">
      <c r="B148" s="5"/>
      <c r="C148" s="5"/>
      <c r="D148" s="5"/>
      <c r="E148" s="5"/>
      <c r="F148" s="5"/>
      <c r="G148" s="5"/>
      <c r="H148" s="5"/>
      <c r="J148" s="5"/>
      <c r="K148" s="5"/>
      <c r="L148" s="5"/>
      <c r="M148" s="5"/>
      <c r="N148" s="5"/>
      <c r="O148" s="5"/>
      <c r="Q148" s="5"/>
      <c r="R148" s="5"/>
      <c r="S148" s="5"/>
      <c r="T148" s="5"/>
      <c r="U148" s="5"/>
    </row>
    <row r="149" spans="2:21">
      <c r="B149" s="5"/>
      <c r="C149" s="5"/>
      <c r="D149" s="5"/>
      <c r="E149" s="5"/>
      <c r="F149" s="5"/>
      <c r="G149" s="5"/>
      <c r="H149" s="5"/>
      <c r="J149" s="5"/>
      <c r="K149" s="5"/>
      <c r="L149" s="5"/>
      <c r="M149" s="5"/>
      <c r="N149" s="5"/>
      <c r="O149" s="5"/>
      <c r="Q149" s="5"/>
      <c r="R149" s="5"/>
      <c r="S149" s="5"/>
      <c r="T149" s="5"/>
      <c r="U149" s="5"/>
    </row>
    <row r="150" spans="2:21">
      <c r="B150" s="5"/>
      <c r="C150" s="5"/>
      <c r="D150" s="5"/>
      <c r="E150" s="5"/>
      <c r="F150" s="5"/>
      <c r="G150" s="5"/>
      <c r="H150" s="5"/>
      <c r="Q150" s="5"/>
      <c r="R150" s="5"/>
      <c r="S150" s="5"/>
      <c r="T150" s="5"/>
      <c r="U150" s="5"/>
    </row>
    <row r="151" spans="2:21">
      <c r="Q151" s="5"/>
      <c r="R151" s="5"/>
      <c r="S151" s="5"/>
      <c r="T151" s="5"/>
      <c r="U151" s="5"/>
    </row>
    <row r="152" spans="2:21">
      <c r="Q152" s="5"/>
      <c r="R152" s="5"/>
      <c r="S152" s="5"/>
      <c r="T152" s="5"/>
      <c r="U152" s="5"/>
    </row>
    <row r="153" spans="2:21">
      <c r="C153" s="263"/>
      <c r="Q153" s="5"/>
      <c r="R153" s="5"/>
      <c r="S153" s="5"/>
      <c r="T153" s="5"/>
      <c r="U153" s="5"/>
    </row>
    <row r="154" spans="2:21">
      <c r="Q154" s="5"/>
      <c r="R154" s="5"/>
      <c r="S154" s="5"/>
      <c r="T154" s="5"/>
      <c r="U154" s="5"/>
    </row>
    <row r="155" spans="2:21">
      <c r="Q155" s="5"/>
      <c r="R155" s="5"/>
      <c r="S155" s="5"/>
      <c r="T155" s="5"/>
      <c r="U155" s="5"/>
    </row>
    <row r="156" spans="2:21">
      <c r="Q156" s="5"/>
      <c r="R156" s="5"/>
      <c r="S156" s="5"/>
      <c r="T156" s="5"/>
      <c r="U156" s="5"/>
    </row>
    <row r="157" spans="2:21">
      <c r="Q157" s="5"/>
      <c r="R157" s="5"/>
      <c r="S157" s="5"/>
      <c r="T157" s="5"/>
      <c r="U157" s="5"/>
    </row>
    <row r="158" spans="2:21">
      <c r="Q158" s="5"/>
      <c r="R158" s="5"/>
      <c r="S158" s="5"/>
      <c r="T158" s="5"/>
      <c r="U158" s="5"/>
    </row>
    <row r="159" spans="2:21">
      <c r="Q159" s="5"/>
      <c r="R159" s="5"/>
      <c r="S159" s="5"/>
      <c r="T159" s="5"/>
      <c r="U159" s="5"/>
    </row>
    <row r="160" spans="2:21">
      <c r="Q160" s="5"/>
      <c r="R160" s="5"/>
      <c r="S160" s="5"/>
      <c r="T160" s="5"/>
      <c r="U160" s="5"/>
    </row>
    <row r="161" spans="17:21">
      <c r="Q161" s="5"/>
      <c r="R161" s="5"/>
      <c r="S161" s="5"/>
      <c r="T161" s="5"/>
      <c r="U161" s="5"/>
    </row>
    <row r="162" spans="17:21">
      <c r="Q162" s="5"/>
      <c r="R162" s="5"/>
      <c r="S162" s="5"/>
      <c r="T162" s="5"/>
      <c r="U162" s="5"/>
    </row>
    <row r="163" spans="17:21">
      <c r="Q163" s="5"/>
      <c r="R163" s="5"/>
      <c r="S163" s="5"/>
      <c r="T163" s="5"/>
      <c r="U163" s="5"/>
    </row>
    <row r="164" spans="17:21">
      <c r="Q164" s="5"/>
      <c r="R164" s="5"/>
      <c r="S164" s="5"/>
      <c r="T164" s="5"/>
      <c r="U164" s="5"/>
    </row>
  </sheetData>
  <phoneticPr fontId="7" type="noConversion"/>
  <pageMargins left="0.75" right="0.75" top="1" bottom="1" header="0.5" footer="0.5"/>
  <pageSetup scale="70" orientation="landscape" r:id="rId1"/>
  <headerFooter alignWithMargins="0"/>
  <drawing r:id="rId2"/>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C00-000000000000}">
  <sheetPr codeName="Sheet189">
    <tabColor theme="3" tint="0.59999389629810485"/>
    <pageSetUpPr fitToPage="1"/>
  </sheetPr>
  <dimension ref="B1:BK164"/>
  <sheetViews>
    <sheetView showGridLines="0" zoomScale="80" zoomScaleNormal="80" workbookViewId="0"/>
  </sheetViews>
  <sheetFormatPr defaultColWidth="8.88671875" defaultRowHeight="12"/>
  <cols>
    <col min="1" max="1" width="2.33203125" style="39" customWidth="1"/>
    <col min="2" max="2" width="26.6640625" style="39" customWidth="1"/>
    <col min="3" max="9" width="10" style="39" customWidth="1"/>
    <col min="10" max="10" width="26.6640625" style="39" customWidth="1"/>
    <col min="11" max="16" width="10" style="39" customWidth="1"/>
    <col min="17" max="17" width="4.5546875" style="39" customWidth="1"/>
    <col min="18" max="20" width="8.88671875" style="39"/>
    <col min="21" max="21" width="3.6640625" style="39" customWidth="1"/>
    <col min="22" max="63" width="9.109375" style="5" customWidth="1"/>
    <col min="64" max="16384" width="8.88671875" style="39"/>
  </cols>
  <sheetData>
    <row r="1" spans="2:63" s="312" customFormat="1">
      <c r="V1" s="149"/>
      <c r="W1" s="149"/>
      <c r="X1" s="149"/>
      <c r="Y1" s="149"/>
      <c r="Z1" s="149"/>
      <c r="AA1" s="149"/>
      <c r="AB1" s="149"/>
      <c r="AC1" s="149"/>
      <c r="AD1" s="149"/>
      <c r="AE1" s="149"/>
      <c r="AF1" s="149"/>
      <c r="AG1" s="149"/>
      <c r="AH1" s="149"/>
      <c r="AI1" s="149"/>
      <c r="AJ1" s="149"/>
      <c r="AK1" s="149"/>
      <c r="AL1" s="149"/>
      <c r="AM1" s="149"/>
      <c r="AN1" s="149"/>
      <c r="AO1" s="149"/>
      <c r="AP1" s="149"/>
      <c r="AQ1" s="149"/>
      <c r="AR1" s="149"/>
      <c r="AS1" s="149"/>
      <c r="AT1" s="149"/>
      <c r="AU1" s="149"/>
      <c r="AV1" s="149"/>
      <c r="AW1" s="149"/>
      <c r="AX1" s="149"/>
      <c r="AY1" s="149"/>
      <c r="AZ1" s="149"/>
      <c r="BA1" s="149"/>
      <c r="BB1" s="149"/>
      <c r="BC1" s="149"/>
      <c r="BD1" s="149"/>
      <c r="BE1" s="149"/>
      <c r="BF1" s="149"/>
      <c r="BG1" s="149"/>
      <c r="BH1" s="149"/>
      <c r="BI1" s="149"/>
      <c r="BJ1" s="149"/>
      <c r="BK1" s="149"/>
    </row>
    <row r="2" spans="2:63" s="312" customFormat="1">
      <c r="V2" s="149"/>
      <c r="W2" s="149"/>
      <c r="X2" s="149"/>
      <c r="Y2" s="149"/>
      <c r="Z2" s="149"/>
      <c r="AA2" s="149"/>
      <c r="AB2" s="149"/>
      <c r="AC2" s="149"/>
      <c r="AD2" s="149"/>
      <c r="AE2" s="149"/>
      <c r="AF2" s="149"/>
      <c r="AG2" s="149"/>
      <c r="AH2" s="149"/>
      <c r="AI2" s="149"/>
      <c r="AJ2" s="149"/>
      <c r="AK2" s="149"/>
      <c r="AL2" s="149"/>
      <c r="AM2" s="149"/>
      <c r="AN2" s="149"/>
      <c r="AO2" s="149"/>
      <c r="AP2" s="149"/>
      <c r="AQ2" s="149"/>
      <c r="AR2" s="149"/>
      <c r="AS2" s="149"/>
      <c r="AT2" s="149"/>
      <c r="AU2" s="149"/>
      <c r="AV2" s="149"/>
      <c r="AW2" s="149"/>
      <c r="AX2" s="149"/>
      <c r="AY2" s="149"/>
      <c r="AZ2" s="149"/>
      <c r="BA2" s="149"/>
      <c r="BB2" s="149"/>
      <c r="BC2" s="149"/>
      <c r="BD2" s="149"/>
      <c r="BE2" s="149"/>
      <c r="BF2" s="149"/>
      <c r="BG2" s="149"/>
      <c r="BH2" s="149"/>
      <c r="BI2" s="149"/>
      <c r="BJ2" s="149"/>
      <c r="BK2" s="149"/>
    </row>
    <row r="3" spans="2:63" s="149" customFormat="1">
      <c r="H3" s="153"/>
      <c r="P3" s="153"/>
    </row>
    <row r="4" spans="2:63" s="156" customFormat="1" ht="21">
      <c r="B4" s="129" t="s">
        <v>826</v>
      </c>
      <c r="H4" s="222"/>
      <c r="P4" s="222"/>
    </row>
    <row r="5" spans="2:63" s="149" customFormat="1">
      <c r="C5" s="153"/>
      <c r="D5" s="153" t="str" cm="1">
        <f t="array" ref="D5:H5">headings</f>
        <v>2023E</v>
      </c>
      <c r="E5" s="153" t="str">
        <v>2024E</v>
      </c>
      <c r="F5" s="153" t="str">
        <v>2025E</v>
      </c>
      <c r="G5" s="153" t="str">
        <v>2026E</v>
      </c>
      <c r="H5" s="153" t="str">
        <v>23E-26E</v>
      </c>
      <c r="I5" s="153"/>
      <c r="J5" s="153"/>
      <c r="K5" s="153"/>
      <c r="L5" s="153" t="str" cm="1">
        <f t="array" ref="L5:P5">headings</f>
        <v>2023E</v>
      </c>
      <c r="M5" s="153" t="str">
        <v>2024E</v>
      </c>
      <c r="N5" s="153" t="str">
        <v>2025E</v>
      </c>
      <c r="O5" s="153" t="str">
        <v>2026E</v>
      </c>
      <c r="P5" s="153" t="str">
        <v>23E-26E</v>
      </c>
      <c r="Q5" s="162"/>
      <c r="R5" s="162"/>
      <c r="S5" s="162"/>
      <c r="T5" s="162"/>
      <c r="U5" s="162"/>
      <c r="V5" s="162"/>
      <c r="W5" s="162"/>
      <c r="X5" s="162"/>
      <c r="Y5" s="162"/>
    </row>
    <row r="6" spans="2:63">
      <c r="I6" s="5"/>
      <c r="J6" s="5"/>
      <c r="K6" s="5"/>
      <c r="L6" s="5"/>
      <c r="M6" s="5"/>
      <c r="N6" s="5"/>
      <c r="O6" s="49"/>
    </row>
    <row r="7" spans="2:63" ht="12.6" thickBot="1">
      <c r="B7" s="306" t="s">
        <v>271</v>
      </c>
      <c r="C7" s="265"/>
      <c r="D7" s="265"/>
      <c r="E7" s="265"/>
      <c r="F7" s="265"/>
      <c r="G7" s="265"/>
      <c r="H7" s="265"/>
      <c r="I7" s="49"/>
      <c r="J7" s="306" t="s">
        <v>829</v>
      </c>
      <c r="K7" s="306"/>
      <c r="L7" s="306"/>
      <c r="M7" s="306"/>
      <c r="N7" s="266"/>
      <c r="O7" s="266"/>
      <c r="P7" s="266"/>
    </row>
    <row r="8" spans="2:63" ht="12.6" thickTop="1">
      <c r="B8" s="5"/>
      <c r="C8" s="5"/>
      <c r="D8" s="5"/>
      <c r="E8" s="5"/>
      <c r="F8" s="5"/>
      <c r="G8" s="5"/>
      <c r="H8" s="5"/>
      <c r="I8" s="5"/>
      <c r="J8" s="5"/>
      <c r="K8" s="5"/>
      <c r="L8" s="5"/>
      <c r="M8" s="5"/>
      <c r="N8" s="5"/>
    </row>
    <row r="9" spans="2:63">
      <c r="B9" s="41" t="s">
        <v>500</v>
      </c>
      <c r="C9" s="287"/>
      <c r="D9" s="5"/>
      <c r="E9" s="249"/>
      <c r="F9" s="249"/>
      <c r="G9" s="249"/>
      <c r="H9" s="249"/>
      <c r="I9" s="249"/>
      <c r="J9" s="5" t="s">
        <v>273</v>
      </c>
      <c r="L9" s="64">
        <f>'EM ALTNET &amp; CABLE'!D37</f>
        <v>1.9981816154853409</v>
      </c>
      <c r="M9" s="64">
        <f>'EM ALTNET &amp; CABLE'!E37</f>
        <v>1.8917798874057477</v>
      </c>
      <c r="N9" s="64">
        <f>'EM ALTNET &amp; CABLE'!F37</f>
        <v>2.0073724279441492</v>
      </c>
      <c r="O9" s="64">
        <f>'EM ALTNET &amp; CABLE'!G37</f>
        <v>1.9059015150115719</v>
      </c>
      <c r="P9" s="17">
        <f>'AGG DM'!H37</f>
        <v>1.9501934659983178E-2</v>
      </c>
    </row>
    <row r="10" spans="2:63">
      <c r="B10" s="5" t="s">
        <v>274</v>
      </c>
      <c r="C10" s="5"/>
      <c r="D10" s="332"/>
      <c r="E10" s="332"/>
      <c r="F10" s="332"/>
      <c r="G10" s="332"/>
      <c r="H10" s="247"/>
      <c r="I10" s="247"/>
      <c r="J10" s="5" t="s">
        <v>184</v>
      </c>
      <c r="L10" s="64">
        <f>'EM ALTNET &amp; CABLE'!D38</f>
        <v>5.1765948976417588</v>
      </c>
      <c r="M10" s="64">
        <f>'EM ALTNET &amp; CABLE'!E38</f>
        <v>4.7446114124060035</v>
      </c>
      <c r="N10" s="64">
        <f>'EM ALTNET &amp; CABLE'!F38</f>
        <v>4.9485110228400195</v>
      </c>
      <c r="O10" s="64">
        <f>'EM ALTNET &amp; CABLE'!G38</f>
        <v>4.6462777873739931</v>
      </c>
      <c r="P10" s="17">
        <f>'AGG DM'!H38</f>
        <v>3.4656651554389573E-2</v>
      </c>
      <c r="W10" s="10"/>
      <c r="X10" s="10"/>
      <c r="Y10" s="10"/>
      <c r="Z10" s="10"/>
    </row>
    <row r="11" spans="2:63">
      <c r="B11" s="41" t="s">
        <v>359</v>
      </c>
      <c r="C11" s="5"/>
      <c r="D11" s="271">
        <f>MEGA!D11/Prices!$C$180+LiLAC!D11</f>
        <v>4222.4429995290775</v>
      </c>
      <c r="E11" s="271">
        <f>MEGA!E11/Prices!$C$180+LiLAC!E11</f>
        <v>4230.4885495290773</v>
      </c>
      <c r="F11" s="271">
        <f>MEGA!F11/Prices!$C$180+LiLAC!F11</f>
        <v>4658.894849529077</v>
      </c>
      <c r="G11" s="271">
        <f>MEGA!G11/Prices!$C$180+LiLAC!G11</f>
        <v>4639.2298495290779</v>
      </c>
      <c r="H11" s="249"/>
      <c r="I11" s="249"/>
      <c r="J11" s="5" t="s">
        <v>185</v>
      </c>
      <c r="L11" s="64">
        <f>'EM ALTNET &amp; CABLE'!D39</f>
        <v>13.112670935174428</v>
      </c>
      <c r="M11" s="64">
        <f>'EM ALTNET &amp; CABLE'!E39</f>
        <v>11.02980176197647</v>
      </c>
      <c r="N11" s="64">
        <f>'EM ALTNET &amp; CABLE'!F39</f>
        <v>9.8532504026613026</v>
      </c>
      <c r="O11" s="64">
        <f>'EM ALTNET &amp; CABLE'!G39</f>
        <v>8.7930944138820468</v>
      </c>
      <c r="P11" s="17">
        <f>'AGG DM'!H39</f>
        <v>9.2670425427640479E-2</v>
      </c>
      <c r="W11" s="10"/>
      <c r="X11" s="10"/>
      <c r="Y11" s="10"/>
      <c r="Z11" s="10"/>
    </row>
    <row r="12" spans="2:63">
      <c r="B12" s="5" t="s">
        <v>229</v>
      </c>
      <c r="C12" s="249"/>
      <c r="D12" s="228">
        <f>MEGA!D12/Prices!$C$180+LiLAC!D12</f>
        <v>8249.7766151995875</v>
      </c>
      <c r="E12" s="228">
        <f>MEGA!E12/Prices!$C$180+LiLAC!E12</f>
        <v>8233.0108253923609</v>
      </c>
      <c r="F12" s="228">
        <f>MEGA!F12/Prices!$C$180+LiLAC!F12</f>
        <v>8059.9304260560675</v>
      </c>
      <c r="G12" s="228">
        <f>MEGA!G12/Prices!$C$180+LiLAC!G12</f>
        <v>7728.684311810739</v>
      </c>
      <c r="H12" s="247"/>
      <c r="I12" s="247"/>
      <c r="J12" s="5" t="s">
        <v>466</v>
      </c>
      <c r="L12" s="64">
        <f>'EM ALTNET &amp; CABLE'!D40</f>
        <v>18.212042965520041</v>
      </c>
      <c r="M12" s="64">
        <f>'EM ALTNET &amp; CABLE'!E40</f>
        <v>15.31916911385621</v>
      </c>
      <c r="N12" s="64">
        <f>'EM ALTNET &amp; CABLE'!F40</f>
        <v>13.685070003696255</v>
      </c>
      <c r="O12" s="64">
        <f>'EM ALTNET &amp; CABLE'!G40</f>
        <v>12.212631130391735</v>
      </c>
      <c r="P12" s="17">
        <f>'AGG DM'!H40</f>
        <v>9.2705111729584289E-2</v>
      </c>
      <c r="W12" s="10"/>
      <c r="X12" s="10"/>
      <c r="Y12" s="10"/>
      <c r="Z12" s="10"/>
    </row>
    <row r="13" spans="2:63">
      <c r="B13" s="5" t="s">
        <v>529</v>
      </c>
      <c r="C13" s="257"/>
      <c r="D13" s="228">
        <f>MEGA!D13/Prices!$C$180+LiLAC!D13</f>
        <v>0</v>
      </c>
      <c r="E13" s="228">
        <f>MEGA!E13/Prices!$C$180+LiLAC!E13</f>
        <v>0</v>
      </c>
      <c r="F13" s="228">
        <f>MEGA!F13/Prices!$C$180+LiLAC!F13</f>
        <v>0</v>
      </c>
      <c r="G13" s="228">
        <f>MEGA!G13/Prices!$C$180+LiLAC!G13</f>
        <v>0</v>
      </c>
      <c r="H13" s="247"/>
      <c r="I13" s="247"/>
      <c r="J13" s="5" t="s">
        <v>530</v>
      </c>
      <c r="L13" s="64">
        <f>'EM ALTNET &amp; CABLE'!D41</f>
        <v>1.2268876383841461</v>
      </c>
      <c r="M13" s="64">
        <f>'EM ALTNET &amp; CABLE'!E41</f>
        <v>1.2122213854463402</v>
      </c>
      <c r="N13" s="64">
        <f>'EM ALTNET &amp; CABLE'!F41</f>
        <v>1.3641194936027397</v>
      </c>
      <c r="O13" s="64">
        <f>'EM ALTNET &amp; CABLE'!G41</f>
        <v>1.3495601303146896</v>
      </c>
      <c r="P13" s="17">
        <f>'AGG DM'!H41</f>
        <v>-2.5668717959517307E-2</v>
      </c>
    </row>
    <row r="14" spans="2:63">
      <c r="B14" s="5" t="s">
        <v>532</v>
      </c>
      <c r="C14" s="274"/>
      <c r="D14" s="228">
        <f>MEGA!D14/Prices!$C$180+LiLAC!D14</f>
        <v>0</v>
      </c>
      <c r="E14" s="228">
        <f>MEGA!E14/Prices!$C$180+LiLAC!E14</f>
        <v>0</v>
      </c>
      <c r="F14" s="228">
        <f>MEGA!F14/Prices!$C$180+LiLAC!F14</f>
        <v>1183.3135633341376</v>
      </c>
      <c r="G14" s="228">
        <f>MEGA!G14/Prices!$C$180+LiLAC!G14</f>
        <v>1183.3135633341376</v>
      </c>
      <c r="H14" s="247"/>
      <c r="I14" s="247"/>
      <c r="J14" s="5" t="s">
        <v>593</v>
      </c>
      <c r="L14" s="64">
        <f>'EM ALTNET &amp; CABLE'!D42</f>
        <v>2.3336690110090066</v>
      </c>
      <c r="M14" s="64">
        <f>'EM ALTNET &amp; CABLE'!E42</f>
        <v>2.0929102293848412</v>
      </c>
      <c r="N14" s="64">
        <f>'EM ALTNET &amp; CABLE'!F42</f>
        <v>2.1833746548644828</v>
      </c>
      <c r="O14" s="64">
        <f>'EM ALTNET &amp; CABLE'!G42</f>
        <v>2.0249632735751923</v>
      </c>
      <c r="P14" s="17">
        <f>'AGG DM'!H42</f>
        <v>-7.2864107786076993E-3</v>
      </c>
    </row>
    <row r="15" spans="2:63">
      <c r="B15" s="5" t="s">
        <v>531</v>
      </c>
      <c r="C15" s="257"/>
      <c r="D15" s="228">
        <f>MEGA!D15/Prices!$C$180+LiLAC!D14</f>
        <v>257.42300170372107</v>
      </c>
      <c r="E15" s="228">
        <f>MEGA!E15/Prices!$C$180+LiLAC!E15</f>
        <v>257.42300170372107</v>
      </c>
      <c r="F15" s="228">
        <f>MEGA!F15/Prices!$C$180+LiLAC!F15</f>
        <v>257.42300170372107</v>
      </c>
      <c r="G15" s="228">
        <f>MEGA!G15/Prices!$C$180+LiLAC!G15</f>
        <v>257.42300170372107</v>
      </c>
      <c r="H15" s="247"/>
      <c r="I15" s="247"/>
      <c r="J15" s="5" t="s">
        <v>475</v>
      </c>
      <c r="L15" s="64">
        <f>'EM ALTNET &amp; CABLE'!D43</f>
        <v>7.6837708066981163</v>
      </c>
      <c r="M15" s="64">
        <f>'EM ALTNET &amp; CABLE'!E43</f>
        <v>5.0966217474671174</v>
      </c>
      <c r="N15" s="64">
        <f>'EM ALTNET &amp; CABLE'!F43</f>
        <v>3.5214258475097426</v>
      </c>
      <c r="O15" s="64">
        <f>'EM ALTNET &amp; CABLE'!G43</f>
        <v>3.130228038771286</v>
      </c>
      <c r="P15" s="17">
        <f>'AGG DM'!H43</f>
        <v>7.171679530370545E-2</v>
      </c>
      <c r="S15" s="88"/>
      <c r="T15" s="88"/>
      <c r="U15" s="88"/>
      <c r="V15" s="42"/>
      <c r="W15" s="42"/>
      <c r="X15" s="42"/>
      <c r="Y15" s="42"/>
      <c r="Z15" s="42"/>
      <c r="AA15" s="42"/>
    </row>
    <row r="16" spans="2:63">
      <c r="B16" s="5" t="s">
        <v>534</v>
      </c>
      <c r="C16" s="257"/>
      <c r="D16" s="228">
        <f>MEGA!D16/Prices!$C$180+LiLAC!D16</f>
        <v>0</v>
      </c>
      <c r="E16" s="228">
        <f>MEGA!E16/Prices!$C$180+LiLAC!E16</f>
        <v>159.39453969203169</v>
      </c>
      <c r="F16" s="228">
        <f>MEGA!F16/Prices!$C$180+LiLAC!F16</f>
        <v>326.75880636866498</v>
      </c>
      <c r="G16" s="228">
        <f>MEGA!G16/Prices!$C$180+LiLAC!G16</f>
        <v>510.85949971296156</v>
      </c>
      <c r="H16" s="247"/>
      <c r="I16" s="247"/>
      <c r="J16" s="5" t="s">
        <v>533</v>
      </c>
      <c r="L16" s="64">
        <f>'EM ALTNET &amp; CABLE'!D44</f>
        <v>7.9551363991029369</v>
      </c>
      <c r="M16" s="64">
        <f>'EM ALTNET &amp; CABLE'!E44</f>
        <v>4.7399510803429443</v>
      </c>
      <c r="N16" s="64">
        <f>'EM ALTNET &amp; CABLE'!F44</f>
        <v>4.9034480734846939</v>
      </c>
      <c r="O16" s="64">
        <f>'EM ALTNET &amp; CABLE'!G44</f>
        <v>4.7430296086516766</v>
      </c>
      <c r="P16" s="17">
        <f>'AGG DM'!H44</f>
        <v>7.6119307301105277E-2</v>
      </c>
      <c r="S16" s="88"/>
      <c r="T16" s="88"/>
      <c r="U16" s="88"/>
      <c r="V16" s="42"/>
      <c r="W16" s="42"/>
      <c r="X16" s="42"/>
      <c r="Y16" s="42"/>
      <c r="Z16" s="42"/>
      <c r="AA16" s="42"/>
    </row>
    <row r="17" spans="2:27">
      <c r="B17" s="5" t="s">
        <v>6</v>
      </c>
      <c r="C17" s="257"/>
      <c r="D17" s="228">
        <f>MEGA!D17/Prices!$C$180+LiLAC!D17</f>
        <v>0</v>
      </c>
      <c r="E17" s="228">
        <f>MEGA!E17/Prices!$C$180+LiLAC!E17</f>
        <v>0</v>
      </c>
      <c r="F17" s="228">
        <f>MEGA!F17/Prices!$C$180+LiLAC!F17</f>
        <v>0</v>
      </c>
      <c r="G17" s="228">
        <f>MEGA!G17/Prices!$C$180+LiLAC!G17</f>
        <v>0</v>
      </c>
      <c r="H17" s="247"/>
      <c r="I17" s="247"/>
      <c r="J17" s="5" t="s">
        <v>580</v>
      </c>
      <c r="L17" s="248">
        <f>'EM ALTNET &amp; CABLE'!D45</f>
        <v>3.7749364457923699E-2</v>
      </c>
      <c r="M17" s="248">
        <f>'EM ALTNET &amp; CABLE'!E45</f>
        <v>3.9561451287999268E-2</v>
      </c>
      <c r="N17" s="248">
        <f>'EM ALTNET &amp; CABLE'!F45</f>
        <v>3.9515958030884861E-2</v>
      </c>
      <c r="O17" s="248">
        <f>'EM ALTNET &amp; CABLE'!G45</f>
        <v>4.3651806279717507E-2</v>
      </c>
      <c r="P17" s="17">
        <f>'AGG DM'!H45</f>
        <v>5.8812184463164385E-2</v>
      </c>
      <c r="S17" s="88"/>
      <c r="T17" s="88"/>
      <c r="U17" s="88"/>
      <c r="V17" s="42"/>
      <c r="W17" s="42"/>
      <c r="X17" s="42"/>
      <c r="Y17" s="42"/>
      <c r="Z17" s="42"/>
      <c r="AA17" s="42"/>
    </row>
    <row r="18" spans="2:27" ht="12.6" thickBot="1">
      <c r="B18" s="41" t="s">
        <v>456</v>
      </c>
      <c r="C18" s="249"/>
      <c r="D18" s="275">
        <f>MEGA!D18/Prices!$C$180+LiLAC!D18</f>
        <v>12729.642616432386</v>
      </c>
      <c r="E18" s="275">
        <f>MEGA!E18/Prices!$C$180+LiLAC!E18</f>
        <v>12561.527836933128</v>
      </c>
      <c r="F18" s="275">
        <f>MEGA!F18/Prices!$C$180+LiLAC!F18</f>
        <v>13832.803034254339</v>
      </c>
      <c r="G18" s="275">
        <f>MEGA!G18/Prices!$C$180+LiLAC!G18</f>
        <v>13297.791226664714</v>
      </c>
      <c r="H18" s="276">
        <f>IF(D18=0,"nm",IF(G18=0,"nm",(G18/D18)^(1/3)-1))</f>
        <v>1.4661307957358316E-2</v>
      </c>
      <c r="I18" s="254"/>
      <c r="J18" s="5" t="s">
        <v>36</v>
      </c>
      <c r="L18" s="248">
        <f>'EM ALTNET &amp; CABLE'!D46</f>
        <v>9.6435769467449375E-2</v>
      </c>
      <c r="M18" s="248">
        <f>'EM ALTNET &amp; CABLE'!E46</f>
        <v>2.6153638160454815E-3</v>
      </c>
      <c r="N18" s="248">
        <f>'EM ALTNET &amp; CABLE'!F46</f>
        <v>0.42921567408769146</v>
      </c>
      <c r="O18" s="248">
        <f>'EM ALTNET &amp; CABLE'!G46</f>
        <v>0.10764949762715911</v>
      </c>
      <c r="P18" s="17">
        <f>'AGG DM'!H46</f>
        <v>0.15593203466037919</v>
      </c>
      <c r="S18" s="88"/>
      <c r="T18" s="88"/>
      <c r="U18" s="88"/>
      <c r="V18" s="42"/>
      <c r="W18" s="42"/>
      <c r="X18" s="42"/>
      <c r="Y18" s="42"/>
      <c r="Z18" s="42"/>
      <c r="AA18" s="42"/>
    </row>
    <row r="19" spans="2:27" ht="12.6" thickTop="1">
      <c r="B19" s="41"/>
      <c r="C19" s="249"/>
      <c r="D19" s="229"/>
      <c r="E19" s="229"/>
      <c r="F19" s="229"/>
      <c r="G19" s="229"/>
      <c r="H19" s="276"/>
      <c r="I19" s="17"/>
      <c r="J19" s="5" t="s">
        <v>581</v>
      </c>
      <c r="L19" s="248">
        <f>'EM ALTNET &amp; CABLE'!D47</f>
        <v>0.13014443365857262</v>
      </c>
      <c r="M19" s="248">
        <f>'EM ALTNET &amp; CABLE'!E47</f>
        <v>0.19620840029907513</v>
      </c>
      <c r="N19" s="248">
        <f>'EM ALTNET &amp; CABLE'!F47</f>
        <v>0.28397587889211784</v>
      </c>
      <c r="O19" s="248">
        <f>'EM ALTNET &amp; CABLE'!G47</f>
        <v>0.31946554296169805</v>
      </c>
      <c r="P19" s="17">
        <f>'AGG DM'!H47</f>
        <v>7.171679530370545E-2</v>
      </c>
      <c r="S19" s="88"/>
      <c r="T19" s="88"/>
      <c r="U19" s="88"/>
      <c r="V19" s="42"/>
      <c r="W19" s="42"/>
      <c r="X19" s="42"/>
      <c r="Y19" s="42"/>
      <c r="Z19" s="42"/>
      <c r="AA19" s="42"/>
    </row>
    <row r="20" spans="2:27">
      <c r="H20" s="277"/>
      <c r="I20" s="49"/>
      <c r="J20" s="5" t="s">
        <v>604</v>
      </c>
      <c r="L20" s="248">
        <f>'EM ALTNET &amp; CABLE'!D48</f>
        <v>0.45784431877334641</v>
      </c>
      <c r="M20" s="248">
        <f>'EM ALTNET &amp; CABLE'!E48</f>
        <v>0.31887107765882267</v>
      </c>
      <c r="N20" s="248">
        <f>'EM ALTNET &amp; CABLE'!F48</f>
        <v>0.24235052189109718</v>
      </c>
      <c r="O20" s="248">
        <f>'EM ALTNET &amp; CABLE'!G48</f>
        <v>0.23697038496719178</v>
      </c>
      <c r="P20" s="17" t="str">
        <f>'AGG DM'!H48</f>
        <v>nm</v>
      </c>
      <c r="S20" s="42"/>
      <c r="T20" s="42"/>
      <c r="U20" s="42"/>
      <c r="V20" s="42"/>
      <c r="W20" s="42"/>
      <c r="X20" s="42"/>
      <c r="Y20" s="42"/>
      <c r="Z20" s="42"/>
      <c r="AA20" s="42"/>
    </row>
    <row r="21" spans="2:27" ht="12.6" thickBot="1">
      <c r="B21" s="306" t="s">
        <v>159</v>
      </c>
      <c r="C21" s="265">
        <v>2020</v>
      </c>
      <c r="D21" s="265" t="str">
        <f>D5</f>
        <v>2023E</v>
      </c>
      <c r="E21" s="265" t="str">
        <f>E5</f>
        <v>2024E</v>
      </c>
      <c r="F21" s="265" t="str">
        <f>F5</f>
        <v>2025E</v>
      </c>
      <c r="G21" s="265" t="str">
        <f>G5</f>
        <v>2026E</v>
      </c>
      <c r="H21" s="282" t="str">
        <f>H5</f>
        <v>23E-26E</v>
      </c>
      <c r="I21" s="17"/>
      <c r="S21" s="42"/>
      <c r="T21" s="42"/>
      <c r="U21" s="42"/>
      <c r="V21" s="42"/>
      <c r="W21" s="42"/>
      <c r="X21" s="42"/>
      <c r="Y21" s="42"/>
      <c r="Z21" s="42"/>
      <c r="AA21" s="42"/>
    </row>
    <row r="22" spans="2:27" ht="12.6" thickTop="1">
      <c r="B22" s="5"/>
      <c r="C22" s="257"/>
      <c r="D22" s="17"/>
      <c r="E22" s="17"/>
      <c r="F22" s="17"/>
      <c r="G22" s="17"/>
      <c r="H22" s="17"/>
      <c r="I22" s="247"/>
      <c r="P22" s="277"/>
      <c r="S22" s="42"/>
      <c r="T22" s="42"/>
      <c r="U22" s="42"/>
      <c r="V22" s="42"/>
      <c r="W22" s="42"/>
      <c r="X22" s="42"/>
      <c r="Y22" s="42"/>
      <c r="Z22" s="42"/>
      <c r="AA22" s="42"/>
    </row>
    <row r="23" spans="2:27" ht="12.6" thickBot="1">
      <c r="B23" s="5" t="s">
        <v>584</v>
      </c>
      <c r="C23" s="365">
        <f>MEGA!C23/Prices!$C$180+LiLAC!C23</f>
        <v>6438.8932575870831</v>
      </c>
      <c r="D23" s="228">
        <f>MEGA!D23/Prices!$C$180+LiLAC!D23</f>
        <v>6370.6134206126535</v>
      </c>
      <c r="E23" s="228">
        <f>MEGA!E23/Prices!$C$180+LiLAC!E23</f>
        <v>6640.0578209757341</v>
      </c>
      <c r="F23" s="228">
        <f>MEGA!F23/Prices!$C$180+LiLAC!F23</f>
        <v>6890.9998173190052</v>
      </c>
      <c r="G23" s="228">
        <f>MEGA!G23/Prices!$C$180+LiLAC!G23</f>
        <v>6977.1659878154696</v>
      </c>
      <c r="H23" s="279">
        <f t="shared" ref="H23:H33" si="0">IF(D23=0,"nm",IF(G23=0,"nm",(G23/D23)^(1/3)-1))</f>
        <v>3.0779883338322822E-2</v>
      </c>
      <c r="I23" s="249"/>
      <c r="J23" s="306" t="s">
        <v>9</v>
      </c>
      <c r="K23" s="306"/>
      <c r="L23" s="265" t="str">
        <f>L5</f>
        <v>2023E</v>
      </c>
      <c r="M23" s="265" t="str">
        <f>M5</f>
        <v>2024E</v>
      </c>
      <c r="N23" s="265" t="str">
        <f>N5</f>
        <v>2025E</v>
      </c>
      <c r="O23" s="265" t="str">
        <f>O5</f>
        <v>2026E</v>
      </c>
      <c r="P23" s="282" t="str">
        <f>P5</f>
        <v>23E-26E</v>
      </c>
      <c r="S23" s="42"/>
      <c r="T23" s="42"/>
      <c r="U23" s="42"/>
      <c r="V23" s="42"/>
      <c r="W23" s="42" t="s">
        <v>567</v>
      </c>
      <c r="X23" s="42" t="s">
        <v>610</v>
      </c>
      <c r="Y23" s="42"/>
      <c r="Z23" s="42"/>
      <c r="AA23" s="42"/>
    </row>
    <row r="24" spans="2:27" ht="12.6" thickTop="1">
      <c r="B24" s="5" t="s">
        <v>483</v>
      </c>
      <c r="C24" s="365">
        <f>MEGA!C24/Prices!$C$180+LiLAC!C24</f>
        <v>2481.5830766930781</v>
      </c>
      <c r="D24" s="228">
        <f>MEGA!D24/Prices!$C$180+LiLAC!D24</f>
        <v>2459.0764524053216</v>
      </c>
      <c r="E24" s="228">
        <f>MEGA!E24/Prices!$C$180+LiLAC!E24</f>
        <v>2647.5356451927319</v>
      </c>
      <c r="F24" s="228">
        <f>MEGA!F24/Prices!$C$180+LiLAC!F24</f>
        <v>2795.3465134074813</v>
      </c>
      <c r="G24" s="228">
        <f>MEGA!G24/Prices!$C$180+LiLAC!G24</f>
        <v>2862.0310354238263</v>
      </c>
      <c r="H24" s="279">
        <f t="shared" si="0"/>
        <v>5.1882999030477217E-2</v>
      </c>
      <c r="I24" s="248"/>
      <c r="J24" s="17"/>
      <c r="K24" s="17"/>
      <c r="L24" s="17"/>
      <c r="M24" s="17"/>
      <c r="N24" s="17"/>
      <c r="O24" s="248"/>
      <c r="S24" s="42"/>
      <c r="T24" s="42"/>
      <c r="U24" s="42"/>
      <c r="V24" s="147" t="s">
        <v>273</v>
      </c>
      <c r="W24" s="288">
        <f t="shared" ref="W24:W31" si="1">E37/M9</f>
        <v>1</v>
      </c>
      <c r="X24" s="288">
        <v>1</v>
      </c>
      <c r="Y24" s="42"/>
      <c r="Z24" s="42"/>
      <c r="AA24" s="42"/>
    </row>
    <row r="25" spans="2:27">
      <c r="B25" s="5" t="s">
        <v>183</v>
      </c>
      <c r="C25" s="365">
        <f>MEGA!C25/Prices!$C$180+LiLAC!C25</f>
        <v>957.49416953206764</v>
      </c>
      <c r="D25" s="228">
        <f>MEGA!D25/Prices!$C$180+LiLAC!D25</f>
        <v>970.7894508574467</v>
      </c>
      <c r="E25" s="228">
        <f>MEGA!E25/Prices!$C$180+LiLAC!E25</f>
        <v>1138.8715869977868</v>
      </c>
      <c r="F25" s="228">
        <f>MEGA!F25/Prices!$C$180+LiLAC!F25</f>
        <v>1403.8822184523174</v>
      </c>
      <c r="G25" s="228">
        <f>MEGA!G25/Prices!$C$180+LiLAC!G25</f>
        <v>1512.2993795757388</v>
      </c>
      <c r="H25" s="279">
        <f t="shared" si="0"/>
        <v>0.15923346120854243</v>
      </c>
      <c r="I25" s="249"/>
      <c r="J25" s="247" t="s">
        <v>10</v>
      </c>
      <c r="K25" s="247"/>
      <c r="L25" s="332">
        <f>(MEGA!L25)/Prices!$C$180</f>
        <v>0</v>
      </c>
      <c r="M25" s="332">
        <f>(MEGA!M25)/Prices!$C$180</f>
        <v>0</v>
      </c>
      <c r="N25" s="332">
        <f>(MEGA!N25)/Prices!$C$180</f>
        <v>0</v>
      </c>
      <c r="O25" s="332">
        <f>(MEGA!O25)/Prices!$C$180</f>
        <v>0</v>
      </c>
      <c r="P25" s="279" t="str">
        <f>IF(L25=0,"nm",IF(O25=0,"nm",(O25/L25)^(1/3)-1))</f>
        <v>nm</v>
      </c>
      <c r="Q25" s="5"/>
      <c r="S25" s="42"/>
      <c r="T25" s="42"/>
      <c r="U25" s="42"/>
      <c r="V25" s="147" t="s">
        <v>184</v>
      </c>
      <c r="W25" s="288">
        <f t="shared" si="1"/>
        <v>1</v>
      </c>
      <c r="X25" s="288">
        <v>1</v>
      </c>
      <c r="Y25" s="42"/>
      <c r="Z25" s="42"/>
      <c r="AA25" s="42"/>
    </row>
    <row r="26" spans="2:27">
      <c r="B26" s="5" t="s">
        <v>586</v>
      </c>
      <c r="C26" s="365">
        <f>MEGA!C26/Prices!$C$180+LiLAC!C26</f>
        <v>689.39580206308869</v>
      </c>
      <c r="D26" s="228">
        <f>MEGA!D26/Prices!$C$180+LiLAC!D26</f>
        <v>698.96840461736156</v>
      </c>
      <c r="E26" s="228">
        <f>MEGA!E26/Prices!$C$180+LiLAC!E26</f>
        <v>819.98754263840647</v>
      </c>
      <c r="F26" s="228">
        <f>MEGA!F26/Prices!$C$180+LiLAC!F26</f>
        <v>1010.7951972856683</v>
      </c>
      <c r="G26" s="228">
        <f>MEGA!G26/Prices!$C$180+LiLAC!G26</f>
        <v>1088.8555532945318</v>
      </c>
      <c r="H26" s="279">
        <f t="shared" si="0"/>
        <v>0.15923346120854243</v>
      </c>
      <c r="I26" s="249"/>
      <c r="J26" s="249" t="s">
        <v>11</v>
      </c>
      <c r="K26" s="249"/>
      <c r="L26" s="281">
        <f>(MEGA!L26)/Prices!$C$180</f>
        <v>2675.0383495290771</v>
      </c>
      <c r="M26" s="281">
        <f>(MEGA!M26)/Prices!$C$180</f>
        <v>2675.0383495290771</v>
      </c>
      <c r="N26" s="281">
        <f>(MEGA!N26)/Prices!$C$180</f>
        <v>2675.0383495290771</v>
      </c>
      <c r="O26" s="281">
        <f>(MEGA!O26)/Prices!$C$180</f>
        <v>2675.0383495290771</v>
      </c>
      <c r="P26" s="279">
        <f>IF(L26=0,"nm",IF(O26=0,"nm",(O26/L26)^(1/3)-1))</f>
        <v>0</v>
      </c>
      <c r="Q26" s="41"/>
      <c r="S26" s="42"/>
      <c r="T26" s="42"/>
      <c r="U26" s="42"/>
      <c r="V26" s="147" t="s">
        <v>185</v>
      </c>
      <c r="W26" s="288">
        <f t="shared" si="1"/>
        <v>1</v>
      </c>
      <c r="X26" s="288">
        <v>1</v>
      </c>
      <c r="Y26" s="42"/>
      <c r="Z26" s="42"/>
      <c r="AA26" s="42"/>
    </row>
    <row r="27" spans="2:27">
      <c r="B27" s="5" t="s">
        <v>587</v>
      </c>
      <c r="C27" s="365">
        <f>MEGA!C27/Prices!$C$180+LiLAC!C27</f>
        <v>10010.534758558828</v>
      </c>
      <c r="D27" s="228">
        <f>MEGA!D27/Prices!$C$180+LiLAC!D27</f>
        <v>10375.556993301987</v>
      </c>
      <c r="E27" s="228">
        <f>MEGA!E27/Prices!$C$180+LiLAC!E27</f>
        <v>10362.40408537915</v>
      </c>
      <c r="F27" s="228">
        <f>MEGA!F27/Prices!$C$180+LiLAC!F27</f>
        <v>10140.462840041155</v>
      </c>
      <c r="G27" s="228">
        <f>MEGA!G27/Prices!$C$180+LiLAC!G27</f>
        <v>9853.4262593871554</v>
      </c>
      <c r="H27" s="279">
        <f t="shared" si="0"/>
        <v>-1.7063904711860811E-2</v>
      </c>
      <c r="I27" s="248"/>
      <c r="J27" s="248"/>
      <c r="K27" s="248"/>
      <c r="L27" s="248"/>
      <c r="M27" s="248"/>
      <c r="N27" s="248"/>
      <c r="O27" s="248"/>
      <c r="Q27" s="5"/>
      <c r="S27" s="42"/>
      <c r="T27" s="42"/>
      <c r="U27" s="42"/>
      <c r="V27" s="147" t="s">
        <v>466</v>
      </c>
      <c r="W27" s="288">
        <f t="shared" si="1"/>
        <v>1</v>
      </c>
      <c r="X27" s="288">
        <v>1</v>
      </c>
      <c r="Y27" s="42"/>
      <c r="Z27" s="42"/>
      <c r="AA27" s="42"/>
    </row>
    <row r="28" spans="2:27" ht="12.6" thickBot="1">
      <c r="B28" s="5" t="s">
        <v>592</v>
      </c>
      <c r="C28" s="365">
        <f>MEGA!C28/Prices!$C$180+LiLAC!C28</f>
        <v>7058.4991478546872</v>
      </c>
      <c r="D28" s="228">
        <f>MEGA!D28/Prices!$C$180+LiLAC!D28</f>
        <v>5454.7763870457711</v>
      </c>
      <c r="E28" s="228">
        <f>MEGA!E28/Prices!$C$180+LiLAC!E28</f>
        <v>6001.9429694436894</v>
      </c>
      <c r="F28" s="228">
        <f>MEGA!F28/Prices!$C$180+LiLAC!F28</f>
        <v>6335.5150722462295</v>
      </c>
      <c r="G28" s="228">
        <f>MEGA!G28/Prices!$C$180+LiLAC!G28</f>
        <v>6566.9295834618661</v>
      </c>
      <c r="H28" s="279">
        <f t="shared" si="0"/>
        <v>6.3804449613136471E-2</v>
      </c>
      <c r="I28" s="252"/>
      <c r="J28" s="306" t="s">
        <v>754</v>
      </c>
      <c r="K28" s="306"/>
      <c r="L28" s="306"/>
      <c r="M28" s="306"/>
      <c r="N28" s="266"/>
      <c r="O28" s="266"/>
      <c r="P28" s="266"/>
      <c r="Q28" s="5"/>
      <c r="S28" s="42"/>
      <c r="T28" s="42"/>
      <c r="U28" s="42"/>
      <c r="V28" s="147" t="s">
        <v>530</v>
      </c>
      <c r="W28" s="288">
        <f t="shared" si="1"/>
        <v>1</v>
      </c>
      <c r="X28" s="288">
        <v>1</v>
      </c>
      <c r="Y28" s="42"/>
      <c r="Z28" s="42"/>
      <c r="AA28" s="42"/>
    </row>
    <row r="29" spans="2:27" ht="12.6" thickTop="1">
      <c r="B29" s="5" t="s">
        <v>588</v>
      </c>
      <c r="C29" s="365">
        <f>MEGA!C29/Prices!$C$180+LiLAC!C29</f>
        <v>215.77546386808677</v>
      </c>
      <c r="D29" s="228">
        <f>MEGA!D29/Prices!$C$180+LiLAC!D29</f>
        <v>348.14135101442457</v>
      </c>
      <c r="E29" s="228">
        <f>MEGA!E29/Prices!$C$180+LiLAC!E29</f>
        <v>524.86499529977846</v>
      </c>
      <c r="F29" s="228">
        <f>MEGA!F29/Prices!$C$180+LiLAC!F29</f>
        <v>759.64636637763988</v>
      </c>
      <c r="G29" s="228">
        <f>MEGA!G29/Prices!$C$180+LiLAC!G29</f>
        <v>854.58257877567121</v>
      </c>
      <c r="H29" s="279">
        <f t="shared" si="0"/>
        <v>0.34896125174837644</v>
      </c>
      <c r="I29" s="254"/>
      <c r="J29" s="249"/>
      <c r="K29" s="249"/>
      <c r="L29" s="249"/>
      <c r="M29" s="249"/>
      <c r="N29" s="249"/>
      <c r="O29" s="251"/>
      <c r="Q29" s="5"/>
      <c r="S29" s="42"/>
      <c r="T29" s="42"/>
      <c r="U29" s="42"/>
      <c r="V29" s="147" t="s">
        <v>593</v>
      </c>
      <c r="W29" s="288">
        <f t="shared" si="1"/>
        <v>1</v>
      </c>
      <c r="X29" s="288">
        <v>1</v>
      </c>
      <c r="Y29" s="42"/>
      <c r="Z29" s="42"/>
      <c r="AA29" s="42"/>
    </row>
    <row r="30" spans="2:27">
      <c r="B30" s="5" t="s">
        <v>589</v>
      </c>
      <c r="C30" s="365">
        <f>MEGA!C30/Prices!$C$180+LiLAC!C30</f>
        <v>516.2946579492301</v>
      </c>
      <c r="D30" s="228">
        <f>MEGA!D30/Prices!$C$180+LiLAC!D30</f>
        <v>530.78197377045888</v>
      </c>
      <c r="E30" s="228">
        <f>MEGA!E30/Prices!$C$180+LiLAC!E30</f>
        <v>892.51734412900169</v>
      </c>
      <c r="F30" s="228">
        <f>MEGA!F30/Prices!$C$180+LiLAC!F30</f>
        <v>950.12627435007744</v>
      </c>
      <c r="G30" s="228">
        <f>MEGA!G30/Prices!$C$180+LiLAC!G30</f>
        <v>978.11530441782202</v>
      </c>
      <c r="H30" s="279">
        <f t="shared" si="0"/>
        <v>0.22600233239872392</v>
      </c>
      <c r="I30" s="254"/>
      <c r="J30" s="248"/>
      <c r="K30" s="248"/>
      <c r="L30" s="248"/>
      <c r="M30" s="248"/>
      <c r="N30" s="248"/>
      <c r="O30" s="5"/>
      <c r="Q30" s="5"/>
      <c r="S30" s="42"/>
      <c r="T30" s="42"/>
      <c r="U30" s="42"/>
      <c r="V30" s="147" t="s">
        <v>475</v>
      </c>
      <c r="W30" s="288">
        <f t="shared" si="1"/>
        <v>1</v>
      </c>
      <c r="X30" s="288">
        <v>1</v>
      </c>
      <c r="Y30" s="42"/>
      <c r="Z30" s="42"/>
      <c r="AA30" s="42"/>
    </row>
    <row r="31" spans="2:27">
      <c r="B31" s="5" t="s">
        <v>590</v>
      </c>
      <c r="C31" s="365">
        <f>MEGA!C31/Prices!$C$180+LiLAC!C31</f>
        <v>151.80432351622065</v>
      </c>
      <c r="D31" s="228">
        <f>MEGA!D31/Prices!$C$180+LiLAC!D31</f>
        <v>159.39453969203169</v>
      </c>
      <c r="E31" s="228">
        <f>MEGA!E31/Prices!$C$180+LiLAC!E31</f>
        <v>167.36426667663326</v>
      </c>
      <c r="F31" s="228">
        <f>MEGA!F31/Prices!$C$180+LiLAC!F31</f>
        <v>184.10069334429664</v>
      </c>
      <c r="G31" s="228">
        <f>MEGA!G31/Prices!$C$180+LiLAC!G31</f>
        <v>202.51076267872631</v>
      </c>
      <c r="H31" s="279">
        <f t="shared" si="0"/>
        <v>8.3074231263342124E-2</v>
      </c>
      <c r="I31" s="254"/>
      <c r="J31" s="252"/>
      <c r="K31" s="252"/>
      <c r="L31" s="252"/>
      <c r="M31" s="252"/>
      <c r="N31" s="252"/>
      <c r="O31" s="5"/>
      <c r="Q31" s="5"/>
      <c r="S31" s="42"/>
      <c r="T31" s="42"/>
      <c r="U31" s="42"/>
      <c r="V31" s="147" t="s">
        <v>533</v>
      </c>
      <c r="W31" s="288">
        <f t="shared" si="1"/>
        <v>1</v>
      </c>
      <c r="X31" s="288">
        <v>1</v>
      </c>
      <c r="Y31" s="42"/>
      <c r="Z31" s="42"/>
      <c r="AA31" s="42"/>
    </row>
    <row r="32" spans="2:27">
      <c r="B32" s="5" t="s">
        <v>606</v>
      </c>
      <c r="C32" s="365">
        <f>MEGA!C32/Prices!$C$180+LiLAC!C32</f>
        <v>0</v>
      </c>
      <c r="D32" s="228">
        <f>MEGA!D32/Prices!$C$180+LiLAC!D32</f>
        <v>247.7999999999999</v>
      </c>
      <c r="E32" s="228">
        <f>MEGA!E32/Prices!$C$180+LiLAC!E32</f>
        <v>-156.30000000000018</v>
      </c>
      <c r="F32" s="228">
        <f>MEGA!F32/Prices!$C$180+LiLAC!F32</f>
        <v>1815.57</v>
      </c>
      <c r="G32" s="228">
        <f>MEGA!G32/Prices!$C$180+LiLAC!G32</f>
        <v>296.89999999999992</v>
      </c>
      <c r="H32" s="279" t="s">
        <v>607</v>
      </c>
      <c r="I32" s="5"/>
      <c r="J32" s="254"/>
      <c r="K32" s="254"/>
      <c r="L32" s="254"/>
      <c r="M32" s="254"/>
      <c r="N32" s="254"/>
      <c r="O32" s="251"/>
      <c r="Q32" s="5"/>
      <c r="S32" s="42"/>
      <c r="T32" s="42"/>
      <c r="U32" s="42"/>
      <c r="V32" s="147" t="s">
        <v>580</v>
      </c>
      <c r="W32" s="288">
        <f>M17/E45</f>
        <v>1</v>
      </c>
      <c r="X32" s="288">
        <v>1</v>
      </c>
      <c r="Y32" s="42"/>
      <c r="Z32" s="42"/>
      <c r="AA32" s="42"/>
    </row>
    <row r="33" spans="2:42">
      <c r="B33" s="5" t="s">
        <v>5</v>
      </c>
      <c r="C33" s="365">
        <f>MEGA!C33/Prices!$C$180+LiLAC!C33</f>
        <v>485.17959336223657</v>
      </c>
      <c r="D33" s="228">
        <f>MEGA!D33/Prices!$C$180+LiLAC!D33</f>
        <v>313.54184569465656</v>
      </c>
      <c r="E33" s="228">
        <f>MEGA!E33/Prices!$C$180+LiLAC!E33</f>
        <v>299.17079721109496</v>
      </c>
      <c r="F33" s="228">
        <f>MEGA!F33/Prices!$C$180+LiLAC!F33</f>
        <v>305.34317681161457</v>
      </c>
      <c r="G33" s="228">
        <f>MEGA!G33/Prices!$C$180+LiLAC!G33</f>
        <v>326.11986848198785</v>
      </c>
      <c r="H33" s="279">
        <f t="shared" si="0"/>
        <v>1.31970484926478E-2</v>
      </c>
      <c r="I33" s="49"/>
      <c r="J33" s="254"/>
      <c r="K33" s="254"/>
      <c r="L33" s="254"/>
      <c r="M33" s="254"/>
      <c r="N33" s="254"/>
      <c r="O33" s="251"/>
      <c r="Q33" s="5"/>
      <c r="S33" s="42"/>
      <c r="T33" s="42"/>
      <c r="U33" s="42"/>
      <c r="V33" s="147" t="s">
        <v>581</v>
      </c>
      <c r="W33" s="288">
        <f>M19/E47</f>
        <v>1</v>
      </c>
      <c r="X33" s="288">
        <v>1</v>
      </c>
      <c r="Y33" s="288"/>
      <c r="Z33" s="288"/>
      <c r="AA33" s="42"/>
      <c r="AC33" s="10"/>
      <c r="AD33" s="10"/>
      <c r="AE33" s="10"/>
      <c r="AF33" s="10"/>
      <c r="AH33" s="10"/>
      <c r="AI33" s="10"/>
      <c r="AJ33" s="10"/>
      <c r="AK33" s="10"/>
      <c r="AM33" s="10"/>
      <c r="AN33" s="10"/>
      <c r="AO33" s="10"/>
      <c r="AP33" s="10"/>
    </row>
    <row r="34" spans="2:42">
      <c r="H34" s="277"/>
      <c r="I34" s="254"/>
      <c r="J34" s="254"/>
      <c r="K34" s="254"/>
      <c r="L34" s="254"/>
      <c r="M34" s="254"/>
      <c r="N34" s="254"/>
      <c r="O34" s="251"/>
      <c r="Q34" s="5"/>
      <c r="S34" s="42"/>
      <c r="T34" s="42"/>
      <c r="U34" s="42"/>
      <c r="V34" s="42"/>
      <c r="W34" s="42"/>
      <c r="X34" s="42"/>
      <c r="Y34" s="288"/>
      <c r="Z34" s="288"/>
      <c r="AA34" s="42"/>
      <c r="AC34" s="10"/>
      <c r="AD34" s="10"/>
      <c r="AE34" s="10"/>
      <c r="AF34" s="10"/>
      <c r="AH34" s="10"/>
      <c r="AI34" s="10"/>
      <c r="AJ34" s="10"/>
      <c r="AK34" s="10"/>
      <c r="AM34" s="10"/>
      <c r="AN34" s="10"/>
      <c r="AO34" s="10"/>
      <c r="AP34" s="10"/>
    </row>
    <row r="35" spans="2:42" ht="12.6" thickBot="1">
      <c r="B35" s="306" t="s">
        <v>830</v>
      </c>
      <c r="C35" s="265"/>
      <c r="D35" s="265" t="str">
        <f>D5</f>
        <v>2023E</v>
      </c>
      <c r="E35" s="265" t="str">
        <f>E5</f>
        <v>2024E</v>
      </c>
      <c r="F35" s="265" t="str">
        <f>F5</f>
        <v>2025E</v>
      </c>
      <c r="G35" s="265" t="str">
        <f>G5</f>
        <v>2026E</v>
      </c>
      <c r="H35" s="265" t="str">
        <f>H5</f>
        <v>23E-26E</v>
      </c>
      <c r="I35" s="17"/>
      <c r="J35" s="5"/>
      <c r="K35" s="5"/>
      <c r="L35" s="5"/>
      <c r="M35" s="5"/>
      <c r="N35" s="5"/>
      <c r="O35" s="5"/>
      <c r="Q35" s="5"/>
      <c r="S35" s="42"/>
      <c r="T35" s="42"/>
      <c r="U35" s="42"/>
      <c r="V35" s="42"/>
      <c r="W35" s="42"/>
      <c r="X35" s="42"/>
      <c r="Y35" s="288"/>
      <c r="Z35" s="288"/>
      <c r="AA35" s="42"/>
      <c r="AC35" s="10"/>
      <c r="AD35" s="10"/>
      <c r="AE35" s="10"/>
      <c r="AF35" s="10"/>
      <c r="AH35" s="10"/>
      <c r="AI35" s="10"/>
      <c r="AJ35" s="10"/>
      <c r="AK35" s="10"/>
      <c r="AM35" s="10"/>
      <c r="AN35" s="10"/>
      <c r="AO35" s="10"/>
      <c r="AP35" s="10"/>
    </row>
    <row r="36" spans="2:42" ht="12.6" thickTop="1">
      <c r="B36" s="41"/>
      <c r="C36" s="249"/>
      <c r="D36" s="254"/>
      <c r="E36" s="254"/>
      <c r="F36" s="254"/>
      <c r="G36" s="254"/>
      <c r="H36" s="254"/>
      <c r="I36" s="5"/>
      <c r="J36" s="49"/>
      <c r="K36" s="49"/>
      <c r="L36" s="49"/>
      <c r="M36" s="49"/>
      <c r="N36" s="49"/>
      <c r="O36" s="49"/>
      <c r="Q36" s="5"/>
      <c r="R36" s="5"/>
      <c r="S36" s="42"/>
      <c r="T36" s="42"/>
      <c r="U36" s="42"/>
      <c r="V36" s="42"/>
      <c r="W36" s="42"/>
      <c r="X36" s="42"/>
      <c r="Y36" s="42"/>
      <c r="Z36" s="42"/>
      <c r="AA36" s="42"/>
      <c r="AC36" s="10"/>
      <c r="AD36" s="10"/>
      <c r="AE36" s="10"/>
      <c r="AF36" s="10"/>
      <c r="AH36" s="10"/>
      <c r="AI36" s="10"/>
      <c r="AJ36" s="10"/>
      <c r="AK36" s="10"/>
      <c r="AM36" s="10"/>
      <c r="AN36" s="10"/>
      <c r="AO36" s="10"/>
      <c r="AP36" s="10"/>
    </row>
    <row r="37" spans="2:42">
      <c r="B37" s="5" t="s">
        <v>273</v>
      </c>
      <c r="C37" s="247"/>
      <c r="D37" s="557">
        <f t="shared" ref="D37:G41" si="2">D$18/D23</f>
        <v>1.9981816154853409</v>
      </c>
      <c r="E37" s="557">
        <f t="shared" si="2"/>
        <v>1.8917798874057477</v>
      </c>
      <c r="F37" s="557">
        <f t="shared" si="2"/>
        <v>2.0073724279441492</v>
      </c>
      <c r="G37" s="557">
        <f t="shared" si="2"/>
        <v>1.9059015150115719</v>
      </c>
      <c r="H37" s="17">
        <f t="shared" ref="H37:H45" si="3">H23</f>
        <v>3.0779883338322822E-2</v>
      </c>
      <c r="I37" s="259"/>
      <c r="J37" s="259"/>
      <c r="K37" s="259"/>
      <c r="L37" s="259"/>
      <c r="M37" s="259"/>
      <c r="N37" s="259"/>
      <c r="O37" s="18"/>
      <c r="Q37" s="5"/>
      <c r="R37" s="5"/>
      <c r="S37" s="42"/>
      <c r="T37" s="42"/>
      <c r="U37" s="42"/>
      <c r="V37" s="42"/>
      <c r="W37" s="42"/>
      <c r="X37" s="42"/>
      <c r="Y37" s="42"/>
      <c r="Z37" s="42"/>
      <c r="AA37" s="42"/>
      <c r="AC37" s="10"/>
      <c r="AD37" s="10"/>
      <c r="AE37" s="10"/>
      <c r="AF37" s="10"/>
      <c r="AH37" s="10"/>
      <c r="AI37" s="10"/>
      <c r="AJ37" s="10"/>
      <c r="AK37" s="10"/>
      <c r="AM37" s="10"/>
      <c r="AN37" s="10"/>
      <c r="AO37" s="10"/>
      <c r="AP37" s="10"/>
    </row>
    <row r="38" spans="2:42">
      <c r="B38" s="5" t="s">
        <v>184</v>
      </c>
      <c r="C38" s="247"/>
      <c r="D38" s="557">
        <f t="shared" si="2"/>
        <v>5.1765948976417588</v>
      </c>
      <c r="E38" s="557">
        <f t="shared" si="2"/>
        <v>4.7446114124060035</v>
      </c>
      <c r="F38" s="557">
        <f t="shared" si="2"/>
        <v>4.9485110228400195</v>
      </c>
      <c r="G38" s="557">
        <f t="shared" si="2"/>
        <v>4.6462777873739931</v>
      </c>
      <c r="H38" s="17">
        <f t="shared" si="3"/>
        <v>5.1882999030477217E-2</v>
      </c>
      <c r="I38" s="17"/>
      <c r="J38" s="17"/>
      <c r="K38" s="17"/>
      <c r="L38" s="17"/>
      <c r="M38" s="17"/>
      <c r="N38" s="17"/>
      <c r="O38" s="5"/>
      <c r="Q38" s="5"/>
      <c r="R38" s="5"/>
      <c r="S38" s="42"/>
      <c r="T38" s="42"/>
      <c r="U38" s="42"/>
      <c r="V38" s="42"/>
      <c r="W38" s="42"/>
      <c r="X38" s="42"/>
      <c r="Y38" s="42"/>
      <c r="Z38" s="42"/>
      <c r="AA38" s="42"/>
    </row>
    <row r="39" spans="2:42">
      <c r="B39" s="5" t="s">
        <v>185</v>
      </c>
      <c r="C39" s="247"/>
      <c r="D39" s="557">
        <f t="shared" si="2"/>
        <v>13.112670935174428</v>
      </c>
      <c r="E39" s="557">
        <f t="shared" si="2"/>
        <v>11.02980176197647</v>
      </c>
      <c r="F39" s="557">
        <f t="shared" si="2"/>
        <v>9.8532504026613026</v>
      </c>
      <c r="G39" s="557">
        <f t="shared" si="2"/>
        <v>8.7930944138820468</v>
      </c>
      <c r="H39" s="17">
        <f t="shared" si="3"/>
        <v>0.15923346120854243</v>
      </c>
      <c r="I39" s="5"/>
      <c r="J39" s="5"/>
      <c r="K39" s="5"/>
      <c r="L39" s="5"/>
      <c r="M39" s="5"/>
      <c r="N39" s="5"/>
      <c r="O39" s="5"/>
      <c r="Q39" s="5"/>
      <c r="R39" s="5"/>
      <c r="S39" s="42"/>
      <c r="T39" s="42"/>
      <c r="U39" s="42"/>
      <c r="V39" s="42"/>
      <c r="W39" s="288"/>
      <c r="X39" s="288"/>
      <c r="Y39" s="42"/>
      <c r="Z39" s="42"/>
      <c r="AA39" s="42"/>
    </row>
    <row r="40" spans="2:42">
      <c r="B40" s="5" t="s">
        <v>466</v>
      </c>
      <c r="C40" s="247"/>
      <c r="D40" s="557">
        <f t="shared" si="2"/>
        <v>18.212042965520041</v>
      </c>
      <c r="E40" s="557">
        <f t="shared" si="2"/>
        <v>15.31916911385621</v>
      </c>
      <c r="F40" s="557">
        <f t="shared" si="2"/>
        <v>13.685070003696255</v>
      </c>
      <c r="G40" s="557">
        <f t="shared" si="2"/>
        <v>12.212631130391735</v>
      </c>
      <c r="H40" s="17">
        <f t="shared" si="3"/>
        <v>0.15923346120854243</v>
      </c>
      <c r="I40" s="247"/>
      <c r="J40" s="259"/>
      <c r="K40" s="259"/>
      <c r="L40" s="259"/>
      <c r="M40" s="259"/>
      <c r="N40" s="259"/>
      <c r="O40" s="18"/>
      <c r="Q40" s="5"/>
      <c r="R40" s="5"/>
      <c r="S40" s="42"/>
      <c r="T40" s="42"/>
      <c r="U40" s="42"/>
      <c r="V40" s="42"/>
      <c r="W40" s="288"/>
      <c r="X40" s="288"/>
      <c r="Y40" s="288"/>
      <c r="Z40" s="288"/>
      <c r="AA40" s="42"/>
    </row>
    <row r="41" spans="2:42">
      <c r="B41" s="5" t="s">
        <v>530</v>
      </c>
      <c r="C41" s="247"/>
      <c r="D41" s="557">
        <f t="shared" si="2"/>
        <v>1.2268876383841461</v>
      </c>
      <c r="E41" s="557">
        <f t="shared" si="2"/>
        <v>1.2122213854463402</v>
      </c>
      <c r="F41" s="557">
        <f t="shared" si="2"/>
        <v>1.3641194936027397</v>
      </c>
      <c r="G41" s="557">
        <f t="shared" si="2"/>
        <v>1.3495601303146896</v>
      </c>
      <c r="H41" s="17">
        <f t="shared" si="3"/>
        <v>-1.7063904711860811E-2</v>
      </c>
      <c r="I41" s="248"/>
      <c r="J41" s="17"/>
      <c r="K41" s="17"/>
      <c r="L41" s="17"/>
      <c r="M41" s="17"/>
      <c r="N41" s="17"/>
      <c r="O41" s="5"/>
      <c r="Q41" s="5"/>
      <c r="R41" s="5"/>
      <c r="S41" s="42"/>
      <c r="T41" s="42"/>
      <c r="U41" s="42"/>
      <c r="V41" s="42"/>
      <c r="W41" s="288"/>
      <c r="X41" s="288"/>
      <c r="Y41" s="288"/>
      <c r="Z41" s="288"/>
      <c r="AA41" s="42"/>
    </row>
    <row r="42" spans="2:42">
      <c r="B42" s="5" t="s">
        <v>593</v>
      </c>
      <c r="C42" s="247"/>
      <c r="D42" s="557">
        <f>D18/D28</f>
        <v>2.3336690110090066</v>
      </c>
      <c r="E42" s="557">
        <f>E18/E28</f>
        <v>2.0929102293848412</v>
      </c>
      <c r="F42" s="557">
        <f>F18/F28</f>
        <v>2.1833746548644828</v>
      </c>
      <c r="G42" s="557">
        <f>G18/G28</f>
        <v>2.0249632735751923</v>
      </c>
      <c r="H42" s="17">
        <f t="shared" si="3"/>
        <v>6.3804449613136471E-2</v>
      </c>
      <c r="I42" s="247"/>
      <c r="J42" s="5"/>
      <c r="K42" s="5"/>
      <c r="L42" s="5"/>
      <c r="M42" s="5"/>
      <c r="N42" s="5"/>
      <c r="O42" s="5"/>
      <c r="Q42" s="5"/>
      <c r="R42" s="5"/>
      <c r="S42" s="42"/>
      <c r="T42" s="42"/>
      <c r="U42" s="42"/>
      <c r="V42" s="42"/>
      <c r="W42" s="288"/>
      <c r="X42" s="288"/>
      <c r="Y42" s="288"/>
      <c r="Z42" s="288"/>
      <c r="AA42" s="42"/>
    </row>
    <row r="43" spans="2:42">
      <c r="B43" s="5" t="s">
        <v>475</v>
      </c>
      <c r="C43" s="247"/>
      <c r="D43" s="557">
        <f>L26/D29</f>
        <v>7.6837708066981163</v>
      </c>
      <c r="E43" s="557">
        <f>M26/E29</f>
        <v>5.0966217474671174</v>
      </c>
      <c r="F43" s="557">
        <f>N26/F29</f>
        <v>3.5214258475097426</v>
      </c>
      <c r="G43" s="557">
        <f>O26/G29</f>
        <v>3.130228038771286</v>
      </c>
      <c r="H43" s="17">
        <f t="shared" si="3"/>
        <v>0.34896125174837644</v>
      </c>
      <c r="I43" s="247"/>
      <c r="J43" s="247"/>
      <c r="K43" s="247"/>
      <c r="L43" s="247"/>
      <c r="M43" s="247"/>
      <c r="N43" s="247"/>
      <c r="O43" s="18"/>
      <c r="Q43" s="5"/>
      <c r="R43" s="5"/>
      <c r="S43" s="42"/>
      <c r="T43" s="42"/>
      <c r="U43" s="42"/>
      <c r="V43" s="42"/>
      <c r="W43" s="325"/>
      <c r="X43" s="325"/>
      <c r="Y43" s="288"/>
      <c r="Z43" s="288"/>
      <c r="AA43" s="42"/>
    </row>
    <row r="44" spans="2:42">
      <c r="B44" s="5" t="s">
        <v>533</v>
      </c>
      <c r="C44" s="69"/>
      <c r="D44" s="557">
        <f>D11/D30</f>
        <v>7.9551363991029369</v>
      </c>
      <c r="E44" s="557">
        <f>E11/E30</f>
        <v>4.7399510803429443</v>
      </c>
      <c r="F44" s="557">
        <f>F11/F30</f>
        <v>4.9034480734846939</v>
      </c>
      <c r="G44" s="557">
        <f>G11/G30</f>
        <v>4.7430296086516766</v>
      </c>
      <c r="H44" s="17">
        <f t="shared" si="3"/>
        <v>0.22600233239872392</v>
      </c>
      <c r="I44" s="248"/>
      <c r="J44" s="248"/>
      <c r="K44" s="248"/>
      <c r="L44" s="248"/>
      <c r="M44" s="248"/>
      <c r="N44" s="248"/>
      <c r="O44" s="248"/>
      <c r="Q44" s="5"/>
      <c r="R44" s="5"/>
      <c r="S44" s="42"/>
      <c r="T44" s="42"/>
      <c r="U44" s="42"/>
      <c r="V44" s="42"/>
      <c r="W44" s="42"/>
      <c r="X44" s="42"/>
      <c r="Y44" s="325"/>
      <c r="Z44" s="325"/>
      <c r="AA44" s="42"/>
    </row>
    <row r="45" spans="2:42">
      <c r="B45" s="5" t="s">
        <v>580</v>
      </c>
      <c r="C45" s="247"/>
      <c r="D45" s="248">
        <f>D31/D11</f>
        <v>3.7749364457923699E-2</v>
      </c>
      <c r="E45" s="248">
        <f>E31/E11</f>
        <v>3.9561451287999268E-2</v>
      </c>
      <c r="F45" s="248">
        <f>F31/F11</f>
        <v>3.9515958030884861E-2</v>
      </c>
      <c r="G45" s="248">
        <f>G31/G11</f>
        <v>4.3651806279717507E-2</v>
      </c>
      <c r="H45" s="17">
        <f t="shared" si="3"/>
        <v>8.3074231263342124E-2</v>
      </c>
      <c r="I45" s="247"/>
      <c r="J45" s="247"/>
      <c r="K45" s="247"/>
      <c r="L45" s="247"/>
      <c r="M45" s="247"/>
      <c r="N45" s="247"/>
      <c r="O45" s="248"/>
      <c r="Q45" s="5"/>
      <c r="R45" s="5"/>
      <c r="S45" s="42"/>
      <c r="T45" s="42"/>
      <c r="U45" s="42"/>
      <c r="V45" s="42"/>
      <c r="W45" s="42"/>
      <c r="X45" s="42"/>
      <c r="Y45" s="42"/>
      <c r="Z45" s="42"/>
      <c r="AA45" s="326"/>
      <c r="AB45" s="303"/>
    </row>
    <row r="46" spans="2:42">
      <c r="B46" s="5" t="s">
        <v>605</v>
      </c>
      <c r="C46" s="247"/>
      <c r="D46" s="248">
        <f>(D31+D32)/D11</f>
        <v>9.6435769467449375E-2</v>
      </c>
      <c r="E46" s="248">
        <f>(E31+E32)/E11</f>
        <v>2.6153638160454815E-3</v>
      </c>
      <c r="F46" s="248">
        <f>(F31+F32)/F11</f>
        <v>0.42921567408769146</v>
      </c>
      <c r="G46" s="248">
        <f>(G31+G32)/G11</f>
        <v>0.10764949762715911</v>
      </c>
      <c r="H46" s="279">
        <f>((G31+G32)/(D31+D32))^(1/3)-1</f>
        <v>7.0414501132136209E-2</v>
      </c>
      <c r="I46" s="17"/>
      <c r="J46" s="247"/>
      <c r="K46" s="247"/>
      <c r="L46" s="247"/>
      <c r="M46" s="247"/>
      <c r="N46" s="247"/>
      <c r="O46" s="18"/>
      <c r="Q46" s="5"/>
      <c r="R46" s="5"/>
      <c r="S46" s="42"/>
      <c r="T46" s="42"/>
      <c r="U46" s="42"/>
      <c r="V46" s="42"/>
      <c r="W46" s="42"/>
      <c r="X46" s="42"/>
      <c r="Y46" s="42"/>
      <c r="Z46" s="42"/>
      <c r="AA46" s="326"/>
      <c r="AB46" s="303"/>
    </row>
    <row r="47" spans="2:42">
      <c r="B47" s="5" t="s">
        <v>581</v>
      </c>
      <c r="C47" s="5"/>
      <c r="D47" s="248">
        <f>1/D43</f>
        <v>0.13014443365857262</v>
      </c>
      <c r="E47" s="248">
        <f>1/E43</f>
        <v>0.19620840029907513</v>
      </c>
      <c r="F47" s="248">
        <f>1/F43</f>
        <v>0.28397587889211784</v>
      </c>
      <c r="G47" s="248">
        <f>1/G43</f>
        <v>0.31946554296169805</v>
      </c>
      <c r="H47" s="17">
        <f>H29</f>
        <v>0.34896125174837644</v>
      </c>
      <c r="I47" s="247"/>
      <c r="J47" s="248"/>
      <c r="K47" s="248"/>
      <c r="L47" s="248"/>
      <c r="M47" s="248"/>
      <c r="N47" s="248"/>
      <c r="O47" s="248"/>
      <c r="Q47" s="5"/>
      <c r="R47" s="5"/>
      <c r="S47" s="5"/>
      <c r="T47" s="5"/>
      <c r="U47" s="5"/>
      <c r="AA47" s="303"/>
      <c r="AB47" s="303"/>
    </row>
    <row r="48" spans="2:42">
      <c r="B48" s="5" t="s">
        <v>618</v>
      </c>
      <c r="C48" s="5"/>
      <c r="D48" s="305">
        <f>D31/D29</f>
        <v>0.45784431877334641</v>
      </c>
      <c r="E48" s="305">
        <f>E31/E29</f>
        <v>0.31887107765882267</v>
      </c>
      <c r="F48" s="305">
        <f>F31/F29</f>
        <v>0.24235052189109718</v>
      </c>
      <c r="G48" s="305">
        <f>G31/G29</f>
        <v>0.23697038496719178</v>
      </c>
      <c r="H48" s="17" t="s">
        <v>607</v>
      </c>
      <c r="I48" s="259"/>
      <c r="J48" s="247"/>
      <c r="K48" s="247"/>
      <c r="L48" s="247"/>
      <c r="M48" s="247"/>
      <c r="N48" s="247"/>
      <c r="O48" s="248"/>
      <c r="Q48" s="5"/>
      <c r="R48" s="5"/>
      <c r="S48" s="5"/>
      <c r="T48" s="5"/>
      <c r="U48" s="5"/>
      <c r="AA48" s="303"/>
      <c r="AB48" s="303"/>
    </row>
    <row r="49" spans="2:28">
      <c r="B49" s="41"/>
      <c r="C49" s="17"/>
      <c r="D49" s="17"/>
      <c r="E49" s="17"/>
      <c r="F49" s="17"/>
      <c r="G49" s="17"/>
      <c r="H49" s="17"/>
      <c r="I49" s="17"/>
      <c r="J49" s="17"/>
      <c r="K49" s="17"/>
      <c r="L49" s="17"/>
      <c r="M49" s="17"/>
      <c r="N49" s="17"/>
      <c r="O49" s="248"/>
      <c r="Q49" s="5"/>
      <c r="R49" s="5"/>
      <c r="S49" s="5"/>
      <c r="T49" s="5"/>
      <c r="U49" s="5"/>
      <c r="W49" s="10"/>
      <c r="X49" s="10"/>
      <c r="AA49" s="303"/>
      <c r="AB49" s="303"/>
    </row>
    <row r="50" spans="2:28">
      <c r="B50" s="5"/>
      <c r="C50" s="257"/>
      <c r="D50" s="257"/>
      <c r="E50" s="257"/>
      <c r="F50" s="5"/>
      <c r="G50" s="41"/>
      <c r="H50" s="249"/>
      <c r="I50" s="259"/>
      <c r="J50" s="254"/>
      <c r="K50" s="254"/>
      <c r="L50" s="254"/>
      <c r="M50" s="254"/>
      <c r="N50" s="254"/>
      <c r="O50" s="251"/>
      <c r="Q50" s="5"/>
      <c r="R50" s="5"/>
      <c r="S50" s="5"/>
      <c r="T50" s="5"/>
      <c r="U50" s="5"/>
      <c r="W50" s="10"/>
      <c r="X50" s="10"/>
      <c r="Y50" s="10"/>
      <c r="Z50" s="10"/>
    </row>
    <row r="51" spans="2:28">
      <c r="B51" s="41"/>
      <c r="C51" s="249"/>
      <c r="D51" s="254"/>
      <c r="E51" s="254"/>
      <c r="F51" s="254"/>
      <c r="G51" s="254"/>
      <c r="H51" s="254"/>
      <c r="I51" s="254"/>
      <c r="J51" s="17"/>
      <c r="K51" s="17"/>
      <c r="L51" s="17"/>
      <c r="M51" s="17"/>
      <c r="N51" s="17"/>
      <c r="O51" s="248"/>
      <c r="Q51" s="5"/>
      <c r="R51" s="5"/>
      <c r="S51" s="5"/>
      <c r="T51" s="5"/>
      <c r="U51" s="5"/>
      <c r="Y51" s="10"/>
      <c r="Z51" s="10"/>
    </row>
    <row r="52" spans="2:28">
      <c r="B52" s="5"/>
      <c r="C52" s="257"/>
      <c r="D52" s="17"/>
      <c r="E52" s="17"/>
      <c r="F52" s="17"/>
      <c r="G52" s="17"/>
      <c r="H52" s="17"/>
      <c r="I52" s="17"/>
      <c r="J52" s="259"/>
      <c r="K52" s="259"/>
      <c r="L52" s="259"/>
      <c r="M52" s="259"/>
      <c r="N52" s="259"/>
      <c r="O52" s="18"/>
      <c r="Q52" s="5"/>
      <c r="R52" s="5"/>
      <c r="S52" s="5"/>
      <c r="T52" s="5"/>
      <c r="U52" s="5"/>
    </row>
    <row r="53" spans="2:28">
      <c r="B53" s="5"/>
      <c r="C53" s="257"/>
      <c r="D53" s="257"/>
      <c r="E53" s="257"/>
      <c r="F53" s="5"/>
      <c r="G53" s="5"/>
      <c r="H53" s="259"/>
      <c r="I53" s="259"/>
      <c r="J53" s="254"/>
      <c r="K53" s="254"/>
      <c r="L53" s="254"/>
      <c r="M53" s="254"/>
      <c r="N53" s="254"/>
      <c r="O53" s="251"/>
      <c r="Q53" s="5"/>
      <c r="R53" s="5"/>
      <c r="S53" s="5"/>
      <c r="T53" s="5"/>
      <c r="U53" s="5"/>
    </row>
    <row r="54" spans="2:28">
      <c r="B54" s="41"/>
      <c r="C54" s="249"/>
      <c r="D54" s="254"/>
      <c r="E54" s="254"/>
      <c r="F54" s="254"/>
      <c r="G54" s="254"/>
      <c r="H54" s="254"/>
      <c r="I54" s="249"/>
      <c r="J54" s="17"/>
      <c r="K54" s="17"/>
      <c r="L54" s="17"/>
      <c r="M54" s="17"/>
      <c r="N54" s="17"/>
      <c r="O54" s="18"/>
      <c r="Q54" s="5"/>
      <c r="R54" s="5"/>
      <c r="S54" s="5"/>
      <c r="T54" s="5"/>
      <c r="U54" s="5"/>
    </row>
    <row r="55" spans="2:28">
      <c r="B55" s="5"/>
      <c r="C55" s="257"/>
      <c r="D55" s="17"/>
      <c r="E55" s="17"/>
      <c r="F55" s="17"/>
      <c r="G55" s="17"/>
      <c r="H55" s="17"/>
      <c r="I55" s="248"/>
      <c r="J55" s="259"/>
      <c r="K55" s="259"/>
      <c r="L55" s="259"/>
      <c r="M55" s="259"/>
      <c r="N55" s="259"/>
      <c r="O55" s="18"/>
      <c r="Q55" s="5"/>
      <c r="R55" s="5"/>
      <c r="S55" s="5"/>
      <c r="T55" s="5"/>
      <c r="U55" s="5"/>
    </row>
    <row r="56" spans="2:28">
      <c r="B56" s="5"/>
      <c r="C56" s="248"/>
      <c r="D56" s="248"/>
      <c r="E56" s="248"/>
      <c r="F56" s="5"/>
      <c r="G56" s="5"/>
      <c r="H56" s="259"/>
      <c r="I56" s="5"/>
      <c r="T56" s="5"/>
      <c r="U56" s="5"/>
    </row>
    <row r="57" spans="2:28">
      <c r="B57" s="41"/>
      <c r="C57" s="249"/>
      <c r="D57" s="249"/>
      <c r="E57" s="249"/>
      <c r="F57" s="249"/>
      <c r="G57" s="249"/>
      <c r="H57" s="249"/>
      <c r="I57" s="17"/>
      <c r="J57" s="249"/>
      <c r="K57" s="249"/>
      <c r="L57" s="249"/>
      <c r="M57" s="249"/>
      <c r="N57" s="249"/>
      <c r="O57" s="251"/>
      <c r="Q57" s="5"/>
      <c r="R57" s="5"/>
      <c r="S57" s="5"/>
      <c r="T57" s="5"/>
      <c r="U57" s="5"/>
    </row>
    <row r="58" spans="2:28">
      <c r="B58" s="5"/>
      <c r="C58" s="5"/>
      <c r="D58" s="248"/>
      <c r="E58" s="248"/>
      <c r="F58" s="248"/>
      <c r="G58" s="248"/>
      <c r="H58" s="248"/>
      <c r="I58" s="5"/>
      <c r="J58" s="5"/>
      <c r="K58" s="5"/>
      <c r="L58" s="5"/>
      <c r="M58" s="5"/>
      <c r="N58" s="5"/>
      <c r="O58" s="5"/>
      <c r="Q58" s="5"/>
      <c r="R58" s="5"/>
      <c r="S58" s="5"/>
      <c r="T58" s="5"/>
      <c r="U58" s="5"/>
    </row>
    <row r="59" spans="2:28">
      <c r="B59" s="5"/>
      <c r="C59" s="5"/>
      <c r="D59" s="5"/>
      <c r="E59" s="5"/>
      <c r="F59" s="5"/>
      <c r="G59" s="5"/>
      <c r="H59" s="5"/>
      <c r="I59" s="249"/>
      <c r="J59" s="17"/>
      <c r="K59" s="17"/>
      <c r="L59" s="17"/>
      <c r="M59" s="17"/>
      <c r="N59" s="17"/>
      <c r="O59" s="251"/>
      <c r="Q59" s="5"/>
      <c r="R59" s="5"/>
      <c r="S59" s="5"/>
      <c r="T59" s="5"/>
      <c r="U59" s="5"/>
    </row>
    <row r="60" spans="2:28">
      <c r="B60" s="41"/>
      <c r="C60" s="17"/>
      <c r="D60" s="17"/>
      <c r="E60" s="17"/>
      <c r="F60" s="17"/>
      <c r="G60" s="17"/>
      <c r="H60" s="17"/>
      <c r="I60" s="5"/>
      <c r="J60" s="5"/>
      <c r="K60" s="5"/>
      <c r="L60" s="5"/>
      <c r="M60" s="5"/>
      <c r="N60" s="5"/>
      <c r="O60" s="5"/>
      <c r="Q60" s="41"/>
      <c r="R60" s="5"/>
      <c r="S60" s="5"/>
      <c r="T60" s="5"/>
      <c r="U60" s="5"/>
    </row>
    <row r="61" spans="2:28">
      <c r="B61" s="5"/>
      <c r="C61" s="5"/>
      <c r="D61" s="5"/>
      <c r="E61" s="5"/>
      <c r="F61" s="5"/>
      <c r="G61" s="5"/>
      <c r="H61" s="5"/>
      <c r="I61" s="5"/>
      <c r="J61" s="249"/>
      <c r="K61" s="249"/>
      <c r="L61" s="249"/>
      <c r="M61" s="249"/>
      <c r="N61" s="249"/>
      <c r="O61" s="251"/>
      <c r="Q61" s="5"/>
      <c r="R61" s="5"/>
      <c r="S61" s="5"/>
      <c r="T61" s="5"/>
      <c r="U61" s="5"/>
    </row>
    <row r="62" spans="2:28">
      <c r="B62" s="41"/>
      <c r="C62" s="249"/>
      <c r="D62" s="249"/>
      <c r="E62" s="249"/>
      <c r="F62" s="249"/>
      <c r="G62" s="249"/>
      <c r="H62" s="249"/>
      <c r="I62" s="254"/>
      <c r="J62" s="5"/>
      <c r="K62" s="5"/>
      <c r="L62" s="5"/>
      <c r="M62" s="5"/>
      <c r="N62" s="5"/>
      <c r="O62" s="5"/>
      <c r="Q62" s="5"/>
      <c r="R62" s="5"/>
      <c r="S62" s="5"/>
      <c r="T62" s="5"/>
      <c r="U62" s="5"/>
    </row>
    <row r="63" spans="2:28">
      <c r="B63" s="5"/>
      <c r="C63" s="5"/>
      <c r="D63" s="5"/>
      <c r="E63" s="5"/>
      <c r="F63" s="5"/>
      <c r="G63" s="5"/>
      <c r="H63" s="5"/>
      <c r="I63" s="17"/>
      <c r="J63" s="5"/>
      <c r="K63" s="5"/>
      <c r="L63" s="5"/>
      <c r="M63" s="5"/>
      <c r="N63" s="5"/>
      <c r="O63" s="5"/>
      <c r="Q63" s="5"/>
      <c r="R63" s="5"/>
      <c r="S63" s="5"/>
      <c r="T63" s="5"/>
      <c r="U63" s="5"/>
    </row>
    <row r="64" spans="2:28">
      <c r="B64" s="5"/>
      <c r="C64" s="5"/>
      <c r="D64" s="5"/>
      <c r="E64" s="5"/>
      <c r="F64" s="5"/>
      <c r="G64" s="5"/>
      <c r="H64" s="5"/>
      <c r="I64" s="254"/>
      <c r="J64" s="254"/>
      <c r="K64" s="254"/>
      <c r="L64" s="254"/>
      <c r="M64" s="254"/>
      <c r="N64" s="254"/>
      <c r="O64" s="251"/>
      <c r="Q64" s="5"/>
      <c r="R64" s="5"/>
      <c r="S64" s="5"/>
      <c r="T64" s="5"/>
      <c r="U64" s="5"/>
    </row>
    <row r="65" spans="2:26">
      <c r="B65" s="41"/>
      <c r="C65" s="249"/>
      <c r="D65" s="254"/>
      <c r="E65" s="254"/>
      <c r="F65" s="254"/>
      <c r="G65" s="254"/>
      <c r="H65" s="254"/>
      <c r="I65" s="248"/>
      <c r="J65" s="17"/>
      <c r="K65" s="17"/>
      <c r="L65" s="17"/>
      <c r="M65" s="17"/>
      <c r="N65" s="17"/>
      <c r="O65" s="5"/>
      <c r="Q65" s="5"/>
      <c r="R65" s="5"/>
      <c r="S65" s="5"/>
      <c r="T65" s="5"/>
      <c r="U65" s="5"/>
    </row>
    <row r="66" spans="2:26">
      <c r="B66" s="5"/>
      <c r="C66" s="5"/>
      <c r="D66" s="17"/>
      <c r="E66" s="17"/>
      <c r="F66" s="17"/>
      <c r="G66" s="17"/>
      <c r="H66" s="17"/>
      <c r="I66" s="5"/>
      <c r="J66" s="254"/>
      <c r="K66" s="254"/>
      <c r="L66" s="254"/>
      <c r="M66" s="254"/>
      <c r="N66" s="254"/>
      <c r="O66" s="251"/>
      <c r="Q66" s="41"/>
      <c r="R66" s="5"/>
      <c r="S66" s="5"/>
      <c r="T66" s="5"/>
      <c r="U66" s="5"/>
    </row>
    <row r="67" spans="2:26">
      <c r="B67" s="41"/>
      <c r="C67" s="249"/>
      <c r="D67" s="254"/>
      <c r="E67" s="254"/>
      <c r="F67" s="254"/>
      <c r="G67" s="254"/>
      <c r="H67" s="254"/>
      <c r="I67" s="245"/>
      <c r="J67" s="248"/>
      <c r="K67" s="248"/>
      <c r="L67" s="248"/>
      <c r="M67" s="248"/>
      <c r="N67" s="248"/>
      <c r="O67" s="5"/>
      <c r="Q67" s="5"/>
      <c r="R67" s="5"/>
      <c r="S67" s="5"/>
      <c r="T67" s="5"/>
      <c r="U67" s="5"/>
    </row>
    <row r="68" spans="2:26">
      <c r="B68" s="5"/>
      <c r="C68" s="5"/>
      <c r="D68" s="248"/>
      <c r="E68" s="248"/>
      <c r="F68" s="248"/>
      <c r="G68" s="248"/>
      <c r="H68" s="248"/>
      <c r="I68" s="248"/>
      <c r="J68" s="5"/>
      <c r="K68" s="5"/>
      <c r="L68" s="5"/>
      <c r="M68" s="5"/>
      <c r="N68" s="5"/>
      <c r="O68" s="5"/>
      <c r="Q68" s="5"/>
      <c r="R68" s="5"/>
      <c r="S68" s="5"/>
      <c r="T68" s="5"/>
      <c r="U68" s="5"/>
    </row>
    <row r="69" spans="2:26">
      <c r="B69" s="41"/>
      <c r="C69" s="5"/>
      <c r="D69" s="5"/>
      <c r="E69" s="5"/>
      <c r="F69" s="5"/>
      <c r="G69" s="5"/>
      <c r="H69" s="5"/>
      <c r="I69" s="5"/>
      <c r="J69" s="245"/>
      <c r="K69" s="245"/>
      <c r="L69" s="245"/>
      <c r="M69" s="245"/>
      <c r="N69" s="245"/>
      <c r="O69" s="251"/>
      <c r="Q69" s="5"/>
      <c r="R69" s="5"/>
      <c r="S69" s="5"/>
      <c r="T69" s="5"/>
      <c r="U69" s="5"/>
      <c r="W69" s="76"/>
      <c r="X69" s="76"/>
    </row>
    <row r="70" spans="2:26">
      <c r="B70" s="41"/>
      <c r="C70" s="245"/>
      <c r="D70" s="245"/>
      <c r="E70" s="245"/>
      <c r="F70" s="245"/>
      <c r="G70" s="245"/>
      <c r="H70" s="245"/>
      <c r="I70" s="245"/>
      <c r="J70" s="248"/>
      <c r="K70" s="248"/>
      <c r="L70" s="248"/>
      <c r="M70" s="248"/>
      <c r="N70" s="248"/>
      <c r="O70" s="5"/>
      <c r="Q70" s="5"/>
      <c r="R70" s="5"/>
      <c r="S70" s="5"/>
      <c r="T70" s="5"/>
      <c r="U70" s="5"/>
      <c r="W70" s="76"/>
      <c r="X70" s="76"/>
      <c r="Y70" s="76"/>
      <c r="Z70" s="76"/>
    </row>
    <row r="71" spans="2:26">
      <c r="B71" s="5"/>
      <c r="C71" s="5"/>
      <c r="D71" s="248"/>
      <c r="E71" s="248"/>
      <c r="F71" s="248"/>
      <c r="G71" s="248"/>
      <c r="H71" s="248"/>
      <c r="I71" s="18"/>
      <c r="J71" s="5"/>
      <c r="K71" s="5"/>
      <c r="L71" s="5"/>
      <c r="M71" s="5"/>
      <c r="N71" s="5"/>
      <c r="O71" s="5"/>
      <c r="Q71" s="5"/>
      <c r="R71" s="5"/>
      <c r="S71" s="5"/>
      <c r="T71" s="5"/>
      <c r="U71" s="5"/>
      <c r="Y71" s="76"/>
      <c r="Z71" s="76"/>
    </row>
    <row r="72" spans="2:26">
      <c r="B72" s="41"/>
      <c r="C72" s="5"/>
      <c r="D72" s="5"/>
      <c r="E72" s="5"/>
      <c r="F72" s="5"/>
      <c r="G72" s="5"/>
      <c r="H72" s="5"/>
      <c r="I72" s="5"/>
      <c r="J72" s="245"/>
      <c r="K72" s="245"/>
      <c r="L72" s="245"/>
      <c r="M72" s="245"/>
      <c r="N72" s="245"/>
      <c r="O72" s="251"/>
      <c r="Q72" s="5"/>
      <c r="R72" s="5"/>
      <c r="S72" s="5"/>
      <c r="T72" s="5"/>
      <c r="U72" s="5"/>
    </row>
    <row r="73" spans="2:26">
      <c r="B73" s="41"/>
      <c r="C73" s="245"/>
      <c r="D73" s="245"/>
      <c r="E73" s="245"/>
      <c r="F73" s="245"/>
      <c r="G73" s="245"/>
      <c r="H73" s="245"/>
      <c r="I73" s="249"/>
      <c r="J73" s="18"/>
      <c r="K73" s="18"/>
      <c r="L73" s="18"/>
      <c r="M73" s="18"/>
      <c r="N73" s="18"/>
      <c r="O73" s="5"/>
      <c r="Q73" s="5"/>
      <c r="R73" s="5"/>
      <c r="S73" s="5"/>
      <c r="T73" s="5"/>
      <c r="U73" s="5"/>
    </row>
    <row r="74" spans="2:26">
      <c r="B74" s="5"/>
      <c r="C74" s="5"/>
      <c r="D74" s="18"/>
      <c r="E74" s="18"/>
      <c r="F74" s="18"/>
      <c r="G74" s="18"/>
      <c r="H74" s="18"/>
      <c r="I74" s="248"/>
      <c r="J74" s="5"/>
      <c r="K74" s="5"/>
      <c r="L74" s="5"/>
      <c r="M74" s="5"/>
      <c r="N74" s="5"/>
      <c r="O74" s="5"/>
      <c r="Q74" s="5"/>
      <c r="R74" s="5"/>
      <c r="S74" s="5"/>
      <c r="T74" s="5"/>
      <c r="U74" s="5"/>
    </row>
    <row r="75" spans="2:26">
      <c r="B75" s="41"/>
      <c r="C75" s="5"/>
      <c r="D75" s="5"/>
      <c r="E75" s="5"/>
      <c r="F75" s="5"/>
      <c r="G75" s="5"/>
      <c r="H75" s="5"/>
      <c r="I75" s="5"/>
      <c r="J75" s="249"/>
      <c r="K75" s="249"/>
      <c r="L75" s="249"/>
      <c r="M75" s="249"/>
      <c r="N75" s="249"/>
      <c r="O75" s="251"/>
      <c r="Q75" s="5"/>
      <c r="R75" s="5"/>
      <c r="S75" s="5"/>
      <c r="T75" s="5"/>
      <c r="U75" s="5"/>
    </row>
    <row r="76" spans="2:26">
      <c r="B76" s="41"/>
      <c r="C76" s="249"/>
      <c r="D76" s="249"/>
      <c r="E76" s="249"/>
      <c r="F76" s="249"/>
      <c r="G76" s="249"/>
      <c r="H76" s="249"/>
      <c r="I76" s="245"/>
      <c r="J76" s="248"/>
      <c r="K76" s="248"/>
      <c r="L76" s="248"/>
      <c r="M76" s="248"/>
      <c r="N76" s="248"/>
      <c r="O76" s="5"/>
      <c r="Q76" s="5"/>
      <c r="R76" s="5"/>
      <c r="S76" s="5"/>
      <c r="T76" s="5"/>
      <c r="U76" s="5"/>
    </row>
    <row r="77" spans="2:26">
      <c r="B77" s="5"/>
      <c r="C77" s="5"/>
      <c r="D77" s="248"/>
      <c r="E77" s="248"/>
      <c r="F77" s="248"/>
      <c r="G77" s="248"/>
      <c r="H77" s="248"/>
      <c r="I77" s="248"/>
      <c r="J77" s="5"/>
      <c r="K77" s="5"/>
      <c r="L77" s="5"/>
      <c r="M77" s="5"/>
      <c r="N77" s="5"/>
      <c r="O77" s="5"/>
      <c r="Q77" s="5"/>
      <c r="R77" s="5"/>
      <c r="S77" s="5"/>
      <c r="T77" s="5"/>
      <c r="U77" s="5"/>
    </row>
    <row r="78" spans="2:26">
      <c r="B78" s="41"/>
      <c r="C78" s="5"/>
      <c r="D78" s="5"/>
      <c r="E78" s="5"/>
      <c r="F78" s="5"/>
      <c r="G78" s="5"/>
      <c r="H78" s="5"/>
      <c r="I78" s="5"/>
      <c r="J78" s="245"/>
      <c r="K78" s="245"/>
      <c r="L78" s="245"/>
      <c r="M78" s="245"/>
      <c r="N78" s="245"/>
      <c r="O78" s="251"/>
      <c r="Q78" s="5"/>
      <c r="R78" s="5"/>
      <c r="S78" s="5"/>
      <c r="T78" s="5"/>
      <c r="U78" s="5"/>
    </row>
    <row r="79" spans="2:26">
      <c r="B79" s="41"/>
      <c r="C79" s="245"/>
      <c r="D79" s="245"/>
      <c r="E79" s="245"/>
      <c r="F79" s="245"/>
      <c r="G79" s="245"/>
      <c r="H79" s="245"/>
      <c r="I79" s="249"/>
      <c r="J79" s="248"/>
      <c r="K79" s="248"/>
      <c r="L79" s="248"/>
      <c r="M79" s="248"/>
      <c r="N79" s="248"/>
      <c r="O79" s="5"/>
      <c r="Q79" s="5"/>
      <c r="R79" s="5"/>
      <c r="S79" s="5"/>
      <c r="T79" s="5"/>
      <c r="U79" s="5"/>
    </row>
    <row r="80" spans="2:26">
      <c r="B80" s="5"/>
      <c r="C80" s="5"/>
      <c r="D80" s="248"/>
      <c r="E80" s="248"/>
      <c r="F80" s="248"/>
      <c r="G80" s="248"/>
      <c r="H80" s="248"/>
      <c r="I80" s="248"/>
      <c r="J80" s="5"/>
      <c r="K80" s="5"/>
      <c r="L80" s="5"/>
      <c r="M80" s="5"/>
      <c r="N80" s="5"/>
      <c r="O80" s="5"/>
      <c r="Q80" s="5"/>
      <c r="R80" s="5"/>
      <c r="S80" s="5"/>
      <c r="T80" s="5"/>
      <c r="U80" s="5"/>
    </row>
    <row r="81" spans="2:26">
      <c r="B81" s="41"/>
      <c r="C81" s="5"/>
      <c r="D81" s="5"/>
      <c r="E81" s="5"/>
      <c r="F81" s="5"/>
      <c r="G81" s="5"/>
      <c r="H81" s="5"/>
      <c r="I81" s="259"/>
      <c r="J81" s="249"/>
      <c r="K81" s="249"/>
      <c r="L81" s="249"/>
      <c r="M81" s="249"/>
      <c r="N81" s="249"/>
      <c r="O81" s="251"/>
      <c r="Q81" s="5"/>
      <c r="R81" s="5"/>
      <c r="S81" s="5"/>
      <c r="T81" s="5"/>
      <c r="U81" s="5"/>
    </row>
    <row r="82" spans="2:26">
      <c r="B82" s="41"/>
      <c r="C82" s="249"/>
      <c r="D82" s="249"/>
      <c r="E82" s="249"/>
      <c r="F82" s="249"/>
      <c r="G82" s="249"/>
      <c r="H82" s="249"/>
      <c r="I82" s="5"/>
      <c r="J82" s="248"/>
      <c r="K82" s="248"/>
      <c r="L82" s="248"/>
      <c r="M82" s="248"/>
      <c r="N82" s="248"/>
      <c r="O82" s="5"/>
      <c r="Q82" s="5"/>
      <c r="R82" s="5"/>
      <c r="S82" s="5"/>
      <c r="T82" s="5"/>
      <c r="U82" s="5"/>
    </row>
    <row r="83" spans="2:26">
      <c r="B83" s="5"/>
      <c r="C83" s="5"/>
      <c r="D83" s="248"/>
      <c r="E83" s="248"/>
      <c r="F83" s="248"/>
      <c r="G83" s="248"/>
      <c r="H83" s="248"/>
      <c r="I83" s="245"/>
      <c r="J83" s="259"/>
      <c r="K83" s="259"/>
      <c r="L83" s="259"/>
      <c r="M83" s="259"/>
      <c r="N83" s="259"/>
      <c r="O83" s="251"/>
      <c r="Q83" s="5"/>
      <c r="R83" s="5"/>
      <c r="S83" s="5"/>
      <c r="T83" s="5"/>
      <c r="U83" s="5"/>
    </row>
    <row r="84" spans="2:26">
      <c r="B84" s="5"/>
      <c r="C84" s="259"/>
      <c r="D84" s="259"/>
      <c r="E84" s="259"/>
      <c r="F84" s="259"/>
      <c r="G84" s="259"/>
      <c r="H84" s="259"/>
      <c r="I84" s="248"/>
      <c r="J84" s="5"/>
      <c r="K84" s="5"/>
      <c r="L84" s="5"/>
      <c r="M84" s="5"/>
      <c r="N84" s="5"/>
      <c r="O84" s="5"/>
      <c r="Q84" s="5"/>
      <c r="R84" s="5"/>
      <c r="S84" s="5"/>
      <c r="T84" s="5"/>
      <c r="U84" s="5"/>
    </row>
    <row r="85" spans="2:26">
      <c r="B85" s="41"/>
      <c r="C85" s="5"/>
      <c r="D85" s="5"/>
      <c r="E85" s="5"/>
      <c r="F85" s="5"/>
      <c r="G85" s="5"/>
      <c r="H85" s="5"/>
      <c r="I85" s="5"/>
      <c r="J85" s="245"/>
      <c r="K85" s="245"/>
      <c r="L85" s="245"/>
      <c r="M85" s="245"/>
      <c r="N85" s="245"/>
      <c r="O85" s="251"/>
      <c r="Q85" s="5"/>
      <c r="R85" s="5"/>
      <c r="S85" s="5"/>
      <c r="T85" s="5"/>
      <c r="U85" s="5"/>
    </row>
    <row r="86" spans="2:26">
      <c r="B86" s="41"/>
      <c r="C86" s="245"/>
      <c r="D86" s="245"/>
      <c r="E86" s="245"/>
      <c r="F86" s="245"/>
      <c r="G86" s="245"/>
      <c r="H86" s="245"/>
      <c r="I86" s="5"/>
      <c r="J86" s="248"/>
      <c r="K86" s="248"/>
      <c r="L86" s="248"/>
      <c r="M86" s="248"/>
      <c r="N86" s="248"/>
      <c r="O86" s="5"/>
      <c r="Q86" s="5"/>
      <c r="R86" s="5"/>
      <c r="S86" s="5"/>
      <c r="T86" s="5"/>
      <c r="U86" s="5"/>
    </row>
    <row r="87" spans="2:26">
      <c r="B87" s="5"/>
      <c r="C87" s="5"/>
      <c r="D87" s="248"/>
      <c r="E87" s="248"/>
      <c r="F87" s="248"/>
      <c r="G87" s="248"/>
      <c r="H87" s="248"/>
      <c r="I87" s="5"/>
      <c r="J87" s="5"/>
      <c r="K87" s="5"/>
      <c r="L87" s="5"/>
      <c r="M87" s="5"/>
      <c r="N87" s="5"/>
      <c r="O87" s="5"/>
      <c r="Q87" s="5"/>
      <c r="R87" s="5"/>
      <c r="S87" s="5"/>
      <c r="T87" s="5"/>
      <c r="U87" s="5"/>
    </row>
    <row r="88" spans="2:26">
      <c r="B88" s="41"/>
      <c r="C88" s="5"/>
      <c r="D88" s="5"/>
      <c r="E88" s="5"/>
      <c r="F88" s="5"/>
      <c r="G88" s="5"/>
      <c r="H88" s="5"/>
      <c r="I88" s="5"/>
      <c r="J88" s="5"/>
      <c r="K88" s="5"/>
      <c r="L88" s="5"/>
      <c r="M88" s="5"/>
      <c r="N88" s="5"/>
      <c r="O88" s="5"/>
      <c r="Q88" s="5"/>
      <c r="R88" s="5"/>
      <c r="S88" s="5"/>
      <c r="T88" s="5"/>
      <c r="U88" s="5"/>
    </row>
    <row r="89" spans="2:26">
      <c r="B89" s="41"/>
      <c r="C89" s="5"/>
      <c r="D89" s="5"/>
      <c r="E89" s="5"/>
      <c r="F89" s="5"/>
      <c r="G89" s="5"/>
      <c r="H89" s="5"/>
      <c r="I89" s="49"/>
      <c r="J89" s="5"/>
      <c r="K89" s="5"/>
      <c r="L89" s="5"/>
      <c r="M89" s="5"/>
      <c r="N89" s="5"/>
      <c r="O89" s="5"/>
      <c r="Q89" s="41"/>
      <c r="R89" s="5"/>
      <c r="S89" s="5"/>
      <c r="T89" s="5"/>
      <c r="U89" s="5"/>
    </row>
    <row r="90" spans="2:26">
      <c r="B90" s="41"/>
      <c r="C90" s="5"/>
      <c r="D90" s="5"/>
      <c r="E90" s="5"/>
      <c r="F90" s="5"/>
      <c r="G90" s="5"/>
      <c r="H90" s="5"/>
      <c r="I90" s="5"/>
      <c r="J90" s="5"/>
      <c r="K90" s="5"/>
      <c r="L90" s="5"/>
      <c r="M90" s="5"/>
      <c r="N90" s="5"/>
      <c r="O90" s="5"/>
      <c r="Q90" s="5"/>
      <c r="R90" s="5"/>
      <c r="S90" s="5"/>
      <c r="T90" s="5"/>
      <c r="U90" s="5"/>
    </row>
    <row r="91" spans="2:26">
      <c r="B91" s="5"/>
      <c r="C91" s="5"/>
      <c r="D91" s="5"/>
      <c r="E91" s="5"/>
      <c r="F91" s="5"/>
      <c r="G91" s="5"/>
      <c r="H91" s="5"/>
      <c r="I91" s="247"/>
      <c r="J91" s="49"/>
      <c r="K91" s="49"/>
      <c r="L91" s="49"/>
      <c r="M91" s="49"/>
      <c r="N91" s="49"/>
      <c r="O91" s="49"/>
      <c r="Q91" s="5"/>
      <c r="R91" s="5"/>
      <c r="S91" s="5"/>
      <c r="T91" s="5"/>
      <c r="U91" s="5"/>
      <c r="W91" s="21"/>
      <c r="X91" s="21"/>
    </row>
    <row r="92" spans="2:26">
      <c r="B92" s="41"/>
      <c r="C92" s="49"/>
      <c r="D92" s="49"/>
      <c r="E92" s="49"/>
      <c r="F92" s="49"/>
      <c r="G92" s="49"/>
      <c r="H92" s="49"/>
      <c r="I92" s="247"/>
      <c r="J92" s="5"/>
      <c r="K92" s="5"/>
      <c r="L92" s="5"/>
      <c r="M92" s="5"/>
      <c r="N92" s="5"/>
      <c r="O92" s="5"/>
      <c r="Q92" s="5"/>
      <c r="R92" s="5"/>
      <c r="S92" s="5"/>
      <c r="T92" s="5"/>
      <c r="U92" s="5"/>
      <c r="W92" s="21"/>
      <c r="X92" s="21"/>
      <c r="Y92" s="21"/>
      <c r="Z92" s="21"/>
    </row>
    <row r="93" spans="2:26">
      <c r="B93" s="5"/>
      <c r="C93" s="5"/>
      <c r="D93" s="5"/>
      <c r="E93" s="5"/>
      <c r="F93" s="5"/>
      <c r="G93" s="5"/>
      <c r="H93" s="5"/>
      <c r="I93" s="247"/>
      <c r="J93" s="247"/>
      <c r="K93" s="247"/>
      <c r="L93" s="247"/>
      <c r="M93" s="247"/>
      <c r="N93" s="247"/>
      <c r="O93" s="248"/>
      <c r="Q93" s="5"/>
      <c r="R93" s="5"/>
      <c r="S93" s="5"/>
      <c r="T93" s="5"/>
      <c r="U93" s="5"/>
      <c r="Y93" s="21"/>
      <c r="Z93" s="21"/>
    </row>
    <row r="94" spans="2:26">
      <c r="B94" s="5"/>
      <c r="C94" s="259"/>
      <c r="D94" s="247"/>
      <c r="E94" s="247"/>
      <c r="F94" s="247"/>
      <c r="G94" s="247"/>
      <c r="H94" s="247"/>
      <c r="I94" s="248"/>
      <c r="J94" s="247"/>
      <c r="K94" s="247"/>
      <c r="L94" s="247"/>
      <c r="M94" s="247"/>
      <c r="N94" s="247"/>
      <c r="O94" s="248"/>
      <c r="Q94" s="5"/>
      <c r="R94" s="5"/>
      <c r="S94" s="5"/>
      <c r="T94" s="5"/>
      <c r="U94" s="5"/>
    </row>
    <row r="95" spans="2:26">
      <c r="B95" s="5"/>
      <c r="C95" s="259"/>
      <c r="D95" s="247"/>
      <c r="E95" s="247"/>
      <c r="F95" s="247"/>
      <c r="G95" s="247"/>
      <c r="H95" s="247"/>
      <c r="I95" s="247"/>
      <c r="J95" s="247"/>
      <c r="K95" s="247"/>
      <c r="L95" s="247"/>
      <c r="M95" s="247"/>
      <c r="N95" s="247"/>
      <c r="O95" s="248"/>
      <c r="Q95" s="5"/>
      <c r="R95" s="5"/>
      <c r="S95" s="5"/>
      <c r="T95" s="5"/>
      <c r="U95" s="5"/>
    </row>
    <row r="96" spans="2:26">
      <c r="B96" s="5"/>
      <c r="C96" s="259"/>
      <c r="D96" s="247"/>
      <c r="E96" s="247"/>
      <c r="F96" s="247"/>
      <c r="G96" s="247"/>
      <c r="H96" s="247"/>
      <c r="I96" s="249"/>
      <c r="J96" s="248"/>
      <c r="K96" s="248"/>
      <c r="L96" s="248"/>
      <c r="M96" s="248"/>
      <c r="N96" s="248"/>
      <c r="O96" s="248"/>
      <c r="Q96" s="5"/>
      <c r="R96" s="5"/>
      <c r="S96" s="5"/>
      <c r="T96" s="5"/>
      <c r="U96" s="5"/>
    </row>
    <row r="97" spans="2:21">
      <c r="B97" s="5"/>
      <c r="C97" s="259"/>
      <c r="D97" s="248"/>
      <c r="E97" s="248"/>
      <c r="F97" s="248"/>
      <c r="G97" s="248"/>
      <c r="H97" s="248"/>
      <c r="I97" s="248"/>
      <c r="J97" s="247"/>
      <c r="K97" s="247"/>
      <c r="L97" s="247"/>
      <c r="M97" s="247"/>
      <c r="N97" s="247"/>
      <c r="O97" s="248"/>
      <c r="Q97" s="5"/>
      <c r="R97" s="5"/>
      <c r="S97" s="5"/>
      <c r="T97" s="5"/>
      <c r="U97" s="5"/>
    </row>
    <row r="98" spans="2:21">
      <c r="B98" s="5"/>
      <c r="C98" s="259"/>
      <c r="D98" s="247"/>
      <c r="E98" s="247"/>
      <c r="F98" s="247"/>
      <c r="G98" s="247"/>
      <c r="H98" s="247"/>
      <c r="I98" s="5"/>
      <c r="J98" s="249"/>
      <c r="K98" s="249"/>
      <c r="L98" s="249"/>
      <c r="M98" s="249"/>
      <c r="N98" s="249"/>
      <c r="O98" s="248"/>
      <c r="Q98" s="5"/>
      <c r="R98" s="5"/>
      <c r="S98" s="5"/>
      <c r="T98" s="5"/>
      <c r="U98" s="5"/>
    </row>
    <row r="99" spans="2:21">
      <c r="B99" s="41"/>
      <c r="C99" s="249"/>
      <c r="D99" s="249"/>
      <c r="E99" s="249"/>
      <c r="F99" s="249"/>
      <c r="G99" s="249"/>
      <c r="H99" s="249"/>
      <c r="I99" s="259"/>
      <c r="J99" s="248"/>
      <c r="K99" s="248"/>
      <c r="L99" s="248"/>
      <c r="M99" s="248"/>
      <c r="N99" s="248"/>
      <c r="O99" s="248"/>
      <c r="Q99" s="5"/>
      <c r="R99" s="5"/>
      <c r="S99" s="5"/>
      <c r="T99" s="5"/>
      <c r="U99" s="5"/>
    </row>
    <row r="100" spans="2:21" s="5" customFormat="1">
      <c r="B100" s="41"/>
      <c r="C100" s="257"/>
      <c r="D100" s="248"/>
      <c r="E100" s="248"/>
      <c r="F100" s="248"/>
      <c r="G100" s="248"/>
      <c r="H100" s="248"/>
      <c r="I100" s="259"/>
      <c r="O100" s="248"/>
      <c r="P100" s="39"/>
    </row>
    <row r="101" spans="2:21">
      <c r="B101" s="41"/>
      <c r="C101" s="5"/>
      <c r="D101" s="5"/>
      <c r="E101" s="5"/>
      <c r="F101" s="5"/>
      <c r="G101" s="5"/>
      <c r="H101" s="5"/>
      <c r="I101" s="247"/>
      <c r="J101" s="259"/>
      <c r="K101" s="259"/>
      <c r="L101" s="259"/>
      <c r="M101" s="259"/>
      <c r="N101" s="259"/>
      <c r="O101" s="5"/>
      <c r="Q101" s="5"/>
      <c r="R101" s="5"/>
      <c r="S101" s="5"/>
      <c r="T101" s="5"/>
      <c r="U101" s="5"/>
    </row>
    <row r="102" spans="2:21">
      <c r="B102" s="5"/>
      <c r="C102" s="259"/>
      <c r="D102" s="259"/>
      <c r="E102" s="259"/>
      <c r="F102" s="259"/>
      <c r="G102" s="259"/>
      <c r="H102" s="259"/>
      <c r="I102" s="5"/>
      <c r="J102" s="259"/>
      <c r="K102" s="259"/>
      <c r="L102" s="259"/>
      <c r="M102" s="259"/>
      <c r="N102" s="259"/>
      <c r="O102" s="5"/>
      <c r="P102" s="5"/>
      <c r="Q102" s="5"/>
      <c r="R102" s="5"/>
      <c r="S102" s="5"/>
      <c r="T102" s="5"/>
      <c r="U102" s="5"/>
    </row>
    <row r="103" spans="2:21">
      <c r="B103" s="5"/>
      <c r="C103" s="259"/>
      <c r="D103" s="259"/>
      <c r="E103" s="259"/>
      <c r="F103" s="259"/>
      <c r="G103" s="259"/>
      <c r="H103" s="259"/>
      <c r="I103" s="247"/>
      <c r="J103" s="247"/>
      <c r="K103" s="247"/>
      <c r="L103" s="247"/>
      <c r="M103" s="247"/>
      <c r="N103" s="247"/>
      <c r="O103" s="5"/>
      <c r="Q103" s="5"/>
      <c r="R103" s="5"/>
      <c r="S103" s="5"/>
      <c r="T103" s="5"/>
      <c r="U103" s="5"/>
    </row>
    <row r="104" spans="2:21" s="5" customFormat="1">
      <c r="C104" s="247"/>
      <c r="D104" s="247"/>
      <c r="E104" s="247"/>
      <c r="F104" s="247"/>
      <c r="G104" s="247"/>
      <c r="H104" s="247"/>
      <c r="P104" s="39"/>
    </row>
    <row r="105" spans="2:21" s="5" customFormat="1">
      <c r="I105" s="259"/>
      <c r="J105" s="247"/>
      <c r="K105" s="247"/>
      <c r="L105" s="247"/>
      <c r="M105" s="247"/>
      <c r="N105" s="247"/>
      <c r="P105" s="39"/>
    </row>
    <row r="106" spans="2:21">
      <c r="B106" s="5"/>
      <c r="C106" s="259"/>
      <c r="D106" s="247"/>
      <c r="E106" s="247"/>
      <c r="F106" s="247"/>
      <c r="G106" s="247"/>
      <c r="H106" s="247"/>
      <c r="I106" s="247"/>
      <c r="J106" s="5"/>
      <c r="K106" s="5"/>
      <c r="L106" s="5"/>
      <c r="M106" s="5"/>
      <c r="N106" s="5"/>
      <c r="O106" s="5"/>
      <c r="P106" s="5"/>
      <c r="Q106" s="5"/>
      <c r="R106" s="5"/>
      <c r="S106" s="5"/>
      <c r="T106" s="5"/>
      <c r="U106" s="5"/>
    </row>
    <row r="107" spans="2:21">
      <c r="B107" s="5"/>
      <c r="C107" s="259"/>
      <c r="D107" s="5"/>
      <c r="E107" s="5"/>
      <c r="F107" s="5"/>
      <c r="G107" s="5"/>
      <c r="H107" s="5"/>
      <c r="I107" s="249"/>
      <c r="J107" s="259"/>
      <c r="K107" s="259"/>
      <c r="L107" s="259"/>
      <c r="M107" s="259"/>
      <c r="N107" s="259"/>
      <c r="O107" s="5"/>
      <c r="P107" s="5"/>
      <c r="Q107" s="5"/>
      <c r="R107" s="5"/>
      <c r="S107" s="5"/>
      <c r="T107" s="5"/>
      <c r="U107" s="5"/>
    </row>
    <row r="108" spans="2:21">
      <c r="B108" s="5"/>
      <c r="C108" s="259"/>
      <c r="D108" s="259"/>
      <c r="E108" s="259"/>
      <c r="F108" s="259"/>
      <c r="G108" s="259"/>
      <c r="H108" s="259"/>
      <c r="I108" s="249"/>
      <c r="J108" s="247"/>
      <c r="K108" s="247"/>
      <c r="L108" s="247"/>
      <c r="M108" s="247"/>
      <c r="N108" s="247"/>
      <c r="O108" s="5"/>
      <c r="Q108" s="5"/>
      <c r="R108" s="5"/>
      <c r="S108" s="5"/>
      <c r="T108" s="5"/>
      <c r="U108" s="5"/>
    </row>
    <row r="109" spans="2:21">
      <c r="B109" s="5"/>
      <c r="C109" s="247"/>
      <c r="D109" s="247"/>
      <c r="E109" s="247"/>
      <c r="F109" s="247"/>
      <c r="G109" s="247"/>
      <c r="H109" s="247"/>
      <c r="I109" s="247"/>
      <c r="J109" s="249"/>
      <c r="K109" s="249"/>
      <c r="L109" s="249"/>
      <c r="M109" s="249"/>
      <c r="N109" s="249"/>
      <c r="O109" s="5"/>
      <c r="Q109" s="5"/>
      <c r="R109" s="5"/>
      <c r="S109" s="5"/>
      <c r="T109" s="5"/>
      <c r="U109" s="5"/>
    </row>
    <row r="110" spans="2:21">
      <c r="B110" s="41"/>
      <c r="C110" s="249"/>
      <c r="D110" s="249"/>
      <c r="E110" s="249"/>
      <c r="F110" s="249"/>
      <c r="G110" s="249"/>
      <c r="H110" s="249"/>
      <c r="I110" s="5"/>
      <c r="J110" s="249"/>
      <c r="K110" s="249"/>
      <c r="L110" s="249"/>
      <c r="M110" s="249"/>
      <c r="N110" s="249"/>
      <c r="O110" s="5"/>
      <c r="Q110" s="5"/>
      <c r="R110" s="5"/>
      <c r="S110" s="5"/>
      <c r="T110" s="5"/>
      <c r="U110" s="5"/>
    </row>
    <row r="111" spans="2:21">
      <c r="B111" s="5"/>
      <c r="C111" s="249"/>
      <c r="D111" s="249"/>
      <c r="E111" s="249"/>
      <c r="F111" s="249"/>
      <c r="G111" s="249"/>
      <c r="H111" s="249"/>
      <c r="I111" s="5"/>
      <c r="J111" s="247"/>
      <c r="K111" s="247"/>
      <c r="L111" s="247"/>
      <c r="M111" s="247"/>
      <c r="N111" s="247"/>
      <c r="O111" s="5"/>
      <c r="Q111" s="5"/>
      <c r="R111" s="5"/>
      <c r="S111" s="5"/>
      <c r="T111" s="5"/>
      <c r="U111" s="5"/>
    </row>
    <row r="112" spans="2:21">
      <c r="B112" s="5"/>
      <c r="C112" s="247"/>
      <c r="D112" s="247"/>
      <c r="E112" s="247"/>
      <c r="F112" s="247"/>
      <c r="G112" s="247"/>
      <c r="H112" s="247"/>
      <c r="I112" s="5"/>
      <c r="J112" s="5"/>
      <c r="K112" s="5"/>
      <c r="L112" s="5"/>
      <c r="M112" s="5"/>
      <c r="N112" s="5"/>
      <c r="O112" s="5"/>
      <c r="Q112" s="5"/>
      <c r="R112" s="5"/>
      <c r="S112" s="5"/>
      <c r="T112" s="5"/>
      <c r="U112" s="5"/>
    </row>
    <row r="113" spans="2:21">
      <c r="B113" s="5"/>
      <c r="C113" s="5"/>
      <c r="D113" s="5"/>
      <c r="E113" s="5"/>
      <c r="F113" s="5"/>
      <c r="G113" s="5"/>
      <c r="H113" s="5"/>
      <c r="I113" s="5"/>
      <c r="J113" s="5"/>
      <c r="K113" s="5"/>
      <c r="L113" s="5"/>
      <c r="M113" s="5"/>
      <c r="N113" s="5"/>
      <c r="O113" s="5"/>
      <c r="Q113" s="5"/>
      <c r="R113" s="5"/>
      <c r="S113" s="5"/>
      <c r="T113" s="5"/>
      <c r="U113" s="5"/>
    </row>
    <row r="114" spans="2:21">
      <c r="B114" s="5"/>
      <c r="C114" s="5"/>
      <c r="D114" s="5"/>
      <c r="E114" s="5"/>
      <c r="F114" s="5"/>
      <c r="G114" s="5"/>
      <c r="H114" s="5"/>
      <c r="I114" s="49"/>
      <c r="J114" s="5"/>
      <c r="K114" s="5"/>
      <c r="L114" s="5"/>
      <c r="M114" s="5"/>
      <c r="N114" s="5"/>
      <c r="O114" s="5"/>
      <c r="Q114" s="41"/>
      <c r="R114" s="5"/>
      <c r="S114" s="5"/>
      <c r="T114" s="5"/>
      <c r="U114" s="5"/>
    </row>
    <row r="115" spans="2:21">
      <c r="B115" s="5"/>
      <c r="C115" s="5"/>
      <c r="D115" s="5"/>
      <c r="E115" s="5"/>
      <c r="F115" s="5"/>
      <c r="G115" s="5"/>
      <c r="H115" s="5"/>
      <c r="I115" s="5"/>
      <c r="J115" s="5"/>
      <c r="K115" s="5"/>
      <c r="L115" s="5"/>
      <c r="M115" s="5"/>
      <c r="N115" s="5"/>
      <c r="O115" s="5"/>
      <c r="Q115" s="5"/>
      <c r="R115" s="5"/>
      <c r="S115" s="5"/>
      <c r="T115" s="5"/>
      <c r="U115" s="5"/>
    </row>
    <row r="116" spans="2:21">
      <c r="B116" s="5"/>
      <c r="C116" s="5"/>
      <c r="D116" s="5"/>
      <c r="E116" s="5"/>
      <c r="F116" s="5"/>
      <c r="G116" s="5"/>
      <c r="H116" s="5"/>
      <c r="I116" s="254"/>
      <c r="J116" s="49"/>
      <c r="K116" s="49"/>
      <c r="L116" s="49"/>
      <c r="M116" s="49"/>
      <c r="N116" s="49"/>
      <c r="O116" s="49"/>
      <c r="Q116" s="5"/>
      <c r="R116" s="5"/>
      <c r="S116" s="5"/>
      <c r="T116" s="5"/>
      <c r="U116" s="5"/>
    </row>
    <row r="117" spans="2:21">
      <c r="B117" s="41"/>
      <c r="C117" s="49"/>
      <c r="D117" s="49"/>
      <c r="E117" s="49"/>
      <c r="F117" s="49"/>
      <c r="G117" s="49"/>
      <c r="H117" s="49"/>
      <c r="I117" s="249"/>
      <c r="J117" s="5"/>
      <c r="K117" s="5"/>
      <c r="L117" s="5"/>
      <c r="M117" s="5"/>
      <c r="N117" s="5"/>
      <c r="O117" s="5"/>
      <c r="Q117" s="5"/>
      <c r="R117" s="5"/>
      <c r="S117" s="5"/>
      <c r="T117" s="5"/>
      <c r="U117" s="5"/>
    </row>
    <row r="118" spans="2:21">
      <c r="B118" s="5"/>
      <c r="C118" s="5"/>
      <c r="D118" s="5"/>
      <c r="E118" s="5"/>
      <c r="F118" s="5"/>
      <c r="G118" s="5"/>
      <c r="H118" s="5"/>
      <c r="I118" s="254"/>
      <c r="J118" s="254"/>
      <c r="K118" s="254"/>
      <c r="L118" s="254"/>
      <c r="M118" s="254"/>
      <c r="N118" s="254"/>
      <c r="O118" s="248"/>
      <c r="Q118" s="5"/>
      <c r="R118" s="5"/>
      <c r="S118" s="5"/>
      <c r="T118" s="5"/>
      <c r="U118" s="5"/>
    </row>
    <row r="119" spans="2:21">
      <c r="B119" s="41"/>
      <c r="C119" s="254"/>
      <c r="D119" s="254"/>
      <c r="E119" s="254"/>
      <c r="F119" s="254"/>
      <c r="G119" s="254"/>
      <c r="H119" s="254"/>
      <c r="I119" s="254"/>
      <c r="J119" s="249"/>
      <c r="K119" s="249"/>
      <c r="L119" s="249"/>
      <c r="M119" s="249"/>
      <c r="N119" s="249"/>
      <c r="O119" s="248"/>
      <c r="Q119" s="5"/>
      <c r="R119" s="5"/>
      <c r="S119" s="5"/>
      <c r="T119" s="5"/>
      <c r="U119" s="5"/>
    </row>
    <row r="120" spans="2:21">
      <c r="B120" s="41"/>
      <c r="C120" s="254"/>
      <c r="D120" s="249"/>
      <c r="E120" s="249"/>
      <c r="F120" s="249"/>
      <c r="G120" s="249"/>
      <c r="H120" s="249"/>
      <c r="I120" s="254"/>
      <c r="J120" s="254"/>
      <c r="K120" s="254"/>
      <c r="L120" s="254"/>
      <c r="M120" s="254"/>
      <c r="N120" s="254"/>
      <c r="O120" s="248"/>
      <c r="Q120" s="5"/>
      <c r="R120" s="5"/>
      <c r="S120" s="5"/>
      <c r="T120" s="5"/>
      <c r="U120" s="5"/>
    </row>
    <row r="121" spans="2:21">
      <c r="B121" s="41"/>
      <c r="C121" s="254"/>
      <c r="D121" s="254"/>
      <c r="E121" s="254"/>
      <c r="F121" s="254"/>
      <c r="G121" s="254"/>
      <c r="H121" s="254"/>
      <c r="I121" s="254"/>
      <c r="J121" s="254"/>
      <c r="K121" s="254"/>
      <c r="L121" s="254"/>
      <c r="M121" s="254"/>
      <c r="N121" s="254"/>
      <c r="O121" s="248"/>
      <c r="Q121" s="5"/>
      <c r="R121" s="5"/>
      <c r="S121" s="5"/>
      <c r="T121" s="5"/>
      <c r="U121" s="5"/>
    </row>
    <row r="122" spans="2:21">
      <c r="B122" s="41"/>
      <c r="C122" s="254"/>
      <c r="D122" s="254"/>
      <c r="E122" s="254"/>
      <c r="F122" s="254"/>
      <c r="G122" s="254"/>
      <c r="H122" s="254"/>
      <c r="I122" s="254"/>
      <c r="J122" s="254"/>
      <c r="K122" s="254"/>
      <c r="L122" s="254"/>
      <c r="M122" s="254"/>
      <c r="N122" s="254"/>
      <c r="O122" s="248"/>
      <c r="Q122" s="5"/>
      <c r="R122" s="5"/>
      <c r="S122" s="5"/>
      <c r="T122" s="5"/>
      <c r="U122" s="5"/>
    </row>
    <row r="123" spans="2:21">
      <c r="B123" s="41"/>
      <c r="C123" s="254"/>
      <c r="D123" s="254"/>
      <c r="E123" s="254"/>
      <c r="F123" s="254"/>
      <c r="G123" s="254"/>
      <c r="H123" s="254"/>
      <c r="I123" s="254"/>
      <c r="J123" s="254"/>
      <c r="K123" s="254"/>
      <c r="L123" s="254"/>
      <c r="M123" s="254"/>
      <c r="N123" s="254"/>
      <c r="O123" s="248"/>
      <c r="Q123" s="5"/>
      <c r="R123" s="5"/>
      <c r="S123" s="5"/>
      <c r="T123" s="5"/>
      <c r="U123" s="5"/>
    </row>
    <row r="124" spans="2:21">
      <c r="B124" s="41"/>
      <c r="C124" s="254"/>
      <c r="D124" s="254"/>
      <c r="E124" s="254"/>
      <c r="F124" s="254"/>
      <c r="G124" s="254"/>
      <c r="H124" s="254"/>
      <c r="I124" s="254"/>
      <c r="J124" s="254"/>
      <c r="K124" s="254"/>
      <c r="L124" s="254"/>
      <c r="M124" s="254"/>
      <c r="N124" s="254"/>
      <c r="O124" s="5"/>
      <c r="Q124" s="5"/>
      <c r="R124" s="5"/>
      <c r="S124" s="5"/>
      <c r="T124" s="5"/>
      <c r="U124" s="5"/>
    </row>
    <row r="125" spans="2:21">
      <c r="B125" s="41"/>
      <c r="C125" s="254"/>
      <c r="D125" s="254"/>
      <c r="E125" s="254"/>
      <c r="F125" s="254"/>
      <c r="G125" s="254"/>
      <c r="H125" s="254"/>
      <c r="I125" s="254"/>
      <c r="J125" s="254"/>
      <c r="K125" s="254"/>
      <c r="L125" s="254"/>
      <c r="M125" s="254"/>
      <c r="N125" s="254"/>
      <c r="O125" s="5"/>
      <c r="Q125" s="5"/>
      <c r="R125" s="5"/>
      <c r="S125" s="5"/>
      <c r="T125" s="5"/>
      <c r="U125" s="5"/>
    </row>
    <row r="126" spans="2:21">
      <c r="B126" s="41"/>
      <c r="C126" s="254"/>
      <c r="D126" s="254"/>
      <c r="E126" s="254"/>
      <c r="F126" s="254"/>
      <c r="G126" s="254"/>
      <c r="H126" s="254"/>
      <c r="I126" s="18"/>
      <c r="J126" s="254"/>
      <c r="K126" s="254"/>
      <c r="L126" s="254"/>
      <c r="M126" s="254"/>
      <c r="N126" s="254"/>
      <c r="O126" s="5"/>
      <c r="Q126" s="5"/>
      <c r="R126" s="5"/>
      <c r="S126" s="5"/>
      <c r="T126" s="5"/>
      <c r="U126" s="5"/>
    </row>
    <row r="127" spans="2:21">
      <c r="B127" s="41"/>
      <c r="C127" s="254"/>
      <c r="D127" s="254"/>
      <c r="E127" s="254"/>
      <c r="F127" s="254"/>
      <c r="G127" s="254"/>
      <c r="H127" s="254"/>
      <c r="I127" s="5"/>
      <c r="J127" s="254"/>
      <c r="K127" s="254"/>
      <c r="L127" s="254"/>
      <c r="M127" s="254"/>
      <c r="N127" s="254"/>
      <c r="O127" s="5"/>
      <c r="Q127" s="5"/>
      <c r="R127" s="5"/>
      <c r="S127" s="5"/>
      <c r="T127" s="5"/>
      <c r="U127" s="5"/>
    </row>
    <row r="128" spans="2:21">
      <c r="B128" s="41"/>
      <c r="C128" s="254"/>
      <c r="D128" s="254"/>
      <c r="E128" s="254"/>
      <c r="F128" s="254"/>
      <c r="G128" s="254"/>
      <c r="H128" s="254"/>
      <c r="I128" s="254"/>
      <c r="J128" s="18"/>
      <c r="K128" s="18"/>
      <c r="L128" s="18"/>
      <c r="M128" s="18"/>
      <c r="N128" s="18"/>
      <c r="O128" s="5"/>
      <c r="Q128" s="5"/>
      <c r="R128" s="5"/>
      <c r="S128" s="5"/>
      <c r="T128" s="5"/>
      <c r="U128" s="5"/>
    </row>
    <row r="129" spans="2:27">
      <c r="B129" s="5"/>
      <c r="C129" s="5"/>
      <c r="D129" s="18"/>
      <c r="E129" s="18"/>
      <c r="F129" s="18"/>
      <c r="G129" s="18"/>
      <c r="H129" s="18"/>
      <c r="I129" s="18"/>
      <c r="J129" s="5"/>
      <c r="K129" s="5"/>
      <c r="L129" s="5"/>
      <c r="M129" s="5"/>
      <c r="N129" s="5"/>
      <c r="O129" s="5"/>
      <c r="Q129" s="5"/>
      <c r="R129" s="5"/>
      <c r="S129" s="5"/>
      <c r="T129" s="5"/>
      <c r="U129" s="5"/>
    </row>
    <row r="130" spans="2:27">
      <c r="B130" s="5"/>
      <c r="C130" s="5"/>
      <c r="D130" s="5"/>
      <c r="E130" s="5"/>
      <c r="F130" s="5"/>
      <c r="G130" s="5"/>
      <c r="H130" s="5"/>
      <c r="I130" s="5"/>
      <c r="J130" s="254"/>
      <c r="K130" s="254"/>
      <c r="L130" s="254"/>
      <c r="M130" s="254"/>
      <c r="N130" s="254"/>
      <c r="O130" s="5"/>
      <c r="Q130" s="5"/>
      <c r="R130" s="5"/>
      <c r="S130" s="5"/>
      <c r="T130" s="5"/>
      <c r="U130" s="5"/>
    </row>
    <row r="131" spans="2:27">
      <c r="B131" s="41"/>
      <c r="C131" s="254"/>
      <c r="D131" s="254"/>
      <c r="E131" s="254"/>
      <c r="F131" s="254"/>
      <c r="G131" s="254"/>
      <c r="H131" s="254"/>
      <c r="I131" s="5"/>
      <c r="J131" s="18"/>
      <c r="K131" s="18"/>
      <c r="L131" s="18"/>
      <c r="M131" s="18"/>
      <c r="N131" s="18"/>
      <c r="O131" s="5"/>
      <c r="Q131" s="5"/>
      <c r="R131" s="5"/>
      <c r="S131" s="5"/>
      <c r="T131" s="5"/>
      <c r="U131" s="5"/>
    </row>
    <row r="132" spans="2:27">
      <c r="B132" s="5"/>
      <c r="C132" s="259"/>
      <c r="D132" s="18"/>
      <c r="E132" s="18"/>
      <c r="F132" s="18"/>
      <c r="G132" s="18"/>
      <c r="H132" s="18"/>
      <c r="I132" s="17"/>
      <c r="J132" s="5"/>
      <c r="K132" s="5"/>
      <c r="L132" s="5"/>
      <c r="M132" s="5"/>
      <c r="N132" s="5"/>
      <c r="O132" s="5"/>
      <c r="Q132" s="5"/>
      <c r="R132" s="5"/>
      <c r="S132" s="5"/>
      <c r="T132" s="5"/>
      <c r="U132" s="5"/>
    </row>
    <row r="133" spans="2:27">
      <c r="B133" s="5"/>
      <c r="C133" s="5"/>
      <c r="D133" s="5"/>
      <c r="E133" s="5"/>
      <c r="F133" s="5"/>
      <c r="G133" s="5"/>
      <c r="H133" s="5"/>
      <c r="I133" s="17"/>
      <c r="J133" s="5"/>
      <c r="K133" s="5"/>
      <c r="L133" s="5"/>
      <c r="M133" s="5"/>
      <c r="N133" s="5"/>
      <c r="O133" s="5"/>
      <c r="Q133" s="5"/>
      <c r="R133" s="5"/>
      <c r="S133" s="5"/>
      <c r="T133" s="5"/>
      <c r="U133" s="5"/>
    </row>
    <row r="134" spans="2:27">
      <c r="B134" s="41"/>
      <c r="C134" s="5"/>
      <c r="D134" s="5"/>
      <c r="E134" s="5"/>
      <c r="F134" s="5"/>
      <c r="G134" s="5"/>
      <c r="H134" s="5"/>
      <c r="I134" s="17"/>
      <c r="J134" s="17"/>
      <c r="K134" s="17"/>
      <c r="L134" s="17"/>
      <c r="M134" s="17"/>
      <c r="N134" s="17"/>
      <c r="O134" s="5"/>
      <c r="Q134" s="41"/>
      <c r="R134" s="5"/>
      <c r="S134" s="5"/>
      <c r="T134" s="5"/>
      <c r="U134" s="5"/>
    </row>
    <row r="135" spans="2:27">
      <c r="B135" s="5"/>
      <c r="C135" s="17"/>
      <c r="D135" s="17"/>
      <c r="E135" s="17"/>
      <c r="F135" s="17"/>
      <c r="G135" s="17"/>
      <c r="H135" s="17"/>
      <c r="I135" s="17"/>
      <c r="J135" s="17"/>
      <c r="K135" s="17"/>
      <c r="L135" s="17"/>
      <c r="M135" s="17"/>
      <c r="N135" s="17"/>
      <c r="O135" s="5"/>
      <c r="Q135" s="5"/>
      <c r="R135" s="5"/>
      <c r="S135" s="5"/>
      <c r="T135" s="5"/>
      <c r="U135" s="5"/>
      <c r="X135" s="304"/>
    </row>
    <row r="136" spans="2:27">
      <c r="B136" s="5"/>
      <c r="C136" s="17"/>
      <c r="D136" s="17"/>
      <c r="E136" s="17"/>
      <c r="F136" s="17"/>
      <c r="G136" s="17"/>
      <c r="H136" s="17"/>
      <c r="I136" s="17"/>
      <c r="J136" s="17"/>
      <c r="K136" s="17"/>
      <c r="L136" s="17"/>
      <c r="M136" s="17"/>
      <c r="N136" s="17"/>
      <c r="O136" s="5"/>
      <c r="Q136" s="5"/>
      <c r="R136" s="5"/>
      <c r="S136" s="5"/>
      <c r="T136" s="5"/>
      <c r="U136" s="5"/>
      <c r="X136" s="10"/>
      <c r="Y136" s="304"/>
      <c r="Z136" s="304"/>
      <c r="AA136" s="304"/>
    </row>
    <row r="137" spans="2:27">
      <c r="B137" s="5"/>
      <c r="C137" s="5"/>
      <c r="D137" s="17"/>
      <c r="E137" s="17"/>
      <c r="F137" s="17"/>
      <c r="G137" s="17"/>
      <c r="H137" s="17"/>
      <c r="I137" s="17"/>
      <c r="J137" s="17"/>
      <c r="K137" s="17"/>
      <c r="L137" s="17"/>
      <c r="M137" s="17"/>
      <c r="N137" s="17"/>
      <c r="O137" s="5"/>
      <c r="Q137" s="5"/>
      <c r="R137" s="5"/>
      <c r="S137" s="5"/>
      <c r="T137" s="5"/>
      <c r="U137" s="5"/>
      <c r="Y137" s="10"/>
      <c r="Z137" s="10"/>
      <c r="AA137" s="10"/>
    </row>
    <row r="138" spans="2:27">
      <c r="B138" s="5"/>
      <c r="C138" s="5"/>
      <c r="D138" s="17"/>
      <c r="E138" s="17"/>
      <c r="F138" s="17"/>
      <c r="G138" s="17"/>
      <c r="H138" s="17"/>
      <c r="I138" s="5"/>
      <c r="J138" s="17"/>
      <c r="K138" s="17"/>
      <c r="L138" s="17"/>
      <c r="M138" s="17"/>
      <c r="N138" s="17"/>
      <c r="O138" s="5"/>
      <c r="Q138" s="5"/>
      <c r="R138" s="5"/>
      <c r="S138" s="5"/>
      <c r="T138" s="5"/>
      <c r="U138" s="5"/>
    </row>
    <row r="139" spans="2:27">
      <c r="B139" s="5"/>
      <c r="C139" s="5"/>
      <c r="D139" s="17"/>
      <c r="E139" s="17"/>
      <c r="F139" s="17"/>
      <c r="G139" s="17"/>
      <c r="H139" s="17"/>
      <c r="I139" s="5"/>
      <c r="J139" s="17"/>
      <c r="K139" s="17"/>
      <c r="L139" s="17"/>
      <c r="M139" s="17"/>
      <c r="N139" s="17"/>
      <c r="O139" s="5"/>
      <c r="Q139" s="5"/>
      <c r="R139" s="5"/>
      <c r="S139" s="5"/>
      <c r="T139" s="5"/>
      <c r="U139" s="5"/>
    </row>
    <row r="140" spans="2:27">
      <c r="B140" s="5"/>
      <c r="C140" s="17"/>
      <c r="D140" s="17"/>
      <c r="E140" s="17"/>
      <c r="F140" s="17"/>
      <c r="G140" s="17"/>
      <c r="H140" s="17"/>
      <c r="I140" s="5"/>
      <c r="J140" s="5"/>
      <c r="K140" s="5"/>
      <c r="L140" s="5"/>
      <c r="M140" s="5"/>
      <c r="N140" s="5"/>
      <c r="O140" s="5"/>
      <c r="Q140" s="5"/>
      <c r="R140" s="5"/>
      <c r="S140" s="5"/>
      <c r="T140" s="5"/>
      <c r="U140" s="5"/>
    </row>
    <row r="141" spans="2:27">
      <c r="B141" s="5"/>
      <c r="C141" s="5"/>
      <c r="D141" s="5"/>
      <c r="E141" s="5"/>
      <c r="F141" s="5"/>
      <c r="G141" s="5"/>
      <c r="H141" s="5"/>
      <c r="I141" s="5"/>
      <c r="J141" s="5"/>
      <c r="K141" s="5"/>
      <c r="L141" s="5"/>
      <c r="M141" s="5"/>
      <c r="N141" s="5"/>
      <c r="O141" s="5"/>
      <c r="Q141" s="5"/>
      <c r="R141" s="5"/>
      <c r="S141" s="5"/>
      <c r="T141" s="5"/>
      <c r="U141" s="5"/>
    </row>
    <row r="142" spans="2:27">
      <c r="B142" s="5"/>
      <c r="C142" s="5"/>
      <c r="D142" s="5"/>
      <c r="E142" s="5"/>
      <c r="F142" s="5"/>
      <c r="G142" s="5"/>
      <c r="H142" s="5"/>
      <c r="I142" s="5"/>
      <c r="J142" s="5"/>
      <c r="K142" s="5"/>
      <c r="L142" s="5"/>
      <c r="M142" s="5"/>
      <c r="N142" s="5"/>
      <c r="O142" s="5"/>
      <c r="Q142" s="5"/>
      <c r="R142" s="5"/>
      <c r="S142" s="5"/>
      <c r="T142" s="5"/>
      <c r="U142" s="5"/>
    </row>
    <row r="143" spans="2:27">
      <c r="B143" s="5"/>
      <c r="C143" s="5"/>
      <c r="D143" s="5"/>
      <c r="E143" s="5"/>
      <c r="F143" s="5"/>
      <c r="G143" s="5"/>
      <c r="H143" s="5"/>
      <c r="I143" s="5"/>
      <c r="J143" s="5"/>
      <c r="K143" s="5"/>
      <c r="L143" s="5"/>
      <c r="M143" s="5"/>
      <c r="N143" s="5"/>
      <c r="O143" s="5"/>
      <c r="Q143" s="5"/>
      <c r="R143" s="5"/>
      <c r="S143" s="5"/>
      <c r="T143" s="5"/>
      <c r="U143" s="5"/>
    </row>
    <row r="144" spans="2:27">
      <c r="B144" s="5"/>
      <c r="C144" s="5"/>
      <c r="D144" s="5"/>
      <c r="E144" s="5"/>
      <c r="F144" s="5"/>
      <c r="G144" s="5"/>
      <c r="H144" s="5"/>
      <c r="I144" s="5"/>
      <c r="J144" s="5"/>
      <c r="K144" s="5"/>
      <c r="L144" s="5"/>
      <c r="M144" s="5"/>
      <c r="N144" s="5"/>
      <c r="O144" s="5"/>
      <c r="Q144" s="5"/>
      <c r="R144" s="5"/>
      <c r="S144" s="5"/>
      <c r="T144" s="5"/>
      <c r="U144" s="5"/>
    </row>
    <row r="145" spans="2:21">
      <c r="B145" s="5"/>
      <c r="C145" s="5"/>
      <c r="D145" s="5"/>
      <c r="E145" s="5"/>
      <c r="F145" s="5"/>
      <c r="G145" s="5"/>
      <c r="H145" s="5"/>
      <c r="I145" s="5"/>
      <c r="J145" s="5"/>
      <c r="K145" s="5"/>
      <c r="L145" s="5"/>
      <c r="M145" s="5"/>
      <c r="N145" s="5"/>
      <c r="O145" s="5"/>
      <c r="Q145" s="5"/>
      <c r="R145" s="5"/>
      <c r="S145" s="5"/>
      <c r="T145" s="5"/>
      <c r="U145" s="5"/>
    </row>
    <row r="146" spans="2:21">
      <c r="B146" s="5"/>
      <c r="C146" s="5"/>
      <c r="D146" s="5"/>
      <c r="E146" s="5"/>
      <c r="F146" s="5"/>
      <c r="G146" s="5"/>
      <c r="H146" s="5"/>
      <c r="I146" s="5"/>
      <c r="J146" s="5"/>
      <c r="K146" s="5"/>
      <c r="L146" s="5"/>
      <c r="M146" s="5"/>
      <c r="N146" s="5"/>
      <c r="O146" s="5"/>
      <c r="Q146" s="5"/>
      <c r="R146" s="5"/>
      <c r="S146" s="5"/>
      <c r="T146" s="5"/>
      <c r="U146" s="5"/>
    </row>
    <row r="147" spans="2:21">
      <c r="B147" s="5"/>
      <c r="C147" s="5"/>
      <c r="D147" s="5"/>
      <c r="E147" s="5"/>
      <c r="F147" s="5"/>
      <c r="G147" s="5"/>
      <c r="H147" s="5"/>
      <c r="I147" s="5"/>
      <c r="J147" s="5"/>
      <c r="K147" s="5"/>
      <c r="L147" s="5"/>
      <c r="M147" s="5"/>
      <c r="N147" s="5"/>
      <c r="O147" s="5"/>
      <c r="Q147" s="5"/>
      <c r="R147" s="5"/>
      <c r="S147" s="5"/>
      <c r="T147" s="5"/>
      <c r="U147" s="5"/>
    </row>
    <row r="148" spans="2:21">
      <c r="B148" s="5"/>
      <c r="C148" s="5"/>
      <c r="D148" s="5"/>
      <c r="E148" s="5"/>
      <c r="F148" s="5"/>
      <c r="G148" s="5"/>
      <c r="H148" s="5"/>
      <c r="J148" s="5"/>
      <c r="K148" s="5"/>
      <c r="L148" s="5"/>
      <c r="M148" s="5"/>
      <c r="N148" s="5"/>
      <c r="O148" s="5"/>
      <c r="Q148" s="5"/>
      <c r="R148" s="5"/>
      <c r="S148" s="5"/>
      <c r="T148" s="5"/>
      <c r="U148" s="5"/>
    </row>
    <row r="149" spans="2:21">
      <c r="B149" s="5"/>
      <c r="C149" s="5"/>
      <c r="D149" s="5"/>
      <c r="E149" s="5"/>
      <c r="F149" s="5"/>
      <c r="G149" s="5"/>
      <c r="H149" s="5"/>
      <c r="J149" s="5"/>
      <c r="K149" s="5"/>
      <c r="L149" s="5"/>
      <c r="M149" s="5"/>
      <c r="N149" s="5"/>
      <c r="O149" s="5"/>
      <c r="Q149" s="5"/>
      <c r="R149" s="5"/>
      <c r="S149" s="5"/>
      <c r="T149" s="5"/>
      <c r="U149" s="5"/>
    </row>
    <row r="150" spans="2:21">
      <c r="B150" s="5"/>
      <c r="C150" s="5"/>
      <c r="D150" s="5"/>
      <c r="E150" s="5"/>
      <c r="F150" s="5"/>
      <c r="G150" s="5"/>
      <c r="H150" s="5"/>
      <c r="Q150" s="5"/>
      <c r="R150" s="5"/>
      <c r="S150" s="5"/>
      <c r="T150" s="5"/>
      <c r="U150" s="5"/>
    </row>
    <row r="151" spans="2:21">
      <c r="Q151" s="5"/>
      <c r="R151" s="5"/>
      <c r="S151" s="5"/>
      <c r="T151" s="5"/>
      <c r="U151" s="5"/>
    </row>
    <row r="152" spans="2:21">
      <c r="Q152" s="5"/>
      <c r="R152" s="5"/>
      <c r="S152" s="5"/>
      <c r="T152" s="5"/>
      <c r="U152" s="5"/>
    </row>
    <row r="153" spans="2:21">
      <c r="C153" s="263"/>
      <c r="Q153" s="5"/>
      <c r="R153" s="5"/>
      <c r="S153" s="5"/>
      <c r="T153" s="5"/>
      <c r="U153" s="5"/>
    </row>
    <row r="154" spans="2:21">
      <c r="Q154" s="5"/>
      <c r="R154" s="5"/>
      <c r="S154" s="5"/>
      <c r="T154" s="5"/>
      <c r="U154" s="5"/>
    </row>
    <row r="155" spans="2:21">
      <c r="Q155" s="5"/>
      <c r="R155" s="5"/>
      <c r="S155" s="5"/>
      <c r="T155" s="5"/>
      <c r="U155" s="5"/>
    </row>
    <row r="156" spans="2:21">
      <c r="Q156" s="5"/>
      <c r="R156" s="5"/>
      <c r="S156" s="5"/>
      <c r="T156" s="5"/>
      <c r="U156" s="5"/>
    </row>
    <row r="157" spans="2:21">
      <c r="Q157" s="5"/>
      <c r="R157" s="5"/>
      <c r="S157" s="5"/>
      <c r="T157" s="5"/>
      <c r="U157" s="5"/>
    </row>
    <row r="158" spans="2:21">
      <c r="Q158" s="5"/>
      <c r="R158" s="5"/>
      <c r="S158" s="5"/>
      <c r="T158" s="5"/>
      <c r="U158" s="5"/>
    </row>
    <row r="159" spans="2:21">
      <c r="Q159" s="5"/>
      <c r="R159" s="5"/>
      <c r="S159" s="5"/>
      <c r="T159" s="5"/>
      <c r="U159" s="5"/>
    </row>
    <row r="160" spans="2:21">
      <c r="Q160" s="5"/>
      <c r="R160" s="5"/>
      <c r="S160" s="5"/>
      <c r="T160" s="5"/>
      <c r="U160" s="5"/>
    </row>
    <row r="161" spans="17:21">
      <c r="Q161" s="5"/>
      <c r="R161" s="5"/>
      <c r="S161" s="5"/>
      <c r="T161" s="5"/>
      <c r="U161" s="5"/>
    </row>
    <row r="162" spans="17:21">
      <c r="Q162" s="5"/>
      <c r="R162" s="5"/>
      <c r="S162" s="5"/>
      <c r="T162" s="5"/>
      <c r="U162" s="5"/>
    </row>
    <row r="163" spans="17:21">
      <c r="Q163" s="5"/>
      <c r="R163" s="5"/>
      <c r="S163" s="5"/>
      <c r="T163" s="5"/>
      <c r="U163" s="5"/>
    </row>
    <row r="164" spans="17:21">
      <c r="Q164" s="5"/>
      <c r="R164" s="5"/>
      <c r="S164" s="5"/>
      <c r="T164" s="5"/>
      <c r="U164" s="5"/>
    </row>
  </sheetData>
  <pageMargins left="0.75" right="0.75" top="1" bottom="1" header="0.5" footer="0.5"/>
  <pageSetup scale="69" orientation="landscape" r:id="rId1"/>
  <headerFooter alignWithMargins="0"/>
  <drawing r:id="rId2"/>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D00-000000000000}">
  <sheetPr codeName="Sheet138">
    <tabColor theme="3" tint="0.39997558519241921"/>
    <pageSetUpPr fitToPage="1"/>
  </sheetPr>
  <dimension ref="B1:BK164"/>
  <sheetViews>
    <sheetView showGridLines="0" zoomScale="80" zoomScaleNormal="80" workbookViewId="0"/>
  </sheetViews>
  <sheetFormatPr defaultColWidth="8.88671875" defaultRowHeight="12"/>
  <cols>
    <col min="1" max="1" width="2.33203125" style="39" customWidth="1"/>
    <col min="2" max="2" width="26.6640625" style="39" customWidth="1"/>
    <col min="3" max="9" width="10" style="39" customWidth="1"/>
    <col min="10" max="10" width="26.6640625" style="39" customWidth="1"/>
    <col min="11" max="16" width="10" style="39" customWidth="1"/>
    <col min="17" max="17" width="4.5546875" style="39" customWidth="1"/>
    <col min="18" max="20" width="8.88671875" style="39"/>
    <col min="21" max="21" width="3.6640625" style="39" customWidth="1"/>
    <col min="22" max="63" width="9.109375" style="5" customWidth="1"/>
    <col min="64" max="16384" width="8.88671875" style="39"/>
  </cols>
  <sheetData>
    <row r="1" spans="2:63" s="312" customFormat="1">
      <c r="V1" s="149"/>
      <c r="W1" s="149"/>
      <c r="X1" s="149"/>
      <c r="Y1" s="149"/>
      <c r="Z1" s="149"/>
      <c r="AA1" s="149"/>
      <c r="AB1" s="149"/>
      <c r="AC1" s="149"/>
      <c r="AD1" s="149"/>
      <c r="AE1" s="149"/>
      <c r="AF1" s="149"/>
      <c r="AG1" s="149"/>
      <c r="AH1" s="149"/>
      <c r="AI1" s="149"/>
      <c r="AJ1" s="149"/>
      <c r="AK1" s="149"/>
      <c r="AL1" s="149"/>
      <c r="AM1" s="149"/>
      <c r="AN1" s="149"/>
      <c r="AO1" s="149"/>
      <c r="AP1" s="149"/>
      <c r="AQ1" s="149"/>
      <c r="AR1" s="149"/>
      <c r="AS1" s="149"/>
      <c r="AT1" s="149"/>
      <c r="AU1" s="149"/>
      <c r="AV1" s="149"/>
      <c r="AW1" s="149"/>
      <c r="AX1" s="149"/>
      <c r="AY1" s="149"/>
      <c r="AZ1" s="149"/>
      <c r="BA1" s="149"/>
      <c r="BB1" s="149"/>
      <c r="BC1" s="149"/>
      <c r="BD1" s="149"/>
      <c r="BE1" s="149"/>
      <c r="BF1" s="149"/>
      <c r="BG1" s="149"/>
      <c r="BH1" s="149"/>
      <c r="BI1" s="149"/>
      <c r="BJ1" s="149"/>
      <c r="BK1" s="149"/>
    </row>
    <row r="2" spans="2:63" s="312" customFormat="1">
      <c r="V2" s="149"/>
      <c r="W2" s="149"/>
      <c r="X2" s="149"/>
      <c r="Y2" s="149"/>
      <c r="Z2" s="149"/>
      <c r="AA2" s="149"/>
      <c r="AB2" s="149"/>
      <c r="AC2" s="149"/>
      <c r="AD2" s="149"/>
      <c r="AE2" s="149"/>
      <c r="AF2" s="149"/>
      <c r="AG2" s="149"/>
      <c r="AH2" s="149"/>
      <c r="AI2" s="149"/>
      <c r="AJ2" s="149"/>
      <c r="AK2" s="149"/>
      <c r="AL2" s="149"/>
      <c r="AM2" s="149"/>
      <c r="AN2" s="149"/>
      <c r="AO2" s="149"/>
      <c r="AP2" s="149"/>
      <c r="AQ2" s="149"/>
      <c r="AR2" s="149"/>
      <c r="AS2" s="149"/>
      <c r="AT2" s="149"/>
      <c r="AU2" s="149"/>
      <c r="AV2" s="149"/>
      <c r="AW2" s="149"/>
      <c r="AX2" s="149"/>
      <c r="AY2" s="149"/>
      <c r="AZ2" s="149"/>
      <c r="BA2" s="149"/>
      <c r="BB2" s="149"/>
      <c r="BC2" s="149"/>
      <c r="BD2" s="149"/>
      <c r="BE2" s="149"/>
      <c r="BF2" s="149"/>
      <c r="BG2" s="149"/>
      <c r="BH2" s="149"/>
      <c r="BI2" s="149"/>
      <c r="BJ2" s="149"/>
      <c r="BK2" s="149"/>
    </row>
    <row r="3" spans="2:63" s="149" customFormat="1">
      <c r="H3" s="153"/>
      <c r="P3" s="153"/>
    </row>
    <row r="4" spans="2:63" s="156" customFormat="1" ht="21">
      <c r="B4" s="129" t="s">
        <v>170</v>
      </c>
      <c r="H4" s="222"/>
      <c r="P4" s="222"/>
    </row>
    <row r="5" spans="2:63" s="149" customFormat="1">
      <c r="C5" s="153"/>
      <c r="D5" s="153" t="str" cm="1">
        <f t="array" ref="D5:H5">headings</f>
        <v>2023E</v>
      </c>
      <c r="E5" s="153" t="str">
        <v>2024E</v>
      </c>
      <c r="F5" s="153" t="str">
        <v>2025E</v>
      </c>
      <c r="G5" s="153" t="str">
        <v>2026E</v>
      </c>
      <c r="H5" s="153" t="str">
        <v>23E-26E</v>
      </c>
      <c r="I5" s="153"/>
      <c r="J5" s="153"/>
      <c r="K5" s="153"/>
      <c r="L5" s="153" t="str" cm="1">
        <f t="array" ref="L5:P5">headings</f>
        <v>2023E</v>
      </c>
      <c r="M5" s="153" t="str">
        <v>2024E</v>
      </c>
      <c r="N5" s="153" t="str">
        <v>2025E</v>
      </c>
      <c r="O5" s="153" t="str">
        <v>2026E</v>
      </c>
      <c r="P5" s="153" t="str">
        <v>23E-26E</v>
      </c>
      <c r="Q5" s="162"/>
      <c r="R5" s="162"/>
      <c r="S5" s="162"/>
      <c r="T5" s="162"/>
      <c r="U5" s="162"/>
      <c r="V5" s="162"/>
      <c r="W5" s="162"/>
      <c r="X5" s="162"/>
      <c r="Y5" s="162"/>
    </row>
    <row r="6" spans="2:63">
      <c r="I6" s="5"/>
      <c r="J6" s="5"/>
      <c r="K6" s="5"/>
      <c r="L6" s="5"/>
      <c r="M6" s="5"/>
      <c r="N6" s="5"/>
      <c r="O6" s="49"/>
    </row>
    <row r="7" spans="2:63" ht="12.6" thickBot="1">
      <c r="B7" s="306" t="s">
        <v>271</v>
      </c>
      <c r="C7" s="265"/>
      <c r="D7" s="265"/>
      <c r="E7" s="265"/>
      <c r="F7" s="265"/>
      <c r="G7" s="265"/>
      <c r="H7" s="265"/>
      <c r="I7" s="49"/>
      <c r="J7" s="306" t="s">
        <v>550</v>
      </c>
      <c r="K7" s="306"/>
      <c r="L7" s="306"/>
      <c r="M7" s="306"/>
      <c r="N7" s="266"/>
      <c r="O7" s="266"/>
      <c r="P7" s="266"/>
    </row>
    <row r="8" spans="2:63" ht="12.6" thickTop="1">
      <c r="B8" s="5"/>
      <c r="C8" s="5"/>
      <c r="D8" s="5"/>
      <c r="E8" s="5"/>
      <c r="F8" s="5"/>
      <c r="G8" s="5"/>
      <c r="H8" s="5"/>
      <c r="I8" s="5"/>
      <c r="J8" s="5"/>
      <c r="K8" s="5"/>
      <c r="L8" s="5"/>
      <c r="M8" s="5"/>
      <c r="N8" s="5"/>
    </row>
    <row r="9" spans="2:63">
      <c r="B9" s="41" t="s">
        <v>500</v>
      </c>
      <c r="C9" s="287"/>
      <c r="D9" s="5"/>
      <c r="E9" s="249"/>
      <c r="F9" s="249"/>
      <c r="G9" s="249"/>
      <c r="H9" s="249"/>
      <c r="I9" s="249"/>
      <c r="J9" s="5" t="s">
        <v>273</v>
      </c>
      <c r="L9" s="64">
        <f>'AGG EM'!D37</f>
        <v>36.099467473183068</v>
      </c>
      <c r="M9" s="64">
        <f>'AGG EM'!E37</f>
        <v>33.850821771625633</v>
      </c>
      <c r="N9" s="64">
        <f>'AGG EM'!F37</f>
        <v>28.989720438526753</v>
      </c>
      <c r="O9" s="64">
        <f>'AGG EM'!G37</f>
        <v>24.505387911772221</v>
      </c>
      <c r="P9" s="17">
        <f>'AGG EM'!H37</f>
        <v>4.6033064370190946E-2</v>
      </c>
    </row>
    <row r="10" spans="2:63">
      <c r="B10" s="5" t="s">
        <v>274</v>
      </c>
      <c r="C10" s="5"/>
      <c r="D10" s="332"/>
      <c r="E10" s="332"/>
      <c r="F10" s="332"/>
      <c r="G10" s="332"/>
      <c r="H10" s="247"/>
      <c r="I10" s="247"/>
      <c r="J10" s="5" t="s">
        <v>184</v>
      </c>
      <c r="L10" s="64">
        <f>'AGG EM'!D38</f>
        <v>105.42482757786077</v>
      </c>
      <c r="M10" s="64">
        <f>'AGG EM'!E38</f>
        <v>98.32493726594646</v>
      </c>
      <c r="N10" s="64">
        <f>'AGG EM'!F38</f>
        <v>83.460498540205094</v>
      </c>
      <c r="O10" s="64">
        <f>'AGG EM'!G38</f>
        <v>69.927868752575165</v>
      </c>
      <c r="P10" s="17">
        <f>'AGG EM'!H38</f>
        <v>5.4135753422354771E-2</v>
      </c>
      <c r="W10" s="10"/>
      <c r="X10" s="10"/>
      <c r="Y10" s="10"/>
      <c r="Z10" s="10"/>
    </row>
    <row r="11" spans="2:63">
      <c r="B11" s="41" t="s">
        <v>523</v>
      </c>
      <c r="C11" s="5"/>
      <c r="D11" s="271">
        <f>'LATAM INCUMB'!D11+'LATAM CELLULAR'!D11+'LATAM ALTNET &amp; CABLE'!D11</f>
        <v>83409.424641049554</v>
      </c>
      <c r="E11" s="271">
        <f>'LATAM INCUMB'!E11+'LATAM CELLULAR'!E11+'LATAM ALTNET &amp; CABLE'!E11</f>
        <v>81706.369928989952</v>
      </c>
      <c r="F11" s="271">
        <f>'LATAM INCUMB'!F11+'LATAM CELLULAR'!F11+'LATAM ALTNET &amp; CABLE'!F11</f>
        <v>79759.455914518461</v>
      </c>
      <c r="G11" s="271">
        <f>'LATAM INCUMB'!G11+'LATAM CELLULAR'!G11+'LATAM ALTNET &amp; CABLE'!G11</f>
        <v>77337.740521429048</v>
      </c>
      <c r="H11" s="249"/>
      <c r="I11" s="249"/>
      <c r="J11" s="5" t="s">
        <v>185</v>
      </c>
      <c r="L11" s="64">
        <f>'AGG EM'!D39</f>
        <v>224.63525692719486</v>
      </c>
      <c r="M11" s="64">
        <f>'AGG EM'!E39</f>
        <v>195.27313510926092</v>
      </c>
      <c r="N11" s="64">
        <f>'AGG EM'!F39</f>
        <v>156.82951036244214</v>
      </c>
      <c r="O11" s="64">
        <f>'AGG EM'!G39</f>
        <v>125.44852848860397</v>
      </c>
      <c r="P11" s="17">
        <f>'AGG EM'!H39</f>
        <v>0.11635706268692725</v>
      </c>
      <c r="W11" s="10"/>
      <c r="X11" s="10"/>
      <c r="Y11" s="10"/>
      <c r="Z11" s="10"/>
    </row>
    <row r="12" spans="2:63">
      <c r="B12" s="5" t="s">
        <v>229</v>
      </c>
      <c r="C12" s="249"/>
      <c r="D12" s="228">
        <f>'LATAM INCUMB'!D12+'LATAM CELLULAR'!D12+'LATAM ALTNET &amp; CABLE'!D12</f>
        <v>58594.530510293851</v>
      </c>
      <c r="E12" s="228">
        <f>'LATAM INCUMB'!E12+'LATAM CELLULAR'!E12+'LATAM ALTNET &amp; CABLE'!E12</f>
        <v>58016.963498572382</v>
      </c>
      <c r="F12" s="228">
        <f>'LATAM INCUMB'!F12+'LATAM CELLULAR'!F12+'LATAM ALTNET &amp; CABLE'!F12</f>
        <v>55683.118224864105</v>
      </c>
      <c r="G12" s="228">
        <f>'LATAM INCUMB'!G12+'LATAM CELLULAR'!G12+'LATAM ALTNET &amp; CABLE'!G12</f>
        <v>53680.585276253507</v>
      </c>
      <c r="H12" s="247"/>
      <c r="I12" s="247"/>
      <c r="J12" s="5" t="s">
        <v>466</v>
      </c>
      <c r="L12" s="64">
        <f>'AGG EM'!D40</f>
        <v>301.14194802237273</v>
      </c>
      <c r="M12" s="64">
        <f>'AGG EM'!E40</f>
        <v>259.63239152824843</v>
      </c>
      <c r="N12" s="64">
        <f>'AGG EM'!F40</f>
        <v>208.91697606045113</v>
      </c>
      <c r="O12" s="64">
        <f>'AGG EM'!G40</f>
        <v>167.13793424632385</v>
      </c>
      <c r="P12" s="17">
        <f>'AGG EM'!H40</f>
        <v>0.11865907373414464</v>
      </c>
      <c r="W12" s="10"/>
      <c r="X12" s="10"/>
      <c r="Y12" s="10"/>
      <c r="Z12" s="10"/>
    </row>
    <row r="13" spans="2:63">
      <c r="B13" s="5" t="s">
        <v>529</v>
      </c>
      <c r="C13" s="257"/>
      <c r="D13" s="228">
        <f>'LATAM INCUMB'!D13+'LATAM CELLULAR'!D13+'LATAM ALTNET &amp; CABLE'!D13</f>
        <v>10703.93883398421</v>
      </c>
      <c r="E13" s="228">
        <f>'LATAM INCUMB'!E13+'LATAM CELLULAR'!E13+'LATAM ALTNET &amp; CABLE'!E13</f>
        <v>10703.93883398421</v>
      </c>
      <c r="F13" s="228">
        <f>'LATAM INCUMB'!F13+'LATAM CELLULAR'!F13+'LATAM ALTNET &amp; CABLE'!F13</f>
        <v>10703.93883398421</v>
      </c>
      <c r="G13" s="228">
        <f>'LATAM INCUMB'!G13+'LATAM CELLULAR'!G13+'LATAM ALTNET &amp; CABLE'!G13</f>
        <v>10703.93883398421</v>
      </c>
      <c r="H13" s="247"/>
      <c r="I13" s="247"/>
      <c r="J13" s="5" t="s">
        <v>530</v>
      </c>
      <c r="L13" s="64">
        <f>'AGG EM'!D41</f>
        <v>27.243713322021154</v>
      </c>
      <c r="M13" s="64">
        <f>'AGG EM'!E41</f>
        <v>27.089658338273644</v>
      </c>
      <c r="N13" s="64">
        <f>'AGG EM'!F41</f>
        <v>24.66957505581005</v>
      </c>
      <c r="O13" s="64">
        <f>'AGG EM'!G41</f>
        <v>22.040277006694431</v>
      </c>
      <c r="P13" s="17">
        <f>'AGG EM'!H41</f>
        <v>-1.3382626032309664E-2</v>
      </c>
    </row>
    <row r="14" spans="2:63">
      <c r="B14" s="5" t="s">
        <v>532</v>
      </c>
      <c r="C14" s="274"/>
      <c r="D14" s="228">
        <f>'LATAM INCUMB'!D14+'LATAM CELLULAR'!D14+'LATAM ALTNET &amp; CABLE'!D14</f>
        <v>6741.678127413229</v>
      </c>
      <c r="E14" s="228">
        <f>'LATAM INCUMB'!E14+'LATAM CELLULAR'!E14+'LATAM ALTNET &amp; CABLE'!E14</f>
        <v>7052.2672762048433</v>
      </c>
      <c r="F14" s="228">
        <f>'LATAM INCUMB'!F14+'LATAM CELLULAR'!F14+'LATAM ALTNET &amp; CABLE'!F14</f>
        <v>8235.5808395389813</v>
      </c>
      <c r="G14" s="228">
        <f>'LATAM INCUMB'!G14+'LATAM CELLULAR'!G14+'LATAM ALTNET &amp; CABLE'!G14</f>
        <v>8235.5808395389813</v>
      </c>
      <c r="H14" s="247"/>
      <c r="I14" s="247"/>
      <c r="J14" s="5" t="s">
        <v>593</v>
      </c>
      <c r="L14" s="64">
        <f>'AGG EM'!D42</f>
        <v>42.295202413837345</v>
      </c>
      <c r="M14" s="64">
        <f>'AGG EM'!E42</f>
        <v>41.555857792028846</v>
      </c>
      <c r="N14" s="64">
        <f>'AGG EM'!F42</f>
        <v>37.316788882264667</v>
      </c>
      <c r="O14" s="64">
        <f>'AGG EM'!G42</f>
        <v>33.586664495982959</v>
      </c>
      <c r="P14" s="17">
        <f>'AGG EM'!H42</f>
        <v>-7.2488050935257675E-3</v>
      </c>
    </row>
    <row r="15" spans="2:63">
      <c r="B15" s="5" t="s">
        <v>531</v>
      </c>
      <c r="C15" s="257"/>
      <c r="D15" s="228">
        <f>'LATAM INCUMB'!D15+'LATAM CELLULAR'!D15+'LATAM ALTNET &amp; CABLE'!D15</f>
        <v>7306.5114920701581</v>
      </c>
      <c r="E15" s="228">
        <f>'LATAM INCUMB'!E15+'LATAM CELLULAR'!E15+'LATAM ALTNET &amp; CABLE'!E15</f>
        <v>7355.0410465688474</v>
      </c>
      <c r="F15" s="228">
        <f>'LATAM INCUMB'!F15+'LATAM CELLULAR'!F15+'LATAM ALTNET &amp; CABLE'!F15</f>
        <v>7355.0410465688474</v>
      </c>
      <c r="G15" s="228">
        <f>'LATAM INCUMB'!G15+'LATAM CELLULAR'!G15+'LATAM ALTNET &amp; CABLE'!G15</f>
        <v>7355.0410465688474</v>
      </c>
      <c r="H15" s="247"/>
      <c r="I15" s="247"/>
      <c r="J15" s="5" t="s">
        <v>475</v>
      </c>
      <c r="L15" s="64">
        <f>'AGG EM'!D43</f>
        <v>19.300585311517345</v>
      </c>
      <c r="M15" s="64">
        <f>'AGG EM'!E43</f>
        <v>15.882933755129079</v>
      </c>
      <c r="N15" s="64">
        <f>'AGG EM'!F43</f>
        <v>13.174403404675031</v>
      </c>
      <c r="O15" s="64">
        <f>'AGG EM'!G43</f>
        <v>11.229961793899795</v>
      </c>
      <c r="P15" s="17">
        <f>'AGG EM'!H43</f>
        <v>0.19549120190388991</v>
      </c>
      <c r="S15" s="88"/>
      <c r="T15" s="88"/>
      <c r="U15" s="88"/>
      <c r="V15" s="42"/>
      <c r="W15" s="42"/>
      <c r="X15" s="42"/>
      <c r="Y15" s="42"/>
      <c r="Z15" s="42"/>
      <c r="AA15" s="42"/>
    </row>
    <row r="16" spans="2:63">
      <c r="B16" s="5" t="s">
        <v>534</v>
      </c>
      <c r="C16" s="257"/>
      <c r="D16" s="228">
        <f>'LATAM INCUMB'!D16+'LATAM CELLULAR'!D16+'LATAM ALTNET &amp; CABLE'!D16</f>
        <v>1822.3177797720521</v>
      </c>
      <c r="E16" s="228">
        <f>'LATAM INCUMB'!E16+'LATAM CELLULAR'!E16+'LATAM ALTNET &amp; CABLE'!E16</f>
        <v>5647.0148037619674</v>
      </c>
      <c r="F16" s="228">
        <f>'LATAM INCUMB'!F16+'LATAM CELLULAR'!F16+'LATAM ALTNET &amp; CABLE'!F16</f>
        <v>9828.9850342462651</v>
      </c>
      <c r="G16" s="228">
        <f>'LATAM INCUMB'!G16+'LATAM CELLULAR'!G16+'LATAM ALTNET &amp; CABLE'!G16</f>
        <v>14351.258795828975</v>
      </c>
      <c r="H16" s="247"/>
      <c r="I16" s="247"/>
      <c r="J16" s="5" t="s">
        <v>533</v>
      </c>
      <c r="L16" s="64">
        <f>'AGG EM'!D44</f>
        <v>245.42467510563969</v>
      </c>
      <c r="M16" s="64">
        <f>'AGG EM'!E44</f>
        <v>213.62789634539095</v>
      </c>
      <c r="N16" s="64">
        <f>'AGG EM'!F44</f>
        <v>181.57395789810795</v>
      </c>
      <c r="O16" s="64">
        <f>'AGG EM'!G44</f>
        <v>158.59598060321596</v>
      </c>
      <c r="P16" s="17">
        <f>'AGG EM'!H44</f>
        <v>0.16397795492835376</v>
      </c>
      <c r="S16" s="88"/>
      <c r="T16" s="88"/>
      <c r="U16" s="88"/>
      <c r="V16" s="42"/>
      <c r="W16" s="42"/>
      <c r="X16" s="42"/>
      <c r="Y16" s="42"/>
      <c r="Z16" s="42"/>
      <c r="AA16" s="42"/>
    </row>
    <row r="17" spans="2:27">
      <c r="B17" s="5" t="s">
        <v>6</v>
      </c>
      <c r="C17" s="257"/>
      <c r="D17" s="228">
        <f>'LATAM INCUMB'!D17+'LATAM CELLULAR'!D17+'LATAM ALTNET &amp; CABLE'!D17</f>
        <v>964.17893396201566</v>
      </c>
      <c r="E17" s="228">
        <f>'LATAM INCUMB'!E17+'LATAM CELLULAR'!E17+'LATAM ALTNET &amp; CABLE'!E17</f>
        <v>870.86756161189999</v>
      </c>
      <c r="F17" s="228">
        <f>'LATAM INCUMB'!F17+'LATAM CELLULAR'!F17+'LATAM ALTNET &amp; CABLE'!F17</f>
        <v>863.89231328413257</v>
      </c>
      <c r="G17" s="228">
        <f>'LATAM INCUMB'!G17+'LATAM CELLULAR'!G17+'LATAM ALTNET &amp; CABLE'!G17</f>
        <v>947.13190818919657</v>
      </c>
      <c r="H17" s="247"/>
      <c r="I17" s="247"/>
      <c r="J17" s="5" t="s">
        <v>580</v>
      </c>
      <c r="L17" s="248">
        <f>'AGG EM'!D45</f>
        <v>2.9794876849606393E-3</v>
      </c>
      <c r="M17" s="248">
        <f>'AGG EM'!E45</f>
        <v>3.2338565373739416E-3</v>
      </c>
      <c r="N17" s="248">
        <f>'AGG EM'!F45</f>
        <v>3.7591690821787136E-3</v>
      </c>
      <c r="O17" s="248">
        <f>'AGG EM'!G45</f>
        <v>4.3245157193855478E-3</v>
      </c>
      <c r="P17" s="17">
        <f>'AGG EM'!H45</f>
        <v>0.13937853690845947</v>
      </c>
      <c r="S17" s="88"/>
      <c r="T17" s="88"/>
      <c r="U17" s="88"/>
      <c r="V17" s="42"/>
      <c r="W17" s="42"/>
      <c r="X17" s="42"/>
      <c r="Y17" s="42"/>
      <c r="Z17" s="42"/>
      <c r="AA17" s="42"/>
    </row>
    <row r="18" spans="2:27" ht="12.6" thickBot="1">
      <c r="B18" s="41" t="s">
        <v>89</v>
      </c>
      <c r="C18" s="249"/>
      <c r="D18" s="275">
        <f>'LATAM INCUMB'!D18+'LATAM CELLULAR'!D18+'LATAM ALTNET &amp; CABLE'!D18</f>
        <v>149323.85074689786</v>
      </c>
      <c r="E18" s="275">
        <f>'LATAM INCUMB'!E18+'LATAM CELLULAR'!E18+'LATAM ALTNET &amp; CABLE'!E18</f>
        <v>143385.71311815272</v>
      </c>
      <c r="F18" s="275">
        <f>'LATAM INCUMB'!F18+'LATAM CELLULAR'!F18+'LATAM ALTNET &amp; CABLE'!F18</f>
        <v>136464.3185724628</v>
      </c>
      <c r="G18" s="275">
        <f>'LATAM INCUMB'!G18+'LATAM CELLULAR'!G18+'LATAM ALTNET &amp; CABLE'!G18</f>
        <v>127801.40011284633</v>
      </c>
      <c r="H18" s="276">
        <f>IF(D18=0,"nm",IF(G18=0,"nm",(G18/D18)^(1/3)-1))</f>
        <v>-5.0557189414788151E-2</v>
      </c>
      <c r="I18" s="254"/>
      <c r="J18" s="5" t="s">
        <v>36</v>
      </c>
      <c r="L18" s="248" t="e">
        <f>'AGG EM'!D46</f>
        <v>#VALUE!</v>
      </c>
      <c r="M18" s="248" t="e">
        <f>'AGG EM'!E46</f>
        <v>#VALUE!</v>
      </c>
      <c r="N18" s="248" t="e">
        <f>'AGG EM'!F46</f>
        <v>#VALUE!</v>
      </c>
      <c r="O18" s="248" t="e">
        <f>'AGG EM'!G46</f>
        <v>#VALUE!</v>
      </c>
      <c r="P18" s="17" t="e">
        <f>'AGG EM'!H46</f>
        <v>#VALUE!</v>
      </c>
      <c r="S18" s="88"/>
      <c r="T18" s="88"/>
      <c r="U18" s="88"/>
      <c r="V18" s="42"/>
      <c r="W18" s="42"/>
      <c r="X18" s="42"/>
      <c r="Y18" s="42"/>
      <c r="Z18" s="42"/>
      <c r="AA18" s="42"/>
    </row>
    <row r="19" spans="2:27" ht="12.6" thickTop="1">
      <c r="B19" s="41"/>
      <c r="C19" s="249"/>
      <c r="D19" s="229"/>
      <c r="E19" s="229"/>
      <c r="F19" s="229"/>
      <c r="G19" s="229"/>
      <c r="H19" s="276"/>
      <c r="I19" s="17"/>
      <c r="J19" s="5" t="s">
        <v>581</v>
      </c>
      <c r="L19" s="248">
        <f>'AGG EM'!D47</f>
        <v>5.1811900201972863E-2</v>
      </c>
      <c r="M19" s="248">
        <f>'AGG EM'!E47</f>
        <v>6.2960660506253749E-2</v>
      </c>
      <c r="N19" s="248">
        <f>'AGG EM'!F47</f>
        <v>7.5904765421494755E-2</v>
      </c>
      <c r="O19" s="248">
        <f>'AGG EM'!G47</f>
        <v>8.9047497965951045E-2</v>
      </c>
      <c r="P19" s="17">
        <f>'AGG EM'!H47</f>
        <v>0.19549120190388991</v>
      </c>
      <c r="S19" s="88"/>
      <c r="T19" s="88"/>
      <c r="U19" s="88"/>
      <c r="V19" s="42"/>
      <c r="W19" s="42"/>
      <c r="X19" s="42"/>
      <c r="Y19" s="42"/>
      <c r="Z19" s="42"/>
      <c r="AA19" s="42"/>
    </row>
    <row r="20" spans="2:27">
      <c r="H20" s="277"/>
      <c r="I20" s="49"/>
      <c r="J20" s="5" t="s">
        <v>604</v>
      </c>
      <c r="L20" s="248">
        <f>'AGG EM'!D48</f>
        <v>0.78546224095974659</v>
      </c>
      <c r="M20" s="248">
        <f>'AGG EM'!E48</f>
        <v>0.71334963498575799</v>
      </c>
      <c r="N20" s="248">
        <f>'AGG EM'!F48</f>
        <v>0.68989991347231316</v>
      </c>
      <c r="O20" s="248">
        <f>'AGG EM'!G48</f>
        <v>0.67997079786563763</v>
      </c>
      <c r="P20" s="17" t="str">
        <f>'AGG EM'!H48</f>
        <v>nm</v>
      </c>
      <c r="S20" s="42"/>
      <c r="T20" s="42"/>
      <c r="U20" s="42"/>
      <c r="V20" s="42"/>
      <c r="W20" s="42"/>
      <c r="X20" s="42"/>
      <c r="Y20" s="42"/>
      <c r="Z20" s="42"/>
      <c r="AA20" s="42"/>
    </row>
    <row r="21" spans="2:27" ht="12.6" thickBot="1">
      <c r="B21" s="306" t="s">
        <v>308</v>
      </c>
      <c r="C21" s="265">
        <v>2020</v>
      </c>
      <c r="D21" s="265" t="str">
        <f>D5</f>
        <v>2023E</v>
      </c>
      <c r="E21" s="265" t="str">
        <f>E5</f>
        <v>2024E</v>
      </c>
      <c r="F21" s="265" t="str">
        <f>F5</f>
        <v>2025E</v>
      </c>
      <c r="G21" s="265" t="str">
        <f>G5</f>
        <v>2026E</v>
      </c>
      <c r="H21" s="282" t="str">
        <f>H5</f>
        <v>23E-26E</v>
      </c>
      <c r="I21" s="17"/>
      <c r="S21" s="42"/>
      <c r="T21" s="42"/>
      <c r="U21" s="42"/>
      <c r="V21" s="42"/>
      <c r="W21" s="42"/>
      <c r="X21" s="42"/>
      <c r="Y21" s="42"/>
      <c r="Z21" s="42"/>
      <c r="AA21" s="42"/>
    </row>
    <row r="22" spans="2:27" ht="12.6" thickTop="1">
      <c r="B22" s="5"/>
      <c r="C22" s="257"/>
      <c r="D22" s="17"/>
      <c r="E22" s="17"/>
      <c r="F22" s="17"/>
      <c r="G22" s="17"/>
      <c r="H22" s="17"/>
      <c r="I22" s="247"/>
      <c r="P22" s="277"/>
      <c r="S22" s="42"/>
      <c r="T22" s="42"/>
      <c r="U22" s="42"/>
      <c r="V22" s="42"/>
      <c r="W22" s="42"/>
      <c r="X22" s="42"/>
      <c r="Y22" s="42"/>
      <c r="Z22" s="42"/>
      <c r="AA22" s="42"/>
    </row>
    <row r="23" spans="2:27" ht="12.6" thickBot="1">
      <c r="B23" s="5" t="s">
        <v>584</v>
      </c>
      <c r="C23" s="365">
        <f>'LATAM INCUMB'!C23+'LATAM CELLULAR'!C23+'LATAM ALTNET &amp; CABLE'!C23</f>
        <v>78502.357515066891</v>
      </c>
      <c r="D23" s="228">
        <f>'LATAM INCUMB'!D23+'LATAM CELLULAR'!D23+'LATAM ALTNET &amp; CABLE'!D23</f>
        <v>84042.140096059418</v>
      </c>
      <c r="E23" s="228">
        <f>'LATAM INCUMB'!E23+'LATAM CELLULAR'!E23+'LATAM ALTNET &amp; CABLE'!E23</f>
        <v>87458.311120521859</v>
      </c>
      <c r="F23" s="228">
        <f>'LATAM INCUMB'!F23+'LATAM CELLULAR'!F23+'LATAM ALTNET &amp; CABLE'!F23</f>
        <v>90157.953617346211</v>
      </c>
      <c r="G23" s="228">
        <f>'LATAM INCUMB'!G23+'LATAM CELLULAR'!G23+'LATAM ALTNET &amp; CABLE'!G23</f>
        <v>92540.687785510396</v>
      </c>
      <c r="H23" s="279">
        <f t="shared" ref="H23:H33" si="0">IF(D23=0,"nm",IF(G23=0,"nm",(G23/D23)^(1/3)-1))</f>
        <v>3.2631114257633875E-2</v>
      </c>
      <c r="I23" s="249"/>
      <c r="J23" s="306" t="s">
        <v>9</v>
      </c>
      <c r="K23" s="306"/>
      <c r="L23" s="265" t="str">
        <f>L5</f>
        <v>2023E</v>
      </c>
      <c r="M23" s="265" t="str">
        <f>M5</f>
        <v>2024E</v>
      </c>
      <c r="N23" s="265" t="str">
        <f>N5</f>
        <v>2025E</v>
      </c>
      <c r="O23" s="265" t="str">
        <f>O5</f>
        <v>2026E</v>
      </c>
      <c r="P23" s="282" t="str">
        <f>P5</f>
        <v>23E-26E</v>
      </c>
      <c r="S23" s="42"/>
      <c r="T23" s="42"/>
      <c r="U23" s="42"/>
      <c r="V23" s="42"/>
      <c r="W23" s="42" t="s">
        <v>171</v>
      </c>
      <c r="X23" s="42" t="s">
        <v>26</v>
      </c>
      <c r="Y23" s="42"/>
      <c r="Z23" s="42"/>
      <c r="AA23" s="42"/>
    </row>
    <row r="24" spans="2:27" ht="12.6" thickTop="1">
      <c r="B24" s="5" t="s">
        <v>483</v>
      </c>
      <c r="C24" s="365">
        <f>'LATAM INCUMB'!C24+'LATAM CELLULAR'!C24+'LATAM ALTNET &amp; CABLE'!C24</f>
        <v>29684.556123912698</v>
      </c>
      <c r="D24" s="228">
        <f>'LATAM INCUMB'!D24+'LATAM CELLULAR'!D24+'LATAM ALTNET &amp; CABLE'!D24</f>
        <v>32104.226530923705</v>
      </c>
      <c r="E24" s="228">
        <f>'LATAM INCUMB'!E24+'LATAM CELLULAR'!E24+'LATAM ALTNET &amp; CABLE'!E24</f>
        <v>34194.676337127719</v>
      </c>
      <c r="F24" s="228">
        <f>'LATAM INCUMB'!F24+'LATAM CELLULAR'!F24+'LATAM ALTNET &amp; CABLE'!F24</f>
        <v>35966.920505498827</v>
      </c>
      <c r="G24" s="228">
        <f>'LATAM INCUMB'!G24+'LATAM CELLULAR'!G24+'LATAM ALTNET &amp; CABLE'!G24</f>
        <v>37422.506301979301</v>
      </c>
      <c r="H24" s="279">
        <f t="shared" si="0"/>
        <v>5.2422730877842438E-2</v>
      </c>
      <c r="I24" s="248"/>
      <c r="J24" s="17"/>
      <c r="K24" s="17"/>
      <c r="L24" s="17"/>
      <c r="M24" s="17"/>
      <c r="N24" s="17"/>
      <c r="O24" s="248"/>
      <c r="S24" s="42"/>
      <c r="T24" s="42"/>
      <c r="U24" s="42"/>
      <c r="V24" s="147" t="s">
        <v>273</v>
      </c>
      <c r="W24" s="288">
        <f t="shared" ref="W24:W31" si="1">E37/M9</f>
        <v>4.8432353986535108E-2</v>
      </c>
      <c r="X24" s="288">
        <v>1</v>
      </c>
      <c r="Y24" s="42"/>
      <c r="Z24" s="42"/>
      <c r="AA24" s="42"/>
    </row>
    <row r="25" spans="2:27">
      <c r="B25" s="5" t="s">
        <v>183</v>
      </c>
      <c r="C25" s="365">
        <f>'LATAM INCUMB'!C25+'LATAM CELLULAR'!C25+'LATAM ALTNET &amp; CABLE'!C25</f>
        <v>13538.018195642835</v>
      </c>
      <c r="D25" s="228">
        <f>'LATAM INCUMB'!D25+'LATAM CELLULAR'!D25+'LATAM ALTNET &amp; CABLE'!D25</f>
        <v>16320.278534183355</v>
      </c>
      <c r="E25" s="228">
        <f>'LATAM INCUMB'!E25+'LATAM CELLULAR'!E25+'LATAM ALTNET &amp; CABLE'!E25</f>
        <v>19145.19463771403</v>
      </c>
      <c r="F25" s="228">
        <f>'LATAM INCUMB'!F25+'LATAM CELLULAR'!F25+'LATAM ALTNET &amp; CABLE'!F25</f>
        <v>21472.660315165143</v>
      </c>
      <c r="G25" s="228">
        <f>'LATAM INCUMB'!G25+'LATAM CELLULAR'!G25+'LATAM ALTNET &amp; CABLE'!G25</f>
        <v>23349.737883663587</v>
      </c>
      <c r="H25" s="279">
        <f t="shared" si="0"/>
        <v>0.1268120459382811</v>
      </c>
      <c r="I25" s="249"/>
      <c r="J25" s="247" t="s">
        <v>10</v>
      </c>
      <c r="K25" s="247"/>
      <c r="L25" s="332">
        <f>'LATAM INCUMB'!L25+'LATAM CELLULAR'!L25+'LATAM ALTNET &amp; CABLE'!L25</f>
        <v>16654.164321721211</v>
      </c>
      <c r="M25" s="332">
        <f>'LATAM INCUMB'!M25+'LATAM CELLULAR'!M25+'LATAM ALTNET &amp; CABLE'!M25</f>
        <v>16761.143782346589</v>
      </c>
      <c r="N25" s="332">
        <f>'LATAM INCUMB'!N25+'LATAM CELLULAR'!N25+'LATAM ALTNET &amp; CABLE'!N25</f>
        <v>16859.268958008652</v>
      </c>
      <c r="O25" s="332">
        <f>'LATAM INCUMB'!O25+'LATAM CELLULAR'!O25+'LATAM ALTNET &amp; CABLE'!O25</f>
        <v>15502.070193322552</v>
      </c>
      <c r="P25" s="279">
        <f>IF(L25=0,"nm",IF(O25=0,"nm",(O25/L25)^(1/3)-1))</f>
        <v>-2.3612334233494403E-2</v>
      </c>
      <c r="Q25" s="5"/>
      <c r="S25" s="42"/>
      <c r="T25" s="42"/>
      <c r="U25" s="42"/>
      <c r="V25" s="147" t="s">
        <v>184</v>
      </c>
      <c r="W25" s="288">
        <f t="shared" si="1"/>
        <v>4.2646530524434512E-2</v>
      </c>
      <c r="X25" s="288">
        <v>1</v>
      </c>
      <c r="Y25" s="42"/>
      <c r="Z25" s="42"/>
      <c r="AA25" s="42"/>
    </row>
    <row r="26" spans="2:27">
      <c r="B26" s="5" t="s">
        <v>586</v>
      </c>
      <c r="C26" s="365">
        <f>'LATAM INCUMB'!C26+'LATAM CELLULAR'!C26+'LATAM ALTNET &amp; CABLE'!C26</f>
        <v>9412.2571771361363</v>
      </c>
      <c r="D26" s="228">
        <f>'LATAM INCUMB'!D26+'LATAM CELLULAR'!D26+'LATAM ALTNET &amp; CABLE'!D26</f>
        <v>10697.075792970296</v>
      </c>
      <c r="E26" s="228">
        <f>'LATAM INCUMB'!E26+'LATAM CELLULAR'!E26+'LATAM ALTNET &amp; CABLE'!E26</f>
        <v>13418.345112191015</v>
      </c>
      <c r="F26" s="228">
        <f>'LATAM INCUMB'!F26+'LATAM CELLULAR'!F26+'LATAM ALTNET &amp; CABLE'!F26</f>
        <v>15077.24594724194</v>
      </c>
      <c r="G26" s="228">
        <f>'LATAM INCUMB'!G26+'LATAM CELLULAR'!G26+'LATAM ALTNET &amp; CABLE'!G26</f>
        <v>16456.954102317301</v>
      </c>
      <c r="H26" s="279">
        <f t="shared" si="0"/>
        <v>0.15441367221361157</v>
      </c>
      <c r="I26" s="249"/>
      <c r="J26" s="249" t="s">
        <v>11</v>
      </c>
      <c r="K26" s="249"/>
      <c r="L26" s="281">
        <f>'LATAM INCUMB'!L26+'LATAM CELLULAR'!L26+'LATAM ALTNET &amp; CABLE'!L26</f>
        <v>98516.184312770754</v>
      </c>
      <c r="M26" s="281">
        <f>'LATAM INCUMB'!M26+'LATAM CELLULAR'!M26+'LATAM ALTNET &amp; CABLE'!M26</f>
        <v>96912.063511336557</v>
      </c>
      <c r="N26" s="281">
        <f>'LATAM INCUMB'!N26+'LATAM CELLULAR'!N26+'LATAM ALTNET &amp; CABLE'!N26</f>
        <v>94634.868372527097</v>
      </c>
      <c r="O26" s="281">
        <f>'LATAM INCUMB'!O26+'LATAM CELLULAR'!O26+'LATAM ALTNET &amp; CABLE'!O26</f>
        <v>90875.619214751598</v>
      </c>
      <c r="P26" s="279">
        <f>IF(L26=0,"nm",IF(O26=0,"nm",(O26/L26)^(1/3)-1))</f>
        <v>-2.6550857610779355E-2</v>
      </c>
      <c r="Q26" s="41"/>
      <c r="S26" s="42"/>
      <c r="T26" s="42"/>
      <c r="U26" s="42"/>
      <c r="V26" s="147" t="s">
        <v>185</v>
      </c>
      <c r="W26" s="288">
        <f t="shared" si="1"/>
        <v>3.8353375793521466E-2</v>
      </c>
      <c r="X26" s="288">
        <v>1</v>
      </c>
      <c r="Y26" s="42"/>
      <c r="Z26" s="42"/>
      <c r="AA26" s="42"/>
    </row>
    <row r="27" spans="2:27">
      <c r="B27" s="5" t="s">
        <v>587</v>
      </c>
      <c r="C27" s="365">
        <f>'LATAM INCUMB'!C27+'LATAM CELLULAR'!C27+'LATAM ALTNET &amp; CABLE'!C27</f>
        <v>104252.02028484763</v>
      </c>
      <c r="D27" s="228">
        <f>'LATAM INCUMB'!D27+'LATAM CELLULAR'!D27+'LATAM ALTNET &amp; CABLE'!D27</f>
        <v>112748.0298277543</v>
      </c>
      <c r="E27" s="228">
        <f>'LATAM INCUMB'!E27+'LATAM CELLULAR'!E27+'LATAM ALTNET &amp; CABLE'!E27</f>
        <v>112701.51248385136</v>
      </c>
      <c r="F27" s="228">
        <f>'LATAM INCUMB'!F27+'LATAM CELLULAR'!F27+'LATAM ALTNET &amp; CABLE'!F27</f>
        <v>111809.98886841649</v>
      </c>
      <c r="G27" s="228">
        <f>'LATAM INCUMB'!G27+'LATAM CELLULAR'!G27+'LATAM ALTNET &amp; CABLE'!G27</f>
        <v>111832.719588262</v>
      </c>
      <c r="H27" s="279">
        <f t="shared" si="0"/>
        <v>-2.7134202435501464E-3</v>
      </c>
      <c r="I27" s="248"/>
      <c r="J27" s="248"/>
      <c r="K27" s="248"/>
      <c r="L27" s="248"/>
      <c r="M27" s="248"/>
      <c r="N27" s="248"/>
      <c r="O27" s="248"/>
      <c r="Q27" s="5"/>
      <c r="S27" s="42"/>
      <c r="T27" s="42"/>
      <c r="U27" s="42"/>
      <c r="V27" s="147" t="s">
        <v>466</v>
      </c>
      <c r="W27" s="288">
        <f t="shared" si="1"/>
        <v>4.1157411155611306E-2</v>
      </c>
      <c r="X27" s="288">
        <v>1</v>
      </c>
      <c r="Y27" s="42"/>
      <c r="Z27" s="42"/>
      <c r="AA27" s="42"/>
    </row>
    <row r="28" spans="2:27" ht="12.6" thickBot="1">
      <c r="B28" s="5" t="s">
        <v>592</v>
      </c>
      <c r="C28" s="365">
        <f>'LATAM INCUMB'!C28+'LATAM CELLULAR'!C28+'LATAM ALTNET &amp; CABLE'!C28</f>
        <v>72790.632389762424</v>
      </c>
      <c r="D28" s="228">
        <f>'LATAM INCUMB'!D28+'LATAM CELLULAR'!D28+'LATAM ALTNET &amp; CABLE'!D28</f>
        <v>75839.670844790176</v>
      </c>
      <c r="E28" s="228">
        <f>'LATAM INCUMB'!E28+'LATAM CELLULAR'!E28+'LATAM ALTNET &amp; CABLE'!E28</f>
        <v>75215.513801999943</v>
      </c>
      <c r="F28" s="228">
        <f>'LATAM INCUMB'!F28+'LATAM CELLULAR'!F28+'LATAM ALTNET &amp; CABLE'!F28</f>
        <v>74285.47222513544</v>
      </c>
      <c r="G28" s="228">
        <f>'LATAM INCUMB'!G28+'LATAM CELLULAR'!G28+'LATAM ALTNET &amp; CABLE'!G28</f>
        <v>73556.077078772563</v>
      </c>
      <c r="H28" s="279">
        <f t="shared" si="0"/>
        <v>-1.0139395873632551E-2</v>
      </c>
      <c r="I28" s="252"/>
      <c r="J28" s="306" t="s">
        <v>754</v>
      </c>
      <c r="K28" s="306"/>
      <c r="L28" s="306"/>
      <c r="M28" s="306"/>
      <c r="N28" s="266"/>
      <c r="O28" s="266"/>
      <c r="P28" s="266"/>
      <c r="Q28" s="5"/>
      <c r="S28" s="42"/>
      <c r="T28" s="42"/>
      <c r="U28" s="42"/>
      <c r="V28" s="147" t="s">
        <v>530</v>
      </c>
      <c r="W28" s="288">
        <f t="shared" si="1"/>
        <v>4.6964814199289648E-2</v>
      </c>
      <c r="X28" s="288">
        <v>1</v>
      </c>
      <c r="Y28" s="42"/>
      <c r="Z28" s="42"/>
      <c r="AA28" s="42"/>
    </row>
    <row r="29" spans="2:27" ht="12.6" thickTop="1">
      <c r="B29" s="5" t="s">
        <v>588</v>
      </c>
      <c r="C29" s="365">
        <f>'LATAM INCUMB'!C29+'LATAM CELLULAR'!C29+'LATAM ALTNET &amp; CABLE'!C29</f>
        <v>2498.7424737333149</v>
      </c>
      <c r="D29" s="228">
        <f>'LATAM INCUMB'!D29+'LATAM CELLULAR'!D29+'LATAM ALTNET &amp; CABLE'!D29</f>
        <v>4258.4932042405962</v>
      </c>
      <c r="E29" s="228">
        <f>'LATAM INCUMB'!E29+'LATAM CELLULAR'!E29+'LATAM ALTNET &amp; CABLE'!E29</f>
        <v>7358.0052742880343</v>
      </c>
      <c r="F29" s="228">
        <f>'LATAM INCUMB'!F29+'LATAM CELLULAR'!F29+'LATAM ALTNET &amp; CABLE'!F29</f>
        <v>9493.0798171915067</v>
      </c>
      <c r="G29" s="228">
        <f>'LATAM INCUMB'!G29+'LATAM CELLULAR'!G29+'LATAM ALTNET &amp; CABLE'!G29</f>
        <v>11314.319700805561</v>
      </c>
      <c r="H29" s="279">
        <f t="shared" si="0"/>
        <v>0.38502462778786439</v>
      </c>
      <c r="I29" s="254"/>
      <c r="J29" s="249"/>
      <c r="K29" s="249"/>
      <c r="L29" s="249"/>
      <c r="M29" s="249"/>
      <c r="N29" s="249"/>
      <c r="O29" s="251"/>
      <c r="Q29" s="5"/>
      <c r="S29" s="42"/>
      <c r="T29" s="42"/>
      <c r="U29" s="42"/>
      <c r="V29" s="147" t="s">
        <v>593</v>
      </c>
      <c r="W29" s="288">
        <f t="shared" si="1"/>
        <v>4.5873956946005316E-2</v>
      </c>
      <c r="X29" s="288">
        <v>1</v>
      </c>
      <c r="Y29" s="42"/>
      <c r="Z29" s="42"/>
      <c r="AA29" s="42"/>
    </row>
    <row r="30" spans="2:27">
      <c r="B30" s="5" t="s">
        <v>589</v>
      </c>
      <c r="C30" s="365">
        <f>'LATAM INCUMB'!C30+'LATAM CELLULAR'!C30+'LATAM ALTNET &amp; CABLE'!C30</f>
        <v>4813.6965389539946</v>
      </c>
      <c r="D30" s="228">
        <f>'LATAM INCUMB'!D30+'LATAM CELLULAR'!D30+'LATAM ALTNET &amp; CABLE'!D30</f>
        <v>5956.26811630877</v>
      </c>
      <c r="E30" s="228">
        <f>'LATAM INCUMB'!E30+'LATAM CELLULAR'!E30+'LATAM ALTNET &amp; CABLE'!E30</f>
        <v>8158.3912246728096</v>
      </c>
      <c r="F30" s="228">
        <f>'LATAM INCUMB'!F30+'LATAM CELLULAR'!F30+'LATAM ALTNET &amp; CABLE'!F30</f>
        <v>10360.292553054831</v>
      </c>
      <c r="G30" s="228">
        <f>'LATAM INCUMB'!G30+'LATAM CELLULAR'!G30+'LATAM ALTNET &amp; CABLE'!G30</f>
        <v>12285.758216010585</v>
      </c>
      <c r="H30" s="279">
        <f t="shared" si="0"/>
        <v>0.27294383402184597</v>
      </c>
      <c r="I30" s="254"/>
      <c r="J30" s="248"/>
      <c r="K30" s="248"/>
      <c r="L30" s="248"/>
      <c r="M30" s="248"/>
      <c r="N30" s="248"/>
      <c r="O30" s="5"/>
      <c r="Q30" s="5"/>
      <c r="S30" s="42"/>
      <c r="T30" s="42"/>
      <c r="U30" s="42"/>
      <c r="V30" s="147" t="s">
        <v>475</v>
      </c>
      <c r="W30" s="288">
        <f t="shared" si="1"/>
        <v>0.82925294318821507</v>
      </c>
      <c r="X30" s="288">
        <v>1</v>
      </c>
      <c r="Y30" s="42"/>
      <c r="Z30" s="42"/>
      <c r="AA30" s="42"/>
    </row>
    <row r="31" spans="2:27">
      <c r="B31" s="5" t="s">
        <v>590</v>
      </c>
      <c r="C31" s="365">
        <f>'LATAM INCUMB'!C31+'LATAM CELLULAR'!C31+'LATAM ALTNET &amp; CABLE'!C31</f>
        <v>3050.1383565598117</v>
      </c>
      <c r="D31" s="228">
        <f>'LATAM INCUMB'!D31+'LATAM CELLULAR'!D31+'LATAM ALTNET &amp; CABLE'!D31</f>
        <v>3001.8925545532888</v>
      </c>
      <c r="E31" s="228">
        <f>'LATAM INCUMB'!E31+'LATAM CELLULAR'!E31+'LATAM ALTNET &amp; CABLE'!E31</f>
        <v>3386.8876327181165</v>
      </c>
      <c r="F31" s="228">
        <f>'LATAM INCUMB'!F31+'LATAM CELLULAR'!F31+'LATAM ALTNET &amp; CABLE'!F31</f>
        <v>3814.4862595687941</v>
      </c>
      <c r="G31" s="228">
        <f>'LATAM INCUMB'!G31+'LATAM CELLULAR'!G31+'LATAM ALTNET &amp; CABLE'!G31</f>
        <v>4110.7521123121478</v>
      </c>
      <c r="H31" s="279">
        <f t="shared" si="0"/>
        <v>0.11047481900324096</v>
      </c>
      <c r="I31" s="254"/>
      <c r="J31" s="252"/>
      <c r="K31" s="252"/>
      <c r="L31" s="252"/>
      <c r="M31" s="252"/>
      <c r="N31" s="252"/>
      <c r="O31" s="5"/>
      <c r="Q31" s="5"/>
      <c r="S31" s="42"/>
      <c r="T31" s="42"/>
      <c r="U31" s="42"/>
      <c r="V31" s="147" t="s">
        <v>533</v>
      </c>
      <c r="W31" s="288">
        <f t="shared" si="1"/>
        <v>4.6880628417541391E-2</v>
      </c>
      <c r="X31" s="288">
        <v>1</v>
      </c>
      <c r="Y31" s="42"/>
      <c r="Z31" s="42"/>
      <c r="AA31" s="42"/>
    </row>
    <row r="32" spans="2:27">
      <c r="B32" s="5" t="s">
        <v>606</v>
      </c>
      <c r="C32" s="365">
        <f>'LATAM INCUMB'!C32+'LATAM CELLULAR'!C32+'LATAM ALTNET &amp; CABLE'!C32</f>
        <v>65.795090715048033</v>
      </c>
      <c r="D32" s="228">
        <f>'LATAM INCUMB'!D32+'LATAM CELLULAR'!D32+'LATAM ALTNET &amp; CABLE'!D32</f>
        <v>274.37306292251679</v>
      </c>
      <c r="E32" s="228">
        <f>'LATAM INCUMB'!E32+'LATAM CELLULAR'!E32+'LATAM ALTNET &amp; CABLE'!E32</f>
        <v>-136.80000000000018</v>
      </c>
      <c r="F32" s="228">
        <f>'LATAM INCUMB'!F32+'LATAM CELLULAR'!F32+'LATAM ALTNET &amp; CABLE'!F32</f>
        <v>1260.2095781499957</v>
      </c>
      <c r="G32" s="228">
        <f>'LATAM INCUMB'!G32+'LATAM CELLULAR'!G32+'LATAM ALTNET &amp; CABLE'!G32</f>
        <v>2123.4906357811742</v>
      </c>
      <c r="H32" s="279">
        <f t="shared" si="0"/>
        <v>0.97804557133531156</v>
      </c>
      <c r="I32" s="5"/>
      <c r="J32" s="254"/>
      <c r="K32" s="254"/>
      <c r="L32" s="254"/>
      <c r="M32" s="254"/>
      <c r="N32" s="254"/>
      <c r="O32" s="251"/>
      <c r="Q32" s="5"/>
      <c r="S32" s="42"/>
      <c r="T32" s="42"/>
      <c r="U32" s="42"/>
      <c r="V32" s="147" t="s">
        <v>580</v>
      </c>
      <c r="W32" s="288">
        <f>M17/E45</f>
        <v>7.8014598414032715E-2</v>
      </c>
      <c r="X32" s="288">
        <v>1</v>
      </c>
      <c r="Y32" s="42"/>
      <c r="Z32" s="42"/>
      <c r="AA32" s="42"/>
    </row>
    <row r="33" spans="2:42">
      <c r="B33" s="5" t="s">
        <v>5</v>
      </c>
      <c r="C33" s="365">
        <f>'LATAM INCUMB'!C33+'LATAM CELLULAR'!C33+'LATAM ALTNET &amp; CABLE'!C33</f>
        <v>946.79718517228923</v>
      </c>
      <c r="D33" s="228">
        <f>'LATAM INCUMB'!D33+'LATAM CELLULAR'!D33+'LATAM ALTNET &amp; CABLE'!D33</f>
        <v>549.94645845777256</v>
      </c>
      <c r="E33" s="228">
        <f>'LATAM INCUMB'!E33+'LATAM CELLULAR'!E33+'LATAM ALTNET &amp; CABLE'!E33</f>
        <v>541.65795167153942</v>
      </c>
      <c r="F33" s="228">
        <f>'LATAM INCUMB'!F33+'LATAM CELLULAR'!F33+'LATAM ALTNET &amp; CABLE'!F33</f>
        <v>791.97956709083928</v>
      </c>
      <c r="G33" s="228">
        <f>'LATAM INCUMB'!G33+'LATAM CELLULAR'!G33+'LATAM ALTNET &amp; CABLE'!G33</f>
        <v>1065.2732629068632</v>
      </c>
      <c r="H33" s="279">
        <f t="shared" si="0"/>
        <v>0.24656101058237212</v>
      </c>
      <c r="I33" s="49"/>
      <c r="J33" s="254"/>
      <c r="K33" s="254"/>
      <c r="L33" s="254"/>
      <c r="M33" s="254"/>
      <c r="N33" s="254"/>
      <c r="O33" s="251"/>
      <c r="Q33" s="5"/>
      <c r="S33" s="42"/>
      <c r="T33" s="42"/>
      <c r="U33" s="42"/>
      <c r="V33" s="147" t="s">
        <v>581</v>
      </c>
      <c r="W33" s="288">
        <f>M19/E47</f>
        <v>0.82925294318821519</v>
      </c>
      <c r="X33" s="288">
        <v>1</v>
      </c>
      <c r="Y33" s="288"/>
      <c r="Z33" s="288"/>
      <c r="AA33" s="42"/>
      <c r="AC33" s="10"/>
      <c r="AD33" s="10"/>
      <c r="AE33" s="10"/>
      <c r="AF33" s="10"/>
      <c r="AH33" s="10"/>
      <c r="AI33" s="10"/>
      <c r="AJ33" s="10"/>
      <c r="AK33" s="10"/>
      <c r="AM33" s="10"/>
      <c r="AN33" s="10"/>
      <c r="AO33" s="10"/>
      <c r="AP33" s="10"/>
    </row>
    <row r="34" spans="2:42">
      <c r="H34" s="277"/>
      <c r="I34" s="254"/>
      <c r="J34" s="254"/>
      <c r="K34" s="254"/>
      <c r="L34" s="254"/>
      <c r="M34" s="254"/>
      <c r="N34" s="254"/>
      <c r="O34" s="251"/>
      <c r="Q34" s="5"/>
      <c r="S34" s="42"/>
      <c r="T34" s="42"/>
      <c r="U34" s="42"/>
      <c r="V34" s="42"/>
      <c r="W34" s="42"/>
      <c r="X34" s="42"/>
      <c r="Y34" s="288"/>
      <c r="Z34" s="288"/>
      <c r="AA34" s="42"/>
      <c r="AC34" s="10"/>
      <c r="AD34" s="10"/>
      <c r="AE34" s="10"/>
      <c r="AF34" s="10"/>
      <c r="AH34" s="10"/>
      <c r="AI34" s="10"/>
      <c r="AJ34" s="10"/>
      <c r="AK34" s="10"/>
      <c r="AM34" s="10"/>
      <c r="AN34" s="10"/>
      <c r="AO34" s="10"/>
      <c r="AP34" s="10"/>
    </row>
    <row r="35" spans="2:42" ht="12.6" thickBot="1">
      <c r="B35" s="306" t="s">
        <v>301</v>
      </c>
      <c r="C35" s="265"/>
      <c r="D35" s="265" t="str">
        <f>D5</f>
        <v>2023E</v>
      </c>
      <c r="E35" s="265" t="str">
        <f>E5</f>
        <v>2024E</v>
      </c>
      <c r="F35" s="265" t="str">
        <f>F5</f>
        <v>2025E</v>
      </c>
      <c r="G35" s="265" t="str">
        <f>G5</f>
        <v>2026E</v>
      </c>
      <c r="H35" s="265" t="str">
        <f>H5</f>
        <v>23E-26E</v>
      </c>
      <c r="I35" s="17"/>
      <c r="J35" s="5"/>
      <c r="K35" s="5"/>
      <c r="L35" s="5"/>
      <c r="M35" s="5"/>
      <c r="N35" s="5"/>
      <c r="O35" s="5"/>
      <c r="Q35" s="5"/>
      <c r="S35" s="42"/>
      <c r="T35" s="42"/>
      <c r="U35" s="42"/>
      <c r="V35" s="42"/>
      <c r="W35" s="42"/>
      <c r="X35" s="42"/>
      <c r="Y35" s="288"/>
      <c r="Z35" s="288"/>
      <c r="AA35" s="42"/>
      <c r="AC35" s="10"/>
      <c r="AD35" s="10"/>
      <c r="AE35" s="10"/>
      <c r="AF35" s="10"/>
      <c r="AH35" s="10"/>
      <c r="AI35" s="10"/>
      <c r="AJ35" s="10"/>
      <c r="AK35" s="10"/>
      <c r="AM35" s="10"/>
      <c r="AN35" s="10"/>
      <c r="AO35" s="10"/>
      <c r="AP35" s="10"/>
    </row>
    <row r="36" spans="2:42" ht="12.6" thickTop="1">
      <c r="B36" s="41"/>
      <c r="C36" s="249"/>
      <c r="D36" s="254"/>
      <c r="E36" s="254"/>
      <c r="F36" s="254"/>
      <c r="G36" s="254"/>
      <c r="H36" s="254"/>
      <c r="I36" s="5"/>
      <c r="J36" s="49"/>
      <c r="K36" s="49"/>
      <c r="L36" s="49"/>
      <c r="M36" s="49"/>
      <c r="N36" s="49"/>
      <c r="O36" s="49"/>
      <c r="Q36" s="5"/>
      <c r="R36" s="5"/>
      <c r="S36" s="42"/>
      <c r="T36" s="42"/>
      <c r="U36" s="42"/>
      <c r="V36" s="42"/>
      <c r="W36" s="42"/>
      <c r="X36" s="42"/>
      <c r="Y36" s="42"/>
      <c r="Z36" s="42"/>
      <c r="AA36" s="42"/>
      <c r="AC36" s="10"/>
      <c r="AD36" s="10"/>
      <c r="AE36" s="10"/>
      <c r="AF36" s="10"/>
      <c r="AH36" s="10"/>
      <c r="AI36" s="10"/>
      <c r="AJ36" s="10"/>
      <c r="AK36" s="10"/>
      <c r="AM36" s="10"/>
      <c r="AN36" s="10"/>
      <c r="AO36" s="10"/>
      <c r="AP36" s="10"/>
    </row>
    <row r="37" spans="2:42">
      <c r="B37" s="5" t="s">
        <v>273</v>
      </c>
      <c r="C37" s="247"/>
      <c r="D37" s="557">
        <f t="shared" ref="D37:G41" si="2">D$18/D23</f>
        <v>1.7767735397530575</v>
      </c>
      <c r="E37" s="557">
        <f t="shared" si="2"/>
        <v>1.6394749827784822</v>
      </c>
      <c r="F37" s="557">
        <f t="shared" si="2"/>
        <v>1.5136137533872256</v>
      </c>
      <c r="G37" s="557">
        <f t="shared" si="2"/>
        <v>1.3810292874531336</v>
      </c>
      <c r="H37" s="17">
        <f t="shared" ref="H37:H45" si="3">H23</f>
        <v>3.2631114257633875E-2</v>
      </c>
      <c r="I37" s="259"/>
      <c r="J37" s="259"/>
      <c r="K37" s="259"/>
      <c r="L37" s="259"/>
      <c r="M37" s="259"/>
      <c r="N37" s="259"/>
      <c r="O37" s="18"/>
      <c r="Q37" s="5"/>
      <c r="R37" s="5"/>
      <c r="S37" s="42"/>
      <c r="T37" s="42"/>
      <c r="U37" s="42"/>
      <c r="V37" s="42"/>
      <c r="W37" s="42"/>
      <c r="X37" s="42"/>
      <c r="Y37" s="42"/>
      <c r="Z37" s="42"/>
      <c r="AA37" s="42"/>
      <c r="AC37" s="10"/>
      <c r="AD37" s="10"/>
      <c r="AE37" s="10"/>
      <c r="AF37" s="10"/>
      <c r="AH37" s="10"/>
      <c r="AI37" s="10"/>
      <c r="AJ37" s="10"/>
      <c r="AK37" s="10"/>
      <c r="AM37" s="10"/>
      <c r="AN37" s="10"/>
      <c r="AO37" s="10"/>
      <c r="AP37" s="10"/>
    </row>
    <row r="38" spans="2:42">
      <c r="B38" s="5" t="s">
        <v>184</v>
      </c>
      <c r="C38" s="247"/>
      <c r="D38" s="557">
        <f t="shared" si="2"/>
        <v>4.651220941363122</v>
      </c>
      <c r="E38" s="557">
        <f t="shared" si="2"/>
        <v>4.193217438425294</v>
      </c>
      <c r="F38" s="557">
        <f t="shared" si="2"/>
        <v>3.7941618758158446</v>
      </c>
      <c r="G38" s="557">
        <f t="shared" si="2"/>
        <v>3.4150946246506964</v>
      </c>
      <c r="H38" s="17">
        <f t="shared" si="3"/>
        <v>5.2422730877842438E-2</v>
      </c>
      <c r="I38" s="17"/>
      <c r="J38" s="17"/>
      <c r="K38" s="17"/>
      <c r="L38" s="17"/>
      <c r="M38" s="17"/>
      <c r="N38" s="17"/>
      <c r="O38" s="5"/>
      <c r="Q38" s="5"/>
      <c r="R38" s="5"/>
      <c r="S38" s="42"/>
      <c r="T38" s="42"/>
      <c r="U38" s="42"/>
      <c r="V38" s="42"/>
      <c r="W38" s="42"/>
      <c r="X38" s="42"/>
      <c r="Y38" s="42"/>
      <c r="Z38" s="42"/>
      <c r="AA38" s="42"/>
    </row>
    <row r="39" spans="2:42">
      <c r="B39" s="5" t="s">
        <v>185</v>
      </c>
      <c r="C39" s="247"/>
      <c r="D39" s="557">
        <f t="shared" si="2"/>
        <v>9.1495896000876566</v>
      </c>
      <c r="E39" s="557">
        <f t="shared" si="2"/>
        <v>7.4893839332245742</v>
      </c>
      <c r="F39" s="557">
        <f t="shared" si="2"/>
        <v>6.355259039611612</v>
      </c>
      <c r="G39" s="557">
        <f t="shared" si="2"/>
        <v>5.473354808075225</v>
      </c>
      <c r="H39" s="17">
        <f t="shared" si="3"/>
        <v>0.1268120459382811</v>
      </c>
      <c r="I39" s="5"/>
      <c r="J39" s="5"/>
      <c r="K39" s="5"/>
      <c r="L39" s="5"/>
      <c r="M39" s="5"/>
      <c r="N39" s="5"/>
      <c r="O39" s="5"/>
      <c r="Q39" s="5"/>
      <c r="R39" s="5"/>
      <c r="S39" s="42"/>
      <c r="T39" s="42"/>
      <c r="U39" s="42"/>
      <c r="V39" s="42"/>
      <c r="W39" s="288"/>
      <c r="X39" s="288"/>
      <c r="Y39" s="42"/>
      <c r="Z39" s="42"/>
      <c r="AA39" s="42"/>
    </row>
    <row r="40" spans="2:42">
      <c r="B40" s="5" t="s">
        <v>466</v>
      </c>
      <c r="C40" s="247"/>
      <c r="D40" s="557">
        <f t="shared" si="2"/>
        <v>13.95931501626152</v>
      </c>
      <c r="E40" s="557">
        <f t="shared" si="2"/>
        <v>10.685797087442774</v>
      </c>
      <c r="F40" s="557">
        <f t="shared" si="2"/>
        <v>9.051010977069458</v>
      </c>
      <c r="G40" s="557">
        <f t="shared" si="2"/>
        <v>7.765799145958038</v>
      </c>
      <c r="H40" s="17">
        <f t="shared" si="3"/>
        <v>0.15441367221361157</v>
      </c>
      <c r="I40" s="247"/>
      <c r="J40" s="259"/>
      <c r="K40" s="259"/>
      <c r="L40" s="259"/>
      <c r="M40" s="259"/>
      <c r="N40" s="259"/>
      <c r="O40" s="18"/>
      <c r="Q40" s="5"/>
      <c r="R40" s="5"/>
      <c r="S40" s="42"/>
      <c r="T40" s="42"/>
      <c r="U40" s="42"/>
      <c r="V40" s="42"/>
      <c r="W40" s="288"/>
      <c r="X40" s="288"/>
      <c r="Y40" s="288"/>
      <c r="Z40" s="288"/>
      <c r="AA40" s="42"/>
    </row>
    <row r="41" spans="2:42">
      <c r="B41" s="5" t="s">
        <v>530</v>
      </c>
      <c r="C41" s="247"/>
      <c r="D41" s="557">
        <f t="shared" si="2"/>
        <v>1.3244031933420088</v>
      </c>
      <c r="E41" s="557">
        <f t="shared" si="2"/>
        <v>1.2722607705792592</v>
      </c>
      <c r="F41" s="557">
        <f t="shared" si="2"/>
        <v>1.2205020316481807</v>
      </c>
      <c r="G41" s="557">
        <f t="shared" si="2"/>
        <v>1.1427907734281766</v>
      </c>
      <c r="H41" s="17">
        <f t="shared" si="3"/>
        <v>-2.7134202435501464E-3</v>
      </c>
      <c r="I41" s="248"/>
      <c r="J41" s="17"/>
      <c r="K41" s="17"/>
      <c r="L41" s="17"/>
      <c r="M41" s="17"/>
      <c r="N41" s="17"/>
      <c r="O41" s="5"/>
      <c r="Q41" s="5"/>
      <c r="R41" s="5"/>
      <c r="S41" s="42"/>
      <c r="T41" s="42"/>
      <c r="U41" s="42"/>
      <c r="V41" s="42"/>
      <c r="W41" s="288"/>
      <c r="X41" s="288"/>
      <c r="Y41" s="288"/>
      <c r="Z41" s="288"/>
      <c r="AA41" s="42"/>
    </row>
    <row r="42" spans="2:42">
      <c r="B42" s="5" t="s">
        <v>593</v>
      </c>
      <c r="C42" s="247"/>
      <c r="D42" s="557">
        <f>D18/D28</f>
        <v>1.9689411766105482</v>
      </c>
      <c r="E42" s="557">
        <f>E18/E28</f>
        <v>1.9063316312058507</v>
      </c>
      <c r="F42" s="557">
        <f>F18/F28</f>
        <v>1.8370256590532699</v>
      </c>
      <c r="G42" s="557">
        <f>G18/G28</f>
        <v>1.7374689514230273</v>
      </c>
      <c r="H42" s="17">
        <f t="shared" si="3"/>
        <v>-1.0139395873632551E-2</v>
      </c>
      <c r="I42" s="247"/>
      <c r="J42" s="5"/>
      <c r="K42" s="5"/>
      <c r="L42" s="5"/>
      <c r="M42" s="5"/>
      <c r="N42" s="5"/>
      <c r="O42" s="5"/>
      <c r="Q42" s="5"/>
      <c r="R42" s="5"/>
      <c r="S42" s="42"/>
      <c r="T42" s="42"/>
      <c r="U42" s="42"/>
      <c r="V42" s="42"/>
      <c r="W42" s="288"/>
      <c r="X42" s="288"/>
      <c r="Y42" s="288"/>
      <c r="Z42" s="288"/>
      <c r="AA42" s="42"/>
    </row>
    <row r="43" spans="2:42">
      <c r="B43" s="5" t="s">
        <v>475</v>
      </c>
      <c r="C43" s="247"/>
      <c r="D43" s="557">
        <f>L26/D29</f>
        <v>23.134047558105436</v>
      </c>
      <c r="E43" s="557">
        <f>M26/E29</f>
        <v>13.170969562904238</v>
      </c>
      <c r="F43" s="557">
        <f>N26/F29</f>
        <v>9.9688267869767557</v>
      </c>
      <c r="G43" s="557">
        <f>O26/G29</f>
        <v>8.0319119149763285</v>
      </c>
      <c r="H43" s="17">
        <f t="shared" si="3"/>
        <v>0.38502462778786439</v>
      </c>
      <c r="I43" s="247"/>
      <c r="J43" s="247"/>
      <c r="K43" s="247"/>
      <c r="L43" s="247"/>
      <c r="M43" s="247"/>
      <c r="N43" s="247"/>
      <c r="O43" s="18"/>
      <c r="Q43" s="5"/>
      <c r="R43" s="5"/>
      <c r="S43" s="42"/>
      <c r="T43" s="42"/>
      <c r="U43" s="42"/>
      <c r="V43" s="42"/>
      <c r="W43" s="325"/>
      <c r="X43" s="325"/>
      <c r="Y43" s="288"/>
      <c r="Z43" s="288"/>
      <c r="AA43" s="42"/>
    </row>
    <row r="44" spans="2:42">
      <c r="B44" s="5" t="s">
        <v>533</v>
      </c>
      <c r="C44" s="69"/>
      <c r="D44" s="557">
        <f>D11/D30</f>
        <v>14.003638354134434</v>
      </c>
      <c r="E44" s="557">
        <f>E11/E30</f>
        <v>10.015010028189321</v>
      </c>
      <c r="F44" s="557">
        <f>F11/F30</f>
        <v>7.6985717831877851</v>
      </c>
      <c r="G44" s="557">
        <f>G11/G30</f>
        <v>6.2949098591769337</v>
      </c>
      <c r="H44" s="17">
        <f t="shared" si="3"/>
        <v>0.27294383402184597</v>
      </c>
      <c r="I44" s="248"/>
      <c r="J44" s="248"/>
      <c r="K44" s="248"/>
      <c r="L44" s="248"/>
      <c r="M44" s="248"/>
      <c r="N44" s="248"/>
      <c r="O44" s="248"/>
      <c r="Q44" s="5"/>
      <c r="R44" s="5"/>
      <c r="S44" s="42"/>
      <c r="T44" s="42"/>
      <c r="U44" s="42"/>
      <c r="V44" s="42"/>
      <c r="W44" s="42"/>
      <c r="X44" s="42"/>
      <c r="Y44" s="325"/>
      <c r="Z44" s="325"/>
      <c r="AA44" s="42"/>
    </row>
    <row r="45" spans="2:42">
      <c r="B45" s="5" t="s">
        <v>580</v>
      </c>
      <c r="C45" s="247"/>
      <c r="D45" s="248">
        <f>D31/D11</f>
        <v>3.5989848479016144E-2</v>
      </c>
      <c r="E45" s="248">
        <f>E31/E11</f>
        <v>4.1451941086865333E-2</v>
      </c>
      <c r="F45" s="248">
        <f>F31/F11</f>
        <v>4.7824878139300982E-2</v>
      </c>
      <c r="G45" s="248">
        <f>G31/G11</f>
        <v>5.3153248137280715E-2</v>
      </c>
      <c r="H45" s="17">
        <f t="shared" si="3"/>
        <v>0.11047481900324096</v>
      </c>
      <c r="I45" s="247"/>
      <c r="J45" s="247"/>
      <c r="K45" s="247"/>
      <c r="L45" s="247"/>
      <c r="M45" s="247"/>
      <c r="N45" s="247"/>
      <c r="O45" s="248"/>
      <c r="Q45" s="5"/>
      <c r="R45" s="5"/>
      <c r="S45" s="42"/>
      <c r="T45" s="42"/>
      <c r="U45" s="42"/>
      <c r="V45" s="42"/>
      <c r="W45" s="42"/>
      <c r="X45" s="42"/>
      <c r="Y45" s="42"/>
      <c r="Z45" s="42"/>
      <c r="AA45" s="326"/>
      <c r="AB45" s="303"/>
    </row>
    <row r="46" spans="2:42">
      <c r="B46" s="5" t="s">
        <v>605</v>
      </c>
      <c r="C46" s="247"/>
      <c r="D46" s="248">
        <f>(D31+D32)/D11</f>
        <v>3.9279321630320982E-2</v>
      </c>
      <c r="E46" s="248">
        <f>(E31+E32)/E11</f>
        <v>3.9777653021945893E-2</v>
      </c>
      <c r="F46" s="248">
        <f>(F31+F32)/F11</f>
        <v>6.3625005706628102E-2</v>
      </c>
      <c r="G46" s="248">
        <f>(G31+G32)/G11</f>
        <v>8.0610613990796817E-2</v>
      </c>
      <c r="H46" s="279">
        <f>((G31+G32)/(D31+D32))^(1/3)-1</f>
        <v>0.23918134897651844</v>
      </c>
      <c r="I46" s="17"/>
      <c r="J46" s="247"/>
      <c r="K46" s="247"/>
      <c r="L46" s="247"/>
      <c r="M46" s="247"/>
      <c r="N46" s="247"/>
      <c r="O46" s="18"/>
      <c r="Q46" s="5"/>
      <c r="R46" s="5"/>
      <c r="S46" s="42"/>
      <c r="T46" s="42"/>
      <c r="U46" s="42"/>
      <c r="V46" s="42"/>
      <c r="W46" s="42"/>
      <c r="X46" s="42"/>
      <c r="Y46" s="42"/>
      <c r="Z46" s="42"/>
      <c r="AA46" s="326"/>
      <c r="AB46" s="303"/>
    </row>
    <row r="47" spans="2:42">
      <c r="B47" s="5" t="s">
        <v>581</v>
      </c>
      <c r="C47" s="5"/>
      <c r="D47" s="248">
        <f>1/D43</f>
        <v>4.3226331124647133E-2</v>
      </c>
      <c r="E47" s="248">
        <f>1/E43</f>
        <v>7.5924554773589267E-2</v>
      </c>
      <c r="F47" s="248">
        <f>1/F43</f>
        <v>0.10031270693823238</v>
      </c>
      <c r="G47" s="248">
        <f>1/G43</f>
        <v>0.12450335743042659</v>
      </c>
      <c r="H47" s="17">
        <f>H29</f>
        <v>0.38502462778786439</v>
      </c>
      <c r="I47" s="247"/>
      <c r="J47" s="248"/>
      <c r="K47" s="248"/>
      <c r="L47" s="248"/>
      <c r="M47" s="248"/>
      <c r="N47" s="248"/>
      <c r="O47" s="248"/>
      <c r="Q47" s="5"/>
      <c r="R47" s="5"/>
      <c r="S47" s="5"/>
      <c r="T47" s="5"/>
      <c r="U47" s="5"/>
      <c r="AA47" s="303"/>
      <c r="AB47" s="303"/>
    </row>
    <row r="48" spans="2:42">
      <c r="B48" s="5" t="s">
        <v>618</v>
      </c>
      <c r="C48" s="5"/>
      <c r="D48" s="305">
        <f>D31/D29</f>
        <v>0.70491894916352393</v>
      </c>
      <c r="E48" s="305">
        <f>E31/E29</f>
        <v>0.4602997016804713</v>
      </c>
      <c r="F48" s="305">
        <f>F31/F29</f>
        <v>0.40181756953743764</v>
      </c>
      <c r="G48" s="305">
        <f>G31/G29</f>
        <v>0.36332295895965083</v>
      </c>
      <c r="H48" s="17" t="s">
        <v>607</v>
      </c>
      <c r="I48" s="259"/>
      <c r="J48" s="247"/>
      <c r="K48" s="247"/>
      <c r="L48" s="247"/>
      <c r="M48" s="247"/>
      <c r="N48" s="247"/>
      <c r="O48" s="248"/>
      <c r="Q48" s="5"/>
      <c r="R48" s="5"/>
      <c r="S48" s="5"/>
      <c r="T48" s="5"/>
      <c r="U48" s="5"/>
      <c r="AA48" s="303"/>
      <c r="AB48" s="303"/>
    </row>
    <row r="49" spans="2:28">
      <c r="B49" s="41"/>
      <c r="C49" s="17"/>
      <c r="D49" s="17"/>
      <c r="E49" s="17"/>
      <c r="F49" s="17"/>
      <c r="G49" s="17"/>
      <c r="H49" s="17"/>
      <c r="I49" s="17"/>
      <c r="J49" s="17"/>
      <c r="K49" s="17"/>
      <c r="L49" s="17"/>
      <c r="M49" s="17"/>
      <c r="N49" s="17"/>
      <c r="O49" s="248"/>
      <c r="Q49" s="5"/>
      <c r="R49" s="5"/>
      <c r="S49" s="5"/>
      <c r="T49" s="5"/>
      <c r="U49" s="5"/>
      <c r="W49" s="10"/>
      <c r="X49" s="10"/>
      <c r="AA49" s="303"/>
      <c r="AB49" s="303"/>
    </row>
    <row r="50" spans="2:28">
      <c r="B50" s="5"/>
      <c r="C50" s="257"/>
      <c r="D50" s="257"/>
      <c r="E50" s="257"/>
      <c r="F50" s="5"/>
      <c r="G50" s="41"/>
      <c r="H50" s="249"/>
      <c r="I50" s="259"/>
      <c r="J50" s="249"/>
      <c r="K50" s="249"/>
      <c r="L50" s="249"/>
      <c r="M50" s="249"/>
      <c r="N50" s="249"/>
      <c r="O50" s="250"/>
      <c r="Q50" s="5"/>
      <c r="R50" s="5"/>
      <c r="S50" s="5"/>
      <c r="T50" s="5"/>
      <c r="U50" s="5"/>
      <c r="W50" s="10"/>
      <c r="X50" s="10"/>
      <c r="Y50" s="10"/>
      <c r="Z50" s="10"/>
    </row>
    <row r="51" spans="2:28">
      <c r="B51" s="41"/>
      <c r="C51" s="249"/>
      <c r="D51" s="254"/>
      <c r="E51" s="254"/>
      <c r="F51" s="254"/>
      <c r="G51" s="254"/>
      <c r="H51" s="254"/>
      <c r="I51" s="254"/>
      <c r="J51" s="254"/>
      <c r="K51" s="254"/>
      <c r="L51" s="254"/>
      <c r="M51" s="254"/>
      <c r="N51" s="254"/>
      <c r="O51" s="251"/>
      <c r="Q51" s="5"/>
      <c r="R51" s="5"/>
      <c r="S51" s="5"/>
      <c r="T51" s="5"/>
      <c r="U51" s="5"/>
      <c r="Y51" s="10"/>
      <c r="Z51" s="10"/>
    </row>
    <row r="52" spans="2:28">
      <c r="B52" s="5"/>
      <c r="C52" s="257"/>
      <c r="D52" s="17"/>
      <c r="E52" s="17"/>
      <c r="F52" s="17"/>
      <c r="G52" s="17"/>
      <c r="H52" s="17"/>
      <c r="I52" s="17"/>
      <c r="J52" s="259"/>
      <c r="K52" s="259"/>
      <c r="L52" s="259"/>
      <c r="M52" s="259"/>
      <c r="N52" s="259"/>
      <c r="O52" s="18"/>
      <c r="Q52" s="5"/>
      <c r="R52" s="5"/>
      <c r="S52" s="5"/>
      <c r="T52" s="5"/>
      <c r="U52" s="5"/>
    </row>
    <row r="53" spans="2:28">
      <c r="B53" s="5"/>
      <c r="C53" s="257"/>
      <c r="D53" s="257"/>
      <c r="E53" s="257"/>
      <c r="F53" s="5"/>
      <c r="G53" s="5"/>
      <c r="H53" s="259"/>
      <c r="I53" s="259"/>
      <c r="J53" s="254"/>
      <c r="K53" s="254"/>
      <c r="L53" s="254"/>
      <c r="M53" s="254"/>
      <c r="N53" s="254"/>
      <c r="O53" s="251"/>
      <c r="Q53" s="5"/>
      <c r="R53" s="5"/>
      <c r="S53" s="5"/>
      <c r="T53" s="5"/>
      <c r="U53" s="5"/>
    </row>
    <row r="54" spans="2:28">
      <c r="B54" s="41"/>
      <c r="C54" s="249"/>
      <c r="D54" s="254"/>
      <c r="E54" s="254"/>
      <c r="F54" s="254"/>
      <c r="G54" s="254"/>
      <c r="H54" s="254"/>
      <c r="I54" s="249"/>
      <c r="J54" s="17"/>
      <c r="K54" s="17"/>
      <c r="L54" s="17"/>
      <c r="M54" s="17"/>
      <c r="N54" s="17"/>
      <c r="O54" s="18"/>
      <c r="Q54" s="5"/>
      <c r="R54" s="5"/>
      <c r="S54" s="5"/>
      <c r="T54" s="5"/>
      <c r="U54" s="5"/>
    </row>
    <row r="55" spans="2:28">
      <c r="B55" s="5"/>
      <c r="C55" s="257"/>
      <c r="D55" s="17"/>
      <c r="E55" s="17"/>
      <c r="F55" s="17"/>
      <c r="G55" s="17"/>
      <c r="H55" s="17"/>
      <c r="I55" s="248"/>
      <c r="J55" s="259"/>
      <c r="K55" s="259"/>
      <c r="L55" s="259"/>
      <c r="M55" s="259"/>
      <c r="N55" s="259"/>
      <c r="O55" s="18"/>
      <c r="Q55" s="5"/>
      <c r="R55" s="5"/>
      <c r="S55" s="5"/>
      <c r="T55" s="5"/>
      <c r="U55" s="5"/>
    </row>
    <row r="56" spans="2:28">
      <c r="B56" s="5"/>
      <c r="C56" s="248"/>
      <c r="D56" s="248"/>
      <c r="E56" s="248"/>
      <c r="F56" s="5"/>
      <c r="G56" s="5"/>
      <c r="H56" s="259"/>
      <c r="I56" s="5"/>
      <c r="J56" s="249"/>
      <c r="K56" s="249"/>
      <c r="L56" s="249"/>
      <c r="M56" s="249"/>
      <c r="N56" s="249"/>
      <c r="O56" s="251"/>
      <c r="Q56" s="5"/>
      <c r="R56" s="5"/>
      <c r="S56" s="5"/>
      <c r="T56" s="5"/>
      <c r="U56" s="5"/>
    </row>
    <row r="57" spans="2:28">
      <c r="B57" s="41"/>
      <c r="C57" s="249"/>
      <c r="D57" s="249"/>
      <c r="E57" s="249"/>
      <c r="F57" s="249"/>
      <c r="G57" s="249"/>
      <c r="H57" s="249"/>
      <c r="I57" s="17"/>
      <c r="J57" s="248"/>
      <c r="K57" s="248"/>
      <c r="L57" s="248"/>
      <c r="M57" s="248"/>
      <c r="N57" s="248"/>
      <c r="O57" s="18"/>
      <c r="Q57" s="5"/>
      <c r="R57" s="5"/>
      <c r="S57" s="5"/>
      <c r="T57" s="5"/>
      <c r="U57" s="5"/>
    </row>
    <row r="58" spans="2:28">
      <c r="B58" s="5"/>
      <c r="C58" s="5"/>
      <c r="D58" s="248"/>
      <c r="E58" s="248"/>
      <c r="F58" s="248"/>
      <c r="G58" s="248"/>
      <c r="H58" s="248"/>
      <c r="I58" s="5"/>
      <c r="J58" s="5"/>
      <c r="K58" s="5"/>
      <c r="L58" s="5"/>
      <c r="M58" s="5"/>
      <c r="N58" s="5"/>
      <c r="O58" s="5"/>
      <c r="Q58" s="5"/>
      <c r="R58" s="5"/>
      <c r="S58" s="5"/>
      <c r="T58" s="5"/>
      <c r="U58" s="5"/>
    </row>
    <row r="59" spans="2:28">
      <c r="B59" s="5"/>
      <c r="C59" s="5"/>
      <c r="D59" s="5"/>
      <c r="E59" s="5"/>
      <c r="F59" s="5"/>
      <c r="G59" s="5"/>
      <c r="H59" s="5"/>
      <c r="I59" s="249"/>
      <c r="J59" s="17"/>
      <c r="K59" s="17"/>
      <c r="L59" s="17"/>
      <c r="M59" s="17"/>
      <c r="N59" s="17"/>
      <c r="O59" s="251"/>
      <c r="Q59" s="5"/>
      <c r="R59" s="5"/>
      <c r="S59" s="5"/>
      <c r="T59" s="5"/>
      <c r="U59" s="5"/>
    </row>
    <row r="60" spans="2:28">
      <c r="B60" s="41"/>
      <c r="C60" s="17"/>
      <c r="D60" s="17"/>
      <c r="E60" s="17"/>
      <c r="F60" s="17"/>
      <c r="G60" s="17"/>
      <c r="H60" s="17"/>
      <c r="I60" s="5"/>
      <c r="J60" s="5"/>
      <c r="K60" s="5"/>
      <c r="L60" s="5"/>
      <c r="M60" s="5"/>
      <c r="N60" s="5"/>
      <c r="O60" s="5"/>
      <c r="Q60" s="41"/>
      <c r="R60" s="5"/>
      <c r="S60" s="5"/>
      <c r="T60" s="5"/>
      <c r="U60" s="5"/>
    </row>
    <row r="61" spans="2:28">
      <c r="B61" s="5"/>
      <c r="C61" s="5"/>
      <c r="D61" s="5"/>
      <c r="E61" s="5"/>
      <c r="F61" s="5"/>
      <c r="G61" s="5"/>
      <c r="H61" s="5"/>
      <c r="I61" s="5"/>
      <c r="J61" s="249"/>
      <c r="K61" s="249"/>
      <c r="L61" s="249"/>
      <c r="M61" s="249"/>
      <c r="N61" s="249"/>
      <c r="O61" s="251"/>
      <c r="Q61" s="5"/>
      <c r="R61" s="5"/>
      <c r="S61" s="5"/>
      <c r="T61" s="5"/>
      <c r="U61" s="5"/>
    </row>
    <row r="62" spans="2:28">
      <c r="B62" s="41"/>
      <c r="C62" s="249"/>
      <c r="D62" s="249"/>
      <c r="E62" s="249"/>
      <c r="F62" s="249"/>
      <c r="G62" s="249"/>
      <c r="H62" s="249"/>
      <c r="I62" s="254"/>
      <c r="J62" s="5"/>
      <c r="K62" s="5"/>
      <c r="L62" s="5"/>
      <c r="M62" s="5"/>
      <c r="N62" s="5"/>
      <c r="O62" s="5"/>
      <c r="Q62" s="5"/>
      <c r="R62" s="5"/>
      <c r="S62" s="5"/>
      <c r="T62" s="5"/>
      <c r="U62" s="5"/>
    </row>
    <row r="63" spans="2:28">
      <c r="B63" s="5"/>
      <c r="C63" s="5"/>
      <c r="D63" s="5"/>
      <c r="E63" s="5"/>
      <c r="F63" s="5"/>
      <c r="G63" s="5"/>
      <c r="H63" s="5"/>
      <c r="I63" s="17"/>
      <c r="J63" s="5"/>
      <c r="K63" s="5"/>
      <c r="L63" s="5"/>
      <c r="M63" s="5"/>
      <c r="N63" s="5"/>
      <c r="O63" s="5"/>
      <c r="Q63" s="5"/>
      <c r="R63" s="5"/>
      <c r="S63" s="5"/>
      <c r="T63" s="5"/>
      <c r="U63" s="5"/>
    </row>
    <row r="64" spans="2:28">
      <c r="B64" s="5"/>
      <c r="C64" s="5"/>
      <c r="D64" s="5"/>
      <c r="E64" s="5"/>
      <c r="F64" s="5"/>
      <c r="G64" s="5"/>
      <c r="H64" s="5"/>
      <c r="I64" s="254"/>
      <c r="J64" s="254"/>
      <c r="K64" s="254"/>
      <c r="L64" s="254"/>
      <c r="M64" s="254"/>
      <c r="N64" s="254"/>
      <c r="O64" s="251"/>
      <c r="Q64" s="5"/>
      <c r="R64" s="5"/>
      <c r="S64" s="5"/>
      <c r="T64" s="5"/>
      <c r="U64" s="5"/>
    </row>
    <row r="65" spans="2:26">
      <c r="B65" s="41"/>
      <c r="C65" s="249"/>
      <c r="D65" s="254"/>
      <c r="E65" s="254"/>
      <c r="F65" s="254"/>
      <c r="G65" s="254"/>
      <c r="H65" s="254"/>
      <c r="I65" s="248"/>
      <c r="J65" s="17"/>
      <c r="K65" s="17"/>
      <c r="L65" s="17"/>
      <c r="M65" s="17"/>
      <c r="N65" s="17"/>
      <c r="O65" s="5"/>
      <c r="Q65" s="5"/>
      <c r="R65" s="5"/>
      <c r="S65" s="5"/>
      <c r="T65" s="5"/>
      <c r="U65" s="5"/>
    </row>
    <row r="66" spans="2:26">
      <c r="B66" s="5"/>
      <c r="C66" s="5"/>
      <c r="D66" s="17"/>
      <c r="E66" s="17"/>
      <c r="F66" s="17"/>
      <c r="G66" s="17"/>
      <c r="H66" s="17"/>
      <c r="I66" s="5"/>
      <c r="J66" s="254"/>
      <c r="K66" s="254"/>
      <c r="L66" s="254"/>
      <c r="M66" s="254"/>
      <c r="N66" s="254"/>
      <c r="O66" s="251"/>
      <c r="Q66" s="41"/>
      <c r="R66" s="5"/>
      <c r="S66" s="5"/>
      <c r="T66" s="5"/>
      <c r="U66" s="5"/>
    </row>
    <row r="67" spans="2:26">
      <c r="B67" s="41"/>
      <c r="C67" s="249"/>
      <c r="D67" s="254"/>
      <c r="E67" s="254"/>
      <c r="F67" s="254"/>
      <c r="G67" s="254"/>
      <c r="H67" s="254"/>
      <c r="I67" s="245"/>
      <c r="J67" s="248"/>
      <c r="K67" s="248"/>
      <c r="L67" s="248"/>
      <c r="M67" s="248"/>
      <c r="N67" s="248"/>
      <c r="O67" s="5"/>
      <c r="Q67" s="5"/>
      <c r="R67" s="5"/>
      <c r="S67" s="5"/>
      <c r="T67" s="5"/>
      <c r="U67" s="5"/>
    </row>
    <row r="68" spans="2:26">
      <c r="B68" s="5"/>
      <c r="C68" s="5"/>
      <c r="D68" s="248"/>
      <c r="E68" s="248"/>
      <c r="F68" s="248"/>
      <c r="G68" s="248"/>
      <c r="H68" s="248"/>
      <c r="I68" s="248"/>
      <c r="J68" s="5"/>
      <c r="K68" s="5"/>
      <c r="L68" s="5"/>
      <c r="M68" s="5"/>
      <c r="N68" s="5"/>
      <c r="O68" s="5"/>
      <c r="Q68" s="5"/>
      <c r="R68" s="5"/>
      <c r="S68" s="5"/>
      <c r="T68" s="5"/>
      <c r="U68" s="5"/>
    </row>
    <row r="69" spans="2:26">
      <c r="B69" s="41"/>
      <c r="C69" s="5"/>
      <c r="D69" s="5"/>
      <c r="E69" s="5"/>
      <c r="F69" s="5"/>
      <c r="G69" s="5"/>
      <c r="H69" s="5"/>
      <c r="I69" s="5"/>
      <c r="J69" s="245"/>
      <c r="K69" s="245"/>
      <c r="L69" s="245"/>
      <c r="M69" s="245"/>
      <c r="N69" s="245"/>
      <c r="O69" s="251"/>
      <c r="Q69" s="5"/>
      <c r="R69" s="5"/>
      <c r="S69" s="5"/>
      <c r="T69" s="5"/>
      <c r="U69" s="5"/>
      <c r="W69" s="76"/>
      <c r="X69" s="76"/>
    </row>
    <row r="70" spans="2:26">
      <c r="B70" s="41"/>
      <c r="C70" s="245"/>
      <c r="D70" s="245"/>
      <c r="E70" s="245"/>
      <c r="F70" s="245"/>
      <c r="G70" s="245"/>
      <c r="H70" s="245"/>
      <c r="I70" s="245"/>
      <c r="J70" s="248"/>
      <c r="K70" s="248"/>
      <c r="L70" s="248"/>
      <c r="M70" s="248"/>
      <c r="N70" s="248"/>
      <c r="O70" s="5"/>
      <c r="Q70" s="5"/>
      <c r="R70" s="5"/>
      <c r="S70" s="5"/>
      <c r="T70" s="5"/>
      <c r="U70" s="5"/>
      <c r="W70" s="76"/>
      <c r="X70" s="76"/>
      <c r="Y70" s="76"/>
      <c r="Z70" s="76"/>
    </row>
    <row r="71" spans="2:26">
      <c r="B71" s="5"/>
      <c r="C71" s="5"/>
      <c r="D71" s="248"/>
      <c r="E71" s="248"/>
      <c r="F71" s="248"/>
      <c r="G71" s="248"/>
      <c r="H71" s="248"/>
      <c r="I71" s="18"/>
      <c r="J71" s="5"/>
      <c r="K71" s="5"/>
      <c r="L71" s="5"/>
      <c r="M71" s="5"/>
      <c r="N71" s="5"/>
      <c r="O71" s="5"/>
      <c r="Q71" s="5"/>
      <c r="R71" s="5"/>
      <c r="S71" s="5"/>
      <c r="T71" s="5"/>
      <c r="U71" s="5"/>
      <c r="Y71" s="76"/>
      <c r="Z71" s="76"/>
    </row>
    <row r="72" spans="2:26">
      <c r="B72" s="41"/>
      <c r="C72" s="5"/>
      <c r="D72" s="5"/>
      <c r="E72" s="5"/>
      <c r="F72" s="5"/>
      <c r="G72" s="5"/>
      <c r="H72" s="5"/>
      <c r="I72" s="5"/>
      <c r="J72" s="245"/>
      <c r="K72" s="245"/>
      <c r="L72" s="245"/>
      <c r="M72" s="245"/>
      <c r="N72" s="245"/>
      <c r="O72" s="251"/>
      <c r="Q72" s="5"/>
      <c r="R72" s="5"/>
      <c r="S72" s="5"/>
      <c r="T72" s="5"/>
      <c r="U72" s="5"/>
    </row>
    <row r="73" spans="2:26">
      <c r="B73" s="41"/>
      <c r="C73" s="245"/>
      <c r="D73" s="245"/>
      <c r="E73" s="245"/>
      <c r="F73" s="245"/>
      <c r="G73" s="245"/>
      <c r="H73" s="245"/>
      <c r="I73" s="249"/>
      <c r="J73" s="18"/>
      <c r="K73" s="18"/>
      <c r="L73" s="18"/>
      <c r="M73" s="18"/>
      <c r="N73" s="18"/>
      <c r="O73" s="5"/>
      <c r="Q73" s="5"/>
      <c r="R73" s="5"/>
      <c r="S73" s="5"/>
      <c r="T73" s="5"/>
      <c r="U73" s="5"/>
    </row>
    <row r="74" spans="2:26">
      <c r="B74" s="5"/>
      <c r="C74" s="5"/>
      <c r="D74" s="18"/>
      <c r="E74" s="18"/>
      <c r="F74" s="18"/>
      <c r="G74" s="18"/>
      <c r="H74" s="18"/>
      <c r="I74" s="248"/>
      <c r="J74" s="5"/>
      <c r="K74" s="5"/>
      <c r="L74" s="5"/>
      <c r="M74" s="5"/>
      <c r="N74" s="5"/>
      <c r="O74" s="5"/>
      <c r="Q74" s="5"/>
      <c r="R74" s="5"/>
      <c r="S74" s="5"/>
      <c r="T74" s="5"/>
      <c r="U74" s="5"/>
    </row>
    <row r="75" spans="2:26">
      <c r="B75" s="41"/>
      <c r="C75" s="5"/>
      <c r="D75" s="5"/>
      <c r="E75" s="5"/>
      <c r="F75" s="5"/>
      <c r="G75" s="5"/>
      <c r="H75" s="5"/>
      <c r="I75" s="5"/>
      <c r="J75" s="249"/>
      <c r="K75" s="249"/>
      <c r="L75" s="249"/>
      <c r="M75" s="249"/>
      <c r="N75" s="249"/>
      <c r="O75" s="251"/>
      <c r="Q75" s="5"/>
      <c r="R75" s="5"/>
      <c r="S75" s="5"/>
      <c r="T75" s="5"/>
      <c r="U75" s="5"/>
    </row>
    <row r="76" spans="2:26">
      <c r="B76" s="41"/>
      <c r="C76" s="249"/>
      <c r="D76" s="249"/>
      <c r="E76" s="249"/>
      <c r="F76" s="249"/>
      <c r="G76" s="249"/>
      <c r="H76" s="249"/>
      <c r="I76" s="245"/>
      <c r="J76" s="248"/>
      <c r="K76" s="248"/>
      <c r="L76" s="248"/>
      <c r="M76" s="248"/>
      <c r="N76" s="248"/>
      <c r="O76" s="5"/>
      <c r="Q76" s="5"/>
      <c r="R76" s="5"/>
      <c r="S76" s="5"/>
      <c r="T76" s="5"/>
      <c r="U76" s="5"/>
    </row>
    <row r="77" spans="2:26">
      <c r="B77" s="5"/>
      <c r="C77" s="5"/>
      <c r="D77" s="248"/>
      <c r="E77" s="248"/>
      <c r="F77" s="248"/>
      <c r="G77" s="248"/>
      <c r="H77" s="248"/>
      <c r="I77" s="248"/>
      <c r="J77" s="5"/>
      <c r="K77" s="5"/>
      <c r="L77" s="5"/>
      <c r="M77" s="5"/>
      <c r="N77" s="5"/>
      <c r="O77" s="5"/>
      <c r="Q77" s="5"/>
      <c r="R77" s="5"/>
      <c r="S77" s="5"/>
      <c r="T77" s="5"/>
      <c r="U77" s="5"/>
    </row>
    <row r="78" spans="2:26">
      <c r="B78" s="41"/>
      <c r="C78" s="5"/>
      <c r="D78" s="5"/>
      <c r="E78" s="5"/>
      <c r="F78" s="5"/>
      <c r="G78" s="5"/>
      <c r="H78" s="5"/>
      <c r="I78" s="5"/>
      <c r="J78" s="245"/>
      <c r="K78" s="245"/>
      <c r="L78" s="245"/>
      <c r="M78" s="245"/>
      <c r="N78" s="245"/>
      <c r="O78" s="251"/>
      <c r="Q78" s="5"/>
      <c r="R78" s="5"/>
      <c r="S78" s="5"/>
      <c r="T78" s="5"/>
      <c r="U78" s="5"/>
    </row>
    <row r="79" spans="2:26">
      <c r="B79" s="41"/>
      <c r="C79" s="245"/>
      <c r="D79" s="245"/>
      <c r="E79" s="245"/>
      <c r="F79" s="245"/>
      <c r="G79" s="245"/>
      <c r="H79" s="245"/>
      <c r="I79" s="249"/>
      <c r="J79" s="248"/>
      <c r="K79" s="248"/>
      <c r="L79" s="248"/>
      <c r="M79" s="248"/>
      <c r="N79" s="248"/>
      <c r="O79" s="5"/>
      <c r="Q79" s="5"/>
      <c r="R79" s="5"/>
      <c r="S79" s="5"/>
      <c r="T79" s="5"/>
      <c r="U79" s="5"/>
    </row>
    <row r="80" spans="2:26">
      <c r="B80" s="5"/>
      <c r="C80" s="5"/>
      <c r="D80" s="248"/>
      <c r="E80" s="248"/>
      <c r="F80" s="248"/>
      <c r="G80" s="248"/>
      <c r="H80" s="248"/>
      <c r="I80" s="248"/>
      <c r="J80" s="5"/>
      <c r="K80" s="5"/>
      <c r="L80" s="5"/>
      <c r="M80" s="5"/>
      <c r="N80" s="5"/>
      <c r="O80" s="5"/>
      <c r="Q80" s="5"/>
      <c r="R80" s="5"/>
      <c r="S80" s="5"/>
      <c r="T80" s="5"/>
      <c r="U80" s="5"/>
    </row>
    <row r="81" spans="2:26">
      <c r="B81" s="41"/>
      <c r="C81" s="5"/>
      <c r="D81" s="5"/>
      <c r="E81" s="5"/>
      <c r="F81" s="5"/>
      <c r="G81" s="5"/>
      <c r="H81" s="5"/>
      <c r="I81" s="259"/>
      <c r="J81" s="249"/>
      <c r="K81" s="249"/>
      <c r="L81" s="249"/>
      <c r="M81" s="249"/>
      <c r="N81" s="249"/>
      <c r="O81" s="251"/>
      <c r="Q81" s="5"/>
      <c r="R81" s="5"/>
      <c r="S81" s="5"/>
      <c r="T81" s="5"/>
      <c r="U81" s="5"/>
    </row>
    <row r="82" spans="2:26">
      <c r="B82" s="41"/>
      <c r="C82" s="249"/>
      <c r="D82" s="249"/>
      <c r="E82" s="249"/>
      <c r="F82" s="249"/>
      <c r="G82" s="249"/>
      <c r="H82" s="249"/>
      <c r="I82" s="5"/>
      <c r="J82" s="248"/>
      <c r="K82" s="248"/>
      <c r="L82" s="248"/>
      <c r="M82" s="248"/>
      <c r="N82" s="248"/>
      <c r="O82" s="5"/>
      <c r="Q82" s="5"/>
      <c r="R82" s="5"/>
      <c r="S82" s="5"/>
      <c r="T82" s="5"/>
      <c r="U82" s="5"/>
    </row>
    <row r="83" spans="2:26">
      <c r="B83" s="5"/>
      <c r="C83" s="5"/>
      <c r="D83" s="248"/>
      <c r="E83" s="248"/>
      <c r="F83" s="248"/>
      <c r="G83" s="248"/>
      <c r="H83" s="248"/>
      <c r="I83" s="245"/>
      <c r="J83" s="259"/>
      <c r="K83" s="259"/>
      <c r="L83" s="259"/>
      <c r="M83" s="259"/>
      <c r="N83" s="259"/>
      <c r="O83" s="251"/>
      <c r="Q83" s="5"/>
      <c r="R83" s="5"/>
      <c r="S83" s="5"/>
      <c r="T83" s="5"/>
      <c r="U83" s="5"/>
    </row>
    <row r="84" spans="2:26">
      <c r="B84" s="5"/>
      <c r="C84" s="259"/>
      <c r="D84" s="259"/>
      <c r="E84" s="259"/>
      <c r="F84" s="259"/>
      <c r="G84" s="259"/>
      <c r="H84" s="259"/>
      <c r="I84" s="248"/>
      <c r="J84" s="5"/>
      <c r="K84" s="5"/>
      <c r="L84" s="5"/>
      <c r="M84" s="5"/>
      <c r="N84" s="5"/>
      <c r="O84" s="5"/>
      <c r="Q84" s="5"/>
      <c r="R84" s="5"/>
      <c r="S84" s="5"/>
      <c r="T84" s="5"/>
      <c r="U84" s="5"/>
    </row>
    <row r="85" spans="2:26">
      <c r="B85" s="41"/>
      <c r="C85" s="5"/>
      <c r="D85" s="5"/>
      <c r="E85" s="5"/>
      <c r="F85" s="5"/>
      <c r="G85" s="5"/>
      <c r="H85" s="5"/>
      <c r="I85" s="5"/>
      <c r="J85" s="245"/>
      <c r="K85" s="245"/>
      <c r="L85" s="245"/>
      <c r="M85" s="245"/>
      <c r="N85" s="245"/>
      <c r="O85" s="251"/>
      <c r="Q85" s="5"/>
      <c r="R85" s="5"/>
      <c r="S85" s="5"/>
      <c r="T85" s="5"/>
      <c r="U85" s="5"/>
    </row>
    <row r="86" spans="2:26">
      <c r="B86" s="41"/>
      <c r="C86" s="245"/>
      <c r="D86" s="245"/>
      <c r="E86" s="245"/>
      <c r="F86" s="245"/>
      <c r="G86" s="245"/>
      <c r="H86" s="245"/>
      <c r="I86" s="5"/>
      <c r="J86" s="248"/>
      <c r="K86" s="248"/>
      <c r="L86" s="248"/>
      <c r="M86" s="248"/>
      <c r="N86" s="248"/>
      <c r="O86" s="5"/>
      <c r="Q86" s="5"/>
      <c r="R86" s="5"/>
      <c r="S86" s="5"/>
      <c r="T86" s="5"/>
      <c r="U86" s="5"/>
    </row>
    <row r="87" spans="2:26">
      <c r="B87" s="5"/>
      <c r="C87" s="5"/>
      <c r="D87" s="248"/>
      <c r="E87" s="248"/>
      <c r="F87" s="248"/>
      <c r="G87" s="248"/>
      <c r="H87" s="248"/>
      <c r="I87" s="5"/>
      <c r="J87" s="5"/>
      <c r="K87" s="5"/>
      <c r="L87" s="5"/>
      <c r="M87" s="5"/>
      <c r="N87" s="5"/>
      <c r="O87" s="5"/>
      <c r="Q87" s="5"/>
      <c r="R87" s="5"/>
      <c r="S87" s="5"/>
      <c r="T87" s="5"/>
      <c r="U87" s="5"/>
    </row>
    <row r="88" spans="2:26">
      <c r="B88" s="41"/>
      <c r="C88" s="5"/>
      <c r="D88" s="5"/>
      <c r="E88" s="5"/>
      <c r="F88" s="5"/>
      <c r="G88" s="5"/>
      <c r="H88" s="5"/>
      <c r="I88" s="5"/>
      <c r="J88" s="5"/>
      <c r="K88" s="5"/>
      <c r="L88" s="5"/>
      <c r="M88" s="5"/>
      <c r="N88" s="5"/>
      <c r="O88" s="5"/>
      <c r="Q88" s="5"/>
      <c r="R88" s="5"/>
      <c r="S88" s="5"/>
      <c r="T88" s="5"/>
      <c r="U88" s="5"/>
    </row>
    <row r="89" spans="2:26">
      <c r="B89" s="41"/>
      <c r="C89" s="5"/>
      <c r="D89" s="5"/>
      <c r="E89" s="5"/>
      <c r="F89" s="5"/>
      <c r="G89" s="5"/>
      <c r="H89" s="5"/>
      <c r="I89" s="49"/>
      <c r="J89" s="5"/>
      <c r="K89" s="5"/>
      <c r="L89" s="5"/>
      <c r="M89" s="5"/>
      <c r="N89" s="5"/>
      <c r="O89" s="5"/>
      <c r="Q89" s="41"/>
      <c r="R89" s="5"/>
      <c r="S89" s="5"/>
      <c r="T89" s="5"/>
      <c r="U89" s="5"/>
    </row>
    <row r="90" spans="2:26">
      <c r="B90" s="41"/>
      <c r="C90" s="5"/>
      <c r="D90" s="5"/>
      <c r="E90" s="5"/>
      <c r="F90" s="5"/>
      <c r="G90" s="5"/>
      <c r="H90" s="5"/>
      <c r="I90" s="5"/>
      <c r="J90" s="5"/>
      <c r="K90" s="5"/>
      <c r="L90" s="5"/>
      <c r="M90" s="5"/>
      <c r="N90" s="5"/>
      <c r="O90" s="5"/>
      <c r="Q90" s="5"/>
      <c r="R90" s="5"/>
      <c r="S90" s="5"/>
      <c r="T90" s="5"/>
      <c r="U90" s="5"/>
    </row>
    <row r="91" spans="2:26">
      <c r="B91" s="5"/>
      <c r="C91" s="5"/>
      <c r="D91" s="5"/>
      <c r="E91" s="5"/>
      <c r="F91" s="5"/>
      <c r="G91" s="5"/>
      <c r="H91" s="5"/>
      <c r="I91" s="247"/>
      <c r="J91" s="49"/>
      <c r="K91" s="49"/>
      <c r="L91" s="49"/>
      <c r="M91" s="49"/>
      <c r="N91" s="49"/>
      <c r="O91" s="49"/>
      <c r="Q91" s="5"/>
      <c r="R91" s="5"/>
      <c r="S91" s="5"/>
      <c r="T91" s="5"/>
      <c r="U91" s="5"/>
      <c r="W91" s="21"/>
      <c r="X91" s="21"/>
    </row>
    <row r="92" spans="2:26">
      <c r="B92" s="41"/>
      <c r="C92" s="49"/>
      <c r="D92" s="49"/>
      <c r="E92" s="49"/>
      <c r="F92" s="49"/>
      <c r="G92" s="49"/>
      <c r="H92" s="49"/>
      <c r="I92" s="247"/>
      <c r="J92" s="5"/>
      <c r="K92" s="5"/>
      <c r="L92" s="5"/>
      <c r="M92" s="5"/>
      <c r="N92" s="5"/>
      <c r="O92" s="5"/>
      <c r="Q92" s="5"/>
      <c r="R92" s="5"/>
      <c r="S92" s="5"/>
      <c r="T92" s="5"/>
      <c r="U92" s="5"/>
      <c r="W92" s="21"/>
      <c r="X92" s="21"/>
      <c r="Y92" s="21"/>
      <c r="Z92" s="21"/>
    </row>
    <row r="93" spans="2:26">
      <c r="B93" s="5"/>
      <c r="C93" s="5"/>
      <c r="D93" s="5"/>
      <c r="E93" s="5"/>
      <c r="F93" s="5"/>
      <c r="G93" s="5"/>
      <c r="H93" s="5"/>
      <c r="I93" s="247"/>
      <c r="J93" s="247"/>
      <c r="K93" s="247"/>
      <c r="L93" s="247"/>
      <c r="M93" s="247"/>
      <c r="N93" s="247"/>
      <c r="O93" s="248"/>
      <c r="Q93" s="5"/>
      <c r="R93" s="5"/>
      <c r="S93" s="5"/>
      <c r="T93" s="5"/>
      <c r="U93" s="5"/>
      <c r="Y93" s="21"/>
      <c r="Z93" s="21"/>
    </row>
    <row r="94" spans="2:26">
      <c r="B94" s="5"/>
      <c r="C94" s="259"/>
      <c r="D94" s="247"/>
      <c r="E94" s="247"/>
      <c r="F94" s="247"/>
      <c r="G94" s="247"/>
      <c r="H94" s="247"/>
      <c r="I94" s="248"/>
      <c r="J94" s="247"/>
      <c r="K94" s="247"/>
      <c r="L94" s="247"/>
      <c r="M94" s="247"/>
      <c r="N94" s="247"/>
      <c r="O94" s="248"/>
      <c r="Q94" s="5"/>
      <c r="R94" s="5"/>
      <c r="S94" s="5"/>
      <c r="T94" s="5"/>
      <c r="U94" s="5"/>
    </row>
    <row r="95" spans="2:26">
      <c r="B95" s="5"/>
      <c r="C95" s="259"/>
      <c r="D95" s="247"/>
      <c r="E95" s="247"/>
      <c r="F95" s="247"/>
      <c r="G95" s="247"/>
      <c r="H95" s="247"/>
      <c r="I95" s="247"/>
      <c r="J95" s="247"/>
      <c r="K95" s="247"/>
      <c r="L95" s="247"/>
      <c r="M95" s="247"/>
      <c r="N95" s="247"/>
      <c r="O95" s="248"/>
      <c r="Q95" s="5"/>
      <c r="R95" s="5"/>
      <c r="S95" s="5"/>
      <c r="T95" s="5"/>
      <c r="U95" s="5"/>
    </row>
    <row r="96" spans="2:26">
      <c r="B96" s="5"/>
      <c r="C96" s="259"/>
      <c r="D96" s="247"/>
      <c r="E96" s="247"/>
      <c r="F96" s="247"/>
      <c r="G96" s="247"/>
      <c r="H96" s="247"/>
      <c r="I96" s="249"/>
      <c r="J96" s="248"/>
      <c r="K96" s="248"/>
      <c r="L96" s="248"/>
      <c r="M96" s="248"/>
      <c r="N96" s="248"/>
      <c r="O96" s="248"/>
      <c r="Q96" s="5"/>
      <c r="R96" s="5"/>
      <c r="S96" s="5"/>
      <c r="T96" s="5"/>
      <c r="U96" s="5"/>
    </row>
    <row r="97" spans="2:21">
      <c r="B97" s="5"/>
      <c r="C97" s="259"/>
      <c r="D97" s="248"/>
      <c r="E97" s="248"/>
      <c r="F97" s="248"/>
      <c r="G97" s="248"/>
      <c r="H97" s="248"/>
      <c r="I97" s="248"/>
      <c r="J97" s="247"/>
      <c r="K97" s="247"/>
      <c r="L97" s="247"/>
      <c r="M97" s="247"/>
      <c r="N97" s="247"/>
      <c r="O97" s="248"/>
      <c r="Q97" s="5"/>
      <c r="R97" s="5"/>
      <c r="S97" s="5"/>
      <c r="T97" s="5"/>
      <c r="U97" s="5"/>
    </row>
    <row r="98" spans="2:21">
      <c r="B98" s="5"/>
      <c r="C98" s="259"/>
      <c r="D98" s="247"/>
      <c r="E98" s="247"/>
      <c r="F98" s="247"/>
      <c r="G98" s="247"/>
      <c r="H98" s="247"/>
      <c r="I98" s="5"/>
      <c r="J98" s="249"/>
      <c r="K98" s="249"/>
      <c r="L98" s="249"/>
      <c r="M98" s="249"/>
      <c r="N98" s="249"/>
      <c r="O98" s="248"/>
      <c r="Q98" s="5"/>
      <c r="R98" s="5"/>
      <c r="S98" s="5"/>
      <c r="T98" s="5"/>
      <c r="U98" s="5"/>
    </row>
    <row r="99" spans="2:21">
      <c r="B99" s="41"/>
      <c r="C99" s="249"/>
      <c r="D99" s="249"/>
      <c r="E99" s="249"/>
      <c r="F99" s="249"/>
      <c r="G99" s="249"/>
      <c r="H99" s="249"/>
      <c r="I99" s="259"/>
      <c r="J99" s="248"/>
      <c r="K99" s="248"/>
      <c r="L99" s="248"/>
      <c r="M99" s="248"/>
      <c r="N99" s="248"/>
      <c r="O99" s="248"/>
      <c r="Q99" s="5"/>
      <c r="R99" s="5"/>
      <c r="S99" s="5"/>
      <c r="T99" s="5"/>
      <c r="U99" s="5"/>
    </row>
    <row r="100" spans="2:21" s="5" customFormat="1">
      <c r="B100" s="41"/>
      <c r="C100" s="257"/>
      <c r="D100" s="248"/>
      <c r="E100" s="248"/>
      <c r="F100" s="248"/>
      <c r="G100" s="248"/>
      <c r="H100" s="248"/>
      <c r="I100" s="259"/>
      <c r="O100" s="248"/>
      <c r="P100" s="39"/>
    </row>
    <row r="101" spans="2:21">
      <c r="B101" s="41"/>
      <c r="C101" s="5"/>
      <c r="D101" s="5"/>
      <c r="E101" s="5"/>
      <c r="F101" s="5"/>
      <c r="G101" s="5"/>
      <c r="H101" s="5"/>
      <c r="I101" s="247"/>
      <c r="J101" s="259"/>
      <c r="K101" s="259"/>
      <c r="L101" s="259"/>
      <c r="M101" s="259"/>
      <c r="N101" s="259"/>
      <c r="O101" s="5"/>
      <c r="Q101" s="5"/>
      <c r="R101" s="5"/>
      <c r="S101" s="5"/>
      <c r="T101" s="5"/>
      <c r="U101" s="5"/>
    </row>
    <row r="102" spans="2:21">
      <c r="B102" s="5"/>
      <c r="C102" s="259"/>
      <c r="D102" s="259"/>
      <c r="E102" s="259"/>
      <c r="F102" s="259"/>
      <c r="G102" s="259"/>
      <c r="H102" s="259"/>
      <c r="I102" s="5"/>
      <c r="J102" s="259"/>
      <c r="K102" s="259"/>
      <c r="L102" s="259"/>
      <c r="M102" s="259"/>
      <c r="N102" s="259"/>
      <c r="O102" s="5"/>
      <c r="P102" s="5"/>
      <c r="Q102" s="5"/>
      <c r="R102" s="5"/>
      <c r="S102" s="5"/>
      <c r="T102" s="5"/>
      <c r="U102" s="5"/>
    </row>
    <row r="103" spans="2:21">
      <c r="B103" s="5"/>
      <c r="C103" s="259"/>
      <c r="D103" s="259"/>
      <c r="E103" s="259"/>
      <c r="F103" s="259"/>
      <c r="G103" s="259"/>
      <c r="H103" s="259"/>
      <c r="I103" s="247"/>
      <c r="J103" s="247"/>
      <c r="K103" s="247"/>
      <c r="L103" s="247"/>
      <c r="M103" s="247"/>
      <c r="N103" s="247"/>
      <c r="O103" s="5"/>
      <c r="Q103" s="5"/>
      <c r="R103" s="5"/>
      <c r="S103" s="5"/>
      <c r="T103" s="5"/>
      <c r="U103" s="5"/>
    </row>
    <row r="104" spans="2:21" s="5" customFormat="1">
      <c r="C104" s="247"/>
      <c r="D104" s="247"/>
      <c r="E104" s="247"/>
      <c r="F104" s="247"/>
      <c r="G104" s="247"/>
      <c r="H104" s="247"/>
      <c r="P104" s="39"/>
    </row>
    <row r="105" spans="2:21" s="5" customFormat="1">
      <c r="I105" s="259"/>
      <c r="J105" s="247"/>
      <c r="K105" s="247"/>
      <c r="L105" s="247"/>
      <c r="M105" s="247"/>
      <c r="N105" s="247"/>
      <c r="P105" s="39"/>
    </row>
    <row r="106" spans="2:21">
      <c r="B106" s="5"/>
      <c r="C106" s="259"/>
      <c r="D106" s="247"/>
      <c r="E106" s="247"/>
      <c r="F106" s="247"/>
      <c r="G106" s="247"/>
      <c r="H106" s="247"/>
      <c r="I106" s="247"/>
      <c r="J106" s="5"/>
      <c r="K106" s="5"/>
      <c r="L106" s="5"/>
      <c r="M106" s="5"/>
      <c r="N106" s="5"/>
      <c r="O106" s="5"/>
      <c r="P106" s="5"/>
      <c r="Q106" s="5"/>
      <c r="R106" s="5"/>
      <c r="S106" s="5"/>
      <c r="T106" s="5"/>
      <c r="U106" s="5"/>
    </row>
    <row r="107" spans="2:21">
      <c r="B107" s="5"/>
      <c r="C107" s="259"/>
      <c r="D107" s="5"/>
      <c r="E107" s="5"/>
      <c r="F107" s="5"/>
      <c r="G107" s="5"/>
      <c r="H107" s="5"/>
      <c r="I107" s="249"/>
      <c r="J107" s="259"/>
      <c r="K107" s="259"/>
      <c r="L107" s="259"/>
      <c r="M107" s="259"/>
      <c r="N107" s="259"/>
      <c r="O107" s="5"/>
      <c r="P107" s="5"/>
      <c r="Q107" s="5"/>
      <c r="R107" s="5"/>
      <c r="S107" s="5"/>
      <c r="T107" s="5"/>
      <c r="U107" s="5"/>
    </row>
    <row r="108" spans="2:21">
      <c r="B108" s="5"/>
      <c r="C108" s="259"/>
      <c r="D108" s="259"/>
      <c r="E108" s="259"/>
      <c r="F108" s="259"/>
      <c r="G108" s="259"/>
      <c r="H108" s="259"/>
      <c r="I108" s="249"/>
      <c r="J108" s="247"/>
      <c r="K108" s="247"/>
      <c r="L108" s="247"/>
      <c r="M108" s="247"/>
      <c r="N108" s="247"/>
      <c r="O108" s="5"/>
      <c r="Q108" s="5"/>
      <c r="R108" s="5"/>
      <c r="S108" s="5"/>
      <c r="T108" s="5"/>
      <c r="U108" s="5"/>
    </row>
    <row r="109" spans="2:21">
      <c r="B109" s="5"/>
      <c r="C109" s="247"/>
      <c r="D109" s="247"/>
      <c r="E109" s="247"/>
      <c r="F109" s="247"/>
      <c r="G109" s="247"/>
      <c r="H109" s="247"/>
      <c r="I109" s="247"/>
      <c r="J109" s="249"/>
      <c r="K109" s="249"/>
      <c r="L109" s="249"/>
      <c r="M109" s="249"/>
      <c r="N109" s="249"/>
      <c r="O109" s="5"/>
      <c r="Q109" s="5"/>
      <c r="R109" s="5"/>
      <c r="S109" s="5"/>
      <c r="T109" s="5"/>
      <c r="U109" s="5"/>
    </row>
    <row r="110" spans="2:21">
      <c r="B110" s="41"/>
      <c r="C110" s="249"/>
      <c r="D110" s="249"/>
      <c r="E110" s="249"/>
      <c r="F110" s="249"/>
      <c r="G110" s="249"/>
      <c r="H110" s="249"/>
      <c r="I110" s="5"/>
      <c r="J110" s="249"/>
      <c r="K110" s="249"/>
      <c r="L110" s="249"/>
      <c r="M110" s="249"/>
      <c r="N110" s="249"/>
      <c r="O110" s="5"/>
      <c r="Q110" s="5"/>
      <c r="R110" s="5"/>
      <c r="S110" s="5"/>
      <c r="T110" s="5"/>
      <c r="U110" s="5"/>
    </row>
    <row r="111" spans="2:21">
      <c r="B111" s="5"/>
      <c r="C111" s="249"/>
      <c r="D111" s="249"/>
      <c r="E111" s="249"/>
      <c r="F111" s="249"/>
      <c r="G111" s="249"/>
      <c r="H111" s="249"/>
      <c r="I111" s="5"/>
      <c r="J111" s="247"/>
      <c r="K111" s="247"/>
      <c r="L111" s="247"/>
      <c r="M111" s="247"/>
      <c r="N111" s="247"/>
      <c r="O111" s="5"/>
      <c r="Q111" s="5"/>
      <c r="R111" s="5"/>
      <c r="S111" s="5"/>
      <c r="T111" s="5"/>
      <c r="U111" s="5"/>
    </row>
    <row r="112" spans="2:21">
      <c r="B112" s="5"/>
      <c r="C112" s="247"/>
      <c r="D112" s="247"/>
      <c r="E112" s="247"/>
      <c r="F112" s="247"/>
      <c r="G112" s="247"/>
      <c r="H112" s="247"/>
      <c r="I112" s="5"/>
      <c r="J112" s="5"/>
      <c r="K112" s="5"/>
      <c r="L112" s="5"/>
      <c r="M112" s="5"/>
      <c r="N112" s="5"/>
      <c r="O112" s="5"/>
      <c r="Q112" s="5"/>
      <c r="R112" s="5"/>
      <c r="S112" s="5"/>
      <c r="T112" s="5"/>
      <c r="U112" s="5"/>
    </row>
    <row r="113" spans="2:21">
      <c r="B113" s="5"/>
      <c r="C113" s="5"/>
      <c r="D113" s="5"/>
      <c r="E113" s="5"/>
      <c r="F113" s="5"/>
      <c r="G113" s="5"/>
      <c r="H113" s="5"/>
      <c r="I113" s="5"/>
      <c r="J113" s="5"/>
      <c r="K113" s="5"/>
      <c r="L113" s="5"/>
      <c r="M113" s="5"/>
      <c r="N113" s="5"/>
      <c r="O113" s="5"/>
      <c r="Q113" s="5"/>
      <c r="R113" s="5"/>
      <c r="S113" s="5"/>
      <c r="T113" s="5"/>
      <c r="U113" s="5"/>
    </row>
    <row r="114" spans="2:21">
      <c r="B114" s="5"/>
      <c r="C114" s="5"/>
      <c r="D114" s="5"/>
      <c r="E114" s="5"/>
      <c r="F114" s="5"/>
      <c r="G114" s="5"/>
      <c r="H114" s="5"/>
      <c r="I114" s="49"/>
      <c r="J114" s="5"/>
      <c r="K114" s="5"/>
      <c r="L114" s="5"/>
      <c r="M114" s="5"/>
      <c r="N114" s="5"/>
      <c r="O114" s="5"/>
      <c r="Q114" s="41"/>
      <c r="R114" s="5"/>
      <c r="S114" s="5"/>
      <c r="T114" s="5"/>
      <c r="U114" s="5"/>
    </row>
    <row r="115" spans="2:21">
      <c r="B115" s="5"/>
      <c r="C115" s="5"/>
      <c r="D115" s="5"/>
      <c r="E115" s="5"/>
      <c r="F115" s="5"/>
      <c r="G115" s="5"/>
      <c r="H115" s="5"/>
      <c r="I115" s="5"/>
      <c r="J115" s="5"/>
      <c r="K115" s="5"/>
      <c r="L115" s="5"/>
      <c r="M115" s="5"/>
      <c r="N115" s="5"/>
      <c r="O115" s="5"/>
      <c r="Q115" s="5"/>
      <c r="R115" s="5"/>
      <c r="S115" s="5"/>
      <c r="T115" s="5"/>
      <c r="U115" s="5"/>
    </row>
    <row r="116" spans="2:21">
      <c r="B116" s="5"/>
      <c r="C116" s="5"/>
      <c r="D116" s="5"/>
      <c r="E116" s="5"/>
      <c r="F116" s="5"/>
      <c r="G116" s="5"/>
      <c r="H116" s="5"/>
      <c r="I116" s="254"/>
      <c r="J116" s="49"/>
      <c r="K116" s="49"/>
      <c r="L116" s="49"/>
      <c r="M116" s="49"/>
      <c r="N116" s="49"/>
      <c r="O116" s="49"/>
      <c r="Q116" s="5"/>
      <c r="R116" s="5"/>
      <c r="S116" s="5"/>
      <c r="T116" s="5"/>
      <c r="U116" s="5"/>
    </row>
    <row r="117" spans="2:21">
      <c r="B117" s="41"/>
      <c r="C117" s="49"/>
      <c r="D117" s="49"/>
      <c r="E117" s="49"/>
      <c r="F117" s="49"/>
      <c r="G117" s="49"/>
      <c r="H117" s="49"/>
      <c r="I117" s="249"/>
      <c r="J117" s="5"/>
      <c r="K117" s="5"/>
      <c r="L117" s="5"/>
      <c r="M117" s="5"/>
      <c r="N117" s="5"/>
      <c r="O117" s="5"/>
      <c r="Q117" s="5"/>
      <c r="R117" s="5"/>
      <c r="S117" s="5"/>
      <c r="T117" s="5"/>
      <c r="U117" s="5"/>
    </row>
    <row r="118" spans="2:21">
      <c r="B118" s="5"/>
      <c r="C118" s="5"/>
      <c r="D118" s="5"/>
      <c r="E118" s="5"/>
      <c r="F118" s="5"/>
      <c r="G118" s="5"/>
      <c r="H118" s="5"/>
      <c r="I118" s="254"/>
      <c r="J118" s="254"/>
      <c r="K118" s="254"/>
      <c r="L118" s="254"/>
      <c r="M118" s="254"/>
      <c r="N118" s="254"/>
      <c r="O118" s="248"/>
      <c r="Q118" s="5"/>
      <c r="R118" s="5"/>
      <c r="S118" s="5"/>
      <c r="T118" s="5"/>
      <c r="U118" s="5"/>
    </row>
    <row r="119" spans="2:21">
      <c r="B119" s="41"/>
      <c r="C119" s="254"/>
      <c r="D119" s="254"/>
      <c r="E119" s="254"/>
      <c r="F119" s="254"/>
      <c r="G119" s="254"/>
      <c r="H119" s="254"/>
      <c r="I119" s="254"/>
      <c r="J119" s="249"/>
      <c r="K119" s="249"/>
      <c r="L119" s="249"/>
      <c r="M119" s="249"/>
      <c r="N119" s="249"/>
      <c r="O119" s="248"/>
      <c r="Q119" s="5"/>
      <c r="R119" s="5"/>
      <c r="S119" s="5"/>
      <c r="T119" s="5"/>
      <c r="U119" s="5"/>
    </row>
    <row r="120" spans="2:21">
      <c r="B120" s="41"/>
      <c r="C120" s="254"/>
      <c r="D120" s="249"/>
      <c r="E120" s="249"/>
      <c r="F120" s="249"/>
      <c r="G120" s="249"/>
      <c r="H120" s="249"/>
      <c r="I120" s="254"/>
      <c r="J120" s="254"/>
      <c r="K120" s="254"/>
      <c r="L120" s="254"/>
      <c r="M120" s="254"/>
      <c r="N120" s="254"/>
      <c r="O120" s="248"/>
      <c r="Q120" s="5"/>
      <c r="R120" s="5"/>
      <c r="S120" s="5"/>
      <c r="T120" s="5"/>
      <c r="U120" s="5"/>
    </row>
    <row r="121" spans="2:21">
      <c r="B121" s="41"/>
      <c r="C121" s="254"/>
      <c r="D121" s="254"/>
      <c r="E121" s="254"/>
      <c r="F121" s="254"/>
      <c r="G121" s="254"/>
      <c r="H121" s="254"/>
      <c r="I121" s="254"/>
      <c r="J121" s="254"/>
      <c r="K121" s="254"/>
      <c r="L121" s="254"/>
      <c r="M121" s="254"/>
      <c r="N121" s="254"/>
      <c r="O121" s="248"/>
      <c r="Q121" s="5"/>
      <c r="R121" s="5"/>
      <c r="S121" s="5"/>
      <c r="T121" s="5"/>
      <c r="U121" s="5"/>
    </row>
    <row r="122" spans="2:21">
      <c r="B122" s="41"/>
      <c r="C122" s="254"/>
      <c r="D122" s="254"/>
      <c r="E122" s="254"/>
      <c r="F122" s="254"/>
      <c r="G122" s="254"/>
      <c r="H122" s="254"/>
      <c r="I122" s="254"/>
      <c r="J122" s="254"/>
      <c r="K122" s="254"/>
      <c r="L122" s="254"/>
      <c r="M122" s="254"/>
      <c r="N122" s="254"/>
      <c r="O122" s="248"/>
      <c r="Q122" s="5"/>
      <c r="R122" s="5"/>
      <c r="S122" s="5"/>
      <c r="T122" s="5"/>
      <c r="U122" s="5"/>
    </row>
    <row r="123" spans="2:21">
      <c r="B123" s="41"/>
      <c r="C123" s="254"/>
      <c r="D123" s="254"/>
      <c r="E123" s="254"/>
      <c r="F123" s="254"/>
      <c r="G123" s="254"/>
      <c r="H123" s="254"/>
      <c r="I123" s="254"/>
      <c r="J123" s="254"/>
      <c r="K123" s="254"/>
      <c r="L123" s="254"/>
      <c r="M123" s="254"/>
      <c r="N123" s="254"/>
      <c r="O123" s="248"/>
      <c r="Q123" s="5"/>
      <c r="R123" s="5"/>
      <c r="S123" s="5"/>
      <c r="T123" s="5"/>
      <c r="U123" s="5"/>
    </row>
    <row r="124" spans="2:21">
      <c r="B124" s="41"/>
      <c r="C124" s="254"/>
      <c r="D124" s="254"/>
      <c r="E124" s="254"/>
      <c r="F124" s="254"/>
      <c r="G124" s="254"/>
      <c r="H124" s="254"/>
      <c r="I124" s="254"/>
      <c r="J124" s="254"/>
      <c r="K124" s="254"/>
      <c r="L124" s="254"/>
      <c r="M124" s="254"/>
      <c r="N124" s="254"/>
      <c r="O124" s="5"/>
      <c r="Q124" s="5"/>
      <c r="R124" s="5"/>
      <c r="S124" s="5"/>
      <c r="T124" s="5"/>
      <c r="U124" s="5"/>
    </row>
    <row r="125" spans="2:21">
      <c r="B125" s="41"/>
      <c r="C125" s="254"/>
      <c r="D125" s="254"/>
      <c r="E125" s="254"/>
      <c r="F125" s="254"/>
      <c r="G125" s="254"/>
      <c r="H125" s="254"/>
      <c r="I125" s="254"/>
      <c r="J125" s="254"/>
      <c r="K125" s="254"/>
      <c r="L125" s="254"/>
      <c r="M125" s="254"/>
      <c r="N125" s="254"/>
      <c r="O125" s="5"/>
      <c r="Q125" s="5"/>
      <c r="R125" s="5"/>
      <c r="S125" s="5"/>
      <c r="T125" s="5"/>
      <c r="U125" s="5"/>
    </row>
    <row r="126" spans="2:21">
      <c r="B126" s="41"/>
      <c r="C126" s="254"/>
      <c r="D126" s="254"/>
      <c r="E126" s="254"/>
      <c r="F126" s="254"/>
      <c r="G126" s="254"/>
      <c r="H126" s="254"/>
      <c r="I126" s="18"/>
      <c r="J126" s="254"/>
      <c r="K126" s="254"/>
      <c r="L126" s="254"/>
      <c r="M126" s="254"/>
      <c r="N126" s="254"/>
      <c r="O126" s="5"/>
      <c r="Q126" s="5"/>
      <c r="R126" s="5"/>
      <c r="S126" s="5"/>
      <c r="T126" s="5"/>
      <c r="U126" s="5"/>
    </row>
    <row r="127" spans="2:21">
      <c r="B127" s="41"/>
      <c r="C127" s="254"/>
      <c r="D127" s="254"/>
      <c r="E127" s="254"/>
      <c r="F127" s="254"/>
      <c r="G127" s="254"/>
      <c r="H127" s="254"/>
      <c r="I127" s="5"/>
      <c r="J127" s="254"/>
      <c r="K127" s="254"/>
      <c r="L127" s="254"/>
      <c r="M127" s="254"/>
      <c r="N127" s="254"/>
      <c r="O127" s="5"/>
      <c r="Q127" s="5"/>
      <c r="R127" s="5"/>
      <c r="S127" s="5"/>
      <c r="T127" s="5"/>
      <c r="U127" s="5"/>
    </row>
    <row r="128" spans="2:21">
      <c r="B128" s="41"/>
      <c r="C128" s="254"/>
      <c r="D128" s="254"/>
      <c r="E128" s="254"/>
      <c r="F128" s="254"/>
      <c r="G128" s="254"/>
      <c r="H128" s="254"/>
      <c r="I128" s="254"/>
      <c r="J128" s="18"/>
      <c r="K128" s="18"/>
      <c r="L128" s="18"/>
      <c r="M128" s="18"/>
      <c r="N128" s="18"/>
      <c r="O128" s="5"/>
      <c r="Q128" s="5"/>
      <c r="R128" s="5"/>
      <c r="S128" s="5"/>
      <c r="T128" s="5"/>
      <c r="U128" s="5"/>
    </row>
    <row r="129" spans="2:27">
      <c r="B129" s="5"/>
      <c r="C129" s="5"/>
      <c r="D129" s="18"/>
      <c r="E129" s="18"/>
      <c r="F129" s="18"/>
      <c r="G129" s="18"/>
      <c r="H129" s="18"/>
      <c r="I129" s="18"/>
      <c r="J129" s="5"/>
      <c r="K129" s="5"/>
      <c r="L129" s="5"/>
      <c r="M129" s="5"/>
      <c r="N129" s="5"/>
      <c r="O129" s="5"/>
      <c r="Q129" s="5"/>
      <c r="R129" s="5"/>
      <c r="S129" s="5"/>
      <c r="T129" s="5"/>
      <c r="U129" s="5"/>
    </row>
    <row r="130" spans="2:27">
      <c r="B130" s="5"/>
      <c r="C130" s="5"/>
      <c r="D130" s="5"/>
      <c r="E130" s="5"/>
      <c r="F130" s="5"/>
      <c r="G130" s="5"/>
      <c r="H130" s="5"/>
      <c r="I130" s="5"/>
      <c r="J130" s="254"/>
      <c r="K130" s="254"/>
      <c r="L130" s="254"/>
      <c r="M130" s="254"/>
      <c r="N130" s="254"/>
      <c r="O130" s="5"/>
      <c r="Q130" s="5"/>
      <c r="R130" s="5"/>
      <c r="S130" s="5"/>
      <c r="T130" s="5"/>
      <c r="U130" s="5"/>
    </row>
    <row r="131" spans="2:27">
      <c r="B131" s="41"/>
      <c r="C131" s="254"/>
      <c r="D131" s="254"/>
      <c r="E131" s="254"/>
      <c r="F131" s="254"/>
      <c r="G131" s="254"/>
      <c r="H131" s="254"/>
      <c r="I131" s="5"/>
      <c r="J131" s="18"/>
      <c r="K131" s="18"/>
      <c r="L131" s="18"/>
      <c r="M131" s="18"/>
      <c r="N131" s="18"/>
      <c r="O131" s="5"/>
      <c r="Q131" s="5"/>
      <c r="R131" s="5"/>
      <c r="S131" s="5"/>
      <c r="T131" s="5"/>
      <c r="U131" s="5"/>
    </row>
    <row r="132" spans="2:27">
      <c r="B132" s="5"/>
      <c r="C132" s="259"/>
      <c r="D132" s="18"/>
      <c r="E132" s="18"/>
      <c r="F132" s="18"/>
      <c r="G132" s="18"/>
      <c r="H132" s="18"/>
      <c r="I132" s="17"/>
      <c r="J132" s="5"/>
      <c r="K132" s="5"/>
      <c r="L132" s="5"/>
      <c r="M132" s="5"/>
      <c r="N132" s="5"/>
      <c r="O132" s="5"/>
      <c r="Q132" s="5"/>
      <c r="R132" s="5"/>
      <c r="S132" s="5"/>
      <c r="T132" s="5"/>
      <c r="U132" s="5"/>
    </row>
    <row r="133" spans="2:27">
      <c r="B133" s="5"/>
      <c r="C133" s="5"/>
      <c r="D133" s="5"/>
      <c r="E133" s="5"/>
      <c r="F133" s="5"/>
      <c r="G133" s="5"/>
      <c r="H133" s="5"/>
      <c r="I133" s="17"/>
      <c r="J133" s="5"/>
      <c r="K133" s="5"/>
      <c r="L133" s="5"/>
      <c r="M133" s="5"/>
      <c r="N133" s="5"/>
      <c r="O133" s="5"/>
      <c r="Q133" s="5"/>
      <c r="R133" s="5"/>
      <c r="S133" s="5"/>
      <c r="T133" s="5"/>
      <c r="U133" s="5"/>
    </row>
    <row r="134" spans="2:27">
      <c r="B134" s="41"/>
      <c r="C134" s="5"/>
      <c r="D134" s="5"/>
      <c r="E134" s="5"/>
      <c r="F134" s="5"/>
      <c r="G134" s="5"/>
      <c r="H134" s="5"/>
      <c r="I134" s="17"/>
      <c r="J134" s="17"/>
      <c r="K134" s="17"/>
      <c r="L134" s="17"/>
      <c r="M134" s="17"/>
      <c r="N134" s="17"/>
      <c r="O134" s="5"/>
      <c r="Q134" s="41"/>
      <c r="R134" s="5"/>
      <c r="S134" s="5"/>
      <c r="T134" s="5"/>
      <c r="U134" s="5"/>
    </row>
    <row r="135" spans="2:27">
      <c r="B135" s="5"/>
      <c r="C135" s="17"/>
      <c r="D135" s="17"/>
      <c r="E135" s="17"/>
      <c r="F135" s="17"/>
      <c r="G135" s="17"/>
      <c r="H135" s="17"/>
      <c r="I135" s="17"/>
      <c r="J135" s="17"/>
      <c r="K135" s="17"/>
      <c r="L135" s="17"/>
      <c r="M135" s="17"/>
      <c r="N135" s="17"/>
      <c r="O135" s="5"/>
      <c r="Q135" s="5"/>
      <c r="R135" s="5"/>
      <c r="S135" s="5"/>
      <c r="T135" s="5"/>
      <c r="U135" s="5"/>
      <c r="X135" s="304"/>
    </row>
    <row r="136" spans="2:27">
      <c r="B136" s="5"/>
      <c r="C136" s="17"/>
      <c r="D136" s="17"/>
      <c r="E136" s="17"/>
      <c r="F136" s="17"/>
      <c r="G136" s="17"/>
      <c r="H136" s="17"/>
      <c r="I136" s="17"/>
      <c r="J136" s="17"/>
      <c r="K136" s="17"/>
      <c r="L136" s="17"/>
      <c r="M136" s="17"/>
      <c r="N136" s="17"/>
      <c r="O136" s="5"/>
      <c r="Q136" s="5"/>
      <c r="R136" s="5"/>
      <c r="S136" s="5"/>
      <c r="T136" s="5"/>
      <c r="U136" s="5"/>
      <c r="X136" s="10"/>
      <c r="Y136" s="304"/>
      <c r="Z136" s="304"/>
      <c r="AA136" s="304"/>
    </row>
    <row r="137" spans="2:27">
      <c r="B137" s="5"/>
      <c r="C137" s="5"/>
      <c r="D137" s="17"/>
      <c r="E137" s="17"/>
      <c r="F137" s="17"/>
      <c r="G137" s="17"/>
      <c r="H137" s="17"/>
      <c r="I137" s="17"/>
      <c r="J137" s="17"/>
      <c r="K137" s="17"/>
      <c r="L137" s="17"/>
      <c r="M137" s="17"/>
      <c r="N137" s="17"/>
      <c r="O137" s="5"/>
      <c r="Q137" s="5"/>
      <c r="R137" s="5"/>
      <c r="S137" s="5"/>
      <c r="T137" s="5"/>
      <c r="U137" s="5"/>
      <c r="Y137" s="10"/>
      <c r="Z137" s="10"/>
      <c r="AA137" s="10"/>
    </row>
    <row r="138" spans="2:27">
      <c r="B138" s="5"/>
      <c r="C138" s="5"/>
      <c r="D138" s="17"/>
      <c r="E138" s="17"/>
      <c r="F138" s="17"/>
      <c r="G138" s="17"/>
      <c r="H138" s="17"/>
      <c r="I138" s="5"/>
      <c r="J138" s="17"/>
      <c r="K138" s="17"/>
      <c r="L138" s="17"/>
      <c r="M138" s="17"/>
      <c r="N138" s="17"/>
      <c r="O138" s="5"/>
      <c r="Q138" s="5"/>
      <c r="R138" s="5"/>
      <c r="S138" s="5"/>
      <c r="T138" s="5"/>
      <c r="U138" s="5"/>
    </row>
    <row r="139" spans="2:27">
      <c r="B139" s="5"/>
      <c r="C139" s="5"/>
      <c r="D139" s="17"/>
      <c r="E139" s="17"/>
      <c r="F139" s="17"/>
      <c r="G139" s="17"/>
      <c r="H139" s="17"/>
      <c r="I139" s="5"/>
      <c r="J139" s="17"/>
      <c r="K139" s="17"/>
      <c r="L139" s="17"/>
      <c r="M139" s="17"/>
      <c r="N139" s="17"/>
      <c r="O139" s="5"/>
      <c r="Q139" s="5"/>
      <c r="R139" s="5"/>
      <c r="S139" s="5"/>
      <c r="T139" s="5"/>
      <c r="U139" s="5"/>
    </row>
    <row r="140" spans="2:27">
      <c r="B140" s="5"/>
      <c r="C140" s="17"/>
      <c r="D140" s="17"/>
      <c r="E140" s="17"/>
      <c r="F140" s="17"/>
      <c r="G140" s="17"/>
      <c r="H140" s="17"/>
      <c r="I140" s="5"/>
      <c r="J140" s="5"/>
      <c r="K140" s="5"/>
      <c r="L140" s="5"/>
      <c r="M140" s="5"/>
      <c r="N140" s="5"/>
      <c r="O140" s="5"/>
      <c r="Q140" s="5"/>
      <c r="R140" s="5"/>
      <c r="S140" s="5"/>
      <c r="T140" s="5"/>
      <c r="U140" s="5"/>
    </row>
    <row r="141" spans="2:27">
      <c r="B141" s="5"/>
      <c r="C141" s="5"/>
      <c r="D141" s="5"/>
      <c r="E141" s="5"/>
      <c r="F141" s="5"/>
      <c r="G141" s="5"/>
      <c r="H141" s="5"/>
      <c r="I141" s="5"/>
      <c r="J141" s="5"/>
      <c r="K141" s="5"/>
      <c r="L141" s="5"/>
      <c r="M141" s="5"/>
      <c r="N141" s="5"/>
      <c r="O141" s="5"/>
      <c r="Q141" s="5"/>
      <c r="R141" s="5"/>
      <c r="S141" s="5"/>
      <c r="T141" s="5"/>
      <c r="U141" s="5"/>
    </row>
    <row r="142" spans="2:27">
      <c r="B142" s="5"/>
      <c r="C142" s="5"/>
      <c r="D142" s="5"/>
      <c r="E142" s="5"/>
      <c r="F142" s="5"/>
      <c r="G142" s="5"/>
      <c r="H142" s="5"/>
      <c r="I142" s="5"/>
      <c r="J142" s="5"/>
      <c r="K142" s="5"/>
      <c r="L142" s="5"/>
      <c r="M142" s="5"/>
      <c r="N142" s="5"/>
      <c r="O142" s="5"/>
      <c r="Q142" s="5"/>
      <c r="R142" s="5"/>
      <c r="S142" s="5"/>
      <c r="T142" s="5"/>
      <c r="U142" s="5"/>
    </row>
    <row r="143" spans="2:27">
      <c r="B143" s="5"/>
      <c r="C143" s="5"/>
      <c r="D143" s="5"/>
      <c r="E143" s="5"/>
      <c r="F143" s="5"/>
      <c r="G143" s="5"/>
      <c r="H143" s="5"/>
      <c r="I143" s="5"/>
      <c r="J143" s="5"/>
      <c r="K143" s="5"/>
      <c r="L143" s="5"/>
      <c r="M143" s="5"/>
      <c r="N143" s="5"/>
      <c r="O143" s="5"/>
      <c r="Q143" s="5"/>
      <c r="R143" s="5"/>
      <c r="S143" s="5"/>
      <c r="T143" s="5"/>
      <c r="U143" s="5"/>
    </row>
    <row r="144" spans="2:27">
      <c r="B144" s="5"/>
      <c r="C144" s="5"/>
      <c r="D144" s="5"/>
      <c r="E144" s="5"/>
      <c r="F144" s="5"/>
      <c r="G144" s="5"/>
      <c r="H144" s="5"/>
      <c r="I144" s="5"/>
      <c r="J144" s="5"/>
      <c r="K144" s="5"/>
      <c r="L144" s="5"/>
      <c r="M144" s="5"/>
      <c r="N144" s="5"/>
      <c r="O144" s="5"/>
      <c r="Q144" s="5"/>
      <c r="R144" s="5"/>
      <c r="S144" s="5"/>
      <c r="T144" s="5"/>
      <c r="U144" s="5"/>
    </row>
    <row r="145" spans="2:21">
      <c r="B145" s="5"/>
      <c r="C145" s="5"/>
      <c r="D145" s="5"/>
      <c r="E145" s="5"/>
      <c r="F145" s="5"/>
      <c r="G145" s="5"/>
      <c r="H145" s="5"/>
      <c r="I145" s="5"/>
      <c r="J145" s="5"/>
      <c r="K145" s="5"/>
      <c r="L145" s="5"/>
      <c r="M145" s="5"/>
      <c r="N145" s="5"/>
      <c r="O145" s="5"/>
      <c r="Q145" s="5"/>
      <c r="R145" s="5"/>
      <c r="S145" s="5"/>
      <c r="T145" s="5"/>
      <c r="U145" s="5"/>
    </row>
    <row r="146" spans="2:21">
      <c r="B146" s="5"/>
      <c r="C146" s="5"/>
      <c r="D146" s="5"/>
      <c r="E146" s="5"/>
      <c r="F146" s="5"/>
      <c r="G146" s="5"/>
      <c r="H146" s="5"/>
      <c r="I146" s="5"/>
      <c r="J146" s="5"/>
      <c r="K146" s="5"/>
      <c r="L146" s="5"/>
      <c r="M146" s="5"/>
      <c r="N146" s="5"/>
      <c r="O146" s="5"/>
      <c r="Q146" s="5"/>
      <c r="R146" s="5"/>
      <c r="S146" s="5"/>
      <c r="T146" s="5"/>
      <c r="U146" s="5"/>
    </row>
    <row r="147" spans="2:21">
      <c r="B147" s="5"/>
      <c r="C147" s="5"/>
      <c r="D147" s="5"/>
      <c r="E147" s="5"/>
      <c r="F147" s="5"/>
      <c r="G147" s="5"/>
      <c r="H147" s="5"/>
      <c r="I147" s="5"/>
      <c r="J147" s="5"/>
      <c r="K147" s="5"/>
      <c r="L147" s="5"/>
      <c r="M147" s="5"/>
      <c r="N147" s="5"/>
      <c r="O147" s="5"/>
      <c r="Q147" s="5"/>
      <c r="R147" s="5"/>
      <c r="S147" s="5"/>
      <c r="T147" s="5"/>
      <c r="U147" s="5"/>
    </row>
    <row r="148" spans="2:21">
      <c r="B148" s="5"/>
      <c r="C148" s="5"/>
      <c r="D148" s="5"/>
      <c r="E148" s="5"/>
      <c r="F148" s="5"/>
      <c r="G148" s="5"/>
      <c r="H148" s="5"/>
      <c r="J148" s="5"/>
      <c r="K148" s="5"/>
      <c r="L148" s="5"/>
      <c r="M148" s="5"/>
      <c r="N148" s="5"/>
      <c r="O148" s="5"/>
      <c r="Q148" s="5"/>
      <c r="R148" s="5"/>
      <c r="S148" s="5"/>
      <c r="T148" s="5"/>
      <c r="U148" s="5"/>
    </row>
    <row r="149" spans="2:21">
      <c r="B149" s="5"/>
      <c r="C149" s="5"/>
      <c r="D149" s="5"/>
      <c r="E149" s="5"/>
      <c r="F149" s="5"/>
      <c r="G149" s="5"/>
      <c r="H149" s="5"/>
      <c r="J149" s="5"/>
      <c r="K149" s="5"/>
      <c r="L149" s="5"/>
      <c r="M149" s="5"/>
      <c r="N149" s="5"/>
      <c r="O149" s="5"/>
      <c r="Q149" s="5"/>
      <c r="R149" s="5"/>
      <c r="S149" s="5"/>
      <c r="T149" s="5"/>
      <c r="U149" s="5"/>
    </row>
    <row r="150" spans="2:21">
      <c r="B150" s="5"/>
      <c r="C150" s="5"/>
      <c r="D150" s="5"/>
      <c r="E150" s="5"/>
      <c r="F150" s="5"/>
      <c r="G150" s="5"/>
      <c r="H150" s="5"/>
      <c r="Q150" s="5"/>
      <c r="R150" s="5"/>
      <c r="S150" s="5"/>
      <c r="T150" s="5"/>
      <c r="U150" s="5"/>
    </row>
    <row r="151" spans="2:21">
      <c r="Q151" s="5"/>
      <c r="R151" s="5"/>
      <c r="S151" s="5"/>
      <c r="T151" s="5"/>
      <c r="U151" s="5"/>
    </row>
    <row r="152" spans="2:21">
      <c r="Q152" s="5"/>
      <c r="R152" s="5"/>
      <c r="S152" s="5"/>
      <c r="T152" s="5"/>
      <c r="U152" s="5"/>
    </row>
    <row r="153" spans="2:21">
      <c r="C153" s="263"/>
      <c r="Q153" s="5"/>
      <c r="R153" s="5"/>
      <c r="S153" s="5"/>
      <c r="T153" s="5"/>
      <c r="U153" s="5"/>
    </row>
    <row r="154" spans="2:21">
      <c r="Q154" s="5"/>
      <c r="R154" s="5"/>
      <c r="S154" s="5"/>
      <c r="T154" s="5"/>
      <c r="U154" s="5"/>
    </row>
    <row r="155" spans="2:21">
      <c r="Q155" s="5"/>
      <c r="R155" s="5"/>
      <c r="S155" s="5"/>
      <c r="T155" s="5"/>
      <c r="U155" s="5"/>
    </row>
    <row r="156" spans="2:21">
      <c r="Q156" s="5"/>
      <c r="R156" s="5"/>
      <c r="S156" s="5"/>
      <c r="T156" s="5"/>
      <c r="U156" s="5"/>
    </row>
    <row r="157" spans="2:21">
      <c r="Q157" s="5"/>
      <c r="R157" s="5"/>
      <c r="S157" s="5"/>
      <c r="T157" s="5"/>
      <c r="U157" s="5"/>
    </row>
    <row r="158" spans="2:21">
      <c r="Q158" s="5"/>
      <c r="R158" s="5"/>
      <c r="S158" s="5"/>
      <c r="T158" s="5"/>
      <c r="U158" s="5"/>
    </row>
    <row r="159" spans="2:21">
      <c r="Q159" s="5"/>
      <c r="R159" s="5"/>
      <c r="S159" s="5"/>
      <c r="T159" s="5"/>
      <c r="U159" s="5"/>
    </row>
    <row r="160" spans="2:21">
      <c r="Q160" s="5"/>
      <c r="R160" s="5"/>
      <c r="S160" s="5"/>
      <c r="T160" s="5"/>
      <c r="U160" s="5"/>
    </row>
    <row r="161" spans="17:21">
      <c r="Q161" s="5"/>
      <c r="R161" s="5"/>
      <c r="S161" s="5"/>
      <c r="T161" s="5"/>
      <c r="U161" s="5"/>
    </row>
    <row r="162" spans="17:21">
      <c r="Q162" s="5"/>
      <c r="R162" s="5"/>
      <c r="S162" s="5"/>
      <c r="T162" s="5"/>
      <c r="U162" s="5"/>
    </row>
    <row r="163" spans="17:21">
      <c r="Q163" s="5"/>
      <c r="R163" s="5"/>
      <c r="S163" s="5"/>
      <c r="T163" s="5"/>
      <c r="U163" s="5"/>
    </row>
    <row r="164" spans="17:21">
      <c r="Q164" s="5"/>
      <c r="R164" s="5"/>
      <c r="S164" s="5"/>
      <c r="T164" s="5"/>
      <c r="U164" s="5"/>
    </row>
  </sheetData>
  <phoneticPr fontId="7" type="noConversion"/>
  <pageMargins left="0.75" right="0.75" top="1" bottom="1" header="0.5" footer="0.5"/>
  <pageSetup scale="70" orientation="landscape" r:id="rId1"/>
  <headerFooter alignWithMargins="0"/>
  <drawing r:id="rId2"/>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E00-000000000000}">
  <sheetPr codeName="Sheet89">
    <tabColor theme="3" tint="0.59999389629810485"/>
    <pageSetUpPr fitToPage="1"/>
  </sheetPr>
  <dimension ref="B1:BK164"/>
  <sheetViews>
    <sheetView showGridLines="0" zoomScale="80" zoomScaleNormal="80" workbookViewId="0"/>
  </sheetViews>
  <sheetFormatPr defaultColWidth="8.88671875" defaultRowHeight="12"/>
  <cols>
    <col min="1" max="1" width="2.33203125" style="39" customWidth="1"/>
    <col min="2" max="2" width="26.6640625" style="39" customWidth="1"/>
    <col min="3" max="9" width="10" style="39" customWidth="1"/>
    <col min="10" max="10" width="26.6640625" style="39" customWidth="1"/>
    <col min="11" max="16" width="10" style="39" customWidth="1"/>
    <col min="17" max="17" width="4.5546875" style="39" customWidth="1"/>
    <col min="18" max="20" width="8.88671875" style="39"/>
    <col min="21" max="21" width="3.6640625" style="39" customWidth="1"/>
    <col min="22" max="63" width="9.109375" style="5" customWidth="1"/>
    <col min="64" max="16384" width="8.88671875" style="39"/>
  </cols>
  <sheetData>
    <row r="1" spans="2:63" s="312" customFormat="1">
      <c r="V1" s="149"/>
      <c r="W1" s="149"/>
      <c r="X1" s="149"/>
      <c r="Y1" s="149"/>
      <c r="Z1" s="149"/>
      <c r="AA1" s="149"/>
      <c r="AB1" s="149"/>
      <c r="AC1" s="149"/>
      <c r="AD1" s="149"/>
      <c r="AE1" s="149"/>
      <c r="AF1" s="149"/>
      <c r="AG1" s="149"/>
      <c r="AH1" s="149"/>
      <c r="AI1" s="149"/>
      <c r="AJ1" s="149"/>
      <c r="AK1" s="149"/>
      <c r="AL1" s="149"/>
      <c r="AM1" s="149"/>
      <c r="AN1" s="149"/>
      <c r="AO1" s="149"/>
      <c r="AP1" s="149"/>
      <c r="AQ1" s="149"/>
      <c r="AR1" s="149"/>
      <c r="AS1" s="149"/>
      <c r="AT1" s="149"/>
      <c r="AU1" s="149"/>
      <c r="AV1" s="149"/>
      <c r="AW1" s="149"/>
      <c r="AX1" s="149"/>
      <c r="AY1" s="149"/>
      <c r="AZ1" s="149"/>
      <c r="BA1" s="149"/>
      <c r="BB1" s="149"/>
      <c r="BC1" s="149"/>
      <c r="BD1" s="149"/>
      <c r="BE1" s="149"/>
      <c r="BF1" s="149"/>
      <c r="BG1" s="149"/>
      <c r="BH1" s="149"/>
      <c r="BI1" s="149"/>
      <c r="BJ1" s="149"/>
      <c r="BK1" s="149"/>
    </row>
    <row r="2" spans="2:63" s="312" customFormat="1">
      <c r="V2" s="149"/>
      <c r="W2" s="149"/>
      <c r="X2" s="149"/>
      <c r="Y2" s="149"/>
      <c r="Z2" s="149"/>
      <c r="AA2" s="149"/>
      <c r="AB2" s="149"/>
      <c r="AC2" s="149"/>
      <c r="AD2" s="149"/>
      <c r="AE2" s="149"/>
      <c r="AF2" s="149"/>
      <c r="AG2" s="149"/>
      <c r="AH2" s="149"/>
      <c r="AI2" s="149"/>
      <c r="AJ2" s="149"/>
      <c r="AK2" s="149"/>
      <c r="AL2" s="149"/>
      <c r="AM2" s="149"/>
      <c r="AN2" s="149"/>
      <c r="AO2" s="149"/>
      <c r="AP2" s="149"/>
      <c r="AQ2" s="149"/>
      <c r="AR2" s="149"/>
      <c r="AS2" s="149"/>
      <c r="AT2" s="149"/>
      <c r="AU2" s="149"/>
      <c r="AV2" s="149"/>
      <c r="AW2" s="149"/>
      <c r="AX2" s="149"/>
      <c r="AY2" s="149"/>
      <c r="AZ2" s="149"/>
      <c r="BA2" s="149"/>
      <c r="BB2" s="149"/>
      <c r="BC2" s="149"/>
      <c r="BD2" s="149"/>
      <c r="BE2" s="149"/>
      <c r="BF2" s="149"/>
      <c r="BG2" s="149"/>
      <c r="BH2" s="149"/>
      <c r="BI2" s="149"/>
      <c r="BJ2" s="149"/>
      <c r="BK2" s="149"/>
    </row>
    <row r="3" spans="2:63" s="149" customFormat="1">
      <c r="H3" s="153"/>
      <c r="P3" s="153"/>
    </row>
    <row r="4" spans="2:63" s="156" customFormat="1" ht="21">
      <c r="B4" s="129" t="s">
        <v>509</v>
      </c>
      <c r="H4" s="222"/>
      <c r="P4" s="222"/>
    </row>
    <row r="5" spans="2:63" s="149" customFormat="1">
      <c r="C5" s="153"/>
      <c r="D5" s="153" t="str" cm="1">
        <f t="array" ref="D5:H5">headings</f>
        <v>2023E</v>
      </c>
      <c r="E5" s="153" t="str">
        <v>2024E</v>
      </c>
      <c r="F5" s="153" t="str">
        <v>2025E</v>
      </c>
      <c r="G5" s="153" t="str">
        <v>2026E</v>
      </c>
      <c r="H5" s="153" t="str">
        <v>23E-26E</v>
      </c>
      <c r="I5" s="153"/>
      <c r="J5" s="153"/>
      <c r="K5" s="153"/>
      <c r="L5" s="153" t="str" cm="1">
        <f t="array" ref="L5:P5">headings</f>
        <v>2023E</v>
      </c>
      <c r="M5" s="153" t="str">
        <v>2024E</v>
      </c>
      <c r="N5" s="153" t="str">
        <v>2025E</v>
      </c>
      <c r="O5" s="153" t="str">
        <v>2026E</v>
      </c>
      <c r="P5" s="153" t="str">
        <v>23E-26E</v>
      </c>
      <c r="Q5" s="162"/>
      <c r="R5" s="162"/>
      <c r="S5" s="162"/>
      <c r="T5" s="162"/>
      <c r="U5" s="162"/>
      <c r="V5" s="162"/>
      <c r="W5" s="162"/>
      <c r="X5" s="162"/>
      <c r="Y5" s="162"/>
    </row>
    <row r="6" spans="2:63">
      <c r="I6" s="5"/>
      <c r="J6" s="5"/>
      <c r="K6" s="5"/>
      <c r="L6" s="5"/>
      <c r="M6" s="5"/>
      <c r="N6" s="5"/>
      <c r="O6" s="49"/>
    </row>
    <row r="7" spans="2:63" ht="12.6" thickBot="1">
      <c r="B7" s="306" t="s">
        <v>271</v>
      </c>
      <c r="C7" s="265"/>
      <c r="D7" s="265"/>
      <c r="E7" s="265"/>
      <c r="F7" s="265"/>
      <c r="G7" s="265"/>
      <c r="H7" s="265"/>
      <c r="I7" s="49"/>
      <c r="J7" s="306" t="s">
        <v>510</v>
      </c>
      <c r="K7" s="306"/>
      <c r="L7" s="306"/>
      <c r="M7" s="306"/>
      <c r="N7" s="266"/>
      <c r="O7" s="266"/>
      <c r="P7" s="266"/>
    </row>
    <row r="8" spans="2:63" ht="12.6" thickTop="1">
      <c r="B8" s="5"/>
      <c r="C8" s="5"/>
      <c r="D8" s="5"/>
      <c r="E8" s="5"/>
      <c r="F8" s="5"/>
      <c r="G8" s="5"/>
      <c r="H8" s="5"/>
      <c r="I8" s="5"/>
      <c r="J8" s="5"/>
      <c r="K8" s="5"/>
      <c r="L8" s="5"/>
      <c r="M8" s="5"/>
      <c r="N8" s="5"/>
    </row>
    <row r="9" spans="2:63">
      <c r="B9" s="41" t="s">
        <v>500</v>
      </c>
      <c r="C9" s="287"/>
      <c r="D9" s="271"/>
      <c r="E9" s="249"/>
      <c r="F9" s="249"/>
      <c r="G9" s="249"/>
      <c r="H9" s="249"/>
      <c r="I9" s="249"/>
      <c r="J9" s="5" t="s">
        <v>273</v>
      </c>
      <c r="L9" s="64">
        <f>'EM INCUMB'!D37</f>
        <v>77.390130364881429</v>
      </c>
      <c r="M9" s="64">
        <f>'EM INCUMB'!E37</f>
        <v>72.512941061391317</v>
      </c>
      <c r="N9" s="64">
        <f>'EM INCUMB'!F37</f>
        <v>62.400788137070009</v>
      </c>
      <c r="O9" s="64">
        <f>'EM INCUMB'!G37</f>
        <v>53.058255887060461</v>
      </c>
      <c r="P9" s="17">
        <f>'EM INCUMB'!H37</f>
        <v>4.1231626442215452E-2</v>
      </c>
    </row>
    <row r="10" spans="2:63">
      <c r="B10" s="5" t="s">
        <v>274</v>
      </c>
      <c r="C10" s="5"/>
      <c r="D10" s="332"/>
      <c r="E10" s="332"/>
      <c r="F10" s="332"/>
      <c r="G10" s="332"/>
      <c r="H10" s="247"/>
      <c r="I10" s="247"/>
      <c r="J10" s="5" t="s">
        <v>184</v>
      </c>
      <c r="L10" s="64">
        <f>'EM INCUMB'!D38</f>
        <v>251.76312581207961</v>
      </c>
      <c r="M10" s="64">
        <f>'EM INCUMB'!E38</f>
        <v>235.47331923446734</v>
      </c>
      <c r="N10" s="64">
        <f>'EM INCUMB'!F38</f>
        <v>202.08803624698223</v>
      </c>
      <c r="O10" s="64">
        <f>'EM INCUMB'!G38</f>
        <v>170.59019208597164</v>
      </c>
      <c r="P10" s="17">
        <f>'EM INCUMB'!H38</f>
        <v>4.5319782471582526E-2</v>
      </c>
      <c r="W10" s="10"/>
      <c r="X10" s="10"/>
      <c r="Y10" s="10"/>
      <c r="Z10" s="10"/>
    </row>
    <row r="11" spans="2:63">
      <c r="B11" s="41" t="s">
        <v>359</v>
      </c>
      <c r="C11" s="5"/>
      <c r="D11" s="271">
        <f>(TKG!D11/Prices!$C$170)</f>
        <v>678.64518097564292</v>
      </c>
      <c r="E11" s="271">
        <f>(TKG!E11/Prices!$C$170)</f>
        <v>678.64518097564292</v>
      </c>
      <c r="F11" s="271">
        <f>(TKG!F11/Prices!$C$170)</f>
        <v>678.64518097564292</v>
      </c>
      <c r="G11" s="271">
        <f>(TKG!G11/Prices!$C$170)</f>
        <v>678.64518097564292</v>
      </c>
      <c r="H11" s="249"/>
      <c r="I11" s="249"/>
      <c r="J11" s="5" t="s">
        <v>185</v>
      </c>
      <c r="L11" s="64">
        <f>'EM INCUMB'!D39</f>
        <v>633.79269108992571</v>
      </c>
      <c r="M11" s="64">
        <f>'EM INCUMB'!E39</f>
        <v>519.97663465590415</v>
      </c>
      <c r="N11" s="64">
        <f>'EM INCUMB'!F39</f>
        <v>421.98747207824152</v>
      </c>
      <c r="O11" s="64">
        <f>'EM INCUMB'!G39</f>
        <v>339.87458306214415</v>
      </c>
      <c r="P11" s="17">
        <f>'EM INCUMB'!H39</f>
        <v>0.13008903497063584</v>
      </c>
      <c r="W11" s="10"/>
      <c r="X11" s="10"/>
      <c r="Y11" s="10"/>
      <c r="Z11" s="10"/>
    </row>
    <row r="12" spans="2:63">
      <c r="B12" s="5" t="s">
        <v>229</v>
      </c>
      <c r="C12" s="249"/>
      <c r="D12" s="228">
        <f>(TKG!D12/Prices!$C$170)</f>
        <v>667.94535453938374</v>
      </c>
      <c r="E12" s="228">
        <f>(TKG!E12/Prices!$C$170)</f>
        <v>627.15123067032232</v>
      </c>
      <c r="F12" s="228">
        <f>(TKG!F12/Prices!$C$170)</f>
        <v>588.03064692260398</v>
      </c>
      <c r="G12" s="228">
        <f>(TKG!G12/Prices!$C$170)</f>
        <v>548.09064120810945</v>
      </c>
      <c r="H12" s="247"/>
      <c r="I12" s="247"/>
      <c r="J12" s="5" t="s">
        <v>466</v>
      </c>
      <c r="L12" s="64">
        <f>'EM INCUMB'!D40</f>
        <v>892.97096758269697</v>
      </c>
      <c r="M12" s="64">
        <f>'EM INCUMB'!E40</f>
        <v>705.80398591621361</v>
      </c>
      <c r="N12" s="64">
        <f>'EM INCUMB'!F40</f>
        <v>571.3100453625151</v>
      </c>
      <c r="O12" s="64">
        <f>'EM INCUMB'!G40</f>
        <v>458.33681098022043</v>
      </c>
      <c r="P12" s="17">
        <f>'EM INCUMB'!H40</f>
        <v>0.14671109623312839</v>
      </c>
      <c r="W12" s="10"/>
      <c r="X12" s="10"/>
      <c r="Y12" s="10"/>
      <c r="Z12" s="10"/>
    </row>
    <row r="13" spans="2:63">
      <c r="B13" s="5" t="s">
        <v>529</v>
      </c>
      <c r="C13" s="257"/>
      <c r="D13" s="228">
        <f>(TKG!D13/Prices!$C$170)</f>
        <v>0</v>
      </c>
      <c r="E13" s="228">
        <f>(TKG!E13/Prices!$C$170)</f>
        <v>0</v>
      </c>
      <c r="F13" s="228">
        <f>(TKG!F13/Prices!$C$170)</f>
        <v>0</v>
      </c>
      <c r="G13" s="228">
        <f>(TKG!G13/Prices!$C$170)</f>
        <v>0</v>
      </c>
      <c r="H13" s="247"/>
      <c r="I13" s="247"/>
      <c r="J13" s="5" t="s">
        <v>530</v>
      </c>
      <c r="L13" s="64">
        <f>'EM INCUMB'!D41</f>
        <v>73.192015654274968</v>
      </c>
      <c r="M13" s="64">
        <f>'EM INCUMB'!E41</f>
        <v>72.225901315613712</v>
      </c>
      <c r="N13" s="64">
        <f>'EM INCUMB'!F41</f>
        <v>65.390223329659477</v>
      </c>
      <c r="O13" s="64">
        <f>'EM INCUMB'!G41</f>
        <v>57.627095382058755</v>
      </c>
      <c r="P13" s="17">
        <f>'EM INCUMB'!H41</f>
        <v>-5.7044998568572813E-3</v>
      </c>
    </row>
    <row r="14" spans="2:63">
      <c r="B14" s="5" t="s">
        <v>532</v>
      </c>
      <c r="C14" s="274"/>
      <c r="D14" s="228">
        <f>(TKG!D14/Prices!$C$170)</f>
        <v>0</v>
      </c>
      <c r="E14" s="228">
        <f>(TKG!E14/Prices!$C$170)</f>
        <v>0</v>
      </c>
      <c r="F14" s="228">
        <f>(TKG!F14/Prices!$C$170)</f>
        <v>0</v>
      </c>
      <c r="G14" s="228">
        <f>(TKG!G14/Prices!$C$170)</f>
        <v>0</v>
      </c>
      <c r="H14" s="247"/>
      <c r="I14" s="247"/>
      <c r="J14" s="5" t="s">
        <v>593</v>
      </c>
      <c r="L14" s="64">
        <f>'EM INCUMB'!D42</f>
        <v>92.154024734754898</v>
      </c>
      <c r="M14" s="64">
        <f>'EM INCUMB'!E42</f>
        <v>92.71619293829275</v>
      </c>
      <c r="N14" s="64">
        <f>'EM INCUMB'!F42</f>
        <v>85.347970481322818</v>
      </c>
      <c r="O14" s="64">
        <f>'EM INCUMB'!G42</f>
        <v>80.686740973878528</v>
      </c>
      <c r="P14" s="17">
        <f>'EM INCUMB'!H42</f>
        <v>-4.0288882333939902E-2</v>
      </c>
    </row>
    <row r="15" spans="2:63">
      <c r="B15" s="5" t="s">
        <v>531</v>
      </c>
      <c r="C15" s="257"/>
      <c r="D15" s="228">
        <f>(TKG!D15/Prices!$C$170)</f>
        <v>0</v>
      </c>
      <c r="E15" s="228">
        <f>(TKG!E15/Prices!$C$170)</f>
        <v>0</v>
      </c>
      <c r="F15" s="228">
        <f>(TKG!F15/Prices!$C$170)</f>
        <v>0</v>
      </c>
      <c r="G15" s="228">
        <f>(TKG!G15/Prices!$C$170)</f>
        <v>0</v>
      </c>
      <c r="H15" s="247"/>
      <c r="I15" s="247"/>
      <c r="J15" s="5" t="s">
        <v>475</v>
      </c>
      <c r="L15" s="64">
        <f>'EM INCUMB'!D43</f>
        <v>14.54326315160441</v>
      </c>
      <c r="M15" s="64">
        <f>'EM INCUMB'!E43</f>
        <v>10.729515399031095</v>
      </c>
      <c r="N15" s="64">
        <f>'EM INCUMB'!F43</f>
        <v>9.0923319720800446</v>
      </c>
      <c r="O15" s="64">
        <f>'EM INCUMB'!G43</f>
        <v>7.8418571106094896</v>
      </c>
      <c r="P15" s="17">
        <f>'EM INCUMB'!H43</f>
        <v>0.21725098476735072</v>
      </c>
      <c r="S15" s="88"/>
      <c r="T15" s="88"/>
      <c r="U15" s="88"/>
      <c r="V15" s="42"/>
      <c r="W15" s="42"/>
      <c r="X15" s="42"/>
      <c r="Y15" s="42"/>
      <c r="Z15" s="42"/>
      <c r="AA15" s="42"/>
    </row>
    <row r="16" spans="2:63">
      <c r="B16" s="5" t="s">
        <v>534</v>
      </c>
      <c r="C16" s="257"/>
      <c r="D16" s="228">
        <f>(TKG!D16/Prices!$C$170)</f>
        <v>259.3796927024863</v>
      </c>
      <c r="E16" s="228">
        <f>(TKG!E16/Prices!$C$170)</f>
        <v>379.65428302757101</v>
      </c>
      <c r="F16" s="228">
        <f>(TKG!F16/Prices!$C$170)</f>
        <v>500.45581867318089</v>
      </c>
      <c r="G16" s="228">
        <f>(TKG!G16/Prices!$C$170)</f>
        <v>621.25735431879082</v>
      </c>
      <c r="H16" s="247"/>
      <c r="I16" s="247"/>
      <c r="J16" s="5" t="s">
        <v>533</v>
      </c>
      <c r="L16" s="64">
        <f>'EM INCUMB'!D44</f>
        <v>634.01902759549682</v>
      </c>
      <c r="M16" s="64">
        <f>'EM INCUMB'!E44</f>
        <v>553.37622650460344</v>
      </c>
      <c r="N16" s="64">
        <f>'EM INCUMB'!F44</f>
        <v>480.19823322626689</v>
      </c>
      <c r="O16" s="64">
        <f>'EM INCUMB'!G44</f>
        <v>413.04467594801395</v>
      </c>
      <c r="P16" s="17">
        <f>'EM INCUMB'!H44</f>
        <v>0.16110061170195666</v>
      </c>
      <c r="S16" s="88"/>
      <c r="T16" s="88"/>
      <c r="U16" s="88"/>
      <c r="V16" s="42"/>
      <c r="W16" s="42"/>
      <c r="X16" s="42"/>
      <c r="Y16" s="42"/>
      <c r="Z16" s="42"/>
      <c r="AA16" s="42"/>
    </row>
    <row r="17" spans="2:27">
      <c r="B17" s="5" t="s">
        <v>6</v>
      </c>
      <c r="C17" s="257"/>
      <c r="D17" s="228">
        <f>(TKG!D17/Prices!$C$170)</f>
        <v>0</v>
      </c>
      <c r="E17" s="228">
        <f>(TKG!E17/Prices!$C$170)</f>
        <v>0</v>
      </c>
      <c r="F17" s="228">
        <f>(TKG!F17/Prices!$C$170)</f>
        <v>0</v>
      </c>
      <c r="G17" s="228">
        <f>(TKG!G17/Prices!$C$170)</f>
        <v>0</v>
      </c>
      <c r="H17" s="247"/>
      <c r="I17" s="247"/>
      <c r="J17" s="5" t="s">
        <v>580</v>
      </c>
      <c r="L17" s="248">
        <f>'EM INCUMB'!D45</f>
        <v>1.0345069302667427E-3</v>
      </c>
      <c r="M17" s="248">
        <f>'EM INCUMB'!E45</f>
        <v>1.1346526117121838E-3</v>
      </c>
      <c r="N17" s="248">
        <f>'EM INCUMB'!F45</f>
        <v>1.3193330533490405E-3</v>
      </c>
      <c r="O17" s="248">
        <f>'EM INCUMB'!G45</f>
        <v>1.5335766283768081E-3</v>
      </c>
      <c r="P17" s="17">
        <f>'EM INCUMB'!H45</f>
        <v>0.14769227496166182</v>
      </c>
      <c r="S17" s="88"/>
      <c r="T17" s="88"/>
      <c r="U17" s="88"/>
      <c r="V17" s="42"/>
      <c r="W17" s="42"/>
      <c r="X17" s="42"/>
      <c r="Y17" s="42"/>
      <c r="Z17" s="42"/>
      <c r="AA17" s="42"/>
    </row>
    <row r="18" spans="2:27" ht="12.6" thickBot="1">
      <c r="B18" s="41" t="s">
        <v>360</v>
      </c>
      <c r="C18" s="249"/>
      <c r="D18" s="275">
        <f>(TKG!D18/Prices!$C$170)</f>
        <v>1087.2108428125405</v>
      </c>
      <c r="E18" s="275">
        <f>(TKG!E18/Prices!$C$170)</f>
        <v>926.14212861839428</v>
      </c>
      <c r="F18" s="275">
        <f>(TKG!F18/Prices!$C$170)</f>
        <v>766.22000922506618</v>
      </c>
      <c r="G18" s="275">
        <f>(TKG!G18/Prices!$C$170)</f>
        <v>605.47846786496154</v>
      </c>
      <c r="H18" s="276">
        <f>IF(D18=0,"nm",IF(G18=0,"nm",(G18/D18)^(1/3)-1))</f>
        <v>-0.17726183682472607</v>
      </c>
      <c r="I18" s="254"/>
      <c r="J18" s="5" t="s">
        <v>36</v>
      </c>
      <c r="L18" s="248">
        <f>'EM INCUMB'!D46</f>
        <v>1.0374108915053846E-3</v>
      </c>
      <c r="M18" s="248">
        <f>'EM INCUMB'!E46</f>
        <v>1.1367413289027294E-3</v>
      </c>
      <c r="N18" s="248">
        <f>'EM INCUMB'!F46</f>
        <v>1.2682363145756529E-3</v>
      </c>
      <c r="O18" s="248">
        <f>'EM INCUMB'!G46</f>
        <v>1.7427990175788118E-3</v>
      </c>
      <c r="P18" s="17">
        <f>'EM INCUMB'!H46</f>
        <v>0.19655757517991312</v>
      </c>
      <c r="S18" s="88"/>
      <c r="T18" s="88"/>
      <c r="U18" s="88"/>
      <c r="V18" s="42"/>
      <c r="W18" s="42"/>
      <c r="X18" s="42"/>
      <c r="Y18" s="42"/>
      <c r="Z18" s="42"/>
      <c r="AA18" s="42"/>
    </row>
    <row r="19" spans="2:27" ht="12.6" thickTop="1">
      <c r="B19" s="41"/>
      <c r="C19" s="249"/>
      <c r="D19" s="229"/>
      <c r="E19" s="229"/>
      <c r="F19" s="229"/>
      <c r="G19" s="229"/>
      <c r="H19" s="276"/>
      <c r="I19" s="17"/>
      <c r="J19" s="5" t="s">
        <v>581</v>
      </c>
      <c r="L19" s="248">
        <f>'EM INCUMB'!D47</f>
        <v>6.8760359320712713E-2</v>
      </c>
      <c r="M19" s="248">
        <f>'EM INCUMB'!E47</f>
        <v>9.3200854168148425E-2</v>
      </c>
      <c r="N19" s="248">
        <f>'EM INCUMB'!F47</f>
        <v>0.10998278583214015</v>
      </c>
      <c r="O19" s="248">
        <f>'EM INCUMB'!G47</f>
        <v>0.12752081374284024</v>
      </c>
      <c r="P19" s="17">
        <f>'EM INCUMB'!H47</f>
        <v>0.21725098476735072</v>
      </c>
      <c r="S19" s="88"/>
      <c r="T19" s="88"/>
      <c r="U19" s="88"/>
      <c r="V19" s="42"/>
      <c r="W19" s="42"/>
      <c r="X19" s="42"/>
      <c r="Y19" s="42"/>
      <c r="Z19" s="42"/>
      <c r="AA19" s="42"/>
    </row>
    <row r="20" spans="2:27">
      <c r="H20" s="277"/>
      <c r="I20" s="49"/>
      <c r="J20" s="5" t="s">
        <v>604</v>
      </c>
      <c r="L20" s="248">
        <f>'EM INCUMB'!D48</f>
        <v>0.64455315794230339</v>
      </c>
      <c r="M20" s="248">
        <f>'EM INCUMB'!E48</f>
        <v>0.5360729455694393</v>
      </c>
      <c r="N20" s="248">
        <f>'EM INCUMB'!F48</f>
        <v>0.53346452793261268</v>
      </c>
      <c r="O20" s="248">
        <f>'EM INCUMB'!G48</f>
        <v>0.54024992115500903</v>
      </c>
      <c r="P20" s="17" t="str">
        <f>'EM INCUMB'!H48</f>
        <v>nm</v>
      </c>
      <c r="S20" s="42"/>
      <c r="T20" s="42"/>
      <c r="U20" s="42"/>
      <c r="V20" s="42"/>
      <c r="W20" s="42"/>
      <c r="X20" s="42"/>
      <c r="Y20" s="42"/>
      <c r="Z20" s="42"/>
      <c r="AA20" s="42"/>
    </row>
    <row r="21" spans="2:27" ht="12.6" thickBot="1">
      <c r="B21" s="306" t="s">
        <v>482</v>
      </c>
      <c r="C21" s="265">
        <v>2020</v>
      </c>
      <c r="D21" s="265" t="str">
        <f>D5</f>
        <v>2023E</v>
      </c>
      <c r="E21" s="265" t="str">
        <f>E5</f>
        <v>2024E</v>
      </c>
      <c r="F21" s="265" t="str">
        <f>F5</f>
        <v>2025E</v>
      </c>
      <c r="G21" s="265" t="str">
        <f>G5</f>
        <v>2026E</v>
      </c>
      <c r="H21" s="282" t="str">
        <f>H5</f>
        <v>23E-26E</v>
      </c>
      <c r="I21" s="17"/>
      <c r="S21" s="42"/>
      <c r="T21" s="42"/>
      <c r="U21" s="42"/>
      <c r="V21" s="42"/>
      <c r="W21" s="42"/>
      <c r="X21" s="42"/>
      <c r="Y21" s="42"/>
      <c r="Z21" s="42"/>
      <c r="AA21" s="42"/>
    </row>
    <row r="22" spans="2:27" ht="12.6" thickTop="1">
      <c r="B22" s="5"/>
      <c r="C22" s="257"/>
      <c r="D22" s="17"/>
      <c r="E22" s="17"/>
      <c r="F22" s="17"/>
      <c r="G22" s="17"/>
      <c r="H22" s="17"/>
      <c r="I22" s="247"/>
      <c r="P22" s="277"/>
      <c r="S22" s="42"/>
      <c r="T22" s="42"/>
      <c r="U22" s="42"/>
      <c r="V22" s="42"/>
      <c r="W22" s="42"/>
      <c r="X22" s="42"/>
      <c r="Y22" s="42"/>
      <c r="Z22" s="42"/>
      <c r="AA22" s="42"/>
    </row>
    <row r="23" spans="2:27" ht="12.6" thickBot="1">
      <c r="B23" s="5" t="s">
        <v>584</v>
      </c>
      <c r="C23" s="365">
        <f>(TKG!C23/Prices!$C$170)</f>
        <v>2616.6744242866698</v>
      </c>
      <c r="D23" s="228">
        <f>(TKG!D23/Prices!$C$170)</f>
        <v>2668.6187749755277</v>
      </c>
      <c r="E23" s="228">
        <f>(TKG!E23/Prices!$C$170)</f>
        <v>2712.7567313046384</v>
      </c>
      <c r="F23" s="228">
        <f>(TKG!F23/Prices!$C$170)</f>
        <v>2769.5782877130609</v>
      </c>
      <c r="G23" s="228">
        <f>(TKG!G23/Prices!$C$170)</f>
        <v>2827.5900316659163</v>
      </c>
      <c r="H23" s="279">
        <f t="shared" ref="H23:H33" si="0">IF(D23=0,"nm",IF(G23=0,"nm",(G23/D23)^(1/3)-1))</f>
        <v>1.947512825024833E-2</v>
      </c>
      <c r="I23" s="249"/>
      <c r="J23" s="306" t="s">
        <v>9</v>
      </c>
      <c r="K23" s="306"/>
      <c r="L23" s="265" t="str">
        <f>L5</f>
        <v>2023E</v>
      </c>
      <c r="M23" s="265" t="str">
        <f>M5</f>
        <v>2024E</v>
      </c>
      <c r="N23" s="265" t="str">
        <f>N5</f>
        <v>2025E</v>
      </c>
      <c r="O23" s="265" t="str">
        <f>O5</f>
        <v>2026E</v>
      </c>
      <c r="P23" s="282" t="str">
        <f>P5</f>
        <v>23E-26E</v>
      </c>
      <c r="S23" s="42"/>
      <c r="T23" s="42"/>
      <c r="U23" s="42"/>
      <c r="V23" s="42"/>
      <c r="W23" s="42" t="s">
        <v>543</v>
      </c>
      <c r="X23" s="42" t="s">
        <v>561</v>
      </c>
      <c r="Y23" s="42"/>
      <c r="Z23" s="42"/>
      <c r="AA23" s="42"/>
    </row>
    <row r="24" spans="2:27" ht="12.6" thickTop="1">
      <c r="B24" s="5" t="s">
        <v>483</v>
      </c>
      <c r="C24" s="365">
        <f>(TKG!C24/Prices!$C$170)</f>
        <v>726.65062762764228</v>
      </c>
      <c r="D24" s="228">
        <f>(TKG!D24/Prices!$C$170)</f>
        <v>718.30673151299652</v>
      </c>
      <c r="E24" s="228">
        <f>(TKG!E24/Prices!$C$170)</f>
        <v>712.47342314140258</v>
      </c>
      <c r="F24" s="228">
        <f>(TKG!F24/Prices!$C$170)</f>
        <v>717.84268514602456</v>
      </c>
      <c r="G24" s="228">
        <f>(TKG!G24/Prices!$C$170)</f>
        <v>732.87865875755517</v>
      </c>
      <c r="H24" s="279">
        <f t="shared" si="0"/>
        <v>6.71694721895566E-3</v>
      </c>
      <c r="I24" s="248"/>
      <c r="J24" s="17"/>
      <c r="K24" s="17"/>
      <c r="L24" s="17"/>
      <c r="M24" s="17"/>
      <c r="N24" s="17"/>
      <c r="O24" s="248"/>
      <c r="S24" s="42"/>
      <c r="T24" s="42"/>
      <c r="U24" s="42"/>
      <c r="V24" s="147" t="s">
        <v>273</v>
      </c>
      <c r="W24" s="288">
        <f t="shared" ref="W24:W31" si="1">E37/M9</f>
        <v>4.7081606156676161E-3</v>
      </c>
      <c r="X24" s="288">
        <v>1</v>
      </c>
      <c r="Y24" s="42"/>
      <c r="Z24" s="42"/>
      <c r="AA24" s="42"/>
    </row>
    <row r="25" spans="2:27">
      <c r="B25" s="5" t="s">
        <v>183</v>
      </c>
      <c r="C25" s="365">
        <f>(TKG!C25/Prices!$C$170)</f>
        <v>323.84022671256338</v>
      </c>
      <c r="D25" s="228">
        <f>(TKG!D25/Prices!$C$170)</f>
        <v>324.96702033530022</v>
      </c>
      <c r="E25" s="228">
        <f>(TKG!E25/Prices!$C$170)</f>
        <v>328.00702821036992</v>
      </c>
      <c r="F25" s="228">
        <f>(TKG!F25/Prices!$C$170)</f>
        <v>324.26180215878077</v>
      </c>
      <c r="G25" s="228">
        <f>(TKG!G25/Prices!$C$170)</f>
        <v>331.05380826454063</v>
      </c>
      <c r="H25" s="279">
        <f t="shared" si="0"/>
        <v>6.2049124089686991E-3</v>
      </c>
      <c r="I25" s="249"/>
      <c r="J25" s="247" t="s">
        <v>10</v>
      </c>
      <c r="K25" s="247"/>
      <c r="L25" s="332">
        <f>(TKG!L25/Prices!$C$170)</f>
        <v>0</v>
      </c>
      <c r="M25" s="332">
        <f>(TKG!M25/Prices!$C$170)</f>
        <v>0</v>
      </c>
      <c r="N25" s="332">
        <f>(TKG!N25/Prices!$C$170)</f>
        <v>0</v>
      </c>
      <c r="O25" s="332">
        <f>(TKG!O25/Prices!$C$170)</f>
        <v>0</v>
      </c>
      <c r="P25" s="279" t="str">
        <f>IF(L25=0,"nm",IF(O25=0,"nm",(O25/L25)^(1/3)-1))</f>
        <v>nm</v>
      </c>
      <c r="Q25" s="5"/>
      <c r="S25" s="42"/>
      <c r="T25" s="42"/>
      <c r="U25" s="42"/>
      <c r="V25" s="147" t="s">
        <v>184</v>
      </c>
      <c r="W25" s="288">
        <f t="shared" si="1"/>
        <v>5.5203582854628282E-3</v>
      </c>
      <c r="X25" s="288">
        <v>1</v>
      </c>
      <c r="Y25" s="42"/>
      <c r="Z25" s="42"/>
      <c r="AA25" s="42"/>
    </row>
    <row r="26" spans="2:27">
      <c r="B26" s="5" t="s">
        <v>586</v>
      </c>
      <c r="C26" s="365">
        <f>(TKG!C26/Prices!$C$170)</f>
        <v>233.1649632330456</v>
      </c>
      <c r="D26" s="228">
        <f>(TKG!D26/Prices!$C$170)</f>
        <v>233.97625464141618</v>
      </c>
      <c r="E26" s="228">
        <f>(TKG!E26/Prices!$C$170)</f>
        <v>236.16506031146633</v>
      </c>
      <c r="F26" s="228">
        <f>(TKG!F26/Prices!$C$170)</f>
        <v>233.46849755432214</v>
      </c>
      <c r="G26" s="228">
        <f>(TKG!G26/Prices!$C$170)</f>
        <v>238.35874195046924</v>
      </c>
      <c r="H26" s="279">
        <f t="shared" si="0"/>
        <v>6.2049124089686991E-3</v>
      </c>
      <c r="I26" s="249"/>
      <c r="J26" s="249" t="s">
        <v>11</v>
      </c>
      <c r="K26" s="249"/>
      <c r="L26" s="281">
        <f>(TKG!L26/Prices!$C$170)</f>
        <v>678.64518097564292</v>
      </c>
      <c r="M26" s="281">
        <f>(TKG!M26/Prices!$C$170)</f>
        <v>678.64518097564292</v>
      </c>
      <c r="N26" s="281">
        <f>(TKG!N26/Prices!$C$170)</f>
        <v>678.64518097564292</v>
      </c>
      <c r="O26" s="281">
        <f>(TKG!O26/Prices!$C$170)</f>
        <v>678.64518097564292</v>
      </c>
      <c r="P26" s="279">
        <f>IF(L26=0,"nm",IF(O26=0,"nm",(O26/L26)^(1/3)-1))</f>
        <v>0</v>
      </c>
      <c r="Q26" s="41"/>
      <c r="S26" s="42"/>
      <c r="T26" s="42"/>
      <c r="U26" s="42"/>
      <c r="V26" s="147" t="s">
        <v>185</v>
      </c>
      <c r="W26" s="288">
        <f t="shared" si="1"/>
        <v>5.4301354351005034E-3</v>
      </c>
      <c r="X26" s="288">
        <v>1</v>
      </c>
      <c r="Y26" s="42"/>
      <c r="Z26" s="42"/>
      <c r="AA26" s="42"/>
    </row>
    <row r="27" spans="2:27">
      <c r="B27" s="5" t="s">
        <v>587</v>
      </c>
      <c r="C27" s="365">
        <f>(TKG!C27/Prices!$C$170)</f>
        <v>2484.6547285157276</v>
      </c>
      <c r="D27" s="228">
        <f>(TKG!D27/Prices!$C$170)</f>
        <v>2479.1515228892094</v>
      </c>
      <c r="E27" s="228">
        <f>(TKG!E27/Prices!$C$170)</f>
        <v>2463.8726558955068</v>
      </c>
      <c r="F27" s="228">
        <f>(TKG!F27/Prices!$C$170)</f>
        <v>2449.9482105669249</v>
      </c>
      <c r="G27" s="228">
        <f>(TKG!G27/Prices!$C$170)</f>
        <v>2449.0080357807155</v>
      </c>
      <c r="H27" s="279">
        <f t="shared" si="0"/>
        <v>-4.0694686979287908E-3</v>
      </c>
      <c r="I27" s="248"/>
      <c r="J27" s="248"/>
      <c r="K27" s="248"/>
      <c r="L27" s="248"/>
      <c r="M27" s="248"/>
      <c r="N27" s="248"/>
      <c r="O27" s="248"/>
      <c r="Q27" s="5"/>
      <c r="S27" s="42"/>
      <c r="T27" s="42"/>
      <c r="U27" s="42"/>
      <c r="V27" s="147" t="s">
        <v>466</v>
      </c>
      <c r="W27" s="288">
        <f t="shared" si="1"/>
        <v>5.5562002214870013E-3</v>
      </c>
      <c r="X27" s="288">
        <v>1</v>
      </c>
      <c r="Y27" s="42"/>
      <c r="Z27" s="42"/>
      <c r="AA27" s="42"/>
    </row>
    <row r="28" spans="2:27" ht="12.6" thickBot="1">
      <c r="B28" s="5" t="s">
        <v>592</v>
      </c>
      <c r="C28" s="365">
        <f>(TKG!C28/Prices!$C$170)</f>
        <v>2293.0672829045061</v>
      </c>
      <c r="D28" s="228">
        <f>(TKG!D28/Prices!$C$170)</f>
        <v>2342.6486699084758</v>
      </c>
      <c r="E28" s="228">
        <f>(TKG!E28/Prices!$C$170)</f>
        <v>2369.0125199418676</v>
      </c>
      <c r="F28" s="228">
        <f>(TKG!F28/Prices!$C$170)</f>
        <v>2393.1018277345102</v>
      </c>
      <c r="G28" s="228">
        <f>(TKG!G28/Prices!$C$170)</f>
        <v>2443.2278743963939</v>
      </c>
      <c r="H28" s="279">
        <f t="shared" si="0"/>
        <v>1.4111258607638399E-2</v>
      </c>
      <c r="I28" s="252"/>
      <c r="J28" s="306" t="s">
        <v>754</v>
      </c>
      <c r="K28" s="306"/>
      <c r="L28" s="306"/>
      <c r="M28" s="306"/>
      <c r="N28" s="266"/>
      <c r="O28" s="266"/>
      <c r="P28" s="266"/>
      <c r="Q28" s="5"/>
      <c r="S28" s="42"/>
      <c r="T28" s="42"/>
      <c r="U28" s="42"/>
      <c r="V28" s="147" t="s">
        <v>530</v>
      </c>
      <c r="W28" s="288">
        <f t="shared" si="1"/>
        <v>5.2043489962234251E-3</v>
      </c>
      <c r="X28" s="288">
        <v>1</v>
      </c>
      <c r="Y28" s="42"/>
      <c r="Z28" s="42"/>
      <c r="AA28" s="42"/>
    </row>
    <row r="29" spans="2:27" ht="12.6" thickTop="1">
      <c r="B29" s="5" t="s">
        <v>588</v>
      </c>
      <c r="C29" s="365">
        <f>(TKG!C29/Prices!$C$170)</f>
        <v>159.6792914917402</v>
      </c>
      <c r="D29" s="228">
        <f>(TKG!D29/Prices!$C$170)</f>
        <v>160.3661204334463</v>
      </c>
      <c r="E29" s="228">
        <f>(TKG!E29/Prices!$C$170)</f>
        <v>161.06871419414637</v>
      </c>
      <c r="F29" s="228">
        <f>(TKG!F29/Prices!$C$170)</f>
        <v>159.92211939332583</v>
      </c>
      <c r="G29" s="228">
        <f>(TKG!G29/Prices!$C$170)</f>
        <v>163.27185717968911</v>
      </c>
      <c r="H29" s="279">
        <f t="shared" si="0"/>
        <v>6.0036813160782021E-3</v>
      </c>
      <c r="I29" s="254"/>
      <c r="J29" s="249"/>
      <c r="K29" s="249"/>
      <c r="L29" s="249"/>
      <c r="M29" s="249"/>
      <c r="N29" s="249"/>
      <c r="O29" s="251"/>
      <c r="Q29" s="5"/>
      <c r="S29" s="42"/>
      <c r="T29" s="42"/>
      <c r="U29" s="42"/>
      <c r="V29" s="147" t="s">
        <v>593</v>
      </c>
      <c r="W29" s="288">
        <f t="shared" si="1"/>
        <v>4.2165251345296674E-3</v>
      </c>
      <c r="X29" s="288">
        <v>1</v>
      </c>
      <c r="Y29" s="42"/>
      <c r="Z29" s="42"/>
      <c r="AA29" s="42"/>
    </row>
    <row r="30" spans="2:27">
      <c r="B30" s="5" t="s">
        <v>589</v>
      </c>
      <c r="C30" s="365">
        <f>(TKG!C30/Prices!$C$170)</f>
        <v>213.3212246303693</v>
      </c>
      <c r="D30" s="228">
        <f>(TKG!D30/Prices!$C$170)</f>
        <v>203.05574838315434</v>
      </c>
      <c r="E30" s="228">
        <f>(TKG!E30/Prices!$C$170)</f>
        <v>195.41000470844261</v>
      </c>
      <c r="F30" s="228">
        <f>(TKG!F30/Prices!$C$170)</f>
        <v>197.08649833643463</v>
      </c>
      <c r="G30" s="228">
        <f>(TKG!G30/Prices!$C$170)</f>
        <v>201.21468331274698</v>
      </c>
      <c r="H30" s="279">
        <f t="shared" si="0"/>
        <v>-3.031445748740591E-3</v>
      </c>
      <c r="I30" s="254"/>
      <c r="J30" s="248"/>
      <c r="K30" s="248"/>
      <c r="L30" s="248"/>
      <c r="M30" s="248"/>
      <c r="N30" s="248"/>
      <c r="O30" s="5"/>
      <c r="Q30" s="5"/>
      <c r="S30" s="42"/>
      <c r="T30" s="42"/>
      <c r="U30" s="42"/>
      <c r="V30" s="147" t="s">
        <v>475</v>
      </c>
      <c r="W30" s="288">
        <f t="shared" si="1"/>
        <v>0.39269147245931302</v>
      </c>
      <c r="X30" s="288">
        <v>1</v>
      </c>
      <c r="Y30" s="42"/>
      <c r="Z30" s="42"/>
      <c r="AA30" s="42"/>
    </row>
    <row r="31" spans="2:27">
      <c r="B31" s="5" t="s">
        <v>590</v>
      </c>
      <c r="C31" s="365">
        <f>(TKG!C31/Prices!$C$170)</f>
        <v>116.69345354419472</v>
      </c>
      <c r="D31" s="228">
        <f>(TKG!D31/Prices!$C$170)</f>
        <v>117.19538739205338</v>
      </c>
      <c r="E31" s="228">
        <f>(TKG!E31/Prices!$C$170)</f>
        <v>117.70884215258455</v>
      </c>
      <c r="F31" s="228">
        <f>(TKG!F31/Prices!$C$170)</f>
        <v>116.87091191207956</v>
      </c>
      <c r="G31" s="228">
        <f>(TKG!G31/Prices!$C$170)</f>
        <v>117.70884215258479</v>
      </c>
      <c r="H31" s="279">
        <f t="shared" si="0"/>
        <v>1.4582676697889596E-3</v>
      </c>
      <c r="I31" s="254"/>
      <c r="J31" s="252"/>
      <c r="K31" s="252"/>
      <c r="L31" s="252"/>
      <c r="M31" s="252"/>
      <c r="N31" s="252"/>
      <c r="O31" s="5"/>
      <c r="Q31" s="5"/>
      <c r="S31" s="42"/>
      <c r="T31" s="42"/>
      <c r="U31" s="42"/>
      <c r="V31" s="147" t="s">
        <v>533</v>
      </c>
      <c r="W31" s="288">
        <f t="shared" si="1"/>
        <v>6.2758922232253296E-3</v>
      </c>
      <c r="X31" s="288">
        <v>1</v>
      </c>
      <c r="Y31" s="42"/>
      <c r="Z31" s="42"/>
      <c r="AA31" s="42"/>
    </row>
    <row r="32" spans="2:27">
      <c r="B32" s="5" t="s">
        <v>606</v>
      </c>
      <c r="C32" s="365">
        <f>(TKG!C32/Prices!$C$170)</f>
        <v>41.196824750661513</v>
      </c>
      <c r="D32" s="228">
        <f>(TKG!D32/Prices!$C$170)</f>
        <v>0</v>
      </c>
      <c r="E32" s="228">
        <f>(TKG!E32/Prices!$C$170)</f>
        <v>0</v>
      </c>
      <c r="F32" s="228">
        <f>(TKG!F32/Prices!$C$170)</f>
        <v>0</v>
      </c>
      <c r="G32" s="228">
        <f>(TKG!G32/Prices!$C$170)</f>
        <v>0</v>
      </c>
      <c r="H32" s="279" t="str">
        <f t="shared" si="0"/>
        <v>nm</v>
      </c>
      <c r="I32" s="5"/>
      <c r="J32" s="254"/>
      <c r="K32" s="254"/>
      <c r="L32" s="254"/>
      <c r="M32" s="254"/>
      <c r="N32" s="254"/>
      <c r="O32" s="251"/>
      <c r="Q32" s="5"/>
      <c r="S32" s="42"/>
      <c r="T32" s="42"/>
      <c r="U32" s="42"/>
      <c r="V32" s="147" t="s">
        <v>580</v>
      </c>
      <c r="W32" s="288">
        <f>M17/E45</f>
        <v>6.5417900043713345E-3</v>
      </c>
      <c r="X32" s="288">
        <v>1</v>
      </c>
      <c r="Y32" s="42"/>
      <c r="Z32" s="42"/>
      <c r="AA32" s="42"/>
    </row>
    <row r="33" spans="2:42">
      <c r="B33" s="5" t="s">
        <v>5</v>
      </c>
      <c r="C33" s="365">
        <f>(TKG!C33/Prices!$C$170)</f>
        <v>54.21394896948263</v>
      </c>
      <c r="D33" s="228">
        <f>(TKG!D33/Prices!$C$170)</f>
        <v>50.837189714848328</v>
      </c>
      <c r="E33" s="228">
        <f>(TKG!E33/Prices!$C$170)</f>
        <v>48.142583340928752</v>
      </c>
      <c r="F33" s="228">
        <f>(TKG!F33/Prices!$C$170)</f>
        <v>45.497170214267356</v>
      </c>
      <c r="G33" s="228">
        <f>(TKG!G33/Prices!$C$170)</f>
        <v>46.450156522962381</v>
      </c>
      <c r="H33" s="279">
        <f t="shared" si="0"/>
        <v>-2.9634794273174836E-2</v>
      </c>
      <c r="I33" s="49"/>
      <c r="J33" s="254"/>
      <c r="K33" s="254"/>
      <c r="L33" s="254"/>
      <c r="M33" s="254"/>
      <c r="N33" s="254"/>
      <c r="O33" s="251"/>
      <c r="Q33" s="5"/>
      <c r="S33" s="42"/>
      <c r="T33" s="42"/>
      <c r="U33" s="42"/>
      <c r="V33" s="147" t="s">
        <v>581</v>
      </c>
      <c r="W33" s="288">
        <f>M19/E47</f>
        <v>0.39269147245931302</v>
      </c>
      <c r="X33" s="288">
        <v>1</v>
      </c>
      <c r="Y33" s="288"/>
      <c r="Z33" s="288"/>
      <c r="AA33" s="42"/>
      <c r="AC33" s="10"/>
      <c r="AD33" s="10"/>
      <c r="AE33" s="10"/>
      <c r="AF33" s="10"/>
      <c r="AH33" s="10"/>
      <c r="AI33" s="10"/>
      <c r="AJ33" s="10"/>
      <c r="AK33" s="10"/>
      <c r="AM33" s="10"/>
      <c r="AN33" s="10"/>
      <c r="AO33" s="10"/>
      <c r="AP33" s="10"/>
    </row>
    <row r="34" spans="2:42">
      <c r="H34" s="277"/>
      <c r="I34" s="254"/>
      <c r="J34" s="254"/>
      <c r="K34" s="254"/>
      <c r="L34" s="254"/>
      <c r="M34" s="254"/>
      <c r="N34" s="254"/>
      <c r="O34" s="251"/>
      <c r="Q34" s="5"/>
      <c r="S34" s="42"/>
      <c r="T34" s="42"/>
      <c r="U34" s="42"/>
      <c r="V34" s="42"/>
      <c r="W34" s="42"/>
      <c r="X34" s="42"/>
      <c r="Y34" s="288"/>
      <c r="Z34" s="288"/>
      <c r="AA34" s="42"/>
      <c r="AC34" s="10"/>
      <c r="AD34" s="10"/>
      <c r="AE34" s="10"/>
      <c r="AF34" s="10"/>
      <c r="AH34" s="10"/>
      <c r="AI34" s="10"/>
      <c r="AJ34" s="10"/>
      <c r="AK34" s="10"/>
      <c r="AM34" s="10"/>
      <c r="AN34" s="10"/>
      <c r="AO34" s="10"/>
      <c r="AP34" s="10"/>
    </row>
    <row r="35" spans="2:42" ht="12.6" thickBot="1">
      <c r="B35" s="306" t="s">
        <v>511</v>
      </c>
      <c r="C35" s="265"/>
      <c r="D35" s="265" t="str">
        <f>D5</f>
        <v>2023E</v>
      </c>
      <c r="E35" s="265" t="str">
        <f>E5</f>
        <v>2024E</v>
      </c>
      <c r="F35" s="265" t="str">
        <f>F5</f>
        <v>2025E</v>
      </c>
      <c r="G35" s="265" t="str">
        <f>G5</f>
        <v>2026E</v>
      </c>
      <c r="H35" s="265" t="str">
        <f>H5</f>
        <v>23E-26E</v>
      </c>
      <c r="I35" s="17"/>
      <c r="J35" s="5"/>
      <c r="K35" s="5"/>
      <c r="L35" s="5"/>
      <c r="M35" s="5"/>
      <c r="N35" s="5"/>
      <c r="O35" s="5"/>
      <c r="Q35" s="5"/>
      <c r="S35" s="42"/>
      <c r="T35" s="42"/>
      <c r="U35" s="42"/>
      <c r="V35" s="42"/>
      <c r="W35" s="42"/>
      <c r="X35" s="42"/>
      <c r="Y35" s="288"/>
      <c r="Z35" s="288"/>
      <c r="AA35" s="42"/>
      <c r="AC35" s="10"/>
      <c r="AD35" s="10"/>
      <c r="AE35" s="10"/>
      <c r="AF35" s="10"/>
      <c r="AH35" s="10"/>
      <c r="AI35" s="10"/>
      <c r="AJ35" s="10"/>
      <c r="AK35" s="10"/>
      <c r="AM35" s="10"/>
      <c r="AN35" s="10"/>
      <c r="AO35" s="10"/>
      <c r="AP35" s="10"/>
    </row>
    <row r="36" spans="2:42" ht="12.6" thickTop="1">
      <c r="B36" s="41"/>
      <c r="C36" s="249"/>
      <c r="D36" s="254"/>
      <c r="E36" s="254"/>
      <c r="F36" s="254"/>
      <c r="G36" s="254"/>
      <c r="H36" s="254"/>
      <c r="I36" s="5"/>
      <c r="J36" s="49"/>
      <c r="K36" s="49"/>
      <c r="L36" s="49"/>
      <c r="M36" s="49"/>
      <c r="N36" s="49"/>
      <c r="O36" s="49"/>
      <c r="Q36" s="5"/>
      <c r="R36" s="5"/>
      <c r="S36" s="42"/>
      <c r="T36" s="42"/>
      <c r="U36" s="42"/>
      <c r="V36" s="42"/>
      <c r="W36" s="42"/>
      <c r="X36" s="42"/>
      <c r="Y36" s="42"/>
      <c r="Z36" s="42"/>
      <c r="AA36" s="42"/>
      <c r="AC36" s="10"/>
      <c r="AD36" s="10"/>
      <c r="AE36" s="10"/>
      <c r="AF36" s="10"/>
      <c r="AH36" s="10"/>
      <c r="AI36" s="10"/>
      <c r="AJ36" s="10"/>
      <c r="AK36" s="10"/>
      <c r="AM36" s="10"/>
      <c r="AN36" s="10"/>
      <c r="AO36" s="10"/>
      <c r="AP36" s="10"/>
    </row>
    <row r="37" spans="2:42">
      <c r="B37" s="5" t="s">
        <v>273</v>
      </c>
      <c r="C37" s="247"/>
      <c r="D37" s="557">
        <f t="shared" ref="D37:G41" si="2">D$18/D23</f>
        <v>0.4074058284411608</v>
      </c>
      <c r="E37" s="557">
        <f t="shared" si="2"/>
        <v>0.34140257323146972</v>
      </c>
      <c r="F37" s="557">
        <f t="shared" si="2"/>
        <v>0.27665584057483394</v>
      </c>
      <c r="G37" s="557">
        <f t="shared" si="2"/>
        <v>0.21413233923032152</v>
      </c>
      <c r="H37" s="17">
        <f t="shared" ref="H37:H45" si="3">H23</f>
        <v>1.947512825024833E-2</v>
      </c>
      <c r="I37" s="259"/>
      <c r="J37" s="259"/>
      <c r="K37" s="259"/>
      <c r="L37" s="259"/>
      <c r="M37" s="259"/>
      <c r="N37" s="259"/>
      <c r="O37" s="18"/>
      <c r="Q37" s="5"/>
      <c r="R37" s="5"/>
      <c r="S37" s="42"/>
      <c r="T37" s="42"/>
      <c r="U37" s="42"/>
      <c r="V37" s="42"/>
      <c r="W37" s="42"/>
      <c r="X37" s="42"/>
      <c r="Y37" s="42"/>
      <c r="Z37" s="42"/>
      <c r="AA37" s="42"/>
      <c r="AC37" s="10"/>
      <c r="AD37" s="10"/>
      <c r="AE37" s="10"/>
      <c r="AF37" s="10"/>
      <c r="AH37" s="10"/>
      <c r="AI37" s="10"/>
      <c r="AJ37" s="10"/>
      <c r="AK37" s="10"/>
      <c r="AM37" s="10"/>
      <c r="AN37" s="10"/>
      <c r="AO37" s="10"/>
      <c r="AP37" s="10"/>
    </row>
    <row r="38" spans="2:42">
      <c r="B38" s="5" t="s">
        <v>184</v>
      </c>
      <c r="C38" s="247"/>
      <c r="D38" s="557">
        <f t="shared" si="2"/>
        <v>1.5135746264308387</v>
      </c>
      <c r="E38" s="557">
        <f t="shared" si="2"/>
        <v>1.2998970888414254</v>
      </c>
      <c r="F38" s="557">
        <f t="shared" si="2"/>
        <v>1.067392654519006</v>
      </c>
      <c r="G38" s="557">
        <f t="shared" si="2"/>
        <v>0.82616468719586622</v>
      </c>
      <c r="H38" s="17">
        <f t="shared" si="3"/>
        <v>6.71694721895566E-3</v>
      </c>
      <c r="I38" s="17"/>
      <c r="J38" s="17"/>
      <c r="K38" s="17"/>
      <c r="L38" s="17"/>
      <c r="M38" s="17"/>
      <c r="N38" s="17"/>
      <c r="O38" s="5"/>
      <c r="Q38" s="5"/>
      <c r="R38" s="5"/>
      <c r="S38" s="42"/>
      <c r="T38" s="42"/>
      <c r="U38" s="42"/>
      <c r="V38" s="42"/>
      <c r="W38" s="42"/>
      <c r="X38" s="42"/>
      <c r="Y38" s="42"/>
      <c r="Z38" s="42"/>
      <c r="AA38" s="42"/>
    </row>
    <row r="39" spans="2:42">
      <c r="B39" s="5" t="s">
        <v>185</v>
      </c>
      <c r="C39" s="247"/>
      <c r="D39" s="557">
        <f t="shared" si="2"/>
        <v>3.3456036298414493</v>
      </c>
      <c r="E39" s="557">
        <f t="shared" si="2"/>
        <v>2.8235435492693335</v>
      </c>
      <c r="F39" s="557">
        <f t="shared" si="2"/>
        <v>2.3629672200793865</v>
      </c>
      <c r="G39" s="557">
        <f t="shared" si="2"/>
        <v>1.8289427662500468</v>
      </c>
      <c r="H39" s="17">
        <f t="shared" si="3"/>
        <v>6.2049124089686991E-3</v>
      </c>
      <c r="I39" s="5"/>
      <c r="J39" s="5"/>
      <c r="K39" s="5"/>
      <c r="L39" s="5"/>
      <c r="M39" s="5"/>
      <c r="N39" s="5"/>
      <c r="O39" s="5"/>
      <c r="Q39" s="5"/>
      <c r="R39" s="5"/>
      <c r="S39" s="42"/>
      <c r="T39" s="42"/>
      <c r="U39" s="42"/>
      <c r="V39" s="42"/>
      <c r="W39" s="288"/>
      <c r="X39" s="288"/>
      <c r="Y39" s="42"/>
      <c r="Z39" s="42"/>
      <c r="AA39" s="42"/>
    </row>
    <row r="40" spans="2:42">
      <c r="B40" s="5" t="s">
        <v>466</v>
      </c>
      <c r="C40" s="247"/>
      <c r="D40" s="557">
        <f t="shared" si="2"/>
        <v>4.6466717081131232</v>
      </c>
      <c r="E40" s="557">
        <f t="shared" si="2"/>
        <v>3.9215882628740744</v>
      </c>
      <c r="F40" s="557">
        <f t="shared" si="2"/>
        <v>3.2818989167769259</v>
      </c>
      <c r="G40" s="557">
        <f t="shared" si="2"/>
        <v>2.5401982864583985</v>
      </c>
      <c r="H40" s="17">
        <f t="shared" si="3"/>
        <v>6.2049124089686991E-3</v>
      </c>
      <c r="I40" s="247"/>
      <c r="J40" s="259"/>
      <c r="K40" s="259"/>
      <c r="L40" s="259"/>
      <c r="M40" s="259"/>
      <c r="N40" s="259"/>
      <c r="O40" s="18"/>
      <c r="Q40" s="5"/>
      <c r="R40" s="5"/>
      <c r="S40" s="42"/>
      <c r="T40" s="42"/>
      <c r="U40" s="42"/>
      <c r="V40" s="42"/>
      <c r="W40" s="288"/>
      <c r="X40" s="288"/>
      <c r="Y40" s="288"/>
      <c r="Z40" s="288"/>
      <c r="AA40" s="42"/>
    </row>
    <row r="41" spans="2:42">
      <c r="B41" s="5" t="s">
        <v>530</v>
      </c>
      <c r="C41" s="247"/>
      <c r="D41" s="557">
        <f t="shared" si="2"/>
        <v>0.43854150614622467</v>
      </c>
      <c r="E41" s="557">
        <f t="shared" si="2"/>
        <v>0.37588879701324635</v>
      </c>
      <c r="F41" s="557">
        <f t="shared" si="2"/>
        <v>0.31274947197669978</v>
      </c>
      <c r="G41" s="557">
        <f t="shared" si="2"/>
        <v>0.24723416951628824</v>
      </c>
      <c r="H41" s="17">
        <f t="shared" si="3"/>
        <v>-4.0694686979287908E-3</v>
      </c>
      <c r="I41" s="248"/>
      <c r="J41" s="17"/>
      <c r="K41" s="17"/>
      <c r="L41" s="17"/>
      <c r="M41" s="17"/>
      <c r="N41" s="17"/>
      <c r="O41" s="5"/>
      <c r="Q41" s="5"/>
      <c r="R41" s="5"/>
      <c r="S41" s="42"/>
      <c r="T41" s="42"/>
      <c r="U41" s="42"/>
      <c r="V41" s="42"/>
      <c r="W41" s="288"/>
      <c r="X41" s="288"/>
      <c r="Y41" s="288"/>
      <c r="Z41" s="288"/>
      <c r="AA41" s="42"/>
    </row>
    <row r="42" spans="2:42">
      <c r="B42" s="5" t="s">
        <v>593</v>
      </c>
      <c r="C42" s="247"/>
      <c r="D42" s="557">
        <f>D18/D28</f>
        <v>0.46409470475784848</v>
      </c>
      <c r="E42" s="557">
        <f>E18/E28</f>
        <v>0.39094015790221343</v>
      </c>
      <c r="F42" s="557">
        <f>F18/F28</f>
        <v>0.32017860683781585</v>
      </c>
      <c r="G42" s="557">
        <f>G18/G28</f>
        <v>0.24781907337011971</v>
      </c>
      <c r="H42" s="17">
        <f t="shared" si="3"/>
        <v>1.4111258607638399E-2</v>
      </c>
      <c r="I42" s="247"/>
      <c r="J42" s="5"/>
      <c r="K42" s="5"/>
      <c r="L42" s="5"/>
      <c r="M42" s="5"/>
      <c r="N42" s="5"/>
      <c r="O42" s="5"/>
      <c r="Q42" s="5"/>
      <c r="R42" s="5"/>
      <c r="S42" s="42"/>
      <c r="T42" s="42"/>
      <c r="U42" s="42"/>
      <c r="V42" s="42"/>
      <c r="W42" s="288"/>
      <c r="X42" s="288"/>
      <c r="Y42" s="288"/>
      <c r="Z42" s="288"/>
      <c r="AA42" s="42"/>
    </row>
    <row r="43" spans="2:42">
      <c r="B43" s="5" t="s">
        <v>475</v>
      </c>
      <c r="C43" s="247"/>
      <c r="D43" s="557">
        <f>L26/D29</f>
        <v>4.2318488415219102</v>
      </c>
      <c r="E43" s="557">
        <f>M26/E29</f>
        <v>4.2133892008203944</v>
      </c>
      <c r="F43" s="557">
        <f>N26/F29</f>
        <v>4.2435979684994436</v>
      </c>
      <c r="G43" s="557">
        <f>O26/G29</f>
        <v>4.1565349515731844</v>
      </c>
      <c r="H43" s="17">
        <f t="shared" si="3"/>
        <v>6.0036813160782021E-3</v>
      </c>
      <c r="I43" s="247"/>
      <c r="J43" s="247"/>
      <c r="K43" s="247"/>
      <c r="L43" s="247"/>
      <c r="M43" s="247"/>
      <c r="N43" s="247"/>
      <c r="O43" s="18"/>
      <c r="Q43" s="5"/>
      <c r="R43" s="5"/>
      <c r="S43" s="42"/>
      <c r="T43" s="42"/>
      <c r="U43" s="42"/>
      <c r="V43" s="42"/>
      <c r="W43" s="325"/>
      <c r="X43" s="325"/>
      <c r="Y43" s="288"/>
      <c r="Z43" s="288"/>
      <c r="AA43" s="42"/>
    </row>
    <row r="44" spans="2:42">
      <c r="B44" s="5" t="s">
        <v>533</v>
      </c>
      <c r="C44" s="69"/>
      <c r="D44" s="557">
        <f>D11/D30</f>
        <v>3.3421618761320615</v>
      </c>
      <c r="E44" s="557">
        <f>E11/E30</f>
        <v>3.4729295564380194</v>
      </c>
      <c r="F44" s="557">
        <f>F11/F30</f>
        <v>3.443387480643997</v>
      </c>
      <c r="G44" s="557">
        <f>G11/G30</f>
        <v>3.3727418387296719</v>
      </c>
      <c r="H44" s="17">
        <f t="shared" si="3"/>
        <v>-3.031445748740591E-3</v>
      </c>
      <c r="I44" s="248"/>
      <c r="J44" s="248"/>
      <c r="K44" s="248"/>
      <c r="L44" s="248"/>
      <c r="M44" s="248"/>
      <c r="N44" s="248"/>
      <c r="O44" s="248"/>
      <c r="Q44" s="5"/>
      <c r="R44" s="5"/>
      <c r="S44" s="42"/>
      <c r="T44" s="42"/>
      <c r="U44" s="42"/>
      <c r="V44" s="42"/>
      <c r="W44" s="42"/>
      <c r="X44" s="42"/>
      <c r="Y44" s="325"/>
      <c r="Z44" s="325"/>
      <c r="AA44" s="42"/>
    </row>
    <row r="45" spans="2:42">
      <c r="B45" s="5" t="s">
        <v>580</v>
      </c>
      <c r="C45" s="247"/>
      <c r="D45" s="248">
        <f>D31/D11</f>
        <v>0.17269022263382078</v>
      </c>
      <c r="E45" s="248">
        <f>E31/E11</f>
        <v>0.17344681057539141</v>
      </c>
      <c r="F45" s="248">
        <f>F31/F11</f>
        <v>0.1722121002083328</v>
      </c>
      <c r="G45" s="248">
        <f>G31/G11</f>
        <v>0.17344681057539177</v>
      </c>
      <c r="H45" s="17">
        <f t="shared" si="3"/>
        <v>1.4582676697889596E-3</v>
      </c>
      <c r="I45" s="247"/>
      <c r="J45" s="247"/>
      <c r="K45" s="247"/>
      <c r="L45" s="247"/>
      <c r="M45" s="247"/>
      <c r="N45" s="247"/>
      <c r="O45" s="248"/>
      <c r="Q45" s="5"/>
      <c r="R45" s="5"/>
      <c r="S45" s="42"/>
      <c r="T45" s="42"/>
      <c r="U45" s="42"/>
      <c r="V45" s="42"/>
      <c r="W45" s="42"/>
      <c r="X45" s="42"/>
      <c r="Y45" s="42"/>
      <c r="Z45" s="42"/>
      <c r="AA45" s="326"/>
      <c r="AB45" s="303"/>
    </row>
    <row r="46" spans="2:42">
      <c r="B46" s="5" t="s">
        <v>605</v>
      </c>
      <c r="C46" s="247"/>
      <c r="D46" s="248">
        <f>(D31+D32)/D11</f>
        <v>0.17269022263382078</v>
      </c>
      <c r="E46" s="248">
        <f>(E31+E32)/E11</f>
        <v>0.17344681057539141</v>
      </c>
      <c r="F46" s="248">
        <f>(F31+F32)/F11</f>
        <v>0.1722121002083328</v>
      </c>
      <c r="G46" s="248">
        <f>(G31+G32)/G11</f>
        <v>0.17344681057539177</v>
      </c>
      <c r="H46" s="279">
        <f>((G31+G32)/(D31+D32))^(1/3)-1</f>
        <v>1.4582676697889596E-3</v>
      </c>
      <c r="I46" s="17"/>
      <c r="J46" s="247"/>
      <c r="K46" s="247"/>
      <c r="L46" s="247"/>
      <c r="M46" s="247"/>
      <c r="N46" s="247"/>
      <c r="O46" s="18"/>
      <c r="Q46" s="5"/>
      <c r="R46" s="5"/>
      <c r="S46" s="42"/>
      <c r="T46" s="42"/>
      <c r="U46" s="42"/>
      <c r="V46" s="42"/>
      <c r="W46" s="42"/>
      <c r="X46" s="42"/>
      <c r="Y46" s="42"/>
      <c r="Z46" s="42"/>
      <c r="AA46" s="326"/>
      <c r="AB46" s="303"/>
    </row>
    <row r="47" spans="2:42">
      <c r="B47" s="5" t="s">
        <v>581</v>
      </c>
      <c r="C47" s="5"/>
      <c r="D47" s="248">
        <f>1/D43</f>
        <v>0.23630333630734493</v>
      </c>
      <c r="E47" s="248">
        <f>1/E43</f>
        <v>0.23733862511568804</v>
      </c>
      <c r="F47" s="248">
        <f>1/F43</f>
        <v>0.23564909009361334</v>
      </c>
      <c r="G47" s="248">
        <f>1/G43</f>
        <v>0.24058500930480939</v>
      </c>
      <c r="H47" s="17">
        <f>H29</f>
        <v>6.0036813160782021E-3</v>
      </c>
      <c r="I47" s="247"/>
      <c r="J47" s="248"/>
      <c r="K47" s="248"/>
      <c r="L47" s="248"/>
      <c r="M47" s="248"/>
      <c r="N47" s="248"/>
      <c r="O47" s="248"/>
      <c r="Q47" s="5"/>
      <c r="R47" s="5"/>
      <c r="S47" s="5"/>
      <c r="T47" s="5"/>
      <c r="U47" s="5"/>
      <c r="AA47" s="303"/>
      <c r="AB47" s="303"/>
    </row>
    <row r="48" spans="2:42">
      <c r="B48" s="5" t="s">
        <v>618</v>
      </c>
      <c r="C48" s="5"/>
      <c r="D48" s="305">
        <f>D31/D29</f>
        <v>0.73079891859509538</v>
      </c>
      <c r="E48" s="305">
        <f>E31/E29</f>
        <v>0.73079891859509472</v>
      </c>
      <c r="F48" s="305">
        <f>F31/F29</f>
        <v>0.7307989185951036</v>
      </c>
      <c r="G48" s="305">
        <f>G31/G29</f>
        <v>0.72093773039550924</v>
      </c>
      <c r="H48" s="17">
        <f>H30</f>
        <v>-3.031445748740591E-3</v>
      </c>
      <c r="I48" s="259"/>
      <c r="J48" s="247"/>
      <c r="K48" s="247"/>
      <c r="L48" s="247"/>
      <c r="M48" s="247"/>
      <c r="N48" s="247"/>
      <c r="O48" s="248"/>
      <c r="Q48" s="5"/>
      <c r="R48" s="5"/>
      <c r="S48" s="5"/>
      <c r="T48" s="5"/>
      <c r="U48" s="5"/>
      <c r="AA48" s="303"/>
      <c r="AB48" s="303"/>
    </row>
    <row r="49" spans="2:28">
      <c r="B49" s="41"/>
      <c r="C49" s="17"/>
      <c r="D49" s="17"/>
      <c r="E49" s="17"/>
      <c r="F49" s="17"/>
      <c r="G49" s="17"/>
      <c r="H49" s="17"/>
      <c r="I49" s="17"/>
      <c r="J49" s="249"/>
      <c r="K49" s="249"/>
      <c r="L49" s="249"/>
      <c r="M49" s="249"/>
      <c r="N49" s="249"/>
      <c r="O49" s="250"/>
      <c r="Q49" s="5"/>
      <c r="R49" s="5"/>
      <c r="S49" s="5"/>
      <c r="T49" s="5"/>
      <c r="U49" s="5"/>
      <c r="W49" s="10"/>
      <c r="X49" s="10"/>
      <c r="AA49" s="303"/>
      <c r="AB49" s="303"/>
    </row>
    <row r="50" spans="2:28">
      <c r="B50" s="5"/>
      <c r="C50" s="257"/>
      <c r="D50" s="257"/>
      <c r="E50" s="257"/>
      <c r="F50" s="5"/>
      <c r="G50" s="41"/>
      <c r="H50" s="249"/>
      <c r="I50" s="259"/>
      <c r="J50" s="254"/>
      <c r="K50" s="254"/>
      <c r="L50" s="254"/>
      <c r="M50" s="254"/>
      <c r="N50" s="254"/>
      <c r="O50" s="251"/>
      <c r="Q50" s="5"/>
      <c r="R50" s="5"/>
      <c r="S50" s="5"/>
      <c r="T50" s="5"/>
      <c r="U50" s="5"/>
      <c r="W50" s="10"/>
      <c r="X50" s="10"/>
      <c r="Y50" s="10"/>
      <c r="Z50" s="10"/>
    </row>
    <row r="51" spans="2:28">
      <c r="B51" s="41"/>
      <c r="C51" s="249"/>
      <c r="D51" s="254"/>
      <c r="E51" s="254"/>
      <c r="F51" s="254"/>
      <c r="G51" s="254"/>
      <c r="H51" s="254"/>
      <c r="I51" s="254"/>
      <c r="J51" s="17"/>
      <c r="K51" s="17"/>
      <c r="L51" s="17"/>
      <c r="M51" s="17"/>
      <c r="N51" s="17"/>
      <c r="O51" s="248"/>
      <c r="Q51" s="5"/>
      <c r="R51" s="5"/>
      <c r="S51" s="5"/>
      <c r="T51" s="5"/>
      <c r="U51" s="5"/>
      <c r="Y51" s="10"/>
      <c r="Z51" s="10"/>
    </row>
    <row r="52" spans="2:28">
      <c r="B52" s="5"/>
      <c r="C52" s="257"/>
      <c r="D52" s="17"/>
      <c r="E52" s="17"/>
      <c r="F52" s="17"/>
      <c r="G52" s="17"/>
      <c r="H52" s="17"/>
      <c r="I52" s="17"/>
      <c r="J52" s="259"/>
      <c r="K52" s="259"/>
      <c r="L52" s="259"/>
      <c r="M52" s="259"/>
      <c r="N52" s="259"/>
      <c r="O52" s="18"/>
      <c r="Q52" s="5"/>
      <c r="R52" s="5"/>
      <c r="S52" s="5"/>
      <c r="T52" s="5"/>
      <c r="U52" s="5"/>
    </row>
    <row r="53" spans="2:28">
      <c r="B53" s="5"/>
      <c r="C53" s="257"/>
      <c r="D53" s="257"/>
      <c r="E53" s="257"/>
      <c r="F53" s="5"/>
      <c r="G53" s="5"/>
      <c r="H53" s="259"/>
      <c r="I53" s="259"/>
      <c r="J53" s="254"/>
      <c r="K53" s="254"/>
      <c r="L53" s="254"/>
      <c r="M53" s="254"/>
      <c r="N53" s="254"/>
      <c r="O53" s="251"/>
      <c r="Q53" s="5"/>
      <c r="R53" s="5"/>
      <c r="S53" s="5"/>
      <c r="T53" s="5"/>
      <c r="U53" s="5"/>
    </row>
    <row r="54" spans="2:28">
      <c r="B54" s="41"/>
      <c r="C54" s="249"/>
      <c r="D54" s="254"/>
      <c r="E54" s="254"/>
      <c r="F54" s="254"/>
      <c r="G54" s="254"/>
      <c r="H54" s="254"/>
      <c r="I54" s="249"/>
      <c r="J54" s="17"/>
      <c r="K54" s="17"/>
      <c r="L54" s="17"/>
      <c r="M54" s="17"/>
      <c r="N54" s="17"/>
      <c r="O54" s="18"/>
      <c r="Q54" s="5"/>
      <c r="R54" s="5"/>
      <c r="S54" s="5"/>
      <c r="T54" s="5"/>
      <c r="U54" s="5"/>
    </row>
    <row r="55" spans="2:28">
      <c r="B55" s="5"/>
      <c r="C55" s="257"/>
      <c r="D55" s="17"/>
      <c r="E55" s="17"/>
      <c r="F55" s="17"/>
      <c r="G55" s="17"/>
      <c r="H55" s="17"/>
      <c r="I55" s="248"/>
      <c r="J55" s="259"/>
      <c r="K55" s="259"/>
      <c r="L55" s="259"/>
      <c r="M55" s="259"/>
      <c r="N55" s="259"/>
      <c r="O55" s="18"/>
      <c r="Q55" s="5"/>
      <c r="R55" s="5"/>
      <c r="S55" s="5"/>
      <c r="T55" s="5"/>
      <c r="U55" s="5"/>
    </row>
    <row r="56" spans="2:28">
      <c r="B56" s="5"/>
      <c r="C56" s="248"/>
      <c r="D56" s="248"/>
      <c r="E56" s="248"/>
      <c r="F56" s="5"/>
      <c r="G56" s="5"/>
      <c r="H56" s="259"/>
      <c r="I56" s="5"/>
      <c r="J56" s="249"/>
      <c r="K56" s="249"/>
      <c r="L56" s="249"/>
      <c r="M56" s="249"/>
      <c r="N56" s="249"/>
      <c r="O56" s="251"/>
      <c r="Q56" s="5"/>
      <c r="R56" s="5"/>
      <c r="S56" s="5"/>
      <c r="T56" s="5"/>
      <c r="U56" s="5"/>
    </row>
    <row r="57" spans="2:28">
      <c r="B57" s="41"/>
      <c r="C57" s="249"/>
      <c r="D57" s="249"/>
      <c r="E57" s="249"/>
      <c r="F57" s="249"/>
      <c r="G57" s="249"/>
      <c r="H57" s="249"/>
      <c r="I57" s="17"/>
      <c r="J57" s="248"/>
      <c r="K57" s="248"/>
      <c r="L57" s="248"/>
      <c r="M57" s="248"/>
      <c r="N57" s="248"/>
      <c r="O57" s="18"/>
      <c r="Q57" s="5"/>
      <c r="R57" s="5"/>
      <c r="S57" s="5"/>
      <c r="T57" s="5"/>
      <c r="U57" s="5"/>
    </row>
    <row r="58" spans="2:28">
      <c r="B58" s="5"/>
      <c r="C58" s="5"/>
      <c r="D58" s="248"/>
      <c r="E58" s="248"/>
      <c r="F58" s="248"/>
      <c r="G58" s="248"/>
      <c r="H58" s="248"/>
      <c r="I58" s="5"/>
      <c r="J58" s="5"/>
      <c r="K58" s="5"/>
      <c r="L58" s="5"/>
      <c r="M58" s="5"/>
      <c r="N58" s="5"/>
      <c r="O58" s="5"/>
      <c r="Q58" s="5"/>
      <c r="R58" s="5"/>
      <c r="S58" s="5"/>
      <c r="T58" s="5"/>
      <c r="U58" s="5"/>
    </row>
    <row r="59" spans="2:28">
      <c r="B59" s="5"/>
      <c r="C59" s="5"/>
      <c r="D59" s="5"/>
      <c r="E59" s="5"/>
      <c r="F59" s="5"/>
      <c r="G59" s="5"/>
      <c r="H59" s="5"/>
      <c r="I59" s="249"/>
      <c r="J59" s="17"/>
      <c r="K59" s="17"/>
      <c r="L59" s="17"/>
      <c r="M59" s="17"/>
      <c r="N59" s="17"/>
      <c r="O59" s="251"/>
      <c r="Q59" s="5"/>
      <c r="R59" s="5"/>
      <c r="S59" s="5"/>
      <c r="T59" s="5"/>
      <c r="U59" s="5"/>
    </row>
    <row r="60" spans="2:28">
      <c r="B60" s="41"/>
      <c r="C60" s="17"/>
      <c r="D60" s="17"/>
      <c r="E60" s="17"/>
      <c r="F60" s="17"/>
      <c r="G60" s="17"/>
      <c r="H60" s="17"/>
      <c r="I60" s="5"/>
      <c r="J60" s="5"/>
      <c r="K60" s="5"/>
      <c r="L60" s="5"/>
      <c r="M60" s="5"/>
      <c r="N60" s="5"/>
      <c r="O60" s="5"/>
      <c r="Q60" s="41"/>
      <c r="R60" s="5"/>
      <c r="S60" s="5"/>
      <c r="T60" s="5"/>
      <c r="U60" s="5"/>
    </row>
    <row r="61" spans="2:28">
      <c r="B61" s="5"/>
      <c r="C61" s="5"/>
      <c r="D61" s="5"/>
      <c r="E61" s="5"/>
      <c r="F61" s="5"/>
      <c r="G61" s="5"/>
      <c r="H61" s="5"/>
      <c r="I61" s="5"/>
      <c r="J61" s="249"/>
      <c r="K61" s="249"/>
      <c r="L61" s="249"/>
      <c r="M61" s="249"/>
      <c r="N61" s="249"/>
      <c r="O61" s="251"/>
      <c r="Q61" s="5"/>
      <c r="R61" s="5"/>
      <c r="S61" s="5"/>
      <c r="T61" s="5"/>
      <c r="U61" s="5"/>
    </row>
    <row r="62" spans="2:28">
      <c r="B62" s="41"/>
      <c r="C62" s="249"/>
      <c r="D62" s="249"/>
      <c r="E62" s="249"/>
      <c r="F62" s="249"/>
      <c r="G62" s="249"/>
      <c r="H62" s="249"/>
      <c r="I62" s="254"/>
      <c r="J62" s="5"/>
      <c r="K62" s="5"/>
      <c r="L62" s="5"/>
      <c r="M62" s="5"/>
      <c r="N62" s="5"/>
      <c r="O62" s="5"/>
      <c r="Q62" s="5"/>
      <c r="R62" s="5"/>
      <c r="S62" s="5"/>
      <c r="T62" s="5"/>
      <c r="U62" s="5"/>
    </row>
    <row r="63" spans="2:28">
      <c r="B63" s="5"/>
      <c r="C63" s="5"/>
      <c r="D63" s="5"/>
      <c r="E63" s="5"/>
      <c r="F63" s="5"/>
      <c r="G63" s="5"/>
      <c r="H63" s="5"/>
      <c r="I63" s="17"/>
      <c r="J63" s="5"/>
      <c r="K63" s="5"/>
      <c r="L63" s="5"/>
      <c r="M63" s="5"/>
      <c r="N63" s="5"/>
      <c r="O63" s="5"/>
      <c r="Q63" s="5"/>
      <c r="R63" s="5"/>
      <c r="S63" s="5"/>
      <c r="T63" s="5"/>
      <c r="U63" s="5"/>
    </row>
    <row r="64" spans="2:28">
      <c r="B64" s="5"/>
      <c r="C64" s="5"/>
      <c r="D64" s="5"/>
      <c r="E64" s="5"/>
      <c r="F64" s="5"/>
      <c r="G64" s="5"/>
      <c r="H64" s="5"/>
      <c r="I64" s="254"/>
      <c r="J64" s="254"/>
      <c r="K64" s="254"/>
      <c r="L64" s="254"/>
      <c r="M64" s="254"/>
      <c r="N64" s="254"/>
      <c r="O64" s="251"/>
      <c r="Q64" s="5"/>
      <c r="R64" s="5"/>
      <c r="S64" s="5"/>
      <c r="T64" s="5"/>
      <c r="U64" s="5"/>
    </row>
    <row r="65" spans="2:26">
      <c r="B65" s="41"/>
      <c r="C65" s="249"/>
      <c r="D65" s="254"/>
      <c r="E65" s="254"/>
      <c r="F65" s="254"/>
      <c r="G65" s="254"/>
      <c r="H65" s="254"/>
      <c r="I65" s="248"/>
      <c r="J65" s="17"/>
      <c r="K65" s="17"/>
      <c r="L65" s="17"/>
      <c r="M65" s="17"/>
      <c r="N65" s="17"/>
      <c r="O65" s="5"/>
      <c r="Q65" s="5"/>
      <c r="R65" s="5"/>
      <c r="S65" s="5"/>
      <c r="T65" s="5"/>
      <c r="U65" s="5"/>
    </row>
    <row r="66" spans="2:26">
      <c r="B66" s="5"/>
      <c r="C66" s="5"/>
      <c r="D66" s="17"/>
      <c r="E66" s="17"/>
      <c r="F66" s="17"/>
      <c r="G66" s="17"/>
      <c r="H66" s="17"/>
      <c r="I66" s="5"/>
      <c r="J66" s="254"/>
      <c r="K66" s="254"/>
      <c r="L66" s="254"/>
      <c r="M66" s="254"/>
      <c r="N66" s="254"/>
      <c r="O66" s="251"/>
      <c r="Q66" s="41"/>
      <c r="R66" s="5"/>
      <c r="S66" s="5"/>
      <c r="T66" s="5"/>
      <c r="U66" s="5"/>
    </row>
    <row r="67" spans="2:26">
      <c r="B67" s="41"/>
      <c r="C67" s="249"/>
      <c r="D67" s="254"/>
      <c r="E67" s="254"/>
      <c r="F67" s="254"/>
      <c r="G67" s="254"/>
      <c r="H67" s="254"/>
      <c r="I67" s="245"/>
      <c r="J67" s="248"/>
      <c r="K67" s="248"/>
      <c r="L67" s="248"/>
      <c r="M67" s="248"/>
      <c r="N67" s="248"/>
      <c r="O67" s="5"/>
      <c r="Q67" s="5"/>
      <c r="R67" s="5"/>
      <c r="S67" s="5"/>
      <c r="T67" s="5"/>
      <c r="U67" s="5"/>
    </row>
    <row r="68" spans="2:26">
      <c r="B68" s="5"/>
      <c r="C68" s="5"/>
      <c r="D68" s="248"/>
      <c r="E68" s="248"/>
      <c r="F68" s="248"/>
      <c r="G68" s="248"/>
      <c r="H68" s="248"/>
      <c r="I68" s="248"/>
      <c r="J68" s="5"/>
      <c r="K68" s="5"/>
      <c r="L68" s="5"/>
      <c r="M68" s="5"/>
      <c r="N68" s="5"/>
      <c r="O68" s="5"/>
      <c r="Q68" s="5"/>
      <c r="R68" s="5"/>
      <c r="S68" s="5"/>
      <c r="T68" s="5"/>
      <c r="U68" s="5"/>
    </row>
    <row r="69" spans="2:26">
      <c r="B69" s="41"/>
      <c r="C69" s="5"/>
      <c r="D69" s="5"/>
      <c r="E69" s="5"/>
      <c r="F69" s="5"/>
      <c r="G69" s="5"/>
      <c r="H69" s="5"/>
      <c r="I69" s="5"/>
      <c r="J69" s="245"/>
      <c r="K69" s="245"/>
      <c r="L69" s="245"/>
      <c r="M69" s="245"/>
      <c r="N69" s="245"/>
      <c r="O69" s="251"/>
      <c r="Q69" s="5"/>
      <c r="R69" s="5"/>
      <c r="S69" s="5"/>
      <c r="T69" s="5"/>
      <c r="U69" s="5"/>
      <c r="W69" s="76"/>
      <c r="X69" s="76"/>
    </row>
    <row r="70" spans="2:26">
      <c r="B70" s="41"/>
      <c r="C70" s="245"/>
      <c r="D70" s="245"/>
      <c r="E70" s="245"/>
      <c r="F70" s="245"/>
      <c r="G70" s="245"/>
      <c r="H70" s="245"/>
      <c r="I70" s="245"/>
      <c r="J70" s="248"/>
      <c r="K70" s="248"/>
      <c r="L70" s="248"/>
      <c r="M70" s="248"/>
      <c r="N70" s="248"/>
      <c r="O70" s="5"/>
      <c r="Q70" s="5"/>
      <c r="R70" s="5"/>
      <c r="S70" s="5"/>
      <c r="T70" s="5"/>
      <c r="U70" s="5"/>
      <c r="W70" s="76"/>
      <c r="X70" s="76"/>
      <c r="Y70" s="76"/>
      <c r="Z70" s="76"/>
    </row>
    <row r="71" spans="2:26">
      <c r="B71" s="5"/>
      <c r="C71" s="5"/>
      <c r="D71" s="248"/>
      <c r="E71" s="248"/>
      <c r="F71" s="248"/>
      <c r="G71" s="248"/>
      <c r="H71" s="248"/>
      <c r="I71" s="18"/>
      <c r="J71" s="5"/>
      <c r="K71" s="5"/>
      <c r="L71" s="5"/>
      <c r="M71" s="5"/>
      <c r="N71" s="5"/>
      <c r="O71" s="5"/>
      <c r="Q71" s="5"/>
      <c r="R71" s="5"/>
      <c r="S71" s="5"/>
      <c r="T71" s="5"/>
      <c r="U71" s="5"/>
      <c r="Y71" s="76"/>
      <c r="Z71" s="76"/>
    </row>
    <row r="72" spans="2:26">
      <c r="B72" s="41"/>
      <c r="C72" s="5"/>
      <c r="D72" s="5"/>
      <c r="E72" s="5"/>
      <c r="F72" s="5"/>
      <c r="G72" s="5"/>
      <c r="H72" s="5"/>
      <c r="I72" s="5"/>
      <c r="J72" s="245"/>
      <c r="K72" s="245"/>
      <c r="L72" s="245"/>
      <c r="M72" s="245"/>
      <c r="N72" s="245"/>
      <c r="O72" s="251"/>
      <c r="Q72" s="5"/>
      <c r="R72" s="5"/>
      <c r="S72" s="5"/>
      <c r="T72" s="5"/>
      <c r="U72" s="5"/>
    </row>
    <row r="73" spans="2:26">
      <c r="B73" s="41"/>
      <c r="C73" s="245"/>
      <c r="D73" s="245"/>
      <c r="E73" s="245"/>
      <c r="F73" s="245"/>
      <c r="G73" s="245"/>
      <c r="H73" s="245"/>
      <c r="I73" s="249"/>
      <c r="J73" s="18"/>
      <c r="K73" s="18"/>
      <c r="L73" s="18"/>
      <c r="M73" s="18"/>
      <c r="N73" s="18"/>
      <c r="O73" s="5"/>
      <c r="Q73" s="5"/>
      <c r="R73" s="5"/>
      <c r="S73" s="5"/>
      <c r="T73" s="5"/>
      <c r="U73" s="5"/>
    </row>
    <row r="74" spans="2:26">
      <c r="B74" s="5"/>
      <c r="C74" s="5"/>
      <c r="D74" s="18"/>
      <c r="E74" s="18"/>
      <c r="F74" s="18"/>
      <c r="G74" s="18"/>
      <c r="H74" s="18"/>
      <c r="I74" s="248"/>
      <c r="J74" s="5"/>
      <c r="K74" s="5"/>
      <c r="L74" s="5"/>
      <c r="M74" s="5"/>
      <c r="N74" s="5"/>
      <c r="O74" s="5"/>
      <c r="Q74" s="5"/>
      <c r="R74" s="5"/>
      <c r="S74" s="5"/>
      <c r="T74" s="5"/>
      <c r="U74" s="5"/>
    </row>
    <row r="75" spans="2:26">
      <c r="B75" s="41"/>
      <c r="C75" s="5"/>
      <c r="D75" s="5"/>
      <c r="E75" s="5"/>
      <c r="F75" s="5"/>
      <c r="G75" s="5"/>
      <c r="H75" s="5"/>
      <c r="I75" s="5"/>
      <c r="J75" s="249"/>
      <c r="K75" s="249"/>
      <c r="L75" s="249"/>
      <c r="M75" s="249"/>
      <c r="N75" s="249"/>
      <c r="O75" s="251"/>
      <c r="Q75" s="5"/>
      <c r="R75" s="5"/>
      <c r="S75" s="5"/>
      <c r="T75" s="5"/>
      <c r="U75" s="5"/>
    </row>
    <row r="76" spans="2:26">
      <c r="B76" s="41"/>
      <c r="C76" s="249"/>
      <c r="D76" s="249"/>
      <c r="E76" s="249"/>
      <c r="F76" s="249"/>
      <c r="G76" s="249"/>
      <c r="H76" s="249"/>
      <c r="I76" s="245"/>
      <c r="J76" s="248"/>
      <c r="K76" s="248"/>
      <c r="L76" s="248"/>
      <c r="M76" s="248"/>
      <c r="N76" s="248"/>
      <c r="O76" s="5"/>
      <c r="Q76" s="5"/>
      <c r="R76" s="5"/>
      <c r="S76" s="5"/>
      <c r="T76" s="5"/>
      <c r="U76" s="5"/>
    </row>
    <row r="77" spans="2:26">
      <c r="B77" s="5"/>
      <c r="C77" s="5"/>
      <c r="D77" s="248"/>
      <c r="E77" s="248"/>
      <c r="F77" s="248"/>
      <c r="G77" s="248"/>
      <c r="H77" s="248"/>
      <c r="I77" s="248"/>
      <c r="J77" s="5"/>
      <c r="K77" s="5"/>
      <c r="L77" s="5"/>
      <c r="M77" s="5"/>
      <c r="N77" s="5"/>
      <c r="O77" s="5"/>
      <c r="Q77" s="5"/>
      <c r="R77" s="5"/>
      <c r="S77" s="5"/>
      <c r="T77" s="5"/>
      <c r="U77" s="5"/>
    </row>
    <row r="78" spans="2:26">
      <c r="B78" s="41"/>
      <c r="C78" s="5"/>
      <c r="D78" s="5"/>
      <c r="E78" s="5"/>
      <c r="F78" s="5"/>
      <c r="G78" s="5"/>
      <c r="H78" s="5"/>
      <c r="I78" s="5"/>
      <c r="J78" s="245"/>
      <c r="K78" s="245"/>
      <c r="L78" s="245"/>
      <c r="M78" s="245"/>
      <c r="N78" s="245"/>
      <c r="O78" s="251"/>
      <c r="Q78" s="5"/>
      <c r="R78" s="5"/>
      <c r="S78" s="5"/>
      <c r="T78" s="5"/>
      <c r="U78" s="5"/>
    </row>
    <row r="79" spans="2:26">
      <c r="B79" s="41"/>
      <c r="C79" s="245"/>
      <c r="D79" s="245"/>
      <c r="E79" s="245"/>
      <c r="F79" s="245"/>
      <c r="G79" s="245"/>
      <c r="H79" s="245"/>
      <c r="I79" s="249"/>
      <c r="J79" s="248"/>
      <c r="K79" s="248"/>
      <c r="L79" s="248"/>
      <c r="M79" s="248"/>
      <c r="N79" s="248"/>
      <c r="O79" s="5"/>
      <c r="Q79" s="5"/>
      <c r="R79" s="5"/>
      <c r="S79" s="5"/>
      <c r="T79" s="5"/>
      <c r="U79" s="5"/>
    </row>
    <row r="80" spans="2:26">
      <c r="B80" s="5"/>
      <c r="C80" s="5"/>
      <c r="D80" s="248"/>
      <c r="E80" s="248"/>
      <c r="F80" s="248"/>
      <c r="G80" s="248"/>
      <c r="H80" s="248"/>
      <c r="I80" s="248"/>
      <c r="J80" s="5"/>
      <c r="K80" s="5"/>
      <c r="L80" s="5"/>
      <c r="M80" s="5"/>
      <c r="N80" s="5"/>
      <c r="O80" s="5"/>
      <c r="Q80" s="5"/>
      <c r="R80" s="5"/>
      <c r="S80" s="5"/>
      <c r="T80" s="5"/>
      <c r="U80" s="5"/>
    </row>
    <row r="81" spans="2:26">
      <c r="B81" s="41"/>
      <c r="C81" s="5"/>
      <c r="D81" s="5"/>
      <c r="E81" s="5"/>
      <c r="F81" s="5"/>
      <c r="G81" s="5"/>
      <c r="H81" s="5"/>
      <c r="I81" s="259"/>
      <c r="J81" s="249"/>
      <c r="K81" s="249"/>
      <c r="L81" s="249"/>
      <c r="M81" s="249"/>
      <c r="N81" s="249"/>
      <c r="O81" s="251"/>
      <c r="Q81" s="5"/>
      <c r="R81" s="5"/>
      <c r="S81" s="5"/>
      <c r="T81" s="5"/>
      <c r="U81" s="5"/>
    </row>
    <row r="82" spans="2:26">
      <c r="B82" s="41"/>
      <c r="C82" s="249"/>
      <c r="D82" s="249"/>
      <c r="E82" s="249"/>
      <c r="F82" s="249"/>
      <c r="G82" s="249"/>
      <c r="H82" s="249"/>
      <c r="I82" s="5"/>
      <c r="J82" s="248"/>
      <c r="K82" s="248"/>
      <c r="L82" s="248"/>
      <c r="M82" s="248"/>
      <c r="N82" s="248"/>
      <c r="O82" s="5"/>
      <c r="Q82" s="5"/>
      <c r="R82" s="5"/>
      <c r="S82" s="5"/>
      <c r="T82" s="5"/>
      <c r="U82" s="5"/>
    </row>
    <row r="83" spans="2:26">
      <c r="B83" s="5"/>
      <c r="C83" s="5"/>
      <c r="D83" s="248"/>
      <c r="E83" s="248"/>
      <c r="F83" s="248"/>
      <c r="G83" s="248"/>
      <c r="H83" s="248"/>
      <c r="I83" s="245"/>
      <c r="J83" s="259"/>
      <c r="K83" s="259"/>
      <c r="L83" s="259"/>
      <c r="M83" s="259"/>
      <c r="N83" s="259"/>
      <c r="O83" s="251"/>
      <c r="Q83" s="5"/>
      <c r="R83" s="5"/>
      <c r="S83" s="5"/>
      <c r="T83" s="5"/>
      <c r="U83" s="5"/>
    </row>
    <row r="84" spans="2:26">
      <c r="B84" s="5"/>
      <c r="C84" s="259"/>
      <c r="D84" s="259"/>
      <c r="E84" s="259"/>
      <c r="F84" s="259"/>
      <c r="G84" s="259"/>
      <c r="H84" s="259"/>
      <c r="I84" s="248"/>
      <c r="J84" s="5"/>
      <c r="K84" s="5"/>
      <c r="L84" s="5"/>
      <c r="M84" s="5"/>
      <c r="N84" s="5"/>
      <c r="O84" s="5"/>
      <c r="Q84" s="5"/>
      <c r="R84" s="5"/>
      <c r="S84" s="5"/>
      <c r="T84" s="5"/>
      <c r="U84" s="5"/>
    </row>
    <row r="85" spans="2:26">
      <c r="B85" s="41"/>
      <c r="C85" s="5"/>
      <c r="D85" s="5"/>
      <c r="E85" s="5"/>
      <c r="F85" s="5"/>
      <c r="G85" s="5"/>
      <c r="H85" s="5"/>
      <c r="I85" s="5"/>
      <c r="J85" s="245"/>
      <c r="K85" s="245"/>
      <c r="L85" s="245"/>
      <c r="M85" s="245"/>
      <c r="N85" s="245"/>
      <c r="O85" s="251"/>
      <c r="Q85" s="5"/>
      <c r="R85" s="5"/>
      <c r="S85" s="5"/>
      <c r="T85" s="5"/>
      <c r="U85" s="5"/>
    </row>
    <row r="86" spans="2:26">
      <c r="B86" s="41"/>
      <c r="C86" s="245"/>
      <c r="D86" s="245"/>
      <c r="E86" s="245"/>
      <c r="F86" s="245"/>
      <c r="G86" s="245"/>
      <c r="H86" s="245"/>
      <c r="I86" s="5"/>
      <c r="J86" s="248"/>
      <c r="K86" s="248"/>
      <c r="L86" s="248"/>
      <c r="M86" s="248"/>
      <c r="N86" s="248"/>
      <c r="O86" s="5"/>
      <c r="Q86" s="5"/>
      <c r="R86" s="5"/>
      <c r="S86" s="5"/>
      <c r="T86" s="5"/>
      <c r="U86" s="5"/>
    </row>
    <row r="87" spans="2:26">
      <c r="B87" s="5"/>
      <c r="C87" s="5"/>
      <c r="D87" s="248"/>
      <c r="E87" s="248"/>
      <c r="F87" s="248"/>
      <c r="G87" s="248"/>
      <c r="H87" s="248"/>
      <c r="I87" s="5"/>
      <c r="J87" s="5"/>
      <c r="K87" s="5"/>
      <c r="L87" s="5"/>
      <c r="M87" s="5"/>
      <c r="N87" s="5"/>
      <c r="O87" s="5"/>
      <c r="Q87" s="5"/>
      <c r="R87" s="5"/>
      <c r="S87" s="5"/>
      <c r="T87" s="5"/>
      <c r="U87" s="5"/>
    </row>
    <row r="88" spans="2:26">
      <c r="B88" s="41"/>
      <c r="C88" s="5"/>
      <c r="D88" s="5"/>
      <c r="E88" s="5"/>
      <c r="F88" s="5"/>
      <c r="G88" s="5"/>
      <c r="H88" s="5"/>
      <c r="I88" s="5"/>
      <c r="J88" s="5"/>
      <c r="K88" s="5"/>
      <c r="L88" s="5"/>
      <c r="M88" s="5"/>
      <c r="N88" s="5"/>
      <c r="O88" s="5"/>
      <c r="Q88" s="5"/>
      <c r="R88" s="5"/>
      <c r="S88" s="5"/>
      <c r="T88" s="5"/>
      <c r="U88" s="5"/>
    </row>
    <row r="89" spans="2:26">
      <c r="B89" s="41"/>
      <c r="C89" s="5"/>
      <c r="D89" s="5"/>
      <c r="E89" s="5"/>
      <c r="F89" s="5"/>
      <c r="G89" s="5"/>
      <c r="H89" s="5"/>
      <c r="I89" s="49"/>
      <c r="J89" s="5"/>
      <c r="K89" s="5"/>
      <c r="L89" s="5"/>
      <c r="M89" s="5"/>
      <c r="N89" s="5"/>
      <c r="O89" s="5"/>
      <c r="Q89" s="41"/>
      <c r="R89" s="5"/>
      <c r="S89" s="5"/>
      <c r="T89" s="5"/>
      <c r="U89" s="5"/>
    </row>
    <row r="90" spans="2:26">
      <c r="B90" s="41"/>
      <c r="C90" s="5"/>
      <c r="D90" s="5"/>
      <c r="E90" s="5"/>
      <c r="F90" s="5"/>
      <c r="G90" s="5"/>
      <c r="H90" s="5"/>
      <c r="I90" s="5"/>
      <c r="J90" s="5"/>
      <c r="K90" s="5"/>
      <c r="L90" s="5"/>
      <c r="M90" s="5"/>
      <c r="N90" s="5"/>
      <c r="O90" s="5"/>
      <c r="Q90" s="5"/>
      <c r="R90" s="5"/>
      <c r="S90" s="5"/>
      <c r="T90" s="5"/>
      <c r="U90" s="5"/>
    </row>
    <row r="91" spans="2:26">
      <c r="B91" s="5"/>
      <c r="C91" s="5"/>
      <c r="D91" s="5"/>
      <c r="E91" s="5"/>
      <c r="F91" s="5"/>
      <c r="G91" s="5"/>
      <c r="H91" s="5"/>
      <c r="I91" s="247"/>
      <c r="J91" s="49"/>
      <c r="K91" s="49"/>
      <c r="L91" s="49"/>
      <c r="M91" s="49"/>
      <c r="N91" s="49"/>
      <c r="O91" s="49"/>
      <c r="Q91" s="5"/>
      <c r="R91" s="5"/>
      <c r="S91" s="5"/>
      <c r="T91" s="5"/>
      <c r="U91" s="5"/>
      <c r="W91" s="21"/>
      <c r="X91" s="21"/>
    </row>
    <row r="92" spans="2:26">
      <c r="B92" s="41"/>
      <c r="C92" s="49"/>
      <c r="D92" s="49"/>
      <c r="E92" s="49"/>
      <c r="F92" s="49"/>
      <c r="G92" s="49"/>
      <c r="H92" s="49"/>
      <c r="I92" s="247"/>
      <c r="J92" s="5"/>
      <c r="K92" s="5"/>
      <c r="L92" s="5"/>
      <c r="M92" s="5"/>
      <c r="N92" s="5"/>
      <c r="O92" s="5"/>
      <c r="Q92" s="5"/>
      <c r="R92" s="5"/>
      <c r="S92" s="5"/>
      <c r="T92" s="5"/>
      <c r="U92" s="5"/>
      <c r="W92" s="21"/>
      <c r="X92" s="21"/>
      <c r="Y92" s="21"/>
      <c r="Z92" s="21"/>
    </row>
    <row r="93" spans="2:26">
      <c r="B93" s="5"/>
      <c r="C93" s="5"/>
      <c r="D93" s="5"/>
      <c r="E93" s="5"/>
      <c r="F93" s="5"/>
      <c r="G93" s="5"/>
      <c r="H93" s="5"/>
      <c r="I93" s="247"/>
      <c r="J93" s="247"/>
      <c r="K93" s="247"/>
      <c r="L93" s="247"/>
      <c r="M93" s="247"/>
      <c r="N93" s="247"/>
      <c r="O93" s="248"/>
      <c r="Q93" s="5"/>
      <c r="R93" s="5"/>
      <c r="S93" s="5"/>
      <c r="T93" s="5"/>
      <c r="U93" s="5"/>
      <c r="Y93" s="21"/>
      <c r="Z93" s="21"/>
    </row>
    <row r="94" spans="2:26">
      <c r="B94" s="5"/>
      <c r="C94" s="259"/>
      <c r="D94" s="247"/>
      <c r="E94" s="247"/>
      <c r="F94" s="247"/>
      <c r="G94" s="247"/>
      <c r="H94" s="247"/>
      <c r="I94" s="248"/>
      <c r="J94" s="247"/>
      <c r="K94" s="247"/>
      <c r="L94" s="247"/>
      <c r="M94" s="247"/>
      <c r="N94" s="247"/>
      <c r="O94" s="248"/>
      <c r="Q94" s="5"/>
      <c r="R94" s="5"/>
      <c r="S94" s="5"/>
      <c r="T94" s="5"/>
      <c r="U94" s="5"/>
    </row>
    <row r="95" spans="2:26">
      <c r="B95" s="5"/>
      <c r="C95" s="259"/>
      <c r="D95" s="247"/>
      <c r="E95" s="247"/>
      <c r="F95" s="247"/>
      <c r="G95" s="247"/>
      <c r="H95" s="247"/>
      <c r="I95" s="247"/>
      <c r="J95" s="247"/>
      <c r="K95" s="247"/>
      <c r="L95" s="247"/>
      <c r="M95" s="247"/>
      <c r="N95" s="247"/>
      <c r="O95" s="248"/>
      <c r="Q95" s="5"/>
      <c r="R95" s="5"/>
      <c r="S95" s="5"/>
      <c r="T95" s="5"/>
      <c r="U95" s="5"/>
    </row>
    <row r="96" spans="2:26">
      <c r="B96" s="5"/>
      <c r="C96" s="259"/>
      <c r="D96" s="247"/>
      <c r="E96" s="247"/>
      <c r="F96" s="247"/>
      <c r="G96" s="247"/>
      <c r="H96" s="247"/>
      <c r="I96" s="249"/>
      <c r="J96" s="248"/>
      <c r="K96" s="248"/>
      <c r="L96" s="248"/>
      <c r="M96" s="248"/>
      <c r="N96" s="248"/>
      <c r="O96" s="248"/>
      <c r="Q96" s="5"/>
      <c r="R96" s="5"/>
      <c r="S96" s="5"/>
      <c r="T96" s="5"/>
      <c r="U96" s="5"/>
    </row>
    <row r="97" spans="2:21">
      <c r="B97" s="5"/>
      <c r="C97" s="259"/>
      <c r="D97" s="248"/>
      <c r="E97" s="248"/>
      <c r="F97" s="248"/>
      <c r="G97" s="248"/>
      <c r="H97" s="248"/>
      <c r="I97" s="248"/>
      <c r="J97" s="247"/>
      <c r="K97" s="247"/>
      <c r="L97" s="247"/>
      <c r="M97" s="247"/>
      <c r="N97" s="247"/>
      <c r="O97" s="248"/>
      <c r="Q97" s="5"/>
      <c r="R97" s="5"/>
      <c r="S97" s="5"/>
      <c r="T97" s="5"/>
      <c r="U97" s="5"/>
    </row>
    <row r="98" spans="2:21">
      <c r="B98" s="5"/>
      <c r="C98" s="259"/>
      <c r="D98" s="247"/>
      <c r="E98" s="247"/>
      <c r="F98" s="247"/>
      <c r="G98" s="247"/>
      <c r="H98" s="247"/>
      <c r="I98" s="5"/>
      <c r="J98" s="249"/>
      <c r="K98" s="249"/>
      <c r="L98" s="249"/>
      <c r="M98" s="249"/>
      <c r="N98" s="249"/>
      <c r="O98" s="248"/>
      <c r="Q98" s="5"/>
      <c r="R98" s="5"/>
      <c r="S98" s="5"/>
      <c r="T98" s="5"/>
      <c r="U98" s="5"/>
    </row>
    <row r="99" spans="2:21">
      <c r="B99" s="41"/>
      <c r="C99" s="249"/>
      <c r="D99" s="249"/>
      <c r="E99" s="249"/>
      <c r="F99" s="249"/>
      <c r="G99" s="249"/>
      <c r="H99" s="249"/>
      <c r="I99" s="259"/>
      <c r="J99" s="248"/>
      <c r="K99" s="248"/>
      <c r="L99" s="248"/>
      <c r="M99" s="248"/>
      <c r="N99" s="248"/>
      <c r="O99" s="248"/>
      <c r="Q99" s="5"/>
      <c r="R99" s="5"/>
      <c r="S99" s="5"/>
      <c r="T99" s="5"/>
      <c r="U99" s="5"/>
    </row>
    <row r="100" spans="2:21" s="5" customFormat="1">
      <c r="B100" s="41"/>
      <c r="C100" s="257"/>
      <c r="D100" s="248"/>
      <c r="E100" s="248"/>
      <c r="F100" s="248"/>
      <c r="G100" s="248"/>
      <c r="H100" s="248"/>
      <c r="I100" s="259"/>
      <c r="O100" s="248"/>
      <c r="P100" s="39"/>
    </row>
    <row r="101" spans="2:21">
      <c r="B101" s="41"/>
      <c r="C101" s="5"/>
      <c r="D101" s="5"/>
      <c r="E101" s="5"/>
      <c r="F101" s="5"/>
      <c r="G101" s="5"/>
      <c r="H101" s="5"/>
      <c r="I101" s="247"/>
      <c r="J101" s="259"/>
      <c r="K101" s="259"/>
      <c r="L101" s="259"/>
      <c r="M101" s="259"/>
      <c r="N101" s="259"/>
      <c r="O101" s="5"/>
      <c r="Q101" s="5"/>
      <c r="R101" s="5"/>
      <c r="S101" s="5"/>
      <c r="T101" s="5"/>
      <c r="U101" s="5"/>
    </row>
    <row r="102" spans="2:21">
      <c r="B102" s="5"/>
      <c r="C102" s="259"/>
      <c r="D102" s="259"/>
      <c r="E102" s="259"/>
      <c r="F102" s="259"/>
      <c r="G102" s="259"/>
      <c r="H102" s="259"/>
      <c r="I102" s="5"/>
      <c r="J102" s="259"/>
      <c r="K102" s="259"/>
      <c r="L102" s="259"/>
      <c r="M102" s="259"/>
      <c r="N102" s="259"/>
      <c r="O102" s="5"/>
      <c r="P102" s="5"/>
      <c r="Q102" s="5"/>
      <c r="R102" s="5"/>
      <c r="S102" s="5"/>
      <c r="T102" s="5"/>
      <c r="U102" s="5"/>
    </row>
    <row r="103" spans="2:21">
      <c r="B103" s="5"/>
      <c r="C103" s="259"/>
      <c r="D103" s="259"/>
      <c r="E103" s="259"/>
      <c r="F103" s="259"/>
      <c r="G103" s="259"/>
      <c r="H103" s="259"/>
      <c r="I103" s="247"/>
      <c r="J103" s="247"/>
      <c r="K103" s="247"/>
      <c r="L103" s="247"/>
      <c r="M103" s="247"/>
      <c r="N103" s="247"/>
      <c r="O103" s="5"/>
      <c r="Q103" s="5"/>
      <c r="R103" s="5"/>
      <c r="S103" s="5"/>
      <c r="T103" s="5"/>
      <c r="U103" s="5"/>
    </row>
    <row r="104" spans="2:21" s="5" customFormat="1">
      <c r="C104" s="247"/>
      <c r="D104" s="247"/>
      <c r="E104" s="247"/>
      <c r="F104" s="247"/>
      <c r="G104" s="247"/>
      <c r="H104" s="247"/>
      <c r="P104" s="39"/>
    </row>
    <row r="105" spans="2:21" s="5" customFormat="1">
      <c r="I105" s="259"/>
      <c r="J105" s="247"/>
      <c r="K105" s="247"/>
      <c r="L105" s="247"/>
      <c r="M105" s="247"/>
      <c r="N105" s="247"/>
      <c r="P105" s="39"/>
    </row>
    <row r="106" spans="2:21">
      <c r="B106" s="5"/>
      <c r="C106" s="259"/>
      <c r="D106" s="247"/>
      <c r="E106" s="247"/>
      <c r="F106" s="247"/>
      <c r="G106" s="247"/>
      <c r="H106" s="247"/>
      <c r="I106" s="247"/>
      <c r="J106" s="5"/>
      <c r="K106" s="5"/>
      <c r="L106" s="5"/>
      <c r="M106" s="5"/>
      <c r="N106" s="5"/>
      <c r="O106" s="5"/>
      <c r="P106" s="5"/>
      <c r="Q106" s="5"/>
      <c r="R106" s="5"/>
      <c r="S106" s="5"/>
      <c r="T106" s="5"/>
      <c r="U106" s="5"/>
    </row>
    <row r="107" spans="2:21">
      <c r="B107" s="5"/>
      <c r="C107" s="259"/>
      <c r="D107" s="5"/>
      <c r="E107" s="5"/>
      <c r="F107" s="5"/>
      <c r="G107" s="5"/>
      <c r="H107" s="5"/>
      <c r="I107" s="249"/>
      <c r="J107" s="259"/>
      <c r="K107" s="259"/>
      <c r="L107" s="259"/>
      <c r="M107" s="259"/>
      <c r="N107" s="259"/>
      <c r="O107" s="5"/>
      <c r="P107" s="5"/>
      <c r="Q107" s="5"/>
      <c r="R107" s="5"/>
      <c r="S107" s="5"/>
      <c r="T107" s="5"/>
      <c r="U107" s="5"/>
    </row>
    <row r="108" spans="2:21">
      <c r="B108" s="5"/>
      <c r="C108" s="259"/>
      <c r="D108" s="259"/>
      <c r="E108" s="259"/>
      <c r="F108" s="259"/>
      <c r="G108" s="259"/>
      <c r="H108" s="259"/>
      <c r="I108" s="249"/>
      <c r="J108" s="247"/>
      <c r="K108" s="247"/>
      <c r="L108" s="247"/>
      <c r="M108" s="247"/>
      <c r="N108" s="247"/>
      <c r="O108" s="5"/>
      <c r="Q108" s="5"/>
      <c r="R108" s="5"/>
      <c r="S108" s="5"/>
      <c r="T108" s="5"/>
      <c r="U108" s="5"/>
    </row>
    <row r="109" spans="2:21">
      <c r="B109" s="5"/>
      <c r="C109" s="247"/>
      <c r="D109" s="247"/>
      <c r="E109" s="247"/>
      <c r="F109" s="247"/>
      <c r="G109" s="247"/>
      <c r="H109" s="247"/>
      <c r="I109" s="247"/>
      <c r="J109" s="249"/>
      <c r="K109" s="249"/>
      <c r="L109" s="249"/>
      <c r="M109" s="249"/>
      <c r="N109" s="249"/>
      <c r="O109" s="5"/>
      <c r="Q109" s="5"/>
      <c r="R109" s="5"/>
      <c r="S109" s="5"/>
      <c r="T109" s="5"/>
      <c r="U109" s="5"/>
    </row>
    <row r="110" spans="2:21">
      <c r="B110" s="41"/>
      <c r="C110" s="249"/>
      <c r="D110" s="249"/>
      <c r="E110" s="249"/>
      <c r="F110" s="249"/>
      <c r="G110" s="249"/>
      <c r="H110" s="249"/>
      <c r="I110" s="5"/>
      <c r="J110" s="249"/>
      <c r="K110" s="249"/>
      <c r="L110" s="249"/>
      <c r="M110" s="249"/>
      <c r="N110" s="249"/>
      <c r="O110" s="5"/>
      <c r="Q110" s="5"/>
      <c r="R110" s="5"/>
      <c r="S110" s="5"/>
      <c r="T110" s="5"/>
      <c r="U110" s="5"/>
    </row>
    <row r="111" spans="2:21">
      <c r="B111" s="5"/>
      <c r="C111" s="249"/>
      <c r="D111" s="249"/>
      <c r="E111" s="249"/>
      <c r="F111" s="249"/>
      <c r="G111" s="249"/>
      <c r="H111" s="249"/>
      <c r="I111" s="5"/>
      <c r="J111" s="247"/>
      <c r="K111" s="247"/>
      <c r="L111" s="247"/>
      <c r="M111" s="247"/>
      <c r="N111" s="247"/>
      <c r="O111" s="5"/>
      <c r="Q111" s="5"/>
      <c r="R111" s="5"/>
      <c r="S111" s="5"/>
      <c r="T111" s="5"/>
      <c r="U111" s="5"/>
    </row>
    <row r="112" spans="2:21">
      <c r="B112" s="5"/>
      <c r="C112" s="247"/>
      <c r="D112" s="247"/>
      <c r="E112" s="247"/>
      <c r="F112" s="247"/>
      <c r="G112" s="247"/>
      <c r="H112" s="247"/>
      <c r="I112" s="5"/>
      <c r="J112" s="5"/>
      <c r="K112" s="5"/>
      <c r="L112" s="5"/>
      <c r="M112" s="5"/>
      <c r="N112" s="5"/>
      <c r="O112" s="5"/>
      <c r="Q112" s="5"/>
      <c r="R112" s="5"/>
      <c r="S112" s="5"/>
      <c r="T112" s="5"/>
      <c r="U112" s="5"/>
    </row>
    <row r="113" spans="2:21">
      <c r="B113" s="5"/>
      <c r="C113" s="5"/>
      <c r="D113" s="5"/>
      <c r="E113" s="5"/>
      <c r="F113" s="5"/>
      <c r="G113" s="5"/>
      <c r="H113" s="5"/>
      <c r="I113" s="5"/>
      <c r="J113" s="5"/>
      <c r="K113" s="5"/>
      <c r="L113" s="5"/>
      <c r="M113" s="5"/>
      <c r="N113" s="5"/>
      <c r="O113" s="5"/>
      <c r="Q113" s="5"/>
      <c r="R113" s="5"/>
      <c r="S113" s="5"/>
      <c r="T113" s="5"/>
      <c r="U113" s="5"/>
    </row>
    <row r="114" spans="2:21">
      <c r="B114" s="5"/>
      <c r="C114" s="5"/>
      <c r="D114" s="5"/>
      <c r="E114" s="5"/>
      <c r="F114" s="5"/>
      <c r="G114" s="5"/>
      <c r="H114" s="5"/>
      <c r="I114" s="49"/>
      <c r="J114" s="5"/>
      <c r="K114" s="5"/>
      <c r="L114" s="5"/>
      <c r="M114" s="5"/>
      <c r="N114" s="5"/>
      <c r="O114" s="5"/>
      <c r="Q114" s="41"/>
      <c r="R114" s="5"/>
      <c r="S114" s="5"/>
      <c r="T114" s="5"/>
      <c r="U114" s="5"/>
    </row>
    <row r="115" spans="2:21">
      <c r="B115" s="5"/>
      <c r="C115" s="5"/>
      <c r="D115" s="5"/>
      <c r="E115" s="5"/>
      <c r="F115" s="5"/>
      <c r="G115" s="5"/>
      <c r="H115" s="5"/>
      <c r="I115" s="5"/>
      <c r="J115" s="5"/>
      <c r="K115" s="5"/>
      <c r="L115" s="5"/>
      <c r="M115" s="5"/>
      <c r="N115" s="5"/>
      <c r="O115" s="5"/>
      <c r="Q115" s="5"/>
      <c r="R115" s="5"/>
      <c r="S115" s="5"/>
      <c r="T115" s="5"/>
      <c r="U115" s="5"/>
    </row>
    <row r="116" spans="2:21">
      <c r="B116" s="5"/>
      <c r="C116" s="5"/>
      <c r="D116" s="5"/>
      <c r="E116" s="5"/>
      <c r="F116" s="5"/>
      <c r="G116" s="5"/>
      <c r="H116" s="5"/>
      <c r="I116" s="254"/>
      <c r="J116" s="49"/>
      <c r="K116" s="49"/>
      <c r="L116" s="49"/>
      <c r="M116" s="49"/>
      <c r="N116" s="49"/>
      <c r="O116" s="49"/>
      <c r="Q116" s="5"/>
      <c r="R116" s="5"/>
      <c r="S116" s="5"/>
      <c r="T116" s="5"/>
      <c r="U116" s="5"/>
    </row>
    <row r="117" spans="2:21">
      <c r="B117" s="41"/>
      <c r="C117" s="49"/>
      <c r="D117" s="49"/>
      <c r="E117" s="49"/>
      <c r="F117" s="49"/>
      <c r="G117" s="49"/>
      <c r="H117" s="49"/>
      <c r="I117" s="249"/>
      <c r="J117" s="5"/>
      <c r="K117" s="5"/>
      <c r="L117" s="5"/>
      <c r="M117" s="5"/>
      <c r="N117" s="5"/>
      <c r="O117" s="5"/>
      <c r="Q117" s="5"/>
      <c r="R117" s="5"/>
      <c r="S117" s="5"/>
      <c r="T117" s="5"/>
      <c r="U117" s="5"/>
    </row>
    <row r="118" spans="2:21">
      <c r="B118" s="5"/>
      <c r="C118" s="5"/>
      <c r="D118" s="5"/>
      <c r="E118" s="5"/>
      <c r="F118" s="5"/>
      <c r="G118" s="5"/>
      <c r="H118" s="5"/>
      <c r="I118" s="254"/>
      <c r="J118" s="254"/>
      <c r="K118" s="254"/>
      <c r="L118" s="254"/>
      <c r="M118" s="254"/>
      <c r="N118" s="254"/>
      <c r="O118" s="248"/>
      <c r="Q118" s="5"/>
      <c r="R118" s="5"/>
      <c r="S118" s="5"/>
      <c r="T118" s="5"/>
      <c r="U118" s="5"/>
    </row>
    <row r="119" spans="2:21">
      <c r="B119" s="41"/>
      <c r="C119" s="254"/>
      <c r="D119" s="254"/>
      <c r="E119" s="254"/>
      <c r="F119" s="254"/>
      <c r="G119" s="254"/>
      <c r="H119" s="254"/>
      <c r="I119" s="254"/>
      <c r="J119" s="249"/>
      <c r="K119" s="249"/>
      <c r="L119" s="249"/>
      <c r="M119" s="249"/>
      <c r="N119" s="249"/>
      <c r="O119" s="248"/>
      <c r="Q119" s="5"/>
      <c r="R119" s="5"/>
      <c r="S119" s="5"/>
      <c r="T119" s="5"/>
      <c r="U119" s="5"/>
    </row>
    <row r="120" spans="2:21">
      <c r="B120" s="41"/>
      <c r="C120" s="254"/>
      <c r="D120" s="249"/>
      <c r="E120" s="249"/>
      <c r="F120" s="249"/>
      <c r="G120" s="249"/>
      <c r="H120" s="249"/>
      <c r="I120" s="254"/>
      <c r="J120" s="254"/>
      <c r="K120" s="254"/>
      <c r="L120" s="254"/>
      <c r="M120" s="254"/>
      <c r="N120" s="254"/>
      <c r="O120" s="248"/>
      <c r="Q120" s="5"/>
      <c r="R120" s="5"/>
      <c r="S120" s="5"/>
      <c r="T120" s="5"/>
      <c r="U120" s="5"/>
    </row>
    <row r="121" spans="2:21">
      <c r="B121" s="41"/>
      <c r="C121" s="254"/>
      <c r="D121" s="254"/>
      <c r="E121" s="254"/>
      <c r="F121" s="254"/>
      <c r="G121" s="254"/>
      <c r="H121" s="254"/>
      <c r="I121" s="254"/>
      <c r="J121" s="254"/>
      <c r="K121" s="254"/>
      <c r="L121" s="254"/>
      <c r="M121" s="254"/>
      <c r="N121" s="254"/>
      <c r="O121" s="248"/>
      <c r="Q121" s="5"/>
      <c r="R121" s="5"/>
      <c r="S121" s="5"/>
      <c r="T121" s="5"/>
      <c r="U121" s="5"/>
    </row>
    <row r="122" spans="2:21">
      <c r="B122" s="41"/>
      <c r="C122" s="254"/>
      <c r="D122" s="254"/>
      <c r="E122" s="254"/>
      <c r="F122" s="254"/>
      <c r="G122" s="254"/>
      <c r="H122" s="254"/>
      <c r="I122" s="254"/>
      <c r="J122" s="254"/>
      <c r="K122" s="254"/>
      <c r="L122" s="254"/>
      <c r="M122" s="254"/>
      <c r="N122" s="254"/>
      <c r="O122" s="248"/>
      <c r="Q122" s="5"/>
      <c r="R122" s="5"/>
      <c r="S122" s="5"/>
      <c r="T122" s="5"/>
      <c r="U122" s="5"/>
    </row>
    <row r="123" spans="2:21">
      <c r="B123" s="41"/>
      <c r="C123" s="254"/>
      <c r="D123" s="254"/>
      <c r="E123" s="254"/>
      <c r="F123" s="254"/>
      <c r="G123" s="254"/>
      <c r="H123" s="254"/>
      <c r="I123" s="254"/>
      <c r="J123" s="254"/>
      <c r="K123" s="254"/>
      <c r="L123" s="254"/>
      <c r="M123" s="254"/>
      <c r="N123" s="254"/>
      <c r="O123" s="248"/>
      <c r="Q123" s="5"/>
      <c r="R123" s="5"/>
      <c r="S123" s="5"/>
      <c r="T123" s="5"/>
      <c r="U123" s="5"/>
    </row>
    <row r="124" spans="2:21">
      <c r="B124" s="41"/>
      <c r="C124" s="254"/>
      <c r="D124" s="254"/>
      <c r="E124" s="254"/>
      <c r="F124" s="254"/>
      <c r="G124" s="254"/>
      <c r="H124" s="254"/>
      <c r="I124" s="254"/>
      <c r="J124" s="254"/>
      <c r="K124" s="254"/>
      <c r="L124" s="254"/>
      <c r="M124" s="254"/>
      <c r="N124" s="254"/>
      <c r="O124" s="5"/>
      <c r="Q124" s="5"/>
      <c r="R124" s="5"/>
      <c r="S124" s="5"/>
      <c r="T124" s="5"/>
      <c r="U124" s="5"/>
    </row>
    <row r="125" spans="2:21">
      <c r="B125" s="41"/>
      <c r="C125" s="254"/>
      <c r="D125" s="254"/>
      <c r="E125" s="254"/>
      <c r="F125" s="254"/>
      <c r="G125" s="254"/>
      <c r="H125" s="254"/>
      <c r="I125" s="254"/>
      <c r="J125" s="254"/>
      <c r="K125" s="254"/>
      <c r="L125" s="254"/>
      <c r="M125" s="254"/>
      <c r="N125" s="254"/>
      <c r="O125" s="5"/>
      <c r="Q125" s="5"/>
      <c r="R125" s="5"/>
      <c r="S125" s="5"/>
      <c r="T125" s="5"/>
      <c r="U125" s="5"/>
    </row>
    <row r="126" spans="2:21">
      <c r="B126" s="41"/>
      <c r="C126" s="254"/>
      <c r="D126" s="254"/>
      <c r="E126" s="254"/>
      <c r="F126" s="254"/>
      <c r="G126" s="254"/>
      <c r="H126" s="254"/>
      <c r="I126" s="18"/>
      <c r="J126" s="254"/>
      <c r="K126" s="254"/>
      <c r="L126" s="254"/>
      <c r="M126" s="254"/>
      <c r="N126" s="254"/>
      <c r="O126" s="5"/>
      <c r="Q126" s="5"/>
      <c r="R126" s="5"/>
      <c r="S126" s="5"/>
      <c r="T126" s="5"/>
      <c r="U126" s="5"/>
    </row>
    <row r="127" spans="2:21">
      <c r="B127" s="41"/>
      <c r="C127" s="254"/>
      <c r="D127" s="254"/>
      <c r="E127" s="254"/>
      <c r="F127" s="254"/>
      <c r="G127" s="254"/>
      <c r="H127" s="254"/>
      <c r="I127" s="5"/>
      <c r="J127" s="254"/>
      <c r="K127" s="254"/>
      <c r="L127" s="254"/>
      <c r="M127" s="254"/>
      <c r="N127" s="254"/>
      <c r="O127" s="5"/>
      <c r="Q127" s="5"/>
      <c r="R127" s="5"/>
      <c r="S127" s="5"/>
      <c r="T127" s="5"/>
      <c r="U127" s="5"/>
    </row>
    <row r="128" spans="2:21">
      <c r="B128" s="41"/>
      <c r="C128" s="254"/>
      <c r="D128" s="254"/>
      <c r="E128" s="254"/>
      <c r="F128" s="254"/>
      <c r="G128" s="254"/>
      <c r="H128" s="254"/>
      <c r="I128" s="254"/>
      <c r="J128" s="18"/>
      <c r="K128" s="18"/>
      <c r="L128" s="18"/>
      <c r="M128" s="18"/>
      <c r="N128" s="18"/>
      <c r="O128" s="5"/>
      <c r="Q128" s="5"/>
      <c r="R128" s="5"/>
      <c r="S128" s="5"/>
      <c r="T128" s="5"/>
      <c r="U128" s="5"/>
    </row>
    <row r="129" spans="2:27">
      <c r="B129" s="5"/>
      <c r="C129" s="5"/>
      <c r="D129" s="18"/>
      <c r="E129" s="18"/>
      <c r="F129" s="18"/>
      <c r="G129" s="18"/>
      <c r="H129" s="18"/>
      <c r="I129" s="18"/>
      <c r="J129" s="5"/>
      <c r="K129" s="5"/>
      <c r="L129" s="5"/>
      <c r="M129" s="5"/>
      <c r="N129" s="5"/>
      <c r="O129" s="5"/>
      <c r="Q129" s="5"/>
      <c r="R129" s="5"/>
      <c r="S129" s="5"/>
      <c r="T129" s="5"/>
      <c r="U129" s="5"/>
    </row>
    <row r="130" spans="2:27">
      <c r="B130" s="5"/>
      <c r="C130" s="5"/>
      <c r="D130" s="5"/>
      <c r="E130" s="5"/>
      <c r="F130" s="5"/>
      <c r="G130" s="5"/>
      <c r="H130" s="5"/>
      <c r="I130" s="5"/>
      <c r="J130" s="254"/>
      <c r="K130" s="254"/>
      <c r="L130" s="254"/>
      <c r="M130" s="254"/>
      <c r="N130" s="254"/>
      <c r="O130" s="5"/>
      <c r="Q130" s="5"/>
      <c r="R130" s="5"/>
      <c r="S130" s="5"/>
      <c r="T130" s="5"/>
      <c r="U130" s="5"/>
    </row>
    <row r="131" spans="2:27">
      <c r="B131" s="41"/>
      <c r="C131" s="254"/>
      <c r="D131" s="254"/>
      <c r="E131" s="254"/>
      <c r="F131" s="254"/>
      <c r="G131" s="254"/>
      <c r="H131" s="254"/>
      <c r="I131" s="5"/>
      <c r="J131" s="18"/>
      <c r="K131" s="18"/>
      <c r="L131" s="18"/>
      <c r="M131" s="18"/>
      <c r="N131" s="18"/>
      <c r="O131" s="5"/>
      <c r="Q131" s="5"/>
      <c r="R131" s="5"/>
      <c r="S131" s="5"/>
      <c r="T131" s="5"/>
      <c r="U131" s="5"/>
    </row>
    <row r="132" spans="2:27">
      <c r="B132" s="5"/>
      <c r="C132" s="259"/>
      <c r="D132" s="18"/>
      <c r="E132" s="18"/>
      <c r="F132" s="18"/>
      <c r="G132" s="18"/>
      <c r="H132" s="18"/>
      <c r="I132" s="17"/>
      <c r="J132" s="5"/>
      <c r="K132" s="5"/>
      <c r="L132" s="5"/>
      <c r="M132" s="5"/>
      <c r="N132" s="5"/>
      <c r="O132" s="5"/>
      <c r="Q132" s="5"/>
      <c r="R132" s="5"/>
      <c r="S132" s="5"/>
      <c r="T132" s="5"/>
      <c r="U132" s="5"/>
    </row>
    <row r="133" spans="2:27">
      <c r="B133" s="5"/>
      <c r="C133" s="5"/>
      <c r="D133" s="5"/>
      <c r="E133" s="5"/>
      <c r="F133" s="5"/>
      <c r="G133" s="5"/>
      <c r="H133" s="5"/>
      <c r="I133" s="17"/>
      <c r="J133" s="5"/>
      <c r="K133" s="5"/>
      <c r="L133" s="5"/>
      <c r="M133" s="5"/>
      <c r="N133" s="5"/>
      <c r="O133" s="5"/>
      <c r="Q133" s="5"/>
      <c r="R133" s="5"/>
      <c r="S133" s="5"/>
      <c r="T133" s="5"/>
      <c r="U133" s="5"/>
    </row>
    <row r="134" spans="2:27">
      <c r="B134" s="41"/>
      <c r="C134" s="5"/>
      <c r="D134" s="5"/>
      <c r="E134" s="5"/>
      <c r="F134" s="5"/>
      <c r="G134" s="5"/>
      <c r="H134" s="5"/>
      <c r="I134" s="17"/>
      <c r="J134" s="17"/>
      <c r="K134" s="17"/>
      <c r="L134" s="17"/>
      <c r="M134" s="17"/>
      <c r="N134" s="17"/>
      <c r="O134" s="5"/>
      <c r="Q134" s="41"/>
      <c r="R134" s="5"/>
      <c r="S134" s="5"/>
      <c r="T134" s="5"/>
      <c r="U134" s="5"/>
    </row>
    <row r="135" spans="2:27">
      <c r="B135" s="5"/>
      <c r="C135" s="17"/>
      <c r="D135" s="17"/>
      <c r="E135" s="17"/>
      <c r="F135" s="17"/>
      <c r="G135" s="17"/>
      <c r="H135" s="17"/>
      <c r="I135" s="17"/>
      <c r="J135" s="17"/>
      <c r="K135" s="17"/>
      <c r="L135" s="17"/>
      <c r="M135" s="17"/>
      <c r="N135" s="17"/>
      <c r="O135" s="5"/>
      <c r="Q135" s="5"/>
      <c r="R135" s="5"/>
      <c r="S135" s="5"/>
      <c r="T135" s="5"/>
      <c r="U135" s="5"/>
      <c r="X135" s="304"/>
    </row>
    <row r="136" spans="2:27">
      <c r="B136" s="5"/>
      <c r="C136" s="17"/>
      <c r="D136" s="17"/>
      <c r="E136" s="17"/>
      <c r="F136" s="17"/>
      <c r="G136" s="17"/>
      <c r="H136" s="17"/>
      <c r="I136" s="17"/>
      <c r="J136" s="17"/>
      <c r="K136" s="17"/>
      <c r="L136" s="17"/>
      <c r="M136" s="17"/>
      <c r="N136" s="17"/>
      <c r="O136" s="5"/>
      <c r="Q136" s="5"/>
      <c r="R136" s="5"/>
      <c r="S136" s="5"/>
      <c r="T136" s="5"/>
      <c r="U136" s="5"/>
      <c r="X136" s="10"/>
      <c r="Y136" s="304"/>
      <c r="Z136" s="304"/>
      <c r="AA136" s="304"/>
    </row>
    <row r="137" spans="2:27">
      <c r="B137" s="5"/>
      <c r="C137" s="5"/>
      <c r="D137" s="17"/>
      <c r="E137" s="17"/>
      <c r="F137" s="17"/>
      <c r="G137" s="17"/>
      <c r="H137" s="17"/>
      <c r="I137" s="17"/>
      <c r="J137" s="17"/>
      <c r="K137" s="17"/>
      <c r="L137" s="17"/>
      <c r="M137" s="17"/>
      <c r="N137" s="17"/>
      <c r="O137" s="5"/>
      <c r="Q137" s="5"/>
      <c r="R137" s="5"/>
      <c r="S137" s="5"/>
      <c r="T137" s="5"/>
      <c r="U137" s="5"/>
      <c r="Y137" s="10"/>
      <c r="Z137" s="10"/>
      <c r="AA137" s="10"/>
    </row>
    <row r="138" spans="2:27">
      <c r="B138" s="5"/>
      <c r="C138" s="5"/>
      <c r="D138" s="17"/>
      <c r="E138" s="17"/>
      <c r="F138" s="17"/>
      <c r="G138" s="17"/>
      <c r="H138" s="17"/>
      <c r="I138" s="5"/>
      <c r="J138" s="17"/>
      <c r="K138" s="17"/>
      <c r="L138" s="17"/>
      <c r="M138" s="17"/>
      <c r="N138" s="17"/>
      <c r="O138" s="5"/>
      <c r="Q138" s="5"/>
      <c r="R138" s="5"/>
      <c r="S138" s="5"/>
      <c r="T138" s="5"/>
      <c r="U138" s="5"/>
    </row>
    <row r="139" spans="2:27">
      <c r="B139" s="5"/>
      <c r="C139" s="5"/>
      <c r="D139" s="17"/>
      <c r="E139" s="17"/>
      <c r="F139" s="17"/>
      <c r="G139" s="17"/>
      <c r="H139" s="17"/>
      <c r="I139" s="5"/>
      <c r="J139" s="17"/>
      <c r="K139" s="17"/>
      <c r="L139" s="17"/>
      <c r="M139" s="17"/>
      <c r="N139" s="17"/>
      <c r="O139" s="5"/>
      <c r="Q139" s="5"/>
      <c r="R139" s="5"/>
      <c r="S139" s="5"/>
      <c r="T139" s="5"/>
      <c r="U139" s="5"/>
    </row>
    <row r="140" spans="2:27">
      <c r="B140" s="5"/>
      <c r="C140" s="17"/>
      <c r="D140" s="17"/>
      <c r="E140" s="17"/>
      <c r="F140" s="17"/>
      <c r="G140" s="17"/>
      <c r="H140" s="17"/>
      <c r="I140" s="5"/>
      <c r="J140" s="5"/>
      <c r="K140" s="5"/>
      <c r="L140" s="5"/>
      <c r="M140" s="5"/>
      <c r="N140" s="5"/>
      <c r="O140" s="5"/>
      <c r="Q140" s="5"/>
      <c r="R140" s="5"/>
      <c r="S140" s="5"/>
      <c r="T140" s="5"/>
      <c r="U140" s="5"/>
    </row>
    <row r="141" spans="2:27">
      <c r="B141" s="5"/>
      <c r="C141" s="5"/>
      <c r="D141" s="5"/>
      <c r="E141" s="5"/>
      <c r="F141" s="5"/>
      <c r="G141" s="5"/>
      <c r="H141" s="5"/>
      <c r="I141" s="5"/>
      <c r="J141" s="5"/>
      <c r="K141" s="5"/>
      <c r="L141" s="5"/>
      <c r="M141" s="5"/>
      <c r="N141" s="5"/>
      <c r="O141" s="5"/>
      <c r="Q141" s="5"/>
      <c r="R141" s="5"/>
      <c r="S141" s="5"/>
      <c r="T141" s="5"/>
      <c r="U141" s="5"/>
    </row>
    <row r="142" spans="2:27">
      <c r="B142" s="5"/>
      <c r="C142" s="5"/>
      <c r="D142" s="5"/>
      <c r="E142" s="5"/>
      <c r="F142" s="5"/>
      <c r="G142" s="5"/>
      <c r="H142" s="5"/>
      <c r="I142" s="5"/>
      <c r="J142" s="5"/>
      <c r="K142" s="5"/>
      <c r="L142" s="5"/>
      <c r="M142" s="5"/>
      <c r="N142" s="5"/>
      <c r="O142" s="5"/>
      <c r="Q142" s="5"/>
      <c r="R142" s="5"/>
      <c r="S142" s="5"/>
      <c r="T142" s="5"/>
      <c r="U142" s="5"/>
    </row>
    <row r="143" spans="2:27">
      <c r="B143" s="5"/>
      <c r="C143" s="5"/>
      <c r="D143" s="5"/>
      <c r="E143" s="5"/>
      <c r="F143" s="5"/>
      <c r="G143" s="5"/>
      <c r="H143" s="5"/>
      <c r="I143" s="5"/>
      <c r="J143" s="5"/>
      <c r="K143" s="5"/>
      <c r="L143" s="5"/>
      <c r="M143" s="5"/>
      <c r="N143" s="5"/>
      <c r="O143" s="5"/>
      <c r="Q143" s="5"/>
      <c r="R143" s="5"/>
      <c r="S143" s="5"/>
      <c r="T143" s="5"/>
      <c r="U143" s="5"/>
    </row>
    <row r="144" spans="2:27">
      <c r="B144" s="5"/>
      <c r="C144" s="5"/>
      <c r="D144" s="5"/>
      <c r="E144" s="5"/>
      <c r="F144" s="5"/>
      <c r="G144" s="5"/>
      <c r="H144" s="5"/>
      <c r="I144" s="5"/>
      <c r="J144" s="5"/>
      <c r="K144" s="5"/>
      <c r="L144" s="5"/>
      <c r="M144" s="5"/>
      <c r="N144" s="5"/>
      <c r="O144" s="5"/>
      <c r="Q144" s="5"/>
      <c r="R144" s="5"/>
      <c r="S144" s="5"/>
      <c r="T144" s="5"/>
      <c r="U144" s="5"/>
    </row>
    <row r="145" spans="2:21">
      <c r="B145" s="5"/>
      <c r="C145" s="5"/>
      <c r="D145" s="5"/>
      <c r="E145" s="5"/>
      <c r="F145" s="5"/>
      <c r="G145" s="5"/>
      <c r="H145" s="5"/>
      <c r="I145" s="5"/>
      <c r="J145" s="5"/>
      <c r="K145" s="5"/>
      <c r="L145" s="5"/>
      <c r="M145" s="5"/>
      <c r="N145" s="5"/>
      <c r="O145" s="5"/>
      <c r="Q145" s="5"/>
      <c r="R145" s="5"/>
      <c r="S145" s="5"/>
      <c r="T145" s="5"/>
      <c r="U145" s="5"/>
    </row>
    <row r="146" spans="2:21">
      <c r="B146" s="5"/>
      <c r="C146" s="5"/>
      <c r="D146" s="5"/>
      <c r="E146" s="5"/>
      <c r="F146" s="5"/>
      <c r="G146" s="5"/>
      <c r="H146" s="5"/>
      <c r="I146" s="5"/>
      <c r="J146" s="5"/>
      <c r="K146" s="5"/>
      <c r="L146" s="5"/>
      <c r="M146" s="5"/>
      <c r="N146" s="5"/>
      <c r="O146" s="5"/>
      <c r="Q146" s="5"/>
      <c r="R146" s="5"/>
      <c r="S146" s="5"/>
      <c r="T146" s="5"/>
      <c r="U146" s="5"/>
    </row>
    <row r="147" spans="2:21">
      <c r="B147" s="5"/>
      <c r="C147" s="5"/>
      <c r="D147" s="5"/>
      <c r="E147" s="5"/>
      <c r="F147" s="5"/>
      <c r="G147" s="5"/>
      <c r="H147" s="5"/>
      <c r="I147" s="5"/>
      <c r="J147" s="5"/>
      <c r="K147" s="5"/>
      <c r="L147" s="5"/>
      <c r="M147" s="5"/>
      <c r="N147" s="5"/>
      <c r="O147" s="5"/>
      <c r="Q147" s="5"/>
      <c r="R147" s="5"/>
      <c r="S147" s="5"/>
      <c r="T147" s="5"/>
      <c r="U147" s="5"/>
    </row>
    <row r="148" spans="2:21">
      <c r="B148" s="5"/>
      <c r="C148" s="5"/>
      <c r="D148" s="5"/>
      <c r="E148" s="5"/>
      <c r="F148" s="5"/>
      <c r="G148" s="5"/>
      <c r="H148" s="5"/>
      <c r="J148" s="5"/>
      <c r="K148" s="5"/>
      <c r="L148" s="5"/>
      <c r="M148" s="5"/>
      <c r="N148" s="5"/>
      <c r="O148" s="5"/>
      <c r="Q148" s="5"/>
      <c r="R148" s="5"/>
      <c r="S148" s="5"/>
      <c r="T148" s="5"/>
      <c r="U148" s="5"/>
    </row>
    <row r="149" spans="2:21">
      <c r="B149" s="5"/>
      <c r="C149" s="5"/>
      <c r="D149" s="5"/>
      <c r="E149" s="5"/>
      <c r="F149" s="5"/>
      <c r="G149" s="5"/>
      <c r="H149" s="5"/>
      <c r="J149" s="5"/>
      <c r="K149" s="5"/>
      <c r="L149" s="5"/>
      <c r="M149" s="5"/>
      <c r="N149" s="5"/>
      <c r="O149" s="5"/>
      <c r="Q149" s="5"/>
      <c r="R149" s="5"/>
      <c r="S149" s="5"/>
      <c r="T149" s="5"/>
      <c r="U149" s="5"/>
    </row>
    <row r="150" spans="2:21">
      <c r="B150" s="5"/>
      <c r="C150" s="5"/>
      <c r="D150" s="5"/>
      <c r="E150" s="5"/>
      <c r="F150" s="5"/>
      <c r="G150" s="5"/>
      <c r="H150" s="5"/>
      <c r="Q150" s="5"/>
      <c r="R150" s="5"/>
      <c r="S150" s="5"/>
      <c r="T150" s="5"/>
      <c r="U150" s="5"/>
    </row>
    <row r="151" spans="2:21">
      <c r="Q151" s="5"/>
      <c r="R151" s="5"/>
      <c r="S151" s="5"/>
      <c r="T151" s="5"/>
      <c r="U151" s="5"/>
    </row>
    <row r="152" spans="2:21">
      <c r="Q152" s="5"/>
      <c r="R152" s="5"/>
      <c r="S152" s="5"/>
      <c r="T152" s="5"/>
      <c r="U152" s="5"/>
    </row>
    <row r="153" spans="2:21">
      <c r="C153" s="263"/>
      <c r="Q153" s="5"/>
      <c r="R153" s="5"/>
      <c r="S153" s="5"/>
      <c r="T153" s="5"/>
      <c r="U153" s="5"/>
    </row>
    <row r="154" spans="2:21">
      <c r="Q154" s="5"/>
      <c r="R154" s="5"/>
      <c r="S154" s="5"/>
      <c r="T154" s="5"/>
      <c r="U154" s="5"/>
    </row>
    <row r="155" spans="2:21">
      <c r="Q155" s="5"/>
      <c r="R155" s="5"/>
      <c r="S155" s="5"/>
      <c r="T155" s="5"/>
      <c r="U155" s="5"/>
    </row>
    <row r="156" spans="2:21">
      <c r="Q156" s="5"/>
      <c r="R156" s="5"/>
      <c r="S156" s="5"/>
      <c r="T156" s="5"/>
      <c r="U156" s="5"/>
    </row>
    <row r="157" spans="2:21">
      <c r="Q157" s="5"/>
      <c r="R157" s="5"/>
      <c r="S157" s="5"/>
      <c r="T157" s="5"/>
      <c r="U157" s="5"/>
    </row>
    <row r="158" spans="2:21">
      <c r="Q158" s="5"/>
      <c r="R158" s="5"/>
      <c r="S158" s="5"/>
      <c r="T158" s="5"/>
      <c r="U158" s="5"/>
    </row>
    <row r="159" spans="2:21">
      <c r="Q159" s="5"/>
      <c r="R159" s="5"/>
      <c r="S159" s="5"/>
      <c r="T159" s="5"/>
      <c r="U159" s="5"/>
    </row>
    <row r="160" spans="2:21">
      <c r="Q160" s="5"/>
      <c r="R160" s="5"/>
      <c r="S160" s="5"/>
      <c r="T160" s="5"/>
      <c r="U160" s="5"/>
    </row>
    <row r="161" spans="17:21">
      <c r="Q161" s="5"/>
      <c r="R161" s="5"/>
      <c r="S161" s="5"/>
      <c r="T161" s="5"/>
      <c r="U161" s="5"/>
    </row>
    <row r="162" spans="17:21">
      <c r="Q162" s="5"/>
      <c r="R162" s="5"/>
      <c r="S162" s="5"/>
      <c r="T162" s="5"/>
      <c r="U162" s="5"/>
    </row>
    <row r="163" spans="17:21">
      <c r="Q163" s="5"/>
      <c r="R163" s="5"/>
      <c r="S163" s="5"/>
      <c r="T163" s="5"/>
      <c r="U163" s="5"/>
    </row>
    <row r="164" spans="17:21">
      <c r="Q164" s="5"/>
      <c r="R164" s="5"/>
      <c r="S164" s="5"/>
      <c r="T164" s="5"/>
      <c r="U164" s="5"/>
    </row>
  </sheetData>
  <phoneticPr fontId="7" type="noConversion"/>
  <pageMargins left="0.75" right="0.75" top="1" bottom="1" header="0.5" footer="0.5"/>
  <pageSetup scale="69" orientation="landscape" r:id="rId1"/>
  <headerFooter alignWithMargins="0"/>
  <drawing r:id="rId2"/>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F00-000000000000}">
  <sheetPr codeName="Sheet90">
    <tabColor theme="3" tint="0.59999389629810485"/>
    <pageSetUpPr fitToPage="1"/>
  </sheetPr>
  <dimension ref="B1:BK164"/>
  <sheetViews>
    <sheetView showGridLines="0" zoomScale="80" zoomScaleNormal="80" workbookViewId="0"/>
  </sheetViews>
  <sheetFormatPr defaultColWidth="8.88671875" defaultRowHeight="12"/>
  <cols>
    <col min="1" max="1" width="2.33203125" style="39" customWidth="1"/>
    <col min="2" max="2" width="26.6640625" style="39" customWidth="1"/>
    <col min="3" max="9" width="10" style="39" customWidth="1"/>
    <col min="10" max="10" width="26.6640625" style="39" customWidth="1"/>
    <col min="11" max="16" width="10" style="39" customWidth="1"/>
    <col min="17" max="17" width="4.5546875" style="39" customWidth="1"/>
    <col min="18" max="20" width="8.88671875" style="39"/>
    <col min="21" max="21" width="3.6640625" style="39" customWidth="1"/>
    <col min="22" max="63" width="9.109375" style="5" customWidth="1"/>
    <col min="64" max="16384" width="8.88671875" style="39"/>
  </cols>
  <sheetData>
    <row r="1" spans="2:63" s="312" customFormat="1">
      <c r="V1" s="149"/>
      <c r="W1" s="149"/>
      <c r="X1" s="149"/>
      <c r="Y1" s="149"/>
      <c r="Z1" s="149"/>
      <c r="AA1" s="149"/>
      <c r="AB1" s="149"/>
      <c r="AC1" s="149"/>
      <c r="AD1" s="149"/>
      <c r="AE1" s="149"/>
      <c r="AF1" s="149"/>
      <c r="AG1" s="149"/>
      <c r="AH1" s="149"/>
      <c r="AI1" s="149"/>
      <c r="AJ1" s="149"/>
      <c r="AK1" s="149"/>
      <c r="AL1" s="149"/>
      <c r="AM1" s="149"/>
      <c r="AN1" s="149"/>
      <c r="AO1" s="149"/>
      <c r="AP1" s="149"/>
      <c r="AQ1" s="149"/>
      <c r="AR1" s="149"/>
      <c r="AS1" s="149"/>
      <c r="AT1" s="149"/>
      <c r="AU1" s="149"/>
      <c r="AV1" s="149"/>
      <c r="AW1" s="149"/>
      <c r="AX1" s="149"/>
      <c r="AY1" s="149"/>
      <c r="AZ1" s="149"/>
      <c r="BA1" s="149"/>
      <c r="BB1" s="149"/>
      <c r="BC1" s="149"/>
      <c r="BD1" s="149"/>
      <c r="BE1" s="149"/>
      <c r="BF1" s="149"/>
      <c r="BG1" s="149"/>
      <c r="BH1" s="149"/>
      <c r="BI1" s="149"/>
      <c r="BJ1" s="149"/>
      <c r="BK1" s="149"/>
    </row>
    <row r="2" spans="2:63" s="312" customFormat="1">
      <c r="V2" s="149"/>
      <c r="W2" s="149"/>
      <c r="X2" s="149"/>
      <c r="Y2" s="149"/>
      <c r="Z2" s="149"/>
      <c r="AA2" s="149"/>
      <c r="AB2" s="149"/>
      <c r="AC2" s="149"/>
      <c r="AD2" s="149"/>
      <c r="AE2" s="149"/>
      <c r="AF2" s="149"/>
      <c r="AG2" s="149"/>
      <c r="AH2" s="149"/>
      <c r="AI2" s="149"/>
      <c r="AJ2" s="149"/>
      <c r="AK2" s="149"/>
      <c r="AL2" s="149"/>
      <c r="AM2" s="149"/>
      <c r="AN2" s="149"/>
      <c r="AO2" s="149"/>
      <c r="AP2" s="149"/>
      <c r="AQ2" s="149"/>
      <c r="AR2" s="149"/>
      <c r="AS2" s="149"/>
      <c r="AT2" s="149"/>
      <c r="AU2" s="149"/>
      <c r="AV2" s="149"/>
      <c r="AW2" s="149"/>
      <c r="AX2" s="149"/>
      <c r="AY2" s="149"/>
      <c r="AZ2" s="149"/>
      <c r="BA2" s="149"/>
      <c r="BB2" s="149"/>
      <c r="BC2" s="149"/>
      <c r="BD2" s="149"/>
      <c r="BE2" s="149"/>
      <c r="BF2" s="149"/>
      <c r="BG2" s="149"/>
      <c r="BH2" s="149"/>
      <c r="BI2" s="149"/>
      <c r="BJ2" s="149"/>
      <c r="BK2" s="149"/>
    </row>
    <row r="3" spans="2:63" s="149" customFormat="1">
      <c r="H3" s="153"/>
      <c r="P3" s="153"/>
    </row>
    <row r="4" spans="2:63" s="156" customFormat="1" ht="21">
      <c r="B4" s="129" t="s">
        <v>28</v>
      </c>
      <c r="H4" s="222"/>
      <c r="P4" s="222"/>
    </row>
    <row r="5" spans="2:63" s="149" customFormat="1">
      <c r="C5" s="153"/>
      <c r="D5" s="153" t="str" cm="1">
        <f t="array" ref="D5:H5">headings</f>
        <v>2023E</v>
      </c>
      <c r="E5" s="153" t="str">
        <v>2024E</v>
      </c>
      <c r="F5" s="153" t="str">
        <v>2025E</v>
      </c>
      <c r="G5" s="153" t="str">
        <v>2026E</v>
      </c>
      <c r="H5" s="153" t="str">
        <v>23E-26E</v>
      </c>
      <c r="I5" s="153"/>
      <c r="J5" s="153"/>
      <c r="K5" s="153"/>
      <c r="L5" s="153" t="str" cm="1">
        <f t="array" ref="L5:P5">headings</f>
        <v>2023E</v>
      </c>
      <c r="M5" s="153" t="str">
        <v>2024E</v>
      </c>
      <c r="N5" s="153" t="str">
        <v>2025E</v>
      </c>
      <c r="O5" s="153" t="str">
        <v>2026E</v>
      </c>
      <c r="P5" s="153" t="str">
        <v>23E-26E</v>
      </c>
      <c r="Q5" s="162"/>
      <c r="R5" s="162"/>
      <c r="S5" s="162"/>
      <c r="T5" s="162"/>
      <c r="U5" s="162"/>
      <c r="V5" s="162"/>
      <c r="W5" s="162"/>
      <c r="X5" s="162"/>
      <c r="Y5" s="162"/>
    </row>
    <row r="6" spans="2:63">
      <c r="B6" s="352"/>
      <c r="I6" s="5"/>
      <c r="J6" s="5"/>
      <c r="K6" s="5"/>
      <c r="L6" s="5"/>
      <c r="M6" s="5"/>
      <c r="N6" s="5"/>
      <c r="O6" s="49"/>
    </row>
    <row r="7" spans="2:63" ht="12.6" thickBot="1">
      <c r="B7" s="306" t="s">
        <v>271</v>
      </c>
      <c r="C7" s="265"/>
      <c r="D7" s="265"/>
      <c r="E7" s="265"/>
      <c r="F7" s="265"/>
      <c r="G7" s="265"/>
      <c r="H7" s="265"/>
      <c r="I7" s="49"/>
      <c r="J7" s="306" t="s">
        <v>29</v>
      </c>
      <c r="K7" s="306"/>
      <c r="L7" s="306"/>
      <c r="M7" s="306"/>
      <c r="N7" s="266"/>
      <c r="O7" s="266"/>
      <c r="P7" s="266"/>
    </row>
    <row r="8" spans="2:63" ht="12.6" thickTop="1">
      <c r="B8" s="5"/>
      <c r="C8" s="5"/>
      <c r="D8" s="5"/>
      <c r="E8" s="5"/>
      <c r="F8" s="5"/>
      <c r="G8" s="5"/>
      <c r="H8" s="5"/>
      <c r="I8" s="5"/>
      <c r="J8" s="5"/>
      <c r="K8" s="5"/>
      <c r="L8" s="5"/>
      <c r="M8" s="5"/>
      <c r="N8" s="5"/>
    </row>
    <row r="9" spans="2:63">
      <c r="B9" s="41" t="s">
        <v>500</v>
      </c>
      <c r="C9" s="287"/>
      <c r="D9" s="5"/>
      <c r="E9" s="249"/>
      <c r="F9" s="249"/>
      <c r="G9" s="249"/>
      <c r="H9" s="249"/>
      <c r="I9" s="249"/>
      <c r="J9" s="5" t="s">
        <v>273</v>
      </c>
      <c r="L9" s="64">
        <f>'EM CELLULAR'!D37</f>
        <v>2.3028864261184152</v>
      </c>
      <c r="M9" s="64">
        <f>'EM CELLULAR'!E37</f>
        <v>2.1687959715674001</v>
      </c>
      <c r="N9" s="64">
        <f>'EM CELLULAR'!F37</f>
        <v>1.9297924574883407</v>
      </c>
      <c r="O9" s="64">
        <f>'EM CELLULAR'!G37</f>
        <v>1.70163849543242</v>
      </c>
      <c r="P9" s="17">
        <f>'EM CELLULAR'!H37</f>
        <v>5.0377730628003325E-2</v>
      </c>
    </row>
    <row r="10" spans="2:63">
      <c r="B10" s="5" t="s">
        <v>274</v>
      </c>
      <c r="C10" s="5"/>
      <c r="D10" s="332"/>
      <c r="E10" s="332"/>
      <c r="F10" s="332"/>
      <c r="G10" s="332"/>
      <c r="H10" s="247"/>
      <c r="I10" s="247"/>
      <c r="J10" s="5" t="s">
        <v>184</v>
      </c>
      <c r="L10" s="64">
        <f>'EM CELLULAR'!D38</f>
        <v>6.211590807666914</v>
      </c>
      <c r="M10" s="64">
        <f>'EM CELLULAR'!E38</f>
        <v>5.8072036978296566</v>
      </c>
      <c r="N10" s="64">
        <f>'EM CELLULAR'!F38</f>
        <v>5.1059602676010947</v>
      </c>
      <c r="O10" s="64">
        <f>'EM CELLULAR'!G38</f>
        <v>4.4630559895464135</v>
      </c>
      <c r="P10" s="17">
        <f>'EM CELLULAR'!H38</f>
        <v>6.0231249791276253E-2</v>
      </c>
      <c r="W10" s="10"/>
      <c r="X10" s="10"/>
      <c r="Y10" s="10"/>
      <c r="Z10" s="10"/>
    </row>
    <row r="11" spans="2:63">
      <c r="B11" s="41" t="s">
        <v>359</v>
      </c>
      <c r="C11" s="5"/>
      <c r="D11" s="271">
        <f>AAF!D11 + MTS!D11+VIMP!D11+(TKC!D11/Prices!$C$150)+(MTN!D11/Prices!$C$170)+(VODA!D11/Prices!$C$170)+(SAF!D11/Prices!$C$179)</f>
        <v>91580.961018631162</v>
      </c>
      <c r="E11" s="271">
        <f>AAF!E11 + MTS!E11+VIMP!E11+(TKC!E11/Prices!$C$150)+(MTN!E11/Prices!$C$170)+(VODA!E11/Prices!$C$170)+(SAF!E11/Prices!$C$179)</f>
        <v>91460.735058027276</v>
      </c>
      <c r="F11" s="271">
        <f>AAF!F11 + MTS!F11+VIMP!F11+(TKC!F11/Prices!$C$150)+(MTN!F11/Prices!$C$170)+(VODA!F11/Prices!$C$170)+(SAF!F11/Prices!$C$179)</f>
        <v>91460.735058027276</v>
      </c>
      <c r="G11" s="271">
        <f>AAF!G11 + MTS!G11+VIMP!G11+(TKC!G11/Prices!$C$150)+(MTN!G11/Prices!$C$170)+(VODA!G11/Prices!$C$170)+(SAF!G11/Prices!$C$179)</f>
        <v>91460.735058027276</v>
      </c>
      <c r="H11" s="249"/>
      <c r="I11" s="249"/>
      <c r="J11" s="5" t="s">
        <v>185</v>
      </c>
      <c r="L11" s="64">
        <f>'EM CELLULAR'!D39</f>
        <v>11.916721009928562</v>
      </c>
      <c r="M11" s="64">
        <f>'EM CELLULAR'!E39</f>
        <v>10.745312356284957</v>
      </c>
      <c r="N11" s="64">
        <f>'EM CELLULAR'!F39</f>
        <v>8.9736502860396943</v>
      </c>
      <c r="O11" s="64">
        <f>'EM CELLULAR'!G39</f>
        <v>7.4998267467078747</v>
      </c>
      <c r="P11" s="17">
        <f>'EM CELLULAR'!H39</f>
        <v>0.10809997877797661</v>
      </c>
      <c r="W11" s="10"/>
      <c r="X11" s="10"/>
      <c r="Y11" s="10"/>
      <c r="Z11" s="10"/>
    </row>
    <row r="12" spans="2:63">
      <c r="B12" s="5" t="s">
        <v>229</v>
      </c>
      <c r="C12" s="249"/>
      <c r="D12" s="228">
        <f>AAF!D12 + MTS!D12+VIMP!D12+(TKC!D12/Prices!$C$150)+(MTN!D12/Prices!$C$170)+(VODA!D12/Prices!$C$170)+(SAF!D12/Prices!$C$179)</f>
        <v>20437.30592090237</v>
      </c>
      <c r="E12" s="228">
        <f>AAF!E12 + MTS!E12+VIMP!E12+(TKC!E12/Prices!$C$150)+(MTN!E12/Prices!$C$170)+(VODA!E12/Prices!$C$170)+(SAF!E12/Prices!$C$179)</f>
        <v>22600.868150605722</v>
      </c>
      <c r="F12" s="228">
        <f>AAF!F12 + MTS!F12+VIMP!F12+(TKC!F12/Prices!$C$150)+(MTN!F12/Prices!$C$170)+(VODA!F12/Prices!$C$170)+(SAF!F12/Prices!$C$179)</f>
        <v>23082.341726436047</v>
      </c>
      <c r="G12" s="228">
        <f>AAF!G12 + MTS!G12+VIMP!G12+(TKC!G12/Prices!$C$150)+(MTN!G12/Prices!$C$170)+(VODA!G12/Prices!$C$170)+(SAF!G12/Prices!$C$179)</f>
        <v>23671.681085555516</v>
      </c>
      <c r="H12" s="247"/>
      <c r="I12" s="247"/>
      <c r="J12" s="5" t="s">
        <v>466</v>
      </c>
      <c r="L12" s="64">
        <f>'EM CELLULAR'!D40</f>
        <v>15.565314163351601</v>
      </c>
      <c r="M12" s="64">
        <f>'EM CELLULAR'!E40</f>
        <v>14.107230346818808</v>
      </c>
      <c r="N12" s="64">
        <f>'EM CELLULAR'!F40</f>
        <v>11.835137000764389</v>
      </c>
      <c r="O12" s="64">
        <f>'EM CELLULAR'!G40</f>
        <v>9.9165135948155338</v>
      </c>
      <c r="P12" s="17">
        <f>'EM CELLULAR'!H40</f>
        <v>0.10359585146755945</v>
      </c>
      <c r="W12" s="10"/>
      <c r="X12" s="10"/>
      <c r="Y12" s="10"/>
      <c r="Z12" s="10"/>
    </row>
    <row r="13" spans="2:63">
      <c r="B13" s="5" t="s">
        <v>529</v>
      </c>
      <c r="C13" s="257"/>
      <c r="D13" s="228">
        <f>AAF!D13 + MTS!D13+VIMP!D13+(TKC!D13/Prices!$C$150)+(MTN!D13/Prices!$C$170)+(VODA!D13/Prices!$C$170)+(SAF!D13/Prices!$C$179)</f>
        <v>2133.1283174631844</v>
      </c>
      <c r="E13" s="228">
        <f>AAF!E13 + MTS!E13+VIMP!E13+(TKC!E13/Prices!$C$150)+(MTN!E13/Prices!$C$170)+(VODA!E13/Prices!$C$170)+(SAF!E13/Prices!$C$179)</f>
        <v>2133.1283174631844</v>
      </c>
      <c r="F13" s="228">
        <f>AAF!F13 + MTS!F13+VIMP!F13+(TKC!F13/Prices!$C$150)+(MTN!F13/Prices!$C$170)+(VODA!F13/Prices!$C$170)+(SAF!F13/Prices!$C$179)</f>
        <v>2133.1283174631844</v>
      </c>
      <c r="G13" s="228">
        <f>AAF!G13 + MTS!G13+VIMP!G13+(TKC!G13/Prices!$C$150)+(MTN!G13/Prices!$C$170)+(VODA!G13/Prices!$C$170)+(SAF!G13/Prices!$C$179)</f>
        <v>2133.1283174631844</v>
      </c>
      <c r="H13" s="247"/>
      <c r="I13" s="247"/>
      <c r="J13" s="5" t="s">
        <v>530</v>
      </c>
      <c r="L13" s="64">
        <f>'EM CELLULAR'!D41</f>
        <v>1.4932378441908309</v>
      </c>
      <c r="M13" s="64">
        <f>'EM CELLULAR'!E41</f>
        <v>1.4974861733035032</v>
      </c>
      <c r="N13" s="64">
        <f>'EM CELLULAR'!F41</f>
        <v>1.4281781003335032</v>
      </c>
      <c r="O13" s="64">
        <f>'EM CELLULAR'!G41</f>
        <v>1.349282061711496</v>
      </c>
      <c r="P13" s="17">
        <f>'EM CELLULAR'!H41</f>
        <v>-1.7756462726124411E-2</v>
      </c>
    </row>
    <row r="14" spans="2:63">
      <c r="B14" s="5" t="s">
        <v>532</v>
      </c>
      <c r="C14" s="274"/>
      <c r="D14" s="228">
        <f>AAF!D14 + MTS!D14+VIMP!D14+(TKC!D14/Prices!$C$150)+(MTN!D14/Prices!$C$170)+(VODA!D14/Prices!$C$170)+(SAF!D14/Prices!$C$179)</f>
        <v>4656.109009357815</v>
      </c>
      <c r="E14" s="228">
        <f>AAF!E14 + MTS!E14+VIMP!E14+(TKC!E14/Prices!$C$150)+(MTN!E14/Prices!$C$170)+(VODA!E14/Prices!$C$170)+(SAF!E14/Prices!$C$179)</f>
        <v>4656.109009357815</v>
      </c>
      <c r="F14" s="228">
        <f>AAF!F14 + MTS!F14+VIMP!F14+(TKC!F14/Prices!$C$150)+(MTN!F14/Prices!$C$170)+(VODA!F14/Prices!$C$170)+(SAF!F14/Prices!$C$179)</f>
        <v>4656.109009357815</v>
      </c>
      <c r="G14" s="228">
        <f>AAF!G14 + MTS!G14+VIMP!G14+(TKC!G14/Prices!$C$150)+(MTN!G14/Prices!$C$170)+(VODA!G14/Prices!$C$170)+(SAF!G14/Prices!$C$179)</f>
        <v>4656.109009357815</v>
      </c>
      <c r="H14" s="247"/>
      <c r="I14" s="247"/>
      <c r="J14" s="5" t="s">
        <v>593</v>
      </c>
      <c r="L14" s="64">
        <f>'EM CELLULAR'!D42</f>
        <v>2.6624591278665166</v>
      </c>
      <c r="M14" s="64">
        <f>'EM CELLULAR'!E42</f>
        <v>2.5827331248183691</v>
      </c>
      <c r="N14" s="64">
        <f>'EM CELLULAR'!F42</f>
        <v>2.37828077636942</v>
      </c>
      <c r="O14" s="64">
        <f>'EM CELLULAR'!G42</f>
        <v>2.1713530277562678</v>
      </c>
      <c r="P14" s="17">
        <f>'EM CELLULAR'!H42</f>
        <v>1.6392074372026055E-2</v>
      </c>
    </row>
    <row r="15" spans="2:63">
      <c r="B15" s="5" t="s">
        <v>531</v>
      </c>
      <c r="C15" s="257"/>
      <c r="D15" s="228">
        <f>AAF!D15 + MTS!D15+VIMP!D15+(TKC!D15/Prices!$C$150)+(MTN!D15/Prices!$C$170)+(VODA!D15/Prices!$C$170)+(SAF!D15/Prices!$C$179)</f>
        <v>5942.3898183046867</v>
      </c>
      <c r="E15" s="228">
        <f>AAF!E15 + MTS!E15+VIMP!E15+(TKC!E15/Prices!$C$150)+(MTN!E15/Prices!$C$170)+(VODA!E15/Prices!$C$170)+(SAF!E15/Prices!$C$179)</f>
        <v>5942.3898183046867</v>
      </c>
      <c r="F15" s="228">
        <f>AAF!F15 + MTS!F15+VIMP!F15+(TKC!F15/Prices!$C$150)+(MTN!F15/Prices!$C$170)+(VODA!F15/Prices!$C$170)+(SAF!F15/Prices!$C$179)</f>
        <v>5942.3898183046867</v>
      </c>
      <c r="G15" s="228">
        <f>AAF!G15 + MTS!G15+VIMP!G15+(TKC!G15/Prices!$C$150)+(MTN!G15/Prices!$C$170)+(VODA!G15/Prices!$C$170)+(SAF!G15/Prices!$C$179)</f>
        <v>5942.3898183046867</v>
      </c>
      <c r="H15" s="247"/>
      <c r="I15" s="247"/>
      <c r="J15" s="5" t="s">
        <v>475</v>
      </c>
      <c r="L15" s="64">
        <f>'EM CELLULAR'!D43</f>
        <v>22.850937709514724</v>
      </c>
      <c r="M15" s="64">
        <f>'EM CELLULAR'!E43</f>
        <v>20.413262135123315</v>
      </c>
      <c r="N15" s="64">
        <f>'EM CELLULAR'!F43</f>
        <v>16.677308372570185</v>
      </c>
      <c r="O15" s="64">
        <f>'EM CELLULAR'!G43</f>
        <v>14.052002275363339</v>
      </c>
      <c r="P15" s="17">
        <f>'EM CELLULAR'!H43</f>
        <v>0.1773224152875903</v>
      </c>
      <c r="S15" s="88"/>
      <c r="T15" s="88"/>
      <c r="U15" s="88"/>
      <c r="V15" s="42"/>
      <c r="W15" s="42"/>
      <c r="X15" s="42"/>
      <c r="Y15" s="42"/>
      <c r="Z15" s="42"/>
      <c r="AA15" s="42"/>
    </row>
    <row r="16" spans="2:63">
      <c r="B16" s="5" t="s">
        <v>534</v>
      </c>
      <c r="C16" s="257"/>
      <c r="D16" s="228">
        <f>AAF!D16 + MTS!D16+VIMP!D16+(TKC!D16/Prices!$C$150)+(MTN!D16/Prices!$C$170)+(VODA!D16/Prices!$C$170)+(SAF!D16/Prices!$C$179)</f>
        <v>5468.6628252769478</v>
      </c>
      <c r="E16" s="228">
        <f>AAF!E16 + MTS!E16+VIMP!E16+(TKC!E16/Prices!$C$150)+(MTN!E16/Prices!$C$170)+(VODA!E16/Prices!$C$170)+(SAF!E16/Prices!$C$179)</f>
        <v>7797.6098851012812</v>
      </c>
      <c r="F16" s="228">
        <f>AAF!F16 + MTS!F16+VIMP!F16+(TKC!F16/Prices!$C$150)+(MTN!F16/Prices!$C$170)+(VODA!F16/Prices!$C$170)+(SAF!F16/Prices!$C$179)</f>
        <v>10286.611902178307</v>
      </c>
      <c r="G16" s="228">
        <f>AAF!G16 + MTS!G16+VIMP!G16+(TKC!G16/Prices!$C$150)+(MTN!G16/Prices!$C$170)+(VODA!G16/Prices!$C$170)+(SAF!G16/Prices!$C$179)</f>
        <v>13222.368886721129</v>
      </c>
      <c r="H16" s="247"/>
      <c r="I16" s="247"/>
      <c r="J16" s="5" t="s">
        <v>533</v>
      </c>
      <c r="L16" s="64">
        <f>'EM CELLULAR'!D44</f>
        <v>20.347655496934248</v>
      </c>
      <c r="M16" s="64">
        <f>'EM CELLULAR'!E44</f>
        <v>17.632113552740702</v>
      </c>
      <c r="N16" s="64">
        <f>'EM CELLULAR'!F44</f>
        <v>14.75716332600194</v>
      </c>
      <c r="O16" s="64">
        <f>'EM CELLULAR'!G44</f>
        <v>12.965336224440424</v>
      </c>
      <c r="P16" s="17">
        <f>'EM CELLULAR'!H44</f>
        <v>0.16425371227743413</v>
      </c>
      <c r="S16" s="88"/>
      <c r="T16" s="88"/>
      <c r="U16" s="88"/>
      <c r="V16" s="42"/>
      <c r="W16" s="42"/>
      <c r="X16" s="42"/>
      <c r="Y16" s="42"/>
      <c r="Z16" s="42"/>
      <c r="AA16" s="42"/>
    </row>
    <row r="17" spans="2:27">
      <c r="B17" s="5" t="s">
        <v>6</v>
      </c>
      <c r="C17" s="257"/>
      <c r="D17" s="228">
        <f>AAF!D17 + MTS!D17+VIMP!D17+(TKC!D17/Prices!$C$150)+(MTN!D17/Prices!$C$170)+(VODA!D17/Prices!$C$170)+(SAF!D17/Prices!$C$179)</f>
        <v>0</v>
      </c>
      <c r="E17" s="228">
        <f>AAF!E17 + MTS!E17+VIMP!E17+(TKC!E17/Prices!$C$150)+(MTN!E17/Prices!$C$170)+(VODA!E17/Prices!$C$170)+(SAF!E17/Prices!$C$179)</f>
        <v>0</v>
      </c>
      <c r="F17" s="228">
        <f>AAF!F17 + MTS!F17+VIMP!F17+(TKC!F17/Prices!$C$150)+(MTN!F17/Prices!$C$170)+(VODA!F17/Prices!$C$170)+(SAF!F17/Prices!$C$179)</f>
        <v>0</v>
      </c>
      <c r="G17" s="228">
        <f>AAF!G17 + MTS!G17+VIMP!G17+(TKC!G17/Prices!$C$150)+(MTN!G17/Prices!$C$170)+(VODA!G17/Prices!$C$170)+(SAF!G17/Prices!$C$179)</f>
        <v>0</v>
      </c>
      <c r="H17" s="247"/>
      <c r="I17" s="247"/>
      <c r="J17" s="5" t="s">
        <v>580</v>
      </c>
      <c r="L17" s="248">
        <f>'EM CELLULAR'!D45</f>
        <v>3.8592786101513454E-2</v>
      </c>
      <c r="M17" s="248">
        <f>'EM CELLULAR'!E45</f>
        <v>4.221028254180547E-2</v>
      </c>
      <c r="N17" s="248">
        <f>'EM CELLULAR'!F45</f>
        <v>4.9095770089858652E-2</v>
      </c>
      <c r="O17" s="248">
        <f>'EM CELLULAR'!G45</f>
        <v>5.6214491846374066E-2</v>
      </c>
      <c r="P17" s="17">
        <f>'EM CELLULAR'!H45</f>
        <v>0.1356682547662138</v>
      </c>
      <c r="S17" s="88"/>
      <c r="T17" s="88"/>
      <c r="U17" s="88"/>
      <c r="V17" s="42"/>
      <c r="W17" s="42"/>
      <c r="X17" s="42"/>
      <c r="Y17" s="42"/>
      <c r="Z17" s="42"/>
      <c r="AA17" s="42"/>
    </row>
    <row r="18" spans="2:27" ht="12.6" thickBot="1">
      <c r="B18" s="41" t="s">
        <v>360</v>
      </c>
      <c r="C18" s="249"/>
      <c r="D18" s="275">
        <f>AAF!D18 + MTS!D18+VIMP!D18+(TKC!D18/Prices!$C$150)+(MTN!D18/Prices!$C$170)+(VODA!D18/Prices!$C$170)+(SAF!D18/Prices!$C$179)</f>
        <v>109969.01324066662</v>
      </c>
      <c r="E18" s="275">
        <f>AAF!E18 + MTS!E18+VIMP!E18+(TKC!E18/Prices!$C$150)+(MTN!E18/Prices!$C$170)+(VODA!E18/Prices!$C$170)+(SAF!E18/Prices!$C$179)</f>
        <v>109683.40244994176</v>
      </c>
      <c r="F18" s="275">
        <f>AAF!F18 + MTS!F18+VIMP!F18+(TKC!F18/Prices!$C$150)+(MTN!F18/Prices!$C$170)+(VODA!F18/Prices!$C$170)+(SAF!F18/Prices!$C$179)</f>
        <v>107675.87400869507</v>
      </c>
      <c r="G18" s="275">
        <f>AAF!G18 + MTS!G18+VIMP!G18+(TKC!G18/Prices!$C$150)+(MTN!G18/Prices!$C$170)+(VODA!G18/Prices!$C$170)+(SAF!G18/Prices!$C$179)</f>
        <v>105329.45638327172</v>
      </c>
      <c r="H18" s="276">
        <f>IF(D18=0,"nm",IF(G18=0,"nm",(G18/D18)^(1/3)-1))</f>
        <v>-1.4265769202258638E-2</v>
      </c>
      <c r="I18" s="254"/>
      <c r="J18" s="5" t="s">
        <v>36</v>
      </c>
      <c r="L18" s="248" t="e">
        <f>'EM CELLULAR'!D46</f>
        <v>#VALUE!</v>
      </c>
      <c r="M18" s="248" t="e">
        <f>'EM CELLULAR'!E46</f>
        <v>#VALUE!</v>
      </c>
      <c r="N18" s="248" t="e">
        <f>'EM CELLULAR'!F46</f>
        <v>#VALUE!</v>
      </c>
      <c r="O18" s="248" t="e">
        <f>'EM CELLULAR'!G46</f>
        <v>#VALUE!</v>
      </c>
      <c r="P18" s="17" t="e">
        <f>'EM CELLULAR'!H46</f>
        <v>#VALUE!</v>
      </c>
      <c r="S18" s="88"/>
      <c r="T18" s="88"/>
      <c r="U18" s="88"/>
      <c r="V18" s="42"/>
      <c r="W18" s="42"/>
      <c r="X18" s="42"/>
      <c r="Y18" s="42"/>
      <c r="Z18" s="42"/>
      <c r="AA18" s="42"/>
    </row>
    <row r="19" spans="2:27" ht="12.6" thickTop="1">
      <c r="B19" s="41"/>
      <c r="C19" s="249"/>
      <c r="D19" s="229"/>
      <c r="E19" s="229"/>
      <c r="F19" s="229"/>
      <c r="G19" s="229"/>
      <c r="H19" s="276"/>
      <c r="I19" s="17"/>
      <c r="J19" s="5" t="s">
        <v>581</v>
      </c>
      <c r="L19" s="248">
        <f>'EM CELLULAR'!D47</f>
        <v>4.3761880265579547E-2</v>
      </c>
      <c r="M19" s="248">
        <f>'EM CELLULAR'!E47</f>
        <v>4.8987760671499313E-2</v>
      </c>
      <c r="N19" s="248">
        <f>'EM CELLULAR'!F47</f>
        <v>5.9961714304254204E-2</v>
      </c>
      <c r="O19" s="248">
        <f>'EM CELLULAR'!G47</f>
        <v>7.1164235559031272E-2</v>
      </c>
      <c r="P19" s="17">
        <f>'EM CELLULAR'!H47</f>
        <v>0.1773224152875903</v>
      </c>
      <c r="S19" s="88"/>
      <c r="T19" s="88"/>
      <c r="U19" s="88"/>
      <c r="V19" s="42"/>
      <c r="W19" s="42"/>
      <c r="X19" s="42"/>
      <c r="Y19" s="42"/>
      <c r="Z19" s="42"/>
      <c r="AA19" s="42"/>
    </row>
    <row r="20" spans="2:27">
      <c r="H20" s="277"/>
      <c r="I20" s="49"/>
      <c r="J20" s="5" t="s">
        <v>604</v>
      </c>
      <c r="L20" s="248">
        <f>'EM CELLULAR'!D48</f>
        <v>0.88668294064217501</v>
      </c>
      <c r="M20" s="248">
        <f>'EM CELLULAR'!E48</f>
        <v>0.86591383416109602</v>
      </c>
      <c r="N20" s="248">
        <f>'EM CELLULAR'!F48</f>
        <v>0.82267670747127919</v>
      </c>
      <c r="O20" s="248">
        <f>'EM CELLULAR'!G48</f>
        <v>0.79585980881552554</v>
      </c>
      <c r="P20" s="17" t="str">
        <f>'EM CELLULAR'!H48</f>
        <v>nm</v>
      </c>
      <c r="S20" s="42"/>
      <c r="T20" s="42"/>
      <c r="U20" s="42"/>
      <c r="V20" s="42"/>
      <c r="W20" s="42"/>
      <c r="X20" s="42"/>
      <c r="Y20" s="42"/>
      <c r="Z20" s="42"/>
      <c r="AA20" s="42"/>
    </row>
    <row r="21" spans="2:27" ht="12.6" thickBot="1">
      <c r="B21" s="306" t="s">
        <v>482</v>
      </c>
      <c r="C21" s="265">
        <v>2020</v>
      </c>
      <c r="D21" s="265" t="str">
        <f>D5</f>
        <v>2023E</v>
      </c>
      <c r="E21" s="265" t="str">
        <f>E5</f>
        <v>2024E</v>
      </c>
      <c r="F21" s="265" t="str">
        <f>F5</f>
        <v>2025E</v>
      </c>
      <c r="G21" s="265" t="str">
        <f>G5</f>
        <v>2026E</v>
      </c>
      <c r="H21" s="282" t="str">
        <f>H5</f>
        <v>23E-26E</v>
      </c>
      <c r="I21" s="17"/>
      <c r="S21" s="42"/>
      <c r="T21" s="42"/>
      <c r="U21" s="42"/>
      <c r="V21" s="42"/>
      <c r="W21" s="42"/>
      <c r="X21" s="42"/>
      <c r="Y21" s="42"/>
      <c r="Z21" s="42"/>
      <c r="AA21" s="42"/>
    </row>
    <row r="22" spans="2:27" ht="12.6" thickTop="1">
      <c r="B22" s="5"/>
      <c r="C22" s="257"/>
      <c r="D22" s="17"/>
      <c r="E22" s="17"/>
      <c r="F22" s="17"/>
      <c r="G22" s="17"/>
      <c r="H22" s="17"/>
      <c r="I22" s="247"/>
      <c r="P22" s="277"/>
      <c r="S22" s="42"/>
      <c r="T22" s="42"/>
      <c r="U22" s="42"/>
      <c r="V22" s="42"/>
      <c r="W22" s="42"/>
      <c r="X22" s="42"/>
      <c r="Y22" s="42"/>
      <c r="Z22" s="42"/>
      <c r="AA22" s="42"/>
    </row>
    <row r="23" spans="2:27" ht="12.6" thickBot="1">
      <c r="B23" s="5" t="s">
        <v>584</v>
      </c>
      <c r="C23" s="365">
        <f>AAF!C23+MTS!C23+VIMP!C23+(TKC!C23/Prices!$C$150)+(MTN!C23/Prices!$C$170)+(VODA!C23/Prices!$C$170)+(SAF!C23/Prices!$C$179)</f>
        <v>34328.814434266518</v>
      </c>
      <c r="D23" s="228">
        <f>AAF!D23+MTS!D23+VIMP!D23+(TKC!D23/Prices!$C$150)+(MTN!D23/Prices!$C$170)+(VODA!D23/Prices!$C$170)+(SAF!D23/Prices!$C$179)</f>
        <v>36207.349776098286</v>
      </c>
      <c r="E23" s="228">
        <f>AAF!E23+MTS!E23+VIMP!E23+(TKC!E23/Prices!$C$150)+(MTN!E23/Prices!$C$170)+(VODA!E23/Prices!$C$170)+(SAF!E23/Prices!$C$179)</f>
        <v>35651.094550158174</v>
      </c>
      <c r="F23" s="228">
        <f>AAF!F23+MTS!F23+VIMP!F23+(TKC!F23/Prices!$C$150)+(MTN!F23/Prices!$C$170)+(VODA!F23/Prices!$C$170)+(SAF!F23/Prices!$C$179)</f>
        <v>38474.658846271966</v>
      </c>
      <c r="G23" s="228">
        <f>AAF!G23+MTS!G23+VIMP!G23+(TKC!G23/Prices!$C$150)+(MTN!G23/Prices!$C$170)+(VODA!G23/Prices!$C$170)+(SAF!G23/Prices!$C$179)</f>
        <v>41048.28145102672</v>
      </c>
      <c r="H23" s="279">
        <f t="shared" ref="H23:H33" si="0">IF(D23=0,"nm",IF(G23=0,"nm",(G23/D23)^(1/3)-1))</f>
        <v>4.2716103268778172E-2</v>
      </c>
      <c r="I23" s="249"/>
      <c r="J23" s="306" t="s">
        <v>9</v>
      </c>
      <c r="K23" s="306"/>
      <c r="L23" s="265" t="str">
        <f>L5</f>
        <v>2023E</v>
      </c>
      <c r="M23" s="265" t="str">
        <f>M5</f>
        <v>2024E</v>
      </c>
      <c r="N23" s="265" t="str">
        <f>N5</f>
        <v>2025E</v>
      </c>
      <c r="O23" s="265" t="str">
        <f>O5</f>
        <v>2026E</v>
      </c>
      <c r="P23" s="282" t="str">
        <f>P5</f>
        <v>23E-26E</v>
      </c>
      <c r="S23" s="42"/>
      <c r="T23" s="42"/>
      <c r="U23" s="42"/>
      <c r="V23" s="42"/>
      <c r="W23" s="42" t="s">
        <v>562</v>
      </c>
      <c r="X23" s="42" t="s">
        <v>563</v>
      </c>
      <c r="Y23" s="42"/>
      <c r="Z23" s="42"/>
      <c r="AA23" s="42"/>
    </row>
    <row r="24" spans="2:27" ht="12.6" thickTop="1">
      <c r="B24" s="5" t="s">
        <v>483</v>
      </c>
      <c r="C24" s="365">
        <f>AAF!C24+MTS!C24+VIMP!C24+(TKC!C24/Prices!$C$150)+(MTN!C24/Prices!$C$170)+(VODA!C24/Prices!$C$170)+(SAF!C24/Prices!$C$179)</f>
        <v>14646.923329530355</v>
      </c>
      <c r="D24" s="228">
        <f>AAF!D24+MTS!D24+VIMP!D24+(TKC!D24/Prices!$C$150)+(MTN!D24/Prices!$C$170)+(VODA!D24/Prices!$C$170)+(SAF!D24/Prices!$C$179)</f>
        <v>15223.10614517047</v>
      </c>
      <c r="E24" s="228">
        <f>AAF!E24+MTS!E24+VIMP!E24+(TKC!E24/Prices!$C$150)+(MTN!E24/Prices!$C$170)+(VODA!E24/Prices!$C$170)+(SAF!E24/Prices!$C$179)</f>
        <v>14774.651087361079</v>
      </c>
      <c r="F24" s="228">
        <f>AAF!F24+MTS!F24+VIMP!F24+(TKC!F24/Prices!$C$150)+(MTN!F24/Prices!$C$170)+(VODA!F24/Prices!$C$170)+(SAF!F24/Prices!$C$179)</f>
        <v>16133.160281117785</v>
      </c>
      <c r="G24" s="228">
        <f>AAF!G24+MTS!G24+VIMP!G24+(TKC!G24/Prices!$C$150)+(MTN!G24/Prices!$C$170)+(VODA!G24/Prices!$C$170)+(SAF!G24/Prices!$C$179)</f>
        <v>17267.677798093377</v>
      </c>
      <c r="H24" s="279">
        <f t="shared" si="0"/>
        <v>4.2902128020809061E-2</v>
      </c>
      <c r="I24" s="248"/>
      <c r="J24" s="17"/>
      <c r="K24" s="17"/>
      <c r="L24" s="17"/>
      <c r="M24" s="17"/>
      <c r="N24" s="17"/>
      <c r="O24" s="248"/>
      <c r="S24" s="42"/>
      <c r="T24" s="42"/>
      <c r="U24" s="42"/>
      <c r="V24" s="147" t="s">
        <v>273</v>
      </c>
      <c r="W24" s="288">
        <f t="shared" ref="W24:W29" si="1">E37/M9</f>
        <v>1.4185653522299257</v>
      </c>
      <c r="X24" s="288">
        <v>1</v>
      </c>
      <c r="Y24" s="42"/>
      <c r="Z24" s="42"/>
      <c r="AA24" s="42"/>
    </row>
    <row r="25" spans="2:27">
      <c r="B25" s="5" t="s">
        <v>183</v>
      </c>
      <c r="C25" s="365">
        <f>AAF!C25+MTS!C25+VIMP!C25+(TKC!C25/Prices!$C$150)+(MTN!C25/Prices!$C$170)+(VODA!C25/Prices!$C$170)+(SAF!C25/Prices!$C$179)</f>
        <v>7571.8801605636163</v>
      </c>
      <c r="D25" s="228">
        <f>AAF!D25+MTS!D25+VIMP!D25+(TKC!D25/Prices!$C$150)+(MTN!D25/Prices!$C$170)+(VODA!D25/Prices!$C$170)+(SAF!D25/Prices!$C$179)</f>
        <v>7892.1352043460665</v>
      </c>
      <c r="E25" s="228">
        <f>AAF!E25+MTS!E25+VIMP!E25+(TKC!E25/Prices!$C$150)+(MTN!E25/Prices!$C$170)+(VODA!E25/Prices!$C$170)+(SAF!E25/Prices!$C$179)</f>
        <v>7734.1551766924531</v>
      </c>
      <c r="F25" s="228">
        <f>AAF!F25+MTS!F25+VIMP!F25+(TKC!F25/Prices!$C$150)+(MTN!F25/Prices!$C$170)+(VODA!F25/Prices!$C$170)+(SAF!F25/Prices!$C$179)</f>
        <v>8912.1709443158379</v>
      </c>
      <c r="G25" s="228">
        <f>AAF!G25+MTS!G25+VIMP!G25+(TKC!G25/Prices!$C$150)+(MTN!G25/Prices!$C$170)+(VODA!G25/Prices!$C$170)+(SAF!G25/Prices!$C$179)</f>
        <v>9894.4959520254015</v>
      </c>
      <c r="H25" s="279">
        <f t="shared" si="0"/>
        <v>7.8283731285485381E-2</v>
      </c>
      <c r="I25" s="249"/>
      <c r="J25" s="247" t="s">
        <v>10</v>
      </c>
      <c r="K25" s="247"/>
      <c r="L25" s="332">
        <f>MTS!L25+VIMP!L25+(TKC!L25/Prices!$C$150)+(MTN!L25/Prices!$C$170)+(VODA!L25/Prices!$C$170)+(SAF!L25/Prices!$C$179)</f>
        <v>0</v>
      </c>
      <c r="M25" s="332">
        <f>MTS!M25+VIMP!M25+(TKC!M25/Prices!$C$150)+(MTN!M25/Prices!$C$170)+(VODA!M25/Prices!$C$170)+(SAF!M25/Prices!$C$179)</f>
        <v>0</v>
      </c>
      <c r="N25" s="332">
        <f>MTS!N25+VIMP!N25+(TKC!N25/Prices!$C$150)+(MTN!N25/Prices!$C$170)+(VODA!N25/Prices!$C$170)+(SAF!N25/Prices!$C$179)</f>
        <v>0</v>
      </c>
      <c r="O25" s="332">
        <f>MTS!O25+VIMP!O25+(TKC!O25/Prices!$C$150)+(MTN!O25/Prices!$C$170)+(VODA!O25/Prices!$C$170)+(SAF!O25/Prices!$C$179)</f>
        <v>0</v>
      </c>
      <c r="P25" s="279" t="str">
        <f>IF(L25=0,"nm",IF(O25=0,"nm",(O25/L25)^(1/3)-1))</f>
        <v>nm</v>
      </c>
      <c r="Q25" s="5"/>
      <c r="S25" s="42"/>
      <c r="T25" s="42"/>
      <c r="U25" s="42"/>
      <c r="V25" s="147" t="s">
        <v>184</v>
      </c>
      <c r="W25" s="288">
        <f t="shared" si="1"/>
        <v>1.2783701479845604</v>
      </c>
      <c r="X25" s="288">
        <v>1</v>
      </c>
      <c r="Y25" s="42"/>
      <c r="Z25" s="42"/>
      <c r="AA25" s="42"/>
    </row>
    <row r="26" spans="2:27">
      <c r="B26" s="5" t="s">
        <v>586</v>
      </c>
      <c r="C26" s="365">
        <f>AAF!C26+MTS!C26+VIMP!C26+(TKC!C26/Prices!$C$150)+(MTN!C26/Prices!$C$170)+(VODA!C26/Prices!$C$170)+(SAF!C26/Prices!$C$179)</f>
        <v>5418.6598764564196</v>
      </c>
      <c r="D26" s="228">
        <f>AAF!D26+MTS!D26+VIMP!D26+(TKC!D26/Prices!$C$150)+(MTN!D26/Prices!$C$170)+(VODA!D26/Prices!$C$170)+(SAF!D26/Prices!$C$179)</f>
        <v>5314.180526097146</v>
      </c>
      <c r="E26" s="228">
        <f>AAF!E26+MTS!E26+VIMP!E26+(TKC!E26/Prices!$C$150)+(MTN!E26/Prices!$C$170)+(VODA!E26/Prices!$C$170)+(SAF!E26/Prices!$C$179)</f>
        <v>5234.2788015505248</v>
      </c>
      <c r="F26" s="228">
        <f>AAF!F26+MTS!F26+VIMP!F26+(TKC!F26/Prices!$C$150)+(MTN!F26/Prices!$C$170)+(VODA!F26/Prices!$C$170)+(SAF!F26/Prices!$C$179)</f>
        <v>5986.5109039926529</v>
      </c>
      <c r="G26" s="228">
        <f>AAF!G26+MTS!G26+VIMP!G26+(TKC!G26/Prices!$C$150)+(MTN!G26/Prices!$C$170)+(VODA!G26/Prices!$C$170)+(SAF!G26/Prices!$C$179)</f>
        <v>6609.0162467577884</v>
      </c>
      <c r="H26" s="279">
        <f t="shared" si="0"/>
        <v>7.539209226558885E-2</v>
      </c>
      <c r="I26" s="249"/>
      <c r="J26" s="249" t="s">
        <v>11</v>
      </c>
      <c r="K26" s="249"/>
      <c r="L26" s="281">
        <f>MTS!L26+VIMP!L26+(TKC!L26/Prices!$C$150)+(MTN!L26/Prices!$C$170)+(VODA!L26/Prices!$C$170)+(SAF!L26/Prices!$C$179)</f>
        <v>85797.7840418899</v>
      </c>
      <c r="M26" s="281">
        <f>MTS!M26+VIMP!M26+(TKC!M26/Prices!$C$150)+(MTN!M26/Prices!$C$170)+(VODA!M26/Prices!$C$170)+(SAF!M26/Prices!$C$179)</f>
        <v>85797.7840418899</v>
      </c>
      <c r="N26" s="281">
        <f>MTS!N26+VIMP!N26+(TKC!N26/Prices!$C$150)+(MTN!N26/Prices!$C$170)+(VODA!N26/Prices!$C$170)+(SAF!N26/Prices!$C$179)</f>
        <v>85797.7840418899</v>
      </c>
      <c r="O26" s="281">
        <f>MTS!O26+VIMP!O26+(TKC!O26/Prices!$C$150)+(MTN!O26/Prices!$C$170)+(VODA!O26/Prices!$C$170)+(SAF!O26/Prices!$C$179)</f>
        <v>85797.7840418899</v>
      </c>
      <c r="P26" s="279">
        <f>IF(L26=0,"nm",IF(O26=0,"nm",(O26/L26)^(1/3)-1))</f>
        <v>0</v>
      </c>
      <c r="Q26" s="41"/>
      <c r="S26" s="42"/>
      <c r="T26" s="42"/>
      <c r="U26" s="42"/>
      <c r="V26" s="147" t="s">
        <v>185</v>
      </c>
      <c r="W26" s="288">
        <f t="shared" si="1"/>
        <v>1.3198026258981994</v>
      </c>
      <c r="X26" s="288">
        <v>1</v>
      </c>
      <c r="Y26" s="42"/>
      <c r="Z26" s="42"/>
      <c r="AA26" s="42"/>
    </row>
    <row r="27" spans="2:27">
      <c r="B27" s="5" t="s">
        <v>587</v>
      </c>
      <c r="C27" s="365">
        <f>AAF!C27+MTS!C27+VIMP!C27+(TKC!C27/Prices!$C$150)+(MTN!C27/Prices!$C$170)+(VODA!C27/Prices!$C$170)+(SAF!C27/Prices!$C$179)</f>
        <v>39567.723837948557</v>
      </c>
      <c r="D27" s="228">
        <f>AAF!D27+MTS!D27+VIMP!D27+(TKC!D27/Prices!$C$150)+(MTN!D27/Prices!$C$170)+(VODA!D27/Prices!$C$170)+(SAF!D27/Prices!$C$179)</f>
        <v>37837.213466467656</v>
      </c>
      <c r="E27" s="228">
        <f>AAF!E27+MTS!E27+VIMP!E27+(TKC!E27/Prices!$C$150)+(MTN!E27/Prices!$C$170)+(VODA!E27/Prices!$C$170)+(SAF!E27/Prices!$C$179)</f>
        <v>39038.14974273149</v>
      </c>
      <c r="F27" s="228">
        <f>AAF!F27+MTS!F27+VIMP!F27+(TKC!F27/Prices!$C$150)+(MTN!F27/Prices!$C$170)+(VODA!F27/Prices!$C$170)+(SAF!F27/Prices!$C$179)</f>
        <v>40221.970427368251</v>
      </c>
      <c r="G27" s="228">
        <f>AAF!G27+MTS!G27+VIMP!G27+(TKC!G27/Prices!$C$150)+(MTN!G27/Prices!$C$170)+(VODA!G27/Prices!$C$170)+(SAF!G27/Prices!$C$179)</f>
        <v>41474.313347980933</v>
      </c>
      <c r="H27" s="279">
        <f t="shared" si="0"/>
        <v>3.1066523451782402E-2</v>
      </c>
      <c r="I27" s="248"/>
      <c r="J27" s="248"/>
      <c r="K27" s="248"/>
      <c r="L27" s="248"/>
      <c r="M27" s="248"/>
      <c r="N27" s="248"/>
      <c r="O27" s="248"/>
      <c r="Q27" s="5"/>
      <c r="S27" s="42"/>
      <c r="T27" s="42"/>
      <c r="U27" s="42"/>
      <c r="V27" s="147" t="s">
        <v>466</v>
      </c>
      <c r="W27" s="288">
        <f t="shared" si="1"/>
        <v>1.4853961877790474</v>
      </c>
      <c r="X27" s="288">
        <v>1</v>
      </c>
      <c r="Y27" s="42"/>
      <c r="Z27" s="42"/>
      <c r="AA27" s="42"/>
    </row>
    <row r="28" spans="2:27" ht="12.6" thickBot="1">
      <c r="B28" s="5" t="s">
        <v>592</v>
      </c>
      <c r="C28" s="365">
        <f>AAF!C28+MTS!C28+VIMP!C28+(TKC!C28/Prices!$C$150)+(MTN!C28/Prices!$C$170)+(VODA!C28/Prices!$C$170)+(SAF!C28/Prices!$C$179)</f>
        <v>24645.975073304242</v>
      </c>
      <c r="D28" s="228">
        <f>AAF!D28+MTS!D28+VIMP!D28+(TKC!D28/Prices!$C$150)+(MTN!D28/Prices!$C$170)+(VODA!D28/Prices!$C$170)+(SAF!D28/Prices!$C$179)</f>
        <v>26192.046085483209</v>
      </c>
      <c r="E28" s="228">
        <f>AAF!E28+MTS!E28+VIMP!E28+(TKC!E28/Prices!$C$150)+(MTN!E28/Prices!$C$170)+(VODA!E28/Prices!$C$170)+(SAF!E28/Prices!$C$179)</f>
        <v>26841.937286438111</v>
      </c>
      <c r="F28" s="228">
        <f>AAF!F28+MTS!F28+VIMP!F28+(TKC!F28/Prices!$C$150)+(MTN!F28/Prices!$C$170)+(VODA!F28/Prices!$C$170)+(SAF!F28/Prices!$C$179)</f>
        <v>27512.060187402123</v>
      </c>
      <c r="G28" s="228">
        <f>AAF!G28+MTS!G28+VIMP!G28+(TKC!G28/Prices!$C$150)+(MTN!G28/Prices!$C$170)+(VODA!G28/Prices!$C$170)+(SAF!G28/Prices!$C$179)</f>
        <v>28314.590099666679</v>
      </c>
      <c r="H28" s="279">
        <f t="shared" si="0"/>
        <v>2.6314073359182233E-2</v>
      </c>
      <c r="I28" s="252"/>
      <c r="J28" s="306" t="s">
        <v>754</v>
      </c>
      <c r="K28" s="306"/>
      <c r="L28" s="306"/>
      <c r="M28" s="306"/>
      <c r="N28" s="266"/>
      <c r="O28" s="266"/>
      <c r="P28" s="266"/>
      <c r="Q28" s="5"/>
      <c r="S28" s="42"/>
      <c r="T28" s="42"/>
      <c r="U28" s="42"/>
      <c r="V28" s="147" t="s">
        <v>530</v>
      </c>
      <c r="W28" s="288">
        <f t="shared" si="1"/>
        <v>1.8762420599140521</v>
      </c>
      <c r="X28" s="288">
        <v>1</v>
      </c>
      <c r="Y28" s="42"/>
      <c r="Z28" s="42"/>
      <c r="AA28" s="42"/>
    </row>
    <row r="29" spans="2:27" ht="12.6" thickTop="1">
      <c r="B29" s="5" t="s">
        <v>588</v>
      </c>
      <c r="C29" s="365">
        <f>AAF!C29+MTS!C29+VIMP!C29+(TKC!C29/Prices!$C$150)+(MTN!C29/Prices!$C$170)+(VODA!C29/Prices!$C$170)+(SAF!C29/Prices!$C$179)</f>
        <v>2374.225150615403</v>
      </c>
      <c r="D29" s="228">
        <f>AAF!D29+MTS!D29+VIMP!D29+(TKC!D29/Prices!$C$150)+(MTN!D29/Prices!$C$170)+(VODA!D29/Prices!$C$170)+(SAF!D29/Prices!$C$179)</f>
        <v>2754.0193775048006</v>
      </c>
      <c r="E29" s="228">
        <f>AAF!E29+MTS!E29+VIMP!E29+(TKC!E29/Prices!$C$150)+(MTN!E29/Prices!$C$170)+(VODA!E29/Prices!$C$170)+(SAF!E29/Prices!$C$179)</f>
        <v>2113.7970798969636</v>
      </c>
      <c r="F29" s="228">
        <f>AAF!F29+MTS!F29+VIMP!F29+(TKC!F29/Prices!$C$150)+(MTN!F29/Prices!$C$170)+(VODA!F29/Prices!$C$170)+(SAF!F29/Prices!$C$179)</f>
        <v>2963.718725376385</v>
      </c>
      <c r="G29" s="228">
        <f>AAF!G29+MTS!G29+VIMP!G29+(TKC!G29/Prices!$C$150)+(MTN!G29/Prices!$C$170)+(VODA!G29/Prices!$C$170)+(SAF!G29/Prices!$C$179)</f>
        <v>3331.6768718422009</v>
      </c>
      <c r="H29" s="279">
        <f t="shared" si="0"/>
        <v>6.5529048867266182E-2</v>
      </c>
      <c r="I29" s="254"/>
      <c r="J29" s="249"/>
      <c r="K29" s="249"/>
      <c r="L29" s="249"/>
      <c r="M29" s="249"/>
      <c r="N29" s="249"/>
      <c r="O29" s="251"/>
      <c r="Q29" s="5"/>
      <c r="S29" s="42"/>
      <c r="T29" s="42"/>
      <c r="U29" s="42"/>
      <c r="V29" s="147" t="s">
        <v>593</v>
      </c>
      <c r="W29" s="288">
        <f t="shared" si="1"/>
        <v>1.5821495211526526</v>
      </c>
      <c r="X29" s="288">
        <v>1</v>
      </c>
      <c r="Y29" s="42"/>
      <c r="Z29" s="42"/>
      <c r="AA29" s="42"/>
    </row>
    <row r="30" spans="2:27">
      <c r="B30" s="5" t="s">
        <v>589</v>
      </c>
      <c r="C30" s="365">
        <f>AAF!C30+MTS!C30+VIMP!C30+(TKC!C30/Prices!$C$150)+(MTN!C30/Prices!$C$170)+(VODA!C30/Prices!$C$170)+(SAF!C30/Prices!$C$179)</f>
        <v>4177.1328498911553</v>
      </c>
      <c r="D30" s="228">
        <f>AAF!D30+MTS!D30+VIMP!D30+(TKC!D30/Prices!$C$150)+(MTN!D30/Prices!$C$170)+(VODA!D30/Prices!$C$170)+(SAF!D30/Prices!$C$179)</f>
        <v>3316.4461251029252</v>
      </c>
      <c r="E30" s="228">
        <f>AAF!E30+MTS!E30+VIMP!E30+(TKC!E30/Prices!$C$150)+(MTN!E30/Prices!$C$170)+(VODA!E30/Prices!$C$170)+(SAF!E30/Prices!$C$179)</f>
        <v>3439.9936564552813</v>
      </c>
      <c r="F30" s="228">
        <f>AAF!F30+MTS!F30+VIMP!F30+(TKC!F30/Prices!$C$150)+(MTN!F30/Prices!$C$170)+(VODA!F30/Prices!$C$170)+(SAF!F30/Prices!$C$179)</f>
        <v>4432.3570818989183</v>
      </c>
      <c r="G30" s="228">
        <f>AAF!G30+MTS!G30+VIMP!G30+(TKC!G30/Prices!$C$150)+(MTN!G30/Prices!$C$170)+(VODA!G30/Prices!$C$170)+(SAF!G30/Prices!$C$179)</f>
        <v>5021.2176664959816</v>
      </c>
      <c r="H30" s="279">
        <f t="shared" si="0"/>
        <v>0.14827356589829632</v>
      </c>
      <c r="I30" s="254"/>
      <c r="J30" s="248"/>
      <c r="K30" s="248"/>
      <c r="L30" s="248"/>
      <c r="M30" s="248"/>
      <c r="N30" s="248"/>
      <c r="O30" s="5"/>
      <c r="Q30" s="5"/>
      <c r="S30" s="42"/>
      <c r="T30" s="42"/>
      <c r="U30" s="42"/>
      <c r="V30" s="147" t="s">
        <v>384</v>
      </c>
      <c r="W30" s="288">
        <f>F43/N15</f>
        <v>1.7358537335571727</v>
      </c>
      <c r="X30" s="288">
        <v>1</v>
      </c>
      <c r="Y30" s="42"/>
      <c r="Z30" s="42"/>
      <c r="AA30" s="42"/>
    </row>
    <row r="31" spans="2:27">
      <c r="B31" s="5" t="s">
        <v>590</v>
      </c>
      <c r="C31" s="365">
        <f>AAF!C31+MTS!C31+VIMP!C31+(TKC!C31/Prices!$C$150)+(MTN!C31/Prices!$C$170)+(VODA!C31/Prices!$C$170)+(SAF!C31/Prices!$C$179)</f>
        <v>1860.9113290274972</v>
      </c>
      <c r="D31" s="228">
        <f>AAF!D31+MTS!D31+VIMP!D31+(TKC!D31/Prices!$C$150)+(MTN!D31/Prices!$C$170)+(VODA!D31/Prices!$C$170)+(SAF!D31/Prices!$C$179)</f>
        <v>1835.4573965763627</v>
      </c>
      <c r="E31" s="228">
        <f>AAF!E31+MTS!E31+VIMP!E31+(TKC!E31/Prices!$C$150)+(MTN!E31/Prices!$C$170)+(VODA!E31/Prices!$C$170)+(SAF!E31/Prices!$C$179)</f>
        <v>2072.6890679604953</v>
      </c>
      <c r="F31" s="228">
        <f>AAF!F31+MTS!F31+VIMP!F31+(TKC!F31/Prices!$C$150)+(MTN!F31/Prices!$C$170)+(VODA!F31/Prices!$C$170)+(SAF!F31/Prices!$C$179)</f>
        <v>2437.8942813482154</v>
      </c>
      <c r="G31" s="228">
        <f>AAF!G31+MTS!G31+VIMP!G31+(TKC!G31/Prices!$C$150)+(MTN!G31/Prices!$C$170)+(VODA!G31/Prices!$C$170)+(SAF!G31/Prices!$C$179)</f>
        <v>2667.8823145127685</v>
      </c>
      <c r="H31" s="279">
        <f t="shared" si="0"/>
        <v>0.13276751641400475</v>
      </c>
      <c r="I31" s="254"/>
      <c r="J31" s="252"/>
      <c r="K31" s="252"/>
      <c r="L31" s="252"/>
      <c r="M31" s="252"/>
      <c r="N31" s="252"/>
      <c r="O31" s="5"/>
      <c r="Q31" s="5"/>
      <c r="S31" s="42"/>
      <c r="T31" s="42"/>
      <c r="U31" s="42"/>
      <c r="V31" s="147" t="s">
        <v>533</v>
      </c>
      <c r="W31" s="288">
        <f>E44/M16</f>
        <v>1.5079004528403819</v>
      </c>
      <c r="X31" s="288">
        <v>1</v>
      </c>
      <c r="Y31" s="42"/>
      <c r="Z31" s="42"/>
      <c r="AA31" s="42"/>
    </row>
    <row r="32" spans="2:27">
      <c r="B32" s="5" t="s">
        <v>606</v>
      </c>
      <c r="C32" s="365">
        <f>AAF!C32+MTS!C32+VIMP!C32+(TKC!C32/Prices!$C$150)+(MTN!C32/Prices!$C$170)+(VODA!C32/Prices!$C$170)+(SAF!C32/Prices!$C$179)</f>
        <v>378.05910741182305</v>
      </c>
      <c r="D32" s="228">
        <f>AAF!D32+MTS!D32+VIMP!D32+(TKC!D32/Prices!$C$150)+(MTN!D32/Prices!$C$170)+(VODA!D32/Prices!$C$170)+(SAF!D32/Prices!$C$179)</f>
        <v>99.812833215786924</v>
      </c>
      <c r="E32" s="228">
        <f>AAF!E32+MTS!E32+VIMP!E32+(TKC!E32/Prices!$C$150)+(MTN!E32/Prices!$C$170)+(VODA!E32/Prices!$C$170)+(SAF!E32/Prices!$C$179)</f>
        <v>-482.0517093601328</v>
      </c>
      <c r="F32" s="228">
        <f>AAF!F32+MTS!F32+VIMP!F32+(TKC!F32/Prices!$C$150)+(MTN!F32/Prices!$C$170)+(VODA!F32/Prices!$C$170)+(SAF!F32/Prices!$C$179)</f>
        <v>511.92130249841176</v>
      </c>
      <c r="G32" s="228">
        <f>AAF!G32+MTS!G32+VIMP!G32+(TKC!G32/Prices!$C$150)+(MTN!G32/Prices!$C$170)+(VODA!G32/Prices!$C$170)+(SAF!G32/Prices!$C$179)</f>
        <v>-32.380867874767212</v>
      </c>
      <c r="H32" s="279">
        <f t="shared" si="0"/>
        <v>-1.6871222846500684</v>
      </c>
      <c r="I32" s="5"/>
      <c r="J32" s="254"/>
      <c r="K32" s="254"/>
      <c r="L32" s="254"/>
      <c r="M32" s="254"/>
      <c r="N32" s="254"/>
      <c r="O32" s="251"/>
      <c r="Q32" s="5"/>
      <c r="S32" s="42"/>
      <c r="T32" s="42"/>
      <c r="U32" s="42"/>
      <c r="V32" s="147" t="s">
        <v>580</v>
      </c>
      <c r="W32" s="288">
        <f>M17/E45</f>
        <v>1.8625965312198607</v>
      </c>
      <c r="X32" s="288">
        <v>1</v>
      </c>
      <c r="Y32" s="42"/>
      <c r="Z32" s="42"/>
      <c r="AA32" s="42"/>
    </row>
    <row r="33" spans="2:42">
      <c r="B33" s="5" t="s">
        <v>5</v>
      </c>
      <c r="C33" s="365">
        <f>AAF!C33+MTS!C33+VIMP!C33+(TKC!C33/Prices!$C$150)+(MTN!C33/Prices!$C$170)+(VODA!C33/Prices!$C$170)+(SAF!C33/Prices!$C$179)</f>
        <v>-2747.7255427590358</v>
      </c>
      <c r="D33" s="228">
        <f>AAF!D33+MTS!D33+VIMP!D33+(TKC!D33/Prices!$C$150)+(MTN!D33/Prices!$C$170)+(VODA!D33/Prices!$C$170)+(SAF!D33/Prices!$C$179)</f>
        <v>-5332.6126642087411</v>
      </c>
      <c r="E33" s="228">
        <f>AAF!E33+MTS!E33+VIMP!E33+(TKC!E33/Prices!$C$150)+(MTN!E33/Prices!$C$170)+(VODA!E33/Prices!$C$170)+(SAF!E33/Prices!$C$179)</f>
        <v>-4016.2455630126678</v>
      </c>
      <c r="F33" s="228">
        <f>AAF!F33+MTS!F33+VIMP!F33+(TKC!F33/Prices!$C$150)+(MTN!F33/Prices!$C$170)+(VODA!F33/Prices!$C$170)+(SAF!F33/Prices!$C$179)</f>
        <v>-3080.1960521729661</v>
      </c>
      <c r="G33" s="228">
        <f>AAF!G33+MTS!G33+VIMP!G33+(TKC!G33/Prices!$C$150)+(MTN!G33/Prices!$C$170)+(VODA!G33/Prices!$C$170)+(SAF!G33/Prices!$C$179)</f>
        <v>-3194.2463396941598</v>
      </c>
      <c r="H33" s="279">
        <f t="shared" si="0"/>
        <v>-0.1570351701973709</v>
      </c>
      <c r="I33" s="49"/>
      <c r="J33" s="254"/>
      <c r="K33" s="254"/>
      <c r="L33" s="254"/>
      <c r="M33" s="254"/>
      <c r="N33" s="254"/>
      <c r="O33" s="251"/>
      <c r="Q33" s="5"/>
      <c r="S33" s="42"/>
      <c r="T33" s="42"/>
      <c r="U33" s="42"/>
      <c r="V33" s="147" t="s">
        <v>266</v>
      </c>
      <c r="W33" s="288">
        <f>N19/F47</f>
        <v>1.7358537335571729</v>
      </c>
      <c r="X33" s="288">
        <v>1</v>
      </c>
      <c r="Y33" s="288"/>
      <c r="Z33" s="288"/>
      <c r="AA33" s="42"/>
      <c r="AC33" s="10"/>
      <c r="AD33" s="10"/>
      <c r="AE33" s="10"/>
      <c r="AF33" s="10"/>
      <c r="AH33" s="10"/>
      <c r="AI33" s="10"/>
      <c r="AJ33" s="10"/>
      <c r="AK33" s="10"/>
      <c r="AM33" s="10"/>
      <c r="AN33" s="10"/>
      <c r="AO33" s="10"/>
      <c r="AP33" s="10"/>
    </row>
    <row r="34" spans="2:42">
      <c r="H34" s="277"/>
      <c r="I34" s="254"/>
      <c r="J34" s="254"/>
      <c r="K34" s="254"/>
      <c r="L34" s="254"/>
      <c r="M34" s="254"/>
      <c r="N34" s="254"/>
      <c r="O34" s="251"/>
      <c r="Q34" s="5"/>
      <c r="S34" s="42"/>
      <c r="T34" s="42"/>
      <c r="U34" s="42"/>
      <c r="V34" s="42"/>
      <c r="W34" s="42"/>
      <c r="X34" s="42"/>
      <c r="Y34" s="288"/>
      <c r="Z34" s="288"/>
      <c r="AA34" s="42"/>
      <c r="AC34" s="10"/>
      <c r="AD34" s="10"/>
      <c r="AE34" s="10"/>
      <c r="AF34" s="10"/>
      <c r="AH34" s="10"/>
      <c r="AI34" s="10"/>
      <c r="AJ34" s="10"/>
      <c r="AK34" s="10"/>
      <c r="AM34" s="10"/>
      <c r="AN34" s="10"/>
      <c r="AO34" s="10"/>
      <c r="AP34" s="10"/>
    </row>
    <row r="35" spans="2:42" ht="12.6" thickBot="1">
      <c r="B35" s="306" t="s">
        <v>280</v>
      </c>
      <c r="C35" s="265"/>
      <c r="D35" s="265" t="str">
        <f>D5</f>
        <v>2023E</v>
      </c>
      <c r="E35" s="265" t="str">
        <f>E5</f>
        <v>2024E</v>
      </c>
      <c r="F35" s="265" t="str">
        <f>F5</f>
        <v>2025E</v>
      </c>
      <c r="G35" s="265" t="str">
        <f>G5</f>
        <v>2026E</v>
      </c>
      <c r="H35" s="265" t="str">
        <f>H5</f>
        <v>23E-26E</v>
      </c>
      <c r="I35" s="17"/>
      <c r="J35" s="5"/>
      <c r="K35" s="5"/>
      <c r="L35" s="5"/>
      <c r="M35" s="5"/>
      <c r="N35" s="5"/>
      <c r="O35" s="5"/>
      <c r="Q35" s="5"/>
      <c r="S35" s="42"/>
      <c r="T35" s="42"/>
      <c r="U35" s="42"/>
      <c r="V35" s="42"/>
      <c r="W35" s="42"/>
      <c r="X35" s="42"/>
      <c r="Y35" s="288"/>
      <c r="Z35" s="288"/>
      <c r="AA35" s="42"/>
      <c r="AC35" s="10"/>
      <c r="AD35" s="10"/>
      <c r="AE35" s="10"/>
      <c r="AF35" s="10"/>
      <c r="AH35" s="10"/>
      <c r="AI35" s="10"/>
      <c r="AJ35" s="10"/>
      <c r="AK35" s="10"/>
      <c r="AM35" s="10"/>
      <c r="AN35" s="10"/>
      <c r="AO35" s="10"/>
      <c r="AP35" s="10"/>
    </row>
    <row r="36" spans="2:42" ht="12.6" thickTop="1">
      <c r="B36" s="41"/>
      <c r="C36" s="249"/>
      <c r="D36" s="254"/>
      <c r="E36" s="254"/>
      <c r="F36" s="254"/>
      <c r="G36" s="254"/>
      <c r="H36" s="254"/>
      <c r="I36" s="5"/>
      <c r="J36" s="49"/>
      <c r="K36" s="49"/>
      <c r="L36" s="49"/>
      <c r="M36" s="49"/>
      <c r="N36" s="49"/>
      <c r="O36" s="49"/>
      <c r="Q36" s="5"/>
      <c r="R36" s="5"/>
      <c r="S36" s="42"/>
      <c r="T36" s="42"/>
      <c r="U36" s="42"/>
      <c r="V36" s="42"/>
      <c r="W36" s="42"/>
      <c r="X36" s="42"/>
      <c r="Y36" s="42"/>
      <c r="Z36" s="42"/>
      <c r="AA36" s="42"/>
      <c r="AC36" s="10"/>
      <c r="AD36" s="10"/>
      <c r="AE36" s="10"/>
      <c r="AF36" s="10"/>
      <c r="AH36" s="10"/>
      <c r="AI36" s="10"/>
      <c r="AJ36" s="10"/>
      <c r="AK36" s="10"/>
      <c r="AM36" s="10"/>
      <c r="AN36" s="10"/>
      <c r="AO36" s="10"/>
      <c r="AP36" s="10"/>
    </row>
    <row r="37" spans="2:42">
      <c r="B37" s="5" t="s">
        <v>273</v>
      </c>
      <c r="C37" s="247"/>
      <c r="D37" s="64">
        <f t="shared" ref="D37:G41" si="2">D$18/D23</f>
        <v>3.0372013947638039</v>
      </c>
      <c r="E37" s="64">
        <f t="shared" si="2"/>
        <v>3.0765788213213532</v>
      </c>
      <c r="F37" s="64">
        <f t="shared" si="2"/>
        <v>2.7986180316483407</v>
      </c>
      <c r="G37" s="64">
        <f t="shared" si="2"/>
        <v>2.565989431468322</v>
      </c>
      <c r="H37" s="17">
        <f t="shared" ref="H37:H45" si="3">H23</f>
        <v>4.2716103268778172E-2</v>
      </c>
      <c r="I37" s="259"/>
      <c r="J37" s="259"/>
      <c r="K37" s="259"/>
      <c r="L37" s="259"/>
      <c r="M37" s="259"/>
      <c r="N37" s="259"/>
      <c r="O37" s="18"/>
      <c r="Q37" s="5"/>
      <c r="R37" s="5"/>
      <c r="S37" s="42"/>
      <c r="T37" s="42"/>
      <c r="U37" s="42"/>
      <c r="V37" s="42"/>
      <c r="W37" s="42"/>
      <c r="X37" s="42"/>
      <c r="Y37" s="42"/>
      <c r="Z37" s="42"/>
      <c r="AA37" s="42"/>
      <c r="AC37" s="10"/>
      <c r="AD37" s="10"/>
      <c r="AE37" s="10"/>
      <c r="AF37" s="10"/>
      <c r="AH37" s="10"/>
      <c r="AI37" s="10"/>
      <c r="AJ37" s="10"/>
      <c r="AK37" s="10"/>
      <c r="AM37" s="10"/>
      <c r="AN37" s="10"/>
      <c r="AO37" s="10"/>
      <c r="AP37" s="10"/>
    </row>
    <row r="38" spans="2:42">
      <c r="B38" s="5" t="s">
        <v>184</v>
      </c>
      <c r="C38" s="247"/>
      <c r="D38" s="64">
        <f t="shared" si="2"/>
        <v>7.2238222733245729</v>
      </c>
      <c r="E38" s="64">
        <f t="shared" si="2"/>
        <v>7.4237558505709842</v>
      </c>
      <c r="F38" s="64">
        <f t="shared" si="2"/>
        <v>6.674196011969129</v>
      </c>
      <c r="G38" s="64">
        <f t="shared" si="2"/>
        <v>6.0998043636708204</v>
      </c>
      <c r="H38" s="17">
        <f t="shared" si="3"/>
        <v>4.2902128020809061E-2</v>
      </c>
      <c r="I38" s="17"/>
      <c r="J38" s="17"/>
      <c r="K38" s="17"/>
      <c r="L38" s="17"/>
      <c r="M38" s="17"/>
      <c r="N38" s="17"/>
      <c r="O38" s="5"/>
      <c r="Q38" s="5"/>
      <c r="R38" s="5"/>
      <c r="S38" s="42"/>
      <c r="T38" s="42"/>
      <c r="U38" s="42"/>
      <c r="V38" s="42"/>
      <c r="W38" s="42"/>
      <c r="X38" s="42"/>
      <c r="Y38" s="42"/>
      <c r="Z38" s="42"/>
      <c r="AA38" s="42"/>
    </row>
    <row r="39" spans="2:42">
      <c r="B39" s="5" t="s">
        <v>185</v>
      </c>
      <c r="C39" s="247"/>
      <c r="D39" s="64">
        <f t="shared" si="2"/>
        <v>13.934000165140167</v>
      </c>
      <c r="E39" s="64">
        <f t="shared" si="2"/>
        <v>14.181691463921256</v>
      </c>
      <c r="F39" s="64">
        <f t="shared" si="2"/>
        <v>12.081890560836975</v>
      </c>
      <c r="G39" s="64">
        <f t="shared" si="2"/>
        <v>10.645257413209695</v>
      </c>
      <c r="H39" s="17">
        <f t="shared" si="3"/>
        <v>7.8283731285485381E-2</v>
      </c>
      <c r="I39" s="5"/>
      <c r="J39" s="5"/>
      <c r="K39" s="5"/>
      <c r="L39" s="5"/>
      <c r="M39" s="5"/>
      <c r="N39" s="5"/>
      <c r="O39" s="5"/>
      <c r="Q39" s="5"/>
      <c r="R39" s="5"/>
      <c r="S39" s="42"/>
      <c r="T39" s="42"/>
      <c r="U39" s="42"/>
      <c r="V39" s="42"/>
      <c r="W39" s="288"/>
      <c r="X39" s="288"/>
      <c r="Y39" s="42"/>
      <c r="Z39" s="42"/>
      <c r="AA39" s="42"/>
    </row>
    <row r="40" spans="2:42">
      <c r="B40" s="5" t="s">
        <v>466</v>
      </c>
      <c r="C40" s="247"/>
      <c r="D40" s="64">
        <f t="shared" si="2"/>
        <v>20.693503485744461</v>
      </c>
      <c r="E40" s="64">
        <f t="shared" si="2"/>
        <v>20.954826177285547</v>
      </c>
      <c r="F40" s="64">
        <f t="shared" si="2"/>
        <v>17.986415749594904</v>
      </c>
      <c r="G40" s="64">
        <f t="shared" si="2"/>
        <v>15.937236715818882</v>
      </c>
      <c r="H40" s="17">
        <f t="shared" si="3"/>
        <v>7.539209226558885E-2</v>
      </c>
      <c r="I40" s="247"/>
      <c r="J40" s="259"/>
      <c r="K40" s="259"/>
      <c r="L40" s="259"/>
      <c r="M40" s="259"/>
      <c r="N40" s="259"/>
      <c r="O40" s="18"/>
      <c r="Q40" s="5"/>
      <c r="R40" s="5"/>
      <c r="S40" s="42"/>
      <c r="T40" s="42"/>
      <c r="U40" s="42"/>
      <c r="V40" s="42"/>
      <c r="W40" s="288"/>
      <c r="X40" s="288"/>
      <c r="Y40" s="288"/>
      <c r="Z40" s="288"/>
      <c r="AA40" s="42"/>
    </row>
    <row r="41" spans="2:42">
      <c r="B41" s="5" t="s">
        <v>530</v>
      </c>
      <c r="C41" s="247"/>
      <c r="D41" s="64">
        <f t="shared" si="2"/>
        <v>2.9063718801101484</v>
      </c>
      <c r="E41" s="64">
        <f t="shared" si="2"/>
        <v>2.8096465424917763</v>
      </c>
      <c r="F41" s="64">
        <f t="shared" si="2"/>
        <v>2.6770412504562215</v>
      </c>
      <c r="G41" s="64">
        <f t="shared" si="2"/>
        <v>2.5396311085256196</v>
      </c>
      <c r="H41" s="17">
        <f t="shared" si="3"/>
        <v>3.1066523451782402E-2</v>
      </c>
      <c r="I41" s="248"/>
      <c r="J41" s="17"/>
      <c r="K41" s="17"/>
      <c r="L41" s="17"/>
      <c r="M41" s="17"/>
      <c r="N41" s="17"/>
      <c r="O41" s="5"/>
      <c r="Q41" s="5"/>
      <c r="R41" s="5"/>
      <c r="S41" s="42"/>
      <c r="T41" s="42"/>
      <c r="U41" s="42"/>
      <c r="V41" s="42"/>
      <c r="W41" s="288"/>
      <c r="X41" s="288"/>
      <c r="Y41" s="288"/>
      <c r="Z41" s="288"/>
      <c r="AA41" s="42"/>
    </row>
    <row r="42" spans="2:42">
      <c r="B42" s="5" t="s">
        <v>593</v>
      </c>
      <c r="C42" s="247"/>
      <c r="D42" s="64">
        <f>D18/D28</f>
        <v>4.1985652011209735</v>
      </c>
      <c r="E42" s="64">
        <f>E18/E28</f>
        <v>4.0862699766964772</v>
      </c>
      <c r="F42" s="64">
        <f>F18/F28</f>
        <v>3.913769934902958</v>
      </c>
      <c r="G42" s="64">
        <f>G18/G28</f>
        <v>3.7199710824883767</v>
      </c>
      <c r="H42" s="17">
        <f t="shared" si="3"/>
        <v>2.6314073359182233E-2</v>
      </c>
      <c r="I42" s="247"/>
      <c r="J42" s="5"/>
      <c r="K42" s="5"/>
      <c r="L42" s="5"/>
      <c r="M42" s="5"/>
      <c r="N42" s="5"/>
      <c r="O42" s="5"/>
      <c r="Q42" s="5"/>
      <c r="R42" s="5"/>
      <c r="S42" s="42"/>
      <c r="T42" s="42"/>
      <c r="U42" s="42"/>
      <c r="V42" s="42"/>
      <c r="W42" s="288"/>
      <c r="X42" s="288"/>
      <c r="Y42" s="288"/>
      <c r="Z42" s="288"/>
      <c r="AA42" s="42"/>
    </row>
    <row r="43" spans="2:42">
      <c r="B43" s="5" t="s">
        <v>475</v>
      </c>
      <c r="C43" s="247"/>
      <c r="D43" s="64">
        <f>L26/D29</f>
        <v>31.153660262051059</v>
      </c>
      <c r="E43" s="64">
        <f>M26/E29</f>
        <v>40.589413647062131</v>
      </c>
      <c r="F43" s="64">
        <f>N26/F29</f>
        <v>28.94936800421025</v>
      </c>
      <c r="G43" s="64">
        <f>O26/G29</f>
        <v>25.752132437276039</v>
      </c>
      <c r="H43" s="17">
        <f t="shared" si="3"/>
        <v>6.5529048867266182E-2</v>
      </c>
      <c r="I43" s="247"/>
      <c r="J43" s="247"/>
      <c r="K43" s="247"/>
      <c r="L43" s="247"/>
      <c r="M43" s="247"/>
      <c r="N43" s="247"/>
      <c r="O43" s="18"/>
      <c r="Q43" s="5"/>
      <c r="R43" s="5"/>
      <c r="S43" s="42"/>
      <c r="T43" s="42"/>
      <c r="U43" s="42"/>
      <c r="V43" s="42"/>
      <c r="W43" s="325"/>
      <c r="X43" s="325"/>
      <c r="Y43" s="288"/>
      <c r="Z43" s="288"/>
      <c r="AA43" s="42"/>
    </row>
    <row r="44" spans="2:42">
      <c r="B44" s="5" t="s">
        <v>533</v>
      </c>
      <c r="C44" s="69"/>
      <c r="D44" s="64">
        <f>D11/D30</f>
        <v>27.614186259633261</v>
      </c>
      <c r="E44" s="64">
        <f>E11/E30</f>
        <v>26.587472010710737</v>
      </c>
      <c r="F44" s="64">
        <f>F11/F30</f>
        <v>20.63478491648139</v>
      </c>
      <c r="G44" s="64">
        <f>G11/G30</f>
        <v>18.214851681953164</v>
      </c>
      <c r="H44" s="17">
        <f t="shared" si="3"/>
        <v>0.14827356589829632</v>
      </c>
      <c r="I44" s="248"/>
      <c r="J44" s="248"/>
      <c r="K44" s="248"/>
      <c r="L44" s="248"/>
      <c r="M44" s="248"/>
      <c r="N44" s="248"/>
      <c r="O44" s="248"/>
      <c r="Q44" s="5"/>
      <c r="R44" s="5"/>
      <c r="S44" s="42"/>
      <c r="T44" s="42"/>
      <c r="U44" s="42"/>
      <c r="V44" s="42"/>
      <c r="W44" s="42"/>
      <c r="X44" s="42"/>
      <c r="Y44" s="325"/>
      <c r="Z44" s="325"/>
      <c r="AA44" s="42"/>
    </row>
    <row r="45" spans="2:42">
      <c r="B45" s="5" t="s">
        <v>580</v>
      </c>
      <c r="C45" s="247"/>
      <c r="D45" s="248">
        <f>D31/D11</f>
        <v>2.0041910197939054E-2</v>
      </c>
      <c r="E45" s="248">
        <f>E31/E11</f>
        <v>2.2662064400045302E-2</v>
      </c>
      <c r="F45" s="248">
        <f>F31/F11</f>
        <v>2.6655091715603346E-2</v>
      </c>
      <c r="G45" s="248">
        <f>G31/G11</f>
        <v>2.9169701214626476E-2</v>
      </c>
      <c r="H45" s="17">
        <f t="shared" si="3"/>
        <v>0.13276751641400475</v>
      </c>
      <c r="I45" s="247"/>
      <c r="J45" s="247"/>
      <c r="K45" s="247"/>
      <c r="L45" s="247"/>
      <c r="M45" s="247"/>
      <c r="N45" s="247"/>
      <c r="O45" s="248"/>
      <c r="Q45" s="5"/>
      <c r="R45" s="5"/>
      <c r="S45" s="42"/>
      <c r="T45" s="42"/>
      <c r="U45" s="42"/>
      <c r="V45" s="42"/>
      <c r="W45" s="42"/>
      <c r="X45" s="42"/>
      <c r="Y45" s="42"/>
      <c r="Z45" s="42"/>
      <c r="AA45" s="326"/>
      <c r="AB45" s="303"/>
    </row>
    <row r="46" spans="2:42">
      <c r="B46" s="5" t="s">
        <v>605</v>
      </c>
      <c r="C46" s="247"/>
      <c r="D46" s="248">
        <f>(D31+D32)/D11</f>
        <v>2.1131796481131483E-2</v>
      </c>
      <c r="E46" s="248">
        <f>(E31+E32)/E11</f>
        <v>1.7391477966924081E-2</v>
      </c>
      <c r="F46" s="248">
        <f>(F31+F32)/F11</f>
        <v>3.2252261934863267E-2</v>
      </c>
      <c r="G46" s="248">
        <f>(G31+G32)/G11</f>
        <v>2.8815660020290752E-2</v>
      </c>
      <c r="H46" s="279">
        <f>((G31+G32)/(D31+D32))^(1/3)-1</f>
        <v>0.10842730164220327</v>
      </c>
      <c r="I46" s="17"/>
      <c r="J46" s="247"/>
      <c r="K46" s="247"/>
      <c r="L46" s="247"/>
      <c r="M46" s="247"/>
      <c r="N46" s="247"/>
      <c r="O46" s="18"/>
      <c r="Q46" s="5"/>
      <c r="R46" s="5"/>
      <c r="S46" s="42"/>
      <c r="T46" s="42"/>
      <c r="U46" s="42"/>
      <c r="V46" s="42"/>
      <c r="W46" s="42"/>
      <c r="X46" s="42"/>
      <c r="Y46" s="42"/>
      <c r="Z46" s="42"/>
      <c r="AA46" s="326"/>
      <c r="AB46" s="303"/>
    </row>
    <row r="47" spans="2:42">
      <c r="B47" s="5" t="s">
        <v>581</v>
      </c>
      <c r="C47" s="5"/>
      <c r="D47" s="248">
        <f>1/D43</f>
        <v>3.2098956963272834E-2</v>
      </c>
      <c r="E47" s="248">
        <f>1/E43</f>
        <v>2.4636965901880678E-2</v>
      </c>
      <c r="F47" s="248">
        <f>1/F43</f>
        <v>3.4543068430874381E-2</v>
      </c>
      <c r="G47" s="248">
        <f>1/G43</f>
        <v>3.8831735679974472E-2</v>
      </c>
      <c r="H47" s="17">
        <f>H29</f>
        <v>6.5529048867266182E-2</v>
      </c>
      <c r="I47" s="247"/>
      <c r="J47" s="248"/>
      <c r="K47" s="248"/>
      <c r="L47" s="248"/>
      <c r="M47" s="248"/>
      <c r="N47" s="248"/>
      <c r="O47" s="248"/>
      <c r="Q47" s="5"/>
      <c r="R47" s="5"/>
      <c r="S47" s="5"/>
      <c r="T47" s="5"/>
      <c r="U47" s="5"/>
      <c r="AA47" s="303"/>
      <c r="AB47" s="303"/>
    </row>
    <row r="48" spans="2:42">
      <c r="B48" s="5" t="s">
        <v>618</v>
      </c>
      <c r="C48" s="5"/>
      <c r="D48" s="305">
        <f>D31/D29</f>
        <v>0.66646495357608038</v>
      </c>
      <c r="E48" s="305">
        <f>E31/E29</f>
        <v>0.98055252685916661</v>
      </c>
      <c r="F48" s="305">
        <f>F31/F29</f>
        <v>0.8225795047533091</v>
      </c>
      <c r="G48" s="305">
        <f>G31/G29</f>
        <v>0.80076262408893306</v>
      </c>
      <c r="H48" s="17" t="s">
        <v>607</v>
      </c>
      <c r="I48" s="259"/>
      <c r="J48" s="247"/>
      <c r="K48" s="247"/>
      <c r="L48" s="247"/>
      <c r="M48" s="247"/>
      <c r="N48" s="247"/>
      <c r="O48" s="248"/>
      <c r="Q48" s="5"/>
      <c r="R48" s="5"/>
      <c r="S48" s="5"/>
      <c r="T48" s="5"/>
      <c r="U48" s="5"/>
      <c r="AA48" s="303"/>
      <c r="AB48" s="303"/>
    </row>
    <row r="49" spans="2:28">
      <c r="B49" s="41"/>
      <c r="C49" s="17"/>
      <c r="D49" s="17"/>
      <c r="E49" s="17"/>
      <c r="F49" s="17"/>
      <c r="G49" s="17"/>
      <c r="H49" s="17"/>
      <c r="I49" s="17"/>
      <c r="J49" s="17"/>
      <c r="K49" s="17"/>
      <c r="L49" s="17"/>
      <c r="M49" s="17"/>
      <c r="N49" s="17"/>
      <c r="O49" s="248"/>
      <c r="Q49" s="5"/>
      <c r="R49" s="5"/>
      <c r="S49" s="5"/>
      <c r="T49" s="5"/>
      <c r="U49" s="5"/>
      <c r="W49" s="10"/>
      <c r="X49" s="10"/>
      <c r="AA49" s="303"/>
      <c r="AB49" s="303"/>
    </row>
    <row r="50" spans="2:28">
      <c r="B50" s="5"/>
      <c r="C50" s="257"/>
      <c r="D50" s="257"/>
      <c r="E50" s="257"/>
      <c r="F50" s="5"/>
      <c r="G50" s="41"/>
      <c r="H50" s="249"/>
      <c r="I50" s="259"/>
      <c r="J50" s="254"/>
      <c r="K50" s="254"/>
      <c r="L50" s="254"/>
      <c r="M50" s="254"/>
      <c r="N50" s="254"/>
      <c r="O50" s="251"/>
      <c r="Q50" s="5"/>
      <c r="R50" s="5"/>
      <c r="S50" s="5"/>
      <c r="T50" s="5"/>
      <c r="U50" s="5"/>
      <c r="W50" s="10"/>
      <c r="X50" s="10"/>
      <c r="Y50" s="10"/>
      <c r="Z50" s="10"/>
    </row>
    <row r="51" spans="2:28">
      <c r="B51" s="41"/>
      <c r="C51" s="249"/>
      <c r="D51" s="254"/>
      <c r="E51" s="254"/>
      <c r="F51" s="254"/>
      <c r="G51" s="254"/>
      <c r="H51" s="254"/>
      <c r="I51" s="254"/>
      <c r="J51" s="17"/>
      <c r="K51" s="17"/>
      <c r="L51" s="17"/>
      <c r="M51" s="17"/>
      <c r="N51" s="17"/>
      <c r="O51" s="248"/>
      <c r="Q51" s="5"/>
      <c r="R51" s="5"/>
      <c r="S51" s="5"/>
      <c r="T51" s="5"/>
      <c r="U51" s="5"/>
      <c r="Y51" s="10"/>
      <c r="Z51" s="10"/>
    </row>
    <row r="52" spans="2:28">
      <c r="B52" s="5"/>
      <c r="C52" s="257"/>
      <c r="D52" s="17"/>
      <c r="E52" s="17"/>
      <c r="F52" s="17"/>
      <c r="G52" s="17"/>
      <c r="H52" s="17"/>
      <c r="I52" s="17"/>
      <c r="J52" s="259"/>
      <c r="K52" s="259"/>
      <c r="L52" s="259"/>
      <c r="M52" s="259"/>
      <c r="N52" s="259"/>
      <c r="O52" s="18"/>
      <c r="Q52" s="5"/>
      <c r="R52" s="5"/>
      <c r="S52" s="5"/>
      <c r="T52" s="5"/>
      <c r="U52" s="5"/>
    </row>
    <row r="53" spans="2:28">
      <c r="B53" s="5"/>
      <c r="C53" s="257"/>
      <c r="D53" s="257"/>
      <c r="E53" s="257"/>
      <c r="F53" s="5"/>
      <c r="G53" s="5"/>
      <c r="H53" s="259"/>
      <c r="I53" s="259"/>
      <c r="J53" s="254"/>
      <c r="K53" s="254"/>
      <c r="L53" s="254"/>
      <c r="M53" s="254"/>
      <c r="N53" s="254"/>
      <c r="O53" s="251"/>
      <c r="Q53" s="5"/>
      <c r="R53" s="5"/>
      <c r="S53" s="5"/>
      <c r="T53" s="5"/>
      <c r="U53" s="5"/>
    </row>
    <row r="54" spans="2:28">
      <c r="B54" s="41"/>
      <c r="C54" s="249"/>
      <c r="D54" s="254"/>
      <c r="E54" s="254"/>
      <c r="F54" s="254"/>
      <c r="G54" s="254"/>
      <c r="H54" s="254"/>
      <c r="I54" s="249"/>
      <c r="J54" s="17"/>
      <c r="K54" s="17"/>
      <c r="L54" s="17"/>
      <c r="M54" s="17"/>
      <c r="N54" s="17"/>
      <c r="O54" s="18"/>
      <c r="Q54" s="5"/>
      <c r="R54" s="5"/>
      <c r="S54" s="5"/>
      <c r="T54" s="5"/>
      <c r="U54" s="5"/>
    </row>
    <row r="55" spans="2:28">
      <c r="B55" s="5"/>
      <c r="C55" s="257"/>
      <c r="D55" s="17"/>
      <c r="E55" s="17"/>
      <c r="F55" s="17"/>
      <c r="G55" s="17"/>
      <c r="H55" s="17"/>
      <c r="I55" s="248"/>
      <c r="J55" s="259"/>
      <c r="K55" s="259"/>
      <c r="L55" s="259"/>
      <c r="M55" s="259"/>
      <c r="N55" s="259"/>
      <c r="O55" s="18"/>
      <c r="Q55" s="5"/>
      <c r="R55" s="5"/>
      <c r="S55" s="5"/>
      <c r="T55" s="5"/>
      <c r="U55" s="5"/>
    </row>
    <row r="56" spans="2:28">
      <c r="B56" s="5"/>
      <c r="C56" s="248"/>
      <c r="D56" s="248"/>
      <c r="E56" s="248"/>
      <c r="F56" s="5"/>
      <c r="G56" s="5"/>
      <c r="H56" s="259"/>
      <c r="I56" s="5"/>
      <c r="J56" s="249"/>
      <c r="K56" s="249"/>
      <c r="L56" s="249"/>
      <c r="M56" s="249"/>
      <c r="N56" s="249"/>
      <c r="O56" s="251"/>
      <c r="Q56" s="5"/>
      <c r="R56" s="5"/>
      <c r="S56" s="5"/>
      <c r="T56" s="5"/>
      <c r="U56" s="5"/>
    </row>
    <row r="57" spans="2:28">
      <c r="B57" s="41"/>
      <c r="C57" s="249"/>
      <c r="D57" s="249"/>
      <c r="E57" s="249"/>
      <c r="F57" s="249"/>
      <c r="G57" s="249"/>
      <c r="H57" s="249"/>
      <c r="I57" s="17"/>
      <c r="J57" s="248"/>
      <c r="K57" s="248"/>
      <c r="L57" s="248"/>
      <c r="M57" s="248"/>
      <c r="N57" s="248"/>
      <c r="O57" s="18"/>
      <c r="Q57" s="5"/>
      <c r="R57" s="5"/>
      <c r="S57" s="5"/>
      <c r="T57" s="5"/>
      <c r="U57" s="5"/>
    </row>
    <row r="58" spans="2:28">
      <c r="B58" s="5"/>
      <c r="C58" s="5"/>
      <c r="D58" s="248"/>
      <c r="E58" s="248"/>
      <c r="F58" s="248"/>
      <c r="G58" s="248"/>
      <c r="H58" s="248"/>
      <c r="I58" s="5"/>
      <c r="J58" s="5"/>
      <c r="K58" s="5"/>
      <c r="L58" s="5"/>
      <c r="M58" s="5"/>
      <c r="N58" s="5"/>
      <c r="O58" s="5"/>
      <c r="Q58" s="5"/>
      <c r="R58" s="5"/>
      <c r="S58" s="5"/>
      <c r="T58" s="5"/>
      <c r="U58" s="5"/>
    </row>
    <row r="59" spans="2:28">
      <c r="B59" s="5"/>
      <c r="C59" s="5"/>
      <c r="D59" s="5"/>
      <c r="E59" s="5"/>
      <c r="F59" s="5"/>
      <c r="G59" s="5"/>
      <c r="H59" s="5"/>
      <c r="I59" s="249"/>
      <c r="J59" s="17"/>
      <c r="K59" s="17"/>
      <c r="L59" s="17"/>
      <c r="M59" s="17"/>
      <c r="N59" s="17"/>
      <c r="O59" s="251"/>
      <c r="Q59" s="5"/>
      <c r="R59" s="5"/>
      <c r="S59" s="5"/>
      <c r="T59" s="5"/>
      <c r="U59" s="5"/>
    </row>
    <row r="60" spans="2:28">
      <c r="B60" s="41"/>
      <c r="C60" s="17"/>
      <c r="D60" s="17"/>
      <c r="E60" s="17"/>
      <c r="F60" s="17"/>
      <c r="G60" s="17"/>
      <c r="H60" s="17"/>
      <c r="I60" s="5"/>
      <c r="J60" s="5"/>
      <c r="K60" s="5"/>
      <c r="L60" s="5"/>
      <c r="M60" s="5"/>
      <c r="N60" s="5"/>
      <c r="O60" s="5"/>
      <c r="Q60" s="41"/>
      <c r="R60" s="5"/>
      <c r="S60" s="5"/>
      <c r="T60" s="5"/>
      <c r="U60" s="5"/>
    </row>
    <row r="61" spans="2:28">
      <c r="B61" s="5"/>
      <c r="C61" s="5"/>
      <c r="D61" s="5"/>
      <c r="E61" s="5"/>
      <c r="F61" s="5"/>
      <c r="G61" s="5"/>
      <c r="H61" s="5"/>
      <c r="I61" s="5"/>
      <c r="J61" s="249"/>
      <c r="K61" s="249"/>
      <c r="L61" s="249"/>
      <c r="M61" s="249"/>
      <c r="N61" s="249"/>
      <c r="O61" s="251"/>
      <c r="Q61" s="5"/>
      <c r="R61" s="5"/>
      <c r="S61" s="5"/>
      <c r="T61" s="5"/>
      <c r="U61" s="5"/>
    </row>
    <row r="62" spans="2:28">
      <c r="B62" s="41"/>
      <c r="C62" s="249"/>
      <c r="D62" s="249"/>
      <c r="E62" s="249"/>
      <c r="F62" s="249"/>
      <c r="G62" s="249"/>
      <c r="H62" s="249"/>
      <c r="I62" s="254"/>
      <c r="J62" s="5"/>
      <c r="K62" s="5"/>
      <c r="L62" s="5"/>
      <c r="M62" s="5"/>
      <c r="N62" s="5"/>
      <c r="O62" s="5"/>
      <c r="Q62" s="5"/>
      <c r="R62" s="5"/>
      <c r="S62" s="5"/>
      <c r="T62" s="5"/>
      <c r="U62" s="5"/>
    </row>
    <row r="63" spans="2:28">
      <c r="B63" s="5"/>
      <c r="C63" s="5"/>
      <c r="D63" s="5"/>
      <c r="E63" s="5"/>
      <c r="F63" s="5"/>
      <c r="G63" s="5"/>
      <c r="H63" s="5"/>
      <c r="I63" s="17"/>
      <c r="J63" s="5"/>
      <c r="K63" s="5"/>
      <c r="L63" s="5"/>
      <c r="M63" s="5"/>
      <c r="N63" s="5"/>
      <c r="O63" s="5"/>
      <c r="Q63" s="5"/>
      <c r="R63" s="5"/>
      <c r="S63" s="5"/>
      <c r="T63" s="5"/>
      <c r="U63" s="5"/>
    </row>
    <row r="64" spans="2:28">
      <c r="B64" s="5"/>
      <c r="C64" s="5"/>
      <c r="D64" s="5"/>
      <c r="E64" s="5"/>
      <c r="F64" s="5"/>
      <c r="G64" s="5"/>
      <c r="H64" s="5"/>
      <c r="I64" s="254"/>
      <c r="J64" s="254"/>
      <c r="K64" s="254"/>
      <c r="L64" s="254"/>
      <c r="M64" s="254"/>
      <c r="N64" s="254"/>
      <c r="O64" s="251"/>
      <c r="Q64" s="5"/>
      <c r="R64" s="5"/>
      <c r="S64" s="5"/>
      <c r="T64" s="5"/>
      <c r="U64" s="5"/>
    </row>
    <row r="65" spans="2:26">
      <c r="B65" s="41"/>
      <c r="C65" s="249"/>
      <c r="D65" s="254"/>
      <c r="E65" s="254"/>
      <c r="F65" s="254"/>
      <c r="G65" s="254"/>
      <c r="H65" s="254"/>
      <c r="I65" s="248"/>
      <c r="J65" s="17"/>
      <c r="K65" s="17"/>
      <c r="L65" s="17"/>
      <c r="M65" s="17"/>
      <c r="N65" s="17"/>
      <c r="O65" s="5"/>
      <c r="Q65" s="5"/>
      <c r="R65" s="5"/>
      <c r="S65" s="5"/>
      <c r="T65" s="5"/>
      <c r="U65" s="5"/>
    </row>
    <row r="66" spans="2:26">
      <c r="B66" s="5"/>
      <c r="C66" s="5"/>
      <c r="D66" s="17"/>
      <c r="E66" s="17"/>
      <c r="F66" s="17"/>
      <c r="G66" s="17"/>
      <c r="H66" s="17"/>
      <c r="I66" s="5"/>
      <c r="J66" s="254"/>
      <c r="K66" s="254"/>
      <c r="L66" s="254"/>
      <c r="M66" s="254"/>
      <c r="N66" s="254"/>
      <c r="O66" s="251"/>
      <c r="Q66" s="41"/>
      <c r="R66" s="5"/>
      <c r="S66" s="5"/>
      <c r="T66" s="5"/>
      <c r="U66" s="5"/>
    </row>
    <row r="67" spans="2:26">
      <c r="B67" s="41"/>
      <c r="C67" s="249"/>
      <c r="D67" s="254"/>
      <c r="E67" s="254"/>
      <c r="F67" s="254"/>
      <c r="G67" s="254"/>
      <c r="H67" s="254"/>
      <c r="I67" s="245"/>
      <c r="J67" s="248"/>
      <c r="K67" s="248"/>
      <c r="L67" s="248"/>
      <c r="M67" s="248"/>
      <c r="N67" s="248"/>
      <c r="O67" s="5"/>
      <c r="Q67" s="5"/>
      <c r="R67" s="5"/>
      <c r="S67" s="5"/>
      <c r="T67" s="5"/>
      <c r="U67" s="5"/>
    </row>
    <row r="68" spans="2:26">
      <c r="B68" s="5"/>
      <c r="C68" s="5"/>
      <c r="D68" s="248"/>
      <c r="E68" s="248"/>
      <c r="F68" s="248"/>
      <c r="G68" s="248"/>
      <c r="H68" s="248"/>
      <c r="I68" s="248"/>
      <c r="J68" s="5"/>
      <c r="K68" s="5"/>
      <c r="L68" s="5"/>
      <c r="M68" s="5"/>
      <c r="N68" s="5"/>
      <c r="O68" s="5"/>
      <c r="Q68" s="5"/>
      <c r="R68" s="5"/>
      <c r="S68" s="5"/>
      <c r="T68" s="5"/>
      <c r="U68" s="5"/>
    </row>
    <row r="69" spans="2:26">
      <c r="B69" s="41"/>
      <c r="C69" s="5"/>
      <c r="D69" s="5"/>
      <c r="E69" s="5"/>
      <c r="F69" s="5"/>
      <c r="G69" s="5"/>
      <c r="H69" s="5"/>
      <c r="I69" s="5"/>
      <c r="J69" s="245"/>
      <c r="K69" s="245"/>
      <c r="L69" s="245"/>
      <c r="M69" s="245"/>
      <c r="N69" s="245"/>
      <c r="O69" s="251"/>
      <c r="Q69" s="5"/>
      <c r="R69" s="5"/>
      <c r="S69" s="5"/>
      <c r="T69" s="5"/>
      <c r="U69" s="5"/>
      <c r="W69" s="76"/>
      <c r="X69" s="76"/>
    </row>
    <row r="70" spans="2:26">
      <c r="B70" s="41"/>
      <c r="C70" s="245"/>
      <c r="D70" s="245"/>
      <c r="E70" s="245"/>
      <c r="F70" s="245"/>
      <c r="G70" s="245"/>
      <c r="H70" s="245"/>
      <c r="I70" s="245"/>
      <c r="J70" s="248"/>
      <c r="K70" s="248"/>
      <c r="L70" s="248"/>
      <c r="M70" s="248"/>
      <c r="N70" s="248"/>
      <c r="O70" s="5"/>
      <c r="Q70" s="5"/>
      <c r="R70" s="5"/>
      <c r="S70" s="5"/>
      <c r="T70" s="5"/>
      <c r="U70" s="5"/>
      <c r="W70" s="76"/>
      <c r="X70" s="76"/>
      <c r="Y70" s="76"/>
      <c r="Z70" s="76"/>
    </row>
    <row r="71" spans="2:26">
      <c r="B71" s="5"/>
      <c r="C71" s="5"/>
      <c r="D71" s="248"/>
      <c r="E71" s="248"/>
      <c r="F71" s="248"/>
      <c r="G71" s="248"/>
      <c r="H71" s="248"/>
      <c r="I71" s="18"/>
      <c r="J71" s="5"/>
      <c r="K71" s="5"/>
      <c r="L71" s="5"/>
      <c r="M71" s="5"/>
      <c r="N71" s="5"/>
      <c r="O71" s="5"/>
      <c r="Q71" s="5"/>
      <c r="R71" s="5"/>
      <c r="S71" s="5"/>
      <c r="T71" s="5"/>
      <c r="U71" s="5"/>
      <c r="Y71" s="76"/>
      <c r="Z71" s="76"/>
    </row>
    <row r="72" spans="2:26">
      <c r="B72" s="41"/>
      <c r="C72" s="5"/>
      <c r="D72" s="5"/>
      <c r="E72" s="5"/>
      <c r="F72" s="5"/>
      <c r="G72" s="5"/>
      <c r="H72" s="5"/>
      <c r="I72" s="5"/>
      <c r="J72" s="245"/>
      <c r="K72" s="245"/>
      <c r="L72" s="245"/>
      <c r="M72" s="245"/>
      <c r="N72" s="245"/>
      <c r="O72" s="251"/>
      <c r="Q72" s="5"/>
      <c r="R72" s="5"/>
      <c r="S72" s="5"/>
      <c r="T72" s="5"/>
      <c r="U72" s="5"/>
    </row>
    <row r="73" spans="2:26">
      <c r="B73" s="41"/>
      <c r="C73" s="245"/>
      <c r="D73" s="245"/>
      <c r="E73" s="245"/>
      <c r="F73" s="245"/>
      <c r="G73" s="245"/>
      <c r="H73" s="245"/>
      <c r="I73" s="249"/>
      <c r="J73" s="18"/>
      <c r="K73" s="18"/>
      <c r="L73" s="18"/>
      <c r="M73" s="18"/>
      <c r="N73" s="18"/>
      <c r="O73" s="5"/>
      <c r="Q73" s="5"/>
      <c r="R73" s="5"/>
      <c r="S73" s="5"/>
      <c r="T73" s="5"/>
      <c r="U73" s="5"/>
    </row>
    <row r="74" spans="2:26">
      <c r="B74" s="5"/>
      <c r="C74" s="5"/>
      <c r="D74" s="18"/>
      <c r="E74" s="18"/>
      <c r="F74" s="18"/>
      <c r="G74" s="18"/>
      <c r="H74" s="18"/>
      <c r="I74" s="248"/>
      <c r="J74" s="5"/>
      <c r="K74" s="5"/>
      <c r="L74" s="5"/>
      <c r="M74" s="5"/>
      <c r="N74" s="5"/>
      <c r="O74" s="5"/>
      <c r="Q74" s="5"/>
      <c r="R74" s="5"/>
      <c r="S74" s="5"/>
      <c r="T74" s="5"/>
      <c r="U74" s="5"/>
    </row>
    <row r="75" spans="2:26">
      <c r="B75" s="41"/>
      <c r="C75" s="5"/>
      <c r="D75" s="5"/>
      <c r="E75" s="5"/>
      <c r="F75" s="5"/>
      <c r="G75" s="5"/>
      <c r="H75" s="5"/>
      <c r="I75" s="5"/>
      <c r="J75" s="249"/>
      <c r="K75" s="249"/>
      <c r="L75" s="249"/>
      <c r="M75" s="249"/>
      <c r="N75" s="249"/>
      <c r="O75" s="251"/>
      <c r="Q75" s="5"/>
      <c r="R75" s="5"/>
      <c r="S75" s="5"/>
      <c r="T75" s="5"/>
      <c r="U75" s="5"/>
    </row>
    <row r="76" spans="2:26">
      <c r="B76" s="41"/>
      <c r="C76" s="249"/>
      <c r="D76" s="249"/>
      <c r="E76" s="249"/>
      <c r="F76" s="249"/>
      <c r="G76" s="249"/>
      <c r="H76" s="249"/>
      <c r="I76" s="245"/>
      <c r="J76" s="248"/>
      <c r="K76" s="248"/>
      <c r="L76" s="248"/>
      <c r="M76" s="248"/>
      <c r="N76" s="248"/>
      <c r="O76" s="5"/>
      <c r="Q76" s="5"/>
      <c r="R76" s="5"/>
      <c r="S76" s="5"/>
      <c r="T76" s="5"/>
      <c r="U76" s="5"/>
    </row>
    <row r="77" spans="2:26">
      <c r="B77" s="5"/>
      <c r="C77" s="5"/>
      <c r="D77" s="248"/>
      <c r="E77" s="248"/>
      <c r="F77" s="248"/>
      <c r="G77" s="248"/>
      <c r="H77" s="248"/>
      <c r="I77" s="248"/>
      <c r="J77" s="5"/>
      <c r="K77" s="5"/>
      <c r="L77" s="5"/>
      <c r="M77" s="5"/>
      <c r="N77" s="5"/>
      <c r="O77" s="5"/>
      <c r="Q77" s="5"/>
      <c r="R77" s="5"/>
      <c r="S77" s="5"/>
      <c r="T77" s="5"/>
      <c r="U77" s="5"/>
    </row>
    <row r="78" spans="2:26">
      <c r="B78" s="41"/>
      <c r="C78" s="5"/>
      <c r="D78" s="5"/>
      <c r="E78" s="5"/>
      <c r="F78" s="5"/>
      <c r="G78" s="5"/>
      <c r="H78" s="5"/>
      <c r="I78" s="5"/>
      <c r="J78" s="245"/>
      <c r="K78" s="245"/>
      <c r="L78" s="245"/>
      <c r="M78" s="245"/>
      <c r="N78" s="245"/>
      <c r="O78" s="251"/>
      <c r="Q78" s="5"/>
      <c r="R78" s="5"/>
      <c r="S78" s="5"/>
      <c r="T78" s="5"/>
      <c r="U78" s="5"/>
    </row>
    <row r="79" spans="2:26">
      <c r="B79" s="41"/>
      <c r="C79" s="245"/>
      <c r="D79" s="245"/>
      <c r="E79" s="245"/>
      <c r="F79" s="245"/>
      <c r="G79" s="245"/>
      <c r="H79" s="245"/>
      <c r="I79" s="249"/>
      <c r="J79" s="248"/>
      <c r="K79" s="248"/>
      <c r="L79" s="248"/>
      <c r="M79" s="248"/>
      <c r="N79" s="248"/>
      <c r="O79" s="5"/>
      <c r="Q79" s="5"/>
      <c r="R79" s="5"/>
      <c r="S79" s="5"/>
      <c r="T79" s="5"/>
      <c r="U79" s="5"/>
    </row>
    <row r="80" spans="2:26">
      <c r="B80" s="5"/>
      <c r="C80" s="5"/>
      <c r="D80" s="248"/>
      <c r="E80" s="248"/>
      <c r="F80" s="248"/>
      <c r="G80" s="248"/>
      <c r="H80" s="248"/>
      <c r="I80" s="248"/>
      <c r="J80" s="5"/>
      <c r="K80" s="5"/>
      <c r="L80" s="5"/>
      <c r="M80" s="5"/>
      <c r="N80" s="5"/>
      <c r="O80" s="5"/>
      <c r="Q80" s="5"/>
      <c r="R80" s="5"/>
      <c r="S80" s="5"/>
      <c r="T80" s="5"/>
      <c r="U80" s="5"/>
    </row>
    <row r="81" spans="2:26">
      <c r="B81" s="41"/>
      <c r="C81" s="5"/>
      <c r="D81" s="5"/>
      <c r="E81" s="5"/>
      <c r="F81" s="5"/>
      <c r="G81" s="5"/>
      <c r="H81" s="5"/>
      <c r="I81" s="259"/>
      <c r="J81" s="249"/>
      <c r="K81" s="249"/>
      <c r="L81" s="249"/>
      <c r="M81" s="249"/>
      <c r="N81" s="249"/>
      <c r="O81" s="251"/>
      <c r="Q81" s="5"/>
      <c r="R81" s="5"/>
      <c r="S81" s="5"/>
      <c r="T81" s="5"/>
      <c r="U81" s="5"/>
    </row>
    <row r="82" spans="2:26">
      <c r="B82" s="41"/>
      <c r="C82" s="249"/>
      <c r="D82" s="249"/>
      <c r="E82" s="249"/>
      <c r="F82" s="249"/>
      <c r="G82" s="249"/>
      <c r="H82" s="249"/>
      <c r="I82" s="5"/>
      <c r="J82" s="248"/>
      <c r="K82" s="248"/>
      <c r="L82" s="248"/>
      <c r="M82" s="248"/>
      <c r="N82" s="248"/>
      <c r="O82" s="5"/>
      <c r="Q82" s="5"/>
      <c r="R82" s="5"/>
      <c r="S82" s="5"/>
      <c r="T82" s="5"/>
      <c r="U82" s="5"/>
    </row>
    <row r="83" spans="2:26">
      <c r="B83" s="5"/>
      <c r="C83" s="5"/>
      <c r="D83" s="248"/>
      <c r="E83" s="248"/>
      <c r="F83" s="248"/>
      <c r="G83" s="248"/>
      <c r="H83" s="248"/>
      <c r="I83" s="245"/>
      <c r="J83" s="259"/>
      <c r="K83" s="259"/>
      <c r="L83" s="259"/>
      <c r="M83" s="259"/>
      <c r="N83" s="259"/>
      <c r="O83" s="251"/>
      <c r="Q83" s="5"/>
      <c r="R83" s="5"/>
      <c r="S83" s="5"/>
      <c r="T83" s="5"/>
      <c r="U83" s="5"/>
    </row>
    <row r="84" spans="2:26">
      <c r="B84" s="5"/>
      <c r="C84" s="259"/>
      <c r="D84" s="259"/>
      <c r="E84" s="259"/>
      <c r="F84" s="259"/>
      <c r="G84" s="259"/>
      <c r="H84" s="259"/>
      <c r="I84" s="248"/>
      <c r="J84" s="5"/>
      <c r="K84" s="5"/>
      <c r="L84" s="5"/>
      <c r="M84" s="5"/>
      <c r="N84" s="5"/>
      <c r="O84" s="5"/>
      <c r="Q84" s="5"/>
      <c r="R84" s="5"/>
      <c r="S84" s="5"/>
      <c r="T84" s="5"/>
      <c r="U84" s="5"/>
    </row>
    <row r="85" spans="2:26">
      <c r="B85" s="41"/>
      <c r="C85" s="5"/>
      <c r="D85" s="5"/>
      <c r="E85" s="5"/>
      <c r="F85" s="5"/>
      <c r="G85" s="5"/>
      <c r="H85" s="5"/>
      <c r="I85" s="5"/>
      <c r="J85" s="245"/>
      <c r="K85" s="245"/>
      <c r="L85" s="245"/>
      <c r="M85" s="245"/>
      <c r="N85" s="245"/>
      <c r="O85" s="251"/>
      <c r="Q85" s="5"/>
      <c r="R85" s="5"/>
      <c r="S85" s="5"/>
      <c r="T85" s="5"/>
      <c r="U85" s="5"/>
    </row>
    <row r="86" spans="2:26">
      <c r="B86" s="41"/>
      <c r="C86" s="245"/>
      <c r="D86" s="245"/>
      <c r="E86" s="245"/>
      <c r="F86" s="245"/>
      <c r="G86" s="245"/>
      <c r="H86" s="245"/>
      <c r="I86" s="5"/>
      <c r="J86" s="248"/>
      <c r="K86" s="248"/>
      <c r="L86" s="248"/>
      <c r="M86" s="248"/>
      <c r="N86" s="248"/>
      <c r="O86" s="5"/>
      <c r="Q86" s="5"/>
      <c r="R86" s="5"/>
      <c r="S86" s="5"/>
      <c r="T86" s="5"/>
      <c r="U86" s="5"/>
    </row>
    <row r="87" spans="2:26">
      <c r="B87" s="5"/>
      <c r="C87" s="5"/>
      <c r="D87" s="248"/>
      <c r="E87" s="248"/>
      <c r="F87" s="248"/>
      <c r="G87" s="248"/>
      <c r="H87" s="248"/>
      <c r="I87" s="5"/>
      <c r="J87" s="5"/>
      <c r="K87" s="5"/>
      <c r="L87" s="5"/>
      <c r="M87" s="5"/>
      <c r="N87" s="5"/>
      <c r="O87" s="5"/>
      <c r="Q87" s="5"/>
      <c r="R87" s="5"/>
      <c r="S87" s="5"/>
      <c r="T87" s="5"/>
      <c r="U87" s="5"/>
    </row>
    <row r="88" spans="2:26">
      <c r="B88" s="41"/>
      <c r="C88" s="5"/>
      <c r="D88" s="5"/>
      <c r="E88" s="5"/>
      <c r="F88" s="5"/>
      <c r="G88" s="5"/>
      <c r="H88" s="5"/>
      <c r="I88" s="5"/>
      <c r="J88" s="5"/>
      <c r="K88" s="5"/>
      <c r="L88" s="5"/>
      <c r="M88" s="5"/>
      <c r="N88" s="5"/>
      <c r="O88" s="5"/>
      <c r="Q88" s="5"/>
      <c r="R88" s="5"/>
      <c r="S88" s="5"/>
      <c r="T88" s="5"/>
      <c r="U88" s="5"/>
    </row>
    <row r="89" spans="2:26">
      <c r="B89" s="41"/>
      <c r="C89" s="5"/>
      <c r="D89" s="5"/>
      <c r="E89" s="5"/>
      <c r="F89" s="5"/>
      <c r="G89" s="5"/>
      <c r="H89" s="5"/>
      <c r="I89" s="49"/>
      <c r="J89" s="5"/>
      <c r="K89" s="5"/>
      <c r="L89" s="5"/>
      <c r="M89" s="5"/>
      <c r="N89" s="5"/>
      <c r="O89" s="5"/>
      <c r="Q89" s="41"/>
      <c r="R89" s="5"/>
      <c r="S89" s="5"/>
      <c r="T89" s="5"/>
      <c r="U89" s="5"/>
    </row>
    <row r="90" spans="2:26">
      <c r="B90" s="41"/>
      <c r="C90" s="5"/>
      <c r="D90" s="5"/>
      <c r="E90" s="5"/>
      <c r="F90" s="5"/>
      <c r="G90" s="5"/>
      <c r="H90" s="5"/>
      <c r="I90" s="5"/>
      <c r="J90" s="5"/>
      <c r="K90" s="5"/>
      <c r="L90" s="5"/>
      <c r="M90" s="5"/>
      <c r="N90" s="5"/>
      <c r="O90" s="5"/>
      <c r="Q90" s="5"/>
      <c r="R90" s="5"/>
      <c r="S90" s="5"/>
      <c r="T90" s="5"/>
      <c r="U90" s="5"/>
    </row>
    <row r="91" spans="2:26">
      <c r="B91" s="5"/>
      <c r="C91" s="5"/>
      <c r="D91" s="5"/>
      <c r="E91" s="5"/>
      <c r="F91" s="5"/>
      <c r="G91" s="5"/>
      <c r="H91" s="5"/>
      <c r="I91" s="247"/>
      <c r="J91" s="49"/>
      <c r="K91" s="49"/>
      <c r="L91" s="49"/>
      <c r="M91" s="49"/>
      <c r="N91" s="49"/>
      <c r="O91" s="49"/>
      <c r="Q91" s="5"/>
      <c r="R91" s="5"/>
      <c r="S91" s="5"/>
      <c r="T91" s="5"/>
      <c r="U91" s="5"/>
      <c r="W91" s="21"/>
      <c r="X91" s="21"/>
    </row>
    <row r="92" spans="2:26">
      <c r="B92" s="41"/>
      <c r="C92" s="49"/>
      <c r="D92" s="49"/>
      <c r="E92" s="49"/>
      <c r="F92" s="49"/>
      <c r="G92" s="49"/>
      <c r="H92" s="49"/>
      <c r="I92" s="247"/>
      <c r="J92" s="5"/>
      <c r="K92" s="5"/>
      <c r="L92" s="5"/>
      <c r="M92" s="5"/>
      <c r="N92" s="5"/>
      <c r="O92" s="5"/>
      <c r="Q92" s="5"/>
      <c r="R92" s="5"/>
      <c r="S92" s="5"/>
      <c r="T92" s="5"/>
      <c r="U92" s="5"/>
      <c r="W92" s="21"/>
      <c r="X92" s="21"/>
      <c r="Y92" s="21"/>
      <c r="Z92" s="21"/>
    </row>
    <row r="93" spans="2:26">
      <c r="B93" s="5"/>
      <c r="C93" s="5"/>
      <c r="D93" s="5"/>
      <c r="E93" s="5"/>
      <c r="F93" s="5"/>
      <c r="G93" s="5"/>
      <c r="H93" s="5"/>
      <c r="I93" s="247"/>
      <c r="J93" s="247"/>
      <c r="K93" s="247"/>
      <c r="L93" s="247"/>
      <c r="M93" s="247"/>
      <c r="N93" s="247"/>
      <c r="O93" s="248"/>
      <c r="Q93" s="5"/>
      <c r="R93" s="5"/>
      <c r="S93" s="5"/>
      <c r="T93" s="5"/>
      <c r="U93" s="5"/>
      <c r="Y93" s="21"/>
      <c r="Z93" s="21"/>
    </row>
    <row r="94" spans="2:26">
      <c r="B94" s="5"/>
      <c r="C94" s="259"/>
      <c r="D94" s="247"/>
      <c r="E94" s="247"/>
      <c r="F94" s="247"/>
      <c r="G94" s="247"/>
      <c r="H94" s="247"/>
      <c r="I94" s="248"/>
      <c r="J94" s="247"/>
      <c r="K94" s="247"/>
      <c r="L94" s="247"/>
      <c r="M94" s="247"/>
      <c r="N94" s="247"/>
      <c r="O94" s="248"/>
      <c r="Q94" s="5"/>
      <c r="R94" s="5"/>
      <c r="S94" s="5"/>
      <c r="T94" s="5"/>
      <c r="U94" s="5"/>
    </row>
    <row r="95" spans="2:26">
      <c r="B95" s="5"/>
      <c r="C95" s="259"/>
      <c r="D95" s="247"/>
      <c r="E95" s="247"/>
      <c r="F95" s="247"/>
      <c r="G95" s="247"/>
      <c r="H95" s="247"/>
      <c r="I95" s="247"/>
      <c r="J95" s="247"/>
      <c r="K95" s="247"/>
      <c r="L95" s="247"/>
      <c r="M95" s="247"/>
      <c r="N95" s="247"/>
      <c r="O95" s="248"/>
      <c r="Q95" s="5"/>
      <c r="R95" s="5"/>
      <c r="S95" s="5"/>
      <c r="T95" s="5"/>
      <c r="U95" s="5"/>
    </row>
    <row r="96" spans="2:26">
      <c r="B96" s="5"/>
      <c r="C96" s="259"/>
      <c r="D96" s="247"/>
      <c r="E96" s="247"/>
      <c r="F96" s="247"/>
      <c r="G96" s="247"/>
      <c r="H96" s="247"/>
      <c r="I96" s="249"/>
      <c r="J96" s="248"/>
      <c r="K96" s="248"/>
      <c r="L96" s="248"/>
      <c r="M96" s="248"/>
      <c r="N96" s="248"/>
      <c r="O96" s="248"/>
      <c r="Q96" s="5"/>
      <c r="R96" s="5"/>
      <c r="S96" s="5"/>
      <c r="T96" s="5"/>
      <c r="U96" s="5"/>
    </row>
    <row r="97" spans="2:21">
      <c r="B97" s="5"/>
      <c r="C97" s="259"/>
      <c r="D97" s="248"/>
      <c r="E97" s="248"/>
      <c r="F97" s="248"/>
      <c r="G97" s="248"/>
      <c r="H97" s="248"/>
      <c r="I97" s="248"/>
      <c r="J97" s="247"/>
      <c r="K97" s="247"/>
      <c r="L97" s="247"/>
      <c r="M97" s="247"/>
      <c r="N97" s="247"/>
      <c r="O97" s="248"/>
      <c r="Q97" s="5"/>
      <c r="R97" s="5"/>
      <c r="S97" s="5"/>
      <c r="T97" s="5"/>
      <c r="U97" s="5"/>
    </row>
    <row r="98" spans="2:21">
      <c r="B98" s="5"/>
      <c r="C98" s="259"/>
      <c r="D98" s="247"/>
      <c r="E98" s="247"/>
      <c r="F98" s="247"/>
      <c r="G98" s="247"/>
      <c r="H98" s="247"/>
      <c r="I98" s="5"/>
      <c r="J98" s="249"/>
      <c r="K98" s="249"/>
      <c r="L98" s="249"/>
      <c r="M98" s="249"/>
      <c r="N98" s="249"/>
      <c r="O98" s="248"/>
      <c r="Q98" s="5"/>
      <c r="R98" s="5"/>
      <c r="S98" s="5"/>
      <c r="T98" s="5"/>
      <c r="U98" s="5"/>
    </row>
    <row r="99" spans="2:21">
      <c r="B99" s="41"/>
      <c r="C99" s="249"/>
      <c r="D99" s="249"/>
      <c r="E99" s="249"/>
      <c r="F99" s="249"/>
      <c r="G99" s="249"/>
      <c r="H99" s="249"/>
      <c r="I99" s="259"/>
      <c r="J99" s="248"/>
      <c r="K99" s="248"/>
      <c r="L99" s="248"/>
      <c r="M99" s="248"/>
      <c r="N99" s="248"/>
      <c r="O99" s="248"/>
      <c r="Q99" s="5"/>
      <c r="R99" s="5"/>
      <c r="S99" s="5"/>
      <c r="T99" s="5"/>
      <c r="U99" s="5"/>
    </row>
    <row r="100" spans="2:21" s="5" customFormat="1">
      <c r="B100" s="41"/>
      <c r="C100" s="257"/>
      <c r="D100" s="248"/>
      <c r="E100" s="248"/>
      <c r="F100" s="248"/>
      <c r="G100" s="248"/>
      <c r="H100" s="248"/>
      <c r="I100" s="259"/>
      <c r="O100" s="248"/>
      <c r="P100" s="39"/>
    </row>
    <row r="101" spans="2:21">
      <c r="B101" s="41"/>
      <c r="C101" s="5"/>
      <c r="D101" s="5"/>
      <c r="E101" s="5"/>
      <c r="F101" s="5"/>
      <c r="G101" s="5"/>
      <c r="H101" s="5"/>
      <c r="I101" s="247"/>
      <c r="J101" s="259"/>
      <c r="K101" s="259"/>
      <c r="L101" s="259"/>
      <c r="M101" s="259"/>
      <c r="N101" s="259"/>
      <c r="O101" s="5"/>
      <c r="Q101" s="5"/>
      <c r="R101" s="5"/>
      <c r="S101" s="5"/>
      <c r="T101" s="5"/>
      <c r="U101" s="5"/>
    </row>
    <row r="102" spans="2:21">
      <c r="B102" s="5"/>
      <c r="C102" s="259"/>
      <c r="D102" s="259"/>
      <c r="E102" s="259"/>
      <c r="F102" s="259"/>
      <c r="G102" s="259"/>
      <c r="H102" s="259"/>
      <c r="I102" s="5"/>
      <c r="J102" s="259"/>
      <c r="K102" s="259"/>
      <c r="L102" s="259"/>
      <c r="M102" s="259"/>
      <c r="N102" s="259"/>
      <c r="O102" s="5"/>
      <c r="P102" s="5"/>
      <c r="Q102" s="5"/>
      <c r="R102" s="5"/>
      <c r="S102" s="5"/>
      <c r="T102" s="5"/>
      <c r="U102" s="5"/>
    </row>
    <row r="103" spans="2:21">
      <c r="B103" s="5"/>
      <c r="C103" s="259"/>
      <c r="D103" s="259"/>
      <c r="E103" s="259"/>
      <c r="F103" s="259"/>
      <c r="G103" s="259"/>
      <c r="H103" s="259"/>
      <c r="I103" s="247"/>
      <c r="J103" s="247"/>
      <c r="K103" s="247"/>
      <c r="L103" s="247"/>
      <c r="M103" s="247"/>
      <c r="N103" s="247"/>
      <c r="O103" s="5"/>
      <c r="Q103" s="5"/>
      <c r="R103" s="5"/>
      <c r="S103" s="5"/>
      <c r="T103" s="5"/>
      <c r="U103" s="5"/>
    </row>
    <row r="104" spans="2:21" s="5" customFormat="1">
      <c r="C104" s="247"/>
      <c r="D104" s="247"/>
      <c r="E104" s="247"/>
      <c r="F104" s="247"/>
      <c r="G104" s="247"/>
      <c r="H104" s="247"/>
      <c r="P104" s="39"/>
    </row>
    <row r="105" spans="2:21" s="5" customFormat="1">
      <c r="I105" s="259"/>
      <c r="J105" s="247"/>
      <c r="K105" s="247"/>
      <c r="L105" s="247"/>
      <c r="M105" s="247"/>
      <c r="N105" s="247"/>
      <c r="P105" s="39"/>
    </row>
    <row r="106" spans="2:21">
      <c r="B106" s="5"/>
      <c r="C106" s="259"/>
      <c r="D106" s="247"/>
      <c r="E106" s="247"/>
      <c r="F106" s="247"/>
      <c r="G106" s="247"/>
      <c r="H106" s="247"/>
      <c r="I106" s="247"/>
      <c r="J106" s="5"/>
      <c r="K106" s="5"/>
      <c r="L106" s="5"/>
      <c r="M106" s="5"/>
      <c r="N106" s="5"/>
      <c r="O106" s="5"/>
      <c r="P106" s="5"/>
      <c r="Q106" s="5"/>
      <c r="R106" s="5"/>
      <c r="S106" s="5"/>
      <c r="T106" s="5"/>
      <c r="U106" s="5"/>
    </row>
    <row r="107" spans="2:21">
      <c r="B107" s="5"/>
      <c r="C107" s="259"/>
      <c r="D107" s="5"/>
      <c r="E107" s="5"/>
      <c r="F107" s="5"/>
      <c r="G107" s="5"/>
      <c r="H107" s="5"/>
      <c r="I107" s="249"/>
      <c r="J107" s="259"/>
      <c r="K107" s="259"/>
      <c r="L107" s="259"/>
      <c r="M107" s="259"/>
      <c r="N107" s="259"/>
      <c r="O107" s="5"/>
      <c r="P107" s="5"/>
      <c r="Q107" s="5"/>
      <c r="R107" s="5"/>
      <c r="S107" s="5"/>
      <c r="T107" s="5"/>
      <c r="U107" s="5"/>
    </row>
    <row r="108" spans="2:21">
      <c r="B108" s="5"/>
      <c r="C108" s="259"/>
      <c r="D108" s="259"/>
      <c r="E108" s="259"/>
      <c r="F108" s="259"/>
      <c r="G108" s="259"/>
      <c r="H108" s="259"/>
      <c r="I108" s="249"/>
      <c r="J108" s="247"/>
      <c r="K108" s="247"/>
      <c r="L108" s="247"/>
      <c r="M108" s="247"/>
      <c r="N108" s="247"/>
      <c r="O108" s="5"/>
      <c r="Q108" s="5"/>
      <c r="R108" s="5"/>
      <c r="S108" s="5"/>
      <c r="T108" s="5"/>
      <c r="U108" s="5"/>
    </row>
    <row r="109" spans="2:21">
      <c r="B109" s="5"/>
      <c r="C109" s="247"/>
      <c r="D109" s="247"/>
      <c r="E109" s="247"/>
      <c r="F109" s="247"/>
      <c r="G109" s="247"/>
      <c r="H109" s="247"/>
      <c r="I109" s="247"/>
      <c r="J109" s="249"/>
      <c r="K109" s="249"/>
      <c r="L109" s="249"/>
      <c r="M109" s="249"/>
      <c r="N109" s="249"/>
      <c r="O109" s="5"/>
      <c r="Q109" s="5"/>
      <c r="R109" s="5"/>
      <c r="S109" s="5"/>
      <c r="T109" s="5"/>
      <c r="U109" s="5"/>
    </row>
    <row r="110" spans="2:21">
      <c r="B110" s="41"/>
      <c r="C110" s="249"/>
      <c r="D110" s="249"/>
      <c r="E110" s="249"/>
      <c r="F110" s="249"/>
      <c r="G110" s="249"/>
      <c r="H110" s="249"/>
      <c r="I110" s="5"/>
      <c r="J110" s="249"/>
      <c r="K110" s="249"/>
      <c r="L110" s="249"/>
      <c r="M110" s="249"/>
      <c r="N110" s="249"/>
      <c r="O110" s="5"/>
      <c r="Q110" s="5"/>
      <c r="R110" s="5"/>
      <c r="S110" s="5"/>
      <c r="T110" s="5"/>
      <c r="U110" s="5"/>
    </row>
    <row r="111" spans="2:21">
      <c r="B111" s="5"/>
      <c r="C111" s="249"/>
      <c r="D111" s="249"/>
      <c r="E111" s="249"/>
      <c r="F111" s="249"/>
      <c r="G111" s="249"/>
      <c r="H111" s="249"/>
      <c r="I111" s="5"/>
      <c r="J111" s="247"/>
      <c r="K111" s="247"/>
      <c r="L111" s="247"/>
      <c r="M111" s="247"/>
      <c r="N111" s="247"/>
      <c r="O111" s="5"/>
      <c r="Q111" s="5"/>
      <c r="R111" s="5"/>
      <c r="S111" s="5"/>
      <c r="T111" s="5"/>
      <c r="U111" s="5"/>
    </row>
    <row r="112" spans="2:21">
      <c r="B112" s="5"/>
      <c r="C112" s="247"/>
      <c r="D112" s="247"/>
      <c r="E112" s="247"/>
      <c r="F112" s="247"/>
      <c r="G112" s="247"/>
      <c r="H112" s="247"/>
      <c r="I112" s="5"/>
      <c r="J112" s="5"/>
      <c r="K112" s="5"/>
      <c r="L112" s="5"/>
      <c r="M112" s="5"/>
      <c r="N112" s="5"/>
      <c r="O112" s="5"/>
      <c r="Q112" s="5"/>
      <c r="R112" s="5"/>
      <c r="S112" s="5"/>
      <c r="T112" s="5"/>
      <c r="U112" s="5"/>
    </row>
    <row r="113" spans="2:21">
      <c r="B113" s="5"/>
      <c r="C113" s="5"/>
      <c r="D113" s="5"/>
      <c r="E113" s="5"/>
      <c r="F113" s="5"/>
      <c r="G113" s="5"/>
      <c r="H113" s="5"/>
      <c r="I113" s="5"/>
      <c r="J113" s="5"/>
      <c r="K113" s="5"/>
      <c r="L113" s="5"/>
      <c r="M113" s="5"/>
      <c r="N113" s="5"/>
      <c r="O113" s="5"/>
      <c r="Q113" s="5"/>
      <c r="R113" s="5"/>
      <c r="S113" s="5"/>
      <c r="T113" s="5"/>
      <c r="U113" s="5"/>
    </row>
    <row r="114" spans="2:21">
      <c r="B114" s="5"/>
      <c r="C114" s="5"/>
      <c r="D114" s="5"/>
      <c r="E114" s="5"/>
      <c r="F114" s="5"/>
      <c r="G114" s="5"/>
      <c r="H114" s="5"/>
      <c r="I114" s="49"/>
      <c r="J114" s="5"/>
      <c r="K114" s="5"/>
      <c r="L114" s="5"/>
      <c r="M114" s="5"/>
      <c r="N114" s="5"/>
      <c r="O114" s="5"/>
      <c r="Q114" s="41"/>
      <c r="R114" s="5"/>
      <c r="S114" s="5"/>
      <c r="T114" s="5"/>
      <c r="U114" s="5"/>
    </row>
    <row r="115" spans="2:21">
      <c r="B115" s="5"/>
      <c r="C115" s="5"/>
      <c r="D115" s="5"/>
      <c r="E115" s="5"/>
      <c r="F115" s="5"/>
      <c r="G115" s="5"/>
      <c r="H115" s="5"/>
      <c r="I115" s="5"/>
      <c r="J115" s="5"/>
      <c r="K115" s="5"/>
      <c r="L115" s="5"/>
      <c r="M115" s="5"/>
      <c r="N115" s="5"/>
      <c r="O115" s="5"/>
      <c r="Q115" s="5"/>
      <c r="R115" s="5"/>
      <c r="S115" s="5"/>
      <c r="T115" s="5"/>
      <c r="U115" s="5"/>
    </row>
    <row r="116" spans="2:21">
      <c r="B116" s="5"/>
      <c r="C116" s="5"/>
      <c r="D116" s="5"/>
      <c r="E116" s="5"/>
      <c r="F116" s="5"/>
      <c r="G116" s="5"/>
      <c r="H116" s="5"/>
      <c r="I116" s="254"/>
      <c r="J116" s="49"/>
      <c r="K116" s="49"/>
      <c r="L116" s="49"/>
      <c r="M116" s="49"/>
      <c r="N116" s="49"/>
      <c r="O116" s="49"/>
      <c r="Q116" s="5"/>
      <c r="R116" s="5"/>
      <c r="S116" s="5"/>
      <c r="T116" s="5"/>
      <c r="U116" s="5"/>
    </row>
    <row r="117" spans="2:21">
      <c r="B117" s="41"/>
      <c r="C117" s="49"/>
      <c r="D117" s="49"/>
      <c r="E117" s="49"/>
      <c r="F117" s="49"/>
      <c r="G117" s="49"/>
      <c r="H117" s="49"/>
      <c r="I117" s="249"/>
      <c r="J117" s="5"/>
      <c r="K117" s="5"/>
      <c r="L117" s="5"/>
      <c r="M117" s="5"/>
      <c r="N117" s="5"/>
      <c r="O117" s="5"/>
      <c r="Q117" s="5"/>
      <c r="R117" s="5"/>
      <c r="S117" s="5"/>
      <c r="T117" s="5"/>
      <c r="U117" s="5"/>
    </row>
    <row r="118" spans="2:21">
      <c r="B118" s="5"/>
      <c r="C118" s="5"/>
      <c r="D118" s="5"/>
      <c r="E118" s="5"/>
      <c r="F118" s="5"/>
      <c r="G118" s="5"/>
      <c r="H118" s="5"/>
      <c r="I118" s="254"/>
      <c r="J118" s="254"/>
      <c r="K118" s="254"/>
      <c r="L118" s="254"/>
      <c r="M118" s="254"/>
      <c r="N118" s="254"/>
      <c r="O118" s="248"/>
      <c r="Q118" s="5"/>
      <c r="R118" s="5"/>
      <c r="S118" s="5"/>
      <c r="T118" s="5"/>
      <c r="U118" s="5"/>
    </row>
    <row r="119" spans="2:21">
      <c r="B119" s="41"/>
      <c r="C119" s="254"/>
      <c r="D119" s="254"/>
      <c r="E119" s="254"/>
      <c r="F119" s="254"/>
      <c r="G119" s="254"/>
      <c r="H119" s="254"/>
      <c r="I119" s="254"/>
      <c r="J119" s="249"/>
      <c r="K119" s="249"/>
      <c r="L119" s="249"/>
      <c r="M119" s="249"/>
      <c r="N119" s="249"/>
      <c r="O119" s="248"/>
      <c r="Q119" s="5"/>
      <c r="R119" s="5"/>
      <c r="S119" s="5"/>
      <c r="T119" s="5"/>
      <c r="U119" s="5"/>
    </row>
    <row r="120" spans="2:21">
      <c r="B120" s="41"/>
      <c r="C120" s="254"/>
      <c r="D120" s="249"/>
      <c r="E120" s="249"/>
      <c r="F120" s="249"/>
      <c r="G120" s="249"/>
      <c r="H120" s="249"/>
      <c r="I120" s="254"/>
      <c r="J120" s="254"/>
      <c r="K120" s="254"/>
      <c r="L120" s="254"/>
      <c r="M120" s="254"/>
      <c r="N120" s="254"/>
      <c r="O120" s="248"/>
      <c r="Q120" s="5"/>
      <c r="R120" s="5"/>
      <c r="S120" s="5"/>
      <c r="T120" s="5"/>
      <c r="U120" s="5"/>
    </row>
    <row r="121" spans="2:21">
      <c r="B121" s="41"/>
      <c r="C121" s="254"/>
      <c r="D121" s="254"/>
      <c r="E121" s="254"/>
      <c r="F121" s="254"/>
      <c r="G121" s="254"/>
      <c r="H121" s="254"/>
      <c r="I121" s="254"/>
      <c r="J121" s="254"/>
      <c r="K121" s="254"/>
      <c r="L121" s="254"/>
      <c r="M121" s="254"/>
      <c r="N121" s="254"/>
      <c r="O121" s="248"/>
      <c r="Q121" s="5"/>
      <c r="R121" s="5"/>
      <c r="S121" s="5"/>
      <c r="T121" s="5"/>
      <c r="U121" s="5"/>
    </row>
    <row r="122" spans="2:21">
      <c r="B122" s="41"/>
      <c r="C122" s="254"/>
      <c r="D122" s="254"/>
      <c r="E122" s="254"/>
      <c r="F122" s="254"/>
      <c r="G122" s="254"/>
      <c r="H122" s="254"/>
      <c r="I122" s="254"/>
      <c r="J122" s="254"/>
      <c r="K122" s="254"/>
      <c r="L122" s="254"/>
      <c r="M122" s="254"/>
      <c r="N122" s="254"/>
      <c r="O122" s="248"/>
      <c r="Q122" s="5"/>
      <c r="R122" s="5"/>
      <c r="S122" s="5"/>
      <c r="T122" s="5"/>
      <c r="U122" s="5"/>
    </row>
    <row r="123" spans="2:21">
      <c r="B123" s="41"/>
      <c r="C123" s="254"/>
      <c r="D123" s="254"/>
      <c r="E123" s="254"/>
      <c r="F123" s="254"/>
      <c r="G123" s="254"/>
      <c r="H123" s="254"/>
      <c r="I123" s="254"/>
      <c r="J123" s="254"/>
      <c r="K123" s="254"/>
      <c r="L123" s="254"/>
      <c r="M123" s="254"/>
      <c r="N123" s="254"/>
      <c r="O123" s="248"/>
      <c r="Q123" s="5"/>
      <c r="R123" s="5"/>
      <c r="S123" s="5"/>
      <c r="T123" s="5"/>
      <c r="U123" s="5"/>
    </row>
    <row r="124" spans="2:21">
      <c r="B124" s="41"/>
      <c r="C124" s="254"/>
      <c r="D124" s="254"/>
      <c r="E124" s="254"/>
      <c r="F124" s="254"/>
      <c r="G124" s="254"/>
      <c r="H124" s="254"/>
      <c r="I124" s="254"/>
      <c r="J124" s="254"/>
      <c r="K124" s="254"/>
      <c r="L124" s="254"/>
      <c r="M124" s="254"/>
      <c r="N124" s="254"/>
      <c r="O124" s="5"/>
      <c r="Q124" s="5"/>
      <c r="R124" s="5"/>
      <c r="S124" s="5"/>
      <c r="T124" s="5"/>
      <c r="U124" s="5"/>
    </row>
    <row r="125" spans="2:21">
      <c r="B125" s="41"/>
      <c r="C125" s="254"/>
      <c r="D125" s="254"/>
      <c r="E125" s="254"/>
      <c r="F125" s="254"/>
      <c r="G125" s="254"/>
      <c r="H125" s="254"/>
      <c r="I125" s="254"/>
      <c r="J125" s="254"/>
      <c r="K125" s="254"/>
      <c r="L125" s="254"/>
      <c r="M125" s="254"/>
      <c r="N125" s="254"/>
      <c r="O125" s="5"/>
      <c r="Q125" s="5"/>
      <c r="R125" s="5"/>
      <c r="S125" s="5"/>
      <c r="T125" s="5"/>
      <c r="U125" s="5"/>
    </row>
    <row r="126" spans="2:21">
      <c r="B126" s="41"/>
      <c r="C126" s="254"/>
      <c r="D126" s="254"/>
      <c r="E126" s="254"/>
      <c r="F126" s="254"/>
      <c r="G126" s="254"/>
      <c r="H126" s="254"/>
      <c r="I126" s="18"/>
      <c r="J126" s="254"/>
      <c r="K126" s="254"/>
      <c r="L126" s="254"/>
      <c r="M126" s="254"/>
      <c r="N126" s="254"/>
      <c r="O126" s="5"/>
      <c r="Q126" s="5"/>
      <c r="R126" s="5"/>
      <c r="S126" s="5"/>
      <c r="T126" s="5"/>
      <c r="U126" s="5"/>
    </row>
    <row r="127" spans="2:21">
      <c r="B127" s="41"/>
      <c r="C127" s="254"/>
      <c r="D127" s="254"/>
      <c r="E127" s="254"/>
      <c r="F127" s="254"/>
      <c r="G127" s="254"/>
      <c r="H127" s="254"/>
      <c r="I127" s="5"/>
      <c r="J127" s="254"/>
      <c r="K127" s="254"/>
      <c r="L127" s="254"/>
      <c r="M127" s="254"/>
      <c r="N127" s="254"/>
      <c r="O127" s="5"/>
      <c r="Q127" s="5"/>
      <c r="R127" s="5"/>
      <c r="S127" s="5"/>
      <c r="T127" s="5"/>
      <c r="U127" s="5"/>
    </row>
    <row r="128" spans="2:21">
      <c r="B128" s="41"/>
      <c r="C128" s="254"/>
      <c r="D128" s="254"/>
      <c r="E128" s="254"/>
      <c r="F128" s="254"/>
      <c r="G128" s="254"/>
      <c r="H128" s="254"/>
      <c r="I128" s="254"/>
      <c r="J128" s="18"/>
      <c r="K128" s="18"/>
      <c r="L128" s="18"/>
      <c r="M128" s="18"/>
      <c r="N128" s="18"/>
      <c r="O128" s="5"/>
      <c r="Q128" s="5"/>
      <c r="R128" s="5"/>
      <c r="S128" s="5"/>
      <c r="T128" s="5"/>
      <c r="U128" s="5"/>
    </row>
    <row r="129" spans="2:27">
      <c r="B129" s="5"/>
      <c r="C129" s="5"/>
      <c r="D129" s="18"/>
      <c r="E129" s="18"/>
      <c r="F129" s="18"/>
      <c r="G129" s="18"/>
      <c r="H129" s="18"/>
      <c r="I129" s="18"/>
      <c r="J129" s="5"/>
      <c r="K129" s="5"/>
      <c r="L129" s="5"/>
      <c r="M129" s="5"/>
      <c r="N129" s="5"/>
      <c r="O129" s="5"/>
      <c r="Q129" s="5"/>
      <c r="R129" s="5"/>
      <c r="S129" s="5"/>
      <c r="T129" s="5"/>
      <c r="U129" s="5"/>
    </row>
    <row r="130" spans="2:27">
      <c r="B130" s="5"/>
      <c r="C130" s="5"/>
      <c r="D130" s="5"/>
      <c r="E130" s="5"/>
      <c r="F130" s="5"/>
      <c r="G130" s="5"/>
      <c r="H130" s="5"/>
      <c r="I130" s="5"/>
      <c r="J130" s="254"/>
      <c r="K130" s="254"/>
      <c r="L130" s="254"/>
      <c r="M130" s="254"/>
      <c r="N130" s="254"/>
      <c r="O130" s="5"/>
      <c r="Q130" s="5"/>
      <c r="R130" s="5"/>
      <c r="S130" s="5"/>
      <c r="T130" s="5"/>
      <c r="U130" s="5"/>
    </row>
    <row r="131" spans="2:27">
      <c r="B131" s="41"/>
      <c r="C131" s="254"/>
      <c r="D131" s="254"/>
      <c r="E131" s="254"/>
      <c r="F131" s="254"/>
      <c r="G131" s="254"/>
      <c r="H131" s="254"/>
      <c r="I131" s="5"/>
      <c r="J131" s="18"/>
      <c r="K131" s="18"/>
      <c r="L131" s="18"/>
      <c r="M131" s="18"/>
      <c r="N131" s="18"/>
      <c r="O131" s="5"/>
      <c r="Q131" s="5"/>
      <c r="R131" s="5"/>
      <c r="S131" s="5"/>
      <c r="T131" s="5"/>
      <c r="U131" s="5"/>
    </row>
    <row r="132" spans="2:27">
      <c r="B132" s="5"/>
      <c r="C132" s="259"/>
      <c r="D132" s="18"/>
      <c r="E132" s="18"/>
      <c r="F132" s="18"/>
      <c r="G132" s="18"/>
      <c r="H132" s="18"/>
      <c r="I132" s="17"/>
      <c r="J132" s="5"/>
      <c r="K132" s="5"/>
      <c r="L132" s="5"/>
      <c r="M132" s="5"/>
      <c r="N132" s="5"/>
      <c r="O132" s="5"/>
      <c r="Q132" s="5"/>
      <c r="R132" s="5"/>
      <c r="S132" s="5"/>
      <c r="T132" s="5"/>
      <c r="U132" s="5"/>
    </row>
    <row r="133" spans="2:27">
      <c r="B133" s="5"/>
      <c r="C133" s="5"/>
      <c r="D133" s="5"/>
      <c r="E133" s="5"/>
      <c r="F133" s="5"/>
      <c r="G133" s="5"/>
      <c r="H133" s="5"/>
      <c r="I133" s="17"/>
      <c r="J133" s="5"/>
      <c r="K133" s="5"/>
      <c r="L133" s="5"/>
      <c r="M133" s="5"/>
      <c r="N133" s="5"/>
      <c r="O133" s="5"/>
      <c r="Q133" s="5"/>
      <c r="R133" s="5"/>
      <c r="S133" s="5"/>
      <c r="T133" s="5"/>
      <c r="U133" s="5"/>
    </row>
    <row r="134" spans="2:27">
      <c r="B134" s="41"/>
      <c r="C134" s="5"/>
      <c r="D134" s="5"/>
      <c r="E134" s="5"/>
      <c r="F134" s="5"/>
      <c r="G134" s="5"/>
      <c r="H134" s="5"/>
      <c r="I134" s="17"/>
      <c r="J134" s="17"/>
      <c r="K134" s="17"/>
      <c r="L134" s="17"/>
      <c r="M134" s="17"/>
      <c r="N134" s="17"/>
      <c r="O134" s="5"/>
      <c r="Q134" s="41"/>
      <c r="R134" s="5"/>
      <c r="S134" s="5"/>
      <c r="T134" s="5"/>
      <c r="U134" s="5"/>
    </row>
    <row r="135" spans="2:27">
      <c r="B135" s="5"/>
      <c r="C135" s="17"/>
      <c r="D135" s="17"/>
      <c r="E135" s="17"/>
      <c r="F135" s="17"/>
      <c r="G135" s="17"/>
      <c r="H135" s="17"/>
      <c r="I135" s="17"/>
      <c r="J135" s="17"/>
      <c r="K135" s="17"/>
      <c r="L135" s="17"/>
      <c r="M135" s="17"/>
      <c r="N135" s="17"/>
      <c r="O135" s="5"/>
      <c r="Q135" s="5"/>
      <c r="R135" s="5"/>
      <c r="S135" s="5"/>
      <c r="T135" s="5"/>
      <c r="U135" s="5"/>
      <c r="X135" s="304"/>
    </row>
    <row r="136" spans="2:27">
      <c r="B136" s="5"/>
      <c r="C136" s="17"/>
      <c r="D136" s="17"/>
      <c r="E136" s="17"/>
      <c r="F136" s="17"/>
      <c r="G136" s="17"/>
      <c r="H136" s="17"/>
      <c r="I136" s="17"/>
      <c r="J136" s="17"/>
      <c r="K136" s="17"/>
      <c r="L136" s="17"/>
      <c r="M136" s="17"/>
      <c r="N136" s="17"/>
      <c r="O136" s="5"/>
      <c r="Q136" s="5"/>
      <c r="R136" s="5"/>
      <c r="S136" s="5"/>
      <c r="T136" s="5"/>
      <c r="U136" s="5"/>
      <c r="X136" s="10"/>
      <c r="Y136" s="304"/>
      <c r="Z136" s="304"/>
      <c r="AA136" s="304"/>
    </row>
    <row r="137" spans="2:27">
      <c r="B137" s="5"/>
      <c r="C137" s="5"/>
      <c r="D137" s="17"/>
      <c r="E137" s="17"/>
      <c r="F137" s="17"/>
      <c r="G137" s="17"/>
      <c r="H137" s="17"/>
      <c r="I137" s="17"/>
      <c r="J137" s="17"/>
      <c r="K137" s="17"/>
      <c r="L137" s="17"/>
      <c r="M137" s="17"/>
      <c r="N137" s="17"/>
      <c r="O137" s="5"/>
      <c r="Q137" s="5"/>
      <c r="R137" s="5"/>
      <c r="S137" s="5"/>
      <c r="T137" s="5"/>
      <c r="U137" s="5"/>
      <c r="Y137" s="10"/>
      <c r="Z137" s="10"/>
      <c r="AA137" s="10"/>
    </row>
    <row r="138" spans="2:27">
      <c r="B138" s="5"/>
      <c r="C138" s="5"/>
      <c r="D138" s="17"/>
      <c r="E138" s="17"/>
      <c r="F138" s="17"/>
      <c r="G138" s="17"/>
      <c r="H138" s="17"/>
      <c r="I138" s="5"/>
      <c r="J138" s="17"/>
      <c r="K138" s="17"/>
      <c r="L138" s="17"/>
      <c r="M138" s="17"/>
      <c r="N138" s="17"/>
      <c r="O138" s="5"/>
      <c r="Q138" s="5"/>
      <c r="R138" s="5"/>
      <c r="S138" s="5"/>
      <c r="T138" s="5"/>
      <c r="U138" s="5"/>
    </row>
    <row r="139" spans="2:27">
      <c r="B139" s="5"/>
      <c r="C139" s="5"/>
      <c r="D139" s="17"/>
      <c r="E139" s="17"/>
      <c r="F139" s="17"/>
      <c r="G139" s="17"/>
      <c r="H139" s="17"/>
      <c r="I139" s="5"/>
      <c r="J139" s="17"/>
      <c r="K139" s="17"/>
      <c r="L139" s="17"/>
      <c r="M139" s="17"/>
      <c r="N139" s="17"/>
      <c r="O139" s="5"/>
      <c r="Q139" s="5"/>
      <c r="R139" s="5"/>
      <c r="S139" s="5"/>
      <c r="T139" s="5"/>
      <c r="U139" s="5"/>
    </row>
    <row r="140" spans="2:27">
      <c r="B140" s="5"/>
      <c r="C140" s="17"/>
      <c r="D140" s="17"/>
      <c r="E140" s="17"/>
      <c r="F140" s="17"/>
      <c r="G140" s="17"/>
      <c r="H140" s="17"/>
      <c r="I140" s="5"/>
      <c r="J140" s="5"/>
      <c r="K140" s="5"/>
      <c r="L140" s="5"/>
      <c r="M140" s="5"/>
      <c r="N140" s="5"/>
      <c r="O140" s="5"/>
      <c r="Q140" s="5"/>
      <c r="R140" s="5"/>
      <c r="S140" s="5"/>
      <c r="T140" s="5"/>
      <c r="U140" s="5"/>
    </row>
    <row r="141" spans="2:27">
      <c r="B141" s="5"/>
      <c r="C141" s="5"/>
      <c r="D141" s="5"/>
      <c r="E141" s="5"/>
      <c r="F141" s="5"/>
      <c r="G141" s="5"/>
      <c r="H141" s="5"/>
      <c r="I141" s="5"/>
      <c r="J141" s="5"/>
      <c r="K141" s="5"/>
      <c r="L141" s="5"/>
      <c r="M141" s="5"/>
      <c r="N141" s="5"/>
      <c r="O141" s="5"/>
      <c r="Q141" s="5"/>
      <c r="R141" s="5"/>
      <c r="S141" s="5"/>
      <c r="T141" s="5"/>
      <c r="U141" s="5"/>
    </row>
    <row r="142" spans="2:27">
      <c r="B142" s="5"/>
      <c r="C142" s="5"/>
      <c r="D142" s="5"/>
      <c r="E142" s="5"/>
      <c r="F142" s="5"/>
      <c r="G142" s="5"/>
      <c r="H142" s="5"/>
      <c r="I142" s="5"/>
      <c r="J142" s="5"/>
      <c r="K142" s="5"/>
      <c r="L142" s="5"/>
      <c r="M142" s="5"/>
      <c r="N142" s="5"/>
      <c r="O142" s="5"/>
      <c r="Q142" s="5"/>
      <c r="R142" s="5"/>
      <c r="S142" s="5"/>
      <c r="T142" s="5"/>
      <c r="U142" s="5"/>
    </row>
    <row r="143" spans="2:27">
      <c r="B143" s="5"/>
      <c r="C143" s="5"/>
      <c r="D143" s="5"/>
      <c r="E143" s="5"/>
      <c r="F143" s="5"/>
      <c r="G143" s="5"/>
      <c r="H143" s="5"/>
      <c r="I143" s="5"/>
      <c r="J143" s="5"/>
      <c r="K143" s="5"/>
      <c r="L143" s="5"/>
      <c r="M143" s="5"/>
      <c r="N143" s="5"/>
      <c r="O143" s="5"/>
      <c r="Q143" s="5"/>
      <c r="R143" s="5"/>
      <c r="S143" s="5"/>
      <c r="T143" s="5"/>
      <c r="U143" s="5"/>
    </row>
    <row r="144" spans="2:27">
      <c r="B144" s="5"/>
      <c r="C144" s="5"/>
      <c r="D144" s="5"/>
      <c r="E144" s="5"/>
      <c r="F144" s="5"/>
      <c r="G144" s="5"/>
      <c r="H144" s="5"/>
      <c r="I144" s="5"/>
      <c r="J144" s="5"/>
      <c r="K144" s="5"/>
      <c r="L144" s="5"/>
      <c r="M144" s="5"/>
      <c r="N144" s="5"/>
      <c r="O144" s="5"/>
      <c r="Q144" s="5"/>
      <c r="R144" s="5"/>
      <c r="S144" s="5"/>
      <c r="T144" s="5"/>
      <c r="U144" s="5"/>
    </row>
    <row r="145" spans="2:21">
      <c r="B145" s="5"/>
      <c r="C145" s="5"/>
      <c r="D145" s="5"/>
      <c r="E145" s="5"/>
      <c r="F145" s="5"/>
      <c r="G145" s="5"/>
      <c r="H145" s="5"/>
      <c r="I145" s="5"/>
      <c r="J145" s="5"/>
      <c r="K145" s="5"/>
      <c r="L145" s="5"/>
      <c r="M145" s="5"/>
      <c r="N145" s="5"/>
      <c r="O145" s="5"/>
      <c r="Q145" s="5"/>
      <c r="R145" s="5"/>
      <c r="S145" s="5"/>
      <c r="T145" s="5"/>
      <c r="U145" s="5"/>
    </row>
    <row r="146" spans="2:21">
      <c r="B146" s="5"/>
      <c r="C146" s="5"/>
      <c r="D146" s="5"/>
      <c r="E146" s="5"/>
      <c r="F146" s="5"/>
      <c r="G146" s="5"/>
      <c r="H146" s="5"/>
      <c r="I146" s="5"/>
      <c r="J146" s="5"/>
      <c r="K146" s="5"/>
      <c r="L146" s="5"/>
      <c r="M146" s="5"/>
      <c r="N146" s="5"/>
      <c r="O146" s="5"/>
      <c r="Q146" s="5"/>
      <c r="R146" s="5"/>
      <c r="S146" s="5"/>
      <c r="T146" s="5"/>
      <c r="U146" s="5"/>
    </row>
    <row r="147" spans="2:21">
      <c r="B147" s="5"/>
      <c r="C147" s="5"/>
      <c r="D147" s="5"/>
      <c r="E147" s="5"/>
      <c r="F147" s="5"/>
      <c r="G147" s="5"/>
      <c r="H147" s="5"/>
      <c r="I147" s="5"/>
      <c r="J147" s="5"/>
      <c r="K147" s="5"/>
      <c r="L147" s="5"/>
      <c r="M147" s="5"/>
      <c r="N147" s="5"/>
      <c r="O147" s="5"/>
      <c r="Q147" s="5"/>
      <c r="R147" s="5"/>
      <c r="S147" s="5"/>
      <c r="T147" s="5"/>
      <c r="U147" s="5"/>
    </row>
    <row r="148" spans="2:21">
      <c r="B148" s="5"/>
      <c r="C148" s="5"/>
      <c r="D148" s="5"/>
      <c r="E148" s="5"/>
      <c r="F148" s="5"/>
      <c r="G148" s="5"/>
      <c r="H148" s="5"/>
      <c r="J148" s="5"/>
      <c r="K148" s="5"/>
      <c r="L148" s="5"/>
      <c r="M148" s="5"/>
      <c r="N148" s="5"/>
      <c r="O148" s="5"/>
      <c r="Q148" s="5"/>
      <c r="R148" s="5"/>
      <c r="S148" s="5"/>
      <c r="T148" s="5"/>
      <c r="U148" s="5"/>
    </row>
    <row r="149" spans="2:21">
      <c r="B149" s="5"/>
      <c r="C149" s="5"/>
      <c r="D149" s="5"/>
      <c r="E149" s="5"/>
      <c r="F149" s="5"/>
      <c r="G149" s="5"/>
      <c r="H149" s="5"/>
      <c r="J149" s="5"/>
      <c r="K149" s="5"/>
      <c r="L149" s="5"/>
      <c r="M149" s="5"/>
      <c r="N149" s="5"/>
      <c r="O149" s="5"/>
      <c r="Q149" s="5"/>
      <c r="R149" s="5"/>
      <c r="S149" s="5"/>
      <c r="T149" s="5"/>
      <c r="U149" s="5"/>
    </row>
    <row r="150" spans="2:21">
      <c r="B150" s="5"/>
      <c r="C150" s="5"/>
      <c r="D150" s="5"/>
      <c r="E150" s="5"/>
      <c r="F150" s="5"/>
      <c r="G150" s="5"/>
      <c r="H150" s="5"/>
      <c r="Q150" s="5"/>
      <c r="R150" s="5"/>
      <c r="S150" s="5"/>
      <c r="T150" s="5"/>
      <c r="U150" s="5"/>
    </row>
    <row r="151" spans="2:21">
      <c r="Q151" s="5"/>
      <c r="R151" s="5"/>
      <c r="S151" s="5"/>
      <c r="T151" s="5"/>
      <c r="U151" s="5"/>
    </row>
    <row r="152" spans="2:21">
      <c r="Q152" s="5"/>
      <c r="R152" s="5"/>
      <c r="S152" s="5"/>
      <c r="T152" s="5"/>
      <c r="U152" s="5"/>
    </row>
    <row r="153" spans="2:21">
      <c r="C153" s="263"/>
      <c r="Q153" s="5"/>
      <c r="R153" s="5"/>
      <c r="S153" s="5"/>
      <c r="T153" s="5"/>
      <c r="U153" s="5"/>
    </row>
    <row r="154" spans="2:21">
      <c r="Q154" s="5"/>
      <c r="R154" s="5"/>
      <c r="S154" s="5"/>
      <c r="T154" s="5"/>
      <c r="U154" s="5"/>
    </row>
    <row r="155" spans="2:21">
      <c r="Q155" s="5"/>
      <c r="R155" s="5"/>
      <c r="S155" s="5"/>
      <c r="T155" s="5"/>
      <c r="U155" s="5"/>
    </row>
    <row r="156" spans="2:21">
      <c r="Q156" s="5"/>
      <c r="R156" s="5"/>
      <c r="S156" s="5"/>
      <c r="T156" s="5"/>
      <c r="U156" s="5"/>
    </row>
    <row r="157" spans="2:21">
      <c r="Q157" s="5"/>
      <c r="R157" s="5"/>
      <c r="S157" s="5"/>
      <c r="T157" s="5"/>
      <c r="U157" s="5"/>
    </row>
    <row r="158" spans="2:21">
      <c r="Q158" s="5"/>
      <c r="R158" s="5"/>
      <c r="S158" s="5"/>
      <c r="T158" s="5"/>
      <c r="U158" s="5"/>
    </row>
    <row r="159" spans="2:21">
      <c r="Q159" s="5"/>
      <c r="R159" s="5"/>
      <c r="S159" s="5"/>
      <c r="T159" s="5"/>
      <c r="U159" s="5"/>
    </row>
    <row r="160" spans="2:21">
      <c r="Q160" s="5"/>
      <c r="R160" s="5"/>
      <c r="S160" s="5"/>
      <c r="T160" s="5"/>
      <c r="U160" s="5"/>
    </row>
    <row r="161" spans="17:21">
      <c r="Q161" s="5"/>
      <c r="R161" s="5"/>
      <c r="S161" s="5"/>
      <c r="T161" s="5"/>
      <c r="U161" s="5"/>
    </row>
    <row r="162" spans="17:21">
      <c r="Q162" s="5"/>
      <c r="R162" s="5"/>
      <c r="S162" s="5"/>
      <c r="T162" s="5"/>
      <c r="U162" s="5"/>
    </row>
    <row r="163" spans="17:21">
      <c r="Q163" s="5"/>
      <c r="R163" s="5"/>
      <c r="S163" s="5"/>
      <c r="T163" s="5"/>
      <c r="U163" s="5"/>
    </row>
    <row r="164" spans="17:21">
      <c r="Q164" s="5"/>
      <c r="R164" s="5"/>
      <c r="S164" s="5"/>
      <c r="T164" s="5"/>
      <c r="U164" s="5"/>
    </row>
  </sheetData>
  <phoneticPr fontId="7" type="noConversion"/>
  <pageMargins left="0.75" right="0.75" top="1" bottom="1" header="0.5" footer="0.5"/>
  <pageSetup scale="70" orientation="landscape" r:id="rId1"/>
  <headerFooter alignWithMargins="0"/>
  <drawing r:id="rId2"/>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000-000000000000}">
  <sheetPr codeName="Sheet63">
    <tabColor theme="3" tint="0.39997558519241921"/>
    <pageSetUpPr fitToPage="1"/>
  </sheetPr>
  <dimension ref="B1:BK164"/>
  <sheetViews>
    <sheetView showGridLines="0" zoomScale="80" zoomScaleNormal="80" workbookViewId="0"/>
  </sheetViews>
  <sheetFormatPr defaultColWidth="8.88671875" defaultRowHeight="12"/>
  <cols>
    <col min="1" max="1" width="2.33203125" style="39" customWidth="1"/>
    <col min="2" max="2" width="26.6640625" style="39" customWidth="1"/>
    <col min="3" max="9" width="10" style="39" customWidth="1"/>
    <col min="10" max="10" width="26.6640625" style="39" customWidth="1"/>
    <col min="11" max="16" width="10" style="39" customWidth="1"/>
    <col min="17" max="17" width="4.5546875" style="39" customWidth="1"/>
    <col min="18" max="20" width="8.88671875" style="39"/>
    <col min="21" max="21" width="3.6640625" style="39" customWidth="1"/>
    <col min="22" max="63" width="9.109375" style="5" customWidth="1"/>
    <col min="64" max="16384" width="8.88671875" style="39"/>
  </cols>
  <sheetData>
    <row r="1" spans="2:63" s="312" customFormat="1">
      <c r="V1" s="149"/>
      <c r="W1" s="149"/>
      <c r="X1" s="149"/>
      <c r="Y1" s="149"/>
      <c r="Z1" s="149"/>
      <c r="AA1" s="149"/>
      <c r="AB1" s="149"/>
      <c r="AC1" s="149"/>
      <c r="AD1" s="149"/>
      <c r="AE1" s="149"/>
      <c r="AF1" s="149"/>
      <c r="AG1" s="149"/>
      <c r="AH1" s="149"/>
      <c r="AI1" s="149"/>
      <c r="AJ1" s="149"/>
      <c r="AK1" s="149"/>
      <c r="AL1" s="149"/>
      <c r="AM1" s="149"/>
      <c r="AN1" s="149"/>
      <c r="AO1" s="149"/>
      <c r="AP1" s="149"/>
      <c r="AQ1" s="149"/>
      <c r="AR1" s="149"/>
      <c r="AS1" s="149"/>
      <c r="AT1" s="149"/>
      <c r="AU1" s="149"/>
      <c r="AV1" s="149"/>
      <c r="AW1" s="149"/>
      <c r="AX1" s="149"/>
      <c r="AY1" s="149"/>
      <c r="AZ1" s="149"/>
      <c r="BA1" s="149"/>
      <c r="BB1" s="149"/>
      <c r="BC1" s="149"/>
      <c r="BD1" s="149"/>
      <c r="BE1" s="149"/>
      <c r="BF1" s="149"/>
      <c r="BG1" s="149"/>
      <c r="BH1" s="149"/>
      <c r="BI1" s="149"/>
      <c r="BJ1" s="149"/>
      <c r="BK1" s="149"/>
    </row>
    <row r="2" spans="2:63" s="312" customFormat="1">
      <c r="V2" s="149"/>
      <c r="W2" s="149"/>
      <c r="X2" s="149"/>
      <c r="Y2" s="149"/>
      <c r="Z2" s="149"/>
      <c r="AA2" s="149"/>
      <c r="AB2" s="149"/>
      <c r="AC2" s="149"/>
      <c r="AD2" s="149"/>
      <c r="AE2" s="149"/>
      <c r="AF2" s="149"/>
      <c r="AG2" s="149"/>
      <c r="AH2" s="149"/>
      <c r="AI2" s="149"/>
      <c r="AJ2" s="149"/>
      <c r="AK2" s="149"/>
      <c r="AL2" s="149"/>
      <c r="AM2" s="149"/>
      <c r="AN2" s="149"/>
      <c r="AO2" s="149"/>
      <c r="AP2" s="149"/>
      <c r="AQ2" s="149"/>
      <c r="AR2" s="149"/>
      <c r="AS2" s="149"/>
      <c r="AT2" s="149"/>
      <c r="AU2" s="149"/>
      <c r="AV2" s="149"/>
      <c r="AW2" s="149"/>
      <c r="AX2" s="149"/>
      <c r="AY2" s="149"/>
      <c r="AZ2" s="149"/>
      <c r="BA2" s="149"/>
      <c r="BB2" s="149"/>
      <c r="BC2" s="149"/>
      <c r="BD2" s="149"/>
      <c r="BE2" s="149"/>
      <c r="BF2" s="149"/>
      <c r="BG2" s="149"/>
      <c r="BH2" s="149"/>
      <c r="BI2" s="149"/>
      <c r="BJ2" s="149"/>
      <c r="BK2" s="149"/>
    </row>
    <row r="3" spans="2:63" s="149" customFormat="1">
      <c r="H3" s="153"/>
      <c r="P3" s="153"/>
    </row>
    <row r="4" spans="2:63" s="156" customFormat="1" ht="21">
      <c r="B4" s="129" t="s">
        <v>337</v>
      </c>
      <c r="H4" s="222"/>
      <c r="P4" s="222"/>
    </row>
    <row r="5" spans="2:63" s="149" customFormat="1">
      <c r="C5" s="153"/>
      <c r="D5" s="153" t="str" cm="1">
        <f t="array" ref="D5:H5">headings</f>
        <v>2023E</v>
      </c>
      <c r="E5" s="153" t="str">
        <v>2024E</v>
      </c>
      <c r="F5" s="153" t="str">
        <v>2025E</v>
      </c>
      <c r="G5" s="153" t="str">
        <v>2026E</v>
      </c>
      <c r="H5" s="153" t="str">
        <v>23E-26E</v>
      </c>
      <c r="I5" s="153"/>
      <c r="J5" s="153"/>
      <c r="K5" s="153"/>
      <c r="L5" s="153" t="str" cm="1">
        <f t="array" ref="L5:P5">headings</f>
        <v>2023E</v>
      </c>
      <c r="M5" s="153" t="str">
        <v>2024E</v>
      </c>
      <c r="N5" s="153" t="str">
        <v>2025E</v>
      </c>
      <c r="O5" s="153" t="str">
        <v>2026E</v>
      </c>
      <c r="P5" s="153" t="str">
        <v>23E-26E</v>
      </c>
      <c r="Q5" s="162"/>
      <c r="R5" s="162"/>
      <c r="S5" s="162"/>
      <c r="T5" s="162"/>
      <c r="U5" s="162"/>
      <c r="V5" s="162"/>
      <c r="W5" s="162"/>
      <c r="X5" s="162"/>
      <c r="Y5" s="162"/>
    </row>
    <row r="6" spans="2:63">
      <c r="I6" s="5"/>
      <c r="J6" s="5"/>
      <c r="K6" s="5"/>
      <c r="L6" s="5"/>
      <c r="M6" s="5"/>
      <c r="N6" s="5"/>
      <c r="O6" s="49"/>
    </row>
    <row r="7" spans="2:63" ht="12.6" thickBot="1">
      <c r="B7" s="306" t="s">
        <v>271</v>
      </c>
      <c r="C7" s="265"/>
      <c r="D7" s="265"/>
      <c r="E7" s="265"/>
      <c r="F7" s="265"/>
      <c r="G7" s="265"/>
      <c r="H7" s="265"/>
      <c r="I7" s="49"/>
      <c r="J7" s="306" t="s">
        <v>550</v>
      </c>
      <c r="K7" s="306"/>
      <c r="L7" s="306"/>
      <c r="M7" s="306"/>
      <c r="N7" s="266"/>
      <c r="O7" s="266"/>
      <c r="P7" s="266"/>
    </row>
    <row r="8" spans="2:63" ht="12.6" thickTop="1">
      <c r="B8" s="5"/>
      <c r="C8" s="5"/>
      <c r="D8" s="5"/>
      <c r="E8" s="5"/>
      <c r="F8" s="5"/>
      <c r="G8" s="5"/>
      <c r="H8" s="5"/>
      <c r="I8" s="5"/>
      <c r="J8" s="5"/>
      <c r="K8" s="5"/>
      <c r="L8" s="5"/>
      <c r="M8" s="5"/>
      <c r="N8" s="5"/>
    </row>
    <row r="9" spans="2:63">
      <c r="B9" s="41" t="s">
        <v>500</v>
      </c>
      <c r="C9" s="287"/>
      <c r="D9" s="5"/>
      <c r="E9" s="249"/>
      <c r="F9" s="249"/>
      <c r="G9" s="249"/>
      <c r="H9" s="249"/>
      <c r="I9" s="249"/>
      <c r="J9" s="5" t="s">
        <v>273</v>
      </c>
      <c r="L9" s="64">
        <f>'AGG EM'!D37</f>
        <v>36.099467473183068</v>
      </c>
      <c r="M9" s="64">
        <f>'AGG EM'!E37</f>
        <v>33.850821771625633</v>
      </c>
      <c r="N9" s="64">
        <f>'AGG EM'!F37</f>
        <v>28.989720438526753</v>
      </c>
      <c r="O9" s="64">
        <f>'AGG EM'!G37</f>
        <v>24.505387911772221</v>
      </c>
      <c r="P9" s="17">
        <f>'AGG EM'!H37</f>
        <v>4.6033064370190946E-2</v>
      </c>
    </row>
    <row r="10" spans="2:63">
      <c r="B10" s="5" t="s">
        <v>274</v>
      </c>
      <c r="C10" s="5"/>
      <c r="D10" s="332"/>
      <c r="E10" s="332"/>
      <c r="F10" s="332"/>
      <c r="G10" s="332"/>
      <c r="H10" s="247"/>
      <c r="I10" s="247"/>
      <c r="J10" s="5" t="s">
        <v>184</v>
      </c>
      <c r="L10" s="64">
        <f>'AGG EM'!D38</f>
        <v>105.42482757786077</v>
      </c>
      <c r="M10" s="64">
        <f>'AGG EM'!E38</f>
        <v>98.32493726594646</v>
      </c>
      <c r="N10" s="64">
        <f>'AGG EM'!F38</f>
        <v>83.460498540205094</v>
      </c>
      <c r="O10" s="64">
        <f>'AGG EM'!G38</f>
        <v>69.927868752575165</v>
      </c>
      <c r="P10" s="17">
        <f>'AGG EM'!H38</f>
        <v>5.4135753422354771E-2</v>
      </c>
      <c r="W10" s="10"/>
      <c r="X10" s="10"/>
      <c r="Y10" s="10"/>
      <c r="Z10" s="10"/>
    </row>
    <row r="11" spans="2:63">
      <c r="B11" s="41" t="s">
        <v>523</v>
      </c>
      <c r="C11" s="5"/>
      <c r="D11" s="271">
        <f>'EMEA INCUMB'!D11+'EMEA CELLULAR'!D11</f>
        <v>92259.606199606802</v>
      </c>
      <c r="E11" s="271">
        <f>'EMEA INCUMB'!E11+'EMEA CELLULAR'!E11</f>
        <v>92139.380239002916</v>
      </c>
      <c r="F11" s="271">
        <f>'EMEA INCUMB'!F11+'EMEA CELLULAR'!F11</f>
        <v>92139.380239002916</v>
      </c>
      <c r="G11" s="271">
        <f>'EMEA INCUMB'!G11+'EMEA CELLULAR'!G11</f>
        <v>92139.380239002916</v>
      </c>
      <c r="H11" s="249"/>
      <c r="I11" s="249"/>
      <c r="J11" s="5" t="s">
        <v>185</v>
      </c>
      <c r="L11" s="64">
        <f>'AGG EM'!D39</f>
        <v>224.63525692719486</v>
      </c>
      <c r="M11" s="64">
        <f>'AGG EM'!E39</f>
        <v>195.27313510926092</v>
      </c>
      <c r="N11" s="64">
        <f>'AGG EM'!F39</f>
        <v>156.82951036244214</v>
      </c>
      <c r="O11" s="64">
        <f>'AGG EM'!G39</f>
        <v>125.44852848860397</v>
      </c>
      <c r="P11" s="17">
        <f>'AGG EM'!H39</f>
        <v>0.11635706268692725</v>
      </c>
      <c r="W11" s="10"/>
      <c r="X11" s="10"/>
      <c r="Y11" s="10"/>
      <c r="Z11" s="10"/>
    </row>
    <row r="12" spans="2:63">
      <c r="B12" s="5" t="s">
        <v>229</v>
      </c>
      <c r="C12" s="249"/>
      <c r="D12" s="228">
        <f>'EMEA INCUMB'!D12+'EMEA CELLULAR'!D12</f>
        <v>21105.251275441755</v>
      </c>
      <c r="E12" s="228">
        <f>'EMEA INCUMB'!E12+'EMEA CELLULAR'!E12</f>
        <v>23228.019381276044</v>
      </c>
      <c r="F12" s="228">
        <f>'EMEA INCUMB'!F12+'EMEA CELLULAR'!F12</f>
        <v>23670.372373358652</v>
      </c>
      <c r="G12" s="228">
        <f>'EMEA INCUMB'!G12+'EMEA CELLULAR'!G12</f>
        <v>24219.771726763625</v>
      </c>
      <c r="H12" s="247"/>
      <c r="I12" s="247"/>
      <c r="J12" s="5" t="s">
        <v>466</v>
      </c>
      <c r="L12" s="64">
        <f>'AGG EM'!D40</f>
        <v>301.14194802237273</v>
      </c>
      <c r="M12" s="64">
        <f>'AGG EM'!E40</f>
        <v>259.63239152824843</v>
      </c>
      <c r="N12" s="64">
        <f>'AGG EM'!F40</f>
        <v>208.91697606045113</v>
      </c>
      <c r="O12" s="64">
        <f>'AGG EM'!G40</f>
        <v>167.13793424632385</v>
      </c>
      <c r="P12" s="17">
        <f>'AGG EM'!H40</f>
        <v>0.11865907373414464</v>
      </c>
      <c r="W12" s="10"/>
      <c r="X12" s="10"/>
      <c r="Y12" s="10"/>
      <c r="Z12" s="10"/>
    </row>
    <row r="13" spans="2:63">
      <c r="B13" s="5" t="s">
        <v>529</v>
      </c>
      <c r="C13" s="257"/>
      <c r="D13" s="228">
        <f>'EMEA INCUMB'!D13+'EMEA CELLULAR'!D13</f>
        <v>2133.1283174631844</v>
      </c>
      <c r="E13" s="228">
        <f>'EMEA INCUMB'!E13+'EMEA CELLULAR'!E13</f>
        <v>2133.1283174631844</v>
      </c>
      <c r="F13" s="228">
        <f>'EMEA INCUMB'!F13+'EMEA CELLULAR'!F13</f>
        <v>2133.1283174631844</v>
      </c>
      <c r="G13" s="228">
        <f>'EMEA INCUMB'!G13+'EMEA CELLULAR'!G13</f>
        <v>2133.1283174631844</v>
      </c>
      <c r="H13" s="247"/>
      <c r="I13" s="247"/>
      <c r="J13" s="5" t="s">
        <v>530</v>
      </c>
      <c r="L13" s="64">
        <f>'AGG EM'!D41</f>
        <v>27.243713322021154</v>
      </c>
      <c r="M13" s="64">
        <f>'AGG EM'!E41</f>
        <v>27.089658338273644</v>
      </c>
      <c r="N13" s="64">
        <f>'AGG EM'!F41</f>
        <v>24.66957505581005</v>
      </c>
      <c r="O13" s="64">
        <f>'AGG EM'!G41</f>
        <v>22.040277006694431</v>
      </c>
      <c r="P13" s="17">
        <f>'AGG EM'!H41</f>
        <v>-1.3382626032309664E-2</v>
      </c>
    </row>
    <row r="14" spans="2:63">
      <c r="B14" s="5" t="s">
        <v>532</v>
      </c>
      <c r="C14" s="274"/>
      <c r="D14" s="228">
        <f>'EMEA INCUMB'!D14+'EMEA CELLULAR'!D14</f>
        <v>4656.109009357815</v>
      </c>
      <c r="E14" s="228">
        <f>'EMEA INCUMB'!E14+'EMEA CELLULAR'!E14</f>
        <v>4656.109009357815</v>
      </c>
      <c r="F14" s="228">
        <f>'EMEA INCUMB'!F14+'EMEA CELLULAR'!F14</f>
        <v>4656.109009357815</v>
      </c>
      <c r="G14" s="228">
        <f>'EMEA INCUMB'!G14+'EMEA CELLULAR'!G14</f>
        <v>4656.109009357815</v>
      </c>
      <c r="H14" s="247"/>
      <c r="I14" s="247"/>
      <c r="J14" s="5" t="s">
        <v>593</v>
      </c>
      <c r="L14" s="64">
        <f>'AGG EM'!D42</f>
        <v>42.295202413837345</v>
      </c>
      <c r="M14" s="64">
        <f>'AGG EM'!E42</f>
        <v>41.555857792028846</v>
      </c>
      <c r="N14" s="64">
        <f>'AGG EM'!F42</f>
        <v>37.316788882264667</v>
      </c>
      <c r="O14" s="64">
        <f>'AGG EM'!G42</f>
        <v>33.586664495982959</v>
      </c>
      <c r="P14" s="17">
        <f>'AGG EM'!H42</f>
        <v>-7.2488050935257675E-3</v>
      </c>
    </row>
    <row r="15" spans="2:63">
      <c r="B15" s="5" t="s">
        <v>531</v>
      </c>
      <c r="C15" s="257"/>
      <c r="D15" s="228">
        <f>'EMEA INCUMB'!D15+'EMEA CELLULAR'!D15</f>
        <v>5942.3898183046867</v>
      </c>
      <c r="E15" s="228">
        <f>'EMEA INCUMB'!E15+'EMEA CELLULAR'!E15</f>
        <v>5942.3898183046867</v>
      </c>
      <c r="F15" s="228">
        <f>'EMEA INCUMB'!F15+'EMEA CELLULAR'!F15</f>
        <v>5942.3898183046867</v>
      </c>
      <c r="G15" s="228">
        <f>'EMEA INCUMB'!G15+'EMEA CELLULAR'!G15</f>
        <v>5942.3898183046867</v>
      </c>
      <c r="H15" s="247"/>
      <c r="I15" s="247"/>
      <c r="J15" s="5" t="s">
        <v>475</v>
      </c>
      <c r="L15" s="64">
        <f>'AGG EM'!D43</f>
        <v>19.300585311517345</v>
      </c>
      <c r="M15" s="64">
        <f>'AGG EM'!E43</f>
        <v>15.882933755129079</v>
      </c>
      <c r="N15" s="64">
        <f>'AGG EM'!F43</f>
        <v>13.174403404675031</v>
      </c>
      <c r="O15" s="64">
        <f>'AGG EM'!G43</f>
        <v>11.229961793899795</v>
      </c>
      <c r="P15" s="17">
        <f>'AGG EM'!H43</f>
        <v>0.19549120190388991</v>
      </c>
      <c r="S15" s="88"/>
      <c r="T15" s="88"/>
      <c r="U15" s="88"/>
      <c r="V15" s="42"/>
      <c r="W15" s="42"/>
      <c r="X15" s="42"/>
      <c r="Y15" s="42"/>
      <c r="Z15" s="42"/>
      <c r="AA15" s="42"/>
    </row>
    <row r="16" spans="2:63">
      <c r="B16" s="5" t="s">
        <v>534</v>
      </c>
      <c r="C16" s="257"/>
      <c r="D16" s="228">
        <f>'EMEA INCUMB'!D16+'EMEA CELLULAR'!D16</f>
        <v>5728.0425179794338</v>
      </c>
      <c r="E16" s="228">
        <f>'EMEA INCUMB'!E16+'EMEA CELLULAR'!E16</f>
        <v>8177.2641681288524</v>
      </c>
      <c r="F16" s="228">
        <f>'EMEA INCUMB'!F16+'EMEA CELLULAR'!F16</f>
        <v>10787.067720851488</v>
      </c>
      <c r="G16" s="228">
        <f>'EMEA INCUMB'!G16+'EMEA CELLULAR'!G16</f>
        <v>13843.626241039919</v>
      </c>
      <c r="H16" s="247"/>
      <c r="I16" s="247"/>
      <c r="J16" s="5" t="s">
        <v>533</v>
      </c>
      <c r="L16" s="64">
        <f>'AGG EM'!D44</f>
        <v>245.42467510563969</v>
      </c>
      <c r="M16" s="64">
        <f>'AGG EM'!E44</f>
        <v>213.62789634539095</v>
      </c>
      <c r="N16" s="64">
        <f>'AGG EM'!F44</f>
        <v>181.57395789810795</v>
      </c>
      <c r="O16" s="64">
        <f>'AGG EM'!G44</f>
        <v>158.59598060321596</v>
      </c>
      <c r="P16" s="17">
        <f>'AGG EM'!H44</f>
        <v>0.16397795492835376</v>
      </c>
      <c r="S16" s="88"/>
      <c r="T16" s="88"/>
      <c r="U16" s="88"/>
      <c r="V16" s="42"/>
      <c r="W16" s="42"/>
      <c r="X16" s="42"/>
      <c r="Y16" s="42"/>
      <c r="Z16" s="42"/>
      <c r="AA16" s="42"/>
    </row>
    <row r="17" spans="2:27">
      <c r="B17" s="5" t="s">
        <v>6</v>
      </c>
      <c r="C17" s="257"/>
      <c r="D17" s="228">
        <f>'EMEA INCUMB'!D17+'EMEA CELLULAR'!D17</f>
        <v>0</v>
      </c>
      <c r="E17" s="228">
        <f>'EMEA INCUMB'!E17+'EMEA CELLULAR'!E17</f>
        <v>0</v>
      </c>
      <c r="F17" s="228">
        <f>'EMEA INCUMB'!F17+'EMEA CELLULAR'!F17</f>
        <v>0</v>
      </c>
      <c r="G17" s="228">
        <f>'EMEA INCUMB'!G17+'EMEA CELLULAR'!G17</f>
        <v>0</v>
      </c>
      <c r="H17" s="247"/>
      <c r="I17" s="247"/>
      <c r="J17" s="5" t="s">
        <v>580</v>
      </c>
      <c r="L17" s="248">
        <f>'AGG EM'!D45</f>
        <v>2.9794876849606393E-3</v>
      </c>
      <c r="M17" s="248">
        <f>'AGG EM'!E45</f>
        <v>3.2338565373739416E-3</v>
      </c>
      <c r="N17" s="248">
        <f>'AGG EM'!F45</f>
        <v>3.7591690821787136E-3</v>
      </c>
      <c r="O17" s="248">
        <f>'AGG EM'!G45</f>
        <v>4.3245157193855478E-3</v>
      </c>
      <c r="P17" s="17">
        <f>'AGG EM'!H45</f>
        <v>0.13937853690845947</v>
      </c>
      <c r="S17" s="88"/>
      <c r="T17" s="88"/>
      <c r="U17" s="88"/>
      <c r="V17" s="42"/>
      <c r="W17" s="42"/>
      <c r="X17" s="42"/>
      <c r="Y17" s="42"/>
      <c r="Z17" s="42"/>
      <c r="AA17" s="42"/>
    </row>
    <row r="18" spans="2:27" ht="12.6" thickBot="1">
      <c r="B18" s="41" t="s">
        <v>89</v>
      </c>
      <c r="C18" s="249"/>
      <c r="D18" s="275">
        <f>'EMEA INCUMB'!D18+'EMEA CELLULAR'!D18</f>
        <v>111056.22408347916</v>
      </c>
      <c r="E18" s="275">
        <f>'EMEA INCUMB'!E18+'EMEA CELLULAR'!E18</f>
        <v>110609.54457856015</v>
      </c>
      <c r="F18" s="275">
        <f>'EMEA INCUMB'!F18+'EMEA CELLULAR'!F18</f>
        <v>108442.09401792014</v>
      </c>
      <c r="G18" s="275">
        <f>'EMEA INCUMB'!G18+'EMEA CELLULAR'!G18</f>
        <v>105934.93485113668</v>
      </c>
      <c r="H18" s="276">
        <f>IF(D18=0,"nm",IF(G18=0,"nm",(G18/D18)^(1/3)-1))</f>
        <v>-1.5613988705180826E-2</v>
      </c>
      <c r="I18" s="254"/>
      <c r="J18" s="5" t="s">
        <v>36</v>
      </c>
      <c r="L18" s="248" t="e">
        <f>'AGG EM'!D46</f>
        <v>#VALUE!</v>
      </c>
      <c r="M18" s="248" t="e">
        <f>'AGG EM'!E46</f>
        <v>#VALUE!</v>
      </c>
      <c r="N18" s="248" t="e">
        <f>'AGG EM'!F46</f>
        <v>#VALUE!</v>
      </c>
      <c r="O18" s="248" t="e">
        <f>'AGG EM'!G46</f>
        <v>#VALUE!</v>
      </c>
      <c r="P18" s="17" t="e">
        <f>'AGG EM'!H46</f>
        <v>#VALUE!</v>
      </c>
      <c r="S18" s="88"/>
      <c r="T18" s="88"/>
      <c r="U18" s="88"/>
      <c r="V18" s="42"/>
      <c r="W18" s="42"/>
      <c r="X18" s="42"/>
      <c r="Y18" s="42"/>
      <c r="Z18" s="42"/>
      <c r="AA18" s="42"/>
    </row>
    <row r="19" spans="2:27" ht="12.6" thickTop="1">
      <c r="B19" s="41"/>
      <c r="C19" s="249"/>
      <c r="D19" s="229"/>
      <c r="E19" s="229"/>
      <c r="F19" s="229"/>
      <c r="G19" s="229"/>
      <c r="H19" s="276"/>
      <c r="I19" s="17"/>
      <c r="J19" s="5" t="s">
        <v>581</v>
      </c>
      <c r="L19" s="248">
        <f>'AGG EM'!D47</f>
        <v>5.1811900201972863E-2</v>
      </c>
      <c r="M19" s="248">
        <f>'AGG EM'!E47</f>
        <v>6.2960660506253749E-2</v>
      </c>
      <c r="N19" s="248">
        <f>'AGG EM'!F47</f>
        <v>7.5904765421494755E-2</v>
      </c>
      <c r="O19" s="248">
        <f>'AGG EM'!G47</f>
        <v>8.9047497965951045E-2</v>
      </c>
      <c r="P19" s="17">
        <f>'AGG EM'!H47</f>
        <v>0.19549120190388991</v>
      </c>
      <c r="S19" s="88"/>
      <c r="T19" s="88"/>
      <c r="U19" s="88"/>
      <c r="V19" s="42"/>
      <c r="W19" s="42"/>
      <c r="X19" s="42"/>
      <c r="Y19" s="42"/>
      <c r="Z19" s="42"/>
      <c r="AA19" s="42"/>
    </row>
    <row r="20" spans="2:27">
      <c r="H20" s="277"/>
      <c r="I20" s="49"/>
      <c r="J20" s="5" t="s">
        <v>604</v>
      </c>
      <c r="L20" s="248">
        <f>'AGG EM'!D48</f>
        <v>0.78546224095974659</v>
      </c>
      <c r="M20" s="248">
        <f>'AGG EM'!E48</f>
        <v>0.71334963498575799</v>
      </c>
      <c r="N20" s="248">
        <f>'AGG EM'!F48</f>
        <v>0.68989991347231316</v>
      </c>
      <c r="O20" s="248">
        <f>'AGG EM'!G48</f>
        <v>0.67997079786563763</v>
      </c>
      <c r="P20" s="17" t="str">
        <f>'AGG EM'!H48</f>
        <v>nm</v>
      </c>
      <c r="S20" s="42"/>
      <c r="T20" s="42"/>
      <c r="U20" s="42"/>
      <c r="V20" s="42"/>
      <c r="W20" s="42"/>
      <c r="X20" s="42"/>
      <c r="Y20" s="42"/>
      <c r="Z20" s="42"/>
      <c r="AA20" s="42"/>
    </row>
    <row r="21" spans="2:27" ht="12.6" thickBot="1">
      <c r="B21" s="306" t="s">
        <v>308</v>
      </c>
      <c r="C21" s="265">
        <v>2020</v>
      </c>
      <c r="D21" s="265" t="str">
        <f>D5</f>
        <v>2023E</v>
      </c>
      <c r="E21" s="265" t="str">
        <f>E5</f>
        <v>2024E</v>
      </c>
      <c r="F21" s="265" t="str">
        <f>F5</f>
        <v>2025E</v>
      </c>
      <c r="G21" s="265" t="str">
        <f>G5</f>
        <v>2026E</v>
      </c>
      <c r="H21" s="282" t="str">
        <f>H5</f>
        <v>23E-26E</v>
      </c>
      <c r="I21" s="17"/>
      <c r="S21" s="42"/>
      <c r="T21" s="42"/>
      <c r="U21" s="42"/>
      <c r="V21" s="42"/>
      <c r="W21" s="42"/>
      <c r="X21" s="42"/>
      <c r="Y21" s="42"/>
      <c r="Z21" s="42"/>
      <c r="AA21" s="42"/>
    </row>
    <row r="22" spans="2:27" ht="12.6" thickTop="1">
      <c r="B22" s="5"/>
      <c r="C22" s="257"/>
      <c r="D22" s="17"/>
      <c r="E22" s="17"/>
      <c r="F22" s="17"/>
      <c r="G22" s="17"/>
      <c r="H22" s="17"/>
      <c r="I22" s="247"/>
      <c r="P22" s="277"/>
      <c r="S22" s="42"/>
      <c r="T22" s="42"/>
      <c r="U22" s="42"/>
      <c r="V22" s="42"/>
      <c r="W22" s="42"/>
      <c r="X22" s="42"/>
      <c r="Y22" s="42"/>
      <c r="Z22" s="42"/>
      <c r="AA22" s="42"/>
    </row>
    <row r="23" spans="2:27" ht="12.6" thickBot="1">
      <c r="B23" s="5" t="s">
        <v>584</v>
      </c>
      <c r="C23" s="365">
        <f>'EMEA INCUMB'!C23+'EMEA CELLULAR'!C23</f>
        <v>36945.488858553188</v>
      </c>
      <c r="D23" s="228">
        <f>'EMEA INCUMB'!D23+'EMEA CELLULAR'!D23</f>
        <v>38875.968551073813</v>
      </c>
      <c r="E23" s="228">
        <f>'EMEA INCUMB'!E23+'EMEA CELLULAR'!E23</f>
        <v>38363.851281462812</v>
      </c>
      <c r="F23" s="228">
        <f>'EMEA INCUMB'!F23+'EMEA CELLULAR'!F23</f>
        <v>41244.237133985029</v>
      </c>
      <c r="G23" s="228">
        <f>'EMEA INCUMB'!G23+'EMEA CELLULAR'!G23</f>
        <v>43875.871482692637</v>
      </c>
      <c r="H23" s="279">
        <f t="shared" ref="H23:H33" si="0">IF(D23=0,"nm",IF(G23=0,"nm",(G23/D23)^(1/3)-1))</f>
        <v>4.1153694472270574E-2</v>
      </c>
      <c r="I23" s="249"/>
      <c r="J23" s="306" t="s">
        <v>9</v>
      </c>
      <c r="K23" s="306"/>
      <c r="L23" s="265" t="str">
        <f>L5</f>
        <v>2023E</v>
      </c>
      <c r="M23" s="265" t="str">
        <f>M5</f>
        <v>2024E</v>
      </c>
      <c r="N23" s="265" t="str">
        <f>N5</f>
        <v>2025E</v>
      </c>
      <c r="O23" s="265" t="str">
        <f>O5</f>
        <v>2026E</v>
      </c>
      <c r="P23" s="282" t="str">
        <f>P5</f>
        <v>23E-26E</v>
      </c>
      <c r="S23" s="42"/>
      <c r="T23" s="42"/>
      <c r="U23" s="42"/>
      <c r="V23" s="42"/>
      <c r="W23" s="42" t="s">
        <v>361</v>
      </c>
      <c r="X23" s="42" t="s">
        <v>26</v>
      </c>
      <c r="Y23" s="42"/>
      <c r="Z23" s="42"/>
      <c r="AA23" s="42"/>
    </row>
    <row r="24" spans="2:27" ht="12.6" thickTop="1">
      <c r="B24" s="5" t="s">
        <v>483</v>
      </c>
      <c r="C24" s="365">
        <f>'EMEA INCUMB'!C24+'EMEA CELLULAR'!C24</f>
        <v>15373.573957157998</v>
      </c>
      <c r="D24" s="228">
        <f>'EMEA INCUMB'!D24+'EMEA CELLULAR'!D24</f>
        <v>15941.412876683466</v>
      </c>
      <c r="E24" s="228">
        <f>'EMEA INCUMB'!E24+'EMEA CELLULAR'!E24</f>
        <v>15487.124510502481</v>
      </c>
      <c r="F24" s="228">
        <f>'EMEA INCUMB'!F24+'EMEA CELLULAR'!F24</f>
        <v>16851.002966263812</v>
      </c>
      <c r="G24" s="228">
        <f>'EMEA INCUMB'!G24+'EMEA CELLULAR'!G24</f>
        <v>18000.556456850933</v>
      </c>
      <c r="H24" s="279">
        <f t="shared" si="0"/>
        <v>4.1325188452830064E-2</v>
      </c>
      <c r="I24" s="248"/>
      <c r="J24" s="17"/>
      <c r="K24" s="17"/>
      <c r="L24" s="17"/>
      <c r="M24" s="17"/>
      <c r="N24" s="17"/>
      <c r="O24" s="248"/>
      <c r="S24" s="42"/>
      <c r="T24" s="42"/>
      <c r="U24" s="42"/>
      <c r="V24" s="147" t="s">
        <v>273</v>
      </c>
      <c r="W24" s="288">
        <f t="shared" ref="W24:W31" si="1">E37/M9</f>
        <v>8.5172851889062734E-2</v>
      </c>
      <c r="X24" s="288">
        <v>1</v>
      </c>
      <c r="Y24" s="42"/>
      <c r="Z24" s="42"/>
      <c r="AA24" s="42"/>
    </row>
    <row r="25" spans="2:27">
      <c r="B25" s="5" t="s">
        <v>183</v>
      </c>
      <c r="C25" s="365">
        <f>'EMEA INCUMB'!C25+'EMEA CELLULAR'!C25</f>
        <v>7895.7203872761793</v>
      </c>
      <c r="D25" s="228">
        <f>'EMEA INCUMB'!D25+'EMEA CELLULAR'!D25</f>
        <v>8217.1022246813664</v>
      </c>
      <c r="E25" s="228">
        <f>'EMEA INCUMB'!E25+'EMEA CELLULAR'!E25</f>
        <v>8062.1622049028229</v>
      </c>
      <c r="F25" s="228">
        <f>'EMEA INCUMB'!F25+'EMEA CELLULAR'!F25</f>
        <v>9236.4327464746184</v>
      </c>
      <c r="G25" s="228">
        <f>'EMEA INCUMB'!G25+'EMEA CELLULAR'!G25</f>
        <v>10225.549760289941</v>
      </c>
      <c r="H25" s="279">
        <f t="shared" si="0"/>
        <v>7.5612875377866651E-2</v>
      </c>
      <c r="I25" s="249"/>
      <c r="J25" s="247" t="s">
        <v>10</v>
      </c>
      <c r="K25" s="247"/>
      <c r="L25" s="332">
        <f>'EMEA INCUMB'!L25+'EMEA CELLULAR'!L25</f>
        <v>0</v>
      </c>
      <c r="M25" s="332">
        <f>'EMEA INCUMB'!M25+'EMEA CELLULAR'!M25</f>
        <v>0</v>
      </c>
      <c r="N25" s="332">
        <f>'EMEA INCUMB'!N25+'EMEA CELLULAR'!N25</f>
        <v>0</v>
      </c>
      <c r="O25" s="332">
        <f>'EMEA INCUMB'!O25+'EMEA CELLULAR'!O25</f>
        <v>0</v>
      </c>
      <c r="P25" s="279" t="str">
        <f>IF(L25=0,"nm",IF(O25=0,"nm",(O25/L25)^(1/3)-1))</f>
        <v>nm</v>
      </c>
      <c r="Q25" s="5"/>
      <c r="S25" s="42"/>
      <c r="T25" s="42"/>
      <c r="U25" s="42"/>
      <c r="V25" s="147" t="s">
        <v>184</v>
      </c>
      <c r="W25" s="288">
        <f t="shared" si="1"/>
        <v>7.263703968700462E-2</v>
      </c>
      <c r="X25" s="288">
        <v>1</v>
      </c>
      <c r="Y25" s="42"/>
      <c r="Z25" s="42"/>
      <c r="AA25" s="42"/>
    </row>
    <row r="26" spans="2:27">
      <c r="B26" s="5" t="s">
        <v>586</v>
      </c>
      <c r="C26" s="365">
        <f>'EMEA INCUMB'!C26+'EMEA CELLULAR'!C26</f>
        <v>5651.8248396894651</v>
      </c>
      <c r="D26" s="228">
        <f>'EMEA INCUMB'!D26+'EMEA CELLULAR'!D26</f>
        <v>5548.1567807385618</v>
      </c>
      <c r="E26" s="228">
        <f>'EMEA INCUMB'!E26+'EMEA CELLULAR'!E26</f>
        <v>5470.4438618619915</v>
      </c>
      <c r="F26" s="228">
        <f>'EMEA INCUMB'!F26+'EMEA CELLULAR'!F26</f>
        <v>6219.9794015469752</v>
      </c>
      <c r="G26" s="228">
        <f>'EMEA INCUMB'!G26+'EMEA CELLULAR'!G26</f>
        <v>6847.3749887082577</v>
      </c>
      <c r="H26" s="279">
        <f t="shared" si="0"/>
        <v>7.2651050461786104E-2</v>
      </c>
      <c r="I26" s="249"/>
      <c r="J26" s="249" t="s">
        <v>11</v>
      </c>
      <c r="K26" s="249"/>
      <c r="L26" s="281">
        <f>'EMEA INCUMB'!L26+'EMEA CELLULAR'!L26</f>
        <v>86476.429222865539</v>
      </c>
      <c r="M26" s="281">
        <f>'EMEA INCUMB'!M26+'EMEA CELLULAR'!M26</f>
        <v>86476.429222865539</v>
      </c>
      <c r="N26" s="281">
        <f>'EMEA INCUMB'!N26+'EMEA CELLULAR'!N26</f>
        <v>86476.429222865539</v>
      </c>
      <c r="O26" s="281">
        <f>'EMEA INCUMB'!O26+'EMEA CELLULAR'!O26</f>
        <v>86476.429222865539</v>
      </c>
      <c r="P26" s="279">
        <f>IF(L26=0,"nm",IF(O26=0,"nm",(O26/L26)^(1/3)-1))</f>
        <v>0</v>
      </c>
      <c r="Q26" s="41"/>
      <c r="S26" s="42"/>
      <c r="T26" s="42"/>
      <c r="U26" s="42"/>
      <c r="V26" s="147" t="s">
        <v>185</v>
      </c>
      <c r="W26" s="288">
        <f t="shared" si="1"/>
        <v>7.0258451496040805E-2</v>
      </c>
      <c r="X26" s="288">
        <v>1</v>
      </c>
      <c r="Y26" s="42"/>
      <c r="Z26" s="42"/>
      <c r="AA26" s="42"/>
    </row>
    <row r="27" spans="2:27">
      <c r="B27" s="5" t="s">
        <v>587</v>
      </c>
      <c r="C27" s="365">
        <f>'EMEA INCUMB'!C27+'EMEA CELLULAR'!C27</f>
        <v>42052.378566464286</v>
      </c>
      <c r="D27" s="228">
        <f>'EMEA INCUMB'!D27+'EMEA CELLULAR'!D27</f>
        <v>40316.364989356865</v>
      </c>
      <c r="E27" s="228">
        <f>'EMEA INCUMB'!E27+'EMEA CELLULAR'!E27</f>
        <v>41502.022398626999</v>
      </c>
      <c r="F27" s="228">
        <f>'EMEA INCUMB'!F27+'EMEA CELLULAR'!F27</f>
        <v>42671.918637935174</v>
      </c>
      <c r="G27" s="228">
        <f>'EMEA INCUMB'!G27+'EMEA CELLULAR'!G27</f>
        <v>43923.321383761649</v>
      </c>
      <c r="H27" s="279">
        <f t="shared" si="0"/>
        <v>2.8974474809809747E-2</v>
      </c>
      <c r="I27" s="248"/>
      <c r="J27" s="248"/>
      <c r="K27" s="248"/>
      <c r="L27" s="248"/>
      <c r="M27" s="248"/>
      <c r="N27" s="248"/>
      <c r="O27" s="248"/>
      <c r="Q27" s="5"/>
      <c r="S27" s="42"/>
      <c r="T27" s="42"/>
      <c r="U27" s="42"/>
      <c r="V27" s="147" t="s">
        <v>466</v>
      </c>
      <c r="W27" s="288">
        <f t="shared" si="1"/>
        <v>7.7877349968345624E-2</v>
      </c>
      <c r="X27" s="288">
        <v>1</v>
      </c>
      <c r="Y27" s="42"/>
      <c r="Z27" s="42"/>
      <c r="AA27" s="42"/>
    </row>
    <row r="28" spans="2:27" ht="12.6" thickBot="1">
      <c r="B28" s="5" t="s">
        <v>592</v>
      </c>
      <c r="C28" s="365">
        <f>'EMEA INCUMB'!C28+'EMEA CELLULAR'!C28</f>
        <v>26939.042356208749</v>
      </c>
      <c r="D28" s="228">
        <f>'EMEA INCUMB'!D28+'EMEA CELLULAR'!D28</f>
        <v>28534.694755391683</v>
      </c>
      <c r="E28" s="228">
        <f>'EMEA INCUMB'!E28+'EMEA CELLULAR'!E28</f>
        <v>29210.94980637998</v>
      </c>
      <c r="F28" s="228">
        <f>'EMEA INCUMB'!F28+'EMEA CELLULAR'!F28</f>
        <v>29905.162015136633</v>
      </c>
      <c r="G28" s="228">
        <f>'EMEA INCUMB'!G28+'EMEA CELLULAR'!G28</f>
        <v>30757.817974063073</v>
      </c>
      <c r="H28" s="279">
        <f t="shared" si="0"/>
        <v>2.5323151598348081E-2</v>
      </c>
      <c r="I28" s="252"/>
      <c r="J28" s="306" t="s">
        <v>754</v>
      </c>
      <c r="K28" s="306"/>
      <c r="L28" s="306"/>
      <c r="M28" s="306"/>
      <c r="N28" s="266"/>
      <c r="O28" s="266"/>
      <c r="P28" s="266"/>
      <c r="Q28" s="5"/>
      <c r="S28" s="42"/>
      <c r="T28" s="42"/>
      <c r="U28" s="42"/>
      <c r="V28" s="147" t="s">
        <v>530</v>
      </c>
      <c r="W28" s="288">
        <f t="shared" si="1"/>
        <v>9.8382944428808253E-2</v>
      </c>
      <c r="X28" s="288">
        <v>1</v>
      </c>
      <c r="Y28" s="42"/>
      <c r="Z28" s="42"/>
      <c r="AA28" s="42"/>
    </row>
    <row r="29" spans="2:27" ht="12.6" thickTop="1">
      <c r="B29" s="5" t="s">
        <v>588</v>
      </c>
      <c r="C29" s="365">
        <f>'EMEA INCUMB'!C29+'EMEA CELLULAR'!C29</f>
        <v>2533.904442107143</v>
      </c>
      <c r="D29" s="228">
        <f>'EMEA INCUMB'!D29+'EMEA CELLULAR'!D29</f>
        <v>2914.3854979382468</v>
      </c>
      <c r="E29" s="228">
        <f>'EMEA INCUMB'!E29+'EMEA CELLULAR'!E29</f>
        <v>2274.8657940911098</v>
      </c>
      <c r="F29" s="228">
        <f>'EMEA INCUMB'!F29+'EMEA CELLULAR'!F29</f>
        <v>3123.6408447697108</v>
      </c>
      <c r="G29" s="228">
        <f>'EMEA INCUMB'!G29+'EMEA CELLULAR'!G29</f>
        <v>3494.9487290218899</v>
      </c>
      <c r="H29" s="279">
        <f t="shared" si="0"/>
        <v>6.2424157782066558E-2</v>
      </c>
      <c r="I29" s="254"/>
      <c r="J29" s="249"/>
      <c r="K29" s="249"/>
      <c r="L29" s="249"/>
      <c r="M29" s="249"/>
      <c r="N29" s="249"/>
      <c r="O29" s="251"/>
      <c r="Q29" s="5"/>
      <c r="S29" s="42"/>
      <c r="T29" s="42"/>
      <c r="U29" s="42"/>
      <c r="V29" s="147" t="s">
        <v>593</v>
      </c>
      <c r="W29" s="288">
        <f t="shared" si="1"/>
        <v>9.112020209651002E-2</v>
      </c>
      <c r="X29" s="288">
        <v>1</v>
      </c>
      <c r="Y29" s="42"/>
      <c r="Z29" s="42"/>
      <c r="AA29" s="42"/>
    </row>
    <row r="30" spans="2:27">
      <c r="B30" s="5" t="s">
        <v>589</v>
      </c>
      <c r="C30" s="365">
        <f>'EMEA INCUMB'!C30+'EMEA CELLULAR'!C30</f>
        <v>4390.4540745215245</v>
      </c>
      <c r="D30" s="228">
        <f>'EMEA INCUMB'!D30+'EMEA CELLULAR'!D30</f>
        <v>3519.5018734860796</v>
      </c>
      <c r="E30" s="228">
        <f>'EMEA INCUMB'!E30+'EMEA CELLULAR'!E30</f>
        <v>3635.4036611637239</v>
      </c>
      <c r="F30" s="228">
        <f>'EMEA INCUMB'!F30+'EMEA CELLULAR'!F30</f>
        <v>4629.4435802353528</v>
      </c>
      <c r="G30" s="228">
        <f>'EMEA INCUMB'!G30+'EMEA CELLULAR'!G30</f>
        <v>5222.4323498087288</v>
      </c>
      <c r="H30" s="279">
        <f t="shared" si="0"/>
        <v>0.1405925766795979</v>
      </c>
      <c r="I30" s="254"/>
      <c r="J30" s="248"/>
      <c r="K30" s="248"/>
      <c r="L30" s="248"/>
      <c r="M30" s="248"/>
      <c r="N30" s="248"/>
      <c r="O30" s="5"/>
      <c r="Q30" s="5"/>
      <c r="S30" s="42"/>
      <c r="T30" s="42"/>
      <c r="U30" s="42"/>
      <c r="V30" s="147" t="s">
        <v>475</v>
      </c>
      <c r="W30" s="288">
        <f t="shared" si="1"/>
        <v>2.3933777175937698</v>
      </c>
      <c r="X30" s="288">
        <v>1</v>
      </c>
      <c r="Y30" s="42"/>
      <c r="Z30" s="42"/>
      <c r="AA30" s="42"/>
    </row>
    <row r="31" spans="2:27">
      <c r="B31" s="5" t="s">
        <v>590</v>
      </c>
      <c r="C31" s="365">
        <f>'EMEA INCUMB'!C31+'EMEA CELLULAR'!C31</f>
        <v>1977.6047825716919</v>
      </c>
      <c r="D31" s="228">
        <f>'EMEA INCUMB'!D31+'EMEA CELLULAR'!D31</f>
        <v>1952.6527839684161</v>
      </c>
      <c r="E31" s="228">
        <f>'EMEA INCUMB'!E31+'EMEA CELLULAR'!E31</f>
        <v>2190.3979101130799</v>
      </c>
      <c r="F31" s="228">
        <f>'EMEA INCUMB'!F31+'EMEA CELLULAR'!F31</f>
        <v>2554.7651932602948</v>
      </c>
      <c r="G31" s="228">
        <f>'EMEA INCUMB'!G31+'EMEA CELLULAR'!G31</f>
        <v>2785.5911566653531</v>
      </c>
      <c r="H31" s="279">
        <f t="shared" si="0"/>
        <v>0.12572104032812148</v>
      </c>
      <c r="I31" s="254"/>
      <c r="J31" s="252"/>
      <c r="K31" s="252"/>
      <c r="L31" s="252"/>
      <c r="M31" s="252"/>
      <c r="N31" s="252"/>
      <c r="O31" s="5"/>
      <c r="Q31" s="5"/>
      <c r="S31" s="42"/>
      <c r="T31" s="42"/>
      <c r="U31" s="42"/>
      <c r="V31" s="147" t="s">
        <v>533</v>
      </c>
      <c r="W31" s="288">
        <f t="shared" si="1"/>
        <v>0.11864096829985585</v>
      </c>
      <c r="X31" s="288">
        <v>1</v>
      </c>
      <c r="Y31" s="42"/>
      <c r="Z31" s="42"/>
      <c r="AA31" s="42"/>
    </row>
    <row r="32" spans="2:27">
      <c r="B32" s="5" t="s">
        <v>606</v>
      </c>
      <c r="C32" s="365">
        <f>'EMEA INCUMB'!C32+'EMEA CELLULAR'!C32</f>
        <v>419.25593216248456</v>
      </c>
      <c r="D32" s="228">
        <f>'EMEA INCUMB'!D32+'EMEA CELLULAR'!D32</f>
        <v>99.812833215786924</v>
      </c>
      <c r="E32" s="228">
        <f>'EMEA INCUMB'!E32+'EMEA CELLULAR'!E32</f>
        <v>-482.0517093601328</v>
      </c>
      <c r="F32" s="228">
        <f>'EMEA INCUMB'!F32+'EMEA CELLULAR'!F32</f>
        <v>511.92130249841176</v>
      </c>
      <c r="G32" s="228">
        <f>'EMEA INCUMB'!G32+'EMEA CELLULAR'!G32</f>
        <v>-32.380867874767212</v>
      </c>
      <c r="H32" s="279">
        <f t="shared" si="0"/>
        <v>-1.6871222846500684</v>
      </c>
      <c r="I32" s="5"/>
      <c r="J32" s="254"/>
      <c r="K32" s="254"/>
      <c r="L32" s="254"/>
      <c r="M32" s="254"/>
      <c r="N32" s="254"/>
      <c r="O32" s="251"/>
      <c r="Q32" s="5"/>
      <c r="S32" s="42"/>
      <c r="T32" s="42"/>
      <c r="U32" s="42"/>
      <c r="V32" s="147" t="s">
        <v>580</v>
      </c>
      <c r="W32" s="288">
        <f>M17/E45</f>
        <v>0.13603260656877655</v>
      </c>
      <c r="X32" s="288">
        <v>1</v>
      </c>
      <c r="Y32" s="42"/>
      <c r="Z32" s="42"/>
      <c r="AA32" s="42"/>
    </row>
    <row r="33" spans="2:42">
      <c r="B33" s="5" t="s">
        <v>5</v>
      </c>
      <c r="C33" s="365">
        <f>'EMEA INCUMB'!C33+'EMEA CELLULAR'!C33</f>
        <v>-2693.511593789553</v>
      </c>
      <c r="D33" s="228">
        <f>'EMEA INCUMB'!D33+'EMEA CELLULAR'!D33</f>
        <v>-5281.7754744938929</v>
      </c>
      <c r="E33" s="228">
        <f>'EMEA INCUMB'!E33+'EMEA CELLULAR'!E33</f>
        <v>-3968.1029796717389</v>
      </c>
      <c r="F33" s="228">
        <f>'EMEA INCUMB'!F33+'EMEA CELLULAR'!F33</f>
        <v>-3034.6988819586986</v>
      </c>
      <c r="G33" s="228">
        <f>'EMEA INCUMB'!G33+'EMEA CELLULAR'!G33</f>
        <v>-3147.7961831711973</v>
      </c>
      <c r="H33" s="279">
        <f t="shared" si="0"/>
        <v>-0.15845846412056253</v>
      </c>
      <c r="I33" s="49"/>
      <c r="J33" s="254"/>
      <c r="K33" s="254"/>
      <c r="L33" s="254"/>
      <c r="M33" s="254"/>
      <c r="N33" s="254"/>
      <c r="O33" s="251"/>
      <c r="Q33" s="5"/>
      <c r="S33" s="42"/>
      <c r="T33" s="42"/>
      <c r="U33" s="42"/>
      <c r="V33" s="147" t="s">
        <v>581</v>
      </c>
      <c r="W33" s="288">
        <f>M19/E47</f>
        <v>2.3933777175937694</v>
      </c>
      <c r="X33" s="288">
        <v>1</v>
      </c>
      <c r="Y33" s="288"/>
      <c r="Z33" s="288"/>
      <c r="AA33" s="42"/>
      <c r="AC33" s="10"/>
      <c r="AD33" s="10"/>
      <c r="AE33" s="10"/>
      <c r="AF33" s="10"/>
      <c r="AH33" s="10"/>
      <c r="AI33" s="10"/>
      <c r="AJ33" s="10"/>
      <c r="AK33" s="10"/>
      <c r="AM33" s="10"/>
      <c r="AN33" s="10"/>
      <c r="AO33" s="10"/>
      <c r="AP33" s="10"/>
    </row>
    <row r="34" spans="2:42">
      <c r="H34" s="277"/>
      <c r="I34" s="254"/>
      <c r="J34" s="254"/>
      <c r="K34" s="254"/>
      <c r="L34" s="254"/>
      <c r="M34" s="254"/>
      <c r="N34" s="254"/>
      <c r="O34" s="251"/>
      <c r="Q34" s="5"/>
      <c r="S34" s="42"/>
      <c r="T34" s="42"/>
      <c r="U34" s="42"/>
      <c r="V34" s="42"/>
      <c r="W34" s="42"/>
      <c r="X34" s="42"/>
      <c r="Y34" s="288"/>
      <c r="Z34" s="288"/>
      <c r="AA34" s="42"/>
      <c r="AC34" s="10"/>
      <c r="AD34" s="10"/>
      <c r="AE34" s="10"/>
      <c r="AF34" s="10"/>
      <c r="AH34" s="10"/>
      <c r="AI34" s="10"/>
      <c r="AJ34" s="10"/>
      <c r="AK34" s="10"/>
      <c r="AM34" s="10"/>
      <c r="AN34" s="10"/>
      <c r="AO34" s="10"/>
      <c r="AP34" s="10"/>
    </row>
    <row r="35" spans="2:42" ht="12.6" thickBot="1">
      <c r="B35" s="306" t="s">
        <v>27</v>
      </c>
      <c r="C35" s="265"/>
      <c r="D35" s="265" t="str">
        <f>D5</f>
        <v>2023E</v>
      </c>
      <c r="E35" s="265" t="str">
        <f>E5</f>
        <v>2024E</v>
      </c>
      <c r="F35" s="265" t="str">
        <f>F5</f>
        <v>2025E</v>
      </c>
      <c r="G35" s="265" t="str">
        <f>G5</f>
        <v>2026E</v>
      </c>
      <c r="H35" s="265" t="str">
        <f>H5</f>
        <v>23E-26E</v>
      </c>
      <c r="I35" s="17"/>
      <c r="J35" s="5"/>
      <c r="K35" s="5"/>
      <c r="L35" s="5"/>
      <c r="M35" s="5"/>
      <c r="N35" s="5"/>
      <c r="O35" s="5"/>
      <c r="Q35" s="5"/>
      <c r="S35" s="42"/>
      <c r="T35" s="42"/>
      <c r="U35" s="42"/>
      <c r="V35" s="42"/>
      <c r="W35" s="42"/>
      <c r="X35" s="42"/>
      <c r="Y35" s="288"/>
      <c r="Z35" s="288"/>
      <c r="AA35" s="42"/>
      <c r="AC35" s="10"/>
      <c r="AD35" s="10"/>
      <c r="AE35" s="10"/>
      <c r="AF35" s="10"/>
      <c r="AH35" s="10"/>
      <c r="AI35" s="10"/>
      <c r="AJ35" s="10"/>
      <c r="AK35" s="10"/>
      <c r="AM35" s="10"/>
      <c r="AN35" s="10"/>
      <c r="AO35" s="10"/>
      <c r="AP35" s="10"/>
    </row>
    <row r="36" spans="2:42" ht="12.6" thickTop="1">
      <c r="B36" s="41"/>
      <c r="C36" s="249"/>
      <c r="D36" s="254"/>
      <c r="E36" s="254"/>
      <c r="F36" s="254"/>
      <c r="G36" s="254"/>
      <c r="H36" s="254"/>
      <c r="I36" s="5"/>
      <c r="J36" s="49"/>
      <c r="K36" s="49"/>
      <c r="L36" s="49"/>
      <c r="M36" s="49"/>
      <c r="N36" s="49"/>
      <c r="O36" s="49"/>
      <c r="Q36" s="5"/>
      <c r="R36" s="5"/>
      <c r="S36" s="42"/>
      <c r="T36" s="42"/>
      <c r="U36" s="42"/>
      <c r="V36" s="42"/>
      <c r="W36" s="42"/>
      <c r="X36" s="42"/>
      <c r="Y36" s="42"/>
      <c r="Z36" s="42"/>
      <c r="AA36" s="42"/>
      <c r="AC36" s="10"/>
      <c r="AD36" s="10"/>
      <c r="AE36" s="10"/>
      <c r="AF36" s="10"/>
      <c r="AH36" s="10"/>
      <c r="AI36" s="10"/>
      <c r="AJ36" s="10"/>
      <c r="AK36" s="10"/>
      <c r="AM36" s="10"/>
      <c r="AN36" s="10"/>
      <c r="AO36" s="10"/>
      <c r="AP36" s="10"/>
    </row>
    <row r="37" spans="2:42">
      <c r="B37" s="5" t="s">
        <v>273</v>
      </c>
      <c r="C37" s="247"/>
      <c r="D37" s="557">
        <f t="shared" ref="D37:G41" si="2">D$18/D23</f>
        <v>2.8566805721528863</v>
      </c>
      <c r="E37" s="557">
        <f t="shared" si="2"/>
        <v>2.8831710290777304</v>
      </c>
      <c r="F37" s="557">
        <f t="shared" si="2"/>
        <v>2.6292665728217446</v>
      </c>
      <c r="G37" s="557">
        <f t="shared" si="2"/>
        <v>2.4144234922587007</v>
      </c>
      <c r="H37" s="17">
        <f t="shared" ref="H37:H45" si="3">H23</f>
        <v>4.1153694472270574E-2</v>
      </c>
      <c r="I37" s="259"/>
      <c r="J37" s="259"/>
      <c r="K37" s="259"/>
      <c r="L37" s="259"/>
      <c r="M37" s="259"/>
      <c r="N37" s="259"/>
      <c r="O37" s="18"/>
      <c r="Q37" s="5"/>
      <c r="R37" s="5"/>
      <c r="S37" s="42"/>
      <c r="T37" s="42"/>
      <c r="U37" s="42"/>
      <c r="V37" s="42"/>
      <c r="W37" s="42"/>
      <c r="X37" s="42"/>
      <c r="Y37" s="42"/>
      <c r="Z37" s="42"/>
      <c r="AA37" s="42"/>
      <c r="AC37" s="10"/>
      <c r="AD37" s="10"/>
      <c r="AE37" s="10"/>
      <c r="AF37" s="10"/>
      <c r="AH37" s="10"/>
      <c r="AI37" s="10"/>
      <c r="AJ37" s="10"/>
      <c r="AK37" s="10"/>
      <c r="AM37" s="10"/>
      <c r="AN37" s="10"/>
      <c r="AO37" s="10"/>
      <c r="AP37" s="10"/>
    </row>
    <row r="38" spans="2:42">
      <c r="B38" s="5" t="s">
        <v>184</v>
      </c>
      <c r="C38" s="247"/>
      <c r="D38" s="557">
        <f t="shared" si="2"/>
        <v>6.9665232901604561</v>
      </c>
      <c r="E38" s="557">
        <f t="shared" si="2"/>
        <v>7.1420323704087929</v>
      </c>
      <c r="F38" s="557">
        <f t="shared" si="2"/>
        <v>6.4353495299374348</v>
      </c>
      <c r="G38" s="557">
        <f t="shared" si="2"/>
        <v>5.8850922250694264</v>
      </c>
      <c r="H38" s="17">
        <f t="shared" si="3"/>
        <v>4.1325188452830064E-2</v>
      </c>
      <c r="I38" s="17"/>
      <c r="J38" s="17"/>
      <c r="K38" s="17"/>
      <c r="L38" s="17"/>
      <c r="M38" s="17"/>
      <c r="N38" s="17"/>
      <c r="O38" s="5"/>
      <c r="Q38" s="5"/>
      <c r="R38" s="5"/>
      <c r="S38" s="42"/>
      <c r="T38" s="42"/>
      <c r="U38" s="42"/>
      <c r="V38" s="42"/>
      <c r="W38" s="42"/>
      <c r="X38" s="42"/>
      <c r="Y38" s="42"/>
      <c r="Z38" s="42"/>
      <c r="AA38" s="42"/>
    </row>
    <row r="39" spans="2:42">
      <c r="B39" s="5" t="s">
        <v>185</v>
      </c>
      <c r="C39" s="247"/>
      <c r="D39" s="557">
        <f t="shared" si="2"/>
        <v>13.51525404538649</v>
      </c>
      <c r="E39" s="557">
        <f t="shared" si="2"/>
        <v>13.719588091553831</v>
      </c>
      <c r="F39" s="557">
        <f t="shared" si="2"/>
        <v>11.740690047173304</v>
      </c>
      <c r="G39" s="557">
        <f t="shared" si="2"/>
        <v>10.359827817035917</v>
      </c>
      <c r="H39" s="17">
        <f t="shared" si="3"/>
        <v>7.5612875377866651E-2</v>
      </c>
      <c r="I39" s="5"/>
      <c r="J39" s="5"/>
      <c r="K39" s="5"/>
      <c r="L39" s="5"/>
      <c r="M39" s="5"/>
      <c r="N39" s="5"/>
      <c r="O39" s="5"/>
      <c r="Q39" s="5"/>
      <c r="R39" s="5"/>
      <c r="S39" s="42"/>
      <c r="T39" s="42"/>
      <c r="U39" s="42"/>
      <c r="V39" s="42"/>
      <c r="W39" s="288"/>
      <c r="X39" s="288"/>
      <c r="Y39" s="42"/>
      <c r="Z39" s="42"/>
      <c r="AA39" s="42"/>
    </row>
    <row r="40" spans="2:42">
      <c r="B40" s="5" t="s">
        <v>466</v>
      </c>
      <c r="C40" s="247"/>
      <c r="D40" s="557">
        <f t="shared" si="2"/>
        <v>20.016778269322003</v>
      </c>
      <c r="E40" s="557">
        <f t="shared" si="2"/>
        <v>20.219482618163937</v>
      </c>
      <c r="F40" s="557">
        <f t="shared" si="2"/>
        <v>17.434477996976877</v>
      </c>
      <c r="G40" s="557">
        <f t="shared" si="2"/>
        <v>15.470882641279308</v>
      </c>
      <c r="H40" s="17">
        <f t="shared" si="3"/>
        <v>7.2651050461786104E-2</v>
      </c>
      <c r="I40" s="247"/>
      <c r="J40" s="259"/>
      <c r="K40" s="259"/>
      <c r="L40" s="259"/>
      <c r="M40" s="259"/>
      <c r="N40" s="259"/>
      <c r="O40" s="18"/>
      <c r="Q40" s="5"/>
      <c r="R40" s="5"/>
      <c r="S40" s="42"/>
      <c r="T40" s="42"/>
      <c r="U40" s="42"/>
      <c r="V40" s="42"/>
      <c r="W40" s="288"/>
      <c r="X40" s="288"/>
      <c r="Y40" s="288"/>
      <c r="Z40" s="288"/>
      <c r="AA40" s="42"/>
    </row>
    <row r="41" spans="2:42">
      <c r="B41" s="5" t="s">
        <v>530</v>
      </c>
      <c r="C41" s="247"/>
      <c r="D41" s="557">
        <f t="shared" si="2"/>
        <v>2.7546189770034313</v>
      </c>
      <c r="E41" s="557">
        <f t="shared" si="2"/>
        <v>2.6651603508897779</v>
      </c>
      <c r="F41" s="557">
        <f t="shared" si="2"/>
        <v>2.5412987622617824</v>
      </c>
      <c r="G41" s="557">
        <f t="shared" si="2"/>
        <v>2.4118152160118882</v>
      </c>
      <c r="H41" s="17">
        <f t="shared" si="3"/>
        <v>2.8974474809809747E-2</v>
      </c>
      <c r="I41" s="248"/>
      <c r="J41" s="17"/>
      <c r="K41" s="17"/>
      <c r="L41" s="17"/>
      <c r="M41" s="17"/>
      <c r="N41" s="17"/>
      <c r="O41" s="5"/>
      <c r="Q41" s="5"/>
      <c r="R41" s="5"/>
      <c r="S41" s="42"/>
      <c r="T41" s="42"/>
      <c r="U41" s="42"/>
      <c r="V41" s="42"/>
      <c r="W41" s="288"/>
      <c r="X41" s="288"/>
      <c r="Y41" s="288"/>
      <c r="Z41" s="288"/>
      <c r="AA41" s="42"/>
    </row>
    <row r="42" spans="2:42">
      <c r="B42" s="5" t="s">
        <v>593</v>
      </c>
      <c r="C42" s="247"/>
      <c r="D42" s="557">
        <f>D18/D28</f>
        <v>3.8919716869406806</v>
      </c>
      <c r="E42" s="557">
        <f>E18/E28</f>
        <v>3.7865781603034989</v>
      </c>
      <c r="F42" s="557">
        <f>F18/F28</f>
        <v>3.6261998501473318</v>
      </c>
      <c r="G42" s="557">
        <f>G18/G28</f>
        <v>3.4441628772388109</v>
      </c>
      <c r="H42" s="17">
        <f t="shared" si="3"/>
        <v>2.5323151598348081E-2</v>
      </c>
      <c r="I42" s="247"/>
      <c r="J42" s="5"/>
      <c r="K42" s="5"/>
      <c r="L42" s="5"/>
      <c r="M42" s="5"/>
      <c r="N42" s="5"/>
      <c r="O42" s="5"/>
      <c r="Q42" s="5"/>
      <c r="R42" s="5"/>
      <c r="S42" s="42"/>
      <c r="T42" s="42"/>
      <c r="U42" s="42"/>
      <c r="V42" s="42"/>
      <c r="W42" s="288"/>
      <c r="X42" s="288"/>
      <c r="Y42" s="288"/>
      <c r="Z42" s="288"/>
      <c r="AA42" s="42"/>
    </row>
    <row r="43" spans="2:42">
      <c r="B43" s="5" t="s">
        <v>475</v>
      </c>
      <c r="C43" s="247"/>
      <c r="D43" s="557">
        <f>L26/D29</f>
        <v>29.67226857395579</v>
      </c>
      <c r="E43" s="557">
        <f>M26/E29</f>
        <v>38.013859739543875</v>
      </c>
      <c r="F43" s="557">
        <f>N26/F29</f>
        <v>27.684498161068507</v>
      </c>
      <c r="G43" s="557">
        <f>O26/G29</f>
        <v>24.743261182852081</v>
      </c>
      <c r="H43" s="17">
        <f t="shared" si="3"/>
        <v>6.2424157782066558E-2</v>
      </c>
      <c r="I43" s="247"/>
      <c r="J43" s="247"/>
      <c r="K43" s="247"/>
      <c r="L43" s="247"/>
      <c r="M43" s="247"/>
      <c r="N43" s="247"/>
      <c r="O43" s="18"/>
      <c r="Q43" s="5"/>
      <c r="R43" s="5"/>
      <c r="S43" s="42"/>
      <c r="T43" s="42"/>
      <c r="U43" s="42"/>
      <c r="V43" s="42"/>
      <c r="W43" s="325"/>
      <c r="X43" s="325"/>
      <c r="Y43" s="288"/>
      <c r="Z43" s="288"/>
      <c r="AA43" s="42"/>
    </row>
    <row r="44" spans="2:42">
      <c r="B44" s="5" t="s">
        <v>533</v>
      </c>
      <c r="C44" s="69"/>
      <c r="D44" s="557">
        <f>D11/D30</f>
        <v>26.213825000247358</v>
      </c>
      <c r="E44" s="557">
        <f>E11/E30</f>
        <v>25.345020478278418</v>
      </c>
      <c r="F44" s="557">
        <f>F11/F30</f>
        <v>19.902905963121967</v>
      </c>
      <c r="G44" s="557">
        <f>G11/G30</f>
        <v>17.643001204673816</v>
      </c>
      <c r="H44" s="17">
        <f t="shared" si="3"/>
        <v>0.1405925766795979</v>
      </c>
      <c r="I44" s="248"/>
      <c r="J44" s="248"/>
      <c r="K44" s="248"/>
      <c r="L44" s="248"/>
      <c r="M44" s="248"/>
      <c r="N44" s="248"/>
      <c r="O44" s="248"/>
      <c r="Q44" s="5"/>
      <c r="R44" s="5"/>
      <c r="S44" s="42"/>
      <c r="T44" s="42"/>
      <c r="U44" s="42"/>
      <c r="V44" s="42"/>
      <c r="W44" s="42"/>
      <c r="X44" s="42"/>
      <c r="Y44" s="325"/>
      <c r="Z44" s="325"/>
      <c r="AA44" s="42"/>
    </row>
    <row r="45" spans="2:42">
      <c r="B45" s="5" t="s">
        <v>580</v>
      </c>
      <c r="C45" s="247"/>
      <c r="D45" s="248">
        <f>D31/D11</f>
        <v>2.1164763913513625E-2</v>
      </c>
      <c r="E45" s="248">
        <f>E31/E11</f>
        <v>2.3772657298446607E-2</v>
      </c>
      <c r="F45" s="248">
        <f>F31/F11</f>
        <v>2.7727180133330809E-2</v>
      </c>
      <c r="G45" s="248">
        <f>G31/G11</f>
        <v>3.0232362638425939E-2</v>
      </c>
      <c r="H45" s="17">
        <f t="shared" si="3"/>
        <v>0.12572104032812148</v>
      </c>
      <c r="I45" s="247"/>
      <c r="J45" s="247"/>
      <c r="K45" s="247"/>
      <c r="L45" s="247"/>
      <c r="M45" s="247"/>
      <c r="N45" s="247"/>
      <c r="O45" s="248"/>
      <c r="Q45" s="5"/>
      <c r="R45" s="5"/>
      <c r="S45" s="42"/>
      <c r="T45" s="42"/>
      <c r="U45" s="42"/>
      <c r="V45" s="42"/>
      <c r="W45" s="42"/>
      <c r="X45" s="42"/>
      <c r="Y45" s="42"/>
      <c r="Z45" s="42"/>
      <c r="AA45" s="326"/>
      <c r="AB45" s="303"/>
    </row>
    <row r="46" spans="2:42">
      <c r="B46" s="5" t="s">
        <v>605</v>
      </c>
      <c r="C46" s="247"/>
      <c r="D46" s="248">
        <f>(D31+D32)/D11</f>
        <v>2.2246633187915671E-2</v>
      </c>
      <c r="E46" s="248">
        <f>(E31+E32)/E11</f>
        <v>1.8540890945018516E-2</v>
      </c>
      <c r="F46" s="248">
        <f>(F31+F32)/F11</f>
        <v>3.3283124846335443E-2</v>
      </c>
      <c r="G46" s="248">
        <f>(G31+G32)/G11</f>
        <v>2.9880929105980055E-2</v>
      </c>
      <c r="H46" s="279">
        <f>((G31+G32)/(D31+D32))^(1/3)-1</f>
        <v>0.10286197819529552</v>
      </c>
      <c r="I46" s="17"/>
      <c r="J46" s="247"/>
      <c r="K46" s="247"/>
      <c r="L46" s="247"/>
      <c r="M46" s="247"/>
      <c r="N46" s="247"/>
      <c r="O46" s="18"/>
      <c r="Q46" s="5"/>
      <c r="R46" s="5"/>
      <c r="S46" s="42"/>
      <c r="T46" s="42"/>
      <c r="U46" s="42"/>
      <c r="V46" s="42"/>
      <c r="W46" s="42"/>
      <c r="X46" s="42"/>
      <c r="Y46" s="42"/>
      <c r="Z46" s="42"/>
      <c r="AA46" s="326"/>
      <c r="AB46" s="303"/>
    </row>
    <row r="47" spans="2:42">
      <c r="B47" s="5" t="s">
        <v>581</v>
      </c>
      <c r="C47" s="5"/>
      <c r="D47" s="248">
        <f>1/D43</f>
        <v>3.370150137012877E-2</v>
      </c>
      <c r="E47" s="248">
        <f>1/E43</f>
        <v>2.6306194815564891E-2</v>
      </c>
      <c r="F47" s="248">
        <f>1/F43</f>
        <v>3.6121297708992105E-2</v>
      </c>
      <c r="G47" s="248">
        <f>1/G43</f>
        <v>4.0415044428057607E-2</v>
      </c>
      <c r="H47" s="17">
        <f>H29</f>
        <v>6.2424157782066558E-2</v>
      </c>
      <c r="I47" s="247"/>
      <c r="J47" s="248"/>
      <c r="K47" s="248"/>
      <c r="L47" s="248"/>
      <c r="M47" s="248"/>
      <c r="N47" s="248"/>
      <c r="O47" s="248"/>
      <c r="Q47" s="5"/>
      <c r="R47" s="5"/>
      <c r="S47" s="5"/>
      <c r="T47" s="5"/>
      <c r="U47" s="5"/>
      <c r="AA47" s="303"/>
      <c r="AB47" s="303"/>
    </row>
    <row r="48" spans="2:42">
      <c r="B48" s="5" t="s">
        <v>618</v>
      </c>
      <c r="C48" s="5"/>
      <c r="D48" s="305">
        <f>D31/D29</f>
        <v>0.67000497543986581</v>
      </c>
      <c r="E48" s="305">
        <f>E31/E29</f>
        <v>0.96286906937656169</v>
      </c>
      <c r="F48" s="305">
        <f>F31/F29</f>
        <v>0.81788058237810757</v>
      </c>
      <c r="G48" s="305">
        <f>G31/G29</f>
        <v>0.79703348250403072</v>
      </c>
      <c r="H48" s="17" t="s">
        <v>607</v>
      </c>
      <c r="I48" s="259"/>
      <c r="J48" s="247"/>
      <c r="K48" s="247"/>
      <c r="L48" s="247"/>
      <c r="M48" s="247"/>
      <c r="N48" s="247"/>
      <c r="O48" s="248"/>
      <c r="Q48" s="5"/>
      <c r="R48" s="5"/>
      <c r="S48" s="5"/>
      <c r="T48" s="5"/>
      <c r="U48" s="5"/>
      <c r="AA48" s="303"/>
      <c r="AB48" s="303"/>
    </row>
    <row r="49" spans="2:28">
      <c r="B49" s="41"/>
      <c r="C49" s="17"/>
      <c r="D49" s="17"/>
      <c r="E49" s="17"/>
      <c r="F49" s="17"/>
      <c r="G49" s="17"/>
      <c r="H49" s="17"/>
      <c r="I49" s="17"/>
      <c r="J49" s="17"/>
      <c r="K49" s="17"/>
      <c r="L49" s="17"/>
      <c r="M49" s="17"/>
      <c r="N49" s="17"/>
      <c r="O49" s="248"/>
      <c r="Q49" s="5"/>
      <c r="R49" s="5"/>
      <c r="S49" s="5"/>
      <c r="T49" s="5"/>
      <c r="U49" s="5"/>
      <c r="W49" s="10"/>
      <c r="X49" s="10"/>
      <c r="AA49" s="303"/>
      <c r="AB49" s="303"/>
    </row>
    <row r="50" spans="2:28">
      <c r="B50" s="5"/>
      <c r="C50" s="257"/>
      <c r="D50" s="257"/>
      <c r="E50" s="257"/>
      <c r="F50" s="5"/>
      <c r="G50" s="41"/>
      <c r="H50" s="249"/>
      <c r="I50" s="259"/>
      <c r="J50" s="249"/>
      <c r="K50" s="249"/>
      <c r="L50" s="249"/>
      <c r="M50" s="249"/>
      <c r="N50" s="249"/>
      <c r="O50" s="250"/>
      <c r="Q50" s="5"/>
      <c r="R50" s="5"/>
      <c r="S50" s="5"/>
      <c r="T50" s="5"/>
      <c r="U50" s="5"/>
      <c r="W50" s="10"/>
      <c r="X50" s="10"/>
      <c r="Y50" s="10"/>
      <c r="Z50" s="10"/>
    </row>
    <row r="51" spans="2:28">
      <c r="B51" s="41"/>
      <c r="C51" s="249"/>
      <c r="D51" s="254"/>
      <c r="E51" s="254"/>
      <c r="F51" s="254"/>
      <c r="G51" s="254"/>
      <c r="H51" s="254"/>
      <c r="I51" s="254"/>
      <c r="J51" s="17"/>
      <c r="K51" s="17"/>
      <c r="L51" s="17"/>
      <c r="M51" s="17"/>
      <c r="N51" s="17"/>
      <c r="O51" s="248"/>
      <c r="Q51" s="5"/>
      <c r="R51" s="5"/>
      <c r="S51" s="5"/>
      <c r="T51" s="5"/>
      <c r="U51" s="5"/>
      <c r="Y51" s="10"/>
      <c r="Z51" s="10"/>
    </row>
    <row r="52" spans="2:28">
      <c r="B52" s="5"/>
      <c r="C52" s="257"/>
      <c r="D52" s="17"/>
      <c r="E52" s="17"/>
      <c r="F52" s="17"/>
      <c r="G52" s="17"/>
      <c r="H52" s="17"/>
      <c r="I52" s="17"/>
      <c r="J52" s="259"/>
      <c r="K52" s="259"/>
      <c r="L52" s="259"/>
      <c r="M52" s="259"/>
      <c r="N52" s="259"/>
      <c r="O52" s="18"/>
      <c r="Q52" s="5"/>
      <c r="R52" s="5"/>
      <c r="S52" s="5"/>
      <c r="T52" s="5"/>
      <c r="U52" s="5"/>
    </row>
    <row r="53" spans="2:28">
      <c r="B53" s="5"/>
      <c r="C53" s="257"/>
      <c r="D53" s="257"/>
      <c r="E53" s="257"/>
      <c r="F53" s="5"/>
      <c r="G53" s="5"/>
      <c r="H53" s="259"/>
      <c r="I53" s="259"/>
      <c r="J53" s="254"/>
      <c r="K53" s="254"/>
      <c r="L53" s="254"/>
      <c r="M53" s="254"/>
      <c r="N53" s="254"/>
      <c r="O53" s="251"/>
      <c r="Q53" s="5"/>
      <c r="R53" s="5"/>
      <c r="S53" s="5"/>
      <c r="T53" s="5"/>
      <c r="U53" s="5"/>
    </row>
    <row r="54" spans="2:28">
      <c r="B54" s="41"/>
      <c r="C54" s="249"/>
      <c r="D54" s="254"/>
      <c r="E54" s="254"/>
      <c r="F54" s="254"/>
      <c r="G54" s="254"/>
      <c r="H54" s="254"/>
      <c r="I54" s="249"/>
      <c r="J54" s="17"/>
      <c r="K54" s="17"/>
      <c r="L54" s="17"/>
      <c r="M54" s="17"/>
      <c r="N54" s="17"/>
      <c r="O54" s="18"/>
      <c r="Q54" s="5"/>
      <c r="R54" s="5"/>
      <c r="S54" s="5"/>
      <c r="T54" s="5"/>
      <c r="U54" s="5"/>
    </row>
    <row r="55" spans="2:28">
      <c r="B55" s="5"/>
      <c r="C55" s="257"/>
      <c r="D55" s="17"/>
      <c r="E55" s="17"/>
      <c r="F55" s="17"/>
      <c r="G55" s="17"/>
      <c r="H55" s="17"/>
      <c r="I55" s="248"/>
      <c r="J55" s="259"/>
      <c r="K55" s="259"/>
      <c r="L55" s="259"/>
      <c r="M55" s="259"/>
      <c r="N55" s="259"/>
      <c r="O55" s="18"/>
      <c r="Q55" s="5"/>
      <c r="R55" s="5"/>
      <c r="S55" s="5"/>
      <c r="T55" s="5"/>
      <c r="U55" s="5"/>
    </row>
    <row r="56" spans="2:28">
      <c r="B56" s="5"/>
      <c r="C56" s="248"/>
      <c r="D56" s="248"/>
      <c r="E56" s="248"/>
      <c r="F56" s="5"/>
      <c r="G56" s="5"/>
      <c r="H56" s="259"/>
      <c r="I56" s="5"/>
      <c r="J56" s="249"/>
      <c r="K56" s="249"/>
      <c r="L56" s="249"/>
      <c r="M56" s="249"/>
      <c r="N56" s="249"/>
      <c r="O56" s="251"/>
      <c r="Q56" s="5"/>
      <c r="R56" s="5"/>
      <c r="S56" s="5"/>
      <c r="T56" s="5"/>
      <c r="U56" s="5"/>
    </row>
    <row r="57" spans="2:28">
      <c r="B57" s="41"/>
      <c r="C57" s="249"/>
      <c r="D57" s="249"/>
      <c r="E57" s="249"/>
      <c r="F57" s="249"/>
      <c r="G57" s="249"/>
      <c r="H57" s="249"/>
      <c r="I57" s="17"/>
      <c r="J57" s="248"/>
      <c r="K57" s="248"/>
      <c r="L57" s="248"/>
      <c r="M57" s="248"/>
      <c r="N57" s="248"/>
      <c r="O57" s="18"/>
      <c r="Q57" s="5"/>
      <c r="R57" s="5"/>
      <c r="S57" s="5"/>
      <c r="T57" s="5"/>
      <c r="U57" s="5"/>
    </row>
    <row r="58" spans="2:28">
      <c r="B58" s="5"/>
      <c r="C58" s="5"/>
      <c r="D58" s="248"/>
      <c r="E58" s="248"/>
      <c r="F58" s="248"/>
      <c r="G58" s="248"/>
      <c r="H58" s="248"/>
      <c r="I58" s="5"/>
      <c r="J58" s="5"/>
      <c r="K58" s="5"/>
      <c r="L58" s="5"/>
      <c r="M58" s="5"/>
      <c r="N58" s="5"/>
      <c r="O58" s="5"/>
      <c r="Q58" s="5"/>
      <c r="R58" s="5"/>
      <c r="S58" s="5"/>
      <c r="T58" s="5"/>
      <c r="U58" s="5"/>
    </row>
    <row r="59" spans="2:28">
      <c r="B59" s="5"/>
      <c r="C59" s="5"/>
      <c r="D59" s="5"/>
      <c r="E59" s="5"/>
      <c r="F59" s="5"/>
      <c r="G59" s="5"/>
      <c r="H59" s="5"/>
      <c r="I59" s="249"/>
      <c r="J59" s="17"/>
      <c r="K59" s="17"/>
      <c r="L59" s="17"/>
      <c r="M59" s="17"/>
      <c r="N59" s="17"/>
      <c r="O59" s="251"/>
      <c r="Q59" s="5"/>
      <c r="R59" s="5"/>
      <c r="S59" s="5"/>
      <c r="T59" s="5"/>
      <c r="U59" s="5"/>
    </row>
    <row r="60" spans="2:28">
      <c r="B60" s="41"/>
      <c r="C60" s="17"/>
      <c r="D60" s="17"/>
      <c r="E60" s="17"/>
      <c r="F60" s="17"/>
      <c r="G60" s="17"/>
      <c r="H60" s="17"/>
      <c r="I60" s="5"/>
      <c r="J60" s="5"/>
      <c r="K60" s="5"/>
      <c r="L60" s="5"/>
      <c r="M60" s="5"/>
      <c r="N60" s="5"/>
      <c r="O60" s="5"/>
      <c r="Q60" s="41"/>
      <c r="R60" s="5"/>
      <c r="S60" s="5"/>
      <c r="T60" s="5"/>
      <c r="U60" s="5"/>
    </row>
    <row r="61" spans="2:28">
      <c r="B61" s="5"/>
      <c r="C61" s="5"/>
      <c r="D61" s="5"/>
      <c r="E61" s="5"/>
      <c r="F61" s="5"/>
      <c r="G61" s="5"/>
      <c r="H61" s="5"/>
      <c r="I61" s="5"/>
      <c r="J61" s="249"/>
      <c r="K61" s="249"/>
      <c r="L61" s="249"/>
      <c r="M61" s="249"/>
      <c r="N61" s="249"/>
      <c r="O61" s="251"/>
      <c r="Q61" s="5"/>
      <c r="R61" s="5"/>
      <c r="S61" s="5"/>
      <c r="T61" s="5"/>
      <c r="U61" s="5"/>
    </row>
    <row r="62" spans="2:28">
      <c r="B62" s="41"/>
      <c r="C62" s="249"/>
      <c r="D62" s="249"/>
      <c r="E62" s="249"/>
      <c r="F62" s="249"/>
      <c r="G62" s="249"/>
      <c r="H62" s="249"/>
      <c r="I62" s="254"/>
      <c r="J62" s="5"/>
      <c r="K62" s="5"/>
      <c r="L62" s="5"/>
      <c r="M62" s="5"/>
      <c r="N62" s="5"/>
      <c r="O62" s="5"/>
      <c r="Q62" s="5"/>
      <c r="R62" s="5"/>
      <c r="S62" s="5"/>
      <c r="T62" s="5"/>
      <c r="U62" s="5"/>
    </row>
    <row r="63" spans="2:28">
      <c r="B63" s="5"/>
      <c r="C63" s="5"/>
      <c r="D63" s="5"/>
      <c r="E63" s="5"/>
      <c r="F63" s="5"/>
      <c r="G63" s="5"/>
      <c r="H63" s="5"/>
      <c r="I63" s="17"/>
      <c r="J63" s="5"/>
      <c r="K63" s="5"/>
      <c r="L63" s="5"/>
      <c r="M63" s="5"/>
      <c r="N63" s="5"/>
      <c r="O63" s="5"/>
      <c r="Q63" s="5"/>
      <c r="R63" s="5"/>
      <c r="S63" s="5"/>
      <c r="T63" s="5"/>
      <c r="U63" s="5"/>
    </row>
    <row r="64" spans="2:28">
      <c r="B64" s="5"/>
      <c r="C64" s="5"/>
      <c r="D64" s="5"/>
      <c r="E64" s="5"/>
      <c r="F64" s="5"/>
      <c r="G64" s="5"/>
      <c r="H64" s="5"/>
      <c r="I64" s="254"/>
      <c r="J64" s="254"/>
      <c r="K64" s="254"/>
      <c r="L64" s="254"/>
      <c r="M64" s="254"/>
      <c r="N64" s="254"/>
      <c r="O64" s="251"/>
      <c r="Q64" s="5"/>
      <c r="R64" s="5"/>
      <c r="S64" s="5"/>
      <c r="T64" s="5"/>
      <c r="U64" s="5"/>
    </row>
    <row r="65" spans="2:26">
      <c r="B65" s="41"/>
      <c r="C65" s="249"/>
      <c r="D65" s="254"/>
      <c r="E65" s="254"/>
      <c r="F65" s="254"/>
      <c r="G65" s="254"/>
      <c r="H65" s="254"/>
      <c r="I65" s="248"/>
      <c r="J65" s="17"/>
      <c r="K65" s="17"/>
      <c r="L65" s="17"/>
      <c r="M65" s="17"/>
      <c r="N65" s="17"/>
      <c r="O65" s="5"/>
      <c r="Q65" s="5"/>
      <c r="R65" s="5"/>
      <c r="S65" s="5"/>
      <c r="T65" s="5"/>
      <c r="U65" s="5"/>
    </row>
    <row r="66" spans="2:26">
      <c r="B66" s="5"/>
      <c r="C66" s="5"/>
      <c r="D66" s="17"/>
      <c r="E66" s="17"/>
      <c r="F66" s="17"/>
      <c r="G66" s="17"/>
      <c r="H66" s="17"/>
      <c r="I66" s="5"/>
      <c r="J66" s="254"/>
      <c r="K66" s="254"/>
      <c r="L66" s="254"/>
      <c r="M66" s="254"/>
      <c r="N66" s="254"/>
      <c r="O66" s="251"/>
      <c r="Q66" s="41"/>
      <c r="R66" s="5"/>
      <c r="S66" s="5"/>
      <c r="T66" s="5"/>
      <c r="U66" s="5"/>
    </row>
    <row r="67" spans="2:26">
      <c r="B67" s="41"/>
      <c r="C67" s="249"/>
      <c r="D67" s="254"/>
      <c r="E67" s="254"/>
      <c r="F67" s="254"/>
      <c r="G67" s="254"/>
      <c r="H67" s="254"/>
      <c r="I67" s="245"/>
      <c r="J67" s="248"/>
      <c r="K67" s="248"/>
      <c r="L67" s="248"/>
      <c r="M67" s="248"/>
      <c r="N67" s="248"/>
      <c r="O67" s="5"/>
      <c r="Q67" s="5"/>
      <c r="R67" s="5"/>
      <c r="S67" s="5"/>
      <c r="T67" s="5"/>
      <c r="U67" s="5"/>
    </row>
    <row r="68" spans="2:26">
      <c r="B68" s="5"/>
      <c r="C68" s="5"/>
      <c r="D68" s="248"/>
      <c r="E68" s="248"/>
      <c r="F68" s="248"/>
      <c r="G68" s="248"/>
      <c r="H68" s="248"/>
      <c r="I68" s="248"/>
      <c r="J68" s="5"/>
      <c r="K68" s="5"/>
      <c r="L68" s="5"/>
      <c r="M68" s="5"/>
      <c r="N68" s="5"/>
      <c r="O68" s="5"/>
      <c r="Q68" s="5"/>
      <c r="R68" s="5"/>
      <c r="S68" s="5"/>
      <c r="T68" s="5"/>
      <c r="U68" s="5"/>
    </row>
    <row r="69" spans="2:26">
      <c r="B69" s="41"/>
      <c r="C69" s="5"/>
      <c r="D69" s="5"/>
      <c r="E69" s="5"/>
      <c r="F69" s="5"/>
      <c r="G69" s="5"/>
      <c r="H69" s="5"/>
      <c r="I69" s="5"/>
      <c r="J69" s="245"/>
      <c r="K69" s="245"/>
      <c r="L69" s="245"/>
      <c r="M69" s="245"/>
      <c r="N69" s="245"/>
      <c r="O69" s="251"/>
      <c r="Q69" s="5"/>
      <c r="R69" s="5"/>
      <c r="S69" s="5"/>
      <c r="T69" s="5"/>
      <c r="U69" s="5"/>
      <c r="W69" s="76"/>
      <c r="X69" s="76"/>
    </row>
    <row r="70" spans="2:26">
      <c r="B70" s="41"/>
      <c r="C70" s="245"/>
      <c r="D70" s="245"/>
      <c r="E70" s="245"/>
      <c r="F70" s="245"/>
      <c r="G70" s="245"/>
      <c r="H70" s="245"/>
      <c r="I70" s="245"/>
      <c r="J70" s="248"/>
      <c r="K70" s="248"/>
      <c r="L70" s="248"/>
      <c r="M70" s="248"/>
      <c r="N70" s="248"/>
      <c r="O70" s="5"/>
      <c r="Q70" s="5"/>
      <c r="R70" s="5"/>
      <c r="S70" s="5"/>
      <c r="T70" s="5"/>
      <c r="U70" s="5"/>
      <c r="W70" s="76"/>
      <c r="X70" s="76"/>
      <c r="Y70" s="76"/>
      <c r="Z70" s="76"/>
    </row>
    <row r="71" spans="2:26">
      <c r="B71" s="5"/>
      <c r="C71" s="5"/>
      <c r="D71" s="248"/>
      <c r="E71" s="248"/>
      <c r="F71" s="248"/>
      <c r="G71" s="248"/>
      <c r="H71" s="248"/>
      <c r="I71" s="18"/>
      <c r="J71" s="5"/>
      <c r="K71" s="5"/>
      <c r="L71" s="5"/>
      <c r="M71" s="5"/>
      <c r="N71" s="5"/>
      <c r="O71" s="5"/>
      <c r="Q71" s="5"/>
      <c r="R71" s="5"/>
      <c r="S71" s="5"/>
      <c r="T71" s="5"/>
      <c r="U71" s="5"/>
      <c r="Y71" s="76"/>
      <c r="Z71" s="76"/>
    </row>
    <row r="72" spans="2:26">
      <c r="B72" s="41"/>
      <c r="C72" s="5"/>
      <c r="D72" s="5"/>
      <c r="E72" s="5"/>
      <c r="F72" s="5"/>
      <c r="G72" s="5"/>
      <c r="H72" s="5"/>
      <c r="I72" s="5"/>
      <c r="J72" s="245"/>
      <c r="K72" s="245"/>
      <c r="L72" s="245"/>
      <c r="M72" s="245"/>
      <c r="N72" s="245"/>
      <c r="O72" s="251"/>
      <c r="Q72" s="5"/>
      <c r="R72" s="5"/>
      <c r="S72" s="5"/>
      <c r="T72" s="5"/>
      <c r="U72" s="5"/>
    </row>
    <row r="73" spans="2:26">
      <c r="B73" s="41"/>
      <c r="C73" s="245"/>
      <c r="D73" s="245"/>
      <c r="E73" s="245"/>
      <c r="F73" s="245"/>
      <c r="G73" s="245"/>
      <c r="H73" s="245"/>
      <c r="I73" s="249"/>
      <c r="J73" s="18"/>
      <c r="K73" s="18"/>
      <c r="L73" s="18"/>
      <c r="M73" s="18"/>
      <c r="N73" s="18"/>
      <c r="O73" s="5"/>
      <c r="Q73" s="5"/>
      <c r="R73" s="5"/>
      <c r="S73" s="5"/>
      <c r="T73" s="5"/>
      <c r="U73" s="5"/>
    </row>
    <row r="74" spans="2:26">
      <c r="B74" s="5"/>
      <c r="C74" s="5"/>
      <c r="D74" s="18"/>
      <c r="E74" s="18"/>
      <c r="F74" s="18"/>
      <c r="G74" s="18"/>
      <c r="H74" s="18"/>
      <c r="I74" s="248"/>
      <c r="J74" s="5"/>
      <c r="K74" s="5"/>
      <c r="L74" s="5"/>
      <c r="M74" s="5"/>
      <c r="N74" s="5"/>
      <c r="O74" s="5"/>
      <c r="Q74" s="5"/>
      <c r="R74" s="5"/>
      <c r="S74" s="5"/>
      <c r="T74" s="5"/>
      <c r="U74" s="5"/>
    </row>
    <row r="75" spans="2:26">
      <c r="B75" s="41"/>
      <c r="C75" s="5"/>
      <c r="D75" s="5"/>
      <c r="E75" s="5"/>
      <c r="F75" s="5"/>
      <c r="G75" s="5"/>
      <c r="H75" s="5"/>
      <c r="I75" s="5"/>
      <c r="J75" s="249"/>
      <c r="K75" s="249"/>
      <c r="L75" s="249"/>
      <c r="M75" s="249"/>
      <c r="N75" s="249"/>
      <c r="O75" s="251"/>
      <c r="Q75" s="5"/>
      <c r="R75" s="5"/>
      <c r="S75" s="5"/>
      <c r="T75" s="5"/>
      <c r="U75" s="5"/>
    </row>
    <row r="76" spans="2:26">
      <c r="B76" s="41"/>
      <c r="C76" s="249"/>
      <c r="D76" s="249"/>
      <c r="E76" s="249"/>
      <c r="F76" s="249"/>
      <c r="G76" s="249"/>
      <c r="H76" s="249"/>
      <c r="I76" s="245"/>
      <c r="J76" s="248"/>
      <c r="K76" s="248"/>
      <c r="L76" s="248"/>
      <c r="M76" s="248"/>
      <c r="N76" s="248"/>
      <c r="O76" s="5"/>
      <c r="Q76" s="5"/>
      <c r="R76" s="5"/>
      <c r="S76" s="5"/>
      <c r="T76" s="5"/>
      <c r="U76" s="5"/>
    </row>
    <row r="77" spans="2:26">
      <c r="B77" s="5"/>
      <c r="C77" s="5"/>
      <c r="D77" s="248"/>
      <c r="E77" s="248"/>
      <c r="F77" s="248"/>
      <c r="G77" s="248"/>
      <c r="H77" s="248"/>
      <c r="I77" s="248"/>
      <c r="J77" s="5"/>
      <c r="K77" s="5"/>
      <c r="L77" s="5"/>
      <c r="M77" s="5"/>
      <c r="N77" s="5"/>
      <c r="O77" s="5"/>
      <c r="Q77" s="5"/>
      <c r="R77" s="5"/>
      <c r="S77" s="5"/>
      <c r="T77" s="5"/>
      <c r="U77" s="5"/>
    </row>
    <row r="78" spans="2:26">
      <c r="B78" s="41"/>
      <c r="C78" s="5"/>
      <c r="D78" s="5"/>
      <c r="E78" s="5"/>
      <c r="F78" s="5"/>
      <c r="G78" s="5"/>
      <c r="H78" s="5"/>
      <c r="I78" s="5"/>
      <c r="J78" s="245"/>
      <c r="K78" s="245"/>
      <c r="L78" s="245"/>
      <c r="M78" s="245"/>
      <c r="N78" s="245"/>
      <c r="O78" s="251"/>
      <c r="Q78" s="5"/>
      <c r="R78" s="5"/>
      <c r="S78" s="5"/>
      <c r="T78" s="5"/>
      <c r="U78" s="5"/>
    </row>
    <row r="79" spans="2:26">
      <c r="B79" s="41"/>
      <c r="C79" s="245"/>
      <c r="D79" s="245"/>
      <c r="E79" s="245"/>
      <c r="F79" s="245"/>
      <c r="G79" s="245"/>
      <c r="H79" s="245"/>
      <c r="I79" s="249"/>
      <c r="J79" s="248"/>
      <c r="K79" s="248"/>
      <c r="L79" s="248"/>
      <c r="M79" s="248"/>
      <c r="N79" s="248"/>
      <c r="O79" s="5"/>
      <c r="Q79" s="5"/>
      <c r="R79" s="5"/>
      <c r="S79" s="5"/>
      <c r="T79" s="5"/>
      <c r="U79" s="5"/>
    </row>
    <row r="80" spans="2:26">
      <c r="B80" s="5"/>
      <c r="C80" s="5"/>
      <c r="D80" s="248"/>
      <c r="E80" s="248"/>
      <c r="F80" s="248"/>
      <c r="G80" s="248"/>
      <c r="H80" s="248"/>
      <c r="I80" s="248"/>
      <c r="J80" s="5"/>
      <c r="K80" s="5"/>
      <c r="L80" s="5"/>
      <c r="M80" s="5"/>
      <c r="N80" s="5"/>
      <c r="O80" s="5"/>
      <c r="Q80" s="5"/>
      <c r="R80" s="5"/>
      <c r="S80" s="5"/>
      <c r="T80" s="5"/>
      <c r="U80" s="5"/>
    </row>
    <row r="81" spans="2:26">
      <c r="B81" s="41"/>
      <c r="C81" s="5"/>
      <c r="D81" s="5"/>
      <c r="E81" s="5"/>
      <c r="F81" s="5"/>
      <c r="G81" s="5"/>
      <c r="H81" s="5"/>
      <c r="I81" s="259"/>
      <c r="J81" s="249"/>
      <c r="K81" s="249"/>
      <c r="L81" s="249"/>
      <c r="M81" s="249"/>
      <c r="N81" s="249"/>
      <c r="O81" s="251"/>
      <c r="Q81" s="5"/>
      <c r="R81" s="5"/>
      <c r="S81" s="5"/>
      <c r="T81" s="5"/>
      <c r="U81" s="5"/>
    </row>
    <row r="82" spans="2:26">
      <c r="B82" s="41"/>
      <c r="C82" s="249"/>
      <c r="D82" s="249"/>
      <c r="E82" s="249"/>
      <c r="F82" s="249"/>
      <c r="G82" s="249"/>
      <c r="H82" s="249"/>
      <c r="I82" s="5"/>
      <c r="J82" s="248"/>
      <c r="K82" s="248"/>
      <c r="L82" s="248"/>
      <c r="M82" s="248"/>
      <c r="N82" s="248"/>
      <c r="O82" s="5"/>
      <c r="Q82" s="5"/>
      <c r="R82" s="5"/>
      <c r="S82" s="5"/>
      <c r="T82" s="5"/>
      <c r="U82" s="5"/>
    </row>
    <row r="83" spans="2:26">
      <c r="B83" s="5"/>
      <c r="C83" s="5"/>
      <c r="D83" s="248"/>
      <c r="E83" s="248"/>
      <c r="F83" s="248"/>
      <c r="G83" s="248"/>
      <c r="H83" s="248"/>
      <c r="I83" s="245"/>
      <c r="J83" s="259"/>
      <c r="K83" s="259"/>
      <c r="L83" s="259"/>
      <c r="M83" s="259"/>
      <c r="N83" s="259"/>
      <c r="O83" s="251"/>
      <c r="Q83" s="5"/>
      <c r="R83" s="5"/>
      <c r="S83" s="5"/>
      <c r="T83" s="5"/>
      <c r="U83" s="5"/>
    </row>
    <row r="84" spans="2:26">
      <c r="B84" s="5"/>
      <c r="C84" s="259"/>
      <c r="D84" s="259"/>
      <c r="E84" s="259"/>
      <c r="F84" s="259"/>
      <c r="G84" s="259"/>
      <c r="H84" s="259"/>
      <c r="I84" s="248"/>
      <c r="J84" s="5"/>
      <c r="K84" s="5"/>
      <c r="L84" s="5"/>
      <c r="M84" s="5"/>
      <c r="N84" s="5"/>
      <c r="O84" s="5"/>
      <c r="Q84" s="5"/>
      <c r="R84" s="5"/>
      <c r="S84" s="5"/>
      <c r="T84" s="5"/>
      <c r="U84" s="5"/>
    </row>
    <row r="85" spans="2:26">
      <c r="B85" s="41"/>
      <c r="C85" s="5"/>
      <c r="D85" s="5"/>
      <c r="E85" s="5"/>
      <c r="F85" s="5"/>
      <c r="G85" s="5"/>
      <c r="H85" s="5"/>
      <c r="I85" s="5"/>
      <c r="J85" s="245"/>
      <c r="K85" s="245"/>
      <c r="L85" s="245"/>
      <c r="M85" s="245"/>
      <c r="N85" s="245"/>
      <c r="O85" s="251"/>
      <c r="Q85" s="5"/>
      <c r="R85" s="5"/>
      <c r="S85" s="5"/>
      <c r="T85" s="5"/>
      <c r="U85" s="5"/>
    </row>
    <row r="86" spans="2:26">
      <c r="B86" s="41"/>
      <c r="C86" s="245"/>
      <c r="D86" s="245"/>
      <c r="E86" s="245"/>
      <c r="F86" s="245"/>
      <c r="G86" s="245"/>
      <c r="H86" s="245"/>
      <c r="I86" s="5"/>
      <c r="J86" s="248"/>
      <c r="K86" s="248"/>
      <c r="L86" s="248"/>
      <c r="M86" s="248"/>
      <c r="N86" s="248"/>
      <c r="O86" s="5"/>
      <c r="Q86" s="5"/>
      <c r="R86" s="5"/>
      <c r="S86" s="5"/>
      <c r="T86" s="5"/>
      <c r="U86" s="5"/>
    </row>
    <row r="87" spans="2:26">
      <c r="B87" s="5"/>
      <c r="C87" s="5"/>
      <c r="D87" s="248"/>
      <c r="E87" s="248"/>
      <c r="F87" s="248"/>
      <c r="G87" s="248"/>
      <c r="H87" s="248"/>
      <c r="I87" s="5"/>
      <c r="J87" s="5"/>
      <c r="K87" s="5"/>
      <c r="L87" s="5"/>
      <c r="M87" s="5"/>
      <c r="N87" s="5"/>
      <c r="O87" s="5"/>
      <c r="Q87" s="5"/>
      <c r="R87" s="5"/>
      <c r="S87" s="5"/>
      <c r="T87" s="5"/>
      <c r="U87" s="5"/>
    </row>
    <row r="88" spans="2:26">
      <c r="B88" s="41"/>
      <c r="C88" s="5"/>
      <c r="D88" s="5"/>
      <c r="E88" s="5"/>
      <c r="F88" s="5"/>
      <c r="G88" s="5"/>
      <c r="H88" s="5"/>
      <c r="I88" s="5"/>
      <c r="J88" s="5"/>
      <c r="K88" s="5"/>
      <c r="L88" s="5"/>
      <c r="M88" s="5"/>
      <c r="N88" s="5"/>
      <c r="O88" s="5"/>
      <c r="Q88" s="5"/>
      <c r="R88" s="5"/>
      <c r="S88" s="5"/>
      <c r="T88" s="5"/>
      <c r="U88" s="5"/>
    </row>
    <row r="89" spans="2:26">
      <c r="B89" s="41"/>
      <c r="C89" s="5"/>
      <c r="D89" s="5"/>
      <c r="E89" s="5"/>
      <c r="F89" s="5"/>
      <c r="G89" s="5"/>
      <c r="H89" s="5"/>
      <c r="I89" s="49"/>
      <c r="J89" s="5"/>
      <c r="K89" s="5"/>
      <c r="L89" s="5"/>
      <c r="M89" s="5"/>
      <c r="N89" s="5"/>
      <c r="O89" s="5"/>
      <c r="Q89" s="41"/>
      <c r="R89" s="5"/>
      <c r="S89" s="5"/>
      <c r="T89" s="5"/>
      <c r="U89" s="5"/>
    </row>
    <row r="90" spans="2:26">
      <c r="B90" s="41"/>
      <c r="C90" s="5"/>
      <c r="D90" s="5"/>
      <c r="E90" s="5"/>
      <c r="F90" s="5"/>
      <c r="G90" s="5"/>
      <c r="H90" s="5"/>
      <c r="I90" s="5"/>
      <c r="J90" s="5"/>
      <c r="K90" s="5"/>
      <c r="L90" s="5"/>
      <c r="M90" s="5"/>
      <c r="N90" s="5"/>
      <c r="O90" s="5"/>
      <c r="Q90" s="5"/>
      <c r="R90" s="5"/>
      <c r="S90" s="5"/>
      <c r="T90" s="5"/>
      <c r="U90" s="5"/>
    </row>
    <row r="91" spans="2:26">
      <c r="B91" s="5"/>
      <c r="C91" s="5"/>
      <c r="D91" s="5"/>
      <c r="E91" s="5"/>
      <c r="F91" s="5"/>
      <c r="G91" s="5"/>
      <c r="H91" s="5"/>
      <c r="I91" s="247"/>
      <c r="J91" s="49"/>
      <c r="K91" s="49"/>
      <c r="L91" s="49"/>
      <c r="M91" s="49"/>
      <c r="N91" s="49"/>
      <c r="O91" s="49"/>
      <c r="Q91" s="5"/>
      <c r="R91" s="5"/>
      <c r="S91" s="5"/>
      <c r="T91" s="5"/>
      <c r="U91" s="5"/>
      <c r="W91" s="21"/>
      <c r="X91" s="21"/>
    </row>
    <row r="92" spans="2:26">
      <c r="B92" s="41"/>
      <c r="C92" s="49"/>
      <c r="D92" s="49"/>
      <c r="E92" s="49"/>
      <c r="F92" s="49"/>
      <c r="G92" s="49"/>
      <c r="H92" s="49"/>
      <c r="I92" s="247"/>
      <c r="J92" s="5"/>
      <c r="K92" s="5"/>
      <c r="L92" s="5"/>
      <c r="M92" s="5"/>
      <c r="N92" s="5"/>
      <c r="O92" s="5"/>
      <c r="Q92" s="5"/>
      <c r="R92" s="5"/>
      <c r="S92" s="5"/>
      <c r="T92" s="5"/>
      <c r="U92" s="5"/>
      <c r="W92" s="21"/>
      <c r="X92" s="21"/>
      <c r="Y92" s="21"/>
      <c r="Z92" s="21"/>
    </row>
    <row r="93" spans="2:26">
      <c r="B93" s="5"/>
      <c r="C93" s="5"/>
      <c r="D93" s="5"/>
      <c r="E93" s="5"/>
      <c r="F93" s="5"/>
      <c r="G93" s="5"/>
      <c r="H93" s="5"/>
      <c r="I93" s="247"/>
      <c r="J93" s="247"/>
      <c r="K93" s="247"/>
      <c r="L93" s="247"/>
      <c r="M93" s="247"/>
      <c r="N93" s="247"/>
      <c r="O93" s="248"/>
      <c r="Q93" s="5"/>
      <c r="R93" s="5"/>
      <c r="S93" s="5"/>
      <c r="T93" s="5"/>
      <c r="U93" s="5"/>
      <c r="Y93" s="21"/>
      <c r="Z93" s="21"/>
    </row>
    <row r="94" spans="2:26">
      <c r="B94" s="5"/>
      <c r="C94" s="259"/>
      <c r="D94" s="247"/>
      <c r="E94" s="247"/>
      <c r="F94" s="247"/>
      <c r="G94" s="247"/>
      <c r="H94" s="247"/>
      <c r="I94" s="248"/>
      <c r="J94" s="247"/>
      <c r="K94" s="247"/>
      <c r="L94" s="247"/>
      <c r="M94" s="247"/>
      <c r="N94" s="247"/>
      <c r="O94" s="248"/>
      <c r="Q94" s="5"/>
      <c r="R94" s="5"/>
      <c r="S94" s="5"/>
      <c r="T94" s="5"/>
      <c r="U94" s="5"/>
    </row>
    <row r="95" spans="2:26">
      <c r="B95" s="5"/>
      <c r="C95" s="259"/>
      <c r="D95" s="247"/>
      <c r="E95" s="247"/>
      <c r="F95" s="247"/>
      <c r="G95" s="247"/>
      <c r="H95" s="247"/>
      <c r="I95" s="247"/>
      <c r="J95" s="247"/>
      <c r="K95" s="247"/>
      <c r="L95" s="247"/>
      <c r="M95" s="247"/>
      <c r="N95" s="247"/>
      <c r="O95" s="248"/>
      <c r="Q95" s="5"/>
      <c r="R95" s="5"/>
      <c r="S95" s="5"/>
      <c r="T95" s="5"/>
      <c r="U95" s="5"/>
    </row>
    <row r="96" spans="2:26">
      <c r="B96" s="5"/>
      <c r="C96" s="259"/>
      <c r="D96" s="247"/>
      <c r="E96" s="247"/>
      <c r="F96" s="247"/>
      <c r="G96" s="247"/>
      <c r="H96" s="247"/>
      <c r="I96" s="249"/>
      <c r="J96" s="248"/>
      <c r="K96" s="248"/>
      <c r="L96" s="248"/>
      <c r="M96" s="248"/>
      <c r="N96" s="248"/>
      <c r="O96" s="248"/>
      <c r="Q96" s="5"/>
      <c r="R96" s="5"/>
      <c r="S96" s="5"/>
      <c r="T96" s="5"/>
      <c r="U96" s="5"/>
    </row>
    <row r="97" spans="2:21">
      <c r="B97" s="5"/>
      <c r="C97" s="259"/>
      <c r="D97" s="248"/>
      <c r="E97" s="248"/>
      <c r="F97" s="248"/>
      <c r="G97" s="248"/>
      <c r="H97" s="248"/>
      <c r="I97" s="248"/>
      <c r="J97" s="247"/>
      <c r="K97" s="247"/>
      <c r="L97" s="247"/>
      <c r="M97" s="247"/>
      <c r="N97" s="247"/>
      <c r="O97" s="248"/>
      <c r="Q97" s="5"/>
      <c r="R97" s="5"/>
      <c r="S97" s="5"/>
      <c r="T97" s="5"/>
      <c r="U97" s="5"/>
    </row>
    <row r="98" spans="2:21">
      <c r="B98" s="5"/>
      <c r="C98" s="259"/>
      <c r="D98" s="247"/>
      <c r="E98" s="247"/>
      <c r="F98" s="247"/>
      <c r="G98" s="247"/>
      <c r="H98" s="247"/>
      <c r="I98" s="5"/>
      <c r="J98" s="249"/>
      <c r="K98" s="249"/>
      <c r="L98" s="249"/>
      <c r="M98" s="249"/>
      <c r="N98" s="249"/>
      <c r="O98" s="248"/>
      <c r="Q98" s="5"/>
      <c r="R98" s="5"/>
      <c r="S98" s="5"/>
      <c r="T98" s="5"/>
      <c r="U98" s="5"/>
    </row>
    <row r="99" spans="2:21">
      <c r="B99" s="41"/>
      <c r="C99" s="249"/>
      <c r="D99" s="249"/>
      <c r="E99" s="249"/>
      <c r="F99" s="249"/>
      <c r="G99" s="249"/>
      <c r="H99" s="249"/>
      <c r="I99" s="259"/>
      <c r="J99" s="248"/>
      <c r="K99" s="248"/>
      <c r="L99" s="248"/>
      <c r="M99" s="248"/>
      <c r="N99" s="248"/>
      <c r="O99" s="248"/>
      <c r="Q99" s="5"/>
      <c r="R99" s="5"/>
      <c r="S99" s="5"/>
      <c r="T99" s="5"/>
      <c r="U99" s="5"/>
    </row>
    <row r="100" spans="2:21" s="5" customFormat="1">
      <c r="B100" s="41"/>
      <c r="C100" s="257"/>
      <c r="D100" s="248"/>
      <c r="E100" s="248"/>
      <c r="F100" s="248"/>
      <c r="G100" s="248"/>
      <c r="H100" s="248"/>
      <c r="I100" s="259"/>
      <c r="O100" s="248"/>
      <c r="P100" s="39"/>
    </row>
    <row r="101" spans="2:21">
      <c r="B101" s="41"/>
      <c r="C101" s="5"/>
      <c r="D101" s="5"/>
      <c r="E101" s="5"/>
      <c r="F101" s="5"/>
      <c r="G101" s="5"/>
      <c r="H101" s="5"/>
      <c r="I101" s="247"/>
      <c r="J101" s="259"/>
      <c r="K101" s="259"/>
      <c r="L101" s="259"/>
      <c r="M101" s="259"/>
      <c r="N101" s="259"/>
      <c r="O101" s="5"/>
      <c r="Q101" s="5"/>
      <c r="R101" s="5"/>
      <c r="S101" s="5"/>
      <c r="T101" s="5"/>
      <c r="U101" s="5"/>
    </row>
    <row r="102" spans="2:21">
      <c r="B102" s="5"/>
      <c r="C102" s="259"/>
      <c r="D102" s="259"/>
      <c r="E102" s="259"/>
      <c r="F102" s="259"/>
      <c r="G102" s="259"/>
      <c r="H102" s="259"/>
      <c r="I102" s="5"/>
      <c r="J102" s="259"/>
      <c r="K102" s="259"/>
      <c r="L102" s="259"/>
      <c r="M102" s="259"/>
      <c r="N102" s="259"/>
      <c r="O102" s="5"/>
      <c r="P102" s="5"/>
      <c r="Q102" s="5"/>
      <c r="R102" s="5"/>
      <c r="S102" s="5"/>
      <c r="T102" s="5"/>
      <c r="U102" s="5"/>
    </row>
    <row r="103" spans="2:21">
      <c r="B103" s="5"/>
      <c r="C103" s="259"/>
      <c r="D103" s="259"/>
      <c r="E103" s="259"/>
      <c r="F103" s="259"/>
      <c r="G103" s="259"/>
      <c r="H103" s="259"/>
      <c r="I103" s="247"/>
      <c r="J103" s="247"/>
      <c r="K103" s="247"/>
      <c r="L103" s="247"/>
      <c r="M103" s="247"/>
      <c r="N103" s="247"/>
      <c r="O103" s="5"/>
      <c r="Q103" s="5"/>
      <c r="R103" s="5"/>
      <c r="S103" s="5"/>
      <c r="T103" s="5"/>
      <c r="U103" s="5"/>
    </row>
    <row r="104" spans="2:21" s="5" customFormat="1">
      <c r="C104" s="247"/>
      <c r="D104" s="247"/>
      <c r="E104" s="247"/>
      <c r="F104" s="247"/>
      <c r="G104" s="247"/>
      <c r="H104" s="247"/>
      <c r="P104" s="39"/>
    </row>
    <row r="105" spans="2:21" s="5" customFormat="1">
      <c r="I105" s="259"/>
      <c r="J105" s="247"/>
      <c r="K105" s="247"/>
      <c r="L105" s="247"/>
      <c r="M105" s="247"/>
      <c r="N105" s="247"/>
      <c r="P105" s="39"/>
    </row>
    <row r="106" spans="2:21">
      <c r="B106" s="5"/>
      <c r="C106" s="259"/>
      <c r="D106" s="247"/>
      <c r="E106" s="247"/>
      <c r="F106" s="247"/>
      <c r="G106" s="247"/>
      <c r="H106" s="247"/>
      <c r="I106" s="247"/>
      <c r="J106" s="5"/>
      <c r="K106" s="5"/>
      <c r="L106" s="5"/>
      <c r="M106" s="5"/>
      <c r="N106" s="5"/>
      <c r="O106" s="5"/>
      <c r="P106" s="5"/>
      <c r="Q106" s="5"/>
      <c r="R106" s="5"/>
      <c r="S106" s="5"/>
      <c r="T106" s="5"/>
      <c r="U106" s="5"/>
    </row>
    <row r="107" spans="2:21">
      <c r="B107" s="5"/>
      <c r="C107" s="259"/>
      <c r="D107" s="5"/>
      <c r="E107" s="5"/>
      <c r="F107" s="5"/>
      <c r="G107" s="5"/>
      <c r="H107" s="5"/>
      <c r="I107" s="249"/>
      <c r="J107" s="259"/>
      <c r="K107" s="259"/>
      <c r="L107" s="259"/>
      <c r="M107" s="259"/>
      <c r="N107" s="259"/>
      <c r="O107" s="5"/>
      <c r="P107" s="5"/>
      <c r="Q107" s="5"/>
      <c r="R107" s="5"/>
      <c r="S107" s="5"/>
      <c r="T107" s="5"/>
      <c r="U107" s="5"/>
    </row>
    <row r="108" spans="2:21">
      <c r="B108" s="5"/>
      <c r="C108" s="259"/>
      <c r="D108" s="259"/>
      <c r="E108" s="259"/>
      <c r="F108" s="259"/>
      <c r="G108" s="259"/>
      <c r="H108" s="259"/>
      <c r="I108" s="249"/>
      <c r="J108" s="247"/>
      <c r="K108" s="247"/>
      <c r="L108" s="247"/>
      <c r="M108" s="247"/>
      <c r="N108" s="247"/>
      <c r="O108" s="5"/>
      <c r="Q108" s="5"/>
      <c r="R108" s="5"/>
      <c r="S108" s="5"/>
      <c r="T108" s="5"/>
      <c r="U108" s="5"/>
    </row>
    <row r="109" spans="2:21">
      <c r="B109" s="5"/>
      <c r="C109" s="247"/>
      <c r="D109" s="247"/>
      <c r="E109" s="247"/>
      <c r="F109" s="247"/>
      <c r="G109" s="247"/>
      <c r="H109" s="247"/>
      <c r="I109" s="247"/>
      <c r="J109" s="249"/>
      <c r="K109" s="249"/>
      <c r="L109" s="249"/>
      <c r="M109" s="249"/>
      <c r="N109" s="249"/>
      <c r="O109" s="5"/>
      <c r="Q109" s="5"/>
      <c r="R109" s="5"/>
      <c r="S109" s="5"/>
      <c r="T109" s="5"/>
      <c r="U109" s="5"/>
    </row>
    <row r="110" spans="2:21">
      <c r="B110" s="41"/>
      <c r="C110" s="249"/>
      <c r="D110" s="249"/>
      <c r="E110" s="249"/>
      <c r="F110" s="249"/>
      <c r="G110" s="249"/>
      <c r="H110" s="249"/>
      <c r="I110" s="5"/>
      <c r="J110" s="249"/>
      <c r="K110" s="249"/>
      <c r="L110" s="249"/>
      <c r="M110" s="249"/>
      <c r="N110" s="249"/>
      <c r="O110" s="5"/>
      <c r="Q110" s="5"/>
      <c r="R110" s="5"/>
      <c r="S110" s="5"/>
      <c r="T110" s="5"/>
      <c r="U110" s="5"/>
    </row>
    <row r="111" spans="2:21">
      <c r="B111" s="5"/>
      <c r="C111" s="249"/>
      <c r="D111" s="249"/>
      <c r="E111" s="249"/>
      <c r="F111" s="249"/>
      <c r="G111" s="249"/>
      <c r="H111" s="249"/>
      <c r="I111" s="5"/>
      <c r="J111" s="247"/>
      <c r="K111" s="247"/>
      <c r="L111" s="247"/>
      <c r="M111" s="247"/>
      <c r="N111" s="247"/>
      <c r="O111" s="5"/>
      <c r="Q111" s="5"/>
      <c r="R111" s="5"/>
      <c r="S111" s="5"/>
      <c r="T111" s="5"/>
      <c r="U111" s="5"/>
    </row>
    <row r="112" spans="2:21">
      <c r="B112" s="5"/>
      <c r="C112" s="247"/>
      <c r="D112" s="247"/>
      <c r="E112" s="247"/>
      <c r="F112" s="247"/>
      <c r="G112" s="247"/>
      <c r="H112" s="247"/>
      <c r="I112" s="5"/>
      <c r="J112" s="5"/>
      <c r="K112" s="5"/>
      <c r="L112" s="5"/>
      <c r="M112" s="5"/>
      <c r="N112" s="5"/>
      <c r="O112" s="5"/>
      <c r="Q112" s="5"/>
      <c r="R112" s="5"/>
      <c r="S112" s="5"/>
      <c r="T112" s="5"/>
      <c r="U112" s="5"/>
    </row>
    <row r="113" spans="2:21">
      <c r="B113" s="5"/>
      <c r="C113" s="5"/>
      <c r="D113" s="5"/>
      <c r="E113" s="5"/>
      <c r="F113" s="5"/>
      <c r="G113" s="5"/>
      <c r="H113" s="5"/>
      <c r="I113" s="5"/>
      <c r="J113" s="5"/>
      <c r="K113" s="5"/>
      <c r="L113" s="5"/>
      <c r="M113" s="5"/>
      <c r="N113" s="5"/>
      <c r="O113" s="5"/>
      <c r="Q113" s="5"/>
      <c r="R113" s="5"/>
      <c r="S113" s="5"/>
      <c r="T113" s="5"/>
      <c r="U113" s="5"/>
    </row>
    <row r="114" spans="2:21">
      <c r="B114" s="5"/>
      <c r="C114" s="5"/>
      <c r="D114" s="5"/>
      <c r="E114" s="5"/>
      <c r="F114" s="5"/>
      <c r="G114" s="5"/>
      <c r="H114" s="5"/>
      <c r="I114" s="49"/>
      <c r="J114" s="5"/>
      <c r="K114" s="5"/>
      <c r="L114" s="5"/>
      <c r="M114" s="5"/>
      <c r="N114" s="5"/>
      <c r="O114" s="5"/>
      <c r="Q114" s="41"/>
      <c r="R114" s="5"/>
      <c r="S114" s="5"/>
      <c r="T114" s="5"/>
      <c r="U114" s="5"/>
    </row>
    <row r="115" spans="2:21">
      <c r="B115" s="5"/>
      <c r="C115" s="5"/>
      <c r="D115" s="5"/>
      <c r="E115" s="5"/>
      <c r="F115" s="5"/>
      <c r="G115" s="5"/>
      <c r="H115" s="5"/>
      <c r="I115" s="5"/>
      <c r="J115" s="5"/>
      <c r="K115" s="5"/>
      <c r="L115" s="5"/>
      <c r="M115" s="5"/>
      <c r="N115" s="5"/>
      <c r="O115" s="5"/>
      <c r="Q115" s="5"/>
      <c r="R115" s="5"/>
      <c r="S115" s="5"/>
      <c r="T115" s="5"/>
      <c r="U115" s="5"/>
    </row>
    <row r="116" spans="2:21">
      <c r="B116" s="5"/>
      <c r="C116" s="5"/>
      <c r="D116" s="5"/>
      <c r="E116" s="5"/>
      <c r="F116" s="5"/>
      <c r="G116" s="5"/>
      <c r="H116" s="5"/>
      <c r="I116" s="254"/>
      <c r="J116" s="49"/>
      <c r="K116" s="49"/>
      <c r="L116" s="49"/>
      <c r="M116" s="49"/>
      <c r="N116" s="49"/>
      <c r="O116" s="49"/>
      <c r="Q116" s="5"/>
      <c r="R116" s="5"/>
      <c r="S116" s="5"/>
      <c r="T116" s="5"/>
      <c r="U116" s="5"/>
    </row>
    <row r="117" spans="2:21">
      <c r="B117" s="41"/>
      <c r="C117" s="49"/>
      <c r="D117" s="49"/>
      <c r="E117" s="49"/>
      <c r="F117" s="49"/>
      <c r="G117" s="49"/>
      <c r="H117" s="49"/>
      <c r="I117" s="249"/>
      <c r="J117" s="5"/>
      <c r="K117" s="5"/>
      <c r="L117" s="5"/>
      <c r="M117" s="5"/>
      <c r="N117" s="5"/>
      <c r="O117" s="5"/>
      <c r="Q117" s="5"/>
      <c r="R117" s="5"/>
      <c r="S117" s="5"/>
      <c r="T117" s="5"/>
      <c r="U117" s="5"/>
    </row>
    <row r="118" spans="2:21">
      <c r="B118" s="5"/>
      <c r="C118" s="5"/>
      <c r="D118" s="5"/>
      <c r="E118" s="5"/>
      <c r="F118" s="5"/>
      <c r="G118" s="5"/>
      <c r="H118" s="5"/>
      <c r="I118" s="254"/>
      <c r="J118" s="254"/>
      <c r="K118" s="254"/>
      <c r="L118" s="254"/>
      <c r="M118" s="254"/>
      <c r="N118" s="254"/>
      <c r="O118" s="248"/>
      <c r="Q118" s="5"/>
      <c r="R118" s="5"/>
      <c r="S118" s="5"/>
      <c r="T118" s="5"/>
      <c r="U118" s="5"/>
    </row>
    <row r="119" spans="2:21">
      <c r="B119" s="41"/>
      <c r="C119" s="254"/>
      <c r="D119" s="254"/>
      <c r="E119" s="254"/>
      <c r="F119" s="254"/>
      <c r="G119" s="254"/>
      <c r="H119" s="254"/>
      <c r="I119" s="254"/>
      <c r="J119" s="249"/>
      <c r="K119" s="249"/>
      <c r="L119" s="249"/>
      <c r="M119" s="249"/>
      <c r="N119" s="249"/>
      <c r="O119" s="248"/>
      <c r="Q119" s="5"/>
      <c r="R119" s="5"/>
      <c r="S119" s="5"/>
      <c r="T119" s="5"/>
      <c r="U119" s="5"/>
    </row>
    <row r="120" spans="2:21">
      <c r="B120" s="41"/>
      <c r="C120" s="254"/>
      <c r="D120" s="249"/>
      <c r="E120" s="249"/>
      <c r="F120" s="249"/>
      <c r="G120" s="249"/>
      <c r="H120" s="249"/>
      <c r="I120" s="254"/>
      <c r="J120" s="254"/>
      <c r="K120" s="254"/>
      <c r="L120" s="254"/>
      <c r="M120" s="254"/>
      <c r="N120" s="254"/>
      <c r="O120" s="248"/>
      <c r="Q120" s="5"/>
      <c r="R120" s="5"/>
      <c r="S120" s="5"/>
      <c r="T120" s="5"/>
      <c r="U120" s="5"/>
    </row>
    <row r="121" spans="2:21">
      <c r="B121" s="41"/>
      <c r="C121" s="254"/>
      <c r="D121" s="254"/>
      <c r="E121" s="254"/>
      <c r="F121" s="254"/>
      <c r="G121" s="254"/>
      <c r="H121" s="254"/>
      <c r="I121" s="254"/>
      <c r="J121" s="254"/>
      <c r="K121" s="254"/>
      <c r="L121" s="254"/>
      <c r="M121" s="254"/>
      <c r="N121" s="254"/>
      <c r="O121" s="248"/>
      <c r="Q121" s="5"/>
      <c r="R121" s="5"/>
      <c r="S121" s="5"/>
      <c r="T121" s="5"/>
      <c r="U121" s="5"/>
    </row>
    <row r="122" spans="2:21">
      <c r="B122" s="41"/>
      <c r="C122" s="254"/>
      <c r="D122" s="254"/>
      <c r="E122" s="254"/>
      <c r="F122" s="254"/>
      <c r="G122" s="254"/>
      <c r="H122" s="254"/>
      <c r="I122" s="254"/>
      <c r="J122" s="254"/>
      <c r="K122" s="254"/>
      <c r="L122" s="254"/>
      <c r="M122" s="254"/>
      <c r="N122" s="254"/>
      <c r="O122" s="248"/>
      <c r="Q122" s="5"/>
      <c r="R122" s="5"/>
      <c r="S122" s="5"/>
      <c r="T122" s="5"/>
      <c r="U122" s="5"/>
    </row>
    <row r="123" spans="2:21">
      <c r="B123" s="41"/>
      <c r="C123" s="254"/>
      <c r="D123" s="254"/>
      <c r="E123" s="254"/>
      <c r="F123" s="254"/>
      <c r="G123" s="254"/>
      <c r="H123" s="254"/>
      <c r="I123" s="254"/>
      <c r="J123" s="254"/>
      <c r="K123" s="254"/>
      <c r="L123" s="254"/>
      <c r="M123" s="254"/>
      <c r="N123" s="254"/>
      <c r="O123" s="248"/>
      <c r="Q123" s="5"/>
      <c r="R123" s="5"/>
      <c r="S123" s="5"/>
      <c r="T123" s="5"/>
      <c r="U123" s="5"/>
    </row>
    <row r="124" spans="2:21">
      <c r="B124" s="41"/>
      <c r="C124" s="254"/>
      <c r="D124" s="254"/>
      <c r="E124" s="254"/>
      <c r="F124" s="254"/>
      <c r="G124" s="254"/>
      <c r="H124" s="254"/>
      <c r="I124" s="254"/>
      <c r="J124" s="254"/>
      <c r="K124" s="254"/>
      <c r="L124" s="254"/>
      <c r="M124" s="254"/>
      <c r="N124" s="254"/>
      <c r="O124" s="5"/>
      <c r="Q124" s="5"/>
      <c r="R124" s="5"/>
      <c r="S124" s="5"/>
      <c r="T124" s="5"/>
      <c r="U124" s="5"/>
    </row>
    <row r="125" spans="2:21">
      <c r="B125" s="41"/>
      <c r="C125" s="254"/>
      <c r="D125" s="254"/>
      <c r="E125" s="254"/>
      <c r="F125" s="254"/>
      <c r="G125" s="254"/>
      <c r="H125" s="254"/>
      <c r="I125" s="254"/>
      <c r="J125" s="254"/>
      <c r="K125" s="254"/>
      <c r="L125" s="254"/>
      <c r="M125" s="254"/>
      <c r="N125" s="254"/>
      <c r="O125" s="5"/>
      <c r="Q125" s="5"/>
      <c r="R125" s="5"/>
      <c r="S125" s="5"/>
      <c r="T125" s="5"/>
      <c r="U125" s="5"/>
    </row>
    <row r="126" spans="2:21">
      <c r="B126" s="41"/>
      <c r="C126" s="254"/>
      <c r="D126" s="254"/>
      <c r="E126" s="254"/>
      <c r="F126" s="254"/>
      <c r="G126" s="254"/>
      <c r="H126" s="254"/>
      <c r="I126" s="18"/>
      <c r="J126" s="254"/>
      <c r="K126" s="254"/>
      <c r="L126" s="254"/>
      <c r="M126" s="254"/>
      <c r="N126" s="254"/>
      <c r="O126" s="5"/>
      <c r="Q126" s="5"/>
      <c r="R126" s="5"/>
      <c r="S126" s="5"/>
      <c r="T126" s="5"/>
      <c r="U126" s="5"/>
    </row>
    <row r="127" spans="2:21">
      <c r="B127" s="41"/>
      <c r="C127" s="254"/>
      <c r="D127" s="254"/>
      <c r="E127" s="254"/>
      <c r="F127" s="254"/>
      <c r="G127" s="254"/>
      <c r="H127" s="254"/>
      <c r="I127" s="5"/>
      <c r="J127" s="254"/>
      <c r="K127" s="254"/>
      <c r="L127" s="254"/>
      <c r="M127" s="254"/>
      <c r="N127" s="254"/>
      <c r="O127" s="5"/>
      <c r="Q127" s="5"/>
      <c r="R127" s="5"/>
      <c r="S127" s="5"/>
      <c r="T127" s="5"/>
      <c r="U127" s="5"/>
    </row>
    <row r="128" spans="2:21">
      <c r="B128" s="41"/>
      <c r="C128" s="254"/>
      <c r="D128" s="254"/>
      <c r="E128" s="254"/>
      <c r="F128" s="254"/>
      <c r="G128" s="254"/>
      <c r="H128" s="254"/>
      <c r="I128" s="254"/>
      <c r="J128" s="18"/>
      <c r="K128" s="18"/>
      <c r="L128" s="18"/>
      <c r="M128" s="18"/>
      <c r="N128" s="18"/>
      <c r="O128" s="5"/>
      <c r="Q128" s="5"/>
      <c r="R128" s="5"/>
      <c r="S128" s="5"/>
      <c r="T128" s="5"/>
      <c r="U128" s="5"/>
    </row>
    <row r="129" spans="2:27">
      <c r="B129" s="5"/>
      <c r="C129" s="5"/>
      <c r="D129" s="18"/>
      <c r="E129" s="18"/>
      <c r="F129" s="18"/>
      <c r="G129" s="18"/>
      <c r="H129" s="18"/>
      <c r="I129" s="18"/>
      <c r="J129" s="5"/>
      <c r="K129" s="5"/>
      <c r="L129" s="5"/>
      <c r="M129" s="5"/>
      <c r="N129" s="5"/>
      <c r="O129" s="5"/>
      <c r="Q129" s="5"/>
      <c r="R129" s="5"/>
      <c r="S129" s="5"/>
      <c r="T129" s="5"/>
      <c r="U129" s="5"/>
    </row>
    <row r="130" spans="2:27">
      <c r="B130" s="5"/>
      <c r="C130" s="5"/>
      <c r="D130" s="5"/>
      <c r="E130" s="5"/>
      <c r="F130" s="5"/>
      <c r="G130" s="5"/>
      <c r="H130" s="5"/>
      <c r="I130" s="5"/>
      <c r="J130" s="254"/>
      <c r="K130" s="254"/>
      <c r="L130" s="254"/>
      <c r="M130" s="254"/>
      <c r="N130" s="254"/>
      <c r="O130" s="5"/>
      <c r="Q130" s="5"/>
      <c r="R130" s="5"/>
      <c r="S130" s="5"/>
      <c r="T130" s="5"/>
      <c r="U130" s="5"/>
    </row>
    <row r="131" spans="2:27">
      <c r="B131" s="41"/>
      <c r="C131" s="254"/>
      <c r="D131" s="254"/>
      <c r="E131" s="254"/>
      <c r="F131" s="254"/>
      <c r="G131" s="254"/>
      <c r="H131" s="254"/>
      <c r="I131" s="5"/>
      <c r="J131" s="18"/>
      <c r="K131" s="18"/>
      <c r="L131" s="18"/>
      <c r="M131" s="18"/>
      <c r="N131" s="18"/>
      <c r="O131" s="5"/>
      <c r="Q131" s="5"/>
      <c r="R131" s="5"/>
      <c r="S131" s="5"/>
      <c r="T131" s="5"/>
      <c r="U131" s="5"/>
    </row>
    <row r="132" spans="2:27">
      <c r="B132" s="5"/>
      <c r="C132" s="259"/>
      <c r="D132" s="18"/>
      <c r="E132" s="18"/>
      <c r="F132" s="18"/>
      <c r="G132" s="18"/>
      <c r="H132" s="18"/>
      <c r="I132" s="17"/>
      <c r="J132" s="5"/>
      <c r="K132" s="5"/>
      <c r="L132" s="5"/>
      <c r="M132" s="5"/>
      <c r="N132" s="5"/>
      <c r="O132" s="5"/>
      <c r="Q132" s="5"/>
      <c r="R132" s="5"/>
      <c r="S132" s="5"/>
      <c r="T132" s="5"/>
      <c r="U132" s="5"/>
    </row>
    <row r="133" spans="2:27">
      <c r="B133" s="5"/>
      <c r="C133" s="5"/>
      <c r="D133" s="5"/>
      <c r="E133" s="5"/>
      <c r="F133" s="5"/>
      <c r="G133" s="5"/>
      <c r="H133" s="5"/>
      <c r="I133" s="17"/>
      <c r="J133" s="5"/>
      <c r="K133" s="5"/>
      <c r="L133" s="5"/>
      <c r="M133" s="5"/>
      <c r="N133" s="5"/>
      <c r="O133" s="5"/>
      <c r="Q133" s="5"/>
      <c r="R133" s="5"/>
      <c r="S133" s="5"/>
      <c r="T133" s="5"/>
      <c r="U133" s="5"/>
    </row>
    <row r="134" spans="2:27">
      <c r="B134" s="41"/>
      <c r="C134" s="5"/>
      <c r="D134" s="5"/>
      <c r="E134" s="5"/>
      <c r="F134" s="5"/>
      <c r="G134" s="5"/>
      <c r="H134" s="5"/>
      <c r="I134" s="17"/>
      <c r="J134" s="17"/>
      <c r="K134" s="17"/>
      <c r="L134" s="17"/>
      <c r="M134" s="17"/>
      <c r="N134" s="17"/>
      <c r="O134" s="5"/>
      <c r="Q134" s="41"/>
      <c r="R134" s="5"/>
      <c r="S134" s="5"/>
      <c r="T134" s="5"/>
      <c r="U134" s="5"/>
    </row>
    <row r="135" spans="2:27">
      <c r="B135" s="5"/>
      <c r="C135" s="17"/>
      <c r="D135" s="17"/>
      <c r="E135" s="17"/>
      <c r="F135" s="17"/>
      <c r="G135" s="17"/>
      <c r="H135" s="17"/>
      <c r="I135" s="17"/>
      <c r="J135" s="17"/>
      <c r="K135" s="17"/>
      <c r="L135" s="17"/>
      <c r="M135" s="17"/>
      <c r="N135" s="17"/>
      <c r="O135" s="5"/>
      <c r="Q135" s="5"/>
      <c r="R135" s="5"/>
      <c r="S135" s="5"/>
      <c r="T135" s="5"/>
      <c r="U135" s="5"/>
      <c r="X135" s="304"/>
    </row>
    <row r="136" spans="2:27">
      <c r="B136" s="5"/>
      <c r="C136" s="17"/>
      <c r="D136" s="17"/>
      <c r="E136" s="17"/>
      <c r="F136" s="17"/>
      <c r="G136" s="17"/>
      <c r="H136" s="17"/>
      <c r="I136" s="17"/>
      <c r="J136" s="17"/>
      <c r="K136" s="17"/>
      <c r="L136" s="17"/>
      <c r="M136" s="17"/>
      <c r="N136" s="17"/>
      <c r="O136" s="5"/>
      <c r="Q136" s="5"/>
      <c r="R136" s="5"/>
      <c r="S136" s="5"/>
      <c r="T136" s="5"/>
      <c r="U136" s="5"/>
      <c r="X136" s="10"/>
      <c r="Y136" s="304"/>
      <c r="Z136" s="304"/>
      <c r="AA136" s="304"/>
    </row>
    <row r="137" spans="2:27">
      <c r="B137" s="5"/>
      <c r="C137" s="5"/>
      <c r="D137" s="17"/>
      <c r="E137" s="17"/>
      <c r="F137" s="17"/>
      <c r="G137" s="17"/>
      <c r="H137" s="17"/>
      <c r="I137" s="17"/>
      <c r="J137" s="17"/>
      <c r="K137" s="17"/>
      <c r="L137" s="17"/>
      <c r="M137" s="17"/>
      <c r="N137" s="17"/>
      <c r="O137" s="5"/>
      <c r="Q137" s="5"/>
      <c r="R137" s="5"/>
      <c r="S137" s="5"/>
      <c r="T137" s="5"/>
      <c r="U137" s="5"/>
      <c r="Y137" s="10"/>
      <c r="Z137" s="10"/>
      <c r="AA137" s="10"/>
    </row>
    <row r="138" spans="2:27">
      <c r="B138" s="5"/>
      <c r="C138" s="5"/>
      <c r="D138" s="17"/>
      <c r="E138" s="17"/>
      <c r="F138" s="17"/>
      <c r="G138" s="17"/>
      <c r="H138" s="17"/>
      <c r="I138" s="5"/>
      <c r="J138" s="17"/>
      <c r="K138" s="17"/>
      <c r="L138" s="17"/>
      <c r="M138" s="17"/>
      <c r="N138" s="17"/>
      <c r="O138" s="5"/>
      <c r="Q138" s="5"/>
      <c r="R138" s="5"/>
      <c r="S138" s="5"/>
      <c r="T138" s="5"/>
      <c r="U138" s="5"/>
    </row>
    <row r="139" spans="2:27">
      <c r="B139" s="5"/>
      <c r="C139" s="5"/>
      <c r="D139" s="17"/>
      <c r="E139" s="17"/>
      <c r="F139" s="17"/>
      <c r="G139" s="17"/>
      <c r="H139" s="17"/>
      <c r="I139" s="5"/>
      <c r="J139" s="17"/>
      <c r="K139" s="17"/>
      <c r="L139" s="17"/>
      <c r="M139" s="17"/>
      <c r="N139" s="17"/>
      <c r="O139" s="5"/>
      <c r="Q139" s="5"/>
      <c r="R139" s="5"/>
      <c r="S139" s="5"/>
      <c r="T139" s="5"/>
      <c r="U139" s="5"/>
    </row>
    <row r="140" spans="2:27">
      <c r="B140" s="5"/>
      <c r="C140" s="17"/>
      <c r="D140" s="17"/>
      <c r="E140" s="17"/>
      <c r="F140" s="17"/>
      <c r="G140" s="17"/>
      <c r="H140" s="17"/>
      <c r="I140" s="5"/>
      <c r="J140" s="5"/>
      <c r="K140" s="5"/>
      <c r="L140" s="5"/>
      <c r="M140" s="5"/>
      <c r="N140" s="5"/>
      <c r="O140" s="5"/>
      <c r="Q140" s="5"/>
      <c r="R140" s="5"/>
      <c r="S140" s="5"/>
      <c r="T140" s="5"/>
      <c r="U140" s="5"/>
    </row>
    <row r="141" spans="2:27">
      <c r="B141" s="5"/>
      <c r="C141" s="5"/>
      <c r="D141" s="5"/>
      <c r="E141" s="5"/>
      <c r="F141" s="5"/>
      <c r="G141" s="5"/>
      <c r="H141" s="5"/>
      <c r="I141" s="5"/>
      <c r="J141" s="5"/>
      <c r="K141" s="5"/>
      <c r="L141" s="5"/>
      <c r="M141" s="5"/>
      <c r="N141" s="5"/>
      <c r="O141" s="5"/>
      <c r="Q141" s="5"/>
      <c r="R141" s="5"/>
      <c r="S141" s="5"/>
      <c r="T141" s="5"/>
      <c r="U141" s="5"/>
    </row>
    <row r="142" spans="2:27">
      <c r="B142" s="5"/>
      <c r="C142" s="5"/>
      <c r="D142" s="5"/>
      <c r="E142" s="5"/>
      <c r="F142" s="5"/>
      <c r="G142" s="5"/>
      <c r="H142" s="5"/>
      <c r="I142" s="5"/>
      <c r="J142" s="5"/>
      <c r="K142" s="5"/>
      <c r="L142" s="5"/>
      <c r="M142" s="5"/>
      <c r="N142" s="5"/>
      <c r="O142" s="5"/>
      <c r="Q142" s="5"/>
      <c r="R142" s="5"/>
      <c r="S142" s="5"/>
      <c r="T142" s="5"/>
      <c r="U142" s="5"/>
    </row>
    <row r="143" spans="2:27">
      <c r="B143" s="5"/>
      <c r="C143" s="5"/>
      <c r="D143" s="5"/>
      <c r="E143" s="5"/>
      <c r="F143" s="5"/>
      <c r="G143" s="5"/>
      <c r="H143" s="5"/>
      <c r="I143" s="5"/>
      <c r="J143" s="5"/>
      <c r="K143" s="5"/>
      <c r="L143" s="5"/>
      <c r="M143" s="5"/>
      <c r="N143" s="5"/>
      <c r="O143" s="5"/>
      <c r="Q143" s="5"/>
      <c r="R143" s="5"/>
      <c r="S143" s="5"/>
      <c r="T143" s="5"/>
      <c r="U143" s="5"/>
    </row>
    <row r="144" spans="2:27">
      <c r="B144" s="5"/>
      <c r="C144" s="5"/>
      <c r="D144" s="5"/>
      <c r="E144" s="5"/>
      <c r="F144" s="5"/>
      <c r="G144" s="5"/>
      <c r="H144" s="5"/>
      <c r="I144" s="5"/>
      <c r="J144" s="5"/>
      <c r="K144" s="5"/>
      <c r="L144" s="5"/>
      <c r="M144" s="5"/>
      <c r="N144" s="5"/>
      <c r="O144" s="5"/>
      <c r="Q144" s="5"/>
      <c r="R144" s="5"/>
      <c r="S144" s="5"/>
      <c r="T144" s="5"/>
      <c r="U144" s="5"/>
    </row>
    <row r="145" spans="2:21">
      <c r="B145" s="5"/>
      <c r="C145" s="5"/>
      <c r="D145" s="5"/>
      <c r="E145" s="5"/>
      <c r="F145" s="5"/>
      <c r="G145" s="5"/>
      <c r="H145" s="5"/>
      <c r="I145" s="5"/>
      <c r="J145" s="5"/>
      <c r="K145" s="5"/>
      <c r="L145" s="5"/>
      <c r="M145" s="5"/>
      <c r="N145" s="5"/>
      <c r="O145" s="5"/>
      <c r="Q145" s="5"/>
      <c r="R145" s="5"/>
      <c r="S145" s="5"/>
      <c r="T145" s="5"/>
      <c r="U145" s="5"/>
    </row>
    <row r="146" spans="2:21">
      <c r="B146" s="5"/>
      <c r="C146" s="5"/>
      <c r="D146" s="5"/>
      <c r="E146" s="5"/>
      <c r="F146" s="5"/>
      <c r="G146" s="5"/>
      <c r="H146" s="5"/>
      <c r="I146" s="5"/>
      <c r="J146" s="5"/>
      <c r="K146" s="5"/>
      <c r="L146" s="5"/>
      <c r="M146" s="5"/>
      <c r="N146" s="5"/>
      <c r="O146" s="5"/>
      <c r="Q146" s="5"/>
      <c r="R146" s="5"/>
      <c r="S146" s="5"/>
      <c r="T146" s="5"/>
      <c r="U146" s="5"/>
    </row>
    <row r="147" spans="2:21">
      <c r="B147" s="5"/>
      <c r="C147" s="5"/>
      <c r="D147" s="5"/>
      <c r="E147" s="5"/>
      <c r="F147" s="5"/>
      <c r="G147" s="5"/>
      <c r="H147" s="5"/>
      <c r="I147" s="5"/>
      <c r="J147" s="5"/>
      <c r="K147" s="5"/>
      <c r="L147" s="5"/>
      <c r="M147" s="5"/>
      <c r="N147" s="5"/>
      <c r="O147" s="5"/>
      <c r="Q147" s="5"/>
      <c r="R147" s="5"/>
      <c r="S147" s="5"/>
      <c r="T147" s="5"/>
      <c r="U147" s="5"/>
    </row>
    <row r="148" spans="2:21">
      <c r="B148" s="5"/>
      <c r="C148" s="5"/>
      <c r="D148" s="5"/>
      <c r="E148" s="5"/>
      <c r="F148" s="5"/>
      <c r="G148" s="5"/>
      <c r="H148" s="5"/>
      <c r="J148" s="5"/>
      <c r="K148" s="5"/>
      <c r="L148" s="5"/>
      <c r="M148" s="5"/>
      <c r="N148" s="5"/>
      <c r="O148" s="5"/>
      <c r="Q148" s="5"/>
      <c r="R148" s="5"/>
      <c r="S148" s="5"/>
      <c r="T148" s="5"/>
      <c r="U148" s="5"/>
    </row>
    <row r="149" spans="2:21">
      <c r="B149" s="5"/>
      <c r="C149" s="5"/>
      <c r="D149" s="5"/>
      <c r="E149" s="5"/>
      <c r="F149" s="5"/>
      <c r="G149" s="5"/>
      <c r="H149" s="5"/>
      <c r="J149" s="5"/>
      <c r="K149" s="5"/>
      <c r="L149" s="5"/>
      <c r="M149" s="5"/>
      <c r="N149" s="5"/>
      <c r="O149" s="5"/>
      <c r="Q149" s="5"/>
      <c r="R149" s="5"/>
      <c r="S149" s="5"/>
      <c r="T149" s="5"/>
      <c r="U149" s="5"/>
    </row>
    <row r="150" spans="2:21">
      <c r="B150" s="5"/>
      <c r="C150" s="5"/>
      <c r="D150" s="5"/>
      <c r="E150" s="5"/>
      <c r="F150" s="5"/>
      <c r="G150" s="5"/>
      <c r="H150" s="5"/>
      <c r="Q150" s="5"/>
      <c r="R150" s="5"/>
      <c r="S150" s="5"/>
      <c r="T150" s="5"/>
      <c r="U150" s="5"/>
    </row>
    <row r="151" spans="2:21">
      <c r="Q151" s="5"/>
      <c r="R151" s="5"/>
      <c r="S151" s="5"/>
      <c r="T151" s="5"/>
      <c r="U151" s="5"/>
    </row>
    <row r="152" spans="2:21">
      <c r="Q152" s="5"/>
      <c r="R152" s="5"/>
      <c r="S152" s="5"/>
      <c r="T152" s="5"/>
      <c r="U152" s="5"/>
    </row>
    <row r="153" spans="2:21">
      <c r="C153" s="263"/>
      <c r="Q153" s="5"/>
      <c r="R153" s="5"/>
      <c r="S153" s="5"/>
      <c r="T153" s="5"/>
      <c r="U153" s="5"/>
    </row>
    <row r="154" spans="2:21">
      <c r="Q154" s="5"/>
      <c r="R154" s="5"/>
      <c r="S154" s="5"/>
      <c r="T154" s="5"/>
      <c r="U154" s="5"/>
    </row>
    <row r="155" spans="2:21">
      <c r="Q155" s="5"/>
      <c r="R155" s="5"/>
      <c r="S155" s="5"/>
      <c r="T155" s="5"/>
      <c r="U155" s="5"/>
    </row>
    <row r="156" spans="2:21">
      <c r="Q156" s="5"/>
      <c r="R156" s="5"/>
      <c r="S156" s="5"/>
      <c r="T156" s="5"/>
      <c r="U156" s="5"/>
    </row>
    <row r="157" spans="2:21">
      <c r="Q157" s="5"/>
      <c r="R157" s="5"/>
      <c r="S157" s="5"/>
      <c r="T157" s="5"/>
      <c r="U157" s="5"/>
    </row>
    <row r="158" spans="2:21">
      <c r="Q158" s="5"/>
      <c r="R158" s="5"/>
      <c r="S158" s="5"/>
      <c r="T158" s="5"/>
      <c r="U158" s="5"/>
    </row>
    <row r="159" spans="2:21">
      <c r="Q159" s="5"/>
      <c r="R159" s="5"/>
      <c r="S159" s="5"/>
      <c r="T159" s="5"/>
      <c r="U159" s="5"/>
    </row>
    <row r="160" spans="2:21">
      <c r="Q160" s="5"/>
      <c r="R160" s="5"/>
      <c r="S160" s="5"/>
      <c r="T160" s="5"/>
      <c r="U160" s="5"/>
    </row>
    <row r="161" spans="17:21">
      <c r="Q161" s="5"/>
      <c r="R161" s="5"/>
      <c r="S161" s="5"/>
      <c r="T161" s="5"/>
      <c r="U161" s="5"/>
    </row>
    <row r="162" spans="17:21">
      <c r="Q162" s="5"/>
      <c r="R162" s="5"/>
      <c r="S162" s="5"/>
      <c r="T162" s="5"/>
      <c r="U162" s="5"/>
    </row>
    <row r="163" spans="17:21">
      <c r="Q163" s="5"/>
      <c r="R163" s="5"/>
      <c r="S163" s="5"/>
      <c r="T163" s="5"/>
      <c r="U163" s="5"/>
    </row>
    <row r="164" spans="17:21">
      <c r="Q164" s="5"/>
      <c r="R164" s="5"/>
      <c r="S164" s="5"/>
      <c r="T164" s="5"/>
      <c r="U164" s="5"/>
    </row>
  </sheetData>
  <phoneticPr fontId="7" type="noConversion"/>
  <pageMargins left="0.75" right="0.75" top="1" bottom="1" header="0.5" footer="0.5"/>
  <pageSetup scale="70" orientation="landscape" r:id="rId1"/>
  <headerFooter alignWithMargins="0"/>
  <drawing r:id="rId2"/>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100-000000000000}">
  <sheetPr codeName="Sheet165">
    <tabColor theme="3" tint="0.59999389629810485"/>
    <pageSetUpPr fitToPage="1"/>
  </sheetPr>
  <dimension ref="B1:BK164"/>
  <sheetViews>
    <sheetView showGridLines="0" zoomScale="80" zoomScaleNormal="80" workbookViewId="0"/>
  </sheetViews>
  <sheetFormatPr defaultColWidth="8.88671875" defaultRowHeight="12"/>
  <cols>
    <col min="1" max="1" width="2.33203125" style="39" customWidth="1"/>
    <col min="2" max="2" width="26.6640625" style="39" customWidth="1"/>
    <col min="3" max="9" width="10" style="39" customWidth="1"/>
    <col min="10" max="10" width="26.6640625" style="39" customWidth="1"/>
    <col min="11" max="16" width="10" style="39" customWidth="1"/>
    <col min="17" max="17" width="4.5546875" style="39" customWidth="1"/>
    <col min="18" max="20" width="8.88671875" style="39"/>
    <col min="21" max="21" width="3.6640625" style="39" customWidth="1"/>
    <col min="22" max="63" width="9.109375" style="5" customWidth="1"/>
    <col min="64" max="16384" width="8.88671875" style="39"/>
  </cols>
  <sheetData>
    <row r="1" spans="2:63" s="312" customFormat="1">
      <c r="V1" s="149"/>
      <c r="W1" s="149"/>
      <c r="X1" s="149"/>
      <c r="Y1" s="149"/>
      <c r="Z1" s="149"/>
      <c r="AA1" s="149"/>
      <c r="AB1" s="149"/>
      <c r="AC1" s="149"/>
      <c r="AD1" s="149"/>
      <c r="AE1" s="149"/>
      <c r="AF1" s="149"/>
      <c r="AG1" s="149"/>
      <c r="AH1" s="149"/>
      <c r="AI1" s="149"/>
      <c r="AJ1" s="149"/>
      <c r="AK1" s="149"/>
      <c r="AL1" s="149"/>
      <c r="AM1" s="149"/>
      <c r="AN1" s="149"/>
      <c r="AO1" s="149"/>
      <c r="AP1" s="149"/>
      <c r="AQ1" s="149"/>
      <c r="AR1" s="149"/>
      <c r="AS1" s="149"/>
      <c r="AT1" s="149"/>
      <c r="AU1" s="149"/>
      <c r="AV1" s="149"/>
      <c r="AW1" s="149"/>
      <c r="AX1" s="149"/>
      <c r="AY1" s="149"/>
      <c r="AZ1" s="149"/>
      <c r="BA1" s="149"/>
      <c r="BB1" s="149"/>
      <c r="BC1" s="149"/>
      <c r="BD1" s="149"/>
      <c r="BE1" s="149"/>
      <c r="BF1" s="149"/>
      <c r="BG1" s="149"/>
      <c r="BH1" s="149"/>
      <c r="BI1" s="149"/>
      <c r="BJ1" s="149"/>
      <c r="BK1" s="149"/>
    </row>
    <row r="2" spans="2:63" s="312" customFormat="1">
      <c r="V2" s="149"/>
      <c r="W2" s="149"/>
      <c r="X2" s="149"/>
      <c r="Y2" s="149"/>
      <c r="Z2" s="149"/>
      <c r="AA2" s="149"/>
      <c r="AB2" s="149"/>
      <c r="AC2" s="149"/>
      <c r="AD2" s="149"/>
      <c r="AE2" s="149"/>
      <c r="AF2" s="149"/>
      <c r="AG2" s="149"/>
      <c r="AH2" s="149"/>
      <c r="AI2" s="149"/>
      <c r="AJ2" s="149"/>
      <c r="AK2" s="149"/>
      <c r="AL2" s="149"/>
      <c r="AM2" s="149"/>
      <c r="AN2" s="149"/>
      <c r="AO2" s="149"/>
      <c r="AP2" s="149"/>
      <c r="AQ2" s="149"/>
      <c r="AR2" s="149"/>
      <c r="AS2" s="149"/>
      <c r="AT2" s="149"/>
      <c r="AU2" s="149"/>
      <c r="AV2" s="149"/>
      <c r="AW2" s="149"/>
      <c r="AX2" s="149"/>
      <c r="AY2" s="149"/>
      <c r="AZ2" s="149"/>
      <c r="BA2" s="149"/>
      <c r="BB2" s="149"/>
      <c r="BC2" s="149"/>
      <c r="BD2" s="149"/>
      <c r="BE2" s="149"/>
      <c r="BF2" s="149"/>
      <c r="BG2" s="149"/>
      <c r="BH2" s="149"/>
      <c r="BI2" s="149"/>
      <c r="BJ2" s="149"/>
      <c r="BK2" s="149"/>
    </row>
    <row r="3" spans="2:63" s="149" customFormat="1">
      <c r="H3" s="153"/>
      <c r="P3" s="153"/>
    </row>
    <row r="4" spans="2:63" s="156" customFormat="1" ht="21">
      <c r="B4" s="129" t="s">
        <v>820</v>
      </c>
      <c r="H4" s="222"/>
      <c r="P4" s="222"/>
    </row>
    <row r="5" spans="2:63" s="149" customFormat="1">
      <c r="C5" s="153"/>
      <c r="D5" s="153" t="str" cm="1">
        <f t="array" ref="D5:H5">headings</f>
        <v>2023E</v>
      </c>
      <c r="E5" s="153" t="str">
        <v>2024E</v>
      </c>
      <c r="F5" s="153" t="str">
        <v>2025E</v>
      </c>
      <c r="G5" s="153" t="str">
        <v>2026E</v>
      </c>
      <c r="H5" s="153" t="str">
        <v>23E-26E</v>
      </c>
      <c r="I5" s="153"/>
      <c r="J5" s="153"/>
      <c r="K5" s="153"/>
      <c r="L5" s="153" t="str" cm="1">
        <f t="array" ref="L5:P5">headings</f>
        <v>2023E</v>
      </c>
      <c r="M5" s="153" t="str">
        <v>2024E</v>
      </c>
      <c r="N5" s="153" t="str">
        <v>2025E</v>
      </c>
      <c r="O5" s="153" t="str">
        <v>2026E</v>
      </c>
      <c r="P5" s="153" t="str">
        <v>23E-26E</v>
      </c>
      <c r="Q5" s="162"/>
      <c r="R5" s="162"/>
      <c r="S5" s="162"/>
      <c r="T5" s="162"/>
      <c r="U5" s="162"/>
      <c r="V5" s="162"/>
      <c r="W5" s="162"/>
      <c r="X5" s="162"/>
      <c r="Y5" s="162"/>
    </row>
    <row r="6" spans="2:63">
      <c r="I6" s="5"/>
      <c r="J6" s="5"/>
      <c r="K6" s="5"/>
      <c r="L6" s="5"/>
      <c r="M6" s="5"/>
      <c r="N6" s="5"/>
      <c r="O6" s="49"/>
    </row>
    <row r="7" spans="2:63" ht="12.6" thickBot="1">
      <c r="B7" s="306" t="s">
        <v>271</v>
      </c>
      <c r="C7" s="265"/>
      <c r="D7" s="265"/>
      <c r="E7" s="265"/>
      <c r="F7" s="265"/>
      <c r="G7" s="265"/>
      <c r="H7" s="265"/>
      <c r="I7" s="49"/>
      <c r="J7" s="306" t="s">
        <v>510</v>
      </c>
      <c r="K7" s="306"/>
      <c r="L7" s="306"/>
      <c r="M7" s="306"/>
      <c r="N7" s="266"/>
      <c r="O7" s="266"/>
      <c r="P7" s="266"/>
    </row>
    <row r="8" spans="2:63" ht="12.6" thickTop="1">
      <c r="B8" s="5"/>
      <c r="C8" s="5"/>
      <c r="D8" s="5"/>
      <c r="E8" s="5"/>
      <c r="F8" s="5"/>
      <c r="G8" s="5"/>
      <c r="H8" s="5"/>
      <c r="I8" s="5"/>
      <c r="J8" s="5"/>
      <c r="K8" s="5"/>
      <c r="L8" s="5"/>
      <c r="M8" s="5"/>
      <c r="N8" s="5"/>
    </row>
    <row r="9" spans="2:63">
      <c r="B9" s="41" t="s">
        <v>500</v>
      </c>
      <c r="C9" s="287"/>
      <c r="D9" s="5"/>
      <c r="E9" s="249"/>
      <c r="F9" s="249"/>
      <c r="G9" s="249"/>
      <c r="H9" s="249"/>
      <c r="I9" s="249"/>
      <c r="J9" s="5" t="s">
        <v>273</v>
      </c>
      <c r="L9" s="64">
        <f>'EM INCUMB'!D37</f>
        <v>77.390130364881429</v>
      </c>
      <c r="M9" s="64">
        <f>'EM INCUMB'!E37</f>
        <v>72.512941061391317</v>
      </c>
      <c r="N9" s="64">
        <f>'EM INCUMB'!F37</f>
        <v>62.400788137070009</v>
      </c>
      <c r="O9" s="64">
        <f>'EM INCUMB'!G37</f>
        <v>53.058255887060461</v>
      </c>
      <c r="P9" s="17">
        <f>'EM INCUMB'!H37</f>
        <v>4.1231626442215452E-2</v>
      </c>
    </row>
    <row r="10" spans="2:63">
      <c r="B10" s="5" t="s">
        <v>274</v>
      </c>
      <c r="C10" s="5"/>
      <c r="D10" s="332"/>
      <c r="E10" s="332"/>
      <c r="F10" s="332"/>
      <c r="G10" s="332"/>
      <c r="H10" s="247"/>
      <c r="I10" s="247"/>
      <c r="J10" s="5" t="s">
        <v>184</v>
      </c>
      <c r="L10" s="64">
        <f>'EM INCUMB'!D38</f>
        <v>251.76312581207961</v>
      </c>
      <c r="M10" s="64">
        <f>'EM INCUMB'!E38</f>
        <v>235.47331923446734</v>
      </c>
      <c r="N10" s="64">
        <f>'EM INCUMB'!F38</f>
        <v>202.08803624698223</v>
      </c>
      <c r="O10" s="64">
        <f>'EM INCUMB'!G38</f>
        <v>170.59019208597164</v>
      </c>
      <c r="P10" s="17">
        <f>'EM INCUMB'!H38</f>
        <v>4.5319782471582526E-2</v>
      </c>
      <c r="W10" s="10"/>
      <c r="X10" s="10"/>
      <c r="Y10" s="10"/>
      <c r="Z10" s="10"/>
    </row>
    <row r="11" spans="2:63">
      <c r="B11" s="41" t="s">
        <v>359</v>
      </c>
      <c r="C11" s="5"/>
      <c r="D11" s="271">
        <f>((PTT!D11/Prices!$C$172)*1000)+(_CT!D11/Prices!$C$175)+(_CU!D11/Prices!$C$175)+(_KT!D11*1000)+(CHUNG!D11/Prices!$C$181)</f>
        <v>9082148.8410425894</v>
      </c>
      <c r="E11" s="271">
        <f>((PTT!E11/Prices!$C$172)*1000)+(_CT!E11/Prices!$C$175)+(_CU!E11/Prices!$C$175)+(_KT!E11*1000)+(CHUNG!E11/Prices!$C$181)</f>
        <v>9269107.7960425895</v>
      </c>
      <c r="F11" s="271">
        <f>((PTT!F11/Prices!$C$172)*1000)+(_CT!F11/Prices!$C$175)+(_CU!F11/Prices!$C$175)+(_KT!F11*1000)+(CHUNG!F11/Prices!$C$181)</f>
        <v>9269107.7960425895</v>
      </c>
      <c r="G11" s="271">
        <f>((PTT!G11/Prices!$C$172)*1000)+(_CT!G11/Prices!$C$175)+(_CU!G11/Prices!$C$175)+(_KT!G11*1000)+(CHUNG!G11/Prices!$C$181)</f>
        <v>9269107.7960425895</v>
      </c>
      <c r="H11" s="249"/>
      <c r="I11" s="249"/>
      <c r="J11" s="5" t="s">
        <v>185</v>
      </c>
      <c r="L11" s="64">
        <f>'EM INCUMB'!D39</f>
        <v>633.79269108992571</v>
      </c>
      <c r="M11" s="64">
        <f>'EM INCUMB'!E39</f>
        <v>519.97663465590415</v>
      </c>
      <c r="N11" s="64">
        <f>'EM INCUMB'!F39</f>
        <v>421.98747207824152</v>
      </c>
      <c r="O11" s="64">
        <f>'EM INCUMB'!G39</f>
        <v>339.87458306214415</v>
      </c>
      <c r="P11" s="17">
        <f>'EM INCUMB'!H39</f>
        <v>0.13008903497063584</v>
      </c>
      <c r="W11" s="10"/>
      <c r="X11" s="10"/>
      <c r="Y11" s="10"/>
      <c r="Z11" s="10"/>
    </row>
    <row r="12" spans="2:63">
      <c r="B12" s="5" t="s">
        <v>229</v>
      </c>
      <c r="C12" s="249"/>
      <c r="D12" s="228">
        <f>((PTT!D12/Prices!$C$172)*1000)+(_CT!D12/Prices!$C$175)+(_CU!D12/Prices!$C$175)+(_KT!D12*1000)+(CHUNG!D12/Prices!$C$181)</f>
        <v>7334841.5703875637</v>
      </c>
      <c r="E12" s="228">
        <f>((PTT!E12/Prices!$C$172)*1000)+(_CT!E12/Prices!$C$175)+(_CU!E12/Prices!$C$175)+(_KT!E12*1000)+(CHUNG!E12/Prices!$C$181)</f>
        <v>6872256.5086906767</v>
      </c>
      <c r="F12" s="228">
        <f>((PTT!F12/Prices!$C$172)*1000)+(_CT!F12/Prices!$C$175)+(_CU!F12/Prices!$C$175)+(_KT!F12*1000)+(CHUNG!F12/Prices!$C$181)</f>
        <v>5752541.9912706753</v>
      </c>
      <c r="G12" s="228">
        <f>((PTT!G12/Prices!$C$172)*1000)+(_CT!G12/Prices!$C$175)+(_CU!G12/Prices!$C$175)+(_KT!G12*1000)+(CHUNG!G12/Prices!$C$181)</f>
        <v>4639033.5226345873</v>
      </c>
      <c r="H12" s="247"/>
      <c r="I12" s="247"/>
      <c r="J12" s="5" t="s">
        <v>466</v>
      </c>
      <c r="L12" s="64">
        <f>'EM INCUMB'!D40</f>
        <v>892.97096758269697</v>
      </c>
      <c r="M12" s="64">
        <f>'EM INCUMB'!E40</f>
        <v>705.80398591621361</v>
      </c>
      <c r="N12" s="64">
        <f>'EM INCUMB'!F40</f>
        <v>571.3100453625151</v>
      </c>
      <c r="O12" s="64">
        <f>'EM INCUMB'!G40</f>
        <v>458.33681098022043</v>
      </c>
      <c r="P12" s="17">
        <f>'EM INCUMB'!H40</f>
        <v>0.14671109623312839</v>
      </c>
      <c r="W12" s="10"/>
      <c r="X12" s="10"/>
      <c r="Y12" s="10"/>
      <c r="Z12" s="10"/>
    </row>
    <row r="13" spans="2:63">
      <c r="B13" s="5" t="s">
        <v>529</v>
      </c>
      <c r="C13" s="257"/>
      <c r="D13" s="228">
        <f>((PTT!D13/Prices!$C$172)*1000)+(_CT!D13/Prices!$C$175)+(_CU!D13/Prices!$C$175)+(_KT!D13*1000)+(CHUNG!D13/Prices!$C$181)</f>
        <v>1460506.9115961783</v>
      </c>
      <c r="E13" s="228">
        <f>((PTT!E13/Prices!$C$172)*1000)+(_CT!E13/Prices!$C$175)+(_CU!E13/Prices!$C$175)+(_KT!E13*1000)+(CHUNG!E13/Prices!$C$181)</f>
        <v>1375360.3990818532</v>
      </c>
      <c r="F13" s="228">
        <f>((PTT!F13/Prices!$C$172)*1000)+(_CT!F13/Prices!$C$175)+(_CU!F13/Prices!$C$175)+(_KT!F13*1000)+(CHUNG!F13/Prices!$C$181)</f>
        <v>1282976.4330038109</v>
      </c>
      <c r="G13" s="228">
        <f>((PTT!G13/Prices!$C$172)*1000)+(_CT!G13/Prices!$C$175)+(_CU!G13/Prices!$C$175)+(_KT!G13*1000)+(CHUNG!G13/Prices!$C$181)</f>
        <v>1182739.8298091348</v>
      </c>
      <c r="H13" s="247"/>
      <c r="I13" s="247"/>
      <c r="J13" s="5" t="s">
        <v>530</v>
      </c>
      <c r="L13" s="64">
        <f>'EM INCUMB'!D41</f>
        <v>73.192015654274968</v>
      </c>
      <c r="M13" s="64">
        <f>'EM INCUMB'!E41</f>
        <v>72.225901315613712</v>
      </c>
      <c r="N13" s="64">
        <f>'EM INCUMB'!F41</f>
        <v>65.390223329659477</v>
      </c>
      <c r="O13" s="64">
        <f>'EM INCUMB'!G41</f>
        <v>57.627095382058755</v>
      </c>
      <c r="P13" s="17">
        <f>'EM INCUMB'!H41</f>
        <v>-5.7044998568572813E-3</v>
      </c>
    </row>
    <row r="14" spans="2:63">
      <c r="B14" s="5" t="s">
        <v>532</v>
      </c>
      <c r="C14" s="274"/>
      <c r="D14" s="228">
        <f>((PTT!D14/Prices!$C$172)*1000)+(_CT!D14/Prices!$C$175)+(_CU!D14/Prices!$C$175)+(_KT!D14*1000)+(CHUNG!D14/Prices!$C$181)</f>
        <v>20018.471145995463</v>
      </c>
      <c r="E14" s="228">
        <f>((PTT!E14/Prices!$C$172)*1000)+(_CT!E14/Prices!$C$175)+(_CU!E14/Prices!$C$175)+(_KT!E14*1000)+(CHUNG!E14/Prices!$C$181)</f>
        <v>20018.471145995463</v>
      </c>
      <c r="F14" s="228">
        <f>((PTT!F14/Prices!$C$172)*1000)+(_CT!F14/Prices!$C$175)+(_CU!F14/Prices!$C$175)+(_KT!F14*1000)+(CHUNG!F14/Prices!$C$181)</f>
        <v>20018.471145995463</v>
      </c>
      <c r="G14" s="228">
        <f>((PTT!G14/Prices!$C$172)*1000)+(_CT!G14/Prices!$C$175)+(_CU!G14/Prices!$C$175)+(_KT!G14*1000)+(CHUNG!G14/Prices!$C$181)</f>
        <v>20018.471145995463</v>
      </c>
      <c r="H14" s="247"/>
      <c r="I14" s="247"/>
      <c r="J14" s="5" t="s">
        <v>593</v>
      </c>
      <c r="L14" s="64">
        <f>'EM INCUMB'!D42</f>
        <v>92.154024734754898</v>
      </c>
      <c r="M14" s="64">
        <f>'EM INCUMB'!E42</f>
        <v>92.71619293829275</v>
      </c>
      <c r="N14" s="64">
        <f>'EM INCUMB'!F42</f>
        <v>85.347970481322818</v>
      </c>
      <c r="O14" s="64">
        <f>'EM INCUMB'!G42</f>
        <v>80.686740973878528</v>
      </c>
      <c r="P14" s="17">
        <f>'EM INCUMB'!H42</f>
        <v>-4.0288882333939902E-2</v>
      </c>
    </row>
    <row r="15" spans="2:63">
      <c r="B15" s="5" t="s">
        <v>531</v>
      </c>
      <c r="C15" s="257"/>
      <c r="D15" s="228">
        <f>((PTT!D15/Prices!$C$172)*1000)+(_CT!D15/Prices!$C$175)+(_CU!D15/Prices!$C$175)+(_KT!D15*1000)+(CHUNG!D15/Prices!$C$181)</f>
        <v>13285.343731723611</v>
      </c>
      <c r="E15" s="228">
        <f>((PTT!E15/Prices!$C$172)*1000)+(_CT!E15/Prices!$C$175)+(_CU!E15/Prices!$C$175)+(_KT!E15*1000)+(CHUNG!E15/Prices!$C$181)</f>
        <v>13285.343731723611</v>
      </c>
      <c r="F15" s="228">
        <f>((PTT!F15/Prices!$C$172)*1000)+(_CT!F15/Prices!$C$175)+(_CU!F15/Prices!$C$175)+(_KT!F15*1000)+(CHUNG!F15/Prices!$C$181)</f>
        <v>13285.343731723611</v>
      </c>
      <c r="G15" s="228">
        <f>((PTT!G15/Prices!$C$172)*1000)+(_CT!G15/Prices!$C$175)+(_CU!G15/Prices!$C$175)+(_KT!G15*1000)+(CHUNG!G15/Prices!$C$181)</f>
        <v>13285.343731723611</v>
      </c>
      <c r="H15" s="247"/>
      <c r="I15" s="247"/>
      <c r="J15" s="5" t="s">
        <v>475</v>
      </c>
      <c r="L15" s="64">
        <f>'EM INCUMB'!D43</f>
        <v>14.54326315160441</v>
      </c>
      <c r="M15" s="64">
        <f>'EM INCUMB'!E43</f>
        <v>10.729515399031095</v>
      </c>
      <c r="N15" s="64">
        <f>'EM INCUMB'!F43</f>
        <v>9.0923319720800446</v>
      </c>
      <c r="O15" s="64">
        <f>'EM INCUMB'!G43</f>
        <v>7.8418571106094896</v>
      </c>
      <c r="P15" s="17">
        <f>'EM INCUMB'!H43</f>
        <v>0.21725098476735072</v>
      </c>
      <c r="S15" s="88"/>
      <c r="T15" s="88"/>
      <c r="U15" s="88"/>
      <c r="V15" s="42"/>
      <c r="W15" s="42"/>
      <c r="X15" s="42"/>
      <c r="Y15" s="42"/>
      <c r="Z15" s="42"/>
      <c r="AA15" s="42"/>
    </row>
    <row r="16" spans="2:63">
      <c r="B16" s="5" t="s">
        <v>534</v>
      </c>
      <c r="C16" s="257"/>
      <c r="D16" s="228">
        <f>((PTT!D16/Prices!$C$172)*1000)+(_CT!D16/Prices!$C$175)+(_CU!D16/Prices!$C$175)+(_KT!D16*1000)+(CHUNG!D16/Prices!$C$181)</f>
        <v>12080.191082714289</v>
      </c>
      <c r="E16" s="228">
        <f>((PTT!E16/Prices!$C$172)*1000)+(_CT!E16/Prices!$C$175)+(_CU!E16/Prices!$C$175)+(_KT!E16*1000)+(CHUNG!E16/Prices!$C$181)</f>
        <v>13178.357576481161</v>
      </c>
      <c r="F16" s="228">
        <f>((PTT!F16/Prices!$C$172)*1000)+(_CT!F16/Prices!$C$175)+(_CU!F16/Prices!$C$175)+(_KT!F16*1000)+(CHUNG!F16/Prices!$C$181)</f>
        <v>533828.42960682954</v>
      </c>
      <c r="G16" s="228">
        <f>((PTT!G16/Prices!$C$172)*1000)+(_CT!G16/Prices!$C$175)+(_CU!G16/Prices!$C$175)+(_KT!G16*1000)+(CHUNG!G16/Prices!$C$181)</f>
        <v>1141131.2712719373</v>
      </c>
      <c r="H16" s="247"/>
      <c r="I16" s="247"/>
      <c r="J16" s="5" t="s">
        <v>533</v>
      </c>
      <c r="L16" s="64">
        <f>'EM INCUMB'!D44</f>
        <v>634.01902759549682</v>
      </c>
      <c r="M16" s="64">
        <f>'EM INCUMB'!E44</f>
        <v>553.37622650460344</v>
      </c>
      <c r="N16" s="64">
        <f>'EM INCUMB'!F44</f>
        <v>480.19823322626689</v>
      </c>
      <c r="O16" s="64">
        <f>'EM INCUMB'!G44</f>
        <v>413.04467594801395</v>
      </c>
      <c r="P16" s="17">
        <f>'EM INCUMB'!H44</f>
        <v>0.16110061170195666</v>
      </c>
      <c r="S16" s="88"/>
      <c r="T16" s="88"/>
      <c r="U16" s="88"/>
      <c r="V16" s="42"/>
      <c r="W16" s="42"/>
      <c r="X16" s="42"/>
      <c r="Y16" s="42"/>
      <c r="Z16" s="42"/>
      <c r="AA16" s="42"/>
    </row>
    <row r="17" spans="2:27">
      <c r="B17" s="5" t="s">
        <v>6</v>
      </c>
      <c r="C17" s="257"/>
      <c r="D17" s="228">
        <f>((PTT!D17/Prices!$C$172)*1000)+(_CT!D17/Prices!$C$175)+(_CU!D17/Prices!$C$175)+(_KT!D17*1000)+(CHUNG!D17/Prices!$C$181)</f>
        <v>569810.57744207536</v>
      </c>
      <c r="E17" s="228">
        <f>((PTT!E17/Prices!$C$172)*1000)+(_CT!E17/Prices!$C$175)+(_CU!E17/Prices!$C$175)+(_KT!E17*1000)+(CHUNG!E17/Prices!$C$181)</f>
        <v>569810.57744207536</v>
      </c>
      <c r="F17" s="228">
        <f>((PTT!F17/Prices!$C$172)*1000)+(_CT!F17/Prices!$C$175)+(_CU!F17/Prices!$C$175)+(_KT!F17*1000)+(CHUNG!F17/Prices!$C$181)</f>
        <v>569810.57744207536</v>
      </c>
      <c r="G17" s="228">
        <f>((PTT!G17/Prices!$C$172)*1000)+(_CT!G17/Prices!$C$175)+(_CU!G17/Prices!$C$175)+(_KT!G17*1000)+(CHUNG!G17/Prices!$C$181)</f>
        <v>569810.57744207536</v>
      </c>
      <c r="H17" s="247"/>
      <c r="I17" s="247"/>
      <c r="J17" s="5" t="s">
        <v>580</v>
      </c>
      <c r="L17" s="248">
        <f>'EM INCUMB'!D45</f>
        <v>1.0345069302667427E-3</v>
      </c>
      <c r="M17" s="248">
        <f>'EM INCUMB'!E45</f>
        <v>1.1346526117121838E-3</v>
      </c>
      <c r="N17" s="248">
        <f>'EM INCUMB'!F45</f>
        <v>1.3193330533490405E-3</v>
      </c>
      <c r="O17" s="248">
        <f>'EM INCUMB'!G45</f>
        <v>1.5335766283768081E-3</v>
      </c>
      <c r="P17" s="17">
        <f>'EM INCUMB'!H45</f>
        <v>0.14769227496166182</v>
      </c>
      <c r="S17" s="88"/>
      <c r="T17" s="88"/>
      <c r="U17" s="88"/>
      <c r="V17" s="42"/>
      <c r="W17" s="42"/>
      <c r="X17" s="42"/>
      <c r="Y17" s="42"/>
      <c r="Z17" s="42"/>
      <c r="AA17" s="42"/>
    </row>
    <row r="18" spans="2:27" ht="12.6" thickBot="1">
      <c r="B18" s="41" t="s">
        <v>360</v>
      </c>
      <c r="C18" s="249"/>
      <c r="D18" s="275">
        <f>((PTT!D18/Prices!$C$172)*1000)+(_CT!D18/Prices!$C$175)+(_CU!D18/Prices!$C$175)+(_KT!D18*1000)+(CHUNG!D18/Prices!$C$181)</f>
        <v>17288873.42708727</v>
      </c>
      <c r="E18" s="275">
        <f>((PTT!E18/Prices!$C$172)*1000)+(_CT!E18/Prices!$C$175)+(_CU!E18/Prices!$C$175)+(_KT!E18*1000)+(CHUNG!E18/Prices!$C$181)</f>
        <v>16927002.641382288</v>
      </c>
      <c r="F18" s="275">
        <f>((PTT!F18/Prices!$C$172)*1000)+(_CT!F18/Prices!$C$175)+(_CU!F18/Prices!$C$175)+(_KT!F18*1000)+(CHUNG!F18/Prices!$C$181)</f>
        <v>15194254.085853897</v>
      </c>
      <c r="G18" s="275">
        <f>((PTT!G18/Prices!$C$172)*1000)+(_CT!G18/Prices!$C$175)+(_CU!G18/Prices!$C$175)+(_KT!G18*1000)+(CHUNG!G18/Prices!$C$181)</f>
        <v>13373206.172358027</v>
      </c>
      <c r="H18" s="276">
        <f>IF(D18=0,"nm",IF(G18=0,"nm",(G18/D18)^(1/3)-1))</f>
        <v>-8.2041709658344897E-2</v>
      </c>
      <c r="I18" s="254"/>
      <c r="J18" s="5" t="s">
        <v>36</v>
      </c>
      <c r="L18" s="248">
        <f>'EM INCUMB'!D46</f>
        <v>1.0374108915053846E-3</v>
      </c>
      <c r="M18" s="248">
        <f>'EM INCUMB'!E46</f>
        <v>1.1367413289027294E-3</v>
      </c>
      <c r="N18" s="248">
        <f>'EM INCUMB'!F46</f>
        <v>1.2682363145756529E-3</v>
      </c>
      <c r="O18" s="248">
        <f>'EM INCUMB'!G46</f>
        <v>1.7427990175788118E-3</v>
      </c>
      <c r="P18" s="17">
        <f>'EM INCUMB'!H46</f>
        <v>0.19655757517991312</v>
      </c>
      <c r="S18" s="88"/>
      <c r="T18" s="88"/>
      <c r="U18" s="88"/>
      <c r="V18" s="42"/>
      <c r="W18" s="42"/>
      <c r="X18" s="42"/>
      <c r="Y18" s="42"/>
      <c r="Z18" s="42"/>
      <c r="AA18" s="42"/>
    </row>
    <row r="19" spans="2:27" ht="12.6" thickTop="1">
      <c r="B19" s="41"/>
      <c r="C19" s="249"/>
      <c r="D19" s="229"/>
      <c r="E19" s="229"/>
      <c r="F19" s="229"/>
      <c r="G19" s="229"/>
      <c r="H19" s="276"/>
      <c r="I19" s="17"/>
      <c r="J19" s="5" t="s">
        <v>581</v>
      </c>
      <c r="L19" s="248">
        <f>'EM INCUMB'!D47</f>
        <v>6.8760359320712713E-2</v>
      </c>
      <c r="M19" s="248">
        <f>'EM INCUMB'!E47</f>
        <v>9.3200854168148425E-2</v>
      </c>
      <c r="N19" s="248">
        <f>'EM INCUMB'!F47</f>
        <v>0.10998278583214015</v>
      </c>
      <c r="O19" s="248">
        <f>'EM INCUMB'!G47</f>
        <v>0.12752081374284024</v>
      </c>
      <c r="P19" s="17">
        <f>'EM INCUMB'!H47</f>
        <v>0.21725098476735072</v>
      </c>
      <c r="S19" s="88"/>
      <c r="T19" s="88"/>
      <c r="U19" s="88"/>
      <c r="V19" s="42"/>
      <c r="W19" s="42"/>
      <c r="X19" s="42"/>
      <c r="Y19" s="42"/>
      <c r="Z19" s="42"/>
      <c r="AA19" s="42"/>
    </row>
    <row r="20" spans="2:27">
      <c r="H20" s="277"/>
      <c r="I20" s="49"/>
      <c r="J20" s="5" t="s">
        <v>604</v>
      </c>
      <c r="L20" s="248">
        <f>'EM INCUMB'!D48</f>
        <v>0.64455315794230339</v>
      </c>
      <c r="M20" s="248">
        <f>'EM INCUMB'!E48</f>
        <v>0.5360729455694393</v>
      </c>
      <c r="N20" s="248">
        <f>'EM INCUMB'!F48</f>
        <v>0.53346452793261268</v>
      </c>
      <c r="O20" s="248">
        <f>'EM INCUMB'!G48</f>
        <v>0.54024992115500903</v>
      </c>
      <c r="P20" s="17" t="str">
        <f>'EM INCUMB'!H48</f>
        <v>nm</v>
      </c>
      <c r="S20" s="42"/>
      <c r="T20" s="42"/>
      <c r="U20" s="42"/>
      <c r="V20" s="42"/>
      <c r="W20" s="42"/>
      <c r="X20" s="42"/>
      <c r="Y20" s="42"/>
      <c r="Z20" s="42"/>
      <c r="AA20" s="42"/>
    </row>
    <row r="21" spans="2:27" ht="12.6" thickBot="1">
      <c r="B21" s="306" t="s">
        <v>482</v>
      </c>
      <c r="C21" s="265">
        <v>2020</v>
      </c>
      <c r="D21" s="265" t="str">
        <f>D5</f>
        <v>2023E</v>
      </c>
      <c r="E21" s="265" t="str">
        <f>E5</f>
        <v>2024E</v>
      </c>
      <c r="F21" s="265" t="str">
        <f>F5</f>
        <v>2025E</v>
      </c>
      <c r="G21" s="265" t="str">
        <f>G5</f>
        <v>2026E</v>
      </c>
      <c r="H21" s="282" t="str">
        <f>H5</f>
        <v>23E-26E</v>
      </c>
      <c r="I21" s="17"/>
      <c r="S21" s="42"/>
      <c r="T21" s="42"/>
      <c r="U21" s="42"/>
      <c r="V21" s="42"/>
      <c r="W21" s="42"/>
      <c r="X21" s="42"/>
      <c r="Y21" s="42"/>
      <c r="Z21" s="42"/>
      <c r="AA21" s="42"/>
    </row>
    <row r="22" spans="2:27" ht="12.6" thickTop="1">
      <c r="B22" s="5"/>
      <c r="C22" s="257"/>
      <c r="D22" s="17"/>
      <c r="E22" s="17"/>
      <c r="F22" s="17"/>
      <c r="G22" s="17"/>
      <c r="H22" s="17"/>
      <c r="I22" s="247"/>
      <c r="P22" s="277"/>
      <c r="S22" s="42"/>
      <c r="T22" s="42"/>
      <c r="U22" s="42"/>
      <c r="V22" s="42"/>
      <c r="W22" s="42"/>
      <c r="X22" s="42"/>
      <c r="Y22" s="42"/>
      <c r="Z22" s="42"/>
      <c r="AA22" s="42"/>
    </row>
    <row r="23" spans="2:27" ht="12.6" thickBot="1">
      <c r="B23" s="5" t="s">
        <v>584</v>
      </c>
      <c r="C23" s="365">
        <f>((PTT!C23/Prices!$C$172)*1000)+(_CT!C23/Prices!$C$175)+(_CU!C23/Prices!$C$175)+(_KT!C23*1000/Prices!$C$173)+(CHUNG!C23/Prices!$C$181)</f>
        <v>149784.55244285328</v>
      </c>
      <c r="D23" s="228">
        <f>((PTT!D23/Prices!$C$172)*1000)+(_CT!D23/Prices!$C$175)+(_CU!D23/Prices!$C$175)+(_KT!D23*1000/Prices!$C$173)+(CHUNG!D23/Prices!$C$181)</f>
        <v>157383.51184799266</v>
      </c>
      <c r="E23" s="228">
        <f>((PTT!E23/Prices!$C$172)*1000)+(_CT!E23/Prices!$C$175)+(_CU!E23/Prices!$C$175)+(_KT!E23*1000/Prices!$C$173)+(CHUNG!E23/Prices!$C$181)</f>
        <v>164738.6826170581</v>
      </c>
      <c r="F23" s="228">
        <f>((PTT!F23/Prices!$C$172)*1000)+(_CT!F23/Prices!$C$175)+(_CU!F23/Prices!$C$175)+(_KT!F23*1000/Prices!$C$173)+(CHUNG!F23/Prices!$C$181)</f>
        <v>172904.7965656275</v>
      </c>
      <c r="G23" s="228">
        <f>((PTT!G23/Prices!$C$172)*1000)+(_CT!G23/Prices!$C$175)+(_CU!G23/Prices!$C$175)+(_KT!G23*1000/Prices!$C$173)+(CHUNG!G23/Prices!$C$181)</f>
        <v>179717.7855261823</v>
      </c>
      <c r="H23" s="279">
        <f t="shared" ref="H23:H33" si="0">IF(D23=0,"nm",IF(G23=0,"nm",(G23/D23)^(1/3)-1))</f>
        <v>4.5226973833718986E-2</v>
      </c>
      <c r="I23" s="249"/>
      <c r="J23" s="306" t="s">
        <v>9</v>
      </c>
      <c r="K23" s="306"/>
      <c r="L23" s="265" t="str">
        <f>L5</f>
        <v>2023E</v>
      </c>
      <c r="M23" s="265" t="str">
        <f>M5</f>
        <v>2024E</v>
      </c>
      <c r="N23" s="265" t="str">
        <f>N5</f>
        <v>2025E</v>
      </c>
      <c r="O23" s="265" t="str">
        <f>O5</f>
        <v>2026E</v>
      </c>
      <c r="P23" s="282" t="str">
        <f>P5</f>
        <v>23E-26E</v>
      </c>
      <c r="S23" s="42"/>
      <c r="T23" s="42"/>
      <c r="U23" s="42"/>
      <c r="V23" s="42"/>
      <c r="W23" s="42" t="s">
        <v>613</v>
      </c>
      <c r="X23" s="42" t="s">
        <v>561</v>
      </c>
      <c r="Y23" s="42"/>
      <c r="Z23" s="42"/>
      <c r="AA23" s="42"/>
    </row>
    <row r="24" spans="2:27" ht="12.6" thickTop="1">
      <c r="B24" s="5" t="s">
        <v>483</v>
      </c>
      <c r="C24" s="365">
        <f>((PTT!C24/Prices!$C$172)*1000)+(_CT!C24/Prices!$C$175)+(_CU!C24/Prices!$C$175)+(_KT!C24*1000/Prices!$C$173)+(CHUNG!C24/Prices!$C$181)</f>
        <v>42922.863575515083</v>
      </c>
      <c r="D24" s="228">
        <f>((PTT!D24/Prices!$C$172)*1000)+(_CT!D24/Prices!$C$175)+(_CU!D24/Prices!$C$175)+(_KT!D24*1000/Prices!$C$173)+(CHUNG!D24/Prices!$C$181)</f>
        <v>43933.263960314653</v>
      </c>
      <c r="E24" s="228">
        <f>((PTT!E24/Prices!$C$172)*1000)+(_CT!E24/Prices!$C$175)+(_CU!E24/Prices!$C$175)+(_KT!E24*1000/Prices!$C$173)+(CHUNG!E24/Prices!$C$181)</f>
        <v>45563.106848106923</v>
      </c>
      <c r="F24" s="228">
        <f>((PTT!F24/Prices!$C$172)*1000)+(_CT!F24/Prices!$C$175)+(_CU!F24/Prices!$C$175)+(_KT!F24*1000/Prices!$C$173)+(CHUNG!F24/Prices!$C$181)</f>
        <v>47588.958852870761</v>
      </c>
      <c r="G24" s="228">
        <f>((PTT!G24/Prices!$C$172)*1000)+(_CT!G24/Prices!$C$175)+(_CU!G24/Prices!$C$175)+(_KT!G24*1000/Prices!$C$173)+(CHUNG!G24/Prices!$C$181)</f>
        <v>49685.524344523496</v>
      </c>
      <c r="H24" s="279">
        <f t="shared" si="0"/>
        <v>4.1866648394238704E-2</v>
      </c>
      <c r="I24" s="248"/>
      <c r="J24" s="17"/>
      <c r="K24" s="17"/>
      <c r="L24" s="17"/>
      <c r="M24" s="17"/>
      <c r="N24" s="17"/>
      <c r="O24" s="248"/>
      <c r="S24" s="42"/>
      <c r="T24" s="42"/>
      <c r="U24" s="42"/>
      <c r="V24" s="147" t="s">
        <v>273</v>
      </c>
      <c r="W24" s="288">
        <f t="shared" ref="W24:W31" si="1">E37/M9</f>
        <v>1.4169970731250778</v>
      </c>
      <c r="X24" s="288">
        <v>1</v>
      </c>
      <c r="Y24" s="42"/>
      <c r="Z24" s="42"/>
      <c r="AA24" s="42"/>
    </row>
    <row r="25" spans="2:27">
      <c r="B25" s="5" t="s">
        <v>183</v>
      </c>
      <c r="C25" s="365">
        <f>((PTT!C25/Prices!$C$172)*1000)+(_CT!C25/Prices!$C$175)+(_CU!C25/Prices!$C$175)+(_KT!C25*1000/Prices!$C$173)+(CHUNG!C25/Prices!$C$181)</f>
        <v>14241.992167236773</v>
      </c>
      <c r="D25" s="228">
        <f>((PTT!D25/Prices!$C$172)*1000)+(_CT!D25/Prices!$C$175)+(_CU!D25/Prices!$C$175)+(_KT!D25*1000/Prices!$C$173)+(CHUNG!D25/Prices!$C$181)</f>
        <v>14764.090440039226</v>
      </c>
      <c r="E25" s="228">
        <f>((PTT!E25/Prices!$C$172)*1000)+(_CT!E25/Prices!$C$175)+(_CU!E25/Prices!$C$175)+(_KT!E25*1000/Prices!$C$173)+(CHUNG!E25/Prices!$C$181)</f>
        <v>17729.991630595126</v>
      </c>
      <c r="F25" s="228">
        <f>((PTT!F25/Prices!$C$172)*1000)+(_CT!F25/Prices!$C$175)+(_CU!F25/Prices!$C$175)+(_KT!F25*1000/Prices!$C$173)+(CHUNG!F25/Prices!$C$181)</f>
        <v>19483.126273708003</v>
      </c>
      <c r="G25" s="228">
        <f>((PTT!G25/Prices!$C$172)*1000)+(_CT!G25/Prices!$C$175)+(_CU!G25/Prices!$C$175)+(_KT!G25*1000/Prices!$C$173)+(CHUNG!G25/Prices!$C$181)</f>
        <v>21270.734120734047</v>
      </c>
      <c r="H25" s="279">
        <f t="shared" si="0"/>
        <v>0.12942811388589948</v>
      </c>
      <c r="I25" s="249"/>
      <c r="J25" s="247" t="s">
        <v>10</v>
      </c>
      <c r="K25" s="247"/>
      <c r="L25" s="332">
        <f>(((PTT!L25/Prices!$C$172)*1000)+(_CT!L25/Prices!$C$175)+(_CU!L25/Prices!$C$175)+(_KT!L25*1000/Prices!$C$173)+(CHUNG!L25/Prices!$C$181))</f>
        <v>-0.2235560989126551</v>
      </c>
      <c r="M25" s="332">
        <f>(((PTT!M25/Prices!$C$172)*1000)+(_CT!M25/Prices!$C$175)+(_CU!M25/Prices!$C$175)+(_KT!M25*1000/Prices!$C$173)+(CHUNG!M25/Prices!$C$181))</f>
        <v>-0.12311212813643979</v>
      </c>
      <c r="N25" s="332">
        <f>(((PTT!N25/Prices!$C$172)*1000)+(_CT!N25/Prices!$C$175)+(_CU!N25/Prices!$C$175)+(_KT!N25*1000/Prices!$C$173)+(CHUNG!N25/Prices!$C$181))</f>
        <v>-0.12311212813643979</v>
      </c>
      <c r="O25" s="332">
        <f>(((PTT!O25/Prices!$C$172)*1000)+(_CT!O25/Prices!$C$175)+(_CU!O25/Prices!$C$175)+(_KT!O25*1000/Prices!$C$173)+(CHUNG!O25/Prices!$C$181))</f>
        <v>-0.12311212813643979</v>
      </c>
      <c r="P25" s="279">
        <f>IF(L25=0,"nm",IF(O25=0,"nm",(O25/L25)^(1/3)-1))</f>
        <v>-0.18033176425189545</v>
      </c>
      <c r="Q25" s="5"/>
      <c r="S25" s="42"/>
      <c r="T25" s="42"/>
      <c r="U25" s="42"/>
      <c r="V25" s="147" t="s">
        <v>184</v>
      </c>
      <c r="W25" s="288">
        <f t="shared" si="1"/>
        <v>1.5777021824819188</v>
      </c>
      <c r="X25" s="288">
        <v>1</v>
      </c>
      <c r="Y25" s="42"/>
      <c r="Z25" s="42"/>
      <c r="AA25" s="42"/>
    </row>
    <row r="26" spans="2:27">
      <c r="B26" s="5" t="s">
        <v>586</v>
      </c>
      <c r="C26" s="365">
        <f>((PTT!C26/Prices!$C$172)*1000)+(_CT!C26/Prices!$C$175)+(_CU!C26/Prices!$C$175)+(_KT!C26*1000/Prices!$C$173)+(CHUNG!C26/Prices!$C$181)</f>
        <v>11140.175145489529</v>
      </c>
      <c r="D26" s="228">
        <f>((PTT!D26/Prices!$C$172)*1000)+(_CT!D26/Prices!$C$175)+(_CU!D26/Prices!$C$175)+(_KT!D26*1000/Prices!$C$173)+(CHUNG!D26/Prices!$C$181)</f>
        <v>11641.806693822078</v>
      </c>
      <c r="E26" s="228">
        <f>((PTT!E26/Prices!$C$172)*1000)+(_CT!E26/Prices!$C$175)+(_CU!E26/Prices!$C$175)+(_KT!E26*1000/Prices!$C$173)+(CHUNG!E26/Prices!$C$181)</f>
        <v>13924.185046358889</v>
      </c>
      <c r="F26" s="228">
        <f>((PTT!F26/Prices!$C$172)*1000)+(_CT!F26/Prices!$C$175)+(_CU!F26/Prices!$C$175)+(_KT!F26*1000/Prices!$C$173)+(CHUNG!F26/Prices!$C$181)</f>
        <v>15269.083004246109</v>
      </c>
      <c r="G26" s="228">
        <f>((PTT!G26/Prices!$C$172)*1000)+(_CT!G26/Prices!$C$175)+(_CU!G26/Prices!$C$175)+(_KT!G26*1000/Prices!$C$173)+(CHUNG!G26/Prices!$C$181)</f>
        <v>16656.595258979967</v>
      </c>
      <c r="H26" s="279">
        <f t="shared" si="0"/>
        <v>0.12682191049364189</v>
      </c>
      <c r="I26" s="249"/>
      <c r="J26" s="249" t="s">
        <v>11</v>
      </c>
      <c r="K26" s="249"/>
      <c r="L26" s="281">
        <f>(((PTT!L26/Prices!$C$172)*1000)+(_CT!L26/Prices!$C$175)+(_CU!L26/Prices!$C$175)+(_KT!L26*1000/Prices!$C$173)+(CHUNG!L26/Prices!$C$181))</f>
        <v>131561.16436166145</v>
      </c>
      <c r="M26" s="281">
        <f>(((PTT!M26/Prices!$C$172)*1000)+(_CT!M26/Prices!$C$175)+(_CU!M26/Prices!$C$175)+(_KT!M26*1000/Prices!$C$173)+(CHUNG!M26/Prices!$C$181))</f>
        <v>131697.78101957892</v>
      </c>
      <c r="N26" s="281">
        <f>(((PTT!N26/Prices!$C$172)*1000)+(_CT!N26/Prices!$C$175)+(_CU!N26/Prices!$C$175)+(_KT!N26*1000/Prices!$C$173)+(CHUNG!N26/Prices!$C$181))</f>
        <v>131697.78101957892</v>
      </c>
      <c r="O26" s="281">
        <f>(((PTT!O26/Prices!$C$172)*1000)+(_CT!O26/Prices!$C$175)+(_CU!O26/Prices!$C$175)+(_KT!O26*1000/Prices!$C$173)+(CHUNG!O26/Prices!$C$181))</f>
        <v>131697.78101957892</v>
      </c>
      <c r="P26" s="279">
        <f>IF(L26=0,"nm",IF(O26=0,"nm",(O26/L26)^(1/3)-1))</f>
        <v>3.4602256939098019E-4</v>
      </c>
      <c r="Q26" s="41"/>
      <c r="S26" s="42"/>
      <c r="T26" s="42"/>
      <c r="U26" s="42"/>
      <c r="V26" s="147" t="s">
        <v>185</v>
      </c>
      <c r="W26" s="288">
        <f t="shared" si="1"/>
        <v>1.8360635226340174</v>
      </c>
      <c r="X26" s="288">
        <v>1</v>
      </c>
      <c r="Y26" s="42"/>
      <c r="Z26" s="42"/>
      <c r="AA26" s="42"/>
    </row>
    <row r="27" spans="2:27">
      <c r="B27" s="5" t="s">
        <v>587</v>
      </c>
      <c r="C27" s="365">
        <f>((PTT!C27/Prices!$C$172)*1000)+(_CT!C27/Prices!$C$175)+(_CU!C27/Prices!$C$175)+(_KT!C27*1000/Prices!$C$173)+(CHUNG!C27/Prices!$C$181)</f>
        <v>147858.83897220073</v>
      </c>
      <c r="D27" s="228">
        <f>((PTT!D27/Prices!$C$172)*1000)+(_CT!D27/Prices!$C$175)+(_CU!D27/Prices!$C$175)+(_KT!D27*1000/Prices!$C$173)+(CHUNG!D27/Prices!$C$181)</f>
        <v>148077.81039213194</v>
      </c>
      <c r="E27" s="228">
        <f>((PTT!E27/Prices!$C$172)*1000)+(_CT!E27/Prices!$C$175)+(_CU!E27/Prices!$C$175)+(_KT!E27*1000/Prices!$C$173)+(CHUNG!E27/Prices!$C$181)</f>
        <v>146176.97316150393</v>
      </c>
      <c r="F27" s="228">
        <f>((PTT!F27/Prices!$C$172)*1000)+(_CT!F27/Prices!$C$175)+(_CU!F27/Prices!$C$175)+(_KT!F27*1000/Prices!$C$173)+(CHUNG!F27/Prices!$C$181)</f>
        <v>144898.62816950705</v>
      </c>
      <c r="G27" s="228">
        <f>((PTT!G27/Prices!$C$172)*1000)+(_CT!G27/Prices!$C$175)+(_CU!G27/Prices!$C$175)+(_KT!G27*1000/Prices!$C$173)+(CHUNG!G27/Prices!$C$181)</f>
        <v>144448.74233077772</v>
      </c>
      <c r="H27" s="279">
        <f t="shared" si="0"/>
        <v>-8.2369426887253239E-3</v>
      </c>
      <c r="I27" s="248"/>
      <c r="J27" s="248"/>
      <c r="K27" s="248"/>
      <c r="L27" s="248"/>
      <c r="M27" s="248"/>
      <c r="N27" s="248"/>
      <c r="O27" s="248"/>
      <c r="Q27" s="5"/>
      <c r="S27" s="42"/>
      <c r="T27" s="42"/>
      <c r="U27" s="42"/>
      <c r="V27" s="147" t="s">
        <v>466</v>
      </c>
      <c r="W27" s="288">
        <f t="shared" si="1"/>
        <v>1.7223688764539475</v>
      </c>
      <c r="X27" s="288">
        <v>1</v>
      </c>
      <c r="Y27" s="42"/>
      <c r="Z27" s="42"/>
      <c r="AA27" s="42"/>
    </row>
    <row r="28" spans="2:27" ht="12.6" thickBot="1">
      <c r="B28" s="5" t="s">
        <v>592</v>
      </c>
      <c r="C28" s="365">
        <f>((PTT!C28/Prices!$C$172)*1000)+(_CT!C28/Prices!$C$175)+(_CU!C28/Prices!$C$175)+(_KT!C28*1000/Prices!$C$173)+(CHUNG!C28/Prices!$C$181)</f>
        <v>136203.70004428123</v>
      </c>
      <c r="D28" s="228">
        <f>((PTT!D28/Prices!$C$172)*1000)+(_CT!D28/Prices!$C$175)+(_CU!D28/Prices!$C$175)+(_KT!D28*1000/Prices!$C$173)+(CHUNG!D28/Prices!$C$181)</f>
        <v>135813.66122783261</v>
      </c>
      <c r="E28" s="228">
        <f>((PTT!E28/Prices!$C$172)*1000)+(_CT!E28/Prices!$C$175)+(_CU!E28/Prices!$C$175)+(_KT!E28*1000/Prices!$C$173)+(CHUNG!E28/Prices!$C$181)</f>
        <v>131995.46571381917</v>
      </c>
      <c r="F28" s="228">
        <f>((PTT!F28/Prices!$C$172)*1000)+(_CT!F28/Prices!$C$175)+(_CU!F28/Prices!$C$175)+(_KT!F28*1000/Prices!$C$173)+(CHUNG!F28/Prices!$C$181)</f>
        <v>128833.64014279927</v>
      </c>
      <c r="G28" s="228">
        <f>((PTT!G28/Prices!$C$172)*1000)+(_CT!G28/Prices!$C$175)+(_CU!G28/Prices!$C$175)+(_KT!G28*1000/Prices!$C$173)+(CHUNG!G28/Prices!$C$181)</f>
        <v>117673.60790149856</v>
      </c>
      <c r="H28" s="279">
        <f t="shared" si="0"/>
        <v>-4.6665732243638236E-2</v>
      </c>
      <c r="I28" s="252"/>
      <c r="J28" s="306" t="s">
        <v>754</v>
      </c>
      <c r="K28" s="306"/>
      <c r="L28" s="306"/>
      <c r="M28" s="306"/>
      <c r="N28" s="266"/>
      <c r="O28" s="266"/>
      <c r="P28" s="266"/>
      <c r="Q28" s="5"/>
      <c r="S28" s="42"/>
      <c r="T28" s="42"/>
      <c r="U28" s="42"/>
      <c r="V28" s="147" t="s">
        <v>530</v>
      </c>
      <c r="W28" s="288">
        <f t="shared" si="1"/>
        <v>1.603275392543607</v>
      </c>
      <c r="X28" s="288">
        <v>1</v>
      </c>
      <c r="Y28" s="42"/>
      <c r="Z28" s="42"/>
      <c r="AA28" s="42"/>
    </row>
    <row r="29" spans="2:27" ht="12.6" thickTop="1">
      <c r="B29" s="5" t="s">
        <v>588</v>
      </c>
      <c r="C29" s="365">
        <f>((PTT!C29/Prices!$C$172)*1000)+(_CT!C29/Prices!$C$175)+(_CU!C29/Prices!$C$175)+(_KT!C29*1000/Prices!$C$173)+(CHUNG!C29/Prices!$C$181)</f>
        <v>11498.23341985277</v>
      </c>
      <c r="D29" s="228">
        <f>((PTT!D29/Prices!$C$172)*1000)+(_CT!D29/Prices!$C$175)+(_CU!D29/Prices!$C$175)+(_KT!D29*1000/Prices!$C$173)+(CHUNG!D29/Prices!$C$181)</f>
        <v>11803.726356800418</v>
      </c>
      <c r="E29" s="228">
        <f>((PTT!E29/Prices!$C$172)*1000)+(_CT!E29/Prices!$C$175)+(_CU!E29/Prices!$C$175)+(_KT!E29*1000/Prices!$C$173)+(CHUNG!E29/Prices!$C$181)</f>
        <v>14327.737181035978</v>
      </c>
      <c r="F29" s="228">
        <f>((PTT!F29/Prices!$C$172)*1000)+(_CT!F29/Prices!$C$175)+(_CU!F29/Prices!$C$175)+(_KT!F29*1000/Prices!$C$173)+(CHUNG!F29/Prices!$C$181)</f>
        <v>16085.44184280829</v>
      </c>
      <c r="G29" s="228">
        <f>((PTT!G29/Prices!$C$172)*1000)+(_CT!G29/Prices!$C$175)+(_CU!G29/Prices!$C$175)+(_KT!G29*1000/Prices!$C$173)+(CHUNG!G29/Prices!$C$181)</f>
        <v>17938.144175158279</v>
      </c>
      <c r="H29" s="279">
        <f t="shared" si="0"/>
        <v>0.14970422100773506</v>
      </c>
      <c r="I29" s="254"/>
      <c r="J29" s="249"/>
      <c r="K29" s="249"/>
      <c r="L29" s="249"/>
      <c r="M29" s="249"/>
      <c r="N29" s="249"/>
      <c r="O29" s="251"/>
      <c r="Q29" s="5"/>
      <c r="S29" s="42"/>
      <c r="T29" s="42"/>
      <c r="U29" s="42"/>
      <c r="V29" s="147" t="s">
        <v>593</v>
      </c>
      <c r="W29" s="288">
        <f t="shared" si="1"/>
        <v>1.3831378266733148</v>
      </c>
      <c r="X29" s="288">
        <v>1</v>
      </c>
      <c r="Y29" s="42"/>
      <c r="Z29" s="42"/>
      <c r="AA29" s="42"/>
    </row>
    <row r="30" spans="2:27">
      <c r="B30" s="5" t="s">
        <v>589</v>
      </c>
      <c r="C30" s="365">
        <f>((PTT!C30/Prices!$C$172)*1000)+(_CT!C30/Prices!$C$175)+(_CU!C30/Prices!$C$175)+(_KT!C30*1000/Prices!$C$173)+(CHUNG!C30/Prices!$C$181)</f>
        <v>9074.176957879823</v>
      </c>
      <c r="D30" s="228">
        <f>((PTT!D30/Prices!$C$172)*1000)+(_CT!D30/Prices!$C$175)+(_CU!D30/Prices!$C$175)+(_KT!D30*1000/Prices!$C$173)+(CHUNG!D30/Prices!$C$181)</f>
        <v>9784.9900954033164</v>
      </c>
      <c r="E30" s="228">
        <f>((PTT!E30/Prices!$C$172)*1000)+(_CT!E30/Prices!$C$175)+(_CU!E30/Prices!$C$175)+(_KT!E30*1000/Prices!$C$173)+(CHUNG!E30/Prices!$C$181)</f>
        <v>10707.542345455286</v>
      </c>
      <c r="F30" s="228">
        <f>((PTT!F30/Prices!$C$172)*1000)+(_CT!F30/Prices!$C$175)+(_CU!F30/Prices!$C$175)+(_KT!F30*1000/Prices!$C$173)+(CHUNG!F30/Prices!$C$181)</f>
        <v>11528.359292196274</v>
      </c>
      <c r="G30" s="228">
        <f>((PTT!G30/Prices!$C$172)*1000)+(_CT!G30/Prices!$C$175)+(_CU!G30/Prices!$C$175)+(_KT!G30*1000/Prices!$C$173)+(CHUNG!G30/Prices!$C$181)</f>
        <v>13049.340826248472</v>
      </c>
      <c r="H30" s="279">
        <f t="shared" si="0"/>
        <v>0.10071798166920032</v>
      </c>
      <c r="I30" s="254"/>
      <c r="J30" s="248"/>
      <c r="K30" s="248"/>
      <c r="L30" s="248"/>
      <c r="M30" s="248"/>
      <c r="N30" s="248"/>
      <c r="O30" s="5"/>
      <c r="Q30" s="5"/>
      <c r="S30" s="42"/>
      <c r="T30" s="42"/>
      <c r="U30" s="42"/>
      <c r="V30" s="147" t="s">
        <v>475</v>
      </c>
      <c r="W30" s="288">
        <f t="shared" si="1"/>
        <v>0.85668417336135239</v>
      </c>
      <c r="X30" s="288">
        <v>1</v>
      </c>
      <c r="Y30" s="42"/>
      <c r="Z30" s="42"/>
      <c r="AA30" s="42"/>
    </row>
    <row r="31" spans="2:27">
      <c r="B31" s="5" t="s">
        <v>590</v>
      </c>
      <c r="C31" s="365">
        <f>((PTT!C31/Prices!$C$172)*1000)+(_CT!C31/Prices!$C$175)+(_CU!C31/Prices!$C$175)+(_KT!C31*1000/Prices!$C$173)+(CHUNG!C31/Prices!$C$181)</f>
        <v>6090.7666584269828</v>
      </c>
      <c r="D31" s="228">
        <f>((PTT!D31/Prices!$C$172)*1000)+(_CT!D31/Prices!$C$175)+(_CU!D31/Prices!$C$175)+(_KT!D31*1000/Prices!$C$173)+(CHUNG!D31/Prices!$C$181)</f>
        <v>6923.6029444670521</v>
      </c>
      <c r="E31" s="228">
        <f>((PTT!E31/Prices!$C$172)*1000)+(_CT!E31/Prices!$C$175)+(_CU!E31/Prices!$C$175)+(_KT!E31*1000/Prices!$C$173)+(CHUNG!E31/Prices!$C$181)</f>
        <v>7850.225563412565</v>
      </c>
      <c r="F31" s="228">
        <f>((PTT!F31/Prices!$C$172)*1000)+(_CT!F31/Prices!$C$175)+(_CU!F31/Prices!$C$175)+(_KT!F31*1000/Prices!$C$173)+(CHUNG!F31/Prices!$C$181)</f>
        <v>9249.1341352077034</v>
      </c>
      <c r="G31" s="228">
        <f>((PTT!G31/Prices!$C$172)*1000)+(_CT!G31/Prices!$C$175)+(_CU!G31/Prices!$C$175)+(_KT!G31*1000/Prices!$C$173)+(CHUNG!G31/Prices!$C$181)</f>
        <v>11002.658582156888</v>
      </c>
      <c r="H31" s="279">
        <f t="shared" si="0"/>
        <v>0.16695782620681299</v>
      </c>
      <c r="I31" s="254"/>
      <c r="J31" s="252"/>
      <c r="K31" s="252"/>
      <c r="L31" s="252"/>
      <c r="M31" s="252"/>
      <c r="N31" s="252"/>
      <c r="O31" s="5"/>
      <c r="Q31" s="5"/>
      <c r="S31" s="42"/>
      <c r="T31" s="42"/>
      <c r="U31" s="42"/>
      <c r="V31" s="147" t="s">
        <v>533</v>
      </c>
      <c r="W31" s="288">
        <f t="shared" si="1"/>
        <v>1.5643273367825457</v>
      </c>
      <c r="X31" s="288">
        <v>1</v>
      </c>
      <c r="Y31" s="42"/>
      <c r="Z31" s="42"/>
      <c r="AA31" s="42"/>
    </row>
    <row r="32" spans="2:27">
      <c r="B32" s="5" t="s">
        <v>606</v>
      </c>
      <c r="C32" s="365">
        <f>((PTT!C32/Prices!$C$172)*1000)+(_CT!C32/Prices!$C$175)+(_CU!C32/Prices!$C$175)+(_KT!C32*1000/Prices!$C$173)+(CHUNG!C32/Prices!$C$181)</f>
        <v>0</v>
      </c>
      <c r="D32" s="228">
        <f>((PTT!D32/Prices!$C$172)*1000)+(_CT!D32/Prices!$C$175)+(_CU!D32/Prices!$C$175)+(_KT!D32*1000/Prices!$C$173)+(CHUNG!D32/Prices!$C$181)</f>
        <v>0</v>
      </c>
      <c r="E32" s="228">
        <f>((PTT!E32/Prices!$C$172)*1000)+(_CT!E32/Prices!$C$175)+(_CU!E32/Prices!$C$175)+(_KT!E32*1000/Prices!$C$173)+(CHUNG!E32/Prices!$C$181)</f>
        <v>0</v>
      </c>
      <c r="F32" s="228">
        <f>((PTT!F32/Prices!$C$172)*1000)+(_CT!F32/Prices!$C$175)+(_CU!F32/Prices!$C$175)+(_KT!F32*1000/Prices!$C$173)+(CHUNG!F32/Prices!$C$181)</f>
        <v>83.740781307046362</v>
      </c>
      <c r="G32" s="228">
        <f>((PTT!G32/Prices!$C$172)*1000)+(_CT!G32/Prices!$C$175)+(_CU!G32/Prices!$C$175)+(_KT!G32*1000/Prices!$C$173)+(CHUNG!G32/Prices!$C$181)</f>
        <v>141.38444687842278</v>
      </c>
      <c r="H32" s="279" t="str">
        <f t="shared" si="0"/>
        <v>nm</v>
      </c>
      <c r="I32" s="5"/>
      <c r="J32" s="254"/>
      <c r="K32" s="254"/>
      <c r="L32" s="254"/>
      <c r="M32" s="254"/>
      <c r="N32" s="254"/>
      <c r="O32" s="251"/>
      <c r="Q32" s="5"/>
      <c r="S32" s="42"/>
      <c r="T32" s="42"/>
      <c r="U32" s="42"/>
      <c r="V32" s="147" t="s">
        <v>580</v>
      </c>
      <c r="W32" s="288">
        <f>M17/E45</f>
        <v>1.3397344170642604</v>
      </c>
      <c r="X32" s="288">
        <v>1</v>
      </c>
      <c r="Y32" s="42"/>
      <c r="Z32" s="42"/>
      <c r="AA32" s="42"/>
    </row>
    <row r="33" spans="2:42">
      <c r="B33" s="5" t="s">
        <v>5</v>
      </c>
      <c r="C33" s="365">
        <f>((PTT!C33/Prices!$C$172)*1000)+(_CT!C33/Prices!$C$175)+(_CU!C33/Prices!$C$175)+(_KT!C33*1000/Prices!$C$173)+(CHUNG!C33/Prices!$C$181)</f>
        <v>328.47239374774148</v>
      </c>
      <c r="D33" s="228">
        <f>((PTT!D33/Prices!$C$172)*1000)+(_CT!D33/Prices!$C$175)+(_CU!D33/Prices!$C$175)+(_KT!D33*1000/Prices!$C$173)+(CHUNG!D33/Prices!$C$181)</f>
        <v>-141.00041999122803</v>
      </c>
      <c r="E33" s="228">
        <f>((PTT!E33/Prices!$C$172)*1000)+(_CT!E33/Prices!$C$175)+(_CU!E33/Prices!$C$175)+(_KT!E33*1000/Prices!$C$173)+(CHUNG!E33/Prices!$C$181)</f>
        <v>-240.47924594357417</v>
      </c>
      <c r="F33" s="228">
        <f>((PTT!F33/Prices!$C$172)*1000)+(_CT!F33/Prices!$C$175)+(_CU!F33/Prices!$C$175)+(_KT!F33*1000/Prices!$C$173)+(CHUNG!F33/Prices!$C$181)</f>
        <v>-208.79073706888508</v>
      </c>
      <c r="G33" s="228">
        <f>((PTT!G33/Prices!$C$172)*1000)+(_CT!G33/Prices!$C$175)+(_CU!G33/Prices!$C$175)+(_KT!G33*1000/Prices!$C$173)+(CHUNG!G33/Prices!$C$181)</f>
        <v>-160.3786937862393</v>
      </c>
      <c r="H33" s="279">
        <f t="shared" si="0"/>
        <v>4.3859597509813941E-2</v>
      </c>
      <c r="I33" s="49"/>
      <c r="J33" s="254"/>
      <c r="K33" s="254"/>
      <c r="L33" s="254"/>
      <c r="M33" s="254"/>
      <c r="N33" s="254"/>
      <c r="O33" s="251"/>
      <c r="Q33" s="5"/>
      <c r="S33" s="42"/>
      <c r="T33" s="42"/>
      <c r="U33" s="42"/>
      <c r="V33" s="147" t="s">
        <v>581</v>
      </c>
      <c r="W33" s="288">
        <f>M19/E47</f>
        <v>0.85668417336135239</v>
      </c>
      <c r="X33" s="288">
        <v>1</v>
      </c>
      <c r="Y33" s="288"/>
      <c r="Z33" s="288"/>
      <c r="AA33" s="42"/>
      <c r="AC33" s="10"/>
      <c r="AD33" s="10"/>
      <c r="AE33" s="10"/>
      <c r="AF33" s="10"/>
      <c r="AH33" s="10"/>
      <c r="AI33" s="10"/>
      <c r="AJ33" s="10"/>
      <c r="AK33" s="10"/>
      <c r="AM33" s="10"/>
      <c r="AN33" s="10"/>
      <c r="AO33" s="10"/>
      <c r="AP33" s="10"/>
    </row>
    <row r="34" spans="2:42">
      <c r="H34" s="277"/>
      <c r="I34" s="254"/>
      <c r="J34" s="254"/>
      <c r="K34" s="254"/>
      <c r="L34" s="254"/>
      <c r="M34" s="254"/>
      <c r="N34" s="254"/>
      <c r="O34" s="251"/>
      <c r="Q34" s="5"/>
      <c r="S34" s="42"/>
      <c r="T34" s="42"/>
      <c r="U34" s="42"/>
      <c r="V34" s="42"/>
      <c r="W34" s="42"/>
      <c r="X34" s="42"/>
      <c r="Y34" s="288"/>
      <c r="Z34" s="288"/>
      <c r="AA34" s="42"/>
      <c r="AC34" s="10"/>
      <c r="AD34" s="10"/>
      <c r="AE34" s="10"/>
      <c r="AF34" s="10"/>
      <c r="AH34" s="10"/>
      <c r="AI34" s="10"/>
      <c r="AJ34" s="10"/>
      <c r="AK34" s="10"/>
      <c r="AM34" s="10"/>
      <c r="AN34" s="10"/>
      <c r="AO34" s="10"/>
      <c r="AP34" s="10"/>
    </row>
    <row r="35" spans="2:42" ht="12.6" thickBot="1">
      <c r="B35" s="306" t="s">
        <v>547</v>
      </c>
      <c r="C35" s="265"/>
      <c r="D35" s="265" t="str">
        <f>D5</f>
        <v>2023E</v>
      </c>
      <c r="E35" s="265" t="str">
        <f>E5</f>
        <v>2024E</v>
      </c>
      <c r="F35" s="265" t="str">
        <f>F5</f>
        <v>2025E</v>
      </c>
      <c r="G35" s="265" t="str">
        <f>G5</f>
        <v>2026E</v>
      </c>
      <c r="H35" s="265" t="str">
        <f>H5</f>
        <v>23E-26E</v>
      </c>
      <c r="I35" s="17"/>
      <c r="J35" s="5"/>
      <c r="K35" s="5"/>
      <c r="L35" s="5"/>
      <c r="M35" s="5"/>
      <c r="N35" s="5"/>
      <c r="O35" s="5"/>
      <c r="Q35" s="5"/>
      <c r="S35" s="42"/>
      <c r="T35" s="42"/>
      <c r="U35" s="42"/>
      <c r="V35" s="42"/>
      <c r="W35" s="42"/>
      <c r="X35" s="42"/>
      <c r="Y35" s="288"/>
      <c r="Z35" s="288"/>
      <c r="AA35" s="42"/>
      <c r="AC35" s="10"/>
      <c r="AD35" s="10"/>
      <c r="AE35" s="10"/>
      <c r="AF35" s="10"/>
      <c r="AH35" s="10"/>
      <c r="AI35" s="10"/>
      <c r="AJ35" s="10"/>
      <c r="AK35" s="10"/>
      <c r="AM35" s="10"/>
      <c r="AN35" s="10"/>
      <c r="AO35" s="10"/>
      <c r="AP35" s="10"/>
    </row>
    <row r="36" spans="2:42" ht="12.6" thickTop="1">
      <c r="B36" s="41"/>
      <c r="C36" s="249"/>
      <c r="D36" s="254"/>
      <c r="E36" s="254"/>
      <c r="F36" s="254"/>
      <c r="G36" s="254"/>
      <c r="H36" s="254"/>
      <c r="I36" s="5"/>
      <c r="J36" s="49"/>
      <c r="K36" s="49"/>
      <c r="L36" s="49"/>
      <c r="M36" s="49"/>
      <c r="N36" s="49"/>
      <c r="O36" s="49"/>
      <c r="Q36" s="5"/>
      <c r="R36" s="5"/>
      <c r="S36" s="42"/>
      <c r="T36" s="42"/>
      <c r="U36" s="42"/>
      <c r="V36" s="42"/>
      <c r="W36" s="42"/>
      <c r="X36" s="42"/>
      <c r="Y36" s="42"/>
      <c r="Z36" s="42"/>
      <c r="AA36" s="42"/>
      <c r="AC36" s="10"/>
      <c r="AD36" s="10"/>
      <c r="AE36" s="10"/>
      <c r="AF36" s="10"/>
      <c r="AH36" s="10"/>
      <c r="AI36" s="10"/>
      <c r="AJ36" s="10"/>
      <c r="AK36" s="10"/>
      <c r="AM36" s="10"/>
      <c r="AN36" s="10"/>
      <c r="AO36" s="10"/>
      <c r="AP36" s="10"/>
    </row>
    <row r="37" spans="2:42">
      <c r="B37" s="5" t="s">
        <v>273</v>
      </c>
      <c r="C37" s="247"/>
      <c r="D37" s="557">
        <f t="shared" ref="D37:G41" si="2">D$18/D23</f>
        <v>109.85187218204636</v>
      </c>
      <c r="E37" s="557">
        <f t="shared" si="2"/>
        <v>102.75062524768276</v>
      </c>
      <c r="F37" s="557">
        <f t="shared" si="2"/>
        <v>87.876417471662137</v>
      </c>
      <c r="G37" s="557">
        <f t="shared" si="2"/>
        <v>74.412257713968671</v>
      </c>
      <c r="H37" s="17">
        <f t="shared" ref="H37:H45" si="3">H23</f>
        <v>4.5226973833718986E-2</v>
      </c>
      <c r="I37" s="259"/>
      <c r="J37" s="259"/>
      <c r="K37" s="259"/>
      <c r="L37" s="259"/>
      <c r="M37" s="259"/>
      <c r="N37" s="259"/>
      <c r="O37" s="18"/>
      <c r="Q37" s="5"/>
      <c r="R37" s="5"/>
      <c r="S37" s="42"/>
      <c r="T37" s="42"/>
      <c r="U37" s="42"/>
      <c r="V37" s="42"/>
      <c r="W37" s="42"/>
      <c r="X37" s="42"/>
      <c r="Y37" s="42"/>
      <c r="Z37" s="42"/>
      <c r="AA37" s="42"/>
      <c r="AC37" s="10"/>
      <c r="AD37" s="10"/>
      <c r="AE37" s="10"/>
      <c r="AF37" s="10"/>
      <c r="AH37" s="10"/>
      <c r="AI37" s="10"/>
      <c r="AJ37" s="10"/>
      <c r="AK37" s="10"/>
      <c r="AM37" s="10"/>
      <c r="AN37" s="10"/>
      <c r="AO37" s="10"/>
      <c r="AP37" s="10"/>
    </row>
    <row r="38" spans="2:42">
      <c r="B38" s="5" t="s">
        <v>184</v>
      </c>
      <c r="C38" s="247"/>
      <c r="D38" s="557">
        <f t="shared" si="2"/>
        <v>393.52581321306968</v>
      </c>
      <c r="E38" s="557">
        <f t="shared" si="2"/>
        <v>371.50676967248074</v>
      </c>
      <c r="F38" s="557">
        <f t="shared" si="2"/>
        <v>319.28107805067725</v>
      </c>
      <c r="G38" s="557">
        <f t="shared" si="2"/>
        <v>269.15698986342824</v>
      </c>
      <c r="H38" s="17">
        <f t="shared" si="3"/>
        <v>4.1866648394238704E-2</v>
      </c>
      <c r="I38" s="17"/>
      <c r="J38" s="17"/>
      <c r="K38" s="17"/>
      <c r="L38" s="17"/>
      <c r="M38" s="17"/>
      <c r="N38" s="17"/>
      <c r="O38" s="5"/>
      <c r="Q38" s="5"/>
      <c r="R38" s="5"/>
      <c r="S38" s="42"/>
      <c r="T38" s="42"/>
      <c r="U38" s="42"/>
      <c r="V38" s="42"/>
      <c r="W38" s="42"/>
      <c r="X38" s="42"/>
      <c r="Y38" s="42"/>
      <c r="Z38" s="42"/>
      <c r="AA38" s="42"/>
    </row>
    <row r="39" spans="2:42">
      <c r="B39" s="5" t="s">
        <v>185</v>
      </c>
      <c r="C39" s="247"/>
      <c r="D39" s="557">
        <f t="shared" si="2"/>
        <v>1171.0083663671553</v>
      </c>
      <c r="E39" s="557">
        <f t="shared" si="2"/>
        <v>954.71013151370084</v>
      </c>
      <c r="F39" s="557">
        <f t="shared" si="2"/>
        <v>779.86735149164258</v>
      </c>
      <c r="G39" s="557">
        <f t="shared" si="2"/>
        <v>628.71389846964632</v>
      </c>
      <c r="H39" s="17">
        <f t="shared" si="3"/>
        <v>0.12942811388589948</v>
      </c>
      <c r="I39" s="5"/>
      <c r="J39" s="5"/>
      <c r="K39" s="5"/>
      <c r="L39" s="5"/>
      <c r="M39" s="5"/>
      <c r="N39" s="5"/>
      <c r="O39" s="5"/>
      <c r="Q39" s="5"/>
      <c r="R39" s="5"/>
      <c r="S39" s="42"/>
      <c r="T39" s="42"/>
      <c r="U39" s="42"/>
      <c r="V39" s="42"/>
      <c r="W39" s="288"/>
      <c r="X39" s="288"/>
      <c r="Y39" s="42"/>
      <c r="Z39" s="42"/>
      <c r="AA39" s="42"/>
    </row>
    <row r="40" spans="2:42">
      <c r="B40" s="5" t="s">
        <v>466</v>
      </c>
      <c r="C40" s="247"/>
      <c r="D40" s="557">
        <f t="shared" si="2"/>
        <v>1485.0679006946493</v>
      </c>
      <c r="E40" s="557">
        <f t="shared" si="2"/>
        <v>1215.6548182192266</v>
      </c>
      <c r="F40" s="557">
        <f t="shared" si="2"/>
        <v>995.09931812071466</v>
      </c>
      <c r="G40" s="557">
        <f t="shared" si="2"/>
        <v>802.87753676119451</v>
      </c>
      <c r="H40" s="17">
        <f t="shared" si="3"/>
        <v>0.12682191049364189</v>
      </c>
      <c r="I40" s="247"/>
      <c r="J40" s="259"/>
      <c r="K40" s="259"/>
      <c r="L40" s="259"/>
      <c r="M40" s="259"/>
      <c r="N40" s="259"/>
      <c r="O40" s="18"/>
      <c r="Q40" s="5"/>
      <c r="R40" s="5"/>
      <c r="S40" s="42"/>
      <c r="T40" s="42"/>
      <c r="U40" s="42"/>
      <c r="V40" s="42"/>
      <c r="W40" s="288"/>
      <c r="X40" s="288"/>
      <c r="Y40" s="288"/>
      <c r="Z40" s="288"/>
      <c r="AA40" s="42"/>
    </row>
    <row r="41" spans="2:42">
      <c r="B41" s="5" t="s">
        <v>530</v>
      </c>
      <c r="C41" s="247"/>
      <c r="D41" s="557">
        <f t="shared" si="2"/>
        <v>116.75532871065406</v>
      </c>
      <c r="E41" s="557">
        <f t="shared" si="2"/>
        <v>115.79801028360639</v>
      </c>
      <c r="F41" s="557">
        <f t="shared" si="2"/>
        <v>104.86126941159976</v>
      </c>
      <c r="G41" s="557">
        <f t="shared" si="2"/>
        <v>92.580980329578097</v>
      </c>
      <c r="H41" s="17">
        <f t="shared" si="3"/>
        <v>-8.2369426887253239E-3</v>
      </c>
      <c r="I41" s="248"/>
      <c r="J41" s="17"/>
      <c r="K41" s="17"/>
      <c r="L41" s="17"/>
      <c r="M41" s="17"/>
      <c r="N41" s="17"/>
      <c r="O41" s="5"/>
      <c r="Q41" s="5"/>
      <c r="R41" s="5"/>
      <c r="S41" s="42"/>
      <c r="T41" s="42"/>
      <c r="U41" s="42"/>
      <c r="V41" s="42"/>
      <c r="W41" s="288"/>
      <c r="X41" s="288"/>
      <c r="Y41" s="288"/>
      <c r="Z41" s="288"/>
      <c r="AA41" s="42"/>
    </row>
    <row r="42" spans="2:42">
      <c r="B42" s="5" t="s">
        <v>593</v>
      </c>
      <c r="C42" s="247"/>
      <c r="D42" s="557">
        <f>D18/D28</f>
        <v>127.29848581347441</v>
      </c>
      <c r="E42" s="557">
        <f>E18/E28</f>
        <v>128.23927359809397</v>
      </c>
      <c r="F42" s="557">
        <f>F18/F28</f>
        <v>117.9370082923418</v>
      </c>
      <c r="G42" s="557">
        <f>G18/G28</f>
        <v>113.6466061578768</v>
      </c>
      <c r="H42" s="17">
        <f t="shared" si="3"/>
        <v>-4.6665732243638236E-2</v>
      </c>
      <c r="I42" s="247"/>
      <c r="J42" s="5"/>
      <c r="K42" s="5"/>
      <c r="L42" s="5"/>
      <c r="M42" s="5"/>
      <c r="N42" s="5"/>
      <c r="O42" s="5"/>
      <c r="Q42" s="5"/>
      <c r="R42" s="5"/>
      <c r="S42" s="42"/>
      <c r="T42" s="42"/>
      <c r="U42" s="42"/>
      <c r="V42" s="42"/>
      <c r="W42" s="288"/>
      <c r="X42" s="288"/>
      <c r="Y42" s="288"/>
      <c r="Z42" s="288"/>
      <c r="AA42" s="42"/>
    </row>
    <row r="43" spans="2:42">
      <c r="B43" s="5" t="s">
        <v>475</v>
      </c>
      <c r="C43" s="247"/>
      <c r="D43" s="557">
        <f>L26/D29</f>
        <v>11.145731473677023</v>
      </c>
      <c r="E43" s="557">
        <f>M26/E29</f>
        <v>9.1918060301868554</v>
      </c>
      <c r="F43" s="557">
        <f>N26/F29</f>
        <v>8.1873897096871016</v>
      </c>
      <c r="G43" s="557">
        <f>O26/G29</f>
        <v>7.3417729132738936</v>
      </c>
      <c r="H43" s="17">
        <f t="shared" si="3"/>
        <v>0.14970422100773506</v>
      </c>
      <c r="I43" s="247"/>
      <c r="J43" s="247"/>
      <c r="K43" s="247"/>
      <c r="L43" s="247"/>
      <c r="M43" s="247"/>
      <c r="N43" s="247"/>
      <c r="O43" s="18"/>
      <c r="Q43" s="5"/>
      <c r="R43" s="5"/>
      <c r="S43" s="42"/>
      <c r="T43" s="42"/>
      <c r="U43" s="42"/>
      <c r="V43" s="42"/>
      <c r="W43" s="325"/>
      <c r="X43" s="325"/>
      <c r="Y43" s="288"/>
      <c r="Z43" s="288"/>
      <c r="AA43" s="42"/>
    </row>
    <row r="44" spans="2:42">
      <c r="B44" s="5" t="s">
        <v>533</v>
      </c>
      <c r="C44" s="69"/>
      <c r="D44" s="557">
        <f>D11/D30</f>
        <v>928.17149046569807</v>
      </c>
      <c r="E44" s="557">
        <f>E11/E30</f>
        <v>865.66155864672101</v>
      </c>
      <c r="F44" s="557">
        <f>F11/F30</f>
        <v>804.02662348639615</v>
      </c>
      <c r="G44" s="557">
        <f>G11/G30</f>
        <v>710.31233833650629</v>
      </c>
      <c r="H44" s="17">
        <f t="shared" si="3"/>
        <v>0.10071798166920032</v>
      </c>
      <c r="I44" s="248"/>
      <c r="J44" s="248"/>
      <c r="K44" s="248"/>
      <c r="L44" s="248"/>
      <c r="M44" s="248"/>
      <c r="N44" s="248"/>
      <c r="O44" s="248"/>
      <c r="Q44" s="5"/>
      <c r="R44" s="5"/>
      <c r="S44" s="42"/>
      <c r="T44" s="42"/>
      <c r="U44" s="42"/>
      <c r="V44" s="42"/>
      <c r="W44" s="42"/>
      <c r="X44" s="42"/>
      <c r="Y44" s="325"/>
      <c r="Z44" s="325"/>
      <c r="AA44" s="42"/>
    </row>
    <row r="45" spans="2:42">
      <c r="B45" s="5" t="s">
        <v>580</v>
      </c>
      <c r="C45" s="247"/>
      <c r="D45" s="248">
        <f>D31/D11</f>
        <v>7.6233092692546691E-4</v>
      </c>
      <c r="E45" s="248">
        <f>E31/E11</f>
        <v>8.4692353742656752E-4</v>
      </c>
      <c r="F45" s="248">
        <f>F31/F11</f>
        <v>9.9784513663295476E-4</v>
      </c>
      <c r="G45" s="248">
        <f>G31/G11</f>
        <v>1.1870245577308349E-3</v>
      </c>
      <c r="H45" s="17">
        <f t="shared" si="3"/>
        <v>0.16695782620681299</v>
      </c>
      <c r="I45" s="247"/>
      <c r="J45" s="247"/>
      <c r="K45" s="247"/>
      <c r="L45" s="247"/>
      <c r="M45" s="247"/>
      <c r="N45" s="247"/>
      <c r="O45" s="248"/>
      <c r="Q45" s="5"/>
      <c r="R45" s="5"/>
      <c r="S45" s="42"/>
      <c r="T45" s="42"/>
      <c r="U45" s="42"/>
      <c r="V45" s="42"/>
      <c r="W45" s="42"/>
      <c r="X45" s="42"/>
      <c r="Y45" s="42"/>
      <c r="Z45" s="42"/>
      <c r="AA45" s="326"/>
      <c r="AB45" s="303"/>
    </row>
    <row r="46" spans="2:42">
      <c r="B46" s="5" t="s">
        <v>605</v>
      </c>
      <c r="C46" s="247"/>
      <c r="D46" s="248">
        <f>(D31+D32)/D11</f>
        <v>7.6233092692546691E-4</v>
      </c>
      <c r="E46" s="248">
        <f>(E31+E32)/E11</f>
        <v>8.4692353742656752E-4</v>
      </c>
      <c r="F46" s="248">
        <f>(F31+F32)/F11</f>
        <v>1.006879531652376E-3</v>
      </c>
      <c r="G46" s="248">
        <f>(G31+G32)/G11</f>
        <v>1.2022778539476277E-3</v>
      </c>
      <c r="H46" s="279">
        <f>((G31+G32)/(D31+D32))^(1/3)-1</f>
        <v>0.17193504695804629</v>
      </c>
      <c r="I46" s="17"/>
      <c r="J46" s="247"/>
      <c r="K46" s="247"/>
      <c r="L46" s="247"/>
      <c r="M46" s="247"/>
      <c r="N46" s="247"/>
      <c r="O46" s="18"/>
      <c r="Q46" s="5"/>
      <c r="R46" s="5"/>
      <c r="S46" s="42"/>
      <c r="T46" s="42"/>
      <c r="U46" s="42"/>
      <c r="V46" s="42"/>
      <c r="W46" s="42"/>
      <c r="X46" s="42"/>
      <c r="Y46" s="42"/>
      <c r="Z46" s="42"/>
      <c r="AA46" s="326"/>
      <c r="AB46" s="303"/>
    </row>
    <row r="47" spans="2:42">
      <c r="B47" s="5" t="s">
        <v>581</v>
      </c>
      <c r="C47" s="5"/>
      <c r="D47" s="248">
        <f>1/D43</f>
        <v>8.9720446106360027E-2</v>
      </c>
      <c r="E47" s="248">
        <f>1/E43</f>
        <v>0.10879254813644838</v>
      </c>
      <c r="F47" s="248">
        <f>1/F43</f>
        <v>0.12213904986308721</v>
      </c>
      <c r="G47" s="248">
        <f>1/G43</f>
        <v>0.13620688242645101</v>
      </c>
      <c r="H47" s="17">
        <f>H29</f>
        <v>0.14970422100773506</v>
      </c>
      <c r="I47" s="247"/>
      <c r="J47" s="248"/>
      <c r="K47" s="248"/>
      <c r="L47" s="248"/>
      <c r="M47" s="248"/>
      <c r="N47" s="248"/>
      <c r="O47" s="248"/>
      <c r="Q47" s="5"/>
      <c r="R47" s="5"/>
      <c r="S47" s="5"/>
      <c r="T47" s="5"/>
      <c r="U47" s="5"/>
      <c r="AA47" s="303"/>
      <c r="AB47" s="303"/>
    </row>
    <row r="48" spans="2:42">
      <c r="B48" s="5" t="s">
        <v>618</v>
      </c>
      <c r="C48" s="5"/>
      <c r="D48" s="305">
        <f>D31/D29</f>
        <v>0.58656078048422344</v>
      </c>
      <c r="E48" s="305">
        <f>E31/E29</f>
        <v>0.54790407335242231</v>
      </c>
      <c r="F48" s="305">
        <f>F31/F29</f>
        <v>0.57500031553954101</v>
      </c>
      <c r="G48" s="305">
        <f>G31/G29</f>
        <v>0.6133666044112841</v>
      </c>
      <c r="H48" s="17" t="s">
        <v>607</v>
      </c>
      <c r="I48" s="259"/>
      <c r="J48" s="247"/>
      <c r="K48" s="247"/>
      <c r="L48" s="247"/>
      <c r="M48" s="247"/>
      <c r="N48" s="247"/>
      <c r="O48" s="248"/>
      <c r="Q48" s="5"/>
      <c r="R48" s="5"/>
      <c r="S48" s="5"/>
      <c r="T48" s="5"/>
      <c r="U48" s="5"/>
      <c r="AA48" s="303"/>
      <c r="AB48" s="303"/>
    </row>
    <row r="49" spans="2:28">
      <c r="B49" s="41"/>
      <c r="C49" s="17"/>
      <c r="D49" s="17"/>
      <c r="E49" s="17"/>
      <c r="F49" s="17"/>
      <c r="G49" s="17"/>
      <c r="H49" s="17"/>
      <c r="I49" s="17"/>
      <c r="J49" s="17"/>
      <c r="K49" s="17"/>
      <c r="L49" s="17"/>
      <c r="M49" s="17"/>
      <c r="N49" s="17"/>
      <c r="O49" s="248"/>
      <c r="Q49" s="5"/>
      <c r="R49" s="5"/>
      <c r="S49" s="5"/>
      <c r="T49" s="5"/>
      <c r="U49" s="5"/>
      <c r="W49" s="10"/>
      <c r="X49" s="10"/>
      <c r="AA49" s="303"/>
      <c r="AB49" s="303"/>
    </row>
    <row r="50" spans="2:28">
      <c r="B50" s="5"/>
      <c r="C50" s="257"/>
      <c r="D50" s="257"/>
      <c r="E50" s="257"/>
      <c r="F50" s="5"/>
      <c r="G50" s="41"/>
      <c r="H50" s="249"/>
      <c r="I50" s="259"/>
      <c r="J50" s="249"/>
      <c r="K50" s="249"/>
      <c r="L50" s="249"/>
      <c r="M50" s="249"/>
      <c r="N50" s="249"/>
      <c r="O50" s="250"/>
      <c r="Q50" s="5"/>
      <c r="R50" s="5"/>
      <c r="S50" s="5"/>
      <c r="T50" s="5"/>
      <c r="U50" s="5"/>
      <c r="W50" s="10"/>
      <c r="X50" s="10"/>
      <c r="Y50" s="10"/>
      <c r="Z50" s="10"/>
    </row>
    <row r="51" spans="2:28">
      <c r="B51" s="41"/>
      <c r="C51" s="249"/>
      <c r="D51" s="254"/>
      <c r="E51" s="254"/>
      <c r="F51" s="254"/>
      <c r="G51" s="254"/>
      <c r="H51" s="254"/>
      <c r="I51" s="254"/>
      <c r="J51" s="17"/>
      <c r="K51" s="17"/>
      <c r="L51" s="17"/>
      <c r="M51" s="17"/>
      <c r="N51" s="17"/>
      <c r="O51" s="248"/>
      <c r="Q51" s="5"/>
      <c r="R51" s="5"/>
      <c r="S51" s="5"/>
      <c r="T51" s="5"/>
      <c r="U51" s="5"/>
      <c r="Y51" s="10"/>
      <c r="Z51" s="10"/>
    </row>
    <row r="52" spans="2:28">
      <c r="B52" s="5"/>
      <c r="C52" s="257"/>
      <c r="D52" s="17"/>
      <c r="E52" s="17"/>
      <c r="F52" s="17"/>
      <c r="G52" s="17"/>
      <c r="H52" s="17"/>
      <c r="I52" s="17"/>
      <c r="J52" s="259"/>
      <c r="K52" s="259"/>
      <c r="L52" s="259"/>
      <c r="M52" s="259"/>
      <c r="N52" s="259"/>
      <c r="O52" s="18"/>
      <c r="Q52" s="5"/>
      <c r="R52" s="5"/>
      <c r="S52" s="5"/>
      <c r="T52" s="5"/>
      <c r="U52" s="5"/>
    </row>
    <row r="53" spans="2:28">
      <c r="B53" s="5"/>
      <c r="C53" s="257"/>
      <c r="D53" s="257"/>
      <c r="E53" s="257"/>
      <c r="F53" s="5"/>
      <c r="G53" s="5"/>
      <c r="H53" s="259"/>
      <c r="I53" s="259"/>
      <c r="J53" s="254"/>
      <c r="K53" s="254"/>
      <c r="L53" s="254"/>
      <c r="M53" s="254"/>
      <c r="N53" s="254"/>
      <c r="O53" s="251"/>
      <c r="Q53" s="5"/>
      <c r="R53" s="5"/>
      <c r="S53" s="5"/>
      <c r="T53" s="5"/>
      <c r="U53" s="5"/>
    </row>
    <row r="54" spans="2:28">
      <c r="B54" s="41"/>
      <c r="C54" s="249"/>
      <c r="D54" s="254"/>
      <c r="E54" s="254"/>
      <c r="F54" s="254"/>
      <c r="G54" s="254"/>
      <c r="H54" s="254"/>
      <c r="I54" s="249"/>
      <c r="J54" s="17"/>
      <c r="K54" s="17"/>
      <c r="L54" s="17"/>
      <c r="M54" s="17"/>
      <c r="N54" s="17"/>
      <c r="O54" s="18"/>
      <c r="Q54" s="5"/>
      <c r="R54" s="5"/>
      <c r="S54" s="5"/>
      <c r="T54" s="5"/>
      <c r="U54" s="5"/>
    </row>
    <row r="55" spans="2:28">
      <c r="B55" s="5"/>
      <c r="C55" s="257"/>
      <c r="D55" s="17"/>
      <c r="E55" s="17"/>
      <c r="F55" s="17"/>
      <c r="G55" s="17"/>
      <c r="H55" s="17"/>
      <c r="I55" s="248"/>
      <c r="J55" s="259"/>
      <c r="K55" s="259"/>
      <c r="L55" s="259"/>
      <c r="M55" s="259"/>
      <c r="N55" s="259"/>
      <c r="O55" s="18"/>
      <c r="Q55" s="5"/>
      <c r="R55" s="5"/>
      <c r="S55" s="5"/>
      <c r="T55" s="5"/>
      <c r="U55" s="5"/>
    </row>
    <row r="56" spans="2:28">
      <c r="B56" s="5"/>
      <c r="C56" s="248"/>
      <c r="D56" s="248"/>
      <c r="E56" s="248"/>
      <c r="F56" s="5"/>
      <c r="G56" s="5"/>
      <c r="H56" s="259"/>
      <c r="I56" s="5"/>
      <c r="J56" s="249"/>
      <c r="K56" s="249"/>
      <c r="L56" s="249"/>
      <c r="M56" s="249"/>
      <c r="N56" s="249"/>
      <c r="O56" s="251"/>
      <c r="Q56" s="5"/>
      <c r="R56" s="5"/>
      <c r="S56" s="5"/>
      <c r="T56" s="5"/>
      <c r="U56" s="5"/>
    </row>
    <row r="57" spans="2:28">
      <c r="B57" s="41"/>
      <c r="C57" s="249"/>
      <c r="D57" s="249"/>
      <c r="E57" s="249"/>
      <c r="F57" s="249"/>
      <c r="G57" s="249"/>
      <c r="H57" s="249"/>
      <c r="I57" s="17"/>
      <c r="J57" s="248"/>
      <c r="K57" s="248"/>
      <c r="L57" s="248"/>
      <c r="M57" s="248"/>
      <c r="N57" s="248"/>
      <c r="O57" s="18"/>
      <c r="Q57" s="5"/>
      <c r="R57" s="5"/>
      <c r="S57" s="5"/>
      <c r="T57" s="5"/>
      <c r="U57" s="5"/>
    </row>
    <row r="58" spans="2:28">
      <c r="B58" s="5"/>
      <c r="C58" s="5"/>
      <c r="D58" s="248"/>
      <c r="E58" s="248"/>
      <c r="F58" s="248"/>
      <c r="G58" s="248"/>
      <c r="H58" s="248"/>
      <c r="I58" s="5"/>
      <c r="J58" s="5"/>
      <c r="K58" s="5"/>
      <c r="L58" s="5"/>
      <c r="M58" s="5"/>
      <c r="N58" s="5"/>
      <c r="O58" s="5"/>
      <c r="Q58" s="5"/>
      <c r="R58" s="5"/>
      <c r="S58" s="5"/>
      <c r="T58" s="5"/>
      <c r="U58" s="5"/>
    </row>
    <row r="59" spans="2:28">
      <c r="B59" s="5"/>
      <c r="C59" s="5"/>
      <c r="D59" s="5"/>
      <c r="E59" s="5"/>
      <c r="F59" s="5"/>
      <c r="G59" s="5"/>
      <c r="H59" s="5"/>
      <c r="I59" s="249"/>
      <c r="J59" s="17"/>
      <c r="K59" s="17"/>
      <c r="L59" s="17"/>
      <c r="M59" s="17"/>
      <c r="N59" s="17"/>
      <c r="O59" s="251"/>
      <c r="Q59" s="5"/>
      <c r="R59" s="5"/>
      <c r="S59" s="5"/>
      <c r="T59" s="5"/>
      <c r="U59" s="5"/>
    </row>
    <row r="60" spans="2:28">
      <c r="B60" s="41"/>
      <c r="C60" s="17"/>
      <c r="D60" s="17"/>
      <c r="E60" s="17"/>
      <c r="F60" s="17"/>
      <c r="G60" s="17"/>
      <c r="H60" s="17"/>
      <c r="I60" s="5"/>
      <c r="J60" s="5"/>
      <c r="K60" s="5"/>
      <c r="L60" s="5"/>
      <c r="M60" s="5"/>
      <c r="N60" s="5"/>
      <c r="O60" s="5"/>
      <c r="Q60" s="41"/>
      <c r="R60" s="5"/>
      <c r="S60" s="5"/>
      <c r="T60" s="5"/>
      <c r="U60" s="5"/>
    </row>
    <row r="61" spans="2:28">
      <c r="B61" s="5"/>
      <c r="C61" s="5"/>
      <c r="D61" s="5"/>
      <c r="E61" s="5"/>
      <c r="F61" s="5"/>
      <c r="G61" s="5"/>
      <c r="H61" s="5"/>
      <c r="I61" s="5"/>
      <c r="J61" s="249"/>
      <c r="K61" s="249"/>
      <c r="L61" s="249"/>
      <c r="M61" s="249"/>
      <c r="N61" s="249"/>
      <c r="O61" s="251"/>
      <c r="Q61" s="5"/>
      <c r="R61" s="5"/>
      <c r="S61" s="5"/>
      <c r="T61" s="5"/>
      <c r="U61" s="5"/>
    </row>
    <row r="62" spans="2:28">
      <c r="B62" s="41"/>
      <c r="C62" s="249"/>
      <c r="D62" s="249"/>
      <c r="E62" s="249"/>
      <c r="F62" s="249"/>
      <c r="G62" s="249"/>
      <c r="H62" s="249"/>
      <c r="I62" s="254"/>
      <c r="J62" s="5"/>
      <c r="K62" s="5"/>
      <c r="L62" s="5"/>
      <c r="M62" s="5"/>
      <c r="N62" s="5"/>
      <c r="O62" s="5"/>
      <c r="Q62" s="5"/>
      <c r="R62" s="5"/>
      <c r="S62" s="5"/>
      <c r="T62" s="5"/>
      <c r="U62" s="5"/>
    </row>
    <row r="63" spans="2:28">
      <c r="B63" s="5"/>
      <c r="C63" s="5"/>
      <c r="D63" s="5"/>
      <c r="E63" s="5"/>
      <c r="F63" s="5"/>
      <c r="G63" s="5"/>
      <c r="H63" s="5"/>
      <c r="I63" s="17"/>
      <c r="J63" s="5"/>
      <c r="K63" s="5"/>
      <c r="L63" s="5"/>
      <c r="M63" s="5"/>
      <c r="N63" s="5"/>
      <c r="O63" s="5"/>
      <c r="Q63" s="5"/>
      <c r="R63" s="5"/>
      <c r="S63" s="5"/>
      <c r="T63" s="5"/>
      <c r="U63" s="5"/>
    </row>
    <row r="64" spans="2:28">
      <c r="B64" s="5"/>
      <c r="C64" s="5"/>
      <c r="D64" s="5"/>
      <c r="E64" s="5"/>
      <c r="F64" s="5"/>
      <c r="G64" s="5"/>
      <c r="H64" s="5"/>
      <c r="I64" s="254"/>
      <c r="J64" s="254"/>
      <c r="K64" s="254"/>
      <c r="L64" s="254"/>
      <c r="M64" s="254"/>
      <c r="N64" s="254"/>
      <c r="O64" s="251"/>
      <c r="Q64" s="5"/>
      <c r="R64" s="5"/>
      <c r="S64" s="5"/>
      <c r="T64" s="5"/>
      <c r="U64" s="5"/>
    </row>
    <row r="65" spans="2:26">
      <c r="B65" s="41"/>
      <c r="C65" s="249"/>
      <c r="D65" s="254"/>
      <c r="E65" s="254"/>
      <c r="F65" s="254"/>
      <c r="G65" s="254"/>
      <c r="H65" s="254"/>
      <c r="I65" s="248"/>
      <c r="J65" s="17"/>
      <c r="K65" s="17"/>
      <c r="L65" s="17"/>
      <c r="M65" s="17"/>
      <c r="N65" s="17"/>
      <c r="O65" s="5"/>
      <c r="Q65" s="5"/>
      <c r="R65" s="5"/>
      <c r="S65" s="5"/>
      <c r="T65" s="5"/>
      <c r="U65" s="5"/>
    </row>
    <row r="66" spans="2:26">
      <c r="B66" s="5"/>
      <c r="C66" s="5"/>
      <c r="D66" s="17"/>
      <c r="E66" s="17"/>
      <c r="F66" s="17"/>
      <c r="G66" s="17"/>
      <c r="H66" s="17"/>
      <c r="I66" s="5"/>
      <c r="J66" s="254"/>
      <c r="K66" s="254"/>
      <c r="L66" s="254"/>
      <c r="M66" s="254"/>
      <c r="N66" s="254"/>
      <c r="O66" s="251"/>
      <c r="Q66" s="41"/>
      <c r="R66" s="5"/>
      <c r="S66" s="5"/>
      <c r="T66" s="5"/>
      <c r="U66" s="5"/>
    </row>
    <row r="67" spans="2:26">
      <c r="B67" s="41"/>
      <c r="C67" s="249"/>
      <c r="D67" s="254"/>
      <c r="E67" s="254"/>
      <c r="F67" s="254"/>
      <c r="G67" s="254"/>
      <c r="H67" s="254"/>
      <c r="I67" s="245"/>
      <c r="J67" s="248"/>
      <c r="K67" s="248"/>
      <c r="L67" s="248"/>
      <c r="M67" s="248"/>
      <c r="N67" s="248"/>
      <c r="O67" s="5"/>
      <c r="Q67" s="5"/>
      <c r="R67" s="5"/>
      <c r="S67" s="5"/>
      <c r="T67" s="5"/>
      <c r="U67" s="5"/>
    </row>
    <row r="68" spans="2:26">
      <c r="B68" s="5"/>
      <c r="C68" s="5"/>
      <c r="D68" s="248"/>
      <c r="E68" s="248"/>
      <c r="F68" s="248"/>
      <c r="G68" s="248"/>
      <c r="H68" s="248"/>
      <c r="I68" s="248"/>
      <c r="J68" s="5"/>
      <c r="K68" s="5"/>
      <c r="L68" s="5"/>
      <c r="M68" s="5"/>
      <c r="N68" s="5"/>
      <c r="O68" s="5"/>
      <c r="Q68" s="5"/>
      <c r="R68" s="5"/>
      <c r="S68" s="5"/>
      <c r="T68" s="5"/>
      <c r="U68" s="5"/>
    </row>
    <row r="69" spans="2:26">
      <c r="B69" s="41"/>
      <c r="C69" s="5"/>
      <c r="D69" s="5"/>
      <c r="E69" s="5"/>
      <c r="F69" s="5"/>
      <c r="G69" s="5"/>
      <c r="H69" s="5"/>
      <c r="I69" s="5"/>
      <c r="J69" s="245"/>
      <c r="K69" s="245"/>
      <c r="L69" s="245"/>
      <c r="M69" s="245"/>
      <c r="N69" s="245"/>
      <c r="O69" s="251"/>
      <c r="Q69" s="5"/>
      <c r="R69" s="5"/>
      <c r="S69" s="5"/>
      <c r="T69" s="5"/>
      <c r="U69" s="5"/>
      <c r="W69" s="76"/>
      <c r="X69" s="76"/>
    </row>
    <row r="70" spans="2:26">
      <c r="B70" s="41"/>
      <c r="C70" s="245"/>
      <c r="D70" s="245"/>
      <c r="E70" s="245"/>
      <c r="F70" s="245"/>
      <c r="G70" s="245"/>
      <c r="H70" s="245"/>
      <c r="I70" s="245"/>
      <c r="J70" s="248"/>
      <c r="K70" s="248"/>
      <c r="L70" s="248"/>
      <c r="M70" s="248"/>
      <c r="N70" s="248"/>
      <c r="O70" s="5"/>
      <c r="Q70" s="5"/>
      <c r="R70" s="5"/>
      <c r="S70" s="5"/>
      <c r="T70" s="5"/>
      <c r="U70" s="5"/>
      <c r="W70" s="76"/>
      <c r="X70" s="76"/>
      <c r="Y70" s="76"/>
      <c r="Z70" s="76"/>
    </row>
    <row r="71" spans="2:26">
      <c r="B71" s="5"/>
      <c r="C71" s="5"/>
      <c r="D71" s="248"/>
      <c r="E71" s="248"/>
      <c r="F71" s="248"/>
      <c r="G71" s="248"/>
      <c r="H71" s="248"/>
      <c r="I71" s="18"/>
      <c r="J71" s="5"/>
      <c r="K71" s="5"/>
      <c r="L71" s="5"/>
      <c r="M71" s="5"/>
      <c r="N71" s="5"/>
      <c r="O71" s="5"/>
      <c r="Q71" s="5"/>
      <c r="R71" s="5"/>
      <c r="S71" s="5"/>
      <c r="T71" s="5"/>
      <c r="U71" s="5"/>
      <c r="Y71" s="76"/>
      <c r="Z71" s="76"/>
    </row>
    <row r="72" spans="2:26">
      <c r="B72" s="41"/>
      <c r="C72" s="5"/>
      <c r="D72" s="5"/>
      <c r="E72" s="5"/>
      <c r="F72" s="5"/>
      <c r="G72" s="5"/>
      <c r="H72" s="5"/>
      <c r="I72" s="5"/>
      <c r="J72" s="245"/>
      <c r="K72" s="245"/>
      <c r="L72" s="245"/>
      <c r="M72" s="245"/>
      <c r="N72" s="245"/>
      <c r="O72" s="251"/>
      <c r="Q72" s="5"/>
      <c r="R72" s="5"/>
      <c r="S72" s="5"/>
      <c r="T72" s="5"/>
      <c r="U72" s="5"/>
    </row>
    <row r="73" spans="2:26">
      <c r="B73" s="41"/>
      <c r="C73" s="245"/>
      <c r="D73" s="245"/>
      <c r="E73" s="245"/>
      <c r="F73" s="245"/>
      <c r="G73" s="245"/>
      <c r="H73" s="245"/>
      <c r="I73" s="249"/>
      <c r="J73" s="18"/>
      <c r="K73" s="18"/>
      <c r="L73" s="18"/>
      <c r="M73" s="18"/>
      <c r="N73" s="18"/>
      <c r="O73" s="5"/>
      <c r="Q73" s="5"/>
      <c r="R73" s="5"/>
      <c r="S73" s="5"/>
      <c r="T73" s="5"/>
      <c r="U73" s="5"/>
    </row>
    <row r="74" spans="2:26">
      <c r="B74" s="5"/>
      <c r="C74" s="5"/>
      <c r="D74" s="18"/>
      <c r="E74" s="18"/>
      <c r="F74" s="18"/>
      <c r="G74" s="18"/>
      <c r="H74" s="18"/>
      <c r="I74" s="248"/>
      <c r="J74" s="5"/>
      <c r="K74" s="5"/>
      <c r="L74" s="5"/>
      <c r="M74" s="5"/>
      <c r="N74" s="5"/>
      <c r="O74" s="5"/>
      <c r="Q74" s="5"/>
      <c r="R74" s="5"/>
      <c r="S74" s="5"/>
      <c r="T74" s="5"/>
      <c r="U74" s="5"/>
    </row>
    <row r="75" spans="2:26">
      <c r="B75" s="41"/>
      <c r="C75" s="5"/>
      <c r="D75" s="5"/>
      <c r="E75" s="5"/>
      <c r="F75" s="5"/>
      <c r="G75" s="5"/>
      <c r="H75" s="5"/>
      <c r="I75" s="5"/>
      <c r="J75" s="249"/>
      <c r="K75" s="249"/>
      <c r="L75" s="249"/>
      <c r="M75" s="249"/>
      <c r="N75" s="249"/>
      <c r="O75" s="251"/>
      <c r="Q75" s="5"/>
      <c r="R75" s="5"/>
      <c r="S75" s="5"/>
      <c r="T75" s="5"/>
      <c r="U75" s="5"/>
    </row>
    <row r="76" spans="2:26">
      <c r="B76" s="41"/>
      <c r="C76" s="249"/>
      <c r="D76" s="249"/>
      <c r="E76" s="249"/>
      <c r="F76" s="249"/>
      <c r="G76" s="249"/>
      <c r="H76" s="249"/>
      <c r="I76" s="245"/>
      <c r="J76" s="248"/>
      <c r="K76" s="248"/>
      <c r="L76" s="248"/>
      <c r="M76" s="248"/>
      <c r="N76" s="248"/>
      <c r="O76" s="5"/>
      <c r="Q76" s="5"/>
      <c r="R76" s="5"/>
      <c r="S76" s="5"/>
      <c r="T76" s="5"/>
      <c r="U76" s="5"/>
    </row>
    <row r="77" spans="2:26">
      <c r="B77" s="5"/>
      <c r="C77" s="5"/>
      <c r="D77" s="248"/>
      <c r="E77" s="248"/>
      <c r="F77" s="248"/>
      <c r="G77" s="248"/>
      <c r="H77" s="248"/>
      <c r="I77" s="248"/>
      <c r="J77" s="5"/>
      <c r="K77" s="5"/>
      <c r="L77" s="5"/>
      <c r="M77" s="5"/>
      <c r="N77" s="5"/>
      <c r="O77" s="5"/>
      <c r="Q77" s="5"/>
      <c r="R77" s="5"/>
      <c r="S77" s="5"/>
      <c r="T77" s="5"/>
      <c r="U77" s="5"/>
    </row>
    <row r="78" spans="2:26">
      <c r="B78" s="41"/>
      <c r="C78" s="5"/>
      <c r="D78" s="5"/>
      <c r="E78" s="5"/>
      <c r="F78" s="5"/>
      <c r="G78" s="5"/>
      <c r="H78" s="5"/>
      <c r="I78" s="5"/>
      <c r="J78" s="245"/>
      <c r="K78" s="245"/>
      <c r="L78" s="245"/>
      <c r="M78" s="245"/>
      <c r="N78" s="245"/>
      <c r="O78" s="251"/>
      <c r="Q78" s="5"/>
      <c r="R78" s="5"/>
      <c r="S78" s="5"/>
      <c r="T78" s="5"/>
      <c r="U78" s="5"/>
    </row>
    <row r="79" spans="2:26">
      <c r="B79" s="41"/>
      <c r="C79" s="245"/>
      <c r="D79" s="245"/>
      <c r="E79" s="245"/>
      <c r="F79" s="245"/>
      <c r="G79" s="245"/>
      <c r="H79" s="245"/>
      <c r="I79" s="249"/>
      <c r="J79" s="248"/>
      <c r="K79" s="248"/>
      <c r="L79" s="248"/>
      <c r="M79" s="248"/>
      <c r="N79" s="248"/>
      <c r="O79" s="5"/>
      <c r="Q79" s="5"/>
      <c r="R79" s="5"/>
      <c r="S79" s="5"/>
      <c r="T79" s="5"/>
      <c r="U79" s="5"/>
    </row>
    <row r="80" spans="2:26">
      <c r="B80" s="5"/>
      <c r="C80" s="5"/>
      <c r="D80" s="248"/>
      <c r="E80" s="248"/>
      <c r="F80" s="248"/>
      <c r="G80" s="248"/>
      <c r="H80" s="248"/>
      <c r="I80" s="248"/>
      <c r="J80" s="5"/>
      <c r="K80" s="5"/>
      <c r="L80" s="5"/>
      <c r="M80" s="5"/>
      <c r="N80" s="5"/>
      <c r="O80" s="5"/>
      <c r="Q80" s="5"/>
      <c r="R80" s="5"/>
      <c r="S80" s="5"/>
      <c r="T80" s="5"/>
      <c r="U80" s="5"/>
    </row>
    <row r="81" spans="2:26">
      <c r="B81" s="41"/>
      <c r="C81" s="5"/>
      <c r="D81" s="5"/>
      <c r="E81" s="5"/>
      <c r="F81" s="5"/>
      <c r="G81" s="5"/>
      <c r="H81" s="5"/>
      <c r="I81" s="259"/>
      <c r="J81" s="249"/>
      <c r="K81" s="249"/>
      <c r="L81" s="249"/>
      <c r="M81" s="249"/>
      <c r="N81" s="249"/>
      <c r="O81" s="251"/>
      <c r="Q81" s="5"/>
      <c r="R81" s="5"/>
      <c r="S81" s="5"/>
      <c r="T81" s="5"/>
      <c r="U81" s="5"/>
    </row>
    <row r="82" spans="2:26">
      <c r="B82" s="41"/>
      <c r="C82" s="249"/>
      <c r="D82" s="249"/>
      <c r="E82" s="249"/>
      <c r="F82" s="249"/>
      <c r="G82" s="249"/>
      <c r="H82" s="249"/>
      <c r="I82" s="5"/>
      <c r="J82" s="248"/>
      <c r="K82" s="248"/>
      <c r="L82" s="248"/>
      <c r="M82" s="248"/>
      <c r="N82" s="248"/>
      <c r="O82" s="5"/>
      <c r="Q82" s="5"/>
      <c r="R82" s="5"/>
      <c r="S82" s="5"/>
      <c r="T82" s="5"/>
      <c r="U82" s="5"/>
    </row>
    <row r="83" spans="2:26">
      <c r="B83" s="5"/>
      <c r="C83" s="5"/>
      <c r="D83" s="248"/>
      <c r="E83" s="248"/>
      <c r="F83" s="248"/>
      <c r="G83" s="248"/>
      <c r="H83" s="248"/>
      <c r="I83" s="245"/>
      <c r="J83" s="259"/>
      <c r="K83" s="259"/>
      <c r="L83" s="259"/>
      <c r="M83" s="259"/>
      <c r="N83" s="259"/>
      <c r="O83" s="251"/>
      <c r="Q83" s="5"/>
      <c r="R83" s="5"/>
      <c r="S83" s="5"/>
      <c r="T83" s="5"/>
      <c r="U83" s="5"/>
    </row>
    <row r="84" spans="2:26">
      <c r="B84" s="5"/>
      <c r="C84" s="259"/>
      <c r="D84" s="259"/>
      <c r="E84" s="259"/>
      <c r="F84" s="259"/>
      <c r="G84" s="259"/>
      <c r="H84" s="259"/>
      <c r="I84" s="248"/>
      <c r="J84" s="5"/>
      <c r="K84" s="5"/>
      <c r="L84" s="5"/>
      <c r="M84" s="5"/>
      <c r="N84" s="5"/>
      <c r="O84" s="5"/>
      <c r="Q84" s="5"/>
      <c r="R84" s="5"/>
      <c r="S84" s="5"/>
      <c r="T84" s="5"/>
      <c r="U84" s="5"/>
    </row>
    <row r="85" spans="2:26">
      <c r="B85" s="41"/>
      <c r="C85" s="5"/>
      <c r="D85" s="5"/>
      <c r="E85" s="5"/>
      <c r="F85" s="5"/>
      <c r="G85" s="5"/>
      <c r="H85" s="5"/>
      <c r="I85" s="5"/>
      <c r="J85" s="245"/>
      <c r="K85" s="245"/>
      <c r="L85" s="245"/>
      <c r="M85" s="245"/>
      <c r="N85" s="245"/>
      <c r="O85" s="251"/>
      <c r="Q85" s="5"/>
      <c r="R85" s="5"/>
      <c r="S85" s="5"/>
      <c r="T85" s="5"/>
      <c r="U85" s="5"/>
    </row>
    <row r="86" spans="2:26">
      <c r="B86" s="41"/>
      <c r="C86" s="245"/>
      <c r="D86" s="245"/>
      <c r="E86" s="245"/>
      <c r="F86" s="245"/>
      <c r="G86" s="245"/>
      <c r="H86" s="245"/>
      <c r="I86" s="5"/>
      <c r="J86" s="248"/>
      <c r="K86" s="248"/>
      <c r="L86" s="248"/>
      <c r="M86" s="248"/>
      <c r="N86" s="248"/>
      <c r="O86" s="5"/>
      <c r="Q86" s="5"/>
      <c r="R86" s="5"/>
      <c r="S86" s="5"/>
      <c r="T86" s="5"/>
      <c r="U86" s="5"/>
    </row>
    <row r="87" spans="2:26">
      <c r="B87" s="5"/>
      <c r="C87" s="5"/>
      <c r="D87" s="248"/>
      <c r="E87" s="248"/>
      <c r="F87" s="248"/>
      <c r="G87" s="248"/>
      <c r="H87" s="248"/>
      <c r="I87" s="5"/>
      <c r="J87" s="5"/>
      <c r="K87" s="5"/>
      <c r="L87" s="5"/>
      <c r="M87" s="5"/>
      <c r="N87" s="5"/>
      <c r="O87" s="5"/>
      <c r="Q87" s="5"/>
      <c r="R87" s="5"/>
      <c r="S87" s="5"/>
      <c r="T87" s="5"/>
      <c r="U87" s="5"/>
    </row>
    <row r="88" spans="2:26">
      <c r="B88" s="41"/>
      <c r="C88" s="5"/>
      <c r="D88" s="5"/>
      <c r="E88" s="5"/>
      <c r="F88" s="5"/>
      <c r="G88" s="5"/>
      <c r="H88" s="5"/>
      <c r="I88" s="5"/>
      <c r="J88" s="5"/>
      <c r="K88" s="5"/>
      <c r="L88" s="5"/>
      <c r="M88" s="5"/>
      <c r="N88" s="5"/>
      <c r="O88" s="5"/>
      <c r="Q88" s="5"/>
      <c r="R88" s="5"/>
      <c r="S88" s="5"/>
      <c r="T88" s="5"/>
      <c r="U88" s="5"/>
    </row>
    <row r="89" spans="2:26">
      <c r="B89" s="41"/>
      <c r="C89" s="5"/>
      <c r="D89" s="5"/>
      <c r="E89" s="5"/>
      <c r="F89" s="5"/>
      <c r="G89" s="5"/>
      <c r="H89" s="5"/>
      <c r="I89" s="49"/>
      <c r="J89" s="5"/>
      <c r="K89" s="5"/>
      <c r="L89" s="5"/>
      <c r="M89" s="5"/>
      <c r="N89" s="5"/>
      <c r="O89" s="5"/>
      <c r="Q89" s="41"/>
      <c r="R89" s="5"/>
      <c r="S89" s="5"/>
      <c r="T89" s="5"/>
      <c r="U89" s="5"/>
    </row>
    <row r="90" spans="2:26">
      <c r="B90" s="41"/>
      <c r="C90" s="5"/>
      <c r="D90" s="5"/>
      <c r="E90" s="5"/>
      <c r="F90" s="5"/>
      <c r="G90" s="5"/>
      <c r="H90" s="5"/>
      <c r="I90" s="5"/>
      <c r="J90" s="5"/>
      <c r="K90" s="5"/>
      <c r="L90" s="5"/>
      <c r="M90" s="5"/>
      <c r="N90" s="5"/>
      <c r="O90" s="5"/>
      <c r="Q90" s="5"/>
      <c r="R90" s="5"/>
      <c r="S90" s="5"/>
      <c r="T90" s="5"/>
      <c r="U90" s="5"/>
    </row>
    <row r="91" spans="2:26">
      <c r="B91" s="5"/>
      <c r="C91" s="5"/>
      <c r="D91" s="5"/>
      <c r="E91" s="5"/>
      <c r="F91" s="5"/>
      <c r="G91" s="5"/>
      <c r="H91" s="5"/>
      <c r="I91" s="247"/>
      <c r="J91" s="49"/>
      <c r="K91" s="49"/>
      <c r="L91" s="49"/>
      <c r="M91" s="49"/>
      <c r="N91" s="49"/>
      <c r="O91" s="49"/>
      <c r="Q91" s="5"/>
      <c r="R91" s="5"/>
      <c r="S91" s="5"/>
      <c r="T91" s="5"/>
      <c r="U91" s="5"/>
      <c r="W91" s="21"/>
      <c r="X91" s="21"/>
    </row>
    <row r="92" spans="2:26">
      <c r="B92" s="41"/>
      <c r="C92" s="49"/>
      <c r="D92" s="49"/>
      <c r="E92" s="49"/>
      <c r="F92" s="49"/>
      <c r="G92" s="49"/>
      <c r="H92" s="49"/>
      <c r="I92" s="247"/>
      <c r="J92" s="5"/>
      <c r="K92" s="5"/>
      <c r="L92" s="5"/>
      <c r="M92" s="5"/>
      <c r="N92" s="5"/>
      <c r="O92" s="5"/>
      <c r="Q92" s="5"/>
      <c r="R92" s="5"/>
      <c r="S92" s="5"/>
      <c r="T92" s="5"/>
      <c r="U92" s="5"/>
      <c r="W92" s="21"/>
      <c r="X92" s="21"/>
      <c r="Y92" s="21"/>
      <c r="Z92" s="21"/>
    </row>
    <row r="93" spans="2:26">
      <c r="B93" s="5"/>
      <c r="C93" s="5"/>
      <c r="D93" s="5"/>
      <c r="E93" s="5"/>
      <c r="F93" s="5"/>
      <c r="G93" s="5"/>
      <c r="H93" s="5"/>
      <c r="I93" s="247"/>
      <c r="J93" s="247"/>
      <c r="K93" s="247"/>
      <c r="L93" s="247"/>
      <c r="M93" s="247"/>
      <c r="N93" s="247"/>
      <c r="O93" s="248"/>
      <c r="Q93" s="5"/>
      <c r="R93" s="5"/>
      <c r="S93" s="5"/>
      <c r="T93" s="5"/>
      <c r="U93" s="5"/>
      <c r="Y93" s="21"/>
      <c r="Z93" s="21"/>
    </row>
    <row r="94" spans="2:26">
      <c r="B94" s="5"/>
      <c r="C94" s="259"/>
      <c r="D94" s="247"/>
      <c r="E94" s="247"/>
      <c r="F94" s="247"/>
      <c r="G94" s="247"/>
      <c r="H94" s="247"/>
      <c r="I94" s="248"/>
      <c r="J94" s="247"/>
      <c r="K94" s="247"/>
      <c r="L94" s="247"/>
      <c r="M94" s="247"/>
      <c r="N94" s="247"/>
      <c r="O94" s="248"/>
      <c r="Q94" s="5"/>
      <c r="R94" s="5"/>
      <c r="S94" s="5"/>
      <c r="T94" s="5"/>
      <c r="U94" s="5"/>
    </row>
    <row r="95" spans="2:26">
      <c r="B95" s="5"/>
      <c r="C95" s="259"/>
      <c r="D95" s="247"/>
      <c r="E95" s="247"/>
      <c r="F95" s="247"/>
      <c r="G95" s="247"/>
      <c r="H95" s="247"/>
      <c r="I95" s="247"/>
      <c r="J95" s="247"/>
      <c r="K95" s="247"/>
      <c r="L95" s="247"/>
      <c r="M95" s="247"/>
      <c r="N95" s="247"/>
      <c r="O95" s="248"/>
      <c r="Q95" s="5"/>
      <c r="R95" s="5"/>
      <c r="S95" s="5"/>
      <c r="T95" s="5"/>
      <c r="U95" s="5"/>
    </row>
    <row r="96" spans="2:26">
      <c r="B96" s="5"/>
      <c r="C96" s="259"/>
      <c r="D96" s="247"/>
      <c r="E96" s="247"/>
      <c r="F96" s="247"/>
      <c r="G96" s="247"/>
      <c r="H96" s="247"/>
      <c r="I96" s="249"/>
      <c r="J96" s="248"/>
      <c r="K96" s="248"/>
      <c r="L96" s="248"/>
      <c r="M96" s="248"/>
      <c r="N96" s="248"/>
      <c r="O96" s="248"/>
      <c r="Q96" s="5"/>
      <c r="R96" s="5"/>
      <c r="S96" s="5"/>
      <c r="T96" s="5"/>
      <c r="U96" s="5"/>
    </row>
    <row r="97" spans="2:21">
      <c r="B97" s="5"/>
      <c r="C97" s="259"/>
      <c r="D97" s="248"/>
      <c r="E97" s="248"/>
      <c r="F97" s="248"/>
      <c r="G97" s="248"/>
      <c r="H97" s="248"/>
      <c r="I97" s="248"/>
      <c r="J97" s="247"/>
      <c r="K97" s="247"/>
      <c r="L97" s="247"/>
      <c r="M97" s="247"/>
      <c r="N97" s="247"/>
      <c r="O97" s="248"/>
      <c r="Q97" s="5"/>
      <c r="R97" s="5"/>
      <c r="S97" s="5"/>
      <c r="T97" s="5"/>
      <c r="U97" s="5"/>
    </row>
    <row r="98" spans="2:21">
      <c r="B98" s="5"/>
      <c r="C98" s="259"/>
      <c r="D98" s="247"/>
      <c r="E98" s="247"/>
      <c r="F98" s="247"/>
      <c r="G98" s="247"/>
      <c r="H98" s="247"/>
      <c r="I98" s="5"/>
      <c r="J98" s="249"/>
      <c r="K98" s="249"/>
      <c r="L98" s="249"/>
      <c r="M98" s="249"/>
      <c r="N98" s="249"/>
      <c r="O98" s="248"/>
      <c r="Q98" s="5"/>
      <c r="R98" s="5"/>
      <c r="S98" s="5"/>
      <c r="T98" s="5"/>
      <c r="U98" s="5"/>
    </row>
    <row r="99" spans="2:21">
      <c r="B99" s="41"/>
      <c r="C99" s="249"/>
      <c r="D99" s="249"/>
      <c r="E99" s="249"/>
      <c r="F99" s="249"/>
      <c r="G99" s="249"/>
      <c r="H99" s="249"/>
      <c r="I99" s="259"/>
      <c r="J99" s="248"/>
      <c r="K99" s="248"/>
      <c r="L99" s="248"/>
      <c r="M99" s="248"/>
      <c r="N99" s="248"/>
      <c r="O99" s="248"/>
      <c r="Q99" s="5"/>
      <c r="R99" s="5"/>
      <c r="S99" s="5"/>
      <c r="T99" s="5"/>
      <c r="U99" s="5"/>
    </row>
    <row r="100" spans="2:21" s="5" customFormat="1">
      <c r="B100" s="41"/>
      <c r="C100" s="257"/>
      <c r="D100" s="248"/>
      <c r="E100" s="248"/>
      <c r="F100" s="248"/>
      <c r="G100" s="248"/>
      <c r="H100" s="248"/>
      <c r="I100" s="259"/>
      <c r="O100" s="248"/>
      <c r="P100" s="39"/>
    </row>
    <row r="101" spans="2:21">
      <c r="B101" s="41"/>
      <c r="C101" s="5"/>
      <c r="D101" s="5"/>
      <c r="E101" s="5"/>
      <c r="F101" s="5"/>
      <c r="G101" s="5"/>
      <c r="H101" s="5"/>
      <c r="I101" s="247"/>
      <c r="J101" s="259"/>
      <c r="K101" s="259"/>
      <c r="L101" s="259"/>
      <c r="M101" s="259"/>
      <c r="N101" s="259"/>
      <c r="O101" s="5"/>
      <c r="Q101" s="5"/>
      <c r="R101" s="5"/>
      <c r="S101" s="5"/>
      <c r="T101" s="5"/>
      <c r="U101" s="5"/>
    </row>
    <row r="102" spans="2:21">
      <c r="B102" s="5"/>
      <c r="C102" s="259"/>
      <c r="D102" s="259"/>
      <c r="E102" s="259"/>
      <c r="F102" s="259"/>
      <c r="G102" s="259"/>
      <c r="H102" s="259"/>
      <c r="I102" s="5"/>
      <c r="J102" s="259"/>
      <c r="K102" s="259"/>
      <c r="L102" s="259"/>
      <c r="M102" s="259"/>
      <c r="N102" s="259"/>
      <c r="O102" s="5"/>
      <c r="P102" s="5"/>
      <c r="Q102" s="5"/>
      <c r="R102" s="5"/>
      <c r="S102" s="5"/>
      <c r="T102" s="5"/>
      <c r="U102" s="5"/>
    </row>
    <row r="103" spans="2:21">
      <c r="B103" s="5"/>
      <c r="C103" s="259"/>
      <c r="D103" s="259"/>
      <c r="E103" s="259"/>
      <c r="F103" s="259"/>
      <c r="G103" s="259"/>
      <c r="H103" s="259"/>
      <c r="I103" s="247"/>
      <c r="J103" s="247"/>
      <c r="K103" s="247"/>
      <c r="L103" s="247"/>
      <c r="M103" s="247"/>
      <c r="N103" s="247"/>
      <c r="O103" s="5"/>
      <c r="Q103" s="5"/>
      <c r="R103" s="5"/>
      <c r="S103" s="5"/>
      <c r="T103" s="5"/>
      <c r="U103" s="5"/>
    </row>
    <row r="104" spans="2:21" s="5" customFormat="1">
      <c r="C104" s="247"/>
      <c r="D104" s="247"/>
      <c r="E104" s="247"/>
      <c r="F104" s="247"/>
      <c r="G104" s="247"/>
      <c r="H104" s="247"/>
      <c r="P104" s="39"/>
    </row>
    <row r="105" spans="2:21" s="5" customFormat="1">
      <c r="I105" s="259"/>
      <c r="J105" s="247"/>
      <c r="K105" s="247"/>
      <c r="L105" s="247"/>
      <c r="M105" s="247"/>
      <c r="N105" s="247"/>
      <c r="P105" s="39"/>
    </row>
    <row r="106" spans="2:21">
      <c r="B106" s="5"/>
      <c r="C106" s="259"/>
      <c r="D106" s="247"/>
      <c r="E106" s="247"/>
      <c r="F106" s="247"/>
      <c r="G106" s="247"/>
      <c r="H106" s="247"/>
      <c r="I106" s="247"/>
      <c r="J106" s="5"/>
      <c r="K106" s="5"/>
      <c r="L106" s="5"/>
      <c r="M106" s="5"/>
      <c r="N106" s="5"/>
      <c r="O106" s="5"/>
      <c r="P106" s="5"/>
      <c r="Q106" s="5"/>
      <c r="R106" s="5"/>
      <c r="S106" s="5"/>
      <c r="T106" s="5"/>
      <c r="U106" s="5"/>
    </row>
    <row r="107" spans="2:21">
      <c r="B107" s="5"/>
      <c r="C107" s="259"/>
      <c r="D107" s="5"/>
      <c r="E107" s="5"/>
      <c r="F107" s="5"/>
      <c r="G107" s="5"/>
      <c r="H107" s="5"/>
      <c r="I107" s="249"/>
      <c r="J107" s="259"/>
      <c r="K107" s="259"/>
      <c r="L107" s="259"/>
      <c r="M107" s="259"/>
      <c r="N107" s="259"/>
      <c r="O107" s="5"/>
      <c r="P107" s="5"/>
      <c r="Q107" s="5"/>
      <c r="R107" s="5"/>
      <c r="S107" s="5"/>
      <c r="T107" s="5"/>
      <c r="U107" s="5"/>
    </row>
    <row r="108" spans="2:21">
      <c r="B108" s="5"/>
      <c r="C108" s="259"/>
      <c r="D108" s="259"/>
      <c r="E108" s="259"/>
      <c r="F108" s="259"/>
      <c r="G108" s="259"/>
      <c r="H108" s="259"/>
      <c r="I108" s="249"/>
      <c r="J108" s="247"/>
      <c r="K108" s="247"/>
      <c r="L108" s="247"/>
      <c r="M108" s="247"/>
      <c r="N108" s="247"/>
      <c r="O108" s="5"/>
      <c r="Q108" s="5"/>
      <c r="R108" s="5"/>
      <c r="S108" s="5"/>
      <c r="T108" s="5"/>
      <c r="U108" s="5"/>
    </row>
    <row r="109" spans="2:21">
      <c r="B109" s="5"/>
      <c r="C109" s="247"/>
      <c r="D109" s="247"/>
      <c r="E109" s="247"/>
      <c r="F109" s="247"/>
      <c r="G109" s="247"/>
      <c r="H109" s="247"/>
      <c r="I109" s="247"/>
      <c r="J109" s="249"/>
      <c r="K109" s="249"/>
      <c r="L109" s="249"/>
      <c r="M109" s="249"/>
      <c r="N109" s="249"/>
      <c r="O109" s="5"/>
      <c r="Q109" s="5"/>
      <c r="R109" s="5"/>
      <c r="S109" s="5"/>
      <c r="T109" s="5"/>
      <c r="U109" s="5"/>
    </row>
    <row r="110" spans="2:21">
      <c r="B110" s="41"/>
      <c r="C110" s="249"/>
      <c r="D110" s="249"/>
      <c r="E110" s="249"/>
      <c r="F110" s="249"/>
      <c r="G110" s="249"/>
      <c r="H110" s="249"/>
      <c r="I110" s="5"/>
      <c r="J110" s="249"/>
      <c r="K110" s="249"/>
      <c r="L110" s="249"/>
      <c r="M110" s="249"/>
      <c r="N110" s="249"/>
      <c r="O110" s="5"/>
      <c r="Q110" s="5"/>
      <c r="R110" s="5"/>
      <c r="S110" s="5"/>
      <c r="T110" s="5"/>
      <c r="U110" s="5"/>
    </row>
    <row r="111" spans="2:21">
      <c r="B111" s="5"/>
      <c r="C111" s="249"/>
      <c r="D111" s="249"/>
      <c r="E111" s="249"/>
      <c r="F111" s="249"/>
      <c r="G111" s="249"/>
      <c r="H111" s="249"/>
      <c r="I111" s="5"/>
      <c r="J111" s="247"/>
      <c r="K111" s="247"/>
      <c r="L111" s="247"/>
      <c r="M111" s="247"/>
      <c r="N111" s="247"/>
      <c r="O111" s="5"/>
      <c r="Q111" s="5"/>
      <c r="R111" s="5"/>
      <c r="S111" s="5"/>
      <c r="T111" s="5"/>
      <c r="U111" s="5"/>
    </row>
    <row r="112" spans="2:21">
      <c r="B112" s="5"/>
      <c r="C112" s="247"/>
      <c r="D112" s="247"/>
      <c r="E112" s="247"/>
      <c r="F112" s="247"/>
      <c r="G112" s="247"/>
      <c r="H112" s="247"/>
      <c r="I112" s="5"/>
      <c r="J112" s="5"/>
      <c r="K112" s="5"/>
      <c r="L112" s="5"/>
      <c r="M112" s="5"/>
      <c r="N112" s="5"/>
      <c r="O112" s="5"/>
      <c r="Q112" s="5"/>
      <c r="R112" s="5"/>
      <c r="S112" s="5"/>
      <c r="T112" s="5"/>
      <c r="U112" s="5"/>
    </row>
    <row r="113" spans="2:21">
      <c r="B113" s="5"/>
      <c r="C113" s="5"/>
      <c r="D113" s="5"/>
      <c r="E113" s="5"/>
      <c r="F113" s="5"/>
      <c r="G113" s="5"/>
      <c r="H113" s="5"/>
      <c r="I113" s="5"/>
      <c r="J113" s="5"/>
      <c r="K113" s="5"/>
      <c r="L113" s="5"/>
      <c r="M113" s="5"/>
      <c r="N113" s="5"/>
      <c r="O113" s="5"/>
      <c r="Q113" s="5"/>
      <c r="R113" s="5"/>
      <c r="S113" s="5"/>
      <c r="T113" s="5"/>
      <c r="U113" s="5"/>
    </row>
    <row r="114" spans="2:21">
      <c r="B114" s="5"/>
      <c r="C114" s="5"/>
      <c r="D114" s="5"/>
      <c r="E114" s="5"/>
      <c r="F114" s="5"/>
      <c r="G114" s="5"/>
      <c r="H114" s="5"/>
      <c r="I114" s="49"/>
      <c r="J114" s="5"/>
      <c r="K114" s="5"/>
      <c r="L114" s="5"/>
      <c r="M114" s="5"/>
      <c r="N114" s="5"/>
      <c r="O114" s="5"/>
      <c r="Q114" s="41"/>
      <c r="R114" s="5"/>
      <c r="S114" s="5"/>
      <c r="T114" s="5"/>
      <c r="U114" s="5"/>
    </row>
    <row r="115" spans="2:21">
      <c r="B115" s="5"/>
      <c r="C115" s="5"/>
      <c r="D115" s="5"/>
      <c r="E115" s="5"/>
      <c r="F115" s="5"/>
      <c r="G115" s="5"/>
      <c r="H115" s="5"/>
      <c r="I115" s="5"/>
      <c r="J115" s="5"/>
      <c r="K115" s="5"/>
      <c r="L115" s="5"/>
      <c r="M115" s="5"/>
      <c r="N115" s="5"/>
      <c r="O115" s="5"/>
      <c r="Q115" s="5"/>
      <c r="R115" s="5"/>
      <c r="S115" s="5"/>
      <c r="T115" s="5"/>
      <c r="U115" s="5"/>
    </row>
    <row r="116" spans="2:21">
      <c r="B116" s="5"/>
      <c r="C116" s="5"/>
      <c r="D116" s="5"/>
      <c r="E116" s="5"/>
      <c r="F116" s="5"/>
      <c r="G116" s="5"/>
      <c r="H116" s="5"/>
      <c r="I116" s="254"/>
      <c r="J116" s="49"/>
      <c r="K116" s="49"/>
      <c r="L116" s="49"/>
      <c r="M116" s="49"/>
      <c r="N116" s="49"/>
      <c r="O116" s="49"/>
      <c r="Q116" s="5"/>
      <c r="R116" s="5"/>
      <c r="S116" s="5"/>
      <c r="T116" s="5"/>
      <c r="U116" s="5"/>
    </row>
    <row r="117" spans="2:21">
      <c r="B117" s="41"/>
      <c r="C117" s="49"/>
      <c r="D117" s="49"/>
      <c r="E117" s="49"/>
      <c r="F117" s="49"/>
      <c r="G117" s="49"/>
      <c r="H117" s="49"/>
      <c r="I117" s="249"/>
      <c r="J117" s="5"/>
      <c r="K117" s="5"/>
      <c r="L117" s="5"/>
      <c r="M117" s="5"/>
      <c r="N117" s="5"/>
      <c r="O117" s="5"/>
      <c r="Q117" s="5"/>
      <c r="R117" s="5"/>
      <c r="S117" s="5"/>
      <c r="T117" s="5"/>
      <c r="U117" s="5"/>
    </row>
    <row r="118" spans="2:21">
      <c r="B118" s="5"/>
      <c r="C118" s="5"/>
      <c r="D118" s="5"/>
      <c r="E118" s="5"/>
      <c r="F118" s="5"/>
      <c r="G118" s="5"/>
      <c r="H118" s="5"/>
      <c r="I118" s="254"/>
      <c r="J118" s="254"/>
      <c r="K118" s="254"/>
      <c r="L118" s="254"/>
      <c r="M118" s="254"/>
      <c r="N118" s="254"/>
      <c r="O118" s="248"/>
      <c r="Q118" s="5"/>
      <c r="R118" s="5"/>
      <c r="S118" s="5"/>
      <c r="T118" s="5"/>
      <c r="U118" s="5"/>
    </row>
    <row r="119" spans="2:21">
      <c r="B119" s="41"/>
      <c r="C119" s="254"/>
      <c r="D119" s="254"/>
      <c r="E119" s="254"/>
      <c r="F119" s="254"/>
      <c r="G119" s="254"/>
      <c r="H119" s="254"/>
      <c r="I119" s="254"/>
      <c r="J119" s="249"/>
      <c r="K119" s="249"/>
      <c r="L119" s="249"/>
      <c r="M119" s="249"/>
      <c r="N119" s="249"/>
      <c r="O119" s="248"/>
      <c r="Q119" s="5"/>
      <c r="R119" s="5"/>
      <c r="S119" s="5"/>
      <c r="T119" s="5"/>
      <c r="U119" s="5"/>
    </row>
    <row r="120" spans="2:21">
      <c r="B120" s="41"/>
      <c r="C120" s="254"/>
      <c r="D120" s="249"/>
      <c r="E120" s="249"/>
      <c r="F120" s="249"/>
      <c r="G120" s="249"/>
      <c r="H120" s="249"/>
      <c r="I120" s="254"/>
      <c r="J120" s="254"/>
      <c r="K120" s="254"/>
      <c r="L120" s="254"/>
      <c r="M120" s="254"/>
      <c r="N120" s="254"/>
      <c r="O120" s="248"/>
      <c r="Q120" s="5"/>
      <c r="R120" s="5"/>
      <c r="S120" s="5"/>
      <c r="T120" s="5"/>
      <c r="U120" s="5"/>
    </row>
    <row r="121" spans="2:21">
      <c r="B121" s="41"/>
      <c r="C121" s="254"/>
      <c r="D121" s="254"/>
      <c r="E121" s="254"/>
      <c r="F121" s="254"/>
      <c r="G121" s="254"/>
      <c r="H121" s="254"/>
      <c r="I121" s="254"/>
      <c r="J121" s="254"/>
      <c r="K121" s="254"/>
      <c r="L121" s="254"/>
      <c r="M121" s="254"/>
      <c r="N121" s="254"/>
      <c r="O121" s="248"/>
      <c r="Q121" s="5"/>
      <c r="R121" s="5"/>
      <c r="S121" s="5"/>
      <c r="T121" s="5"/>
      <c r="U121" s="5"/>
    </row>
    <row r="122" spans="2:21">
      <c r="B122" s="41"/>
      <c r="C122" s="254"/>
      <c r="D122" s="254"/>
      <c r="E122" s="254"/>
      <c r="F122" s="254"/>
      <c r="G122" s="254"/>
      <c r="H122" s="254"/>
      <c r="I122" s="254"/>
      <c r="J122" s="254"/>
      <c r="K122" s="254"/>
      <c r="L122" s="254"/>
      <c r="M122" s="254"/>
      <c r="N122" s="254"/>
      <c r="O122" s="248"/>
      <c r="Q122" s="5"/>
      <c r="R122" s="5"/>
      <c r="S122" s="5"/>
      <c r="T122" s="5"/>
      <c r="U122" s="5"/>
    </row>
    <row r="123" spans="2:21">
      <c r="B123" s="41"/>
      <c r="C123" s="254"/>
      <c r="D123" s="254"/>
      <c r="E123" s="254"/>
      <c r="F123" s="254"/>
      <c r="G123" s="254"/>
      <c r="H123" s="254"/>
      <c r="I123" s="254"/>
      <c r="J123" s="254"/>
      <c r="K123" s="254"/>
      <c r="L123" s="254"/>
      <c r="M123" s="254"/>
      <c r="N123" s="254"/>
      <c r="O123" s="248"/>
      <c r="Q123" s="5"/>
      <c r="R123" s="5"/>
      <c r="S123" s="5"/>
      <c r="T123" s="5"/>
      <c r="U123" s="5"/>
    </row>
    <row r="124" spans="2:21">
      <c r="B124" s="41"/>
      <c r="C124" s="254"/>
      <c r="D124" s="254"/>
      <c r="E124" s="254"/>
      <c r="F124" s="254"/>
      <c r="G124" s="254"/>
      <c r="H124" s="254"/>
      <c r="I124" s="254"/>
      <c r="J124" s="254"/>
      <c r="K124" s="254"/>
      <c r="L124" s="254"/>
      <c r="M124" s="254"/>
      <c r="N124" s="254"/>
      <c r="O124" s="5"/>
      <c r="Q124" s="5"/>
      <c r="R124" s="5"/>
      <c r="S124" s="5"/>
      <c r="T124" s="5"/>
      <c r="U124" s="5"/>
    </row>
    <row r="125" spans="2:21">
      <c r="B125" s="41"/>
      <c r="C125" s="254"/>
      <c r="D125" s="254"/>
      <c r="E125" s="254"/>
      <c r="F125" s="254"/>
      <c r="G125" s="254"/>
      <c r="H125" s="254"/>
      <c r="I125" s="254"/>
      <c r="J125" s="254"/>
      <c r="K125" s="254"/>
      <c r="L125" s="254"/>
      <c r="M125" s="254"/>
      <c r="N125" s="254"/>
      <c r="O125" s="5"/>
      <c r="Q125" s="5"/>
      <c r="R125" s="5"/>
      <c r="S125" s="5"/>
      <c r="T125" s="5"/>
      <c r="U125" s="5"/>
    </row>
    <row r="126" spans="2:21">
      <c r="B126" s="41"/>
      <c r="C126" s="254"/>
      <c r="D126" s="254"/>
      <c r="E126" s="254"/>
      <c r="F126" s="254"/>
      <c r="G126" s="254"/>
      <c r="H126" s="254"/>
      <c r="I126" s="18"/>
      <c r="J126" s="254"/>
      <c r="K126" s="254"/>
      <c r="L126" s="254"/>
      <c r="M126" s="254"/>
      <c r="N126" s="254"/>
      <c r="O126" s="5"/>
      <c r="Q126" s="5"/>
      <c r="R126" s="5"/>
      <c r="S126" s="5"/>
      <c r="T126" s="5"/>
      <c r="U126" s="5"/>
    </row>
    <row r="127" spans="2:21">
      <c r="B127" s="41"/>
      <c r="C127" s="254"/>
      <c r="D127" s="254"/>
      <c r="E127" s="254"/>
      <c r="F127" s="254"/>
      <c r="G127" s="254"/>
      <c r="H127" s="254"/>
      <c r="I127" s="5"/>
      <c r="J127" s="254"/>
      <c r="K127" s="254"/>
      <c r="L127" s="254"/>
      <c r="M127" s="254"/>
      <c r="N127" s="254"/>
      <c r="O127" s="5"/>
      <c r="Q127" s="5"/>
      <c r="R127" s="5"/>
      <c r="S127" s="5"/>
      <c r="T127" s="5"/>
      <c r="U127" s="5"/>
    </row>
    <row r="128" spans="2:21">
      <c r="B128" s="41"/>
      <c r="C128" s="254"/>
      <c r="D128" s="254"/>
      <c r="E128" s="254"/>
      <c r="F128" s="254"/>
      <c r="G128" s="254"/>
      <c r="H128" s="254"/>
      <c r="I128" s="254"/>
      <c r="J128" s="18"/>
      <c r="K128" s="18"/>
      <c r="L128" s="18"/>
      <c r="M128" s="18"/>
      <c r="N128" s="18"/>
      <c r="O128" s="5"/>
      <c r="Q128" s="5"/>
      <c r="R128" s="5"/>
      <c r="S128" s="5"/>
      <c r="T128" s="5"/>
      <c r="U128" s="5"/>
    </row>
    <row r="129" spans="2:27">
      <c r="B129" s="5"/>
      <c r="C129" s="5"/>
      <c r="D129" s="18"/>
      <c r="E129" s="18"/>
      <c r="F129" s="18"/>
      <c r="G129" s="18"/>
      <c r="H129" s="18"/>
      <c r="I129" s="18"/>
      <c r="J129" s="5"/>
      <c r="K129" s="5"/>
      <c r="L129" s="5"/>
      <c r="M129" s="5"/>
      <c r="N129" s="5"/>
      <c r="O129" s="5"/>
      <c r="Q129" s="5"/>
      <c r="R129" s="5"/>
      <c r="S129" s="5"/>
      <c r="T129" s="5"/>
      <c r="U129" s="5"/>
    </row>
    <row r="130" spans="2:27">
      <c r="B130" s="5"/>
      <c r="C130" s="5"/>
      <c r="D130" s="5"/>
      <c r="E130" s="5"/>
      <c r="F130" s="5"/>
      <c r="G130" s="5"/>
      <c r="H130" s="5"/>
      <c r="I130" s="5"/>
      <c r="J130" s="254"/>
      <c r="K130" s="254"/>
      <c r="L130" s="254"/>
      <c r="M130" s="254"/>
      <c r="N130" s="254"/>
      <c r="O130" s="5"/>
      <c r="Q130" s="5"/>
      <c r="R130" s="5"/>
      <c r="S130" s="5"/>
      <c r="T130" s="5"/>
      <c r="U130" s="5"/>
    </row>
    <row r="131" spans="2:27">
      <c r="B131" s="41"/>
      <c r="C131" s="254"/>
      <c r="D131" s="254"/>
      <c r="E131" s="254"/>
      <c r="F131" s="254"/>
      <c r="G131" s="254"/>
      <c r="H131" s="254"/>
      <c r="I131" s="5"/>
      <c r="J131" s="18"/>
      <c r="K131" s="18"/>
      <c r="L131" s="18"/>
      <c r="M131" s="18"/>
      <c r="N131" s="18"/>
      <c r="O131" s="5"/>
      <c r="Q131" s="5"/>
      <c r="R131" s="5"/>
      <c r="S131" s="5"/>
      <c r="T131" s="5"/>
      <c r="U131" s="5"/>
    </row>
    <row r="132" spans="2:27">
      <c r="B132" s="5"/>
      <c r="C132" s="259"/>
      <c r="D132" s="18"/>
      <c r="E132" s="18"/>
      <c r="F132" s="18"/>
      <c r="G132" s="18"/>
      <c r="H132" s="18"/>
      <c r="I132" s="17"/>
      <c r="J132" s="5"/>
      <c r="K132" s="5"/>
      <c r="L132" s="5"/>
      <c r="M132" s="5"/>
      <c r="N132" s="5"/>
      <c r="O132" s="5"/>
      <c r="Q132" s="5"/>
      <c r="R132" s="5"/>
      <c r="S132" s="5"/>
      <c r="T132" s="5"/>
      <c r="U132" s="5"/>
    </row>
    <row r="133" spans="2:27">
      <c r="B133" s="5"/>
      <c r="C133" s="5"/>
      <c r="D133" s="5"/>
      <c r="E133" s="5"/>
      <c r="F133" s="5"/>
      <c r="G133" s="5"/>
      <c r="H133" s="5"/>
      <c r="I133" s="17"/>
      <c r="J133" s="5"/>
      <c r="K133" s="5"/>
      <c r="L133" s="5"/>
      <c r="M133" s="5"/>
      <c r="N133" s="5"/>
      <c r="O133" s="5"/>
      <c r="Q133" s="5"/>
      <c r="R133" s="5"/>
      <c r="S133" s="5"/>
      <c r="T133" s="5"/>
      <c r="U133" s="5"/>
    </row>
    <row r="134" spans="2:27">
      <c r="B134" s="41"/>
      <c r="C134" s="5"/>
      <c r="D134" s="5"/>
      <c r="E134" s="5"/>
      <c r="F134" s="5"/>
      <c r="G134" s="5"/>
      <c r="H134" s="5"/>
      <c r="I134" s="17"/>
      <c r="J134" s="17"/>
      <c r="K134" s="17"/>
      <c r="L134" s="17"/>
      <c r="M134" s="17"/>
      <c r="N134" s="17"/>
      <c r="O134" s="5"/>
      <c r="Q134" s="41"/>
      <c r="R134" s="5"/>
      <c r="S134" s="5"/>
      <c r="T134" s="5"/>
      <c r="U134" s="5"/>
    </row>
    <row r="135" spans="2:27">
      <c r="B135" s="5"/>
      <c r="C135" s="17"/>
      <c r="D135" s="17"/>
      <c r="E135" s="17"/>
      <c r="F135" s="17"/>
      <c r="G135" s="17"/>
      <c r="H135" s="17"/>
      <c r="I135" s="17"/>
      <c r="J135" s="17"/>
      <c r="K135" s="17"/>
      <c r="L135" s="17"/>
      <c r="M135" s="17"/>
      <c r="N135" s="17"/>
      <c r="O135" s="5"/>
      <c r="Q135" s="5"/>
      <c r="R135" s="5"/>
      <c r="S135" s="5"/>
      <c r="T135" s="5"/>
      <c r="U135" s="5"/>
      <c r="X135" s="304"/>
    </row>
    <row r="136" spans="2:27">
      <c r="B136" s="5"/>
      <c r="C136" s="17"/>
      <c r="D136" s="17"/>
      <c r="E136" s="17"/>
      <c r="F136" s="17"/>
      <c r="G136" s="17"/>
      <c r="H136" s="17"/>
      <c r="I136" s="17"/>
      <c r="J136" s="17"/>
      <c r="K136" s="17"/>
      <c r="L136" s="17"/>
      <c r="M136" s="17"/>
      <c r="N136" s="17"/>
      <c r="O136" s="5"/>
      <c r="Q136" s="5"/>
      <c r="R136" s="5"/>
      <c r="S136" s="5"/>
      <c r="T136" s="5"/>
      <c r="U136" s="5"/>
      <c r="X136" s="10"/>
      <c r="Y136" s="304"/>
      <c r="Z136" s="304"/>
      <c r="AA136" s="304"/>
    </row>
    <row r="137" spans="2:27">
      <c r="B137" s="5"/>
      <c r="C137" s="5"/>
      <c r="D137" s="17"/>
      <c r="E137" s="17"/>
      <c r="F137" s="17"/>
      <c r="G137" s="17"/>
      <c r="H137" s="17"/>
      <c r="I137" s="17"/>
      <c r="J137" s="17"/>
      <c r="K137" s="17"/>
      <c r="L137" s="17"/>
      <c r="M137" s="17"/>
      <c r="N137" s="17"/>
      <c r="O137" s="5"/>
      <c r="Q137" s="5"/>
      <c r="R137" s="5"/>
      <c r="S137" s="5"/>
      <c r="T137" s="5"/>
      <c r="U137" s="5"/>
      <c r="Y137" s="10"/>
      <c r="Z137" s="10"/>
      <c r="AA137" s="10"/>
    </row>
    <row r="138" spans="2:27">
      <c r="B138" s="5"/>
      <c r="C138" s="5"/>
      <c r="D138" s="17"/>
      <c r="E138" s="17"/>
      <c r="F138" s="17"/>
      <c r="G138" s="17"/>
      <c r="H138" s="17"/>
      <c r="I138" s="5"/>
      <c r="J138" s="17"/>
      <c r="K138" s="17"/>
      <c r="L138" s="17"/>
      <c r="M138" s="17"/>
      <c r="N138" s="17"/>
      <c r="O138" s="5"/>
      <c r="Q138" s="5"/>
      <c r="R138" s="5"/>
      <c r="S138" s="5"/>
      <c r="T138" s="5"/>
      <c r="U138" s="5"/>
    </row>
    <row r="139" spans="2:27">
      <c r="B139" s="5"/>
      <c r="C139" s="5"/>
      <c r="D139" s="17"/>
      <c r="E139" s="17"/>
      <c r="F139" s="17"/>
      <c r="G139" s="17"/>
      <c r="H139" s="17"/>
      <c r="I139" s="5"/>
      <c r="J139" s="17"/>
      <c r="K139" s="17"/>
      <c r="L139" s="17"/>
      <c r="M139" s="17"/>
      <c r="N139" s="17"/>
      <c r="O139" s="5"/>
      <c r="Q139" s="5"/>
      <c r="R139" s="5"/>
      <c r="S139" s="5"/>
      <c r="T139" s="5"/>
      <c r="U139" s="5"/>
    </row>
    <row r="140" spans="2:27">
      <c r="B140" s="5"/>
      <c r="C140" s="17"/>
      <c r="D140" s="17"/>
      <c r="E140" s="17"/>
      <c r="F140" s="17"/>
      <c r="G140" s="17"/>
      <c r="H140" s="17"/>
      <c r="I140" s="5"/>
      <c r="J140" s="5"/>
      <c r="K140" s="5"/>
      <c r="L140" s="5"/>
      <c r="M140" s="5"/>
      <c r="N140" s="5"/>
      <c r="O140" s="5"/>
      <c r="Q140" s="5"/>
      <c r="R140" s="5"/>
      <c r="S140" s="5"/>
      <c r="T140" s="5"/>
      <c r="U140" s="5"/>
    </row>
    <row r="141" spans="2:27">
      <c r="B141" s="5"/>
      <c r="C141" s="5"/>
      <c r="D141" s="5"/>
      <c r="E141" s="5"/>
      <c r="F141" s="5"/>
      <c r="G141" s="5"/>
      <c r="H141" s="5"/>
      <c r="I141" s="5"/>
      <c r="J141" s="5"/>
      <c r="K141" s="5"/>
      <c r="L141" s="5"/>
      <c r="M141" s="5"/>
      <c r="N141" s="5"/>
      <c r="O141" s="5"/>
      <c r="Q141" s="5"/>
      <c r="R141" s="5"/>
      <c r="S141" s="5"/>
      <c r="T141" s="5"/>
      <c r="U141" s="5"/>
    </row>
    <row r="142" spans="2:27">
      <c r="B142" s="5"/>
      <c r="C142" s="5"/>
      <c r="D142" s="5"/>
      <c r="E142" s="5"/>
      <c r="F142" s="5"/>
      <c r="G142" s="5"/>
      <c r="H142" s="5"/>
      <c r="I142" s="5"/>
      <c r="J142" s="5"/>
      <c r="K142" s="5"/>
      <c r="L142" s="5"/>
      <c r="M142" s="5"/>
      <c r="N142" s="5"/>
      <c r="O142" s="5"/>
      <c r="Q142" s="5"/>
      <c r="R142" s="5"/>
      <c r="S142" s="5"/>
      <c r="T142" s="5"/>
      <c r="U142" s="5"/>
    </row>
    <row r="143" spans="2:27">
      <c r="B143" s="5"/>
      <c r="C143" s="5"/>
      <c r="D143" s="5"/>
      <c r="E143" s="5"/>
      <c r="F143" s="5"/>
      <c r="G143" s="5"/>
      <c r="H143" s="5"/>
      <c r="I143" s="5"/>
      <c r="J143" s="5"/>
      <c r="K143" s="5"/>
      <c r="L143" s="5"/>
      <c r="M143" s="5"/>
      <c r="N143" s="5"/>
      <c r="O143" s="5"/>
      <c r="Q143" s="5"/>
      <c r="R143" s="5"/>
      <c r="S143" s="5"/>
      <c r="T143" s="5"/>
      <c r="U143" s="5"/>
    </row>
    <row r="144" spans="2:27">
      <c r="B144" s="5"/>
      <c r="C144" s="5"/>
      <c r="D144" s="5"/>
      <c r="E144" s="5"/>
      <c r="F144" s="5"/>
      <c r="G144" s="5"/>
      <c r="H144" s="5"/>
      <c r="I144" s="5"/>
      <c r="J144" s="5"/>
      <c r="K144" s="5"/>
      <c r="L144" s="5"/>
      <c r="M144" s="5"/>
      <c r="N144" s="5"/>
      <c r="O144" s="5"/>
      <c r="Q144" s="5"/>
      <c r="R144" s="5"/>
      <c r="S144" s="5"/>
      <c r="T144" s="5"/>
      <c r="U144" s="5"/>
    </row>
    <row r="145" spans="2:21">
      <c r="B145" s="5"/>
      <c r="C145" s="5"/>
      <c r="D145" s="5"/>
      <c r="E145" s="5"/>
      <c r="F145" s="5"/>
      <c r="G145" s="5"/>
      <c r="H145" s="5"/>
      <c r="I145" s="5"/>
      <c r="J145" s="5"/>
      <c r="K145" s="5"/>
      <c r="L145" s="5"/>
      <c r="M145" s="5"/>
      <c r="N145" s="5"/>
      <c r="O145" s="5"/>
      <c r="Q145" s="5"/>
      <c r="R145" s="5"/>
      <c r="S145" s="5"/>
      <c r="T145" s="5"/>
      <c r="U145" s="5"/>
    </row>
    <row r="146" spans="2:21">
      <c r="B146" s="5"/>
      <c r="C146" s="5"/>
      <c r="D146" s="5"/>
      <c r="E146" s="5"/>
      <c r="F146" s="5"/>
      <c r="G146" s="5"/>
      <c r="H146" s="5"/>
      <c r="I146" s="5"/>
      <c r="J146" s="5"/>
      <c r="K146" s="5"/>
      <c r="L146" s="5"/>
      <c r="M146" s="5"/>
      <c r="N146" s="5"/>
      <c r="O146" s="5"/>
      <c r="Q146" s="5"/>
      <c r="R146" s="5"/>
      <c r="S146" s="5"/>
      <c r="T146" s="5"/>
      <c r="U146" s="5"/>
    </row>
    <row r="147" spans="2:21">
      <c r="B147" s="5"/>
      <c r="C147" s="5"/>
      <c r="D147" s="5"/>
      <c r="E147" s="5"/>
      <c r="F147" s="5"/>
      <c r="G147" s="5"/>
      <c r="H147" s="5"/>
      <c r="I147" s="5"/>
      <c r="J147" s="5"/>
      <c r="K147" s="5"/>
      <c r="L147" s="5"/>
      <c r="M147" s="5"/>
      <c r="N147" s="5"/>
      <c r="O147" s="5"/>
      <c r="Q147" s="5"/>
      <c r="R147" s="5"/>
      <c r="S147" s="5"/>
      <c r="T147" s="5"/>
      <c r="U147" s="5"/>
    </row>
    <row r="148" spans="2:21">
      <c r="B148" s="5"/>
      <c r="C148" s="5"/>
      <c r="D148" s="5"/>
      <c r="E148" s="5"/>
      <c r="F148" s="5"/>
      <c r="G148" s="5"/>
      <c r="H148" s="5"/>
      <c r="J148" s="5"/>
      <c r="K148" s="5"/>
      <c r="L148" s="5"/>
      <c r="M148" s="5"/>
      <c r="N148" s="5"/>
      <c r="O148" s="5"/>
      <c r="Q148" s="5"/>
      <c r="R148" s="5"/>
      <c r="S148" s="5"/>
      <c r="T148" s="5"/>
      <c r="U148" s="5"/>
    </row>
    <row r="149" spans="2:21">
      <c r="B149" s="5"/>
      <c r="C149" s="5"/>
      <c r="D149" s="5"/>
      <c r="E149" s="5"/>
      <c r="F149" s="5"/>
      <c r="G149" s="5"/>
      <c r="H149" s="5"/>
      <c r="J149" s="5"/>
      <c r="K149" s="5"/>
      <c r="L149" s="5"/>
      <c r="M149" s="5"/>
      <c r="N149" s="5"/>
      <c r="O149" s="5"/>
      <c r="Q149" s="5"/>
      <c r="R149" s="5"/>
      <c r="S149" s="5"/>
      <c r="T149" s="5"/>
      <c r="U149" s="5"/>
    </row>
    <row r="150" spans="2:21">
      <c r="B150" s="5"/>
      <c r="C150" s="5"/>
      <c r="D150" s="5"/>
      <c r="E150" s="5"/>
      <c r="F150" s="5"/>
      <c r="G150" s="5"/>
      <c r="H150" s="5"/>
      <c r="Q150" s="5"/>
      <c r="R150" s="5"/>
      <c r="S150" s="5"/>
      <c r="T150" s="5"/>
      <c r="U150" s="5"/>
    </row>
    <row r="151" spans="2:21">
      <c r="Q151" s="5"/>
      <c r="R151" s="5"/>
      <c r="S151" s="5"/>
      <c r="T151" s="5"/>
      <c r="U151" s="5"/>
    </row>
    <row r="152" spans="2:21">
      <c r="Q152" s="5"/>
      <c r="R152" s="5"/>
      <c r="S152" s="5"/>
      <c r="T152" s="5"/>
      <c r="U152" s="5"/>
    </row>
    <row r="153" spans="2:21">
      <c r="C153" s="263"/>
      <c r="Q153" s="5"/>
      <c r="R153" s="5"/>
      <c r="S153" s="5"/>
      <c r="T153" s="5"/>
      <c r="U153" s="5"/>
    </row>
    <row r="154" spans="2:21">
      <c r="Q154" s="5"/>
      <c r="R154" s="5"/>
      <c r="S154" s="5"/>
      <c r="T154" s="5"/>
      <c r="U154" s="5"/>
    </row>
    <row r="155" spans="2:21">
      <c r="Q155" s="5"/>
      <c r="R155" s="5"/>
      <c r="S155" s="5"/>
      <c r="T155" s="5"/>
      <c r="U155" s="5"/>
    </row>
    <row r="156" spans="2:21">
      <c r="Q156" s="5"/>
      <c r="R156" s="5"/>
      <c r="S156" s="5"/>
      <c r="T156" s="5"/>
      <c r="U156" s="5"/>
    </row>
    <row r="157" spans="2:21">
      <c r="Q157" s="5"/>
      <c r="R157" s="5"/>
      <c r="S157" s="5"/>
      <c r="T157" s="5"/>
      <c r="U157" s="5"/>
    </row>
    <row r="158" spans="2:21">
      <c r="Q158" s="5"/>
      <c r="R158" s="5"/>
      <c r="S158" s="5"/>
      <c r="T158" s="5"/>
      <c r="U158" s="5"/>
    </row>
    <row r="159" spans="2:21">
      <c r="Q159" s="5"/>
      <c r="R159" s="5"/>
      <c r="S159" s="5"/>
      <c r="T159" s="5"/>
      <c r="U159" s="5"/>
    </row>
    <row r="160" spans="2:21">
      <c r="Q160" s="5"/>
      <c r="R160" s="5"/>
      <c r="S160" s="5"/>
      <c r="T160" s="5"/>
      <c r="U160" s="5"/>
    </row>
    <row r="161" spans="17:21">
      <c r="Q161" s="5"/>
      <c r="R161" s="5"/>
      <c r="S161" s="5"/>
      <c r="T161" s="5"/>
      <c r="U161" s="5"/>
    </row>
    <row r="162" spans="17:21">
      <c r="Q162" s="5"/>
      <c r="R162" s="5"/>
      <c r="S162" s="5"/>
      <c r="T162" s="5"/>
      <c r="U162" s="5"/>
    </row>
    <row r="163" spans="17:21">
      <c r="Q163" s="5"/>
      <c r="R163" s="5"/>
      <c r="S163" s="5"/>
      <c r="T163" s="5"/>
      <c r="U163" s="5"/>
    </row>
    <row r="164" spans="17:21">
      <c r="Q164" s="5"/>
      <c r="R164" s="5"/>
      <c r="S164" s="5"/>
      <c r="T164" s="5"/>
      <c r="U164" s="5"/>
    </row>
  </sheetData>
  <phoneticPr fontId="7" type="noConversion"/>
  <pageMargins left="0.75" right="0.75" top="1" bottom="1" header="0.5" footer="0.5"/>
  <pageSetup scale="69" orientation="landscape" r:id="rId1"/>
  <headerFooter alignWithMargins="0"/>
  <drawing r:id="rId2"/>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200-000000000000}">
  <sheetPr codeName="Sheet167">
    <tabColor theme="3" tint="0.59999389629810485"/>
    <pageSetUpPr fitToPage="1"/>
  </sheetPr>
  <dimension ref="B1:BK164"/>
  <sheetViews>
    <sheetView showGridLines="0" zoomScale="80" zoomScaleNormal="80" workbookViewId="0"/>
  </sheetViews>
  <sheetFormatPr defaultColWidth="8.88671875" defaultRowHeight="12"/>
  <cols>
    <col min="1" max="1" width="2.33203125" style="39" customWidth="1"/>
    <col min="2" max="2" width="26.6640625" style="39" customWidth="1"/>
    <col min="3" max="9" width="10" style="39" customWidth="1"/>
    <col min="10" max="10" width="26.6640625" style="39" customWidth="1"/>
    <col min="11" max="16" width="10" style="39" customWidth="1"/>
    <col min="17" max="17" width="4.5546875" style="39" customWidth="1"/>
    <col min="18" max="20" width="8.88671875" style="39"/>
    <col min="21" max="21" width="3.6640625" style="39" customWidth="1"/>
    <col min="22" max="63" width="9.109375" style="5" customWidth="1"/>
    <col min="64" max="16384" width="8.88671875" style="39"/>
  </cols>
  <sheetData>
    <row r="1" spans="2:63" s="312" customFormat="1">
      <c r="V1" s="149"/>
      <c r="W1" s="149"/>
      <c r="X1" s="149"/>
      <c r="Y1" s="149"/>
      <c r="Z1" s="149"/>
      <c r="AA1" s="149"/>
      <c r="AB1" s="149"/>
      <c r="AC1" s="149"/>
      <c r="AD1" s="149"/>
      <c r="AE1" s="149"/>
      <c r="AF1" s="149"/>
      <c r="AG1" s="149"/>
      <c r="AH1" s="149"/>
      <c r="AI1" s="149"/>
      <c r="AJ1" s="149"/>
      <c r="AK1" s="149"/>
      <c r="AL1" s="149"/>
      <c r="AM1" s="149"/>
      <c r="AN1" s="149"/>
      <c r="AO1" s="149"/>
      <c r="AP1" s="149"/>
      <c r="AQ1" s="149"/>
      <c r="AR1" s="149"/>
      <c r="AS1" s="149"/>
      <c r="AT1" s="149"/>
      <c r="AU1" s="149"/>
      <c r="AV1" s="149"/>
      <c r="AW1" s="149"/>
      <c r="AX1" s="149"/>
      <c r="AY1" s="149"/>
      <c r="AZ1" s="149"/>
      <c r="BA1" s="149"/>
      <c r="BB1" s="149"/>
      <c r="BC1" s="149"/>
      <c r="BD1" s="149"/>
      <c r="BE1" s="149"/>
      <c r="BF1" s="149"/>
      <c r="BG1" s="149"/>
      <c r="BH1" s="149"/>
      <c r="BI1" s="149"/>
      <c r="BJ1" s="149"/>
      <c r="BK1" s="149"/>
    </row>
    <row r="2" spans="2:63" s="312" customFormat="1">
      <c r="V2" s="149"/>
      <c r="W2" s="149"/>
      <c r="X2" s="149"/>
      <c r="Y2" s="149"/>
      <c r="Z2" s="149"/>
      <c r="AA2" s="149"/>
      <c r="AB2" s="149"/>
      <c r="AC2" s="149"/>
      <c r="AD2" s="149"/>
      <c r="AE2" s="149"/>
      <c r="AF2" s="149"/>
      <c r="AG2" s="149"/>
      <c r="AH2" s="149"/>
      <c r="AI2" s="149"/>
      <c r="AJ2" s="149"/>
      <c r="AK2" s="149"/>
      <c r="AL2" s="149"/>
      <c r="AM2" s="149"/>
      <c r="AN2" s="149"/>
      <c r="AO2" s="149"/>
      <c r="AP2" s="149"/>
      <c r="AQ2" s="149"/>
      <c r="AR2" s="149"/>
      <c r="AS2" s="149"/>
      <c r="AT2" s="149"/>
      <c r="AU2" s="149"/>
      <c r="AV2" s="149"/>
      <c r="AW2" s="149"/>
      <c r="AX2" s="149"/>
      <c r="AY2" s="149"/>
      <c r="AZ2" s="149"/>
      <c r="BA2" s="149"/>
      <c r="BB2" s="149"/>
      <c r="BC2" s="149"/>
      <c r="BD2" s="149"/>
      <c r="BE2" s="149"/>
      <c r="BF2" s="149"/>
      <c r="BG2" s="149"/>
      <c r="BH2" s="149"/>
      <c r="BI2" s="149"/>
      <c r="BJ2" s="149"/>
      <c r="BK2" s="149"/>
    </row>
    <row r="3" spans="2:63" s="149" customFormat="1">
      <c r="H3" s="153"/>
      <c r="P3" s="153"/>
    </row>
    <row r="4" spans="2:63" s="156" customFormat="1" ht="21">
      <c r="B4" s="129" t="s">
        <v>821</v>
      </c>
      <c r="H4" s="222"/>
      <c r="P4" s="222"/>
    </row>
    <row r="5" spans="2:63" s="149" customFormat="1">
      <c r="C5" s="153"/>
      <c r="D5" s="153" t="str" cm="1">
        <f t="array" ref="D5:H5">headings</f>
        <v>2023E</v>
      </c>
      <c r="E5" s="153" t="str">
        <v>2024E</v>
      </c>
      <c r="F5" s="153" t="str">
        <v>2025E</v>
      </c>
      <c r="G5" s="153" t="str">
        <v>2026E</v>
      </c>
      <c r="H5" s="153" t="str">
        <v>23E-26E</v>
      </c>
      <c r="I5" s="153"/>
      <c r="J5" s="153"/>
      <c r="K5" s="153"/>
      <c r="L5" s="153" t="str" cm="1">
        <f t="array" ref="L5:P5">headings</f>
        <v>2023E</v>
      </c>
      <c r="M5" s="153" t="str">
        <v>2024E</v>
      </c>
      <c r="N5" s="153" t="str">
        <v>2025E</v>
      </c>
      <c r="O5" s="153" t="str">
        <v>2026E</v>
      </c>
      <c r="P5" s="153" t="str">
        <v>23E-26E</v>
      </c>
      <c r="Q5" s="162"/>
      <c r="R5" s="162"/>
      <c r="S5" s="162"/>
      <c r="T5" s="162"/>
      <c r="U5" s="162"/>
      <c r="V5" s="162"/>
      <c r="W5" s="162"/>
      <c r="X5" s="162"/>
      <c r="Y5" s="162"/>
    </row>
    <row r="6" spans="2:63">
      <c r="I6" s="5"/>
      <c r="J6" s="5"/>
      <c r="K6" s="5"/>
      <c r="L6" s="5"/>
      <c r="M6" s="5"/>
      <c r="N6" s="5"/>
      <c r="O6" s="49"/>
    </row>
    <row r="7" spans="2:63" ht="12.6" thickBot="1">
      <c r="B7" s="306" t="s">
        <v>271</v>
      </c>
      <c r="C7" s="265"/>
      <c r="D7" s="265"/>
      <c r="E7" s="265"/>
      <c r="F7" s="265"/>
      <c r="G7" s="265"/>
      <c r="H7" s="265"/>
      <c r="I7" s="49"/>
      <c r="J7" s="306" t="s">
        <v>29</v>
      </c>
      <c r="K7" s="306"/>
      <c r="L7" s="306"/>
      <c r="M7" s="306"/>
      <c r="N7" s="266"/>
      <c r="O7" s="266"/>
      <c r="P7" s="266"/>
    </row>
    <row r="8" spans="2:63" ht="12.6" thickTop="1">
      <c r="B8" s="5"/>
      <c r="C8" s="5"/>
      <c r="D8" s="5"/>
      <c r="E8" s="5"/>
      <c r="F8" s="5"/>
      <c r="G8" s="5"/>
      <c r="H8" s="5"/>
      <c r="I8" s="5"/>
      <c r="J8" s="5"/>
      <c r="K8" s="5"/>
      <c r="L8" s="5"/>
      <c r="M8" s="5"/>
      <c r="N8" s="5"/>
    </row>
    <row r="9" spans="2:63">
      <c r="B9" s="41" t="s">
        <v>500</v>
      </c>
      <c r="C9" s="287"/>
      <c r="D9" s="5"/>
      <c r="E9" s="249"/>
      <c r="F9" s="249"/>
      <c r="G9" s="249"/>
      <c r="H9" s="249"/>
      <c r="I9" s="249"/>
      <c r="J9" s="5" t="s">
        <v>273</v>
      </c>
      <c r="L9" s="64">
        <f>'EM CELLULAR'!D37</f>
        <v>2.3028864261184152</v>
      </c>
      <c r="M9" s="64">
        <f>'EM CELLULAR'!E37</f>
        <v>2.1687959715674001</v>
      </c>
      <c r="N9" s="64">
        <f>'EM CELLULAR'!F37</f>
        <v>1.9297924574883407</v>
      </c>
      <c r="O9" s="64">
        <f>'EM CELLULAR'!G37</f>
        <v>1.70163849543242</v>
      </c>
      <c r="P9" s="17">
        <f>'EM CELLULAR'!H37</f>
        <v>5.0377730628003325E-2</v>
      </c>
    </row>
    <row r="10" spans="2:63">
      <c r="B10" s="5" t="s">
        <v>274</v>
      </c>
      <c r="C10" s="5"/>
      <c r="D10" s="332"/>
      <c r="E10" s="332"/>
      <c r="F10" s="332"/>
      <c r="G10" s="332"/>
      <c r="H10" s="247"/>
      <c r="I10" s="247"/>
      <c r="J10" s="5" t="s">
        <v>184</v>
      </c>
      <c r="L10" s="64">
        <f>'EM CELLULAR'!D38</f>
        <v>6.211590807666914</v>
      </c>
      <c r="M10" s="64">
        <f>'EM CELLULAR'!E38</f>
        <v>5.8072036978296566</v>
      </c>
      <c r="N10" s="64">
        <f>'EM CELLULAR'!F38</f>
        <v>5.1059602676010947</v>
      </c>
      <c r="O10" s="64">
        <f>'EM CELLULAR'!G38</f>
        <v>4.4630559895464135</v>
      </c>
      <c r="P10" s="17">
        <f>'EM CELLULAR'!H38</f>
        <v>6.0231249791276253E-2</v>
      </c>
      <c r="W10" s="10"/>
      <c r="X10" s="10"/>
      <c r="Y10" s="10"/>
      <c r="Z10" s="10"/>
    </row>
    <row r="11" spans="2:63">
      <c r="B11" s="41" t="s">
        <v>359</v>
      </c>
      <c r="C11" s="351"/>
      <c r="D11" s="271">
        <f>ADVANCED!D11/Prices!$C$163+AXI!D11/Prices!$C$159+BHART!D11/Prices!$C$152+_CM!D11/Prices!$C$175*1000+DIGI!D11/Prices!$C$159+FAR!D11/Prices!$C$181+IDEA!D11/Prices!$C$152+INDO!D11/Prices!$C$172*1000+_LG!D11/Prices!$C$173*1000+MAXI!D11/Prices!$C$159+SKT!D11/Prices!$C$173*1000+TAIWAN!D11/Prices!$C$181+XLAX!D11/Prices!$C$172*1000+TRUECORP!D11/Prices!$C$163</f>
        <v>392659.30151978758</v>
      </c>
      <c r="E11" s="271">
        <f>ADVANCED!E11/Prices!$C$163+AXI!E11/Prices!$C$159+BHART!E11/Prices!$C$152+_CM!E11/Prices!$C$175*1000+DIGI!E11/Prices!$C$159+FAR!E11/Prices!$C$181+IDEA!E11/Prices!$C$152+INDO!E11/Prices!$C$172*1000+_LG!E11/Prices!$C$173*1000+MAXI!E11/Prices!$C$159+SKT!E11/Prices!$C$173*1000+TAIWAN!E11/Prices!$C$181+XLAX!E11/Prices!$C$172*1000+TRUECORP!E11/Prices!$C$163</f>
        <v>396021.97260100994</v>
      </c>
      <c r="F11" s="271">
        <f>ADVANCED!F11/Prices!$C$163+AXI!F11/Prices!$C$159+BHART!F11/Prices!$C$152+_CM!F11/Prices!$C$175*1000+DIGI!F11/Prices!$C$159+FAR!F11/Prices!$C$181+IDEA!F11/Prices!$C$152+INDO!F11/Prices!$C$172*1000+_LG!F11/Prices!$C$173*1000+MAXI!F11/Prices!$C$159+SKT!F11/Prices!$C$173*1000+TAIWAN!F11/Prices!$C$181+XLAX!F11/Prices!$C$172*1000+TRUECORP!F11/Prices!$C$163</f>
        <v>396021.97260100994</v>
      </c>
      <c r="G11" s="271">
        <f>ADVANCED!G11/Prices!$C$163+AXI!G11/Prices!$C$159+BHART!G11/Prices!$C$152+_CM!G11/Prices!$C$175*1000+DIGI!G11/Prices!$C$159+FAR!G11/Prices!$C$181+IDEA!G11/Prices!$C$152+INDO!G11/Prices!$C$172*1000+_LG!G11/Prices!$C$173*1000+MAXI!G11/Prices!$C$159+SKT!G11/Prices!$C$173*1000+TAIWAN!G11/Prices!$C$181+XLAX!G11/Prices!$C$172*1000+TRUECORP!G11/Prices!$C$163</f>
        <v>396021.97260100994</v>
      </c>
      <c r="H11" s="249"/>
      <c r="I11" s="249"/>
      <c r="J11" s="5" t="s">
        <v>185</v>
      </c>
      <c r="L11" s="64">
        <f>'EM CELLULAR'!D39</f>
        <v>11.916721009928562</v>
      </c>
      <c r="M11" s="64">
        <f>'EM CELLULAR'!E39</f>
        <v>10.745312356284957</v>
      </c>
      <c r="N11" s="64">
        <f>'EM CELLULAR'!F39</f>
        <v>8.9736502860396943</v>
      </c>
      <c r="O11" s="64">
        <f>'EM CELLULAR'!G39</f>
        <v>7.4998267467078747</v>
      </c>
      <c r="P11" s="17">
        <f>'EM CELLULAR'!H39</f>
        <v>0.10809997877797661</v>
      </c>
      <c r="W11" s="10"/>
      <c r="X11" s="10"/>
      <c r="Y11" s="10"/>
      <c r="Z11" s="10"/>
    </row>
    <row r="12" spans="2:63">
      <c r="B12" s="5" t="s">
        <v>229</v>
      </c>
      <c r="C12" s="249"/>
      <c r="D12" s="228">
        <f>ADVANCED!D12/Prices!$C$163+AXI!D12/Prices!$C$159+BHART!D12/Prices!$C$152+_CM!D12/Prices!$C$175*1000+DIGI!D12/Prices!$C$159+FAR!D12/Prices!$C$181+IDEA!D12/Prices!$C$152+INDO!D12/Prices!$C$172*1000+_LG!D12/Prices!$C$173*1000+MAXI!D12/Prices!$C$159+SKT!D12/Prices!$C$173*1000+TAIWAN!D12/Prices!$C$181+XLAX!D12/Prices!$C$172*1000+TRUECORP!D12/Prices!$C$163</f>
        <v>88846.246726523881</v>
      </c>
      <c r="E12" s="228">
        <f>ADVANCED!E12/Prices!$C$163+AXI!E12/Prices!$C$159+BHART!E12/Prices!$C$152+_CM!E12/Prices!$C$175*1000+DIGI!E12/Prices!$C$159+FAR!E12/Prices!$C$181+IDEA!E12/Prices!$C$152+INDO!E12/Prices!$C$172*1000+_LG!E12/Prices!$C$173*1000+MAXI!E12/Prices!$C$159+SKT!E12/Prices!$C$173*1000+TAIWAN!E12/Prices!$C$181+XLAX!E12/Prices!$C$172*1000+TRUECORP!E12/Prices!$C$163</f>
        <v>75871.002817746703</v>
      </c>
      <c r="F12" s="228">
        <f>ADVANCED!F12/Prices!$C$163+AXI!F12/Prices!$C$159+BHART!F12/Prices!$C$152+_CM!F12/Prices!$C$175*1000+DIGI!F12/Prices!$C$159+FAR!F12/Prices!$C$181+IDEA!F12/Prices!$C$152+INDO!F12/Prices!$C$172*1000+_LG!F12/Prices!$C$173*1000+MAXI!F12/Prices!$C$159+SKT!F12/Prices!$C$173*1000+TAIWAN!F12/Prices!$C$181+XLAX!F12/Prices!$C$172*1000+TRUECORP!F12/Prices!$C$163</f>
        <v>62553.049023826534</v>
      </c>
      <c r="G12" s="228">
        <f>ADVANCED!G12/Prices!$C$163+AXI!G12/Prices!$C$159+BHART!G12/Prices!$C$152+_CM!G12/Prices!$C$175*1000+DIGI!G12/Prices!$C$159+FAR!G12/Prices!$C$181+IDEA!G12/Prices!$C$152+INDO!G12/Prices!$C$172*1000+_LG!G12/Prices!$C$173*1000+MAXI!G12/Prices!$C$159+SKT!G12/Prices!$C$173*1000+TAIWAN!G12/Prices!$C$181+XLAX!G12/Prices!$C$172*1000+TRUECORP!G12/Prices!$C$163</f>
        <v>47148.809177642353</v>
      </c>
      <c r="H12" s="247"/>
      <c r="I12" s="247"/>
      <c r="J12" s="5" t="s">
        <v>466</v>
      </c>
      <c r="L12" s="64">
        <f>'EM CELLULAR'!D40</f>
        <v>15.565314163351601</v>
      </c>
      <c r="M12" s="64">
        <f>'EM CELLULAR'!E40</f>
        <v>14.107230346818808</v>
      </c>
      <c r="N12" s="64">
        <f>'EM CELLULAR'!F40</f>
        <v>11.835137000764389</v>
      </c>
      <c r="O12" s="64">
        <f>'EM CELLULAR'!G40</f>
        <v>9.9165135948155338</v>
      </c>
      <c r="P12" s="17">
        <f>'EM CELLULAR'!H40</f>
        <v>0.10359585146755945</v>
      </c>
      <c r="W12" s="10"/>
      <c r="X12" s="10"/>
      <c r="Y12" s="10"/>
      <c r="Z12" s="10"/>
    </row>
    <row r="13" spans="2:63">
      <c r="B13" s="5" t="s">
        <v>529</v>
      </c>
      <c r="C13" s="257"/>
      <c r="D13" s="228">
        <f>ADVANCED!D13/Prices!$C$163+AXI!D13/Prices!$C$159+BHART!D13/Prices!$C$152+_CM!D13/Prices!$C$175*1000+DIGI!D13/Prices!$C$159+FAR!D13/Prices!$C$181+IDEA!D13/Prices!$C$152+INDO!D13/Prices!$C$172*1000+_LG!D13/Prices!$C$173*1000+MAXI!D13/Prices!$C$159+SKT!D13/Prices!$C$173*1000+TAIWAN!D13/Prices!$C$181+XLAX!D13/Prices!$C$172*1000+TRUECORP!D13/Prices!$C$163</f>
        <v>5359.7250199492591</v>
      </c>
      <c r="E13" s="228">
        <f>ADVANCED!E13/Prices!$C$163+AXI!E13/Prices!$C$159+BHART!E13/Prices!$C$152+_CM!E13/Prices!$C$175*1000+DIGI!E13/Prices!$C$159+FAR!E13/Prices!$C$181+IDEA!E13/Prices!$C$152+INDO!E13/Prices!$C$172*1000+_LG!E13/Prices!$C$173*1000+MAXI!E13/Prices!$C$159+SKT!E13/Prices!$C$173*1000+TAIWAN!E13/Prices!$C$181+XLAX!E13/Prices!$C$172*1000+TRUECORP!E13/Prices!$C$163</f>
        <v>5001.0288563974418</v>
      </c>
      <c r="F13" s="228">
        <f>ADVANCED!F13/Prices!$C$163+AXI!F13/Prices!$C$159+BHART!F13/Prices!$C$152+_CM!F13/Prices!$C$175*1000+DIGI!F13/Prices!$C$159+FAR!F13/Prices!$C$181+IDEA!F13/Prices!$C$152+INDO!F13/Prices!$C$172*1000+_LG!F13/Prices!$C$173*1000+MAXI!F13/Prices!$C$159+SKT!F13/Prices!$C$173*1000+TAIWAN!F13/Prices!$C$181+XLAX!F13/Prices!$C$172*1000+TRUECORP!F13/Prices!$C$163</f>
        <v>4618.5699045997653</v>
      </c>
      <c r="G13" s="228">
        <f>ADVANCED!G13/Prices!$C$163+AXI!G13/Prices!$C$159+BHART!G13/Prices!$C$152+_CM!G13/Prices!$C$175*1000+DIGI!G13/Prices!$C$159+FAR!G13/Prices!$C$181+IDEA!G13/Prices!$C$152+INDO!G13/Prices!$C$172*1000+_LG!G13/Prices!$C$173*1000+MAXI!G13/Prices!$C$159+SKT!G13/Prices!$C$173*1000+TAIWAN!G13/Prices!$C$181+XLAX!G13/Prices!$C$172*1000+TRUECORP!G13/Prices!$C$163</f>
        <v>4210.334512149313</v>
      </c>
      <c r="H13" s="247"/>
      <c r="I13" s="247"/>
      <c r="J13" s="5" t="s">
        <v>530</v>
      </c>
      <c r="L13" s="64">
        <f>'EM CELLULAR'!D41</f>
        <v>1.4932378441908309</v>
      </c>
      <c r="M13" s="64">
        <f>'EM CELLULAR'!E41</f>
        <v>1.4974861733035032</v>
      </c>
      <c r="N13" s="64">
        <f>'EM CELLULAR'!F41</f>
        <v>1.4281781003335032</v>
      </c>
      <c r="O13" s="64">
        <f>'EM CELLULAR'!G41</f>
        <v>1.349282061711496</v>
      </c>
      <c r="P13" s="17">
        <f>'EM CELLULAR'!H41</f>
        <v>-1.7756462726124411E-2</v>
      </c>
    </row>
    <row r="14" spans="2:63">
      <c r="B14" s="5" t="s">
        <v>532</v>
      </c>
      <c r="C14" s="274"/>
      <c r="D14" s="228">
        <f>ADVANCED!D14/Prices!$C$163+AXI!D14/Prices!$C$159+BHART!D14/Prices!$C$152+_CM!D14/Prices!$C$175*1000+DIGI!D14/Prices!$C$159+FAR!D14/Prices!$C$181+IDEA!D14/Prices!$C$152+INDO!D14/Prices!$C$172*1000+_LG!D14/Prices!$C$173*1000+MAXI!D14/Prices!$C$159+SKT!D14/Prices!$C$173*1000+TAIWAN!D14/Prices!$C$181+XLAX!D14/Prices!$C$172*1000+TRUECORP!D14/Prices!$C$163</f>
        <v>16082.931164379548</v>
      </c>
      <c r="E14" s="228">
        <f>ADVANCED!E14/Prices!$C$163+AXI!E14/Prices!$C$159+BHART!E14/Prices!$C$152+_CM!E14/Prices!$C$175*1000+DIGI!E14/Prices!$C$159+FAR!E14/Prices!$C$181+IDEA!E14/Prices!$C$152+INDO!E14/Prices!$C$172*1000+_LG!E14/Prices!$C$173*1000+MAXI!E14/Prices!$C$159+SKT!E14/Prices!$C$173*1000+TAIWAN!E14/Prices!$C$181+XLAX!E14/Prices!$C$172*1000+TRUECORP!E14/Prices!$C$163</f>
        <v>14444.487993414887</v>
      </c>
      <c r="F14" s="228">
        <f>ADVANCED!F14/Prices!$C$163+AXI!F14/Prices!$C$159+BHART!F14/Prices!$C$152+_CM!F14/Prices!$C$175*1000+DIGI!F14/Prices!$C$159+FAR!F14/Prices!$C$181+IDEA!F14/Prices!$C$152+INDO!F14/Prices!$C$172*1000+_LG!F14/Prices!$C$173*1000+MAXI!F14/Prices!$C$159+SKT!F14/Prices!$C$173*1000+TAIWAN!F14/Prices!$C$181+XLAX!F14/Prices!$C$172*1000+TRUECORP!F14/Prices!$C$163</f>
        <v>14441.690158330519</v>
      </c>
      <c r="G14" s="228">
        <f>ADVANCED!G14/Prices!$C$163+AXI!G14/Prices!$C$159+BHART!G14/Prices!$C$152+_CM!G14/Prices!$C$175*1000+DIGI!G14/Prices!$C$159+FAR!G14/Prices!$C$181+IDEA!G14/Prices!$C$152+INDO!G14/Prices!$C$172*1000+_LG!G14/Prices!$C$173*1000+MAXI!G14/Prices!$C$159+SKT!G14/Prices!$C$173*1000+TAIWAN!G14/Prices!$C$181+XLAX!G14/Prices!$C$172*1000+TRUECORP!G14/Prices!$C$163</f>
        <v>14440.291240788334</v>
      </c>
      <c r="H14" s="247"/>
      <c r="I14" s="247"/>
      <c r="J14" s="5" t="s">
        <v>593</v>
      </c>
      <c r="L14" s="64">
        <f>'EM CELLULAR'!D42</f>
        <v>2.6624591278665166</v>
      </c>
      <c r="M14" s="64">
        <f>'EM CELLULAR'!E42</f>
        <v>2.5827331248183691</v>
      </c>
      <c r="N14" s="64">
        <f>'EM CELLULAR'!F42</f>
        <v>2.37828077636942</v>
      </c>
      <c r="O14" s="64">
        <f>'EM CELLULAR'!G42</f>
        <v>2.1713530277562678</v>
      </c>
      <c r="P14" s="17">
        <f>'EM CELLULAR'!H42</f>
        <v>1.6392074372026055E-2</v>
      </c>
    </row>
    <row r="15" spans="2:63">
      <c r="B15" s="5" t="s">
        <v>531</v>
      </c>
      <c r="C15" s="257"/>
      <c r="D15" s="228">
        <f>ADVANCED!D15/Prices!$C$163+AXI!D15/Prices!$C$159+BHART!D15/Prices!$C$152+_CM!D15/Prices!$C$175*1000+DIGI!D15/Prices!$C$159+FAR!D15/Prices!$C$181+IDEA!D15/Prices!$C$152+INDO!D15/Prices!$C$172*1000+_LG!D15/Prices!$C$173*1000+MAXI!D15/Prices!$C$159+SKT!D15/Prices!$C$173*1000+TAIWAN!D15/Prices!$C$181+XLAX!D15/Prices!$C$172*1000+TRUECORP!D15/Prices!$C$163</f>
        <v>11994.613440462255</v>
      </c>
      <c r="E15" s="228">
        <f>ADVANCED!E15/Prices!$C$163+AXI!E15/Prices!$C$159+BHART!E15/Prices!$C$152+_CM!E15/Prices!$C$175*1000+DIGI!E15/Prices!$C$159+FAR!E15/Prices!$C$181+IDEA!E15/Prices!$C$152+INDO!E15/Prices!$C$172*1000+_LG!E15/Prices!$C$173*1000+MAXI!E15/Prices!$C$159+SKT!E15/Prices!$C$173*1000+TAIWAN!E15/Prices!$C$181+XLAX!E15/Prices!$C$172*1000+TRUECORP!E15/Prices!$C$163</f>
        <v>11987.165069455146</v>
      </c>
      <c r="F15" s="228">
        <f>ADVANCED!F15/Prices!$C$163+AXI!F15/Prices!$C$159+BHART!F15/Prices!$C$152+_CM!F15/Prices!$C$175*1000+DIGI!F15/Prices!$C$159+FAR!F15/Prices!$C$181+IDEA!F15/Prices!$C$152+INDO!F15/Prices!$C$172*1000+_LG!F15/Prices!$C$173*1000+MAXI!F15/Prices!$C$159+SKT!F15/Prices!$C$173*1000+TAIWAN!F15/Prices!$C$181+XLAX!F15/Prices!$C$172*1000+TRUECORP!F15/Prices!$C$163</f>
        <v>12002.806516791747</v>
      </c>
      <c r="G15" s="228">
        <f>ADVANCED!G15/Prices!$C$163+AXI!G15/Prices!$C$159+BHART!G15/Prices!$C$152+_CM!G15/Prices!$C$175*1000+DIGI!G15/Prices!$C$159+FAR!G15/Prices!$C$181+IDEA!G15/Prices!$C$152+INDO!G15/Prices!$C$172*1000+_LG!G15/Prices!$C$173*1000+MAXI!G15/Prices!$C$159+SKT!G15/Prices!$C$173*1000+TAIWAN!G15/Prices!$C$181+XLAX!G15/Prices!$C$172*1000+TRUECORP!G15/Prices!$C$163</f>
        <v>12040.058542314748</v>
      </c>
      <c r="H15" s="247"/>
      <c r="I15" s="247"/>
      <c r="J15" s="5" t="s">
        <v>475</v>
      </c>
      <c r="L15" s="64">
        <f>'EM CELLULAR'!D43</f>
        <v>22.850937709514724</v>
      </c>
      <c r="M15" s="64">
        <f>'EM CELLULAR'!E43</f>
        <v>20.413262135123315</v>
      </c>
      <c r="N15" s="64">
        <f>'EM CELLULAR'!F43</f>
        <v>16.677308372570185</v>
      </c>
      <c r="O15" s="64">
        <f>'EM CELLULAR'!G43</f>
        <v>14.052002275363339</v>
      </c>
      <c r="P15" s="17">
        <f>'EM CELLULAR'!H43</f>
        <v>0.1773224152875903</v>
      </c>
      <c r="S15" s="88"/>
      <c r="T15" s="88"/>
      <c r="U15" s="88"/>
      <c r="V15" s="42"/>
      <c r="W15" s="42"/>
      <c r="X15" s="42"/>
      <c r="Y15" s="42"/>
      <c r="Z15" s="42"/>
      <c r="AA15" s="42"/>
    </row>
    <row r="16" spans="2:63">
      <c r="B16" s="5" t="s">
        <v>534</v>
      </c>
      <c r="C16" s="257"/>
      <c r="D16" s="228">
        <f>ADVANCED!D16/Prices!$C$163+AXI!D16/Prices!$C$159+BHART!D16/Prices!$C$152+_CM!D16/Prices!$C$175*1000+DIGI!D16/Prices!$C$159+FAR!D16/Prices!$C$181+IDEA!D16/Prices!$C$152+INDO!D16/Prices!$C$172*1000+_LG!D16/Prices!$C$173*1000+MAXI!D16/Prices!$C$159+SKT!D16/Prices!$C$173*1000+TAIWAN!D16/Prices!$C$181+XLAX!D16/Prices!$C$172*1000+TRUECORP!D16/Prices!$C$163</f>
        <v>3108.902980507004</v>
      </c>
      <c r="E16" s="228">
        <f>ADVANCED!E16/Prices!$C$163+AXI!E16/Prices!$C$159+BHART!E16/Prices!$C$152+_CM!E16/Prices!$C$175*1000+DIGI!E16/Prices!$C$159+FAR!E16/Prices!$C$181+IDEA!E16/Prices!$C$152+INDO!E16/Prices!$C$172*1000+_LG!E16/Prices!$C$173*1000+MAXI!E16/Prices!$C$159+SKT!E16/Prices!$C$173*1000+TAIWAN!E16/Prices!$C$181+XLAX!E16/Prices!$C$172*1000+TRUECORP!E16/Prices!$C$163</f>
        <v>3898.3968423631777</v>
      </c>
      <c r="F16" s="228">
        <f>ADVANCED!F16/Prices!$C$163+AXI!F16/Prices!$C$159+BHART!F16/Prices!$C$152+_CM!F16/Prices!$C$175*1000+DIGI!F16/Prices!$C$159+FAR!F16/Prices!$C$181+IDEA!F16/Prices!$C$152+INDO!F16/Prices!$C$172*1000+_LG!F16/Prices!$C$173*1000+MAXI!F16/Prices!$C$159+SKT!F16/Prices!$C$173*1000+TAIWAN!F16/Prices!$C$181+XLAX!F16/Prices!$C$172*1000+TRUECORP!F16/Prices!$C$163</f>
        <v>22867.619947757506</v>
      </c>
      <c r="G16" s="228">
        <f>ADVANCED!G16/Prices!$C$163+AXI!G16/Prices!$C$159+BHART!G16/Prices!$C$152+_CM!G16/Prices!$C$175*1000+DIGI!G16/Prices!$C$159+FAR!G16/Prices!$C$181+IDEA!G16/Prices!$C$152+INDO!G16/Prices!$C$172*1000+_LG!G16/Prices!$C$173*1000+MAXI!G16/Prices!$C$159+SKT!G16/Prices!$C$173*1000+TAIWAN!G16/Prices!$C$181+XLAX!G16/Prices!$C$172*1000+TRUECORP!G16/Prices!$C$163</f>
        <v>44225.299896465855</v>
      </c>
      <c r="H16" s="247"/>
      <c r="I16" s="247"/>
      <c r="J16" s="5" t="s">
        <v>533</v>
      </c>
      <c r="L16" s="64">
        <f>'EM CELLULAR'!D44</f>
        <v>20.347655496934248</v>
      </c>
      <c r="M16" s="64">
        <f>'EM CELLULAR'!E44</f>
        <v>17.632113552740702</v>
      </c>
      <c r="N16" s="64">
        <f>'EM CELLULAR'!F44</f>
        <v>14.75716332600194</v>
      </c>
      <c r="O16" s="64">
        <f>'EM CELLULAR'!G44</f>
        <v>12.965336224440424</v>
      </c>
      <c r="P16" s="17">
        <f>'EM CELLULAR'!H44</f>
        <v>0.16425371227743413</v>
      </c>
      <c r="S16" s="88"/>
      <c r="T16" s="88"/>
      <c r="U16" s="88"/>
      <c r="V16" s="42"/>
      <c r="W16" s="42"/>
      <c r="X16" s="42"/>
      <c r="Y16" s="42"/>
      <c r="Z16" s="42"/>
      <c r="AA16" s="42"/>
    </row>
    <row r="17" spans="2:27">
      <c r="B17" s="5" t="s">
        <v>6</v>
      </c>
      <c r="C17" s="257"/>
      <c r="D17" s="228">
        <f>ADVANCED!D17/Prices!$C$163+AXI!D17/Prices!$C$159+BHART!D17/Prices!$C$152+_CM!D17/Prices!$C$175*1000+DIGI!D17/Prices!$C$159+FAR!D17/Prices!$C$181+IDEA!D17/Prices!$C$152+INDO!D17/Prices!$C$172*1000+_LG!D17/Prices!$C$173*1000+MAXI!D17/Prices!$C$159+SKT!D17/Prices!$C$173*1000+TAIWAN!D17/Prices!$C$181+XLAX!D17/Prices!$C$172*1000+TRUECORP!D17/Prices!$C$163</f>
        <v>0</v>
      </c>
      <c r="E17" s="228">
        <f>ADVANCED!E17/Prices!$C$163+AXI!E17/Prices!$C$159+BHART!E17/Prices!$C$152+_CM!E17/Prices!$C$175*1000+DIGI!E17/Prices!$C$159+FAR!E17/Prices!$C$181+IDEA!E17/Prices!$C$152+INDO!E17/Prices!$C$172*1000+_LG!E17/Prices!$C$173*1000+MAXI!E17/Prices!$C$159+SKT!E17/Prices!$C$173*1000+TAIWAN!E17/Prices!$C$181+XLAX!E17/Prices!$C$172*1000+TRUECORP!E17/Prices!$C$163</f>
        <v>0</v>
      </c>
      <c r="F17" s="228">
        <f>ADVANCED!F17/Prices!$C$163+AXI!F17/Prices!$C$159+BHART!F17/Prices!$C$152+_CM!F17/Prices!$C$175*1000+DIGI!F17/Prices!$C$159+FAR!F17/Prices!$C$181+IDEA!F17/Prices!$C$152+INDO!F17/Prices!$C$172*1000+_LG!F17/Prices!$C$173*1000+MAXI!F17/Prices!$C$159+SKT!F17/Prices!$C$173*1000+TAIWAN!F17/Prices!$C$181+XLAX!F17/Prices!$C$172*1000+TRUECORP!F17/Prices!$C$163</f>
        <v>0</v>
      </c>
      <c r="G17" s="228">
        <f>ADVANCED!G17/Prices!$C$163+AXI!G17/Prices!$C$159+BHART!G17/Prices!$C$152+_CM!G17/Prices!$C$175*1000+DIGI!G17/Prices!$C$159+FAR!G17/Prices!$C$181+IDEA!G17/Prices!$C$152+INDO!G17/Prices!$C$172*1000+_LG!G17/Prices!$C$173*1000+MAXI!G17/Prices!$C$159+SKT!G17/Prices!$C$173*1000+TAIWAN!G17/Prices!$C$181+XLAX!G17/Prices!$C$172*1000+TRUECORP!G17/Prices!$C$163</f>
        <v>0</v>
      </c>
      <c r="H17" s="247"/>
      <c r="I17" s="247"/>
      <c r="J17" s="5" t="s">
        <v>580</v>
      </c>
      <c r="L17" s="248">
        <f>'EM CELLULAR'!D45</f>
        <v>3.8592786101513454E-2</v>
      </c>
      <c r="M17" s="248">
        <f>'EM CELLULAR'!E45</f>
        <v>4.221028254180547E-2</v>
      </c>
      <c r="N17" s="248">
        <f>'EM CELLULAR'!F45</f>
        <v>4.9095770089858652E-2</v>
      </c>
      <c r="O17" s="248">
        <f>'EM CELLULAR'!G45</f>
        <v>5.6214491846374066E-2</v>
      </c>
      <c r="P17" s="17">
        <f>'EM CELLULAR'!H45</f>
        <v>0.1356682547662138</v>
      </c>
      <c r="S17" s="88"/>
      <c r="T17" s="88"/>
      <c r="U17" s="88"/>
      <c r="V17" s="42"/>
      <c r="W17" s="42"/>
      <c r="X17" s="42"/>
      <c r="Y17" s="42"/>
      <c r="Z17" s="42"/>
      <c r="AA17" s="42"/>
    </row>
    <row r="18" spans="2:27" ht="12.6" thickBot="1">
      <c r="B18" s="41" t="s">
        <v>360</v>
      </c>
      <c r="C18" s="249"/>
      <c r="D18" s="275">
        <f>ADVANCED!D18/Prices!$C$163+AXI!D18/Prices!$C$159+BHART!D18/Prices!$C$152+_CM!D18/Prices!$C$175*1000+DIGI!D18/Prices!$C$159+FAR!D18/Prices!$C$181+IDEA!D18/Prices!$C$152+INDO!D18/Prices!$C$172*1000+_LG!D18/Prices!$C$173*1000+MAXI!D18/Prices!$C$159+SKT!D18/Prices!$C$173*1000+TAIWAN!D18/Prices!$C$181+XLAX!D18/Prices!$C$172*1000+TRUECORP!D18/Prices!$C$163</f>
        <v>479668.05256183649</v>
      </c>
      <c r="E18" s="275">
        <f>ADVANCED!E18/Prices!$C$163+AXI!E18/Prices!$C$159+BHART!E18/Prices!$C$152+_CM!E18/Prices!$C$175*1000+DIGI!E18/Prices!$C$159+FAR!E18/Prices!$C$181+IDEA!E18/Prices!$C$152+INDO!E18/Prices!$C$172*1000+_LG!E18/Prices!$C$173*1000+MAXI!E18/Prices!$C$159+SKT!E18/Prices!$C$173*1000+TAIWAN!E18/Prices!$C$181+XLAX!E18/Prices!$C$172*1000+TRUECORP!E18/Prices!$C$163</f>
        <v>470538.28450883122</v>
      </c>
      <c r="F18" s="275">
        <f>ADVANCED!F18/Prices!$C$163+AXI!F18/Prices!$C$159+BHART!F18/Prices!$C$152+_CM!F18/Prices!$C$175*1000+DIGI!F18/Prices!$C$159+FAR!F18/Prices!$C$181+IDEA!F18/Prices!$C$152+INDO!F18/Prices!$C$172*1000+_LG!F18/Prices!$C$173*1000+MAXI!F18/Prices!$C$159+SKT!F18/Prices!$C$173*1000+TAIWAN!F18/Prices!$C$181+XLAX!F18/Prices!$C$172*1000+TRUECORP!F18/Prices!$C$163</f>
        <v>437887.08794013999</v>
      </c>
      <c r="G18" s="275">
        <f>ADVANCED!G18/Prices!$C$163+AXI!G18/Prices!$C$159+BHART!G18/Prices!$C$152+_CM!G18/Prices!$C$175*1000+DIGI!G18/Prices!$C$159+FAR!G18/Prices!$C$181+IDEA!G18/Prices!$C$152+INDO!G18/Prices!$C$172*1000+_LG!G18/Prices!$C$173*1000+MAXI!G18/Prices!$C$159+SKT!G18/Prices!$C$173*1000+TAIWAN!G18/Prices!$C$181+XLAX!G18/Prices!$C$172*1000+TRUECORP!G18/Prices!$C$163</f>
        <v>400755.58369586238</v>
      </c>
      <c r="H18" s="276">
        <f>IF(D18=0,"nm",IF(G18=0,"nm",(G18/D18)^(1/3)-1))</f>
        <v>-5.8154654213660839E-2</v>
      </c>
      <c r="I18" s="254"/>
      <c r="J18" s="5" t="s">
        <v>36</v>
      </c>
      <c r="L18" s="248" t="e">
        <f>'EM CELLULAR'!D46</f>
        <v>#VALUE!</v>
      </c>
      <c r="M18" s="248" t="e">
        <f>'EM CELLULAR'!E46</f>
        <v>#VALUE!</v>
      </c>
      <c r="N18" s="248" t="e">
        <f>'EM CELLULAR'!F46</f>
        <v>#VALUE!</v>
      </c>
      <c r="O18" s="248" t="e">
        <f>'EM CELLULAR'!G46</f>
        <v>#VALUE!</v>
      </c>
      <c r="P18" s="17" t="e">
        <f>'EM CELLULAR'!H46</f>
        <v>#VALUE!</v>
      </c>
      <c r="S18" s="88"/>
      <c r="T18" s="42"/>
      <c r="U18" s="42"/>
      <c r="V18" s="42"/>
      <c r="W18" s="42"/>
      <c r="X18" s="42"/>
      <c r="Y18" s="42"/>
      <c r="Z18" s="42"/>
      <c r="AA18" s="42"/>
    </row>
    <row r="19" spans="2:27" ht="12.6" thickTop="1">
      <c r="B19" s="41"/>
      <c r="C19" s="249"/>
      <c r="D19" s="229"/>
      <c r="E19" s="229"/>
      <c r="F19" s="229"/>
      <c r="G19" s="229"/>
      <c r="H19" s="276"/>
      <c r="I19" s="17"/>
      <c r="J19" s="5" t="s">
        <v>581</v>
      </c>
      <c r="L19" s="248">
        <f>'EM CELLULAR'!D47</f>
        <v>4.3761880265579547E-2</v>
      </c>
      <c r="M19" s="248">
        <f>'EM CELLULAR'!E47</f>
        <v>4.8987760671499313E-2</v>
      </c>
      <c r="N19" s="248">
        <f>'EM CELLULAR'!F47</f>
        <v>5.9961714304254204E-2</v>
      </c>
      <c r="O19" s="248">
        <f>'EM CELLULAR'!G47</f>
        <v>7.1164235559031272E-2</v>
      </c>
      <c r="P19" s="17">
        <f>'EM CELLULAR'!H47</f>
        <v>0.1773224152875903</v>
      </c>
      <c r="S19" s="88"/>
      <c r="T19" s="42"/>
      <c r="U19" s="42"/>
      <c r="V19" s="42"/>
      <c r="W19" s="42"/>
      <c r="X19" s="42"/>
      <c r="Y19" s="42"/>
      <c r="Z19" s="42"/>
      <c r="AA19" s="42"/>
    </row>
    <row r="20" spans="2:27">
      <c r="H20" s="277"/>
      <c r="I20" s="49"/>
      <c r="J20" s="5" t="s">
        <v>604</v>
      </c>
      <c r="L20" s="248">
        <f>'EM CELLULAR'!D48</f>
        <v>0.88668294064217501</v>
      </c>
      <c r="M20" s="248">
        <f>'EM CELLULAR'!E48</f>
        <v>0.86591383416109602</v>
      </c>
      <c r="N20" s="248">
        <f>'EM CELLULAR'!F48</f>
        <v>0.82267670747127919</v>
      </c>
      <c r="O20" s="248">
        <f>'EM CELLULAR'!G48</f>
        <v>0.79585980881552554</v>
      </c>
      <c r="P20" s="17" t="str">
        <f>'EM CELLULAR'!H48</f>
        <v>nm</v>
      </c>
      <c r="S20" s="42"/>
      <c r="T20" s="42"/>
      <c r="U20" s="42"/>
      <c r="V20" s="42"/>
      <c r="W20" s="42"/>
      <c r="X20" s="42"/>
      <c r="Y20" s="42"/>
      <c r="Z20" s="42"/>
      <c r="AA20" s="42"/>
    </row>
    <row r="21" spans="2:27" ht="12.6" thickBot="1">
      <c r="B21" s="306" t="s">
        <v>482</v>
      </c>
      <c r="C21" s="265">
        <v>2020</v>
      </c>
      <c r="D21" s="265" t="str">
        <f>D5</f>
        <v>2023E</v>
      </c>
      <c r="E21" s="265" t="str">
        <f>E5</f>
        <v>2024E</v>
      </c>
      <c r="F21" s="265" t="str">
        <f>F5</f>
        <v>2025E</v>
      </c>
      <c r="G21" s="265" t="str">
        <f>G5</f>
        <v>2026E</v>
      </c>
      <c r="H21" s="282" t="str">
        <f>H5</f>
        <v>23E-26E</v>
      </c>
      <c r="I21" s="17"/>
      <c r="S21" s="42"/>
      <c r="T21" s="42"/>
      <c r="U21" s="42"/>
      <c r="V21" s="42"/>
      <c r="W21" s="42"/>
      <c r="X21" s="42"/>
      <c r="Y21" s="42"/>
      <c r="Z21" s="42"/>
      <c r="AA21" s="42"/>
    </row>
    <row r="22" spans="2:27" ht="12.6" thickTop="1">
      <c r="B22" s="5"/>
      <c r="C22" s="257"/>
      <c r="D22" s="17"/>
      <c r="E22" s="17"/>
      <c r="F22" s="17"/>
      <c r="G22" s="17"/>
      <c r="H22" s="17"/>
      <c r="I22" s="247"/>
      <c r="P22" s="277"/>
      <c r="S22" s="42"/>
      <c r="T22" s="42"/>
      <c r="U22" s="42"/>
      <c r="V22" s="42"/>
      <c r="W22" s="42"/>
      <c r="X22" s="42"/>
      <c r="Y22" s="42"/>
      <c r="Z22" s="42"/>
      <c r="AA22" s="42"/>
    </row>
    <row r="23" spans="2:27" ht="12.6" thickBot="1">
      <c r="B23" s="5" t="s">
        <v>584</v>
      </c>
      <c r="C23" s="365">
        <f>ADVANCED!C23/Prices!$C$163+AXI!C23/Prices!$C$159+BHART!C23/Prices!$C$152+_CM!C23/Prices!$C$175*1000+DIGI!C23/Prices!$C$159+FAR!C23/Prices!$C$181+IDEA!C23/Prices!$C$152+INDO!C23/Prices!$C$172*1000+_LG!C23/Prices!$C$173*1000+MAXI!C23/Prices!$C$159+SKT!C23/Prices!$C$173*1000+TAIWAN!C23/Prices!$C$181+XLAX!C23/Prices!$C$172*1000+TRUECORP!C23/Prices!$C$163</f>
        <v>203805.74216120964</v>
      </c>
      <c r="D23" s="228">
        <f>ADVANCED!D23/Prices!$C$163+AXI!D23/Prices!$C$159+BHART!D23/Prices!$C$152+_CM!D23/Prices!$C$175*1000+DIGI!D23/Prices!$C$159+FAR!D23/Prices!$C$181+IDEA!D23/Prices!$C$152+INDO!D23/Prices!$C$172*1000+_LG!D23/Prices!$C$173*1000+MAXI!D23/Prices!$C$159+SKT!D23/Prices!$C$173*1000+TAIWAN!D23/Prices!$C$181+XLAX!D23/Prices!$C$172*1000+TRUECORP!D23/Prices!$C$163</f>
        <v>219121.85626038269</v>
      </c>
      <c r="E23" s="228">
        <f>ADVANCED!E23/Prices!$C$163+AXI!E23/Prices!$C$159+BHART!E23/Prices!$C$152+_CM!E23/Prices!$C$175*1000+DIGI!E23/Prices!$C$159+FAR!E23/Prices!$C$181+IDEA!E23/Prices!$C$152+INDO!E23/Prices!$C$172*1000+_LG!E23/Prices!$C$173*1000+MAXI!E23/Prices!$C$159+SKT!E23/Prices!$C$173*1000+TAIWAN!E23/Prices!$C$181+XLAX!E23/Prices!$C$172*1000+TRUECORP!E23/Prices!$C$163</f>
        <v>230889.89856035437</v>
      </c>
      <c r="F23" s="228">
        <f>ADVANCED!F23/Prices!$C$163+AXI!F23/Prices!$C$159+BHART!F23/Prices!$C$152+_CM!F23/Prices!$C$175*1000+DIGI!F23/Prices!$C$159+FAR!F23/Prices!$C$181+IDEA!F23/Prices!$C$152+INDO!F23/Prices!$C$172*1000+_LG!F23/Prices!$C$173*1000+MAXI!F23/Prices!$C$159+SKT!F23/Prices!$C$173*1000+TAIWAN!F23/Prices!$C$181+XLAX!F23/Prices!$C$172*1000+TRUECORP!F23/Prices!$C$163</f>
        <v>243371.54652927135</v>
      </c>
      <c r="G23" s="228">
        <f>ADVANCED!G23/Prices!$C$163+AXI!G23/Prices!$C$159+BHART!G23/Prices!$C$152+_CM!G23/Prices!$C$175*1000+DIGI!G23/Prices!$C$159+FAR!G23/Prices!$C$181+IDEA!G23/Prices!$C$152+INDO!G23/Prices!$C$172*1000+_LG!G23/Prices!$C$173*1000+MAXI!G23/Prices!$C$159+SKT!G23/Prices!$C$173*1000+TAIWAN!G23/Prices!$C$181+XLAX!G23/Prices!$C$172*1000+TRUECORP!G23/Prices!$C$163</f>
        <v>255482.72739603985</v>
      </c>
      <c r="H23" s="279">
        <f>IF(D23=0,"nm",IF(G23=0,"nm",(G23/D23)^(1/3)-1))</f>
        <v>5.2507700166190885E-2</v>
      </c>
      <c r="I23" s="249"/>
      <c r="J23" s="306" t="s">
        <v>9</v>
      </c>
      <c r="K23" s="306"/>
      <c r="L23" s="265" t="str">
        <f>L5</f>
        <v>2023E</v>
      </c>
      <c r="M23" s="265" t="str">
        <f>M5</f>
        <v>2024E</v>
      </c>
      <c r="N23" s="265" t="str">
        <f>N5</f>
        <v>2025E</v>
      </c>
      <c r="O23" s="265" t="str">
        <f>O5</f>
        <v>2026E</v>
      </c>
      <c r="P23" s="282" t="str">
        <f>P5</f>
        <v>23E-26E</v>
      </c>
      <c r="S23" s="42"/>
      <c r="T23" s="42"/>
      <c r="U23" s="42"/>
      <c r="V23" s="42"/>
      <c r="W23" s="42" t="s">
        <v>42</v>
      </c>
      <c r="X23" s="42" t="s">
        <v>563</v>
      </c>
      <c r="Y23" s="42"/>
      <c r="Z23" s="42"/>
      <c r="AA23" s="42"/>
    </row>
    <row r="24" spans="2:27" ht="12.6" thickTop="1">
      <c r="B24" s="5" t="s">
        <v>483</v>
      </c>
      <c r="C24" s="365">
        <f>ADVANCED!C24/Prices!$C$163+AXI!C24/Prices!$C$159+BHART!C24/Prices!$C$152+_CM!C24/Prices!$C$175*1000+DIGI!C24/Prices!$C$159+FAR!C24/Prices!$C$181+IDEA!C24/Prices!$C$152+INDO!C24/Prices!$C$172*1000+_LG!C24/Prices!$C$173*1000+MAXI!C24/Prices!$C$159+SKT!C24/Prices!$C$173*1000+TAIWAN!C24/Prices!$C$181+XLAX!C24/Prices!$C$172*1000+TRUECORP!C24/Prices!$C$163</f>
        <v>74410.401043231162</v>
      </c>
      <c r="D24" s="228">
        <f>ADVANCED!D24/Prices!$C$163+AXI!D24/Prices!$C$159+BHART!D24/Prices!$C$152+_CM!D24/Prices!$C$175*1000+DIGI!D24/Prices!$C$159+FAR!D24/Prices!$C$181+IDEA!D24/Prices!$C$152+INDO!D24/Prices!$C$172*1000+_LG!D24/Prices!$C$173*1000+MAXI!D24/Prices!$C$159+SKT!D24/Prices!$C$173*1000+TAIWAN!D24/Prices!$C$181+XLAX!D24/Prices!$C$172*1000+TRUECORP!D24/Prices!$C$163</f>
        <v>79033.200409666548</v>
      </c>
      <c r="E24" s="228">
        <f>ADVANCED!E24/Prices!$C$163+AXI!E24/Prices!$C$159+BHART!E24/Prices!$C$152+_CM!E24/Prices!$C$175*1000+DIGI!E24/Prices!$C$159+FAR!E24/Prices!$C$181+IDEA!E24/Prices!$C$152+INDO!E24/Prices!$C$172*1000+_LG!E24/Prices!$C$173*1000+MAXI!E24/Prices!$C$159+SKT!E24/Prices!$C$173*1000+TAIWAN!E24/Prices!$C$181+XLAX!E24/Prices!$C$172*1000+TRUECORP!E24/Prices!$C$163</f>
        <v>84277.568233685161</v>
      </c>
      <c r="F24" s="228">
        <f>ADVANCED!F24/Prices!$C$163+AXI!F24/Prices!$C$159+BHART!F24/Prices!$C$152+_CM!F24/Prices!$C$175*1000+DIGI!F24/Prices!$C$159+FAR!F24/Prices!$C$181+IDEA!F24/Prices!$C$152+INDO!F24/Prices!$C$172*1000+_LG!F24/Prices!$C$173*1000+MAXI!F24/Prices!$C$159+SKT!F24/Prices!$C$173*1000+TAIWAN!F24/Prices!$C$181+XLAX!F24/Prices!$C$172*1000+TRUECORP!F24/Prices!$C$163</f>
        <v>89827.394537923697</v>
      </c>
      <c r="G24" s="228">
        <f>ADVANCED!G24/Prices!$C$163+AXI!G24/Prices!$C$159+BHART!G24/Prices!$C$152+_CM!G24/Prices!$C$175*1000+DIGI!G24/Prices!$C$159+FAR!G24/Prices!$C$181+IDEA!G24/Prices!$C$152+INDO!G24/Prices!$C$172*1000+_LG!G24/Prices!$C$173*1000+MAXI!G24/Prices!$C$159+SKT!G24/Prices!$C$173*1000+TAIWAN!G24/Prices!$C$181+XLAX!G24/Prices!$C$172*1000+TRUECORP!G24/Prices!$C$163</f>
        <v>95207.800924731651</v>
      </c>
      <c r="H24" s="279">
        <f>IF(D24=0,"nm",IF(G24=0,"nm",(G24/D24)^(1/3)-1))</f>
        <v>6.4031099626415955E-2</v>
      </c>
      <c r="I24" s="248"/>
      <c r="J24" s="17"/>
      <c r="K24" s="17"/>
      <c r="L24" s="17"/>
      <c r="M24" s="17"/>
      <c r="N24" s="17"/>
      <c r="O24" s="248"/>
      <c r="S24" s="42"/>
      <c r="T24" s="42"/>
      <c r="U24" s="42"/>
      <c r="V24" s="147" t="s">
        <v>273</v>
      </c>
      <c r="W24" s="288">
        <f t="shared" ref="W24:W31" si="0">E37/M9</f>
        <v>0.93966128525572246</v>
      </c>
      <c r="X24" s="288">
        <v>1</v>
      </c>
      <c r="Y24" s="42"/>
      <c r="Z24" s="42"/>
      <c r="AA24" s="42"/>
    </row>
    <row r="25" spans="2:27">
      <c r="B25" s="5" t="s">
        <v>183</v>
      </c>
      <c r="C25" s="365">
        <f>ADVANCED!C25/Prices!$C$163+AXI!C25/Prices!$C$159+BHART!C25/Prices!$C$152+_CM!C25/Prices!$C$175*1000+DIGI!C25/Prices!$C$159+FAR!C25/Prices!$C$181+IDEA!C25/Prices!$C$152+INDO!C25/Prices!$C$172*1000+_LG!C25/Prices!$C$173*1000+MAXI!C25/Prices!$C$159+SKT!C25/Prices!$C$173*1000+TAIWAN!C25/Prices!$C$181+XLAX!C25/Prices!$C$172*1000+TRUECORP!C25/Prices!$C$163</f>
        <v>35922.070298216946</v>
      </c>
      <c r="D25" s="228">
        <f>ADVANCED!D25/Prices!$C$163+AXI!D25/Prices!$C$159+BHART!D25/Prices!$C$152+_CM!D25/Prices!$C$175*1000+DIGI!D25/Prices!$C$159+FAR!D25/Prices!$C$181+IDEA!D25/Prices!$C$152+INDO!D25/Prices!$C$172*1000+_LG!D25/Prices!$C$173*1000+MAXI!D25/Prices!$C$159+SKT!D25/Prices!$C$173*1000+TAIWAN!D25/Prices!$C$181+XLAX!D25/Prices!$C$172*1000+TRUECORP!D25/Prices!$C$163</f>
        <v>40957.174754979977</v>
      </c>
      <c r="E25" s="228">
        <f>ADVANCED!E25/Prices!$C$163+AXI!E25/Prices!$C$159+BHART!E25/Prices!$C$152+_CM!E25/Prices!$C$175*1000+DIGI!E25/Prices!$C$159+FAR!E25/Prices!$C$181+IDEA!E25/Prices!$C$152+INDO!E25/Prices!$C$172*1000+_LG!E25/Prices!$C$173*1000+MAXI!E25/Prices!$C$159+SKT!E25/Prices!$C$173*1000+TAIWAN!E25/Prices!$C$181+XLAX!E25/Prices!$C$172*1000+TRUECORP!E25/Prices!$C$163</f>
        <v>45456.735555352883</v>
      </c>
      <c r="F25" s="228">
        <f>ADVANCED!F25/Prices!$C$163+AXI!F25/Prices!$C$159+BHART!F25/Prices!$C$152+_CM!F25/Prices!$C$175*1000+DIGI!F25/Prices!$C$159+FAR!F25/Prices!$C$181+IDEA!F25/Prices!$C$152+INDO!F25/Prices!$C$172*1000+_LG!F25/Prices!$C$173*1000+MAXI!F25/Prices!$C$159+SKT!F25/Prices!$C$173*1000+TAIWAN!F25/Prices!$C$181+XLAX!F25/Prices!$C$172*1000+TRUECORP!F25/Prices!$C$163</f>
        <v>51045.408389763645</v>
      </c>
      <c r="G25" s="228">
        <f>ADVANCED!G25/Prices!$C$163+AXI!G25/Prices!$C$159+BHART!G25/Prices!$C$152+_CM!G25/Prices!$C$175*1000+DIGI!G25/Prices!$C$159+FAR!G25/Prices!$C$181+IDEA!G25/Prices!$C$152+INDO!G25/Prices!$C$172*1000+_LG!G25/Prices!$C$173*1000+MAXI!G25/Prices!$C$159+SKT!G25/Prices!$C$173*1000+TAIWAN!G25/Prices!$C$181+XLAX!G25/Prices!$C$172*1000+TRUECORP!G25/Prices!$C$163</f>
        <v>56814.898134347859</v>
      </c>
      <c r="H25" s="279">
        <f t="shared" ref="H25:H33" si="1">IF(D25=0,"nm",IF(G25=0,"nm",(G25/D25)^(1/3)-1))</f>
        <v>0.11526330676280883</v>
      </c>
      <c r="I25" s="249"/>
      <c r="J25" s="247" t="s">
        <v>10</v>
      </c>
      <c r="K25" s="247"/>
      <c r="L25" s="332">
        <f>ADVANCED!L25/Prices!$C$163+AXI!L25/Prices!$C$159+BHART!L25/Prices!$C$152+_CM!L25/Prices!$C$175*1000+DIGI!L25/Prices!$C$159+FAR!L25/Prices!$C$181+IDEA!L25/Prices!$C$152+INDO!L25/Prices!$C$172*1000+_LG!L25/Prices!$C$173*1000+MAXI!L25/Prices!$C$159+SKT!L25/Prices!$C$173*1000+TAIWAN!L25/Prices!$C$181+XLAX!L25/Prices!$C$172*1000+TRUECORP!L25/Prices!$C$163</f>
        <v>0</v>
      </c>
      <c r="M25" s="332">
        <f>ADVANCED!M25/Prices!$C$163+AXI!M25/Prices!$C$159+BHART!M25/Prices!$C$152+_CM!M25/Prices!$C$175*1000+DIGI!M25/Prices!$C$159+FAR!M25/Prices!$C$181+IDEA!M25/Prices!$C$152+INDO!M25/Prices!$C$172*1000+_LG!M25/Prices!$C$173*1000+MAXI!M25/Prices!$C$159+SKT!M25/Prices!$C$173*1000+TAIWAN!M25/Prices!$C$181+XLAX!M25/Prices!$C$172*1000+TRUECORP!M25/Prices!$C$163</f>
        <v>0</v>
      </c>
      <c r="N25" s="332">
        <f>ADVANCED!N25/Prices!$C$163+AXI!N25/Prices!$C$159+BHART!N25/Prices!$C$152+_CM!N25/Prices!$C$175*1000+DIGI!N25/Prices!$C$159+FAR!N25/Prices!$C$181+IDEA!N25/Prices!$C$152+INDO!N25/Prices!$C$172*1000+_LG!N25/Prices!$C$173*1000+MAXI!N25/Prices!$C$159+SKT!N25/Prices!$C$173*1000+TAIWAN!N25/Prices!$C$181+XLAX!N25/Prices!$C$172*1000+TRUECORP!N25/Prices!$C$163</f>
        <v>0</v>
      </c>
      <c r="O25" s="332">
        <f>ADVANCED!O25/Prices!$C$163+AXI!O25/Prices!$C$159+BHART!O25/Prices!$C$152+_CM!O25/Prices!$C$175*1000+DIGI!O25/Prices!$C$159+FAR!O25/Prices!$C$181+IDEA!O25/Prices!$C$152+INDO!O25/Prices!$C$172*1000+_LG!O25/Prices!$C$173*1000+MAXI!O25/Prices!$C$159+SKT!O25/Prices!$C$173*1000+TAIWAN!O25/Prices!$C$181+XLAX!O25/Prices!$C$172*1000+TRUECORP!O25/Prices!$C$163</f>
        <v>0</v>
      </c>
      <c r="P25" s="279" t="str">
        <f>IF(L25=0,"nm",IF(O25=0,"nm",(O25/L25)^(1/3)-1))</f>
        <v>nm</v>
      </c>
      <c r="Q25" s="5"/>
      <c r="S25" s="42"/>
      <c r="T25" s="42"/>
      <c r="U25" s="42"/>
      <c r="V25" s="147" t="s">
        <v>184</v>
      </c>
      <c r="W25" s="288">
        <f t="shared" si="0"/>
        <v>0.96142610257778671</v>
      </c>
      <c r="X25" s="288">
        <v>1</v>
      </c>
      <c r="Y25" s="42"/>
      <c r="Z25" s="42"/>
      <c r="AA25" s="42"/>
    </row>
    <row r="26" spans="2:27">
      <c r="B26" s="5" t="s">
        <v>586</v>
      </c>
      <c r="C26" s="365">
        <f>ADVANCED!C26/Prices!$C$163+AXI!C26/Prices!$C$159+BHART!C26/Prices!$C$152+_CM!C26/Prices!$C$175*1000+DIGI!C26/Prices!$C$159+FAR!C26/Prices!$C$181+IDEA!C26/Prices!$C$152+INDO!C26/Prices!$C$172*1000+_LG!C26/Prices!$C$173*1000+MAXI!C26/Prices!$C$159+SKT!C26/Prices!$C$173*1000+TAIWAN!C26/Prices!$C$181+XLAX!C26/Prices!$C$172*1000+TRUECORP!C26/Prices!$C$163</f>
        <v>28419.599526583974</v>
      </c>
      <c r="D26" s="228">
        <f>ADVANCED!D26/Prices!$C$163+AXI!D26/Prices!$C$159+BHART!D26/Prices!$C$152+_CM!D26/Prices!$C$175*1000+DIGI!D26/Prices!$C$159+FAR!D26/Prices!$C$181+IDEA!D26/Prices!$C$152+INDO!D26/Prices!$C$172*1000+_LG!D26/Prices!$C$173*1000+MAXI!D26/Prices!$C$159+SKT!D26/Prices!$C$173*1000+TAIWAN!D26/Prices!$C$181+XLAX!D26/Prices!$C$172*1000+TRUECORP!D26/Prices!$C$163</f>
        <v>31981.47680230621</v>
      </c>
      <c r="E26" s="228">
        <f>ADVANCED!E26/Prices!$C$163+AXI!E26/Prices!$C$159+BHART!E26/Prices!$C$152+_CM!E26/Prices!$C$175*1000+DIGI!E26/Prices!$C$159+FAR!E26/Prices!$C$181+IDEA!E26/Prices!$C$152+INDO!E26/Prices!$C$172*1000+_LG!E26/Prices!$C$173*1000+MAXI!E26/Prices!$C$159+SKT!E26/Prices!$C$173*1000+TAIWAN!E26/Prices!$C$181+XLAX!E26/Prices!$C$172*1000+TRUECORP!E26/Prices!$C$163</f>
        <v>35173.6746395929</v>
      </c>
      <c r="F26" s="228">
        <f>ADVANCED!F26/Prices!$C$163+AXI!F26/Prices!$C$159+BHART!F26/Prices!$C$152+_CM!F26/Prices!$C$175*1000+DIGI!F26/Prices!$C$159+FAR!F26/Prices!$C$181+IDEA!F26/Prices!$C$152+INDO!F26/Prices!$C$172*1000+_LG!F26/Prices!$C$173*1000+MAXI!F26/Prices!$C$159+SKT!F26/Prices!$C$173*1000+TAIWAN!F26/Prices!$C$181+XLAX!F26/Prices!$C$172*1000+TRUECORP!F26/Prices!$C$163</f>
        <v>39430.615811664349</v>
      </c>
      <c r="G26" s="228">
        <f>ADVANCED!G26/Prices!$C$163+AXI!G26/Prices!$C$159+BHART!G26/Prices!$C$152+_CM!G26/Prices!$C$175*1000+DIGI!G26/Prices!$C$159+FAR!G26/Prices!$C$181+IDEA!G26/Prices!$C$152+INDO!G26/Prices!$C$172*1000+_LG!G26/Prices!$C$173*1000+MAXI!G26/Prices!$C$159+SKT!G26/Prices!$C$173*1000+TAIWAN!G26/Prices!$C$181+XLAX!G26/Prices!$C$172*1000+TRUECORP!G26/Prices!$C$163</f>
        <v>43848.28481715855</v>
      </c>
      <c r="H26" s="279">
        <f t="shared" si="1"/>
        <v>0.11092489376641446</v>
      </c>
      <c r="I26" s="249"/>
      <c r="J26" s="249" t="s">
        <v>11</v>
      </c>
      <c r="K26" s="249"/>
      <c r="L26" s="281">
        <f>ADVANCED!L26/Prices!$C$163+AXI!L26/Prices!$C$159+BHART!L26/Prices!$C$152+_CM!L26/Prices!$C$175*1000+DIGI!L26/Prices!$C$159+FAR!L26/Prices!$C$181+IDEA!L26/Prices!$C$152+INDO!L26/Prices!$C$172*1000+_LG!L26/Prices!$C$173*1000+MAXI!L26/Prices!$C$159+SKT!L26/Prices!$C$173*1000+TAIWAN!L26/Prices!$C$181+XLAX!L26/Prices!$C$172*1000+TRUECORP!L26/Prices!$C$163</f>
        <v>392659.30151978758</v>
      </c>
      <c r="M26" s="281">
        <f>ADVANCED!M26/Prices!$C$163+AXI!M26/Prices!$C$159+BHART!M26/Prices!$C$152+_CM!M26/Prices!$C$175*1000+DIGI!M26/Prices!$C$159+FAR!M26/Prices!$C$181+IDEA!M26/Prices!$C$152+INDO!M26/Prices!$C$172*1000+_LG!M26/Prices!$C$173*1000+MAXI!M26/Prices!$C$159+SKT!M26/Prices!$C$173*1000+TAIWAN!M26/Prices!$C$181+XLAX!M26/Prices!$C$172*1000+TRUECORP!M26/Prices!$C$163</f>
        <v>396021.97260100994</v>
      </c>
      <c r="N26" s="281">
        <f>ADVANCED!N26/Prices!$C$163+AXI!N26/Prices!$C$159+BHART!N26/Prices!$C$152+_CM!N26/Prices!$C$175*1000+DIGI!N26/Prices!$C$159+FAR!N26/Prices!$C$181+IDEA!N26/Prices!$C$152+INDO!N26/Prices!$C$172*1000+_LG!N26/Prices!$C$173*1000+MAXI!N26/Prices!$C$159+SKT!N26/Prices!$C$173*1000+TAIWAN!N26/Prices!$C$181+XLAX!N26/Prices!$C$172*1000+TRUECORP!N26/Prices!$C$163</f>
        <v>396021.97260100994</v>
      </c>
      <c r="O26" s="281">
        <f>ADVANCED!O26/Prices!$C$163+AXI!O26/Prices!$C$159+BHART!O26/Prices!$C$152+_CM!O26/Prices!$C$175*1000+DIGI!O26/Prices!$C$159+FAR!O26/Prices!$C$181+IDEA!O26/Prices!$C$152+INDO!O26/Prices!$C$172*1000+_LG!O26/Prices!$C$173*1000+MAXI!O26/Prices!$C$159+SKT!O26/Prices!$C$173*1000+TAIWAN!O26/Prices!$C$181+XLAX!O26/Prices!$C$172*1000+TRUECORP!O26/Prices!$C$163</f>
        <v>396021.97260100994</v>
      </c>
      <c r="P26" s="279">
        <f>IF(L26=0,"nm",IF(O26=0,"nm",(O26/L26)^(1/3)-1))</f>
        <v>2.8465027689195121E-3</v>
      </c>
      <c r="Q26" s="41"/>
      <c r="S26" s="42"/>
      <c r="T26" s="42"/>
      <c r="U26" s="42"/>
      <c r="V26" s="147" t="s">
        <v>185</v>
      </c>
      <c r="W26" s="288">
        <f t="shared" si="0"/>
        <v>0.9633357472807843</v>
      </c>
      <c r="X26" s="288">
        <v>1</v>
      </c>
      <c r="Y26" s="42"/>
      <c r="Z26" s="42"/>
      <c r="AA26" s="42"/>
    </row>
    <row r="27" spans="2:27">
      <c r="B27" s="5" t="s">
        <v>587</v>
      </c>
      <c r="C27" s="365">
        <f>ADVANCED!C27/Prices!$C$163+AXI!C27/Prices!$C$159+BHART!C27/Prices!$C$152+_CM!C27/Prices!$C$175*1000+DIGI!C27/Prices!$C$159+FAR!C27/Prices!$C$181+IDEA!C27/Prices!$C$152+INDO!C27/Prices!$C$172*1000+_LG!C27/Prices!$C$173*1000+MAXI!C27/Prices!$C$159+SKT!C27/Prices!$C$173*1000+TAIWAN!C27/Prices!$C$181+XLAX!C27/Prices!$C$172*1000+TRUECORP!C27/Prices!$C$163</f>
        <v>287559.50719699188</v>
      </c>
      <c r="D27" s="228">
        <f>ADVANCED!D27/Prices!$C$163+AXI!D27/Prices!$C$159+BHART!D27/Prices!$C$152+_CM!D27/Prices!$C$175*1000+DIGI!D27/Prices!$C$159+FAR!D27/Prices!$C$181+IDEA!D27/Prices!$C$152+INDO!D27/Prices!$C$172*1000+_LG!D27/Prices!$C$173*1000+MAXI!D27/Prices!$C$159+SKT!D27/Prices!$C$173*1000+TAIWAN!D27/Prices!$C$181+XLAX!D27/Prices!$C$172*1000+TRUECORP!D27/Prices!$C$163</f>
        <v>360622.26651960396</v>
      </c>
      <c r="E27" s="228">
        <f>ADVANCED!E27/Prices!$C$163+AXI!E27/Prices!$C$159+BHART!E27/Prices!$C$152+_CM!E27/Prices!$C$175*1000+DIGI!E27/Prices!$C$159+FAR!E27/Prices!$C$181+IDEA!E27/Prices!$C$152+INDO!E27/Prices!$C$172*1000+_LG!E27/Prices!$C$173*1000+MAXI!E27/Prices!$C$159+SKT!E27/Prices!$C$173*1000+TAIWAN!E27/Prices!$C$181+XLAX!E27/Prices!$C$172*1000+TRUECORP!E27/Prices!$C$163</f>
        <v>351216.34722712485</v>
      </c>
      <c r="F27" s="228">
        <f>ADVANCED!F27/Prices!$C$163+AXI!F27/Prices!$C$159+BHART!F27/Prices!$C$152+_CM!F27/Prices!$C$175*1000+DIGI!F27/Prices!$C$159+FAR!F27/Prices!$C$181+IDEA!F27/Prices!$C$152+INDO!F27/Prices!$C$172*1000+_LG!F27/Prices!$C$173*1000+MAXI!F27/Prices!$C$159+SKT!F27/Prices!$C$173*1000+TAIWAN!F27/Prices!$C$181+XLAX!F27/Prices!$C$172*1000+TRUECORP!F27/Prices!$C$163</f>
        <v>344207.67167938466</v>
      </c>
      <c r="G27" s="228">
        <f>ADVANCED!G27/Prices!$C$163+AXI!G27/Prices!$C$159+BHART!G27/Prices!$C$152+_CM!G27/Prices!$C$175*1000+DIGI!G27/Prices!$C$159+FAR!G27/Prices!$C$181+IDEA!G27/Prices!$C$152+INDO!G27/Prices!$C$172*1000+_LG!G27/Prices!$C$173*1000+MAXI!G27/Prices!$C$159+SKT!G27/Prices!$C$173*1000+TAIWAN!G27/Prices!$C$181+XLAX!G27/Prices!$C$172*1000+TRUECORP!G27/Prices!$C$163</f>
        <v>335345.21848543506</v>
      </c>
      <c r="H27" s="279">
        <f t="shared" si="1"/>
        <v>-2.3932483034564522E-2</v>
      </c>
      <c r="I27" s="248"/>
      <c r="J27" s="248"/>
      <c r="K27" s="248"/>
      <c r="L27" s="248"/>
      <c r="M27" s="248"/>
      <c r="N27" s="248"/>
      <c r="O27" s="248"/>
      <c r="Q27" s="5"/>
      <c r="S27" s="42"/>
      <c r="T27" s="42"/>
      <c r="U27" s="42"/>
      <c r="V27" s="147" t="s">
        <v>466</v>
      </c>
      <c r="W27" s="288">
        <f t="shared" si="0"/>
        <v>0.94827754157609911</v>
      </c>
      <c r="X27" s="288">
        <v>1</v>
      </c>
      <c r="Y27" s="42"/>
      <c r="Z27" s="42"/>
      <c r="AA27" s="42"/>
    </row>
    <row r="28" spans="2:27" ht="12.6" thickBot="1">
      <c r="B28" s="5" t="s">
        <v>592</v>
      </c>
      <c r="C28" s="365">
        <f>ADVANCED!C28/Prices!$C$163+AXI!C28/Prices!$C$159+BHART!C28/Prices!$C$152+_CM!C28/Prices!$C$175*1000+DIGI!C28/Prices!$C$159+FAR!C28/Prices!$C$181+IDEA!C28/Prices!$C$152+INDO!C28/Prices!$C$172*1000+_LG!C28/Prices!$C$173*1000+MAXI!C28/Prices!$C$159+SKT!C28/Prices!$C$173*1000+TAIWAN!C28/Prices!$C$181+XLAX!C28/Prices!$C$172*1000+TRUECORP!C28/Prices!$C$163</f>
        <v>190810.22062651455</v>
      </c>
      <c r="D28" s="228">
        <f>ADVANCED!D28/Prices!$C$163+AXI!D28/Prices!$C$159+BHART!D28/Prices!$C$152+_CM!D28/Prices!$C$175*1000+DIGI!D28/Prices!$C$159+FAR!D28/Prices!$C$181+IDEA!D28/Prices!$C$152+INDO!D28/Prices!$C$172*1000+_LG!D28/Prices!$C$173*1000+MAXI!D28/Prices!$C$159+SKT!D28/Prices!$C$173*1000+TAIWAN!D28/Prices!$C$181+XLAX!D28/Prices!$C$172*1000+TRUECORP!D28/Prices!$C$163</f>
        <v>186075.95881450665</v>
      </c>
      <c r="E28" s="228">
        <f>ADVANCED!E28/Prices!$C$163+AXI!E28/Prices!$C$159+BHART!E28/Prices!$C$152+_CM!E28/Prices!$C$175*1000+DIGI!E28/Prices!$C$159+FAR!E28/Prices!$C$181+IDEA!E28/Prices!$C$152+INDO!E28/Prices!$C$172*1000+_LG!E28/Prices!$C$173*1000+MAXI!E28/Prices!$C$159+SKT!E28/Prices!$C$173*1000+TAIWAN!E28/Prices!$C$181+XLAX!E28/Prices!$C$172*1000+TRUECORP!E28/Prices!$C$163</f>
        <v>188344.56862682677</v>
      </c>
      <c r="F28" s="228">
        <f>ADVANCED!F28/Prices!$C$163+AXI!F28/Prices!$C$159+BHART!F28/Prices!$C$152+_CM!F28/Prices!$C$175*1000+DIGI!F28/Prices!$C$159+FAR!F28/Prices!$C$181+IDEA!F28/Prices!$C$152+INDO!F28/Prices!$C$172*1000+_LG!F28/Prices!$C$173*1000+MAXI!F28/Prices!$C$159+SKT!F28/Prices!$C$173*1000+TAIWAN!F28/Prices!$C$181+XLAX!F28/Prices!$C$172*1000+TRUECORP!F28/Prices!$C$163</f>
        <v>192442.33359536092</v>
      </c>
      <c r="G28" s="228">
        <f>ADVANCED!G28/Prices!$C$163+AXI!G28/Prices!$C$159+BHART!G28/Prices!$C$152+_CM!G28/Prices!$C$175*1000+DIGI!G28/Prices!$C$159+FAR!G28/Prices!$C$181+IDEA!G28/Prices!$C$152+INDO!G28/Prices!$C$172*1000+_LG!G28/Prices!$C$173*1000+MAXI!G28/Prices!$C$159+SKT!G28/Prices!$C$173*1000+TAIWAN!G28/Prices!$C$181+XLAX!G28/Prices!$C$172*1000+TRUECORP!G28/Prices!$C$163</f>
        <v>195073.80102520282</v>
      </c>
      <c r="H28" s="279">
        <f t="shared" si="1"/>
        <v>1.5865536292713589E-2</v>
      </c>
      <c r="I28" s="252"/>
      <c r="J28" s="306" t="s">
        <v>754</v>
      </c>
      <c r="K28" s="306"/>
      <c r="L28" s="306"/>
      <c r="M28" s="306"/>
      <c r="N28" s="266"/>
      <c r="O28" s="266"/>
      <c r="P28" s="266"/>
      <c r="Q28" s="5"/>
      <c r="S28" s="42"/>
      <c r="T28" s="42"/>
      <c r="U28" s="42"/>
      <c r="V28" s="147" t="s">
        <v>530</v>
      </c>
      <c r="W28" s="288">
        <f t="shared" si="0"/>
        <v>0.89465876668874778</v>
      </c>
      <c r="X28" s="288">
        <v>1</v>
      </c>
      <c r="Y28" s="42"/>
      <c r="Z28" s="42"/>
      <c r="AA28" s="42"/>
    </row>
    <row r="29" spans="2:27" ht="12.6" thickTop="1">
      <c r="B29" s="5" t="s">
        <v>588</v>
      </c>
      <c r="C29" s="365">
        <f>ADVANCED!C29/Prices!$C$163+AXI!C29/Prices!$C$159+BHART!C29/Prices!$C$152+_CM!C29/Prices!$C$175*1000+DIGI!C29/Prices!$C$159+FAR!C29/Prices!$C$181+IDEA!C29/Prices!$C$152+INDO!C29/Prices!$C$172*1000+_LG!C29/Prices!$C$173*1000+MAXI!C29/Prices!$C$159+SKT!C29/Prices!$C$173*1000+TAIWAN!C29/Prices!$C$181+XLAX!C29/Prices!$C$172*1000+TRUECORP!C29/Prices!$C$163</f>
        <v>14428.885026875625</v>
      </c>
      <c r="D29" s="228">
        <f>ADVANCED!D29/Prices!$C$163+AXI!D29/Prices!$C$159+BHART!D29/Prices!$C$152+_CM!D29/Prices!$C$175*1000+DIGI!D29/Prices!$C$159+FAR!D29/Prices!$C$181+IDEA!D29/Prices!$C$152+INDO!D29/Prices!$C$172*1000+_LG!D29/Prices!$C$173*1000+MAXI!D29/Prices!$C$159+SKT!D29/Prices!$C$173*1000+TAIWAN!D29/Prices!$C$181+XLAX!D29/Prices!$C$172*1000+TRUECORP!D29/Prices!$C$163</f>
        <v>17630.473413710366</v>
      </c>
      <c r="E29" s="228">
        <f>ADVANCED!E29/Prices!$C$163+AXI!E29/Prices!$C$159+BHART!E29/Prices!$C$152+_CM!E29/Prices!$C$175*1000+DIGI!E29/Prices!$C$159+FAR!E29/Prices!$C$181+IDEA!E29/Prices!$C$152+INDO!E29/Prices!$C$172*1000+_LG!E29/Prices!$C$173*1000+MAXI!E29/Prices!$C$159+SKT!E29/Prices!$C$173*1000+TAIWAN!E29/Prices!$C$181+XLAX!E29/Prices!$C$172*1000+TRUECORP!E29/Prices!$C$163</f>
        <v>20642.814451160415</v>
      </c>
      <c r="F29" s="228">
        <f>ADVANCED!F29/Prices!$C$163+AXI!F29/Prices!$C$159+BHART!F29/Prices!$C$152+_CM!F29/Prices!$C$175*1000+DIGI!F29/Prices!$C$159+FAR!F29/Prices!$C$181+IDEA!F29/Prices!$C$152+INDO!F29/Prices!$C$172*1000+_LG!F29/Prices!$C$173*1000+MAXI!F29/Prices!$C$159+SKT!F29/Prices!$C$173*1000+TAIWAN!F29/Prices!$C$181+XLAX!F29/Prices!$C$172*1000+TRUECORP!F29/Prices!$C$163</f>
        <v>24898.44400283659</v>
      </c>
      <c r="G29" s="228">
        <f>ADVANCED!G29/Prices!$C$163+AXI!G29/Prices!$C$159+BHART!G29/Prices!$C$152+_CM!G29/Prices!$C$175*1000+DIGI!G29/Prices!$C$159+FAR!G29/Prices!$C$181+IDEA!G29/Prices!$C$152+INDO!G29/Prices!$C$172*1000+_LG!G29/Prices!$C$173*1000+MAXI!G29/Prices!$C$159+SKT!G29/Prices!$C$173*1000+TAIWAN!G29/Prices!$C$181+XLAX!G29/Prices!$C$172*1000+TRUECORP!G29/Prices!$C$163</f>
        <v>29799.26178265327</v>
      </c>
      <c r="H29" s="279">
        <f t="shared" si="1"/>
        <v>0.19118855058350359</v>
      </c>
      <c r="I29" s="254"/>
      <c r="J29" s="249"/>
      <c r="K29" s="249"/>
      <c r="L29" s="249"/>
      <c r="M29" s="249"/>
      <c r="N29" s="249"/>
      <c r="O29" s="251"/>
      <c r="Q29" s="5"/>
      <c r="S29" s="42"/>
      <c r="T29" s="42"/>
      <c r="U29" s="42"/>
      <c r="V29" s="147" t="s">
        <v>593</v>
      </c>
      <c r="W29" s="288">
        <f t="shared" si="0"/>
        <v>0.96730254719437125</v>
      </c>
      <c r="X29" s="288">
        <v>1</v>
      </c>
      <c r="Y29" s="42"/>
      <c r="Z29" s="42"/>
      <c r="AA29" s="42"/>
    </row>
    <row r="30" spans="2:27">
      <c r="B30" s="5" t="s">
        <v>589</v>
      </c>
      <c r="C30" s="365">
        <f>ADVANCED!C30/Prices!$C$163+AXI!C30/Prices!$C$159+BHART!C30/Prices!$C$152+_CM!C30/Prices!$C$175*1000+DIGI!C30/Prices!$C$159+FAR!C30/Prices!$C$181+IDEA!C30/Prices!$C$152+INDO!C30/Prices!$C$172*1000+_LG!C30/Prices!$C$173*1000+MAXI!C30/Prices!$C$159+SKT!C30/Prices!$C$173*1000+TAIWAN!C30/Prices!$C$181+XLAX!C30/Prices!$C$172*1000+TRUECORP!C30/Prices!$C$163</f>
        <v>19702.238365343037</v>
      </c>
      <c r="D30" s="228">
        <f>ADVANCED!D30/Prices!$C$163+AXI!D30/Prices!$C$159+BHART!D30/Prices!$C$152+_CM!D30/Prices!$C$175*1000+DIGI!D30/Prices!$C$159+FAR!D30/Prices!$C$181+IDEA!D30/Prices!$C$152+INDO!D30/Prices!$C$172*1000+_LG!D30/Prices!$C$173*1000+MAXI!D30/Prices!$C$159+SKT!D30/Prices!$C$173*1000+TAIWAN!D30/Prices!$C$181+XLAX!D30/Prices!$C$172*1000+TRUECORP!D30/Prices!$C$163</f>
        <v>20060.783965941424</v>
      </c>
      <c r="E30" s="228">
        <f>ADVANCED!E30/Prices!$C$163+AXI!E30/Prices!$C$159+BHART!E30/Prices!$C$152+_CM!E30/Prices!$C$175*1000+DIGI!E30/Prices!$C$159+FAR!E30/Prices!$C$181+IDEA!E30/Prices!$C$152+INDO!E30/Prices!$C$172*1000+_LG!E30/Prices!$C$173*1000+MAXI!E30/Prices!$C$159+SKT!E30/Prices!$C$173*1000+TAIWAN!E30/Prices!$C$181+XLAX!E30/Prices!$C$172*1000+TRUECORP!E30/Prices!$C$163</f>
        <v>23555.267206286208</v>
      </c>
      <c r="F30" s="228">
        <f>ADVANCED!F30/Prices!$C$163+AXI!F30/Prices!$C$159+BHART!F30/Prices!$C$152+_CM!F30/Prices!$C$175*1000+DIGI!F30/Prices!$C$159+FAR!F30/Prices!$C$181+IDEA!F30/Prices!$C$152+INDO!F30/Prices!$C$172*1000+_LG!F30/Prices!$C$173*1000+MAXI!F30/Prices!$C$159+SKT!F30/Prices!$C$173*1000+TAIWAN!F30/Prices!$C$181+XLAX!F30/Prices!$C$172*1000+TRUECORP!F30/Prices!$C$163</f>
        <v>27658.333389912659</v>
      </c>
      <c r="G30" s="228">
        <f>ADVANCED!G30/Prices!$C$163+AXI!G30/Prices!$C$159+BHART!G30/Prices!$C$152+_CM!G30/Prices!$C$175*1000+DIGI!G30/Prices!$C$159+FAR!G30/Prices!$C$181+IDEA!G30/Prices!$C$152+INDO!G30/Prices!$C$172*1000+_LG!G30/Prices!$C$173*1000+MAXI!G30/Prices!$C$159+SKT!G30/Prices!$C$173*1000+TAIWAN!G30/Prices!$C$181+XLAX!G30/Prices!$C$172*1000+TRUECORP!G30/Prices!$C$163</f>
        <v>31452.910814590556</v>
      </c>
      <c r="H30" s="279">
        <f t="shared" si="1"/>
        <v>0.16172761825523807</v>
      </c>
      <c r="I30" s="254"/>
      <c r="J30" s="248"/>
      <c r="K30" s="248"/>
      <c r="L30" s="248"/>
      <c r="M30" s="248"/>
      <c r="N30" s="248"/>
      <c r="O30" s="5"/>
      <c r="Q30" s="5"/>
      <c r="S30" s="42"/>
      <c r="T30" s="42"/>
      <c r="U30" s="42"/>
      <c r="V30" s="147" t="s">
        <v>475</v>
      </c>
      <c r="W30" s="288">
        <f t="shared" si="0"/>
        <v>0.93980545435473639</v>
      </c>
      <c r="X30" s="288">
        <v>1</v>
      </c>
      <c r="Y30" s="42"/>
      <c r="Z30" s="42"/>
      <c r="AA30" s="42"/>
    </row>
    <row r="31" spans="2:27">
      <c r="B31" s="5" t="s">
        <v>590</v>
      </c>
      <c r="C31" s="365">
        <f>ADVANCED!C31/Prices!$C$163+AXI!C31/Prices!$C$159+BHART!C31/Prices!$C$152+_CM!C31/Prices!$C$175*1000+DIGI!C31/Prices!$C$159+FAR!C31/Prices!$C$181+IDEA!C31/Prices!$C$152+INDO!C31/Prices!$C$172*1000+_LG!C31/Prices!$C$173*1000+MAXI!C31/Prices!$C$159+SKT!C31/Prices!$C$173*1000+TAIWAN!C31/Prices!$C$181+XLAX!C31/Prices!$C$172*1000+TRUECORP!C31/Prices!$C$163</f>
        <v>14800.217339926825</v>
      </c>
      <c r="D31" s="228">
        <f>ADVANCED!D31/Prices!$C$163+AXI!D31/Prices!$C$159+BHART!D31/Prices!$C$152+_CM!D31/Prices!$C$175*1000+DIGI!D31/Prices!$C$159+FAR!D31/Prices!$C$181+IDEA!D31/Prices!$C$152+INDO!D31/Prices!$C$172*1000+_LG!D31/Prices!$C$173*1000+MAXI!D31/Prices!$C$159+SKT!D31/Prices!$C$173*1000+TAIWAN!D31/Prices!$C$181+XLAX!D31/Prices!$C$172*1000+TRUECORP!D31/Prices!$C$163</f>
        <v>16875.329609159337</v>
      </c>
      <c r="E31" s="228">
        <f>ADVANCED!E31/Prices!$C$163+AXI!E31/Prices!$C$159+BHART!E31/Prices!$C$152+_CM!E31/Prices!$C$175*1000+DIGI!E31/Prices!$C$159+FAR!E31/Prices!$C$181+IDEA!E31/Prices!$C$152+INDO!E31/Prices!$C$172*1000+_LG!E31/Prices!$C$173*1000+MAXI!E31/Prices!$C$159+SKT!E31/Prices!$C$173*1000+TAIWAN!E31/Prices!$C$181+XLAX!E31/Prices!$C$172*1000+TRUECORP!E31/Prices!$C$163</f>
        <v>18390.32419632727</v>
      </c>
      <c r="F31" s="228">
        <f>ADVANCED!F31/Prices!$C$163+AXI!F31/Prices!$C$159+BHART!F31/Prices!$C$152+_CM!F31/Prices!$C$175*1000+DIGI!F31/Prices!$C$159+FAR!F31/Prices!$C$181+IDEA!F31/Prices!$C$152+INDO!F31/Prices!$C$172*1000+_LG!F31/Prices!$C$173*1000+MAXI!F31/Prices!$C$159+SKT!F31/Prices!$C$173*1000+TAIWAN!F31/Prices!$C$181+XLAX!F31/Prices!$C$172*1000+TRUECORP!F31/Prices!$C$163</f>
        <v>21360.668203624155</v>
      </c>
      <c r="G31" s="228">
        <f>ADVANCED!G31/Prices!$C$163+AXI!G31/Prices!$C$159+BHART!G31/Prices!$C$152+_CM!G31/Prices!$C$175*1000+DIGI!G31/Prices!$C$159+FAR!G31/Prices!$C$181+IDEA!G31/Prices!$C$152+INDO!G31/Prices!$C$172*1000+_LG!G31/Prices!$C$173*1000+MAXI!G31/Prices!$C$159+SKT!G31/Prices!$C$173*1000+TAIWAN!G31/Prices!$C$181+XLAX!G31/Prices!$C$172*1000+TRUECORP!G31/Prices!$C$163</f>
        <v>24630.91023607074</v>
      </c>
      <c r="H31" s="279">
        <f t="shared" si="1"/>
        <v>0.1343386565198228</v>
      </c>
      <c r="I31" s="254"/>
      <c r="J31" s="252"/>
      <c r="K31" s="252"/>
      <c r="L31" s="252"/>
      <c r="M31" s="252"/>
      <c r="N31" s="252"/>
      <c r="O31" s="5"/>
      <c r="Q31" s="5"/>
      <c r="S31" s="42"/>
      <c r="T31" s="42"/>
      <c r="U31" s="42"/>
      <c r="V31" s="147" t="s">
        <v>533</v>
      </c>
      <c r="W31" s="288">
        <f t="shared" si="0"/>
        <v>0.95351355972842644</v>
      </c>
      <c r="X31" s="288">
        <v>1</v>
      </c>
      <c r="Y31" s="42"/>
      <c r="Z31" s="42"/>
      <c r="AA31" s="42"/>
    </row>
    <row r="32" spans="2:27">
      <c r="B32" s="5" t="s">
        <v>606</v>
      </c>
      <c r="C32" s="365" t="e">
        <f>ADVANCED!C32/Prices!$C$163+AXI!C32/Prices!$C$159+BHART!C32/Prices!$C$152+_CM!C32/Prices!$C$175*1000+DIGI!C32/Prices!$C$159+FAR!C32/Prices!$C$181+IDEA!C32/Prices!$C$152+INDO!C32/Prices!$C$172*1000+_LG!C32/Prices!$C$173*1000+MAXI!C32/Prices!$C$159+SKT!C32/Prices!$C$173*1000+TAIWAN!C32/Prices!$C$181+XLAX!C32/Prices!$C$172*1000+TRUECORP!C32/Prices!$C$163</f>
        <v>#VALUE!</v>
      </c>
      <c r="D32" s="228" t="e">
        <f>ADVANCED!D32/Prices!$C$163+AXI!D32/Prices!$C$159+BHART!D32/Prices!$C$152+_CM!D32/Prices!$C$175*1000+DIGI!D32/Prices!$C$159+FAR!D32/Prices!$C$181+IDEA!D32/Prices!$C$152+INDO!D32/Prices!$C$172*1000+_LG!D32/Prices!$C$173*1000+MAXI!D32/Prices!$C$159+SKT!D32/Prices!$C$173*1000+TAIWAN!D32/Prices!$C$181+XLAX!D32/Prices!$C$172*1000+TRUECORP!D32/Prices!$C$163</f>
        <v>#VALUE!</v>
      </c>
      <c r="E32" s="228" t="e">
        <f>ADVANCED!E32/Prices!$C$163+AXI!E32/Prices!$C$159+BHART!E32/Prices!$C$152+_CM!E32/Prices!$C$175*1000+DIGI!E32/Prices!$C$159+FAR!E32/Prices!$C$181+IDEA!E32/Prices!$C$152+INDO!E32/Prices!$C$172*1000+_LG!E32/Prices!$C$173*1000+MAXI!E32/Prices!$C$159+SKT!E32/Prices!$C$173*1000+TAIWAN!E32/Prices!$C$181+XLAX!E32/Prices!$C$172*1000+TRUECORP!E32/Prices!$C$163</f>
        <v>#VALUE!</v>
      </c>
      <c r="F32" s="228" t="e">
        <f>ADVANCED!F32/Prices!$C$163+AXI!F32/Prices!$C$159+BHART!F32/Prices!$C$152+_CM!F32/Prices!$C$175*1000+DIGI!F32/Prices!$C$159+FAR!F32/Prices!$C$181+IDEA!F32/Prices!$C$152+INDO!F32/Prices!$C$172*1000+_LG!F32/Prices!$C$173*1000+MAXI!F32/Prices!$C$159+SKT!F32/Prices!$C$173*1000+TAIWAN!F32/Prices!$C$181+XLAX!F32/Prices!$C$172*1000+TRUECORP!F32/Prices!$C$163</f>
        <v>#VALUE!</v>
      </c>
      <c r="G32" s="228" t="e">
        <f>ADVANCED!G32/Prices!$C$163+AXI!G32/Prices!$C$159+BHART!G32/Prices!$C$152+_CM!G32/Prices!$C$175*1000+DIGI!G32/Prices!$C$159+FAR!G32/Prices!$C$181+IDEA!G32/Prices!$C$152+INDO!G32/Prices!$C$172*1000+_LG!G32/Prices!$C$173*1000+MAXI!G32/Prices!$C$159+SKT!G32/Prices!$C$173*1000+TAIWAN!G32/Prices!$C$181+XLAX!G32/Prices!$C$172*1000+TRUECORP!G32/Prices!$C$163</f>
        <v>#VALUE!</v>
      </c>
      <c r="H32" s="279" t="e">
        <f t="shared" si="1"/>
        <v>#VALUE!</v>
      </c>
      <c r="I32" s="5"/>
      <c r="J32" s="254"/>
      <c r="K32" s="254"/>
      <c r="L32" s="254"/>
      <c r="M32" s="254"/>
      <c r="N32" s="254"/>
      <c r="O32" s="251"/>
      <c r="Q32" s="5"/>
      <c r="S32" s="42"/>
      <c r="T32" s="42"/>
      <c r="U32" s="42"/>
      <c r="V32" s="147" t="s">
        <v>580</v>
      </c>
      <c r="W32" s="288">
        <f>M17/E45</f>
        <v>0.90896708387501746</v>
      </c>
      <c r="X32" s="288">
        <v>1</v>
      </c>
      <c r="Y32" s="42"/>
      <c r="Z32" s="42"/>
      <c r="AA32" s="42"/>
    </row>
    <row r="33" spans="2:42">
      <c r="B33" s="5" t="s">
        <v>5</v>
      </c>
      <c r="C33" s="365">
        <f>ADVANCED!C33/Prices!$C$163+AXI!C33/Prices!$C$159+BHART!C33/Prices!$C$152+_CM!C33/Prices!$C$175*1000+DIGI!C33/Prices!$C$159+FAR!C33/Prices!$C$181+IDEA!C33/Prices!$C$152+INDO!C33/Prices!$C$172*1000+_LG!C33/Prices!$C$173*1000+MAXI!C33/Prices!$C$159+SKT!C33/Prices!$C$173*1000+TAIWAN!C33/Prices!$C$181+XLAX!C33/Prices!$C$172*1000+TRUECORP!C33/Prices!$C$163</f>
        <v>7713.8728052073748</v>
      </c>
      <c r="D33" s="228">
        <f>ADVANCED!D33/Prices!$C$163+AXI!D33/Prices!$C$159+BHART!D33/Prices!$C$152+_CM!D33/Prices!$C$175*1000+DIGI!D33/Prices!$C$159+FAR!D33/Prices!$C$181+IDEA!D33/Prices!$C$152+INDO!D33/Prices!$C$172*1000+_LG!D33/Prices!$C$173*1000+MAXI!D33/Prices!$C$159+SKT!D33/Prices!$C$173*1000+TAIWAN!D33/Prices!$C$181+XLAX!D33/Prices!$C$172*1000+TRUECORP!D33/Prices!$C$163</f>
        <v>9063.0227506163901</v>
      </c>
      <c r="E33" s="228">
        <f>ADVANCED!E33/Prices!$C$163+AXI!E33/Prices!$C$159+BHART!E33/Prices!$C$152+_CM!E33/Prices!$C$175*1000+DIGI!E33/Prices!$C$159+FAR!E33/Prices!$C$181+IDEA!E33/Prices!$C$152+INDO!E33/Prices!$C$172*1000+_LG!E33/Prices!$C$173*1000+MAXI!E33/Prices!$C$159+SKT!E33/Prices!$C$173*1000+TAIWAN!E33/Prices!$C$181+XLAX!E33/Prices!$C$172*1000+TRUECORP!E33/Prices!$C$163</f>
        <v>8202.4331609594356</v>
      </c>
      <c r="F33" s="228">
        <f>ADVANCED!F33/Prices!$C$163+AXI!F33/Prices!$C$159+BHART!F33/Prices!$C$152+_CM!F33/Prices!$C$175*1000+DIGI!F33/Prices!$C$159+FAR!F33/Prices!$C$181+IDEA!F33/Prices!$C$152+INDO!F33/Prices!$C$172*1000+_LG!F33/Prices!$C$173*1000+MAXI!F33/Prices!$C$159+SKT!F33/Prices!$C$173*1000+TAIWAN!F33/Prices!$C$181+XLAX!F33/Prices!$C$172*1000+TRUECORP!F33/Prices!$C$163</f>
        <v>7996.4964712361498</v>
      </c>
      <c r="G33" s="228">
        <f>ADVANCED!G33/Prices!$C$163+AXI!G33/Prices!$C$159+BHART!G33/Prices!$C$152+_CM!G33/Prices!$C$175*1000+DIGI!G33/Prices!$C$159+FAR!G33/Prices!$C$181+IDEA!G33/Prices!$C$152+INDO!G33/Prices!$C$172*1000+_LG!G33/Prices!$C$173*1000+MAXI!G33/Prices!$C$159+SKT!G33/Prices!$C$173*1000+TAIWAN!G33/Prices!$C$181+XLAX!G33/Prices!$C$172*1000+TRUECORP!G33/Prices!$C$163</f>
        <v>7919.7339215205029</v>
      </c>
      <c r="H33" s="279">
        <f t="shared" si="1"/>
        <v>-4.3953152958457586E-2</v>
      </c>
      <c r="I33" s="49"/>
      <c r="J33" s="254"/>
      <c r="K33" s="254"/>
      <c r="L33" s="254"/>
      <c r="M33" s="254"/>
      <c r="N33" s="254"/>
      <c r="O33" s="251"/>
      <c r="Q33" s="5"/>
      <c r="S33" s="42"/>
      <c r="T33" s="42"/>
      <c r="U33" s="42"/>
      <c r="V33" s="147" t="s">
        <v>266</v>
      </c>
      <c r="W33" s="288">
        <f>N19/F47</f>
        <v>0.9537204966143118</v>
      </c>
      <c r="X33" s="288">
        <v>1</v>
      </c>
      <c r="Y33" s="288"/>
      <c r="Z33" s="288"/>
      <c r="AA33" s="42"/>
      <c r="AC33" s="10"/>
      <c r="AD33" s="10"/>
      <c r="AE33" s="10"/>
      <c r="AF33" s="10"/>
      <c r="AH33" s="10"/>
      <c r="AI33" s="10"/>
      <c r="AJ33" s="10"/>
      <c r="AK33" s="10"/>
      <c r="AM33" s="10"/>
      <c r="AN33" s="10"/>
      <c r="AO33" s="10"/>
      <c r="AP33" s="10"/>
    </row>
    <row r="34" spans="2:42">
      <c r="H34" s="277"/>
      <c r="I34" s="254"/>
      <c r="J34" s="254"/>
      <c r="K34" s="254"/>
      <c r="L34" s="254"/>
      <c r="M34" s="254"/>
      <c r="N34" s="254"/>
      <c r="O34" s="251"/>
      <c r="Q34" s="5"/>
      <c r="S34" s="42"/>
      <c r="T34" s="42"/>
      <c r="U34" s="42"/>
      <c r="V34" s="42"/>
      <c r="W34" s="42"/>
      <c r="X34" s="42"/>
      <c r="Y34" s="288"/>
      <c r="Z34" s="288"/>
      <c r="AA34" s="42"/>
      <c r="AC34" s="10"/>
      <c r="AD34" s="10"/>
      <c r="AE34" s="10"/>
      <c r="AF34" s="10"/>
      <c r="AH34" s="10"/>
      <c r="AI34" s="10"/>
      <c r="AJ34" s="10"/>
      <c r="AK34" s="10"/>
      <c r="AM34" s="10"/>
      <c r="AN34" s="10"/>
      <c r="AO34" s="10"/>
      <c r="AP34" s="10"/>
    </row>
    <row r="35" spans="2:42" ht="12.6" thickBot="1">
      <c r="B35" s="306" t="s">
        <v>279</v>
      </c>
      <c r="C35" s="265"/>
      <c r="D35" s="265" t="str">
        <f>D5</f>
        <v>2023E</v>
      </c>
      <c r="E35" s="265" t="str">
        <f>E5</f>
        <v>2024E</v>
      </c>
      <c r="F35" s="265" t="str">
        <f>F5</f>
        <v>2025E</v>
      </c>
      <c r="G35" s="265" t="str">
        <f>G5</f>
        <v>2026E</v>
      </c>
      <c r="H35" s="265" t="str">
        <f>H5</f>
        <v>23E-26E</v>
      </c>
      <c r="I35" s="17"/>
      <c r="J35" s="5"/>
      <c r="K35" s="5"/>
      <c r="L35" s="5"/>
      <c r="M35" s="5"/>
      <c r="N35" s="5"/>
      <c r="O35" s="5"/>
      <c r="Q35" s="5"/>
      <c r="S35" s="42"/>
      <c r="T35" s="42"/>
      <c r="U35" s="42"/>
      <c r="V35" s="42"/>
      <c r="W35" s="42"/>
      <c r="X35" s="42"/>
      <c r="Y35" s="288"/>
      <c r="Z35" s="288"/>
      <c r="AA35" s="42"/>
      <c r="AC35" s="10"/>
      <c r="AD35" s="10"/>
      <c r="AE35" s="10"/>
      <c r="AF35" s="10"/>
      <c r="AH35" s="10"/>
      <c r="AI35" s="10"/>
      <c r="AJ35" s="10"/>
      <c r="AK35" s="10"/>
      <c r="AM35" s="10"/>
      <c r="AN35" s="10"/>
      <c r="AO35" s="10"/>
      <c r="AP35" s="10"/>
    </row>
    <row r="36" spans="2:42" ht="12.6" thickTop="1">
      <c r="B36" s="41"/>
      <c r="C36" s="249"/>
      <c r="D36" s="254"/>
      <c r="E36" s="254"/>
      <c r="F36" s="254"/>
      <c r="G36" s="254"/>
      <c r="H36" s="254"/>
      <c r="I36" s="5"/>
      <c r="J36" s="49"/>
      <c r="K36" s="49"/>
      <c r="L36" s="49"/>
      <c r="M36" s="49"/>
      <c r="N36" s="49"/>
      <c r="O36" s="49"/>
      <c r="Q36" s="5"/>
      <c r="R36" s="5"/>
      <c r="S36" s="42"/>
      <c r="T36" s="42"/>
      <c r="U36" s="42"/>
      <c r="V36" s="42"/>
      <c r="W36" s="42"/>
      <c r="X36" s="42"/>
      <c r="Y36" s="42"/>
      <c r="Z36" s="42"/>
      <c r="AA36" s="42"/>
      <c r="AC36" s="10"/>
      <c r="AD36" s="10"/>
      <c r="AE36" s="10"/>
      <c r="AF36" s="10"/>
      <c r="AH36" s="10"/>
      <c r="AI36" s="10"/>
      <c r="AJ36" s="10"/>
      <c r="AK36" s="10"/>
      <c r="AM36" s="10"/>
      <c r="AN36" s="10"/>
      <c r="AO36" s="10"/>
      <c r="AP36" s="10"/>
    </row>
    <row r="37" spans="2:42">
      <c r="B37" s="5" t="s">
        <v>273</v>
      </c>
      <c r="C37" s="247"/>
      <c r="D37" s="64">
        <f t="shared" ref="D37:G41" si="2">D$18/D23</f>
        <v>2.1890470478300736</v>
      </c>
      <c r="E37" s="64">
        <f t="shared" si="2"/>
        <v>2.0379336101004566</v>
      </c>
      <c r="F37" s="64">
        <f t="shared" si="2"/>
        <v>1.7992534221229244</v>
      </c>
      <c r="G37" s="64">
        <f t="shared" si="2"/>
        <v>1.5686210483991974</v>
      </c>
      <c r="H37" s="17">
        <f t="shared" ref="H37:H45" si="3">H23</f>
        <v>5.2507700166190885E-2</v>
      </c>
      <c r="I37" s="259"/>
      <c r="J37" s="259"/>
      <c r="K37" s="259"/>
      <c r="L37" s="259"/>
      <c r="M37" s="259"/>
      <c r="N37" s="259"/>
      <c r="O37" s="18"/>
      <c r="Q37" s="5"/>
      <c r="R37" s="5"/>
      <c r="S37" s="42"/>
      <c r="T37" s="42"/>
      <c r="U37" s="42"/>
      <c r="V37" s="42"/>
      <c r="W37" s="42"/>
      <c r="X37" s="42"/>
      <c r="Y37" s="42"/>
      <c r="Z37" s="42"/>
      <c r="AA37" s="42"/>
      <c r="AC37" s="10"/>
      <c r="AD37" s="10"/>
      <c r="AE37" s="10"/>
      <c r="AF37" s="10"/>
      <c r="AH37" s="10"/>
      <c r="AI37" s="10"/>
      <c r="AJ37" s="10"/>
      <c r="AK37" s="10"/>
      <c r="AM37" s="10"/>
      <c r="AN37" s="10"/>
      <c r="AO37" s="10"/>
      <c r="AP37" s="10"/>
    </row>
    <row r="38" spans="2:42">
      <c r="B38" s="5" t="s">
        <v>184</v>
      </c>
      <c r="C38" s="247"/>
      <c r="D38" s="64">
        <f t="shared" si="2"/>
        <v>6.0691968701190078</v>
      </c>
      <c r="E38" s="64">
        <f t="shared" si="2"/>
        <v>5.5831972180796781</v>
      </c>
      <c r="F38" s="64">
        <f t="shared" si="2"/>
        <v>4.8747610925670459</v>
      </c>
      <c r="G38" s="64">
        <f t="shared" si="2"/>
        <v>4.2092725575364076</v>
      </c>
      <c r="H38" s="17">
        <f t="shared" si="3"/>
        <v>6.4031099626415955E-2</v>
      </c>
      <c r="I38" s="17"/>
      <c r="J38" s="17"/>
      <c r="K38" s="17"/>
      <c r="L38" s="17"/>
      <c r="M38" s="17"/>
      <c r="N38" s="17"/>
      <c r="O38" s="5"/>
      <c r="Q38" s="5"/>
      <c r="R38" s="5"/>
      <c r="S38" s="42"/>
      <c r="T38" s="42"/>
      <c r="U38" s="42"/>
      <c r="V38" s="42"/>
      <c r="W38" s="42"/>
      <c r="X38" s="42"/>
      <c r="Y38" s="42"/>
      <c r="Z38" s="42"/>
      <c r="AA38" s="42"/>
    </row>
    <row r="39" spans="2:42">
      <c r="B39" s="5" t="s">
        <v>185</v>
      </c>
      <c r="C39" s="247"/>
      <c r="D39" s="64">
        <f t="shared" si="2"/>
        <v>11.711453620308948</v>
      </c>
      <c r="E39" s="64">
        <f t="shared" si="2"/>
        <v>10.351343508507215</v>
      </c>
      <c r="F39" s="64">
        <f t="shared" si="2"/>
        <v>8.578383477640104</v>
      </c>
      <c r="G39" s="64">
        <f t="shared" si="2"/>
        <v>7.0537059267133086</v>
      </c>
      <c r="H39" s="17">
        <f t="shared" si="3"/>
        <v>0.11526330676280883</v>
      </c>
      <c r="I39" s="5"/>
      <c r="J39" s="5"/>
      <c r="K39" s="5"/>
      <c r="L39" s="5"/>
      <c r="M39" s="5"/>
      <c r="N39" s="5"/>
      <c r="O39" s="5"/>
      <c r="Q39" s="5"/>
      <c r="R39" s="5"/>
      <c r="S39" s="42"/>
      <c r="T39" s="42"/>
      <c r="U39" s="42"/>
      <c r="V39" s="42"/>
      <c r="W39" s="288"/>
      <c r="X39" s="288"/>
      <c r="Y39" s="42"/>
      <c r="Z39" s="42"/>
      <c r="AA39" s="42"/>
    </row>
    <row r="40" spans="2:42">
      <c r="B40" s="5" t="s">
        <v>466</v>
      </c>
      <c r="C40" s="247"/>
      <c r="D40" s="64">
        <f t="shared" si="2"/>
        <v>14.998308412300936</v>
      </c>
      <c r="E40" s="64">
        <f t="shared" si="2"/>
        <v>13.377569711729079</v>
      </c>
      <c r="F40" s="64">
        <f t="shared" si="2"/>
        <v>11.10525612969515</v>
      </c>
      <c r="G40" s="64">
        <f t="shared" si="2"/>
        <v>9.1395954338227661</v>
      </c>
      <c r="H40" s="17">
        <f t="shared" si="3"/>
        <v>0.11092489376641446</v>
      </c>
      <c r="I40" s="247"/>
      <c r="J40" s="259"/>
      <c r="K40" s="259"/>
      <c r="L40" s="259"/>
      <c r="M40" s="259"/>
      <c r="N40" s="259"/>
      <c r="O40" s="18"/>
      <c r="Q40" s="5"/>
      <c r="R40" s="5"/>
      <c r="S40" s="42"/>
      <c r="T40" s="42"/>
      <c r="U40" s="42"/>
      <c r="V40" s="42"/>
      <c r="W40" s="288"/>
      <c r="X40" s="288"/>
      <c r="Y40" s="288"/>
      <c r="Z40" s="288"/>
      <c r="AA40" s="42"/>
    </row>
    <row r="41" spans="2:42">
      <c r="B41" s="5" t="s">
        <v>530</v>
      </c>
      <c r="C41" s="247"/>
      <c r="D41" s="64">
        <f t="shared" si="2"/>
        <v>1.3301121342038957</v>
      </c>
      <c r="E41" s="64">
        <f t="shared" si="2"/>
        <v>1.3397391329411645</v>
      </c>
      <c r="F41" s="64">
        <f t="shared" si="2"/>
        <v>1.2721595826254968</v>
      </c>
      <c r="G41" s="64">
        <f t="shared" si="2"/>
        <v>1.1950538179904546</v>
      </c>
      <c r="H41" s="17">
        <f t="shared" si="3"/>
        <v>-2.3932483034564522E-2</v>
      </c>
      <c r="I41" s="248"/>
      <c r="J41" s="17"/>
      <c r="K41" s="17"/>
      <c r="L41" s="17"/>
      <c r="M41" s="17"/>
      <c r="N41" s="17"/>
      <c r="O41" s="5"/>
      <c r="Q41" s="5"/>
      <c r="R41" s="5"/>
      <c r="S41" s="42"/>
      <c r="T41" s="42"/>
      <c r="U41" s="42"/>
      <c r="V41" s="42"/>
      <c r="W41" s="288"/>
      <c r="X41" s="288"/>
      <c r="Y41" s="288"/>
      <c r="Z41" s="288"/>
      <c r="AA41" s="42"/>
    </row>
    <row r="42" spans="2:42">
      <c r="B42" s="5" t="s">
        <v>593</v>
      </c>
      <c r="C42" s="247"/>
      <c r="D42" s="64">
        <f>D18/D28</f>
        <v>2.5778077706427549</v>
      </c>
      <c r="E42" s="64">
        <f>E18/E28</f>
        <v>2.4982843303600863</v>
      </c>
      <c r="F42" s="64">
        <f>F18/F28</f>
        <v>2.2754197569691903</v>
      </c>
      <c r="G42" s="64">
        <f>G18/G28</f>
        <v>2.0543793251052009</v>
      </c>
      <c r="H42" s="17">
        <f t="shared" si="3"/>
        <v>1.5865536292713589E-2</v>
      </c>
      <c r="I42" s="247"/>
      <c r="J42" s="5"/>
      <c r="K42" s="5"/>
      <c r="L42" s="5"/>
      <c r="M42" s="5"/>
      <c r="N42" s="5"/>
      <c r="O42" s="5"/>
      <c r="Q42" s="5"/>
      <c r="R42" s="5"/>
      <c r="S42" s="42"/>
      <c r="T42" s="42"/>
      <c r="U42" s="42"/>
      <c r="V42" s="42"/>
      <c r="W42" s="288"/>
      <c r="X42" s="288"/>
      <c r="Y42" s="288"/>
      <c r="Z42" s="288"/>
      <c r="AA42" s="42"/>
    </row>
    <row r="43" spans="2:42">
      <c r="B43" s="5" t="s">
        <v>475</v>
      </c>
      <c r="C43" s="247"/>
      <c r="D43" s="64">
        <f>L26/D29</f>
        <v>22.271625514856307</v>
      </c>
      <c r="E43" s="64">
        <f>M26/E29</f>
        <v>19.184495095761903</v>
      </c>
      <c r="F43" s="64">
        <f>N26/F29</f>
        <v>15.905490823277654</v>
      </c>
      <c r="G43" s="64">
        <f>O26/G29</f>
        <v>13.289657156256872</v>
      </c>
      <c r="H43" s="17">
        <f t="shared" si="3"/>
        <v>0.19118855058350359</v>
      </c>
      <c r="I43" s="247"/>
      <c r="J43" s="247"/>
      <c r="K43" s="247"/>
      <c r="L43" s="247"/>
      <c r="M43" s="247"/>
      <c r="N43" s="247"/>
      <c r="O43" s="18"/>
      <c r="Q43" s="5"/>
      <c r="R43" s="5"/>
      <c r="S43" s="42"/>
      <c r="T43" s="42"/>
      <c r="U43" s="42"/>
      <c r="V43" s="42"/>
      <c r="W43" s="325"/>
      <c r="X43" s="325"/>
      <c r="Y43" s="288"/>
      <c r="Z43" s="288"/>
      <c r="AA43" s="42"/>
    </row>
    <row r="44" spans="2:42">
      <c r="B44" s="5" t="s">
        <v>533</v>
      </c>
      <c r="C44" s="69"/>
      <c r="D44" s="64">
        <f>D11/D30</f>
        <v>19.573477396817211</v>
      </c>
      <c r="E44" s="64">
        <f>E11/E30</f>
        <v>16.812459359209619</v>
      </c>
      <c r="F44" s="64">
        <f>F11/F30</f>
        <v>14.3183599321803</v>
      </c>
      <c r="G44" s="64">
        <f>G11/G30</f>
        <v>12.590948257078356</v>
      </c>
      <c r="H44" s="17">
        <f t="shared" si="3"/>
        <v>0.16172761825523807</v>
      </c>
      <c r="I44" s="248"/>
      <c r="J44" s="248"/>
      <c r="K44" s="248"/>
      <c r="L44" s="248"/>
      <c r="M44" s="248"/>
      <c r="N44" s="248"/>
      <c r="O44" s="248"/>
      <c r="Q44" s="5"/>
      <c r="R44" s="5"/>
      <c r="S44" s="42"/>
      <c r="T44" s="42"/>
      <c r="U44" s="42"/>
      <c r="V44" s="42"/>
      <c r="W44" s="42"/>
      <c r="X44" s="42"/>
      <c r="Y44" s="325"/>
      <c r="Z44" s="325"/>
      <c r="AA44" s="42"/>
    </row>
    <row r="45" spans="2:42">
      <c r="B45" s="5" t="s">
        <v>580</v>
      </c>
      <c r="C45" s="247"/>
      <c r="D45" s="248">
        <f>D31/D11</f>
        <v>4.2977027524480849E-2</v>
      </c>
      <c r="E45" s="248">
        <f>E31/E11</f>
        <v>4.6437635961314262E-2</v>
      </c>
      <c r="F45" s="248">
        <f>F31/F11</f>
        <v>5.3938088493753644E-2</v>
      </c>
      <c r="G45" s="248">
        <f>G31/G11</f>
        <v>6.2195817253014526E-2</v>
      </c>
      <c r="H45" s="17">
        <f t="shared" si="3"/>
        <v>0.1343386565198228</v>
      </c>
      <c r="I45" s="247"/>
      <c r="J45" s="247"/>
      <c r="K45" s="247"/>
      <c r="L45" s="247"/>
      <c r="M45" s="247"/>
      <c r="N45" s="247"/>
      <c r="O45" s="248"/>
      <c r="Q45" s="5"/>
      <c r="R45" s="5"/>
      <c r="S45" s="42"/>
      <c r="T45" s="42"/>
      <c r="U45" s="42"/>
      <c r="V45" s="42"/>
      <c r="W45" s="42"/>
      <c r="X45" s="42"/>
      <c r="Y45" s="42"/>
      <c r="Z45" s="42"/>
      <c r="AA45" s="326"/>
      <c r="AB45" s="303"/>
    </row>
    <row r="46" spans="2:42">
      <c r="B46" s="5" t="s">
        <v>605</v>
      </c>
      <c r="C46" s="247"/>
      <c r="D46" s="248" t="e">
        <f>(D31+D32)/D11</f>
        <v>#VALUE!</v>
      </c>
      <c r="E46" s="248" t="e">
        <f>(E31+E32)/E11</f>
        <v>#VALUE!</v>
      </c>
      <c r="F46" s="248" t="e">
        <f>(F31+F32)/F11</f>
        <v>#VALUE!</v>
      </c>
      <c r="G46" s="248" t="e">
        <f>(G31+G32)/G11</f>
        <v>#VALUE!</v>
      </c>
      <c r="H46" s="279" t="e">
        <f>((G31+G32)/(D31+D32))^(1/3)-1</f>
        <v>#VALUE!</v>
      </c>
      <c r="I46" s="17"/>
      <c r="J46" s="247"/>
      <c r="K46" s="247"/>
      <c r="L46" s="247"/>
      <c r="M46" s="247"/>
      <c r="N46" s="247"/>
      <c r="O46" s="18"/>
      <c r="Q46" s="5"/>
      <c r="R46" s="5"/>
      <c r="S46" s="42"/>
      <c r="T46" s="42"/>
      <c r="U46" s="42"/>
      <c r="V46" s="42"/>
      <c r="W46" s="42"/>
      <c r="X46" s="42"/>
      <c r="Y46" s="42"/>
      <c r="Z46" s="42"/>
      <c r="AA46" s="326"/>
      <c r="AB46" s="303"/>
    </row>
    <row r="47" spans="2:42">
      <c r="B47" s="5" t="s">
        <v>581</v>
      </c>
      <c r="C47" s="5"/>
      <c r="D47" s="248">
        <f>1/D43</f>
        <v>4.4900180246518116E-2</v>
      </c>
      <c r="E47" s="248">
        <f>1/E43</f>
        <v>5.212542707057808E-2</v>
      </c>
      <c r="F47" s="248">
        <f>1/F43</f>
        <v>6.287137008915826E-2</v>
      </c>
      <c r="G47" s="248">
        <f>1/G43</f>
        <v>7.5246485913234587E-2</v>
      </c>
      <c r="H47" s="17">
        <f>H29</f>
        <v>0.19118855058350359</v>
      </c>
      <c r="I47" s="247"/>
      <c r="J47" s="248"/>
      <c r="K47" s="248"/>
      <c r="L47" s="248"/>
      <c r="M47" s="248"/>
      <c r="N47" s="248"/>
      <c r="O47" s="248"/>
      <c r="Q47" s="5"/>
      <c r="R47" s="5"/>
      <c r="S47" s="5"/>
      <c r="T47" s="5"/>
      <c r="U47" s="5"/>
      <c r="AA47" s="303"/>
      <c r="AB47" s="303"/>
    </row>
    <row r="48" spans="2:42">
      <c r="B48" s="5" t="s">
        <v>618</v>
      </c>
      <c r="C48" s="5"/>
      <c r="D48" s="305">
        <f>D31/D29</f>
        <v>0.95716826276690958</v>
      </c>
      <c r="E48" s="305">
        <f>E31/E29</f>
        <v>0.89088259935861003</v>
      </c>
      <c r="F48" s="305">
        <f>F31/F29</f>
        <v>0.85791177156253662</v>
      </c>
      <c r="G48" s="305">
        <f>G31/G29</f>
        <v>0.82656108784576909</v>
      </c>
      <c r="H48" s="17" t="s">
        <v>607</v>
      </c>
      <c r="I48" s="259"/>
      <c r="J48" s="247"/>
      <c r="K48" s="247"/>
      <c r="L48" s="247"/>
      <c r="M48" s="247"/>
      <c r="N48" s="247"/>
      <c r="O48" s="248"/>
      <c r="Q48" s="5"/>
      <c r="R48" s="5"/>
      <c r="S48" s="5"/>
      <c r="T48" s="5"/>
      <c r="U48" s="5"/>
      <c r="AA48" s="303"/>
      <c r="AB48" s="303"/>
    </row>
    <row r="49" spans="2:28">
      <c r="B49" s="41"/>
      <c r="C49" s="17"/>
      <c r="D49" s="17"/>
      <c r="E49" s="17"/>
      <c r="F49" s="17"/>
      <c r="G49" s="17"/>
      <c r="H49" s="17"/>
      <c r="I49" s="17"/>
      <c r="J49" s="17"/>
      <c r="K49" s="17"/>
      <c r="L49" s="17"/>
      <c r="M49" s="17"/>
      <c r="N49" s="17"/>
      <c r="O49" s="248"/>
      <c r="Q49" s="5"/>
      <c r="R49" s="5"/>
      <c r="S49" s="5"/>
      <c r="T49" s="5"/>
      <c r="U49" s="5"/>
      <c r="W49" s="10"/>
      <c r="X49" s="10"/>
      <c r="AA49" s="303"/>
      <c r="AB49" s="303"/>
    </row>
    <row r="50" spans="2:28">
      <c r="B50" s="5"/>
      <c r="C50" s="257"/>
      <c r="D50" s="257"/>
      <c r="E50" s="257"/>
      <c r="F50" s="5"/>
      <c r="G50" s="41"/>
      <c r="H50" s="249"/>
      <c r="I50" s="259"/>
      <c r="J50" s="249"/>
      <c r="K50" s="249"/>
      <c r="L50" s="249"/>
      <c r="M50" s="249"/>
      <c r="N50" s="249"/>
      <c r="O50" s="250"/>
      <c r="Q50" s="5"/>
      <c r="R50" s="5"/>
      <c r="S50" s="5"/>
      <c r="T50" s="5"/>
      <c r="U50" s="5"/>
      <c r="W50" s="10"/>
      <c r="X50" s="10"/>
      <c r="Y50" s="10"/>
      <c r="Z50" s="10"/>
    </row>
    <row r="51" spans="2:28">
      <c r="B51" s="41"/>
      <c r="C51" s="249"/>
      <c r="D51" s="254"/>
      <c r="E51" s="254"/>
      <c r="F51" s="254"/>
      <c r="G51" s="254"/>
      <c r="H51" s="254"/>
      <c r="I51" s="254"/>
      <c r="J51" s="17"/>
      <c r="K51" s="17"/>
      <c r="L51" s="17"/>
      <c r="M51" s="17"/>
      <c r="N51" s="17"/>
      <c r="O51" s="248"/>
      <c r="Q51" s="5"/>
      <c r="R51" s="5"/>
      <c r="S51" s="5"/>
      <c r="T51" s="5"/>
      <c r="U51" s="5"/>
      <c r="Y51" s="10"/>
      <c r="Z51" s="10"/>
    </row>
    <row r="52" spans="2:28">
      <c r="B52" s="5"/>
      <c r="C52" s="257"/>
      <c r="D52" s="17"/>
      <c r="E52" s="17"/>
      <c r="F52" s="17"/>
      <c r="G52" s="17"/>
      <c r="H52" s="17"/>
      <c r="I52" s="17"/>
      <c r="J52" s="259"/>
      <c r="K52" s="259"/>
      <c r="L52" s="259"/>
      <c r="M52" s="259"/>
      <c r="N52" s="259"/>
      <c r="O52" s="18"/>
      <c r="Q52" s="5"/>
      <c r="R52" s="5"/>
      <c r="S52" s="5"/>
      <c r="T52" s="5"/>
      <c r="U52" s="5"/>
    </row>
    <row r="53" spans="2:28">
      <c r="B53" s="5"/>
      <c r="C53" s="257"/>
      <c r="D53" s="257"/>
      <c r="E53" s="257"/>
      <c r="F53" s="5"/>
      <c r="G53" s="5"/>
      <c r="H53" s="259"/>
      <c r="I53" s="259"/>
      <c r="J53" s="254"/>
      <c r="K53" s="254"/>
      <c r="L53" s="254"/>
      <c r="M53" s="254"/>
      <c r="N53" s="254"/>
      <c r="O53" s="251"/>
      <c r="Q53" s="5"/>
      <c r="R53" s="5"/>
      <c r="S53" s="5"/>
      <c r="T53" s="5"/>
      <c r="U53" s="5"/>
    </row>
    <row r="54" spans="2:28">
      <c r="B54" s="41"/>
      <c r="C54" s="249"/>
      <c r="D54" s="254"/>
      <c r="E54" s="254"/>
      <c r="F54" s="254"/>
      <c r="G54" s="254"/>
      <c r="H54" s="254"/>
      <c r="I54" s="249"/>
      <c r="J54" s="17"/>
      <c r="K54" s="17"/>
      <c r="L54" s="17"/>
      <c r="M54" s="17"/>
      <c r="N54" s="17"/>
      <c r="O54" s="18"/>
      <c r="Q54" s="5"/>
      <c r="R54" s="5"/>
      <c r="S54" s="5"/>
      <c r="T54" s="5"/>
      <c r="U54" s="5"/>
    </row>
    <row r="55" spans="2:28">
      <c r="B55" s="5"/>
      <c r="C55" s="257"/>
      <c r="D55" s="17"/>
      <c r="E55" s="17"/>
      <c r="F55" s="17"/>
      <c r="G55" s="17"/>
      <c r="H55" s="17"/>
      <c r="I55" s="248"/>
      <c r="J55" s="259"/>
      <c r="K55" s="259"/>
      <c r="L55" s="259"/>
      <c r="M55" s="259"/>
      <c r="N55" s="259"/>
      <c r="O55" s="18"/>
      <c r="Q55" s="5"/>
      <c r="R55" s="5"/>
      <c r="S55" s="5"/>
      <c r="T55" s="5"/>
      <c r="U55" s="5"/>
    </row>
    <row r="56" spans="2:28">
      <c r="B56" s="5"/>
      <c r="C56" s="248"/>
      <c r="D56" s="248"/>
      <c r="E56" s="248"/>
      <c r="F56" s="5"/>
      <c r="G56" s="5"/>
      <c r="H56" s="259"/>
      <c r="I56" s="5"/>
      <c r="J56" s="249"/>
      <c r="K56" s="249"/>
      <c r="L56" s="249"/>
      <c r="M56" s="249"/>
      <c r="N56" s="249"/>
      <c r="O56" s="251"/>
      <c r="Q56" s="5"/>
      <c r="R56" s="5"/>
      <c r="S56" s="5"/>
      <c r="T56" s="5"/>
      <c r="U56" s="5"/>
    </row>
    <row r="57" spans="2:28">
      <c r="B57" s="41"/>
      <c r="C57" s="249"/>
      <c r="D57" s="249"/>
      <c r="E57" s="249"/>
      <c r="F57" s="249"/>
      <c r="G57" s="249"/>
      <c r="H57" s="249"/>
      <c r="I57" s="17"/>
      <c r="J57" s="248"/>
      <c r="K57" s="248"/>
      <c r="L57" s="248"/>
      <c r="M57" s="248"/>
      <c r="N57" s="248"/>
      <c r="O57" s="18"/>
      <c r="Q57" s="5"/>
      <c r="R57" s="5"/>
      <c r="S57" s="5"/>
      <c r="T57" s="5"/>
      <c r="U57" s="5"/>
    </row>
    <row r="58" spans="2:28">
      <c r="B58" s="5"/>
      <c r="C58" s="5"/>
      <c r="D58" s="248"/>
      <c r="E58" s="248"/>
      <c r="F58" s="248"/>
      <c r="G58" s="248"/>
      <c r="H58" s="248"/>
      <c r="I58" s="5"/>
      <c r="J58" s="5"/>
      <c r="K58" s="5"/>
      <c r="L58" s="5"/>
      <c r="M58" s="5"/>
      <c r="N58" s="5"/>
      <c r="O58" s="5"/>
      <c r="Q58" s="5"/>
      <c r="R58" s="5"/>
      <c r="S58" s="5"/>
      <c r="T58" s="5"/>
      <c r="U58" s="5"/>
    </row>
    <row r="59" spans="2:28">
      <c r="B59" s="5"/>
      <c r="C59" s="5"/>
      <c r="D59" s="5"/>
      <c r="E59" s="5"/>
      <c r="F59" s="5"/>
      <c r="G59" s="5"/>
      <c r="H59" s="5"/>
      <c r="I59" s="249"/>
      <c r="J59" s="17"/>
      <c r="K59" s="17"/>
      <c r="L59" s="17"/>
      <c r="M59" s="17"/>
      <c r="N59" s="17"/>
      <c r="O59" s="251"/>
      <c r="Q59" s="5"/>
      <c r="R59" s="5"/>
      <c r="S59" s="5"/>
      <c r="T59" s="5"/>
      <c r="U59" s="5"/>
    </row>
    <row r="60" spans="2:28">
      <c r="B60" s="41"/>
      <c r="C60" s="17"/>
      <c r="D60" s="17"/>
      <c r="E60" s="17"/>
      <c r="F60" s="17"/>
      <c r="G60" s="17"/>
      <c r="H60" s="17"/>
      <c r="I60" s="5"/>
      <c r="J60" s="5"/>
      <c r="K60" s="5"/>
      <c r="L60" s="5"/>
      <c r="M60" s="5"/>
      <c r="N60" s="5"/>
      <c r="O60" s="5"/>
      <c r="Q60" s="41"/>
      <c r="R60" s="5"/>
      <c r="S60" s="5"/>
      <c r="T60" s="5"/>
      <c r="U60" s="5"/>
    </row>
    <row r="61" spans="2:28">
      <c r="B61" s="5"/>
      <c r="C61" s="5"/>
      <c r="D61" s="5"/>
      <c r="E61" s="5"/>
      <c r="F61" s="5"/>
      <c r="G61" s="5"/>
      <c r="H61" s="5"/>
      <c r="I61" s="5"/>
      <c r="J61" s="249"/>
      <c r="K61" s="249"/>
      <c r="L61" s="249"/>
      <c r="M61" s="249"/>
      <c r="N61" s="249"/>
      <c r="O61" s="251"/>
      <c r="Q61" s="5"/>
      <c r="R61" s="5"/>
      <c r="S61" s="5"/>
      <c r="T61" s="5"/>
      <c r="U61" s="5"/>
    </row>
    <row r="62" spans="2:28">
      <c r="B62" s="41"/>
      <c r="C62" s="249"/>
      <c r="D62" s="249"/>
      <c r="E62" s="249"/>
      <c r="F62" s="249"/>
      <c r="G62" s="249"/>
      <c r="H62" s="249"/>
      <c r="I62" s="254"/>
      <c r="J62" s="5"/>
      <c r="K62" s="5"/>
      <c r="L62" s="5"/>
      <c r="M62" s="5"/>
      <c r="N62" s="5"/>
      <c r="O62" s="5"/>
      <c r="Q62" s="5"/>
      <c r="R62" s="5"/>
      <c r="S62" s="5"/>
      <c r="T62" s="5"/>
      <c r="U62" s="5"/>
    </row>
    <row r="63" spans="2:28">
      <c r="B63" s="5"/>
      <c r="C63" s="5"/>
      <c r="D63" s="5"/>
      <c r="E63" s="5"/>
      <c r="F63" s="5"/>
      <c r="G63" s="5"/>
      <c r="H63" s="5"/>
      <c r="I63" s="17"/>
      <c r="J63" s="5"/>
      <c r="K63" s="5"/>
      <c r="L63" s="5"/>
      <c r="M63" s="5"/>
      <c r="N63" s="5"/>
      <c r="O63" s="5"/>
      <c r="Q63" s="5"/>
      <c r="R63" s="5"/>
      <c r="S63" s="5"/>
      <c r="T63" s="5"/>
      <c r="U63" s="5"/>
    </row>
    <row r="64" spans="2:28">
      <c r="B64" s="5"/>
      <c r="C64" s="5"/>
      <c r="D64" s="5"/>
      <c r="E64" s="5"/>
      <c r="F64" s="5"/>
      <c r="G64" s="5"/>
      <c r="H64" s="5"/>
      <c r="I64" s="254"/>
      <c r="J64" s="254"/>
      <c r="K64" s="254"/>
      <c r="L64" s="254"/>
      <c r="M64" s="254"/>
      <c r="N64" s="254"/>
      <c r="O64" s="251"/>
      <c r="Q64" s="5"/>
      <c r="R64" s="5"/>
      <c r="S64" s="5"/>
      <c r="T64" s="5"/>
      <c r="U64" s="5"/>
    </row>
    <row r="65" spans="2:26">
      <c r="B65" s="41"/>
      <c r="C65" s="249"/>
      <c r="D65" s="254"/>
      <c r="E65" s="254"/>
      <c r="F65" s="254"/>
      <c r="G65" s="254"/>
      <c r="H65" s="254"/>
      <c r="I65" s="248"/>
      <c r="J65" s="17"/>
      <c r="K65" s="17"/>
      <c r="L65" s="17"/>
      <c r="M65" s="17"/>
      <c r="N65" s="17"/>
      <c r="O65" s="5"/>
      <c r="Q65" s="5"/>
      <c r="R65" s="5"/>
      <c r="S65" s="5"/>
      <c r="T65" s="5"/>
      <c r="U65" s="5"/>
    </row>
    <row r="66" spans="2:26">
      <c r="B66" s="5"/>
      <c r="C66" s="5"/>
      <c r="D66" s="17"/>
      <c r="E66" s="17"/>
      <c r="F66" s="17"/>
      <c r="G66" s="17"/>
      <c r="H66" s="17"/>
      <c r="I66" s="5"/>
      <c r="J66" s="254"/>
      <c r="K66" s="254"/>
      <c r="L66" s="254"/>
      <c r="M66" s="254"/>
      <c r="N66" s="254"/>
      <c r="O66" s="251"/>
      <c r="Q66" s="41"/>
      <c r="R66" s="5"/>
      <c r="S66" s="5"/>
      <c r="T66" s="5"/>
      <c r="U66" s="5"/>
    </row>
    <row r="67" spans="2:26">
      <c r="B67" s="41"/>
      <c r="C67" s="249"/>
      <c r="D67" s="254"/>
      <c r="E67" s="254"/>
      <c r="F67" s="254"/>
      <c r="G67" s="254"/>
      <c r="H67" s="254"/>
      <c r="I67" s="245"/>
      <c r="J67" s="248"/>
      <c r="K67" s="248"/>
      <c r="L67" s="248"/>
      <c r="M67" s="248"/>
      <c r="N67" s="248"/>
      <c r="O67" s="5"/>
      <c r="Q67" s="5"/>
      <c r="R67" s="5"/>
      <c r="S67" s="5"/>
      <c r="T67" s="5"/>
      <c r="U67" s="5"/>
    </row>
    <row r="68" spans="2:26">
      <c r="B68" s="5"/>
      <c r="C68" s="5"/>
      <c r="D68" s="248"/>
      <c r="E68" s="248"/>
      <c r="F68" s="248"/>
      <c r="G68" s="248"/>
      <c r="H68" s="248"/>
      <c r="I68" s="248"/>
      <c r="J68" s="5"/>
      <c r="K68" s="5"/>
      <c r="L68" s="5"/>
      <c r="M68" s="5"/>
      <c r="N68" s="5"/>
      <c r="O68" s="5"/>
      <c r="Q68" s="5"/>
      <c r="R68" s="5"/>
      <c r="S68" s="5"/>
      <c r="T68" s="5"/>
      <c r="U68" s="5"/>
    </row>
    <row r="69" spans="2:26">
      <c r="B69" s="41"/>
      <c r="C69" s="5"/>
      <c r="D69" s="5"/>
      <c r="E69" s="5"/>
      <c r="F69" s="5"/>
      <c r="G69" s="5"/>
      <c r="H69" s="5"/>
      <c r="I69" s="5"/>
      <c r="J69" s="245"/>
      <c r="K69" s="245"/>
      <c r="L69" s="245"/>
      <c r="M69" s="245"/>
      <c r="N69" s="245"/>
      <c r="O69" s="251"/>
      <c r="Q69" s="5"/>
      <c r="R69" s="5"/>
      <c r="S69" s="5"/>
      <c r="T69" s="5"/>
      <c r="U69" s="5"/>
      <c r="W69" s="76"/>
      <c r="X69" s="76"/>
    </row>
    <row r="70" spans="2:26">
      <c r="B70" s="41"/>
      <c r="C70" s="245"/>
      <c r="D70" s="245"/>
      <c r="E70" s="245"/>
      <c r="F70" s="245"/>
      <c r="G70" s="245"/>
      <c r="H70" s="245"/>
      <c r="I70" s="245"/>
      <c r="J70" s="248"/>
      <c r="K70" s="248"/>
      <c r="L70" s="248"/>
      <c r="M70" s="248"/>
      <c r="N70" s="248"/>
      <c r="O70" s="5"/>
      <c r="Q70" s="5"/>
      <c r="R70" s="5"/>
      <c r="S70" s="5"/>
      <c r="T70" s="5"/>
      <c r="U70" s="5"/>
      <c r="W70" s="76"/>
      <c r="X70" s="76"/>
      <c r="Y70" s="76"/>
      <c r="Z70" s="76"/>
    </row>
    <row r="71" spans="2:26">
      <c r="B71" s="5"/>
      <c r="C71" s="5"/>
      <c r="D71" s="248"/>
      <c r="E71" s="248"/>
      <c r="F71" s="248"/>
      <c r="G71" s="248"/>
      <c r="H71" s="248"/>
      <c r="I71" s="18"/>
      <c r="J71" s="5"/>
      <c r="K71" s="5"/>
      <c r="L71" s="5"/>
      <c r="M71" s="5"/>
      <c r="N71" s="5"/>
      <c r="O71" s="5"/>
      <c r="Q71" s="5"/>
      <c r="R71" s="5"/>
      <c r="S71" s="5"/>
      <c r="T71" s="5"/>
      <c r="U71" s="5"/>
      <c r="Y71" s="76"/>
      <c r="Z71" s="76"/>
    </row>
    <row r="72" spans="2:26">
      <c r="B72" s="41"/>
      <c r="C72" s="5"/>
      <c r="D72" s="5"/>
      <c r="E72" s="5"/>
      <c r="F72" s="5"/>
      <c r="G72" s="5"/>
      <c r="H72" s="5"/>
      <c r="I72" s="5"/>
      <c r="J72" s="245"/>
      <c r="K72" s="245"/>
      <c r="L72" s="245"/>
      <c r="M72" s="245"/>
      <c r="N72" s="245"/>
      <c r="O72" s="251"/>
      <c r="Q72" s="5"/>
      <c r="R72" s="5"/>
      <c r="S72" s="5"/>
      <c r="T72" s="5"/>
      <c r="U72" s="5"/>
    </row>
    <row r="73" spans="2:26">
      <c r="B73" s="41"/>
      <c r="C73" s="245"/>
      <c r="D73" s="245"/>
      <c r="E73" s="245"/>
      <c r="F73" s="245"/>
      <c r="G73" s="245"/>
      <c r="H73" s="245"/>
      <c r="I73" s="249"/>
      <c r="J73" s="18"/>
      <c r="K73" s="18"/>
      <c r="L73" s="18"/>
      <c r="M73" s="18"/>
      <c r="N73" s="18"/>
      <c r="O73" s="5"/>
      <c r="Q73" s="5"/>
      <c r="R73" s="5"/>
      <c r="S73" s="5"/>
      <c r="T73" s="5"/>
      <c r="U73" s="5"/>
    </row>
    <row r="74" spans="2:26">
      <c r="B74" s="5"/>
      <c r="C74" s="5"/>
      <c r="D74" s="18"/>
      <c r="E74" s="18"/>
      <c r="F74" s="18"/>
      <c r="G74" s="18"/>
      <c r="H74" s="18"/>
      <c r="I74" s="248"/>
      <c r="J74" s="5"/>
      <c r="K74" s="5"/>
      <c r="L74" s="5"/>
      <c r="M74" s="5"/>
      <c r="N74" s="5"/>
      <c r="O74" s="5"/>
      <c r="Q74" s="5"/>
      <c r="R74" s="5"/>
      <c r="S74" s="5"/>
      <c r="T74" s="5"/>
      <c r="U74" s="5"/>
    </row>
    <row r="75" spans="2:26">
      <c r="B75" s="41"/>
      <c r="C75" s="5"/>
      <c r="D75" s="5"/>
      <c r="E75" s="5"/>
      <c r="F75" s="5"/>
      <c r="G75" s="5"/>
      <c r="H75" s="5"/>
      <c r="I75" s="5"/>
      <c r="J75" s="249"/>
      <c r="K75" s="249"/>
      <c r="L75" s="249"/>
      <c r="M75" s="249"/>
      <c r="N75" s="249"/>
      <c r="O75" s="251"/>
      <c r="Q75" s="5"/>
      <c r="R75" s="5"/>
      <c r="S75" s="5"/>
      <c r="T75" s="5"/>
      <c r="U75" s="5"/>
    </row>
    <row r="76" spans="2:26">
      <c r="B76" s="41"/>
      <c r="C76" s="249"/>
      <c r="D76" s="249"/>
      <c r="E76" s="249"/>
      <c r="F76" s="249"/>
      <c r="G76" s="249"/>
      <c r="H76" s="249"/>
      <c r="I76" s="245"/>
      <c r="J76" s="248"/>
      <c r="K76" s="248"/>
      <c r="L76" s="248"/>
      <c r="M76" s="248"/>
      <c r="N76" s="248"/>
      <c r="O76" s="5"/>
      <c r="Q76" s="5"/>
      <c r="R76" s="5"/>
      <c r="S76" s="5"/>
      <c r="T76" s="5"/>
      <c r="U76" s="5"/>
    </row>
    <row r="77" spans="2:26">
      <c r="B77" s="5"/>
      <c r="C77" s="5"/>
      <c r="D77" s="248"/>
      <c r="E77" s="248"/>
      <c r="F77" s="248"/>
      <c r="G77" s="248"/>
      <c r="H77" s="248"/>
      <c r="I77" s="248"/>
      <c r="J77" s="5"/>
      <c r="K77" s="5"/>
      <c r="L77" s="5"/>
      <c r="M77" s="5"/>
      <c r="N77" s="5"/>
      <c r="O77" s="5"/>
      <c r="Q77" s="5"/>
      <c r="R77" s="5"/>
      <c r="S77" s="5"/>
      <c r="T77" s="5"/>
      <c r="U77" s="5"/>
    </row>
    <row r="78" spans="2:26">
      <c r="B78" s="41"/>
      <c r="C78" s="5"/>
      <c r="D78" s="5"/>
      <c r="E78" s="5"/>
      <c r="F78" s="5"/>
      <c r="G78" s="5"/>
      <c r="H78" s="5"/>
      <c r="I78" s="5"/>
      <c r="J78" s="245"/>
      <c r="K78" s="245"/>
      <c r="L78" s="245"/>
      <c r="M78" s="245"/>
      <c r="N78" s="245"/>
      <c r="O78" s="251"/>
      <c r="Q78" s="5"/>
      <c r="R78" s="5"/>
      <c r="S78" s="5"/>
      <c r="T78" s="5"/>
      <c r="U78" s="5"/>
    </row>
    <row r="79" spans="2:26">
      <c r="B79" s="41"/>
      <c r="C79" s="245"/>
      <c r="D79" s="245"/>
      <c r="E79" s="245"/>
      <c r="F79" s="245"/>
      <c r="G79" s="245"/>
      <c r="H79" s="245"/>
      <c r="I79" s="249"/>
      <c r="J79" s="248"/>
      <c r="K79" s="248"/>
      <c r="L79" s="248"/>
      <c r="M79" s="248"/>
      <c r="N79" s="248"/>
      <c r="O79" s="5"/>
      <c r="Q79" s="5"/>
      <c r="R79" s="5"/>
      <c r="S79" s="5"/>
      <c r="T79" s="5"/>
      <c r="U79" s="5"/>
    </row>
    <row r="80" spans="2:26">
      <c r="B80" s="5"/>
      <c r="C80" s="5"/>
      <c r="D80" s="248"/>
      <c r="E80" s="248"/>
      <c r="F80" s="248"/>
      <c r="G80" s="248"/>
      <c r="H80" s="248"/>
      <c r="I80" s="248"/>
      <c r="J80" s="5"/>
      <c r="K80" s="5"/>
      <c r="L80" s="5"/>
      <c r="M80" s="5"/>
      <c r="N80" s="5"/>
      <c r="O80" s="5"/>
      <c r="Q80" s="5"/>
      <c r="R80" s="5"/>
      <c r="S80" s="5"/>
      <c r="T80" s="5"/>
      <c r="U80" s="5"/>
    </row>
    <row r="81" spans="2:26">
      <c r="B81" s="41"/>
      <c r="C81" s="5"/>
      <c r="D81" s="5"/>
      <c r="E81" s="5"/>
      <c r="F81" s="5"/>
      <c r="G81" s="5"/>
      <c r="H81" s="5"/>
      <c r="I81" s="259"/>
      <c r="J81" s="249"/>
      <c r="K81" s="249"/>
      <c r="L81" s="249"/>
      <c r="M81" s="249"/>
      <c r="N81" s="249"/>
      <c r="O81" s="251"/>
      <c r="Q81" s="5"/>
      <c r="R81" s="5"/>
      <c r="S81" s="5"/>
      <c r="T81" s="5"/>
      <c r="U81" s="5"/>
    </row>
    <row r="82" spans="2:26">
      <c r="B82" s="41"/>
      <c r="C82" s="249"/>
      <c r="D82" s="249"/>
      <c r="E82" s="249"/>
      <c r="F82" s="249"/>
      <c r="G82" s="249"/>
      <c r="H82" s="249"/>
      <c r="I82" s="5"/>
      <c r="J82" s="248"/>
      <c r="K82" s="248"/>
      <c r="L82" s="248"/>
      <c r="M82" s="248"/>
      <c r="N82" s="248"/>
      <c r="O82" s="5"/>
      <c r="Q82" s="5"/>
      <c r="R82" s="5"/>
      <c r="S82" s="5"/>
      <c r="T82" s="5"/>
      <c r="U82" s="5"/>
    </row>
    <row r="83" spans="2:26">
      <c r="B83" s="5"/>
      <c r="C83" s="5"/>
      <c r="D83" s="248"/>
      <c r="E83" s="248"/>
      <c r="F83" s="248"/>
      <c r="G83" s="248"/>
      <c r="H83" s="248"/>
      <c r="I83" s="245"/>
      <c r="J83" s="259"/>
      <c r="K83" s="259"/>
      <c r="L83" s="259"/>
      <c r="M83" s="259"/>
      <c r="N83" s="259"/>
      <c r="O83" s="251"/>
      <c r="Q83" s="5"/>
      <c r="R83" s="5"/>
      <c r="S83" s="5"/>
      <c r="T83" s="5"/>
      <c r="U83" s="5"/>
    </row>
    <row r="84" spans="2:26">
      <c r="B84" s="5"/>
      <c r="C84" s="259"/>
      <c r="D84" s="259"/>
      <c r="E84" s="259"/>
      <c r="F84" s="259"/>
      <c r="G84" s="259"/>
      <c r="H84" s="259"/>
      <c r="I84" s="248"/>
      <c r="J84" s="5"/>
      <c r="K84" s="5"/>
      <c r="L84" s="5"/>
      <c r="M84" s="5"/>
      <c r="N84" s="5"/>
      <c r="O84" s="5"/>
      <c r="Q84" s="5"/>
      <c r="R84" s="5"/>
      <c r="S84" s="5"/>
      <c r="T84" s="5"/>
      <c r="U84" s="5"/>
    </row>
    <row r="85" spans="2:26">
      <c r="B85" s="41"/>
      <c r="C85" s="5"/>
      <c r="D85" s="5"/>
      <c r="E85" s="5"/>
      <c r="F85" s="5"/>
      <c r="G85" s="5"/>
      <c r="H85" s="5"/>
      <c r="I85" s="5"/>
      <c r="J85" s="245"/>
      <c r="K85" s="245"/>
      <c r="L85" s="245"/>
      <c r="M85" s="245"/>
      <c r="N85" s="245"/>
      <c r="O85" s="251"/>
      <c r="Q85" s="5"/>
      <c r="R85" s="5"/>
      <c r="S85" s="5"/>
      <c r="T85" s="5"/>
      <c r="U85" s="5"/>
    </row>
    <row r="86" spans="2:26">
      <c r="B86" s="41"/>
      <c r="C86" s="245"/>
      <c r="D86" s="245"/>
      <c r="E86" s="245"/>
      <c r="F86" s="245"/>
      <c r="G86" s="245"/>
      <c r="H86" s="245"/>
      <c r="I86" s="5"/>
      <c r="J86" s="248"/>
      <c r="K86" s="248"/>
      <c r="L86" s="248"/>
      <c r="M86" s="248"/>
      <c r="N86" s="248"/>
      <c r="O86" s="5"/>
      <c r="Q86" s="5"/>
      <c r="R86" s="5"/>
      <c r="S86" s="5"/>
      <c r="T86" s="5"/>
      <c r="U86" s="5"/>
    </row>
    <row r="87" spans="2:26">
      <c r="B87" s="5"/>
      <c r="C87" s="5"/>
      <c r="D87" s="248"/>
      <c r="E87" s="248"/>
      <c r="F87" s="248"/>
      <c r="G87" s="248"/>
      <c r="H87" s="248"/>
      <c r="I87" s="5"/>
      <c r="J87" s="5"/>
      <c r="K87" s="5"/>
      <c r="L87" s="5"/>
      <c r="M87" s="5"/>
      <c r="N87" s="5"/>
      <c r="O87" s="5"/>
      <c r="Q87" s="5"/>
      <c r="R87" s="5"/>
      <c r="S87" s="5"/>
      <c r="T87" s="5"/>
      <c r="U87" s="5"/>
    </row>
    <row r="88" spans="2:26">
      <c r="B88" s="41"/>
      <c r="C88" s="5"/>
      <c r="D88" s="5"/>
      <c r="E88" s="5"/>
      <c r="F88" s="5"/>
      <c r="G88" s="5"/>
      <c r="H88" s="5"/>
      <c r="I88" s="5"/>
      <c r="J88" s="5"/>
      <c r="K88" s="5"/>
      <c r="L88" s="5"/>
      <c r="M88" s="5"/>
      <c r="N88" s="5"/>
      <c r="O88" s="5"/>
      <c r="Q88" s="5"/>
      <c r="R88" s="5"/>
      <c r="S88" s="5"/>
      <c r="T88" s="5"/>
      <c r="U88" s="5"/>
    </row>
    <row r="89" spans="2:26">
      <c r="B89" s="41"/>
      <c r="C89" s="5"/>
      <c r="D89" s="5"/>
      <c r="E89" s="5"/>
      <c r="F89" s="5"/>
      <c r="G89" s="5"/>
      <c r="H89" s="5"/>
      <c r="I89" s="49"/>
      <c r="J89" s="5"/>
      <c r="K89" s="5"/>
      <c r="L89" s="5"/>
      <c r="M89" s="5"/>
      <c r="N89" s="5"/>
      <c r="O89" s="5"/>
      <c r="Q89" s="41"/>
      <c r="R89" s="5"/>
      <c r="S89" s="5"/>
      <c r="T89" s="5"/>
      <c r="U89" s="5"/>
    </row>
    <row r="90" spans="2:26">
      <c r="B90" s="41"/>
      <c r="C90" s="5"/>
      <c r="D90" s="5"/>
      <c r="E90" s="5"/>
      <c r="F90" s="5"/>
      <c r="G90" s="5"/>
      <c r="H90" s="5"/>
      <c r="I90" s="5"/>
      <c r="J90" s="5"/>
      <c r="K90" s="5"/>
      <c r="L90" s="5"/>
      <c r="M90" s="5"/>
      <c r="N90" s="5"/>
      <c r="O90" s="5"/>
      <c r="Q90" s="5"/>
      <c r="R90" s="5"/>
      <c r="S90" s="5"/>
      <c r="T90" s="5"/>
      <c r="U90" s="5"/>
    </row>
    <row r="91" spans="2:26">
      <c r="B91" s="5"/>
      <c r="C91" s="5"/>
      <c r="D91" s="5"/>
      <c r="E91" s="5"/>
      <c r="F91" s="5"/>
      <c r="G91" s="5"/>
      <c r="H91" s="5"/>
      <c r="I91" s="247"/>
      <c r="J91" s="49"/>
      <c r="K91" s="49"/>
      <c r="L91" s="49"/>
      <c r="M91" s="49"/>
      <c r="N91" s="49"/>
      <c r="O91" s="49"/>
      <c r="Q91" s="5"/>
      <c r="R91" s="5"/>
      <c r="S91" s="5"/>
      <c r="T91" s="5"/>
      <c r="U91" s="5"/>
      <c r="W91" s="21"/>
      <c r="X91" s="21"/>
    </row>
    <row r="92" spans="2:26">
      <c r="B92" s="41"/>
      <c r="C92" s="49"/>
      <c r="D92" s="49"/>
      <c r="E92" s="49"/>
      <c r="F92" s="49"/>
      <c r="G92" s="49"/>
      <c r="H92" s="49"/>
      <c r="I92" s="247"/>
      <c r="J92" s="5"/>
      <c r="K92" s="5"/>
      <c r="L92" s="5"/>
      <c r="M92" s="5"/>
      <c r="N92" s="5"/>
      <c r="O92" s="5"/>
      <c r="Q92" s="5"/>
      <c r="R92" s="5"/>
      <c r="S92" s="5"/>
      <c r="T92" s="5"/>
      <c r="U92" s="5"/>
      <c r="W92" s="21"/>
      <c r="X92" s="21"/>
      <c r="Y92" s="21"/>
      <c r="Z92" s="21"/>
    </row>
    <row r="93" spans="2:26">
      <c r="B93" s="5"/>
      <c r="C93" s="5"/>
      <c r="D93" s="5"/>
      <c r="E93" s="5"/>
      <c r="F93" s="5"/>
      <c r="G93" s="5"/>
      <c r="H93" s="5"/>
      <c r="I93" s="247"/>
      <c r="J93" s="247"/>
      <c r="K93" s="247"/>
      <c r="L93" s="247"/>
      <c r="M93" s="247"/>
      <c r="N93" s="247"/>
      <c r="O93" s="248"/>
      <c r="Q93" s="5"/>
      <c r="R93" s="5"/>
      <c r="S93" s="5"/>
      <c r="T93" s="5"/>
      <c r="U93" s="5"/>
      <c r="Y93" s="21"/>
      <c r="Z93" s="21"/>
    </row>
    <row r="94" spans="2:26">
      <c r="B94" s="5"/>
      <c r="C94" s="259"/>
      <c r="D94" s="247"/>
      <c r="E94" s="247"/>
      <c r="F94" s="247"/>
      <c r="G94" s="247"/>
      <c r="H94" s="247"/>
      <c r="I94" s="248"/>
      <c r="J94" s="247"/>
      <c r="K94" s="247"/>
      <c r="L94" s="247"/>
      <c r="M94" s="247"/>
      <c r="N94" s="247"/>
      <c r="O94" s="248"/>
      <c r="Q94" s="5"/>
      <c r="R94" s="5"/>
      <c r="S94" s="5"/>
      <c r="T94" s="5"/>
      <c r="U94" s="5"/>
    </row>
    <row r="95" spans="2:26">
      <c r="B95" s="5"/>
      <c r="C95" s="259"/>
      <c r="D95" s="247"/>
      <c r="E95" s="247"/>
      <c r="F95" s="247"/>
      <c r="G95" s="247"/>
      <c r="H95" s="247"/>
      <c r="I95" s="247"/>
      <c r="J95" s="247"/>
      <c r="K95" s="247"/>
      <c r="L95" s="247"/>
      <c r="M95" s="247"/>
      <c r="N95" s="247"/>
      <c r="O95" s="248"/>
      <c r="Q95" s="5"/>
      <c r="R95" s="5"/>
      <c r="S95" s="5"/>
      <c r="T95" s="5"/>
      <c r="U95" s="5"/>
    </row>
    <row r="96" spans="2:26">
      <c r="B96" s="5"/>
      <c r="C96" s="259"/>
      <c r="D96" s="247"/>
      <c r="E96" s="247"/>
      <c r="F96" s="247"/>
      <c r="G96" s="247"/>
      <c r="H96" s="247"/>
      <c r="I96" s="249"/>
      <c r="J96" s="248"/>
      <c r="K96" s="248"/>
      <c r="L96" s="248"/>
      <c r="M96" s="248"/>
      <c r="N96" s="248"/>
      <c r="O96" s="248"/>
      <c r="Q96" s="5"/>
      <c r="R96" s="5"/>
      <c r="S96" s="5"/>
      <c r="T96" s="5"/>
      <c r="U96" s="5"/>
    </row>
    <row r="97" spans="2:21">
      <c r="B97" s="5"/>
      <c r="C97" s="259"/>
      <c r="D97" s="248"/>
      <c r="E97" s="248"/>
      <c r="F97" s="248"/>
      <c r="G97" s="248"/>
      <c r="H97" s="248"/>
      <c r="I97" s="248"/>
      <c r="J97" s="247"/>
      <c r="K97" s="247"/>
      <c r="L97" s="247"/>
      <c r="M97" s="247"/>
      <c r="N97" s="247"/>
      <c r="O97" s="248"/>
      <c r="Q97" s="5"/>
      <c r="R97" s="5"/>
      <c r="S97" s="5"/>
      <c r="T97" s="5"/>
      <c r="U97" s="5"/>
    </row>
    <row r="98" spans="2:21">
      <c r="B98" s="5"/>
      <c r="C98" s="259"/>
      <c r="D98" s="247"/>
      <c r="E98" s="247"/>
      <c r="F98" s="247"/>
      <c r="G98" s="247"/>
      <c r="H98" s="247"/>
      <c r="I98" s="5"/>
      <c r="J98" s="249"/>
      <c r="K98" s="249"/>
      <c r="L98" s="249"/>
      <c r="M98" s="249"/>
      <c r="N98" s="249"/>
      <c r="O98" s="248"/>
      <c r="Q98" s="5"/>
      <c r="R98" s="5"/>
      <c r="S98" s="5"/>
      <c r="T98" s="5"/>
      <c r="U98" s="5"/>
    </row>
    <row r="99" spans="2:21">
      <c r="B99" s="41"/>
      <c r="C99" s="249"/>
      <c r="D99" s="249"/>
      <c r="E99" s="249"/>
      <c r="F99" s="249"/>
      <c r="G99" s="249"/>
      <c r="H99" s="249"/>
      <c r="I99" s="259"/>
      <c r="J99" s="248"/>
      <c r="K99" s="248"/>
      <c r="L99" s="248"/>
      <c r="M99" s="248"/>
      <c r="N99" s="248"/>
      <c r="O99" s="248"/>
      <c r="Q99" s="5"/>
      <c r="R99" s="5"/>
      <c r="S99" s="5"/>
      <c r="T99" s="5"/>
      <c r="U99" s="5"/>
    </row>
    <row r="100" spans="2:21" s="5" customFormat="1">
      <c r="B100" s="41"/>
      <c r="C100" s="257"/>
      <c r="D100" s="248"/>
      <c r="E100" s="248"/>
      <c r="F100" s="248"/>
      <c r="G100" s="248"/>
      <c r="H100" s="248"/>
      <c r="I100" s="259"/>
      <c r="O100" s="248"/>
      <c r="P100" s="39"/>
    </row>
    <row r="101" spans="2:21">
      <c r="B101" s="41"/>
      <c r="C101" s="5"/>
      <c r="D101" s="5"/>
      <c r="E101" s="5"/>
      <c r="F101" s="5"/>
      <c r="G101" s="5"/>
      <c r="H101" s="5"/>
      <c r="I101" s="247"/>
      <c r="J101" s="259"/>
      <c r="K101" s="259"/>
      <c r="L101" s="259"/>
      <c r="M101" s="259"/>
      <c r="N101" s="259"/>
      <c r="O101" s="5"/>
      <c r="Q101" s="5"/>
      <c r="R101" s="5"/>
      <c r="S101" s="5"/>
      <c r="T101" s="5"/>
      <c r="U101" s="5"/>
    </row>
    <row r="102" spans="2:21">
      <c r="B102" s="5"/>
      <c r="C102" s="259"/>
      <c r="D102" s="259"/>
      <c r="E102" s="259"/>
      <c r="F102" s="259"/>
      <c r="G102" s="259"/>
      <c r="H102" s="259"/>
      <c r="I102" s="5"/>
      <c r="J102" s="259"/>
      <c r="K102" s="259"/>
      <c r="L102" s="259"/>
      <c r="M102" s="259"/>
      <c r="N102" s="259"/>
      <c r="O102" s="5"/>
      <c r="P102" s="5"/>
      <c r="Q102" s="5"/>
      <c r="R102" s="5"/>
      <c r="S102" s="5"/>
      <c r="T102" s="5"/>
      <c r="U102" s="5"/>
    </row>
    <row r="103" spans="2:21">
      <c r="B103" s="5"/>
      <c r="C103" s="259"/>
      <c r="D103" s="259"/>
      <c r="E103" s="259"/>
      <c r="F103" s="259"/>
      <c r="G103" s="259"/>
      <c r="H103" s="259"/>
      <c r="I103" s="247"/>
      <c r="J103" s="247"/>
      <c r="K103" s="247"/>
      <c r="L103" s="247"/>
      <c r="M103" s="247"/>
      <c r="N103" s="247"/>
      <c r="O103" s="5"/>
      <c r="Q103" s="5"/>
      <c r="R103" s="5"/>
      <c r="S103" s="5"/>
      <c r="T103" s="5"/>
      <c r="U103" s="5"/>
    </row>
    <row r="104" spans="2:21" s="5" customFormat="1">
      <c r="C104" s="247"/>
      <c r="D104" s="247"/>
      <c r="E104" s="247"/>
      <c r="F104" s="247"/>
      <c r="G104" s="247"/>
      <c r="H104" s="247"/>
      <c r="P104" s="39"/>
    </row>
    <row r="105" spans="2:21" s="5" customFormat="1">
      <c r="I105" s="259"/>
      <c r="J105" s="247"/>
      <c r="K105" s="247"/>
      <c r="L105" s="247"/>
      <c r="M105" s="247"/>
      <c r="N105" s="247"/>
      <c r="P105" s="39"/>
    </row>
    <row r="106" spans="2:21">
      <c r="B106" s="5"/>
      <c r="C106" s="259"/>
      <c r="D106" s="247"/>
      <c r="E106" s="247"/>
      <c r="F106" s="247"/>
      <c r="G106" s="247"/>
      <c r="H106" s="247"/>
      <c r="I106" s="247"/>
      <c r="J106" s="5"/>
      <c r="K106" s="5"/>
      <c r="L106" s="5"/>
      <c r="M106" s="5"/>
      <c r="N106" s="5"/>
      <c r="O106" s="5"/>
      <c r="P106" s="5"/>
      <c r="Q106" s="5"/>
      <c r="R106" s="5"/>
      <c r="S106" s="5"/>
      <c r="T106" s="5"/>
      <c r="U106" s="5"/>
    </row>
    <row r="107" spans="2:21">
      <c r="B107" s="5"/>
      <c r="C107" s="259"/>
      <c r="D107" s="5"/>
      <c r="E107" s="5"/>
      <c r="F107" s="5"/>
      <c r="G107" s="5"/>
      <c r="H107" s="5"/>
      <c r="I107" s="249"/>
      <c r="J107" s="259"/>
      <c r="K107" s="259"/>
      <c r="L107" s="259"/>
      <c r="M107" s="259"/>
      <c r="N107" s="259"/>
      <c r="O107" s="5"/>
      <c r="P107" s="5"/>
      <c r="Q107" s="5"/>
      <c r="R107" s="5"/>
      <c r="S107" s="5"/>
      <c r="T107" s="5"/>
      <c r="U107" s="5"/>
    </row>
    <row r="108" spans="2:21">
      <c r="B108" s="5"/>
      <c r="C108" s="259"/>
      <c r="D108" s="259"/>
      <c r="E108" s="259"/>
      <c r="F108" s="259"/>
      <c r="G108" s="259"/>
      <c r="H108" s="259"/>
      <c r="I108" s="249"/>
      <c r="J108" s="247"/>
      <c r="K108" s="247"/>
      <c r="L108" s="247"/>
      <c r="M108" s="247"/>
      <c r="N108" s="247"/>
      <c r="O108" s="5"/>
      <c r="Q108" s="5"/>
      <c r="R108" s="5"/>
      <c r="S108" s="5"/>
      <c r="T108" s="5"/>
      <c r="U108" s="5"/>
    </row>
    <row r="109" spans="2:21">
      <c r="B109" s="5"/>
      <c r="C109" s="247"/>
      <c r="D109" s="247"/>
      <c r="E109" s="247"/>
      <c r="F109" s="247"/>
      <c r="G109" s="247"/>
      <c r="H109" s="247"/>
      <c r="I109" s="247"/>
      <c r="J109" s="249"/>
      <c r="K109" s="249"/>
      <c r="L109" s="249"/>
      <c r="M109" s="249"/>
      <c r="N109" s="249"/>
      <c r="O109" s="5"/>
      <c r="Q109" s="5"/>
      <c r="R109" s="5"/>
      <c r="S109" s="5"/>
      <c r="T109" s="5"/>
      <c r="U109" s="5"/>
    </row>
    <row r="110" spans="2:21">
      <c r="B110" s="41"/>
      <c r="C110" s="249"/>
      <c r="D110" s="249"/>
      <c r="E110" s="249"/>
      <c r="F110" s="249"/>
      <c r="G110" s="249"/>
      <c r="H110" s="249"/>
      <c r="I110" s="5"/>
      <c r="J110" s="249"/>
      <c r="K110" s="249"/>
      <c r="L110" s="249"/>
      <c r="M110" s="249"/>
      <c r="N110" s="249"/>
      <c r="O110" s="5"/>
      <c r="Q110" s="5"/>
      <c r="R110" s="5"/>
      <c r="S110" s="5"/>
      <c r="T110" s="5"/>
      <c r="U110" s="5"/>
    </row>
    <row r="111" spans="2:21">
      <c r="B111" s="5"/>
      <c r="C111" s="249"/>
      <c r="D111" s="249"/>
      <c r="E111" s="249"/>
      <c r="F111" s="249"/>
      <c r="G111" s="249"/>
      <c r="H111" s="249"/>
      <c r="I111" s="5"/>
      <c r="J111" s="247"/>
      <c r="K111" s="247"/>
      <c r="L111" s="247"/>
      <c r="M111" s="247"/>
      <c r="N111" s="247"/>
      <c r="O111" s="5"/>
      <c r="Q111" s="5"/>
      <c r="R111" s="5"/>
      <c r="S111" s="5"/>
      <c r="T111" s="5"/>
      <c r="U111" s="5"/>
    </row>
    <row r="112" spans="2:21">
      <c r="B112" s="5"/>
      <c r="C112" s="247"/>
      <c r="D112" s="247"/>
      <c r="E112" s="247"/>
      <c r="F112" s="247"/>
      <c r="G112" s="247"/>
      <c r="H112" s="247"/>
      <c r="I112" s="5"/>
      <c r="J112" s="5"/>
      <c r="K112" s="5"/>
      <c r="L112" s="5"/>
      <c r="M112" s="5"/>
      <c r="N112" s="5"/>
      <c r="O112" s="5"/>
      <c r="Q112" s="5"/>
      <c r="R112" s="5"/>
      <c r="S112" s="5"/>
      <c r="T112" s="5"/>
      <c r="U112" s="5"/>
    </row>
    <row r="113" spans="2:21">
      <c r="B113" s="5"/>
      <c r="C113" s="5"/>
      <c r="D113" s="5"/>
      <c r="E113" s="5"/>
      <c r="F113" s="5"/>
      <c r="G113" s="5"/>
      <c r="H113" s="5"/>
      <c r="I113" s="5"/>
      <c r="J113" s="5"/>
      <c r="K113" s="5"/>
      <c r="L113" s="5"/>
      <c r="M113" s="5"/>
      <c r="N113" s="5"/>
      <c r="O113" s="5"/>
      <c r="Q113" s="5"/>
      <c r="R113" s="5"/>
      <c r="S113" s="5"/>
      <c r="T113" s="5"/>
      <c r="U113" s="5"/>
    </row>
    <row r="114" spans="2:21">
      <c r="B114" s="5"/>
      <c r="C114" s="5"/>
      <c r="D114" s="5"/>
      <c r="E114" s="5"/>
      <c r="F114" s="5"/>
      <c r="G114" s="5"/>
      <c r="H114" s="5"/>
      <c r="I114" s="49"/>
      <c r="J114" s="5"/>
      <c r="K114" s="5"/>
      <c r="L114" s="5"/>
      <c r="M114" s="5"/>
      <c r="N114" s="5"/>
      <c r="O114" s="5"/>
      <c r="Q114" s="41"/>
      <c r="R114" s="5"/>
      <c r="S114" s="5"/>
      <c r="T114" s="5"/>
      <c r="U114" s="5"/>
    </row>
    <row r="115" spans="2:21">
      <c r="B115" s="5"/>
      <c r="C115" s="5"/>
      <c r="D115" s="5"/>
      <c r="E115" s="5"/>
      <c r="F115" s="5"/>
      <c r="G115" s="5"/>
      <c r="H115" s="5"/>
      <c r="I115" s="5"/>
      <c r="J115" s="5"/>
      <c r="K115" s="5"/>
      <c r="L115" s="5"/>
      <c r="M115" s="5"/>
      <c r="N115" s="5"/>
      <c r="O115" s="5"/>
      <c r="Q115" s="5"/>
      <c r="R115" s="5"/>
      <c r="S115" s="5"/>
      <c r="T115" s="5"/>
      <c r="U115" s="5"/>
    </row>
    <row r="116" spans="2:21">
      <c r="B116" s="5"/>
      <c r="C116" s="5"/>
      <c r="D116" s="5"/>
      <c r="E116" s="5"/>
      <c r="F116" s="5"/>
      <c r="G116" s="5"/>
      <c r="H116" s="5"/>
      <c r="I116" s="254"/>
      <c r="J116" s="49"/>
      <c r="K116" s="49"/>
      <c r="L116" s="49"/>
      <c r="M116" s="49"/>
      <c r="N116" s="49"/>
      <c r="O116" s="49"/>
      <c r="Q116" s="5"/>
      <c r="R116" s="5"/>
      <c r="S116" s="5"/>
      <c r="T116" s="5"/>
      <c r="U116" s="5"/>
    </row>
    <row r="117" spans="2:21">
      <c r="B117" s="41"/>
      <c r="C117" s="49"/>
      <c r="D117" s="49"/>
      <c r="E117" s="49"/>
      <c r="F117" s="49"/>
      <c r="G117" s="49"/>
      <c r="H117" s="49"/>
      <c r="I117" s="249"/>
      <c r="J117" s="5"/>
      <c r="K117" s="5"/>
      <c r="L117" s="5"/>
      <c r="M117" s="5"/>
      <c r="N117" s="5"/>
      <c r="O117" s="5"/>
      <c r="Q117" s="5"/>
      <c r="R117" s="5"/>
      <c r="S117" s="5"/>
      <c r="T117" s="5"/>
      <c r="U117" s="5"/>
    </row>
    <row r="118" spans="2:21">
      <c r="B118" s="5"/>
      <c r="C118" s="5"/>
      <c r="D118" s="5"/>
      <c r="E118" s="5"/>
      <c r="F118" s="5"/>
      <c r="G118" s="5"/>
      <c r="H118" s="5"/>
      <c r="I118" s="254"/>
      <c r="J118" s="254"/>
      <c r="K118" s="254"/>
      <c r="L118" s="254"/>
      <c r="M118" s="254"/>
      <c r="N118" s="254"/>
      <c r="O118" s="248"/>
      <c r="Q118" s="5"/>
      <c r="R118" s="5"/>
      <c r="S118" s="5"/>
      <c r="T118" s="5"/>
      <c r="U118" s="5"/>
    </row>
    <row r="119" spans="2:21">
      <c r="B119" s="41"/>
      <c r="C119" s="254"/>
      <c r="D119" s="254"/>
      <c r="E119" s="254"/>
      <c r="F119" s="254"/>
      <c r="G119" s="254"/>
      <c r="H119" s="254"/>
      <c r="I119" s="254"/>
      <c r="J119" s="249"/>
      <c r="K119" s="249"/>
      <c r="L119" s="249"/>
      <c r="M119" s="249"/>
      <c r="N119" s="249"/>
      <c r="O119" s="248"/>
      <c r="Q119" s="5"/>
      <c r="R119" s="5"/>
      <c r="S119" s="5"/>
      <c r="T119" s="5"/>
      <c r="U119" s="5"/>
    </row>
    <row r="120" spans="2:21">
      <c r="B120" s="41"/>
      <c r="C120" s="254"/>
      <c r="D120" s="249"/>
      <c r="E120" s="249"/>
      <c r="F120" s="249"/>
      <c r="G120" s="249"/>
      <c r="H120" s="249"/>
      <c r="I120" s="254"/>
      <c r="J120" s="254"/>
      <c r="K120" s="254"/>
      <c r="L120" s="254"/>
      <c r="M120" s="254"/>
      <c r="N120" s="254"/>
      <c r="O120" s="248"/>
      <c r="Q120" s="5"/>
      <c r="R120" s="5"/>
      <c r="S120" s="5"/>
      <c r="T120" s="5"/>
      <c r="U120" s="5"/>
    </row>
    <row r="121" spans="2:21">
      <c r="B121" s="41"/>
      <c r="C121" s="254"/>
      <c r="D121" s="254"/>
      <c r="E121" s="254"/>
      <c r="F121" s="254"/>
      <c r="G121" s="254"/>
      <c r="H121" s="254"/>
      <c r="I121" s="254"/>
      <c r="J121" s="254"/>
      <c r="K121" s="254"/>
      <c r="L121" s="254"/>
      <c r="M121" s="254"/>
      <c r="N121" s="254"/>
      <c r="O121" s="248"/>
      <c r="Q121" s="5"/>
      <c r="R121" s="5"/>
      <c r="S121" s="5"/>
      <c r="T121" s="5"/>
      <c r="U121" s="5"/>
    </row>
    <row r="122" spans="2:21">
      <c r="B122" s="41"/>
      <c r="C122" s="254"/>
      <c r="D122" s="254"/>
      <c r="E122" s="254"/>
      <c r="F122" s="254"/>
      <c r="G122" s="254"/>
      <c r="H122" s="254"/>
      <c r="I122" s="254"/>
      <c r="J122" s="254"/>
      <c r="K122" s="254"/>
      <c r="L122" s="254"/>
      <c r="M122" s="254"/>
      <c r="N122" s="254"/>
      <c r="O122" s="248"/>
      <c r="Q122" s="5"/>
      <c r="R122" s="5"/>
      <c r="S122" s="5"/>
      <c r="T122" s="5"/>
      <c r="U122" s="5"/>
    </row>
    <row r="123" spans="2:21">
      <c r="B123" s="41"/>
      <c r="C123" s="254"/>
      <c r="D123" s="254"/>
      <c r="E123" s="254"/>
      <c r="F123" s="254"/>
      <c r="G123" s="254"/>
      <c r="H123" s="254"/>
      <c r="I123" s="254"/>
      <c r="J123" s="254"/>
      <c r="K123" s="254"/>
      <c r="L123" s="254"/>
      <c r="M123" s="254"/>
      <c r="N123" s="254"/>
      <c r="O123" s="248"/>
      <c r="Q123" s="5"/>
      <c r="R123" s="5"/>
      <c r="S123" s="5"/>
      <c r="T123" s="5"/>
      <c r="U123" s="5"/>
    </row>
    <row r="124" spans="2:21">
      <c r="B124" s="41"/>
      <c r="C124" s="254"/>
      <c r="D124" s="254"/>
      <c r="E124" s="254"/>
      <c r="F124" s="254"/>
      <c r="G124" s="254"/>
      <c r="H124" s="254"/>
      <c r="I124" s="254"/>
      <c r="J124" s="254"/>
      <c r="K124" s="254"/>
      <c r="L124" s="254"/>
      <c r="M124" s="254"/>
      <c r="N124" s="254"/>
      <c r="O124" s="5"/>
      <c r="Q124" s="5"/>
      <c r="R124" s="5"/>
      <c r="S124" s="5"/>
      <c r="T124" s="5"/>
      <c r="U124" s="5"/>
    </row>
    <row r="125" spans="2:21">
      <c r="B125" s="41"/>
      <c r="C125" s="254"/>
      <c r="D125" s="254"/>
      <c r="E125" s="254"/>
      <c r="F125" s="254"/>
      <c r="G125" s="254"/>
      <c r="H125" s="254"/>
      <c r="I125" s="254"/>
      <c r="J125" s="254"/>
      <c r="K125" s="254"/>
      <c r="L125" s="254"/>
      <c r="M125" s="254"/>
      <c r="N125" s="254"/>
      <c r="O125" s="5"/>
      <c r="Q125" s="5"/>
      <c r="R125" s="5"/>
      <c r="S125" s="5"/>
      <c r="T125" s="5"/>
      <c r="U125" s="5"/>
    </row>
    <row r="126" spans="2:21">
      <c r="B126" s="41"/>
      <c r="C126" s="254"/>
      <c r="D126" s="254"/>
      <c r="E126" s="254"/>
      <c r="F126" s="254"/>
      <c r="G126" s="254"/>
      <c r="H126" s="254"/>
      <c r="I126" s="18"/>
      <c r="J126" s="254"/>
      <c r="K126" s="254"/>
      <c r="L126" s="254"/>
      <c r="M126" s="254"/>
      <c r="N126" s="254"/>
      <c r="O126" s="5"/>
      <c r="Q126" s="5"/>
      <c r="R126" s="5"/>
      <c r="S126" s="5"/>
      <c r="T126" s="5"/>
      <c r="U126" s="5"/>
    </row>
    <row r="127" spans="2:21">
      <c r="B127" s="41"/>
      <c r="C127" s="254"/>
      <c r="D127" s="254"/>
      <c r="E127" s="254"/>
      <c r="F127" s="254"/>
      <c r="G127" s="254"/>
      <c r="H127" s="254"/>
      <c r="I127" s="5"/>
      <c r="J127" s="254"/>
      <c r="K127" s="254"/>
      <c r="L127" s="254"/>
      <c r="M127" s="254"/>
      <c r="N127" s="254"/>
      <c r="O127" s="5"/>
      <c r="Q127" s="5"/>
      <c r="R127" s="5"/>
      <c r="S127" s="5"/>
      <c r="T127" s="5"/>
      <c r="U127" s="5"/>
    </row>
    <row r="128" spans="2:21">
      <c r="B128" s="41"/>
      <c r="C128" s="254"/>
      <c r="D128" s="254"/>
      <c r="E128" s="254"/>
      <c r="F128" s="254"/>
      <c r="G128" s="254"/>
      <c r="H128" s="254"/>
      <c r="I128" s="254"/>
      <c r="J128" s="18"/>
      <c r="K128" s="18"/>
      <c r="L128" s="18"/>
      <c r="M128" s="18"/>
      <c r="N128" s="18"/>
      <c r="O128" s="5"/>
      <c r="Q128" s="5"/>
      <c r="R128" s="5"/>
      <c r="S128" s="5"/>
      <c r="T128" s="5"/>
      <c r="U128" s="5"/>
    </row>
    <row r="129" spans="2:27">
      <c r="B129" s="5"/>
      <c r="C129" s="5"/>
      <c r="D129" s="18"/>
      <c r="E129" s="18"/>
      <c r="F129" s="18"/>
      <c r="G129" s="18"/>
      <c r="H129" s="18"/>
      <c r="I129" s="18"/>
      <c r="J129" s="5"/>
      <c r="K129" s="5"/>
      <c r="L129" s="5"/>
      <c r="M129" s="5"/>
      <c r="N129" s="5"/>
      <c r="O129" s="5"/>
      <c r="Q129" s="5"/>
      <c r="R129" s="5"/>
      <c r="S129" s="5"/>
      <c r="T129" s="5"/>
      <c r="U129" s="5"/>
    </row>
    <row r="130" spans="2:27">
      <c r="B130" s="5"/>
      <c r="C130" s="5"/>
      <c r="D130" s="5"/>
      <c r="E130" s="5"/>
      <c r="F130" s="5"/>
      <c r="G130" s="5"/>
      <c r="H130" s="5"/>
      <c r="I130" s="5"/>
      <c r="J130" s="254"/>
      <c r="K130" s="254"/>
      <c r="L130" s="254"/>
      <c r="M130" s="254"/>
      <c r="N130" s="254"/>
      <c r="O130" s="5"/>
      <c r="Q130" s="5"/>
      <c r="R130" s="5"/>
      <c r="S130" s="5"/>
      <c r="T130" s="5"/>
      <c r="U130" s="5"/>
    </row>
    <row r="131" spans="2:27">
      <c r="B131" s="41"/>
      <c r="C131" s="254"/>
      <c r="D131" s="254"/>
      <c r="E131" s="254"/>
      <c r="F131" s="254"/>
      <c r="G131" s="254"/>
      <c r="H131" s="254"/>
      <c r="I131" s="5"/>
      <c r="J131" s="18"/>
      <c r="K131" s="18"/>
      <c r="L131" s="18"/>
      <c r="M131" s="18"/>
      <c r="N131" s="18"/>
      <c r="O131" s="5"/>
      <c r="Q131" s="5"/>
      <c r="R131" s="5"/>
      <c r="S131" s="5"/>
      <c r="T131" s="5"/>
      <c r="U131" s="5"/>
    </row>
    <row r="132" spans="2:27">
      <c r="B132" s="5"/>
      <c r="C132" s="259"/>
      <c r="D132" s="18"/>
      <c r="E132" s="18"/>
      <c r="F132" s="18"/>
      <c r="G132" s="18"/>
      <c r="H132" s="18"/>
      <c r="I132" s="17"/>
      <c r="J132" s="5"/>
      <c r="K132" s="5"/>
      <c r="L132" s="5"/>
      <c r="M132" s="5"/>
      <c r="N132" s="5"/>
      <c r="O132" s="5"/>
      <c r="Q132" s="5"/>
      <c r="R132" s="5"/>
      <c r="S132" s="5"/>
      <c r="T132" s="5"/>
      <c r="U132" s="5"/>
    </row>
    <row r="133" spans="2:27">
      <c r="B133" s="5"/>
      <c r="C133" s="5"/>
      <c r="D133" s="5"/>
      <c r="E133" s="5"/>
      <c r="F133" s="5"/>
      <c r="G133" s="5"/>
      <c r="H133" s="5"/>
      <c r="I133" s="17"/>
      <c r="J133" s="5"/>
      <c r="K133" s="5"/>
      <c r="L133" s="5"/>
      <c r="M133" s="5"/>
      <c r="N133" s="5"/>
      <c r="O133" s="5"/>
      <c r="Q133" s="5"/>
      <c r="R133" s="5"/>
      <c r="S133" s="5"/>
      <c r="T133" s="5"/>
      <c r="U133" s="5"/>
    </row>
    <row r="134" spans="2:27">
      <c r="B134" s="41"/>
      <c r="C134" s="5"/>
      <c r="D134" s="5"/>
      <c r="E134" s="5"/>
      <c r="F134" s="5"/>
      <c r="G134" s="5"/>
      <c r="H134" s="5"/>
      <c r="I134" s="17"/>
      <c r="J134" s="17"/>
      <c r="K134" s="17"/>
      <c r="L134" s="17"/>
      <c r="M134" s="17"/>
      <c r="N134" s="17"/>
      <c r="O134" s="5"/>
      <c r="Q134" s="41"/>
      <c r="R134" s="5"/>
      <c r="S134" s="5"/>
      <c r="T134" s="5"/>
      <c r="U134" s="5"/>
    </row>
    <row r="135" spans="2:27">
      <c r="B135" s="5"/>
      <c r="C135" s="17"/>
      <c r="D135" s="17"/>
      <c r="E135" s="17"/>
      <c r="F135" s="17"/>
      <c r="G135" s="17"/>
      <c r="H135" s="17"/>
      <c r="I135" s="17"/>
      <c r="J135" s="17"/>
      <c r="K135" s="17"/>
      <c r="L135" s="17"/>
      <c r="M135" s="17"/>
      <c r="N135" s="17"/>
      <c r="O135" s="5"/>
      <c r="Q135" s="5"/>
      <c r="R135" s="5"/>
      <c r="S135" s="5"/>
      <c r="T135" s="5"/>
      <c r="U135" s="5"/>
      <c r="X135" s="304"/>
    </row>
    <row r="136" spans="2:27">
      <c r="B136" s="5"/>
      <c r="C136" s="17"/>
      <c r="D136" s="17"/>
      <c r="E136" s="17"/>
      <c r="F136" s="17"/>
      <c r="G136" s="17"/>
      <c r="H136" s="17"/>
      <c r="I136" s="17"/>
      <c r="J136" s="17"/>
      <c r="K136" s="17"/>
      <c r="L136" s="17"/>
      <c r="M136" s="17"/>
      <c r="N136" s="17"/>
      <c r="O136" s="5"/>
      <c r="Q136" s="5"/>
      <c r="R136" s="5"/>
      <c r="S136" s="5"/>
      <c r="T136" s="5"/>
      <c r="U136" s="5"/>
      <c r="X136" s="10"/>
      <c r="Y136" s="304"/>
      <c r="Z136" s="304"/>
      <c r="AA136" s="304"/>
    </row>
    <row r="137" spans="2:27">
      <c r="B137" s="5"/>
      <c r="C137" s="5"/>
      <c r="D137" s="17"/>
      <c r="E137" s="17"/>
      <c r="F137" s="17"/>
      <c r="G137" s="17"/>
      <c r="H137" s="17"/>
      <c r="I137" s="17"/>
      <c r="J137" s="17"/>
      <c r="K137" s="17"/>
      <c r="L137" s="17"/>
      <c r="M137" s="17"/>
      <c r="N137" s="17"/>
      <c r="O137" s="5"/>
      <c r="Q137" s="5"/>
      <c r="R137" s="5"/>
      <c r="S137" s="5"/>
      <c r="T137" s="5"/>
      <c r="U137" s="5"/>
      <c r="Y137" s="10"/>
      <c r="Z137" s="10"/>
      <c r="AA137" s="10"/>
    </row>
    <row r="138" spans="2:27">
      <c r="B138" s="5"/>
      <c r="C138" s="5"/>
      <c r="D138" s="17"/>
      <c r="E138" s="17"/>
      <c r="F138" s="17"/>
      <c r="G138" s="17"/>
      <c r="H138" s="17"/>
      <c r="I138" s="5"/>
      <c r="J138" s="17"/>
      <c r="K138" s="17"/>
      <c r="L138" s="17"/>
      <c r="M138" s="17"/>
      <c r="N138" s="17"/>
      <c r="O138" s="5"/>
      <c r="Q138" s="5"/>
      <c r="R138" s="5"/>
      <c r="S138" s="5"/>
      <c r="T138" s="5"/>
      <c r="U138" s="5"/>
    </row>
    <row r="139" spans="2:27">
      <c r="B139" s="5"/>
      <c r="C139" s="5"/>
      <c r="D139" s="17"/>
      <c r="E139" s="17"/>
      <c r="F139" s="17"/>
      <c r="G139" s="17"/>
      <c r="H139" s="17"/>
      <c r="I139" s="5"/>
      <c r="J139" s="17"/>
      <c r="K139" s="17"/>
      <c r="L139" s="17"/>
      <c r="M139" s="17"/>
      <c r="N139" s="17"/>
      <c r="O139" s="5"/>
      <c r="Q139" s="5"/>
      <c r="R139" s="5"/>
      <c r="S139" s="5"/>
      <c r="T139" s="5"/>
      <c r="U139" s="5"/>
    </row>
    <row r="140" spans="2:27">
      <c r="B140" s="5"/>
      <c r="C140" s="17"/>
      <c r="D140" s="17"/>
      <c r="E140" s="17"/>
      <c r="F140" s="17"/>
      <c r="G140" s="17"/>
      <c r="H140" s="17"/>
      <c r="I140" s="5"/>
      <c r="J140" s="5"/>
      <c r="K140" s="5"/>
      <c r="L140" s="5"/>
      <c r="M140" s="5"/>
      <c r="N140" s="5"/>
      <c r="O140" s="5"/>
      <c r="Q140" s="5"/>
      <c r="R140" s="5"/>
      <c r="S140" s="5"/>
      <c r="T140" s="5"/>
      <c r="U140" s="5"/>
    </row>
    <row r="141" spans="2:27">
      <c r="B141" s="5"/>
      <c r="C141" s="5"/>
      <c r="D141" s="5"/>
      <c r="E141" s="5"/>
      <c r="F141" s="5"/>
      <c r="G141" s="5"/>
      <c r="H141" s="5"/>
      <c r="I141" s="5"/>
      <c r="J141" s="5"/>
      <c r="K141" s="5"/>
      <c r="L141" s="5"/>
      <c r="M141" s="5"/>
      <c r="N141" s="5"/>
      <c r="O141" s="5"/>
      <c r="Q141" s="5"/>
      <c r="R141" s="5"/>
      <c r="S141" s="5"/>
      <c r="T141" s="5"/>
      <c r="U141" s="5"/>
    </row>
    <row r="142" spans="2:27">
      <c r="B142" s="5"/>
      <c r="C142" s="5"/>
      <c r="D142" s="5"/>
      <c r="E142" s="5"/>
      <c r="F142" s="5"/>
      <c r="G142" s="5"/>
      <c r="H142" s="5"/>
      <c r="I142" s="5"/>
      <c r="J142" s="5"/>
      <c r="K142" s="5"/>
      <c r="L142" s="5"/>
      <c r="M142" s="5"/>
      <c r="N142" s="5"/>
      <c r="O142" s="5"/>
      <c r="Q142" s="5"/>
      <c r="R142" s="5"/>
      <c r="S142" s="5"/>
      <c r="T142" s="5"/>
      <c r="U142" s="5"/>
    </row>
    <row r="143" spans="2:27">
      <c r="B143" s="5"/>
      <c r="C143" s="5"/>
      <c r="D143" s="5"/>
      <c r="E143" s="5"/>
      <c r="F143" s="5"/>
      <c r="G143" s="5"/>
      <c r="H143" s="5"/>
      <c r="I143" s="5"/>
      <c r="J143" s="5"/>
      <c r="K143" s="5"/>
      <c r="L143" s="5"/>
      <c r="M143" s="5"/>
      <c r="N143" s="5"/>
      <c r="O143" s="5"/>
      <c r="Q143" s="5"/>
      <c r="R143" s="5"/>
      <c r="S143" s="5"/>
      <c r="T143" s="5"/>
      <c r="U143" s="5"/>
    </row>
    <row r="144" spans="2:27">
      <c r="B144" s="5"/>
      <c r="C144" s="5"/>
      <c r="D144" s="5"/>
      <c r="E144" s="5"/>
      <c r="F144" s="5"/>
      <c r="G144" s="5"/>
      <c r="H144" s="5"/>
      <c r="I144" s="5"/>
      <c r="J144" s="5"/>
      <c r="K144" s="5"/>
      <c r="L144" s="5"/>
      <c r="M144" s="5"/>
      <c r="N144" s="5"/>
      <c r="O144" s="5"/>
      <c r="Q144" s="5"/>
      <c r="R144" s="5"/>
      <c r="S144" s="5"/>
      <c r="T144" s="5"/>
      <c r="U144" s="5"/>
    </row>
    <row r="145" spans="2:21">
      <c r="B145" s="5"/>
      <c r="C145" s="5"/>
      <c r="D145" s="5"/>
      <c r="E145" s="5"/>
      <c r="F145" s="5"/>
      <c r="G145" s="5"/>
      <c r="H145" s="5"/>
      <c r="I145" s="5"/>
      <c r="J145" s="5"/>
      <c r="K145" s="5"/>
      <c r="L145" s="5"/>
      <c r="M145" s="5"/>
      <c r="N145" s="5"/>
      <c r="O145" s="5"/>
      <c r="Q145" s="5"/>
      <c r="R145" s="5"/>
      <c r="S145" s="5"/>
      <c r="T145" s="5"/>
      <c r="U145" s="5"/>
    </row>
    <row r="146" spans="2:21">
      <c r="B146" s="5"/>
      <c r="C146" s="5"/>
      <c r="D146" s="5"/>
      <c r="E146" s="5"/>
      <c r="F146" s="5"/>
      <c r="G146" s="5"/>
      <c r="H146" s="5"/>
      <c r="I146" s="5"/>
      <c r="J146" s="5"/>
      <c r="K146" s="5"/>
      <c r="L146" s="5"/>
      <c r="M146" s="5"/>
      <c r="N146" s="5"/>
      <c r="O146" s="5"/>
      <c r="Q146" s="5"/>
      <c r="R146" s="5"/>
      <c r="S146" s="5"/>
      <c r="T146" s="5"/>
      <c r="U146" s="5"/>
    </row>
    <row r="147" spans="2:21">
      <c r="B147" s="5"/>
      <c r="C147" s="5"/>
      <c r="D147" s="5"/>
      <c r="E147" s="5"/>
      <c r="F147" s="5"/>
      <c r="G147" s="5"/>
      <c r="H147" s="5"/>
      <c r="I147" s="5"/>
      <c r="J147" s="5"/>
      <c r="K147" s="5"/>
      <c r="L147" s="5"/>
      <c r="M147" s="5"/>
      <c r="N147" s="5"/>
      <c r="O147" s="5"/>
      <c r="Q147" s="5"/>
      <c r="R147" s="5"/>
      <c r="S147" s="5"/>
      <c r="T147" s="5"/>
      <c r="U147" s="5"/>
    </row>
    <row r="148" spans="2:21">
      <c r="B148" s="5"/>
      <c r="C148" s="5"/>
      <c r="D148" s="5"/>
      <c r="E148" s="5"/>
      <c r="F148" s="5"/>
      <c r="G148" s="5"/>
      <c r="H148" s="5"/>
      <c r="J148" s="5"/>
      <c r="K148" s="5"/>
      <c r="L148" s="5"/>
      <c r="M148" s="5"/>
      <c r="N148" s="5"/>
      <c r="O148" s="5"/>
      <c r="Q148" s="5"/>
      <c r="R148" s="5"/>
      <c r="S148" s="5"/>
      <c r="T148" s="5"/>
      <c r="U148" s="5"/>
    </row>
    <row r="149" spans="2:21">
      <c r="B149" s="5"/>
      <c r="C149" s="5"/>
      <c r="D149" s="5"/>
      <c r="E149" s="5"/>
      <c r="F149" s="5"/>
      <c r="G149" s="5"/>
      <c r="H149" s="5"/>
      <c r="J149" s="5"/>
      <c r="K149" s="5"/>
      <c r="L149" s="5"/>
      <c r="M149" s="5"/>
      <c r="N149" s="5"/>
      <c r="O149" s="5"/>
      <c r="Q149" s="5"/>
      <c r="R149" s="5"/>
      <c r="S149" s="5"/>
      <c r="T149" s="5"/>
      <c r="U149" s="5"/>
    </row>
    <row r="150" spans="2:21">
      <c r="B150" s="5"/>
      <c r="C150" s="5"/>
      <c r="D150" s="5"/>
      <c r="E150" s="5"/>
      <c r="F150" s="5"/>
      <c r="G150" s="5"/>
      <c r="H150" s="5"/>
      <c r="Q150" s="5"/>
      <c r="R150" s="5"/>
      <c r="S150" s="5"/>
      <c r="T150" s="5"/>
      <c r="U150" s="5"/>
    </row>
    <row r="151" spans="2:21">
      <c r="Q151" s="5"/>
      <c r="R151" s="5"/>
      <c r="S151" s="5"/>
      <c r="T151" s="5"/>
      <c r="U151" s="5"/>
    </row>
    <row r="152" spans="2:21">
      <c r="Q152" s="5"/>
      <c r="R152" s="5"/>
      <c r="S152" s="5"/>
      <c r="T152" s="5"/>
      <c r="U152" s="5"/>
    </row>
    <row r="153" spans="2:21">
      <c r="C153" s="263"/>
      <c r="Q153" s="5"/>
      <c r="R153" s="5"/>
      <c r="S153" s="5"/>
      <c r="T153" s="5"/>
      <c r="U153" s="5"/>
    </row>
    <row r="154" spans="2:21">
      <c r="Q154" s="5"/>
      <c r="R154" s="5"/>
      <c r="S154" s="5"/>
      <c r="T154" s="5"/>
      <c r="U154" s="5"/>
    </row>
    <row r="155" spans="2:21">
      <c r="Q155" s="5"/>
      <c r="R155" s="5"/>
      <c r="S155" s="5"/>
      <c r="T155" s="5"/>
      <c r="U155" s="5"/>
    </row>
    <row r="156" spans="2:21">
      <c r="Q156" s="5"/>
      <c r="R156" s="5"/>
      <c r="S156" s="5"/>
      <c r="T156" s="5"/>
      <c r="U156" s="5"/>
    </row>
    <row r="157" spans="2:21">
      <c r="Q157" s="5"/>
      <c r="R157" s="5"/>
      <c r="S157" s="5"/>
      <c r="T157" s="5"/>
      <c r="U157" s="5"/>
    </row>
    <row r="158" spans="2:21">
      <c r="Q158" s="5"/>
      <c r="R158" s="5"/>
      <c r="S158" s="5"/>
      <c r="T158" s="5"/>
      <c r="U158" s="5"/>
    </row>
    <row r="159" spans="2:21">
      <c r="Q159" s="5"/>
      <c r="R159" s="5"/>
      <c r="S159" s="5"/>
      <c r="T159" s="5"/>
      <c r="U159" s="5"/>
    </row>
    <row r="160" spans="2:21">
      <c r="Q160" s="5"/>
      <c r="R160" s="5"/>
      <c r="S160" s="5"/>
      <c r="T160" s="5"/>
      <c r="U160" s="5"/>
    </row>
    <row r="161" spans="17:21">
      <c r="Q161" s="5"/>
      <c r="R161" s="5"/>
      <c r="S161" s="5"/>
      <c r="T161" s="5"/>
      <c r="U161" s="5"/>
    </row>
    <row r="162" spans="17:21">
      <c r="Q162" s="5"/>
      <c r="R162" s="5"/>
      <c r="S162" s="5"/>
      <c r="T162" s="5"/>
      <c r="U162" s="5"/>
    </row>
    <row r="163" spans="17:21">
      <c r="Q163" s="5"/>
      <c r="R163" s="5"/>
      <c r="S163" s="5"/>
      <c r="T163" s="5"/>
      <c r="U163" s="5"/>
    </row>
    <row r="164" spans="17:21">
      <c r="Q164" s="5"/>
      <c r="R164" s="5"/>
      <c r="S164" s="5"/>
      <c r="T164" s="5"/>
      <c r="U164" s="5"/>
    </row>
  </sheetData>
  <phoneticPr fontId="7" type="noConversion"/>
  <pageMargins left="0.75" right="0.75" top="1" bottom="1" header="0.5" footer="0.5"/>
  <pageSetup scale="21" orientation="landscape" r:id="rId1"/>
  <headerFooter alignWithMargins="0"/>
  <drawing r:id="rId2"/>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400-000000000000}">
  <sheetPr codeName="Sheet172">
    <tabColor theme="3" tint="0.39997558519241921"/>
    <pageSetUpPr fitToPage="1"/>
  </sheetPr>
  <dimension ref="B1:BK164"/>
  <sheetViews>
    <sheetView showGridLines="0" zoomScale="80" zoomScaleNormal="80" workbookViewId="0"/>
  </sheetViews>
  <sheetFormatPr defaultColWidth="8.88671875" defaultRowHeight="12"/>
  <cols>
    <col min="1" max="1" width="2.33203125" style="39" customWidth="1"/>
    <col min="2" max="2" width="26.6640625" style="39" customWidth="1"/>
    <col min="3" max="9" width="10" style="39" customWidth="1"/>
    <col min="10" max="10" width="26.6640625" style="39" customWidth="1"/>
    <col min="11" max="16" width="10" style="39" customWidth="1"/>
    <col min="17" max="17" width="4.5546875" style="39" customWidth="1"/>
    <col min="18" max="20" width="8.88671875" style="39"/>
    <col min="21" max="21" width="3.6640625" style="39" customWidth="1"/>
    <col min="22" max="63" width="9.109375" style="5" customWidth="1"/>
    <col min="64" max="16384" width="8.88671875" style="39"/>
  </cols>
  <sheetData>
    <row r="1" spans="2:63" s="312" customFormat="1">
      <c r="V1" s="149"/>
      <c r="W1" s="149"/>
      <c r="X1" s="149"/>
      <c r="Y1" s="149"/>
      <c r="Z1" s="149"/>
      <c r="AA1" s="149"/>
      <c r="AB1" s="149"/>
      <c r="AC1" s="149"/>
      <c r="AD1" s="149"/>
      <c r="AE1" s="149"/>
      <c r="AF1" s="149"/>
      <c r="AG1" s="149"/>
      <c r="AH1" s="149"/>
      <c r="AI1" s="149"/>
      <c r="AJ1" s="149"/>
      <c r="AK1" s="149"/>
      <c r="AL1" s="149"/>
      <c r="AM1" s="149"/>
      <c r="AN1" s="149"/>
      <c r="AO1" s="149"/>
      <c r="AP1" s="149"/>
      <c r="AQ1" s="149"/>
      <c r="AR1" s="149"/>
      <c r="AS1" s="149"/>
      <c r="AT1" s="149"/>
      <c r="AU1" s="149"/>
      <c r="AV1" s="149"/>
      <c r="AW1" s="149"/>
      <c r="AX1" s="149"/>
      <c r="AY1" s="149"/>
      <c r="AZ1" s="149"/>
      <c r="BA1" s="149"/>
      <c r="BB1" s="149"/>
      <c r="BC1" s="149"/>
      <c r="BD1" s="149"/>
      <c r="BE1" s="149"/>
      <c r="BF1" s="149"/>
      <c r="BG1" s="149"/>
      <c r="BH1" s="149"/>
      <c r="BI1" s="149"/>
      <c r="BJ1" s="149"/>
      <c r="BK1" s="149"/>
    </row>
    <row r="2" spans="2:63" s="312" customFormat="1">
      <c r="V2" s="149"/>
      <c r="W2" s="149"/>
      <c r="X2" s="149"/>
      <c r="Y2" s="149"/>
      <c r="Z2" s="149"/>
      <c r="AA2" s="149"/>
      <c r="AB2" s="149"/>
      <c r="AC2" s="149"/>
      <c r="AD2" s="149"/>
      <c r="AE2" s="149"/>
      <c r="AF2" s="149"/>
      <c r="AG2" s="149"/>
      <c r="AH2" s="149"/>
      <c r="AI2" s="149"/>
      <c r="AJ2" s="149"/>
      <c r="AK2" s="149"/>
      <c r="AL2" s="149"/>
      <c r="AM2" s="149"/>
      <c r="AN2" s="149"/>
      <c r="AO2" s="149"/>
      <c r="AP2" s="149"/>
      <c r="AQ2" s="149"/>
      <c r="AR2" s="149"/>
      <c r="AS2" s="149"/>
      <c r="AT2" s="149"/>
      <c r="AU2" s="149"/>
      <c r="AV2" s="149"/>
      <c r="AW2" s="149"/>
      <c r="AX2" s="149"/>
      <c r="AY2" s="149"/>
      <c r="AZ2" s="149"/>
      <c r="BA2" s="149"/>
      <c r="BB2" s="149"/>
      <c r="BC2" s="149"/>
      <c r="BD2" s="149"/>
      <c r="BE2" s="149"/>
      <c r="BF2" s="149"/>
      <c r="BG2" s="149"/>
      <c r="BH2" s="149"/>
      <c r="BI2" s="149"/>
      <c r="BJ2" s="149"/>
      <c r="BK2" s="149"/>
    </row>
    <row r="3" spans="2:63" s="149" customFormat="1">
      <c r="H3" s="153"/>
      <c r="P3" s="153"/>
    </row>
    <row r="4" spans="2:63" s="156" customFormat="1" ht="21">
      <c r="B4" s="129" t="s">
        <v>319</v>
      </c>
      <c r="H4" s="222"/>
      <c r="P4" s="222"/>
    </row>
    <row r="5" spans="2:63" s="149" customFormat="1">
      <c r="C5" s="153"/>
      <c r="D5" s="153" t="str" cm="1">
        <f t="array" ref="D5:H5">headings</f>
        <v>2023E</v>
      </c>
      <c r="E5" s="153" t="str">
        <v>2024E</v>
      </c>
      <c r="F5" s="153" t="str">
        <v>2025E</v>
      </c>
      <c r="G5" s="153" t="str">
        <v>2026E</v>
      </c>
      <c r="H5" s="153" t="str">
        <v>23E-26E</v>
      </c>
      <c r="I5" s="153"/>
      <c r="J5" s="153"/>
      <c r="K5" s="153"/>
      <c r="L5" s="153" t="str" cm="1">
        <f t="array" ref="L5:P5">headings</f>
        <v>2023E</v>
      </c>
      <c r="M5" s="153" t="str">
        <v>2024E</v>
      </c>
      <c r="N5" s="153" t="str">
        <v>2025E</v>
      </c>
      <c r="O5" s="153" t="str">
        <v>2026E</v>
      </c>
      <c r="P5" s="153" t="str">
        <v>23E-26E</v>
      </c>
      <c r="Q5" s="162"/>
      <c r="R5" s="162"/>
      <c r="S5" s="162"/>
      <c r="T5" s="162"/>
      <c r="U5" s="162"/>
      <c r="V5" s="162"/>
      <c r="W5" s="162"/>
      <c r="X5" s="162"/>
      <c r="Y5" s="162"/>
    </row>
    <row r="6" spans="2:63">
      <c r="I6" s="5"/>
      <c r="J6" s="5"/>
      <c r="K6" s="5"/>
      <c r="L6" s="5"/>
      <c r="M6" s="5"/>
      <c r="N6" s="5"/>
      <c r="O6" s="49"/>
    </row>
    <row r="7" spans="2:63" ht="12.6" thickBot="1">
      <c r="B7" s="306" t="s">
        <v>271</v>
      </c>
      <c r="C7" s="265"/>
      <c r="D7" s="265"/>
      <c r="E7" s="265"/>
      <c r="F7" s="265"/>
      <c r="G7" s="265"/>
      <c r="H7" s="265"/>
      <c r="I7" s="49"/>
      <c r="J7" s="306" t="s">
        <v>550</v>
      </c>
      <c r="K7" s="306"/>
      <c r="L7" s="306"/>
      <c r="M7" s="306"/>
      <c r="N7" s="266"/>
      <c r="O7" s="266"/>
      <c r="P7" s="266"/>
    </row>
    <row r="8" spans="2:63" ht="12.6" thickTop="1">
      <c r="B8" s="5"/>
      <c r="C8" s="5"/>
      <c r="D8" s="5"/>
      <c r="E8" s="5"/>
      <c r="F8" s="5"/>
      <c r="G8" s="5"/>
      <c r="H8" s="5"/>
      <c r="I8" s="5"/>
      <c r="J8" s="5"/>
      <c r="K8" s="5"/>
      <c r="L8" s="5"/>
      <c r="M8" s="5"/>
      <c r="N8" s="5"/>
    </row>
    <row r="9" spans="2:63">
      <c r="B9" s="41" t="s">
        <v>500</v>
      </c>
      <c r="C9" s="287"/>
      <c r="D9" s="5"/>
      <c r="E9" s="249"/>
      <c r="F9" s="249"/>
      <c r="G9" s="249"/>
      <c r="H9" s="249"/>
      <c r="I9" s="249"/>
      <c r="J9" s="5" t="s">
        <v>273</v>
      </c>
      <c r="L9" s="64">
        <f>'AGG EM'!D37</f>
        <v>36.099467473183068</v>
      </c>
      <c r="M9" s="64">
        <f>'AGG EM'!E37</f>
        <v>33.850821771625633</v>
      </c>
      <c r="N9" s="64">
        <f>'AGG EM'!F37</f>
        <v>28.989720438526753</v>
      </c>
      <c r="O9" s="64">
        <f>'AGG EM'!G37</f>
        <v>24.505387911772221</v>
      </c>
      <c r="P9" s="17">
        <f>'AGG EM'!H37</f>
        <v>4.6033064370190946E-2</v>
      </c>
    </row>
    <row r="10" spans="2:63">
      <c r="B10" s="5" t="s">
        <v>274</v>
      </c>
      <c r="C10" s="5"/>
      <c r="D10" s="332"/>
      <c r="E10" s="332"/>
      <c r="F10" s="332"/>
      <c r="G10" s="332"/>
      <c r="H10" s="247"/>
      <c r="I10" s="247"/>
      <c r="J10" s="5" t="s">
        <v>184</v>
      </c>
      <c r="L10" s="64">
        <f>'AGG EM'!D38</f>
        <v>105.42482757786077</v>
      </c>
      <c r="M10" s="64">
        <f>'AGG EM'!E38</f>
        <v>98.32493726594646</v>
      </c>
      <c r="N10" s="64">
        <f>'AGG EM'!F38</f>
        <v>83.460498540205094</v>
      </c>
      <c r="O10" s="64">
        <f>'AGG EM'!G38</f>
        <v>69.927868752575165</v>
      </c>
      <c r="P10" s="17">
        <f>'AGG EM'!H38</f>
        <v>5.4135753422354771E-2</v>
      </c>
      <c r="W10" s="10"/>
      <c r="X10" s="10"/>
      <c r="Y10" s="10"/>
      <c r="Z10" s="10"/>
    </row>
    <row r="11" spans="2:63">
      <c r="B11" s="41" t="s">
        <v>523</v>
      </c>
      <c r="C11" s="5"/>
      <c r="D11" s="271">
        <f>'EM ASIA INCUMB'!D11+'EM ASIA CELLULAR'!D11</f>
        <v>9474808.1425623763</v>
      </c>
      <c r="E11" s="271">
        <f>'EM ASIA INCUMB'!E11+'EM ASIA CELLULAR'!E11</f>
        <v>9665129.768643599</v>
      </c>
      <c r="F11" s="271">
        <f>'EM ASIA INCUMB'!F11+'EM ASIA CELLULAR'!F11</f>
        <v>9665129.768643599</v>
      </c>
      <c r="G11" s="271">
        <f>'EM ASIA INCUMB'!G11+'EM ASIA CELLULAR'!G11</f>
        <v>9665129.768643599</v>
      </c>
      <c r="H11" s="249"/>
      <c r="I11" s="249"/>
      <c r="J11" s="5" t="s">
        <v>185</v>
      </c>
      <c r="L11" s="64">
        <f>'AGG EM'!D39</f>
        <v>224.63525692719486</v>
      </c>
      <c r="M11" s="64">
        <f>'AGG EM'!E39</f>
        <v>195.27313510926092</v>
      </c>
      <c r="N11" s="64">
        <f>'AGG EM'!F39</f>
        <v>156.82951036244214</v>
      </c>
      <c r="O11" s="64">
        <f>'AGG EM'!G39</f>
        <v>125.44852848860397</v>
      </c>
      <c r="P11" s="17">
        <f>'AGG EM'!H39</f>
        <v>0.11635706268692725</v>
      </c>
      <c r="W11" s="10"/>
      <c r="X11" s="10"/>
      <c r="Y11" s="10"/>
      <c r="Z11" s="10"/>
    </row>
    <row r="12" spans="2:63">
      <c r="B12" s="5" t="s">
        <v>229</v>
      </c>
      <c r="C12" s="249"/>
      <c r="D12" s="228">
        <f>'EM ASIA INCUMB'!D12+'EM ASIA CELLULAR'!D12</f>
        <v>7423687.8171140878</v>
      </c>
      <c r="E12" s="228">
        <f>'EM ASIA INCUMB'!E12+'EM ASIA CELLULAR'!E12</f>
        <v>6948127.5115084229</v>
      </c>
      <c r="F12" s="228">
        <f>'EM ASIA INCUMB'!F12+'EM ASIA CELLULAR'!F12</f>
        <v>5815095.0402945019</v>
      </c>
      <c r="G12" s="228">
        <f>'EM ASIA INCUMB'!G12+'EM ASIA CELLULAR'!G12</f>
        <v>4686182.3318122299</v>
      </c>
      <c r="H12" s="247"/>
      <c r="I12" s="247"/>
      <c r="J12" s="5" t="s">
        <v>466</v>
      </c>
      <c r="L12" s="64">
        <f>'AGG EM'!D40</f>
        <v>301.14194802237273</v>
      </c>
      <c r="M12" s="64">
        <f>'AGG EM'!E40</f>
        <v>259.63239152824843</v>
      </c>
      <c r="N12" s="64">
        <f>'AGG EM'!F40</f>
        <v>208.91697606045113</v>
      </c>
      <c r="O12" s="64">
        <f>'AGG EM'!G40</f>
        <v>167.13793424632385</v>
      </c>
      <c r="P12" s="17">
        <f>'AGG EM'!H40</f>
        <v>0.11865907373414464</v>
      </c>
      <c r="W12" s="10"/>
      <c r="X12" s="10"/>
      <c r="Y12" s="10"/>
      <c r="Z12" s="10"/>
    </row>
    <row r="13" spans="2:63">
      <c r="B13" s="5" t="s">
        <v>529</v>
      </c>
      <c r="C13" s="257"/>
      <c r="D13" s="228">
        <f>'EM ASIA INCUMB'!D13+'EM ASIA CELLULAR'!D13</f>
        <v>1465866.6366161276</v>
      </c>
      <c r="E13" s="228">
        <f>'EM ASIA INCUMB'!E13+'EM ASIA CELLULAR'!E13</f>
        <v>1380361.4279382506</v>
      </c>
      <c r="F13" s="228">
        <f>'EM ASIA INCUMB'!F13+'EM ASIA CELLULAR'!F13</f>
        <v>1287595.0029084107</v>
      </c>
      <c r="G13" s="228">
        <f>'EM ASIA INCUMB'!G13+'EM ASIA CELLULAR'!G13</f>
        <v>1186950.164321284</v>
      </c>
      <c r="H13" s="247"/>
      <c r="I13" s="247"/>
      <c r="J13" s="5" t="s">
        <v>530</v>
      </c>
      <c r="L13" s="64">
        <f>'AGG EM'!D41</f>
        <v>27.243713322021154</v>
      </c>
      <c r="M13" s="64">
        <f>'AGG EM'!E41</f>
        <v>27.089658338273644</v>
      </c>
      <c r="N13" s="64">
        <f>'AGG EM'!F41</f>
        <v>24.66957505581005</v>
      </c>
      <c r="O13" s="64">
        <f>'AGG EM'!G41</f>
        <v>22.040277006694431</v>
      </c>
      <c r="P13" s="17">
        <f>'AGG EM'!H41</f>
        <v>-1.3382626032309664E-2</v>
      </c>
    </row>
    <row r="14" spans="2:63">
      <c r="B14" s="5" t="s">
        <v>532</v>
      </c>
      <c r="C14" s="274"/>
      <c r="D14" s="228">
        <f>'EM ASIA INCUMB'!D14+'EM ASIA CELLULAR'!D14</f>
        <v>36101.402310375008</v>
      </c>
      <c r="E14" s="228">
        <f>'EM ASIA INCUMB'!E14+'EM ASIA CELLULAR'!E14</f>
        <v>34462.959139410348</v>
      </c>
      <c r="F14" s="228">
        <f>'EM ASIA INCUMB'!F14+'EM ASIA CELLULAR'!F14</f>
        <v>34460.161304325986</v>
      </c>
      <c r="G14" s="228">
        <f>'EM ASIA INCUMB'!G14+'EM ASIA CELLULAR'!G14</f>
        <v>34458.762386783797</v>
      </c>
      <c r="H14" s="247"/>
      <c r="I14" s="247"/>
      <c r="J14" s="5" t="s">
        <v>593</v>
      </c>
      <c r="L14" s="64">
        <f>'AGG EM'!D42</f>
        <v>42.295202413837345</v>
      </c>
      <c r="M14" s="64">
        <f>'AGG EM'!E42</f>
        <v>41.555857792028846</v>
      </c>
      <c r="N14" s="64">
        <f>'AGG EM'!F42</f>
        <v>37.316788882264667</v>
      </c>
      <c r="O14" s="64">
        <f>'AGG EM'!G42</f>
        <v>33.586664495982959</v>
      </c>
      <c r="P14" s="17">
        <f>'AGG EM'!H42</f>
        <v>-7.2488050935257675E-3</v>
      </c>
    </row>
    <row r="15" spans="2:63">
      <c r="B15" s="5" t="s">
        <v>531</v>
      </c>
      <c r="C15" s="257"/>
      <c r="D15" s="228">
        <f>'EM ASIA INCUMB'!D15+'EM ASIA CELLULAR'!D15</f>
        <v>25279.957172185867</v>
      </c>
      <c r="E15" s="228">
        <f>'EM ASIA INCUMB'!E15+'EM ASIA CELLULAR'!E15</f>
        <v>25272.508801178759</v>
      </c>
      <c r="F15" s="228">
        <f>'EM ASIA INCUMB'!F15+'EM ASIA CELLULAR'!F15</f>
        <v>25288.150248515358</v>
      </c>
      <c r="G15" s="228">
        <f>'EM ASIA INCUMB'!G15+'EM ASIA CELLULAR'!G15</f>
        <v>25325.402274038359</v>
      </c>
      <c r="H15" s="247"/>
      <c r="I15" s="247"/>
      <c r="J15" s="5" t="s">
        <v>475</v>
      </c>
      <c r="L15" s="64">
        <f>'AGG EM'!D43</f>
        <v>19.300585311517345</v>
      </c>
      <c r="M15" s="64">
        <f>'AGG EM'!E43</f>
        <v>15.882933755129079</v>
      </c>
      <c r="N15" s="64">
        <f>'AGG EM'!F43</f>
        <v>13.174403404675031</v>
      </c>
      <c r="O15" s="64">
        <f>'AGG EM'!G43</f>
        <v>11.229961793899795</v>
      </c>
      <c r="P15" s="17">
        <f>'AGG EM'!H43</f>
        <v>0.19549120190388991</v>
      </c>
      <c r="S15" s="88"/>
      <c r="T15" s="88"/>
      <c r="U15" s="88"/>
      <c r="V15" s="42"/>
      <c r="W15" s="42"/>
      <c r="X15" s="42"/>
      <c r="Y15" s="42"/>
      <c r="Z15" s="42"/>
      <c r="AA15" s="42"/>
    </row>
    <row r="16" spans="2:63">
      <c r="B16" s="5" t="s">
        <v>534</v>
      </c>
      <c r="C16" s="257"/>
      <c r="D16" s="228">
        <f>'EM ASIA INCUMB'!D16+'EM ASIA CELLULAR'!D16</f>
        <v>15189.094063221293</v>
      </c>
      <c r="E16" s="228">
        <f>'EM ASIA INCUMB'!E16+'EM ASIA CELLULAR'!E16</f>
        <v>17076.754418844339</v>
      </c>
      <c r="F16" s="228">
        <f>'EM ASIA INCUMB'!F16+'EM ASIA CELLULAR'!F16</f>
        <v>556696.04955458699</v>
      </c>
      <c r="G16" s="228">
        <f>'EM ASIA INCUMB'!G16+'EM ASIA CELLULAR'!G16</f>
        <v>1185356.5711684031</v>
      </c>
      <c r="H16" s="247"/>
      <c r="I16" s="247"/>
      <c r="J16" s="5" t="s">
        <v>533</v>
      </c>
      <c r="L16" s="64">
        <f>'AGG EM'!D44</f>
        <v>245.42467510563969</v>
      </c>
      <c r="M16" s="64">
        <f>'AGG EM'!E44</f>
        <v>213.62789634539095</v>
      </c>
      <c r="N16" s="64">
        <f>'AGG EM'!F44</f>
        <v>181.57395789810795</v>
      </c>
      <c r="O16" s="64">
        <f>'AGG EM'!G44</f>
        <v>158.59598060321596</v>
      </c>
      <c r="P16" s="17">
        <f>'AGG EM'!H44</f>
        <v>0.16397795492835376</v>
      </c>
      <c r="S16" s="88"/>
      <c r="T16" s="88"/>
      <c r="U16" s="88"/>
      <c r="V16" s="42"/>
      <c r="W16" s="42"/>
      <c r="X16" s="42"/>
      <c r="Y16" s="42"/>
      <c r="Z16" s="42"/>
      <c r="AA16" s="42"/>
    </row>
    <row r="17" spans="2:27">
      <c r="B17" s="5" t="s">
        <v>6</v>
      </c>
      <c r="C17" s="257"/>
      <c r="D17" s="228">
        <f>'EM ASIA INCUMB'!D17+'EM ASIA CELLULAR'!D17</f>
        <v>569810.57744207536</v>
      </c>
      <c r="E17" s="228">
        <f>'EM ASIA INCUMB'!E17+'EM ASIA CELLULAR'!E17</f>
        <v>569810.57744207536</v>
      </c>
      <c r="F17" s="228">
        <f>'EM ASIA INCUMB'!F17+'EM ASIA CELLULAR'!F17</f>
        <v>569810.57744207536</v>
      </c>
      <c r="G17" s="228">
        <f>'EM ASIA INCUMB'!G17+'EM ASIA CELLULAR'!G17</f>
        <v>569810.57744207536</v>
      </c>
      <c r="H17" s="247"/>
      <c r="I17" s="247"/>
      <c r="J17" s="5" t="s">
        <v>580</v>
      </c>
      <c r="L17" s="248">
        <f>'AGG EM'!D45</f>
        <v>2.9794876849606393E-3</v>
      </c>
      <c r="M17" s="248">
        <f>'AGG EM'!E45</f>
        <v>3.2338565373739416E-3</v>
      </c>
      <c r="N17" s="248">
        <f>'AGG EM'!F45</f>
        <v>3.7591690821787136E-3</v>
      </c>
      <c r="O17" s="248">
        <f>'AGG EM'!G45</f>
        <v>4.3245157193855478E-3</v>
      </c>
      <c r="P17" s="17">
        <f>'AGG EM'!H45</f>
        <v>0.13937853690845947</v>
      </c>
      <c r="S17" s="88"/>
      <c r="T17" s="88"/>
      <c r="U17" s="88"/>
      <c r="V17" s="42"/>
      <c r="W17" s="42"/>
      <c r="X17" s="42"/>
      <c r="Y17" s="42"/>
      <c r="Z17" s="42"/>
      <c r="AA17" s="42"/>
    </row>
    <row r="18" spans="2:27" ht="12.6" thickBot="1">
      <c r="B18" s="41" t="s">
        <v>89</v>
      </c>
      <c r="C18" s="249"/>
      <c r="D18" s="275">
        <f>'EM ASIA INCUMB'!D18+'EM ASIA CELLULAR'!D18</f>
        <v>17768541.479649108</v>
      </c>
      <c r="E18" s="275">
        <f>'EM ASIA INCUMB'!E18+'EM ASIA CELLULAR'!E18</f>
        <v>17397540.92589112</v>
      </c>
      <c r="F18" s="275">
        <f>'EM ASIA INCUMB'!F18+'EM ASIA CELLULAR'!F18</f>
        <v>15632141.173794037</v>
      </c>
      <c r="G18" s="275">
        <f>'EM ASIA INCUMB'!G18+'EM ASIA CELLULAR'!G18</f>
        <v>13773961.756053889</v>
      </c>
      <c r="H18" s="276">
        <f>IF(D18=0,"nm",IF(G18=0,"nm",(G18/D18)^(1/3)-1))</f>
        <v>-8.1380421137036252E-2</v>
      </c>
      <c r="I18" s="254"/>
      <c r="J18" s="5" t="s">
        <v>36</v>
      </c>
      <c r="L18" s="248" t="e">
        <f>'AGG EM'!D46</f>
        <v>#VALUE!</v>
      </c>
      <c r="M18" s="248" t="e">
        <f>'AGG EM'!E46</f>
        <v>#VALUE!</v>
      </c>
      <c r="N18" s="248" t="e">
        <f>'AGG EM'!F46</f>
        <v>#VALUE!</v>
      </c>
      <c r="O18" s="248" t="e">
        <f>'AGG EM'!G46</f>
        <v>#VALUE!</v>
      </c>
      <c r="P18" s="17" t="e">
        <f>'AGG EM'!H46</f>
        <v>#VALUE!</v>
      </c>
      <c r="S18" s="88"/>
      <c r="T18" s="88"/>
      <c r="U18" s="88"/>
      <c r="V18" s="42"/>
      <c r="W18" s="42"/>
      <c r="X18" s="42"/>
      <c r="Y18" s="42"/>
      <c r="Z18" s="42"/>
      <c r="AA18" s="42"/>
    </row>
    <row r="19" spans="2:27" ht="12.6" thickTop="1">
      <c r="B19" s="41"/>
      <c r="C19" s="249"/>
      <c r="D19" s="229"/>
      <c r="E19" s="229"/>
      <c r="F19" s="229"/>
      <c r="G19" s="229"/>
      <c r="H19" s="276"/>
      <c r="I19" s="17"/>
      <c r="J19" s="5" t="s">
        <v>581</v>
      </c>
      <c r="L19" s="248">
        <f>'AGG EM'!D47</f>
        <v>5.1811900201972863E-2</v>
      </c>
      <c r="M19" s="248">
        <f>'AGG EM'!E47</f>
        <v>6.2960660506253749E-2</v>
      </c>
      <c r="N19" s="248">
        <f>'AGG EM'!F47</f>
        <v>7.5904765421494755E-2</v>
      </c>
      <c r="O19" s="248">
        <f>'AGG EM'!G47</f>
        <v>8.9047497965951045E-2</v>
      </c>
      <c r="P19" s="17">
        <f>'AGG EM'!H47</f>
        <v>0.19549120190388991</v>
      </c>
      <c r="S19" s="88"/>
      <c r="T19" s="88"/>
      <c r="U19" s="88"/>
      <c r="V19" s="42"/>
      <c r="W19" s="42"/>
      <c r="X19" s="42"/>
      <c r="Y19" s="42"/>
      <c r="Z19" s="42"/>
      <c r="AA19" s="42"/>
    </row>
    <row r="20" spans="2:27">
      <c r="H20" s="277"/>
      <c r="I20" s="49"/>
      <c r="J20" s="5" t="s">
        <v>604</v>
      </c>
      <c r="L20" s="248">
        <f>'AGG EM'!D48</f>
        <v>0.78546224095974659</v>
      </c>
      <c r="M20" s="248">
        <f>'AGG EM'!E48</f>
        <v>0.71334963498575799</v>
      </c>
      <c r="N20" s="248">
        <f>'AGG EM'!F48</f>
        <v>0.68989991347231316</v>
      </c>
      <c r="O20" s="248">
        <f>'AGG EM'!G48</f>
        <v>0.67997079786563763</v>
      </c>
      <c r="P20" s="17" t="str">
        <f>'AGG EM'!H48</f>
        <v>nm</v>
      </c>
      <c r="S20" s="42"/>
      <c r="T20" s="42"/>
      <c r="U20" s="42"/>
      <c r="V20" s="42"/>
      <c r="W20" s="42"/>
      <c r="X20" s="42"/>
      <c r="Y20" s="42"/>
      <c r="Z20" s="42"/>
      <c r="AA20" s="42"/>
    </row>
    <row r="21" spans="2:27" ht="12.6" thickBot="1">
      <c r="B21" s="306" t="s">
        <v>308</v>
      </c>
      <c r="C21" s="265">
        <v>2020</v>
      </c>
      <c r="D21" s="265" t="str">
        <f>D5</f>
        <v>2023E</v>
      </c>
      <c r="E21" s="265" t="str">
        <f>E5</f>
        <v>2024E</v>
      </c>
      <c r="F21" s="265" t="str">
        <f>F5</f>
        <v>2025E</v>
      </c>
      <c r="G21" s="265" t="str">
        <f>G5</f>
        <v>2026E</v>
      </c>
      <c r="H21" s="282" t="str">
        <f>H5</f>
        <v>23E-26E</v>
      </c>
      <c r="I21" s="17"/>
      <c r="S21" s="42"/>
      <c r="T21" s="42"/>
      <c r="U21" s="42"/>
      <c r="V21" s="42"/>
      <c r="W21" s="42"/>
      <c r="X21" s="42"/>
      <c r="Y21" s="42"/>
      <c r="Z21" s="42"/>
      <c r="AA21" s="42"/>
    </row>
    <row r="22" spans="2:27" ht="12.6" thickTop="1">
      <c r="B22" s="5"/>
      <c r="C22" s="257"/>
      <c r="D22" s="17"/>
      <c r="E22" s="17"/>
      <c r="F22" s="17"/>
      <c r="G22" s="17"/>
      <c r="H22" s="17"/>
      <c r="I22" s="247"/>
      <c r="P22" s="277"/>
      <c r="S22" s="42"/>
      <c r="T22" s="42"/>
      <c r="U22" s="42"/>
      <c r="V22" s="42"/>
      <c r="W22" s="42"/>
      <c r="X22" s="42"/>
      <c r="Y22" s="42"/>
      <c r="Z22" s="42"/>
      <c r="AA22" s="42"/>
    </row>
    <row r="23" spans="2:27" ht="12.6" thickBot="1">
      <c r="B23" s="5" t="s">
        <v>584</v>
      </c>
      <c r="C23" s="365">
        <f>'EM ASIA INCUMB'!C23+'EM ASIA CELLULAR'!C23</f>
        <v>353590.29460406292</v>
      </c>
      <c r="D23" s="228">
        <f>'EM ASIA INCUMB'!D23+'EM ASIA CELLULAR'!D23</f>
        <v>376505.36810837535</v>
      </c>
      <c r="E23" s="228">
        <f>'EM ASIA INCUMB'!E23+'EM ASIA CELLULAR'!E23</f>
        <v>395628.58117741247</v>
      </c>
      <c r="F23" s="228">
        <f>'EM ASIA INCUMB'!F23+'EM ASIA CELLULAR'!F23</f>
        <v>416276.34309489885</v>
      </c>
      <c r="G23" s="228">
        <f>'EM ASIA INCUMB'!G23+'EM ASIA CELLULAR'!G23</f>
        <v>435200.51292222214</v>
      </c>
      <c r="H23" s="279">
        <f t="shared" ref="H23:H33" si="0">IF(D23=0,"nm",IF(G23=0,"nm",(G23/D23)^(1/3)-1))</f>
        <v>4.9476557311922686E-2</v>
      </c>
      <c r="I23" s="249"/>
      <c r="J23" s="306" t="s">
        <v>9</v>
      </c>
      <c r="K23" s="306"/>
      <c r="L23" s="265" t="str">
        <f>L5</f>
        <v>2023E</v>
      </c>
      <c r="M23" s="265" t="str">
        <f>M5</f>
        <v>2024E</v>
      </c>
      <c r="N23" s="265" t="str">
        <f>N5</f>
        <v>2025E</v>
      </c>
      <c r="O23" s="265" t="str">
        <f>O5</f>
        <v>2026E</v>
      </c>
      <c r="P23" s="282" t="str">
        <f>P5</f>
        <v>23E-26E</v>
      </c>
      <c r="S23" s="42"/>
      <c r="T23" s="42"/>
      <c r="U23" s="42"/>
      <c r="V23" s="42"/>
      <c r="W23" s="42" t="s">
        <v>171</v>
      </c>
      <c r="X23" s="42" t="s">
        <v>26</v>
      </c>
      <c r="Y23" s="42"/>
      <c r="Z23" s="42"/>
      <c r="AA23" s="42"/>
    </row>
    <row r="24" spans="2:27" ht="12.6" thickTop="1">
      <c r="B24" s="5" t="s">
        <v>483</v>
      </c>
      <c r="C24" s="365">
        <f>'EM ASIA INCUMB'!C24+'EM ASIA CELLULAR'!C24</f>
        <v>117333.26461874624</v>
      </c>
      <c r="D24" s="228">
        <f>'EM ASIA INCUMB'!D24+'EM ASIA CELLULAR'!D24</f>
        <v>122966.4643699812</v>
      </c>
      <c r="E24" s="228">
        <f>'EM ASIA INCUMB'!E24+'EM ASIA CELLULAR'!E24</f>
        <v>129840.67508179208</v>
      </c>
      <c r="F24" s="228">
        <f>'EM ASIA INCUMB'!F24+'EM ASIA CELLULAR'!F24</f>
        <v>137416.35339079445</v>
      </c>
      <c r="G24" s="228">
        <f>'EM ASIA INCUMB'!G24+'EM ASIA CELLULAR'!G24</f>
        <v>144893.32526925515</v>
      </c>
      <c r="H24" s="279">
        <f t="shared" si="0"/>
        <v>5.6218810807975972E-2</v>
      </c>
      <c r="I24" s="248"/>
      <c r="J24" s="17"/>
      <c r="K24" s="17"/>
      <c r="L24" s="17"/>
      <c r="M24" s="17"/>
      <c r="N24" s="17"/>
      <c r="O24" s="248"/>
      <c r="S24" s="42"/>
      <c r="T24" s="42"/>
      <c r="U24" s="42"/>
      <c r="V24" s="147" t="s">
        <v>273</v>
      </c>
      <c r="W24" s="288">
        <f t="shared" ref="W24:W31" si="1">E37/M9</f>
        <v>1.2990653292629106</v>
      </c>
      <c r="X24" s="288">
        <v>1</v>
      </c>
      <c r="Y24" s="42"/>
      <c r="Z24" s="42"/>
      <c r="AA24" s="42"/>
    </row>
    <row r="25" spans="2:27">
      <c r="B25" s="5" t="s">
        <v>183</v>
      </c>
      <c r="C25" s="365">
        <f>'EM ASIA INCUMB'!C25+'EM ASIA CELLULAR'!C25</f>
        <v>50164.062465453717</v>
      </c>
      <c r="D25" s="228">
        <f>'EM ASIA INCUMB'!D25+'EM ASIA CELLULAR'!D25</f>
        <v>55721.265195019201</v>
      </c>
      <c r="E25" s="228">
        <f>'EM ASIA INCUMB'!E25+'EM ASIA CELLULAR'!E25</f>
        <v>63186.72718594801</v>
      </c>
      <c r="F25" s="228">
        <f>'EM ASIA INCUMB'!F25+'EM ASIA CELLULAR'!F25</f>
        <v>70528.534663471655</v>
      </c>
      <c r="G25" s="228">
        <f>'EM ASIA INCUMB'!G25+'EM ASIA CELLULAR'!G25</f>
        <v>78085.632255081902</v>
      </c>
      <c r="H25" s="279">
        <f t="shared" si="0"/>
        <v>0.1190514494363597</v>
      </c>
      <c r="I25" s="249"/>
      <c r="J25" s="247" t="s">
        <v>10</v>
      </c>
      <c r="K25" s="247"/>
      <c r="L25" s="332">
        <f>'EM ASIA INCUMB'!L25+'EM ASIA CELLULAR'!L25</f>
        <v>-0.2235560989126551</v>
      </c>
      <c r="M25" s="332">
        <f>'EM ASIA INCUMB'!M25+'EM ASIA CELLULAR'!M25</f>
        <v>-0.12311212813643979</v>
      </c>
      <c r="N25" s="332">
        <f>'EM ASIA INCUMB'!N25+'EM ASIA CELLULAR'!N25</f>
        <v>-0.12311212813643979</v>
      </c>
      <c r="O25" s="332">
        <f>'EM ASIA INCUMB'!O25+'EM ASIA CELLULAR'!O25</f>
        <v>-0.12311212813643979</v>
      </c>
      <c r="P25" s="279">
        <f>IF(L25=0,"nm",IF(O25=0,"nm",(O25/L25)^(1/3)-1))</f>
        <v>-0.18033176425189545</v>
      </c>
      <c r="Q25" s="5"/>
      <c r="S25" s="42"/>
      <c r="T25" s="42"/>
      <c r="U25" s="42"/>
      <c r="V25" s="147" t="s">
        <v>184</v>
      </c>
      <c r="W25" s="288">
        <f t="shared" si="1"/>
        <v>1.3627413184048023</v>
      </c>
      <c r="X25" s="288">
        <v>1</v>
      </c>
      <c r="Y25" s="42"/>
      <c r="Z25" s="42"/>
      <c r="AA25" s="42"/>
    </row>
    <row r="26" spans="2:27">
      <c r="B26" s="5" t="s">
        <v>586</v>
      </c>
      <c r="C26" s="365">
        <f>'EM ASIA INCUMB'!C26+'EM ASIA CELLULAR'!C26</f>
        <v>39559.774672073501</v>
      </c>
      <c r="D26" s="228">
        <f>'EM ASIA INCUMB'!D26+'EM ASIA CELLULAR'!D26</f>
        <v>43623.283496128286</v>
      </c>
      <c r="E26" s="228">
        <f>'EM ASIA INCUMB'!E26+'EM ASIA CELLULAR'!E26</f>
        <v>49097.859685951786</v>
      </c>
      <c r="F26" s="228">
        <f>'EM ASIA INCUMB'!F26+'EM ASIA CELLULAR'!F26</f>
        <v>54699.698815910459</v>
      </c>
      <c r="G26" s="228">
        <f>'EM ASIA INCUMB'!G26+'EM ASIA CELLULAR'!G26</f>
        <v>60504.880076138521</v>
      </c>
      <c r="H26" s="279">
        <f t="shared" si="0"/>
        <v>0.11521178704677681</v>
      </c>
      <c r="I26" s="249"/>
      <c r="J26" s="249" t="s">
        <v>11</v>
      </c>
      <c r="K26" s="249"/>
      <c r="L26" s="281">
        <f>'EM ASIA INCUMB'!L26+'EM ASIA CELLULAR'!L26</f>
        <v>524220.46588144905</v>
      </c>
      <c r="M26" s="281">
        <f>'EM ASIA INCUMB'!M26+'EM ASIA CELLULAR'!M26</f>
        <v>527719.75362058892</v>
      </c>
      <c r="N26" s="281">
        <f>'EM ASIA INCUMB'!N26+'EM ASIA CELLULAR'!N26</f>
        <v>527719.75362058892</v>
      </c>
      <c r="O26" s="281">
        <f>'EM ASIA INCUMB'!O26+'EM ASIA CELLULAR'!O26</f>
        <v>527719.75362058892</v>
      </c>
      <c r="P26" s="279">
        <f>IF(L26=0,"nm",IF(O26=0,"nm",(O26/L26)^(1/3)-1))</f>
        <v>2.2201411680660144E-3</v>
      </c>
      <c r="Q26" s="41"/>
      <c r="S26" s="42"/>
      <c r="T26" s="42"/>
      <c r="U26" s="42"/>
      <c r="V26" s="147" t="s">
        <v>185</v>
      </c>
      <c r="W26" s="288">
        <f t="shared" si="1"/>
        <v>1.4100012790593064</v>
      </c>
      <c r="X26" s="288">
        <v>1</v>
      </c>
      <c r="Y26" s="42"/>
      <c r="Z26" s="42"/>
      <c r="AA26" s="42"/>
    </row>
    <row r="27" spans="2:27">
      <c r="B27" s="5" t="s">
        <v>587</v>
      </c>
      <c r="C27" s="365">
        <f>'EM ASIA INCUMB'!C27+'EM ASIA CELLULAR'!C27</f>
        <v>435418.34616919258</v>
      </c>
      <c r="D27" s="228">
        <f>'EM ASIA INCUMB'!D27+'EM ASIA CELLULAR'!D27</f>
        <v>508700.07691173593</v>
      </c>
      <c r="E27" s="228">
        <f>'EM ASIA INCUMB'!E27+'EM ASIA CELLULAR'!E27</f>
        <v>497393.32038862875</v>
      </c>
      <c r="F27" s="228">
        <f>'EM ASIA INCUMB'!F27+'EM ASIA CELLULAR'!F27</f>
        <v>489106.29984889168</v>
      </c>
      <c r="G27" s="228">
        <f>'EM ASIA INCUMB'!G27+'EM ASIA CELLULAR'!G27</f>
        <v>479793.96081621281</v>
      </c>
      <c r="H27" s="279">
        <f t="shared" si="0"/>
        <v>-1.9311706160580422E-2</v>
      </c>
      <c r="I27" s="248"/>
      <c r="J27" s="248"/>
      <c r="K27" s="248"/>
      <c r="L27" s="248"/>
      <c r="M27" s="248"/>
      <c r="N27" s="248"/>
      <c r="O27" s="248"/>
      <c r="Q27" s="5"/>
      <c r="S27" s="42"/>
      <c r="T27" s="42"/>
      <c r="U27" s="42"/>
      <c r="V27" s="147" t="s">
        <v>466</v>
      </c>
      <c r="W27" s="288">
        <f t="shared" si="1"/>
        <v>1.3647918884996721</v>
      </c>
      <c r="X27" s="288">
        <v>1</v>
      </c>
      <c r="Y27" s="42"/>
      <c r="Z27" s="42"/>
      <c r="AA27" s="42"/>
    </row>
    <row r="28" spans="2:27" ht="12.6" thickBot="1">
      <c r="B28" s="5" t="s">
        <v>592</v>
      </c>
      <c r="C28" s="365">
        <f>'EM ASIA INCUMB'!C28+'EM ASIA CELLULAR'!C28</f>
        <v>327013.92067079578</v>
      </c>
      <c r="D28" s="228">
        <f>'EM ASIA INCUMB'!D28+'EM ASIA CELLULAR'!D28</f>
        <v>321889.62004233926</v>
      </c>
      <c r="E28" s="228">
        <f>'EM ASIA INCUMB'!E28+'EM ASIA CELLULAR'!E28</f>
        <v>320340.03434064594</v>
      </c>
      <c r="F28" s="228">
        <f>'EM ASIA INCUMB'!F28+'EM ASIA CELLULAR'!F28</f>
        <v>321275.97373816022</v>
      </c>
      <c r="G28" s="228">
        <f>'EM ASIA INCUMB'!G28+'EM ASIA CELLULAR'!G28</f>
        <v>312747.40892670141</v>
      </c>
      <c r="H28" s="279">
        <f t="shared" si="0"/>
        <v>-9.5583020329573776E-3</v>
      </c>
      <c r="I28" s="252"/>
      <c r="J28" s="306" t="s">
        <v>754</v>
      </c>
      <c r="K28" s="306"/>
      <c r="L28" s="306"/>
      <c r="M28" s="306"/>
      <c r="N28" s="266"/>
      <c r="O28" s="266"/>
      <c r="P28" s="266"/>
      <c r="Q28" s="5"/>
      <c r="S28" s="42"/>
      <c r="T28" s="42"/>
      <c r="U28" s="42"/>
      <c r="V28" s="147" t="s">
        <v>530</v>
      </c>
      <c r="W28" s="288">
        <f t="shared" si="1"/>
        <v>1.2911728649918539</v>
      </c>
      <c r="X28" s="288">
        <v>1</v>
      </c>
      <c r="Y28" s="42"/>
      <c r="Z28" s="42"/>
      <c r="AA28" s="42"/>
    </row>
    <row r="29" spans="2:27" ht="12.6" thickTop="1">
      <c r="B29" s="5" t="s">
        <v>588</v>
      </c>
      <c r="C29" s="365">
        <f>'EM ASIA INCUMB'!C29+'EM ASIA CELLULAR'!C29</f>
        <v>25927.118446728397</v>
      </c>
      <c r="D29" s="228">
        <f>'EM ASIA INCUMB'!D29+'EM ASIA CELLULAR'!D29</f>
        <v>29434.199770510786</v>
      </c>
      <c r="E29" s="228">
        <f>'EM ASIA INCUMB'!E29+'EM ASIA CELLULAR'!E29</f>
        <v>34970.551632196395</v>
      </c>
      <c r="F29" s="228">
        <f>'EM ASIA INCUMB'!F29+'EM ASIA CELLULAR'!F29</f>
        <v>40983.88584564488</v>
      </c>
      <c r="G29" s="228">
        <f>'EM ASIA INCUMB'!G29+'EM ASIA CELLULAR'!G29</f>
        <v>47737.405957811548</v>
      </c>
      <c r="H29" s="279">
        <f t="shared" si="0"/>
        <v>0.17490349102654967</v>
      </c>
      <c r="I29" s="254"/>
      <c r="J29" s="249"/>
      <c r="K29" s="249"/>
      <c r="L29" s="249"/>
      <c r="M29" s="249"/>
      <c r="N29" s="249"/>
      <c r="O29" s="251"/>
      <c r="Q29" s="5"/>
      <c r="S29" s="42"/>
      <c r="T29" s="42"/>
      <c r="U29" s="42"/>
      <c r="V29" s="147" t="s">
        <v>593</v>
      </c>
      <c r="W29" s="288">
        <f t="shared" si="1"/>
        <v>1.306906137783018</v>
      </c>
      <c r="X29" s="288">
        <v>1</v>
      </c>
      <c r="Y29" s="42"/>
      <c r="Z29" s="42"/>
      <c r="AA29" s="42"/>
    </row>
    <row r="30" spans="2:27">
      <c r="B30" s="5" t="s">
        <v>589</v>
      </c>
      <c r="C30" s="365">
        <f>'EM ASIA INCUMB'!C30+'EM ASIA CELLULAR'!C30</f>
        <v>28776.41532322286</v>
      </c>
      <c r="D30" s="228">
        <f>'EM ASIA INCUMB'!D30+'EM ASIA CELLULAR'!D30</f>
        <v>29845.774061344739</v>
      </c>
      <c r="E30" s="228">
        <f>'EM ASIA INCUMB'!E30+'EM ASIA CELLULAR'!E30</f>
        <v>34262.809551741491</v>
      </c>
      <c r="F30" s="228">
        <f>'EM ASIA INCUMB'!F30+'EM ASIA CELLULAR'!F30</f>
        <v>39186.692682108929</v>
      </c>
      <c r="G30" s="228">
        <f>'EM ASIA INCUMB'!G30+'EM ASIA CELLULAR'!G30</f>
        <v>44502.251640839029</v>
      </c>
      <c r="H30" s="279">
        <f t="shared" si="0"/>
        <v>0.14243906748114865</v>
      </c>
      <c r="I30" s="254"/>
      <c r="J30" s="248"/>
      <c r="K30" s="248"/>
      <c r="L30" s="248"/>
      <c r="M30" s="248"/>
      <c r="N30" s="248"/>
      <c r="O30" s="5"/>
      <c r="Q30" s="5"/>
      <c r="S30" s="42"/>
      <c r="T30" s="42"/>
      <c r="U30" s="42"/>
      <c r="V30" s="147" t="s">
        <v>475</v>
      </c>
      <c r="W30" s="288">
        <f t="shared" si="1"/>
        <v>0.95010180564495073</v>
      </c>
      <c r="X30" s="288">
        <v>1</v>
      </c>
      <c r="Y30" s="42"/>
      <c r="Z30" s="42"/>
      <c r="AA30" s="42"/>
    </row>
    <row r="31" spans="2:27">
      <c r="B31" s="5" t="s">
        <v>590</v>
      </c>
      <c r="C31" s="365">
        <f>'EM ASIA INCUMB'!C31+'EM ASIA CELLULAR'!C31</f>
        <v>20890.983998353808</v>
      </c>
      <c r="D31" s="228">
        <f>'EM ASIA INCUMB'!D31+'EM ASIA CELLULAR'!D31</f>
        <v>23798.93255362639</v>
      </c>
      <c r="E31" s="228">
        <f>'EM ASIA INCUMB'!E31+'EM ASIA CELLULAR'!E31</f>
        <v>26240.549759739835</v>
      </c>
      <c r="F31" s="228">
        <f>'EM ASIA INCUMB'!F31+'EM ASIA CELLULAR'!F31</f>
        <v>30609.802338831858</v>
      </c>
      <c r="G31" s="228">
        <f>'EM ASIA INCUMB'!G31+'EM ASIA CELLULAR'!G31</f>
        <v>35633.568818227628</v>
      </c>
      <c r="H31" s="279">
        <f t="shared" si="0"/>
        <v>0.14402087057935331</v>
      </c>
      <c r="I31" s="254"/>
      <c r="J31" s="252"/>
      <c r="K31" s="252"/>
      <c r="L31" s="252"/>
      <c r="M31" s="252"/>
      <c r="N31" s="252"/>
      <c r="O31" s="5"/>
      <c r="Q31" s="5"/>
      <c r="S31" s="42"/>
      <c r="T31" s="42"/>
      <c r="U31" s="42"/>
      <c r="V31" s="147" t="s">
        <v>533</v>
      </c>
      <c r="W31" s="288">
        <f t="shared" si="1"/>
        <v>1.3204645711042784</v>
      </c>
      <c r="X31" s="288">
        <v>1</v>
      </c>
      <c r="Y31" s="42"/>
      <c r="Z31" s="42"/>
      <c r="AA31" s="42"/>
    </row>
    <row r="32" spans="2:27">
      <c r="B32" s="5" t="s">
        <v>606</v>
      </c>
      <c r="C32" s="365" t="e">
        <f>'EM ASIA INCUMB'!C32+'EM ASIA CELLULAR'!C32</f>
        <v>#VALUE!</v>
      </c>
      <c r="D32" s="228" t="e">
        <f>'EM ASIA INCUMB'!D32+'EM ASIA CELLULAR'!D32</f>
        <v>#VALUE!</v>
      </c>
      <c r="E32" s="228" t="e">
        <f>'EM ASIA INCUMB'!E32+'EM ASIA CELLULAR'!E32</f>
        <v>#VALUE!</v>
      </c>
      <c r="F32" s="228" t="e">
        <f>'EM ASIA INCUMB'!F32+'EM ASIA CELLULAR'!F32</f>
        <v>#VALUE!</v>
      </c>
      <c r="G32" s="228" t="e">
        <f>'EM ASIA INCUMB'!G32+'EM ASIA CELLULAR'!G32</f>
        <v>#VALUE!</v>
      </c>
      <c r="H32" s="279" t="e">
        <f t="shared" si="0"/>
        <v>#VALUE!</v>
      </c>
      <c r="I32" s="5"/>
      <c r="J32" s="254"/>
      <c r="K32" s="254"/>
      <c r="L32" s="254"/>
      <c r="M32" s="254"/>
      <c r="N32" s="254"/>
      <c r="O32" s="251"/>
      <c r="Q32" s="5"/>
      <c r="S32" s="42"/>
      <c r="T32" s="42"/>
      <c r="U32" s="42"/>
      <c r="V32" s="147" t="s">
        <v>580</v>
      </c>
      <c r="W32" s="288">
        <f>M17/E45</f>
        <v>1.1911199793096667</v>
      </c>
      <c r="X32" s="288">
        <v>1</v>
      </c>
      <c r="Y32" s="42"/>
      <c r="Z32" s="42"/>
      <c r="AA32" s="42"/>
    </row>
    <row r="33" spans="2:42">
      <c r="B33" s="5" t="s">
        <v>5</v>
      </c>
      <c r="C33" s="365">
        <f>'EM ASIA INCUMB'!C33+'EM ASIA CELLULAR'!C33</f>
        <v>8042.3451989551158</v>
      </c>
      <c r="D33" s="228">
        <f>'EM ASIA INCUMB'!D33+'EM ASIA CELLULAR'!D33</f>
        <v>8922.0223306251628</v>
      </c>
      <c r="E33" s="228">
        <f>'EM ASIA INCUMB'!E33+'EM ASIA CELLULAR'!E33</f>
        <v>7961.9539150158616</v>
      </c>
      <c r="F33" s="228">
        <f>'EM ASIA INCUMB'!F33+'EM ASIA CELLULAR'!F33</f>
        <v>7787.7057341672644</v>
      </c>
      <c r="G33" s="228">
        <f>'EM ASIA INCUMB'!G33+'EM ASIA CELLULAR'!G33</f>
        <v>7759.3552277342633</v>
      </c>
      <c r="H33" s="279">
        <f t="shared" si="0"/>
        <v>-4.5474702421629654E-2</v>
      </c>
      <c r="I33" s="49"/>
      <c r="J33" s="254"/>
      <c r="K33" s="254"/>
      <c r="L33" s="254"/>
      <c r="M33" s="254"/>
      <c r="N33" s="254"/>
      <c r="O33" s="251"/>
      <c r="Q33" s="5"/>
      <c r="S33" s="42"/>
      <c r="T33" s="42"/>
      <c r="U33" s="42"/>
      <c r="V33" s="147" t="s">
        <v>581</v>
      </c>
      <c r="W33" s="288">
        <f>M19/E47</f>
        <v>0.95010180564495061</v>
      </c>
      <c r="X33" s="288">
        <v>1</v>
      </c>
      <c r="Y33" s="288"/>
      <c r="Z33" s="288"/>
      <c r="AA33" s="42"/>
      <c r="AC33" s="10"/>
      <c r="AD33" s="10"/>
      <c r="AE33" s="10"/>
      <c r="AF33" s="10"/>
      <c r="AH33" s="10"/>
      <c r="AI33" s="10"/>
      <c r="AJ33" s="10"/>
      <c r="AK33" s="10"/>
      <c r="AM33" s="10"/>
      <c r="AN33" s="10"/>
      <c r="AO33" s="10"/>
      <c r="AP33" s="10"/>
    </row>
    <row r="34" spans="2:42">
      <c r="H34" s="277"/>
      <c r="I34" s="254"/>
      <c r="J34" s="254"/>
      <c r="K34" s="254"/>
      <c r="L34" s="254"/>
      <c r="M34" s="254"/>
      <c r="N34" s="254"/>
      <c r="O34" s="251"/>
      <c r="Q34" s="5"/>
      <c r="S34" s="42"/>
      <c r="T34" s="42"/>
      <c r="U34" s="42"/>
      <c r="V34" s="42"/>
      <c r="W34" s="42"/>
      <c r="X34" s="42"/>
      <c r="Y34" s="288"/>
      <c r="Z34" s="288"/>
      <c r="AA34" s="42"/>
      <c r="AC34" s="10"/>
      <c r="AD34" s="10"/>
      <c r="AE34" s="10"/>
      <c r="AF34" s="10"/>
      <c r="AH34" s="10"/>
      <c r="AI34" s="10"/>
      <c r="AJ34" s="10"/>
      <c r="AK34" s="10"/>
      <c r="AM34" s="10"/>
      <c r="AN34" s="10"/>
      <c r="AO34" s="10"/>
      <c r="AP34" s="10"/>
    </row>
    <row r="35" spans="2:42" ht="12.6" thickBot="1">
      <c r="B35" s="306" t="s">
        <v>301</v>
      </c>
      <c r="C35" s="265"/>
      <c r="D35" s="265" t="str">
        <f>D5</f>
        <v>2023E</v>
      </c>
      <c r="E35" s="265" t="str">
        <f>E5</f>
        <v>2024E</v>
      </c>
      <c r="F35" s="265" t="str">
        <f>F5</f>
        <v>2025E</v>
      </c>
      <c r="G35" s="265" t="str">
        <f>G5</f>
        <v>2026E</v>
      </c>
      <c r="H35" s="265" t="str">
        <f>H5</f>
        <v>23E-26E</v>
      </c>
      <c r="I35" s="17"/>
      <c r="J35" s="5"/>
      <c r="K35" s="5"/>
      <c r="L35" s="5"/>
      <c r="M35" s="5"/>
      <c r="N35" s="5"/>
      <c r="O35" s="5"/>
      <c r="Q35" s="5"/>
      <c r="S35" s="42"/>
      <c r="T35" s="42"/>
      <c r="U35" s="42"/>
      <c r="V35" s="42"/>
      <c r="W35" s="42"/>
      <c r="X35" s="42"/>
      <c r="Y35" s="288"/>
      <c r="Z35" s="288"/>
      <c r="AA35" s="42"/>
      <c r="AC35" s="10"/>
      <c r="AD35" s="10"/>
      <c r="AE35" s="10"/>
      <c r="AF35" s="10"/>
      <c r="AH35" s="10"/>
      <c r="AI35" s="10"/>
      <c r="AJ35" s="10"/>
      <c r="AK35" s="10"/>
      <c r="AM35" s="10"/>
      <c r="AN35" s="10"/>
      <c r="AO35" s="10"/>
      <c r="AP35" s="10"/>
    </row>
    <row r="36" spans="2:42" ht="12.6" thickTop="1">
      <c r="B36" s="41"/>
      <c r="C36" s="249"/>
      <c r="D36" s="254"/>
      <c r="E36" s="254"/>
      <c r="F36" s="254"/>
      <c r="G36" s="254"/>
      <c r="H36" s="254"/>
      <c r="I36" s="5"/>
      <c r="J36" s="49"/>
      <c r="K36" s="49"/>
      <c r="L36" s="49"/>
      <c r="M36" s="49"/>
      <c r="N36" s="49"/>
      <c r="O36" s="49"/>
      <c r="Q36" s="5"/>
      <c r="R36" s="5"/>
      <c r="S36" s="42"/>
      <c r="T36" s="42"/>
      <c r="U36" s="42"/>
      <c r="V36" s="42"/>
      <c r="W36" s="42"/>
      <c r="X36" s="42"/>
      <c r="Y36" s="42"/>
      <c r="Z36" s="42"/>
      <c r="AA36" s="42"/>
      <c r="AC36" s="10"/>
      <c r="AD36" s="10"/>
      <c r="AE36" s="10"/>
      <c r="AF36" s="10"/>
      <c r="AH36" s="10"/>
      <c r="AI36" s="10"/>
      <c r="AJ36" s="10"/>
      <c r="AK36" s="10"/>
      <c r="AM36" s="10"/>
      <c r="AN36" s="10"/>
      <c r="AO36" s="10"/>
      <c r="AP36" s="10"/>
    </row>
    <row r="37" spans="2:42">
      <c r="B37" s="5" t="s">
        <v>273</v>
      </c>
      <c r="C37" s="247"/>
      <c r="D37" s="557">
        <f t="shared" ref="D37:G41" si="2">D$18/D23</f>
        <v>47.193328395080187</v>
      </c>
      <c r="E37" s="557">
        <f t="shared" si="2"/>
        <v>43.974428930576956</v>
      </c>
      <c r="F37" s="557">
        <f t="shared" si="2"/>
        <v>37.552316947855871</v>
      </c>
      <c r="G37" s="557">
        <f t="shared" si="2"/>
        <v>31.649690997757475</v>
      </c>
      <c r="H37" s="17">
        <f t="shared" ref="H37:H45" si="3">H23</f>
        <v>4.9476557311922686E-2</v>
      </c>
      <c r="I37" s="259"/>
      <c r="J37" s="259"/>
      <c r="K37" s="259"/>
      <c r="L37" s="259"/>
      <c r="M37" s="259"/>
      <c r="N37" s="259"/>
      <c r="O37" s="18"/>
      <c r="Q37" s="5"/>
      <c r="R37" s="5"/>
      <c r="S37" s="42"/>
      <c r="T37" s="42"/>
      <c r="U37" s="42"/>
      <c r="V37" s="42"/>
      <c r="W37" s="42"/>
      <c r="X37" s="42"/>
      <c r="Y37" s="42"/>
      <c r="Z37" s="42"/>
      <c r="AA37" s="42"/>
      <c r="AC37" s="10"/>
      <c r="AD37" s="10"/>
      <c r="AE37" s="10"/>
      <c r="AF37" s="10"/>
      <c r="AH37" s="10"/>
      <c r="AI37" s="10"/>
      <c r="AJ37" s="10"/>
      <c r="AK37" s="10"/>
      <c r="AM37" s="10"/>
      <c r="AN37" s="10"/>
      <c r="AO37" s="10"/>
      <c r="AP37" s="10"/>
    </row>
    <row r="38" spans="2:42">
      <c r="B38" s="5" t="s">
        <v>184</v>
      </c>
      <c r="C38" s="247"/>
      <c r="D38" s="557">
        <f t="shared" si="2"/>
        <v>144.49908412579191</v>
      </c>
      <c r="E38" s="557">
        <f t="shared" si="2"/>
        <v>133.99145464186535</v>
      </c>
      <c r="F38" s="557">
        <f t="shared" si="2"/>
        <v>113.75750256840418</v>
      </c>
      <c r="G38" s="557">
        <f t="shared" si="2"/>
        <v>95.06277622145636</v>
      </c>
      <c r="H38" s="17">
        <f t="shared" si="3"/>
        <v>5.6218810807975972E-2</v>
      </c>
      <c r="I38" s="17"/>
      <c r="J38" s="17"/>
      <c r="K38" s="17"/>
      <c r="L38" s="17"/>
      <c r="M38" s="17"/>
      <c r="N38" s="17"/>
      <c r="O38" s="5"/>
      <c r="Q38" s="5"/>
      <c r="R38" s="5"/>
      <c r="S38" s="42"/>
      <c r="T38" s="42"/>
      <c r="U38" s="42"/>
      <c r="V38" s="42"/>
      <c r="W38" s="42"/>
      <c r="X38" s="42"/>
      <c r="Y38" s="42"/>
      <c r="Z38" s="42"/>
      <c r="AA38" s="42"/>
    </row>
    <row r="39" spans="2:42">
      <c r="B39" s="5" t="s">
        <v>185</v>
      </c>
      <c r="C39" s="247"/>
      <c r="D39" s="557">
        <f t="shared" si="2"/>
        <v>318.88259208510215</v>
      </c>
      <c r="E39" s="557">
        <f t="shared" si="2"/>
        <v>275.33537026997863</v>
      </c>
      <c r="F39" s="557">
        <f t="shared" si="2"/>
        <v>221.64278966496494</v>
      </c>
      <c r="G39" s="557">
        <f t="shared" si="2"/>
        <v>176.39559747763283</v>
      </c>
      <c r="H39" s="17">
        <f t="shared" si="3"/>
        <v>0.1190514494363597</v>
      </c>
      <c r="I39" s="5"/>
      <c r="J39" s="5"/>
      <c r="K39" s="5"/>
      <c r="L39" s="5"/>
      <c r="M39" s="5"/>
      <c r="N39" s="5"/>
      <c r="O39" s="5"/>
      <c r="Q39" s="5"/>
      <c r="R39" s="5"/>
      <c r="S39" s="42"/>
      <c r="T39" s="42"/>
      <c r="U39" s="42"/>
      <c r="V39" s="42"/>
      <c r="W39" s="288"/>
      <c r="X39" s="288"/>
      <c r="Y39" s="42"/>
      <c r="Z39" s="42"/>
      <c r="AA39" s="42"/>
    </row>
    <row r="40" spans="2:42">
      <c r="B40" s="5" t="s">
        <v>466</v>
      </c>
      <c r="C40" s="247"/>
      <c r="D40" s="557">
        <f t="shared" si="2"/>
        <v>407.31783707262946</v>
      </c>
      <c r="E40" s="557">
        <f t="shared" si="2"/>
        <v>354.34418194952445</v>
      </c>
      <c r="F40" s="557">
        <f t="shared" si="2"/>
        <v>285.78111968044561</v>
      </c>
      <c r="G40" s="557">
        <f t="shared" si="2"/>
        <v>227.65042652296677</v>
      </c>
      <c r="H40" s="17">
        <f t="shared" si="3"/>
        <v>0.11521178704677681</v>
      </c>
      <c r="I40" s="247"/>
      <c r="J40" s="259"/>
      <c r="K40" s="259"/>
      <c r="L40" s="259"/>
      <c r="M40" s="259"/>
      <c r="N40" s="259"/>
      <c r="O40" s="18"/>
      <c r="Q40" s="5"/>
      <c r="R40" s="5"/>
      <c r="S40" s="42"/>
      <c r="T40" s="42"/>
      <c r="U40" s="42"/>
      <c r="V40" s="42"/>
      <c r="W40" s="288"/>
      <c r="X40" s="288"/>
      <c r="Y40" s="288"/>
      <c r="Z40" s="288"/>
      <c r="AA40" s="42"/>
    </row>
    <row r="41" spans="2:42">
      <c r="B41" s="5" t="s">
        <v>530</v>
      </c>
      <c r="C41" s="247"/>
      <c r="D41" s="557">
        <f t="shared" si="2"/>
        <v>34.929307633527465</v>
      </c>
      <c r="E41" s="557">
        <f t="shared" si="2"/>
        <v>34.977431768279246</v>
      </c>
      <c r="F41" s="557">
        <f t="shared" si="2"/>
        <v>31.96062119548154</v>
      </c>
      <c r="G41" s="557">
        <f t="shared" si="2"/>
        <v>28.708076551488872</v>
      </c>
      <c r="H41" s="17">
        <f t="shared" si="3"/>
        <v>-1.9311706160580422E-2</v>
      </c>
      <c r="I41" s="248"/>
      <c r="J41" s="17"/>
      <c r="K41" s="17"/>
      <c r="L41" s="17"/>
      <c r="M41" s="17"/>
      <c r="N41" s="17"/>
      <c r="O41" s="5"/>
      <c r="Q41" s="5"/>
      <c r="R41" s="5"/>
      <c r="S41" s="42"/>
      <c r="T41" s="42"/>
      <c r="U41" s="42"/>
      <c r="V41" s="42"/>
      <c r="W41" s="288"/>
      <c r="X41" s="288"/>
      <c r="Y41" s="288"/>
      <c r="Z41" s="288"/>
      <c r="AA41" s="42"/>
    </row>
    <row r="42" spans="2:42">
      <c r="B42" s="5" t="s">
        <v>593</v>
      </c>
      <c r="C42" s="247"/>
      <c r="D42" s="557">
        <f>D18/D28</f>
        <v>55.200728365555712</v>
      </c>
      <c r="E42" s="557">
        <f>E18/E28</f>
        <v>54.309605609240755</v>
      </c>
      <c r="F42" s="557">
        <f>F18/F28</f>
        <v>48.656427655975996</v>
      </c>
      <c r="G42" s="557">
        <f>G18/G28</f>
        <v>44.041809341678963</v>
      </c>
      <c r="H42" s="17">
        <f t="shared" si="3"/>
        <v>-9.5583020329573776E-3</v>
      </c>
      <c r="I42" s="247"/>
      <c r="J42" s="5"/>
      <c r="K42" s="5"/>
      <c r="L42" s="5"/>
      <c r="M42" s="5"/>
      <c r="N42" s="5"/>
      <c r="O42" s="5"/>
      <c r="Q42" s="5"/>
      <c r="R42" s="5"/>
      <c r="S42" s="42"/>
      <c r="T42" s="42"/>
      <c r="U42" s="42"/>
      <c r="V42" s="42"/>
      <c r="W42" s="288"/>
      <c r="X42" s="288"/>
      <c r="Y42" s="288"/>
      <c r="Z42" s="288"/>
      <c r="AA42" s="42"/>
    </row>
    <row r="43" spans="2:42">
      <c r="B43" s="5" t="s">
        <v>475</v>
      </c>
      <c r="C43" s="247"/>
      <c r="D43" s="557">
        <f>L26/D29</f>
        <v>17.809910579143697</v>
      </c>
      <c r="E43" s="557">
        <f>M26/E29</f>
        <v>15.090404039687275</v>
      </c>
      <c r="F43" s="557">
        <f>N26/F29</f>
        <v>12.876274241249543</v>
      </c>
      <c r="G43" s="557">
        <f>O26/G29</f>
        <v>11.054638245047647</v>
      </c>
      <c r="H43" s="17">
        <f t="shared" si="3"/>
        <v>0.17490349102654967</v>
      </c>
      <c r="I43" s="247"/>
      <c r="J43" s="247"/>
      <c r="K43" s="247"/>
      <c r="L43" s="247"/>
      <c r="M43" s="247"/>
      <c r="N43" s="247"/>
      <c r="O43" s="18"/>
      <c r="Q43" s="5"/>
      <c r="R43" s="5"/>
      <c r="S43" s="42"/>
      <c r="T43" s="42"/>
      <c r="U43" s="42"/>
      <c r="V43" s="42"/>
      <c r="W43" s="325"/>
      <c r="X43" s="325"/>
      <c r="Y43" s="288"/>
      <c r="Z43" s="288"/>
      <c r="AA43" s="42"/>
    </row>
    <row r="44" spans="2:42">
      <c r="B44" s="5" t="s">
        <v>533</v>
      </c>
      <c r="C44" s="69"/>
      <c r="D44" s="557">
        <f>D11/D30</f>
        <v>317.45895157846934</v>
      </c>
      <c r="E44" s="557">
        <f>E11/E30</f>
        <v>282.08806852362591</v>
      </c>
      <c r="F44" s="557">
        <f>F11/F30</f>
        <v>246.64316141832273</v>
      </c>
      <c r="G44" s="557">
        <f>G11/G30</f>
        <v>217.18293821731166</v>
      </c>
      <c r="H44" s="17">
        <f t="shared" si="3"/>
        <v>0.14243906748114865</v>
      </c>
      <c r="I44" s="248"/>
      <c r="J44" s="248"/>
      <c r="K44" s="248"/>
      <c r="L44" s="248"/>
      <c r="M44" s="248"/>
      <c r="N44" s="248"/>
      <c r="O44" s="248"/>
      <c r="Q44" s="5"/>
      <c r="R44" s="5"/>
      <c r="S44" s="42"/>
      <c r="T44" s="42"/>
      <c r="U44" s="42"/>
      <c r="V44" s="42"/>
      <c r="W44" s="42"/>
      <c r="X44" s="42"/>
      <c r="Y44" s="325"/>
      <c r="Z44" s="325"/>
      <c r="AA44" s="42"/>
    </row>
    <row r="45" spans="2:42">
      <c r="B45" s="5" t="s">
        <v>580</v>
      </c>
      <c r="C45" s="247"/>
      <c r="D45" s="248">
        <f>D31/D11</f>
        <v>2.5118115528606558E-3</v>
      </c>
      <c r="E45" s="248">
        <f>E31/E11</f>
        <v>2.7149712821106205E-3</v>
      </c>
      <c r="F45" s="248">
        <f>F31/F11</f>
        <v>3.1670348015542089E-3</v>
      </c>
      <c r="G45" s="248">
        <f>G31/G11</f>
        <v>3.6868174221346673E-3</v>
      </c>
      <c r="H45" s="17">
        <f t="shared" si="3"/>
        <v>0.14402087057935331</v>
      </c>
      <c r="I45" s="247"/>
      <c r="J45" s="247"/>
      <c r="K45" s="247"/>
      <c r="L45" s="247"/>
      <c r="M45" s="247"/>
      <c r="N45" s="247"/>
      <c r="O45" s="248"/>
      <c r="Q45" s="5"/>
      <c r="R45" s="5"/>
      <c r="S45" s="42"/>
      <c r="T45" s="42"/>
      <c r="U45" s="42"/>
      <c r="V45" s="42"/>
      <c r="W45" s="42"/>
      <c r="X45" s="42"/>
      <c r="Y45" s="42"/>
      <c r="Z45" s="42"/>
      <c r="AA45" s="326"/>
      <c r="AB45" s="303"/>
    </row>
    <row r="46" spans="2:42">
      <c r="B46" s="5" t="s">
        <v>605</v>
      </c>
      <c r="C46" s="247"/>
      <c r="D46" s="248" t="e">
        <f>(D31+D32)/D11</f>
        <v>#VALUE!</v>
      </c>
      <c r="E46" s="248" t="e">
        <f>(E31+E32)/E11</f>
        <v>#VALUE!</v>
      </c>
      <c r="F46" s="248" t="e">
        <f>(F31+F32)/F11</f>
        <v>#VALUE!</v>
      </c>
      <c r="G46" s="248" t="e">
        <f>(G31+G32)/G11</f>
        <v>#VALUE!</v>
      </c>
      <c r="H46" s="279" t="e">
        <f>((G31+G32)/(D31+D32))^(1/3)-1</f>
        <v>#VALUE!</v>
      </c>
      <c r="I46" s="17"/>
      <c r="J46" s="247"/>
      <c r="K46" s="247"/>
      <c r="L46" s="247"/>
      <c r="M46" s="247"/>
      <c r="N46" s="247"/>
      <c r="O46" s="18"/>
      <c r="Q46" s="5"/>
      <c r="R46" s="5"/>
      <c r="S46" s="42"/>
      <c r="T46" s="42"/>
      <c r="U46" s="42"/>
      <c r="V46" s="42"/>
      <c r="W46" s="42"/>
      <c r="X46" s="42"/>
      <c r="Y46" s="42"/>
      <c r="Z46" s="42"/>
      <c r="AA46" s="326"/>
      <c r="AB46" s="303"/>
    </row>
    <row r="47" spans="2:42">
      <c r="B47" s="5" t="s">
        <v>581</v>
      </c>
      <c r="C47" s="5"/>
      <c r="D47" s="248">
        <f>1/D43</f>
        <v>5.6148513242455601E-2</v>
      </c>
      <c r="E47" s="248">
        <f>1/E43</f>
        <v>6.6267278024500359E-2</v>
      </c>
      <c r="F47" s="248">
        <f>1/F43</f>
        <v>7.7662216667960443E-2</v>
      </c>
      <c r="G47" s="248">
        <f>1/G43</f>
        <v>9.0459767007571565E-2</v>
      </c>
      <c r="H47" s="17">
        <f>H29</f>
        <v>0.17490349102654967</v>
      </c>
      <c r="I47" s="247"/>
      <c r="J47" s="248"/>
      <c r="K47" s="248"/>
      <c r="L47" s="248"/>
      <c r="M47" s="248"/>
      <c r="N47" s="248"/>
      <c r="O47" s="248"/>
      <c r="Q47" s="5"/>
      <c r="R47" s="5"/>
      <c r="S47" s="5"/>
      <c r="T47" s="5"/>
      <c r="U47" s="5"/>
      <c r="AA47" s="303"/>
      <c r="AB47" s="303"/>
    </row>
    <row r="48" spans="2:42">
      <c r="B48" s="5" t="s">
        <v>618</v>
      </c>
      <c r="C48" s="5"/>
      <c r="D48" s="305">
        <f>D31/D29</f>
        <v>0.80854695351595063</v>
      </c>
      <c r="E48" s="305">
        <f>E31/E29</f>
        <v>0.75036133360792934</v>
      </c>
      <c r="F48" s="305">
        <f>F31/F29</f>
        <v>0.74687408739414551</v>
      </c>
      <c r="G48" s="305">
        <f>G31/G29</f>
        <v>0.74644962589125985</v>
      </c>
      <c r="H48" s="17" t="s">
        <v>607</v>
      </c>
      <c r="I48" s="259"/>
      <c r="J48" s="247"/>
      <c r="K48" s="247"/>
      <c r="L48" s="247"/>
      <c r="M48" s="247"/>
      <c r="N48" s="247"/>
      <c r="O48" s="248"/>
      <c r="Q48" s="5"/>
      <c r="R48" s="5"/>
      <c r="S48" s="5"/>
      <c r="T48" s="5"/>
      <c r="U48" s="5"/>
      <c r="AA48" s="303"/>
      <c r="AB48" s="303"/>
    </row>
    <row r="49" spans="2:28">
      <c r="B49" s="41"/>
      <c r="C49" s="17"/>
      <c r="D49" s="17"/>
      <c r="E49" s="17"/>
      <c r="F49" s="17"/>
      <c r="G49" s="17"/>
      <c r="H49" s="17"/>
      <c r="I49" s="17"/>
      <c r="J49" s="17"/>
      <c r="K49" s="17"/>
      <c r="L49" s="17"/>
      <c r="M49" s="17"/>
      <c r="N49" s="17"/>
      <c r="O49" s="248"/>
      <c r="Q49" s="5"/>
      <c r="R49" s="5"/>
      <c r="S49" s="5"/>
      <c r="T49" s="5"/>
      <c r="U49" s="5"/>
      <c r="W49" s="10"/>
      <c r="X49" s="10"/>
      <c r="AA49" s="303"/>
      <c r="AB49" s="303"/>
    </row>
    <row r="50" spans="2:28">
      <c r="B50" s="5"/>
      <c r="C50" s="257"/>
      <c r="D50" s="257"/>
      <c r="E50" s="257"/>
      <c r="F50" s="5"/>
      <c r="G50" s="41"/>
      <c r="H50" s="249"/>
      <c r="I50" s="259"/>
      <c r="J50" s="249"/>
      <c r="K50" s="249"/>
      <c r="L50" s="249"/>
      <c r="M50" s="249"/>
      <c r="N50" s="249"/>
      <c r="O50" s="250"/>
      <c r="Q50" s="5"/>
      <c r="R50" s="5"/>
      <c r="S50" s="5"/>
      <c r="T50" s="5"/>
      <c r="U50" s="5"/>
      <c r="W50" s="10"/>
      <c r="X50" s="10"/>
      <c r="Y50" s="10"/>
      <c r="Z50" s="10"/>
    </row>
    <row r="51" spans="2:28">
      <c r="B51" s="41"/>
      <c r="C51" s="249"/>
      <c r="D51" s="254"/>
      <c r="E51" s="254"/>
      <c r="F51" s="254"/>
      <c r="G51" s="254"/>
      <c r="H51" s="254"/>
      <c r="I51" s="254"/>
      <c r="J51" s="254"/>
      <c r="K51" s="254"/>
      <c r="L51" s="254"/>
      <c r="M51" s="254"/>
      <c r="N51" s="254"/>
      <c r="O51" s="251"/>
      <c r="Q51" s="5"/>
      <c r="R51" s="5"/>
      <c r="S51" s="5"/>
      <c r="T51" s="5"/>
      <c r="U51" s="5"/>
      <c r="Y51" s="10"/>
      <c r="Z51" s="10"/>
    </row>
    <row r="52" spans="2:28">
      <c r="B52" s="5"/>
      <c r="C52" s="257"/>
      <c r="D52" s="17"/>
      <c r="E52" s="17"/>
      <c r="F52" s="17"/>
      <c r="G52" s="17"/>
      <c r="H52" s="17"/>
      <c r="I52" s="17"/>
      <c r="J52" s="17"/>
      <c r="K52" s="17"/>
      <c r="L52" s="17"/>
      <c r="M52" s="17"/>
      <c r="N52" s="17"/>
      <c r="O52" s="248"/>
      <c r="Q52" s="5"/>
      <c r="R52" s="5"/>
      <c r="S52" s="5"/>
      <c r="T52" s="5"/>
      <c r="U52" s="5"/>
    </row>
    <row r="53" spans="2:28">
      <c r="B53" s="5"/>
      <c r="C53" s="257"/>
      <c r="D53" s="257"/>
      <c r="E53" s="257"/>
      <c r="F53" s="5"/>
      <c r="G53" s="5"/>
      <c r="H53" s="259"/>
      <c r="I53" s="259"/>
      <c r="J53" s="259"/>
      <c r="K53" s="259"/>
      <c r="L53" s="259"/>
      <c r="M53" s="259"/>
      <c r="N53" s="259"/>
      <c r="O53" s="18"/>
      <c r="Q53" s="5"/>
      <c r="R53" s="5"/>
      <c r="S53" s="5"/>
      <c r="T53" s="5"/>
      <c r="U53" s="5"/>
    </row>
    <row r="54" spans="2:28">
      <c r="B54" s="41"/>
      <c r="C54" s="249"/>
      <c r="D54" s="254"/>
      <c r="E54" s="254"/>
      <c r="F54" s="254"/>
      <c r="G54" s="254"/>
      <c r="H54" s="254"/>
      <c r="I54" s="249"/>
      <c r="J54" s="254"/>
      <c r="K54" s="254"/>
      <c r="L54" s="254"/>
      <c r="M54" s="254"/>
      <c r="N54" s="254"/>
      <c r="O54" s="251"/>
      <c r="Q54" s="5"/>
      <c r="R54" s="5"/>
      <c r="S54" s="5"/>
      <c r="T54" s="5"/>
      <c r="U54" s="5"/>
    </row>
    <row r="55" spans="2:28">
      <c r="B55" s="5"/>
      <c r="C55" s="257"/>
      <c r="D55" s="17"/>
      <c r="E55" s="17"/>
      <c r="F55" s="17"/>
      <c r="G55" s="17"/>
      <c r="H55" s="17"/>
      <c r="I55" s="248"/>
      <c r="J55" s="259"/>
      <c r="K55" s="259"/>
      <c r="L55" s="259"/>
      <c r="M55" s="259"/>
      <c r="N55" s="259"/>
      <c r="O55" s="18"/>
      <c r="Q55" s="5"/>
      <c r="R55" s="5"/>
      <c r="S55" s="5"/>
      <c r="T55" s="5"/>
      <c r="U55" s="5"/>
    </row>
    <row r="56" spans="2:28">
      <c r="B56" s="5"/>
      <c r="C56" s="248"/>
      <c r="D56" s="248"/>
      <c r="E56" s="248"/>
      <c r="F56" s="5"/>
      <c r="G56" s="5"/>
      <c r="H56" s="259"/>
      <c r="I56" s="5"/>
      <c r="J56" s="249"/>
      <c r="K56" s="249"/>
      <c r="L56" s="249"/>
      <c r="M56" s="249"/>
      <c r="N56" s="249"/>
      <c r="O56" s="251"/>
      <c r="Q56" s="5"/>
      <c r="R56" s="5"/>
      <c r="S56" s="5"/>
      <c r="T56" s="5"/>
      <c r="U56" s="5"/>
    </row>
    <row r="57" spans="2:28">
      <c r="B57" s="41"/>
      <c r="C57" s="249"/>
      <c r="D57" s="249"/>
      <c r="E57" s="249"/>
      <c r="F57" s="249"/>
      <c r="G57" s="249"/>
      <c r="H57" s="249"/>
      <c r="I57" s="17"/>
      <c r="J57" s="248"/>
      <c r="K57" s="248"/>
      <c r="L57" s="248"/>
      <c r="M57" s="248"/>
      <c r="N57" s="248"/>
      <c r="O57" s="18"/>
      <c r="Q57" s="5"/>
      <c r="R57" s="5"/>
      <c r="S57" s="5"/>
      <c r="T57" s="5"/>
      <c r="U57" s="5"/>
    </row>
    <row r="58" spans="2:28">
      <c r="B58" s="5"/>
      <c r="C58" s="5"/>
      <c r="D58" s="248"/>
      <c r="E58" s="248"/>
      <c r="F58" s="248"/>
      <c r="G58" s="248"/>
      <c r="H58" s="248"/>
      <c r="I58" s="5"/>
      <c r="J58" s="5"/>
      <c r="K58" s="5"/>
      <c r="L58" s="5"/>
      <c r="M58" s="5"/>
      <c r="N58" s="5"/>
      <c r="O58" s="5"/>
      <c r="Q58" s="5"/>
      <c r="R58" s="5"/>
      <c r="S58" s="5"/>
      <c r="T58" s="5"/>
      <c r="U58" s="5"/>
    </row>
    <row r="59" spans="2:28">
      <c r="B59" s="5"/>
      <c r="C59" s="5"/>
      <c r="D59" s="5"/>
      <c r="E59" s="5"/>
      <c r="F59" s="5"/>
      <c r="G59" s="5"/>
      <c r="H59" s="5"/>
      <c r="I59" s="249"/>
      <c r="J59" s="17"/>
      <c r="K59" s="17"/>
      <c r="L59" s="17"/>
      <c r="M59" s="17"/>
      <c r="N59" s="17"/>
      <c r="O59" s="251"/>
      <c r="Q59" s="5"/>
      <c r="R59" s="5"/>
      <c r="S59" s="5"/>
      <c r="T59" s="5"/>
      <c r="U59" s="5"/>
    </row>
    <row r="60" spans="2:28">
      <c r="B60" s="41"/>
      <c r="C60" s="17"/>
      <c r="D60" s="17"/>
      <c r="E60" s="17"/>
      <c r="F60" s="17"/>
      <c r="G60" s="17"/>
      <c r="H60" s="17"/>
      <c r="I60" s="5"/>
      <c r="J60" s="5"/>
      <c r="K60" s="5"/>
      <c r="L60" s="5"/>
      <c r="M60" s="5"/>
      <c r="N60" s="5"/>
      <c r="O60" s="5"/>
      <c r="Q60" s="41"/>
      <c r="R60" s="5"/>
      <c r="S60" s="5"/>
      <c r="T60" s="5"/>
      <c r="U60" s="5"/>
    </row>
    <row r="61" spans="2:28">
      <c r="B61" s="5"/>
      <c r="C61" s="5"/>
      <c r="D61" s="5"/>
      <c r="E61" s="5"/>
      <c r="F61" s="5"/>
      <c r="G61" s="5"/>
      <c r="H61" s="5"/>
      <c r="I61" s="5"/>
      <c r="J61" s="249"/>
      <c r="K61" s="249"/>
      <c r="L61" s="249"/>
      <c r="M61" s="249"/>
      <c r="N61" s="249"/>
      <c r="O61" s="251"/>
      <c r="Q61" s="5"/>
      <c r="R61" s="5"/>
      <c r="S61" s="5"/>
      <c r="T61" s="5"/>
      <c r="U61" s="5"/>
    </row>
    <row r="62" spans="2:28">
      <c r="B62" s="41"/>
      <c r="C62" s="249"/>
      <c r="D62" s="249"/>
      <c r="E62" s="249"/>
      <c r="F62" s="249"/>
      <c r="G62" s="249"/>
      <c r="H62" s="249"/>
      <c r="I62" s="254"/>
      <c r="J62" s="5"/>
      <c r="K62" s="5"/>
      <c r="L62" s="5"/>
      <c r="M62" s="5"/>
      <c r="N62" s="5"/>
      <c r="O62" s="5"/>
      <c r="Q62" s="5"/>
      <c r="R62" s="5"/>
      <c r="S62" s="5"/>
      <c r="T62" s="5"/>
      <c r="U62" s="5"/>
    </row>
    <row r="63" spans="2:28">
      <c r="B63" s="5"/>
      <c r="C63" s="5"/>
      <c r="D63" s="5"/>
      <c r="E63" s="5"/>
      <c r="F63" s="5"/>
      <c r="G63" s="5"/>
      <c r="H63" s="5"/>
      <c r="I63" s="17"/>
      <c r="J63" s="5"/>
      <c r="K63" s="5"/>
      <c r="L63" s="5"/>
      <c r="M63" s="5"/>
      <c r="N63" s="5"/>
      <c r="O63" s="5"/>
      <c r="Q63" s="5"/>
      <c r="R63" s="5"/>
      <c r="S63" s="5"/>
      <c r="T63" s="5"/>
      <c r="U63" s="5"/>
    </row>
    <row r="64" spans="2:28">
      <c r="B64" s="5"/>
      <c r="C64" s="5"/>
      <c r="D64" s="5"/>
      <c r="E64" s="5"/>
      <c r="F64" s="5"/>
      <c r="G64" s="5"/>
      <c r="H64" s="5"/>
      <c r="I64" s="254"/>
      <c r="J64" s="254"/>
      <c r="K64" s="254"/>
      <c r="L64" s="254"/>
      <c r="M64" s="254"/>
      <c r="N64" s="254"/>
      <c r="O64" s="251"/>
      <c r="Q64" s="5"/>
      <c r="R64" s="5"/>
      <c r="S64" s="5"/>
      <c r="T64" s="5"/>
      <c r="U64" s="5"/>
    </row>
    <row r="65" spans="2:26">
      <c r="B65" s="41"/>
      <c r="C65" s="249"/>
      <c r="D65" s="254"/>
      <c r="E65" s="254"/>
      <c r="F65" s="254"/>
      <c r="G65" s="254"/>
      <c r="H65" s="254"/>
      <c r="I65" s="248"/>
      <c r="J65" s="17"/>
      <c r="K65" s="17"/>
      <c r="L65" s="17"/>
      <c r="M65" s="17"/>
      <c r="N65" s="17"/>
      <c r="O65" s="5"/>
      <c r="Q65" s="5"/>
      <c r="R65" s="5"/>
      <c r="S65" s="5"/>
      <c r="T65" s="5"/>
      <c r="U65" s="5"/>
    </row>
    <row r="66" spans="2:26">
      <c r="B66" s="5"/>
      <c r="C66" s="5"/>
      <c r="D66" s="17"/>
      <c r="E66" s="17"/>
      <c r="F66" s="17"/>
      <c r="G66" s="17"/>
      <c r="H66" s="17"/>
      <c r="I66" s="5"/>
      <c r="J66" s="254"/>
      <c r="K66" s="254"/>
      <c r="L66" s="254"/>
      <c r="M66" s="254"/>
      <c r="N66" s="254"/>
      <c r="O66" s="251"/>
      <c r="Q66" s="41"/>
      <c r="R66" s="5"/>
      <c r="S66" s="5"/>
      <c r="T66" s="5"/>
      <c r="U66" s="5"/>
    </row>
    <row r="67" spans="2:26">
      <c r="B67" s="41"/>
      <c r="C67" s="249"/>
      <c r="D67" s="254"/>
      <c r="E67" s="254"/>
      <c r="F67" s="254"/>
      <c r="G67" s="254"/>
      <c r="H67" s="254"/>
      <c r="I67" s="245"/>
      <c r="J67" s="248"/>
      <c r="K67" s="248"/>
      <c r="L67" s="248"/>
      <c r="M67" s="248"/>
      <c r="N67" s="248"/>
      <c r="O67" s="5"/>
      <c r="Q67" s="5"/>
      <c r="R67" s="5"/>
      <c r="S67" s="5"/>
      <c r="T67" s="5"/>
      <c r="U67" s="5"/>
    </row>
    <row r="68" spans="2:26">
      <c r="B68" s="5"/>
      <c r="C68" s="5"/>
      <c r="D68" s="248"/>
      <c r="E68" s="248"/>
      <c r="F68" s="248"/>
      <c r="G68" s="248"/>
      <c r="H68" s="248"/>
      <c r="I68" s="248"/>
      <c r="J68" s="5"/>
      <c r="K68" s="5"/>
      <c r="L68" s="5"/>
      <c r="M68" s="5"/>
      <c r="N68" s="5"/>
      <c r="O68" s="5"/>
      <c r="Q68" s="5"/>
      <c r="R68" s="5"/>
      <c r="S68" s="5"/>
      <c r="T68" s="5"/>
      <c r="U68" s="5"/>
    </row>
    <row r="69" spans="2:26">
      <c r="B69" s="41"/>
      <c r="C69" s="5"/>
      <c r="D69" s="5"/>
      <c r="E69" s="5"/>
      <c r="F69" s="5"/>
      <c r="G69" s="5"/>
      <c r="H69" s="5"/>
      <c r="I69" s="5"/>
      <c r="J69" s="245"/>
      <c r="K69" s="245"/>
      <c r="L69" s="245"/>
      <c r="M69" s="245"/>
      <c r="N69" s="245"/>
      <c r="O69" s="251"/>
      <c r="Q69" s="5"/>
      <c r="R69" s="5"/>
      <c r="S69" s="5"/>
      <c r="T69" s="5"/>
      <c r="U69" s="5"/>
      <c r="W69" s="76"/>
      <c r="X69" s="76"/>
    </row>
    <row r="70" spans="2:26">
      <c r="B70" s="41"/>
      <c r="C70" s="245"/>
      <c r="D70" s="245"/>
      <c r="E70" s="245"/>
      <c r="F70" s="245"/>
      <c r="G70" s="245"/>
      <c r="H70" s="245"/>
      <c r="I70" s="245"/>
      <c r="J70" s="248"/>
      <c r="K70" s="248"/>
      <c r="L70" s="248"/>
      <c r="M70" s="248"/>
      <c r="N70" s="248"/>
      <c r="O70" s="5"/>
      <c r="Q70" s="5"/>
      <c r="R70" s="5"/>
      <c r="S70" s="5"/>
      <c r="T70" s="5"/>
      <c r="U70" s="5"/>
      <c r="W70" s="76"/>
      <c r="X70" s="76"/>
      <c r="Y70" s="76"/>
      <c r="Z70" s="76"/>
    </row>
    <row r="71" spans="2:26">
      <c r="B71" s="5"/>
      <c r="C71" s="5"/>
      <c r="D71" s="248"/>
      <c r="E71" s="248"/>
      <c r="F71" s="248"/>
      <c r="G71" s="248"/>
      <c r="H71" s="248"/>
      <c r="I71" s="18"/>
      <c r="J71" s="5"/>
      <c r="K71" s="5"/>
      <c r="L71" s="5"/>
      <c r="M71" s="5"/>
      <c r="N71" s="5"/>
      <c r="O71" s="5"/>
      <c r="Q71" s="5"/>
      <c r="R71" s="5"/>
      <c r="S71" s="5"/>
      <c r="T71" s="5"/>
      <c r="U71" s="5"/>
      <c r="Y71" s="76"/>
      <c r="Z71" s="76"/>
    </row>
    <row r="72" spans="2:26">
      <c r="B72" s="41"/>
      <c r="C72" s="5"/>
      <c r="D72" s="5"/>
      <c r="E72" s="5"/>
      <c r="F72" s="5"/>
      <c r="G72" s="5"/>
      <c r="H72" s="5"/>
      <c r="I72" s="5"/>
      <c r="J72" s="245"/>
      <c r="K72" s="245"/>
      <c r="L72" s="245"/>
      <c r="M72" s="245"/>
      <c r="N72" s="245"/>
      <c r="O72" s="251"/>
      <c r="Q72" s="5"/>
      <c r="R72" s="5"/>
      <c r="S72" s="5"/>
      <c r="T72" s="5"/>
      <c r="U72" s="5"/>
    </row>
    <row r="73" spans="2:26">
      <c r="B73" s="41"/>
      <c r="C73" s="245"/>
      <c r="D73" s="245"/>
      <c r="E73" s="245"/>
      <c r="F73" s="245"/>
      <c r="G73" s="245"/>
      <c r="H73" s="245"/>
      <c r="I73" s="249"/>
      <c r="J73" s="18"/>
      <c r="K73" s="18"/>
      <c r="L73" s="18"/>
      <c r="M73" s="18"/>
      <c r="N73" s="18"/>
      <c r="O73" s="5"/>
      <c r="Q73" s="5"/>
      <c r="R73" s="5"/>
      <c r="S73" s="5"/>
      <c r="T73" s="5"/>
      <c r="U73" s="5"/>
    </row>
    <row r="74" spans="2:26">
      <c r="B74" s="5"/>
      <c r="C74" s="5"/>
      <c r="D74" s="18"/>
      <c r="E74" s="18"/>
      <c r="F74" s="18"/>
      <c r="G74" s="18"/>
      <c r="H74" s="18"/>
      <c r="I74" s="248"/>
      <c r="J74" s="5"/>
      <c r="K74" s="5"/>
      <c r="L74" s="5"/>
      <c r="M74" s="5"/>
      <c r="N74" s="5"/>
      <c r="O74" s="5"/>
      <c r="Q74" s="5"/>
      <c r="R74" s="5"/>
      <c r="S74" s="5"/>
      <c r="T74" s="5"/>
      <c r="U74" s="5"/>
    </row>
    <row r="75" spans="2:26">
      <c r="B75" s="41"/>
      <c r="C75" s="5"/>
      <c r="D75" s="5"/>
      <c r="E75" s="5"/>
      <c r="F75" s="5"/>
      <c r="G75" s="5"/>
      <c r="H75" s="5"/>
      <c r="I75" s="5"/>
      <c r="J75" s="249"/>
      <c r="K75" s="249"/>
      <c r="L75" s="249"/>
      <c r="M75" s="249"/>
      <c r="N75" s="249"/>
      <c r="O75" s="251"/>
      <c r="Q75" s="5"/>
      <c r="R75" s="5"/>
      <c r="S75" s="5"/>
      <c r="T75" s="5"/>
      <c r="U75" s="5"/>
    </row>
    <row r="76" spans="2:26">
      <c r="B76" s="41"/>
      <c r="C76" s="249"/>
      <c r="D76" s="249"/>
      <c r="E76" s="249"/>
      <c r="F76" s="249"/>
      <c r="G76" s="249"/>
      <c r="H76" s="249"/>
      <c r="I76" s="245"/>
      <c r="J76" s="248"/>
      <c r="K76" s="248"/>
      <c r="L76" s="248"/>
      <c r="M76" s="248"/>
      <c r="N76" s="248"/>
      <c r="O76" s="5"/>
      <c r="Q76" s="5"/>
      <c r="R76" s="5"/>
      <c r="S76" s="5"/>
      <c r="T76" s="5"/>
      <c r="U76" s="5"/>
    </row>
    <row r="77" spans="2:26">
      <c r="B77" s="5"/>
      <c r="C77" s="5"/>
      <c r="D77" s="248"/>
      <c r="E77" s="248"/>
      <c r="F77" s="248"/>
      <c r="G77" s="248"/>
      <c r="H77" s="248"/>
      <c r="I77" s="248"/>
      <c r="J77" s="5"/>
      <c r="K77" s="5"/>
      <c r="L77" s="5"/>
      <c r="M77" s="5"/>
      <c r="N77" s="5"/>
      <c r="O77" s="5"/>
      <c r="Q77" s="5"/>
      <c r="R77" s="5"/>
      <c r="S77" s="5"/>
      <c r="T77" s="5"/>
      <c r="U77" s="5"/>
    </row>
    <row r="78" spans="2:26">
      <c r="B78" s="41"/>
      <c r="C78" s="5"/>
      <c r="D78" s="5"/>
      <c r="E78" s="5"/>
      <c r="F78" s="5"/>
      <c r="G78" s="5"/>
      <c r="H78" s="5"/>
      <c r="I78" s="5"/>
      <c r="J78" s="245"/>
      <c r="K78" s="245"/>
      <c r="L78" s="245"/>
      <c r="M78" s="245"/>
      <c r="N78" s="245"/>
      <c r="O78" s="251"/>
      <c r="Q78" s="5"/>
      <c r="R78" s="5"/>
      <c r="S78" s="5"/>
      <c r="T78" s="5"/>
      <c r="U78" s="5"/>
    </row>
    <row r="79" spans="2:26">
      <c r="B79" s="41"/>
      <c r="C79" s="245"/>
      <c r="D79" s="245"/>
      <c r="E79" s="245"/>
      <c r="F79" s="245"/>
      <c r="G79" s="245"/>
      <c r="H79" s="245"/>
      <c r="I79" s="249"/>
      <c r="J79" s="248"/>
      <c r="K79" s="248"/>
      <c r="L79" s="248"/>
      <c r="M79" s="248"/>
      <c r="N79" s="248"/>
      <c r="O79" s="5"/>
      <c r="Q79" s="5"/>
      <c r="R79" s="5"/>
      <c r="S79" s="5"/>
      <c r="T79" s="5"/>
      <c r="U79" s="5"/>
    </row>
    <row r="80" spans="2:26">
      <c r="B80" s="5"/>
      <c r="C80" s="5"/>
      <c r="D80" s="248"/>
      <c r="E80" s="248"/>
      <c r="F80" s="248"/>
      <c r="G80" s="248"/>
      <c r="H80" s="248"/>
      <c r="I80" s="248"/>
      <c r="J80" s="5"/>
      <c r="K80" s="5"/>
      <c r="L80" s="5"/>
      <c r="M80" s="5"/>
      <c r="N80" s="5"/>
      <c r="O80" s="5"/>
      <c r="Q80" s="5"/>
      <c r="R80" s="5"/>
      <c r="S80" s="5"/>
      <c r="T80" s="5"/>
      <c r="U80" s="5"/>
    </row>
    <row r="81" spans="2:26">
      <c r="B81" s="41"/>
      <c r="C81" s="5"/>
      <c r="D81" s="5"/>
      <c r="E81" s="5"/>
      <c r="F81" s="5"/>
      <c r="G81" s="5"/>
      <c r="H81" s="5"/>
      <c r="I81" s="259"/>
      <c r="J81" s="249"/>
      <c r="K81" s="249"/>
      <c r="L81" s="249"/>
      <c r="M81" s="249"/>
      <c r="N81" s="249"/>
      <c r="O81" s="251"/>
      <c r="Q81" s="5"/>
      <c r="R81" s="5"/>
      <c r="S81" s="5"/>
      <c r="T81" s="5"/>
      <c r="U81" s="5"/>
    </row>
    <row r="82" spans="2:26">
      <c r="B82" s="41"/>
      <c r="C82" s="249"/>
      <c r="D82" s="249"/>
      <c r="E82" s="249"/>
      <c r="F82" s="249"/>
      <c r="G82" s="249"/>
      <c r="H82" s="249"/>
      <c r="I82" s="5"/>
      <c r="J82" s="248"/>
      <c r="K82" s="248"/>
      <c r="L82" s="248"/>
      <c r="M82" s="248"/>
      <c r="N82" s="248"/>
      <c r="O82" s="5"/>
      <c r="Q82" s="5"/>
      <c r="R82" s="5"/>
      <c r="S82" s="5"/>
      <c r="T82" s="5"/>
      <c r="U82" s="5"/>
    </row>
    <row r="83" spans="2:26">
      <c r="B83" s="5"/>
      <c r="C83" s="5"/>
      <c r="D83" s="248"/>
      <c r="E83" s="248"/>
      <c r="F83" s="248"/>
      <c r="G83" s="248"/>
      <c r="H83" s="248"/>
      <c r="I83" s="245"/>
      <c r="J83" s="259"/>
      <c r="K83" s="259"/>
      <c r="L83" s="259"/>
      <c r="M83" s="259"/>
      <c r="N83" s="259"/>
      <c r="O83" s="251"/>
      <c r="Q83" s="5"/>
      <c r="R83" s="5"/>
      <c r="S83" s="5"/>
      <c r="T83" s="5"/>
      <c r="U83" s="5"/>
    </row>
    <row r="84" spans="2:26">
      <c r="B84" s="5"/>
      <c r="C84" s="259"/>
      <c r="D84" s="259"/>
      <c r="E84" s="259"/>
      <c r="F84" s="259"/>
      <c r="G84" s="259"/>
      <c r="H84" s="259"/>
      <c r="I84" s="248"/>
      <c r="J84" s="5"/>
      <c r="K84" s="5"/>
      <c r="L84" s="5"/>
      <c r="M84" s="5"/>
      <c r="N84" s="5"/>
      <c r="O84" s="5"/>
      <c r="Q84" s="5"/>
      <c r="R84" s="5"/>
      <c r="S84" s="5"/>
      <c r="T84" s="5"/>
      <c r="U84" s="5"/>
    </row>
    <row r="85" spans="2:26">
      <c r="B85" s="41"/>
      <c r="C85" s="5"/>
      <c r="D85" s="5"/>
      <c r="E85" s="5"/>
      <c r="F85" s="5"/>
      <c r="G85" s="5"/>
      <c r="H85" s="5"/>
      <c r="I85" s="5"/>
      <c r="J85" s="245"/>
      <c r="K85" s="245"/>
      <c r="L85" s="245"/>
      <c r="M85" s="245"/>
      <c r="N85" s="245"/>
      <c r="O85" s="251"/>
      <c r="Q85" s="5"/>
      <c r="R85" s="5"/>
      <c r="S85" s="5"/>
      <c r="T85" s="5"/>
      <c r="U85" s="5"/>
    </row>
    <row r="86" spans="2:26">
      <c r="B86" s="41"/>
      <c r="C86" s="245"/>
      <c r="D86" s="245"/>
      <c r="E86" s="245"/>
      <c r="F86" s="245"/>
      <c r="G86" s="245"/>
      <c r="H86" s="245"/>
      <c r="I86" s="5"/>
      <c r="J86" s="248"/>
      <c r="K86" s="248"/>
      <c r="L86" s="248"/>
      <c r="M86" s="248"/>
      <c r="N86" s="248"/>
      <c r="O86" s="5"/>
      <c r="Q86" s="5"/>
      <c r="R86" s="5"/>
      <c r="S86" s="5"/>
      <c r="T86" s="5"/>
      <c r="U86" s="5"/>
    </row>
    <row r="87" spans="2:26">
      <c r="B87" s="5"/>
      <c r="C87" s="5"/>
      <c r="D87" s="248"/>
      <c r="E87" s="248"/>
      <c r="F87" s="248"/>
      <c r="G87" s="248"/>
      <c r="H87" s="248"/>
      <c r="I87" s="5"/>
      <c r="J87" s="5"/>
      <c r="K87" s="5"/>
      <c r="L87" s="5"/>
      <c r="M87" s="5"/>
      <c r="N87" s="5"/>
      <c r="O87" s="5"/>
      <c r="Q87" s="5"/>
      <c r="R87" s="5"/>
      <c r="S87" s="5"/>
      <c r="T87" s="5"/>
      <c r="U87" s="5"/>
    </row>
    <row r="88" spans="2:26">
      <c r="B88" s="41"/>
      <c r="C88" s="5"/>
      <c r="D88" s="5"/>
      <c r="E88" s="5"/>
      <c r="F88" s="5"/>
      <c r="G88" s="5"/>
      <c r="H88" s="5"/>
      <c r="I88" s="5"/>
      <c r="J88" s="5"/>
      <c r="K88" s="5"/>
      <c r="L88" s="5"/>
      <c r="M88" s="5"/>
      <c r="N88" s="5"/>
      <c r="O88" s="5"/>
      <c r="Q88" s="5"/>
      <c r="R88" s="5"/>
      <c r="S88" s="5"/>
      <c r="T88" s="5"/>
      <c r="U88" s="5"/>
    </row>
    <row r="89" spans="2:26">
      <c r="B89" s="41"/>
      <c r="C89" s="5"/>
      <c r="D89" s="5"/>
      <c r="E89" s="5"/>
      <c r="F89" s="5"/>
      <c r="G89" s="5"/>
      <c r="H89" s="5"/>
      <c r="I89" s="49"/>
      <c r="J89" s="5"/>
      <c r="K89" s="5"/>
      <c r="L89" s="5"/>
      <c r="M89" s="5"/>
      <c r="N89" s="5"/>
      <c r="O89" s="5"/>
      <c r="Q89" s="41"/>
      <c r="R89" s="5"/>
      <c r="S89" s="5"/>
      <c r="T89" s="5"/>
      <c r="U89" s="5"/>
    </row>
    <row r="90" spans="2:26">
      <c r="B90" s="41"/>
      <c r="C90" s="5"/>
      <c r="D90" s="5"/>
      <c r="E90" s="5"/>
      <c r="F90" s="5"/>
      <c r="G90" s="5"/>
      <c r="H90" s="5"/>
      <c r="I90" s="5"/>
      <c r="J90" s="5"/>
      <c r="K90" s="5"/>
      <c r="L90" s="5"/>
      <c r="M90" s="5"/>
      <c r="N90" s="5"/>
      <c r="O90" s="5"/>
      <c r="Q90" s="5"/>
      <c r="R90" s="5"/>
      <c r="S90" s="5"/>
      <c r="T90" s="5"/>
      <c r="U90" s="5"/>
    </row>
    <row r="91" spans="2:26">
      <c r="B91" s="5"/>
      <c r="C91" s="5"/>
      <c r="D91" s="5"/>
      <c r="E91" s="5"/>
      <c r="F91" s="5"/>
      <c r="G91" s="5"/>
      <c r="H91" s="5"/>
      <c r="I91" s="247"/>
      <c r="J91" s="49"/>
      <c r="K91" s="49"/>
      <c r="L91" s="49"/>
      <c r="M91" s="49"/>
      <c r="N91" s="49"/>
      <c r="O91" s="49"/>
      <c r="Q91" s="5"/>
      <c r="R91" s="5"/>
      <c r="S91" s="5"/>
      <c r="T91" s="5"/>
      <c r="U91" s="5"/>
      <c r="W91" s="21"/>
      <c r="X91" s="21"/>
    </row>
    <row r="92" spans="2:26">
      <c r="B92" s="41"/>
      <c r="C92" s="49"/>
      <c r="D92" s="49"/>
      <c r="E92" s="49"/>
      <c r="F92" s="49"/>
      <c r="G92" s="49"/>
      <c r="H92" s="49"/>
      <c r="I92" s="247"/>
      <c r="J92" s="5"/>
      <c r="K92" s="5"/>
      <c r="L92" s="5"/>
      <c r="M92" s="5"/>
      <c r="N92" s="5"/>
      <c r="O92" s="5"/>
      <c r="Q92" s="5"/>
      <c r="R92" s="5"/>
      <c r="S92" s="5"/>
      <c r="T92" s="5"/>
      <c r="U92" s="5"/>
      <c r="W92" s="21"/>
      <c r="X92" s="21"/>
      <c r="Y92" s="21"/>
      <c r="Z92" s="21"/>
    </row>
    <row r="93" spans="2:26">
      <c r="B93" s="5"/>
      <c r="C93" s="5"/>
      <c r="D93" s="5"/>
      <c r="E93" s="5"/>
      <c r="F93" s="5"/>
      <c r="G93" s="5"/>
      <c r="H93" s="5"/>
      <c r="I93" s="247"/>
      <c r="J93" s="247"/>
      <c r="K93" s="247"/>
      <c r="L93" s="247"/>
      <c r="M93" s="247"/>
      <c r="N93" s="247"/>
      <c r="O93" s="248"/>
      <c r="Q93" s="5"/>
      <c r="R93" s="5"/>
      <c r="S93" s="5"/>
      <c r="T93" s="5"/>
      <c r="U93" s="5"/>
      <c r="Y93" s="21"/>
      <c r="Z93" s="21"/>
    </row>
    <row r="94" spans="2:26">
      <c r="B94" s="5"/>
      <c r="C94" s="259"/>
      <c r="D94" s="247"/>
      <c r="E94" s="247"/>
      <c r="F94" s="247"/>
      <c r="G94" s="247"/>
      <c r="H94" s="247"/>
      <c r="I94" s="248"/>
      <c r="J94" s="247"/>
      <c r="K94" s="247"/>
      <c r="L94" s="247"/>
      <c r="M94" s="247"/>
      <c r="N94" s="247"/>
      <c r="O94" s="248"/>
      <c r="Q94" s="5"/>
      <c r="R94" s="5"/>
      <c r="S94" s="5"/>
      <c r="T94" s="5"/>
      <c r="U94" s="5"/>
    </row>
    <row r="95" spans="2:26">
      <c r="B95" s="5"/>
      <c r="C95" s="259"/>
      <c r="D95" s="247"/>
      <c r="E95" s="247"/>
      <c r="F95" s="247"/>
      <c r="G95" s="247"/>
      <c r="H95" s="247"/>
      <c r="I95" s="247"/>
      <c r="J95" s="247"/>
      <c r="K95" s="247"/>
      <c r="L95" s="247"/>
      <c r="M95" s="247"/>
      <c r="N95" s="247"/>
      <c r="O95" s="248"/>
      <c r="Q95" s="5"/>
      <c r="R95" s="5"/>
      <c r="S95" s="5"/>
      <c r="T95" s="5"/>
      <c r="U95" s="5"/>
    </row>
    <row r="96" spans="2:26">
      <c r="B96" s="5"/>
      <c r="C96" s="259"/>
      <c r="D96" s="247"/>
      <c r="E96" s="247"/>
      <c r="F96" s="247"/>
      <c r="G96" s="247"/>
      <c r="H96" s="247"/>
      <c r="I96" s="249"/>
      <c r="J96" s="248"/>
      <c r="K96" s="248"/>
      <c r="L96" s="248"/>
      <c r="M96" s="248"/>
      <c r="N96" s="248"/>
      <c r="O96" s="248"/>
      <c r="Q96" s="5"/>
      <c r="R96" s="5"/>
      <c r="S96" s="5"/>
      <c r="T96" s="5"/>
      <c r="U96" s="5"/>
    </row>
    <row r="97" spans="2:21">
      <c r="B97" s="5"/>
      <c r="C97" s="259"/>
      <c r="D97" s="248"/>
      <c r="E97" s="248"/>
      <c r="F97" s="248"/>
      <c r="G97" s="248"/>
      <c r="H97" s="248"/>
      <c r="I97" s="248"/>
      <c r="J97" s="247"/>
      <c r="K97" s="247"/>
      <c r="L97" s="247"/>
      <c r="M97" s="247"/>
      <c r="N97" s="247"/>
      <c r="O97" s="248"/>
      <c r="Q97" s="5"/>
      <c r="R97" s="5"/>
      <c r="S97" s="5"/>
      <c r="T97" s="5"/>
      <c r="U97" s="5"/>
    </row>
    <row r="98" spans="2:21">
      <c r="B98" s="5"/>
      <c r="C98" s="259"/>
      <c r="D98" s="247"/>
      <c r="E98" s="247"/>
      <c r="F98" s="247"/>
      <c r="G98" s="247"/>
      <c r="H98" s="247"/>
      <c r="I98" s="5"/>
      <c r="J98" s="249"/>
      <c r="K98" s="249"/>
      <c r="L98" s="249"/>
      <c r="M98" s="249"/>
      <c r="N98" s="249"/>
      <c r="O98" s="248"/>
      <c r="Q98" s="5"/>
      <c r="R98" s="5"/>
      <c r="S98" s="5"/>
      <c r="T98" s="5"/>
      <c r="U98" s="5"/>
    </row>
    <row r="99" spans="2:21">
      <c r="B99" s="41"/>
      <c r="C99" s="249"/>
      <c r="D99" s="249"/>
      <c r="E99" s="249"/>
      <c r="F99" s="249"/>
      <c r="G99" s="249"/>
      <c r="H99" s="249"/>
      <c r="I99" s="259"/>
      <c r="J99" s="248"/>
      <c r="K99" s="248"/>
      <c r="L99" s="248"/>
      <c r="M99" s="248"/>
      <c r="N99" s="248"/>
      <c r="O99" s="248"/>
      <c r="Q99" s="5"/>
      <c r="R99" s="5"/>
      <c r="S99" s="5"/>
      <c r="T99" s="5"/>
      <c r="U99" s="5"/>
    </row>
    <row r="100" spans="2:21" s="5" customFormat="1">
      <c r="B100" s="41"/>
      <c r="C100" s="257"/>
      <c r="D100" s="248"/>
      <c r="E100" s="248"/>
      <c r="F100" s="248"/>
      <c r="G100" s="248"/>
      <c r="H100" s="248"/>
      <c r="I100" s="259"/>
      <c r="O100" s="248"/>
      <c r="P100" s="39"/>
    </row>
    <row r="101" spans="2:21">
      <c r="B101" s="41"/>
      <c r="C101" s="5"/>
      <c r="D101" s="5"/>
      <c r="E101" s="5"/>
      <c r="F101" s="5"/>
      <c r="G101" s="5"/>
      <c r="H101" s="5"/>
      <c r="I101" s="247"/>
      <c r="J101" s="259"/>
      <c r="K101" s="259"/>
      <c r="L101" s="259"/>
      <c r="M101" s="259"/>
      <c r="N101" s="259"/>
      <c r="O101" s="5"/>
      <c r="Q101" s="5"/>
      <c r="R101" s="5"/>
      <c r="S101" s="5"/>
      <c r="T101" s="5"/>
      <c r="U101" s="5"/>
    </row>
    <row r="102" spans="2:21">
      <c r="B102" s="5"/>
      <c r="C102" s="259"/>
      <c r="D102" s="259"/>
      <c r="E102" s="259"/>
      <c r="F102" s="259"/>
      <c r="G102" s="259"/>
      <c r="H102" s="259"/>
      <c r="I102" s="5"/>
      <c r="J102" s="259"/>
      <c r="K102" s="259"/>
      <c r="L102" s="259"/>
      <c r="M102" s="259"/>
      <c r="N102" s="259"/>
      <c r="O102" s="5"/>
      <c r="P102" s="5"/>
      <c r="Q102" s="5"/>
      <c r="R102" s="5"/>
      <c r="S102" s="5"/>
      <c r="T102" s="5"/>
      <c r="U102" s="5"/>
    </row>
    <row r="103" spans="2:21">
      <c r="B103" s="5"/>
      <c r="C103" s="259"/>
      <c r="D103" s="259"/>
      <c r="E103" s="259"/>
      <c r="F103" s="259"/>
      <c r="G103" s="259"/>
      <c r="H103" s="259"/>
      <c r="I103" s="247"/>
      <c r="J103" s="247"/>
      <c r="K103" s="247"/>
      <c r="L103" s="247"/>
      <c r="M103" s="247"/>
      <c r="N103" s="247"/>
      <c r="O103" s="5"/>
      <c r="Q103" s="5"/>
      <c r="R103" s="5"/>
      <c r="S103" s="5"/>
      <c r="T103" s="5"/>
      <c r="U103" s="5"/>
    </row>
    <row r="104" spans="2:21" s="5" customFormat="1">
      <c r="C104" s="247"/>
      <c r="D104" s="247"/>
      <c r="E104" s="247"/>
      <c r="F104" s="247"/>
      <c r="G104" s="247"/>
      <c r="H104" s="247"/>
      <c r="P104" s="39"/>
    </row>
    <row r="105" spans="2:21" s="5" customFormat="1">
      <c r="I105" s="259"/>
      <c r="J105" s="247"/>
      <c r="K105" s="247"/>
      <c r="L105" s="247"/>
      <c r="M105" s="247"/>
      <c r="N105" s="247"/>
      <c r="P105" s="39"/>
    </row>
    <row r="106" spans="2:21">
      <c r="B106" s="5"/>
      <c r="C106" s="259"/>
      <c r="D106" s="247"/>
      <c r="E106" s="247"/>
      <c r="F106" s="247"/>
      <c r="G106" s="247"/>
      <c r="H106" s="247"/>
      <c r="I106" s="247"/>
      <c r="J106" s="5"/>
      <c r="K106" s="5"/>
      <c r="L106" s="5"/>
      <c r="M106" s="5"/>
      <c r="N106" s="5"/>
      <c r="O106" s="5"/>
      <c r="P106" s="5"/>
      <c r="Q106" s="5"/>
      <c r="R106" s="5"/>
      <c r="S106" s="5"/>
      <c r="T106" s="5"/>
      <c r="U106" s="5"/>
    </row>
    <row r="107" spans="2:21">
      <c r="B107" s="5"/>
      <c r="C107" s="259"/>
      <c r="D107" s="5"/>
      <c r="E107" s="5"/>
      <c r="F107" s="5"/>
      <c r="G107" s="5"/>
      <c r="H107" s="5"/>
      <c r="I107" s="249"/>
      <c r="J107" s="259"/>
      <c r="K107" s="259"/>
      <c r="L107" s="259"/>
      <c r="M107" s="259"/>
      <c r="N107" s="259"/>
      <c r="O107" s="5"/>
      <c r="P107" s="5"/>
      <c r="Q107" s="5"/>
      <c r="R107" s="5"/>
      <c r="S107" s="5"/>
      <c r="T107" s="5"/>
      <c r="U107" s="5"/>
    </row>
    <row r="108" spans="2:21">
      <c r="B108" s="5"/>
      <c r="C108" s="259"/>
      <c r="D108" s="259"/>
      <c r="E108" s="259"/>
      <c r="F108" s="259"/>
      <c r="G108" s="259"/>
      <c r="H108" s="259"/>
      <c r="I108" s="249"/>
      <c r="J108" s="247"/>
      <c r="K108" s="247"/>
      <c r="L108" s="247"/>
      <c r="M108" s="247"/>
      <c r="N108" s="247"/>
      <c r="O108" s="5"/>
      <c r="Q108" s="5"/>
      <c r="R108" s="5"/>
      <c r="S108" s="5"/>
      <c r="T108" s="5"/>
      <c r="U108" s="5"/>
    </row>
    <row r="109" spans="2:21">
      <c r="B109" s="5"/>
      <c r="C109" s="247"/>
      <c r="D109" s="247"/>
      <c r="E109" s="247"/>
      <c r="F109" s="247"/>
      <c r="G109" s="247"/>
      <c r="H109" s="247"/>
      <c r="I109" s="247"/>
      <c r="J109" s="249"/>
      <c r="K109" s="249"/>
      <c r="L109" s="249"/>
      <c r="M109" s="249"/>
      <c r="N109" s="249"/>
      <c r="O109" s="5"/>
      <c r="Q109" s="5"/>
      <c r="R109" s="5"/>
      <c r="S109" s="5"/>
      <c r="T109" s="5"/>
      <c r="U109" s="5"/>
    </row>
    <row r="110" spans="2:21">
      <c r="B110" s="41"/>
      <c r="C110" s="249"/>
      <c r="D110" s="249"/>
      <c r="E110" s="249"/>
      <c r="F110" s="249"/>
      <c r="G110" s="249"/>
      <c r="H110" s="249"/>
      <c r="I110" s="5"/>
      <c r="J110" s="249"/>
      <c r="K110" s="249"/>
      <c r="L110" s="249"/>
      <c r="M110" s="249"/>
      <c r="N110" s="249"/>
      <c r="O110" s="5"/>
      <c r="Q110" s="5"/>
      <c r="R110" s="5"/>
      <c r="S110" s="5"/>
      <c r="T110" s="5"/>
      <c r="U110" s="5"/>
    </row>
    <row r="111" spans="2:21">
      <c r="B111" s="5"/>
      <c r="C111" s="249"/>
      <c r="D111" s="249"/>
      <c r="E111" s="249"/>
      <c r="F111" s="249"/>
      <c r="G111" s="249"/>
      <c r="H111" s="249"/>
      <c r="I111" s="5"/>
      <c r="J111" s="247"/>
      <c r="K111" s="247"/>
      <c r="L111" s="247"/>
      <c r="M111" s="247"/>
      <c r="N111" s="247"/>
      <c r="O111" s="5"/>
      <c r="Q111" s="5"/>
      <c r="R111" s="5"/>
      <c r="S111" s="5"/>
      <c r="T111" s="5"/>
      <c r="U111" s="5"/>
    </row>
    <row r="112" spans="2:21">
      <c r="B112" s="5"/>
      <c r="C112" s="247"/>
      <c r="D112" s="247"/>
      <c r="E112" s="247"/>
      <c r="F112" s="247"/>
      <c r="G112" s="247"/>
      <c r="H112" s="247"/>
      <c r="I112" s="5"/>
      <c r="J112" s="5"/>
      <c r="K112" s="5"/>
      <c r="L112" s="5"/>
      <c r="M112" s="5"/>
      <c r="N112" s="5"/>
      <c r="O112" s="5"/>
      <c r="Q112" s="5"/>
      <c r="R112" s="5"/>
      <c r="S112" s="5"/>
      <c r="T112" s="5"/>
      <c r="U112" s="5"/>
    </row>
    <row r="113" spans="2:21">
      <c r="B113" s="5"/>
      <c r="C113" s="5"/>
      <c r="D113" s="5"/>
      <c r="E113" s="5"/>
      <c r="F113" s="5"/>
      <c r="G113" s="5"/>
      <c r="H113" s="5"/>
      <c r="I113" s="5"/>
      <c r="J113" s="5"/>
      <c r="K113" s="5"/>
      <c r="L113" s="5"/>
      <c r="M113" s="5"/>
      <c r="N113" s="5"/>
      <c r="O113" s="5"/>
      <c r="Q113" s="5"/>
      <c r="R113" s="5"/>
      <c r="S113" s="5"/>
      <c r="T113" s="5"/>
      <c r="U113" s="5"/>
    </row>
    <row r="114" spans="2:21">
      <c r="B114" s="5"/>
      <c r="C114" s="5"/>
      <c r="D114" s="5"/>
      <c r="E114" s="5"/>
      <c r="F114" s="5"/>
      <c r="G114" s="5"/>
      <c r="H114" s="5"/>
      <c r="I114" s="49"/>
      <c r="J114" s="5"/>
      <c r="K114" s="5"/>
      <c r="L114" s="5"/>
      <c r="M114" s="5"/>
      <c r="N114" s="5"/>
      <c r="O114" s="5"/>
      <c r="Q114" s="41"/>
      <c r="R114" s="5"/>
      <c r="S114" s="5"/>
      <c r="T114" s="5"/>
      <c r="U114" s="5"/>
    </row>
    <row r="115" spans="2:21">
      <c r="B115" s="5"/>
      <c r="C115" s="5"/>
      <c r="D115" s="5"/>
      <c r="E115" s="5"/>
      <c r="F115" s="5"/>
      <c r="G115" s="5"/>
      <c r="H115" s="5"/>
      <c r="I115" s="5"/>
      <c r="J115" s="5"/>
      <c r="K115" s="5"/>
      <c r="L115" s="5"/>
      <c r="M115" s="5"/>
      <c r="N115" s="5"/>
      <c r="O115" s="5"/>
      <c r="Q115" s="5"/>
      <c r="R115" s="5"/>
      <c r="S115" s="5"/>
      <c r="T115" s="5"/>
      <c r="U115" s="5"/>
    </row>
    <row r="116" spans="2:21">
      <c r="B116" s="5"/>
      <c r="C116" s="5"/>
      <c r="D116" s="5"/>
      <c r="E116" s="5"/>
      <c r="F116" s="5"/>
      <c r="G116" s="5"/>
      <c r="H116" s="5"/>
      <c r="I116" s="254"/>
      <c r="J116" s="49"/>
      <c r="K116" s="49"/>
      <c r="L116" s="49"/>
      <c r="M116" s="49"/>
      <c r="N116" s="49"/>
      <c r="O116" s="49"/>
      <c r="Q116" s="5"/>
      <c r="R116" s="5"/>
      <c r="S116" s="5"/>
      <c r="T116" s="5"/>
      <c r="U116" s="5"/>
    </row>
    <row r="117" spans="2:21">
      <c r="B117" s="41"/>
      <c r="C117" s="49"/>
      <c r="D117" s="49"/>
      <c r="E117" s="49"/>
      <c r="F117" s="49"/>
      <c r="G117" s="49"/>
      <c r="H117" s="49"/>
      <c r="I117" s="249"/>
      <c r="J117" s="5"/>
      <c r="K117" s="5"/>
      <c r="L117" s="5"/>
      <c r="M117" s="5"/>
      <c r="N117" s="5"/>
      <c r="O117" s="5"/>
      <c r="Q117" s="5"/>
      <c r="R117" s="5"/>
      <c r="S117" s="5"/>
      <c r="T117" s="5"/>
      <c r="U117" s="5"/>
    </row>
    <row r="118" spans="2:21">
      <c r="B118" s="5"/>
      <c r="C118" s="5"/>
      <c r="D118" s="5"/>
      <c r="E118" s="5"/>
      <c r="F118" s="5"/>
      <c r="G118" s="5"/>
      <c r="H118" s="5"/>
      <c r="I118" s="254"/>
      <c r="J118" s="254"/>
      <c r="K118" s="254"/>
      <c r="L118" s="254"/>
      <c r="M118" s="254"/>
      <c r="N118" s="254"/>
      <c r="O118" s="248"/>
      <c r="Q118" s="5"/>
      <c r="R118" s="5"/>
      <c r="S118" s="5"/>
      <c r="T118" s="5"/>
      <c r="U118" s="5"/>
    </row>
    <row r="119" spans="2:21">
      <c r="B119" s="41"/>
      <c r="C119" s="254"/>
      <c r="D119" s="254"/>
      <c r="E119" s="254"/>
      <c r="F119" s="254"/>
      <c r="G119" s="254"/>
      <c r="H119" s="254"/>
      <c r="I119" s="254"/>
      <c r="J119" s="249"/>
      <c r="K119" s="249"/>
      <c r="L119" s="249"/>
      <c r="M119" s="249"/>
      <c r="N119" s="249"/>
      <c r="O119" s="248"/>
      <c r="Q119" s="5"/>
      <c r="R119" s="5"/>
      <c r="S119" s="5"/>
      <c r="T119" s="5"/>
      <c r="U119" s="5"/>
    </row>
    <row r="120" spans="2:21">
      <c r="B120" s="41"/>
      <c r="C120" s="254"/>
      <c r="D120" s="249"/>
      <c r="E120" s="249"/>
      <c r="F120" s="249"/>
      <c r="G120" s="249"/>
      <c r="H120" s="249"/>
      <c r="I120" s="254"/>
      <c r="J120" s="254"/>
      <c r="K120" s="254"/>
      <c r="L120" s="254"/>
      <c r="M120" s="254"/>
      <c r="N120" s="254"/>
      <c r="O120" s="248"/>
      <c r="Q120" s="5"/>
      <c r="R120" s="5"/>
      <c r="S120" s="5"/>
      <c r="T120" s="5"/>
      <c r="U120" s="5"/>
    </row>
    <row r="121" spans="2:21">
      <c r="B121" s="41"/>
      <c r="C121" s="254"/>
      <c r="D121" s="254"/>
      <c r="E121" s="254"/>
      <c r="F121" s="254"/>
      <c r="G121" s="254"/>
      <c r="H121" s="254"/>
      <c r="I121" s="254"/>
      <c r="J121" s="254"/>
      <c r="K121" s="254"/>
      <c r="L121" s="254"/>
      <c r="M121" s="254"/>
      <c r="N121" s="254"/>
      <c r="O121" s="248"/>
      <c r="Q121" s="5"/>
      <c r="R121" s="5"/>
      <c r="S121" s="5"/>
      <c r="T121" s="5"/>
      <c r="U121" s="5"/>
    </row>
    <row r="122" spans="2:21">
      <c r="B122" s="41"/>
      <c r="C122" s="254"/>
      <c r="D122" s="254"/>
      <c r="E122" s="254"/>
      <c r="F122" s="254"/>
      <c r="G122" s="254"/>
      <c r="H122" s="254"/>
      <c r="I122" s="254"/>
      <c r="J122" s="254"/>
      <c r="K122" s="254"/>
      <c r="L122" s="254"/>
      <c r="M122" s="254"/>
      <c r="N122" s="254"/>
      <c r="O122" s="248"/>
      <c r="Q122" s="5"/>
      <c r="R122" s="5"/>
      <c r="S122" s="5"/>
      <c r="T122" s="5"/>
      <c r="U122" s="5"/>
    </row>
    <row r="123" spans="2:21">
      <c r="B123" s="41"/>
      <c r="C123" s="254"/>
      <c r="D123" s="254"/>
      <c r="E123" s="254"/>
      <c r="F123" s="254"/>
      <c r="G123" s="254"/>
      <c r="H123" s="254"/>
      <c r="I123" s="254"/>
      <c r="J123" s="254"/>
      <c r="K123" s="254"/>
      <c r="L123" s="254"/>
      <c r="M123" s="254"/>
      <c r="N123" s="254"/>
      <c r="O123" s="248"/>
      <c r="Q123" s="5"/>
      <c r="R123" s="5"/>
      <c r="S123" s="5"/>
      <c r="T123" s="5"/>
      <c r="U123" s="5"/>
    </row>
    <row r="124" spans="2:21">
      <c r="B124" s="41"/>
      <c r="C124" s="254"/>
      <c r="D124" s="254"/>
      <c r="E124" s="254"/>
      <c r="F124" s="254"/>
      <c r="G124" s="254"/>
      <c r="H124" s="254"/>
      <c r="I124" s="254"/>
      <c r="J124" s="254"/>
      <c r="K124" s="254"/>
      <c r="L124" s="254"/>
      <c r="M124" s="254"/>
      <c r="N124" s="254"/>
      <c r="O124" s="5"/>
      <c r="Q124" s="5"/>
      <c r="R124" s="5"/>
      <c r="S124" s="5"/>
      <c r="T124" s="5"/>
      <c r="U124" s="5"/>
    </row>
    <row r="125" spans="2:21">
      <c r="B125" s="41"/>
      <c r="C125" s="254"/>
      <c r="D125" s="254"/>
      <c r="E125" s="254"/>
      <c r="F125" s="254"/>
      <c r="G125" s="254"/>
      <c r="H125" s="254"/>
      <c r="I125" s="254"/>
      <c r="J125" s="254"/>
      <c r="K125" s="254"/>
      <c r="L125" s="254"/>
      <c r="M125" s="254"/>
      <c r="N125" s="254"/>
      <c r="O125" s="5"/>
      <c r="Q125" s="5"/>
      <c r="R125" s="5"/>
      <c r="S125" s="5"/>
      <c r="T125" s="5"/>
      <c r="U125" s="5"/>
    </row>
    <row r="126" spans="2:21">
      <c r="B126" s="41"/>
      <c r="C126" s="254"/>
      <c r="D126" s="254"/>
      <c r="E126" s="254"/>
      <c r="F126" s="254"/>
      <c r="G126" s="254"/>
      <c r="H126" s="254"/>
      <c r="I126" s="18"/>
      <c r="J126" s="254"/>
      <c r="K126" s="254"/>
      <c r="L126" s="254"/>
      <c r="M126" s="254"/>
      <c r="N126" s="254"/>
      <c r="O126" s="5"/>
      <c r="Q126" s="5"/>
      <c r="R126" s="5"/>
      <c r="S126" s="5"/>
      <c r="T126" s="5"/>
      <c r="U126" s="5"/>
    </row>
    <row r="127" spans="2:21">
      <c r="B127" s="41"/>
      <c r="C127" s="254"/>
      <c r="D127" s="254"/>
      <c r="E127" s="254"/>
      <c r="F127" s="254"/>
      <c r="G127" s="254"/>
      <c r="H127" s="254"/>
      <c r="I127" s="5"/>
      <c r="J127" s="254"/>
      <c r="K127" s="254"/>
      <c r="L127" s="254"/>
      <c r="M127" s="254"/>
      <c r="N127" s="254"/>
      <c r="O127" s="5"/>
      <c r="Q127" s="5"/>
      <c r="R127" s="5"/>
      <c r="S127" s="5"/>
      <c r="T127" s="5"/>
      <c r="U127" s="5"/>
    </row>
    <row r="128" spans="2:21">
      <c r="B128" s="41"/>
      <c r="C128" s="254"/>
      <c r="D128" s="254"/>
      <c r="E128" s="254"/>
      <c r="F128" s="254"/>
      <c r="G128" s="254"/>
      <c r="H128" s="254"/>
      <c r="I128" s="254"/>
      <c r="J128" s="18"/>
      <c r="K128" s="18"/>
      <c r="L128" s="18"/>
      <c r="M128" s="18"/>
      <c r="N128" s="18"/>
      <c r="O128" s="5"/>
      <c r="Q128" s="5"/>
      <c r="R128" s="5"/>
      <c r="S128" s="5"/>
      <c r="T128" s="5"/>
      <c r="U128" s="5"/>
    </row>
    <row r="129" spans="2:27">
      <c r="B129" s="5"/>
      <c r="C129" s="5"/>
      <c r="D129" s="18"/>
      <c r="E129" s="18"/>
      <c r="F129" s="18"/>
      <c r="G129" s="18"/>
      <c r="H129" s="18"/>
      <c r="I129" s="18"/>
      <c r="J129" s="5"/>
      <c r="K129" s="5"/>
      <c r="L129" s="5"/>
      <c r="M129" s="5"/>
      <c r="N129" s="5"/>
      <c r="O129" s="5"/>
      <c r="Q129" s="5"/>
      <c r="R129" s="5"/>
      <c r="S129" s="5"/>
      <c r="T129" s="5"/>
      <c r="U129" s="5"/>
    </row>
    <row r="130" spans="2:27">
      <c r="B130" s="5"/>
      <c r="C130" s="5"/>
      <c r="D130" s="5"/>
      <c r="E130" s="5"/>
      <c r="F130" s="5"/>
      <c r="G130" s="5"/>
      <c r="H130" s="5"/>
      <c r="I130" s="5"/>
      <c r="J130" s="254"/>
      <c r="K130" s="254"/>
      <c r="L130" s="254"/>
      <c r="M130" s="254"/>
      <c r="N130" s="254"/>
      <c r="O130" s="5"/>
      <c r="Q130" s="5"/>
      <c r="R130" s="5"/>
      <c r="S130" s="5"/>
      <c r="T130" s="5"/>
      <c r="U130" s="5"/>
    </row>
    <row r="131" spans="2:27">
      <c r="B131" s="41"/>
      <c r="C131" s="254"/>
      <c r="D131" s="254"/>
      <c r="E131" s="254"/>
      <c r="F131" s="254"/>
      <c r="G131" s="254"/>
      <c r="H131" s="254"/>
      <c r="I131" s="5"/>
      <c r="J131" s="18"/>
      <c r="K131" s="18"/>
      <c r="L131" s="18"/>
      <c r="M131" s="18"/>
      <c r="N131" s="18"/>
      <c r="O131" s="5"/>
      <c r="Q131" s="5"/>
      <c r="R131" s="5"/>
      <c r="S131" s="5"/>
      <c r="T131" s="5"/>
      <c r="U131" s="5"/>
    </row>
    <row r="132" spans="2:27">
      <c r="B132" s="5"/>
      <c r="C132" s="259"/>
      <c r="D132" s="18"/>
      <c r="E132" s="18"/>
      <c r="F132" s="18"/>
      <c r="G132" s="18"/>
      <c r="H132" s="18"/>
      <c r="I132" s="17"/>
      <c r="J132" s="5"/>
      <c r="K132" s="5"/>
      <c r="L132" s="5"/>
      <c r="M132" s="5"/>
      <c r="N132" s="5"/>
      <c r="O132" s="5"/>
      <c r="Q132" s="5"/>
      <c r="R132" s="5"/>
      <c r="S132" s="5"/>
      <c r="T132" s="5"/>
      <c r="U132" s="5"/>
    </row>
    <row r="133" spans="2:27">
      <c r="B133" s="5"/>
      <c r="C133" s="5"/>
      <c r="D133" s="5"/>
      <c r="E133" s="5"/>
      <c r="F133" s="5"/>
      <c r="G133" s="5"/>
      <c r="H133" s="5"/>
      <c r="I133" s="17"/>
      <c r="J133" s="5"/>
      <c r="K133" s="5"/>
      <c r="L133" s="5"/>
      <c r="M133" s="5"/>
      <c r="N133" s="5"/>
      <c r="O133" s="5"/>
      <c r="Q133" s="5"/>
      <c r="R133" s="5"/>
      <c r="S133" s="5"/>
      <c r="T133" s="5"/>
      <c r="U133" s="5"/>
    </row>
    <row r="134" spans="2:27">
      <c r="B134" s="41"/>
      <c r="C134" s="5"/>
      <c r="D134" s="5"/>
      <c r="E134" s="5"/>
      <c r="F134" s="5"/>
      <c r="G134" s="5"/>
      <c r="H134" s="5"/>
      <c r="I134" s="17"/>
      <c r="J134" s="17"/>
      <c r="K134" s="17"/>
      <c r="L134" s="17"/>
      <c r="M134" s="17"/>
      <c r="N134" s="17"/>
      <c r="O134" s="5"/>
      <c r="Q134" s="41"/>
      <c r="R134" s="5"/>
      <c r="S134" s="5"/>
      <c r="T134" s="5"/>
      <c r="U134" s="5"/>
    </row>
    <row r="135" spans="2:27">
      <c r="B135" s="5"/>
      <c r="C135" s="17"/>
      <c r="D135" s="17"/>
      <c r="E135" s="17"/>
      <c r="F135" s="17"/>
      <c r="G135" s="17"/>
      <c r="H135" s="17"/>
      <c r="I135" s="17"/>
      <c r="J135" s="17"/>
      <c r="K135" s="17"/>
      <c r="L135" s="17"/>
      <c r="M135" s="17"/>
      <c r="N135" s="17"/>
      <c r="O135" s="5"/>
      <c r="Q135" s="5"/>
      <c r="R135" s="5"/>
      <c r="S135" s="5"/>
      <c r="T135" s="5"/>
      <c r="U135" s="5"/>
      <c r="X135" s="304"/>
    </row>
    <row r="136" spans="2:27">
      <c r="B136" s="5"/>
      <c r="C136" s="17"/>
      <c r="D136" s="17"/>
      <c r="E136" s="17"/>
      <c r="F136" s="17"/>
      <c r="G136" s="17"/>
      <c r="H136" s="17"/>
      <c r="I136" s="17"/>
      <c r="J136" s="17"/>
      <c r="K136" s="17"/>
      <c r="L136" s="17"/>
      <c r="M136" s="17"/>
      <c r="N136" s="17"/>
      <c r="O136" s="5"/>
      <c r="Q136" s="5"/>
      <c r="R136" s="5"/>
      <c r="S136" s="5"/>
      <c r="T136" s="5"/>
      <c r="U136" s="5"/>
      <c r="X136" s="10"/>
      <c r="Y136" s="304"/>
      <c r="Z136" s="304"/>
      <c r="AA136" s="304"/>
    </row>
    <row r="137" spans="2:27">
      <c r="B137" s="5"/>
      <c r="C137" s="5"/>
      <c r="D137" s="17"/>
      <c r="E137" s="17"/>
      <c r="F137" s="17"/>
      <c r="G137" s="17"/>
      <c r="H137" s="17"/>
      <c r="I137" s="17"/>
      <c r="J137" s="17"/>
      <c r="K137" s="17"/>
      <c r="L137" s="17"/>
      <c r="M137" s="17"/>
      <c r="N137" s="17"/>
      <c r="O137" s="5"/>
      <c r="Q137" s="5"/>
      <c r="R137" s="5"/>
      <c r="S137" s="5"/>
      <c r="T137" s="5"/>
      <c r="U137" s="5"/>
      <c r="Y137" s="10"/>
      <c r="Z137" s="10"/>
      <c r="AA137" s="10"/>
    </row>
    <row r="138" spans="2:27">
      <c r="B138" s="5"/>
      <c r="C138" s="5"/>
      <c r="D138" s="17"/>
      <c r="E138" s="17"/>
      <c r="F138" s="17"/>
      <c r="G138" s="17"/>
      <c r="H138" s="17"/>
      <c r="I138" s="5"/>
      <c r="J138" s="17"/>
      <c r="K138" s="17"/>
      <c r="L138" s="17"/>
      <c r="M138" s="17"/>
      <c r="N138" s="17"/>
      <c r="O138" s="5"/>
      <c r="Q138" s="5"/>
      <c r="R138" s="5"/>
      <c r="S138" s="5"/>
      <c r="T138" s="5"/>
      <c r="U138" s="5"/>
    </row>
    <row r="139" spans="2:27">
      <c r="B139" s="5"/>
      <c r="C139" s="5"/>
      <c r="D139" s="17"/>
      <c r="E139" s="17"/>
      <c r="F139" s="17"/>
      <c r="G139" s="17"/>
      <c r="H139" s="17"/>
      <c r="I139" s="5"/>
      <c r="J139" s="17"/>
      <c r="K139" s="17"/>
      <c r="L139" s="17"/>
      <c r="M139" s="17"/>
      <c r="N139" s="17"/>
      <c r="O139" s="5"/>
      <c r="Q139" s="5"/>
      <c r="R139" s="5"/>
      <c r="S139" s="5"/>
      <c r="T139" s="5"/>
      <c r="U139" s="5"/>
    </row>
    <row r="140" spans="2:27">
      <c r="B140" s="5"/>
      <c r="C140" s="17"/>
      <c r="D140" s="17"/>
      <c r="E140" s="17"/>
      <c r="F140" s="17"/>
      <c r="G140" s="17"/>
      <c r="H140" s="17"/>
      <c r="I140" s="5"/>
      <c r="J140" s="5"/>
      <c r="K140" s="5"/>
      <c r="L140" s="5"/>
      <c r="M140" s="5"/>
      <c r="N140" s="5"/>
      <c r="O140" s="5"/>
      <c r="Q140" s="5"/>
      <c r="R140" s="5"/>
      <c r="S140" s="5"/>
      <c r="T140" s="5"/>
      <c r="U140" s="5"/>
    </row>
    <row r="141" spans="2:27">
      <c r="B141" s="5"/>
      <c r="C141" s="5"/>
      <c r="D141" s="5"/>
      <c r="E141" s="5"/>
      <c r="F141" s="5"/>
      <c r="G141" s="5"/>
      <c r="H141" s="5"/>
      <c r="I141" s="5"/>
      <c r="J141" s="5"/>
      <c r="K141" s="5"/>
      <c r="L141" s="5"/>
      <c r="M141" s="5"/>
      <c r="N141" s="5"/>
      <c r="O141" s="5"/>
      <c r="Q141" s="5"/>
      <c r="R141" s="5"/>
      <c r="S141" s="5"/>
      <c r="T141" s="5"/>
      <c r="U141" s="5"/>
    </row>
    <row r="142" spans="2:27">
      <c r="B142" s="5"/>
      <c r="C142" s="5"/>
      <c r="D142" s="5"/>
      <c r="E142" s="5"/>
      <c r="F142" s="5"/>
      <c r="G142" s="5"/>
      <c r="H142" s="5"/>
      <c r="I142" s="5"/>
      <c r="J142" s="5"/>
      <c r="K142" s="5"/>
      <c r="L142" s="5"/>
      <c r="M142" s="5"/>
      <c r="N142" s="5"/>
      <c r="O142" s="5"/>
      <c r="Q142" s="5"/>
      <c r="R142" s="5"/>
      <c r="S142" s="5"/>
      <c r="T142" s="5"/>
      <c r="U142" s="5"/>
    </row>
    <row r="143" spans="2:27">
      <c r="B143" s="5"/>
      <c r="C143" s="5"/>
      <c r="D143" s="5"/>
      <c r="E143" s="5"/>
      <c r="F143" s="5"/>
      <c r="G143" s="5"/>
      <c r="H143" s="5"/>
      <c r="I143" s="5"/>
      <c r="J143" s="5"/>
      <c r="K143" s="5"/>
      <c r="L143" s="5"/>
      <c r="M143" s="5"/>
      <c r="N143" s="5"/>
      <c r="O143" s="5"/>
      <c r="Q143" s="5"/>
      <c r="R143" s="5"/>
      <c r="S143" s="5"/>
      <c r="T143" s="5"/>
      <c r="U143" s="5"/>
    </row>
    <row r="144" spans="2:27">
      <c r="B144" s="5"/>
      <c r="C144" s="5"/>
      <c r="D144" s="5"/>
      <c r="E144" s="5"/>
      <c r="F144" s="5"/>
      <c r="G144" s="5"/>
      <c r="H144" s="5"/>
      <c r="I144" s="5"/>
      <c r="J144" s="5"/>
      <c r="K144" s="5"/>
      <c r="L144" s="5"/>
      <c r="M144" s="5"/>
      <c r="N144" s="5"/>
      <c r="O144" s="5"/>
      <c r="Q144" s="5"/>
      <c r="R144" s="5"/>
      <c r="S144" s="5"/>
      <c r="T144" s="5"/>
      <c r="U144" s="5"/>
    </row>
    <row r="145" spans="2:21">
      <c r="B145" s="5"/>
      <c r="C145" s="5"/>
      <c r="D145" s="5"/>
      <c r="E145" s="5"/>
      <c r="F145" s="5"/>
      <c r="G145" s="5"/>
      <c r="H145" s="5"/>
      <c r="I145" s="5"/>
      <c r="J145" s="5"/>
      <c r="K145" s="5"/>
      <c r="L145" s="5"/>
      <c r="M145" s="5"/>
      <c r="N145" s="5"/>
      <c r="O145" s="5"/>
      <c r="Q145" s="5"/>
      <c r="R145" s="5"/>
      <c r="S145" s="5"/>
      <c r="T145" s="5"/>
      <c r="U145" s="5"/>
    </row>
    <row r="146" spans="2:21">
      <c r="B146" s="5"/>
      <c r="C146" s="5"/>
      <c r="D146" s="5"/>
      <c r="E146" s="5"/>
      <c r="F146" s="5"/>
      <c r="G146" s="5"/>
      <c r="H146" s="5"/>
      <c r="I146" s="5"/>
      <c r="J146" s="5"/>
      <c r="K146" s="5"/>
      <c r="L146" s="5"/>
      <c r="M146" s="5"/>
      <c r="N146" s="5"/>
      <c r="O146" s="5"/>
      <c r="Q146" s="5"/>
      <c r="R146" s="5"/>
      <c r="S146" s="5"/>
      <c r="T146" s="5"/>
      <c r="U146" s="5"/>
    </row>
    <row r="147" spans="2:21">
      <c r="B147" s="5"/>
      <c r="C147" s="5"/>
      <c r="D147" s="5"/>
      <c r="E147" s="5"/>
      <c r="F147" s="5"/>
      <c r="G147" s="5"/>
      <c r="H147" s="5"/>
      <c r="I147" s="5"/>
      <c r="J147" s="5"/>
      <c r="K147" s="5"/>
      <c r="L147" s="5"/>
      <c r="M147" s="5"/>
      <c r="N147" s="5"/>
      <c r="O147" s="5"/>
      <c r="Q147" s="5"/>
      <c r="R147" s="5"/>
      <c r="S147" s="5"/>
      <c r="T147" s="5"/>
      <c r="U147" s="5"/>
    </row>
    <row r="148" spans="2:21">
      <c r="B148" s="5"/>
      <c r="C148" s="5"/>
      <c r="D148" s="5"/>
      <c r="E148" s="5"/>
      <c r="F148" s="5"/>
      <c r="G148" s="5"/>
      <c r="H148" s="5"/>
      <c r="J148" s="5"/>
      <c r="K148" s="5"/>
      <c r="L148" s="5"/>
      <c r="M148" s="5"/>
      <c r="N148" s="5"/>
      <c r="O148" s="5"/>
      <c r="Q148" s="5"/>
      <c r="R148" s="5"/>
      <c r="S148" s="5"/>
      <c r="T148" s="5"/>
      <c r="U148" s="5"/>
    </row>
    <row r="149" spans="2:21">
      <c r="B149" s="5"/>
      <c r="C149" s="5"/>
      <c r="D149" s="5"/>
      <c r="E149" s="5"/>
      <c r="F149" s="5"/>
      <c r="G149" s="5"/>
      <c r="H149" s="5"/>
      <c r="J149" s="5"/>
      <c r="K149" s="5"/>
      <c r="L149" s="5"/>
      <c r="M149" s="5"/>
      <c r="N149" s="5"/>
      <c r="O149" s="5"/>
      <c r="Q149" s="5"/>
      <c r="R149" s="5"/>
      <c r="S149" s="5"/>
      <c r="T149" s="5"/>
      <c r="U149" s="5"/>
    </row>
    <row r="150" spans="2:21">
      <c r="B150" s="5"/>
      <c r="C150" s="5"/>
      <c r="D150" s="5"/>
      <c r="E150" s="5"/>
      <c r="F150" s="5"/>
      <c r="G150" s="5"/>
      <c r="H150" s="5"/>
      <c r="Q150" s="5"/>
      <c r="R150" s="5"/>
      <c r="S150" s="5"/>
      <c r="T150" s="5"/>
      <c r="U150" s="5"/>
    </row>
    <row r="151" spans="2:21">
      <c r="Q151" s="5"/>
      <c r="R151" s="5"/>
      <c r="S151" s="5"/>
      <c r="T151" s="5"/>
      <c r="U151" s="5"/>
    </row>
    <row r="152" spans="2:21">
      <c r="Q152" s="5"/>
      <c r="R152" s="5"/>
      <c r="S152" s="5"/>
      <c r="T152" s="5"/>
      <c r="U152" s="5"/>
    </row>
    <row r="153" spans="2:21">
      <c r="C153" s="263"/>
      <c r="Q153" s="5"/>
      <c r="R153" s="5"/>
      <c r="S153" s="5"/>
      <c r="T153" s="5"/>
      <c r="U153" s="5"/>
    </row>
    <row r="154" spans="2:21">
      <c r="Q154" s="5"/>
      <c r="R154" s="5"/>
      <c r="S154" s="5"/>
      <c r="T154" s="5"/>
      <c r="U154" s="5"/>
    </row>
    <row r="155" spans="2:21">
      <c r="Q155" s="5"/>
      <c r="R155" s="5"/>
      <c r="S155" s="5"/>
      <c r="T155" s="5"/>
      <c r="U155" s="5"/>
    </row>
    <row r="156" spans="2:21">
      <c r="Q156" s="5"/>
      <c r="R156" s="5"/>
      <c r="S156" s="5"/>
      <c r="T156" s="5"/>
      <c r="U156" s="5"/>
    </row>
    <row r="157" spans="2:21">
      <c r="Q157" s="5"/>
      <c r="R157" s="5"/>
      <c r="S157" s="5"/>
      <c r="T157" s="5"/>
      <c r="U157" s="5"/>
    </row>
    <row r="158" spans="2:21">
      <c r="Q158" s="5"/>
      <c r="R158" s="5"/>
      <c r="S158" s="5"/>
      <c r="T158" s="5"/>
      <c r="U158" s="5"/>
    </row>
    <row r="159" spans="2:21">
      <c r="Q159" s="5"/>
      <c r="R159" s="5"/>
      <c r="S159" s="5"/>
      <c r="T159" s="5"/>
      <c r="U159" s="5"/>
    </row>
    <row r="160" spans="2:21">
      <c r="Q160" s="5"/>
      <c r="R160" s="5"/>
      <c r="S160" s="5"/>
      <c r="T160" s="5"/>
      <c r="U160" s="5"/>
    </row>
    <row r="161" spans="17:21">
      <c r="Q161" s="5"/>
      <c r="R161" s="5"/>
      <c r="S161" s="5"/>
      <c r="T161" s="5"/>
      <c r="U161" s="5"/>
    </row>
    <row r="162" spans="17:21">
      <c r="Q162" s="5"/>
      <c r="R162" s="5"/>
      <c r="S162" s="5"/>
      <c r="T162" s="5"/>
      <c r="U162" s="5"/>
    </row>
    <row r="163" spans="17:21">
      <c r="Q163" s="5"/>
      <c r="R163" s="5"/>
      <c r="S163" s="5"/>
      <c r="T163" s="5"/>
      <c r="U163" s="5"/>
    </row>
    <row r="164" spans="17:21">
      <c r="Q164" s="5"/>
      <c r="R164" s="5"/>
      <c r="S164" s="5"/>
      <c r="T164" s="5"/>
      <c r="U164" s="5"/>
    </row>
  </sheetData>
  <phoneticPr fontId="7" type="noConversion"/>
  <pageMargins left="0.75" right="0.75" top="1" bottom="1" header="0.5" footer="0.5"/>
  <pageSetup scale="69" orientation="landscape"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4">
    <pageSetUpPr fitToPage="1"/>
  </sheetPr>
  <dimension ref="B1:AA165"/>
  <sheetViews>
    <sheetView showGridLines="0" zoomScale="80" zoomScaleNormal="80" zoomScaleSheetLayoutView="80" workbookViewId="0"/>
  </sheetViews>
  <sheetFormatPr defaultColWidth="9.109375" defaultRowHeight="12"/>
  <cols>
    <col min="1" max="1" width="2.33203125" style="39" customWidth="1"/>
    <col min="2" max="2" width="26.5546875" style="39" customWidth="1"/>
    <col min="3" max="9" width="10" style="39" customWidth="1"/>
    <col min="10" max="10" width="26.6640625" style="39" customWidth="1"/>
    <col min="11" max="16" width="10" style="39" customWidth="1"/>
    <col min="17" max="19" width="8.6640625" style="39" customWidth="1"/>
    <col min="20" max="27" width="8.6640625" style="5" customWidth="1"/>
    <col min="28" max="28" width="8.6640625" style="39" customWidth="1"/>
    <col min="29" max="16384" width="9.109375" style="39"/>
  </cols>
  <sheetData>
    <row r="1" spans="2:27" s="312" customFormat="1">
      <c r="T1" s="149"/>
      <c r="U1" s="149"/>
      <c r="V1" s="149"/>
      <c r="W1" s="149"/>
      <c r="X1" s="149"/>
      <c r="Y1" s="149"/>
      <c r="Z1" s="149"/>
      <c r="AA1" s="149"/>
    </row>
    <row r="2" spans="2:27" s="149" customFormat="1"/>
    <row r="3" spans="2:27" s="149" customFormat="1">
      <c r="H3" s="153"/>
      <c r="P3" s="153"/>
    </row>
    <row r="4" spans="2:27" s="156" customFormat="1" ht="21">
      <c r="B4" s="129" t="s">
        <v>574</v>
      </c>
      <c r="H4" s="222"/>
      <c r="P4" s="222"/>
    </row>
    <row r="5" spans="2:27" s="149" customFormat="1">
      <c r="C5" s="153"/>
      <c r="D5" s="153" t="str" cm="1">
        <f t="array" ref="D5:H5">headings</f>
        <v>2023E</v>
      </c>
      <c r="E5" s="153" t="str">
        <v>2024E</v>
      </c>
      <c r="F5" s="153" t="str">
        <v>2025E</v>
      </c>
      <c r="G5" s="153" t="str">
        <v>2026E</v>
      </c>
      <c r="H5" s="153" t="str">
        <v>23E-26E</v>
      </c>
      <c r="I5" s="153"/>
      <c r="J5" s="153"/>
      <c r="K5" s="153"/>
      <c r="L5" s="153" t="str" cm="1">
        <f t="array" ref="L5:P5">headings</f>
        <v>2023E</v>
      </c>
      <c r="M5" s="153" t="str">
        <v>2024E</v>
      </c>
      <c r="N5" s="153" t="str">
        <v>2025E</v>
      </c>
      <c r="O5" s="153" t="str">
        <v>2026E</v>
      </c>
      <c r="P5" s="153" t="str">
        <v>23E-26E</v>
      </c>
      <c r="Q5" s="162"/>
      <c r="R5" s="162"/>
      <c r="S5" s="162"/>
      <c r="T5" s="162"/>
      <c r="U5" s="162"/>
      <c r="V5" s="162"/>
      <c r="W5" s="162"/>
      <c r="X5" s="162"/>
      <c r="Y5" s="162"/>
    </row>
    <row r="6" spans="2:27">
      <c r="I6" s="5"/>
      <c r="J6" s="5"/>
      <c r="K6" s="5"/>
      <c r="L6" s="5"/>
      <c r="M6" s="5"/>
      <c r="N6" s="5"/>
      <c r="O6" s="49"/>
    </row>
    <row r="7" spans="2:27" ht="12.6" thickBot="1">
      <c r="B7" s="306" t="s">
        <v>271</v>
      </c>
      <c r="C7" s="265"/>
      <c r="D7" s="265" t="str">
        <f>D5</f>
        <v>2023E</v>
      </c>
      <c r="E7" s="265" t="str">
        <f t="shared" ref="E7:H7" si="0">E5</f>
        <v>2024E</v>
      </c>
      <c r="F7" s="265" t="str">
        <f t="shared" si="0"/>
        <v>2025E</v>
      </c>
      <c r="G7" s="265" t="str">
        <f t="shared" si="0"/>
        <v>2026E</v>
      </c>
      <c r="H7" s="265" t="str">
        <f t="shared" si="0"/>
        <v>23E-26E</v>
      </c>
      <c r="I7" s="49"/>
      <c r="J7" s="306" t="s">
        <v>476</v>
      </c>
      <c r="K7" s="306"/>
      <c r="L7" s="265" t="str">
        <f>L5</f>
        <v>2023E</v>
      </c>
      <c r="M7" s="265" t="str">
        <f t="shared" ref="M7:P7" si="1">M5</f>
        <v>2024E</v>
      </c>
      <c r="N7" s="265" t="str">
        <f t="shared" si="1"/>
        <v>2025E</v>
      </c>
      <c r="O7" s="265" t="str">
        <f t="shared" si="1"/>
        <v>2026E</v>
      </c>
      <c r="P7" s="265" t="str">
        <f t="shared" si="1"/>
        <v>23E-26E</v>
      </c>
    </row>
    <row r="8" spans="2:27" ht="12.6" thickTop="1">
      <c r="B8" s="5"/>
      <c r="C8" s="5"/>
      <c r="D8" s="5"/>
      <c r="E8" s="5"/>
      <c r="F8" s="5"/>
      <c r="G8" s="5"/>
      <c r="H8" s="5"/>
      <c r="I8" s="5"/>
      <c r="J8" s="5"/>
      <c r="K8" s="5"/>
      <c r="L8" s="5"/>
      <c r="M8" s="5"/>
      <c r="N8" s="5"/>
      <c r="S8" s="88"/>
      <c r="T8" s="42"/>
      <c r="U8" s="42"/>
      <c r="V8" s="42"/>
      <c r="W8" s="42"/>
      <c r="X8" s="42"/>
      <c r="Y8" s="42"/>
      <c r="Z8" s="42"/>
      <c r="AA8" s="42"/>
    </row>
    <row r="9" spans="2:27">
      <c r="B9" s="41" t="s">
        <v>370</v>
      </c>
      <c r="C9" s="287">
        <f>Prices!C123</f>
        <v>16.22</v>
      </c>
      <c r="D9" s="530">
        <v>0</v>
      </c>
      <c r="E9" s="530">
        <v>0</v>
      </c>
      <c r="F9" s="530">
        <v>0</v>
      </c>
      <c r="G9" s="530">
        <v>0</v>
      </c>
      <c r="H9" s="249"/>
      <c r="I9" s="249"/>
      <c r="J9" s="5" t="s">
        <v>273</v>
      </c>
      <c r="L9" s="529">
        <f>'LATAM INCUMB'!D37</f>
        <v>1.6754972545250479</v>
      </c>
      <c r="M9" s="529">
        <f>'LATAM INCUMB'!E37</f>
        <v>1.5413873359407957</v>
      </c>
      <c r="N9" s="529">
        <f>'LATAM INCUMB'!F37</f>
        <v>1.4052879925497239</v>
      </c>
      <c r="O9" s="529">
        <f>'LATAM INCUMB'!G37</f>
        <v>1.2861713457611794</v>
      </c>
      <c r="P9" s="286">
        <f>'LATAM INCUMB'!H37</f>
        <v>3.2286309728766227E-2</v>
      </c>
      <c r="S9" s="88"/>
      <c r="T9" s="42"/>
      <c r="U9" s="42"/>
      <c r="V9" s="42"/>
      <c r="W9" s="42"/>
      <c r="X9" s="42"/>
      <c r="Y9" s="42"/>
      <c r="Z9" s="42"/>
      <c r="AA9" s="42"/>
    </row>
    <row r="10" spans="2:27">
      <c r="B10" s="5" t="s">
        <v>274</v>
      </c>
      <c r="C10" s="5"/>
      <c r="D10" s="531">
        <v>3117.6999000000001</v>
      </c>
      <c r="E10" s="531">
        <v>3017.6999000000001</v>
      </c>
      <c r="F10" s="531">
        <v>2892.6999000000001</v>
      </c>
      <c r="G10" s="531">
        <v>2767.6999000000001</v>
      </c>
      <c r="H10" s="249" t="s">
        <v>291</v>
      </c>
      <c r="I10" s="247"/>
      <c r="J10" s="5" t="s">
        <v>184</v>
      </c>
      <c r="L10" s="529">
        <f>'LATAM INCUMB'!D38</f>
        <v>4.4371486159074989</v>
      </c>
      <c r="M10" s="529">
        <f>'LATAM INCUMB'!E38</f>
        <v>3.9890624654994724</v>
      </c>
      <c r="N10" s="529">
        <f>'LATAM INCUMB'!F38</f>
        <v>3.5635773257800083</v>
      </c>
      <c r="O10" s="529">
        <f>'LATAM INCUMB'!G38</f>
        <v>3.2131957346788256</v>
      </c>
      <c r="P10" s="286">
        <f>'LATAM INCUMB'!H38</f>
        <v>5.2545313573403529E-2</v>
      </c>
      <c r="S10" s="88"/>
      <c r="T10" s="42"/>
      <c r="U10" s="42"/>
      <c r="V10" s="42"/>
      <c r="W10" s="288"/>
      <c r="X10" s="288"/>
      <c r="Y10" s="288"/>
      <c r="Z10" s="288"/>
      <c r="AA10" s="42"/>
    </row>
    <row r="11" spans="2:27">
      <c r="B11" s="41" t="s">
        <v>314</v>
      </c>
      <c r="C11" s="5"/>
      <c r="D11" s="532">
        <f>($C$9*D10)</f>
        <v>50569.092378000001</v>
      </c>
      <c r="E11" s="532">
        <f>($C$9*E10)</f>
        <v>48947.092378000001</v>
      </c>
      <c r="F11" s="532">
        <f>($C$9*F10)</f>
        <v>46919.592378000001</v>
      </c>
      <c r="G11" s="532">
        <f>($C$9*G10)</f>
        <v>44892.092378000001</v>
      </c>
      <c r="H11" s="249"/>
      <c r="I11" s="249"/>
      <c r="J11" s="5" t="s">
        <v>185</v>
      </c>
      <c r="L11" s="529">
        <f>'LATAM INCUMB'!D39</f>
        <v>8.7775076030846968</v>
      </c>
      <c r="M11" s="529">
        <f>'LATAM INCUMB'!E39</f>
        <v>7.0717582272737056</v>
      </c>
      <c r="N11" s="529">
        <f>'LATAM INCUMB'!F39</f>
        <v>5.9348076148416871</v>
      </c>
      <c r="O11" s="529">
        <f>'LATAM INCUMB'!G39</f>
        <v>5.0856006821112363</v>
      </c>
      <c r="P11" s="286">
        <f>'LATAM INCUMB'!H39</f>
        <v>0.13377842924611083</v>
      </c>
      <c r="S11" s="88"/>
      <c r="T11" s="42"/>
      <c r="U11" s="42"/>
      <c r="V11" s="42"/>
      <c r="W11" s="288"/>
      <c r="X11" s="288"/>
      <c r="Y11" s="288"/>
      <c r="Z11" s="288"/>
      <c r="AA11" s="42"/>
    </row>
    <row r="12" spans="2:27">
      <c r="B12" s="5" t="s">
        <v>24</v>
      </c>
      <c r="C12" s="249"/>
      <c r="D12" s="533">
        <v>28013.412580953827</v>
      </c>
      <c r="E12" s="533">
        <v>27344.065161451126</v>
      </c>
      <c r="F12" s="533">
        <v>25545.358322966753</v>
      </c>
      <c r="G12" s="533">
        <v>24365.718080729672</v>
      </c>
      <c r="H12" s="247"/>
      <c r="I12" s="247"/>
      <c r="J12" s="5" t="s">
        <v>466</v>
      </c>
      <c r="L12" s="529">
        <f>'LATAM INCUMB'!D40</f>
        <v>14.26260581436496</v>
      </c>
      <c r="M12" s="529">
        <f>'LATAM INCUMB'!E40</f>
        <v>10.423838597934619</v>
      </c>
      <c r="N12" s="529">
        <f>'LATAM INCUMB'!F40</f>
        <v>8.6569763163017868</v>
      </c>
      <c r="O12" s="529">
        <f>'LATAM INCUMB'!G40</f>
        <v>7.3396218928570018</v>
      </c>
      <c r="P12" s="286">
        <f>'LATAM INCUMB'!H40</f>
        <v>0.17948820297265589</v>
      </c>
      <c r="S12" s="88"/>
      <c r="T12" s="42"/>
      <c r="U12" s="42"/>
      <c r="V12" s="42"/>
      <c r="W12" s="288"/>
      <c r="X12" s="288"/>
      <c r="Y12" s="288"/>
      <c r="Z12" s="288"/>
      <c r="AA12" s="42"/>
    </row>
    <row r="13" spans="2:27">
      <c r="B13" s="5" t="s">
        <v>529</v>
      </c>
      <c r="C13" s="257"/>
      <c r="D13" s="533">
        <v>7149.220489977728</v>
      </c>
      <c r="E13" s="533">
        <v>7149.220489977728</v>
      </c>
      <c r="F13" s="533">
        <v>7149.220489977728</v>
      </c>
      <c r="G13" s="533">
        <v>7149.220489977728</v>
      </c>
      <c r="H13" s="247"/>
      <c r="I13" s="247"/>
      <c r="J13" s="5" t="s">
        <v>530</v>
      </c>
      <c r="L13" s="529">
        <f>'LATAM INCUMB'!D41</f>
        <v>1.2450541555502495</v>
      </c>
      <c r="M13" s="529">
        <f>'LATAM INCUMB'!E41</f>
        <v>1.1922739983005051</v>
      </c>
      <c r="N13" s="529">
        <f>'LATAM INCUMB'!F41</f>
        <v>1.1271780163435798</v>
      </c>
      <c r="O13" s="529">
        <f>'LATAM INCUMB'!G41</f>
        <v>1.0560147649150291</v>
      </c>
      <c r="P13" s="286">
        <f>'LATAM INCUMB'!H41</f>
        <v>-1.4772716171091993E-3</v>
      </c>
      <c r="S13" s="88"/>
      <c r="T13" s="42"/>
      <c r="U13" s="42"/>
      <c r="V13" s="42"/>
      <c r="W13" s="42"/>
      <c r="X13" s="42"/>
      <c r="Y13" s="42"/>
      <c r="Z13" s="42"/>
      <c r="AA13" s="42"/>
    </row>
    <row r="14" spans="2:27">
      <c r="B14" s="5" t="s">
        <v>532</v>
      </c>
      <c r="C14" s="257"/>
      <c r="D14" s="538">
        <v>0</v>
      </c>
      <c r="E14" s="530">
        <f t="shared" ref="E14:G15" si="2">D14</f>
        <v>0</v>
      </c>
      <c r="F14" s="530">
        <f t="shared" si="2"/>
        <v>0</v>
      </c>
      <c r="G14" s="530">
        <f t="shared" si="2"/>
        <v>0</v>
      </c>
      <c r="H14" s="247"/>
      <c r="I14" s="247"/>
      <c r="J14" s="5" t="s">
        <v>593</v>
      </c>
      <c r="L14" s="529">
        <f>'LATAM INCUMB'!D42</f>
        <v>2.1427162563071951</v>
      </c>
      <c r="M14" s="529">
        <f>'LATAM INCUMB'!E42</f>
        <v>2.1067241831034007</v>
      </c>
      <c r="N14" s="529">
        <f>'LATAM INCUMB'!F42</f>
        <v>2.0337088917341903</v>
      </c>
      <c r="O14" s="529">
        <f>'LATAM INCUMB'!G42</f>
        <v>1.9591699426923035</v>
      </c>
      <c r="P14" s="286">
        <f>'LATAM INCUMB'!H42</f>
        <v>-2.6170957037785714E-2</v>
      </c>
      <c r="S14" s="88"/>
      <c r="T14" s="42"/>
      <c r="U14" s="42"/>
      <c r="V14" s="42"/>
      <c r="W14" s="42"/>
      <c r="X14" s="42"/>
      <c r="Y14" s="42"/>
      <c r="Z14" s="42"/>
      <c r="AA14" s="42"/>
    </row>
    <row r="15" spans="2:27">
      <c r="B15" s="5" t="s">
        <v>531</v>
      </c>
      <c r="C15" s="274"/>
      <c r="D15" s="538">
        <v>2487.316098280839</v>
      </c>
      <c r="E15" s="530">
        <f t="shared" si="2"/>
        <v>2487.316098280839</v>
      </c>
      <c r="F15" s="530">
        <f t="shared" si="2"/>
        <v>2487.316098280839</v>
      </c>
      <c r="G15" s="530">
        <f t="shared" si="2"/>
        <v>2487.316098280839</v>
      </c>
      <c r="H15" s="247"/>
      <c r="I15" s="247"/>
      <c r="J15" s="5" t="s">
        <v>475</v>
      </c>
      <c r="L15" s="529">
        <f>'LATAM INCUMB'!D43</f>
        <v>29.880211958442072</v>
      </c>
      <c r="M15" s="529">
        <f>'LATAM INCUMB'!E43</f>
        <v>15.108036348468724</v>
      </c>
      <c r="N15" s="529">
        <f>'LATAM INCUMB'!F43</f>
        <v>11.334385891328045</v>
      </c>
      <c r="O15" s="529">
        <f>'LATAM INCUMB'!G43</f>
        <v>8.9831000045763254</v>
      </c>
      <c r="P15" s="286">
        <f>'LATAM INCUMB'!H43</f>
        <v>0.45506380228138199</v>
      </c>
      <c r="S15" s="88"/>
      <c r="T15" s="42"/>
      <c r="U15" s="42"/>
      <c r="V15" s="42"/>
      <c r="W15" s="42"/>
      <c r="X15" s="42"/>
      <c r="Y15" s="42"/>
      <c r="Z15" s="42"/>
      <c r="AA15" s="42"/>
    </row>
    <row r="16" spans="2:27">
      <c r="B16" s="5" t="s">
        <v>534</v>
      </c>
      <c r="C16" s="257"/>
      <c r="D16" s="533">
        <v>816.91921144139098</v>
      </c>
      <c r="E16" s="533">
        <v>2552.8322960739074</v>
      </c>
      <c r="F16" s="533">
        <v>4331.9033755970304</v>
      </c>
      <c r="G16" s="533">
        <v>6127.6898407136678</v>
      </c>
      <c r="H16" s="247"/>
      <c r="I16" s="247"/>
      <c r="J16" s="5" t="s">
        <v>533</v>
      </c>
      <c r="L16" s="529">
        <f>'LATAM INCUMB'!D44</f>
        <v>15.253817863531252</v>
      </c>
      <c r="M16" s="529">
        <f>'LATAM INCUMB'!E44</f>
        <v>11.073980990801601</v>
      </c>
      <c r="N16" s="529">
        <f>'LATAM INCUMB'!F44</f>
        <v>8.2928435180962055</v>
      </c>
      <c r="O16" s="529">
        <f>'LATAM INCUMB'!G44</f>
        <v>6.6146703376605194</v>
      </c>
      <c r="P16" s="286">
        <f>'LATAM INCUMB'!H44</f>
        <v>0.2809349860711805</v>
      </c>
      <c r="S16" s="88"/>
      <c r="T16" s="42"/>
      <c r="U16" s="42"/>
      <c r="V16" s="42"/>
      <c r="W16" s="42"/>
      <c r="X16" s="42"/>
      <c r="Y16" s="42"/>
      <c r="Z16" s="42"/>
      <c r="AA16" s="42"/>
    </row>
    <row r="17" spans="2:27">
      <c r="B17" s="5" t="s">
        <v>6</v>
      </c>
      <c r="C17" s="257"/>
      <c r="D17" s="533">
        <v>0</v>
      </c>
      <c r="E17" s="533">
        <v>0</v>
      </c>
      <c r="F17" s="533">
        <v>0</v>
      </c>
      <c r="G17" s="533">
        <v>0</v>
      </c>
      <c r="H17" s="247"/>
      <c r="I17" s="247"/>
      <c r="J17" s="5" t="s">
        <v>580</v>
      </c>
      <c r="L17" s="248">
        <f>'LATAM INCUMB'!D45</f>
        <v>3.5776465076388382E-2</v>
      </c>
      <c r="M17" s="248">
        <f>'LATAM INCUMB'!E45</f>
        <v>3.9720772392338836E-2</v>
      </c>
      <c r="N17" s="248">
        <f>'LATAM INCUMB'!F45</f>
        <v>4.6101210230168325E-2</v>
      </c>
      <c r="O17" s="248">
        <f>'LATAM INCUMB'!G45</f>
        <v>5.1630244536013982E-2</v>
      </c>
      <c r="P17" s="286">
        <f>'LATAM INCUMB'!H45</f>
        <v>9.5651796667158839E-2</v>
      </c>
      <c r="S17" s="88"/>
      <c r="T17" s="42"/>
      <c r="U17" s="42"/>
      <c r="V17" s="42"/>
      <c r="W17" s="42"/>
      <c r="X17" s="42"/>
      <c r="Y17" s="42"/>
      <c r="Z17" s="42"/>
      <c r="AA17" s="42"/>
    </row>
    <row r="18" spans="2:27" ht="12.6" thickBot="1">
      <c r="B18" s="41" t="s">
        <v>518</v>
      </c>
      <c r="C18" s="249"/>
      <c r="D18" s="534">
        <f>D11+D12+D13-D14+D15-D16-D17</f>
        <v>87402.122335770997</v>
      </c>
      <c r="E18" s="534">
        <f>E11+E12+E13-E14+E15-E16-E17</f>
        <v>83374.86183163579</v>
      </c>
      <c r="F18" s="534">
        <f>F11+F12+F13-F14+F15-F16-F17</f>
        <v>77769.583913628288</v>
      </c>
      <c r="G18" s="534">
        <f>G11+G12+G13-G14+G15-G16-G17</f>
        <v>72766.657206274569</v>
      </c>
      <c r="H18" s="276">
        <f>IF(D18=0,"nm",IF(G18=0,"nm",(G18/D18)^(1/3)-1))</f>
        <v>-5.9258834222246093E-2</v>
      </c>
      <c r="I18" s="254"/>
      <c r="J18" s="5" t="s">
        <v>36</v>
      </c>
      <c r="L18" s="248">
        <f>'LATAM INCUMB'!D46</f>
        <v>3.6168407328364835E-2</v>
      </c>
      <c r="M18" s="248">
        <f>'LATAM INCUMB'!E46</f>
        <v>4.0015836588525255E-2</v>
      </c>
      <c r="N18" s="248">
        <f>'LATAM INCUMB'!F46</f>
        <v>3.7334375846412596E-2</v>
      </c>
      <c r="O18" s="248">
        <f>'LATAM INCUMB'!G46</f>
        <v>8.0938216079071201E-2</v>
      </c>
      <c r="P18" s="286">
        <f>'LATAM INCUMB'!H46</f>
        <v>0.26817265579733318</v>
      </c>
      <c r="S18" s="88"/>
      <c r="T18" s="42"/>
      <c r="U18" s="42"/>
      <c r="V18" s="42"/>
      <c r="W18" s="42"/>
      <c r="X18" s="42"/>
      <c r="Y18" s="42"/>
      <c r="Z18" s="42"/>
      <c r="AA18" s="42"/>
    </row>
    <row r="19" spans="2:27" ht="12.6" thickTop="1">
      <c r="B19" s="41"/>
      <c r="C19" s="249"/>
      <c r="D19" s="229"/>
      <c r="E19" s="229"/>
      <c r="F19" s="229"/>
      <c r="G19" s="229"/>
      <c r="H19" s="276"/>
      <c r="I19" s="254"/>
      <c r="J19" s="5" t="s">
        <v>581</v>
      </c>
      <c r="L19" s="248">
        <f>'LATAM INCUMB'!D47</f>
        <v>3.3466964738764829E-2</v>
      </c>
      <c r="M19" s="248">
        <f>'LATAM INCUMB'!E47</f>
        <v>6.6189938714395199E-2</v>
      </c>
      <c r="N19" s="248">
        <f>'LATAM INCUMB'!F47</f>
        <v>8.8227100222968535E-2</v>
      </c>
      <c r="O19" s="248">
        <f>'LATAM INCUMB'!G47</f>
        <v>0.11132014555003983</v>
      </c>
      <c r="P19" s="286">
        <f>'LATAM INCUMB'!H47</f>
        <v>0.45506380228138199</v>
      </c>
      <c r="S19" s="88"/>
      <c r="T19" s="42"/>
      <c r="U19" s="42"/>
      <c r="V19" s="42"/>
      <c r="W19" s="42"/>
      <c r="X19" s="42"/>
      <c r="Y19" s="42"/>
      <c r="Z19" s="42"/>
      <c r="AA19" s="42"/>
    </row>
    <row r="20" spans="2:27">
      <c r="H20" s="277"/>
      <c r="I20" s="17"/>
      <c r="J20" s="5" t="s">
        <v>604</v>
      </c>
      <c r="L20" s="305">
        <f>'LATAM INCUMB'!D48</f>
        <v>0.89089234361336911</v>
      </c>
      <c r="M20" s="305">
        <f>'LATAM INCUMB'!E48</f>
        <v>0.49796671924446828</v>
      </c>
      <c r="N20" s="305">
        <f>'LATAM INCUMB'!F48</f>
        <v>0.43114661193935117</v>
      </c>
      <c r="O20" s="305">
        <f>'LATAM INCUMB'!G48</f>
        <v>0.38036170164883265</v>
      </c>
      <c r="P20" s="286" t="str">
        <f>'LATAM INCUMB'!H48</f>
        <v>nm</v>
      </c>
      <c r="S20" s="88"/>
      <c r="T20" s="42"/>
      <c r="U20" s="42"/>
      <c r="V20" s="42"/>
      <c r="W20" s="42"/>
      <c r="X20" s="42"/>
      <c r="Y20" s="42"/>
      <c r="Z20" s="42"/>
      <c r="AA20" s="42"/>
    </row>
    <row r="21" spans="2:27" ht="12.6" thickBot="1">
      <c r="B21" s="306" t="s">
        <v>925</v>
      </c>
      <c r="C21" s="265"/>
      <c r="D21" s="265" t="str">
        <f>D5</f>
        <v>2023E</v>
      </c>
      <c r="E21" s="265" t="str">
        <f t="shared" ref="E21:H21" si="3">E5</f>
        <v>2024E</v>
      </c>
      <c r="F21" s="265" t="str">
        <f t="shared" si="3"/>
        <v>2025E</v>
      </c>
      <c r="G21" s="265" t="str">
        <f t="shared" si="3"/>
        <v>2026E</v>
      </c>
      <c r="H21" s="265" t="str">
        <f t="shared" si="3"/>
        <v>23E-26E</v>
      </c>
      <c r="I21" s="49"/>
      <c r="J21" s="41"/>
      <c r="L21" s="250"/>
      <c r="M21" s="250"/>
      <c r="N21" s="250"/>
      <c r="O21" s="250"/>
      <c r="P21" s="286"/>
      <c r="S21" s="88"/>
      <c r="T21" s="42"/>
      <c r="U21" s="42"/>
      <c r="V21" s="42"/>
      <c r="W21" s="42"/>
      <c r="X21" s="42"/>
      <c r="Y21" s="42"/>
      <c r="Z21" s="42"/>
      <c r="AA21" s="42"/>
    </row>
    <row r="22" spans="2:27" ht="12.6" thickTop="1">
      <c r="B22" s="5"/>
      <c r="C22" s="257"/>
      <c r="D22" s="17"/>
      <c r="E22" s="17"/>
      <c r="F22" s="17"/>
      <c r="G22" s="17"/>
      <c r="H22" s="17"/>
      <c r="I22" s="17"/>
      <c r="P22" s="277"/>
      <c r="S22" s="88"/>
      <c r="T22" s="42"/>
      <c r="U22" s="42"/>
      <c r="V22" s="42"/>
      <c r="W22" s="42"/>
      <c r="X22" s="42"/>
      <c r="Y22" s="42"/>
      <c r="Z22" s="42"/>
      <c r="AA22" s="42"/>
    </row>
    <row r="23" spans="2:27" ht="12.6" thickBot="1">
      <c r="B23" s="5" t="s">
        <v>584</v>
      </c>
      <c r="C23" s="548">
        <v>41994.082545997015</v>
      </c>
      <c r="D23" s="540">
        <v>46530.425983114947</v>
      </c>
      <c r="E23" s="540">
        <v>48607.290598760286</v>
      </c>
      <c r="F23" s="540">
        <v>49743.619294002012</v>
      </c>
      <c r="G23" s="540">
        <v>50832.495025347271</v>
      </c>
      <c r="H23" s="279">
        <f t="shared" ref="H23:H32" si="4">IF(D23=0,"nm",IF(G23=0,"nm",(G23/D23)^(1/3)-1))</f>
        <v>2.9915196167993097E-2</v>
      </c>
      <c r="I23" s="247"/>
      <c r="J23" s="306" t="s">
        <v>9</v>
      </c>
      <c r="K23" s="306"/>
      <c r="L23" s="265" t="str">
        <f>D21</f>
        <v>2023E</v>
      </c>
      <c r="M23" s="265" t="str">
        <f t="shared" ref="M23:P23" si="5">E21</f>
        <v>2024E</v>
      </c>
      <c r="N23" s="265" t="str">
        <f t="shared" si="5"/>
        <v>2025E</v>
      </c>
      <c r="O23" s="265" t="str">
        <f t="shared" si="5"/>
        <v>2026E</v>
      </c>
      <c r="P23" s="265" t="str">
        <f t="shared" si="5"/>
        <v>23E-26E</v>
      </c>
      <c r="S23" s="88"/>
      <c r="T23" s="42"/>
      <c r="U23" s="42"/>
      <c r="V23" s="42"/>
      <c r="W23" s="42"/>
      <c r="X23" s="42"/>
      <c r="Y23" s="42"/>
      <c r="Z23" s="42"/>
      <c r="AA23" s="42"/>
    </row>
    <row r="24" spans="2:27" ht="12.6" thickTop="1">
      <c r="B24" s="5" t="s">
        <v>483</v>
      </c>
      <c r="C24" s="549">
        <v>16128.692192938837</v>
      </c>
      <c r="D24" s="540">
        <v>18099.646943663844</v>
      </c>
      <c r="E24" s="540">
        <v>19261.148370347899</v>
      </c>
      <c r="F24" s="540">
        <v>20099.615076232243</v>
      </c>
      <c r="G24" s="540">
        <v>20890.225595674929</v>
      </c>
      <c r="H24" s="279">
        <f t="shared" si="4"/>
        <v>4.8956975895425581E-2</v>
      </c>
      <c r="I24" s="249"/>
      <c r="J24" s="17"/>
      <c r="K24" s="17"/>
      <c r="L24" s="17"/>
      <c r="M24" s="17"/>
      <c r="N24" s="17"/>
      <c r="O24" s="248"/>
      <c r="S24" s="88"/>
      <c r="T24" s="42"/>
      <c r="U24" s="42"/>
      <c r="V24" s="42"/>
      <c r="W24" s="42" t="s">
        <v>571</v>
      </c>
      <c r="X24" s="42" t="s">
        <v>512</v>
      </c>
      <c r="Y24" s="42"/>
      <c r="Z24" s="42"/>
      <c r="AA24" s="42"/>
    </row>
    <row r="25" spans="2:27">
      <c r="B25" s="5" t="s">
        <v>183</v>
      </c>
      <c r="C25" s="548">
        <v>8283.4887618100456</v>
      </c>
      <c r="D25" s="540">
        <v>9986.6346804488476</v>
      </c>
      <c r="E25" s="540">
        <v>11769.521982919216</v>
      </c>
      <c r="F25" s="540">
        <v>12811.417958532074</v>
      </c>
      <c r="G25" s="540">
        <v>13915.986613447323</v>
      </c>
      <c r="H25" s="279">
        <f t="shared" si="4"/>
        <v>0.11694454902488172</v>
      </c>
      <c r="I25" s="248"/>
      <c r="J25" s="247" t="s">
        <v>10</v>
      </c>
      <c r="K25" s="247"/>
      <c r="L25" s="321">
        <v>14298.440979955456</v>
      </c>
      <c r="M25" s="321">
        <v>14298.440979955456</v>
      </c>
      <c r="N25" s="321">
        <v>14298.440979955456</v>
      </c>
      <c r="O25" s="321">
        <v>14298.440979955456</v>
      </c>
      <c r="P25" s="279">
        <f>IF(L25=0,"nm",IF(O25=0,"nm",(O25/L25)^(1/3)-1))</f>
        <v>0</v>
      </c>
      <c r="S25" s="88"/>
      <c r="T25" s="42"/>
      <c r="U25" s="42"/>
      <c r="V25" s="147" t="s">
        <v>273</v>
      </c>
      <c r="W25" s="288">
        <f t="shared" ref="W25:W33" si="6">D37/L9</f>
        <v>1.1210919379503865</v>
      </c>
      <c r="X25" s="288">
        <v>1</v>
      </c>
      <c r="Y25" s="42"/>
      <c r="Z25" s="42"/>
      <c r="AA25" s="42"/>
    </row>
    <row r="26" spans="2:27">
      <c r="B26" s="5" t="s">
        <v>586</v>
      </c>
      <c r="C26" s="548">
        <v>4887.2583694679279</v>
      </c>
      <c r="D26" s="540">
        <v>5991.980808269308</v>
      </c>
      <c r="E26" s="540">
        <v>8003.2749483850657</v>
      </c>
      <c r="F26" s="540">
        <v>8839.8783913871303</v>
      </c>
      <c r="G26" s="540">
        <v>9741.1906294131259</v>
      </c>
      <c r="H26" s="279">
        <f t="shared" si="4"/>
        <v>0.17583723704721455</v>
      </c>
      <c r="I26" s="249"/>
      <c r="J26" s="249" t="s">
        <v>11</v>
      </c>
      <c r="K26" s="249"/>
      <c r="L26" s="281">
        <f>D11+L25</f>
        <v>64867.533357955457</v>
      </c>
      <c r="M26" s="281">
        <f>E11+M25</f>
        <v>63245.533357955457</v>
      </c>
      <c r="N26" s="281">
        <f>F11+N25</f>
        <v>61218.033357955457</v>
      </c>
      <c r="O26" s="281">
        <f>G11+O25</f>
        <v>59190.533357955457</v>
      </c>
      <c r="P26" s="279">
        <f>IF(L26=0,"nm",IF(O26=0,"nm",(O26/L26)^(1/3)-1))</f>
        <v>-3.006725101839236E-2</v>
      </c>
      <c r="Q26" s="5"/>
      <c r="S26" s="88"/>
      <c r="T26" s="42"/>
      <c r="U26" s="42"/>
      <c r="V26" s="147" t="s">
        <v>184</v>
      </c>
      <c r="W26" s="288">
        <f t="shared" si="6"/>
        <v>1.0882981726800212</v>
      </c>
      <c r="X26" s="288">
        <v>1</v>
      </c>
      <c r="Y26" s="42"/>
      <c r="Z26" s="42"/>
      <c r="AA26" s="42"/>
    </row>
    <row r="27" spans="2:27">
      <c r="B27" s="5" t="s">
        <v>587</v>
      </c>
      <c r="C27" s="549">
        <v>47759.22426653406</v>
      </c>
      <c r="D27" s="540">
        <v>54921.567937211876</v>
      </c>
      <c r="E27" s="540">
        <v>54744.241311742502</v>
      </c>
      <c r="F27" s="540">
        <v>53943.013232190744</v>
      </c>
      <c r="G27" s="540">
        <v>53665.648851524544</v>
      </c>
      <c r="H27" s="279">
        <f t="shared" si="4"/>
        <v>-7.6813529020137716E-3</v>
      </c>
      <c r="I27" s="249"/>
      <c r="J27" s="248"/>
      <c r="K27" s="248"/>
      <c r="L27" s="248"/>
      <c r="M27" s="248"/>
      <c r="N27" s="248"/>
      <c r="O27" s="248"/>
      <c r="Q27" s="41"/>
      <c r="S27" s="88"/>
      <c r="T27" s="42"/>
      <c r="U27" s="42"/>
      <c r="V27" s="147" t="s">
        <v>185</v>
      </c>
      <c r="W27" s="288">
        <f t="shared" si="6"/>
        <v>0.99708366383374225</v>
      </c>
      <c r="X27" s="288">
        <v>1</v>
      </c>
      <c r="Y27" s="42"/>
      <c r="Z27" s="42"/>
      <c r="AA27" s="42"/>
    </row>
    <row r="28" spans="2:27" ht="12.6" thickBot="1">
      <c r="B28" s="5" t="s">
        <v>592</v>
      </c>
      <c r="C28" s="548">
        <v>32681.551466931876</v>
      </c>
      <c r="D28" s="540">
        <v>36587.698746669856</v>
      </c>
      <c r="E28" s="540">
        <v>35065.118695509052</v>
      </c>
      <c r="F28" s="540">
        <v>33317.833981828662</v>
      </c>
      <c r="G28" s="540">
        <v>31674.583844511042</v>
      </c>
      <c r="H28" s="279">
        <f t="shared" si="4"/>
        <v>-4.6928957646193981E-2</v>
      </c>
      <c r="I28" s="248"/>
      <c r="J28" s="306" t="s">
        <v>1362</v>
      </c>
      <c r="K28" s="306"/>
      <c r="L28" s="306"/>
      <c r="M28" s="306"/>
      <c r="N28" s="266"/>
      <c r="O28" s="266"/>
      <c r="P28" s="266"/>
      <c r="Q28" s="5"/>
      <c r="S28" s="88"/>
      <c r="T28" s="42"/>
      <c r="U28" s="42"/>
      <c r="V28" s="147" t="s">
        <v>466</v>
      </c>
      <c r="W28" s="288">
        <f t="shared" si="6"/>
        <v>1.0227104305859618</v>
      </c>
      <c r="X28" s="288">
        <v>1</v>
      </c>
      <c r="Y28" s="42"/>
      <c r="Z28" s="42"/>
      <c r="AA28" s="42"/>
    </row>
    <row r="29" spans="2:27" ht="12.6" thickTop="1">
      <c r="B29" s="5" t="s">
        <v>588</v>
      </c>
      <c r="C29" s="548">
        <v>2502.6318147008687</v>
      </c>
      <c r="D29" s="540">
        <v>2706.5298782836771</v>
      </c>
      <c r="E29" s="540">
        <v>4428.2408948741231</v>
      </c>
      <c r="F29" s="540">
        <v>5428.2552738662125</v>
      </c>
      <c r="G29" s="540">
        <v>6571.2073337376642</v>
      </c>
      <c r="H29" s="279">
        <f t="shared" si="4"/>
        <v>0.34403562870736648</v>
      </c>
      <c r="I29" s="252"/>
      <c r="J29" s="249"/>
      <c r="K29" s="249"/>
      <c r="L29" s="249"/>
      <c r="M29" s="249"/>
      <c r="N29" s="249"/>
      <c r="O29" s="251"/>
      <c r="Q29" s="5"/>
      <c r="S29" s="88"/>
      <c r="T29" s="42"/>
      <c r="U29" s="42"/>
      <c r="V29" s="147" t="s">
        <v>530</v>
      </c>
      <c r="W29" s="288">
        <f t="shared" si="6"/>
        <v>1.2781764427072682</v>
      </c>
      <c r="X29" s="288">
        <v>1</v>
      </c>
      <c r="Y29" s="42"/>
      <c r="Z29" s="42"/>
      <c r="AA29" s="42"/>
    </row>
    <row r="30" spans="2:27">
      <c r="B30" s="5" t="s">
        <v>589</v>
      </c>
      <c r="C30" s="549">
        <v>4139.9784581618342</v>
      </c>
      <c r="D30" s="540">
        <v>4161.082242452122</v>
      </c>
      <c r="E30" s="540">
        <v>5223.6118925477958</v>
      </c>
      <c r="F30" s="540">
        <v>6421.6399472456715</v>
      </c>
      <c r="G30" s="540">
        <v>7634.3660988979309</v>
      </c>
      <c r="H30" s="279">
        <f>IF(D30=0,"nm",IF(G30=0,"nm",(G30/D30)^(1/3)-1))</f>
        <v>0.22420898009497869</v>
      </c>
      <c r="I30" s="254"/>
      <c r="J30" s="248"/>
      <c r="K30" s="248"/>
      <c r="L30" s="248"/>
      <c r="M30" s="248"/>
      <c r="N30" s="248"/>
      <c r="O30" s="5"/>
      <c r="Q30" s="5"/>
      <c r="S30" s="88"/>
      <c r="T30" s="42"/>
      <c r="U30" s="42"/>
      <c r="V30" s="147" t="s">
        <v>593</v>
      </c>
      <c r="W30" s="288">
        <f t="shared" si="6"/>
        <v>1.1148648406990485</v>
      </c>
      <c r="X30" s="288">
        <v>1</v>
      </c>
      <c r="Y30" s="42"/>
      <c r="Z30" s="42"/>
      <c r="AA30" s="42"/>
    </row>
    <row r="31" spans="2:27">
      <c r="B31" s="5" t="s">
        <v>590</v>
      </c>
      <c r="C31" s="549">
        <v>1388.7661918448537</v>
      </c>
      <c r="D31" s="540">
        <v>1608.6841884464388</v>
      </c>
      <c r="E31" s="540">
        <v>1680.2337973273943</v>
      </c>
      <c r="F31" s="540">
        <v>1705.3779051486963</v>
      </c>
      <c r="G31" s="540">
        <v>1718.1865356737044</v>
      </c>
      <c r="H31" s="279">
        <f t="shared" si="4"/>
        <v>2.2193635887354013E-2</v>
      </c>
      <c r="I31" s="254"/>
      <c r="J31" s="252"/>
      <c r="K31" s="252"/>
      <c r="L31" s="252"/>
      <c r="M31" s="252"/>
      <c r="N31" s="252"/>
      <c r="O31" s="5"/>
      <c r="Q31" s="5"/>
      <c r="S31" s="88"/>
      <c r="T31" s="42"/>
      <c r="U31" s="42"/>
      <c r="V31" s="147" t="s">
        <v>475</v>
      </c>
      <c r="W31" s="288">
        <f t="shared" si="6"/>
        <v>0.80210437320500472</v>
      </c>
      <c r="X31" s="288">
        <v>1</v>
      </c>
      <c r="Y31" s="42"/>
      <c r="Z31" s="42"/>
      <c r="AA31" s="42"/>
    </row>
    <row r="32" spans="2:27">
      <c r="B32" s="5" t="s">
        <v>606</v>
      </c>
      <c r="C32" s="550">
        <v>65.795090715048033</v>
      </c>
      <c r="D32" s="540">
        <v>26.5730629225169</v>
      </c>
      <c r="E32" s="540">
        <v>19.5</v>
      </c>
      <c r="F32" s="540">
        <v>-560.66442185000415</v>
      </c>
      <c r="G32" s="540">
        <v>1810.9906357811744</v>
      </c>
      <c r="H32" s="279">
        <f t="shared" si="4"/>
        <v>3.0846814798953694</v>
      </c>
      <c r="I32" s="254"/>
      <c r="J32" s="254"/>
      <c r="K32" s="254"/>
      <c r="L32" s="254"/>
      <c r="M32" s="254"/>
      <c r="N32" s="254"/>
      <c r="O32" s="251"/>
      <c r="Q32" s="5"/>
      <c r="S32" s="88"/>
      <c r="T32" s="42"/>
      <c r="U32" s="42"/>
      <c r="V32" s="147" t="s">
        <v>533</v>
      </c>
      <c r="W32" s="288">
        <f t="shared" si="6"/>
        <v>0.79671006349185114</v>
      </c>
      <c r="X32" s="288">
        <v>1</v>
      </c>
      <c r="Y32" s="42"/>
      <c r="Z32" s="42"/>
      <c r="AA32" s="42"/>
    </row>
    <row r="33" spans="2:27">
      <c r="B33" s="5" t="s">
        <v>5</v>
      </c>
      <c r="C33" s="549">
        <v>-1811.7851815017405</v>
      </c>
      <c r="D33" s="540">
        <v>-2051.7459338194058</v>
      </c>
      <c r="E33" s="540">
        <v>-1991.9156593701821</v>
      </c>
      <c r="F33" s="540">
        <v>-1646.7097153794778</v>
      </c>
      <c r="G33" s="540">
        <v>-1309.2643529356703</v>
      </c>
      <c r="H33" s="279">
        <f>IF(D33=0,"nm",IF(G33=0,"nm",(G33/D33)^(1/3)-1))</f>
        <v>-0.13906984298474612</v>
      </c>
      <c r="I33" s="5"/>
      <c r="J33" s="254"/>
      <c r="K33" s="254"/>
      <c r="L33" s="254"/>
      <c r="M33" s="254"/>
      <c r="N33" s="254"/>
      <c r="O33" s="251"/>
      <c r="Q33" s="5"/>
      <c r="S33" s="88"/>
      <c r="T33" s="42"/>
      <c r="U33" s="42"/>
      <c r="V33" s="147" t="s">
        <v>580</v>
      </c>
      <c r="W33" s="288">
        <f t="shared" si="6"/>
        <v>0.8891769720129632</v>
      </c>
      <c r="X33" s="288">
        <v>1</v>
      </c>
      <c r="Y33" s="42"/>
      <c r="Z33" s="42"/>
      <c r="AA33" s="42"/>
    </row>
    <row r="34" spans="2:27">
      <c r="H34" s="277"/>
      <c r="I34" s="49"/>
      <c r="J34" s="254"/>
      <c r="K34" s="254"/>
      <c r="L34" s="254"/>
      <c r="M34" s="254"/>
      <c r="N34" s="254"/>
      <c r="O34" s="251"/>
      <c r="Q34" s="5"/>
      <c r="S34" s="88"/>
      <c r="T34" s="42"/>
      <c r="U34" s="42"/>
      <c r="V34" s="147" t="s">
        <v>581</v>
      </c>
      <c r="W34" s="288">
        <f>D47/L19</f>
        <v>1.2467205433680093</v>
      </c>
      <c r="X34" s="288">
        <v>1</v>
      </c>
      <c r="Y34" s="288"/>
      <c r="Z34" s="288"/>
      <c r="AA34" s="42"/>
    </row>
    <row r="35" spans="2:27" ht="12.6" thickBot="1">
      <c r="B35" s="306" t="s">
        <v>72</v>
      </c>
      <c r="C35" s="265"/>
      <c r="D35" s="265" t="str">
        <f>D5</f>
        <v>2023E</v>
      </c>
      <c r="E35" s="265" t="str">
        <f t="shared" ref="E35:H35" si="7">E5</f>
        <v>2024E</v>
      </c>
      <c r="F35" s="265" t="str">
        <f t="shared" si="7"/>
        <v>2025E</v>
      </c>
      <c r="G35" s="265" t="str">
        <f t="shared" si="7"/>
        <v>2026E</v>
      </c>
      <c r="H35" s="265" t="str">
        <f t="shared" si="7"/>
        <v>23E-26E</v>
      </c>
      <c r="I35" s="254"/>
      <c r="J35" s="5"/>
      <c r="K35" s="5"/>
      <c r="L35" s="5"/>
      <c r="M35" s="5"/>
      <c r="N35" s="5"/>
      <c r="O35" s="5"/>
      <c r="Q35" s="5"/>
      <c r="S35" s="88"/>
      <c r="T35" s="42"/>
      <c r="U35" s="42"/>
      <c r="V35" s="42"/>
      <c r="W35" s="42"/>
      <c r="X35" s="42"/>
      <c r="Y35" s="288"/>
      <c r="Z35" s="288"/>
      <c r="AA35" s="42"/>
    </row>
    <row r="36" spans="2:27" ht="12.6" thickTop="1">
      <c r="B36" s="41"/>
      <c r="C36" s="249"/>
      <c r="D36" s="254"/>
      <c r="E36" s="254"/>
      <c r="F36" s="254"/>
      <c r="G36" s="254"/>
      <c r="H36" s="254"/>
      <c r="I36" s="17"/>
      <c r="J36" s="49"/>
      <c r="K36" s="49"/>
      <c r="L36" s="49"/>
      <c r="M36" s="49"/>
      <c r="N36" s="49"/>
      <c r="O36" s="49"/>
      <c r="Q36" s="5"/>
      <c r="S36" s="88"/>
      <c r="T36" s="42"/>
      <c r="U36" s="42"/>
      <c r="V36" s="42"/>
      <c r="W36" s="42"/>
      <c r="X36" s="42"/>
      <c r="Y36" s="288"/>
      <c r="Z36" s="288"/>
      <c r="AA36" s="42"/>
    </row>
    <row r="37" spans="2:27">
      <c r="B37" s="5" t="s">
        <v>273</v>
      </c>
      <c r="C37" s="247"/>
      <c r="D37" s="529">
        <f>D$18/D23</f>
        <v>1.8783864641060379</v>
      </c>
      <c r="E37" s="529">
        <f t="shared" ref="E37:G41" si="8">E$18/E23</f>
        <v>1.7152748240973184</v>
      </c>
      <c r="F37" s="529">
        <f t="shared" si="8"/>
        <v>1.5634082324002827</v>
      </c>
      <c r="G37" s="529">
        <f t="shared" si="8"/>
        <v>1.431498831013311</v>
      </c>
      <c r="H37" s="17">
        <f t="shared" ref="H37:H45" si="9">H23</f>
        <v>2.9915196167993097E-2</v>
      </c>
      <c r="I37" s="5"/>
      <c r="J37" s="259"/>
      <c r="K37" s="259"/>
      <c r="L37" s="259"/>
      <c r="M37" s="259"/>
      <c r="N37" s="259"/>
      <c r="O37" s="18"/>
      <c r="Q37" s="5"/>
      <c r="R37" s="5"/>
      <c r="S37" s="42"/>
      <c r="T37" s="42"/>
      <c r="U37" s="42"/>
      <c r="V37" s="42"/>
      <c r="W37" s="42"/>
      <c r="X37" s="42"/>
      <c r="Y37" s="42"/>
      <c r="Z37" s="42"/>
      <c r="AA37" s="42"/>
    </row>
    <row r="38" spans="2:27">
      <c r="B38" s="5" t="s">
        <v>184</v>
      </c>
      <c r="C38" s="247"/>
      <c r="D38" s="529">
        <f>D$18/D24</f>
        <v>4.8289407306018157</v>
      </c>
      <c r="E38" s="529">
        <f t="shared" si="8"/>
        <v>4.3286547732527465</v>
      </c>
      <c r="F38" s="529">
        <f t="shared" si="8"/>
        <v>3.8692076250550027</v>
      </c>
      <c r="G38" s="529">
        <f t="shared" si="8"/>
        <v>3.4832872853867136</v>
      </c>
      <c r="H38" s="17">
        <f t="shared" si="9"/>
        <v>4.8956975895425581E-2</v>
      </c>
      <c r="I38" s="259"/>
      <c r="J38" s="17"/>
      <c r="K38" s="17"/>
      <c r="L38" s="17"/>
      <c r="M38" s="17"/>
      <c r="N38" s="17"/>
      <c r="O38" s="5"/>
      <c r="Q38" s="5"/>
      <c r="R38" s="5"/>
      <c r="S38" s="42"/>
      <c r="T38" s="42"/>
      <c r="U38" s="42"/>
      <c r="V38" s="42"/>
      <c r="W38" s="42"/>
      <c r="X38" s="42"/>
      <c r="Y38" s="42"/>
      <c r="Z38" s="42"/>
      <c r="AA38" s="42"/>
    </row>
    <row r="39" spans="2:27">
      <c r="B39" s="5" t="s">
        <v>185</v>
      </c>
      <c r="C39" s="247"/>
      <c r="D39" s="529">
        <f>D$18/D25</f>
        <v>8.7519094402122182</v>
      </c>
      <c r="E39" s="529">
        <f t="shared" si="8"/>
        <v>7.0839633039162884</v>
      </c>
      <c r="F39" s="529">
        <f t="shared" si="8"/>
        <v>6.0703338354390155</v>
      </c>
      <c r="G39" s="529">
        <f t="shared" si="8"/>
        <v>5.2289973558869729</v>
      </c>
      <c r="H39" s="17">
        <f t="shared" si="9"/>
        <v>0.11694454902488172</v>
      </c>
      <c r="I39" s="17"/>
      <c r="J39" s="5"/>
      <c r="K39" s="5"/>
      <c r="L39" s="5"/>
      <c r="M39" s="5"/>
      <c r="N39" s="5"/>
      <c r="O39" s="5"/>
      <c r="Q39" s="5"/>
      <c r="R39" s="5"/>
      <c r="S39" s="42"/>
      <c r="T39" s="42"/>
      <c r="U39" s="42"/>
      <c r="V39" s="42"/>
      <c r="W39" s="42"/>
      <c r="X39" s="42"/>
      <c r="Y39" s="42"/>
      <c r="Z39" s="42"/>
      <c r="AA39" s="42"/>
    </row>
    <row r="40" spans="2:27">
      <c r="B40" s="5" t="s">
        <v>466</v>
      </c>
      <c r="C40" s="247"/>
      <c r="D40" s="529">
        <f>D$18/D26</f>
        <v>14.586515733687031</v>
      </c>
      <c r="E40" s="529">
        <f t="shared" si="8"/>
        <v>10.417593093994542</v>
      </c>
      <c r="F40" s="529">
        <f t="shared" si="8"/>
        <v>8.7975852687521972</v>
      </c>
      <c r="G40" s="529">
        <f t="shared" si="8"/>
        <v>7.4699962226956762</v>
      </c>
      <c r="H40" s="17">
        <f t="shared" si="9"/>
        <v>0.17583723704721455</v>
      </c>
      <c r="I40" s="5"/>
      <c r="J40" s="259"/>
      <c r="K40" s="259"/>
      <c r="L40" s="259"/>
      <c r="M40" s="259"/>
      <c r="N40" s="259"/>
      <c r="O40" s="18"/>
      <c r="Q40" s="5"/>
      <c r="R40" s="5"/>
      <c r="S40" s="42"/>
      <c r="T40" s="42"/>
      <c r="U40" s="42"/>
      <c r="V40" s="42"/>
      <c r="W40" s="288"/>
      <c r="X40" s="288"/>
      <c r="Y40" s="42"/>
      <c r="Z40" s="42"/>
      <c r="AA40" s="42"/>
    </row>
    <row r="41" spans="2:27">
      <c r="B41" s="5" t="s">
        <v>530</v>
      </c>
      <c r="C41" s="247"/>
      <c r="D41" s="529">
        <f>D$18/D27</f>
        <v>1.5913988915191195</v>
      </c>
      <c r="E41" s="529">
        <f t="shared" si="8"/>
        <v>1.5229887168744467</v>
      </c>
      <c r="F41" s="529">
        <f t="shared" si="8"/>
        <v>1.4416989199116323</v>
      </c>
      <c r="G41" s="529">
        <f t="shared" si="8"/>
        <v>1.3559261606543942</v>
      </c>
      <c r="H41" s="17">
        <f t="shared" si="9"/>
        <v>-7.6813529020137716E-3</v>
      </c>
      <c r="I41" s="247"/>
      <c r="J41" s="17"/>
      <c r="K41" s="17"/>
      <c r="L41" s="17"/>
      <c r="M41" s="17"/>
      <c r="N41" s="17"/>
      <c r="O41" s="5"/>
      <c r="Q41" s="5"/>
      <c r="R41" s="5"/>
      <c r="S41" s="42"/>
      <c r="T41" s="42"/>
      <c r="U41" s="42"/>
      <c r="V41" s="42"/>
      <c r="W41" s="288"/>
      <c r="X41" s="288"/>
      <c r="Y41" s="288"/>
      <c r="Z41" s="288"/>
      <c r="AA41" s="42"/>
    </row>
    <row r="42" spans="2:27">
      <c r="B42" s="5" t="s">
        <v>593</v>
      </c>
      <c r="C42" s="247"/>
      <c r="D42" s="529">
        <f>D18/D28</f>
        <v>2.3888390177511827</v>
      </c>
      <c r="E42" s="529">
        <f>E18/E28</f>
        <v>2.3777150893350316</v>
      </c>
      <c r="F42" s="529">
        <f>F18/F28</f>
        <v>2.3341728623788489</v>
      </c>
      <c r="G42" s="529">
        <f>G18/G28</f>
        <v>2.2973200709907498</v>
      </c>
      <c r="H42" s="17">
        <f t="shared" si="9"/>
        <v>-4.6928957646193981E-2</v>
      </c>
      <c r="I42" s="248"/>
      <c r="J42" s="5"/>
      <c r="K42" s="5"/>
      <c r="L42" s="5"/>
      <c r="M42" s="5"/>
      <c r="N42" s="5"/>
      <c r="O42" s="5"/>
      <c r="Q42" s="5"/>
      <c r="R42" s="5"/>
      <c r="S42" s="42"/>
      <c r="T42" s="42"/>
      <c r="U42" s="42"/>
      <c r="V42" s="42"/>
      <c r="W42" s="288"/>
      <c r="X42" s="288"/>
      <c r="Y42" s="288"/>
      <c r="Z42" s="288"/>
      <c r="AA42" s="42"/>
    </row>
    <row r="43" spans="2:27">
      <c r="B43" s="5" t="s">
        <v>475</v>
      </c>
      <c r="C43" s="247"/>
      <c r="D43" s="529">
        <f>L26/D29</f>
        <v>23.967048684158865</v>
      </c>
      <c r="E43" s="529">
        <f>M26/E29</f>
        <v>14.282315451981136</v>
      </c>
      <c r="F43" s="529">
        <f>N26/F29</f>
        <v>11.277662944976722</v>
      </c>
      <c r="G43" s="529">
        <f>O26/G29</f>
        <v>9.0075583301201707</v>
      </c>
      <c r="H43" s="17">
        <f t="shared" si="9"/>
        <v>0.34403562870736648</v>
      </c>
      <c r="I43" s="247"/>
      <c r="J43" s="247"/>
      <c r="K43" s="247"/>
      <c r="L43" s="247"/>
      <c r="M43" s="247"/>
      <c r="N43" s="247"/>
      <c r="O43" s="18"/>
      <c r="Q43" s="5"/>
      <c r="R43" s="5"/>
      <c r="S43" s="42"/>
      <c r="T43" s="42"/>
      <c r="U43" s="42"/>
      <c r="V43" s="42"/>
      <c r="W43" s="288"/>
      <c r="X43" s="288"/>
      <c r="Y43" s="288"/>
      <c r="Z43" s="288"/>
      <c r="AA43" s="42"/>
    </row>
    <row r="44" spans="2:27">
      <c r="B44" s="5" t="s">
        <v>533</v>
      </c>
      <c r="C44" s="69"/>
      <c r="D44" s="529">
        <f>D11/D30</f>
        <v>12.152870198547117</v>
      </c>
      <c r="E44" s="529">
        <f>E11/E30</f>
        <v>9.370353959073757</v>
      </c>
      <c r="F44" s="529">
        <f>F11/F30</f>
        <v>7.3064813292941553</v>
      </c>
      <c r="G44" s="529">
        <f>G11/G30</f>
        <v>5.8802645558850601</v>
      </c>
      <c r="H44" s="17">
        <f t="shared" si="9"/>
        <v>0.22420898009497869</v>
      </c>
      <c r="I44" s="247"/>
      <c r="J44" s="248"/>
      <c r="K44" s="248"/>
      <c r="L44" s="248"/>
      <c r="M44" s="248"/>
      <c r="N44" s="248"/>
      <c r="O44" s="248"/>
      <c r="Q44" s="5"/>
      <c r="R44" s="5"/>
      <c r="S44" s="42"/>
      <c r="T44" s="42"/>
      <c r="U44" s="42"/>
      <c r="V44" s="42"/>
      <c r="W44" s="325"/>
      <c r="X44" s="325"/>
      <c r="Y44" s="288"/>
      <c r="Z44" s="288"/>
      <c r="AA44" s="42"/>
    </row>
    <row r="45" spans="2:27">
      <c r="B45" s="5" t="s">
        <v>580</v>
      </c>
      <c r="C45" s="247"/>
      <c r="D45" s="248">
        <f>D31/D11</f>
        <v>3.1811608885950547E-2</v>
      </c>
      <c r="E45" s="248">
        <f>E31/E11</f>
        <v>3.4327550742985512E-2</v>
      </c>
      <c r="F45" s="248">
        <f>F31/F11</f>
        <v>3.6346818433749359E-2</v>
      </c>
      <c r="G45" s="248">
        <f>G31/G11</f>
        <v>3.8273701328203756E-2</v>
      </c>
      <c r="H45" s="17">
        <f t="shared" si="9"/>
        <v>2.2193635887354013E-2</v>
      </c>
      <c r="I45" s="248"/>
      <c r="J45" s="247"/>
      <c r="K45" s="247"/>
      <c r="L45" s="247"/>
      <c r="M45" s="247"/>
      <c r="N45" s="247"/>
      <c r="O45" s="248"/>
      <c r="Q45" s="5"/>
      <c r="R45" s="5"/>
      <c r="S45" s="42"/>
      <c r="T45" s="42"/>
      <c r="U45" s="42"/>
      <c r="V45" s="42"/>
      <c r="W45" s="42"/>
      <c r="X45" s="42"/>
      <c r="Y45" s="325"/>
      <c r="Z45" s="325"/>
      <c r="AA45" s="42"/>
    </row>
    <row r="46" spans="2:27">
      <c r="B46" s="5" t="s">
        <v>605</v>
      </c>
      <c r="C46" s="247"/>
      <c r="D46" s="248">
        <f>(D31+D32)/D11</f>
        <v>3.2337089207485396E-2</v>
      </c>
      <c r="E46" s="248">
        <f>(E31+E32)/E11</f>
        <v>3.4725940086511961E-2</v>
      </c>
      <c r="F46" s="248">
        <f>(F31+F32)/F11</f>
        <v>2.4397345016906706E-2</v>
      </c>
      <c r="G46" s="248">
        <f>(G31+G32)/G11</f>
        <v>7.861467319764319E-2</v>
      </c>
      <c r="H46" s="279">
        <f>((G31+G32)/(D31+D32))^(1/3)-1</f>
        <v>0.29229736627918079</v>
      </c>
      <c r="I46" s="247"/>
      <c r="J46" s="247"/>
      <c r="K46" s="247"/>
      <c r="L46" s="247"/>
      <c r="M46" s="247"/>
      <c r="N46" s="247"/>
      <c r="O46" s="18"/>
      <c r="Q46" s="5"/>
      <c r="R46" s="5"/>
      <c r="S46" s="42"/>
      <c r="T46" s="42"/>
      <c r="U46" s="42"/>
      <c r="V46" s="42"/>
      <c r="W46" s="42"/>
      <c r="X46" s="42"/>
      <c r="Y46" s="42"/>
      <c r="Z46" s="42"/>
      <c r="AA46" s="326"/>
    </row>
    <row r="47" spans="2:27">
      <c r="B47" s="5" t="s">
        <v>581</v>
      </c>
      <c r="C47" s="5"/>
      <c r="D47" s="248">
        <f>1/D43</f>
        <v>4.1723952463990896E-2</v>
      </c>
      <c r="E47" s="248">
        <f>1/E43</f>
        <v>7.001665824859564E-2</v>
      </c>
      <c r="F47" s="248">
        <f>1/F43</f>
        <v>8.8670853604949987E-2</v>
      </c>
      <c r="G47" s="248">
        <f>1/G43</f>
        <v>0.11101787669319027</v>
      </c>
      <c r="H47" s="17">
        <f>H29</f>
        <v>0.34403562870736648</v>
      </c>
      <c r="I47" s="17"/>
      <c r="J47" s="248"/>
      <c r="K47" s="248"/>
      <c r="L47" s="248"/>
      <c r="M47" s="248"/>
      <c r="N47" s="248"/>
      <c r="O47" s="248"/>
      <c r="Q47" s="5"/>
      <c r="R47" s="5"/>
      <c r="S47" s="42"/>
      <c r="T47" s="42"/>
      <c r="U47" s="42"/>
      <c r="V47" s="42"/>
      <c r="W47" s="42"/>
      <c r="X47" s="42"/>
      <c r="Y47" s="42"/>
      <c r="Z47" s="42"/>
      <c r="AA47" s="326"/>
    </row>
    <row r="48" spans="2:27">
      <c r="B48" s="5" t="s">
        <v>618</v>
      </c>
      <c r="C48" s="5"/>
      <c r="D48" s="305">
        <f>D31/D29</f>
        <v>0.59437148702994269</v>
      </c>
      <c r="E48" s="305">
        <f>E31/E29</f>
        <v>0.37943595147959008</v>
      </c>
      <c r="F48" s="305">
        <f>F31/F29</f>
        <v>0.31416685824615992</v>
      </c>
      <c r="G48" s="305">
        <f>G31/G29</f>
        <v>0.26147197134569944</v>
      </c>
      <c r="H48" s="279" t="s">
        <v>607</v>
      </c>
      <c r="I48" s="247"/>
      <c r="J48" s="247"/>
      <c r="K48" s="247"/>
      <c r="L48" s="247"/>
      <c r="M48" s="247"/>
      <c r="N48" s="247"/>
      <c r="O48" s="248"/>
      <c r="Q48" s="5"/>
      <c r="R48" s="5"/>
      <c r="S48" s="42"/>
      <c r="T48" s="42"/>
      <c r="U48" s="42"/>
      <c r="V48" s="42"/>
      <c r="W48" s="42"/>
      <c r="X48" s="42"/>
      <c r="Y48" s="42"/>
      <c r="Z48" s="42"/>
      <c r="AA48" s="326"/>
    </row>
    <row r="49" spans="2:27">
      <c r="B49" s="41"/>
      <c r="C49" s="17"/>
      <c r="D49" s="17"/>
      <c r="E49" s="17"/>
      <c r="F49" s="17"/>
      <c r="G49" s="17"/>
      <c r="H49" s="17"/>
      <c r="I49" s="254"/>
      <c r="J49" s="17"/>
      <c r="K49" s="17"/>
      <c r="L49" s="17"/>
      <c r="M49" s="17"/>
      <c r="N49" s="17"/>
      <c r="O49" s="248"/>
      <c r="Q49" s="5"/>
      <c r="R49" s="5"/>
      <c r="S49" s="42"/>
      <c r="T49" s="42"/>
      <c r="U49" s="42"/>
      <c r="V49" s="42"/>
      <c r="W49" s="42"/>
      <c r="X49" s="42"/>
      <c r="Y49" s="42"/>
      <c r="Z49" s="42"/>
      <c r="AA49" s="326"/>
    </row>
    <row r="50" spans="2:27">
      <c r="B50" s="5"/>
      <c r="C50" s="257"/>
      <c r="D50" s="257"/>
      <c r="E50" s="257"/>
      <c r="F50" s="5"/>
      <c r="G50" s="41"/>
      <c r="H50" s="249"/>
      <c r="I50" s="17"/>
      <c r="J50" s="249"/>
      <c r="K50" s="249"/>
      <c r="L50" s="249"/>
      <c r="M50" s="249"/>
      <c r="N50" s="249"/>
      <c r="O50" s="250"/>
      <c r="Q50" s="5"/>
      <c r="R50" s="5"/>
      <c r="S50" s="42"/>
      <c r="T50" s="42"/>
      <c r="U50" s="42"/>
      <c r="V50" s="42"/>
      <c r="W50" s="288"/>
      <c r="X50" s="288"/>
      <c r="Y50" s="42"/>
      <c r="Z50" s="42"/>
      <c r="AA50" s="326"/>
    </row>
    <row r="51" spans="2:27">
      <c r="B51" s="41"/>
      <c r="C51" s="249"/>
      <c r="D51" s="254"/>
      <c r="E51" s="254"/>
      <c r="F51" s="254"/>
      <c r="G51" s="254"/>
      <c r="H51" s="254"/>
      <c r="I51" s="259"/>
      <c r="J51" s="254"/>
      <c r="K51" s="254"/>
      <c r="L51" s="254"/>
      <c r="M51" s="254"/>
      <c r="N51" s="254"/>
      <c r="O51" s="251"/>
      <c r="Q51" s="5"/>
      <c r="R51" s="5"/>
      <c r="S51" s="42"/>
      <c r="T51" s="42"/>
      <c r="U51" s="42"/>
      <c r="V51" s="42"/>
      <c r="W51" s="288"/>
      <c r="X51" s="288"/>
      <c r="Y51" s="288"/>
      <c r="Z51" s="288"/>
      <c r="AA51" s="42"/>
    </row>
    <row r="52" spans="2:27">
      <c r="B52" s="5"/>
      <c r="C52" s="257"/>
      <c r="D52" s="17"/>
      <c r="E52" s="17"/>
      <c r="F52" s="17"/>
      <c r="G52" s="17"/>
      <c r="H52" s="17"/>
      <c r="I52" s="254"/>
      <c r="J52" s="17"/>
      <c r="K52" s="17"/>
      <c r="L52" s="17"/>
      <c r="M52" s="17"/>
      <c r="N52" s="17"/>
      <c r="O52" s="248"/>
      <c r="Q52" s="5"/>
      <c r="R52" s="5"/>
      <c r="S52" s="5"/>
      <c r="Y52" s="10"/>
      <c r="Z52" s="10"/>
    </row>
    <row r="53" spans="2:27">
      <c r="B53" s="5"/>
      <c r="C53" s="257"/>
      <c r="D53" s="257"/>
      <c r="E53" s="257"/>
      <c r="F53" s="5"/>
      <c r="G53" s="5"/>
      <c r="H53" s="259"/>
      <c r="I53" s="17"/>
      <c r="J53" s="259"/>
      <c r="K53" s="259"/>
      <c r="L53" s="259"/>
      <c r="M53" s="259"/>
      <c r="N53" s="259"/>
      <c r="O53" s="18"/>
      <c r="Q53" s="5"/>
      <c r="R53" s="5"/>
      <c r="S53" s="5"/>
    </row>
    <row r="54" spans="2:27">
      <c r="B54" s="41"/>
      <c r="C54" s="249"/>
      <c r="D54" s="254"/>
      <c r="E54" s="254"/>
      <c r="F54" s="254"/>
      <c r="G54" s="254"/>
      <c r="H54" s="254"/>
      <c r="I54" s="259"/>
      <c r="J54" s="254"/>
      <c r="K54" s="254"/>
      <c r="L54" s="254"/>
      <c r="M54" s="254"/>
      <c r="N54" s="254"/>
      <c r="O54" s="251"/>
      <c r="Q54" s="5"/>
      <c r="R54" s="5"/>
      <c r="S54" s="5"/>
    </row>
    <row r="55" spans="2:27">
      <c r="B55" s="5"/>
      <c r="C55" s="257"/>
      <c r="D55" s="17"/>
      <c r="E55" s="17"/>
      <c r="F55" s="17"/>
      <c r="G55" s="17"/>
      <c r="H55" s="17"/>
      <c r="I55" s="249"/>
      <c r="J55" s="17"/>
      <c r="K55" s="17"/>
      <c r="L55" s="17"/>
      <c r="M55" s="17"/>
      <c r="N55" s="17"/>
      <c r="O55" s="18"/>
      <c r="Q55" s="5"/>
      <c r="R55" s="5"/>
      <c r="S55" s="5"/>
    </row>
    <row r="56" spans="2:27">
      <c r="B56" s="5"/>
      <c r="C56" s="248"/>
      <c r="D56" s="248"/>
      <c r="E56" s="248"/>
      <c r="F56" s="5"/>
      <c r="G56" s="5"/>
      <c r="H56" s="259"/>
      <c r="I56" s="248"/>
      <c r="J56" s="259"/>
      <c r="K56" s="259"/>
      <c r="L56" s="259"/>
      <c r="M56" s="259"/>
      <c r="N56" s="259"/>
      <c r="O56" s="18"/>
      <c r="Q56" s="5"/>
      <c r="R56" s="5"/>
      <c r="S56" s="5"/>
    </row>
    <row r="57" spans="2:27">
      <c r="B57" s="41"/>
      <c r="C57" s="249"/>
      <c r="D57" s="249"/>
      <c r="E57" s="249"/>
      <c r="F57" s="249"/>
      <c r="G57" s="249"/>
      <c r="H57" s="249"/>
      <c r="I57" s="5"/>
      <c r="J57" s="249"/>
      <c r="K57" s="249"/>
      <c r="L57" s="249"/>
      <c r="M57" s="249"/>
      <c r="N57" s="249"/>
      <c r="O57" s="251"/>
      <c r="Q57" s="5"/>
      <c r="R57" s="5"/>
      <c r="S57" s="5"/>
    </row>
    <row r="58" spans="2:27">
      <c r="B58" s="5"/>
      <c r="C58" s="5"/>
      <c r="D58" s="248"/>
      <c r="E58" s="248"/>
      <c r="F58" s="248"/>
      <c r="G58" s="248"/>
      <c r="H58" s="248"/>
      <c r="I58" s="17"/>
      <c r="J58" s="248"/>
      <c r="K58" s="248"/>
      <c r="L58" s="248"/>
      <c r="M58" s="248"/>
      <c r="N58" s="248"/>
      <c r="O58" s="18"/>
      <c r="Q58" s="5"/>
      <c r="R58" s="5"/>
      <c r="S58" s="5"/>
    </row>
    <row r="59" spans="2:27">
      <c r="B59" s="5"/>
      <c r="C59" s="5"/>
      <c r="D59" s="5"/>
      <c r="E59" s="5"/>
      <c r="F59" s="5"/>
      <c r="G59" s="5"/>
      <c r="H59" s="5"/>
      <c r="I59" s="5"/>
      <c r="J59" s="5"/>
      <c r="K59" s="5"/>
      <c r="L59" s="5"/>
      <c r="M59" s="5"/>
      <c r="N59" s="5"/>
      <c r="O59" s="5"/>
      <c r="Q59" s="5"/>
      <c r="R59" s="5"/>
      <c r="S59" s="5"/>
    </row>
    <row r="60" spans="2:27">
      <c r="B60" s="41"/>
      <c r="C60" s="17"/>
      <c r="D60" s="17"/>
      <c r="E60" s="17"/>
      <c r="F60" s="17"/>
      <c r="G60" s="17"/>
      <c r="H60" s="17"/>
      <c r="I60" s="249"/>
      <c r="J60" s="17"/>
      <c r="K60" s="17"/>
      <c r="L60" s="17"/>
      <c r="M60" s="17"/>
      <c r="N60" s="17"/>
      <c r="O60" s="251"/>
      <c r="Q60" s="5"/>
      <c r="R60" s="5"/>
      <c r="S60" s="5"/>
    </row>
    <row r="61" spans="2:27">
      <c r="B61" s="5"/>
      <c r="C61" s="5"/>
      <c r="D61" s="5"/>
      <c r="E61" s="5"/>
      <c r="F61" s="5"/>
      <c r="G61" s="5"/>
      <c r="H61" s="5"/>
      <c r="I61" s="5"/>
      <c r="J61" s="5"/>
      <c r="K61" s="5"/>
      <c r="L61" s="5"/>
      <c r="M61" s="5"/>
      <c r="N61" s="5"/>
      <c r="O61" s="5"/>
      <c r="Q61" s="41"/>
      <c r="R61" s="5"/>
      <c r="S61" s="5"/>
    </row>
    <row r="62" spans="2:27">
      <c r="B62" s="41"/>
      <c r="C62" s="249"/>
      <c r="D62" s="249"/>
      <c r="E62" s="249"/>
      <c r="F62" s="249"/>
      <c r="G62" s="249"/>
      <c r="H62" s="249"/>
      <c r="I62" s="5"/>
      <c r="J62" s="249"/>
      <c r="K62" s="249"/>
      <c r="L62" s="249"/>
      <c r="M62" s="249"/>
      <c r="N62" s="249"/>
      <c r="O62" s="251"/>
      <c r="Q62" s="5"/>
      <c r="R62" s="5"/>
      <c r="S62" s="5"/>
    </row>
    <row r="63" spans="2:27">
      <c r="B63" s="5"/>
      <c r="C63" s="5"/>
      <c r="D63" s="5"/>
      <c r="E63" s="5"/>
      <c r="F63" s="5"/>
      <c r="G63" s="5"/>
      <c r="H63" s="5"/>
      <c r="I63" s="254"/>
      <c r="J63" s="5"/>
      <c r="K63" s="5"/>
      <c r="L63" s="5"/>
      <c r="M63" s="5"/>
      <c r="N63" s="5"/>
      <c r="O63" s="5"/>
      <c r="Q63" s="5"/>
      <c r="R63" s="5"/>
      <c r="S63" s="5"/>
    </row>
    <row r="64" spans="2:27">
      <c r="B64" s="5"/>
      <c r="C64" s="5"/>
      <c r="D64" s="5"/>
      <c r="E64" s="5"/>
      <c r="F64" s="5"/>
      <c r="G64" s="5"/>
      <c r="H64" s="5"/>
      <c r="I64" s="17"/>
      <c r="J64" s="5"/>
      <c r="K64" s="5"/>
      <c r="L64" s="5"/>
      <c r="M64" s="5"/>
      <c r="N64" s="5"/>
      <c r="O64" s="5"/>
      <c r="Q64" s="5"/>
      <c r="R64" s="5"/>
      <c r="S64" s="5"/>
    </row>
    <row r="65" spans="2:26">
      <c r="B65" s="41"/>
      <c r="C65" s="249"/>
      <c r="D65" s="254"/>
      <c r="E65" s="254"/>
      <c r="F65" s="254"/>
      <c r="G65" s="254"/>
      <c r="H65" s="254"/>
      <c r="I65" s="254"/>
      <c r="J65" s="254"/>
      <c r="K65" s="254"/>
      <c r="L65" s="254"/>
      <c r="M65" s="254"/>
      <c r="N65" s="254"/>
      <c r="O65" s="251"/>
      <c r="Q65" s="5"/>
      <c r="R65" s="5"/>
      <c r="S65" s="5"/>
    </row>
    <row r="66" spans="2:26">
      <c r="B66" s="5"/>
      <c r="C66" s="5"/>
      <c r="D66" s="17"/>
      <c r="E66" s="17"/>
      <c r="F66" s="17"/>
      <c r="G66" s="17"/>
      <c r="H66" s="17"/>
      <c r="I66" s="248"/>
      <c r="J66" s="17"/>
      <c r="K66" s="17"/>
      <c r="L66" s="17"/>
      <c r="M66" s="17"/>
      <c r="N66" s="17"/>
      <c r="O66" s="5"/>
      <c r="Q66" s="5"/>
      <c r="R66" s="5"/>
      <c r="S66" s="5"/>
    </row>
    <row r="67" spans="2:26">
      <c r="B67" s="41"/>
      <c r="C67" s="249"/>
      <c r="D67" s="254"/>
      <c r="E67" s="254"/>
      <c r="F67" s="254"/>
      <c r="G67" s="254"/>
      <c r="H67" s="254"/>
      <c r="I67" s="5"/>
      <c r="J67" s="254"/>
      <c r="K67" s="254"/>
      <c r="L67" s="254"/>
      <c r="M67" s="254"/>
      <c r="N67" s="254"/>
      <c r="O67" s="251"/>
      <c r="Q67" s="41"/>
      <c r="R67" s="5"/>
      <c r="S67" s="5"/>
    </row>
    <row r="68" spans="2:26">
      <c r="B68" s="5"/>
      <c r="C68" s="5"/>
      <c r="D68" s="248"/>
      <c r="E68" s="248"/>
      <c r="F68" s="248"/>
      <c r="G68" s="248"/>
      <c r="H68" s="248"/>
      <c r="I68" s="245"/>
      <c r="J68" s="248"/>
      <c r="K68" s="248"/>
      <c r="L68" s="248"/>
      <c r="M68" s="248"/>
      <c r="N68" s="248"/>
      <c r="O68" s="5"/>
      <c r="Q68" s="5"/>
      <c r="R68" s="5"/>
      <c r="S68" s="5"/>
    </row>
    <row r="69" spans="2:26">
      <c r="B69" s="41"/>
      <c r="C69" s="5"/>
      <c r="D69" s="5"/>
      <c r="E69" s="5"/>
      <c r="F69" s="5"/>
      <c r="G69" s="5"/>
      <c r="H69" s="5"/>
      <c r="I69" s="248"/>
      <c r="J69" s="5"/>
      <c r="K69" s="5"/>
      <c r="L69" s="5"/>
      <c r="M69" s="5"/>
      <c r="N69" s="5"/>
      <c r="O69" s="5"/>
      <c r="Q69" s="5"/>
      <c r="R69" s="5"/>
      <c r="S69" s="5"/>
    </row>
    <row r="70" spans="2:26">
      <c r="B70" s="41"/>
      <c r="C70" s="245"/>
      <c r="D70" s="245"/>
      <c r="E70" s="245"/>
      <c r="F70" s="245"/>
      <c r="G70" s="245"/>
      <c r="H70" s="245"/>
      <c r="I70" s="5"/>
      <c r="J70" s="245"/>
      <c r="K70" s="245"/>
      <c r="L70" s="245"/>
      <c r="M70" s="245"/>
      <c r="N70" s="245"/>
      <c r="O70" s="251"/>
      <c r="Q70" s="5"/>
      <c r="R70" s="5"/>
      <c r="S70" s="5"/>
      <c r="W70" s="76"/>
      <c r="X70" s="76"/>
    </row>
    <row r="71" spans="2:26">
      <c r="B71" s="5"/>
      <c r="C71" s="5"/>
      <c r="D71" s="248"/>
      <c r="E71" s="248"/>
      <c r="F71" s="248"/>
      <c r="G71" s="248"/>
      <c r="H71" s="248"/>
      <c r="I71" s="245"/>
      <c r="J71" s="248"/>
      <c r="K71" s="248"/>
      <c r="L71" s="248"/>
      <c r="M71" s="248"/>
      <c r="N71" s="248"/>
      <c r="O71" s="5"/>
      <c r="Q71" s="5"/>
      <c r="R71" s="5"/>
      <c r="S71" s="5"/>
      <c r="W71" s="76"/>
      <c r="X71" s="76"/>
      <c r="Y71" s="76"/>
      <c r="Z71" s="76"/>
    </row>
    <row r="72" spans="2:26">
      <c r="B72" s="41"/>
      <c r="C72" s="5"/>
      <c r="D72" s="5"/>
      <c r="E72" s="5"/>
      <c r="F72" s="5"/>
      <c r="G72" s="5"/>
      <c r="H72" s="5"/>
      <c r="I72" s="18"/>
      <c r="J72" s="5"/>
      <c r="K72" s="5"/>
      <c r="L72" s="5"/>
      <c r="M72" s="5"/>
      <c r="N72" s="5"/>
      <c r="O72" s="5"/>
      <c r="Q72" s="5"/>
      <c r="R72" s="5"/>
      <c r="S72" s="5"/>
      <c r="Y72" s="76"/>
      <c r="Z72" s="76"/>
    </row>
    <row r="73" spans="2:26">
      <c r="B73" s="41"/>
      <c r="C73" s="245"/>
      <c r="D73" s="245"/>
      <c r="E73" s="245"/>
      <c r="F73" s="245"/>
      <c r="G73" s="245"/>
      <c r="H73" s="245"/>
      <c r="I73" s="5"/>
      <c r="J73" s="245"/>
      <c r="K73" s="245"/>
      <c r="L73" s="245"/>
      <c r="M73" s="245"/>
      <c r="N73" s="245"/>
      <c r="O73" s="251"/>
      <c r="Q73" s="5"/>
      <c r="R73" s="5"/>
      <c r="S73" s="5"/>
    </row>
    <row r="74" spans="2:26">
      <c r="B74" s="5"/>
      <c r="C74" s="5"/>
      <c r="D74" s="18"/>
      <c r="E74" s="18"/>
      <c r="F74" s="18"/>
      <c r="G74" s="18"/>
      <c r="H74" s="18"/>
      <c r="I74" s="249"/>
      <c r="J74" s="18"/>
      <c r="K74" s="18"/>
      <c r="L74" s="18"/>
      <c r="M74" s="18"/>
      <c r="N74" s="18"/>
      <c r="O74" s="5"/>
      <c r="Q74" s="5"/>
      <c r="R74" s="5"/>
      <c r="S74" s="5"/>
    </row>
    <row r="75" spans="2:26">
      <c r="B75" s="41"/>
      <c r="C75" s="5"/>
      <c r="D75" s="5"/>
      <c r="E75" s="5"/>
      <c r="F75" s="5"/>
      <c r="G75" s="5"/>
      <c r="H75" s="5"/>
      <c r="I75" s="248"/>
      <c r="J75" s="5"/>
      <c r="K75" s="5"/>
      <c r="L75" s="5"/>
      <c r="M75" s="5"/>
      <c r="N75" s="5"/>
      <c r="O75" s="5"/>
      <c r="Q75" s="5"/>
      <c r="R75" s="5"/>
      <c r="S75" s="5"/>
    </row>
    <row r="76" spans="2:26">
      <c r="B76" s="41"/>
      <c r="C76" s="249"/>
      <c r="D76" s="249"/>
      <c r="E76" s="249"/>
      <c r="F76" s="249"/>
      <c r="G76" s="249"/>
      <c r="H76" s="249"/>
      <c r="I76" s="5"/>
      <c r="J76" s="249"/>
      <c r="K76" s="249"/>
      <c r="L76" s="249"/>
      <c r="M76" s="249"/>
      <c r="N76" s="249"/>
      <c r="O76" s="251"/>
      <c r="Q76" s="5"/>
      <c r="R76" s="5"/>
      <c r="S76" s="5"/>
    </row>
    <row r="77" spans="2:26">
      <c r="B77" s="5"/>
      <c r="C77" s="5"/>
      <c r="D77" s="248"/>
      <c r="E77" s="248"/>
      <c r="F77" s="248"/>
      <c r="G77" s="248"/>
      <c r="H77" s="248"/>
      <c r="I77" s="245"/>
      <c r="J77" s="248"/>
      <c r="K77" s="248"/>
      <c r="L77" s="248"/>
      <c r="M77" s="248"/>
      <c r="N77" s="248"/>
      <c r="O77" s="5"/>
      <c r="Q77" s="5"/>
      <c r="R77" s="5"/>
      <c r="S77" s="5"/>
    </row>
    <row r="78" spans="2:26">
      <c r="B78" s="41"/>
      <c r="C78" s="5"/>
      <c r="D78" s="5"/>
      <c r="E78" s="5"/>
      <c r="F78" s="5"/>
      <c r="G78" s="5"/>
      <c r="H78" s="5"/>
      <c r="I78" s="248"/>
      <c r="J78" s="5"/>
      <c r="K78" s="5"/>
      <c r="L78" s="5"/>
      <c r="M78" s="5"/>
      <c r="N78" s="5"/>
      <c r="O78" s="5"/>
      <c r="Q78" s="5"/>
      <c r="R78" s="5"/>
      <c r="S78" s="5"/>
    </row>
    <row r="79" spans="2:26">
      <c r="B79" s="41"/>
      <c r="C79" s="245"/>
      <c r="D79" s="245"/>
      <c r="E79" s="245"/>
      <c r="F79" s="245"/>
      <c r="G79" s="245"/>
      <c r="H79" s="245"/>
      <c r="I79" s="5"/>
      <c r="J79" s="245"/>
      <c r="K79" s="245"/>
      <c r="L79" s="245"/>
      <c r="M79" s="245"/>
      <c r="N79" s="245"/>
      <c r="O79" s="251"/>
      <c r="Q79" s="5"/>
      <c r="R79" s="5"/>
      <c r="S79" s="5"/>
    </row>
    <row r="80" spans="2:26">
      <c r="B80" s="5"/>
      <c r="C80" s="5"/>
      <c r="D80" s="248"/>
      <c r="E80" s="248"/>
      <c r="F80" s="248"/>
      <c r="G80" s="248"/>
      <c r="H80" s="248"/>
      <c r="I80" s="249"/>
      <c r="J80" s="248"/>
      <c r="K80" s="248"/>
      <c r="L80" s="248"/>
      <c r="M80" s="248"/>
      <c r="N80" s="248"/>
      <c r="O80" s="5"/>
      <c r="Q80" s="5"/>
      <c r="R80" s="5"/>
      <c r="S80" s="5"/>
    </row>
    <row r="81" spans="2:26">
      <c r="B81" s="41"/>
      <c r="C81" s="5"/>
      <c r="D81" s="5"/>
      <c r="E81" s="5"/>
      <c r="F81" s="5"/>
      <c r="G81" s="5"/>
      <c r="H81" s="5"/>
      <c r="I81" s="248"/>
      <c r="J81" s="5"/>
      <c r="K81" s="5"/>
      <c r="L81" s="5"/>
      <c r="M81" s="5"/>
      <c r="N81" s="5"/>
      <c r="O81" s="5"/>
      <c r="Q81" s="5"/>
      <c r="R81" s="5"/>
      <c r="S81" s="5"/>
    </row>
    <row r="82" spans="2:26">
      <c r="B82" s="41"/>
      <c r="C82" s="249"/>
      <c r="D82" s="249"/>
      <c r="E82" s="249"/>
      <c r="F82" s="249"/>
      <c r="G82" s="249"/>
      <c r="H82" s="249"/>
      <c r="I82" s="259"/>
      <c r="J82" s="249"/>
      <c r="K82" s="249"/>
      <c r="L82" s="249"/>
      <c r="M82" s="249"/>
      <c r="N82" s="249"/>
      <c r="O82" s="251"/>
      <c r="Q82" s="5"/>
      <c r="R82" s="5"/>
      <c r="S82" s="5"/>
    </row>
    <row r="83" spans="2:26">
      <c r="B83" s="5"/>
      <c r="C83" s="5"/>
      <c r="D83" s="248"/>
      <c r="E83" s="248"/>
      <c r="F83" s="248"/>
      <c r="G83" s="248"/>
      <c r="H83" s="248"/>
      <c r="I83" s="5"/>
      <c r="J83" s="248"/>
      <c r="K83" s="248"/>
      <c r="L83" s="248"/>
      <c r="M83" s="248"/>
      <c r="N83" s="248"/>
      <c r="O83" s="5"/>
      <c r="Q83" s="5"/>
      <c r="R83" s="5"/>
      <c r="S83" s="5"/>
    </row>
    <row r="84" spans="2:26">
      <c r="B84" s="5"/>
      <c r="C84" s="259"/>
      <c r="D84" s="259"/>
      <c r="E84" s="259"/>
      <c r="F84" s="259"/>
      <c r="G84" s="259"/>
      <c r="H84" s="259"/>
      <c r="I84" s="245"/>
      <c r="J84" s="259"/>
      <c r="K84" s="259"/>
      <c r="L84" s="259"/>
      <c r="M84" s="259"/>
      <c r="N84" s="259"/>
      <c r="O84" s="251"/>
      <c r="Q84" s="5"/>
      <c r="R84" s="5"/>
      <c r="S84" s="5"/>
    </row>
    <row r="85" spans="2:26">
      <c r="B85" s="41"/>
      <c r="C85" s="5"/>
      <c r="D85" s="5"/>
      <c r="E85" s="5"/>
      <c r="F85" s="5"/>
      <c r="G85" s="5"/>
      <c r="H85" s="5"/>
      <c r="I85" s="248"/>
      <c r="J85" s="5"/>
      <c r="K85" s="5"/>
      <c r="L85" s="5"/>
      <c r="M85" s="5"/>
      <c r="N85" s="5"/>
      <c r="O85" s="5"/>
      <c r="Q85" s="5"/>
      <c r="R85" s="5"/>
      <c r="S85" s="5"/>
    </row>
    <row r="86" spans="2:26">
      <c r="B86" s="41"/>
      <c r="C86" s="245"/>
      <c r="D86" s="245"/>
      <c r="E86" s="245"/>
      <c r="F86" s="245"/>
      <c r="G86" s="245"/>
      <c r="H86" s="245"/>
      <c r="I86" s="5"/>
      <c r="J86" s="245"/>
      <c r="K86" s="245"/>
      <c r="L86" s="245"/>
      <c r="M86" s="245"/>
      <c r="N86" s="245"/>
      <c r="O86" s="251"/>
      <c r="Q86" s="5"/>
      <c r="R86" s="5"/>
      <c r="S86" s="5"/>
    </row>
    <row r="87" spans="2:26">
      <c r="B87" s="5"/>
      <c r="C87" s="5"/>
      <c r="D87" s="248"/>
      <c r="E87" s="248"/>
      <c r="F87" s="248"/>
      <c r="G87" s="248"/>
      <c r="H87" s="248"/>
      <c r="I87" s="5"/>
      <c r="J87" s="248"/>
      <c r="K87" s="248"/>
      <c r="L87" s="248"/>
      <c r="M87" s="248"/>
      <c r="N87" s="248"/>
      <c r="O87" s="5"/>
      <c r="Q87" s="5"/>
      <c r="R87" s="5"/>
      <c r="S87" s="5"/>
    </row>
    <row r="88" spans="2:26">
      <c r="B88" s="41"/>
      <c r="C88" s="5"/>
      <c r="D88" s="5"/>
      <c r="E88" s="5"/>
      <c r="F88" s="5"/>
      <c r="G88" s="5"/>
      <c r="H88" s="5"/>
      <c r="I88" s="5"/>
      <c r="J88" s="5"/>
      <c r="K88" s="5"/>
      <c r="L88" s="5"/>
      <c r="M88" s="5"/>
      <c r="N88" s="5"/>
      <c r="O88" s="5"/>
      <c r="Q88" s="5"/>
      <c r="R88" s="5"/>
      <c r="S88" s="5"/>
    </row>
    <row r="89" spans="2:26">
      <c r="B89" s="41"/>
      <c r="C89" s="5"/>
      <c r="D89" s="5"/>
      <c r="E89" s="5"/>
      <c r="F89" s="5"/>
      <c r="G89" s="5"/>
      <c r="H89" s="5"/>
      <c r="I89" s="5"/>
      <c r="J89" s="5"/>
      <c r="K89" s="5"/>
      <c r="L89" s="5"/>
      <c r="M89" s="5"/>
      <c r="N89" s="5"/>
      <c r="O89" s="5"/>
      <c r="Q89" s="5"/>
      <c r="R89" s="5"/>
      <c r="S89" s="5"/>
    </row>
    <row r="90" spans="2:26">
      <c r="B90" s="41"/>
      <c r="C90" s="5"/>
      <c r="D90" s="5"/>
      <c r="E90" s="5"/>
      <c r="F90" s="5"/>
      <c r="G90" s="5"/>
      <c r="H90" s="5"/>
      <c r="I90" s="49"/>
      <c r="J90" s="5"/>
      <c r="K90" s="5"/>
      <c r="L90" s="5"/>
      <c r="M90" s="5"/>
      <c r="N90" s="5"/>
      <c r="O90" s="5"/>
      <c r="Q90" s="41"/>
      <c r="R90" s="5"/>
      <c r="S90" s="5"/>
    </row>
    <row r="91" spans="2:26">
      <c r="B91" s="5"/>
      <c r="C91" s="5"/>
      <c r="D91" s="5"/>
      <c r="E91" s="5"/>
      <c r="F91" s="5"/>
      <c r="G91" s="5"/>
      <c r="H91" s="5"/>
      <c r="I91" s="5"/>
      <c r="J91" s="5"/>
      <c r="K91" s="5"/>
      <c r="L91" s="5"/>
      <c r="M91" s="5"/>
      <c r="N91" s="5"/>
      <c r="O91" s="5"/>
      <c r="Q91" s="5"/>
      <c r="R91" s="5"/>
      <c r="S91" s="5"/>
    </row>
    <row r="92" spans="2:26">
      <c r="B92" s="41"/>
      <c r="C92" s="49"/>
      <c r="D92" s="49"/>
      <c r="E92" s="49"/>
      <c r="F92" s="49"/>
      <c r="G92" s="49"/>
      <c r="H92" s="49"/>
      <c r="I92" s="247"/>
      <c r="J92" s="49"/>
      <c r="K92" s="49"/>
      <c r="L92" s="49"/>
      <c r="M92" s="49"/>
      <c r="N92" s="49"/>
      <c r="O92" s="49"/>
      <c r="Q92" s="5"/>
      <c r="R92" s="5"/>
      <c r="S92" s="5"/>
      <c r="W92" s="21"/>
      <c r="X92" s="21"/>
    </row>
    <row r="93" spans="2:26">
      <c r="B93" s="5"/>
      <c r="C93" s="5"/>
      <c r="D93" s="5"/>
      <c r="E93" s="5"/>
      <c r="F93" s="5"/>
      <c r="G93" s="5"/>
      <c r="H93" s="5"/>
      <c r="I93" s="247"/>
      <c r="J93" s="5"/>
      <c r="K93" s="5"/>
      <c r="L93" s="5"/>
      <c r="M93" s="5"/>
      <c r="N93" s="5"/>
      <c r="O93" s="5"/>
      <c r="Q93" s="5"/>
      <c r="R93" s="5"/>
      <c r="S93" s="5"/>
      <c r="W93" s="21"/>
      <c r="X93" s="21"/>
      <c r="Y93" s="21"/>
      <c r="Z93" s="21"/>
    </row>
    <row r="94" spans="2:26">
      <c r="B94" s="5"/>
      <c r="C94" s="259"/>
      <c r="D94" s="247"/>
      <c r="E94" s="247"/>
      <c r="F94" s="247"/>
      <c r="G94" s="247"/>
      <c r="H94" s="247"/>
      <c r="I94" s="247"/>
      <c r="J94" s="247"/>
      <c r="K94" s="247"/>
      <c r="L94" s="247"/>
      <c r="M94" s="247"/>
      <c r="N94" s="247"/>
      <c r="O94" s="248"/>
      <c r="Q94" s="5"/>
      <c r="R94" s="5"/>
      <c r="S94" s="5"/>
      <c r="Y94" s="21"/>
      <c r="Z94" s="21"/>
    </row>
    <row r="95" spans="2:26">
      <c r="B95" s="5"/>
      <c r="C95" s="259"/>
      <c r="D95" s="247"/>
      <c r="E95" s="247"/>
      <c r="F95" s="247"/>
      <c r="G95" s="247"/>
      <c r="H95" s="247"/>
      <c r="I95" s="248"/>
      <c r="J95" s="247"/>
      <c r="K95" s="247"/>
      <c r="L95" s="247"/>
      <c r="M95" s="247"/>
      <c r="N95" s="247"/>
      <c r="O95" s="248"/>
      <c r="Q95" s="5"/>
      <c r="R95" s="5"/>
      <c r="S95" s="5"/>
    </row>
    <row r="96" spans="2:26">
      <c r="B96" s="5"/>
      <c r="C96" s="259"/>
      <c r="D96" s="247"/>
      <c r="E96" s="247"/>
      <c r="F96" s="247"/>
      <c r="G96" s="247"/>
      <c r="H96" s="247"/>
      <c r="I96" s="247"/>
      <c r="J96" s="247"/>
      <c r="K96" s="247"/>
      <c r="L96" s="247"/>
      <c r="M96" s="247"/>
      <c r="N96" s="247"/>
      <c r="O96" s="248"/>
      <c r="Q96" s="5"/>
      <c r="R96" s="5"/>
      <c r="S96" s="5"/>
    </row>
    <row r="97" spans="2:19">
      <c r="B97" s="5"/>
      <c r="C97" s="259"/>
      <c r="D97" s="248"/>
      <c r="E97" s="248"/>
      <c r="F97" s="248"/>
      <c r="G97" s="248"/>
      <c r="H97" s="248"/>
      <c r="I97" s="249"/>
      <c r="J97" s="248"/>
      <c r="K97" s="248"/>
      <c r="L97" s="248"/>
      <c r="M97" s="248"/>
      <c r="N97" s="248"/>
      <c r="O97" s="248"/>
      <c r="Q97" s="5"/>
      <c r="R97" s="5"/>
      <c r="S97" s="5"/>
    </row>
    <row r="98" spans="2:19">
      <c r="B98" s="5"/>
      <c r="C98" s="259"/>
      <c r="D98" s="247"/>
      <c r="E98" s="247"/>
      <c r="F98" s="247"/>
      <c r="G98" s="247"/>
      <c r="H98" s="247"/>
      <c r="I98" s="248"/>
      <c r="J98" s="247"/>
      <c r="K98" s="247"/>
      <c r="L98" s="247"/>
      <c r="M98" s="247"/>
      <c r="N98" s="247"/>
      <c r="O98" s="248"/>
      <c r="Q98" s="5"/>
      <c r="R98" s="5"/>
      <c r="S98" s="5"/>
    </row>
    <row r="99" spans="2:19">
      <c r="B99" s="41"/>
      <c r="C99" s="249"/>
      <c r="D99" s="249"/>
      <c r="E99" s="249"/>
      <c r="F99" s="249"/>
      <c r="G99" s="249"/>
      <c r="H99" s="249"/>
      <c r="I99" s="5"/>
      <c r="J99" s="249"/>
      <c r="K99" s="249"/>
      <c r="L99" s="249"/>
      <c r="M99" s="249"/>
      <c r="N99" s="249"/>
      <c r="O99" s="248"/>
      <c r="Q99" s="5"/>
      <c r="R99" s="5"/>
      <c r="S99" s="5"/>
    </row>
    <row r="100" spans="2:19">
      <c r="B100" s="41"/>
      <c r="C100" s="257"/>
      <c r="D100" s="248"/>
      <c r="E100" s="248"/>
      <c r="F100" s="248"/>
      <c r="G100" s="248"/>
      <c r="H100" s="248"/>
      <c r="I100" s="259"/>
      <c r="J100" s="248"/>
      <c r="K100" s="248"/>
      <c r="L100" s="248"/>
      <c r="M100" s="248"/>
      <c r="N100" s="248"/>
      <c r="O100" s="248"/>
      <c r="Q100" s="5"/>
      <c r="R100" s="5"/>
      <c r="S100" s="5"/>
    </row>
    <row r="101" spans="2:19" s="5" customFormat="1">
      <c r="B101" s="41"/>
      <c r="I101" s="259"/>
      <c r="O101" s="248"/>
      <c r="P101" s="39"/>
    </row>
    <row r="102" spans="2:19">
      <c r="B102" s="5"/>
      <c r="C102" s="259"/>
      <c r="D102" s="259"/>
      <c r="E102" s="259"/>
      <c r="F102" s="259"/>
      <c r="G102" s="259"/>
      <c r="H102" s="259"/>
      <c r="I102" s="247"/>
      <c r="J102" s="259"/>
      <c r="K102" s="259"/>
      <c r="L102" s="259"/>
      <c r="M102" s="259"/>
      <c r="N102" s="259"/>
      <c r="O102" s="5"/>
      <c r="Q102" s="5"/>
      <c r="R102" s="5"/>
      <c r="S102" s="5"/>
    </row>
    <row r="103" spans="2:19">
      <c r="B103" s="5"/>
      <c r="C103" s="259"/>
      <c r="D103" s="259"/>
      <c r="E103" s="259"/>
      <c r="F103" s="259"/>
      <c r="G103" s="259"/>
      <c r="H103" s="259"/>
      <c r="I103" s="5"/>
      <c r="J103" s="259"/>
      <c r="K103" s="259"/>
      <c r="L103" s="259"/>
      <c r="M103" s="259"/>
      <c r="N103" s="259"/>
      <c r="O103" s="5"/>
      <c r="P103" s="5"/>
      <c r="Q103" s="5"/>
      <c r="R103" s="5"/>
      <c r="S103" s="5"/>
    </row>
    <row r="104" spans="2:19">
      <c r="B104" s="5"/>
      <c r="C104" s="247"/>
      <c r="D104" s="247"/>
      <c r="E104" s="247"/>
      <c r="F104" s="247"/>
      <c r="G104" s="247"/>
      <c r="H104" s="247"/>
      <c r="I104" s="247"/>
      <c r="J104" s="247"/>
      <c r="K104" s="247"/>
      <c r="L104" s="247"/>
      <c r="M104" s="247"/>
      <c r="N104" s="247"/>
      <c r="O104" s="5"/>
      <c r="Q104" s="5"/>
      <c r="R104" s="5"/>
      <c r="S104" s="5"/>
    </row>
    <row r="105" spans="2:19" s="5" customFormat="1">
      <c r="P105" s="39"/>
    </row>
    <row r="106" spans="2:19" s="5" customFormat="1">
      <c r="C106" s="259"/>
      <c r="D106" s="247"/>
      <c r="E106" s="247"/>
      <c r="F106" s="247"/>
      <c r="G106" s="247"/>
      <c r="H106" s="247"/>
      <c r="I106" s="259"/>
      <c r="J106" s="247"/>
      <c r="K106" s="247"/>
      <c r="L106" s="247"/>
      <c r="M106" s="247"/>
      <c r="N106" s="247"/>
      <c r="P106" s="39"/>
    </row>
    <row r="107" spans="2:19">
      <c r="B107" s="5"/>
      <c r="C107" s="259"/>
      <c r="D107" s="5"/>
      <c r="E107" s="5"/>
      <c r="F107" s="5"/>
      <c r="G107" s="5"/>
      <c r="H107" s="5"/>
      <c r="I107" s="247"/>
      <c r="J107" s="5"/>
      <c r="K107" s="5"/>
      <c r="L107" s="5"/>
      <c r="M107" s="5"/>
      <c r="N107" s="5"/>
      <c r="O107" s="5"/>
      <c r="P107" s="5"/>
      <c r="Q107" s="5"/>
      <c r="R107" s="5"/>
      <c r="S107" s="5"/>
    </row>
    <row r="108" spans="2:19">
      <c r="B108" s="5"/>
      <c r="C108" s="259"/>
      <c r="D108" s="259"/>
      <c r="E108" s="259"/>
      <c r="F108" s="259"/>
      <c r="G108" s="259"/>
      <c r="H108" s="259"/>
      <c r="I108" s="249"/>
      <c r="J108" s="259"/>
      <c r="K108" s="259"/>
      <c r="L108" s="259"/>
      <c r="M108" s="259"/>
      <c r="N108" s="259"/>
      <c r="O108" s="5"/>
      <c r="P108" s="5"/>
      <c r="Q108" s="5"/>
      <c r="R108" s="5"/>
      <c r="S108" s="5"/>
    </row>
    <row r="109" spans="2:19">
      <c r="B109" s="5"/>
      <c r="C109" s="247"/>
      <c r="D109" s="247"/>
      <c r="E109" s="247"/>
      <c r="F109" s="247"/>
      <c r="G109" s="247"/>
      <c r="H109" s="247"/>
      <c r="I109" s="249"/>
      <c r="J109" s="247"/>
      <c r="K109" s="247"/>
      <c r="L109" s="247"/>
      <c r="M109" s="247"/>
      <c r="N109" s="247"/>
      <c r="O109" s="5"/>
      <c r="Q109" s="5"/>
      <c r="R109" s="5"/>
      <c r="S109" s="5"/>
    </row>
    <row r="110" spans="2:19">
      <c r="B110" s="41"/>
      <c r="C110" s="249"/>
      <c r="D110" s="249"/>
      <c r="E110" s="249"/>
      <c r="F110" s="249"/>
      <c r="G110" s="249"/>
      <c r="H110" s="249"/>
      <c r="I110" s="247"/>
      <c r="J110" s="249"/>
      <c r="K110" s="249"/>
      <c r="L110" s="249"/>
      <c r="M110" s="249"/>
      <c r="N110" s="249"/>
      <c r="O110" s="5"/>
      <c r="Q110" s="5"/>
      <c r="R110" s="5"/>
      <c r="S110" s="5"/>
    </row>
    <row r="111" spans="2:19">
      <c r="B111" s="5"/>
      <c r="C111" s="249"/>
      <c r="D111" s="249"/>
      <c r="E111" s="249"/>
      <c r="F111" s="249"/>
      <c r="G111" s="249"/>
      <c r="H111" s="249"/>
      <c r="I111" s="5"/>
      <c r="J111" s="249"/>
      <c r="K111" s="249"/>
      <c r="L111" s="249"/>
      <c r="M111" s="249"/>
      <c r="N111" s="249"/>
      <c r="O111" s="5"/>
      <c r="Q111" s="5"/>
      <c r="R111" s="5"/>
      <c r="S111" s="5"/>
    </row>
    <row r="112" spans="2:19">
      <c r="B112" s="5"/>
      <c r="C112" s="247"/>
      <c r="D112" s="247"/>
      <c r="E112" s="247"/>
      <c r="F112" s="247"/>
      <c r="G112" s="247"/>
      <c r="H112" s="247"/>
      <c r="I112" s="5"/>
      <c r="J112" s="247"/>
      <c r="K112" s="247"/>
      <c r="L112" s="247"/>
      <c r="M112" s="247"/>
      <c r="N112" s="247"/>
      <c r="O112" s="5"/>
      <c r="Q112" s="5"/>
      <c r="R112" s="5"/>
      <c r="S112" s="5"/>
    </row>
    <row r="113" spans="2:19">
      <c r="B113" s="5"/>
      <c r="C113" s="5"/>
      <c r="D113" s="5"/>
      <c r="E113" s="5"/>
      <c r="F113" s="5"/>
      <c r="G113" s="5"/>
      <c r="H113" s="5"/>
      <c r="I113" s="5"/>
      <c r="J113" s="5"/>
      <c r="K113" s="5"/>
      <c r="L113" s="5"/>
      <c r="M113" s="5"/>
      <c r="N113" s="5"/>
      <c r="O113" s="5"/>
      <c r="Q113" s="5"/>
      <c r="R113" s="5"/>
      <c r="S113" s="5"/>
    </row>
    <row r="114" spans="2:19">
      <c r="B114" s="5"/>
      <c r="C114" s="5"/>
      <c r="D114" s="5"/>
      <c r="E114" s="5"/>
      <c r="F114" s="5"/>
      <c r="G114" s="5"/>
      <c r="H114" s="5"/>
      <c r="I114" s="5"/>
      <c r="J114" s="5"/>
      <c r="K114" s="5"/>
      <c r="L114" s="5"/>
      <c r="M114" s="5"/>
      <c r="N114" s="5"/>
      <c r="O114" s="5"/>
      <c r="Q114" s="5"/>
      <c r="R114" s="5"/>
      <c r="S114" s="5"/>
    </row>
    <row r="115" spans="2:19">
      <c r="B115" s="5"/>
      <c r="C115" s="5"/>
      <c r="D115" s="5"/>
      <c r="E115" s="5"/>
      <c r="F115" s="5"/>
      <c r="G115" s="5"/>
      <c r="H115" s="5"/>
      <c r="I115" s="49"/>
      <c r="J115" s="5"/>
      <c r="K115" s="5"/>
      <c r="L115" s="5"/>
      <c r="M115" s="5"/>
      <c r="N115" s="5"/>
      <c r="O115" s="5"/>
      <c r="Q115" s="41"/>
      <c r="R115" s="5"/>
      <c r="S115" s="5"/>
    </row>
    <row r="116" spans="2:19">
      <c r="B116" s="5"/>
      <c r="C116" s="5"/>
      <c r="D116" s="5"/>
      <c r="E116" s="5"/>
      <c r="F116" s="5"/>
      <c r="G116" s="5"/>
      <c r="H116" s="5"/>
      <c r="I116" s="5"/>
      <c r="J116" s="5"/>
      <c r="K116" s="5"/>
      <c r="L116" s="5"/>
      <c r="M116" s="5"/>
      <c r="N116" s="5"/>
      <c r="O116" s="5"/>
      <c r="Q116" s="5"/>
      <c r="R116" s="5"/>
      <c r="S116" s="5"/>
    </row>
    <row r="117" spans="2:19">
      <c r="B117" s="41"/>
      <c r="C117" s="49"/>
      <c r="D117" s="49"/>
      <c r="E117" s="49"/>
      <c r="F117" s="49"/>
      <c r="G117" s="49"/>
      <c r="H117" s="49"/>
      <c r="I117" s="254"/>
      <c r="J117" s="49"/>
      <c r="K117" s="49"/>
      <c r="L117" s="49"/>
      <c r="M117" s="49"/>
      <c r="N117" s="49"/>
      <c r="O117" s="49"/>
      <c r="Q117" s="5"/>
      <c r="R117" s="5"/>
      <c r="S117" s="5"/>
    </row>
    <row r="118" spans="2:19">
      <c r="B118" s="5"/>
      <c r="C118" s="5"/>
      <c r="D118" s="5"/>
      <c r="E118" s="5"/>
      <c r="F118" s="5"/>
      <c r="G118" s="5"/>
      <c r="H118" s="5"/>
      <c r="I118" s="249"/>
      <c r="J118" s="5"/>
      <c r="K118" s="5"/>
      <c r="L118" s="5"/>
      <c r="M118" s="5"/>
      <c r="N118" s="5"/>
      <c r="O118" s="5"/>
      <c r="Q118" s="5"/>
      <c r="R118" s="5"/>
      <c r="S118" s="5"/>
    </row>
    <row r="119" spans="2:19">
      <c r="B119" s="41"/>
      <c r="C119" s="254"/>
      <c r="D119" s="254"/>
      <c r="E119" s="254"/>
      <c r="F119" s="254"/>
      <c r="G119" s="254"/>
      <c r="H119" s="254"/>
      <c r="I119" s="254"/>
      <c r="J119" s="254"/>
      <c r="K119" s="254"/>
      <c r="L119" s="254"/>
      <c r="M119" s="254"/>
      <c r="N119" s="254"/>
      <c r="O119" s="248"/>
      <c r="Q119" s="5"/>
      <c r="R119" s="5"/>
      <c r="S119" s="5"/>
    </row>
    <row r="120" spans="2:19">
      <c r="B120" s="41"/>
      <c r="C120" s="254"/>
      <c r="D120" s="249"/>
      <c r="E120" s="249"/>
      <c r="F120" s="249"/>
      <c r="G120" s="249"/>
      <c r="H120" s="249"/>
      <c r="I120" s="254"/>
      <c r="J120" s="249"/>
      <c r="K120" s="249"/>
      <c r="L120" s="249"/>
      <c r="M120" s="249"/>
      <c r="N120" s="249"/>
      <c r="O120" s="248"/>
      <c r="Q120" s="5"/>
      <c r="R120" s="5"/>
      <c r="S120" s="5"/>
    </row>
    <row r="121" spans="2:19">
      <c r="B121" s="41"/>
      <c r="C121" s="254"/>
      <c r="D121" s="254"/>
      <c r="E121" s="254"/>
      <c r="F121" s="254"/>
      <c r="G121" s="254"/>
      <c r="H121" s="254"/>
      <c r="I121" s="254"/>
      <c r="J121" s="254"/>
      <c r="K121" s="254"/>
      <c r="L121" s="254"/>
      <c r="M121" s="254"/>
      <c r="N121" s="254"/>
      <c r="O121" s="248"/>
      <c r="Q121" s="5"/>
      <c r="R121" s="5"/>
      <c r="S121" s="5"/>
    </row>
    <row r="122" spans="2:19">
      <c r="B122" s="41"/>
      <c r="C122" s="254"/>
      <c r="D122" s="254"/>
      <c r="E122" s="254"/>
      <c r="F122" s="254"/>
      <c r="G122" s="254"/>
      <c r="H122" s="254"/>
      <c r="I122" s="254"/>
      <c r="J122" s="254"/>
      <c r="K122" s="254"/>
      <c r="L122" s="254"/>
      <c r="M122" s="254"/>
      <c r="N122" s="254"/>
      <c r="O122" s="248"/>
      <c r="Q122" s="5"/>
      <c r="R122" s="5"/>
      <c r="S122" s="5"/>
    </row>
    <row r="123" spans="2:19">
      <c r="B123" s="41"/>
      <c r="C123" s="254"/>
      <c r="D123" s="254"/>
      <c r="E123" s="254"/>
      <c r="F123" s="254"/>
      <c r="G123" s="254"/>
      <c r="H123" s="254"/>
      <c r="I123" s="254"/>
      <c r="J123" s="254"/>
      <c r="K123" s="254"/>
      <c r="L123" s="254"/>
      <c r="M123" s="254"/>
      <c r="N123" s="254"/>
      <c r="O123" s="248"/>
      <c r="Q123" s="5"/>
      <c r="R123" s="5"/>
      <c r="S123" s="5"/>
    </row>
    <row r="124" spans="2:19">
      <c r="B124" s="41"/>
      <c r="C124" s="254"/>
      <c r="D124" s="254"/>
      <c r="E124" s="254"/>
      <c r="F124" s="254"/>
      <c r="G124" s="254"/>
      <c r="H124" s="254"/>
      <c r="I124" s="254"/>
      <c r="J124" s="254"/>
      <c r="K124" s="254"/>
      <c r="L124" s="254"/>
      <c r="M124" s="254"/>
      <c r="N124" s="254"/>
      <c r="O124" s="248"/>
      <c r="Q124" s="5"/>
      <c r="R124" s="5"/>
      <c r="S124" s="5"/>
    </row>
    <row r="125" spans="2:19">
      <c r="B125" s="41"/>
      <c r="C125" s="254"/>
      <c r="D125" s="254"/>
      <c r="E125" s="254"/>
      <c r="F125" s="254"/>
      <c r="G125" s="254"/>
      <c r="H125" s="254"/>
      <c r="I125" s="254"/>
      <c r="J125" s="254"/>
      <c r="K125" s="254"/>
      <c r="L125" s="254"/>
      <c r="M125" s="254"/>
      <c r="N125" s="254"/>
      <c r="O125" s="5"/>
      <c r="Q125" s="5"/>
      <c r="R125" s="5"/>
      <c r="S125" s="5"/>
    </row>
    <row r="126" spans="2:19">
      <c r="B126" s="41"/>
      <c r="C126" s="254"/>
      <c r="D126" s="254"/>
      <c r="E126" s="254"/>
      <c r="F126" s="254"/>
      <c r="G126" s="254"/>
      <c r="H126" s="254"/>
      <c r="I126" s="254"/>
      <c r="J126" s="254"/>
      <c r="K126" s="254"/>
      <c r="L126" s="254"/>
      <c r="M126" s="254"/>
      <c r="N126" s="254"/>
      <c r="O126" s="5"/>
      <c r="Q126" s="5"/>
      <c r="R126" s="5"/>
      <c r="S126" s="5"/>
    </row>
    <row r="127" spans="2:19">
      <c r="B127" s="41"/>
      <c r="C127" s="254"/>
      <c r="D127" s="254"/>
      <c r="E127" s="254"/>
      <c r="F127" s="254"/>
      <c r="G127" s="254"/>
      <c r="H127" s="254"/>
      <c r="I127" s="18"/>
      <c r="J127" s="254"/>
      <c r="K127" s="254"/>
      <c r="L127" s="254"/>
      <c r="M127" s="254"/>
      <c r="N127" s="254"/>
      <c r="O127" s="5"/>
      <c r="Q127" s="5"/>
      <c r="R127" s="5"/>
      <c r="S127" s="5"/>
    </row>
    <row r="128" spans="2:19">
      <c r="B128" s="41"/>
      <c r="C128" s="254"/>
      <c r="D128" s="254"/>
      <c r="E128" s="254"/>
      <c r="F128" s="254"/>
      <c r="G128" s="254"/>
      <c r="H128" s="254"/>
      <c r="I128" s="5"/>
      <c r="J128" s="254"/>
      <c r="K128" s="254"/>
      <c r="L128" s="254"/>
      <c r="M128" s="254"/>
      <c r="N128" s="254"/>
      <c r="O128" s="5"/>
      <c r="Q128" s="5"/>
      <c r="R128" s="5"/>
      <c r="S128" s="5"/>
    </row>
    <row r="129" spans="2:27">
      <c r="B129" s="5"/>
      <c r="C129" s="5"/>
      <c r="D129" s="18"/>
      <c r="E129" s="18"/>
      <c r="F129" s="18"/>
      <c r="G129" s="18"/>
      <c r="H129" s="18"/>
      <c r="I129" s="254"/>
      <c r="J129" s="18"/>
      <c r="K129" s="18"/>
      <c r="L129" s="18"/>
      <c r="M129" s="18"/>
      <c r="N129" s="18"/>
      <c r="O129" s="5"/>
      <c r="Q129" s="5"/>
      <c r="R129" s="5"/>
      <c r="S129" s="5"/>
    </row>
    <row r="130" spans="2:27">
      <c r="B130" s="5"/>
      <c r="C130" s="5"/>
      <c r="D130" s="5"/>
      <c r="E130" s="5"/>
      <c r="F130" s="5"/>
      <c r="G130" s="5"/>
      <c r="H130" s="5"/>
      <c r="I130" s="18"/>
      <c r="J130" s="5"/>
      <c r="K130" s="5"/>
      <c r="L130" s="5"/>
      <c r="M130" s="5"/>
      <c r="N130" s="5"/>
      <c r="O130" s="5"/>
      <c r="Q130" s="5"/>
      <c r="R130" s="5"/>
      <c r="S130" s="5"/>
    </row>
    <row r="131" spans="2:27">
      <c r="B131" s="41"/>
      <c r="C131" s="254"/>
      <c r="D131" s="254"/>
      <c r="E131" s="254"/>
      <c r="F131" s="254"/>
      <c r="G131" s="254"/>
      <c r="H131" s="254"/>
      <c r="I131" s="5"/>
      <c r="J131" s="254"/>
      <c r="K131" s="254"/>
      <c r="L131" s="254"/>
      <c r="M131" s="254"/>
      <c r="N131" s="254"/>
      <c r="O131" s="5"/>
      <c r="Q131" s="5"/>
      <c r="R131" s="5"/>
      <c r="S131" s="5"/>
    </row>
    <row r="132" spans="2:27">
      <c r="B132" s="5"/>
      <c r="C132" s="259"/>
      <c r="D132" s="18"/>
      <c r="E132" s="18"/>
      <c r="F132" s="18"/>
      <c r="G132" s="18"/>
      <c r="H132" s="18"/>
      <c r="I132" s="5"/>
      <c r="J132" s="18"/>
      <c r="K132" s="18"/>
      <c r="L132" s="18"/>
      <c r="M132" s="18"/>
      <c r="N132" s="18"/>
      <c r="O132" s="5"/>
      <c r="Q132" s="5"/>
      <c r="R132" s="5"/>
      <c r="S132" s="5"/>
    </row>
    <row r="133" spans="2:27">
      <c r="B133" s="5"/>
      <c r="C133" s="5"/>
      <c r="D133" s="5"/>
      <c r="E133" s="5"/>
      <c r="F133" s="5"/>
      <c r="G133" s="5"/>
      <c r="H133" s="5"/>
      <c r="I133" s="17"/>
      <c r="J133" s="5"/>
      <c r="K133" s="5"/>
      <c r="L133" s="5"/>
      <c r="M133" s="5"/>
      <c r="N133" s="5"/>
      <c r="O133" s="5"/>
      <c r="Q133" s="5"/>
      <c r="R133" s="5"/>
      <c r="S133" s="5"/>
    </row>
    <row r="134" spans="2:27">
      <c r="B134" s="41"/>
      <c r="C134" s="5"/>
      <c r="D134" s="5"/>
      <c r="E134" s="5"/>
      <c r="F134" s="5"/>
      <c r="G134" s="5"/>
      <c r="H134" s="5"/>
      <c r="I134" s="17"/>
      <c r="J134" s="5"/>
      <c r="K134" s="5"/>
      <c r="L134" s="5"/>
      <c r="M134" s="5"/>
      <c r="N134" s="5"/>
      <c r="O134" s="5"/>
      <c r="Q134" s="5"/>
      <c r="R134" s="5"/>
      <c r="S134" s="5"/>
    </row>
    <row r="135" spans="2:27">
      <c r="B135" s="5"/>
      <c r="C135" s="17"/>
      <c r="D135" s="17"/>
      <c r="E135" s="17"/>
      <c r="F135" s="17"/>
      <c r="G135" s="17"/>
      <c r="H135" s="17"/>
      <c r="I135" s="17"/>
      <c r="J135" s="17"/>
      <c r="K135" s="17"/>
      <c r="L135" s="17"/>
      <c r="M135" s="17"/>
      <c r="N135" s="17"/>
      <c r="O135" s="5"/>
      <c r="Q135" s="41"/>
      <c r="R135" s="5"/>
      <c r="S135" s="5"/>
    </row>
    <row r="136" spans="2:27">
      <c r="B136" s="5"/>
      <c r="C136" s="17"/>
      <c r="D136" s="17"/>
      <c r="E136" s="17"/>
      <c r="F136" s="17"/>
      <c r="G136" s="17"/>
      <c r="H136" s="17"/>
      <c r="I136" s="17"/>
      <c r="J136" s="17"/>
      <c r="K136" s="17"/>
      <c r="L136" s="17"/>
      <c r="M136" s="17"/>
      <c r="N136" s="17"/>
      <c r="O136" s="5"/>
      <c r="Q136" s="5"/>
      <c r="R136" s="5"/>
      <c r="S136" s="5"/>
      <c r="X136" s="304"/>
    </row>
    <row r="137" spans="2:27">
      <c r="B137" s="5"/>
      <c r="C137" s="5"/>
      <c r="D137" s="17"/>
      <c r="E137" s="17"/>
      <c r="F137" s="17"/>
      <c r="G137" s="17"/>
      <c r="H137" s="17"/>
      <c r="I137" s="17"/>
      <c r="J137" s="17"/>
      <c r="K137" s="17"/>
      <c r="L137" s="17"/>
      <c r="M137" s="17"/>
      <c r="N137" s="17"/>
      <c r="O137" s="5"/>
      <c r="Q137" s="5"/>
      <c r="R137" s="5"/>
      <c r="S137" s="5"/>
      <c r="X137" s="10"/>
      <c r="Y137" s="304"/>
      <c r="Z137" s="304"/>
      <c r="AA137" s="304"/>
    </row>
    <row r="138" spans="2:27">
      <c r="B138" s="5"/>
      <c r="C138" s="5"/>
      <c r="D138" s="17"/>
      <c r="E138" s="17"/>
      <c r="F138" s="17"/>
      <c r="G138" s="17"/>
      <c r="H138" s="17"/>
      <c r="I138" s="17"/>
      <c r="J138" s="17"/>
      <c r="K138" s="17"/>
      <c r="L138" s="17"/>
      <c r="M138" s="17"/>
      <c r="N138" s="17"/>
      <c r="O138" s="5"/>
      <c r="Q138" s="5"/>
      <c r="R138" s="5"/>
      <c r="S138" s="5"/>
      <c r="Y138" s="10"/>
      <c r="Z138" s="10"/>
      <c r="AA138" s="10"/>
    </row>
    <row r="139" spans="2:27">
      <c r="B139" s="5"/>
      <c r="C139" s="5"/>
      <c r="D139" s="17"/>
      <c r="E139" s="17"/>
      <c r="F139" s="17"/>
      <c r="G139" s="17"/>
      <c r="H139" s="17"/>
      <c r="I139" s="5"/>
      <c r="J139" s="17"/>
      <c r="K139" s="17"/>
      <c r="L139" s="17"/>
      <c r="M139" s="17"/>
      <c r="N139" s="17"/>
      <c r="O139" s="5"/>
      <c r="Q139" s="5"/>
      <c r="R139" s="5"/>
      <c r="S139" s="5"/>
    </row>
    <row r="140" spans="2:27">
      <c r="B140" s="5"/>
      <c r="C140" s="17"/>
      <c r="D140" s="17"/>
      <c r="E140" s="17"/>
      <c r="F140" s="17"/>
      <c r="G140" s="17"/>
      <c r="H140" s="17"/>
      <c r="I140" s="5"/>
      <c r="J140" s="17"/>
      <c r="K140" s="17"/>
      <c r="L140" s="17"/>
      <c r="M140" s="17"/>
      <c r="N140" s="17"/>
      <c r="O140" s="5"/>
      <c r="Q140" s="5"/>
      <c r="R140" s="5"/>
      <c r="S140" s="5"/>
    </row>
    <row r="141" spans="2:27">
      <c r="B141" s="5"/>
      <c r="C141" s="5"/>
      <c r="D141" s="5"/>
      <c r="E141" s="5"/>
      <c r="F141" s="5"/>
      <c r="G141" s="5"/>
      <c r="H141" s="5"/>
      <c r="I141" s="5"/>
      <c r="J141" s="5"/>
      <c r="K141" s="5"/>
      <c r="L141" s="5"/>
      <c r="M141" s="5"/>
      <c r="N141" s="5"/>
      <c r="O141" s="5"/>
      <c r="Q141" s="5"/>
      <c r="R141" s="5"/>
      <c r="S141" s="5"/>
    </row>
    <row r="142" spans="2:27">
      <c r="B142" s="5"/>
      <c r="C142" s="5"/>
      <c r="D142" s="5"/>
      <c r="E142" s="5"/>
      <c r="F142" s="5"/>
      <c r="G142" s="5"/>
      <c r="H142" s="5"/>
      <c r="I142" s="5"/>
      <c r="J142" s="5"/>
      <c r="K142" s="5"/>
      <c r="L142" s="5"/>
      <c r="M142" s="5"/>
      <c r="N142" s="5"/>
      <c r="O142" s="5"/>
      <c r="Q142" s="5"/>
      <c r="R142" s="5"/>
      <c r="S142" s="5"/>
    </row>
    <row r="143" spans="2:27">
      <c r="B143" s="5"/>
      <c r="C143" s="5"/>
      <c r="D143" s="5"/>
      <c r="E143" s="5"/>
      <c r="F143" s="5"/>
      <c r="G143" s="5"/>
      <c r="H143" s="5"/>
      <c r="I143" s="5"/>
      <c r="J143" s="5"/>
      <c r="K143" s="5"/>
      <c r="L143" s="5"/>
      <c r="M143" s="5"/>
      <c r="N143" s="5"/>
      <c r="O143" s="5"/>
      <c r="Q143" s="5"/>
      <c r="R143" s="5"/>
      <c r="S143" s="5"/>
    </row>
    <row r="144" spans="2:27">
      <c r="B144" s="5"/>
      <c r="C144" s="5"/>
      <c r="D144" s="5"/>
      <c r="E144" s="5"/>
      <c r="F144" s="5"/>
      <c r="G144" s="5"/>
      <c r="H144" s="5"/>
      <c r="I144" s="5"/>
      <c r="J144" s="5"/>
      <c r="K144" s="5"/>
      <c r="L144" s="5"/>
      <c r="M144" s="5"/>
      <c r="N144" s="5"/>
      <c r="O144" s="5"/>
      <c r="Q144" s="5"/>
      <c r="R144" s="5"/>
      <c r="S144" s="5"/>
    </row>
    <row r="145" spans="2:19">
      <c r="B145" s="5"/>
      <c r="C145" s="5"/>
      <c r="D145" s="5"/>
      <c r="E145" s="5"/>
      <c r="F145" s="5"/>
      <c r="G145" s="5"/>
      <c r="H145" s="5"/>
      <c r="I145" s="5"/>
      <c r="J145" s="5"/>
      <c r="K145" s="5"/>
      <c r="L145" s="5"/>
      <c r="M145" s="5"/>
      <c r="N145" s="5"/>
      <c r="O145" s="5"/>
      <c r="Q145" s="5"/>
      <c r="R145" s="5"/>
      <c r="S145" s="5"/>
    </row>
    <row r="146" spans="2:19">
      <c r="B146" s="5"/>
      <c r="C146" s="5"/>
      <c r="D146" s="5"/>
      <c r="E146" s="5"/>
      <c r="F146" s="5"/>
      <c r="G146" s="5"/>
      <c r="H146" s="5"/>
      <c r="I146" s="5"/>
      <c r="J146" s="5"/>
      <c r="K146" s="5"/>
      <c r="L146" s="5"/>
      <c r="M146" s="5"/>
      <c r="N146" s="5"/>
      <c r="O146" s="5"/>
      <c r="Q146" s="5"/>
      <c r="R146" s="5"/>
      <c r="S146" s="5"/>
    </row>
    <row r="147" spans="2:19">
      <c r="B147" s="5"/>
      <c r="C147" s="5"/>
      <c r="D147" s="5"/>
      <c r="E147" s="5"/>
      <c r="F147" s="5"/>
      <c r="G147" s="5"/>
      <c r="H147" s="5"/>
      <c r="I147" s="5"/>
      <c r="J147" s="5"/>
      <c r="K147" s="5"/>
      <c r="L147" s="5"/>
      <c r="M147" s="5"/>
      <c r="N147" s="5"/>
      <c r="O147" s="5"/>
      <c r="Q147" s="5"/>
      <c r="R147" s="5"/>
      <c r="S147" s="5"/>
    </row>
    <row r="148" spans="2:19">
      <c r="B148" s="5"/>
      <c r="C148" s="5"/>
      <c r="D148" s="5"/>
      <c r="E148" s="5"/>
      <c r="F148" s="5"/>
      <c r="G148" s="5"/>
      <c r="H148" s="5"/>
      <c r="I148" s="5"/>
      <c r="J148" s="5"/>
      <c r="K148" s="5"/>
      <c r="L148" s="5"/>
      <c r="M148" s="5"/>
      <c r="N148" s="5"/>
      <c r="O148" s="5"/>
      <c r="Q148" s="5"/>
      <c r="R148" s="5"/>
      <c r="S148" s="5"/>
    </row>
    <row r="149" spans="2:19">
      <c r="B149" s="5"/>
      <c r="C149" s="5"/>
      <c r="D149" s="5"/>
      <c r="E149" s="5"/>
      <c r="F149" s="5"/>
      <c r="G149" s="5"/>
      <c r="H149" s="5"/>
      <c r="J149" s="5"/>
      <c r="K149" s="5"/>
      <c r="L149" s="5"/>
      <c r="M149" s="5"/>
      <c r="N149" s="5"/>
      <c r="O149" s="5"/>
      <c r="Q149" s="5"/>
      <c r="R149" s="5"/>
      <c r="S149" s="5"/>
    </row>
    <row r="150" spans="2:19">
      <c r="B150" s="5"/>
      <c r="C150" s="5"/>
      <c r="D150" s="5"/>
      <c r="E150" s="5"/>
      <c r="F150" s="5"/>
      <c r="G150" s="5"/>
      <c r="H150" s="5"/>
      <c r="J150" s="5"/>
      <c r="K150" s="5"/>
      <c r="L150" s="5"/>
      <c r="M150" s="5"/>
      <c r="N150" s="5"/>
      <c r="O150" s="5"/>
      <c r="Q150" s="5"/>
      <c r="R150" s="5"/>
      <c r="S150" s="5"/>
    </row>
    <row r="151" spans="2:19">
      <c r="Q151" s="5"/>
      <c r="R151" s="5"/>
      <c r="S151" s="5"/>
    </row>
    <row r="152" spans="2:19">
      <c r="Q152" s="5"/>
      <c r="R152" s="5"/>
      <c r="S152" s="5"/>
    </row>
    <row r="153" spans="2:19">
      <c r="C153" s="263"/>
      <c r="Q153" s="5"/>
      <c r="R153" s="5"/>
      <c r="S153" s="5"/>
    </row>
    <row r="154" spans="2:19">
      <c r="Q154" s="5"/>
      <c r="R154" s="5"/>
      <c r="S154" s="5"/>
    </row>
    <row r="155" spans="2:19">
      <c r="Q155" s="5"/>
      <c r="R155" s="5"/>
      <c r="S155" s="5"/>
    </row>
    <row r="156" spans="2:19">
      <c r="Q156" s="5"/>
      <c r="R156" s="5"/>
      <c r="S156" s="5"/>
    </row>
    <row r="157" spans="2:19">
      <c r="Q157" s="5"/>
      <c r="R157" s="5"/>
      <c r="S157" s="5"/>
    </row>
    <row r="158" spans="2:19">
      <c r="Q158" s="5"/>
      <c r="R158" s="5"/>
      <c r="S158" s="5"/>
    </row>
    <row r="159" spans="2:19">
      <c r="Q159" s="5"/>
      <c r="R159" s="5"/>
      <c r="S159" s="5"/>
    </row>
    <row r="160" spans="2:19">
      <c r="Q160" s="5"/>
      <c r="R160" s="5"/>
      <c r="S160" s="5"/>
    </row>
    <row r="161" spans="17:19">
      <c r="Q161" s="5"/>
      <c r="R161" s="5"/>
      <c r="S161" s="5"/>
    </row>
    <row r="162" spans="17:19">
      <c r="Q162" s="5"/>
      <c r="R162" s="5"/>
      <c r="S162" s="5"/>
    </row>
    <row r="163" spans="17:19">
      <c r="Q163" s="5"/>
      <c r="R163" s="5"/>
      <c r="S163" s="5"/>
    </row>
    <row r="164" spans="17:19">
      <c r="Q164" s="5"/>
      <c r="R164" s="5"/>
      <c r="S164" s="5"/>
    </row>
    <row r="165" spans="17:19">
      <c r="Q165" s="5"/>
      <c r="R165" s="5"/>
      <c r="S165" s="5"/>
    </row>
  </sheetData>
  <phoneticPr fontId="7" type="noConversion"/>
  <hyperlinks>
    <hyperlink ref="C2" location="AMXSOP!A1" display="Jump to AMXSop" xr:uid="{00000000-0004-0000-0900-000001000000}"/>
  </hyperlinks>
  <pageMargins left="0.75" right="0.75" top="1" bottom="1" header="0.5" footer="0.5"/>
  <pageSetup scale="71" orientation="landscape" r:id="rId1"/>
  <headerFooter alignWithMargins="0"/>
  <drawing r:id="rId2"/>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500-000000000000}">
  <sheetPr codeName="Sheet129">
    <tabColor theme="3" tint="0.59999389629810485"/>
    <pageSetUpPr fitToPage="1"/>
  </sheetPr>
  <dimension ref="B1:BK164"/>
  <sheetViews>
    <sheetView showGridLines="0" zoomScale="80" zoomScaleNormal="80" workbookViewId="0"/>
  </sheetViews>
  <sheetFormatPr defaultColWidth="8.88671875" defaultRowHeight="12"/>
  <cols>
    <col min="1" max="1" width="2.33203125" style="39" customWidth="1"/>
    <col min="2" max="2" width="26.6640625" style="39" customWidth="1"/>
    <col min="3" max="9" width="10" style="39" customWidth="1"/>
    <col min="10" max="10" width="26.6640625" style="39" customWidth="1"/>
    <col min="11" max="16" width="10" style="39" customWidth="1"/>
    <col min="17" max="17" width="4.5546875" style="39" customWidth="1"/>
    <col min="18" max="20" width="8.88671875" style="39"/>
    <col min="21" max="21" width="3.6640625" style="39" customWidth="1"/>
    <col min="22" max="63" width="9.109375" style="5" customWidth="1"/>
    <col min="64" max="16384" width="8.88671875" style="39"/>
  </cols>
  <sheetData>
    <row r="1" spans="2:63" s="312" customFormat="1">
      <c r="V1" s="149"/>
      <c r="W1" s="149"/>
      <c r="X1" s="149"/>
      <c r="Y1" s="149"/>
      <c r="Z1" s="149"/>
      <c r="AA1" s="149"/>
      <c r="AB1" s="149"/>
      <c r="AC1" s="149"/>
      <c r="AD1" s="149"/>
      <c r="AE1" s="149"/>
      <c r="AF1" s="149"/>
      <c r="AG1" s="149"/>
      <c r="AH1" s="149"/>
      <c r="AI1" s="149"/>
      <c r="AJ1" s="149"/>
      <c r="AK1" s="149"/>
      <c r="AL1" s="149"/>
      <c r="AM1" s="149"/>
      <c r="AN1" s="149"/>
      <c r="AO1" s="149"/>
      <c r="AP1" s="149"/>
      <c r="AQ1" s="149"/>
      <c r="AR1" s="149"/>
      <c r="AS1" s="149"/>
      <c r="AT1" s="149"/>
      <c r="AU1" s="149"/>
      <c r="AV1" s="149"/>
      <c r="AW1" s="149"/>
      <c r="AX1" s="149"/>
      <c r="AY1" s="149"/>
      <c r="AZ1" s="149"/>
      <c r="BA1" s="149"/>
      <c r="BB1" s="149"/>
      <c r="BC1" s="149"/>
      <c r="BD1" s="149"/>
      <c r="BE1" s="149"/>
      <c r="BF1" s="149"/>
      <c r="BG1" s="149"/>
      <c r="BH1" s="149"/>
      <c r="BI1" s="149"/>
      <c r="BJ1" s="149"/>
      <c r="BK1" s="149"/>
    </row>
    <row r="2" spans="2:63" s="312" customFormat="1">
      <c r="V2" s="149"/>
      <c r="W2" s="149"/>
      <c r="X2" s="149"/>
      <c r="Y2" s="149"/>
      <c r="Z2" s="149"/>
      <c r="AA2" s="149"/>
      <c r="AB2" s="149"/>
      <c r="AC2" s="149"/>
      <c r="AD2" s="149"/>
      <c r="AE2" s="149"/>
      <c r="AF2" s="149"/>
      <c r="AG2" s="149"/>
      <c r="AH2" s="149"/>
      <c r="AI2" s="149"/>
      <c r="AJ2" s="149"/>
      <c r="AK2" s="149"/>
      <c r="AL2" s="149"/>
      <c r="AM2" s="149"/>
      <c r="AN2" s="149"/>
      <c r="AO2" s="149"/>
      <c r="AP2" s="149"/>
      <c r="AQ2" s="149"/>
      <c r="AR2" s="149"/>
      <c r="AS2" s="149"/>
      <c r="AT2" s="149"/>
      <c r="AU2" s="149"/>
      <c r="AV2" s="149"/>
      <c r="AW2" s="149"/>
      <c r="AX2" s="149"/>
      <c r="AY2" s="149"/>
      <c r="AZ2" s="149"/>
      <c r="BA2" s="149"/>
      <c r="BB2" s="149"/>
      <c r="BC2" s="149"/>
      <c r="BD2" s="149"/>
      <c r="BE2" s="149"/>
      <c r="BF2" s="149"/>
      <c r="BG2" s="149"/>
      <c r="BH2" s="149"/>
      <c r="BI2" s="149"/>
      <c r="BJ2" s="149"/>
      <c r="BK2" s="149"/>
    </row>
    <row r="3" spans="2:63" s="149" customFormat="1">
      <c r="H3" s="153"/>
      <c r="P3" s="153"/>
    </row>
    <row r="4" spans="2:63" s="156" customFormat="1" ht="21">
      <c r="B4" s="129" t="s">
        <v>350</v>
      </c>
      <c r="H4" s="222"/>
      <c r="P4" s="222"/>
    </row>
    <row r="5" spans="2:63" s="149" customFormat="1">
      <c r="C5" s="153"/>
      <c r="D5" s="153" t="str" cm="1">
        <f t="array" ref="D5:H5">headings</f>
        <v>2023E</v>
      </c>
      <c r="E5" s="153" t="str">
        <v>2024E</v>
      </c>
      <c r="F5" s="153" t="str">
        <v>2025E</v>
      </c>
      <c r="G5" s="153" t="str">
        <v>2026E</v>
      </c>
      <c r="H5" s="153" t="str">
        <v>23E-26E</v>
      </c>
      <c r="I5" s="153"/>
      <c r="J5" s="153"/>
      <c r="K5" s="153"/>
      <c r="L5" s="153" t="str" cm="1">
        <f t="array" ref="L5:P5">headings</f>
        <v>2023E</v>
      </c>
      <c r="M5" s="153" t="str">
        <v>2024E</v>
      </c>
      <c r="N5" s="153" t="str">
        <v>2025E</v>
      </c>
      <c r="O5" s="153" t="str">
        <v>2026E</v>
      </c>
      <c r="P5" s="153" t="str">
        <v>23E-26E</v>
      </c>
      <c r="Q5" s="162"/>
      <c r="R5" s="162"/>
      <c r="S5" s="162"/>
      <c r="T5" s="162"/>
      <c r="U5" s="162"/>
      <c r="V5" s="162"/>
      <c r="W5" s="162"/>
      <c r="X5" s="162"/>
      <c r="Y5" s="162"/>
    </row>
    <row r="6" spans="2:63">
      <c r="I6" s="5"/>
      <c r="J6" s="5"/>
      <c r="K6" s="5"/>
      <c r="L6" s="5"/>
      <c r="M6" s="5"/>
      <c r="N6" s="5"/>
      <c r="O6" s="49"/>
    </row>
    <row r="7" spans="2:63" ht="12.6" thickBot="1">
      <c r="B7" s="306" t="s">
        <v>271</v>
      </c>
      <c r="C7" s="265"/>
      <c r="D7" s="265"/>
      <c r="E7" s="265"/>
      <c r="F7" s="265"/>
      <c r="G7" s="265"/>
      <c r="H7" s="265"/>
      <c r="I7" s="49"/>
      <c r="J7" s="306" t="s">
        <v>510</v>
      </c>
      <c r="K7" s="306"/>
      <c r="L7" s="306"/>
      <c r="M7" s="306"/>
      <c r="N7" s="266"/>
      <c r="O7" s="266"/>
      <c r="P7" s="266"/>
    </row>
    <row r="8" spans="2:63" ht="12.6" thickTop="1">
      <c r="B8" s="5"/>
      <c r="C8" s="5"/>
      <c r="D8" s="5"/>
      <c r="E8" s="5"/>
      <c r="F8" s="5"/>
      <c r="G8" s="5"/>
      <c r="H8" s="5"/>
      <c r="I8" s="5"/>
      <c r="J8" s="5"/>
      <c r="K8" s="5"/>
      <c r="L8" s="5"/>
      <c r="M8" s="5"/>
      <c r="N8" s="5"/>
    </row>
    <row r="9" spans="2:63">
      <c r="B9" s="41" t="s">
        <v>500</v>
      </c>
      <c r="C9" s="287"/>
      <c r="D9" s="5"/>
      <c r="E9" s="249"/>
      <c r="F9" s="249"/>
      <c r="G9" s="249"/>
      <c r="H9" s="249"/>
      <c r="I9" s="249"/>
      <c r="J9" s="5" t="s">
        <v>273</v>
      </c>
      <c r="L9" s="64">
        <f>'EM INCUMB'!D37</f>
        <v>77.390130364881429</v>
      </c>
      <c r="M9" s="64">
        <f>'EM INCUMB'!E37</f>
        <v>72.512941061391317</v>
      </c>
      <c r="N9" s="64">
        <f>'EM INCUMB'!F37</f>
        <v>62.400788137070009</v>
      </c>
      <c r="O9" s="64">
        <f>'EM INCUMB'!G37</f>
        <v>53.058255887060461</v>
      </c>
      <c r="P9" s="17">
        <f>'EM INCUMB'!H37</f>
        <v>4.1231626442215452E-2</v>
      </c>
    </row>
    <row r="10" spans="2:63">
      <c r="B10" s="5" t="s">
        <v>274</v>
      </c>
      <c r="C10" s="5"/>
      <c r="D10" s="332"/>
      <c r="E10" s="332"/>
      <c r="F10" s="332"/>
      <c r="G10" s="332"/>
      <c r="H10" s="247"/>
      <c r="I10" s="247"/>
      <c r="J10" s="5" t="s">
        <v>184</v>
      </c>
      <c r="L10" s="64">
        <f>'EM INCUMB'!D38</f>
        <v>251.76312581207961</v>
      </c>
      <c r="M10" s="64">
        <f>'EM INCUMB'!E38</f>
        <v>235.47331923446734</v>
      </c>
      <c r="N10" s="64">
        <f>'EM INCUMB'!F38</f>
        <v>202.08803624698223</v>
      </c>
      <c r="O10" s="64">
        <f>'EM INCUMB'!G38</f>
        <v>170.59019208597164</v>
      </c>
      <c r="P10" s="17">
        <f>'EM INCUMB'!H38</f>
        <v>4.5319782471582526E-2</v>
      </c>
      <c r="W10" s="10"/>
      <c r="X10" s="10"/>
      <c r="Y10" s="10"/>
      <c r="Z10" s="10"/>
    </row>
    <row r="11" spans="2:63">
      <c r="B11" s="41" t="s">
        <v>359</v>
      </c>
      <c r="C11" s="5"/>
      <c r="D11" s="271">
        <f>'DM ASIA INCUMB'!D11+'EM ASIA INCUMB'!D11</f>
        <v>9233375.9369701687</v>
      </c>
      <c r="E11" s="271">
        <f>'DM ASIA INCUMB'!E11+'EM ASIA INCUMB'!E11</f>
        <v>9418863.9107945859</v>
      </c>
      <c r="F11" s="271">
        <f>'DM ASIA INCUMB'!F11+'EM ASIA INCUMB'!F11</f>
        <v>9417393.7857693899</v>
      </c>
      <c r="G11" s="271">
        <f>'DM ASIA INCUMB'!G11+'EM ASIA INCUMB'!G11</f>
        <v>9415924.5168945845</v>
      </c>
      <c r="H11" s="249"/>
      <c r="I11" s="249"/>
      <c r="J11" s="5" t="s">
        <v>185</v>
      </c>
      <c r="L11" s="64">
        <f>'EM INCUMB'!D39</f>
        <v>633.79269108992571</v>
      </c>
      <c r="M11" s="64">
        <f>'EM INCUMB'!E39</f>
        <v>519.97663465590415</v>
      </c>
      <c r="N11" s="64">
        <f>'EM INCUMB'!F39</f>
        <v>421.98747207824152</v>
      </c>
      <c r="O11" s="64">
        <f>'EM INCUMB'!G39</f>
        <v>339.87458306214415</v>
      </c>
      <c r="P11" s="17">
        <f>'EM INCUMB'!H39</f>
        <v>0.13008903497063584</v>
      </c>
      <c r="W11" s="10"/>
      <c r="X11" s="10"/>
      <c r="Y11" s="10"/>
      <c r="Z11" s="10"/>
    </row>
    <row r="12" spans="2:63">
      <c r="B12" s="5" t="s">
        <v>229</v>
      </c>
      <c r="C12" s="249"/>
      <c r="D12" s="228">
        <f>'DM ASIA INCUMB'!D12+'EM ASIA INCUMB'!D12</f>
        <v>7391292.5094637256</v>
      </c>
      <c r="E12" s="228">
        <f>'DM ASIA INCUMB'!E12+'EM ASIA INCUMB'!E12</f>
        <v>6926853.5709080296</v>
      </c>
      <c r="F12" s="228">
        <f>'DM ASIA INCUMB'!F12+'EM ASIA INCUMB'!F12</f>
        <v>5805950.9409852065</v>
      </c>
      <c r="G12" s="228">
        <f>'DM ASIA INCUMB'!G12+'EM ASIA INCUMB'!G12</f>
        <v>4691576.0720597049</v>
      </c>
      <c r="H12" s="247"/>
      <c r="I12" s="247"/>
      <c r="J12" s="5" t="s">
        <v>466</v>
      </c>
      <c r="L12" s="64">
        <f>'EM INCUMB'!D40</f>
        <v>892.97096758269697</v>
      </c>
      <c r="M12" s="64">
        <f>'EM INCUMB'!E40</f>
        <v>705.80398591621361</v>
      </c>
      <c r="N12" s="64">
        <f>'EM INCUMB'!F40</f>
        <v>571.3100453625151</v>
      </c>
      <c r="O12" s="64">
        <f>'EM INCUMB'!G40</f>
        <v>458.33681098022043</v>
      </c>
      <c r="P12" s="17">
        <f>'EM INCUMB'!H40</f>
        <v>0.14671109623312839</v>
      </c>
      <c r="W12" s="10"/>
      <c r="X12" s="10"/>
      <c r="Y12" s="10"/>
      <c r="Z12" s="10"/>
    </row>
    <row r="13" spans="2:63">
      <c r="B13" s="5" t="s">
        <v>529</v>
      </c>
      <c r="C13" s="257"/>
      <c r="D13" s="228">
        <f>'DM ASIA INCUMB'!D13+'EM ASIA INCUMB'!D13</f>
        <v>1468023.5090963705</v>
      </c>
      <c r="E13" s="228">
        <f>'DM ASIA INCUMB'!E13+'EM ASIA INCUMB'!E13</f>
        <v>1382876.9965820455</v>
      </c>
      <c r="F13" s="228">
        <f>'DM ASIA INCUMB'!F13+'EM ASIA INCUMB'!F13</f>
        <v>1290493.0305040032</v>
      </c>
      <c r="G13" s="228">
        <f>'DM ASIA INCUMB'!G13+'EM ASIA INCUMB'!G13</f>
        <v>1190256.4273093271</v>
      </c>
      <c r="H13" s="247"/>
      <c r="I13" s="247"/>
      <c r="J13" s="5" t="s">
        <v>530</v>
      </c>
      <c r="L13" s="64">
        <f>'EM INCUMB'!D41</f>
        <v>73.192015654274968</v>
      </c>
      <c r="M13" s="64">
        <f>'EM INCUMB'!E41</f>
        <v>72.225901315613712</v>
      </c>
      <c r="N13" s="64">
        <f>'EM INCUMB'!F41</f>
        <v>65.390223329659477</v>
      </c>
      <c r="O13" s="64">
        <f>'EM INCUMB'!G41</f>
        <v>57.627095382058755</v>
      </c>
      <c r="P13" s="17">
        <f>'EM INCUMB'!H41</f>
        <v>-5.7044998568572813E-3</v>
      </c>
    </row>
    <row r="14" spans="2:63">
      <c r="B14" s="5" t="s">
        <v>532</v>
      </c>
      <c r="C14" s="274"/>
      <c r="D14" s="228">
        <f>'DM ASIA INCUMB'!D14+'EM ASIA INCUMB'!D14</f>
        <v>26016.547596207995</v>
      </c>
      <c r="E14" s="228">
        <f>'DM ASIA INCUMB'!E14+'EM ASIA INCUMB'!E14</f>
        <v>26117.275078581148</v>
      </c>
      <c r="F14" s="228">
        <f>'DM ASIA INCUMB'!F14+'EM ASIA INCUMB'!F14</f>
        <v>26223.03893507296</v>
      </c>
      <c r="G14" s="228">
        <f>'DM ASIA INCUMB'!G14+'EM ASIA INCUMB'!G14</f>
        <v>26334.090984389364</v>
      </c>
      <c r="H14" s="247"/>
      <c r="I14" s="247"/>
      <c r="J14" s="5" t="s">
        <v>593</v>
      </c>
      <c r="L14" s="64">
        <f>'EM INCUMB'!D42</f>
        <v>92.154024734754898</v>
      </c>
      <c r="M14" s="64">
        <f>'EM INCUMB'!E42</f>
        <v>92.71619293829275</v>
      </c>
      <c r="N14" s="64">
        <f>'EM INCUMB'!F42</f>
        <v>85.347970481322818</v>
      </c>
      <c r="O14" s="64">
        <f>'EM INCUMB'!G42</f>
        <v>80.686740973878528</v>
      </c>
      <c r="P14" s="17">
        <f>'EM INCUMB'!H42</f>
        <v>-4.0288882333939902E-2</v>
      </c>
    </row>
    <row r="15" spans="2:63">
      <c r="B15" s="5" t="s">
        <v>531</v>
      </c>
      <c r="C15" s="257"/>
      <c r="D15" s="228">
        <f>'DM ASIA INCUMB'!D15+'EM ASIA INCUMB'!D15</f>
        <v>34760.882735223808</v>
      </c>
      <c r="E15" s="228">
        <f>'DM ASIA INCUMB'!E15+'EM ASIA INCUMB'!E15</f>
        <v>34760.882735223808</v>
      </c>
      <c r="F15" s="228">
        <f>'DM ASIA INCUMB'!F15+'EM ASIA INCUMB'!F15</f>
        <v>34760.882735223808</v>
      </c>
      <c r="G15" s="228">
        <f>'DM ASIA INCUMB'!G15+'EM ASIA INCUMB'!G15</f>
        <v>34760.882735223808</v>
      </c>
      <c r="H15" s="247"/>
      <c r="I15" s="247"/>
      <c r="J15" s="5" t="s">
        <v>475</v>
      </c>
      <c r="L15" s="64">
        <f>'EM INCUMB'!D43</f>
        <v>14.54326315160441</v>
      </c>
      <c r="M15" s="64">
        <f>'EM INCUMB'!E43</f>
        <v>10.729515399031095</v>
      </c>
      <c r="N15" s="64">
        <f>'EM INCUMB'!F43</f>
        <v>9.0923319720800446</v>
      </c>
      <c r="O15" s="64">
        <f>'EM INCUMB'!G43</f>
        <v>7.8418571106094896</v>
      </c>
      <c r="P15" s="17">
        <f>'EM INCUMB'!H43</f>
        <v>0.21725098476735072</v>
      </c>
      <c r="S15" s="88"/>
      <c r="T15" s="88"/>
      <c r="U15" s="88"/>
      <c r="V15" s="42"/>
      <c r="W15" s="42"/>
      <c r="X15" s="42"/>
      <c r="Y15" s="42"/>
      <c r="Z15" s="42"/>
      <c r="AA15" s="42"/>
    </row>
    <row r="16" spans="2:63">
      <c r="B16" s="5" t="s">
        <v>534</v>
      </c>
      <c r="C16" s="257"/>
      <c r="D16" s="228">
        <f>'DM ASIA INCUMB'!D16+'EM ASIA INCUMB'!D16</f>
        <v>19160.03571482491</v>
      </c>
      <c r="E16" s="228">
        <f>'DM ASIA INCUMB'!E16+'EM ASIA INCUMB'!E16</f>
        <v>27077.626326249436</v>
      </c>
      <c r="F16" s="228">
        <f>'DM ASIA INCUMB'!F16+'EM ASIA INCUMB'!F16</f>
        <v>555228.80123850238</v>
      </c>
      <c r="G16" s="228">
        <f>'DM ASIA INCUMB'!G16+'EM ASIA INCUMB'!G16</f>
        <v>1170881.0124038998</v>
      </c>
      <c r="H16" s="247"/>
      <c r="I16" s="247"/>
      <c r="J16" s="5" t="s">
        <v>533</v>
      </c>
      <c r="L16" s="64">
        <f>'EM INCUMB'!D44</f>
        <v>634.01902759549682</v>
      </c>
      <c r="M16" s="64">
        <f>'EM INCUMB'!E44</f>
        <v>553.37622650460344</v>
      </c>
      <c r="N16" s="64">
        <f>'EM INCUMB'!F44</f>
        <v>480.19823322626689</v>
      </c>
      <c r="O16" s="64">
        <f>'EM INCUMB'!G44</f>
        <v>413.04467594801395</v>
      </c>
      <c r="P16" s="17">
        <f>'EM INCUMB'!H44</f>
        <v>0.16110061170195666</v>
      </c>
      <c r="S16" s="88"/>
      <c r="T16" s="88"/>
      <c r="U16" s="88"/>
      <c r="V16" s="42"/>
      <c r="W16" s="42"/>
      <c r="X16" s="42"/>
      <c r="Y16" s="42"/>
      <c r="Z16" s="42"/>
      <c r="AA16" s="42"/>
    </row>
    <row r="17" spans="2:27">
      <c r="B17" s="5" t="s">
        <v>6</v>
      </c>
      <c r="C17" s="257"/>
      <c r="D17" s="228">
        <f>'DM ASIA INCUMB'!D17+'EM ASIA INCUMB'!D17</f>
        <v>569810.57744207536</v>
      </c>
      <c r="E17" s="228">
        <f>'DM ASIA INCUMB'!E17+'EM ASIA INCUMB'!E17</f>
        <v>569810.57744207536</v>
      </c>
      <c r="F17" s="228">
        <f>'DM ASIA INCUMB'!F17+'EM ASIA INCUMB'!F17</f>
        <v>569810.57744207536</v>
      </c>
      <c r="G17" s="228">
        <f>'DM ASIA INCUMB'!G17+'EM ASIA INCUMB'!G17</f>
        <v>569810.57744207536</v>
      </c>
      <c r="H17" s="247"/>
      <c r="I17" s="247"/>
      <c r="J17" s="5" t="s">
        <v>580</v>
      </c>
      <c r="L17" s="248">
        <f>'EM INCUMB'!D45</f>
        <v>1.0345069302667427E-3</v>
      </c>
      <c r="M17" s="248">
        <f>'EM INCUMB'!E45</f>
        <v>1.1346526117121838E-3</v>
      </c>
      <c r="N17" s="248">
        <f>'EM INCUMB'!F45</f>
        <v>1.3193330533490405E-3</v>
      </c>
      <c r="O17" s="248">
        <f>'EM INCUMB'!G45</f>
        <v>1.5335766283768081E-3</v>
      </c>
      <c r="P17" s="17">
        <f>'EM INCUMB'!H45</f>
        <v>0.14769227496166182</v>
      </c>
      <c r="S17" s="88"/>
      <c r="T17" s="88"/>
      <c r="U17" s="88"/>
      <c r="V17" s="42"/>
      <c r="W17" s="42"/>
      <c r="X17" s="42"/>
      <c r="Y17" s="42"/>
      <c r="Z17" s="42"/>
      <c r="AA17" s="42"/>
    </row>
    <row r="18" spans="2:27" ht="12.6" thickBot="1">
      <c r="B18" s="41" t="s">
        <v>360</v>
      </c>
      <c r="C18" s="249"/>
      <c r="D18" s="275">
        <f>'DM ASIA INCUMB'!D18+'EM ASIA INCUMB'!D18</f>
        <v>17512465.677512381</v>
      </c>
      <c r="E18" s="275">
        <f>'DM ASIA INCUMB'!E18+'EM ASIA INCUMB'!E18</f>
        <v>17140349.882172976</v>
      </c>
      <c r="F18" s="275">
        <f>'DM ASIA INCUMB'!F18+'EM ASIA INCUMB'!F18</f>
        <v>15397336.222378172</v>
      </c>
      <c r="G18" s="275">
        <f>'DM ASIA INCUMB'!G18+'EM ASIA INCUMB'!G18</f>
        <v>13565492.218168475</v>
      </c>
      <c r="H18" s="276">
        <f>IF(D18=0,"nm",IF(G18=0,"nm",(G18/D18)^(1/3)-1))</f>
        <v>-8.1605192061095511E-2</v>
      </c>
      <c r="I18" s="254"/>
      <c r="J18" s="5" t="s">
        <v>36</v>
      </c>
      <c r="L18" s="248">
        <f>'EM INCUMB'!D46</f>
        <v>1.0374108915053846E-3</v>
      </c>
      <c r="M18" s="248">
        <f>'EM INCUMB'!E46</f>
        <v>1.1367413289027294E-3</v>
      </c>
      <c r="N18" s="248">
        <f>'EM INCUMB'!F46</f>
        <v>1.2682363145756529E-3</v>
      </c>
      <c r="O18" s="248">
        <f>'EM INCUMB'!G46</f>
        <v>1.7427990175788118E-3</v>
      </c>
      <c r="P18" s="17">
        <f>'EM INCUMB'!H46</f>
        <v>0.19655757517991312</v>
      </c>
      <c r="S18" s="88"/>
      <c r="T18" s="88"/>
      <c r="U18" s="88"/>
      <c r="V18" s="42"/>
      <c r="W18" s="42"/>
      <c r="X18" s="42"/>
      <c r="Y18" s="42"/>
      <c r="Z18" s="42"/>
      <c r="AA18" s="42"/>
    </row>
    <row r="19" spans="2:27" ht="12.6" thickTop="1">
      <c r="B19" s="41"/>
      <c r="C19" s="249"/>
      <c r="D19" s="229"/>
      <c r="E19" s="229"/>
      <c r="F19" s="229"/>
      <c r="G19" s="229"/>
      <c r="H19" s="276"/>
      <c r="I19" s="17"/>
      <c r="J19" s="5" t="s">
        <v>581</v>
      </c>
      <c r="L19" s="248">
        <f>'EM INCUMB'!D47</f>
        <v>6.8760359320712713E-2</v>
      </c>
      <c r="M19" s="248">
        <f>'EM INCUMB'!E47</f>
        <v>9.3200854168148425E-2</v>
      </c>
      <c r="N19" s="248">
        <f>'EM INCUMB'!F47</f>
        <v>0.10998278583214015</v>
      </c>
      <c r="O19" s="248">
        <f>'EM INCUMB'!G47</f>
        <v>0.12752081374284024</v>
      </c>
      <c r="P19" s="17">
        <f>'EM INCUMB'!H47</f>
        <v>0.21725098476735072</v>
      </c>
      <c r="S19" s="88"/>
      <c r="T19" s="88"/>
      <c r="U19" s="88"/>
      <c r="V19" s="42"/>
      <c r="W19" s="42"/>
      <c r="X19" s="42"/>
      <c r="Y19" s="42"/>
      <c r="Z19" s="42"/>
      <c r="AA19" s="42"/>
    </row>
    <row r="20" spans="2:27">
      <c r="H20" s="277"/>
      <c r="I20" s="49"/>
      <c r="J20" s="5" t="s">
        <v>604</v>
      </c>
      <c r="L20" s="248">
        <f>'EM INCUMB'!D48</f>
        <v>0.64455315794230339</v>
      </c>
      <c r="M20" s="248">
        <f>'EM INCUMB'!E48</f>
        <v>0.5360729455694393</v>
      </c>
      <c r="N20" s="248">
        <f>'EM INCUMB'!F48</f>
        <v>0.53346452793261268</v>
      </c>
      <c r="O20" s="248">
        <f>'EM INCUMB'!G48</f>
        <v>0.54024992115500903</v>
      </c>
      <c r="P20" s="17" t="str">
        <f>'EM INCUMB'!H48</f>
        <v>nm</v>
      </c>
      <c r="S20" s="42"/>
      <c r="T20" s="42"/>
      <c r="U20" s="42"/>
      <c r="V20" s="42"/>
      <c r="W20" s="42"/>
      <c r="X20" s="42"/>
      <c r="Y20" s="42"/>
      <c r="Z20" s="42"/>
      <c r="AA20" s="42"/>
    </row>
    <row r="21" spans="2:27" ht="12.6" thickBot="1">
      <c r="B21" s="306" t="s">
        <v>482</v>
      </c>
      <c r="C21" s="265">
        <v>2020</v>
      </c>
      <c r="D21" s="265" t="str">
        <f>D5</f>
        <v>2023E</v>
      </c>
      <c r="E21" s="265" t="str">
        <f>E5</f>
        <v>2024E</v>
      </c>
      <c r="F21" s="265" t="str">
        <f>F5</f>
        <v>2025E</v>
      </c>
      <c r="G21" s="265" t="str">
        <f>G5</f>
        <v>2026E</v>
      </c>
      <c r="H21" s="282" t="str">
        <f>H5</f>
        <v>23E-26E</v>
      </c>
      <c r="I21" s="17"/>
      <c r="S21" s="42"/>
      <c r="T21" s="42"/>
      <c r="U21" s="42"/>
      <c r="V21" s="42"/>
      <c r="W21" s="42"/>
      <c r="X21" s="42"/>
      <c r="Y21" s="42"/>
      <c r="Z21" s="42"/>
      <c r="AA21" s="42"/>
    </row>
    <row r="22" spans="2:27" ht="12.6" thickTop="1">
      <c r="B22" s="5"/>
      <c r="C22" s="257"/>
      <c r="D22" s="17"/>
      <c r="E22" s="17"/>
      <c r="F22" s="17"/>
      <c r="G22" s="17"/>
      <c r="H22" s="17"/>
      <c r="I22" s="247"/>
      <c r="P22" s="277"/>
      <c r="S22" s="42"/>
      <c r="T22" s="42"/>
      <c r="U22" s="42"/>
      <c r="V22" s="42"/>
      <c r="W22" s="42"/>
      <c r="X22" s="42"/>
      <c r="Y22" s="42"/>
      <c r="Z22" s="42"/>
      <c r="AA22" s="42"/>
    </row>
    <row r="23" spans="2:27" ht="12.6" thickBot="1">
      <c r="B23" s="5" t="s">
        <v>584</v>
      </c>
      <c r="C23" s="365">
        <f>'DM ASIA INCUMB'!C23+'EM ASIA INCUMB'!C23</f>
        <v>268510.60543491715</v>
      </c>
      <c r="D23" s="228">
        <f>'DM ASIA INCUMB'!D23+'EM ASIA INCUMB'!D23</f>
        <v>277347.5412788213</v>
      </c>
      <c r="E23" s="228">
        <f>'DM ASIA INCUMB'!E23+'EM ASIA INCUMB'!E23</f>
        <v>286934.71010526881</v>
      </c>
      <c r="F23" s="228">
        <f>'DM ASIA INCUMB'!F23+'EM ASIA INCUMB'!F23</f>
        <v>298359.99946393858</v>
      </c>
      <c r="G23" s="228">
        <f>'DM ASIA INCUMB'!G23+'EM ASIA INCUMB'!G23</f>
        <v>309226.44116971956</v>
      </c>
      <c r="H23" s="279">
        <f t="shared" ref="H23:H33" si="0">IF(D23=0,"nm",IF(G23=0,"nm",(G23/D23)^(1/3)-1))</f>
        <v>3.6933170504085622E-2</v>
      </c>
      <c r="I23" s="249"/>
      <c r="J23" s="306" t="s">
        <v>9</v>
      </c>
      <c r="K23" s="306"/>
      <c r="L23" s="265" t="str">
        <f>L5</f>
        <v>2023E</v>
      </c>
      <c r="M23" s="265" t="str">
        <f>M5</f>
        <v>2024E</v>
      </c>
      <c r="N23" s="265" t="str">
        <f>N5</f>
        <v>2025E</v>
      </c>
      <c r="O23" s="265" t="str">
        <f>O5</f>
        <v>2026E</v>
      </c>
      <c r="P23" s="282" t="str">
        <f>P5</f>
        <v>23E-26E</v>
      </c>
      <c r="S23" s="42"/>
      <c r="T23" s="42"/>
      <c r="U23" s="42"/>
      <c r="V23" s="42"/>
      <c r="W23" s="42" t="s">
        <v>334</v>
      </c>
      <c r="X23" s="42" t="s">
        <v>561</v>
      </c>
      <c r="Y23" s="42"/>
      <c r="Z23" s="42"/>
      <c r="AA23" s="42"/>
    </row>
    <row r="24" spans="2:27" ht="12.6" thickTop="1">
      <c r="B24" s="5" t="s">
        <v>483</v>
      </c>
      <c r="C24" s="365">
        <f>'DM ASIA INCUMB'!C24+'EM ASIA INCUMB'!C24</f>
        <v>73645.890294353085</v>
      </c>
      <c r="D24" s="228">
        <f>'DM ASIA INCUMB'!D24+'EM ASIA INCUMB'!D24</f>
        <v>76379.683337618495</v>
      </c>
      <c r="E24" s="228">
        <f>'DM ASIA INCUMB'!E24+'EM ASIA INCUMB'!E24</f>
        <v>81166.305343216372</v>
      </c>
      <c r="F24" s="228">
        <f>'DM ASIA INCUMB'!F24+'EM ASIA INCUMB'!F24</f>
        <v>84355.50726883288</v>
      </c>
      <c r="G24" s="228">
        <f>'DM ASIA INCUMB'!G24+'EM ASIA INCUMB'!G24</f>
        <v>87907.048739998165</v>
      </c>
      <c r="H24" s="279">
        <f t="shared" si="0"/>
        <v>4.7969433190576227E-2</v>
      </c>
      <c r="I24" s="248"/>
      <c r="J24" s="17"/>
      <c r="K24" s="17"/>
      <c r="L24" s="17"/>
      <c r="M24" s="17"/>
      <c r="N24" s="17"/>
      <c r="O24" s="248"/>
      <c r="S24" s="42"/>
      <c r="T24" s="42"/>
      <c r="U24" s="42"/>
      <c r="V24" s="147" t="s">
        <v>273</v>
      </c>
      <c r="W24" s="288">
        <f t="shared" ref="W24:W31" si="1">E37/M9</f>
        <v>0.82379864883038934</v>
      </c>
      <c r="X24" s="288">
        <v>1</v>
      </c>
      <c r="Y24" s="42"/>
      <c r="Z24" s="42"/>
      <c r="AA24" s="42"/>
    </row>
    <row r="25" spans="2:27">
      <c r="B25" s="5" t="s">
        <v>183</v>
      </c>
      <c r="C25" s="365">
        <f>'DM ASIA INCUMB'!C25+'EM ASIA INCUMB'!C25</f>
        <v>27937.567443472515</v>
      </c>
      <c r="D25" s="228">
        <f>'DM ASIA INCUMB'!D25+'EM ASIA INCUMB'!D25</f>
        <v>30371.7078039759</v>
      </c>
      <c r="E25" s="228">
        <f>'DM ASIA INCUMB'!E25+'EM ASIA INCUMB'!E25</f>
        <v>38088.442268291648</v>
      </c>
      <c r="F25" s="228">
        <f>'DM ASIA INCUMB'!F25+'EM ASIA INCUMB'!F25</f>
        <v>41058.535447570277</v>
      </c>
      <c r="G25" s="228">
        <f>'DM ASIA INCUMB'!G25+'EM ASIA INCUMB'!G25</f>
        <v>44090.829642930359</v>
      </c>
      <c r="H25" s="279">
        <f t="shared" si="0"/>
        <v>0.13229525132442088</v>
      </c>
      <c r="I25" s="249"/>
      <c r="J25" s="247" t="s">
        <v>10</v>
      </c>
      <c r="K25" s="247"/>
      <c r="L25" s="332">
        <f>'DM ASIA INCUMB'!L25+'EM ASIA INCUMB'!L25</f>
        <v>44181.357895274246</v>
      </c>
      <c r="M25" s="332">
        <f>'DM ASIA INCUMB'!M25+'EM ASIA INCUMB'!M25</f>
        <v>40988.965666121672</v>
      </c>
      <c r="N25" s="332">
        <f>'DM ASIA INCUMB'!N25+'EM ASIA INCUMB'!N25</f>
        <v>37618.546521594792</v>
      </c>
      <c r="O25" s="332">
        <f>'DM ASIA INCUMB'!O25+'EM ASIA INCUMB'!O25</f>
        <v>33981.548190246562</v>
      </c>
      <c r="P25" s="279">
        <f>IF(L25=0,"nm",IF(O25=0,"nm",(O25/L25)^(1/3)-1))</f>
        <v>-8.3776625435486696E-2</v>
      </c>
      <c r="Q25" s="5"/>
      <c r="S25" s="42"/>
      <c r="T25" s="42"/>
      <c r="U25" s="42"/>
      <c r="V25" s="147" t="s">
        <v>184</v>
      </c>
      <c r="W25" s="288">
        <f t="shared" si="1"/>
        <v>0.89681362897509753</v>
      </c>
      <c r="X25" s="288">
        <v>1</v>
      </c>
      <c r="Y25" s="42"/>
      <c r="Z25" s="42"/>
      <c r="AA25" s="42"/>
    </row>
    <row r="26" spans="2:27">
      <c r="B26" s="5" t="s">
        <v>586</v>
      </c>
      <c r="C26" s="365">
        <f>'DM ASIA INCUMB'!C26+'EM ASIA INCUMB'!C26</f>
        <v>20769.114519946292</v>
      </c>
      <c r="D26" s="228">
        <f>'DM ASIA INCUMB'!D26+'EM ASIA INCUMB'!D26</f>
        <v>22612.98365827282</v>
      </c>
      <c r="E26" s="228">
        <f>'DM ASIA INCUMB'!E26+'EM ASIA INCUMB'!E26</f>
        <v>28208.782303376276</v>
      </c>
      <c r="F26" s="228">
        <f>'DM ASIA INCUMB'!F26+'EM ASIA INCUMB'!F26</f>
        <v>30422.798870625473</v>
      </c>
      <c r="G26" s="228">
        <f>'DM ASIA INCUMB'!G26+'EM ASIA INCUMB'!G26</f>
        <v>32673.126505237011</v>
      </c>
      <c r="H26" s="279">
        <f t="shared" si="0"/>
        <v>0.13051833042761229</v>
      </c>
      <c r="I26" s="249"/>
      <c r="J26" s="249" t="s">
        <v>11</v>
      </c>
      <c r="K26" s="249"/>
      <c r="L26" s="281">
        <f>'DM ASIA INCUMB'!L26+'EM ASIA INCUMB'!L26</f>
        <v>326969.84174061369</v>
      </c>
      <c r="M26" s="281">
        <f>'DM ASIA INCUMB'!M26+'EM ASIA INCUMB'!M26</f>
        <v>322442.98454982473</v>
      </c>
      <c r="N26" s="281">
        <f>'DM ASIA INCUMB'!N26+'EM ASIA INCUMB'!N26</f>
        <v>317602.44038010301</v>
      </c>
      <c r="O26" s="281">
        <f>'DM ASIA INCUMB'!O26+'EM ASIA INCUMB'!O26</f>
        <v>312496.17317394813</v>
      </c>
      <c r="P26" s="279">
        <f>IF(L26=0,"nm",IF(O26=0,"nm",(O26/L26)^(1/3)-1))</f>
        <v>-1.4978593374042948E-2</v>
      </c>
      <c r="Q26" s="41"/>
      <c r="S26" s="42"/>
      <c r="T26" s="42"/>
      <c r="U26" s="42"/>
      <c r="V26" s="147" t="s">
        <v>185</v>
      </c>
      <c r="W26" s="288">
        <f t="shared" si="1"/>
        <v>0.86545131588585733</v>
      </c>
      <c r="X26" s="288">
        <v>1</v>
      </c>
      <c r="Y26" s="42"/>
      <c r="Z26" s="42"/>
      <c r="AA26" s="42"/>
    </row>
    <row r="27" spans="2:27">
      <c r="B27" s="5" t="s">
        <v>587</v>
      </c>
      <c r="C27" s="365">
        <f>'DM ASIA INCUMB'!C27+'EM ASIA INCUMB'!C27</f>
        <v>313556.66034835973</v>
      </c>
      <c r="D27" s="228">
        <f>'DM ASIA INCUMB'!D27+'EM ASIA INCUMB'!D27</f>
        <v>307653.72134453047</v>
      </c>
      <c r="E27" s="228">
        <f>'DM ASIA INCUMB'!E27+'EM ASIA INCUMB'!E27</f>
        <v>314451.62303224509</v>
      </c>
      <c r="F27" s="228">
        <f>'DM ASIA INCUMB'!F27+'EM ASIA INCUMB'!F27</f>
        <v>323027.42784706567</v>
      </c>
      <c r="G27" s="228">
        <f>'DM ASIA INCUMB'!G27+'EM ASIA INCUMB'!G27</f>
        <v>333169.35436518496</v>
      </c>
      <c r="H27" s="279">
        <f t="shared" si="0"/>
        <v>2.6914512786078149E-2</v>
      </c>
      <c r="I27" s="248"/>
      <c r="J27" s="248"/>
      <c r="K27" s="248"/>
      <c r="L27" s="248"/>
      <c r="M27" s="248"/>
      <c r="N27" s="248"/>
      <c r="O27" s="248"/>
      <c r="Q27" s="5"/>
      <c r="S27" s="42"/>
      <c r="T27" s="42"/>
      <c r="U27" s="42"/>
      <c r="V27" s="147" t="s">
        <v>466</v>
      </c>
      <c r="W27" s="288">
        <f t="shared" si="1"/>
        <v>0.86089708430946676</v>
      </c>
      <c r="X27" s="288">
        <v>1</v>
      </c>
      <c r="Y27" s="42"/>
      <c r="Z27" s="42"/>
      <c r="AA27" s="42"/>
    </row>
    <row r="28" spans="2:27" ht="12.6" thickBot="1">
      <c r="B28" s="5" t="s">
        <v>592</v>
      </c>
      <c r="C28" s="365">
        <f>'DM ASIA INCUMB'!C28+'EM ASIA INCUMB'!C28</f>
        <v>227906.4047828498</v>
      </c>
      <c r="D28" s="228">
        <f>'DM ASIA INCUMB'!D28+'EM ASIA INCUMB'!D28</f>
        <v>231100.43827536836</v>
      </c>
      <c r="E28" s="228">
        <f>'DM ASIA INCUMB'!E28+'EM ASIA INCUMB'!E28</f>
        <v>227761.6482036185</v>
      </c>
      <c r="F28" s="228">
        <f>'DM ASIA INCUMB'!F28+'EM ASIA INCUMB'!F28</f>
        <v>224818.88899537976</v>
      </c>
      <c r="G28" s="228">
        <f>'DM ASIA INCUMB'!G28+'EM ASIA INCUMB'!G28</f>
        <v>213972.37153032323</v>
      </c>
      <c r="H28" s="279">
        <f t="shared" si="0"/>
        <v>-2.5341868686917124E-2</v>
      </c>
      <c r="I28" s="252"/>
      <c r="J28" s="306" t="s">
        <v>754</v>
      </c>
      <c r="K28" s="306"/>
      <c r="L28" s="306"/>
      <c r="M28" s="306"/>
      <c r="N28" s="266"/>
      <c r="O28" s="266"/>
      <c r="P28" s="266"/>
      <c r="Q28" s="5"/>
      <c r="S28" s="42"/>
      <c r="T28" s="42"/>
      <c r="U28" s="42"/>
      <c r="V28" s="147" t="s">
        <v>530</v>
      </c>
      <c r="W28" s="288">
        <f t="shared" si="1"/>
        <v>0.75469743161657865</v>
      </c>
      <c r="X28" s="288">
        <v>1</v>
      </c>
      <c r="Y28" s="42"/>
      <c r="Z28" s="42"/>
      <c r="AA28" s="42"/>
    </row>
    <row r="29" spans="2:27" ht="12.6" thickTop="1">
      <c r="B29" s="5" t="s">
        <v>588</v>
      </c>
      <c r="C29" s="365">
        <f>'DM ASIA INCUMB'!C29+'EM ASIA INCUMB'!C29</f>
        <v>21287.73249570639</v>
      </c>
      <c r="D29" s="228">
        <f>'DM ASIA INCUMB'!D29+'EM ASIA INCUMB'!D29</f>
        <v>22577.634944547524</v>
      </c>
      <c r="E29" s="228">
        <f>'DM ASIA INCUMB'!E29+'EM ASIA INCUMB'!E29</f>
        <v>30141.676040588085</v>
      </c>
      <c r="F29" s="228">
        <f>'DM ASIA INCUMB'!F29+'EM ASIA INCUMB'!F29</f>
        <v>32539.626831169648</v>
      </c>
      <c r="G29" s="228">
        <f>'DM ASIA INCUMB'!G29+'EM ASIA INCUMB'!G29</f>
        <v>35356.509689242426</v>
      </c>
      <c r="H29" s="279">
        <f t="shared" si="0"/>
        <v>0.1612622626724487</v>
      </c>
      <c r="I29" s="254"/>
      <c r="J29" s="249"/>
      <c r="K29" s="249"/>
      <c r="L29" s="249"/>
      <c r="M29" s="249"/>
      <c r="N29" s="249"/>
      <c r="O29" s="251"/>
      <c r="Q29" s="5"/>
      <c r="S29" s="42"/>
      <c r="T29" s="42"/>
      <c r="U29" s="42"/>
      <c r="V29" s="147" t="s">
        <v>593</v>
      </c>
      <c r="W29" s="288">
        <f t="shared" si="1"/>
        <v>0.81167747759321518</v>
      </c>
      <c r="X29" s="288">
        <v>1</v>
      </c>
      <c r="Y29" s="42"/>
      <c r="Z29" s="42"/>
      <c r="AA29" s="42"/>
    </row>
    <row r="30" spans="2:27">
      <c r="B30" s="5" t="s">
        <v>589</v>
      </c>
      <c r="C30" s="365">
        <f>'DM ASIA INCUMB'!C30+'EM ASIA INCUMB'!C30</f>
        <v>20874.626206206623</v>
      </c>
      <c r="D30" s="228">
        <f>'DM ASIA INCUMB'!D30+'EM ASIA INCUMB'!D30</f>
        <v>23010.293602115067</v>
      </c>
      <c r="E30" s="228">
        <f>'DM ASIA INCUMB'!E30+'EM ASIA INCUMB'!E30</f>
        <v>24374.073755857899</v>
      </c>
      <c r="F30" s="228">
        <f>'DM ASIA INCUMB'!F30+'EM ASIA INCUMB'!F30</f>
        <v>25979.446140140077</v>
      </c>
      <c r="G30" s="228">
        <f>'DM ASIA INCUMB'!G30+'EM ASIA INCUMB'!G30</f>
        <v>28390.544723558836</v>
      </c>
      <c r="H30" s="279">
        <f t="shared" si="0"/>
        <v>7.2549113858280556E-2</v>
      </c>
      <c r="I30" s="254"/>
      <c r="J30" s="248"/>
      <c r="K30" s="248"/>
      <c r="L30" s="248"/>
      <c r="M30" s="248"/>
      <c r="N30" s="248"/>
      <c r="O30" s="5"/>
      <c r="Q30" s="5"/>
      <c r="S30" s="42"/>
      <c r="T30" s="42"/>
      <c r="U30" s="42"/>
      <c r="V30" s="147" t="s">
        <v>475</v>
      </c>
      <c r="W30" s="288">
        <f t="shared" si="1"/>
        <v>0.99702357427315824</v>
      </c>
      <c r="X30" s="288">
        <v>1</v>
      </c>
      <c r="Y30" s="42"/>
      <c r="Z30" s="42"/>
      <c r="AA30" s="42"/>
    </row>
    <row r="31" spans="2:27">
      <c r="B31" s="5" t="s">
        <v>590</v>
      </c>
      <c r="C31" s="365">
        <f>'DM ASIA INCUMB'!C31+'EM ASIA INCUMB'!C31</f>
        <v>12536.791695120348</v>
      </c>
      <c r="D31" s="228">
        <f>'DM ASIA INCUMB'!D31+'EM ASIA INCUMB'!D31</f>
        <v>13099.604787240452</v>
      </c>
      <c r="E31" s="228">
        <f>'DM ASIA INCUMB'!E31+'EM ASIA INCUMB'!E31</f>
        <v>14992.042749076154</v>
      </c>
      <c r="F31" s="228">
        <f>'DM ASIA INCUMB'!F31+'EM ASIA INCUMB'!F31</f>
        <v>17146.662899692248</v>
      </c>
      <c r="G31" s="228">
        <f>'DM ASIA INCUMB'!G31+'EM ASIA INCUMB'!G31</f>
        <v>19604.075048175691</v>
      </c>
      <c r="H31" s="279">
        <f t="shared" si="0"/>
        <v>0.14383326100984517</v>
      </c>
      <c r="I31" s="254"/>
      <c r="J31" s="252"/>
      <c r="K31" s="252"/>
      <c r="L31" s="252"/>
      <c r="M31" s="252"/>
      <c r="N31" s="252"/>
      <c r="O31" s="5"/>
      <c r="Q31" s="5"/>
      <c r="S31" s="42"/>
      <c r="T31" s="42"/>
      <c r="U31" s="42"/>
      <c r="V31" s="147" t="s">
        <v>533</v>
      </c>
      <c r="W31" s="288">
        <f t="shared" si="1"/>
        <v>0.69831264047421004</v>
      </c>
      <c r="X31" s="288">
        <v>1</v>
      </c>
      <c r="Y31" s="42"/>
      <c r="Z31" s="42"/>
      <c r="AA31" s="42"/>
    </row>
    <row r="32" spans="2:27">
      <c r="B32" s="5" t="s">
        <v>606</v>
      </c>
      <c r="C32" s="365">
        <f>'DM ASIA INCUMB'!C32+'EM ASIA INCUMB'!C32</f>
        <v>1506.8615990419087</v>
      </c>
      <c r="D32" s="228">
        <f>'DM ASIA INCUMB'!D32+'EM ASIA INCUMB'!D32</f>
        <v>9.8079280751941145</v>
      </c>
      <c r="E32" s="228">
        <f>'DM ASIA INCUMB'!E32+'EM ASIA INCUMB'!E32</f>
        <v>9.8079280751941145</v>
      </c>
      <c r="F32" s="228">
        <f>'DM ASIA INCUMB'!F32+'EM ASIA INCUMB'!F32</f>
        <v>93.548709382240474</v>
      </c>
      <c r="G32" s="228">
        <f>'DM ASIA INCUMB'!G32+'EM ASIA INCUMB'!G32</f>
        <v>151.19237495361691</v>
      </c>
      <c r="H32" s="279">
        <f t="shared" si="0"/>
        <v>1.4887668050894356</v>
      </c>
      <c r="I32" s="5"/>
      <c r="J32" s="254"/>
      <c r="K32" s="254"/>
      <c r="L32" s="254"/>
      <c r="M32" s="254"/>
      <c r="N32" s="254"/>
      <c r="O32" s="251"/>
      <c r="Q32" s="5"/>
      <c r="S32" s="42"/>
      <c r="T32" s="42"/>
      <c r="U32" s="42"/>
      <c r="V32" s="147" t="s">
        <v>580</v>
      </c>
      <c r="W32" s="288">
        <f>M17/E45</f>
        <v>0.71285405962461512</v>
      </c>
      <c r="X32" s="288">
        <v>1</v>
      </c>
      <c r="Y32" s="42"/>
      <c r="Z32" s="42"/>
      <c r="AA32" s="42"/>
    </row>
    <row r="33" spans="2:42">
      <c r="B33" s="5" t="s">
        <v>5</v>
      </c>
      <c r="C33" s="365">
        <f>'DM ASIA INCUMB'!C33+'EM ASIA INCUMB'!C33</f>
        <v>362.70916174407444</v>
      </c>
      <c r="D33" s="228">
        <f>'DM ASIA INCUMB'!D33+'EM ASIA INCUMB'!D33</f>
        <v>69.867963796558371</v>
      </c>
      <c r="E33" s="228">
        <f>'DM ASIA INCUMB'!E33+'EM ASIA INCUMB'!E33</f>
        <v>11.239453705890469</v>
      </c>
      <c r="F33" s="228">
        <f>'DM ASIA INCUMB'!F33+'EM ASIA INCUMB'!F33</f>
        <v>60.026298908115706</v>
      </c>
      <c r="G33" s="228">
        <f>'DM ASIA INCUMB'!G33+'EM ASIA INCUMB'!G33</f>
        <v>127.4879863856811</v>
      </c>
      <c r="H33" s="279">
        <f t="shared" si="0"/>
        <v>0.22197895085978891</v>
      </c>
      <c r="I33" s="49"/>
      <c r="J33" s="254"/>
      <c r="K33" s="254"/>
      <c r="L33" s="254"/>
      <c r="M33" s="254"/>
      <c r="N33" s="254"/>
      <c r="O33" s="251"/>
      <c r="Q33" s="5"/>
      <c r="S33" s="42"/>
      <c r="T33" s="42"/>
      <c r="U33" s="42"/>
      <c r="V33" s="147" t="s">
        <v>581</v>
      </c>
      <c r="W33" s="288">
        <f>M19/E47</f>
        <v>0.99702357427315824</v>
      </c>
      <c r="X33" s="288">
        <v>1</v>
      </c>
      <c r="Y33" s="288"/>
      <c r="Z33" s="288"/>
      <c r="AA33" s="42"/>
      <c r="AC33" s="10"/>
      <c r="AD33" s="10"/>
      <c r="AE33" s="10"/>
      <c r="AF33" s="10"/>
      <c r="AH33" s="10"/>
      <c r="AI33" s="10"/>
      <c r="AJ33" s="10"/>
      <c r="AK33" s="10"/>
      <c r="AM33" s="10"/>
      <c r="AN33" s="10"/>
      <c r="AO33" s="10"/>
      <c r="AP33" s="10"/>
    </row>
    <row r="34" spans="2:42">
      <c r="H34" s="277"/>
      <c r="I34" s="254"/>
      <c r="J34" s="254"/>
      <c r="K34" s="254"/>
      <c r="L34" s="254"/>
      <c r="M34" s="254"/>
      <c r="N34" s="254"/>
      <c r="O34" s="251"/>
      <c r="Q34" s="5"/>
      <c r="S34" s="42"/>
      <c r="T34" s="42"/>
      <c r="U34" s="42"/>
      <c r="V34" s="42"/>
      <c r="W34" s="42"/>
      <c r="X34" s="42"/>
      <c r="Y34" s="288"/>
      <c r="Z34" s="288"/>
      <c r="AA34" s="42"/>
      <c r="AC34" s="10"/>
      <c r="AD34" s="10"/>
      <c r="AE34" s="10"/>
      <c r="AF34" s="10"/>
      <c r="AH34" s="10"/>
      <c r="AI34" s="10"/>
      <c r="AJ34" s="10"/>
      <c r="AK34" s="10"/>
      <c r="AM34" s="10"/>
      <c r="AN34" s="10"/>
      <c r="AO34" s="10"/>
      <c r="AP34" s="10"/>
    </row>
    <row r="35" spans="2:42" ht="12.6" thickBot="1">
      <c r="B35" s="306" t="s">
        <v>335</v>
      </c>
      <c r="C35" s="265"/>
      <c r="D35" s="265" t="str">
        <f>D5</f>
        <v>2023E</v>
      </c>
      <c r="E35" s="265" t="str">
        <f>E5</f>
        <v>2024E</v>
      </c>
      <c r="F35" s="265" t="str">
        <f>F5</f>
        <v>2025E</v>
      </c>
      <c r="G35" s="265" t="str">
        <f>G5</f>
        <v>2026E</v>
      </c>
      <c r="H35" s="265" t="str">
        <f>H5</f>
        <v>23E-26E</v>
      </c>
      <c r="I35" s="17"/>
      <c r="J35" s="5"/>
      <c r="K35" s="5"/>
      <c r="L35" s="5"/>
      <c r="M35" s="5"/>
      <c r="N35" s="5"/>
      <c r="O35" s="5"/>
      <c r="Q35" s="5"/>
      <c r="S35" s="42"/>
      <c r="T35" s="42"/>
      <c r="U35" s="42"/>
      <c r="V35" s="42"/>
      <c r="W35" s="42"/>
      <c r="X35" s="42"/>
      <c r="Y35" s="288"/>
      <c r="Z35" s="288"/>
      <c r="AA35" s="42"/>
      <c r="AC35" s="10"/>
      <c r="AD35" s="10"/>
      <c r="AE35" s="10"/>
      <c r="AF35" s="10"/>
      <c r="AH35" s="10"/>
      <c r="AI35" s="10"/>
      <c r="AJ35" s="10"/>
      <c r="AK35" s="10"/>
      <c r="AM35" s="10"/>
      <c r="AN35" s="10"/>
      <c r="AO35" s="10"/>
      <c r="AP35" s="10"/>
    </row>
    <row r="36" spans="2:42" ht="12.6" thickTop="1">
      <c r="B36" s="41"/>
      <c r="C36" s="249"/>
      <c r="D36" s="254"/>
      <c r="E36" s="254"/>
      <c r="F36" s="254"/>
      <c r="G36" s="254"/>
      <c r="H36" s="254"/>
      <c r="I36" s="5"/>
      <c r="J36" s="49"/>
      <c r="K36" s="49"/>
      <c r="L36" s="49"/>
      <c r="M36" s="49"/>
      <c r="N36" s="49"/>
      <c r="O36" s="49"/>
      <c r="Q36" s="5"/>
      <c r="R36" s="5"/>
      <c r="S36" s="42"/>
      <c r="T36" s="42"/>
      <c r="U36" s="42"/>
      <c r="V36" s="42"/>
      <c r="W36" s="42"/>
      <c r="X36" s="42"/>
      <c r="Y36" s="42"/>
      <c r="Z36" s="42"/>
      <c r="AA36" s="42"/>
      <c r="AC36" s="10"/>
      <c r="AD36" s="10"/>
      <c r="AE36" s="10"/>
      <c r="AF36" s="10"/>
      <c r="AH36" s="10"/>
      <c r="AI36" s="10"/>
      <c r="AJ36" s="10"/>
      <c r="AK36" s="10"/>
      <c r="AM36" s="10"/>
      <c r="AN36" s="10"/>
      <c r="AO36" s="10"/>
      <c r="AP36" s="10"/>
    </row>
    <row r="37" spans="2:42">
      <c r="B37" s="5" t="s">
        <v>273</v>
      </c>
      <c r="C37" s="247"/>
      <c r="D37" s="557">
        <f t="shared" ref="D37:G41" si="2">D$18/D23</f>
        <v>63.142675059472978</v>
      </c>
      <c r="E37" s="557">
        <f t="shared" si="2"/>
        <v>59.736062869091825</v>
      </c>
      <c r="F37" s="557">
        <f t="shared" si="2"/>
        <v>51.606570083263385</v>
      </c>
      <c r="G37" s="557">
        <f t="shared" si="2"/>
        <v>43.869121174935444</v>
      </c>
      <c r="H37" s="17">
        <f t="shared" ref="H37:H45" si="3">H23</f>
        <v>3.6933170504085622E-2</v>
      </c>
      <c r="I37" s="259"/>
      <c r="J37" s="259"/>
      <c r="K37" s="259"/>
      <c r="L37" s="259"/>
      <c r="M37" s="259"/>
      <c r="N37" s="259"/>
      <c r="O37" s="18"/>
      <c r="Q37" s="5"/>
      <c r="R37" s="5"/>
      <c r="S37" s="42"/>
      <c r="T37" s="42"/>
      <c r="U37" s="42"/>
      <c r="V37" s="42"/>
      <c r="W37" s="42"/>
      <c r="X37" s="42"/>
      <c r="Y37" s="42"/>
      <c r="Z37" s="42"/>
      <c r="AA37" s="42"/>
      <c r="AC37" s="10"/>
      <c r="AD37" s="10"/>
      <c r="AE37" s="10"/>
      <c r="AF37" s="10"/>
      <c r="AH37" s="10"/>
      <c r="AI37" s="10"/>
      <c r="AJ37" s="10"/>
      <c r="AK37" s="10"/>
      <c r="AM37" s="10"/>
      <c r="AN37" s="10"/>
      <c r="AO37" s="10"/>
      <c r="AP37" s="10"/>
    </row>
    <row r="38" spans="2:42">
      <c r="B38" s="5" t="s">
        <v>184</v>
      </c>
      <c r="C38" s="247"/>
      <c r="D38" s="557">
        <f t="shared" si="2"/>
        <v>229.28172666156038</v>
      </c>
      <c r="E38" s="557">
        <f t="shared" si="2"/>
        <v>211.1756819494743</v>
      </c>
      <c r="F38" s="557">
        <f t="shared" si="2"/>
        <v>182.52911660300191</v>
      </c>
      <c r="G38" s="557">
        <f t="shared" si="2"/>
        <v>154.31631948299164</v>
      </c>
      <c r="H38" s="17">
        <f t="shared" si="3"/>
        <v>4.7969433190576227E-2</v>
      </c>
      <c r="I38" s="17"/>
      <c r="J38" s="17"/>
      <c r="K38" s="17"/>
      <c r="L38" s="17"/>
      <c r="M38" s="17"/>
      <c r="N38" s="17"/>
      <c r="O38" s="5"/>
      <c r="Q38" s="5"/>
      <c r="R38" s="5"/>
      <c r="S38" s="42"/>
      <c r="T38" s="42"/>
      <c r="U38" s="42"/>
      <c r="V38" s="42"/>
      <c r="W38" s="42"/>
      <c r="X38" s="42"/>
      <c r="Y38" s="42"/>
      <c r="Z38" s="42"/>
      <c r="AA38" s="42"/>
    </row>
    <row r="39" spans="2:42">
      <c r="B39" s="5" t="s">
        <v>185</v>
      </c>
      <c r="C39" s="247"/>
      <c r="D39" s="557">
        <f t="shared" si="2"/>
        <v>576.60457523629475</v>
      </c>
      <c r="E39" s="557">
        <f t="shared" si="2"/>
        <v>450.01446269285191</v>
      </c>
      <c r="F39" s="557">
        <f t="shared" si="2"/>
        <v>375.00938731825471</v>
      </c>
      <c r="G39" s="557">
        <f t="shared" si="2"/>
        <v>307.67151192274292</v>
      </c>
      <c r="H39" s="17">
        <f t="shared" si="3"/>
        <v>0.13229525132442088</v>
      </c>
      <c r="I39" s="5"/>
      <c r="J39" s="5"/>
      <c r="K39" s="5"/>
      <c r="L39" s="5"/>
      <c r="M39" s="5"/>
      <c r="N39" s="5"/>
      <c r="O39" s="5"/>
      <c r="Q39" s="5"/>
      <c r="R39" s="5"/>
      <c r="S39" s="42"/>
      <c r="T39" s="42"/>
      <c r="U39" s="42"/>
      <c r="V39" s="42"/>
      <c r="W39" s="288"/>
      <c r="X39" s="288"/>
      <c r="Y39" s="42"/>
      <c r="Z39" s="42"/>
      <c r="AA39" s="42"/>
    </row>
    <row r="40" spans="2:42">
      <c r="B40" s="5" t="s">
        <v>466</v>
      </c>
      <c r="C40" s="247"/>
      <c r="D40" s="557">
        <f t="shared" si="2"/>
        <v>774.44294579435359</v>
      </c>
      <c r="E40" s="557">
        <f t="shared" si="2"/>
        <v>607.6245935692682</v>
      </c>
      <c r="F40" s="557">
        <f t="shared" si="2"/>
        <v>506.11175808827261</v>
      </c>
      <c r="G40" s="557">
        <f t="shared" si="2"/>
        <v>415.18806643723337</v>
      </c>
      <c r="H40" s="17">
        <f t="shared" si="3"/>
        <v>0.13051833042761229</v>
      </c>
      <c r="I40" s="247"/>
      <c r="J40" s="259"/>
      <c r="K40" s="259"/>
      <c r="L40" s="259"/>
      <c r="M40" s="259"/>
      <c r="N40" s="259"/>
      <c r="O40" s="18"/>
      <c r="Q40" s="5"/>
      <c r="R40" s="5"/>
      <c r="S40" s="42"/>
      <c r="T40" s="42"/>
      <c r="U40" s="42"/>
      <c r="V40" s="42"/>
      <c r="W40" s="288"/>
      <c r="X40" s="288"/>
      <c r="Y40" s="288"/>
      <c r="Z40" s="288"/>
      <c r="AA40" s="42"/>
    </row>
    <row r="41" spans="2:42">
      <c r="B41" s="5" t="s">
        <v>530</v>
      </c>
      <c r="C41" s="247"/>
      <c r="D41" s="557">
        <f t="shared" si="2"/>
        <v>56.922651872950347</v>
      </c>
      <c r="E41" s="557">
        <f t="shared" si="2"/>
        <v>54.508702219086139</v>
      </c>
      <c r="F41" s="557">
        <f t="shared" si="2"/>
        <v>47.665724006779691</v>
      </c>
      <c r="G41" s="557">
        <f t="shared" si="2"/>
        <v>40.716506606725353</v>
      </c>
      <c r="H41" s="17">
        <f t="shared" si="3"/>
        <v>2.6914512786078149E-2</v>
      </c>
      <c r="I41" s="248"/>
      <c r="J41" s="17"/>
      <c r="K41" s="17"/>
      <c r="L41" s="17"/>
      <c r="M41" s="17"/>
      <c r="N41" s="17"/>
      <c r="O41" s="5"/>
      <c r="Q41" s="5"/>
      <c r="R41" s="5"/>
      <c r="S41" s="42"/>
      <c r="T41" s="42"/>
      <c r="U41" s="42"/>
      <c r="V41" s="42"/>
      <c r="W41" s="288"/>
      <c r="X41" s="288"/>
      <c r="Y41" s="288"/>
      <c r="Z41" s="288"/>
      <c r="AA41" s="42"/>
    </row>
    <row r="42" spans="2:42">
      <c r="B42" s="5" t="s">
        <v>593</v>
      </c>
      <c r="C42" s="247"/>
      <c r="D42" s="557">
        <f>D18/D28</f>
        <v>75.778591370066351</v>
      </c>
      <c r="E42" s="557">
        <f>E18/E28</f>
        <v>75.255645616199331</v>
      </c>
      <c r="F42" s="557">
        <f>F18/F28</f>
        <v>68.487733798446982</v>
      </c>
      <c r="G42" s="557">
        <f>G18/G28</f>
        <v>63.398335594210266</v>
      </c>
      <c r="H42" s="17">
        <f t="shared" si="3"/>
        <v>-2.5341868686917124E-2</v>
      </c>
      <c r="I42" s="247"/>
      <c r="J42" s="5"/>
      <c r="K42" s="5"/>
      <c r="L42" s="5"/>
      <c r="M42" s="5"/>
      <c r="N42" s="5"/>
      <c r="O42" s="5"/>
      <c r="Q42" s="5"/>
      <c r="R42" s="5"/>
      <c r="S42" s="42"/>
      <c r="T42" s="42"/>
      <c r="U42" s="42"/>
      <c r="V42" s="42"/>
      <c r="W42" s="288"/>
      <c r="X42" s="288"/>
      <c r="Y42" s="288"/>
      <c r="Z42" s="288"/>
      <c r="AA42" s="42"/>
    </row>
    <row r="43" spans="2:42">
      <c r="B43" s="5" t="s">
        <v>475</v>
      </c>
      <c r="C43" s="247"/>
      <c r="D43" s="557">
        <f>L26/D29</f>
        <v>14.482023584121089</v>
      </c>
      <c r="E43" s="557">
        <f>M26/E29</f>
        <v>10.697579793360875</v>
      </c>
      <c r="F43" s="557">
        <f>N26/F29</f>
        <v>9.7604819510674972</v>
      </c>
      <c r="G43" s="557">
        <f>O26/G29</f>
        <v>8.8384338816404213</v>
      </c>
      <c r="H43" s="17">
        <f t="shared" si="3"/>
        <v>0.1612622626724487</v>
      </c>
      <c r="I43" s="247"/>
      <c r="J43" s="247"/>
      <c r="K43" s="247"/>
      <c r="L43" s="247"/>
      <c r="M43" s="247"/>
      <c r="N43" s="247"/>
      <c r="O43" s="18"/>
      <c r="Q43" s="5"/>
      <c r="R43" s="5"/>
      <c r="S43" s="42"/>
      <c r="T43" s="42"/>
      <c r="U43" s="42"/>
      <c r="V43" s="42"/>
      <c r="W43" s="325"/>
      <c r="X43" s="325"/>
      <c r="Y43" s="288"/>
      <c r="Z43" s="288"/>
      <c r="AA43" s="42"/>
    </row>
    <row r="44" spans="2:42">
      <c r="B44" s="5" t="s">
        <v>533</v>
      </c>
      <c r="C44" s="69"/>
      <c r="D44" s="557">
        <f>D11/D30</f>
        <v>401.27153945230202</v>
      </c>
      <c r="E44" s="557">
        <f>E11/E30</f>
        <v>386.42961390608417</v>
      </c>
      <c r="F44" s="557">
        <f>F11/F30</f>
        <v>362.49401680734263</v>
      </c>
      <c r="G44" s="557">
        <f>G11/G30</f>
        <v>331.65705725544359</v>
      </c>
      <c r="H44" s="17">
        <f t="shared" si="3"/>
        <v>7.2549113858280556E-2</v>
      </c>
      <c r="I44" s="248"/>
      <c r="J44" s="248"/>
      <c r="K44" s="248"/>
      <c r="L44" s="248"/>
      <c r="M44" s="248"/>
      <c r="N44" s="248"/>
      <c r="O44" s="248"/>
      <c r="Q44" s="5"/>
      <c r="R44" s="5"/>
      <c r="S44" s="42"/>
      <c r="T44" s="42"/>
      <c r="U44" s="42"/>
      <c r="V44" s="42"/>
      <c r="W44" s="42"/>
      <c r="X44" s="42"/>
      <c r="Y44" s="325"/>
      <c r="Z44" s="325"/>
      <c r="AA44" s="42"/>
    </row>
    <row r="45" spans="2:42">
      <c r="B45" s="5" t="s">
        <v>580</v>
      </c>
      <c r="C45" s="247"/>
      <c r="D45" s="248">
        <f>D31/D11</f>
        <v>1.4187232142027291E-3</v>
      </c>
      <c r="E45" s="248">
        <f>E31/E11</f>
        <v>1.5917039348975377E-3</v>
      </c>
      <c r="F45" s="248">
        <f>F31/F11</f>
        <v>1.8207439648114264E-3</v>
      </c>
      <c r="G45" s="248">
        <f>G31/G11</f>
        <v>2.0820127660327939E-3</v>
      </c>
      <c r="H45" s="17">
        <f t="shared" si="3"/>
        <v>0.14383326100984517</v>
      </c>
      <c r="I45" s="247"/>
      <c r="J45" s="247"/>
      <c r="K45" s="247"/>
      <c r="L45" s="247"/>
      <c r="M45" s="247"/>
      <c r="N45" s="247"/>
      <c r="O45" s="248"/>
      <c r="Q45" s="5"/>
      <c r="R45" s="5"/>
      <c r="S45" s="42"/>
      <c r="T45" s="42"/>
      <c r="U45" s="42"/>
      <c r="V45" s="42"/>
      <c r="W45" s="42"/>
      <c r="X45" s="42"/>
      <c r="Y45" s="42"/>
      <c r="Z45" s="42"/>
      <c r="AA45" s="326"/>
      <c r="AB45" s="303"/>
    </row>
    <row r="46" spans="2:42">
      <c r="B46" s="5" t="s">
        <v>605</v>
      </c>
      <c r="C46" s="247"/>
      <c r="D46" s="248">
        <f>(D31+D32)/D11</f>
        <v>1.4197854397789587E-3</v>
      </c>
      <c r="E46" s="248">
        <f>(E31+E32)/E11</f>
        <v>1.5927452418075944E-3</v>
      </c>
      <c r="F46" s="248">
        <f>(F31+F32)/F11</f>
        <v>1.8306775739935764E-3</v>
      </c>
      <c r="G46" s="248">
        <f>(G31+G32)/G11</f>
        <v>2.0980698589589679E-3</v>
      </c>
      <c r="H46" s="279">
        <f>((G31+G32)/(D31+D32))^(1/3)-1</f>
        <v>0.14648020039593046</v>
      </c>
      <c r="I46" s="17"/>
      <c r="J46" s="247"/>
      <c r="K46" s="247"/>
      <c r="L46" s="247"/>
      <c r="M46" s="247"/>
      <c r="N46" s="247"/>
      <c r="O46" s="18"/>
      <c r="Q46" s="5"/>
      <c r="R46" s="5"/>
      <c r="S46" s="42"/>
      <c r="T46" s="42"/>
      <c r="U46" s="42"/>
      <c r="V46" s="42"/>
      <c r="W46" s="42"/>
      <c r="X46" s="42"/>
      <c r="Y46" s="42"/>
      <c r="Z46" s="42"/>
      <c r="AA46" s="326"/>
      <c r="AB46" s="303"/>
    </row>
    <row r="47" spans="2:42">
      <c r="B47" s="5" t="s">
        <v>581</v>
      </c>
      <c r="C47" s="5"/>
      <c r="D47" s="248">
        <f>1/D43</f>
        <v>6.9051123566492234E-2</v>
      </c>
      <c r="E47" s="248">
        <f>1/E43</f>
        <v>9.3479087729789065E-2</v>
      </c>
      <c r="F47" s="248">
        <f>1/F43</f>
        <v>0.10245395719323375</v>
      </c>
      <c r="G47" s="248">
        <f>1/G43</f>
        <v>0.11314221652743744</v>
      </c>
      <c r="H47" s="17">
        <f>H29</f>
        <v>0.1612622626724487</v>
      </c>
      <c r="I47" s="247"/>
      <c r="J47" s="248"/>
      <c r="K47" s="248"/>
      <c r="L47" s="248"/>
      <c r="M47" s="248"/>
      <c r="N47" s="248"/>
      <c r="O47" s="248"/>
      <c r="Q47" s="5"/>
      <c r="R47" s="5"/>
      <c r="S47" s="5"/>
      <c r="T47" s="5"/>
      <c r="U47" s="5"/>
      <c r="AA47" s="303"/>
      <c r="AB47" s="303"/>
    </row>
    <row r="48" spans="2:42">
      <c r="B48" s="5" t="s">
        <v>618</v>
      </c>
      <c r="C48" s="5"/>
      <c r="D48" s="305">
        <f>D31/D29</f>
        <v>0.58020270145274866</v>
      </c>
      <c r="E48" s="305">
        <f>E31/E29</f>
        <v>0.49738583643750317</v>
      </c>
      <c r="F48" s="305">
        <f>F31/F29</f>
        <v>0.5269471278406761</v>
      </c>
      <c r="G48" s="305">
        <f>G31/G29</f>
        <v>0.55446861753269805</v>
      </c>
      <c r="H48" s="17" t="s">
        <v>607</v>
      </c>
      <c r="I48" s="259"/>
      <c r="J48" s="247"/>
      <c r="K48" s="247"/>
      <c r="L48" s="247"/>
      <c r="M48" s="247"/>
      <c r="N48" s="247"/>
      <c r="O48" s="248"/>
      <c r="Q48" s="5"/>
      <c r="R48" s="5"/>
      <c r="S48" s="5"/>
      <c r="T48" s="5"/>
      <c r="U48" s="5"/>
      <c r="AA48" s="303"/>
      <c r="AB48" s="303"/>
    </row>
    <row r="49" spans="2:28">
      <c r="B49" s="41"/>
      <c r="C49" s="17"/>
      <c r="D49" s="17"/>
      <c r="E49" s="17"/>
      <c r="F49" s="17"/>
      <c r="G49" s="17"/>
      <c r="H49" s="17"/>
      <c r="I49" s="17"/>
      <c r="J49" s="17"/>
      <c r="K49" s="17"/>
      <c r="L49" s="17"/>
      <c r="M49" s="17"/>
      <c r="N49" s="17"/>
      <c r="O49" s="248"/>
      <c r="Q49" s="5"/>
      <c r="R49" s="5"/>
      <c r="S49" s="5"/>
      <c r="T49" s="5"/>
      <c r="U49" s="5"/>
      <c r="W49" s="10"/>
      <c r="X49" s="10"/>
      <c r="AA49" s="303"/>
      <c r="AB49" s="303"/>
    </row>
    <row r="50" spans="2:28">
      <c r="B50" s="5"/>
      <c r="C50" s="257"/>
      <c r="D50" s="257"/>
      <c r="E50" s="257"/>
      <c r="F50" s="5"/>
      <c r="G50" s="41"/>
      <c r="H50" s="249"/>
      <c r="I50" s="259"/>
      <c r="J50" s="249"/>
      <c r="K50" s="249"/>
      <c r="L50" s="249"/>
      <c r="M50" s="249"/>
      <c r="N50" s="249"/>
      <c r="O50" s="250"/>
      <c r="Q50" s="5"/>
      <c r="R50" s="5"/>
      <c r="S50" s="5"/>
      <c r="T50" s="5"/>
      <c r="U50" s="5"/>
      <c r="W50" s="10"/>
      <c r="X50" s="10"/>
      <c r="Y50" s="10"/>
      <c r="Z50" s="10"/>
    </row>
    <row r="51" spans="2:28">
      <c r="B51" s="41"/>
      <c r="C51" s="249"/>
      <c r="D51" s="254"/>
      <c r="E51" s="254"/>
      <c r="F51" s="254"/>
      <c r="G51" s="254"/>
      <c r="H51" s="254"/>
      <c r="I51" s="254"/>
      <c r="J51" s="254"/>
      <c r="K51" s="254"/>
      <c r="L51" s="254"/>
      <c r="M51" s="254"/>
      <c r="N51" s="254"/>
      <c r="O51" s="251"/>
      <c r="Q51" s="5"/>
      <c r="R51" s="5"/>
      <c r="S51" s="5"/>
      <c r="T51" s="5"/>
      <c r="U51" s="5"/>
      <c r="Y51" s="10"/>
      <c r="Z51" s="10"/>
    </row>
    <row r="52" spans="2:28">
      <c r="B52" s="5"/>
      <c r="C52" s="257"/>
      <c r="D52" s="17"/>
      <c r="E52" s="17"/>
      <c r="F52" s="17"/>
      <c r="G52" s="17"/>
      <c r="H52" s="17"/>
      <c r="I52" s="17"/>
      <c r="J52" s="17"/>
      <c r="K52" s="17"/>
      <c r="L52" s="17"/>
      <c r="M52" s="17"/>
      <c r="N52" s="17"/>
      <c r="O52" s="248"/>
      <c r="Q52" s="5"/>
      <c r="R52" s="5"/>
      <c r="S52" s="5"/>
      <c r="T52" s="5"/>
      <c r="U52" s="5"/>
    </row>
    <row r="53" spans="2:28">
      <c r="B53" s="5"/>
      <c r="C53" s="257"/>
      <c r="D53" s="257"/>
      <c r="E53" s="257"/>
      <c r="F53" s="5"/>
      <c r="G53" s="5"/>
      <c r="H53" s="259"/>
      <c r="I53" s="259"/>
      <c r="J53" s="254"/>
      <c r="K53" s="254"/>
      <c r="L53" s="254"/>
      <c r="M53" s="254"/>
      <c r="N53" s="254"/>
      <c r="O53" s="251"/>
      <c r="Q53" s="5"/>
      <c r="R53" s="5"/>
      <c r="S53" s="5"/>
      <c r="T53" s="5"/>
      <c r="U53" s="5"/>
    </row>
    <row r="54" spans="2:28">
      <c r="B54" s="41"/>
      <c r="C54" s="249"/>
      <c r="D54" s="254"/>
      <c r="E54" s="254"/>
      <c r="F54" s="254"/>
      <c r="G54" s="254"/>
      <c r="H54" s="254"/>
      <c r="I54" s="249"/>
      <c r="J54" s="17"/>
      <c r="K54" s="17"/>
      <c r="L54" s="17"/>
      <c r="M54" s="17"/>
      <c r="N54" s="17"/>
      <c r="O54" s="18"/>
      <c r="Q54" s="5"/>
      <c r="R54" s="5"/>
      <c r="S54" s="5"/>
      <c r="T54" s="5"/>
      <c r="U54" s="5"/>
    </row>
    <row r="55" spans="2:28">
      <c r="B55" s="5"/>
      <c r="C55" s="257"/>
      <c r="D55" s="17"/>
      <c r="E55" s="17"/>
      <c r="F55" s="17"/>
      <c r="G55" s="17"/>
      <c r="H55" s="17"/>
      <c r="I55" s="248"/>
      <c r="J55" s="259"/>
      <c r="K55" s="259"/>
      <c r="L55" s="259"/>
      <c r="M55" s="259"/>
      <c r="N55" s="259"/>
      <c r="O55" s="18"/>
      <c r="Q55" s="5"/>
      <c r="R55" s="5"/>
      <c r="S55" s="5"/>
      <c r="T55" s="5"/>
      <c r="U55" s="5"/>
    </row>
    <row r="56" spans="2:28">
      <c r="B56" s="5"/>
      <c r="C56" s="248"/>
      <c r="D56" s="248"/>
      <c r="E56" s="248"/>
      <c r="F56" s="5"/>
      <c r="G56" s="5"/>
      <c r="H56" s="259"/>
      <c r="I56" s="5"/>
      <c r="J56" s="249"/>
      <c r="K56" s="249"/>
      <c r="L56" s="249"/>
      <c r="M56" s="249"/>
      <c r="N56" s="249"/>
      <c r="O56" s="251"/>
      <c r="Q56" s="5"/>
      <c r="R56" s="5"/>
      <c r="S56" s="5"/>
      <c r="T56" s="5"/>
      <c r="U56" s="5"/>
    </row>
    <row r="57" spans="2:28">
      <c r="B57" s="41"/>
      <c r="C57" s="249"/>
      <c r="D57" s="249"/>
      <c r="E57" s="249"/>
      <c r="F57" s="249"/>
      <c r="G57" s="249"/>
      <c r="H57" s="249"/>
      <c r="I57" s="17"/>
      <c r="J57" s="248"/>
      <c r="K57" s="248"/>
      <c r="L57" s="248"/>
      <c r="M57" s="248"/>
      <c r="N57" s="248"/>
      <c r="O57" s="18"/>
      <c r="Q57" s="5"/>
      <c r="R57" s="5"/>
      <c r="S57" s="5"/>
      <c r="T57" s="5"/>
      <c r="U57" s="5"/>
    </row>
    <row r="58" spans="2:28">
      <c r="B58" s="5"/>
      <c r="C58" s="5"/>
      <c r="D58" s="248"/>
      <c r="E58" s="248"/>
      <c r="F58" s="248"/>
      <c r="G58" s="248"/>
      <c r="H58" s="248"/>
      <c r="I58" s="5"/>
      <c r="J58" s="5"/>
      <c r="K58" s="5"/>
      <c r="L58" s="5"/>
      <c r="M58" s="5"/>
      <c r="N58" s="5"/>
      <c r="O58" s="5"/>
      <c r="Q58" s="5"/>
      <c r="R58" s="5"/>
      <c r="S58" s="5"/>
      <c r="T58" s="5"/>
      <c r="U58" s="5"/>
    </row>
    <row r="59" spans="2:28">
      <c r="B59" s="5"/>
      <c r="C59" s="5"/>
      <c r="D59" s="5"/>
      <c r="E59" s="5"/>
      <c r="F59" s="5"/>
      <c r="G59" s="5"/>
      <c r="H59" s="5"/>
      <c r="I59" s="249"/>
      <c r="J59" s="17"/>
      <c r="K59" s="17"/>
      <c r="L59" s="17"/>
      <c r="M59" s="17"/>
      <c r="N59" s="17"/>
      <c r="O59" s="251"/>
      <c r="Q59" s="5"/>
      <c r="R59" s="5"/>
      <c r="S59" s="5"/>
      <c r="T59" s="5"/>
      <c r="U59" s="5"/>
    </row>
    <row r="60" spans="2:28">
      <c r="B60" s="41"/>
      <c r="C60" s="17"/>
      <c r="D60" s="17"/>
      <c r="E60" s="17"/>
      <c r="F60" s="17"/>
      <c r="G60" s="17"/>
      <c r="H60" s="17"/>
      <c r="I60" s="5"/>
      <c r="J60" s="5"/>
      <c r="K60" s="5"/>
      <c r="L60" s="5"/>
      <c r="M60" s="5"/>
      <c r="N60" s="5"/>
      <c r="O60" s="5"/>
      <c r="Q60" s="41"/>
      <c r="R60" s="5"/>
      <c r="S60" s="5"/>
      <c r="T60" s="5"/>
      <c r="U60" s="5"/>
    </row>
    <row r="61" spans="2:28">
      <c r="B61" s="5"/>
      <c r="C61" s="5"/>
      <c r="D61" s="5"/>
      <c r="E61" s="5"/>
      <c r="F61" s="5"/>
      <c r="G61" s="5"/>
      <c r="H61" s="5"/>
      <c r="I61" s="5"/>
      <c r="J61" s="249"/>
      <c r="K61" s="249"/>
      <c r="L61" s="249"/>
      <c r="M61" s="249"/>
      <c r="N61" s="249"/>
      <c r="O61" s="251"/>
      <c r="Q61" s="5"/>
      <c r="R61" s="5"/>
      <c r="S61" s="5"/>
      <c r="T61" s="5"/>
      <c r="U61" s="5"/>
    </row>
    <row r="62" spans="2:28">
      <c r="B62" s="41"/>
      <c r="C62" s="249"/>
      <c r="D62" s="249"/>
      <c r="E62" s="249"/>
      <c r="F62" s="249"/>
      <c r="G62" s="249"/>
      <c r="H62" s="249"/>
      <c r="I62" s="254"/>
      <c r="J62" s="5"/>
      <c r="K62" s="5"/>
      <c r="L62" s="5"/>
      <c r="M62" s="5"/>
      <c r="N62" s="5"/>
      <c r="O62" s="5"/>
      <c r="Q62" s="5"/>
      <c r="R62" s="5"/>
      <c r="S62" s="5"/>
      <c r="T62" s="5"/>
      <c r="U62" s="5"/>
    </row>
    <row r="63" spans="2:28">
      <c r="B63" s="5"/>
      <c r="C63" s="5"/>
      <c r="D63" s="5"/>
      <c r="E63" s="5"/>
      <c r="F63" s="5"/>
      <c r="G63" s="5"/>
      <c r="H63" s="5"/>
      <c r="I63" s="17"/>
      <c r="J63" s="5"/>
      <c r="K63" s="5"/>
      <c r="L63" s="5"/>
      <c r="M63" s="5"/>
      <c r="N63" s="5"/>
      <c r="O63" s="5"/>
      <c r="Q63" s="5"/>
      <c r="R63" s="5"/>
      <c r="S63" s="5"/>
      <c r="T63" s="5"/>
      <c r="U63" s="5"/>
    </row>
    <row r="64" spans="2:28">
      <c r="B64" s="5"/>
      <c r="C64" s="5"/>
      <c r="D64" s="5"/>
      <c r="E64" s="5"/>
      <c r="F64" s="5"/>
      <c r="G64" s="5"/>
      <c r="H64" s="5"/>
      <c r="I64" s="254"/>
      <c r="J64" s="254"/>
      <c r="K64" s="254"/>
      <c r="L64" s="254"/>
      <c r="M64" s="254"/>
      <c r="N64" s="254"/>
      <c r="O64" s="251"/>
      <c r="Q64" s="5"/>
      <c r="R64" s="5"/>
      <c r="S64" s="5"/>
      <c r="T64" s="5"/>
      <c r="U64" s="5"/>
    </row>
    <row r="65" spans="2:26">
      <c r="B65" s="41"/>
      <c r="C65" s="249"/>
      <c r="D65" s="254"/>
      <c r="E65" s="254"/>
      <c r="F65" s="254"/>
      <c r="G65" s="254"/>
      <c r="H65" s="254"/>
      <c r="I65" s="248"/>
      <c r="J65" s="17"/>
      <c r="K65" s="17"/>
      <c r="L65" s="17"/>
      <c r="M65" s="17"/>
      <c r="N65" s="17"/>
      <c r="O65" s="5"/>
      <c r="Q65" s="5"/>
      <c r="R65" s="5"/>
      <c r="S65" s="5"/>
      <c r="T65" s="5"/>
      <c r="U65" s="5"/>
    </row>
    <row r="66" spans="2:26">
      <c r="B66" s="5"/>
      <c r="C66" s="5"/>
      <c r="D66" s="17"/>
      <c r="E66" s="17"/>
      <c r="F66" s="17"/>
      <c r="G66" s="17"/>
      <c r="H66" s="17"/>
      <c r="I66" s="5"/>
      <c r="J66" s="254"/>
      <c r="K66" s="254"/>
      <c r="L66" s="254"/>
      <c r="M66" s="254"/>
      <c r="N66" s="254"/>
      <c r="O66" s="251"/>
      <c r="Q66" s="41"/>
      <c r="R66" s="5"/>
      <c r="S66" s="5"/>
      <c r="T66" s="5"/>
      <c r="U66" s="5"/>
    </row>
    <row r="67" spans="2:26">
      <c r="B67" s="41"/>
      <c r="C67" s="249"/>
      <c r="D67" s="254"/>
      <c r="E67" s="254"/>
      <c r="F67" s="254"/>
      <c r="G67" s="254"/>
      <c r="H67" s="254"/>
      <c r="I67" s="245"/>
      <c r="J67" s="248"/>
      <c r="K67" s="248"/>
      <c r="L67" s="248"/>
      <c r="M67" s="248"/>
      <c r="N67" s="248"/>
      <c r="O67" s="5"/>
      <c r="Q67" s="5"/>
      <c r="R67" s="5"/>
      <c r="S67" s="5"/>
      <c r="T67" s="5"/>
      <c r="U67" s="5"/>
    </row>
    <row r="68" spans="2:26">
      <c r="B68" s="5"/>
      <c r="C68" s="5"/>
      <c r="D68" s="248"/>
      <c r="E68" s="248"/>
      <c r="F68" s="248"/>
      <c r="G68" s="248"/>
      <c r="H68" s="248"/>
      <c r="I68" s="248"/>
      <c r="J68" s="5"/>
      <c r="K68" s="5"/>
      <c r="L68" s="5"/>
      <c r="M68" s="5"/>
      <c r="N68" s="5"/>
      <c r="O68" s="5"/>
      <c r="Q68" s="5"/>
      <c r="R68" s="5"/>
      <c r="S68" s="5"/>
      <c r="T68" s="5"/>
      <c r="U68" s="5"/>
    </row>
    <row r="69" spans="2:26">
      <c r="B69" s="41"/>
      <c r="C69" s="5"/>
      <c r="D69" s="5"/>
      <c r="E69" s="5"/>
      <c r="F69" s="5"/>
      <c r="G69" s="5"/>
      <c r="H69" s="5"/>
      <c r="I69" s="5"/>
      <c r="J69" s="245"/>
      <c r="K69" s="245"/>
      <c r="L69" s="245"/>
      <c r="M69" s="245"/>
      <c r="N69" s="245"/>
      <c r="O69" s="251"/>
      <c r="Q69" s="5"/>
      <c r="R69" s="5"/>
      <c r="S69" s="5"/>
      <c r="T69" s="5"/>
      <c r="U69" s="5"/>
      <c r="W69" s="76"/>
      <c r="X69" s="76"/>
    </row>
    <row r="70" spans="2:26">
      <c r="B70" s="41"/>
      <c r="C70" s="245"/>
      <c r="D70" s="245"/>
      <c r="E70" s="245"/>
      <c r="F70" s="245"/>
      <c r="G70" s="245"/>
      <c r="H70" s="245"/>
      <c r="I70" s="245"/>
      <c r="J70" s="248"/>
      <c r="K70" s="248"/>
      <c r="L70" s="248"/>
      <c r="M70" s="248"/>
      <c r="N70" s="248"/>
      <c r="O70" s="5"/>
      <c r="Q70" s="5"/>
      <c r="R70" s="5"/>
      <c r="S70" s="5"/>
      <c r="T70" s="5"/>
      <c r="U70" s="5"/>
      <c r="W70" s="76"/>
      <c r="X70" s="76"/>
      <c r="Y70" s="76"/>
      <c r="Z70" s="76"/>
    </row>
    <row r="71" spans="2:26">
      <c r="B71" s="5"/>
      <c r="C71" s="5"/>
      <c r="D71" s="248"/>
      <c r="E71" s="248"/>
      <c r="F71" s="248"/>
      <c r="G71" s="248"/>
      <c r="H71" s="248"/>
      <c r="I71" s="18"/>
      <c r="J71" s="5"/>
      <c r="K71" s="5"/>
      <c r="L71" s="5"/>
      <c r="M71" s="5"/>
      <c r="N71" s="5"/>
      <c r="O71" s="5"/>
      <c r="Q71" s="5"/>
      <c r="R71" s="5"/>
      <c r="S71" s="5"/>
      <c r="T71" s="5"/>
      <c r="U71" s="5"/>
      <c r="Y71" s="76"/>
      <c r="Z71" s="76"/>
    </row>
    <row r="72" spans="2:26">
      <c r="B72" s="41"/>
      <c r="C72" s="5"/>
      <c r="D72" s="5"/>
      <c r="E72" s="5"/>
      <c r="F72" s="5"/>
      <c r="G72" s="5"/>
      <c r="H72" s="5"/>
      <c r="I72" s="5"/>
      <c r="J72" s="245"/>
      <c r="K72" s="245"/>
      <c r="L72" s="245"/>
      <c r="M72" s="245"/>
      <c r="N72" s="245"/>
      <c r="O72" s="251"/>
      <c r="Q72" s="5"/>
      <c r="R72" s="5"/>
      <c r="S72" s="5"/>
      <c r="T72" s="5"/>
      <c r="U72" s="5"/>
    </row>
    <row r="73" spans="2:26">
      <c r="B73" s="41"/>
      <c r="C73" s="245"/>
      <c r="D73" s="245"/>
      <c r="E73" s="245"/>
      <c r="F73" s="245"/>
      <c r="G73" s="245"/>
      <c r="H73" s="245"/>
      <c r="I73" s="249"/>
      <c r="J73" s="18"/>
      <c r="K73" s="18"/>
      <c r="L73" s="18"/>
      <c r="M73" s="18"/>
      <c r="N73" s="18"/>
      <c r="O73" s="5"/>
      <c r="Q73" s="5"/>
      <c r="R73" s="5"/>
      <c r="S73" s="5"/>
      <c r="T73" s="5"/>
      <c r="U73" s="5"/>
    </row>
    <row r="74" spans="2:26">
      <c r="B74" s="5"/>
      <c r="C74" s="5"/>
      <c r="D74" s="18"/>
      <c r="E74" s="18"/>
      <c r="F74" s="18"/>
      <c r="G74" s="18"/>
      <c r="H74" s="18"/>
      <c r="I74" s="248"/>
      <c r="J74" s="5"/>
      <c r="K74" s="5"/>
      <c r="L74" s="5"/>
      <c r="M74" s="5"/>
      <c r="N74" s="5"/>
      <c r="O74" s="5"/>
      <c r="Q74" s="5"/>
      <c r="R74" s="5"/>
      <c r="S74" s="5"/>
      <c r="T74" s="5"/>
      <c r="U74" s="5"/>
    </row>
    <row r="75" spans="2:26">
      <c r="B75" s="41"/>
      <c r="C75" s="5"/>
      <c r="D75" s="5"/>
      <c r="E75" s="5"/>
      <c r="F75" s="5"/>
      <c r="G75" s="5"/>
      <c r="H75" s="5"/>
      <c r="I75" s="5"/>
      <c r="J75" s="249"/>
      <c r="K75" s="249"/>
      <c r="L75" s="249"/>
      <c r="M75" s="249"/>
      <c r="N75" s="249"/>
      <c r="O75" s="251"/>
      <c r="Q75" s="5"/>
      <c r="R75" s="5"/>
      <c r="S75" s="5"/>
      <c r="T75" s="5"/>
      <c r="U75" s="5"/>
    </row>
    <row r="76" spans="2:26">
      <c r="B76" s="41"/>
      <c r="C76" s="249"/>
      <c r="D76" s="249"/>
      <c r="E76" s="249"/>
      <c r="F76" s="249"/>
      <c r="G76" s="249"/>
      <c r="H76" s="249"/>
      <c r="I76" s="245"/>
      <c r="J76" s="248"/>
      <c r="K76" s="248"/>
      <c r="L76" s="248"/>
      <c r="M76" s="248"/>
      <c r="N76" s="248"/>
      <c r="O76" s="5"/>
      <c r="Q76" s="5"/>
      <c r="R76" s="5"/>
      <c r="S76" s="5"/>
      <c r="T76" s="5"/>
      <c r="U76" s="5"/>
    </row>
    <row r="77" spans="2:26">
      <c r="B77" s="5"/>
      <c r="C77" s="5"/>
      <c r="D77" s="248"/>
      <c r="E77" s="248"/>
      <c r="F77" s="248"/>
      <c r="G77" s="248"/>
      <c r="H77" s="248"/>
      <c r="I77" s="248"/>
      <c r="J77" s="5"/>
      <c r="K77" s="5"/>
      <c r="L77" s="5"/>
      <c r="M77" s="5"/>
      <c r="N77" s="5"/>
      <c r="O77" s="5"/>
      <c r="Q77" s="5"/>
      <c r="R77" s="5"/>
      <c r="S77" s="5"/>
      <c r="T77" s="5"/>
      <c r="U77" s="5"/>
    </row>
    <row r="78" spans="2:26">
      <c r="B78" s="41"/>
      <c r="C78" s="5"/>
      <c r="D78" s="5"/>
      <c r="E78" s="5"/>
      <c r="F78" s="5"/>
      <c r="G78" s="5"/>
      <c r="H78" s="5"/>
      <c r="I78" s="5"/>
      <c r="J78" s="245"/>
      <c r="K78" s="245"/>
      <c r="L78" s="245"/>
      <c r="M78" s="245"/>
      <c r="N78" s="245"/>
      <c r="O78" s="251"/>
      <c r="Q78" s="5"/>
      <c r="R78" s="5"/>
      <c r="S78" s="5"/>
      <c r="T78" s="5"/>
      <c r="U78" s="5"/>
    </row>
    <row r="79" spans="2:26">
      <c r="B79" s="41"/>
      <c r="C79" s="245"/>
      <c r="D79" s="245"/>
      <c r="E79" s="245"/>
      <c r="F79" s="245"/>
      <c r="G79" s="245"/>
      <c r="H79" s="245"/>
      <c r="I79" s="249"/>
      <c r="J79" s="248"/>
      <c r="K79" s="248"/>
      <c r="L79" s="248"/>
      <c r="M79" s="248"/>
      <c r="N79" s="248"/>
      <c r="O79" s="5"/>
      <c r="Q79" s="5"/>
      <c r="R79" s="5"/>
      <c r="S79" s="5"/>
      <c r="T79" s="5"/>
      <c r="U79" s="5"/>
    </row>
    <row r="80" spans="2:26">
      <c r="B80" s="5"/>
      <c r="C80" s="5"/>
      <c r="D80" s="248"/>
      <c r="E80" s="248"/>
      <c r="F80" s="248"/>
      <c r="G80" s="248"/>
      <c r="H80" s="248"/>
      <c r="I80" s="248"/>
      <c r="J80" s="5"/>
      <c r="K80" s="5"/>
      <c r="L80" s="5"/>
      <c r="M80" s="5"/>
      <c r="N80" s="5"/>
      <c r="O80" s="5"/>
      <c r="Q80" s="5"/>
      <c r="R80" s="5"/>
      <c r="S80" s="5"/>
      <c r="T80" s="5"/>
      <c r="U80" s="5"/>
    </row>
    <row r="81" spans="2:26">
      <c r="B81" s="41"/>
      <c r="C81" s="5"/>
      <c r="D81" s="5"/>
      <c r="E81" s="5"/>
      <c r="F81" s="5"/>
      <c r="G81" s="5"/>
      <c r="H81" s="5"/>
      <c r="I81" s="259"/>
      <c r="J81" s="249"/>
      <c r="K81" s="249"/>
      <c r="L81" s="249"/>
      <c r="M81" s="249"/>
      <c r="N81" s="249"/>
      <c r="O81" s="251"/>
      <c r="Q81" s="5"/>
      <c r="R81" s="5"/>
      <c r="S81" s="5"/>
      <c r="T81" s="5"/>
      <c r="U81" s="5"/>
    </row>
    <row r="82" spans="2:26">
      <c r="B82" s="41"/>
      <c r="C82" s="249"/>
      <c r="D82" s="249"/>
      <c r="E82" s="249"/>
      <c r="F82" s="249"/>
      <c r="G82" s="249"/>
      <c r="H82" s="249"/>
      <c r="I82" s="5"/>
      <c r="J82" s="248"/>
      <c r="K82" s="248"/>
      <c r="L82" s="248"/>
      <c r="M82" s="248"/>
      <c r="N82" s="248"/>
      <c r="O82" s="5"/>
      <c r="Q82" s="5"/>
      <c r="R82" s="5"/>
      <c r="S82" s="5"/>
      <c r="T82" s="5"/>
      <c r="U82" s="5"/>
    </row>
    <row r="83" spans="2:26">
      <c r="B83" s="5"/>
      <c r="C83" s="5"/>
      <c r="D83" s="248"/>
      <c r="E83" s="248"/>
      <c r="F83" s="248"/>
      <c r="G83" s="248"/>
      <c r="H83" s="248"/>
      <c r="I83" s="245"/>
      <c r="J83" s="259"/>
      <c r="K83" s="259"/>
      <c r="L83" s="259"/>
      <c r="M83" s="259"/>
      <c r="N83" s="259"/>
      <c r="O83" s="251"/>
      <c r="Q83" s="5"/>
      <c r="R83" s="5"/>
      <c r="S83" s="5"/>
      <c r="T83" s="5"/>
      <c r="U83" s="5"/>
    </row>
    <row r="84" spans="2:26">
      <c r="B84" s="5"/>
      <c r="C84" s="259"/>
      <c r="D84" s="259"/>
      <c r="E84" s="259"/>
      <c r="F84" s="259"/>
      <c r="G84" s="259"/>
      <c r="H84" s="259"/>
      <c r="I84" s="248"/>
      <c r="J84" s="5"/>
      <c r="K84" s="5"/>
      <c r="L84" s="5"/>
      <c r="M84" s="5"/>
      <c r="N84" s="5"/>
      <c r="O84" s="5"/>
      <c r="Q84" s="5"/>
      <c r="R84" s="5"/>
      <c r="S84" s="5"/>
      <c r="T84" s="5"/>
      <c r="U84" s="5"/>
    </row>
    <row r="85" spans="2:26">
      <c r="B85" s="41"/>
      <c r="C85" s="5"/>
      <c r="D85" s="5"/>
      <c r="E85" s="5"/>
      <c r="F85" s="5"/>
      <c r="G85" s="5"/>
      <c r="H85" s="5"/>
      <c r="I85" s="5"/>
      <c r="J85" s="245"/>
      <c r="K85" s="245"/>
      <c r="L85" s="245"/>
      <c r="M85" s="245"/>
      <c r="N85" s="245"/>
      <c r="O85" s="251"/>
      <c r="Q85" s="5"/>
      <c r="R85" s="5"/>
      <c r="S85" s="5"/>
      <c r="T85" s="5"/>
      <c r="U85" s="5"/>
    </row>
    <row r="86" spans="2:26">
      <c r="B86" s="41"/>
      <c r="C86" s="245"/>
      <c r="D86" s="245"/>
      <c r="E86" s="245"/>
      <c r="F86" s="245"/>
      <c r="G86" s="245"/>
      <c r="H86" s="245"/>
      <c r="I86" s="5"/>
      <c r="J86" s="248"/>
      <c r="K86" s="248"/>
      <c r="L86" s="248"/>
      <c r="M86" s="248"/>
      <c r="N86" s="248"/>
      <c r="O86" s="5"/>
      <c r="Q86" s="5"/>
      <c r="R86" s="5"/>
      <c r="S86" s="5"/>
      <c r="T86" s="5"/>
      <c r="U86" s="5"/>
    </row>
    <row r="87" spans="2:26">
      <c r="B87" s="5"/>
      <c r="C87" s="5"/>
      <c r="D87" s="248"/>
      <c r="E87" s="248"/>
      <c r="F87" s="248"/>
      <c r="G87" s="248"/>
      <c r="H87" s="248"/>
      <c r="I87" s="5"/>
      <c r="J87" s="5"/>
      <c r="K87" s="5"/>
      <c r="L87" s="5"/>
      <c r="M87" s="5"/>
      <c r="N87" s="5"/>
      <c r="O87" s="5"/>
      <c r="Q87" s="5"/>
      <c r="R87" s="5"/>
      <c r="S87" s="5"/>
      <c r="T87" s="5"/>
      <c r="U87" s="5"/>
    </row>
    <row r="88" spans="2:26">
      <c r="B88" s="41"/>
      <c r="C88" s="5"/>
      <c r="D88" s="5"/>
      <c r="E88" s="5"/>
      <c r="F88" s="5"/>
      <c r="G88" s="5"/>
      <c r="H88" s="5"/>
      <c r="I88" s="5"/>
      <c r="J88" s="5"/>
      <c r="K88" s="5"/>
      <c r="L88" s="5"/>
      <c r="M88" s="5"/>
      <c r="N88" s="5"/>
      <c r="O88" s="5"/>
      <c r="Q88" s="5"/>
      <c r="R88" s="5"/>
      <c r="S88" s="5"/>
      <c r="T88" s="5"/>
      <c r="U88" s="5"/>
    </row>
    <row r="89" spans="2:26">
      <c r="B89" s="41"/>
      <c r="C89" s="5"/>
      <c r="D89" s="5"/>
      <c r="E89" s="5"/>
      <c r="F89" s="5"/>
      <c r="G89" s="5"/>
      <c r="H89" s="5"/>
      <c r="I89" s="49"/>
      <c r="J89" s="5"/>
      <c r="K89" s="5"/>
      <c r="L89" s="5"/>
      <c r="M89" s="5"/>
      <c r="N89" s="5"/>
      <c r="O89" s="5"/>
      <c r="Q89" s="41"/>
      <c r="R89" s="5"/>
      <c r="S89" s="5"/>
      <c r="T89" s="5"/>
      <c r="U89" s="5"/>
    </row>
    <row r="90" spans="2:26">
      <c r="B90" s="41"/>
      <c r="C90" s="5"/>
      <c r="D90" s="5"/>
      <c r="E90" s="5"/>
      <c r="F90" s="5"/>
      <c r="G90" s="5"/>
      <c r="H90" s="5"/>
      <c r="I90" s="5"/>
      <c r="J90" s="5"/>
      <c r="K90" s="5"/>
      <c r="L90" s="5"/>
      <c r="M90" s="5"/>
      <c r="N90" s="5"/>
      <c r="O90" s="5"/>
      <c r="Q90" s="5"/>
      <c r="R90" s="5"/>
      <c r="S90" s="5"/>
      <c r="T90" s="5"/>
      <c r="U90" s="5"/>
    </row>
    <row r="91" spans="2:26">
      <c r="B91" s="5"/>
      <c r="C91" s="5"/>
      <c r="D91" s="5"/>
      <c r="E91" s="5"/>
      <c r="F91" s="5"/>
      <c r="G91" s="5"/>
      <c r="H91" s="5"/>
      <c r="I91" s="247"/>
      <c r="J91" s="49"/>
      <c r="K91" s="49"/>
      <c r="L91" s="49"/>
      <c r="M91" s="49"/>
      <c r="N91" s="49"/>
      <c r="O91" s="49"/>
      <c r="Q91" s="5"/>
      <c r="R91" s="5"/>
      <c r="S91" s="5"/>
      <c r="T91" s="5"/>
      <c r="U91" s="5"/>
      <c r="W91" s="21"/>
      <c r="X91" s="21"/>
    </row>
    <row r="92" spans="2:26">
      <c r="B92" s="41"/>
      <c r="C92" s="49"/>
      <c r="D92" s="49"/>
      <c r="E92" s="49"/>
      <c r="F92" s="49"/>
      <c r="G92" s="49"/>
      <c r="H92" s="49"/>
      <c r="I92" s="247"/>
      <c r="J92" s="5"/>
      <c r="K92" s="5"/>
      <c r="L92" s="5"/>
      <c r="M92" s="5"/>
      <c r="N92" s="5"/>
      <c r="O92" s="5"/>
      <c r="Q92" s="5"/>
      <c r="R92" s="5"/>
      <c r="S92" s="5"/>
      <c r="T92" s="5"/>
      <c r="U92" s="5"/>
      <c r="W92" s="21"/>
      <c r="X92" s="21"/>
      <c r="Y92" s="21"/>
      <c r="Z92" s="21"/>
    </row>
    <row r="93" spans="2:26">
      <c r="B93" s="5"/>
      <c r="C93" s="5"/>
      <c r="D93" s="5"/>
      <c r="E93" s="5"/>
      <c r="F93" s="5"/>
      <c r="G93" s="5"/>
      <c r="H93" s="5"/>
      <c r="I93" s="247"/>
      <c r="J93" s="247"/>
      <c r="K93" s="247"/>
      <c r="L93" s="247"/>
      <c r="M93" s="247"/>
      <c r="N93" s="247"/>
      <c r="O93" s="248"/>
      <c r="Q93" s="5"/>
      <c r="R93" s="5"/>
      <c r="S93" s="5"/>
      <c r="T93" s="5"/>
      <c r="U93" s="5"/>
      <c r="Y93" s="21"/>
      <c r="Z93" s="21"/>
    </row>
    <row r="94" spans="2:26">
      <c r="B94" s="5"/>
      <c r="C94" s="259"/>
      <c r="D94" s="247"/>
      <c r="E94" s="247"/>
      <c r="F94" s="247"/>
      <c r="G94" s="247"/>
      <c r="H94" s="247"/>
      <c r="I94" s="248"/>
      <c r="J94" s="247"/>
      <c r="K94" s="247"/>
      <c r="L94" s="247"/>
      <c r="M94" s="247"/>
      <c r="N94" s="247"/>
      <c r="O94" s="248"/>
      <c r="Q94" s="5"/>
      <c r="R94" s="5"/>
      <c r="S94" s="5"/>
      <c r="T94" s="5"/>
      <c r="U94" s="5"/>
    </row>
    <row r="95" spans="2:26">
      <c r="B95" s="5"/>
      <c r="C95" s="259"/>
      <c r="D95" s="247"/>
      <c r="E95" s="247"/>
      <c r="F95" s="247"/>
      <c r="G95" s="247"/>
      <c r="H95" s="247"/>
      <c r="I95" s="247"/>
      <c r="J95" s="247"/>
      <c r="K95" s="247"/>
      <c r="L95" s="247"/>
      <c r="M95" s="247"/>
      <c r="N95" s="247"/>
      <c r="O95" s="248"/>
      <c r="Q95" s="5"/>
      <c r="R95" s="5"/>
      <c r="S95" s="5"/>
      <c r="T95" s="5"/>
      <c r="U95" s="5"/>
    </row>
    <row r="96" spans="2:26">
      <c r="B96" s="5"/>
      <c r="C96" s="259"/>
      <c r="D96" s="247"/>
      <c r="E96" s="247"/>
      <c r="F96" s="247"/>
      <c r="G96" s="247"/>
      <c r="H96" s="247"/>
      <c r="I96" s="249"/>
      <c r="J96" s="248"/>
      <c r="K96" s="248"/>
      <c r="L96" s="248"/>
      <c r="M96" s="248"/>
      <c r="N96" s="248"/>
      <c r="O96" s="248"/>
      <c r="Q96" s="5"/>
      <c r="R96" s="5"/>
      <c r="S96" s="5"/>
      <c r="T96" s="5"/>
      <c r="U96" s="5"/>
    </row>
    <row r="97" spans="2:21">
      <c r="B97" s="5"/>
      <c r="C97" s="259"/>
      <c r="D97" s="248"/>
      <c r="E97" s="248"/>
      <c r="F97" s="248"/>
      <c r="G97" s="248"/>
      <c r="H97" s="248"/>
      <c r="I97" s="248"/>
      <c r="J97" s="247"/>
      <c r="K97" s="247"/>
      <c r="L97" s="247"/>
      <c r="M97" s="247"/>
      <c r="N97" s="247"/>
      <c r="O97" s="248"/>
      <c r="Q97" s="5"/>
      <c r="R97" s="5"/>
      <c r="S97" s="5"/>
      <c r="T97" s="5"/>
      <c r="U97" s="5"/>
    </row>
    <row r="98" spans="2:21">
      <c r="B98" s="5"/>
      <c r="C98" s="259"/>
      <c r="D98" s="247"/>
      <c r="E98" s="247"/>
      <c r="F98" s="247"/>
      <c r="G98" s="247"/>
      <c r="H98" s="247"/>
      <c r="I98" s="5"/>
      <c r="J98" s="249"/>
      <c r="K98" s="249"/>
      <c r="L98" s="249"/>
      <c r="M98" s="249"/>
      <c r="N98" s="249"/>
      <c r="O98" s="248"/>
      <c r="Q98" s="5"/>
      <c r="R98" s="5"/>
      <c r="S98" s="5"/>
      <c r="T98" s="5"/>
      <c r="U98" s="5"/>
    </row>
    <row r="99" spans="2:21">
      <c r="B99" s="41"/>
      <c r="C99" s="249"/>
      <c r="D99" s="249"/>
      <c r="E99" s="249"/>
      <c r="F99" s="249"/>
      <c r="G99" s="249"/>
      <c r="H99" s="249"/>
      <c r="I99" s="259"/>
      <c r="J99" s="248"/>
      <c r="K99" s="248"/>
      <c r="L99" s="248"/>
      <c r="M99" s="248"/>
      <c r="N99" s="248"/>
      <c r="O99" s="248"/>
      <c r="Q99" s="5"/>
      <c r="R99" s="5"/>
      <c r="S99" s="5"/>
      <c r="T99" s="5"/>
      <c r="U99" s="5"/>
    </row>
    <row r="100" spans="2:21" s="5" customFormat="1">
      <c r="B100" s="41"/>
      <c r="C100" s="257"/>
      <c r="D100" s="248"/>
      <c r="E100" s="248"/>
      <c r="F100" s="248"/>
      <c r="G100" s="248"/>
      <c r="H100" s="248"/>
      <c r="I100" s="259"/>
      <c r="O100" s="248"/>
      <c r="P100" s="39"/>
    </row>
    <row r="101" spans="2:21">
      <c r="B101" s="41"/>
      <c r="C101" s="5"/>
      <c r="D101" s="5"/>
      <c r="E101" s="5"/>
      <c r="F101" s="5"/>
      <c r="G101" s="5"/>
      <c r="H101" s="5"/>
      <c r="I101" s="247"/>
      <c r="J101" s="259"/>
      <c r="K101" s="259"/>
      <c r="L101" s="259"/>
      <c r="M101" s="259"/>
      <c r="N101" s="259"/>
      <c r="O101" s="5"/>
      <c r="Q101" s="5"/>
      <c r="R101" s="5"/>
      <c r="S101" s="5"/>
      <c r="T101" s="5"/>
      <c r="U101" s="5"/>
    </row>
    <row r="102" spans="2:21">
      <c r="B102" s="5"/>
      <c r="C102" s="259"/>
      <c r="D102" s="259"/>
      <c r="E102" s="259"/>
      <c r="F102" s="259"/>
      <c r="G102" s="259"/>
      <c r="H102" s="259"/>
      <c r="I102" s="5"/>
      <c r="J102" s="259"/>
      <c r="K102" s="259"/>
      <c r="L102" s="259"/>
      <c r="M102" s="259"/>
      <c r="N102" s="259"/>
      <c r="O102" s="5"/>
      <c r="P102" s="5"/>
      <c r="Q102" s="5"/>
      <c r="R102" s="5"/>
      <c r="S102" s="5"/>
      <c r="T102" s="5"/>
      <c r="U102" s="5"/>
    </row>
    <row r="103" spans="2:21">
      <c r="B103" s="5"/>
      <c r="C103" s="259"/>
      <c r="D103" s="259"/>
      <c r="E103" s="259"/>
      <c r="F103" s="259"/>
      <c r="G103" s="259"/>
      <c r="H103" s="259"/>
      <c r="I103" s="247"/>
      <c r="J103" s="247"/>
      <c r="K103" s="247"/>
      <c r="L103" s="247"/>
      <c r="M103" s="247"/>
      <c r="N103" s="247"/>
      <c r="O103" s="5"/>
      <c r="Q103" s="5"/>
      <c r="R103" s="5"/>
      <c r="S103" s="5"/>
      <c r="T103" s="5"/>
      <c r="U103" s="5"/>
    </row>
    <row r="104" spans="2:21" s="5" customFormat="1">
      <c r="C104" s="247"/>
      <c r="D104" s="247"/>
      <c r="E104" s="247"/>
      <c r="F104" s="247"/>
      <c r="G104" s="247"/>
      <c r="H104" s="247"/>
      <c r="P104" s="39"/>
    </row>
    <row r="105" spans="2:21" s="5" customFormat="1">
      <c r="I105" s="259"/>
      <c r="J105" s="247"/>
      <c r="K105" s="247"/>
      <c r="L105" s="247"/>
      <c r="M105" s="247"/>
      <c r="N105" s="247"/>
      <c r="P105" s="39"/>
    </row>
    <row r="106" spans="2:21">
      <c r="B106" s="5"/>
      <c r="C106" s="259"/>
      <c r="D106" s="247"/>
      <c r="E106" s="247"/>
      <c r="F106" s="247"/>
      <c r="G106" s="247"/>
      <c r="H106" s="247"/>
      <c r="I106" s="247"/>
      <c r="J106" s="5"/>
      <c r="K106" s="5"/>
      <c r="L106" s="5"/>
      <c r="M106" s="5"/>
      <c r="N106" s="5"/>
      <c r="O106" s="5"/>
      <c r="P106" s="5"/>
      <c r="Q106" s="5"/>
      <c r="R106" s="5"/>
      <c r="S106" s="5"/>
      <c r="T106" s="5"/>
      <c r="U106" s="5"/>
    </row>
    <row r="107" spans="2:21">
      <c r="B107" s="5"/>
      <c r="C107" s="259"/>
      <c r="D107" s="5"/>
      <c r="E107" s="5"/>
      <c r="F107" s="5"/>
      <c r="G107" s="5"/>
      <c r="H107" s="5"/>
      <c r="I107" s="249"/>
      <c r="J107" s="259"/>
      <c r="K107" s="259"/>
      <c r="L107" s="259"/>
      <c r="M107" s="259"/>
      <c r="N107" s="259"/>
      <c r="O107" s="5"/>
      <c r="P107" s="5"/>
      <c r="Q107" s="5"/>
      <c r="R107" s="5"/>
      <c r="S107" s="5"/>
      <c r="T107" s="5"/>
      <c r="U107" s="5"/>
    </row>
    <row r="108" spans="2:21">
      <c r="B108" s="5"/>
      <c r="C108" s="259"/>
      <c r="D108" s="259"/>
      <c r="E108" s="259"/>
      <c r="F108" s="259"/>
      <c r="G108" s="259"/>
      <c r="H108" s="259"/>
      <c r="I108" s="249"/>
      <c r="J108" s="247"/>
      <c r="K108" s="247"/>
      <c r="L108" s="247"/>
      <c r="M108" s="247"/>
      <c r="N108" s="247"/>
      <c r="O108" s="5"/>
      <c r="Q108" s="5"/>
      <c r="R108" s="5"/>
      <c r="S108" s="5"/>
      <c r="T108" s="5"/>
      <c r="U108" s="5"/>
    </row>
    <row r="109" spans="2:21">
      <c r="B109" s="5"/>
      <c r="C109" s="247"/>
      <c r="D109" s="247"/>
      <c r="E109" s="247"/>
      <c r="F109" s="247"/>
      <c r="G109" s="247"/>
      <c r="H109" s="247"/>
      <c r="I109" s="247"/>
      <c r="J109" s="249"/>
      <c r="K109" s="249"/>
      <c r="L109" s="249"/>
      <c r="M109" s="249"/>
      <c r="N109" s="249"/>
      <c r="O109" s="5"/>
      <c r="Q109" s="5"/>
      <c r="R109" s="5"/>
      <c r="S109" s="5"/>
      <c r="T109" s="5"/>
      <c r="U109" s="5"/>
    </row>
    <row r="110" spans="2:21">
      <c r="B110" s="41"/>
      <c r="C110" s="249"/>
      <c r="D110" s="249"/>
      <c r="E110" s="249"/>
      <c r="F110" s="249"/>
      <c r="G110" s="249"/>
      <c r="H110" s="249"/>
      <c r="I110" s="5"/>
      <c r="J110" s="249"/>
      <c r="K110" s="249"/>
      <c r="L110" s="249"/>
      <c r="M110" s="249"/>
      <c r="N110" s="249"/>
      <c r="O110" s="5"/>
      <c r="Q110" s="5"/>
      <c r="R110" s="5"/>
      <c r="S110" s="5"/>
      <c r="T110" s="5"/>
      <c r="U110" s="5"/>
    </row>
    <row r="111" spans="2:21">
      <c r="B111" s="5"/>
      <c r="C111" s="249"/>
      <c r="D111" s="249"/>
      <c r="E111" s="249"/>
      <c r="F111" s="249"/>
      <c r="G111" s="249"/>
      <c r="H111" s="249"/>
      <c r="I111" s="5"/>
      <c r="J111" s="247"/>
      <c r="K111" s="247"/>
      <c r="L111" s="247"/>
      <c r="M111" s="247"/>
      <c r="N111" s="247"/>
      <c r="O111" s="5"/>
      <c r="Q111" s="5"/>
      <c r="R111" s="5"/>
      <c r="S111" s="5"/>
      <c r="T111" s="5"/>
      <c r="U111" s="5"/>
    </row>
    <row r="112" spans="2:21">
      <c r="B112" s="5"/>
      <c r="C112" s="247"/>
      <c r="D112" s="247"/>
      <c r="E112" s="247"/>
      <c r="F112" s="247"/>
      <c r="G112" s="247"/>
      <c r="H112" s="247"/>
      <c r="I112" s="5"/>
      <c r="J112" s="5"/>
      <c r="K112" s="5"/>
      <c r="L112" s="5"/>
      <c r="M112" s="5"/>
      <c r="N112" s="5"/>
      <c r="O112" s="5"/>
      <c r="Q112" s="5"/>
      <c r="R112" s="5"/>
      <c r="S112" s="5"/>
      <c r="T112" s="5"/>
      <c r="U112" s="5"/>
    </row>
    <row r="113" spans="2:21">
      <c r="B113" s="5"/>
      <c r="C113" s="5"/>
      <c r="D113" s="5"/>
      <c r="E113" s="5"/>
      <c r="F113" s="5"/>
      <c r="G113" s="5"/>
      <c r="H113" s="5"/>
      <c r="I113" s="5"/>
      <c r="J113" s="5"/>
      <c r="K113" s="5"/>
      <c r="L113" s="5"/>
      <c r="M113" s="5"/>
      <c r="N113" s="5"/>
      <c r="O113" s="5"/>
      <c r="Q113" s="5"/>
      <c r="R113" s="5"/>
      <c r="S113" s="5"/>
      <c r="T113" s="5"/>
      <c r="U113" s="5"/>
    </row>
    <row r="114" spans="2:21">
      <c r="B114" s="5"/>
      <c r="C114" s="5"/>
      <c r="D114" s="5"/>
      <c r="E114" s="5"/>
      <c r="F114" s="5"/>
      <c r="G114" s="5"/>
      <c r="H114" s="5"/>
      <c r="I114" s="49"/>
      <c r="J114" s="5"/>
      <c r="K114" s="5"/>
      <c r="L114" s="5"/>
      <c r="M114" s="5"/>
      <c r="N114" s="5"/>
      <c r="O114" s="5"/>
      <c r="Q114" s="41"/>
      <c r="R114" s="5"/>
      <c r="S114" s="5"/>
      <c r="T114" s="5"/>
      <c r="U114" s="5"/>
    </row>
    <row r="115" spans="2:21">
      <c r="B115" s="5"/>
      <c r="C115" s="5"/>
      <c r="D115" s="5"/>
      <c r="E115" s="5"/>
      <c r="F115" s="5"/>
      <c r="G115" s="5"/>
      <c r="H115" s="5"/>
      <c r="I115" s="5"/>
      <c r="J115" s="5"/>
      <c r="K115" s="5"/>
      <c r="L115" s="5"/>
      <c r="M115" s="5"/>
      <c r="N115" s="5"/>
      <c r="O115" s="5"/>
      <c r="Q115" s="5"/>
      <c r="R115" s="5"/>
      <c r="S115" s="5"/>
      <c r="T115" s="5"/>
      <c r="U115" s="5"/>
    </row>
    <row r="116" spans="2:21">
      <c r="B116" s="5"/>
      <c r="C116" s="5"/>
      <c r="D116" s="5"/>
      <c r="E116" s="5"/>
      <c r="F116" s="5"/>
      <c r="G116" s="5"/>
      <c r="H116" s="5"/>
      <c r="I116" s="254"/>
      <c r="J116" s="49"/>
      <c r="K116" s="49"/>
      <c r="L116" s="49"/>
      <c r="M116" s="49"/>
      <c r="N116" s="49"/>
      <c r="O116" s="49"/>
      <c r="Q116" s="5"/>
      <c r="R116" s="5"/>
      <c r="S116" s="5"/>
      <c r="T116" s="5"/>
      <c r="U116" s="5"/>
    </row>
    <row r="117" spans="2:21">
      <c r="B117" s="41"/>
      <c r="C117" s="49"/>
      <c r="D117" s="49"/>
      <c r="E117" s="49"/>
      <c r="F117" s="49"/>
      <c r="G117" s="49"/>
      <c r="H117" s="49"/>
      <c r="I117" s="249"/>
      <c r="J117" s="5"/>
      <c r="K117" s="5"/>
      <c r="L117" s="5"/>
      <c r="M117" s="5"/>
      <c r="N117" s="5"/>
      <c r="O117" s="5"/>
      <c r="Q117" s="5"/>
      <c r="R117" s="5"/>
      <c r="S117" s="5"/>
      <c r="T117" s="5"/>
      <c r="U117" s="5"/>
    </row>
    <row r="118" spans="2:21">
      <c r="B118" s="5"/>
      <c r="C118" s="5"/>
      <c r="D118" s="5"/>
      <c r="E118" s="5"/>
      <c r="F118" s="5"/>
      <c r="G118" s="5"/>
      <c r="H118" s="5"/>
      <c r="I118" s="254"/>
      <c r="J118" s="254"/>
      <c r="K118" s="254"/>
      <c r="L118" s="254"/>
      <c r="M118" s="254"/>
      <c r="N118" s="254"/>
      <c r="O118" s="248"/>
      <c r="Q118" s="5"/>
      <c r="R118" s="5"/>
      <c r="S118" s="5"/>
      <c r="T118" s="5"/>
      <c r="U118" s="5"/>
    </row>
    <row r="119" spans="2:21">
      <c r="B119" s="41"/>
      <c r="C119" s="254"/>
      <c r="D119" s="254"/>
      <c r="E119" s="254"/>
      <c r="F119" s="254"/>
      <c r="G119" s="254"/>
      <c r="H119" s="254"/>
      <c r="I119" s="254"/>
      <c r="J119" s="249"/>
      <c r="K119" s="249"/>
      <c r="L119" s="249"/>
      <c r="M119" s="249"/>
      <c r="N119" s="249"/>
      <c r="O119" s="248"/>
      <c r="Q119" s="5"/>
      <c r="R119" s="5"/>
      <c r="S119" s="5"/>
      <c r="T119" s="5"/>
      <c r="U119" s="5"/>
    </row>
    <row r="120" spans="2:21">
      <c r="B120" s="41"/>
      <c r="C120" s="254"/>
      <c r="D120" s="249"/>
      <c r="E120" s="249"/>
      <c r="F120" s="249"/>
      <c r="G120" s="249"/>
      <c r="H120" s="249"/>
      <c r="I120" s="254"/>
      <c r="J120" s="254"/>
      <c r="K120" s="254"/>
      <c r="L120" s="254"/>
      <c r="M120" s="254"/>
      <c r="N120" s="254"/>
      <c r="O120" s="248"/>
      <c r="Q120" s="5"/>
      <c r="R120" s="5"/>
      <c r="S120" s="5"/>
      <c r="T120" s="5"/>
      <c r="U120" s="5"/>
    </row>
    <row r="121" spans="2:21">
      <c r="B121" s="41"/>
      <c r="C121" s="254"/>
      <c r="D121" s="254"/>
      <c r="E121" s="254"/>
      <c r="F121" s="254"/>
      <c r="G121" s="254"/>
      <c r="H121" s="254"/>
      <c r="I121" s="254"/>
      <c r="J121" s="254"/>
      <c r="K121" s="254"/>
      <c r="L121" s="254"/>
      <c r="M121" s="254"/>
      <c r="N121" s="254"/>
      <c r="O121" s="248"/>
      <c r="Q121" s="5"/>
      <c r="R121" s="5"/>
      <c r="S121" s="5"/>
      <c r="T121" s="5"/>
      <c r="U121" s="5"/>
    </row>
    <row r="122" spans="2:21">
      <c r="B122" s="41"/>
      <c r="C122" s="254"/>
      <c r="D122" s="254"/>
      <c r="E122" s="254"/>
      <c r="F122" s="254"/>
      <c r="G122" s="254"/>
      <c r="H122" s="254"/>
      <c r="I122" s="254"/>
      <c r="J122" s="254"/>
      <c r="K122" s="254"/>
      <c r="L122" s="254"/>
      <c r="M122" s="254"/>
      <c r="N122" s="254"/>
      <c r="O122" s="248"/>
      <c r="Q122" s="5"/>
      <c r="R122" s="5"/>
      <c r="S122" s="5"/>
      <c r="T122" s="5"/>
      <c r="U122" s="5"/>
    </row>
    <row r="123" spans="2:21">
      <c r="B123" s="41"/>
      <c r="C123" s="254"/>
      <c r="D123" s="254"/>
      <c r="E123" s="254"/>
      <c r="F123" s="254"/>
      <c r="G123" s="254"/>
      <c r="H123" s="254"/>
      <c r="I123" s="254"/>
      <c r="J123" s="254"/>
      <c r="K123" s="254"/>
      <c r="L123" s="254"/>
      <c r="M123" s="254"/>
      <c r="N123" s="254"/>
      <c r="O123" s="248"/>
      <c r="Q123" s="5"/>
      <c r="R123" s="5"/>
      <c r="S123" s="5"/>
      <c r="T123" s="5"/>
      <c r="U123" s="5"/>
    </row>
    <row r="124" spans="2:21">
      <c r="B124" s="41"/>
      <c r="C124" s="254"/>
      <c r="D124" s="254"/>
      <c r="E124" s="254"/>
      <c r="F124" s="254"/>
      <c r="G124" s="254"/>
      <c r="H124" s="254"/>
      <c r="I124" s="254"/>
      <c r="J124" s="254"/>
      <c r="K124" s="254"/>
      <c r="L124" s="254"/>
      <c r="M124" s="254"/>
      <c r="N124" s="254"/>
      <c r="O124" s="5"/>
      <c r="Q124" s="5"/>
      <c r="R124" s="5"/>
      <c r="S124" s="5"/>
      <c r="T124" s="5"/>
      <c r="U124" s="5"/>
    </row>
    <row r="125" spans="2:21">
      <c r="B125" s="41"/>
      <c r="C125" s="254"/>
      <c r="D125" s="254"/>
      <c r="E125" s="254"/>
      <c r="F125" s="254"/>
      <c r="G125" s="254"/>
      <c r="H125" s="254"/>
      <c r="I125" s="254"/>
      <c r="J125" s="254"/>
      <c r="K125" s="254"/>
      <c r="L125" s="254"/>
      <c r="M125" s="254"/>
      <c r="N125" s="254"/>
      <c r="O125" s="5"/>
      <c r="Q125" s="5"/>
      <c r="R125" s="5"/>
      <c r="S125" s="5"/>
      <c r="T125" s="5"/>
      <c r="U125" s="5"/>
    </row>
    <row r="126" spans="2:21">
      <c r="B126" s="41"/>
      <c r="C126" s="254"/>
      <c r="D126" s="254"/>
      <c r="E126" s="254"/>
      <c r="F126" s="254"/>
      <c r="G126" s="254"/>
      <c r="H126" s="254"/>
      <c r="I126" s="18"/>
      <c r="J126" s="254"/>
      <c r="K126" s="254"/>
      <c r="L126" s="254"/>
      <c r="M126" s="254"/>
      <c r="N126" s="254"/>
      <c r="O126" s="5"/>
      <c r="Q126" s="5"/>
      <c r="R126" s="5"/>
      <c r="S126" s="5"/>
      <c r="T126" s="5"/>
      <c r="U126" s="5"/>
    </row>
    <row r="127" spans="2:21">
      <c r="B127" s="41"/>
      <c r="C127" s="254"/>
      <c r="D127" s="254"/>
      <c r="E127" s="254"/>
      <c r="F127" s="254"/>
      <c r="G127" s="254"/>
      <c r="H127" s="254"/>
      <c r="I127" s="5"/>
      <c r="J127" s="254"/>
      <c r="K127" s="254"/>
      <c r="L127" s="254"/>
      <c r="M127" s="254"/>
      <c r="N127" s="254"/>
      <c r="O127" s="5"/>
      <c r="Q127" s="5"/>
      <c r="R127" s="5"/>
      <c r="S127" s="5"/>
      <c r="T127" s="5"/>
      <c r="U127" s="5"/>
    </row>
    <row r="128" spans="2:21">
      <c r="B128" s="41"/>
      <c r="C128" s="254"/>
      <c r="D128" s="254"/>
      <c r="E128" s="254"/>
      <c r="F128" s="254"/>
      <c r="G128" s="254"/>
      <c r="H128" s="254"/>
      <c r="I128" s="254"/>
      <c r="J128" s="18"/>
      <c r="K128" s="18"/>
      <c r="L128" s="18"/>
      <c r="M128" s="18"/>
      <c r="N128" s="18"/>
      <c r="O128" s="5"/>
      <c r="Q128" s="5"/>
      <c r="R128" s="5"/>
      <c r="S128" s="5"/>
      <c r="T128" s="5"/>
      <c r="U128" s="5"/>
    </row>
    <row r="129" spans="2:27">
      <c r="B129" s="5"/>
      <c r="C129" s="5"/>
      <c r="D129" s="18"/>
      <c r="E129" s="18"/>
      <c r="F129" s="18"/>
      <c r="G129" s="18"/>
      <c r="H129" s="18"/>
      <c r="I129" s="18"/>
      <c r="J129" s="5"/>
      <c r="K129" s="5"/>
      <c r="L129" s="5"/>
      <c r="M129" s="5"/>
      <c r="N129" s="5"/>
      <c r="O129" s="5"/>
      <c r="Q129" s="5"/>
      <c r="R129" s="5"/>
      <c r="S129" s="5"/>
      <c r="T129" s="5"/>
      <c r="U129" s="5"/>
    </row>
    <row r="130" spans="2:27">
      <c r="B130" s="5"/>
      <c r="C130" s="5"/>
      <c r="D130" s="5"/>
      <c r="E130" s="5"/>
      <c r="F130" s="5"/>
      <c r="G130" s="5"/>
      <c r="H130" s="5"/>
      <c r="I130" s="5"/>
      <c r="J130" s="254"/>
      <c r="K130" s="254"/>
      <c r="L130" s="254"/>
      <c r="M130" s="254"/>
      <c r="N130" s="254"/>
      <c r="O130" s="5"/>
      <c r="Q130" s="5"/>
      <c r="R130" s="5"/>
      <c r="S130" s="5"/>
      <c r="T130" s="5"/>
      <c r="U130" s="5"/>
    </row>
    <row r="131" spans="2:27">
      <c r="B131" s="41"/>
      <c r="C131" s="254"/>
      <c r="D131" s="254"/>
      <c r="E131" s="254"/>
      <c r="F131" s="254"/>
      <c r="G131" s="254"/>
      <c r="H131" s="254"/>
      <c r="I131" s="5"/>
      <c r="J131" s="18"/>
      <c r="K131" s="18"/>
      <c r="L131" s="18"/>
      <c r="M131" s="18"/>
      <c r="N131" s="18"/>
      <c r="O131" s="5"/>
      <c r="Q131" s="5"/>
      <c r="R131" s="5"/>
      <c r="S131" s="5"/>
      <c r="T131" s="5"/>
      <c r="U131" s="5"/>
    </row>
    <row r="132" spans="2:27">
      <c r="B132" s="5"/>
      <c r="C132" s="259"/>
      <c r="D132" s="18"/>
      <c r="E132" s="18"/>
      <c r="F132" s="18"/>
      <c r="G132" s="18"/>
      <c r="H132" s="18"/>
      <c r="I132" s="17"/>
      <c r="J132" s="5"/>
      <c r="K132" s="5"/>
      <c r="L132" s="5"/>
      <c r="M132" s="5"/>
      <c r="N132" s="5"/>
      <c r="O132" s="5"/>
      <c r="Q132" s="5"/>
      <c r="R132" s="5"/>
      <c r="S132" s="5"/>
      <c r="T132" s="5"/>
      <c r="U132" s="5"/>
    </row>
    <row r="133" spans="2:27">
      <c r="B133" s="5"/>
      <c r="C133" s="5"/>
      <c r="D133" s="5"/>
      <c r="E133" s="5"/>
      <c r="F133" s="5"/>
      <c r="G133" s="5"/>
      <c r="H133" s="5"/>
      <c r="I133" s="17"/>
      <c r="J133" s="5"/>
      <c r="K133" s="5"/>
      <c r="L133" s="5"/>
      <c r="M133" s="5"/>
      <c r="N133" s="5"/>
      <c r="O133" s="5"/>
      <c r="Q133" s="5"/>
      <c r="R133" s="5"/>
      <c r="S133" s="5"/>
      <c r="T133" s="5"/>
      <c r="U133" s="5"/>
    </row>
    <row r="134" spans="2:27">
      <c r="B134" s="41"/>
      <c r="C134" s="5"/>
      <c r="D134" s="5"/>
      <c r="E134" s="5"/>
      <c r="F134" s="5"/>
      <c r="G134" s="5"/>
      <c r="H134" s="5"/>
      <c r="I134" s="17"/>
      <c r="J134" s="17"/>
      <c r="K134" s="17"/>
      <c r="L134" s="17"/>
      <c r="M134" s="17"/>
      <c r="N134" s="17"/>
      <c r="O134" s="5"/>
      <c r="Q134" s="41"/>
      <c r="R134" s="5"/>
      <c r="S134" s="5"/>
      <c r="T134" s="5"/>
      <c r="U134" s="5"/>
    </row>
    <row r="135" spans="2:27">
      <c r="B135" s="5"/>
      <c r="C135" s="17"/>
      <c r="D135" s="17"/>
      <c r="E135" s="17"/>
      <c r="F135" s="17"/>
      <c r="G135" s="17"/>
      <c r="H135" s="17"/>
      <c r="I135" s="17"/>
      <c r="J135" s="17"/>
      <c r="K135" s="17"/>
      <c r="L135" s="17"/>
      <c r="M135" s="17"/>
      <c r="N135" s="17"/>
      <c r="O135" s="5"/>
      <c r="Q135" s="5"/>
      <c r="R135" s="5"/>
      <c r="S135" s="5"/>
      <c r="T135" s="5"/>
      <c r="U135" s="5"/>
      <c r="X135" s="304"/>
    </row>
    <row r="136" spans="2:27">
      <c r="B136" s="5"/>
      <c r="C136" s="17"/>
      <c r="D136" s="17"/>
      <c r="E136" s="17"/>
      <c r="F136" s="17"/>
      <c r="G136" s="17"/>
      <c r="H136" s="17"/>
      <c r="I136" s="17"/>
      <c r="J136" s="17"/>
      <c r="K136" s="17"/>
      <c r="L136" s="17"/>
      <c r="M136" s="17"/>
      <c r="N136" s="17"/>
      <c r="O136" s="5"/>
      <c r="Q136" s="5"/>
      <c r="R136" s="5"/>
      <c r="S136" s="5"/>
      <c r="T136" s="5"/>
      <c r="U136" s="5"/>
      <c r="X136" s="10"/>
      <c r="Y136" s="304"/>
      <c r="Z136" s="304"/>
      <c r="AA136" s="304"/>
    </row>
    <row r="137" spans="2:27">
      <c r="B137" s="5"/>
      <c r="C137" s="5"/>
      <c r="D137" s="17"/>
      <c r="E137" s="17"/>
      <c r="F137" s="17"/>
      <c r="G137" s="17"/>
      <c r="H137" s="17"/>
      <c r="I137" s="17"/>
      <c r="J137" s="17"/>
      <c r="K137" s="17"/>
      <c r="L137" s="17"/>
      <c r="M137" s="17"/>
      <c r="N137" s="17"/>
      <c r="O137" s="5"/>
      <c r="Q137" s="5"/>
      <c r="R137" s="5"/>
      <c r="S137" s="5"/>
      <c r="T137" s="5"/>
      <c r="U137" s="5"/>
      <c r="Y137" s="10"/>
      <c r="Z137" s="10"/>
      <c r="AA137" s="10"/>
    </row>
    <row r="138" spans="2:27">
      <c r="B138" s="5"/>
      <c r="C138" s="5"/>
      <c r="D138" s="17"/>
      <c r="E138" s="17"/>
      <c r="F138" s="17"/>
      <c r="G138" s="17"/>
      <c r="H138" s="17"/>
      <c r="I138" s="5"/>
      <c r="J138" s="17"/>
      <c r="K138" s="17"/>
      <c r="L138" s="17"/>
      <c r="M138" s="17"/>
      <c r="N138" s="17"/>
      <c r="O138" s="5"/>
      <c r="Q138" s="5"/>
      <c r="R138" s="5"/>
      <c r="S138" s="5"/>
      <c r="T138" s="5"/>
      <c r="U138" s="5"/>
    </row>
    <row r="139" spans="2:27">
      <c r="B139" s="5"/>
      <c r="C139" s="5"/>
      <c r="D139" s="17"/>
      <c r="E139" s="17"/>
      <c r="F139" s="17"/>
      <c r="G139" s="17"/>
      <c r="H139" s="17"/>
      <c r="I139" s="5"/>
      <c r="J139" s="17"/>
      <c r="K139" s="17"/>
      <c r="L139" s="17"/>
      <c r="M139" s="17"/>
      <c r="N139" s="17"/>
      <c r="O139" s="5"/>
      <c r="Q139" s="5"/>
      <c r="R139" s="5"/>
      <c r="S139" s="5"/>
      <c r="T139" s="5"/>
      <c r="U139" s="5"/>
    </row>
    <row r="140" spans="2:27">
      <c r="B140" s="5"/>
      <c r="C140" s="17"/>
      <c r="D140" s="17"/>
      <c r="E140" s="17"/>
      <c r="F140" s="17"/>
      <c r="G140" s="17"/>
      <c r="H140" s="17"/>
      <c r="I140" s="5"/>
      <c r="J140" s="5"/>
      <c r="K140" s="5"/>
      <c r="L140" s="5"/>
      <c r="M140" s="5"/>
      <c r="N140" s="5"/>
      <c r="O140" s="5"/>
      <c r="Q140" s="5"/>
      <c r="R140" s="5"/>
      <c r="S140" s="5"/>
      <c r="T140" s="5"/>
      <c r="U140" s="5"/>
    </row>
    <row r="141" spans="2:27">
      <c r="B141" s="5"/>
      <c r="C141" s="5"/>
      <c r="D141" s="5"/>
      <c r="E141" s="5"/>
      <c r="F141" s="5"/>
      <c r="G141" s="5"/>
      <c r="H141" s="5"/>
      <c r="I141" s="5"/>
      <c r="J141" s="5"/>
      <c r="K141" s="5"/>
      <c r="L141" s="5"/>
      <c r="M141" s="5"/>
      <c r="N141" s="5"/>
      <c r="O141" s="5"/>
      <c r="Q141" s="5"/>
      <c r="R141" s="5"/>
      <c r="S141" s="5"/>
      <c r="T141" s="5"/>
      <c r="U141" s="5"/>
    </row>
    <row r="142" spans="2:27">
      <c r="B142" s="5"/>
      <c r="C142" s="5"/>
      <c r="D142" s="5"/>
      <c r="E142" s="5"/>
      <c r="F142" s="5"/>
      <c r="G142" s="5"/>
      <c r="H142" s="5"/>
      <c r="I142" s="5"/>
      <c r="J142" s="5"/>
      <c r="K142" s="5"/>
      <c r="L142" s="5"/>
      <c r="M142" s="5"/>
      <c r="N142" s="5"/>
      <c r="O142" s="5"/>
      <c r="Q142" s="5"/>
      <c r="R142" s="5"/>
      <c r="S142" s="5"/>
      <c r="T142" s="5"/>
      <c r="U142" s="5"/>
    </row>
    <row r="143" spans="2:27">
      <c r="B143" s="5"/>
      <c r="C143" s="5"/>
      <c r="D143" s="5"/>
      <c r="E143" s="5"/>
      <c r="F143" s="5"/>
      <c r="G143" s="5"/>
      <c r="H143" s="5"/>
      <c r="I143" s="5"/>
      <c r="J143" s="5"/>
      <c r="K143" s="5"/>
      <c r="L143" s="5"/>
      <c r="M143" s="5"/>
      <c r="N143" s="5"/>
      <c r="O143" s="5"/>
      <c r="Q143" s="5"/>
      <c r="R143" s="5"/>
      <c r="S143" s="5"/>
      <c r="T143" s="5"/>
      <c r="U143" s="5"/>
    </row>
    <row r="144" spans="2:27">
      <c r="B144" s="5"/>
      <c r="C144" s="5"/>
      <c r="D144" s="5"/>
      <c r="E144" s="5"/>
      <c r="F144" s="5"/>
      <c r="G144" s="5"/>
      <c r="H144" s="5"/>
      <c r="I144" s="5"/>
      <c r="J144" s="5"/>
      <c r="K144" s="5"/>
      <c r="L144" s="5"/>
      <c r="M144" s="5"/>
      <c r="N144" s="5"/>
      <c r="O144" s="5"/>
      <c r="Q144" s="5"/>
      <c r="R144" s="5"/>
      <c r="S144" s="5"/>
      <c r="T144" s="5"/>
      <c r="U144" s="5"/>
    </row>
    <row r="145" spans="2:21">
      <c r="B145" s="5"/>
      <c r="C145" s="5"/>
      <c r="D145" s="5"/>
      <c r="E145" s="5"/>
      <c r="F145" s="5"/>
      <c r="G145" s="5"/>
      <c r="H145" s="5"/>
      <c r="I145" s="5"/>
      <c r="J145" s="5"/>
      <c r="K145" s="5"/>
      <c r="L145" s="5"/>
      <c r="M145" s="5"/>
      <c r="N145" s="5"/>
      <c r="O145" s="5"/>
      <c r="Q145" s="5"/>
      <c r="R145" s="5"/>
      <c r="S145" s="5"/>
      <c r="T145" s="5"/>
      <c r="U145" s="5"/>
    </row>
    <row r="146" spans="2:21">
      <c r="B146" s="5"/>
      <c r="C146" s="5"/>
      <c r="D146" s="5"/>
      <c r="E146" s="5"/>
      <c r="F146" s="5"/>
      <c r="G146" s="5"/>
      <c r="H146" s="5"/>
      <c r="I146" s="5"/>
      <c r="J146" s="5"/>
      <c r="K146" s="5"/>
      <c r="L146" s="5"/>
      <c r="M146" s="5"/>
      <c r="N146" s="5"/>
      <c r="O146" s="5"/>
      <c r="Q146" s="5"/>
      <c r="R146" s="5"/>
      <c r="S146" s="5"/>
      <c r="T146" s="5"/>
      <c r="U146" s="5"/>
    </row>
    <row r="147" spans="2:21">
      <c r="B147" s="5"/>
      <c r="C147" s="5"/>
      <c r="D147" s="5"/>
      <c r="E147" s="5"/>
      <c r="F147" s="5"/>
      <c r="G147" s="5"/>
      <c r="H147" s="5"/>
      <c r="I147" s="5"/>
      <c r="J147" s="5"/>
      <c r="K147" s="5"/>
      <c r="L147" s="5"/>
      <c r="M147" s="5"/>
      <c r="N147" s="5"/>
      <c r="O147" s="5"/>
      <c r="Q147" s="5"/>
      <c r="R147" s="5"/>
      <c r="S147" s="5"/>
      <c r="T147" s="5"/>
      <c r="U147" s="5"/>
    </row>
    <row r="148" spans="2:21">
      <c r="B148" s="5"/>
      <c r="C148" s="5"/>
      <c r="D148" s="5"/>
      <c r="E148" s="5"/>
      <c r="F148" s="5"/>
      <c r="G148" s="5"/>
      <c r="H148" s="5"/>
      <c r="J148" s="5"/>
      <c r="K148" s="5"/>
      <c r="L148" s="5"/>
      <c r="M148" s="5"/>
      <c r="N148" s="5"/>
      <c r="O148" s="5"/>
      <c r="Q148" s="5"/>
      <c r="R148" s="5"/>
      <c r="S148" s="5"/>
      <c r="T148" s="5"/>
      <c r="U148" s="5"/>
    </row>
    <row r="149" spans="2:21">
      <c r="B149" s="5"/>
      <c r="C149" s="5"/>
      <c r="D149" s="5"/>
      <c r="E149" s="5"/>
      <c r="F149" s="5"/>
      <c r="G149" s="5"/>
      <c r="H149" s="5"/>
      <c r="J149" s="5"/>
      <c r="K149" s="5"/>
      <c r="L149" s="5"/>
      <c r="M149" s="5"/>
      <c r="N149" s="5"/>
      <c r="O149" s="5"/>
      <c r="Q149" s="5"/>
      <c r="R149" s="5"/>
      <c r="S149" s="5"/>
      <c r="T149" s="5"/>
      <c r="U149" s="5"/>
    </row>
    <row r="150" spans="2:21">
      <c r="B150" s="5"/>
      <c r="C150" s="5"/>
      <c r="D150" s="5"/>
      <c r="E150" s="5"/>
      <c r="F150" s="5"/>
      <c r="G150" s="5"/>
      <c r="H150" s="5"/>
      <c r="Q150" s="5"/>
      <c r="R150" s="5"/>
      <c r="S150" s="5"/>
      <c r="T150" s="5"/>
      <c r="U150" s="5"/>
    </row>
    <row r="151" spans="2:21">
      <c r="Q151" s="5"/>
      <c r="R151" s="5"/>
      <c r="S151" s="5"/>
      <c r="T151" s="5"/>
      <c r="U151" s="5"/>
    </row>
    <row r="152" spans="2:21">
      <c r="Q152" s="5"/>
      <c r="R152" s="5"/>
      <c r="S152" s="5"/>
      <c r="T152" s="5"/>
      <c r="U152" s="5"/>
    </row>
    <row r="153" spans="2:21">
      <c r="C153" s="263"/>
      <c r="Q153" s="5"/>
      <c r="R153" s="5"/>
      <c r="S153" s="5"/>
      <c r="T153" s="5"/>
      <c r="U153" s="5"/>
    </row>
    <row r="154" spans="2:21">
      <c r="Q154" s="5"/>
      <c r="R154" s="5"/>
      <c r="S154" s="5"/>
      <c r="T154" s="5"/>
      <c r="U154" s="5"/>
    </row>
    <row r="155" spans="2:21">
      <c r="Q155" s="5"/>
      <c r="R155" s="5"/>
      <c r="S155" s="5"/>
      <c r="T155" s="5"/>
      <c r="U155" s="5"/>
    </row>
    <row r="156" spans="2:21">
      <c r="Q156" s="5"/>
      <c r="R156" s="5"/>
      <c r="S156" s="5"/>
      <c r="T156" s="5"/>
      <c r="U156" s="5"/>
    </row>
    <row r="157" spans="2:21">
      <c r="Q157" s="5"/>
      <c r="R157" s="5"/>
      <c r="S157" s="5"/>
      <c r="T157" s="5"/>
      <c r="U157" s="5"/>
    </row>
    <row r="158" spans="2:21">
      <c r="Q158" s="5"/>
      <c r="R158" s="5"/>
      <c r="S158" s="5"/>
      <c r="T158" s="5"/>
      <c r="U158" s="5"/>
    </row>
    <row r="159" spans="2:21">
      <c r="Q159" s="5"/>
      <c r="R159" s="5"/>
      <c r="S159" s="5"/>
      <c r="T159" s="5"/>
      <c r="U159" s="5"/>
    </row>
    <row r="160" spans="2:21">
      <c r="Q160" s="5"/>
      <c r="R160" s="5"/>
      <c r="S160" s="5"/>
      <c r="T160" s="5"/>
      <c r="U160" s="5"/>
    </row>
    <row r="161" spans="17:21">
      <c r="Q161" s="5"/>
      <c r="R161" s="5"/>
      <c r="S161" s="5"/>
      <c r="T161" s="5"/>
      <c r="U161" s="5"/>
    </row>
    <row r="162" spans="17:21">
      <c r="Q162" s="5"/>
      <c r="R162" s="5"/>
      <c r="S162" s="5"/>
      <c r="T162" s="5"/>
      <c r="U162" s="5"/>
    </row>
    <row r="163" spans="17:21">
      <c r="Q163" s="5"/>
      <c r="R163" s="5"/>
      <c r="S163" s="5"/>
      <c r="T163" s="5"/>
      <c r="U163" s="5"/>
    </row>
    <row r="164" spans="17:21">
      <c r="Q164" s="5"/>
      <c r="R164" s="5"/>
      <c r="S164" s="5"/>
      <c r="T164" s="5"/>
      <c r="U164" s="5"/>
    </row>
  </sheetData>
  <phoneticPr fontId="7" type="noConversion"/>
  <pageMargins left="0.75" right="0.75" top="1" bottom="1" header="0.5" footer="0.5"/>
  <pageSetup scale="70" orientation="landscape" r:id="rId1"/>
  <headerFooter alignWithMargins="0"/>
  <drawing r:id="rId2"/>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600-000000000000}">
  <sheetPr codeName="Sheet92">
    <tabColor theme="3" tint="0.59999389629810485"/>
    <pageSetUpPr fitToPage="1"/>
  </sheetPr>
  <dimension ref="B1:BK164"/>
  <sheetViews>
    <sheetView showGridLines="0" zoomScale="80" zoomScaleNormal="80" workbookViewId="0"/>
  </sheetViews>
  <sheetFormatPr defaultColWidth="8.88671875" defaultRowHeight="12"/>
  <cols>
    <col min="1" max="1" width="2.33203125" style="39" customWidth="1"/>
    <col min="2" max="2" width="26.6640625" style="39" customWidth="1"/>
    <col min="3" max="9" width="10" style="39" customWidth="1"/>
    <col min="10" max="10" width="26.6640625" style="39" customWidth="1"/>
    <col min="11" max="16" width="10" style="39" customWidth="1"/>
    <col min="17" max="17" width="4.5546875" style="39" customWidth="1"/>
    <col min="18" max="20" width="8.88671875" style="39"/>
    <col min="21" max="21" width="3.6640625" style="39" customWidth="1"/>
    <col min="22" max="63" width="9.109375" style="5" customWidth="1"/>
    <col min="64" max="16384" width="8.88671875" style="39"/>
  </cols>
  <sheetData>
    <row r="1" spans="2:63" s="312" customFormat="1">
      <c r="V1" s="149"/>
      <c r="W1" s="149"/>
      <c r="X1" s="149"/>
      <c r="Y1" s="149"/>
      <c r="Z1" s="149"/>
      <c r="AA1" s="149"/>
      <c r="AB1" s="149"/>
      <c r="AC1" s="149"/>
      <c r="AD1" s="149"/>
      <c r="AE1" s="149"/>
      <c r="AF1" s="149"/>
      <c r="AG1" s="149"/>
      <c r="AH1" s="149"/>
      <c r="AI1" s="149"/>
      <c r="AJ1" s="149"/>
      <c r="AK1" s="149"/>
      <c r="AL1" s="149"/>
      <c r="AM1" s="149"/>
      <c r="AN1" s="149"/>
      <c r="AO1" s="149"/>
      <c r="AP1" s="149"/>
      <c r="AQ1" s="149"/>
      <c r="AR1" s="149"/>
      <c r="AS1" s="149"/>
      <c r="AT1" s="149"/>
      <c r="AU1" s="149"/>
      <c r="AV1" s="149"/>
      <c r="AW1" s="149"/>
      <c r="AX1" s="149"/>
      <c r="AY1" s="149"/>
      <c r="AZ1" s="149"/>
      <c r="BA1" s="149"/>
      <c r="BB1" s="149"/>
      <c r="BC1" s="149"/>
      <c r="BD1" s="149"/>
      <c r="BE1" s="149"/>
      <c r="BF1" s="149"/>
      <c r="BG1" s="149"/>
      <c r="BH1" s="149"/>
      <c r="BI1" s="149"/>
      <c r="BJ1" s="149"/>
      <c r="BK1" s="149"/>
    </row>
    <row r="2" spans="2:63" s="312" customFormat="1">
      <c r="V2" s="149"/>
      <c r="W2" s="149"/>
      <c r="X2" s="149"/>
      <c r="Y2" s="149"/>
      <c r="Z2" s="149"/>
      <c r="AA2" s="149"/>
      <c r="AB2" s="149"/>
      <c r="AC2" s="149"/>
      <c r="AD2" s="149"/>
      <c r="AE2" s="149"/>
      <c r="AF2" s="149"/>
      <c r="AG2" s="149"/>
      <c r="AH2" s="149"/>
      <c r="AI2" s="149"/>
      <c r="AJ2" s="149"/>
      <c r="AK2" s="149"/>
      <c r="AL2" s="149"/>
      <c r="AM2" s="149"/>
      <c r="AN2" s="149"/>
      <c r="AO2" s="149"/>
      <c r="AP2" s="149"/>
      <c r="AQ2" s="149"/>
      <c r="AR2" s="149"/>
      <c r="AS2" s="149"/>
      <c r="AT2" s="149"/>
      <c r="AU2" s="149"/>
      <c r="AV2" s="149"/>
      <c r="AW2" s="149"/>
      <c r="AX2" s="149"/>
      <c r="AY2" s="149"/>
      <c r="AZ2" s="149"/>
      <c r="BA2" s="149"/>
      <c r="BB2" s="149"/>
      <c r="BC2" s="149"/>
      <c r="BD2" s="149"/>
      <c r="BE2" s="149"/>
      <c r="BF2" s="149"/>
      <c r="BG2" s="149"/>
      <c r="BH2" s="149"/>
      <c r="BI2" s="149"/>
      <c r="BJ2" s="149"/>
      <c r="BK2" s="149"/>
    </row>
    <row r="3" spans="2:63" s="149" customFormat="1">
      <c r="H3" s="153"/>
      <c r="P3" s="153"/>
    </row>
    <row r="4" spans="2:63" s="156" customFormat="1" ht="21">
      <c r="B4" s="129" t="s">
        <v>300</v>
      </c>
      <c r="H4" s="222"/>
      <c r="P4" s="222"/>
    </row>
    <row r="5" spans="2:63" s="149" customFormat="1">
      <c r="C5" s="153"/>
      <c r="D5" s="153" t="str" cm="1">
        <f t="array" ref="D5:H5">headings</f>
        <v>2023E</v>
      </c>
      <c r="E5" s="153" t="str">
        <v>2024E</v>
      </c>
      <c r="F5" s="153" t="str">
        <v>2025E</v>
      </c>
      <c r="G5" s="153" t="str">
        <v>2026E</v>
      </c>
      <c r="H5" s="153" t="str">
        <v>23E-26E</v>
      </c>
      <c r="I5" s="153"/>
      <c r="J5" s="153"/>
      <c r="K5" s="153"/>
      <c r="L5" s="153" t="str" cm="1">
        <f t="array" ref="L5:P5">headings</f>
        <v>2023E</v>
      </c>
      <c r="M5" s="153" t="str">
        <v>2024E</v>
      </c>
      <c r="N5" s="153" t="str">
        <v>2025E</v>
      </c>
      <c r="O5" s="153" t="str">
        <v>2026E</v>
      </c>
      <c r="P5" s="153" t="str">
        <v>23E-26E</v>
      </c>
      <c r="Q5" s="162"/>
      <c r="R5" s="162"/>
      <c r="S5" s="162"/>
      <c r="T5" s="162"/>
      <c r="U5" s="162"/>
      <c r="V5" s="162"/>
      <c r="W5" s="162"/>
      <c r="X5" s="162"/>
      <c r="Y5" s="162"/>
    </row>
    <row r="6" spans="2:63">
      <c r="I6" s="5"/>
      <c r="J6" s="5"/>
      <c r="K6" s="5"/>
      <c r="L6" s="5"/>
      <c r="M6" s="5"/>
      <c r="N6" s="5"/>
      <c r="O6" s="49"/>
    </row>
    <row r="7" spans="2:63" ht="12.6" thickBot="1">
      <c r="B7" s="306" t="s">
        <v>271</v>
      </c>
      <c r="C7" s="265"/>
      <c r="D7" s="265"/>
      <c r="E7" s="265"/>
      <c r="F7" s="265"/>
      <c r="G7" s="265"/>
      <c r="H7" s="265"/>
      <c r="I7" s="49"/>
      <c r="J7" s="306" t="s">
        <v>29</v>
      </c>
      <c r="K7" s="306"/>
      <c r="L7" s="306"/>
      <c r="M7" s="306"/>
      <c r="N7" s="266"/>
      <c r="O7" s="266"/>
      <c r="P7" s="266"/>
    </row>
    <row r="8" spans="2:63" ht="12.6" thickTop="1">
      <c r="B8" s="5"/>
      <c r="C8" s="5"/>
      <c r="D8" s="5"/>
      <c r="E8" s="5"/>
      <c r="F8" s="5"/>
      <c r="G8" s="5"/>
      <c r="H8" s="5"/>
      <c r="I8" s="5"/>
      <c r="J8" s="5"/>
      <c r="K8" s="5"/>
      <c r="L8" s="5"/>
      <c r="M8" s="5"/>
      <c r="N8" s="5"/>
    </row>
    <row r="9" spans="2:63">
      <c r="B9" s="41" t="s">
        <v>500</v>
      </c>
      <c r="C9" s="287"/>
      <c r="D9" s="5"/>
      <c r="E9" s="249"/>
      <c r="F9" s="249"/>
      <c r="G9" s="249"/>
      <c r="H9" s="249"/>
      <c r="I9" s="249"/>
      <c r="J9" s="5" t="s">
        <v>273</v>
      </c>
      <c r="L9" s="64">
        <f>'EM CELLULAR'!D37</f>
        <v>2.3028864261184152</v>
      </c>
      <c r="M9" s="64">
        <f>'EM CELLULAR'!E37</f>
        <v>2.1687959715674001</v>
      </c>
      <c r="N9" s="64">
        <f>'EM CELLULAR'!F37</f>
        <v>1.9297924574883407</v>
      </c>
      <c r="O9" s="64">
        <f>'EM CELLULAR'!G37</f>
        <v>1.70163849543242</v>
      </c>
      <c r="P9" s="17">
        <f>'EM CELLULAR'!H37</f>
        <v>5.0377730628003325E-2</v>
      </c>
    </row>
    <row r="10" spans="2:63">
      <c r="B10" s="5" t="s">
        <v>274</v>
      </c>
      <c r="C10" s="5"/>
      <c r="D10" s="332"/>
      <c r="E10" s="332"/>
      <c r="F10" s="332"/>
      <c r="G10" s="332"/>
      <c r="H10" s="247"/>
      <c r="I10" s="247"/>
      <c r="J10" s="5" t="s">
        <v>184</v>
      </c>
      <c r="L10" s="64">
        <f>'EM CELLULAR'!D38</f>
        <v>6.211590807666914</v>
      </c>
      <c r="M10" s="64">
        <f>'EM CELLULAR'!E38</f>
        <v>5.8072036978296566</v>
      </c>
      <c r="N10" s="64">
        <f>'EM CELLULAR'!F38</f>
        <v>5.1059602676010947</v>
      </c>
      <c r="O10" s="64">
        <f>'EM CELLULAR'!G38</f>
        <v>4.4630559895464135</v>
      </c>
      <c r="P10" s="17">
        <f>'EM CELLULAR'!H38</f>
        <v>6.0231249791276253E-2</v>
      </c>
      <c r="W10" s="10"/>
      <c r="X10" s="10"/>
      <c r="Y10" s="10"/>
      <c r="Z10" s="10"/>
    </row>
    <row r="11" spans="2:63">
      <c r="B11" s="41" t="s">
        <v>359</v>
      </c>
      <c r="C11" s="5"/>
      <c r="D11" s="271">
        <f>'DM ASIA OTHER'!D11+'EM ASIA CELLULAR'!D11</f>
        <v>522027.58571766329</v>
      </c>
      <c r="E11" s="271">
        <f>'DM ASIA OTHER'!E11+'EM ASIA CELLULAR'!E11</f>
        <v>524182.43825795967</v>
      </c>
      <c r="F11" s="271">
        <f>'DM ASIA OTHER'!F11+'EM ASIA CELLULAR'!F11</f>
        <v>522661.82360489276</v>
      </c>
      <c r="G11" s="271">
        <f>'DM ASIA OTHER'!G11+'EM ASIA CELLULAR'!G11</f>
        <v>521127.98181747354</v>
      </c>
      <c r="H11" s="249"/>
      <c r="I11" s="249"/>
      <c r="J11" s="5" t="s">
        <v>185</v>
      </c>
      <c r="L11" s="64">
        <f>'EM CELLULAR'!D39</f>
        <v>11.916721009928562</v>
      </c>
      <c r="M11" s="64">
        <f>'EM CELLULAR'!E39</f>
        <v>10.745312356284957</v>
      </c>
      <c r="N11" s="64">
        <f>'EM CELLULAR'!F39</f>
        <v>8.9736502860396943</v>
      </c>
      <c r="O11" s="64">
        <f>'EM CELLULAR'!G39</f>
        <v>7.4998267467078747</v>
      </c>
      <c r="P11" s="17">
        <f>'EM CELLULAR'!H39</f>
        <v>0.10809997877797661</v>
      </c>
      <c r="W11" s="10"/>
      <c r="X11" s="10"/>
      <c r="Y11" s="10"/>
      <c r="Z11" s="10"/>
    </row>
    <row r="12" spans="2:63">
      <c r="B12" s="5" t="s">
        <v>229</v>
      </c>
      <c r="C12" s="249"/>
      <c r="D12" s="228">
        <f>'DM ASIA OTHER'!D12+'EM ASIA CELLULAR'!D12</f>
        <v>131301.78209629239</v>
      </c>
      <c r="E12" s="228">
        <f>'DM ASIA OTHER'!E12+'EM ASIA CELLULAR'!E12</f>
        <v>114394.96851086392</v>
      </c>
      <c r="F12" s="228">
        <f>'DM ASIA OTHER'!F12+'EM ASIA CELLULAR'!F12</f>
        <v>97264.806516784636</v>
      </c>
      <c r="G12" s="228">
        <f>'DM ASIA OTHER'!G12+'EM ASIA CELLULAR'!G12</f>
        <v>77650.035851632638</v>
      </c>
      <c r="H12" s="247"/>
      <c r="I12" s="247"/>
      <c r="J12" s="5" t="s">
        <v>466</v>
      </c>
      <c r="L12" s="64">
        <f>'EM CELLULAR'!D40</f>
        <v>15.565314163351601</v>
      </c>
      <c r="M12" s="64">
        <f>'EM CELLULAR'!E40</f>
        <v>14.107230346818808</v>
      </c>
      <c r="N12" s="64">
        <f>'EM CELLULAR'!F40</f>
        <v>11.835137000764389</v>
      </c>
      <c r="O12" s="64">
        <f>'EM CELLULAR'!G40</f>
        <v>9.9165135948155338</v>
      </c>
      <c r="P12" s="17">
        <f>'EM CELLULAR'!H40</f>
        <v>0.10359585146755945</v>
      </c>
      <c r="W12" s="10"/>
      <c r="X12" s="10"/>
      <c r="Y12" s="10"/>
      <c r="Z12" s="10"/>
    </row>
    <row r="13" spans="2:63">
      <c r="B13" s="5" t="s">
        <v>529</v>
      </c>
      <c r="C13" s="257"/>
      <c r="D13" s="228">
        <f>'DM ASIA OTHER'!D13+'EM ASIA CELLULAR'!D13</f>
        <v>6707.810514607756</v>
      </c>
      <c r="E13" s="228">
        <f>'DM ASIA OTHER'!E13+'EM ASIA CELLULAR'!E13</f>
        <v>6349.1143510559377</v>
      </c>
      <c r="F13" s="228">
        <f>'DM ASIA OTHER'!F13+'EM ASIA CELLULAR'!F13</f>
        <v>5966.6553992582612</v>
      </c>
      <c r="G13" s="228">
        <f>'DM ASIA OTHER'!G13+'EM ASIA CELLULAR'!G13</f>
        <v>5558.4200068078098</v>
      </c>
      <c r="H13" s="247"/>
      <c r="I13" s="247"/>
      <c r="J13" s="5" t="s">
        <v>530</v>
      </c>
      <c r="L13" s="64">
        <f>'EM CELLULAR'!D41</f>
        <v>1.4932378441908309</v>
      </c>
      <c r="M13" s="64">
        <f>'EM CELLULAR'!E41</f>
        <v>1.4974861733035032</v>
      </c>
      <c r="N13" s="64">
        <f>'EM CELLULAR'!F41</f>
        <v>1.4281781003335032</v>
      </c>
      <c r="O13" s="64">
        <f>'EM CELLULAR'!G41</f>
        <v>1.349282061711496</v>
      </c>
      <c r="P13" s="17">
        <f>'EM CELLULAR'!H41</f>
        <v>-1.7756462726124411E-2</v>
      </c>
    </row>
    <row r="14" spans="2:63">
      <c r="B14" s="5" t="s">
        <v>532</v>
      </c>
      <c r="C14" s="274"/>
      <c r="D14" s="228">
        <f>'DM ASIA OTHER'!D14+'EM ASIA CELLULAR'!D14</f>
        <v>16037.337917047171</v>
      </c>
      <c r="E14" s="228">
        <f>'DM ASIA OTHER'!E14+'EM ASIA CELLULAR'!E14</f>
        <v>14398.894746082509</v>
      </c>
      <c r="F14" s="228">
        <f>'DM ASIA OTHER'!F14+'EM ASIA CELLULAR'!F14</f>
        <v>14396.096910998142</v>
      </c>
      <c r="G14" s="228">
        <f>'DM ASIA OTHER'!G14+'EM ASIA CELLULAR'!G14</f>
        <v>14394.697993455957</v>
      </c>
      <c r="H14" s="247"/>
      <c r="I14" s="247"/>
      <c r="J14" s="5" t="s">
        <v>593</v>
      </c>
      <c r="L14" s="64">
        <f>'EM CELLULAR'!D42</f>
        <v>2.6624591278665166</v>
      </c>
      <c r="M14" s="64">
        <f>'EM CELLULAR'!E42</f>
        <v>2.5827331248183691</v>
      </c>
      <c r="N14" s="64">
        <f>'EM CELLULAR'!F42</f>
        <v>2.37828077636942</v>
      </c>
      <c r="O14" s="64">
        <f>'EM CELLULAR'!G42</f>
        <v>2.1713530277562678</v>
      </c>
      <c r="P14" s="17">
        <f>'EM CELLULAR'!H42</f>
        <v>1.6392074372026055E-2</v>
      </c>
    </row>
    <row r="15" spans="2:63">
      <c r="B15" s="5" t="s">
        <v>531</v>
      </c>
      <c r="C15" s="257"/>
      <c r="D15" s="228">
        <f>'DM ASIA OTHER'!D15+'EM ASIA CELLULAR'!D15</f>
        <v>11997.729305425706</v>
      </c>
      <c r="E15" s="228">
        <f>'DM ASIA OTHER'!E15+'EM ASIA CELLULAR'!E15</f>
        <v>11990.280934418597</v>
      </c>
      <c r="F15" s="228">
        <f>'DM ASIA OTHER'!F15+'EM ASIA CELLULAR'!F15</f>
        <v>12005.922381755197</v>
      </c>
      <c r="G15" s="228">
        <f>'DM ASIA OTHER'!G15+'EM ASIA CELLULAR'!G15</f>
        <v>12043.174407278198</v>
      </c>
      <c r="H15" s="247"/>
      <c r="I15" s="247"/>
      <c r="J15" s="5" t="s">
        <v>475</v>
      </c>
      <c r="L15" s="64">
        <f>'EM CELLULAR'!D43</f>
        <v>22.850937709514724</v>
      </c>
      <c r="M15" s="64">
        <f>'EM CELLULAR'!E43</f>
        <v>20.413262135123315</v>
      </c>
      <c r="N15" s="64">
        <f>'EM CELLULAR'!F43</f>
        <v>16.677308372570185</v>
      </c>
      <c r="O15" s="64">
        <f>'EM CELLULAR'!G43</f>
        <v>14.052002275363339</v>
      </c>
      <c r="P15" s="17">
        <f>'EM CELLULAR'!H43</f>
        <v>0.1773224152875903</v>
      </c>
      <c r="S15" s="88"/>
      <c r="T15" s="88"/>
      <c r="U15" s="88"/>
      <c r="V15" s="42"/>
      <c r="W15" s="42"/>
      <c r="X15" s="42"/>
      <c r="Y15" s="42"/>
      <c r="Z15" s="42"/>
      <c r="AA15" s="42"/>
    </row>
    <row r="16" spans="2:63">
      <c r="B16" s="5" t="s">
        <v>534</v>
      </c>
      <c r="C16" s="257"/>
      <c r="D16" s="228">
        <f>'DM ASIA OTHER'!D16+'EM ASIA CELLULAR'!D16</f>
        <v>3658.1767374918909</v>
      </c>
      <c r="E16" s="228">
        <f>'DM ASIA OTHER'!E16+'EM ASIA CELLULAR'!E16</f>
        <v>9173.1371963236143</v>
      </c>
      <c r="F16" s="228">
        <f>'DM ASIA OTHER'!F16+'EM ASIA CELLULAR'!F16</f>
        <v>32952.702177579748</v>
      </c>
      <c r="G16" s="228">
        <f>'DM ASIA OTHER'!G16+'EM ASIA CELLULAR'!G16</f>
        <v>59367.178598593659</v>
      </c>
      <c r="H16" s="247"/>
      <c r="I16" s="247"/>
      <c r="J16" s="5" t="s">
        <v>533</v>
      </c>
      <c r="L16" s="64">
        <f>'EM CELLULAR'!D44</f>
        <v>20.347655496934248</v>
      </c>
      <c r="M16" s="64">
        <f>'EM CELLULAR'!E44</f>
        <v>17.632113552740702</v>
      </c>
      <c r="N16" s="64">
        <f>'EM CELLULAR'!F44</f>
        <v>14.75716332600194</v>
      </c>
      <c r="O16" s="64">
        <f>'EM CELLULAR'!G44</f>
        <v>12.965336224440424</v>
      </c>
      <c r="P16" s="17">
        <f>'EM CELLULAR'!H44</f>
        <v>0.16425371227743413</v>
      </c>
      <c r="S16" s="88"/>
      <c r="T16" s="88"/>
      <c r="U16" s="88"/>
      <c r="V16" s="42"/>
      <c r="W16" s="42"/>
      <c r="X16" s="42"/>
      <c r="Y16" s="42"/>
      <c r="Z16" s="42"/>
      <c r="AA16" s="42"/>
    </row>
    <row r="17" spans="2:27">
      <c r="B17" s="5" t="s">
        <v>6</v>
      </c>
      <c r="C17" s="257"/>
      <c r="D17" s="228">
        <f>'DM ASIA OTHER'!D17+'EM ASIA CELLULAR'!D17</f>
        <v>0</v>
      </c>
      <c r="E17" s="228">
        <f>'DM ASIA OTHER'!E17+'EM ASIA CELLULAR'!E17</f>
        <v>0</v>
      </c>
      <c r="F17" s="228">
        <f>'DM ASIA OTHER'!F17+'EM ASIA CELLULAR'!F17</f>
        <v>0</v>
      </c>
      <c r="G17" s="228">
        <f>'DM ASIA OTHER'!G17+'EM ASIA CELLULAR'!G17</f>
        <v>0</v>
      </c>
      <c r="H17" s="247"/>
      <c r="I17" s="247"/>
      <c r="J17" s="5" t="s">
        <v>580</v>
      </c>
      <c r="L17" s="248">
        <f>'EM CELLULAR'!D45</f>
        <v>3.8592786101513454E-2</v>
      </c>
      <c r="M17" s="248">
        <f>'EM CELLULAR'!E45</f>
        <v>4.221028254180547E-2</v>
      </c>
      <c r="N17" s="248">
        <f>'EM CELLULAR'!F45</f>
        <v>4.9095770089858652E-2</v>
      </c>
      <c r="O17" s="248">
        <f>'EM CELLULAR'!G45</f>
        <v>5.6214491846374066E-2</v>
      </c>
      <c r="P17" s="17">
        <f>'EM CELLULAR'!H45</f>
        <v>0.1356682547662138</v>
      </c>
      <c r="S17" s="88"/>
      <c r="T17" s="88"/>
      <c r="U17" s="88"/>
      <c r="V17" s="42"/>
      <c r="W17" s="42"/>
      <c r="X17" s="42"/>
      <c r="Y17" s="42"/>
      <c r="Z17" s="42"/>
      <c r="AA17" s="42"/>
    </row>
    <row r="18" spans="2:27" ht="12.6" thickBot="1">
      <c r="B18" s="41" t="s">
        <v>360</v>
      </c>
      <c r="C18" s="249"/>
      <c r="D18" s="275">
        <f>'DM ASIA OTHER'!D18+'EM ASIA CELLULAR'!D18</f>
        <v>652339.39297945017</v>
      </c>
      <c r="E18" s="275">
        <f>'DM ASIA OTHER'!E18+'EM ASIA CELLULAR'!E18</f>
        <v>633344.77011189202</v>
      </c>
      <c r="F18" s="275">
        <f>'DM ASIA OTHER'!F18+'EM ASIA CELLULAR'!F18</f>
        <v>590550.40881411301</v>
      </c>
      <c r="G18" s="275">
        <f>'DM ASIA OTHER'!G18+'EM ASIA CELLULAR'!G18</f>
        <v>542617.73549114284</v>
      </c>
      <c r="H18" s="276">
        <f>IF(D18=0,"nm",IF(G18=0,"nm",(G18/D18)^(1/3)-1))</f>
        <v>-5.9540437913602751E-2</v>
      </c>
      <c r="I18" s="254"/>
      <c r="J18" s="5" t="s">
        <v>36</v>
      </c>
      <c r="L18" s="248" t="e">
        <f>'EM CELLULAR'!D46</f>
        <v>#VALUE!</v>
      </c>
      <c r="M18" s="248" t="e">
        <f>'EM CELLULAR'!E46</f>
        <v>#VALUE!</v>
      </c>
      <c r="N18" s="248" t="e">
        <f>'EM CELLULAR'!F46</f>
        <v>#VALUE!</v>
      </c>
      <c r="O18" s="248" t="e">
        <f>'EM CELLULAR'!G46</f>
        <v>#VALUE!</v>
      </c>
      <c r="P18" s="17" t="e">
        <f>'EM CELLULAR'!H46</f>
        <v>#VALUE!</v>
      </c>
      <c r="S18" s="88"/>
      <c r="T18" s="42"/>
      <c r="U18" s="42"/>
      <c r="V18" s="42"/>
      <c r="W18" s="42"/>
      <c r="X18" s="42"/>
      <c r="Y18" s="42"/>
      <c r="Z18" s="42"/>
      <c r="AA18" s="42"/>
    </row>
    <row r="19" spans="2:27" ht="12.6" thickTop="1">
      <c r="B19" s="41"/>
      <c r="C19" s="249"/>
      <c r="D19" s="229"/>
      <c r="E19" s="229"/>
      <c r="F19" s="229"/>
      <c r="G19" s="229"/>
      <c r="H19" s="276"/>
      <c r="I19" s="17"/>
      <c r="J19" s="5" t="s">
        <v>581</v>
      </c>
      <c r="L19" s="248">
        <f>'EM CELLULAR'!D47</f>
        <v>4.3761880265579547E-2</v>
      </c>
      <c r="M19" s="248">
        <f>'EM CELLULAR'!E47</f>
        <v>4.8987760671499313E-2</v>
      </c>
      <c r="N19" s="248">
        <f>'EM CELLULAR'!F47</f>
        <v>5.9961714304254204E-2</v>
      </c>
      <c r="O19" s="248">
        <f>'EM CELLULAR'!G47</f>
        <v>7.1164235559031272E-2</v>
      </c>
      <c r="P19" s="17">
        <f>'EM CELLULAR'!H47</f>
        <v>0.1773224152875903</v>
      </c>
      <c r="S19" s="88"/>
      <c r="T19" s="42"/>
      <c r="U19" s="42"/>
      <c r="V19" s="42"/>
      <c r="W19" s="42"/>
      <c r="X19" s="42"/>
      <c r="Y19" s="42"/>
      <c r="Z19" s="42"/>
      <c r="AA19" s="42"/>
    </row>
    <row r="20" spans="2:27">
      <c r="H20" s="277"/>
      <c r="I20" s="49"/>
      <c r="J20" s="5" t="s">
        <v>604</v>
      </c>
      <c r="L20" s="248">
        <f>'EM CELLULAR'!D48</f>
        <v>0.88668294064217501</v>
      </c>
      <c r="M20" s="248">
        <f>'EM CELLULAR'!E48</f>
        <v>0.86591383416109602</v>
      </c>
      <c r="N20" s="248">
        <f>'EM CELLULAR'!F48</f>
        <v>0.82267670747127919</v>
      </c>
      <c r="O20" s="248">
        <f>'EM CELLULAR'!G48</f>
        <v>0.79585980881552554</v>
      </c>
      <c r="P20" s="17" t="str">
        <f>'EM CELLULAR'!H48</f>
        <v>nm</v>
      </c>
      <c r="S20" s="42"/>
      <c r="T20" s="42"/>
      <c r="U20" s="42"/>
      <c r="V20" s="42"/>
      <c r="W20" s="42"/>
      <c r="X20" s="42"/>
      <c r="Y20" s="42"/>
      <c r="Z20" s="42"/>
      <c r="AA20" s="42"/>
    </row>
    <row r="21" spans="2:27" ht="12.6" thickBot="1">
      <c r="B21" s="306" t="s">
        <v>482</v>
      </c>
      <c r="C21" s="265">
        <v>2020</v>
      </c>
      <c r="D21" s="265" t="str">
        <f>D5</f>
        <v>2023E</v>
      </c>
      <c r="E21" s="265" t="str">
        <f>E5</f>
        <v>2024E</v>
      </c>
      <c r="F21" s="265" t="str">
        <f>F5</f>
        <v>2025E</v>
      </c>
      <c r="G21" s="265" t="str">
        <f>G5</f>
        <v>2026E</v>
      </c>
      <c r="H21" s="282" t="str">
        <f>H5</f>
        <v>23E-26E</v>
      </c>
      <c r="I21" s="17"/>
      <c r="S21" s="42"/>
      <c r="T21" s="42"/>
      <c r="U21" s="42"/>
      <c r="V21" s="42"/>
      <c r="W21" s="42"/>
      <c r="X21" s="42"/>
      <c r="Y21" s="42"/>
      <c r="Z21" s="42"/>
      <c r="AA21" s="42"/>
    </row>
    <row r="22" spans="2:27" ht="12.6" thickTop="1">
      <c r="B22" s="5"/>
      <c r="C22" s="257"/>
      <c r="D22" s="17"/>
      <c r="E22" s="17"/>
      <c r="F22" s="17"/>
      <c r="G22" s="17"/>
      <c r="H22" s="17"/>
      <c r="I22" s="247"/>
      <c r="P22" s="277"/>
      <c r="S22" s="42"/>
      <c r="T22" s="42"/>
      <c r="U22" s="42"/>
      <c r="V22" s="42"/>
      <c r="W22" s="42"/>
      <c r="X22" s="42"/>
      <c r="Y22" s="42"/>
      <c r="Z22" s="42"/>
      <c r="AA22" s="42"/>
    </row>
    <row r="23" spans="2:27" ht="12.6" thickBot="1">
      <c r="B23" s="5" t="s">
        <v>584</v>
      </c>
      <c r="C23" s="365">
        <f>'DM ASIA OTHER'!C23+'EM ASIA CELLULAR'!C23</f>
        <v>294921.59595940483</v>
      </c>
      <c r="D23" s="228">
        <f>'DM ASIA OTHER'!D23+'EM ASIA CELLULAR'!D23</f>
        <v>313130.6405989402</v>
      </c>
      <c r="E23" s="228">
        <f>'DM ASIA OTHER'!E23+'EM ASIA CELLULAR'!E23</f>
        <v>330204.47601132584</v>
      </c>
      <c r="F23" s="228">
        <f>'DM ASIA OTHER'!F23+'EM ASIA CELLULAR'!F23</f>
        <v>347915.0112995666</v>
      </c>
      <c r="G23" s="228">
        <f>'DM ASIA OTHER'!G23+'EM ASIA CELLULAR'!G23</f>
        <v>365420.14975115651</v>
      </c>
      <c r="H23" s="279">
        <f t="shared" ref="H23:H33" si="0">IF(D23=0,"nm",IF(G23=0,"nm",(G23/D23)^(1/3)-1))</f>
        <v>5.2823672985303771E-2</v>
      </c>
      <c r="I23" s="249"/>
      <c r="J23" s="306" t="s">
        <v>9</v>
      </c>
      <c r="K23" s="306"/>
      <c r="L23" s="265" t="str">
        <f>L5</f>
        <v>2023E</v>
      </c>
      <c r="M23" s="265" t="str">
        <f>M5</f>
        <v>2024E</v>
      </c>
      <c r="N23" s="265" t="str">
        <f>N5</f>
        <v>2025E</v>
      </c>
      <c r="O23" s="265" t="str">
        <f>O5</f>
        <v>2026E</v>
      </c>
      <c r="P23" s="282" t="str">
        <f>P5</f>
        <v>23E-26E</v>
      </c>
      <c r="S23" s="42"/>
      <c r="T23" s="42"/>
      <c r="U23" s="42"/>
      <c r="V23" s="42"/>
      <c r="W23" s="42" t="s">
        <v>564</v>
      </c>
      <c r="X23" s="42" t="s">
        <v>563</v>
      </c>
      <c r="Y23" s="42"/>
      <c r="Z23" s="42"/>
      <c r="AA23" s="42"/>
    </row>
    <row r="24" spans="2:27" ht="12.6" thickTop="1">
      <c r="B24" s="5" t="s">
        <v>483</v>
      </c>
      <c r="C24" s="365">
        <f>'DM ASIA OTHER'!C24+'EM ASIA CELLULAR'!C24</f>
        <v>96766.819493159011</v>
      </c>
      <c r="D24" s="228">
        <f>'DM ASIA OTHER'!D24+'EM ASIA CELLULAR'!D24</f>
        <v>102603.34606038863</v>
      </c>
      <c r="E24" s="228">
        <f>'DM ASIA OTHER'!E24+'EM ASIA CELLULAR'!E24</f>
        <v>108543.43189767881</v>
      </c>
      <c r="F24" s="228">
        <f>'DM ASIA OTHER'!F24+'EM ASIA CELLULAR'!F24</f>
        <v>115706.76758365247</v>
      </c>
      <c r="G24" s="228">
        <f>'DM ASIA OTHER'!G24+'EM ASIA CELLULAR'!G24</f>
        <v>122860.98144174137</v>
      </c>
      <c r="H24" s="279">
        <f t="shared" si="0"/>
        <v>6.1901299000113985E-2</v>
      </c>
      <c r="I24" s="248"/>
      <c r="J24" s="17"/>
      <c r="K24" s="17"/>
      <c r="L24" s="17"/>
      <c r="M24" s="17"/>
      <c r="N24" s="17"/>
      <c r="O24" s="248"/>
      <c r="S24" s="42"/>
      <c r="T24" s="42"/>
      <c r="U24" s="42"/>
      <c r="V24" s="147" t="s">
        <v>273</v>
      </c>
      <c r="W24" s="288">
        <f t="shared" ref="W24:W31" si="1">E37/M9</f>
        <v>0.88437923080973646</v>
      </c>
      <c r="X24" s="288">
        <v>1</v>
      </c>
      <c r="Y24" s="42"/>
      <c r="Z24" s="42"/>
      <c r="AA24" s="42"/>
    </row>
    <row r="25" spans="2:27">
      <c r="B25" s="5" t="s">
        <v>183</v>
      </c>
      <c r="C25" s="365">
        <f>'DM ASIA OTHER'!C25+'EM ASIA CELLULAR'!C25</f>
        <v>45965.262922149908</v>
      </c>
      <c r="D25" s="228">
        <f>'DM ASIA OTHER'!D25+'EM ASIA CELLULAR'!D25</f>
        <v>53224.753987819968</v>
      </c>
      <c r="E25" s="228">
        <f>'DM ASIA OTHER'!E25+'EM ASIA CELLULAR'!E25</f>
        <v>60133.287456020102</v>
      </c>
      <c r="F25" s="228">
        <f>'DM ASIA OTHER'!F25+'EM ASIA CELLULAR'!F25</f>
        <v>67033.822178672955</v>
      </c>
      <c r="G25" s="228">
        <f>'DM ASIA OTHER'!G25+'EM ASIA CELLULAR'!G25</f>
        <v>73925.593216886598</v>
      </c>
      <c r="H25" s="279">
        <f t="shared" si="0"/>
        <v>0.11573327430771596</v>
      </c>
      <c r="I25" s="249"/>
      <c r="J25" s="247" t="s">
        <v>10</v>
      </c>
      <c r="K25" s="247"/>
      <c r="L25" s="332">
        <f>'DM ASIA OTHER'!L25+'EM ASIA CELLULAR'!L25</f>
        <v>0</v>
      </c>
      <c r="M25" s="332">
        <f>'DM ASIA OTHER'!M25+'EM ASIA CELLULAR'!M25</f>
        <v>0</v>
      </c>
      <c r="N25" s="332">
        <f>'DM ASIA OTHER'!N25+'EM ASIA CELLULAR'!N25</f>
        <v>0</v>
      </c>
      <c r="O25" s="332">
        <f>'DM ASIA OTHER'!O25+'EM ASIA CELLULAR'!O25</f>
        <v>0</v>
      </c>
      <c r="P25" s="279" t="str">
        <f>IF(L25=0,"nm",IF(O25=0,"nm",(O25/L25)^(1/3)-1))</f>
        <v>nm</v>
      </c>
      <c r="Q25" s="5"/>
      <c r="S25" s="42"/>
      <c r="T25" s="42"/>
      <c r="U25" s="42"/>
      <c r="V25" s="147" t="s">
        <v>184</v>
      </c>
      <c r="W25" s="288">
        <f t="shared" si="1"/>
        <v>1.0047767562668788</v>
      </c>
      <c r="X25" s="288">
        <v>1</v>
      </c>
      <c r="Y25" s="42"/>
      <c r="Z25" s="42"/>
      <c r="AA25" s="42"/>
    </row>
    <row r="26" spans="2:27">
      <c r="B26" s="5" t="s">
        <v>586</v>
      </c>
      <c r="C26" s="365">
        <f>'DM ASIA OTHER'!C26+'EM ASIA CELLULAR'!C26</f>
        <v>35183.489621998175</v>
      </c>
      <c r="D26" s="228">
        <f>'DM ASIA OTHER'!D26+'EM ASIA CELLULAR'!D26</f>
        <v>40895.686277355744</v>
      </c>
      <c r="E26" s="228">
        <f>'DM ASIA OTHER'!E26+'EM ASIA CELLULAR'!E26</f>
        <v>45738.164977573775</v>
      </c>
      <c r="F26" s="228">
        <f>'DM ASIA OTHER'!F26+'EM ASIA CELLULAR'!F26</f>
        <v>50792.565139622944</v>
      </c>
      <c r="G26" s="228">
        <f>'DM ASIA OTHER'!G26+'EM ASIA CELLULAR'!G26</f>
        <v>55894.802221288213</v>
      </c>
      <c r="H26" s="279">
        <f t="shared" si="0"/>
        <v>0.10976572550111241</v>
      </c>
      <c r="I26" s="249"/>
      <c r="J26" s="249" t="s">
        <v>11</v>
      </c>
      <c r="K26" s="249"/>
      <c r="L26" s="281">
        <f>'DM ASIA OTHER'!L26+'EM ASIA CELLULAR'!L26</f>
        <v>456371.07782417338</v>
      </c>
      <c r="M26" s="281">
        <f>'DM ASIA OTHER'!M26+'EM ASIA CELLULAR'!M26</f>
        <v>458514.92584190739</v>
      </c>
      <c r="N26" s="281">
        <f>'DM ASIA OTHER'!N26+'EM ASIA CELLULAR'!N26</f>
        <v>456990.62976131594</v>
      </c>
      <c r="O26" s="281">
        <f>'DM ASIA OTHER'!O26+'EM ASIA CELLULAR'!O26</f>
        <v>455464.79353192879</v>
      </c>
      <c r="P26" s="279">
        <f>IF(L26=0,"nm",IF(O26=0,"nm",(O26/L26)^(1/3)-1))</f>
        <v>-6.6238850633570934E-4</v>
      </c>
      <c r="Q26" s="41"/>
      <c r="S26" s="42"/>
      <c r="T26" s="42"/>
      <c r="U26" s="42"/>
      <c r="V26" s="147" t="s">
        <v>185</v>
      </c>
      <c r="W26" s="288">
        <f t="shared" si="1"/>
        <v>0.98018081304372018</v>
      </c>
      <c r="X26" s="288">
        <v>1</v>
      </c>
      <c r="Y26" s="42"/>
      <c r="Z26" s="42"/>
      <c r="AA26" s="42"/>
    </row>
    <row r="27" spans="2:27">
      <c r="B27" s="5" t="s">
        <v>587</v>
      </c>
      <c r="C27" s="365">
        <f>'DM ASIA OTHER'!C27+'EM ASIA CELLULAR'!C27</f>
        <v>382970.00631755614</v>
      </c>
      <c r="D27" s="228">
        <f>'DM ASIA OTHER'!D27+'EM ASIA CELLULAR'!D27</f>
        <v>456998.0648117105</v>
      </c>
      <c r="E27" s="228">
        <f>'DM ASIA OTHER'!E27+'EM ASIA CELLULAR'!E27</f>
        <v>446656.07582090091</v>
      </c>
      <c r="F27" s="228">
        <f>'DM ASIA OTHER'!F27+'EM ASIA CELLULAR'!F27</f>
        <v>439047.82729112392</v>
      </c>
      <c r="G27" s="228">
        <f>'DM ASIA OTHER'!G27+'EM ASIA CELLULAR'!G27</f>
        <v>430001.05526481685</v>
      </c>
      <c r="H27" s="279">
        <f t="shared" si="0"/>
        <v>-2.0092563683029918E-2</v>
      </c>
      <c r="I27" s="248"/>
      <c r="J27" s="248"/>
      <c r="K27" s="248"/>
      <c r="L27" s="248"/>
      <c r="M27" s="248"/>
      <c r="N27" s="248"/>
      <c r="O27" s="248"/>
      <c r="Q27" s="5"/>
      <c r="S27" s="42"/>
      <c r="T27" s="42"/>
      <c r="U27" s="42"/>
      <c r="V27" s="147" t="s">
        <v>466</v>
      </c>
      <c r="W27" s="288">
        <f t="shared" si="1"/>
        <v>0.98156642419310913</v>
      </c>
      <c r="X27" s="288">
        <v>1</v>
      </c>
      <c r="Y27" s="42"/>
      <c r="Z27" s="42"/>
      <c r="AA27" s="42"/>
    </row>
    <row r="28" spans="2:27" ht="12.6" thickBot="1">
      <c r="B28" s="5" t="s">
        <v>592</v>
      </c>
      <c r="C28" s="365">
        <f>'DM ASIA OTHER'!C28+'EM ASIA CELLULAR'!C28</f>
        <v>228849.61278603884</v>
      </c>
      <c r="D28" s="228">
        <f>'DM ASIA OTHER'!D28+'EM ASIA CELLULAR'!D28</f>
        <v>223935.40164497486</v>
      </c>
      <c r="E28" s="228">
        <f>'DM ASIA OTHER'!E28+'EM ASIA CELLULAR'!E28</f>
        <v>225019.48461428314</v>
      </c>
      <c r="F28" s="228">
        <f>'DM ASIA OTHER'!F28+'EM ASIA CELLULAR'!F28</f>
        <v>228112.28961311709</v>
      </c>
      <c r="G28" s="228">
        <f>'DM ASIA OTHER'!G28+'EM ASIA CELLULAR'!G28</f>
        <v>229866.12533209956</v>
      </c>
      <c r="H28" s="279">
        <f t="shared" si="0"/>
        <v>8.7512202951403051E-3</v>
      </c>
      <c r="I28" s="252"/>
      <c r="J28" s="306" t="s">
        <v>754</v>
      </c>
      <c r="K28" s="306"/>
      <c r="L28" s="306"/>
      <c r="M28" s="306"/>
      <c r="N28" s="266"/>
      <c r="O28" s="266"/>
      <c r="P28" s="266"/>
      <c r="Q28" s="5"/>
      <c r="S28" s="42"/>
      <c r="T28" s="42"/>
      <c r="U28" s="42"/>
      <c r="V28" s="147" t="s">
        <v>530</v>
      </c>
      <c r="W28" s="288">
        <f t="shared" si="1"/>
        <v>0.94690001085329589</v>
      </c>
      <c r="X28" s="288">
        <v>1</v>
      </c>
      <c r="Y28" s="42"/>
      <c r="Z28" s="42"/>
      <c r="AA28" s="42"/>
    </row>
    <row r="29" spans="2:27" ht="12.6" thickTop="1">
      <c r="B29" s="5" t="s">
        <v>588</v>
      </c>
      <c r="C29" s="365">
        <f>'DM ASIA OTHER'!C29+'EM ASIA CELLULAR'!C29</f>
        <v>19621.434647203467</v>
      </c>
      <c r="D29" s="228">
        <f>'DM ASIA OTHER'!D29+'EM ASIA CELLULAR'!D29</f>
        <v>23672.707462402115</v>
      </c>
      <c r="E29" s="228">
        <f>'DM ASIA OTHER'!E29+'EM ASIA CELLULAR'!E29</f>
        <v>29537.705174923372</v>
      </c>
      <c r="F29" s="228">
        <f>'DM ASIA OTHER'!F29+'EM ASIA CELLULAR'!F29</f>
        <v>34470.643511810114</v>
      </c>
      <c r="G29" s="228">
        <f>'DM ASIA OTHER'!G29+'EM ASIA CELLULAR'!G29</f>
        <v>39722.583279870072</v>
      </c>
      <c r="H29" s="279">
        <f t="shared" si="0"/>
        <v>0.18831027118838706</v>
      </c>
      <c r="I29" s="254"/>
      <c r="J29" s="249"/>
      <c r="K29" s="249"/>
      <c r="L29" s="249"/>
      <c r="M29" s="249"/>
      <c r="N29" s="249"/>
      <c r="O29" s="251"/>
      <c r="Q29" s="5"/>
      <c r="S29" s="42"/>
      <c r="T29" s="42"/>
      <c r="U29" s="42"/>
      <c r="V29" s="147" t="s">
        <v>593</v>
      </c>
      <c r="W29" s="288">
        <f t="shared" si="1"/>
        <v>1.0897842585683084</v>
      </c>
      <c r="X29" s="288">
        <v>1</v>
      </c>
      <c r="Y29" s="42"/>
      <c r="Z29" s="42"/>
      <c r="AA29" s="42"/>
    </row>
    <row r="30" spans="2:27">
      <c r="B30" s="5" t="s">
        <v>589</v>
      </c>
      <c r="C30" s="365">
        <f>'DM ASIA OTHER'!C30+'EM ASIA CELLULAR'!C30</f>
        <v>25450.261009705944</v>
      </c>
      <c r="D30" s="228">
        <f>'DM ASIA OTHER'!D30+'EM ASIA CELLULAR'!D30</f>
        <v>25464.647974986376</v>
      </c>
      <c r="E30" s="228">
        <f>'DM ASIA OTHER'!E30+'EM ASIA CELLULAR'!E30</f>
        <v>30267.931882337121</v>
      </c>
      <c r="F30" s="228">
        <f>'DM ASIA OTHER'!F30+'EM ASIA CELLULAR'!F30</f>
        <v>35117.348554299831</v>
      </c>
      <c r="G30" s="228">
        <f>'DM ASIA OTHER'!G30+'EM ASIA CELLULAR'!G30</f>
        <v>39582.890532801037</v>
      </c>
      <c r="H30" s="279">
        <f t="shared" si="0"/>
        <v>0.15839482711139796</v>
      </c>
      <c r="I30" s="254"/>
      <c r="J30" s="248"/>
      <c r="K30" s="248"/>
      <c r="L30" s="248"/>
      <c r="M30" s="248"/>
      <c r="N30" s="248"/>
      <c r="O30" s="5"/>
      <c r="Q30" s="5"/>
      <c r="S30" s="42"/>
      <c r="T30" s="42"/>
      <c r="U30" s="42"/>
      <c r="V30" s="147" t="s">
        <v>475</v>
      </c>
      <c r="W30" s="288">
        <f t="shared" si="1"/>
        <v>0.76043888035428209</v>
      </c>
      <c r="X30" s="288">
        <v>1</v>
      </c>
      <c r="Y30" s="42"/>
      <c r="Z30" s="42"/>
      <c r="AA30" s="42"/>
    </row>
    <row r="31" spans="2:27">
      <c r="B31" s="5" t="s">
        <v>590</v>
      </c>
      <c r="C31" s="365">
        <f>'DM ASIA OTHER'!C31+'EM ASIA CELLULAR'!C31</f>
        <v>19660.925408324929</v>
      </c>
      <c r="D31" s="228">
        <f>'DM ASIA OTHER'!D31+'EM ASIA CELLULAR'!D31</f>
        <v>21789.632907160951</v>
      </c>
      <c r="E31" s="228">
        <f>'DM ASIA OTHER'!E31+'EM ASIA CELLULAR'!E31</f>
        <v>23479.637265937705</v>
      </c>
      <c r="F31" s="228">
        <f>'DM ASIA OTHER'!F31+'EM ASIA CELLULAR'!F31</f>
        <v>26762.057944991051</v>
      </c>
      <c r="G31" s="228">
        <f>'DM ASIA OTHER'!G31+'EM ASIA CELLULAR'!G31</f>
        <v>30180.459745058462</v>
      </c>
      <c r="H31" s="279">
        <f t="shared" si="0"/>
        <v>0.11470165475568339</v>
      </c>
      <c r="I31" s="254"/>
      <c r="J31" s="252"/>
      <c r="K31" s="252"/>
      <c r="L31" s="252"/>
      <c r="M31" s="252"/>
      <c r="N31" s="252"/>
      <c r="O31" s="5"/>
      <c r="Q31" s="5"/>
      <c r="S31" s="42"/>
      <c r="T31" s="42"/>
      <c r="U31" s="42"/>
      <c r="V31" s="147" t="s">
        <v>533</v>
      </c>
      <c r="W31" s="288">
        <f t="shared" si="1"/>
        <v>0.98218963025356321</v>
      </c>
      <c r="X31" s="288">
        <v>1</v>
      </c>
      <c r="Y31" s="42"/>
      <c r="Z31" s="42"/>
      <c r="AA31" s="42"/>
    </row>
    <row r="32" spans="2:27">
      <c r="B32" s="5" t="s">
        <v>606</v>
      </c>
      <c r="C32" s="365" t="e">
        <f>'DM ASIA OTHER'!C32+'EM ASIA CELLULAR'!C32</f>
        <v>#VALUE!</v>
      </c>
      <c r="D32" s="228" t="e">
        <f>'DM ASIA OTHER'!D32+'EM ASIA CELLULAR'!D32</f>
        <v>#VALUE!</v>
      </c>
      <c r="E32" s="228" t="e">
        <f>'DM ASIA OTHER'!E32+'EM ASIA CELLULAR'!E32</f>
        <v>#VALUE!</v>
      </c>
      <c r="F32" s="228" t="e">
        <f>'DM ASIA OTHER'!F32+'EM ASIA CELLULAR'!F32</f>
        <v>#VALUE!</v>
      </c>
      <c r="G32" s="228" t="e">
        <f>'DM ASIA OTHER'!G32+'EM ASIA CELLULAR'!G32</f>
        <v>#VALUE!</v>
      </c>
      <c r="H32" s="279" t="e">
        <f t="shared" si="0"/>
        <v>#VALUE!</v>
      </c>
      <c r="I32" s="5"/>
      <c r="J32" s="254"/>
      <c r="K32" s="254"/>
      <c r="L32" s="254"/>
      <c r="M32" s="254"/>
      <c r="N32" s="254"/>
      <c r="O32" s="251"/>
      <c r="Q32" s="5"/>
      <c r="S32" s="42"/>
      <c r="T32" s="42"/>
      <c r="U32" s="42"/>
      <c r="V32" s="147" t="s">
        <v>580</v>
      </c>
      <c r="W32" s="288">
        <f>M17/E45</f>
        <v>0.9423437241264101</v>
      </c>
      <c r="X32" s="288">
        <v>1</v>
      </c>
      <c r="Y32" s="42"/>
      <c r="Z32" s="42"/>
      <c r="AA32" s="42"/>
    </row>
    <row r="33" spans="2:42">
      <c r="B33" s="5" t="s">
        <v>5</v>
      </c>
      <c r="C33" s="365">
        <f>'DM ASIA OTHER'!C33+'EM ASIA CELLULAR'!C33</f>
        <v>7483.6436864821335</v>
      </c>
      <c r="D33" s="228">
        <f>'DM ASIA OTHER'!D33+'EM ASIA CELLULAR'!D33</f>
        <v>8910.4348406259996</v>
      </c>
      <c r="E33" s="228">
        <f>'DM ASIA OTHER'!E33+'EM ASIA CELLULAR'!E33</f>
        <v>8902.7057094679712</v>
      </c>
      <c r="F33" s="228">
        <f>'DM ASIA OTHER'!F33+'EM ASIA CELLULAR'!F33</f>
        <v>8905.3238550979713</v>
      </c>
      <c r="G33" s="228">
        <f>'DM ASIA OTHER'!G33+'EM ASIA CELLULAR'!G33</f>
        <v>9018.75530589337</v>
      </c>
      <c r="H33" s="279">
        <f t="shared" si="0"/>
        <v>4.0358849719852596E-3</v>
      </c>
      <c r="I33" s="49"/>
      <c r="J33" s="254"/>
      <c r="K33" s="254"/>
      <c r="L33" s="254"/>
      <c r="M33" s="254"/>
      <c r="N33" s="254"/>
      <c r="O33" s="251"/>
      <c r="Q33" s="5"/>
      <c r="S33" s="42"/>
      <c r="T33" s="42"/>
      <c r="U33" s="42"/>
      <c r="V33" s="147" t="s">
        <v>266</v>
      </c>
      <c r="W33" s="288">
        <f>N19/F47</f>
        <v>0.79493559707061912</v>
      </c>
      <c r="X33" s="288">
        <v>1</v>
      </c>
      <c r="Y33" s="288"/>
      <c r="Z33" s="288"/>
      <c r="AA33" s="42"/>
      <c r="AC33" s="10"/>
      <c r="AD33" s="10"/>
      <c r="AE33" s="10"/>
      <c r="AF33" s="10"/>
      <c r="AH33" s="10"/>
      <c r="AI33" s="10"/>
      <c r="AJ33" s="10"/>
      <c r="AK33" s="10"/>
      <c r="AM33" s="10"/>
      <c r="AN33" s="10"/>
      <c r="AO33" s="10"/>
      <c r="AP33" s="10"/>
    </row>
    <row r="34" spans="2:42">
      <c r="H34" s="277"/>
      <c r="I34" s="254"/>
      <c r="J34" s="254"/>
      <c r="K34" s="254"/>
      <c r="L34" s="254"/>
      <c r="M34" s="254"/>
      <c r="N34" s="254"/>
      <c r="O34" s="251"/>
      <c r="Q34" s="5"/>
      <c r="S34" s="42"/>
      <c r="T34" s="42"/>
      <c r="U34" s="42"/>
      <c r="V34" s="42"/>
      <c r="W34" s="42"/>
      <c r="X34" s="42"/>
      <c r="Y34" s="288"/>
      <c r="Z34" s="288"/>
      <c r="AA34" s="42"/>
      <c r="AC34" s="10"/>
      <c r="AD34" s="10"/>
      <c r="AE34" s="10"/>
      <c r="AF34" s="10"/>
      <c r="AH34" s="10"/>
      <c r="AI34" s="10"/>
      <c r="AJ34" s="10"/>
      <c r="AK34" s="10"/>
      <c r="AM34" s="10"/>
      <c r="AN34" s="10"/>
      <c r="AO34" s="10"/>
      <c r="AP34" s="10"/>
    </row>
    <row r="35" spans="2:42" ht="12.6" thickBot="1">
      <c r="B35" s="306" t="s">
        <v>279</v>
      </c>
      <c r="C35" s="265"/>
      <c r="D35" s="265" t="str">
        <f>D5</f>
        <v>2023E</v>
      </c>
      <c r="E35" s="265" t="str">
        <f>E5</f>
        <v>2024E</v>
      </c>
      <c r="F35" s="265" t="str">
        <f>F5</f>
        <v>2025E</v>
      </c>
      <c r="G35" s="265" t="str">
        <f>G5</f>
        <v>2026E</v>
      </c>
      <c r="H35" s="265" t="str">
        <f>H5</f>
        <v>23E-26E</v>
      </c>
      <c r="I35" s="17"/>
      <c r="J35" s="5"/>
      <c r="K35" s="5"/>
      <c r="L35" s="5"/>
      <c r="M35" s="5"/>
      <c r="N35" s="5"/>
      <c r="O35" s="5"/>
      <c r="Q35" s="5"/>
      <c r="S35" s="42"/>
      <c r="T35" s="42"/>
      <c r="U35" s="42"/>
      <c r="V35" s="42"/>
      <c r="W35" s="42"/>
      <c r="X35" s="42"/>
      <c r="Y35" s="288"/>
      <c r="Z35" s="288"/>
      <c r="AA35" s="42"/>
      <c r="AC35" s="10"/>
      <c r="AD35" s="10"/>
      <c r="AE35" s="10"/>
      <c r="AF35" s="10"/>
      <c r="AH35" s="10"/>
      <c r="AI35" s="10"/>
      <c r="AJ35" s="10"/>
      <c r="AK35" s="10"/>
      <c r="AM35" s="10"/>
      <c r="AN35" s="10"/>
      <c r="AO35" s="10"/>
      <c r="AP35" s="10"/>
    </row>
    <row r="36" spans="2:42" ht="12.6" thickTop="1">
      <c r="B36" s="41"/>
      <c r="C36" s="249"/>
      <c r="D36" s="254"/>
      <c r="E36" s="254"/>
      <c r="F36" s="254"/>
      <c r="G36" s="254"/>
      <c r="H36" s="254"/>
      <c r="I36" s="5"/>
      <c r="J36" s="49"/>
      <c r="K36" s="49"/>
      <c r="L36" s="49"/>
      <c r="M36" s="49"/>
      <c r="N36" s="49"/>
      <c r="O36" s="49"/>
      <c r="Q36" s="5"/>
      <c r="R36" s="5"/>
      <c r="S36" s="42"/>
      <c r="T36" s="42"/>
      <c r="U36" s="42"/>
      <c r="V36" s="42"/>
      <c r="W36" s="42"/>
      <c r="X36" s="42"/>
      <c r="Y36" s="42"/>
      <c r="Z36" s="42"/>
      <c r="AA36" s="42"/>
      <c r="AC36" s="10"/>
      <c r="AD36" s="10"/>
      <c r="AE36" s="10"/>
      <c r="AF36" s="10"/>
      <c r="AH36" s="10"/>
      <c r="AI36" s="10"/>
      <c r="AJ36" s="10"/>
      <c r="AK36" s="10"/>
      <c r="AM36" s="10"/>
      <c r="AN36" s="10"/>
      <c r="AO36" s="10"/>
      <c r="AP36" s="10"/>
    </row>
    <row r="37" spans="2:42">
      <c r="B37" s="5" t="s">
        <v>273</v>
      </c>
      <c r="C37" s="247"/>
      <c r="D37" s="64">
        <f t="shared" ref="D37:G41" si="2">D$18/D23</f>
        <v>2.0832818906884643</v>
      </c>
      <c r="E37" s="64">
        <f t="shared" si="2"/>
        <v>1.9180381131180324</v>
      </c>
      <c r="F37" s="64">
        <f t="shared" si="2"/>
        <v>1.6973984727138696</v>
      </c>
      <c r="G37" s="64">
        <f t="shared" si="2"/>
        <v>1.4849146547081604</v>
      </c>
      <c r="H37" s="17">
        <f t="shared" ref="H37:H45" si="3">H23</f>
        <v>5.2823672985303771E-2</v>
      </c>
      <c r="I37" s="259"/>
      <c r="J37" s="259"/>
      <c r="K37" s="259"/>
      <c r="L37" s="259"/>
      <c r="M37" s="259"/>
      <c r="N37" s="259"/>
      <c r="O37" s="18"/>
      <c r="Q37" s="5"/>
      <c r="R37" s="5"/>
      <c r="S37" s="42"/>
      <c r="T37" s="42"/>
      <c r="U37" s="42"/>
      <c r="V37" s="42"/>
      <c r="W37" s="42"/>
      <c r="X37" s="42"/>
      <c r="Y37" s="42"/>
      <c r="Z37" s="42"/>
      <c r="AA37" s="42"/>
      <c r="AC37" s="10"/>
      <c r="AD37" s="10"/>
      <c r="AE37" s="10"/>
      <c r="AF37" s="10"/>
      <c r="AH37" s="10"/>
      <c r="AI37" s="10"/>
      <c r="AJ37" s="10"/>
      <c r="AK37" s="10"/>
      <c r="AM37" s="10"/>
      <c r="AN37" s="10"/>
      <c r="AO37" s="10"/>
      <c r="AP37" s="10"/>
    </row>
    <row r="38" spans="2:42">
      <c r="B38" s="5" t="s">
        <v>184</v>
      </c>
      <c r="C38" s="247"/>
      <c r="D38" s="64">
        <f t="shared" si="2"/>
        <v>6.3578764048835863</v>
      </c>
      <c r="E38" s="64">
        <f t="shared" si="2"/>
        <v>5.8349432944863064</v>
      </c>
      <c r="F38" s="64">
        <f t="shared" si="2"/>
        <v>5.103853656504258</v>
      </c>
      <c r="G38" s="64">
        <f t="shared" si="2"/>
        <v>4.4165179955724438</v>
      </c>
      <c r="H38" s="17">
        <f t="shared" si="3"/>
        <v>6.1901299000113985E-2</v>
      </c>
      <c r="I38" s="17"/>
      <c r="J38" s="17"/>
      <c r="K38" s="17"/>
      <c r="L38" s="17"/>
      <c r="M38" s="17"/>
      <c r="N38" s="17"/>
      <c r="O38" s="5"/>
      <c r="Q38" s="5"/>
      <c r="R38" s="5"/>
      <c r="S38" s="42"/>
      <c r="T38" s="42"/>
      <c r="U38" s="42"/>
      <c r="V38" s="42"/>
      <c r="W38" s="42"/>
      <c r="X38" s="42"/>
      <c r="Y38" s="42"/>
      <c r="Z38" s="42"/>
      <c r="AA38" s="42"/>
    </row>
    <row r="39" spans="2:42">
      <c r="B39" s="5" t="s">
        <v>185</v>
      </c>
      <c r="C39" s="247"/>
      <c r="D39" s="64">
        <f t="shared" si="2"/>
        <v>12.256315794878686</v>
      </c>
      <c r="E39" s="64">
        <f t="shared" si="2"/>
        <v>10.532349001792122</v>
      </c>
      <c r="F39" s="64">
        <f t="shared" si="2"/>
        <v>8.8097379743624202</v>
      </c>
      <c r="G39" s="64">
        <f t="shared" si="2"/>
        <v>7.3400525025099741</v>
      </c>
      <c r="H39" s="17">
        <f t="shared" si="3"/>
        <v>0.11573327430771596</v>
      </c>
      <c r="I39" s="5"/>
      <c r="J39" s="5"/>
      <c r="K39" s="5"/>
      <c r="L39" s="5"/>
      <c r="M39" s="5"/>
      <c r="N39" s="5"/>
      <c r="O39" s="5"/>
      <c r="Q39" s="5"/>
      <c r="R39" s="5"/>
      <c r="S39" s="42"/>
      <c r="T39" s="42"/>
      <c r="U39" s="42"/>
      <c r="V39" s="42"/>
      <c r="W39" s="288"/>
      <c r="X39" s="288"/>
      <c r="Y39" s="42"/>
      <c r="Z39" s="42"/>
      <c r="AA39" s="42"/>
    </row>
    <row r="40" spans="2:42">
      <c r="B40" s="5" t="s">
        <v>466</v>
      </c>
      <c r="C40" s="247"/>
      <c r="D40" s="64">
        <f t="shared" si="2"/>
        <v>15.951300793811486</v>
      </c>
      <c r="E40" s="64">
        <f t="shared" si="2"/>
        <v>13.847183646795452</v>
      </c>
      <c r="F40" s="64">
        <f t="shared" si="2"/>
        <v>11.626709680654198</v>
      </c>
      <c r="G40" s="64">
        <f t="shared" si="2"/>
        <v>9.7078389032116537</v>
      </c>
      <c r="H40" s="17">
        <f t="shared" si="3"/>
        <v>0.10976572550111241</v>
      </c>
      <c r="I40" s="247"/>
      <c r="J40" s="259"/>
      <c r="K40" s="259"/>
      <c r="L40" s="259"/>
      <c r="M40" s="259"/>
      <c r="N40" s="259"/>
      <c r="O40" s="18"/>
      <c r="Q40" s="5"/>
      <c r="R40" s="5"/>
      <c r="S40" s="42"/>
      <c r="T40" s="42"/>
      <c r="U40" s="42"/>
      <c r="V40" s="42"/>
      <c r="W40" s="288"/>
      <c r="X40" s="288"/>
      <c r="Y40" s="288"/>
      <c r="Z40" s="288"/>
      <c r="AA40" s="42"/>
    </row>
    <row r="41" spans="2:42">
      <c r="B41" s="5" t="s">
        <v>530</v>
      </c>
      <c r="C41" s="247"/>
      <c r="D41" s="64">
        <f t="shared" si="2"/>
        <v>1.4274445412547272</v>
      </c>
      <c r="E41" s="64">
        <f t="shared" si="2"/>
        <v>1.4179696737537477</v>
      </c>
      <c r="F41" s="64">
        <f t="shared" si="2"/>
        <v>1.3450707920768976</v>
      </c>
      <c r="G41" s="64">
        <f t="shared" si="2"/>
        <v>1.2618986136137988</v>
      </c>
      <c r="H41" s="17">
        <f t="shared" si="3"/>
        <v>-2.0092563683029918E-2</v>
      </c>
      <c r="I41" s="248"/>
      <c r="J41" s="17"/>
      <c r="K41" s="17"/>
      <c r="L41" s="17"/>
      <c r="M41" s="17"/>
      <c r="N41" s="17"/>
      <c r="O41" s="5"/>
      <c r="Q41" s="5"/>
      <c r="R41" s="5"/>
      <c r="S41" s="42"/>
      <c r="T41" s="42"/>
      <c r="U41" s="42"/>
      <c r="V41" s="42"/>
      <c r="W41" s="288"/>
      <c r="X41" s="288"/>
      <c r="Y41" s="288"/>
      <c r="Z41" s="288"/>
      <c r="AA41" s="42"/>
    </row>
    <row r="42" spans="2:42">
      <c r="B42" s="5" t="s">
        <v>593</v>
      </c>
      <c r="C42" s="247"/>
      <c r="D42" s="64">
        <f>D18/D28</f>
        <v>2.9130695199933734</v>
      </c>
      <c r="E42" s="64">
        <f>E18/E28</f>
        <v>2.8146219035099969</v>
      </c>
      <c r="F42" s="64">
        <f>F18/F28</f>
        <v>2.5888583636405476</v>
      </c>
      <c r="G42" s="64">
        <f>G18/G28</f>
        <v>2.3605815546209548</v>
      </c>
      <c r="H42" s="17">
        <f t="shared" si="3"/>
        <v>8.7512202951403051E-3</v>
      </c>
      <c r="I42" s="247"/>
      <c r="J42" s="5"/>
      <c r="K42" s="5"/>
      <c r="L42" s="5"/>
      <c r="M42" s="5"/>
      <c r="N42" s="5"/>
      <c r="O42" s="5"/>
      <c r="Q42" s="5"/>
      <c r="R42" s="5"/>
      <c r="S42" s="42"/>
      <c r="T42" s="42"/>
      <c r="U42" s="42"/>
      <c r="V42" s="42"/>
      <c r="W42" s="288"/>
      <c r="X42" s="288"/>
      <c r="Y42" s="288"/>
      <c r="Z42" s="288"/>
      <c r="AA42" s="42"/>
    </row>
    <row r="43" spans="2:42">
      <c r="B43" s="5" t="s">
        <v>475</v>
      </c>
      <c r="C43" s="247"/>
      <c r="D43" s="64">
        <f>L26/D29</f>
        <v>19.278364274513134</v>
      </c>
      <c r="E43" s="64">
        <f>M26/E29</f>
        <v>15.523038202411636</v>
      </c>
      <c r="F43" s="64">
        <f>N26/F29</f>
        <v>13.257386088679914</v>
      </c>
      <c r="G43" s="64">
        <f>O26/G29</f>
        <v>11.466142328229227</v>
      </c>
      <c r="H43" s="17">
        <f t="shared" si="3"/>
        <v>0.18831027118838706</v>
      </c>
      <c r="I43" s="247"/>
      <c r="J43" s="247"/>
      <c r="K43" s="247"/>
      <c r="L43" s="247"/>
      <c r="M43" s="247"/>
      <c r="N43" s="247"/>
      <c r="O43" s="18"/>
      <c r="Q43" s="5"/>
      <c r="R43" s="5"/>
      <c r="S43" s="42"/>
      <c r="T43" s="42"/>
      <c r="U43" s="42"/>
      <c r="V43" s="42"/>
      <c r="W43" s="325"/>
      <c r="X43" s="325"/>
      <c r="Y43" s="288"/>
      <c r="Z43" s="288"/>
      <c r="AA43" s="42"/>
    </row>
    <row r="44" spans="2:42">
      <c r="B44" s="5" t="s">
        <v>533</v>
      </c>
      <c r="C44" s="69"/>
      <c r="D44" s="64">
        <f>D11/D30</f>
        <v>20.50009040888548</v>
      </c>
      <c r="E44" s="64">
        <f>E11/E30</f>
        <v>17.31807909095523</v>
      </c>
      <c r="F44" s="64">
        <f>F11/F30</f>
        <v>14.883294016253318</v>
      </c>
      <c r="G44" s="64">
        <f>G11/G30</f>
        <v>13.16548576425039</v>
      </c>
      <c r="H44" s="17">
        <f t="shared" si="3"/>
        <v>0.15839482711139796</v>
      </c>
      <c r="I44" s="248"/>
      <c r="J44" s="248"/>
      <c r="K44" s="248"/>
      <c r="L44" s="248"/>
      <c r="M44" s="248"/>
      <c r="N44" s="248"/>
      <c r="O44" s="248"/>
      <c r="Q44" s="5"/>
      <c r="R44" s="5"/>
      <c r="S44" s="42"/>
      <c r="T44" s="42"/>
      <c r="U44" s="42"/>
      <c r="V44" s="42"/>
      <c r="W44" s="42"/>
      <c r="X44" s="42"/>
      <c r="Y44" s="325"/>
      <c r="Z44" s="325"/>
      <c r="AA44" s="42"/>
    </row>
    <row r="45" spans="2:42">
      <c r="B45" s="5" t="s">
        <v>580</v>
      </c>
      <c r="C45" s="247"/>
      <c r="D45" s="248">
        <f>D31/D11</f>
        <v>4.174038595528512E-2</v>
      </c>
      <c r="E45" s="248">
        <f>E31/E11</f>
        <v>4.4792872771489058E-2</v>
      </c>
      <c r="F45" s="248">
        <f>F31/F11</f>
        <v>5.1203391440393167E-2</v>
      </c>
      <c r="G45" s="248">
        <f>G31/G11</f>
        <v>5.7913719466381006E-2</v>
      </c>
      <c r="H45" s="17">
        <f t="shared" si="3"/>
        <v>0.11470165475568339</v>
      </c>
      <c r="I45" s="247"/>
      <c r="J45" s="247"/>
      <c r="K45" s="247"/>
      <c r="L45" s="247"/>
      <c r="M45" s="247"/>
      <c r="N45" s="247"/>
      <c r="O45" s="248"/>
      <c r="Q45" s="5"/>
      <c r="R45" s="5"/>
      <c r="S45" s="42"/>
      <c r="T45" s="42"/>
      <c r="U45" s="42"/>
      <c r="V45" s="42"/>
      <c r="W45" s="42"/>
      <c r="X45" s="42"/>
      <c r="Y45" s="42"/>
      <c r="Z45" s="42"/>
      <c r="AA45" s="326"/>
      <c r="AB45" s="303"/>
    </row>
    <row r="46" spans="2:42">
      <c r="B46" s="5" t="s">
        <v>605</v>
      </c>
      <c r="C46" s="247"/>
      <c r="D46" s="248" t="e">
        <f>(D31+D32)/D11</f>
        <v>#VALUE!</v>
      </c>
      <c r="E46" s="248" t="e">
        <f>(E31+E32)/E11</f>
        <v>#VALUE!</v>
      </c>
      <c r="F46" s="248" t="e">
        <f>(F31+F32)/F11</f>
        <v>#VALUE!</v>
      </c>
      <c r="G46" s="248" t="e">
        <f>(G31+G32)/G11</f>
        <v>#VALUE!</v>
      </c>
      <c r="H46" s="279" t="e">
        <f>((G31+G32)/(D31+D32))^(1/3)-1</f>
        <v>#VALUE!</v>
      </c>
      <c r="I46" s="17"/>
      <c r="J46" s="247"/>
      <c r="K46" s="247"/>
      <c r="L46" s="247"/>
      <c r="M46" s="247"/>
      <c r="N46" s="247"/>
      <c r="O46" s="18"/>
      <c r="Q46" s="5"/>
      <c r="R46" s="5"/>
      <c r="S46" s="42"/>
      <c r="T46" s="42"/>
      <c r="U46" s="42"/>
      <c r="V46" s="42"/>
      <c r="W46" s="42"/>
      <c r="X46" s="42"/>
      <c r="Y46" s="42"/>
      <c r="Z46" s="42"/>
      <c r="AA46" s="326"/>
      <c r="AB46" s="303"/>
    </row>
    <row r="47" spans="2:42">
      <c r="B47" s="5" t="s">
        <v>581</v>
      </c>
      <c r="C47" s="5"/>
      <c r="D47" s="248">
        <f>1/D43</f>
        <v>5.1871620732991598E-2</v>
      </c>
      <c r="E47" s="248">
        <f>1/E43</f>
        <v>6.4420378727447922E-2</v>
      </c>
      <c r="F47" s="248">
        <f>1/F43</f>
        <v>7.5429650559386677E-2</v>
      </c>
      <c r="G47" s="248">
        <f>1/G43</f>
        <v>8.7213290344219457E-2</v>
      </c>
      <c r="H47" s="17">
        <f>H29</f>
        <v>0.18831027118838706</v>
      </c>
      <c r="I47" s="247"/>
      <c r="J47" s="248"/>
      <c r="K47" s="248"/>
      <c r="L47" s="248"/>
      <c r="M47" s="248"/>
      <c r="N47" s="248"/>
      <c r="O47" s="248"/>
      <c r="Q47" s="5"/>
      <c r="R47" s="5"/>
      <c r="S47" s="5"/>
      <c r="T47" s="5"/>
      <c r="U47" s="5"/>
      <c r="AA47" s="303"/>
      <c r="AB47" s="303"/>
    </row>
    <row r="48" spans="2:42">
      <c r="B48" s="5" t="s">
        <v>618</v>
      </c>
      <c r="C48" s="5"/>
      <c r="D48" s="305">
        <f>D31/D29</f>
        <v>0.92045377326476352</v>
      </c>
      <c r="E48" s="305">
        <f>E31/E29</f>
        <v>0.79490390762892493</v>
      </c>
      <c r="F48" s="305">
        <f>F31/F29</f>
        <v>0.7763724496707467</v>
      </c>
      <c r="G48" s="305">
        <f>G31/G29</f>
        <v>0.75978089170129071</v>
      </c>
      <c r="H48" s="17" t="s">
        <v>607</v>
      </c>
      <c r="I48" s="259"/>
      <c r="J48" s="247"/>
      <c r="K48" s="247"/>
      <c r="L48" s="247"/>
      <c r="M48" s="247"/>
      <c r="N48" s="247"/>
      <c r="O48" s="248"/>
      <c r="Q48" s="5"/>
      <c r="R48" s="5"/>
      <c r="S48" s="5"/>
      <c r="T48" s="5"/>
      <c r="U48" s="5"/>
      <c r="AA48" s="303"/>
      <c r="AB48" s="303"/>
    </row>
    <row r="49" spans="2:28">
      <c r="B49" s="41"/>
      <c r="C49" s="17"/>
      <c r="D49" s="17"/>
      <c r="E49" s="17"/>
      <c r="F49" s="17"/>
      <c r="G49" s="17"/>
      <c r="H49" s="17"/>
      <c r="I49" s="17"/>
      <c r="J49" s="17"/>
      <c r="K49" s="17"/>
      <c r="L49" s="17"/>
      <c r="M49" s="17"/>
      <c r="N49" s="17"/>
      <c r="O49" s="248"/>
      <c r="Q49" s="5"/>
      <c r="R49" s="5"/>
      <c r="S49" s="5"/>
      <c r="T49" s="5"/>
      <c r="U49" s="5"/>
      <c r="W49" s="10"/>
      <c r="X49" s="10"/>
      <c r="AA49" s="303"/>
      <c r="AB49" s="303"/>
    </row>
    <row r="50" spans="2:28">
      <c r="B50" s="5"/>
      <c r="C50" s="257"/>
      <c r="D50" s="257"/>
      <c r="E50" s="257"/>
      <c r="F50" s="5"/>
      <c r="G50" s="41"/>
      <c r="H50" s="249"/>
      <c r="I50" s="259"/>
      <c r="J50" s="249"/>
      <c r="K50" s="249"/>
      <c r="L50" s="249"/>
      <c r="M50" s="249"/>
      <c r="N50" s="249"/>
      <c r="O50" s="250"/>
      <c r="Q50" s="5"/>
      <c r="R50" s="5"/>
      <c r="S50" s="5"/>
      <c r="T50" s="5"/>
      <c r="U50" s="5"/>
      <c r="W50" s="10"/>
      <c r="X50" s="10"/>
      <c r="Y50" s="10"/>
      <c r="Z50" s="10"/>
    </row>
    <row r="51" spans="2:28">
      <c r="B51" s="41"/>
      <c r="C51" s="249"/>
      <c r="D51" s="254"/>
      <c r="E51" s="254"/>
      <c r="F51" s="254"/>
      <c r="G51" s="254"/>
      <c r="H51" s="254"/>
      <c r="I51" s="254"/>
      <c r="J51" s="254"/>
      <c r="K51" s="254"/>
      <c r="L51" s="254"/>
      <c r="M51" s="254"/>
      <c r="N51" s="254"/>
      <c r="O51" s="251"/>
      <c r="Q51" s="5"/>
      <c r="R51" s="5"/>
      <c r="S51" s="5"/>
      <c r="T51" s="5"/>
      <c r="U51" s="5"/>
      <c r="Y51" s="10"/>
      <c r="Z51" s="10"/>
    </row>
    <row r="52" spans="2:28">
      <c r="B52" s="5"/>
      <c r="C52" s="257"/>
      <c r="D52" s="17"/>
      <c r="E52" s="17"/>
      <c r="F52" s="17"/>
      <c r="G52" s="17"/>
      <c r="H52" s="17"/>
      <c r="I52" s="17"/>
      <c r="J52" s="259"/>
      <c r="K52" s="259"/>
      <c r="L52" s="259"/>
      <c r="M52" s="259"/>
      <c r="N52" s="259"/>
      <c r="O52" s="18"/>
      <c r="Q52" s="5"/>
      <c r="R52" s="5"/>
      <c r="S52" s="5"/>
      <c r="T52" s="5"/>
      <c r="U52" s="5"/>
    </row>
    <row r="53" spans="2:28">
      <c r="B53" s="5"/>
      <c r="C53" s="257"/>
      <c r="D53" s="257"/>
      <c r="E53" s="257"/>
      <c r="F53" s="5"/>
      <c r="G53" s="5"/>
      <c r="H53" s="259"/>
      <c r="I53" s="259"/>
      <c r="J53" s="254"/>
      <c r="K53" s="254"/>
      <c r="L53" s="254"/>
      <c r="M53" s="254"/>
      <c r="N53" s="254"/>
      <c r="O53" s="251"/>
      <c r="Q53" s="5"/>
      <c r="R53" s="5"/>
      <c r="S53" s="5"/>
      <c r="T53" s="5"/>
      <c r="U53" s="5"/>
    </row>
    <row r="54" spans="2:28">
      <c r="B54" s="41"/>
      <c r="C54" s="249"/>
      <c r="D54" s="254"/>
      <c r="E54" s="254"/>
      <c r="F54" s="254"/>
      <c r="G54" s="254"/>
      <c r="H54" s="254"/>
      <c r="I54" s="249"/>
      <c r="J54" s="17"/>
      <c r="K54" s="17"/>
      <c r="L54" s="17"/>
      <c r="M54" s="17"/>
      <c r="N54" s="17"/>
      <c r="O54" s="18"/>
      <c r="Q54" s="5"/>
      <c r="R54" s="5"/>
      <c r="S54" s="5"/>
      <c r="T54" s="5"/>
      <c r="U54" s="5"/>
    </row>
    <row r="55" spans="2:28">
      <c r="B55" s="5"/>
      <c r="C55" s="257"/>
      <c r="D55" s="17"/>
      <c r="E55" s="17"/>
      <c r="F55" s="17"/>
      <c r="G55" s="17"/>
      <c r="H55" s="17"/>
      <c r="I55" s="248"/>
      <c r="J55" s="259"/>
      <c r="K55" s="259"/>
      <c r="L55" s="259"/>
      <c r="M55" s="259"/>
      <c r="N55" s="259"/>
      <c r="O55" s="18"/>
      <c r="Q55" s="5"/>
      <c r="R55" s="5"/>
      <c r="S55" s="5"/>
      <c r="T55" s="5"/>
      <c r="U55" s="5"/>
    </row>
    <row r="56" spans="2:28">
      <c r="B56" s="5"/>
      <c r="C56" s="248"/>
      <c r="D56" s="248"/>
      <c r="E56" s="248"/>
      <c r="F56" s="5"/>
      <c r="G56" s="5"/>
      <c r="H56" s="259"/>
      <c r="I56" s="5"/>
      <c r="J56" s="249"/>
      <c r="K56" s="249"/>
      <c r="L56" s="249"/>
      <c r="M56" s="249"/>
      <c r="N56" s="249"/>
      <c r="O56" s="251"/>
      <c r="Q56" s="5"/>
      <c r="R56" s="5"/>
      <c r="S56" s="5"/>
      <c r="T56" s="5"/>
      <c r="U56" s="5"/>
    </row>
    <row r="57" spans="2:28">
      <c r="B57" s="41"/>
      <c r="C57" s="249"/>
      <c r="D57" s="249"/>
      <c r="E57" s="249"/>
      <c r="F57" s="249"/>
      <c r="G57" s="249"/>
      <c r="H57" s="249"/>
      <c r="I57" s="17"/>
      <c r="J57" s="248"/>
      <c r="K57" s="248"/>
      <c r="L57" s="248"/>
      <c r="M57" s="248"/>
      <c r="N57" s="248"/>
      <c r="O57" s="18"/>
      <c r="Q57" s="5"/>
      <c r="R57" s="5"/>
      <c r="S57" s="5"/>
      <c r="T57" s="5"/>
      <c r="U57" s="5"/>
    </row>
    <row r="58" spans="2:28">
      <c r="B58" s="5"/>
      <c r="C58" s="5"/>
      <c r="D58" s="248"/>
      <c r="E58" s="248"/>
      <c r="F58" s="248"/>
      <c r="G58" s="248"/>
      <c r="H58" s="248"/>
      <c r="I58" s="5"/>
      <c r="J58" s="5"/>
      <c r="K58" s="5"/>
      <c r="L58" s="5"/>
      <c r="M58" s="5"/>
      <c r="N58" s="5"/>
      <c r="O58" s="5"/>
      <c r="Q58" s="5"/>
      <c r="R58" s="5"/>
      <c r="S58" s="5"/>
      <c r="T58" s="5"/>
      <c r="U58" s="5"/>
    </row>
    <row r="59" spans="2:28">
      <c r="B59" s="5"/>
      <c r="C59" s="5"/>
      <c r="D59" s="5"/>
      <c r="E59" s="5"/>
      <c r="F59" s="5"/>
      <c r="G59" s="5"/>
      <c r="H59" s="5"/>
      <c r="I59" s="249"/>
      <c r="J59" s="17"/>
      <c r="K59" s="17"/>
      <c r="L59" s="17"/>
      <c r="M59" s="17"/>
      <c r="N59" s="17"/>
      <c r="O59" s="251"/>
      <c r="Q59" s="5"/>
      <c r="R59" s="5"/>
      <c r="S59" s="5"/>
      <c r="T59" s="5"/>
      <c r="U59" s="5"/>
    </row>
    <row r="60" spans="2:28">
      <c r="B60" s="41"/>
      <c r="C60" s="17"/>
      <c r="D60" s="17"/>
      <c r="E60" s="17"/>
      <c r="F60" s="17"/>
      <c r="G60" s="17"/>
      <c r="H60" s="17"/>
      <c r="I60" s="5"/>
      <c r="J60" s="5"/>
      <c r="K60" s="5"/>
      <c r="L60" s="5"/>
      <c r="M60" s="5"/>
      <c r="N60" s="5"/>
      <c r="O60" s="5"/>
      <c r="Q60" s="41"/>
      <c r="R60" s="5"/>
      <c r="S60" s="5"/>
      <c r="T60" s="5"/>
      <c r="U60" s="5"/>
    </row>
    <row r="61" spans="2:28">
      <c r="B61" s="5"/>
      <c r="C61" s="5"/>
      <c r="D61" s="5"/>
      <c r="E61" s="5"/>
      <c r="F61" s="5"/>
      <c r="G61" s="5"/>
      <c r="H61" s="5"/>
      <c r="I61" s="5"/>
      <c r="J61" s="249"/>
      <c r="K61" s="249"/>
      <c r="L61" s="249"/>
      <c r="M61" s="249"/>
      <c r="N61" s="249"/>
      <c r="O61" s="251"/>
      <c r="Q61" s="5"/>
      <c r="R61" s="5"/>
      <c r="S61" s="5"/>
      <c r="T61" s="5"/>
      <c r="U61" s="5"/>
    </row>
    <row r="62" spans="2:28">
      <c r="B62" s="41"/>
      <c r="C62" s="249"/>
      <c r="D62" s="249"/>
      <c r="E62" s="249"/>
      <c r="F62" s="249"/>
      <c r="G62" s="249"/>
      <c r="H62" s="249"/>
      <c r="I62" s="254"/>
      <c r="J62" s="5"/>
      <c r="K62" s="5"/>
      <c r="L62" s="5"/>
      <c r="M62" s="5"/>
      <c r="N62" s="5"/>
      <c r="O62" s="5"/>
      <c r="Q62" s="5"/>
      <c r="R62" s="5"/>
      <c r="S62" s="5"/>
      <c r="T62" s="5"/>
      <c r="U62" s="5"/>
    </row>
    <row r="63" spans="2:28">
      <c r="B63" s="5"/>
      <c r="C63" s="5"/>
      <c r="D63" s="5"/>
      <c r="E63" s="5"/>
      <c r="F63" s="5"/>
      <c r="G63" s="5"/>
      <c r="H63" s="5"/>
      <c r="I63" s="17"/>
      <c r="J63" s="5"/>
      <c r="K63" s="5"/>
      <c r="L63" s="5"/>
      <c r="M63" s="5"/>
      <c r="N63" s="5"/>
      <c r="O63" s="5"/>
      <c r="Q63" s="5"/>
      <c r="R63" s="5"/>
      <c r="S63" s="5"/>
      <c r="T63" s="5"/>
      <c r="U63" s="5"/>
    </row>
    <row r="64" spans="2:28">
      <c r="B64" s="5"/>
      <c r="C64" s="5"/>
      <c r="D64" s="5"/>
      <c r="E64" s="5"/>
      <c r="F64" s="5"/>
      <c r="G64" s="5"/>
      <c r="H64" s="5"/>
      <c r="I64" s="254"/>
      <c r="J64" s="254"/>
      <c r="K64" s="254"/>
      <c r="L64" s="254"/>
      <c r="M64" s="254"/>
      <c r="N64" s="254"/>
      <c r="O64" s="251"/>
      <c r="Q64" s="5"/>
      <c r="R64" s="5"/>
      <c r="S64" s="5"/>
      <c r="T64" s="5"/>
      <c r="U64" s="5"/>
    </row>
    <row r="65" spans="2:26">
      <c r="B65" s="41"/>
      <c r="C65" s="249"/>
      <c r="D65" s="254"/>
      <c r="E65" s="254"/>
      <c r="F65" s="254"/>
      <c r="G65" s="254"/>
      <c r="H65" s="254"/>
      <c r="I65" s="248"/>
      <c r="J65" s="17"/>
      <c r="K65" s="17"/>
      <c r="L65" s="17"/>
      <c r="M65" s="17"/>
      <c r="N65" s="17"/>
      <c r="O65" s="5"/>
      <c r="Q65" s="5"/>
      <c r="R65" s="5"/>
      <c r="S65" s="5"/>
      <c r="T65" s="5"/>
      <c r="U65" s="5"/>
    </row>
    <row r="66" spans="2:26">
      <c r="B66" s="5"/>
      <c r="C66" s="5"/>
      <c r="D66" s="17"/>
      <c r="E66" s="17"/>
      <c r="F66" s="17"/>
      <c r="G66" s="17"/>
      <c r="H66" s="17"/>
      <c r="I66" s="5"/>
      <c r="J66" s="254"/>
      <c r="K66" s="254"/>
      <c r="L66" s="254"/>
      <c r="M66" s="254"/>
      <c r="N66" s="254"/>
      <c r="O66" s="251"/>
      <c r="Q66" s="41"/>
      <c r="R66" s="5"/>
      <c r="S66" s="5"/>
      <c r="T66" s="5"/>
      <c r="U66" s="5"/>
    </row>
    <row r="67" spans="2:26">
      <c r="B67" s="41"/>
      <c r="C67" s="249"/>
      <c r="D67" s="254"/>
      <c r="E67" s="254"/>
      <c r="F67" s="254"/>
      <c r="G67" s="254"/>
      <c r="H67" s="254"/>
      <c r="I67" s="245"/>
      <c r="J67" s="248"/>
      <c r="K67" s="248"/>
      <c r="L67" s="248"/>
      <c r="M67" s="248"/>
      <c r="N67" s="248"/>
      <c r="O67" s="5"/>
      <c r="Q67" s="5"/>
      <c r="R67" s="5"/>
      <c r="S67" s="5"/>
      <c r="T67" s="5"/>
      <c r="U67" s="5"/>
    </row>
    <row r="68" spans="2:26">
      <c r="B68" s="5"/>
      <c r="C68" s="5"/>
      <c r="D68" s="248"/>
      <c r="E68" s="248"/>
      <c r="F68" s="248"/>
      <c r="G68" s="248"/>
      <c r="H68" s="248"/>
      <c r="I68" s="248"/>
      <c r="J68" s="5"/>
      <c r="K68" s="5"/>
      <c r="L68" s="5"/>
      <c r="M68" s="5"/>
      <c r="N68" s="5"/>
      <c r="O68" s="5"/>
      <c r="Q68" s="5"/>
      <c r="R68" s="5"/>
      <c r="S68" s="5"/>
      <c r="T68" s="5"/>
      <c r="U68" s="5"/>
    </row>
    <row r="69" spans="2:26">
      <c r="B69" s="41"/>
      <c r="C69" s="5"/>
      <c r="D69" s="5"/>
      <c r="E69" s="5"/>
      <c r="F69" s="5"/>
      <c r="G69" s="5"/>
      <c r="H69" s="5"/>
      <c r="I69" s="5"/>
      <c r="J69" s="245"/>
      <c r="K69" s="245"/>
      <c r="L69" s="245"/>
      <c r="M69" s="245"/>
      <c r="N69" s="245"/>
      <c r="O69" s="251"/>
      <c r="Q69" s="5"/>
      <c r="R69" s="5"/>
      <c r="S69" s="5"/>
      <c r="T69" s="5"/>
      <c r="U69" s="5"/>
      <c r="W69" s="76"/>
      <c r="X69" s="76"/>
    </row>
    <row r="70" spans="2:26">
      <c r="B70" s="41"/>
      <c r="C70" s="245"/>
      <c r="D70" s="245"/>
      <c r="E70" s="245"/>
      <c r="F70" s="245"/>
      <c r="G70" s="245"/>
      <c r="H70" s="245"/>
      <c r="I70" s="245"/>
      <c r="J70" s="248"/>
      <c r="K70" s="248"/>
      <c r="L70" s="248"/>
      <c r="M70" s="248"/>
      <c r="N70" s="248"/>
      <c r="O70" s="5"/>
      <c r="Q70" s="5"/>
      <c r="R70" s="5"/>
      <c r="S70" s="5"/>
      <c r="T70" s="5"/>
      <c r="U70" s="5"/>
      <c r="W70" s="76"/>
      <c r="X70" s="76"/>
      <c r="Y70" s="76"/>
      <c r="Z70" s="76"/>
    </row>
    <row r="71" spans="2:26">
      <c r="B71" s="5"/>
      <c r="C71" s="5"/>
      <c r="D71" s="248"/>
      <c r="E71" s="248"/>
      <c r="F71" s="248"/>
      <c r="G71" s="248"/>
      <c r="H71" s="248"/>
      <c r="I71" s="18"/>
      <c r="J71" s="5"/>
      <c r="K71" s="5"/>
      <c r="L71" s="5"/>
      <c r="M71" s="5"/>
      <c r="N71" s="5"/>
      <c r="O71" s="5"/>
      <c r="Q71" s="5"/>
      <c r="R71" s="5"/>
      <c r="S71" s="5"/>
      <c r="T71" s="5"/>
      <c r="U71" s="5"/>
      <c r="Y71" s="76"/>
      <c r="Z71" s="76"/>
    </row>
    <row r="72" spans="2:26">
      <c r="B72" s="41"/>
      <c r="C72" s="5"/>
      <c r="D72" s="5"/>
      <c r="E72" s="5"/>
      <c r="F72" s="5"/>
      <c r="G72" s="5"/>
      <c r="H72" s="5"/>
      <c r="I72" s="5"/>
      <c r="J72" s="245"/>
      <c r="K72" s="245"/>
      <c r="L72" s="245"/>
      <c r="M72" s="245"/>
      <c r="N72" s="245"/>
      <c r="O72" s="251"/>
      <c r="Q72" s="5"/>
      <c r="R72" s="5"/>
      <c r="S72" s="5"/>
      <c r="T72" s="5"/>
      <c r="U72" s="5"/>
    </row>
    <row r="73" spans="2:26">
      <c r="B73" s="41"/>
      <c r="C73" s="245"/>
      <c r="D73" s="245"/>
      <c r="E73" s="245"/>
      <c r="F73" s="245"/>
      <c r="G73" s="245"/>
      <c r="H73" s="245"/>
      <c r="I73" s="249"/>
      <c r="J73" s="18"/>
      <c r="K73" s="18"/>
      <c r="L73" s="18"/>
      <c r="M73" s="18"/>
      <c r="N73" s="18"/>
      <c r="O73" s="5"/>
      <c r="Q73" s="5"/>
      <c r="R73" s="5"/>
      <c r="S73" s="5"/>
      <c r="T73" s="5"/>
      <c r="U73" s="5"/>
    </row>
    <row r="74" spans="2:26">
      <c r="B74" s="5"/>
      <c r="C74" s="5"/>
      <c r="D74" s="18"/>
      <c r="E74" s="18"/>
      <c r="F74" s="18"/>
      <c r="G74" s="18"/>
      <c r="H74" s="18"/>
      <c r="I74" s="248"/>
      <c r="J74" s="5"/>
      <c r="K74" s="5"/>
      <c r="L74" s="5"/>
      <c r="M74" s="5"/>
      <c r="N74" s="5"/>
      <c r="O74" s="5"/>
      <c r="Q74" s="5"/>
      <c r="R74" s="5"/>
      <c r="S74" s="5"/>
      <c r="T74" s="5"/>
      <c r="U74" s="5"/>
    </row>
    <row r="75" spans="2:26">
      <c r="B75" s="41"/>
      <c r="C75" s="5"/>
      <c r="D75" s="5"/>
      <c r="E75" s="5"/>
      <c r="F75" s="5"/>
      <c r="G75" s="5"/>
      <c r="H75" s="5"/>
      <c r="I75" s="5"/>
      <c r="J75" s="249"/>
      <c r="K75" s="249"/>
      <c r="L75" s="249"/>
      <c r="M75" s="249"/>
      <c r="N75" s="249"/>
      <c r="O75" s="251"/>
      <c r="Q75" s="5"/>
      <c r="R75" s="5"/>
      <c r="S75" s="5"/>
      <c r="T75" s="5"/>
      <c r="U75" s="5"/>
    </row>
    <row r="76" spans="2:26">
      <c r="B76" s="41"/>
      <c r="C76" s="249"/>
      <c r="D76" s="249"/>
      <c r="E76" s="249"/>
      <c r="F76" s="249"/>
      <c r="G76" s="249"/>
      <c r="H76" s="249"/>
      <c r="I76" s="245"/>
      <c r="J76" s="248"/>
      <c r="K76" s="248"/>
      <c r="L76" s="248"/>
      <c r="M76" s="248"/>
      <c r="N76" s="248"/>
      <c r="O76" s="5"/>
      <c r="Q76" s="5"/>
      <c r="R76" s="5"/>
      <c r="S76" s="5"/>
      <c r="T76" s="5"/>
      <c r="U76" s="5"/>
    </row>
    <row r="77" spans="2:26">
      <c r="B77" s="5"/>
      <c r="C77" s="5"/>
      <c r="D77" s="248"/>
      <c r="E77" s="248"/>
      <c r="F77" s="248"/>
      <c r="G77" s="248"/>
      <c r="H77" s="248"/>
      <c r="I77" s="248"/>
      <c r="J77" s="5"/>
      <c r="K77" s="5"/>
      <c r="L77" s="5"/>
      <c r="M77" s="5"/>
      <c r="N77" s="5"/>
      <c r="O77" s="5"/>
      <c r="Q77" s="5"/>
      <c r="R77" s="5"/>
      <c r="S77" s="5"/>
      <c r="T77" s="5"/>
      <c r="U77" s="5"/>
    </row>
    <row r="78" spans="2:26">
      <c r="B78" s="41"/>
      <c r="C78" s="5"/>
      <c r="D78" s="5"/>
      <c r="E78" s="5"/>
      <c r="F78" s="5"/>
      <c r="G78" s="5"/>
      <c r="H78" s="5"/>
      <c r="I78" s="5"/>
      <c r="J78" s="245"/>
      <c r="K78" s="245"/>
      <c r="L78" s="245"/>
      <c r="M78" s="245"/>
      <c r="N78" s="245"/>
      <c r="O78" s="251"/>
      <c r="Q78" s="5"/>
      <c r="R78" s="5"/>
      <c r="S78" s="5"/>
      <c r="T78" s="5"/>
      <c r="U78" s="5"/>
    </row>
    <row r="79" spans="2:26">
      <c r="B79" s="41"/>
      <c r="C79" s="245"/>
      <c r="D79" s="245"/>
      <c r="E79" s="245"/>
      <c r="F79" s="245"/>
      <c r="G79" s="245"/>
      <c r="H79" s="245"/>
      <c r="I79" s="249"/>
      <c r="J79" s="248"/>
      <c r="K79" s="248"/>
      <c r="L79" s="248"/>
      <c r="M79" s="248"/>
      <c r="N79" s="248"/>
      <c r="O79" s="5"/>
      <c r="Q79" s="5"/>
      <c r="R79" s="5"/>
      <c r="S79" s="5"/>
      <c r="T79" s="5"/>
      <c r="U79" s="5"/>
    </row>
    <row r="80" spans="2:26">
      <c r="B80" s="5"/>
      <c r="C80" s="5"/>
      <c r="D80" s="248"/>
      <c r="E80" s="248"/>
      <c r="F80" s="248"/>
      <c r="G80" s="248"/>
      <c r="H80" s="248"/>
      <c r="I80" s="248"/>
      <c r="J80" s="5"/>
      <c r="K80" s="5"/>
      <c r="L80" s="5"/>
      <c r="M80" s="5"/>
      <c r="N80" s="5"/>
      <c r="O80" s="5"/>
      <c r="Q80" s="5"/>
      <c r="R80" s="5"/>
      <c r="S80" s="5"/>
      <c r="T80" s="5"/>
      <c r="U80" s="5"/>
    </row>
    <row r="81" spans="2:26">
      <c r="B81" s="41"/>
      <c r="C81" s="5"/>
      <c r="D81" s="5"/>
      <c r="E81" s="5"/>
      <c r="F81" s="5"/>
      <c r="G81" s="5"/>
      <c r="H81" s="5"/>
      <c r="I81" s="259"/>
      <c r="J81" s="249"/>
      <c r="K81" s="249"/>
      <c r="L81" s="249"/>
      <c r="M81" s="249"/>
      <c r="N81" s="249"/>
      <c r="O81" s="251"/>
      <c r="Q81" s="5"/>
      <c r="R81" s="5"/>
      <c r="S81" s="5"/>
      <c r="T81" s="5"/>
      <c r="U81" s="5"/>
    </row>
    <row r="82" spans="2:26">
      <c r="B82" s="41"/>
      <c r="C82" s="249"/>
      <c r="D82" s="249"/>
      <c r="E82" s="249"/>
      <c r="F82" s="249"/>
      <c r="G82" s="249"/>
      <c r="H82" s="249"/>
      <c r="I82" s="5"/>
      <c r="J82" s="248"/>
      <c r="K82" s="248"/>
      <c r="L82" s="248"/>
      <c r="M82" s="248"/>
      <c r="N82" s="248"/>
      <c r="O82" s="5"/>
      <c r="Q82" s="5"/>
      <c r="R82" s="5"/>
      <c r="S82" s="5"/>
      <c r="T82" s="5"/>
      <c r="U82" s="5"/>
    </row>
    <row r="83" spans="2:26">
      <c r="B83" s="5"/>
      <c r="C83" s="5"/>
      <c r="D83" s="248"/>
      <c r="E83" s="248"/>
      <c r="F83" s="248"/>
      <c r="G83" s="248"/>
      <c r="H83" s="248"/>
      <c r="I83" s="245"/>
      <c r="J83" s="259"/>
      <c r="K83" s="259"/>
      <c r="L83" s="259"/>
      <c r="M83" s="259"/>
      <c r="N83" s="259"/>
      <c r="O83" s="251"/>
      <c r="Q83" s="5"/>
      <c r="R83" s="5"/>
      <c r="S83" s="5"/>
      <c r="T83" s="5"/>
      <c r="U83" s="5"/>
    </row>
    <row r="84" spans="2:26">
      <c r="B84" s="5"/>
      <c r="C84" s="259"/>
      <c r="D84" s="259"/>
      <c r="E84" s="259"/>
      <c r="F84" s="259"/>
      <c r="G84" s="259"/>
      <c r="H84" s="259"/>
      <c r="I84" s="248"/>
      <c r="J84" s="5"/>
      <c r="K84" s="5"/>
      <c r="L84" s="5"/>
      <c r="M84" s="5"/>
      <c r="N84" s="5"/>
      <c r="O84" s="5"/>
      <c r="Q84" s="5"/>
      <c r="R84" s="5"/>
      <c r="S84" s="5"/>
      <c r="T84" s="5"/>
      <c r="U84" s="5"/>
    </row>
    <row r="85" spans="2:26">
      <c r="B85" s="41"/>
      <c r="C85" s="5"/>
      <c r="D85" s="5"/>
      <c r="E85" s="5"/>
      <c r="F85" s="5"/>
      <c r="G85" s="5"/>
      <c r="H85" s="5"/>
      <c r="I85" s="5"/>
      <c r="J85" s="245"/>
      <c r="K85" s="245"/>
      <c r="L85" s="245"/>
      <c r="M85" s="245"/>
      <c r="N85" s="245"/>
      <c r="O85" s="251"/>
      <c r="Q85" s="5"/>
      <c r="R85" s="5"/>
      <c r="S85" s="5"/>
      <c r="T85" s="5"/>
      <c r="U85" s="5"/>
    </row>
    <row r="86" spans="2:26">
      <c r="B86" s="41"/>
      <c r="C86" s="245"/>
      <c r="D86" s="245"/>
      <c r="E86" s="245"/>
      <c r="F86" s="245"/>
      <c r="G86" s="245"/>
      <c r="H86" s="245"/>
      <c r="I86" s="5"/>
      <c r="J86" s="248"/>
      <c r="K86" s="248"/>
      <c r="L86" s="248"/>
      <c r="M86" s="248"/>
      <c r="N86" s="248"/>
      <c r="O86" s="5"/>
      <c r="Q86" s="5"/>
      <c r="R86" s="5"/>
      <c r="S86" s="5"/>
      <c r="T86" s="5"/>
      <c r="U86" s="5"/>
    </row>
    <row r="87" spans="2:26">
      <c r="B87" s="5"/>
      <c r="C87" s="5"/>
      <c r="D87" s="248"/>
      <c r="E87" s="248"/>
      <c r="F87" s="248"/>
      <c r="G87" s="248"/>
      <c r="H87" s="248"/>
      <c r="I87" s="5"/>
      <c r="J87" s="5"/>
      <c r="K87" s="5"/>
      <c r="L87" s="5"/>
      <c r="M87" s="5"/>
      <c r="N87" s="5"/>
      <c r="O87" s="5"/>
      <c r="Q87" s="5"/>
      <c r="R87" s="5"/>
      <c r="S87" s="5"/>
      <c r="T87" s="5"/>
      <c r="U87" s="5"/>
    </row>
    <row r="88" spans="2:26">
      <c r="B88" s="41"/>
      <c r="C88" s="5"/>
      <c r="D88" s="5"/>
      <c r="E88" s="5"/>
      <c r="F88" s="5"/>
      <c r="G88" s="5"/>
      <c r="H88" s="5"/>
      <c r="I88" s="5"/>
      <c r="J88" s="5"/>
      <c r="K88" s="5"/>
      <c r="L88" s="5"/>
      <c r="M88" s="5"/>
      <c r="N88" s="5"/>
      <c r="O88" s="5"/>
      <c r="Q88" s="5"/>
      <c r="R88" s="5"/>
      <c r="S88" s="5"/>
      <c r="T88" s="5"/>
      <c r="U88" s="5"/>
    </row>
    <row r="89" spans="2:26">
      <c r="B89" s="41"/>
      <c r="C89" s="5"/>
      <c r="D89" s="5"/>
      <c r="E89" s="5"/>
      <c r="F89" s="5"/>
      <c r="G89" s="5"/>
      <c r="H89" s="5"/>
      <c r="I89" s="49"/>
      <c r="J89" s="5"/>
      <c r="K89" s="5"/>
      <c r="L89" s="5"/>
      <c r="M89" s="5"/>
      <c r="N89" s="5"/>
      <c r="O89" s="5"/>
      <c r="Q89" s="41"/>
      <c r="R89" s="5"/>
      <c r="S89" s="5"/>
      <c r="T89" s="5"/>
      <c r="U89" s="5"/>
    </row>
    <row r="90" spans="2:26">
      <c r="B90" s="41"/>
      <c r="C90" s="5"/>
      <c r="D90" s="5"/>
      <c r="E90" s="5"/>
      <c r="F90" s="5"/>
      <c r="G90" s="5"/>
      <c r="H90" s="5"/>
      <c r="I90" s="5"/>
      <c r="J90" s="5"/>
      <c r="K90" s="5"/>
      <c r="L90" s="5"/>
      <c r="M90" s="5"/>
      <c r="N90" s="5"/>
      <c r="O90" s="5"/>
      <c r="Q90" s="5"/>
      <c r="R90" s="5"/>
      <c r="S90" s="5"/>
      <c r="T90" s="5"/>
      <c r="U90" s="5"/>
    </row>
    <row r="91" spans="2:26">
      <c r="B91" s="5"/>
      <c r="C91" s="5"/>
      <c r="D91" s="5"/>
      <c r="E91" s="5"/>
      <c r="F91" s="5"/>
      <c r="G91" s="5"/>
      <c r="H91" s="5"/>
      <c r="I91" s="247"/>
      <c r="J91" s="49"/>
      <c r="K91" s="49"/>
      <c r="L91" s="49"/>
      <c r="M91" s="49"/>
      <c r="N91" s="49"/>
      <c r="O91" s="49"/>
      <c r="Q91" s="5"/>
      <c r="R91" s="5"/>
      <c r="S91" s="5"/>
      <c r="T91" s="5"/>
      <c r="U91" s="5"/>
      <c r="W91" s="21"/>
      <c r="X91" s="21"/>
    </row>
    <row r="92" spans="2:26">
      <c r="B92" s="41"/>
      <c r="C92" s="49"/>
      <c r="D92" s="49"/>
      <c r="E92" s="49"/>
      <c r="F92" s="49"/>
      <c r="G92" s="49"/>
      <c r="H92" s="49"/>
      <c r="I92" s="247"/>
      <c r="J92" s="5"/>
      <c r="K92" s="5"/>
      <c r="L92" s="5"/>
      <c r="M92" s="5"/>
      <c r="N92" s="5"/>
      <c r="O92" s="5"/>
      <c r="Q92" s="5"/>
      <c r="R92" s="5"/>
      <c r="S92" s="5"/>
      <c r="T92" s="5"/>
      <c r="U92" s="5"/>
      <c r="W92" s="21"/>
      <c r="X92" s="21"/>
      <c r="Y92" s="21"/>
      <c r="Z92" s="21"/>
    </row>
    <row r="93" spans="2:26">
      <c r="B93" s="5"/>
      <c r="C93" s="5"/>
      <c r="D93" s="5"/>
      <c r="E93" s="5"/>
      <c r="F93" s="5"/>
      <c r="G93" s="5"/>
      <c r="H93" s="5"/>
      <c r="I93" s="247"/>
      <c r="J93" s="247"/>
      <c r="K93" s="247"/>
      <c r="L93" s="247"/>
      <c r="M93" s="247"/>
      <c r="N93" s="247"/>
      <c r="O93" s="248"/>
      <c r="Q93" s="5"/>
      <c r="R93" s="5"/>
      <c r="S93" s="5"/>
      <c r="T93" s="5"/>
      <c r="U93" s="5"/>
      <c r="Y93" s="21"/>
      <c r="Z93" s="21"/>
    </row>
    <row r="94" spans="2:26">
      <c r="B94" s="5"/>
      <c r="C94" s="259"/>
      <c r="D94" s="247"/>
      <c r="E94" s="247"/>
      <c r="F94" s="247"/>
      <c r="G94" s="247"/>
      <c r="H94" s="247"/>
      <c r="I94" s="248"/>
      <c r="J94" s="247"/>
      <c r="K94" s="247"/>
      <c r="L94" s="247"/>
      <c r="M94" s="247"/>
      <c r="N94" s="247"/>
      <c r="O94" s="248"/>
      <c r="Q94" s="5"/>
      <c r="R94" s="5"/>
      <c r="S94" s="5"/>
      <c r="T94" s="5"/>
      <c r="U94" s="5"/>
    </row>
    <row r="95" spans="2:26">
      <c r="B95" s="5"/>
      <c r="C95" s="259"/>
      <c r="D95" s="247"/>
      <c r="E95" s="247"/>
      <c r="F95" s="247"/>
      <c r="G95" s="247"/>
      <c r="H95" s="247"/>
      <c r="I95" s="247"/>
      <c r="J95" s="247"/>
      <c r="K95" s="247"/>
      <c r="L95" s="247"/>
      <c r="M95" s="247"/>
      <c r="N95" s="247"/>
      <c r="O95" s="248"/>
      <c r="Q95" s="5"/>
      <c r="R95" s="5"/>
      <c r="S95" s="5"/>
      <c r="T95" s="5"/>
      <c r="U95" s="5"/>
    </row>
    <row r="96" spans="2:26">
      <c r="B96" s="5"/>
      <c r="C96" s="259"/>
      <c r="D96" s="247"/>
      <c r="E96" s="247"/>
      <c r="F96" s="247"/>
      <c r="G96" s="247"/>
      <c r="H96" s="247"/>
      <c r="I96" s="249"/>
      <c r="J96" s="248"/>
      <c r="K96" s="248"/>
      <c r="L96" s="248"/>
      <c r="M96" s="248"/>
      <c r="N96" s="248"/>
      <c r="O96" s="248"/>
      <c r="Q96" s="5"/>
      <c r="R96" s="5"/>
      <c r="S96" s="5"/>
      <c r="T96" s="5"/>
      <c r="U96" s="5"/>
    </row>
    <row r="97" spans="2:21">
      <c r="B97" s="5"/>
      <c r="C97" s="259"/>
      <c r="D97" s="248"/>
      <c r="E97" s="248"/>
      <c r="F97" s="248"/>
      <c r="G97" s="248"/>
      <c r="H97" s="248"/>
      <c r="I97" s="248"/>
      <c r="J97" s="247"/>
      <c r="K97" s="247"/>
      <c r="L97" s="247"/>
      <c r="M97" s="247"/>
      <c r="N97" s="247"/>
      <c r="O97" s="248"/>
      <c r="Q97" s="5"/>
      <c r="R97" s="5"/>
      <c r="S97" s="5"/>
      <c r="T97" s="5"/>
      <c r="U97" s="5"/>
    </row>
    <row r="98" spans="2:21">
      <c r="B98" s="5"/>
      <c r="C98" s="259"/>
      <c r="D98" s="247"/>
      <c r="E98" s="247"/>
      <c r="F98" s="247"/>
      <c r="G98" s="247"/>
      <c r="H98" s="247"/>
      <c r="I98" s="5"/>
      <c r="J98" s="249"/>
      <c r="K98" s="249"/>
      <c r="L98" s="249"/>
      <c r="M98" s="249"/>
      <c r="N98" s="249"/>
      <c r="O98" s="248"/>
      <c r="Q98" s="5"/>
      <c r="R98" s="5"/>
      <c r="S98" s="5"/>
      <c r="T98" s="5"/>
      <c r="U98" s="5"/>
    </row>
    <row r="99" spans="2:21">
      <c r="B99" s="41"/>
      <c r="C99" s="249"/>
      <c r="D99" s="249"/>
      <c r="E99" s="249"/>
      <c r="F99" s="249"/>
      <c r="G99" s="249"/>
      <c r="H99" s="249"/>
      <c r="I99" s="259"/>
      <c r="J99" s="248"/>
      <c r="K99" s="248"/>
      <c r="L99" s="248"/>
      <c r="M99" s="248"/>
      <c r="N99" s="248"/>
      <c r="O99" s="248"/>
      <c r="Q99" s="5"/>
      <c r="R99" s="5"/>
      <c r="S99" s="5"/>
      <c r="T99" s="5"/>
      <c r="U99" s="5"/>
    </row>
    <row r="100" spans="2:21" s="5" customFormat="1">
      <c r="B100" s="41"/>
      <c r="C100" s="257"/>
      <c r="D100" s="248"/>
      <c r="E100" s="248"/>
      <c r="F100" s="248"/>
      <c r="G100" s="248"/>
      <c r="H100" s="248"/>
      <c r="I100" s="259"/>
      <c r="O100" s="248"/>
      <c r="P100" s="39"/>
    </row>
    <row r="101" spans="2:21">
      <c r="B101" s="41"/>
      <c r="C101" s="5"/>
      <c r="D101" s="5"/>
      <c r="E101" s="5"/>
      <c r="F101" s="5"/>
      <c r="G101" s="5"/>
      <c r="H101" s="5"/>
      <c r="I101" s="247"/>
      <c r="J101" s="259"/>
      <c r="K101" s="259"/>
      <c r="L101" s="259"/>
      <c r="M101" s="259"/>
      <c r="N101" s="259"/>
      <c r="O101" s="5"/>
      <c r="Q101" s="5"/>
      <c r="R101" s="5"/>
      <c r="S101" s="5"/>
      <c r="T101" s="5"/>
      <c r="U101" s="5"/>
    </row>
    <row r="102" spans="2:21">
      <c r="B102" s="5"/>
      <c r="C102" s="259"/>
      <c r="D102" s="259"/>
      <c r="E102" s="259"/>
      <c r="F102" s="259"/>
      <c r="G102" s="259"/>
      <c r="H102" s="259"/>
      <c r="I102" s="5"/>
      <c r="J102" s="259"/>
      <c r="K102" s="259"/>
      <c r="L102" s="259"/>
      <c r="M102" s="259"/>
      <c r="N102" s="259"/>
      <c r="O102" s="5"/>
      <c r="P102" s="5"/>
      <c r="Q102" s="5"/>
      <c r="R102" s="5"/>
      <c r="S102" s="5"/>
      <c r="T102" s="5"/>
      <c r="U102" s="5"/>
    </row>
    <row r="103" spans="2:21">
      <c r="B103" s="5"/>
      <c r="C103" s="259"/>
      <c r="D103" s="259"/>
      <c r="E103" s="259"/>
      <c r="F103" s="259"/>
      <c r="G103" s="259"/>
      <c r="H103" s="259"/>
      <c r="I103" s="247"/>
      <c r="J103" s="247"/>
      <c r="K103" s="247"/>
      <c r="L103" s="247"/>
      <c r="M103" s="247"/>
      <c r="N103" s="247"/>
      <c r="O103" s="5"/>
      <c r="Q103" s="5"/>
      <c r="R103" s="5"/>
      <c r="S103" s="5"/>
      <c r="T103" s="5"/>
      <c r="U103" s="5"/>
    </row>
    <row r="104" spans="2:21" s="5" customFormat="1">
      <c r="C104" s="247"/>
      <c r="D104" s="247"/>
      <c r="E104" s="247"/>
      <c r="F104" s="247"/>
      <c r="G104" s="247"/>
      <c r="H104" s="247"/>
      <c r="P104" s="39"/>
    </row>
    <row r="105" spans="2:21" s="5" customFormat="1">
      <c r="I105" s="259"/>
      <c r="J105" s="247"/>
      <c r="K105" s="247"/>
      <c r="L105" s="247"/>
      <c r="M105" s="247"/>
      <c r="N105" s="247"/>
      <c r="P105" s="39"/>
    </row>
    <row r="106" spans="2:21">
      <c r="B106" s="5"/>
      <c r="C106" s="259"/>
      <c r="D106" s="247"/>
      <c r="E106" s="247"/>
      <c r="F106" s="247"/>
      <c r="G106" s="247"/>
      <c r="H106" s="247"/>
      <c r="I106" s="247"/>
      <c r="J106" s="5"/>
      <c r="K106" s="5"/>
      <c r="L106" s="5"/>
      <c r="M106" s="5"/>
      <c r="N106" s="5"/>
      <c r="O106" s="5"/>
      <c r="P106" s="5"/>
      <c r="Q106" s="5"/>
      <c r="R106" s="5"/>
      <c r="S106" s="5"/>
      <c r="T106" s="5"/>
      <c r="U106" s="5"/>
    </row>
    <row r="107" spans="2:21">
      <c r="B107" s="5"/>
      <c r="C107" s="259"/>
      <c r="D107" s="5"/>
      <c r="E107" s="5"/>
      <c r="F107" s="5"/>
      <c r="G107" s="5"/>
      <c r="H107" s="5"/>
      <c r="I107" s="249"/>
      <c r="J107" s="259"/>
      <c r="K107" s="259"/>
      <c r="L107" s="259"/>
      <c r="M107" s="259"/>
      <c r="N107" s="259"/>
      <c r="O107" s="5"/>
      <c r="P107" s="5"/>
      <c r="Q107" s="5"/>
      <c r="R107" s="5"/>
      <c r="S107" s="5"/>
      <c r="T107" s="5"/>
      <c r="U107" s="5"/>
    </row>
    <row r="108" spans="2:21">
      <c r="B108" s="5"/>
      <c r="C108" s="259"/>
      <c r="D108" s="259"/>
      <c r="E108" s="259"/>
      <c r="F108" s="259"/>
      <c r="G108" s="259"/>
      <c r="H108" s="259"/>
      <c r="I108" s="249"/>
      <c r="J108" s="247"/>
      <c r="K108" s="247"/>
      <c r="L108" s="247"/>
      <c r="M108" s="247"/>
      <c r="N108" s="247"/>
      <c r="O108" s="5"/>
      <c r="Q108" s="5"/>
      <c r="R108" s="5"/>
      <c r="S108" s="5"/>
      <c r="T108" s="5"/>
      <c r="U108" s="5"/>
    </row>
    <row r="109" spans="2:21">
      <c r="B109" s="5"/>
      <c r="C109" s="247"/>
      <c r="D109" s="247"/>
      <c r="E109" s="247"/>
      <c r="F109" s="247"/>
      <c r="G109" s="247"/>
      <c r="H109" s="247"/>
      <c r="I109" s="247"/>
      <c r="J109" s="249"/>
      <c r="K109" s="249"/>
      <c r="L109" s="249"/>
      <c r="M109" s="249"/>
      <c r="N109" s="249"/>
      <c r="O109" s="5"/>
      <c r="Q109" s="5"/>
      <c r="R109" s="5"/>
      <c r="S109" s="5"/>
      <c r="T109" s="5"/>
      <c r="U109" s="5"/>
    </row>
    <row r="110" spans="2:21">
      <c r="B110" s="41"/>
      <c r="C110" s="249"/>
      <c r="D110" s="249"/>
      <c r="E110" s="249"/>
      <c r="F110" s="249"/>
      <c r="G110" s="249"/>
      <c r="H110" s="249"/>
      <c r="I110" s="5"/>
      <c r="J110" s="249"/>
      <c r="K110" s="249"/>
      <c r="L110" s="249"/>
      <c r="M110" s="249"/>
      <c r="N110" s="249"/>
      <c r="O110" s="5"/>
      <c r="Q110" s="5"/>
      <c r="R110" s="5"/>
      <c r="S110" s="5"/>
      <c r="T110" s="5"/>
      <c r="U110" s="5"/>
    </row>
    <row r="111" spans="2:21">
      <c r="B111" s="5"/>
      <c r="C111" s="249"/>
      <c r="D111" s="249"/>
      <c r="E111" s="249"/>
      <c r="F111" s="249"/>
      <c r="G111" s="249"/>
      <c r="H111" s="249"/>
      <c r="I111" s="5"/>
      <c r="J111" s="247"/>
      <c r="K111" s="247"/>
      <c r="L111" s="247"/>
      <c r="M111" s="247"/>
      <c r="N111" s="247"/>
      <c r="O111" s="5"/>
      <c r="Q111" s="5"/>
      <c r="R111" s="5"/>
      <c r="S111" s="5"/>
      <c r="T111" s="5"/>
      <c r="U111" s="5"/>
    </row>
    <row r="112" spans="2:21">
      <c r="B112" s="5"/>
      <c r="C112" s="247"/>
      <c r="D112" s="247"/>
      <c r="E112" s="247"/>
      <c r="F112" s="247"/>
      <c r="G112" s="247"/>
      <c r="H112" s="247"/>
      <c r="I112" s="5"/>
      <c r="J112" s="5"/>
      <c r="K112" s="5"/>
      <c r="L112" s="5"/>
      <c r="M112" s="5"/>
      <c r="N112" s="5"/>
      <c r="O112" s="5"/>
      <c r="Q112" s="5"/>
      <c r="R112" s="5"/>
      <c r="S112" s="5"/>
      <c r="T112" s="5"/>
      <c r="U112" s="5"/>
    </row>
    <row r="113" spans="2:21">
      <c r="B113" s="5"/>
      <c r="C113" s="5"/>
      <c r="D113" s="5"/>
      <c r="E113" s="5"/>
      <c r="F113" s="5"/>
      <c r="G113" s="5"/>
      <c r="H113" s="5"/>
      <c r="I113" s="5"/>
      <c r="J113" s="5"/>
      <c r="K113" s="5"/>
      <c r="L113" s="5"/>
      <c r="M113" s="5"/>
      <c r="N113" s="5"/>
      <c r="O113" s="5"/>
      <c r="Q113" s="5"/>
      <c r="R113" s="5"/>
      <c r="S113" s="5"/>
      <c r="T113" s="5"/>
      <c r="U113" s="5"/>
    </row>
    <row r="114" spans="2:21">
      <c r="B114" s="5"/>
      <c r="C114" s="5"/>
      <c r="D114" s="5"/>
      <c r="E114" s="5"/>
      <c r="F114" s="5"/>
      <c r="G114" s="5"/>
      <c r="H114" s="5"/>
      <c r="I114" s="49"/>
      <c r="J114" s="5"/>
      <c r="K114" s="5"/>
      <c r="L114" s="5"/>
      <c r="M114" s="5"/>
      <c r="N114" s="5"/>
      <c r="O114" s="5"/>
      <c r="Q114" s="41"/>
      <c r="R114" s="5"/>
      <c r="S114" s="5"/>
      <c r="T114" s="5"/>
      <c r="U114" s="5"/>
    </row>
    <row r="115" spans="2:21">
      <c r="B115" s="5"/>
      <c r="C115" s="5"/>
      <c r="D115" s="5"/>
      <c r="E115" s="5"/>
      <c r="F115" s="5"/>
      <c r="G115" s="5"/>
      <c r="H115" s="5"/>
      <c r="I115" s="5"/>
      <c r="J115" s="5"/>
      <c r="K115" s="5"/>
      <c r="L115" s="5"/>
      <c r="M115" s="5"/>
      <c r="N115" s="5"/>
      <c r="O115" s="5"/>
      <c r="Q115" s="5"/>
      <c r="R115" s="5"/>
      <c r="S115" s="5"/>
      <c r="T115" s="5"/>
      <c r="U115" s="5"/>
    </row>
    <row r="116" spans="2:21">
      <c r="B116" s="5"/>
      <c r="C116" s="5"/>
      <c r="D116" s="5"/>
      <c r="E116" s="5"/>
      <c r="F116" s="5"/>
      <c r="G116" s="5"/>
      <c r="H116" s="5"/>
      <c r="I116" s="254"/>
      <c r="J116" s="49"/>
      <c r="K116" s="49"/>
      <c r="L116" s="49"/>
      <c r="M116" s="49"/>
      <c r="N116" s="49"/>
      <c r="O116" s="49"/>
      <c r="Q116" s="5"/>
      <c r="R116" s="5"/>
      <c r="S116" s="5"/>
      <c r="T116" s="5"/>
      <c r="U116" s="5"/>
    </row>
    <row r="117" spans="2:21">
      <c r="B117" s="41"/>
      <c r="C117" s="49"/>
      <c r="D117" s="49"/>
      <c r="E117" s="49"/>
      <c r="F117" s="49"/>
      <c r="G117" s="49"/>
      <c r="H117" s="49"/>
      <c r="I117" s="249"/>
      <c r="J117" s="5"/>
      <c r="K117" s="5"/>
      <c r="L117" s="5"/>
      <c r="M117" s="5"/>
      <c r="N117" s="5"/>
      <c r="O117" s="5"/>
      <c r="Q117" s="5"/>
      <c r="R117" s="5"/>
      <c r="S117" s="5"/>
      <c r="T117" s="5"/>
      <c r="U117" s="5"/>
    </row>
    <row r="118" spans="2:21">
      <c r="B118" s="5"/>
      <c r="C118" s="5"/>
      <c r="D118" s="5"/>
      <c r="E118" s="5"/>
      <c r="F118" s="5"/>
      <c r="G118" s="5"/>
      <c r="H118" s="5"/>
      <c r="I118" s="254"/>
      <c r="J118" s="254"/>
      <c r="K118" s="254"/>
      <c r="L118" s="254"/>
      <c r="M118" s="254"/>
      <c r="N118" s="254"/>
      <c r="O118" s="248"/>
      <c r="Q118" s="5"/>
      <c r="R118" s="5"/>
      <c r="S118" s="5"/>
      <c r="T118" s="5"/>
      <c r="U118" s="5"/>
    </row>
    <row r="119" spans="2:21">
      <c r="B119" s="41"/>
      <c r="C119" s="254"/>
      <c r="D119" s="254"/>
      <c r="E119" s="254"/>
      <c r="F119" s="254"/>
      <c r="G119" s="254"/>
      <c r="H119" s="254"/>
      <c r="I119" s="254"/>
      <c r="J119" s="249"/>
      <c r="K119" s="249"/>
      <c r="L119" s="249"/>
      <c r="M119" s="249"/>
      <c r="N119" s="249"/>
      <c r="O119" s="248"/>
      <c r="Q119" s="5"/>
      <c r="R119" s="5"/>
      <c r="S119" s="5"/>
      <c r="T119" s="5"/>
      <c r="U119" s="5"/>
    </row>
    <row r="120" spans="2:21">
      <c r="B120" s="41"/>
      <c r="C120" s="254"/>
      <c r="D120" s="249"/>
      <c r="E120" s="249"/>
      <c r="F120" s="249"/>
      <c r="G120" s="249"/>
      <c r="H120" s="249"/>
      <c r="I120" s="254"/>
      <c r="J120" s="254"/>
      <c r="K120" s="254"/>
      <c r="L120" s="254"/>
      <c r="M120" s="254"/>
      <c r="N120" s="254"/>
      <c r="O120" s="248"/>
      <c r="Q120" s="5"/>
      <c r="R120" s="5"/>
      <c r="S120" s="5"/>
      <c r="T120" s="5"/>
      <c r="U120" s="5"/>
    </row>
    <row r="121" spans="2:21">
      <c r="B121" s="41"/>
      <c r="C121" s="254"/>
      <c r="D121" s="254"/>
      <c r="E121" s="254"/>
      <c r="F121" s="254"/>
      <c r="G121" s="254"/>
      <c r="H121" s="254"/>
      <c r="I121" s="254"/>
      <c r="J121" s="254"/>
      <c r="K121" s="254"/>
      <c r="L121" s="254"/>
      <c r="M121" s="254"/>
      <c r="N121" s="254"/>
      <c r="O121" s="248"/>
      <c r="Q121" s="5"/>
      <c r="R121" s="5"/>
      <c r="S121" s="5"/>
      <c r="T121" s="5"/>
      <c r="U121" s="5"/>
    </row>
    <row r="122" spans="2:21">
      <c r="B122" s="41"/>
      <c r="C122" s="254"/>
      <c r="D122" s="254"/>
      <c r="E122" s="254"/>
      <c r="F122" s="254"/>
      <c r="G122" s="254"/>
      <c r="H122" s="254"/>
      <c r="I122" s="254"/>
      <c r="J122" s="254"/>
      <c r="K122" s="254"/>
      <c r="L122" s="254"/>
      <c r="M122" s="254"/>
      <c r="N122" s="254"/>
      <c r="O122" s="248"/>
      <c r="Q122" s="5"/>
      <c r="R122" s="5"/>
      <c r="S122" s="5"/>
      <c r="T122" s="5"/>
      <c r="U122" s="5"/>
    </row>
    <row r="123" spans="2:21">
      <c r="B123" s="41"/>
      <c r="C123" s="254"/>
      <c r="D123" s="254"/>
      <c r="E123" s="254"/>
      <c r="F123" s="254"/>
      <c r="G123" s="254"/>
      <c r="H123" s="254"/>
      <c r="I123" s="254"/>
      <c r="J123" s="254"/>
      <c r="K123" s="254"/>
      <c r="L123" s="254"/>
      <c r="M123" s="254"/>
      <c r="N123" s="254"/>
      <c r="O123" s="248"/>
      <c r="Q123" s="5"/>
      <c r="R123" s="5"/>
      <c r="S123" s="5"/>
      <c r="T123" s="5"/>
      <c r="U123" s="5"/>
    </row>
    <row r="124" spans="2:21">
      <c r="B124" s="41"/>
      <c r="C124" s="254"/>
      <c r="D124" s="254"/>
      <c r="E124" s="254"/>
      <c r="F124" s="254"/>
      <c r="G124" s="254"/>
      <c r="H124" s="254"/>
      <c r="I124" s="254"/>
      <c r="J124" s="254"/>
      <c r="K124" s="254"/>
      <c r="L124" s="254"/>
      <c r="M124" s="254"/>
      <c r="N124" s="254"/>
      <c r="O124" s="5"/>
      <c r="Q124" s="5"/>
      <c r="R124" s="5"/>
      <c r="S124" s="5"/>
      <c r="T124" s="5"/>
      <c r="U124" s="5"/>
    </row>
    <row r="125" spans="2:21">
      <c r="B125" s="41"/>
      <c r="C125" s="254"/>
      <c r="D125" s="254"/>
      <c r="E125" s="254"/>
      <c r="F125" s="254"/>
      <c r="G125" s="254"/>
      <c r="H125" s="254"/>
      <c r="I125" s="254"/>
      <c r="J125" s="254"/>
      <c r="K125" s="254"/>
      <c r="L125" s="254"/>
      <c r="M125" s="254"/>
      <c r="N125" s="254"/>
      <c r="O125" s="5"/>
      <c r="Q125" s="5"/>
      <c r="R125" s="5"/>
      <c r="S125" s="5"/>
      <c r="T125" s="5"/>
      <c r="U125" s="5"/>
    </row>
    <row r="126" spans="2:21">
      <c r="B126" s="41"/>
      <c r="C126" s="254"/>
      <c r="D126" s="254"/>
      <c r="E126" s="254"/>
      <c r="F126" s="254"/>
      <c r="G126" s="254"/>
      <c r="H126" s="254"/>
      <c r="I126" s="18"/>
      <c r="J126" s="254"/>
      <c r="K126" s="254"/>
      <c r="L126" s="254"/>
      <c r="M126" s="254"/>
      <c r="N126" s="254"/>
      <c r="O126" s="5"/>
      <c r="Q126" s="5"/>
      <c r="R126" s="5"/>
      <c r="S126" s="5"/>
      <c r="T126" s="5"/>
      <c r="U126" s="5"/>
    </row>
    <row r="127" spans="2:21">
      <c r="B127" s="41"/>
      <c r="C127" s="254"/>
      <c r="D127" s="254"/>
      <c r="E127" s="254"/>
      <c r="F127" s="254"/>
      <c r="G127" s="254"/>
      <c r="H127" s="254"/>
      <c r="I127" s="5"/>
      <c r="J127" s="254"/>
      <c r="K127" s="254"/>
      <c r="L127" s="254"/>
      <c r="M127" s="254"/>
      <c r="N127" s="254"/>
      <c r="O127" s="5"/>
      <c r="Q127" s="5"/>
      <c r="R127" s="5"/>
      <c r="S127" s="5"/>
      <c r="T127" s="5"/>
      <c r="U127" s="5"/>
    </row>
    <row r="128" spans="2:21">
      <c r="B128" s="41"/>
      <c r="C128" s="254"/>
      <c r="D128" s="254"/>
      <c r="E128" s="254"/>
      <c r="F128" s="254"/>
      <c r="G128" s="254"/>
      <c r="H128" s="254"/>
      <c r="I128" s="254"/>
      <c r="J128" s="18"/>
      <c r="K128" s="18"/>
      <c r="L128" s="18"/>
      <c r="M128" s="18"/>
      <c r="N128" s="18"/>
      <c r="O128" s="5"/>
      <c r="Q128" s="5"/>
      <c r="R128" s="5"/>
      <c r="S128" s="5"/>
      <c r="T128" s="5"/>
      <c r="U128" s="5"/>
    </row>
    <row r="129" spans="2:27">
      <c r="B129" s="5"/>
      <c r="C129" s="5"/>
      <c r="D129" s="18"/>
      <c r="E129" s="18"/>
      <c r="F129" s="18"/>
      <c r="G129" s="18"/>
      <c r="H129" s="18"/>
      <c r="I129" s="18"/>
      <c r="J129" s="5"/>
      <c r="K129" s="5"/>
      <c r="L129" s="5"/>
      <c r="M129" s="5"/>
      <c r="N129" s="5"/>
      <c r="O129" s="5"/>
      <c r="Q129" s="5"/>
      <c r="R129" s="5"/>
      <c r="S129" s="5"/>
      <c r="T129" s="5"/>
      <c r="U129" s="5"/>
    </row>
    <row r="130" spans="2:27">
      <c r="B130" s="5"/>
      <c r="C130" s="5"/>
      <c r="D130" s="5"/>
      <c r="E130" s="5"/>
      <c r="F130" s="5"/>
      <c r="G130" s="5"/>
      <c r="H130" s="5"/>
      <c r="I130" s="5"/>
      <c r="J130" s="254"/>
      <c r="K130" s="254"/>
      <c r="L130" s="254"/>
      <c r="M130" s="254"/>
      <c r="N130" s="254"/>
      <c r="O130" s="5"/>
      <c r="Q130" s="5"/>
      <c r="R130" s="5"/>
      <c r="S130" s="5"/>
      <c r="T130" s="5"/>
      <c r="U130" s="5"/>
    </row>
    <row r="131" spans="2:27">
      <c r="B131" s="41"/>
      <c r="C131" s="254"/>
      <c r="D131" s="254"/>
      <c r="E131" s="254"/>
      <c r="F131" s="254"/>
      <c r="G131" s="254"/>
      <c r="H131" s="254"/>
      <c r="I131" s="5"/>
      <c r="J131" s="18"/>
      <c r="K131" s="18"/>
      <c r="L131" s="18"/>
      <c r="M131" s="18"/>
      <c r="N131" s="18"/>
      <c r="O131" s="5"/>
      <c r="Q131" s="5"/>
      <c r="R131" s="5"/>
      <c r="S131" s="5"/>
      <c r="T131" s="5"/>
      <c r="U131" s="5"/>
    </row>
    <row r="132" spans="2:27">
      <c r="B132" s="5"/>
      <c r="C132" s="259"/>
      <c r="D132" s="18"/>
      <c r="E132" s="18"/>
      <c r="F132" s="18"/>
      <c r="G132" s="18"/>
      <c r="H132" s="18"/>
      <c r="I132" s="17"/>
      <c r="J132" s="5"/>
      <c r="K132" s="5"/>
      <c r="L132" s="5"/>
      <c r="M132" s="5"/>
      <c r="N132" s="5"/>
      <c r="O132" s="5"/>
      <c r="Q132" s="5"/>
      <c r="R132" s="5"/>
      <c r="S132" s="5"/>
      <c r="T132" s="5"/>
      <c r="U132" s="5"/>
    </row>
    <row r="133" spans="2:27">
      <c r="B133" s="5"/>
      <c r="C133" s="5"/>
      <c r="D133" s="5"/>
      <c r="E133" s="5"/>
      <c r="F133" s="5"/>
      <c r="G133" s="5"/>
      <c r="H133" s="5"/>
      <c r="I133" s="17"/>
      <c r="J133" s="5"/>
      <c r="K133" s="5"/>
      <c r="L133" s="5"/>
      <c r="M133" s="5"/>
      <c r="N133" s="5"/>
      <c r="O133" s="5"/>
      <c r="Q133" s="5"/>
      <c r="R133" s="5"/>
      <c r="S133" s="5"/>
      <c r="T133" s="5"/>
      <c r="U133" s="5"/>
    </row>
    <row r="134" spans="2:27">
      <c r="B134" s="41"/>
      <c r="C134" s="5"/>
      <c r="D134" s="5"/>
      <c r="E134" s="5"/>
      <c r="F134" s="5"/>
      <c r="G134" s="5"/>
      <c r="H134" s="5"/>
      <c r="I134" s="17"/>
      <c r="J134" s="17"/>
      <c r="K134" s="17"/>
      <c r="L134" s="17"/>
      <c r="M134" s="17"/>
      <c r="N134" s="17"/>
      <c r="O134" s="5"/>
      <c r="Q134" s="41"/>
      <c r="R134" s="5"/>
      <c r="S134" s="5"/>
      <c r="T134" s="5"/>
      <c r="U134" s="5"/>
    </row>
    <row r="135" spans="2:27">
      <c r="B135" s="5"/>
      <c r="C135" s="17"/>
      <c r="D135" s="17"/>
      <c r="E135" s="17"/>
      <c r="F135" s="17"/>
      <c r="G135" s="17"/>
      <c r="H135" s="17"/>
      <c r="I135" s="17"/>
      <c r="J135" s="17"/>
      <c r="K135" s="17"/>
      <c r="L135" s="17"/>
      <c r="M135" s="17"/>
      <c r="N135" s="17"/>
      <c r="O135" s="5"/>
      <c r="Q135" s="5"/>
      <c r="R135" s="5"/>
      <c r="S135" s="5"/>
      <c r="T135" s="5"/>
      <c r="U135" s="5"/>
      <c r="X135" s="304"/>
    </row>
    <row r="136" spans="2:27">
      <c r="B136" s="5"/>
      <c r="C136" s="17"/>
      <c r="D136" s="17"/>
      <c r="E136" s="17"/>
      <c r="F136" s="17"/>
      <c r="G136" s="17"/>
      <c r="H136" s="17"/>
      <c r="I136" s="17"/>
      <c r="J136" s="17"/>
      <c r="K136" s="17"/>
      <c r="L136" s="17"/>
      <c r="M136" s="17"/>
      <c r="N136" s="17"/>
      <c r="O136" s="5"/>
      <c r="Q136" s="5"/>
      <c r="R136" s="5"/>
      <c r="S136" s="5"/>
      <c r="T136" s="5"/>
      <c r="U136" s="5"/>
      <c r="X136" s="10"/>
      <c r="Y136" s="304"/>
      <c r="Z136" s="304"/>
      <c r="AA136" s="304"/>
    </row>
    <row r="137" spans="2:27">
      <c r="B137" s="5"/>
      <c r="C137" s="5"/>
      <c r="D137" s="17"/>
      <c r="E137" s="17"/>
      <c r="F137" s="17"/>
      <c r="G137" s="17"/>
      <c r="H137" s="17"/>
      <c r="I137" s="17"/>
      <c r="J137" s="17"/>
      <c r="K137" s="17"/>
      <c r="L137" s="17"/>
      <c r="M137" s="17"/>
      <c r="N137" s="17"/>
      <c r="O137" s="5"/>
      <c r="Q137" s="5"/>
      <c r="R137" s="5"/>
      <c r="S137" s="5"/>
      <c r="T137" s="5"/>
      <c r="U137" s="5"/>
      <c r="Y137" s="10"/>
      <c r="Z137" s="10"/>
      <c r="AA137" s="10"/>
    </row>
    <row r="138" spans="2:27">
      <c r="B138" s="5"/>
      <c r="C138" s="5"/>
      <c r="D138" s="17"/>
      <c r="E138" s="17"/>
      <c r="F138" s="17"/>
      <c r="G138" s="17"/>
      <c r="H138" s="17"/>
      <c r="I138" s="5"/>
      <c r="J138" s="17"/>
      <c r="K138" s="17"/>
      <c r="L138" s="17"/>
      <c r="M138" s="17"/>
      <c r="N138" s="17"/>
      <c r="O138" s="5"/>
      <c r="Q138" s="5"/>
      <c r="R138" s="5"/>
      <c r="S138" s="5"/>
      <c r="T138" s="5"/>
      <c r="U138" s="5"/>
    </row>
    <row r="139" spans="2:27">
      <c r="B139" s="5"/>
      <c r="C139" s="5"/>
      <c r="D139" s="17"/>
      <c r="E139" s="17"/>
      <c r="F139" s="17"/>
      <c r="G139" s="17"/>
      <c r="H139" s="17"/>
      <c r="I139" s="5"/>
      <c r="J139" s="17"/>
      <c r="K139" s="17"/>
      <c r="L139" s="17"/>
      <c r="M139" s="17"/>
      <c r="N139" s="17"/>
      <c r="O139" s="5"/>
      <c r="Q139" s="5"/>
      <c r="R139" s="5"/>
      <c r="S139" s="5"/>
      <c r="T139" s="5"/>
      <c r="U139" s="5"/>
    </row>
    <row r="140" spans="2:27">
      <c r="B140" s="5"/>
      <c r="C140" s="17"/>
      <c r="D140" s="17"/>
      <c r="E140" s="17"/>
      <c r="F140" s="17"/>
      <c r="G140" s="17"/>
      <c r="H140" s="17"/>
      <c r="I140" s="5"/>
      <c r="J140" s="5"/>
      <c r="K140" s="5"/>
      <c r="L140" s="5"/>
      <c r="M140" s="5"/>
      <c r="N140" s="5"/>
      <c r="O140" s="5"/>
      <c r="Q140" s="5"/>
      <c r="R140" s="5"/>
      <c r="S140" s="5"/>
      <c r="T140" s="5"/>
      <c r="U140" s="5"/>
    </row>
    <row r="141" spans="2:27">
      <c r="B141" s="5"/>
      <c r="C141" s="5"/>
      <c r="D141" s="5"/>
      <c r="E141" s="5"/>
      <c r="F141" s="5"/>
      <c r="G141" s="5"/>
      <c r="H141" s="5"/>
      <c r="I141" s="5"/>
      <c r="J141" s="5"/>
      <c r="K141" s="5"/>
      <c r="L141" s="5"/>
      <c r="M141" s="5"/>
      <c r="N141" s="5"/>
      <c r="O141" s="5"/>
      <c r="Q141" s="5"/>
      <c r="R141" s="5"/>
      <c r="S141" s="5"/>
      <c r="T141" s="5"/>
      <c r="U141" s="5"/>
    </row>
    <row r="142" spans="2:27">
      <c r="B142" s="5"/>
      <c r="C142" s="5"/>
      <c r="D142" s="5"/>
      <c r="E142" s="5"/>
      <c r="F142" s="5"/>
      <c r="G142" s="5"/>
      <c r="H142" s="5"/>
      <c r="I142" s="5"/>
      <c r="J142" s="5"/>
      <c r="K142" s="5"/>
      <c r="L142" s="5"/>
      <c r="M142" s="5"/>
      <c r="N142" s="5"/>
      <c r="O142" s="5"/>
      <c r="Q142" s="5"/>
      <c r="R142" s="5"/>
      <c r="S142" s="5"/>
      <c r="T142" s="5"/>
      <c r="U142" s="5"/>
    </row>
    <row r="143" spans="2:27">
      <c r="B143" s="5"/>
      <c r="C143" s="5"/>
      <c r="D143" s="5"/>
      <c r="E143" s="5"/>
      <c r="F143" s="5"/>
      <c r="G143" s="5"/>
      <c r="H143" s="5"/>
      <c r="I143" s="5"/>
      <c r="J143" s="5"/>
      <c r="K143" s="5"/>
      <c r="L143" s="5"/>
      <c r="M143" s="5"/>
      <c r="N143" s="5"/>
      <c r="O143" s="5"/>
      <c r="Q143" s="5"/>
      <c r="R143" s="5"/>
      <c r="S143" s="5"/>
      <c r="T143" s="5"/>
      <c r="U143" s="5"/>
    </row>
    <row r="144" spans="2:27">
      <c r="B144" s="5"/>
      <c r="C144" s="5"/>
      <c r="D144" s="5"/>
      <c r="E144" s="5"/>
      <c r="F144" s="5"/>
      <c r="G144" s="5"/>
      <c r="H144" s="5"/>
      <c r="I144" s="5"/>
      <c r="J144" s="5"/>
      <c r="K144" s="5"/>
      <c r="L144" s="5"/>
      <c r="M144" s="5"/>
      <c r="N144" s="5"/>
      <c r="O144" s="5"/>
      <c r="Q144" s="5"/>
      <c r="R144" s="5"/>
      <c r="S144" s="5"/>
      <c r="T144" s="5"/>
      <c r="U144" s="5"/>
    </row>
    <row r="145" spans="2:21">
      <c r="B145" s="5"/>
      <c r="C145" s="5"/>
      <c r="D145" s="5"/>
      <c r="E145" s="5"/>
      <c r="F145" s="5"/>
      <c r="G145" s="5"/>
      <c r="H145" s="5"/>
      <c r="I145" s="5"/>
      <c r="J145" s="5"/>
      <c r="K145" s="5"/>
      <c r="L145" s="5"/>
      <c r="M145" s="5"/>
      <c r="N145" s="5"/>
      <c r="O145" s="5"/>
      <c r="Q145" s="5"/>
      <c r="R145" s="5"/>
      <c r="S145" s="5"/>
      <c r="T145" s="5"/>
      <c r="U145" s="5"/>
    </row>
    <row r="146" spans="2:21">
      <c r="B146" s="5"/>
      <c r="C146" s="5"/>
      <c r="D146" s="5"/>
      <c r="E146" s="5"/>
      <c r="F146" s="5"/>
      <c r="G146" s="5"/>
      <c r="H146" s="5"/>
      <c r="I146" s="5"/>
      <c r="J146" s="5"/>
      <c r="K146" s="5"/>
      <c r="L146" s="5"/>
      <c r="M146" s="5"/>
      <c r="N146" s="5"/>
      <c r="O146" s="5"/>
      <c r="Q146" s="5"/>
      <c r="R146" s="5"/>
      <c r="S146" s="5"/>
      <c r="T146" s="5"/>
      <c r="U146" s="5"/>
    </row>
    <row r="147" spans="2:21">
      <c r="B147" s="5"/>
      <c r="C147" s="5"/>
      <c r="D147" s="5"/>
      <c r="E147" s="5"/>
      <c r="F147" s="5"/>
      <c r="G147" s="5"/>
      <c r="H147" s="5"/>
      <c r="I147" s="5"/>
      <c r="J147" s="5"/>
      <c r="K147" s="5"/>
      <c r="L147" s="5"/>
      <c r="M147" s="5"/>
      <c r="N147" s="5"/>
      <c r="O147" s="5"/>
      <c r="Q147" s="5"/>
      <c r="R147" s="5"/>
      <c r="S147" s="5"/>
      <c r="T147" s="5"/>
      <c r="U147" s="5"/>
    </row>
    <row r="148" spans="2:21">
      <c r="B148" s="5"/>
      <c r="C148" s="5"/>
      <c r="D148" s="5"/>
      <c r="E148" s="5"/>
      <c r="F148" s="5"/>
      <c r="G148" s="5"/>
      <c r="H148" s="5"/>
      <c r="J148" s="5"/>
      <c r="K148" s="5"/>
      <c r="L148" s="5"/>
      <c r="M148" s="5"/>
      <c r="N148" s="5"/>
      <c r="O148" s="5"/>
      <c r="Q148" s="5"/>
      <c r="R148" s="5"/>
      <c r="S148" s="5"/>
      <c r="T148" s="5"/>
      <c r="U148" s="5"/>
    </row>
    <row r="149" spans="2:21">
      <c r="B149" s="5"/>
      <c r="C149" s="5"/>
      <c r="D149" s="5"/>
      <c r="E149" s="5"/>
      <c r="F149" s="5"/>
      <c r="G149" s="5"/>
      <c r="H149" s="5"/>
      <c r="J149" s="5"/>
      <c r="K149" s="5"/>
      <c r="L149" s="5"/>
      <c r="M149" s="5"/>
      <c r="N149" s="5"/>
      <c r="O149" s="5"/>
      <c r="Q149" s="5"/>
      <c r="R149" s="5"/>
      <c r="S149" s="5"/>
      <c r="T149" s="5"/>
      <c r="U149" s="5"/>
    </row>
    <row r="150" spans="2:21">
      <c r="B150" s="5"/>
      <c r="C150" s="5"/>
      <c r="D150" s="5"/>
      <c r="E150" s="5"/>
      <c r="F150" s="5"/>
      <c r="G150" s="5"/>
      <c r="H150" s="5"/>
      <c r="Q150" s="5"/>
      <c r="R150" s="5"/>
      <c r="S150" s="5"/>
      <c r="T150" s="5"/>
      <c r="U150" s="5"/>
    </row>
    <row r="151" spans="2:21">
      <c r="Q151" s="5"/>
      <c r="R151" s="5"/>
      <c r="S151" s="5"/>
      <c r="T151" s="5"/>
      <c r="U151" s="5"/>
    </row>
    <row r="152" spans="2:21">
      <c r="Q152" s="5"/>
      <c r="R152" s="5"/>
      <c r="S152" s="5"/>
      <c r="T152" s="5"/>
      <c r="U152" s="5"/>
    </row>
    <row r="153" spans="2:21">
      <c r="C153" s="263"/>
      <c r="Q153" s="5"/>
      <c r="R153" s="5"/>
      <c r="S153" s="5"/>
      <c r="T153" s="5"/>
      <c r="U153" s="5"/>
    </row>
    <row r="154" spans="2:21">
      <c r="Q154" s="5"/>
      <c r="R154" s="5"/>
      <c r="S154" s="5"/>
      <c r="T154" s="5"/>
      <c r="U154" s="5"/>
    </row>
    <row r="155" spans="2:21">
      <c r="Q155" s="5"/>
      <c r="R155" s="5"/>
      <c r="S155" s="5"/>
      <c r="T155" s="5"/>
      <c r="U155" s="5"/>
    </row>
    <row r="156" spans="2:21">
      <c r="Q156" s="5"/>
      <c r="R156" s="5"/>
      <c r="S156" s="5"/>
      <c r="T156" s="5"/>
      <c r="U156" s="5"/>
    </row>
    <row r="157" spans="2:21">
      <c r="Q157" s="5"/>
      <c r="R157" s="5"/>
      <c r="S157" s="5"/>
      <c r="T157" s="5"/>
      <c r="U157" s="5"/>
    </row>
    <row r="158" spans="2:21">
      <c r="Q158" s="5"/>
      <c r="R158" s="5"/>
      <c r="S158" s="5"/>
      <c r="T158" s="5"/>
      <c r="U158" s="5"/>
    </row>
    <row r="159" spans="2:21">
      <c r="Q159" s="5"/>
      <c r="R159" s="5"/>
      <c r="S159" s="5"/>
      <c r="T159" s="5"/>
      <c r="U159" s="5"/>
    </row>
    <row r="160" spans="2:21">
      <c r="Q160" s="5"/>
      <c r="R160" s="5"/>
      <c r="S160" s="5"/>
      <c r="T160" s="5"/>
      <c r="U160" s="5"/>
    </row>
    <row r="161" spans="17:21">
      <c r="Q161" s="5"/>
      <c r="R161" s="5"/>
      <c r="S161" s="5"/>
      <c r="T161" s="5"/>
      <c r="U161" s="5"/>
    </row>
    <row r="162" spans="17:21">
      <c r="Q162" s="5"/>
      <c r="R162" s="5"/>
      <c r="S162" s="5"/>
      <c r="T162" s="5"/>
      <c r="U162" s="5"/>
    </row>
    <row r="163" spans="17:21">
      <c r="Q163" s="5"/>
      <c r="R163" s="5"/>
      <c r="S163" s="5"/>
      <c r="T163" s="5"/>
      <c r="U163" s="5"/>
    </row>
    <row r="164" spans="17:21">
      <c r="Q164" s="5"/>
      <c r="R164" s="5"/>
      <c r="S164" s="5"/>
      <c r="T164" s="5"/>
      <c r="U164" s="5"/>
    </row>
  </sheetData>
  <phoneticPr fontId="7" type="noConversion"/>
  <pageMargins left="0.75" right="0.75" top="1" bottom="1" header="0.5" footer="0.5"/>
  <pageSetup scale="70" orientation="landscape" r:id="rId1"/>
  <headerFooter alignWithMargins="0"/>
  <drawing r:id="rId2"/>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800-000000000000}">
  <sheetPr codeName="Sheet131">
    <tabColor theme="3" tint="0.39997558519241921"/>
    <pageSetUpPr fitToPage="1"/>
  </sheetPr>
  <dimension ref="B1:BK164"/>
  <sheetViews>
    <sheetView showGridLines="0" zoomScale="80" zoomScaleNormal="80" workbookViewId="0"/>
  </sheetViews>
  <sheetFormatPr defaultColWidth="8.88671875" defaultRowHeight="12"/>
  <cols>
    <col min="1" max="1" width="2.33203125" style="39" customWidth="1"/>
    <col min="2" max="2" width="26.6640625" style="39" customWidth="1"/>
    <col min="3" max="9" width="10" style="39" customWidth="1"/>
    <col min="10" max="10" width="26.6640625" style="39" customWidth="1"/>
    <col min="11" max="16" width="10" style="39" customWidth="1"/>
    <col min="17" max="17" width="4.5546875" style="39" customWidth="1"/>
    <col min="18" max="20" width="8.88671875" style="39"/>
    <col min="21" max="21" width="3.6640625" style="39" customWidth="1"/>
    <col min="22" max="63" width="9.109375" style="5" customWidth="1"/>
    <col min="64" max="16384" width="8.88671875" style="39"/>
  </cols>
  <sheetData>
    <row r="1" spans="2:63" s="312" customFormat="1">
      <c r="V1" s="149"/>
      <c r="W1" s="149"/>
      <c r="X1" s="149"/>
      <c r="Y1" s="149"/>
      <c r="Z1" s="149"/>
      <c r="AA1" s="149"/>
      <c r="AB1" s="149"/>
      <c r="AC1" s="149"/>
      <c r="AD1" s="149"/>
      <c r="AE1" s="149"/>
      <c r="AF1" s="149"/>
      <c r="AG1" s="149"/>
      <c r="AH1" s="149"/>
      <c r="AI1" s="149"/>
      <c r="AJ1" s="149"/>
      <c r="AK1" s="149"/>
      <c r="AL1" s="149"/>
      <c r="AM1" s="149"/>
      <c r="AN1" s="149"/>
      <c r="AO1" s="149"/>
      <c r="AP1" s="149"/>
      <c r="AQ1" s="149"/>
      <c r="AR1" s="149"/>
      <c r="AS1" s="149"/>
      <c r="AT1" s="149"/>
      <c r="AU1" s="149"/>
      <c r="AV1" s="149"/>
      <c r="AW1" s="149"/>
      <c r="AX1" s="149"/>
      <c r="AY1" s="149"/>
      <c r="AZ1" s="149"/>
      <c r="BA1" s="149"/>
      <c r="BB1" s="149"/>
      <c r="BC1" s="149"/>
      <c r="BD1" s="149"/>
      <c r="BE1" s="149"/>
      <c r="BF1" s="149"/>
      <c r="BG1" s="149"/>
      <c r="BH1" s="149"/>
      <c r="BI1" s="149"/>
      <c r="BJ1" s="149"/>
      <c r="BK1" s="149"/>
    </row>
    <row r="2" spans="2:63" s="312" customFormat="1">
      <c r="V2" s="149"/>
      <c r="W2" s="149"/>
      <c r="X2" s="149"/>
      <c r="Y2" s="149"/>
      <c r="Z2" s="149"/>
      <c r="AA2" s="149"/>
      <c r="AB2" s="149"/>
      <c r="AC2" s="149"/>
      <c r="AD2" s="149"/>
      <c r="AE2" s="149"/>
      <c r="AF2" s="149"/>
      <c r="AG2" s="149"/>
      <c r="AH2" s="149"/>
      <c r="AI2" s="149"/>
      <c r="AJ2" s="149"/>
      <c r="AK2" s="149"/>
      <c r="AL2" s="149"/>
      <c r="AM2" s="149"/>
      <c r="AN2" s="149"/>
      <c r="AO2" s="149"/>
      <c r="AP2" s="149"/>
      <c r="AQ2" s="149"/>
      <c r="AR2" s="149"/>
      <c r="AS2" s="149"/>
      <c r="AT2" s="149"/>
      <c r="AU2" s="149"/>
      <c r="AV2" s="149"/>
      <c r="AW2" s="149"/>
      <c r="AX2" s="149"/>
      <c r="AY2" s="149"/>
      <c r="AZ2" s="149"/>
      <c r="BA2" s="149"/>
      <c r="BB2" s="149"/>
      <c r="BC2" s="149"/>
      <c r="BD2" s="149"/>
      <c r="BE2" s="149"/>
      <c r="BF2" s="149"/>
      <c r="BG2" s="149"/>
      <c r="BH2" s="149"/>
      <c r="BI2" s="149"/>
      <c r="BJ2" s="149"/>
      <c r="BK2" s="149"/>
    </row>
    <row r="3" spans="2:63" s="149" customFormat="1">
      <c r="H3" s="153"/>
      <c r="P3" s="153"/>
    </row>
    <row r="4" spans="2:63" s="156" customFormat="1" ht="21">
      <c r="B4" s="129" t="s">
        <v>338</v>
      </c>
      <c r="H4" s="222"/>
      <c r="P4" s="222"/>
    </row>
    <row r="5" spans="2:63" s="149" customFormat="1">
      <c r="C5" s="153"/>
      <c r="D5" s="153" t="str" cm="1">
        <f t="array" ref="D5:H5">headings</f>
        <v>2023E</v>
      </c>
      <c r="E5" s="153" t="str">
        <v>2024E</v>
      </c>
      <c r="F5" s="153" t="str">
        <v>2025E</v>
      </c>
      <c r="G5" s="153" t="str">
        <v>2026E</v>
      </c>
      <c r="H5" s="153" t="str">
        <v>23E-26E</v>
      </c>
      <c r="I5" s="153"/>
      <c r="J5" s="153"/>
      <c r="K5" s="153"/>
      <c r="L5" s="153" t="str" cm="1">
        <f t="array" ref="L5:P5">headings</f>
        <v>2023E</v>
      </c>
      <c r="M5" s="153" t="str">
        <v>2024E</v>
      </c>
      <c r="N5" s="153" t="str">
        <v>2025E</v>
      </c>
      <c r="O5" s="153" t="str">
        <v>2026E</v>
      </c>
      <c r="P5" s="153" t="str">
        <v>23E-26E</v>
      </c>
      <c r="Q5" s="162"/>
      <c r="R5" s="162"/>
      <c r="S5" s="162"/>
      <c r="T5" s="162"/>
      <c r="U5" s="162"/>
      <c r="V5" s="162"/>
      <c r="W5" s="162"/>
      <c r="X5" s="162"/>
      <c r="Y5" s="162"/>
    </row>
    <row r="6" spans="2:63">
      <c r="I6" s="5"/>
      <c r="J6" s="5"/>
      <c r="K6" s="5"/>
      <c r="L6" s="5"/>
      <c r="M6" s="5"/>
      <c r="N6" s="5"/>
      <c r="O6" s="49"/>
    </row>
    <row r="7" spans="2:63" ht="12.6" thickBot="1">
      <c r="B7" s="306" t="s">
        <v>271</v>
      </c>
      <c r="C7" s="265"/>
      <c r="D7" s="265"/>
      <c r="E7" s="265"/>
      <c r="F7" s="265"/>
      <c r="G7" s="265"/>
      <c r="H7" s="265"/>
      <c r="I7" s="49"/>
      <c r="J7" s="306" t="s">
        <v>550</v>
      </c>
      <c r="K7" s="306"/>
      <c r="L7" s="306"/>
      <c r="M7" s="306"/>
      <c r="N7" s="266"/>
      <c r="O7" s="266"/>
      <c r="P7" s="266"/>
    </row>
    <row r="8" spans="2:63" ht="12.6" thickTop="1">
      <c r="B8" s="5"/>
      <c r="C8" s="5"/>
      <c r="D8" s="5"/>
      <c r="E8" s="5"/>
      <c r="F8" s="5"/>
      <c r="G8" s="5"/>
      <c r="H8" s="5"/>
      <c r="I8" s="5"/>
      <c r="J8" s="5"/>
      <c r="K8" s="5"/>
      <c r="L8" s="5"/>
      <c r="M8" s="5"/>
      <c r="N8" s="5"/>
    </row>
    <row r="9" spans="2:63">
      <c r="B9" s="41" t="s">
        <v>500</v>
      </c>
      <c r="C9" s="287"/>
      <c r="D9" s="5"/>
      <c r="E9" s="249"/>
      <c r="F9" s="249"/>
      <c r="G9" s="249"/>
      <c r="H9" s="249"/>
      <c r="I9" s="249"/>
      <c r="J9" s="5" t="s">
        <v>273</v>
      </c>
      <c r="L9" s="64">
        <f>'AGG EM'!D37</f>
        <v>36.099467473183068</v>
      </c>
      <c r="M9" s="64">
        <f>'AGG EM'!E37</f>
        <v>33.850821771625633</v>
      </c>
      <c r="N9" s="64">
        <f>'AGG EM'!F37</f>
        <v>28.989720438526753</v>
      </c>
      <c r="O9" s="64">
        <f>'AGG EM'!G37</f>
        <v>24.505387911772221</v>
      </c>
      <c r="P9" s="17">
        <f>'AGG EM'!H37</f>
        <v>4.6033064370190946E-2</v>
      </c>
    </row>
    <row r="10" spans="2:63">
      <c r="B10" s="5" t="s">
        <v>274</v>
      </c>
      <c r="C10" s="5"/>
      <c r="D10" s="332"/>
      <c r="E10" s="332"/>
      <c r="F10" s="332"/>
      <c r="G10" s="332"/>
      <c r="H10" s="247"/>
      <c r="I10" s="247"/>
      <c r="J10" s="5" t="s">
        <v>184</v>
      </c>
      <c r="L10" s="64">
        <f>'AGG EM'!D38</f>
        <v>105.42482757786077</v>
      </c>
      <c r="M10" s="64">
        <f>'AGG EM'!E38</f>
        <v>98.32493726594646</v>
      </c>
      <c r="N10" s="64">
        <f>'AGG EM'!F38</f>
        <v>83.460498540205094</v>
      </c>
      <c r="O10" s="64">
        <f>'AGG EM'!G38</f>
        <v>69.927868752575165</v>
      </c>
      <c r="P10" s="17">
        <f>'AGG EM'!H38</f>
        <v>5.4135753422354771E-2</v>
      </c>
      <c r="W10" s="10"/>
      <c r="X10" s="10"/>
      <c r="Y10" s="10"/>
      <c r="Z10" s="10"/>
    </row>
    <row r="11" spans="2:63">
      <c r="B11" s="41" t="s">
        <v>523</v>
      </c>
      <c r="C11" s="5"/>
      <c r="D11" s="271">
        <f>'AGG ASIA INCUMB'!D11+'AGG ASIA CELLULAR'!D11</f>
        <v>9755403.5226878319</v>
      </c>
      <c r="E11" s="271">
        <f>'AGG ASIA INCUMB'!E11+'AGG ASIA CELLULAR'!E11</f>
        <v>9943046.3490525447</v>
      </c>
      <c r="F11" s="271">
        <f>'AGG ASIA INCUMB'!F11+'AGG ASIA CELLULAR'!F11</f>
        <v>9940055.6093742829</v>
      </c>
      <c r="G11" s="271">
        <f>'AGG ASIA INCUMB'!G11+'AGG ASIA CELLULAR'!G11</f>
        <v>9937052.4987120572</v>
      </c>
      <c r="H11" s="249"/>
      <c r="I11" s="249"/>
      <c r="J11" s="5" t="s">
        <v>185</v>
      </c>
      <c r="L11" s="64">
        <f>'AGG EM'!D39</f>
        <v>224.63525692719486</v>
      </c>
      <c r="M11" s="64">
        <f>'AGG EM'!E39</f>
        <v>195.27313510926092</v>
      </c>
      <c r="N11" s="64">
        <f>'AGG EM'!F39</f>
        <v>156.82951036244214</v>
      </c>
      <c r="O11" s="64">
        <f>'AGG EM'!G39</f>
        <v>125.44852848860397</v>
      </c>
      <c r="P11" s="17">
        <f>'AGG EM'!H39</f>
        <v>0.11635706268692725</v>
      </c>
      <c r="W11" s="10"/>
      <c r="X11" s="10"/>
      <c r="Y11" s="10"/>
      <c r="Z11" s="10"/>
    </row>
    <row r="12" spans="2:63">
      <c r="B12" s="5" t="s">
        <v>229</v>
      </c>
      <c r="C12" s="249"/>
      <c r="D12" s="228">
        <f>'AGG ASIA INCUMB'!D12+'AGG ASIA CELLULAR'!D12</f>
        <v>7522594.2915600184</v>
      </c>
      <c r="E12" s="228">
        <f>'AGG ASIA INCUMB'!E12+'AGG ASIA CELLULAR'!E12</f>
        <v>7041248.5394188939</v>
      </c>
      <c r="F12" s="228">
        <f>'AGG ASIA INCUMB'!F12+'AGG ASIA CELLULAR'!F12</f>
        <v>5903215.7475019908</v>
      </c>
      <c r="G12" s="228">
        <f>'AGG ASIA INCUMB'!G12+'AGG ASIA CELLULAR'!G12</f>
        <v>4769226.1079113372</v>
      </c>
      <c r="H12" s="247"/>
      <c r="I12" s="247"/>
      <c r="J12" s="5" t="s">
        <v>466</v>
      </c>
      <c r="L12" s="64">
        <f>'AGG EM'!D40</f>
        <v>301.14194802237273</v>
      </c>
      <c r="M12" s="64">
        <f>'AGG EM'!E40</f>
        <v>259.63239152824843</v>
      </c>
      <c r="N12" s="64">
        <f>'AGG EM'!F40</f>
        <v>208.91697606045113</v>
      </c>
      <c r="O12" s="64">
        <f>'AGG EM'!G40</f>
        <v>167.13793424632385</v>
      </c>
      <c r="P12" s="17">
        <f>'AGG EM'!H40</f>
        <v>0.11865907373414464</v>
      </c>
      <c r="W12" s="10"/>
      <c r="X12" s="10"/>
      <c r="Y12" s="10"/>
      <c r="Z12" s="10"/>
    </row>
    <row r="13" spans="2:63">
      <c r="B13" s="5" t="s">
        <v>529</v>
      </c>
      <c r="C13" s="257"/>
      <c r="D13" s="228">
        <f>'AGG ASIA INCUMB'!D13+'AGG ASIA CELLULAR'!D13</f>
        <v>1474731.3196109782</v>
      </c>
      <c r="E13" s="228">
        <f>'AGG ASIA INCUMB'!E13+'AGG ASIA CELLULAR'!E13</f>
        <v>1389226.1109331015</v>
      </c>
      <c r="F13" s="228">
        <f>'AGG ASIA INCUMB'!F13+'AGG ASIA CELLULAR'!F13</f>
        <v>1296459.6859032614</v>
      </c>
      <c r="G13" s="228">
        <f>'AGG ASIA INCUMB'!G13+'AGG ASIA CELLULAR'!G13</f>
        <v>1195814.847316135</v>
      </c>
      <c r="H13" s="247"/>
      <c r="I13" s="247"/>
      <c r="J13" s="5" t="s">
        <v>530</v>
      </c>
      <c r="L13" s="64">
        <f>'AGG EM'!D41</f>
        <v>27.243713322021154</v>
      </c>
      <c r="M13" s="64">
        <f>'AGG EM'!E41</f>
        <v>27.089658338273644</v>
      </c>
      <c r="N13" s="64">
        <f>'AGG EM'!F41</f>
        <v>24.66957505581005</v>
      </c>
      <c r="O13" s="64">
        <f>'AGG EM'!G41</f>
        <v>22.040277006694431</v>
      </c>
      <c r="P13" s="17">
        <f>'AGG EM'!H41</f>
        <v>-1.3382626032309664E-2</v>
      </c>
    </row>
    <row r="14" spans="2:63">
      <c r="B14" s="5" t="s">
        <v>532</v>
      </c>
      <c r="C14" s="274"/>
      <c r="D14" s="228">
        <f>'AGG ASIA INCUMB'!D14+'AGG ASIA CELLULAR'!D14</f>
        <v>42053.885513255169</v>
      </c>
      <c r="E14" s="228">
        <f>'AGG ASIA INCUMB'!E14+'AGG ASIA CELLULAR'!E14</f>
        <v>40516.169824663659</v>
      </c>
      <c r="F14" s="228">
        <f>'AGG ASIA INCUMB'!F14+'AGG ASIA CELLULAR'!F14</f>
        <v>40619.135846071105</v>
      </c>
      <c r="G14" s="228">
        <f>'AGG ASIA INCUMB'!G14+'AGG ASIA CELLULAR'!G14</f>
        <v>40728.788977845325</v>
      </c>
      <c r="H14" s="247"/>
      <c r="I14" s="247"/>
      <c r="J14" s="5" t="s">
        <v>593</v>
      </c>
      <c r="L14" s="64">
        <f>'AGG EM'!D42</f>
        <v>42.295202413837345</v>
      </c>
      <c r="M14" s="64">
        <f>'AGG EM'!E42</f>
        <v>41.555857792028846</v>
      </c>
      <c r="N14" s="64">
        <f>'AGG EM'!F42</f>
        <v>37.316788882264667</v>
      </c>
      <c r="O14" s="64">
        <f>'AGG EM'!G42</f>
        <v>33.586664495982959</v>
      </c>
      <c r="P14" s="17">
        <f>'AGG EM'!H42</f>
        <v>-7.2488050935257675E-3</v>
      </c>
    </row>
    <row r="15" spans="2:63">
      <c r="B15" s="5" t="s">
        <v>531</v>
      </c>
      <c r="C15" s="257"/>
      <c r="D15" s="228">
        <f>'AGG ASIA INCUMB'!D15+'AGG ASIA CELLULAR'!D15</f>
        <v>46758.612040649517</v>
      </c>
      <c r="E15" s="228">
        <f>'AGG ASIA INCUMB'!E15+'AGG ASIA CELLULAR'!E15</f>
        <v>46751.163669642403</v>
      </c>
      <c r="F15" s="228">
        <f>'AGG ASIA INCUMB'!F15+'AGG ASIA CELLULAR'!F15</f>
        <v>46766.805116979005</v>
      </c>
      <c r="G15" s="228">
        <f>'AGG ASIA INCUMB'!G15+'AGG ASIA CELLULAR'!G15</f>
        <v>46804.057142502003</v>
      </c>
      <c r="H15" s="247"/>
      <c r="I15" s="247"/>
      <c r="J15" s="5" t="s">
        <v>475</v>
      </c>
      <c r="L15" s="64">
        <f>'AGG EM'!D43</f>
        <v>19.300585311517345</v>
      </c>
      <c r="M15" s="64">
        <f>'AGG EM'!E43</f>
        <v>15.882933755129079</v>
      </c>
      <c r="N15" s="64">
        <f>'AGG EM'!F43</f>
        <v>13.174403404675031</v>
      </c>
      <c r="O15" s="64">
        <f>'AGG EM'!G43</f>
        <v>11.229961793899795</v>
      </c>
      <c r="P15" s="17">
        <f>'AGG EM'!H43</f>
        <v>0.19549120190388991</v>
      </c>
      <c r="S15" s="88"/>
      <c r="T15" s="88"/>
      <c r="U15" s="88"/>
      <c r="V15" s="42"/>
      <c r="W15" s="42"/>
      <c r="X15" s="42"/>
      <c r="Y15" s="42"/>
      <c r="Z15" s="42"/>
      <c r="AA15" s="42"/>
    </row>
    <row r="16" spans="2:63">
      <c r="B16" s="5" t="s">
        <v>534</v>
      </c>
      <c r="C16" s="257"/>
      <c r="D16" s="228">
        <f>'AGG ASIA INCUMB'!D16+'AGG ASIA CELLULAR'!D16</f>
        <v>22818.212452316802</v>
      </c>
      <c r="E16" s="228">
        <f>'AGG ASIA INCUMB'!E16+'AGG ASIA CELLULAR'!E16</f>
        <v>36250.763522573048</v>
      </c>
      <c r="F16" s="228">
        <f>'AGG ASIA INCUMB'!F16+'AGG ASIA CELLULAR'!F16</f>
        <v>588181.50341608212</v>
      </c>
      <c r="G16" s="228">
        <f>'AGG ASIA INCUMB'!G16+'AGG ASIA CELLULAR'!G16</f>
        <v>1230248.1910024935</v>
      </c>
      <c r="H16" s="247"/>
      <c r="I16" s="247"/>
      <c r="J16" s="5" t="s">
        <v>533</v>
      </c>
      <c r="L16" s="64">
        <f>'AGG EM'!D44</f>
        <v>245.42467510563969</v>
      </c>
      <c r="M16" s="64">
        <f>'AGG EM'!E44</f>
        <v>213.62789634539095</v>
      </c>
      <c r="N16" s="64">
        <f>'AGG EM'!F44</f>
        <v>181.57395789810795</v>
      </c>
      <c r="O16" s="64">
        <f>'AGG EM'!G44</f>
        <v>158.59598060321596</v>
      </c>
      <c r="P16" s="17">
        <f>'AGG EM'!H44</f>
        <v>0.16397795492835376</v>
      </c>
      <c r="S16" s="88"/>
      <c r="T16" s="88"/>
      <c r="U16" s="88"/>
      <c r="V16" s="42"/>
      <c r="W16" s="42"/>
      <c r="X16" s="42"/>
      <c r="Y16" s="42"/>
      <c r="Z16" s="42"/>
      <c r="AA16" s="42"/>
    </row>
    <row r="17" spans="2:27">
      <c r="B17" s="5" t="s">
        <v>6</v>
      </c>
      <c r="C17" s="257"/>
      <c r="D17" s="228">
        <f>'AGG ASIA INCUMB'!D17+'AGG ASIA CELLULAR'!D17</f>
        <v>569810.57744207536</v>
      </c>
      <c r="E17" s="228">
        <f>'AGG ASIA INCUMB'!E17+'AGG ASIA CELLULAR'!E17</f>
        <v>569810.57744207536</v>
      </c>
      <c r="F17" s="228">
        <f>'AGG ASIA INCUMB'!F17+'AGG ASIA CELLULAR'!F17</f>
        <v>569810.57744207536</v>
      </c>
      <c r="G17" s="228">
        <f>'AGG ASIA INCUMB'!G17+'AGG ASIA CELLULAR'!G17</f>
        <v>569810.57744207536</v>
      </c>
      <c r="H17" s="247"/>
      <c r="I17" s="247"/>
      <c r="J17" s="5" t="s">
        <v>580</v>
      </c>
      <c r="L17" s="248">
        <f>'AGG EM'!D45</f>
        <v>2.9794876849606393E-3</v>
      </c>
      <c r="M17" s="248">
        <f>'AGG EM'!E45</f>
        <v>3.2338565373739416E-3</v>
      </c>
      <c r="N17" s="248">
        <f>'AGG EM'!F45</f>
        <v>3.7591690821787136E-3</v>
      </c>
      <c r="O17" s="248">
        <f>'AGG EM'!G45</f>
        <v>4.3245157193855478E-3</v>
      </c>
      <c r="P17" s="17">
        <f>'AGG EM'!H45</f>
        <v>0.13937853690845947</v>
      </c>
      <c r="S17" s="88"/>
      <c r="T17" s="88"/>
      <c r="U17" s="88"/>
      <c r="V17" s="42"/>
      <c r="W17" s="42"/>
      <c r="X17" s="42"/>
      <c r="Y17" s="42"/>
      <c r="Z17" s="42"/>
      <c r="AA17" s="42"/>
    </row>
    <row r="18" spans="2:27" ht="12.6" thickBot="1">
      <c r="B18" s="41" t="s">
        <v>89</v>
      </c>
      <c r="C18" s="249"/>
      <c r="D18" s="275">
        <f>'AGG ASIA INCUMB'!D18+'AGG ASIA CELLULAR'!D18</f>
        <v>18164805.070491832</v>
      </c>
      <c r="E18" s="275">
        <f>'AGG ASIA INCUMB'!E18+'AGG ASIA CELLULAR'!E18</f>
        <v>17773694.652284868</v>
      </c>
      <c r="F18" s="275">
        <f>'AGG ASIA INCUMB'!F18+'AGG ASIA CELLULAR'!F18</f>
        <v>15987886.631192286</v>
      </c>
      <c r="G18" s="275">
        <f>'AGG ASIA INCUMB'!G18+'AGG ASIA CELLULAR'!G18</f>
        <v>14108109.953659618</v>
      </c>
      <c r="H18" s="276">
        <f>IF(D18=0,"nm",IF(G18=0,"nm",(G18/D18)^(1/3)-1))</f>
        <v>-8.0794322749043079E-2</v>
      </c>
      <c r="I18" s="254"/>
      <c r="J18" s="5" t="s">
        <v>36</v>
      </c>
      <c r="L18" s="248" t="e">
        <f>'AGG EM'!D46</f>
        <v>#VALUE!</v>
      </c>
      <c r="M18" s="248" t="e">
        <f>'AGG EM'!E46</f>
        <v>#VALUE!</v>
      </c>
      <c r="N18" s="248" t="e">
        <f>'AGG EM'!F46</f>
        <v>#VALUE!</v>
      </c>
      <c r="O18" s="248" t="e">
        <f>'AGG EM'!G46</f>
        <v>#VALUE!</v>
      </c>
      <c r="P18" s="17" t="e">
        <f>'AGG EM'!H46</f>
        <v>#VALUE!</v>
      </c>
      <c r="S18" s="88"/>
      <c r="T18" s="88"/>
      <c r="U18" s="88"/>
      <c r="V18" s="42"/>
      <c r="W18" s="42"/>
      <c r="X18" s="42"/>
      <c r="Y18" s="42"/>
      <c r="Z18" s="42"/>
      <c r="AA18" s="42"/>
    </row>
    <row r="19" spans="2:27" ht="12.6" thickTop="1">
      <c r="B19" s="41"/>
      <c r="C19" s="249"/>
      <c r="D19" s="229"/>
      <c r="E19" s="229"/>
      <c r="F19" s="229"/>
      <c r="G19" s="229"/>
      <c r="H19" s="276"/>
      <c r="I19" s="17"/>
      <c r="J19" s="5" t="s">
        <v>581</v>
      </c>
      <c r="L19" s="248">
        <f>'AGG EM'!D47</f>
        <v>5.1811900201972863E-2</v>
      </c>
      <c r="M19" s="248">
        <f>'AGG EM'!E47</f>
        <v>6.2960660506253749E-2</v>
      </c>
      <c r="N19" s="248">
        <f>'AGG EM'!F47</f>
        <v>7.5904765421494755E-2</v>
      </c>
      <c r="O19" s="248">
        <f>'AGG EM'!G47</f>
        <v>8.9047497965951045E-2</v>
      </c>
      <c r="P19" s="17">
        <f>'AGG EM'!H47</f>
        <v>0.19549120190388991</v>
      </c>
      <c r="S19" s="88"/>
      <c r="T19" s="88"/>
      <c r="U19" s="88"/>
      <c r="V19" s="42"/>
      <c r="W19" s="42"/>
      <c r="X19" s="42"/>
      <c r="Y19" s="42"/>
      <c r="Z19" s="42"/>
      <c r="AA19" s="42"/>
    </row>
    <row r="20" spans="2:27">
      <c r="H20" s="277"/>
      <c r="I20" s="49"/>
      <c r="J20" s="5" t="s">
        <v>604</v>
      </c>
      <c r="L20" s="248">
        <f>'AGG EM'!D48</f>
        <v>0.78546224095974659</v>
      </c>
      <c r="M20" s="248">
        <f>'AGG EM'!E48</f>
        <v>0.71334963498575799</v>
      </c>
      <c r="N20" s="248">
        <f>'AGG EM'!F48</f>
        <v>0.68989991347231316</v>
      </c>
      <c r="O20" s="248">
        <f>'AGG EM'!G48</f>
        <v>0.67997079786563763</v>
      </c>
      <c r="P20" s="17" t="str">
        <f>'AGG EM'!H48</f>
        <v>nm</v>
      </c>
      <c r="S20" s="42"/>
      <c r="T20" s="42"/>
      <c r="U20" s="42"/>
      <c r="V20" s="42"/>
      <c r="W20" s="42"/>
      <c r="X20" s="42"/>
      <c r="Y20" s="42"/>
      <c r="Z20" s="42"/>
      <c r="AA20" s="42"/>
    </row>
    <row r="21" spans="2:27" ht="12.6" thickBot="1">
      <c r="B21" s="306" t="s">
        <v>308</v>
      </c>
      <c r="C21" s="265">
        <v>2020</v>
      </c>
      <c r="D21" s="265" t="str">
        <f>D5</f>
        <v>2023E</v>
      </c>
      <c r="E21" s="265" t="str">
        <f>E5</f>
        <v>2024E</v>
      </c>
      <c r="F21" s="265" t="str">
        <f>F5</f>
        <v>2025E</v>
      </c>
      <c r="G21" s="265" t="str">
        <f>G5</f>
        <v>2026E</v>
      </c>
      <c r="H21" s="282" t="str">
        <f>H5</f>
        <v>23E-26E</v>
      </c>
      <c r="I21" s="17"/>
      <c r="S21" s="42"/>
      <c r="T21" s="42"/>
      <c r="U21" s="42"/>
      <c r="V21" s="42"/>
      <c r="W21" s="42"/>
      <c r="X21" s="42"/>
      <c r="Y21" s="42"/>
      <c r="Z21" s="42"/>
      <c r="AA21" s="42"/>
    </row>
    <row r="22" spans="2:27" ht="12.6" thickTop="1">
      <c r="B22" s="5"/>
      <c r="C22" s="257"/>
      <c r="D22" s="17"/>
      <c r="E22" s="17"/>
      <c r="F22" s="17"/>
      <c r="G22" s="17"/>
      <c r="H22" s="17"/>
      <c r="I22" s="247"/>
      <c r="P22" s="277"/>
      <c r="S22" s="42"/>
      <c r="T22" s="42"/>
      <c r="U22" s="42"/>
      <c r="V22" s="42"/>
      <c r="W22" s="42"/>
      <c r="X22" s="42"/>
      <c r="Y22" s="42"/>
      <c r="Z22" s="42"/>
      <c r="AA22" s="42"/>
    </row>
    <row r="23" spans="2:27" ht="12.6" thickBot="1">
      <c r="B23" s="5" t="s">
        <v>584</v>
      </c>
      <c r="C23" s="365">
        <f>'AGG ASIA INCUMB'!C23+'AGG ASIA CELLULAR'!C23</f>
        <v>563432.20139432198</v>
      </c>
      <c r="D23" s="228">
        <f>'AGG ASIA INCUMB'!D23+'AGG ASIA CELLULAR'!D23</f>
        <v>590478.1818777615</v>
      </c>
      <c r="E23" s="228">
        <f>'AGG ASIA INCUMB'!E23+'AGG ASIA CELLULAR'!E23</f>
        <v>617139.18611659459</v>
      </c>
      <c r="F23" s="228">
        <f>'AGG ASIA INCUMB'!F23+'AGG ASIA CELLULAR'!F23</f>
        <v>646275.01076350524</v>
      </c>
      <c r="G23" s="228">
        <f>'AGG ASIA INCUMB'!G23+'AGG ASIA CELLULAR'!G23</f>
        <v>674646.59092087601</v>
      </c>
      <c r="H23" s="279">
        <f t="shared" ref="H23:H33" si="0">IF(D23=0,"nm",IF(G23=0,"nm",(G23/D23)^(1/3)-1))</f>
        <v>4.5420049733242651E-2</v>
      </c>
      <c r="I23" s="249"/>
      <c r="J23" s="306" t="s">
        <v>9</v>
      </c>
      <c r="K23" s="306"/>
      <c r="L23" s="265" t="str">
        <f>L5</f>
        <v>2023E</v>
      </c>
      <c r="M23" s="265" t="str">
        <f>M5</f>
        <v>2024E</v>
      </c>
      <c r="N23" s="265" t="str">
        <f>N5</f>
        <v>2025E</v>
      </c>
      <c r="O23" s="265" t="str">
        <f>O5</f>
        <v>2026E</v>
      </c>
      <c r="P23" s="282" t="str">
        <f>P5</f>
        <v>23E-26E</v>
      </c>
      <c r="S23" s="42"/>
      <c r="T23" s="42"/>
      <c r="U23" s="42"/>
      <c r="V23" s="42"/>
      <c r="W23" s="42" t="s">
        <v>339</v>
      </c>
      <c r="X23" s="42" t="s">
        <v>26</v>
      </c>
      <c r="Y23" s="42"/>
      <c r="Z23" s="42"/>
      <c r="AA23" s="42"/>
    </row>
    <row r="24" spans="2:27" ht="12.6" thickTop="1">
      <c r="B24" s="5" t="s">
        <v>483</v>
      </c>
      <c r="C24" s="365">
        <f>'AGG ASIA INCUMB'!C24+'AGG ASIA CELLULAR'!C24</f>
        <v>170412.70978751208</v>
      </c>
      <c r="D24" s="228">
        <f>'AGG ASIA INCUMB'!D24+'AGG ASIA CELLULAR'!D24</f>
        <v>178983.02939800714</v>
      </c>
      <c r="E24" s="228">
        <f>'AGG ASIA INCUMB'!E24+'AGG ASIA CELLULAR'!E24</f>
        <v>189709.73724089516</v>
      </c>
      <c r="F24" s="228">
        <f>'AGG ASIA INCUMB'!F24+'AGG ASIA CELLULAR'!F24</f>
        <v>200062.27485248534</v>
      </c>
      <c r="G24" s="228">
        <f>'AGG ASIA INCUMB'!G24+'AGG ASIA CELLULAR'!G24</f>
        <v>210768.03018173954</v>
      </c>
      <c r="H24" s="279">
        <f t="shared" si="0"/>
        <v>5.6000913905132732E-2</v>
      </c>
      <c r="I24" s="248"/>
      <c r="J24" s="17"/>
      <c r="K24" s="17"/>
      <c r="L24" s="17"/>
      <c r="M24" s="17"/>
      <c r="N24" s="17"/>
      <c r="O24" s="248"/>
      <c r="S24" s="42"/>
      <c r="T24" s="42"/>
      <c r="U24" s="42"/>
      <c r="V24" s="147" t="s">
        <v>273</v>
      </c>
      <c r="W24" s="288">
        <f t="shared" ref="W24:W31" si="1">E37/M9</f>
        <v>0.85079587421130898</v>
      </c>
      <c r="X24" s="288">
        <v>1</v>
      </c>
      <c r="Y24" s="42"/>
      <c r="Z24" s="42"/>
      <c r="AA24" s="42"/>
    </row>
    <row r="25" spans="2:27">
      <c r="B25" s="5" t="s">
        <v>183</v>
      </c>
      <c r="C25" s="365">
        <f>'AGG ASIA INCUMB'!C25+'AGG ASIA CELLULAR'!C25</f>
        <v>73902.830365622416</v>
      </c>
      <c r="D25" s="228">
        <f>'AGG ASIA INCUMB'!D25+'AGG ASIA CELLULAR'!D25</f>
        <v>83596.461791795868</v>
      </c>
      <c r="E25" s="228">
        <f>'AGG ASIA INCUMB'!E25+'AGG ASIA CELLULAR'!E25</f>
        <v>98221.72972431175</v>
      </c>
      <c r="F25" s="228">
        <f>'AGG ASIA INCUMB'!F25+'AGG ASIA CELLULAR'!F25</f>
        <v>108092.35762624323</v>
      </c>
      <c r="G25" s="228">
        <f>'AGG ASIA INCUMB'!G25+'AGG ASIA CELLULAR'!G25</f>
        <v>118016.42285981696</v>
      </c>
      <c r="H25" s="279">
        <f t="shared" si="0"/>
        <v>0.1218070977082355</v>
      </c>
      <c r="I25" s="249"/>
      <c r="J25" s="247" t="s">
        <v>10</v>
      </c>
      <c r="K25" s="247"/>
      <c r="L25" s="332">
        <f>'AGG ASIA INCUMB'!L25+'AGG ASIA CELLULAR'!L25</f>
        <v>44181.357895274246</v>
      </c>
      <c r="M25" s="332">
        <f>'AGG ASIA INCUMB'!M25+'AGG ASIA CELLULAR'!M25</f>
        <v>40988.965666121672</v>
      </c>
      <c r="N25" s="332">
        <f>'AGG ASIA INCUMB'!N25+'AGG ASIA CELLULAR'!N25</f>
        <v>37618.546521594792</v>
      </c>
      <c r="O25" s="332">
        <f>'AGG ASIA INCUMB'!O25+'AGG ASIA CELLULAR'!O25</f>
        <v>33981.548190246562</v>
      </c>
      <c r="P25" s="279">
        <f>IF(L25=0,"nm",IF(O25=0,"nm",(O25/L25)^(1/3)-1))</f>
        <v>-8.3776625435486696E-2</v>
      </c>
      <c r="Q25" s="5"/>
      <c r="S25" s="42"/>
      <c r="T25" s="42"/>
      <c r="U25" s="42"/>
      <c r="V25" s="147" t="s">
        <v>184</v>
      </c>
      <c r="W25" s="288">
        <f t="shared" si="1"/>
        <v>0.95284972796328382</v>
      </c>
      <c r="X25" s="288">
        <v>1</v>
      </c>
      <c r="Y25" s="42"/>
      <c r="Z25" s="42"/>
      <c r="AA25" s="42"/>
    </row>
    <row r="26" spans="2:27">
      <c r="B26" s="5" t="s">
        <v>586</v>
      </c>
      <c r="C26" s="365">
        <f>'AGG ASIA INCUMB'!C26+'AGG ASIA CELLULAR'!C26</f>
        <v>55952.604141944466</v>
      </c>
      <c r="D26" s="228">
        <f>'AGG ASIA INCUMB'!D26+'AGG ASIA CELLULAR'!D26</f>
        <v>63508.669935628568</v>
      </c>
      <c r="E26" s="228">
        <f>'AGG ASIA INCUMB'!E26+'AGG ASIA CELLULAR'!E26</f>
        <v>73946.947280950058</v>
      </c>
      <c r="F26" s="228">
        <f>'AGG ASIA INCUMB'!F26+'AGG ASIA CELLULAR'!F26</f>
        <v>81215.364010248421</v>
      </c>
      <c r="G26" s="228">
        <f>'AGG ASIA INCUMB'!G26+'AGG ASIA CELLULAR'!G26</f>
        <v>88567.928726525221</v>
      </c>
      <c r="H26" s="279">
        <f t="shared" si="0"/>
        <v>0.11724346646507366</v>
      </c>
      <c r="I26" s="249"/>
      <c r="J26" s="249" t="s">
        <v>11</v>
      </c>
      <c r="K26" s="249"/>
      <c r="L26" s="281">
        <f>'AGG ASIA INCUMB'!L26+'AGG ASIA CELLULAR'!L26</f>
        <v>783340.91956478707</v>
      </c>
      <c r="M26" s="281">
        <f>'AGG ASIA INCUMB'!M26+'AGG ASIA CELLULAR'!M26</f>
        <v>780957.91039173212</v>
      </c>
      <c r="N26" s="281">
        <f>'AGG ASIA INCUMB'!N26+'AGG ASIA CELLULAR'!N26</f>
        <v>774593.07014141895</v>
      </c>
      <c r="O26" s="281">
        <f>'AGG ASIA INCUMB'!O26+'AGG ASIA CELLULAR'!O26</f>
        <v>767960.96670587687</v>
      </c>
      <c r="P26" s="279">
        <f>IF(L26=0,"nm",IF(O26=0,"nm",(O26/L26)^(1/3)-1))</f>
        <v>-6.5879025637277655E-3</v>
      </c>
      <c r="Q26" s="41"/>
      <c r="S26" s="42"/>
      <c r="T26" s="42"/>
      <c r="U26" s="42"/>
      <c r="V26" s="147" t="s">
        <v>185</v>
      </c>
      <c r="W26" s="288">
        <f t="shared" si="1"/>
        <v>0.92667540805685622</v>
      </c>
      <c r="X26" s="288">
        <v>1</v>
      </c>
      <c r="Y26" s="42"/>
      <c r="Z26" s="42"/>
      <c r="AA26" s="42"/>
    </row>
    <row r="27" spans="2:27">
      <c r="B27" s="5" t="s">
        <v>587</v>
      </c>
      <c r="C27" s="365">
        <f>'AGG ASIA INCUMB'!C27+'AGG ASIA CELLULAR'!C27</f>
        <v>696526.66666591587</v>
      </c>
      <c r="D27" s="228">
        <f>'AGG ASIA INCUMB'!D27+'AGG ASIA CELLULAR'!D27</f>
        <v>764651.78615624097</v>
      </c>
      <c r="E27" s="228">
        <f>'AGG ASIA INCUMB'!E27+'AGG ASIA CELLULAR'!E27</f>
        <v>761107.69885314605</v>
      </c>
      <c r="F27" s="228">
        <f>'AGG ASIA INCUMB'!F27+'AGG ASIA CELLULAR'!F27</f>
        <v>762075.25513818953</v>
      </c>
      <c r="G27" s="228">
        <f>'AGG ASIA INCUMB'!G27+'AGG ASIA CELLULAR'!G27</f>
        <v>763170.40963000176</v>
      </c>
      <c r="H27" s="279">
        <f t="shared" si="0"/>
        <v>-6.4619138555987998E-4</v>
      </c>
      <c r="I27" s="248"/>
      <c r="J27" s="248"/>
      <c r="K27" s="248"/>
      <c r="L27" s="248"/>
      <c r="M27" s="248"/>
      <c r="N27" s="248"/>
      <c r="O27" s="248"/>
      <c r="Q27" s="5"/>
      <c r="S27" s="42"/>
      <c r="T27" s="42"/>
      <c r="U27" s="42"/>
      <c r="V27" s="147" t="s">
        <v>466</v>
      </c>
      <c r="W27" s="288">
        <f t="shared" si="1"/>
        <v>0.92576038199192745</v>
      </c>
      <c r="X27" s="288">
        <v>1</v>
      </c>
      <c r="Y27" s="42"/>
      <c r="Z27" s="42"/>
      <c r="AA27" s="42"/>
    </row>
    <row r="28" spans="2:27" ht="12.6" thickBot="1">
      <c r="B28" s="5" t="s">
        <v>592</v>
      </c>
      <c r="C28" s="365">
        <f>'AGG ASIA INCUMB'!C28+'AGG ASIA CELLULAR'!C28</f>
        <v>456756.01756888861</v>
      </c>
      <c r="D28" s="228">
        <f>'AGG ASIA INCUMB'!D28+'AGG ASIA CELLULAR'!D28</f>
        <v>455035.83992034325</v>
      </c>
      <c r="E28" s="228">
        <f>'AGG ASIA INCUMB'!E28+'AGG ASIA CELLULAR'!E28</f>
        <v>452781.13281790167</v>
      </c>
      <c r="F28" s="228">
        <f>'AGG ASIA INCUMB'!F28+'AGG ASIA CELLULAR'!F28</f>
        <v>452931.17860849685</v>
      </c>
      <c r="G28" s="228">
        <f>'AGG ASIA INCUMB'!G28+'AGG ASIA CELLULAR'!G28</f>
        <v>443838.49686242279</v>
      </c>
      <c r="H28" s="279">
        <f t="shared" si="0"/>
        <v>-8.2707523784448789E-3</v>
      </c>
      <c r="I28" s="252"/>
      <c r="J28" s="306" t="s">
        <v>754</v>
      </c>
      <c r="K28" s="306"/>
      <c r="L28" s="306"/>
      <c r="M28" s="306"/>
      <c r="N28" s="266"/>
      <c r="O28" s="266"/>
      <c r="P28" s="266"/>
      <c r="Q28" s="5"/>
      <c r="S28" s="42"/>
      <c r="T28" s="42"/>
      <c r="U28" s="42"/>
      <c r="V28" s="147" t="s">
        <v>530</v>
      </c>
      <c r="W28" s="288">
        <f t="shared" si="1"/>
        <v>0.86204129806327634</v>
      </c>
      <c r="X28" s="288">
        <v>1</v>
      </c>
      <c r="Y28" s="42"/>
      <c r="Z28" s="42"/>
      <c r="AA28" s="42"/>
    </row>
    <row r="29" spans="2:27" ht="12.6" thickTop="1">
      <c r="B29" s="5" t="s">
        <v>588</v>
      </c>
      <c r="C29" s="365">
        <f>'AGG ASIA INCUMB'!C29+'AGG ASIA CELLULAR'!C29</f>
        <v>40909.167142909857</v>
      </c>
      <c r="D29" s="228">
        <f>'AGG ASIA INCUMB'!D29+'AGG ASIA CELLULAR'!D29</f>
        <v>46250.34240694964</v>
      </c>
      <c r="E29" s="228">
        <f>'AGG ASIA INCUMB'!E29+'AGG ASIA CELLULAR'!E29</f>
        <v>59679.381215511457</v>
      </c>
      <c r="F29" s="228">
        <f>'AGG ASIA INCUMB'!F29+'AGG ASIA CELLULAR'!F29</f>
        <v>67010.270342979755</v>
      </c>
      <c r="G29" s="228">
        <f>'AGG ASIA INCUMB'!G29+'AGG ASIA CELLULAR'!G29</f>
        <v>75079.092969112506</v>
      </c>
      <c r="H29" s="279">
        <f t="shared" si="0"/>
        <v>0.1752619839660905</v>
      </c>
      <c r="I29" s="254"/>
      <c r="J29" s="249"/>
      <c r="K29" s="249"/>
      <c r="L29" s="249"/>
      <c r="M29" s="249"/>
      <c r="N29" s="249"/>
      <c r="O29" s="251"/>
      <c r="Q29" s="5"/>
      <c r="S29" s="42"/>
      <c r="T29" s="42"/>
      <c r="U29" s="42"/>
      <c r="V29" s="147" t="s">
        <v>593</v>
      </c>
      <c r="W29" s="288">
        <f t="shared" si="1"/>
        <v>0.9446200114434069</v>
      </c>
      <c r="X29" s="288">
        <v>1</v>
      </c>
      <c r="Y29" s="42"/>
      <c r="Z29" s="42"/>
      <c r="AA29" s="42"/>
    </row>
    <row r="30" spans="2:27">
      <c r="B30" s="5" t="s">
        <v>589</v>
      </c>
      <c r="C30" s="365">
        <f>'AGG ASIA INCUMB'!C30+'AGG ASIA CELLULAR'!C30</f>
        <v>46324.887215912568</v>
      </c>
      <c r="D30" s="228">
        <f>'AGG ASIA INCUMB'!D30+'AGG ASIA CELLULAR'!D30</f>
        <v>48474.941577101446</v>
      </c>
      <c r="E30" s="228">
        <f>'AGG ASIA INCUMB'!E30+'AGG ASIA CELLULAR'!E30</f>
        <v>54642.00563819502</v>
      </c>
      <c r="F30" s="228">
        <f>'AGG ASIA INCUMB'!F30+'AGG ASIA CELLULAR'!F30</f>
        <v>61096.794694439908</v>
      </c>
      <c r="G30" s="228">
        <f>'AGG ASIA INCUMB'!G30+'AGG ASIA CELLULAR'!G30</f>
        <v>67973.435256359866</v>
      </c>
      <c r="H30" s="279">
        <f t="shared" si="0"/>
        <v>0.11928489149378119</v>
      </c>
      <c r="I30" s="254"/>
      <c r="J30" s="248"/>
      <c r="K30" s="248"/>
      <c r="L30" s="248"/>
      <c r="M30" s="248"/>
      <c r="N30" s="248"/>
      <c r="O30" s="5"/>
      <c r="Q30" s="5"/>
      <c r="S30" s="42"/>
      <c r="T30" s="42"/>
      <c r="U30" s="42"/>
      <c r="V30" s="147" t="s">
        <v>475</v>
      </c>
      <c r="W30" s="288">
        <f t="shared" si="1"/>
        <v>0.82389637533754045</v>
      </c>
      <c r="X30" s="288">
        <v>1</v>
      </c>
      <c r="Y30" s="42"/>
      <c r="Z30" s="42"/>
      <c r="AA30" s="42"/>
    </row>
    <row r="31" spans="2:27">
      <c r="B31" s="5" t="s">
        <v>590</v>
      </c>
      <c r="C31" s="365">
        <f>'AGG ASIA INCUMB'!C31+'AGG ASIA CELLULAR'!C31</f>
        <v>32197.717103445277</v>
      </c>
      <c r="D31" s="228">
        <f>'AGG ASIA INCUMB'!D31+'AGG ASIA CELLULAR'!D31</f>
        <v>34889.237694401403</v>
      </c>
      <c r="E31" s="228">
        <f>'AGG ASIA INCUMB'!E31+'AGG ASIA CELLULAR'!E31</f>
        <v>38471.680015013859</v>
      </c>
      <c r="F31" s="228">
        <f>'AGG ASIA INCUMB'!F31+'AGG ASIA CELLULAR'!F31</f>
        <v>43908.720844683296</v>
      </c>
      <c r="G31" s="228">
        <f>'AGG ASIA INCUMB'!G31+'AGG ASIA CELLULAR'!G31</f>
        <v>49784.534793234154</v>
      </c>
      <c r="H31" s="279">
        <f t="shared" si="0"/>
        <v>0.1258166248882262</v>
      </c>
      <c r="I31" s="254"/>
      <c r="J31" s="252"/>
      <c r="K31" s="252"/>
      <c r="L31" s="252"/>
      <c r="M31" s="252"/>
      <c r="N31" s="252"/>
      <c r="O31" s="5"/>
      <c r="Q31" s="5"/>
      <c r="S31" s="42"/>
      <c r="T31" s="42"/>
      <c r="U31" s="42"/>
      <c r="V31" s="147" t="s">
        <v>533</v>
      </c>
      <c r="W31" s="288">
        <f t="shared" si="1"/>
        <v>0.85179457193326968</v>
      </c>
      <c r="X31" s="288">
        <v>1</v>
      </c>
      <c r="Y31" s="42"/>
      <c r="Z31" s="42"/>
      <c r="AA31" s="42"/>
    </row>
    <row r="32" spans="2:27">
      <c r="B32" s="5" t="s">
        <v>606</v>
      </c>
      <c r="C32" s="365" t="e">
        <f>'AGG ASIA INCUMB'!C32+'AGG ASIA CELLULAR'!C32</f>
        <v>#VALUE!</v>
      </c>
      <c r="D32" s="228" t="e">
        <f>'AGG ASIA INCUMB'!D32+'AGG ASIA CELLULAR'!D32</f>
        <v>#VALUE!</v>
      </c>
      <c r="E32" s="228" t="e">
        <f>'AGG ASIA INCUMB'!E32+'AGG ASIA CELLULAR'!E32</f>
        <v>#VALUE!</v>
      </c>
      <c r="F32" s="228" t="e">
        <f>'AGG ASIA INCUMB'!F32+'AGG ASIA CELLULAR'!F32</f>
        <v>#VALUE!</v>
      </c>
      <c r="G32" s="228" t="e">
        <f>'AGG ASIA INCUMB'!G32+'AGG ASIA CELLULAR'!G32</f>
        <v>#VALUE!</v>
      </c>
      <c r="H32" s="279" t="e">
        <f t="shared" si="0"/>
        <v>#VALUE!</v>
      </c>
      <c r="I32" s="5"/>
      <c r="J32" s="254"/>
      <c r="K32" s="254"/>
      <c r="L32" s="254"/>
      <c r="M32" s="254"/>
      <c r="N32" s="254"/>
      <c r="O32" s="251"/>
      <c r="Q32" s="5"/>
      <c r="S32" s="42"/>
      <c r="T32" s="42"/>
      <c r="U32" s="42"/>
      <c r="V32" s="147" t="s">
        <v>580</v>
      </c>
      <c r="W32" s="288">
        <f>M17/E45</f>
        <v>0.83579363897670145</v>
      </c>
      <c r="X32" s="288">
        <v>1</v>
      </c>
      <c r="Y32" s="42"/>
      <c r="Z32" s="42"/>
      <c r="AA32" s="42"/>
    </row>
    <row r="33" spans="2:42">
      <c r="B33" s="5" t="s">
        <v>5</v>
      </c>
      <c r="C33" s="365">
        <f>'AGG ASIA INCUMB'!C33+'AGG ASIA CELLULAR'!C33</f>
        <v>7846.3528482262082</v>
      </c>
      <c r="D33" s="228">
        <f>'AGG ASIA INCUMB'!D33+'AGG ASIA CELLULAR'!D33</f>
        <v>8980.3028044225575</v>
      </c>
      <c r="E33" s="228">
        <f>'AGG ASIA INCUMB'!E33+'AGG ASIA CELLULAR'!E33</f>
        <v>8913.9451631738611</v>
      </c>
      <c r="F33" s="228">
        <f>'AGG ASIA INCUMB'!F33+'AGG ASIA CELLULAR'!F33</f>
        <v>8965.3501540060879</v>
      </c>
      <c r="G33" s="228">
        <f>'AGG ASIA INCUMB'!G33+'AGG ASIA CELLULAR'!G33</f>
        <v>9146.2432922790504</v>
      </c>
      <c r="H33" s="279">
        <f t="shared" si="0"/>
        <v>6.1218705943273388E-3</v>
      </c>
      <c r="I33" s="49"/>
      <c r="J33" s="254"/>
      <c r="K33" s="254"/>
      <c r="L33" s="254"/>
      <c r="M33" s="254"/>
      <c r="N33" s="254"/>
      <c r="O33" s="251"/>
      <c r="Q33" s="5"/>
      <c r="S33" s="42"/>
      <c r="T33" s="42"/>
      <c r="U33" s="42"/>
      <c r="V33" s="147" t="s">
        <v>581</v>
      </c>
      <c r="W33" s="288">
        <f>M19/E47</f>
        <v>0.82389637533754045</v>
      </c>
      <c r="X33" s="288">
        <v>1</v>
      </c>
      <c r="Y33" s="288"/>
      <c r="Z33" s="288"/>
      <c r="AA33" s="42"/>
      <c r="AC33" s="10"/>
      <c r="AD33" s="10"/>
      <c r="AE33" s="10"/>
      <c r="AF33" s="10"/>
      <c r="AH33" s="10"/>
      <c r="AI33" s="10"/>
      <c r="AJ33" s="10"/>
      <c r="AK33" s="10"/>
      <c r="AM33" s="10"/>
      <c r="AN33" s="10"/>
      <c r="AO33" s="10"/>
      <c r="AP33" s="10"/>
    </row>
    <row r="34" spans="2:42">
      <c r="H34" s="277"/>
      <c r="I34" s="254"/>
      <c r="J34" s="254"/>
      <c r="K34" s="254"/>
      <c r="L34" s="254"/>
      <c r="M34" s="254"/>
      <c r="N34" s="254"/>
      <c r="O34" s="251"/>
      <c r="Q34" s="5"/>
      <c r="S34" s="42"/>
      <c r="T34" s="42"/>
      <c r="U34" s="42"/>
      <c r="V34" s="42"/>
      <c r="W34" s="42"/>
      <c r="X34" s="42"/>
      <c r="Y34" s="288"/>
      <c r="Z34" s="288"/>
      <c r="AA34" s="42"/>
      <c r="AC34" s="10"/>
      <c r="AD34" s="10"/>
      <c r="AE34" s="10"/>
      <c r="AF34" s="10"/>
      <c r="AH34" s="10"/>
      <c r="AI34" s="10"/>
      <c r="AJ34" s="10"/>
      <c r="AK34" s="10"/>
      <c r="AM34" s="10"/>
      <c r="AN34" s="10"/>
      <c r="AO34" s="10"/>
      <c r="AP34" s="10"/>
    </row>
    <row r="35" spans="2:42" ht="12.6" thickBot="1">
      <c r="B35" s="306" t="s">
        <v>285</v>
      </c>
      <c r="C35" s="265"/>
      <c r="D35" s="265" t="str">
        <f>D5</f>
        <v>2023E</v>
      </c>
      <c r="E35" s="265" t="str">
        <f>E5</f>
        <v>2024E</v>
      </c>
      <c r="F35" s="265" t="str">
        <f>F5</f>
        <v>2025E</v>
      </c>
      <c r="G35" s="265" t="str">
        <f>G5</f>
        <v>2026E</v>
      </c>
      <c r="H35" s="265" t="str">
        <f>H5</f>
        <v>23E-26E</v>
      </c>
      <c r="I35" s="17"/>
      <c r="J35" s="5"/>
      <c r="K35" s="5"/>
      <c r="L35" s="5"/>
      <c r="M35" s="5"/>
      <c r="N35" s="5"/>
      <c r="O35" s="5"/>
      <c r="Q35" s="5"/>
      <c r="S35" s="42"/>
      <c r="T35" s="42"/>
      <c r="U35" s="42"/>
      <c r="V35" s="42"/>
      <c r="W35" s="42"/>
      <c r="X35" s="42"/>
      <c r="Y35" s="288"/>
      <c r="Z35" s="288"/>
      <c r="AA35" s="42"/>
      <c r="AC35" s="10"/>
      <c r="AD35" s="10"/>
      <c r="AE35" s="10"/>
      <c r="AF35" s="10"/>
      <c r="AH35" s="10"/>
      <c r="AI35" s="10"/>
      <c r="AJ35" s="10"/>
      <c r="AK35" s="10"/>
      <c r="AM35" s="10"/>
      <c r="AN35" s="10"/>
      <c r="AO35" s="10"/>
      <c r="AP35" s="10"/>
    </row>
    <row r="36" spans="2:42" ht="12.6" thickTop="1">
      <c r="B36" s="41"/>
      <c r="C36" s="249"/>
      <c r="D36" s="254"/>
      <c r="E36" s="254"/>
      <c r="F36" s="254"/>
      <c r="G36" s="254"/>
      <c r="H36" s="254"/>
      <c r="I36" s="5"/>
      <c r="J36" s="49"/>
      <c r="K36" s="49"/>
      <c r="L36" s="49"/>
      <c r="M36" s="49"/>
      <c r="N36" s="49"/>
      <c r="O36" s="49"/>
      <c r="Q36" s="5"/>
      <c r="R36" s="5"/>
      <c r="S36" s="42"/>
      <c r="T36" s="42"/>
      <c r="U36" s="42"/>
      <c r="V36" s="42"/>
      <c r="W36" s="42"/>
      <c r="X36" s="42"/>
      <c r="Y36" s="42"/>
      <c r="Z36" s="42"/>
      <c r="AA36" s="42"/>
      <c r="AC36" s="10"/>
      <c r="AD36" s="10"/>
      <c r="AE36" s="10"/>
      <c r="AF36" s="10"/>
      <c r="AH36" s="10"/>
      <c r="AI36" s="10"/>
      <c r="AJ36" s="10"/>
      <c r="AK36" s="10"/>
      <c r="AM36" s="10"/>
      <c r="AN36" s="10"/>
      <c r="AO36" s="10"/>
      <c r="AP36" s="10"/>
    </row>
    <row r="37" spans="2:42">
      <c r="B37" s="5" t="s">
        <v>273</v>
      </c>
      <c r="C37" s="247"/>
      <c r="D37" s="557">
        <f t="shared" ref="D37:G41" si="2">D$18/D23</f>
        <v>30.76287258019677</v>
      </c>
      <c r="E37" s="557">
        <f t="shared" si="2"/>
        <v>28.800139501961439</v>
      </c>
      <c r="F37" s="557">
        <f t="shared" si="2"/>
        <v>24.738518997205688</v>
      </c>
      <c r="G37" s="557">
        <f t="shared" si="2"/>
        <v>20.91185243284546</v>
      </c>
      <c r="H37" s="17">
        <f t="shared" ref="H37:H45" si="3">H23</f>
        <v>4.5420049733242651E-2</v>
      </c>
      <c r="I37" s="259"/>
      <c r="J37" s="259"/>
      <c r="K37" s="259"/>
      <c r="L37" s="259"/>
      <c r="M37" s="259"/>
      <c r="N37" s="259"/>
      <c r="O37" s="18"/>
      <c r="Q37" s="5"/>
      <c r="R37" s="5"/>
      <c r="S37" s="42"/>
      <c r="T37" s="42"/>
      <c r="U37" s="42"/>
      <c r="V37" s="42"/>
      <c r="W37" s="42"/>
      <c r="X37" s="42"/>
      <c r="Y37" s="42"/>
      <c r="Z37" s="42"/>
      <c r="AA37" s="42"/>
      <c r="AC37" s="10"/>
      <c r="AD37" s="10"/>
      <c r="AE37" s="10"/>
      <c r="AF37" s="10"/>
      <c r="AH37" s="10"/>
      <c r="AI37" s="10"/>
      <c r="AJ37" s="10"/>
      <c r="AK37" s="10"/>
      <c r="AM37" s="10"/>
      <c r="AN37" s="10"/>
      <c r="AO37" s="10"/>
      <c r="AP37" s="10"/>
    </row>
    <row r="38" spans="2:42">
      <c r="B38" s="5" t="s">
        <v>184</v>
      </c>
      <c r="C38" s="247"/>
      <c r="D38" s="557">
        <f t="shared" si="2"/>
        <v>101.48897988590021</v>
      </c>
      <c r="E38" s="557">
        <f t="shared" si="2"/>
        <v>93.68888972586403</v>
      </c>
      <c r="F38" s="557">
        <f t="shared" si="2"/>
        <v>79.914549821953457</v>
      </c>
      <c r="G38" s="557">
        <f t="shared" si="2"/>
        <v>66.936669387167399</v>
      </c>
      <c r="H38" s="17">
        <f t="shared" si="3"/>
        <v>5.6000913905132732E-2</v>
      </c>
      <c r="I38" s="17"/>
      <c r="J38" s="17"/>
      <c r="K38" s="17"/>
      <c r="L38" s="17"/>
      <c r="M38" s="17"/>
      <c r="N38" s="17"/>
      <c r="O38" s="5"/>
      <c r="Q38" s="5"/>
      <c r="R38" s="5"/>
      <c r="S38" s="42"/>
      <c r="T38" s="42"/>
      <c r="U38" s="42"/>
      <c r="V38" s="42"/>
      <c r="W38" s="42"/>
      <c r="X38" s="42"/>
      <c r="Y38" s="42"/>
      <c r="Z38" s="42"/>
      <c r="AA38" s="42"/>
    </row>
    <row r="39" spans="2:42">
      <c r="B39" s="5" t="s">
        <v>185</v>
      </c>
      <c r="C39" s="247"/>
      <c r="D39" s="557">
        <f t="shared" si="2"/>
        <v>217.29155374700943</v>
      </c>
      <c r="E39" s="557">
        <f t="shared" si="2"/>
        <v>180.95481215991597</v>
      </c>
      <c r="F39" s="557">
        <f t="shared" si="2"/>
        <v>147.90950056316157</v>
      </c>
      <c r="G39" s="557">
        <f t="shared" si="2"/>
        <v>119.54361614923378</v>
      </c>
      <c r="H39" s="17">
        <f t="shared" si="3"/>
        <v>0.1218070977082355</v>
      </c>
      <c r="I39" s="5"/>
      <c r="J39" s="5"/>
      <c r="K39" s="5"/>
      <c r="L39" s="5"/>
      <c r="M39" s="5"/>
      <c r="N39" s="5"/>
      <c r="O39" s="5"/>
      <c r="Q39" s="5"/>
      <c r="R39" s="5"/>
      <c r="S39" s="42"/>
      <c r="T39" s="42"/>
      <c r="U39" s="42"/>
      <c r="V39" s="42"/>
      <c r="W39" s="288"/>
      <c r="X39" s="288"/>
      <c r="Y39" s="42"/>
      <c r="Z39" s="42"/>
      <c r="AA39" s="42"/>
    </row>
    <row r="40" spans="2:42">
      <c r="B40" s="5" t="s">
        <v>466</v>
      </c>
      <c r="C40" s="247"/>
      <c r="D40" s="557">
        <f t="shared" si="2"/>
        <v>286.02087067645101</v>
      </c>
      <c r="E40" s="557">
        <f t="shared" si="2"/>
        <v>240.35738195866892</v>
      </c>
      <c r="F40" s="557">
        <f t="shared" si="2"/>
        <v>196.85790768819066</v>
      </c>
      <c r="G40" s="557">
        <f t="shared" si="2"/>
        <v>159.2914066808743</v>
      </c>
      <c r="H40" s="17">
        <f t="shared" si="3"/>
        <v>0.11724346646507366</v>
      </c>
      <c r="I40" s="247"/>
      <c r="J40" s="259"/>
      <c r="K40" s="259"/>
      <c r="L40" s="259"/>
      <c r="M40" s="259"/>
      <c r="N40" s="259"/>
      <c r="O40" s="18"/>
      <c r="Q40" s="5"/>
      <c r="R40" s="5"/>
      <c r="S40" s="42"/>
      <c r="T40" s="42"/>
      <c r="U40" s="42"/>
      <c r="V40" s="42"/>
      <c r="W40" s="288"/>
      <c r="X40" s="288"/>
      <c r="Y40" s="288"/>
      <c r="Z40" s="288"/>
      <c r="AA40" s="42"/>
    </row>
    <row r="41" spans="2:42">
      <c r="B41" s="5" t="s">
        <v>530</v>
      </c>
      <c r="C41" s="247"/>
      <c r="D41" s="557">
        <f t="shared" si="2"/>
        <v>23.755656364582432</v>
      </c>
      <c r="E41" s="557">
        <f t="shared" si="2"/>
        <v>23.352404238016071</v>
      </c>
      <c r="F41" s="557">
        <f t="shared" si="2"/>
        <v>20.979406591929234</v>
      </c>
      <c r="G41" s="557">
        <f t="shared" si="2"/>
        <v>18.486185753060674</v>
      </c>
      <c r="H41" s="17">
        <f t="shared" si="3"/>
        <v>-6.4619138555987998E-4</v>
      </c>
      <c r="I41" s="248"/>
      <c r="J41" s="17"/>
      <c r="K41" s="17"/>
      <c r="L41" s="17"/>
      <c r="M41" s="17"/>
      <c r="N41" s="17"/>
      <c r="O41" s="5"/>
      <c r="Q41" s="5"/>
      <c r="R41" s="5"/>
      <c r="S41" s="42"/>
      <c r="T41" s="42"/>
      <c r="U41" s="42"/>
      <c r="V41" s="42"/>
      <c r="W41" s="288"/>
      <c r="X41" s="288"/>
      <c r="Y41" s="288"/>
      <c r="Z41" s="288"/>
      <c r="AA41" s="42"/>
    </row>
    <row r="42" spans="2:42">
      <c r="B42" s="5" t="s">
        <v>593</v>
      </c>
      <c r="C42" s="247"/>
      <c r="D42" s="557">
        <f>D18/D28</f>
        <v>39.919504084934694</v>
      </c>
      <c r="E42" s="557">
        <f>E18/E28</f>
        <v>39.25449486304688</v>
      </c>
      <c r="F42" s="557">
        <f>F18/F28</f>
        <v>35.298710678983397</v>
      </c>
      <c r="G42" s="557">
        <f>G18/G28</f>
        <v>31.786584654987077</v>
      </c>
      <c r="H42" s="17">
        <f t="shared" si="3"/>
        <v>-8.2707523784448789E-3</v>
      </c>
      <c r="I42" s="247"/>
      <c r="J42" s="5"/>
      <c r="K42" s="5"/>
      <c r="L42" s="5"/>
      <c r="M42" s="5"/>
      <c r="N42" s="5"/>
      <c r="O42" s="5"/>
      <c r="Q42" s="5"/>
      <c r="R42" s="5"/>
      <c r="S42" s="42"/>
      <c r="T42" s="42"/>
      <c r="U42" s="42"/>
      <c r="V42" s="42"/>
      <c r="W42" s="288"/>
      <c r="X42" s="288"/>
      <c r="Y42" s="288"/>
      <c r="Z42" s="288"/>
      <c r="AA42" s="42"/>
    </row>
    <row r="43" spans="2:42">
      <c r="B43" s="5" t="s">
        <v>475</v>
      </c>
      <c r="C43" s="247"/>
      <c r="D43" s="557">
        <f>L26/D29</f>
        <v>16.936975572468004</v>
      </c>
      <c r="E43" s="557">
        <f>M26/E29</f>
        <v>13.085891550577118</v>
      </c>
      <c r="F43" s="557">
        <f>N26/F29</f>
        <v>11.559318686177606</v>
      </c>
      <c r="G43" s="557">
        <f>O26/G29</f>
        <v>10.228692653783332</v>
      </c>
      <c r="H43" s="17">
        <f t="shared" si="3"/>
        <v>0.1752619839660905</v>
      </c>
      <c r="I43" s="247"/>
      <c r="J43" s="247"/>
      <c r="K43" s="247"/>
      <c r="L43" s="247"/>
      <c r="M43" s="247"/>
      <c r="N43" s="247"/>
      <c r="O43" s="18"/>
      <c r="Q43" s="5"/>
      <c r="R43" s="5"/>
      <c r="S43" s="42"/>
      <c r="T43" s="42"/>
      <c r="U43" s="42"/>
      <c r="V43" s="42"/>
      <c r="W43" s="325"/>
      <c r="X43" s="325"/>
      <c r="Y43" s="288"/>
      <c r="Z43" s="288"/>
      <c r="AA43" s="42"/>
    </row>
    <row r="44" spans="2:42">
      <c r="B44" s="5" t="s">
        <v>533</v>
      </c>
      <c r="C44" s="69"/>
      <c r="D44" s="557">
        <f>D11/D30</f>
        <v>201.24631831007881</v>
      </c>
      <c r="E44" s="557">
        <f>E11/E30</f>
        <v>181.96708252052719</v>
      </c>
      <c r="F44" s="557">
        <f>F11/F30</f>
        <v>162.69356942679144</v>
      </c>
      <c r="G44" s="557">
        <f>G11/G30</f>
        <v>146.19023536525333</v>
      </c>
      <c r="H44" s="17">
        <f t="shared" si="3"/>
        <v>0.11928489149378119</v>
      </c>
      <c r="I44" s="248"/>
      <c r="J44" s="248"/>
      <c r="K44" s="248"/>
      <c r="L44" s="248"/>
      <c r="M44" s="248"/>
      <c r="N44" s="248"/>
      <c r="O44" s="248"/>
      <c r="Q44" s="5"/>
      <c r="R44" s="5"/>
      <c r="S44" s="42"/>
      <c r="T44" s="42"/>
      <c r="U44" s="42"/>
      <c r="V44" s="42"/>
      <c r="W44" s="42"/>
      <c r="X44" s="42"/>
      <c r="Y44" s="325"/>
      <c r="Z44" s="325"/>
      <c r="AA44" s="42"/>
    </row>
    <row r="45" spans="2:42">
      <c r="B45" s="5" t="s">
        <v>580</v>
      </c>
      <c r="C45" s="247"/>
      <c r="D45" s="248">
        <f>D31/D11</f>
        <v>3.5764012850171304E-3</v>
      </c>
      <c r="E45" s="248">
        <f>E31/E11</f>
        <v>3.8692045339484673E-3</v>
      </c>
      <c r="F45" s="248">
        <f>F31/F11</f>
        <v>4.4173516296300988E-3</v>
      </c>
      <c r="G45" s="248">
        <f>G31/G11</f>
        <v>5.0099901152466219E-3</v>
      </c>
      <c r="H45" s="17">
        <f t="shared" si="3"/>
        <v>0.1258166248882262</v>
      </c>
      <c r="I45" s="247"/>
      <c r="J45" s="247"/>
      <c r="K45" s="247"/>
      <c r="L45" s="247"/>
      <c r="M45" s="247"/>
      <c r="N45" s="247"/>
      <c r="O45" s="248"/>
      <c r="Q45" s="5"/>
      <c r="R45" s="5"/>
      <c r="S45" s="42"/>
      <c r="T45" s="42"/>
      <c r="U45" s="42"/>
      <c r="V45" s="42"/>
      <c r="W45" s="42"/>
      <c r="X45" s="42"/>
      <c r="Y45" s="42"/>
      <c r="Z45" s="42"/>
      <c r="AA45" s="326"/>
      <c r="AB45" s="303"/>
    </row>
    <row r="46" spans="2:42">
      <c r="B46" s="5" t="s">
        <v>605</v>
      </c>
      <c r="C46" s="247"/>
      <c r="D46" s="248" t="e">
        <f>(D31+D32)/D11</f>
        <v>#VALUE!</v>
      </c>
      <c r="E46" s="248" t="e">
        <f>(E31+E32)/E11</f>
        <v>#VALUE!</v>
      </c>
      <c r="F46" s="248" t="e">
        <f>(F31+F32)/F11</f>
        <v>#VALUE!</v>
      </c>
      <c r="G46" s="248" t="e">
        <f>(G31+G32)/G11</f>
        <v>#VALUE!</v>
      </c>
      <c r="H46" s="279" t="e">
        <f>((G31+G32)/(D31+D32))^(1/3)-1</f>
        <v>#VALUE!</v>
      </c>
      <c r="I46" s="17"/>
      <c r="J46" s="247"/>
      <c r="K46" s="247"/>
      <c r="L46" s="247"/>
      <c r="M46" s="247"/>
      <c r="N46" s="247"/>
      <c r="O46" s="18"/>
      <c r="Q46" s="5"/>
      <c r="R46" s="5"/>
      <c r="S46" s="42"/>
      <c r="T46" s="42"/>
      <c r="U46" s="42"/>
      <c r="V46" s="42"/>
      <c r="W46" s="42"/>
      <c r="X46" s="42"/>
      <c r="Y46" s="42"/>
      <c r="Z46" s="42"/>
      <c r="AA46" s="326"/>
      <c r="AB46" s="303"/>
    </row>
    <row r="47" spans="2:42">
      <c r="B47" s="5" t="s">
        <v>581</v>
      </c>
      <c r="C47" s="5"/>
      <c r="D47" s="248">
        <f>1/D43</f>
        <v>5.9042418507443302E-2</v>
      </c>
      <c r="E47" s="248">
        <f>1/E43</f>
        <v>7.6418178779412066E-2</v>
      </c>
      <c r="F47" s="248">
        <f>1/F43</f>
        <v>8.6510288984053982E-2</v>
      </c>
      <c r="G47" s="248">
        <f>1/G43</f>
        <v>9.7764204463619844E-2</v>
      </c>
      <c r="H47" s="17">
        <f>H29</f>
        <v>0.1752619839660905</v>
      </c>
      <c r="I47" s="247"/>
      <c r="J47" s="248"/>
      <c r="K47" s="248"/>
      <c r="L47" s="248"/>
      <c r="M47" s="248"/>
      <c r="N47" s="248"/>
      <c r="O47" s="248"/>
      <c r="Q47" s="5"/>
      <c r="R47" s="5"/>
      <c r="S47" s="5"/>
      <c r="T47" s="5"/>
      <c r="U47" s="5"/>
      <c r="AA47" s="303"/>
      <c r="AB47" s="303"/>
    </row>
    <row r="48" spans="2:42">
      <c r="B48" s="5" t="s">
        <v>618</v>
      </c>
      <c r="C48" s="5"/>
      <c r="D48" s="305">
        <f>D31/D29</f>
        <v>0.75435631129854941</v>
      </c>
      <c r="E48" s="305">
        <f>E31/E29</f>
        <v>0.64463939188790653</v>
      </c>
      <c r="F48" s="305">
        <f>F31/F29</f>
        <v>0.65525359948474426</v>
      </c>
      <c r="G48" s="305">
        <f>G31/G29</f>
        <v>0.66309451572244593</v>
      </c>
      <c r="H48" s="17" t="s">
        <v>607</v>
      </c>
      <c r="I48" s="259"/>
      <c r="J48" s="247"/>
      <c r="K48" s="247"/>
      <c r="L48" s="247"/>
      <c r="M48" s="247"/>
      <c r="N48" s="247"/>
      <c r="O48" s="248"/>
      <c r="Q48" s="5"/>
      <c r="R48" s="5"/>
      <c r="S48" s="5"/>
      <c r="T48" s="5"/>
      <c r="U48" s="5"/>
      <c r="AA48" s="303"/>
      <c r="AB48" s="303"/>
    </row>
    <row r="49" spans="2:28">
      <c r="B49" s="41"/>
      <c r="C49" s="17"/>
      <c r="D49" s="17"/>
      <c r="E49" s="17"/>
      <c r="F49" s="17"/>
      <c r="G49" s="17"/>
      <c r="H49" s="17"/>
      <c r="I49" s="17"/>
      <c r="J49" s="17"/>
      <c r="K49" s="17"/>
      <c r="L49" s="17"/>
      <c r="M49" s="17"/>
      <c r="N49" s="17"/>
      <c r="O49" s="248"/>
      <c r="Q49" s="5"/>
      <c r="R49" s="5"/>
      <c r="S49" s="5"/>
      <c r="T49" s="5"/>
      <c r="U49" s="5"/>
      <c r="W49" s="10"/>
      <c r="X49" s="10"/>
      <c r="AA49" s="303"/>
      <c r="AB49" s="303"/>
    </row>
    <row r="50" spans="2:28">
      <c r="B50" s="5"/>
      <c r="C50" s="257"/>
      <c r="D50" s="257"/>
      <c r="E50" s="257"/>
      <c r="F50" s="5"/>
      <c r="G50" s="41"/>
      <c r="H50" s="249"/>
      <c r="I50" s="259"/>
      <c r="J50" s="249"/>
      <c r="K50" s="249"/>
      <c r="L50" s="249"/>
      <c r="M50" s="249"/>
      <c r="N50" s="249"/>
      <c r="O50" s="250"/>
      <c r="Q50" s="5"/>
      <c r="R50" s="5"/>
      <c r="S50" s="5"/>
      <c r="T50" s="5"/>
      <c r="U50" s="5"/>
      <c r="W50" s="10"/>
      <c r="X50" s="10"/>
      <c r="Y50" s="10"/>
      <c r="Z50" s="10"/>
    </row>
    <row r="51" spans="2:28">
      <c r="B51" s="41"/>
      <c r="C51" s="249"/>
      <c r="D51" s="254"/>
      <c r="E51" s="254"/>
      <c r="F51" s="254"/>
      <c r="G51" s="254"/>
      <c r="H51" s="254"/>
      <c r="I51" s="254"/>
      <c r="J51" s="254"/>
      <c r="K51" s="254"/>
      <c r="L51" s="254"/>
      <c r="M51" s="254"/>
      <c r="N51" s="254"/>
      <c r="O51" s="251"/>
      <c r="Q51" s="5"/>
      <c r="R51" s="5"/>
      <c r="S51" s="5"/>
      <c r="T51" s="5"/>
      <c r="U51" s="5"/>
      <c r="Y51" s="10"/>
      <c r="Z51" s="10"/>
    </row>
    <row r="52" spans="2:28">
      <c r="B52" s="5"/>
      <c r="C52" s="257"/>
      <c r="D52" s="17"/>
      <c r="E52" s="17"/>
      <c r="F52" s="17"/>
      <c r="G52" s="17"/>
      <c r="H52" s="17"/>
      <c r="I52" s="17"/>
      <c r="J52" s="17"/>
      <c r="K52" s="17"/>
      <c r="L52" s="17"/>
      <c r="M52" s="17"/>
      <c r="N52" s="17"/>
      <c r="O52" s="248"/>
      <c r="Q52" s="5"/>
      <c r="R52" s="5"/>
      <c r="S52" s="5"/>
      <c r="T52" s="5"/>
      <c r="U52" s="5"/>
    </row>
    <row r="53" spans="2:28">
      <c r="B53" s="5"/>
      <c r="C53" s="257"/>
      <c r="D53" s="257"/>
      <c r="E53" s="257"/>
      <c r="F53" s="5"/>
      <c r="G53" s="5"/>
      <c r="H53" s="259"/>
      <c r="I53" s="259"/>
      <c r="J53" s="259"/>
      <c r="K53" s="259"/>
      <c r="L53" s="259"/>
      <c r="M53" s="259"/>
      <c r="N53" s="259"/>
      <c r="O53" s="18"/>
      <c r="Q53" s="5"/>
      <c r="R53" s="5"/>
      <c r="S53" s="5"/>
      <c r="T53" s="5"/>
      <c r="U53" s="5"/>
    </row>
    <row r="54" spans="2:28">
      <c r="B54" s="41"/>
      <c r="C54" s="249"/>
      <c r="D54" s="254"/>
      <c r="E54" s="254"/>
      <c r="F54" s="254"/>
      <c r="G54" s="254"/>
      <c r="H54" s="254"/>
      <c r="I54" s="249"/>
      <c r="J54" s="17"/>
      <c r="K54" s="17"/>
      <c r="L54" s="17"/>
      <c r="M54" s="17"/>
      <c r="N54" s="17"/>
      <c r="O54" s="18"/>
      <c r="Q54" s="5"/>
      <c r="R54" s="5"/>
      <c r="S54" s="5"/>
      <c r="T54" s="5"/>
      <c r="U54" s="5"/>
    </row>
    <row r="55" spans="2:28">
      <c r="B55" s="5"/>
      <c r="C55" s="257"/>
      <c r="D55" s="17"/>
      <c r="E55" s="17"/>
      <c r="F55" s="17"/>
      <c r="G55" s="17"/>
      <c r="H55" s="17"/>
      <c r="I55" s="248"/>
      <c r="J55" s="259"/>
      <c r="K55" s="259"/>
      <c r="L55" s="259"/>
      <c r="M55" s="259"/>
      <c r="N55" s="259"/>
      <c r="O55" s="18"/>
      <c r="Q55" s="5"/>
      <c r="R55" s="5"/>
      <c r="S55" s="5"/>
      <c r="T55" s="5"/>
      <c r="U55" s="5"/>
    </row>
    <row r="56" spans="2:28">
      <c r="B56" s="5"/>
      <c r="C56" s="248"/>
      <c r="D56" s="248"/>
      <c r="E56" s="248"/>
      <c r="F56" s="5"/>
      <c r="G56" s="5"/>
      <c r="H56" s="259"/>
      <c r="I56" s="5"/>
      <c r="J56" s="249"/>
      <c r="K56" s="249"/>
      <c r="L56" s="249"/>
      <c r="M56" s="249"/>
      <c r="N56" s="249"/>
      <c r="O56" s="251"/>
      <c r="Q56" s="5"/>
      <c r="R56" s="5"/>
      <c r="S56" s="5"/>
      <c r="T56" s="5"/>
      <c r="U56" s="5"/>
    </row>
    <row r="57" spans="2:28">
      <c r="B57" s="41"/>
      <c r="C57" s="249"/>
      <c r="D57" s="249"/>
      <c r="E57" s="249"/>
      <c r="F57" s="249"/>
      <c r="G57" s="249"/>
      <c r="H57" s="249"/>
      <c r="I57" s="17"/>
      <c r="J57" s="248"/>
      <c r="K57" s="248"/>
      <c r="L57" s="248"/>
      <c r="M57" s="248"/>
      <c r="N57" s="248"/>
      <c r="O57" s="18"/>
      <c r="Q57" s="5"/>
      <c r="R57" s="5"/>
      <c r="S57" s="5"/>
      <c r="T57" s="5"/>
      <c r="U57" s="5"/>
    </row>
    <row r="58" spans="2:28">
      <c r="B58" s="5"/>
      <c r="C58" s="5"/>
      <c r="D58" s="248"/>
      <c r="E58" s="248"/>
      <c r="F58" s="248"/>
      <c r="G58" s="248"/>
      <c r="H58" s="248"/>
      <c r="I58" s="5"/>
      <c r="J58" s="5"/>
      <c r="K58" s="5"/>
      <c r="L58" s="5"/>
      <c r="M58" s="5"/>
      <c r="N58" s="5"/>
      <c r="O58" s="5"/>
      <c r="Q58" s="5"/>
      <c r="R58" s="5"/>
      <c r="S58" s="5"/>
      <c r="T58" s="5"/>
      <c r="U58" s="5"/>
    </row>
    <row r="59" spans="2:28">
      <c r="B59" s="5"/>
      <c r="C59" s="5"/>
      <c r="D59" s="5"/>
      <c r="E59" s="5"/>
      <c r="F59" s="5"/>
      <c r="G59" s="5"/>
      <c r="H59" s="5"/>
      <c r="I59" s="249"/>
      <c r="J59" s="17"/>
      <c r="K59" s="17"/>
      <c r="L59" s="17"/>
      <c r="M59" s="17"/>
      <c r="N59" s="17"/>
      <c r="O59" s="251"/>
      <c r="Q59" s="5"/>
      <c r="R59" s="5"/>
      <c r="S59" s="5"/>
      <c r="T59" s="5"/>
      <c r="U59" s="5"/>
    </row>
    <row r="60" spans="2:28">
      <c r="B60" s="41"/>
      <c r="C60" s="17"/>
      <c r="D60" s="17"/>
      <c r="E60" s="17"/>
      <c r="F60" s="17"/>
      <c r="G60" s="17"/>
      <c r="H60" s="17"/>
      <c r="I60" s="5"/>
      <c r="J60" s="5"/>
      <c r="K60" s="5"/>
      <c r="L60" s="5"/>
      <c r="M60" s="5"/>
      <c r="N60" s="5"/>
      <c r="O60" s="5"/>
      <c r="Q60" s="41"/>
      <c r="R60" s="5"/>
      <c r="S60" s="5"/>
      <c r="T60" s="5"/>
      <c r="U60" s="5"/>
    </row>
    <row r="61" spans="2:28">
      <c r="B61" s="5"/>
      <c r="C61" s="5"/>
      <c r="D61" s="5"/>
      <c r="E61" s="5"/>
      <c r="F61" s="5"/>
      <c r="G61" s="5"/>
      <c r="H61" s="5"/>
      <c r="I61" s="5"/>
      <c r="J61" s="249"/>
      <c r="K61" s="249"/>
      <c r="L61" s="249"/>
      <c r="M61" s="249"/>
      <c r="N61" s="249"/>
      <c r="O61" s="251"/>
      <c r="Q61" s="5"/>
      <c r="R61" s="5"/>
      <c r="S61" s="5"/>
      <c r="T61" s="5"/>
      <c r="U61" s="5"/>
    </row>
    <row r="62" spans="2:28">
      <c r="B62" s="41"/>
      <c r="C62" s="249"/>
      <c r="D62" s="249"/>
      <c r="E62" s="249"/>
      <c r="F62" s="249"/>
      <c r="G62" s="249"/>
      <c r="H62" s="249"/>
      <c r="I62" s="254"/>
      <c r="J62" s="5"/>
      <c r="K62" s="5"/>
      <c r="L62" s="5"/>
      <c r="M62" s="5"/>
      <c r="N62" s="5"/>
      <c r="O62" s="5"/>
      <c r="Q62" s="5"/>
      <c r="R62" s="5"/>
      <c r="S62" s="5"/>
      <c r="T62" s="5"/>
      <c r="U62" s="5"/>
    </row>
    <row r="63" spans="2:28">
      <c r="B63" s="5"/>
      <c r="C63" s="5"/>
      <c r="D63" s="5"/>
      <c r="E63" s="5"/>
      <c r="F63" s="5"/>
      <c r="G63" s="5"/>
      <c r="H63" s="5"/>
      <c r="I63" s="17"/>
      <c r="J63" s="5"/>
      <c r="K63" s="5"/>
      <c r="L63" s="5"/>
      <c r="M63" s="5"/>
      <c r="N63" s="5"/>
      <c r="O63" s="5"/>
      <c r="Q63" s="5"/>
      <c r="R63" s="5"/>
      <c r="S63" s="5"/>
      <c r="T63" s="5"/>
      <c r="U63" s="5"/>
    </row>
    <row r="64" spans="2:28">
      <c r="B64" s="5"/>
      <c r="C64" s="5"/>
      <c r="D64" s="5"/>
      <c r="E64" s="5"/>
      <c r="F64" s="5"/>
      <c r="G64" s="5"/>
      <c r="H64" s="5"/>
      <c r="I64" s="254"/>
      <c r="J64" s="254"/>
      <c r="K64" s="254"/>
      <c r="L64" s="254"/>
      <c r="M64" s="254"/>
      <c r="N64" s="254"/>
      <c r="O64" s="251"/>
      <c r="Q64" s="5"/>
      <c r="R64" s="5"/>
      <c r="S64" s="5"/>
      <c r="T64" s="5"/>
      <c r="U64" s="5"/>
    </row>
    <row r="65" spans="2:26">
      <c r="B65" s="41"/>
      <c r="C65" s="249"/>
      <c r="D65" s="254"/>
      <c r="E65" s="254"/>
      <c r="F65" s="254"/>
      <c r="G65" s="254"/>
      <c r="H65" s="254"/>
      <c r="I65" s="248"/>
      <c r="J65" s="17"/>
      <c r="K65" s="17"/>
      <c r="L65" s="17"/>
      <c r="M65" s="17"/>
      <c r="N65" s="17"/>
      <c r="O65" s="5"/>
      <c r="Q65" s="5"/>
      <c r="R65" s="5"/>
      <c r="S65" s="5"/>
      <c r="T65" s="5"/>
      <c r="U65" s="5"/>
    </row>
    <row r="66" spans="2:26">
      <c r="B66" s="5"/>
      <c r="C66" s="5"/>
      <c r="D66" s="17"/>
      <c r="E66" s="17"/>
      <c r="F66" s="17"/>
      <c r="G66" s="17"/>
      <c r="H66" s="17"/>
      <c r="I66" s="5"/>
      <c r="J66" s="254"/>
      <c r="K66" s="254"/>
      <c r="L66" s="254"/>
      <c r="M66" s="254"/>
      <c r="N66" s="254"/>
      <c r="O66" s="251"/>
      <c r="Q66" s="41"/>
      <c r="R66" s="5"/>
      <c r="S66" s="5"/>
      <c r="T66" s="5"/>
      <c r="U66" s="5"/>
    </row>
    <row r="67" spans="2:26">
      <c r="B67" s="41"/>
      <c r="C67" s="249"/>
      <c r="D67" s="254"/>
      <c r="E67" s="254"/>
      <c r="F67" s="254"/>
      <c r="G67" s="254"/>
      <c r="H67" s="254"/>
      <c r="I67" s="245"/>
      <c r="J67" s="248"/>
      <c r="K67" s="248"/>
      <c r="L67" s="248"/>
      <c r="M67" s="248"/>
      <c r="N67" s="248"/>
      <c r="O67" s="5"/>
      <c r="Q67" s="5"/>
      <c r="R67" s="5"/>
      <c r="S67" s="5"/>
      <c r="T67" s="5"/>
      <c r="U67" s="5"/>
    </row>
    <row r="68" spans="2:26">
      <c r="B68" s="5"/>
      <c r="C68" s="5"/>
      <c r="D68" s="248"/>
      <c r="E68" s="248"/>
      <c r="F68" s="248"/>
      <c r="G68" s="248"/>
      <c r="H68" s="248"/>
      <c r="I68" s="248"/>
      <c r="J68" s="5"/>
      <c r="K68" s="5"/>
      <c r="L68" s="5"/>
      <c r="M68" s="5"/>
      <c r="N68" s="5"/>
      <c r="O68" s="5"/>
      <c r="Q68" s="5"/>
      <c r="R68" s="5"/>
      <c r="S68" s="5"/>
      <c r="T68" s="5"/>
      <c r="U68" s="5"/>
    </row>
    <row r="69" spans="2:26">
      <c r="B69" s="41"/>
      <c r="C69" s="5"/>
      <c r="D69" s="5"/>
      <c r="E69" s="5"/>
      <c r="F69" s="5"/>
      <c r="G69" s="5"/>
      <c r="H69" s="5"/>
      <c r="I69" s="5"/>
      <c r="J69" s="245"/>
      <c r="K69" s="245"/>
      <c r="L69" s="245"/>
      <c r="M69" s="245"/>
      <c r="N69" s="245"/>
      <c r="O69" s="251"/>
      <c r="Q69" s="5"/>
      <c r="R69" s="5"/>
      <c r="S69" s="5"/>
      <c r="T69" s="5"/>
      <c r="U69" s="5"/>
      <c r="W69" s="76"/>
      <c r="X69" s="76"/>
    </row>
    <row r="70" spans="2:26">
      <c r="B70" s="41"/>
      <c r="C70" s="245"/>
      <c r="D70" s="245"/>
      <c r="E70" s="245"/>
      <c r="F70" s="245"/>
      <c r="G70" s="245"/>
      <c r="H70" s="245"/>
      <c r="I70" s="245"/>
      <c r="J70" s="248"/>
      <c r="K70" s="248"/>
      <c r="L70" s="248"/>
      <c r="M70" s="248"/>
      <c r="N70" s="248"/>
      <c r="O70" s="5"/>
      <c r="Q70" s="5"/>
      <c r="R70" s="5"/>
      <c r="S70" s="5"/>
      <c r="T70" s="5"/>
      <c r="U70" s="5"/>
      <c r="W70" s="76"/>
      <c r="X70" s="76"/>
      <c r="Y70" s="76"/>
      <c r="Z70" s="76"/>
    </row>
    <row r="71" spans="2:26">
      <c r="B71" s="5"/>
      <c r="C71" s="5"/>
      <c r="D71" s="248"/>
      <c r="E71" s="248"/>
      <c r="F71" s="248"/>
      <c r="G71" s="248"/>
      <c r="H71" s="248"/>
      <c r="I71" s="18"/>
      <c r="J71" s="5"/>
      <c r="K71" s="5"/>
      <c r="L71" s="5"/>
      <c r="M71" s="5"/>
      <c r="N71" s="5"/>
      <c r="O71" s="5"/>
      <c r="Q71" s="5"/>
      <c r="R71" s="5"/>
      <c r="S71" s="5"/>
      <c r="T71" s="5"/>
      <c r="U71" s="5"/>
      <c r="Y71" s="76"/>
      <c r="Z71" s="76"/>
    </row>
    <row r="72" spans="2:26">
      <c r="B72" s="41"/>
      <c r="C72" s="5"/>
      <c r="D72" s="5"/>
      <c r="E72" s="5"/>
      <c r="F72" s="5"/>
      <c r="G72" s="5"/>
      <c r="H72" s="5"/>
      <c r="I72" s="5"/>
      <c r="J72" s="245"/>
      <c r="K72" s="245"/>
      <c r="L72" s="245"/>
      <c r="M72" s="245"/>
      <c r="N72" s="245"/>
      <c r="O72" s="251"/>
      <c r="Q72" s="5"/>
      <c r="R72" s="5"/>
      <c r="S72" s="5"/>
      <c r="T72" s="5"/>
      <c r="U72" s="5"/>
    </row>
    <row r="73" spans="2:26">
      <c r="B73" s="41"/>
      <c r="C73" s="245"/>
      <c r="D73" s="245"/>
      <c r="E73" s="245"/>
      <c r="F73" s="245"/>
      <c r="G73" s="245"/>
      <c r="H73" s="245"/>
      <c r="I73" s="249"/>
      <c r="J73" s="18"/>
      <c r="K73" s="18"/>
      <c r="L73" s="18"/>
      <c r="M73" s="18"/>
      <c r="N73" s="18"/>
      <c r="O73" s="5"/>
      <c r="Q73" s="5"/>
      <c r="R73" s="5"/>
      <c r="S73" s="5"/>
      <c r="T73" s="5"/>
      <c r="U73" s="5"/>
    </row>
    <row r="74" spans="2:26">
      <c r="B74" s="5"/>
      <c r="C74" s="5"/>
      <c r="D74" s="18"/>
      <c r="E74" s="18"/>
      <c r="F74" s="18"/>
      <c r="G74" s="18"/>
      <c r="H74" s="18"/>
      <c r="I74" s="248"/>
      <c r="J74" s="5"/>
      <c r="K74" s="5"/>
      <c r="L74" s="5"/>
      <c r="M74" s="5"/>
      <c r="N74" s="5"/>
      <c r="O74" s="5"/>
      <c r="Q74" s="5"/>
      <c r="R74" s="5"/>
      <c r="S74" s="5"/>
      <c r="T74" s="5"/>
      <c r="U74" s="5"/>
    </row>
    <row r="75" spans="2:26">
      <c r="B75" s="41"/>
      <c r="C75" s="5"/>
      <c r="D75" s="5"/>
      <c r="E75" s="5"/>
      <c r="F75" s="5"/>
      <c r="G75" s="5"/>
      <c r="H75" s="5"/>
      <c r="I75" s="5"/>
      <c r="J75" s="249"/>
      <c r="K75" s="249"/>
      <c r="L75" s="249"/>
      <c r="M75" s="249"/>
      <c r="N75" s="249"/>
      <c r="O75" s="251"/>
      <c r="Q75" s="5"/>
      <c r="R75" s="5"/>
      <c r="S75" s="5"/>
      <c r="T75" s="5"/>
      <c r="U75" s="5"/>
    </row>
    <row r="76" spans="2:26">
      <c r="B76" s="41"/>
      <c r="C76" s="249"/>
      <c r="D76" s="249"/>
      <c r="E76" s="249"/>
      <c r="F76" s="249"/>
      <c r="G76" s="249"/>
      <c r="H76" s="249"/>
      <c r="I76" s="245"/>
      <c r="J76" s="248"/>
      <c r="K76" s="248"/>
      <c r="L76" s="248"/>
      <c r="M76" s="248"/>
      <c r="N76" s="248"/>
      <c r="O76" s="5"/>
      <c r="Q76" s="5"/>
      <c r="R76" s="5"/>
      <c r="S76" s="5"/>
      <c r="T76" s="5"/>
      <c r="U76" s="5"/>
    </row>
    <row r="77" spans="2:26">
      <c r="B77" s="5"/>
      <c r="C77" s="5"/>
      <c r="D77" s="248"/>
      <c r="E77" s="248"/>
      <c r="F77" s="248"/>
      <c r="G77" s="248"/>
      <c r="H77" s="248"/>
      <c r="I77" s="248"/>
      <c r="J77" s="5"/>
      <c r="K77" s="5"/>
      <c r="L77" s="5"/>
      <c r="M77" s="5"/>
      <c r="N77" s="5"/>
      <c r="O77" s="5"/>
      <c r="Q77" s="5"/>
      <c r="R77" s="5"/>
      <c r="S77" s="5"/>
      <c r="T77" s="5"/>
      <c r="U77" s="5"/>
    </row>
    <row r="78" spans="2:26">
      <c r="B78" s="41"/>
      <c r="C78" s="5"/>
      <c r="D78" s="5"/>
      <c r="E78" s="5"/>
      <c r="F78" s="5"/>
      <c r="G78" s="5"/>
      <c r="H78" s="5"/>
      <c r="I78" s="5"/>
      <c r="J78" s="245"/>
      <c r="K78" s="245"/>
      <c r="L78" s="245"/>
      <c r="M78" s="245"/>
      <c r="N78" s="245"/>
      <c r="O78" s="251"/>
      <c r="Q78" s="5"/>
      <c r="R78" s="5"/>
      <c r="S78" s="5"/>
      <c r="T78" s="5"/>
      <c r="U78" s="5"/>
    </row>
    <row r="79" spans="2:26">
      <c r="B79" s="41"/>
      <c r="C79" s="245"/>
      <c r="D79" s="245"/>
      <c r="E79" s="245"/>
      <c r="F79" s="245"/>
      <c r="G79" s="245"/>
      <c r="H79" s="245"/>
      <c r="I79" s="249"/>
      <c r="J79" s="248"/>
      <c r="K79" s="248"/>
      <c r="L79" s="248"/>
      <c r="M79" s="248"/>
      <c r="N79" s="248"/>
      <c r="O79" s="5"/>
      <c r="Q79" s="5"/>
      <c r="R79" s="5"/>
      <c r="S79" s="5"/>
      <c r="T79" s="5"/>
      <c r="U79" s="5"/>
    </row>
    <row r="80" spans="2:26">
      <c r="B80" s="5"/>
      <c r="C80" s="5"/>
      <c r="D80" s="248"/>
      <c r="E80" s="248"/>
      <c r="F80" s="248"/>
      <c r="G80" s="248"/>
      <c r="H80" s="248"/>
      <c r="I80" s="248"/>
      <c r="J80" s="5"/>
      <c r="K80" s="5"/>
      <c r="L80" s="5"/>
      <c r="M80" s="5"/>
      <c r="N80" s="5"/>
      <c r="O80" s="5"/>
      <c r="Q80" s="5"/>
      <c r="R80" s="5"/>
      <c r="S80" s="5"/>
      <c r="T80" s="5"/>
      <c r="U80" s="5"/>
    </row>
    <row r="81" spans="2:26">
      <c r="B81" s="41"/>
      <c r="C81" s="5"/>
      <c r="D81" s="5"/>
      <c r="E81" s="5"/>
      <c r="F81" s="5"/>
      <c r="G81" s="5"/>
      <c r="H81" s="5"/>
      <c r="I81" s="259"/>
      <c r="J81" s="249"/>
      <c r="K81" s="249"/>
      <c r="L81" s="249"/>
      <c r="M81" s="249"/>
      <c r="N81" s="249"/>
      <c r="O81" s="251"/>
      <c r="Q81" s="5"/>
      <c r="R81" s="5"/>
      <c r="S81" s="5"/>
      <c r="T81" s="5"/>
      <c r="U81" s="5"/>
    </row>
    <row r="82" spans="2:26">
      <c r="B82" s="41"/>
      <c r="C82" s="249"/>
      <c r="D82" s="249"/>
      <c r="E82" s="249"/>
      <c r="F82" s="249"/>
      <c r="G82" s="249"/>
      <c r="H82" s="249"/>
      <c r="I82" s="5"/>
      <c r="J82" s="248"/>
      <c r="K82" s="248"/>
      <c r="L82" s="248"/>
      <c r="M82" s="248"/>
      <c r="N82" s="248"/>
      <c r="O82" s="5"/>
      <c r="Q82" s="5"/>
      <c r="R82" s="5"/>
      <c r="S82" s="5"/>
      <c r="T82" s="5"/>
      <c r="U82" s="5"/>
    </row>
    <row r="83" spans="2:26">
      <c r="B83" s="5"/>
      <c r="C83" s="5"/>
      <c r="D83" s="248"/>
      <c r="E83" s="248"/>
      <c r="F83" s="248"/>
      <c r="G83" s="248"/>
      <c r="H83" s="248"/>
      <c r="I83" s="245"/>
      <c r="J83" s="259"/>
      <c r="K83" s="259"/>
      <c r="L83" s="259"/>
      <c r="M83" s="259"/>
      <c r="N83" s="259"/>
      <c r="O83" s="251"/>
      <c r="Q83" s="5"/>
      <c r="R83" s="5"/>
      <c r="S83" s="5"/>
      <c r="T83" s="5"/>
      <c r="U83" s="5"/>
    </row>
    <row r="84" spans="2:26">
      <c r="B84" s="5"/>
      <c r="C84" s="259"/>
      <c r="D84" s="259"/>
      <c r="E84" s="259"/>
      <c r="F84" s="259"/>
      <c r="G84" s="259"/>
      <c r="H84" s="259"/>
      <c r="I84" s="248"/>
      <c r="J84" s="5"/>
      <c r="K84" s="5"/>
      <c r="L84" s="5"/>
      <c r="M84" s="5"/>
      <c r="N84" s="5"/>
      <c r="O84" s="5"/>
      <c r="Q84" s="5"/>
      <c r="R84" s="5"/>
      <c r="S84" s="5"/>
      <c r="T84" s="5"/>
      <c r="U84" s="5"/>
    </row>
    <row r="85" spans="2:26">
      <c r="B85" s="41"/>
      <c r="C85" s="5"/>
      <c r="D85" s="5"/>
      <c r="E85" s="5"/>
      <c r="F85" s="5"/>
      <c r="G85" s="5"/>
      <c r="H85" s="5"/>
      <c r="I85" s="5"/>
      <c r="J85" s="245"/>
      <c r="K85" s="245"/>
      <c r="L85" s="245"/>
      <c r="M85" s="245"/>
      <c r="N85" s="245"/>
      <c r="O85" s="251"/>
      <c r="Q85" s="5"/>
      <c r="R85" s="5"/>
      <c r="S85" s="5"/>
      <c r="T85" s="5"/>
      <c r="U85" s="5"/>
    </row>
    <row r="86" spans="2:26">
      <c r="B86" s="41"/>
      <c r="C86" s="245"/>
      <c r="D86" s="245"/>
      <c r="E86" s="245"/>
      <c r="F86" s="245"/>
      <c r="G86" s="245"/>
      <c r="H86" s="245"/>
      <c r="I86" s="5"/>
      <c r="J86" s="248"/>
      <c r="K86" s="248"/>
      <c r="L86" s="248"/>
      <c r="M86" s="248"/>
      <c r="N86" s="248"/>
      <c r="O86" s="5"/>
      <c r="Q86" s="5"/>
      <c r="R86" s="5"/>
      <c r="S86" s="5"/>
      <c r="T86" s="5"/>
      <c r="U86" s="5"/>
    </row>
    <row r="87" spans="2:26">
      <c r="B87" s="5"/>
      <c r="C87" s="5"/>
      <c r="D87" s="248"/>
      <c r="E87" s="248"/>
      <c r="F87" s="248"/>
      <c r="G87" s="248"/>
      <c r="H87" s="248"/>
      <c r="I87" s="5"/>
      <c r="J87" s="5"/>
      <c r="K87" s="5"/>
      <c r="L87" s="5"/>
      <c r="M87" s="5"/>
      <c r="N87" s="5"/>
      <c r="O87" s="5"/>
      <c r="Q87" s="5"/>
      <c r="R87" s="5"/>
      <c r="S87" s="5"/>
      <c r="T87" s="5"/>
      <c r="U87" s="5"/>
    </row>
    <row r="88" spans="2:26">
      <c r="B88" s="41"/>
      <c r="C88" s="5"/>
      <c r="D88" s="5"/>
      <c r="E88" s="5"/>
      <c r="F88" s="5"/>
      <c r="G88" s="5"/>
      <c r="H88" s="5"/>
      <c r="I88" s="5"/>
      <c r="J88" s="5"/>
      <c r="K88" s="5"/>
      <c r="L88" s="5"/>
      <c r="M88" s="5"/>
      <c r="N88" s="5"/>
      <c r="O88" s="5"/>
      <c r="Q88" s="5"/>
      <c r="R88" s="5"/>
      <c r="S88" s="5"/>
      <c r="T88" s="5"/>
      <c r="U88" s="5"/>
    </row>
    <row r="89" spans="2:26">
      <c r="B89" s="41"/>
      <c r="C89" s="5"/>
      <c r="D89" s="5"/>
      <c r="E89" s="5"/>
      <c r="F89" s="5"/>
      <c r="G89" s="5"/>
      <c r="H89" s="5"/>
      <c r="I89" s="49"/>
      <c r="J89" s="5"/>
      <c r="K89" s="5"/>
      <c r="L89" s="5"/>
      <c r="M89" s="5"/>
      <c r="N89" s="5"/>
      <c r="O89" s="5"/>
      <c r="Q89" s="41"/>
      <c r="R89" s="5"/>
      <c r="S89" s="5"/>
      <c r="T89" s="5"/>
      <c r="U89" s="5"/>
    </row>
    <row r="90" spans="2:26">
      <c r="B90" s="41"/>
      <c r="C90" s="5"/>
      <c r="D90" s="5"/>
      <c r="E90" s="5"/>
      <c r="F90" s="5"/>
      <c r="G90" s="5"/>
      <c r="H90" s="5"/>
      <c r="I90" s="5"/>
      <c r="J90" s="5"/>
      <c r="K90" s="5"/>
      <c r="L90" s="5"/>
      <c r="M90" s="5"/>
      <c r="N90" s="5"/>
      <c r="O90" s="5"/>
      <c r="Q90" s="5"/>
      <c r="R90" s="5"/>
      <c r="S90" s="5"/>
      <c r="T90" s="5"/>
      <c r="U90" s="5"/>
    </row>
    <row r="91" spans="2:26">
      <c r="B91" s="5"/>
      <c r="C91" s="5"/>
      <c r="D91" s="5"/>
      <c r="E91" s="5"/>
      <c r="F91" s="5"/>
      <c r="G91" s="5"/>
      <c r="H91" s="5"/>
      <c r="I91" s="247"/>
      <c r="J91" s="49"/>
      <c r="K91" s="49"/>
      <c r="L91" s="49"/>
      <c r="M91" s="49"/>
      <c r="N91" s="49"/>
      <c r="O91" s="49"/>
      <c r="Q91" s="5"/>
      <c r="R91" s="5"/>
      <c r="S91" s="5"/>
      <c r="T91" s="5"/>
      <c r="U91" s="5"/>
      <c r="W91" s="21"/>
      <c r="X91" s="21"/>
    </row>
    <row r="92" spans="2:26">
      <c r="B92" s="41"/>
      <c r="C92" s="49"/>
      <c r="D92" s="49"/>
      <c r="E92" s="49"/>
      <c r="F92" s="49"/>
      <c r="G92" s="49"/>
      <c r="H92" s="49"/>
      <c r="I92" s="247"/>
      <c r="J92" s="5"/>
      <c r="K92" s="5"/>
      <c r="L92" s="5"/>
      <c r="M92" s="5"/>
      <c r="N92" s="5"/>
      <c r="O92" s="5"/>
      <c r="Q92" s="5"/>
      <c r="R92" s="5"/>
      <c r="S92" s="5"/>
      <c r="T92" s="5"/>
      <c r="U92" s="5"/>
      <c r="W92" s="21"/>
      <c r="X92" s="21"/>
      <c r="Y92" s="21"/>
      <c r="Z92" s="21"/>
    </row>
    <row r="93" spans="2:26">
      <c r="B93" s="5"/>
      <c r="C93" s="5"/>
      <c r="D93" s="5"/>
      <c r="E93" s="5"/>
      <c r="F93" s="5"/>
      <c r="G93" s="5"/>
      <c r="H93" s="5"/>
      <c r="I93" s="247"/>
      <c r="J93" s="247"/>
      <c r="K93" s="247"/>
      <c r="L93" s="247"/>
      <c r="M93" s="247"/>
      <c r="N93" s="247"/>
      <c r="O93" s="248"/>
      <c r="Q93" s="5"/>
      <c r="R93" s="5"/>
      <c r="S93" s="5"/>
      <c r="T93" s="5"/>
      <c r="U93" s="5"/>
      <c r="Y93" s="21"/>
      <c r="Z93" s="21"/>
    </row>
    <row r="94" spans="2:26">
      <c r="B94" s="5"/>
      <c r="C94" s="259"/>
      <c r="D94" s="247"/>
      <c r="E94" s="247"/>
      <c r="F94" s="247"/>
      <c r="G94" s="247"/>
      <c r="H94" s="247"/>
      <c r="I94" s="248"/>
      <c r="J94" s="247"/>
      <c r="K94" s="247"/>
      <c r="L94" s="247"/>
      <c r="M94" s="247"/>
      <c r="N94" s="247"/>
      <c r="O94" s="248"/>
      <c r="Q94" s="5"/>
      <c r="R94" s="5"/>
      <c r="S94" s="5"/>
      <c r="T94" s="5"/>
      <c r="U94" s="5"/>
    </row>
    <row r="95" spans="2:26">
      <c r="B95" s="5"/>
      <c r="C95" s="259"/>
      <c r="D95" s="247"/>
      <c r="E95" s="247"/>
      <c r="F95" s="247"/>
      <c r="G95" s="247"/>
      <c r="H95" s="247"/>
      <c r="I95" s="247"/>
      <c r="J95" s="247"/>
      <c r="K95" s="247"/>
      <c r="L95" s="247"/>
      <c r="M95" s="247"/>
      <c r="N95" s="247"/>
      <c r="O95" s="248"/>
      <c r="Q95" s="5"/>
      <c r="R95" s="5"/>
      <c r="S95" s="5"/>
      <c r="T95" s="5"/>
      <c r="U95" s="5"/>
    </row>
    <row r="96" spans="2:26">
      <c r="B96" s="5"/>
      <c r="C96" s="259"/>
      <c r="D96" s="247"/>
      <c r="E96" s="247"/>
      <c r="F96" s="247"/>
      <c r="G96" s="247"/>
      <c r="H96" s="247"/>
      <c r="I96" s="249"/>
      <c r="J96" s="248"/>
      <c r="K96" s="248"/>
      <c r="L96" s="248"/>
      <c r="M96" s="248"/>
      <c r="N96" s="248"/>
      <c r="O96" s="248"/>
      <c r="Q96" s="5"/>
      <c r="R96" s="5"/>
      <c r="S96" s="5"/>
      <c r="T96" s="5"/>
      <c r="U96" s="5"/>
    </row>
    <row r="97" spans="2:21">
      <c r="B97" s="5"/>
      <c r="C97" s="259"/>
      <c r="D97" s="248"/>
      <c r="E97" s="248"/>
      <c r="F97" s="248"/>
      <c r="G97" s="248"/>
      <c r="H97" s="248"/>
      <c r="I97" s="248"/>
      <c r="J97" s="247"/>
      <c r="K97" s="247"/>
      <c r="L97" s="247"/>
      <c r="M97" s="247"/>
      <c r="N97" s="247"/>
      <c r="O97" s="248"/>
      <c r="Q97" s="5"/>
      <c r="R97" s="5"/>
      <c r="S97" s="5"/>
      <c r="T97" s="5"/>
      <c r="U97" s="5"/>
    </row>
    <row r="98" spans="2:21">
      <c r="B98" s="5"/>
      <c r="C98" s="259"/>
      <c r="D98" s="247"/>
      <c r="E98" s="247"/>
      <c r="F98" s="247"/>
      <c r="G98" s="247"/>
      <c r="H98" s="247"/>
      <c r="I98" s="5"/>
      <c r="J98" s="249"/>
      <c r="K98" s="249"/>
      <c r="L98" s="249"/>
      <c r="M98" s="249"/>
      <c r="N98" s="249"/>
      <c r="O98" s="248"/>
      <c r="Q98" s="5"/>
      <c r="R98" s="5"/>
      <c r="S98" s="5"/>
      <c r="T98" s="5"/>
      <c r="U98" s="5"/>
    </row>
    <row r="99" spans="2:21">
      <c r="B99" s="41"/>
      <c r="C99" s="249"/>
      <c r="D99" s="249"/>
      <c r="E99" s="249"/>
      <c r="F99" s="249"/>
      <c r="G99" s="249"/>
      <c r="H99" s="249"/>
      <c r="I99" s="259"/>
      <c r="J99" s="248"/>
      <c r="K99" s="248"/>
      <c r="L99" s="248"/>
      <c r="M99" s="248"/>
      <c r="N99" s="248"/>
      <c r="O99" s="248"/>
      <c r="Q99" s="5"/>
      <c r="R99" s="5"/>
      <c r="S99" s="5"/>
      <c r="T99" s="5"/>
      <c r="U99" s="5"/>
    </row>
    <row r="100" spans="2:21" s="5" customFormat="1">
      <c r="B100" s="41"/>
      <c r="C100" s="257"/>
      <c r="D100" s="248"/>
      <c r="E100" s="248"/>
      <c r="F100" s="248"/>
      <c r="G100" s="248"/>
      <c r="H100" s="248"/>
      <c r="I100" s="259"/>
      <c r="O100" s="248"/>
      <c r="P100" s="39"/>
    </row>
    <row r="101" spans="2:21">
      <c r="B101" s="41"/>
      <c r="C101" s="5"/>
      <c r="D101" s="5"/>
      <c r="E101" s="5"/>
      <c r="F101" s="5"/>
      <c r="G101" s="5"/>
      <c r="H101" s="5"/>
      <c r="I101" s="247"/>
      <c r="J101" s="259"/>
      <c r="K101" s="259"/>
      <c r="L101" s="259"/>
      <c r="M101" s="259"/>
      <c r="N101" s="259"/>
      <c r="O101" s="5"/>
      <c r="Q101" s="5"/>
      <c r="R101" s="5"/>
      <c r="S101" s="5"/>
      <c r="T101" s="5"/>
      <c r="U101" s="5"/>
    </row>
    <row r="102" spans="2:21">
      <c r="B102" s="5"/>
      <c r="C102" s="259"/>
      <c r="D102" s="259"/>
      <c r="E102" s="259"/>
      <c r="F102" s="259"/>
      <c r="G102" s="259"/>
      <c r="H102" s="259"/>
      <c r="I102" s="5"/>
      <c r="J102" s="259"/>
      <c r="K102" s="259"/>
      <c r="L102" s="259"/>
      <c r="M102" s="259"/>
      <c r="N102" s="259"/>
      <c r="O102" s="5"/>
      <c r="P102" s="5"/>
      <c r="Q102" s="5"/>
      <c r="R102" s="5"/>
      <c r="S102" s="5"/>
      <c r="T102" s="5"/>
      <c r="U102" s="5"/>
    </row>
    <row r="103" spans="2:21">
      <c r="B103" s="5"/>
      <c r="C103" s="259"/>
      <c r="D103" s="259"/>
      <c r="E103" s="259"/>
      <c r="F103" s="259"/>
      <c r="G103" s="259"/>
      <c r="H103" s="259"/>
      <c r="I103" s="247"/>
      <c r="J103" s="247"/>
      <c r="K103" s="247"/>
      <c r="L103" s="247"/>
      <c r="M103" s="247"/>
      <c r="N103" s="247"/>
      <c r="O103" s="5"/>
      <c r="Q103" s="5"/>
      <c r="R103" s="5"/>
      <c r="S103" s="5"/>
      <c r="T103" s="5"/>
      <c r="U103" s="5"/>
    </row>
    <row r="104" spans="2:21" s="5" customFormat="1">
      <c r="C104" s="247"/>
      <c r="D104" s="247"/>
      <c r="E104" s="247"/>
      <c r="F104" s="247"/>
      <c r="G104" s="247"/>
      <c r="H104" s="247"/>
      <c r="P104" s="39"/>
    </row>
    <row r="105" spans="2:21" s="5" customFormat="1">
      <c r="I105" s="259"/>
      <c r="J105" s="247"/>
      <c r="K105" s="247"/>
      <c r="L105" s="247"/>
      <c r="M105" s="247"/>
      <c r="N105" s="247"/>
      <c r="P105" s="39"/>
    </row>
    <row r="106" spans="2:21">
      <c r="B106" s="5"/>
      <c r="C106" s="259"/>
      <c r="D106" s="247"/>
      <c r="E106" s="247"/>
      <c r="F106" s="247"/>
      <c r="G106" s="247"/>
      <c r="H106" s="247"/>
      <c r="I106" s="247"/>
      <c r="J106" s="5"/>
      <c r="K106" s="5"/>
      <c r="L106" s="5"/>
      <c r="M106" s="5"/>
      <c r="N106" s="5"/>
      <c r="O106" s="5"/>
      <c r="P106" s="5"/>
      <c r="Q106" s="5"/>
      <c r="R106" s="5"/>
      <c r="S106" s="5"/>
      <c r="T106" s="5"/>
      <c r="U106" s="5"/>
    </row>
    <row r="107" spans="2:21">
      <c r="B107" s="5"/>
      <c r="C107" s="259"/>
      <c r="D107" s="5"/>
      <c r="E107" s="5"/>
      <c r="F107" s="5"/>
      <c r="G107" s="5"/>
      <c r="H107" s="5"/>
      <c r="I107" s="249"/>
      <c r="J107" s="259"/>
      <c r="K107" s="259"/>
      <c r="L107" s="259"/>
      <c r="M107" s="259"/>
      <c r="N107" s="259"/>
      <c r="O107" s="5"/>
      <c r="P107" s="5"/>
      <c r="Q107" s="5"/>
      <c r="R107" s="5"/>
      <c r="S107" s="5"/>
      <c r="T107" s="5"/>
      <c r="U107" s="5"/>
    </row>
    <row r="108" spans="2:21">
      <c r="B108" s="5"/>
      <c r="C108" s="259"/>
      <c r="D108" s="259"/>
      <c r="E108" s="259"/>
      <c r="F108" s="259"/>
      <c r="G108" s="259"/>
      <c r="H108" s="259"/>
      <c r="I108" s="249"/>
      <c r="J108" s="247"/>
      <c r="K108" s="247"/>
      <c r="L108" s="247"/>
      <c r="M108" s="247"/>
      <c r="N108" s="247"/>
      <c r="O108" s="5"/>
      <c r="Q108" s="5"/>
      <c r="R108" s="5"/>
      <c r="S108" s="5"/>
      <c r="T108" s="5"/>
      <c r="U108" s="5"/>
    </row>
    <row r="109" spans="2:21">
      <c r="B109" s="5"/>
      <c r="C109" s="247"/>
      <c r="D109" s="247"/>
      <c r="E109" s="247"/>
      <c r="F109" s="247"/>
      <c r="G109" s="247"/>
      <c r="H109" s="247"/>
      <c r="I109" s="247"/>
      <c r="J109" s="249"/>
      <c r="K109" s="249"/>
      <c r="L109" s="249"/>
      <c r="M109" s="249"/>
      <c r="N109" s="249"/>
      <c r="O109" s="5"/>
      <c r="Q109" s="5"/>
      <c r="R109" s="5"/>
      <c r="S109" s="5"/>
      <c r="T109" s="5"/>
      <c r="U109" s="5"/>
    </row>
    <row r="110" spans="2:21">
      <c r="B110" s="41"/>
      <c r="C110" s="249"/>
      <c r="D110" s="249"/>
      <c r="E110" s="249"/>
      <c r="F110" s="249"/>
      <c r="G110" s="249"/>
      <c r="H110" s="249"/>
      <c r="I110" s="5"/>
      <c r="J110" s="249"/>
      <c r="K110" s="249"/>
      <c r="L110" s="249"/>
      <c r="M110" s="249"/>
      <c r="N110" s="249"/>
      <c r="O110" s="5"/>
      <c r="Q110" s="5"/>
      <c r="R110" s="5"/>
      <c r="S110" s="5"/>
      <c r="T110" s="5"/>
      <c r="U110" s="5"/>
    </row>
    <row r="111" spans="2:21">
      <c r="B111" s="5"/>
      <c r="C111" s="249"/>
      <c r="D111" s="249"/>
      <c r="E111" s="249"/>
      <c r="F111" s="249"/>
      <c r="G111" s="249"/>
      <c r="H111" s="249"/>
      <c r="I111" s="5"/>
      <c r="J111" s="247"/>
      <c r="K111" s="247"/>
      <c r="L111" s="247"/>
      <c r="M111" s="247"/>
      <c r="N111" s="247"/>
      <c r="O111" s="5"/>
      <c r="Q111" s="5"/>
      <c r="R111" s="5"/>
      <c r="S111" s="5"/>
      <c r="T111" s="5"/>
      <c r="U111" s="5"/>
    </row>
    <row r="112" spans="2:21">
      <c r="B112" s="5"/>
      <c r="C112" s="247"/>
      <c r="D112" s="247"/>
      <c r="E112" s="247"/>
      <c r="F112" s="247"/>
      <c r="G112" s="247"/>
      <c r="H112" s="247"/>
      <c r="I112" s="5"/>
      <c r="J112" s="5"/>
      <c r="K112" s="5"/>
      <c r="L112" s="5"/>
      <c r="M112" s="5"/>
      <c r="N112" s="5"/>
      <c r="O112" s="5"/>
      <c r="Q112" s="5"/>
      <c r="R112" s="5"/>
      <c r="S112" s="5"/>
      <c r="T112" s="5"/>
      <c r="U112" s="5"/>
    </row>
    <row r="113" spans="2:21">
      <c r="B113" s="5"/>
      <c r="C113" s="5"/>
      <c r="D113" s="5"/>
      <c r="E113" s="5"/>
      <c r="F113" s="5"/>
      <c r="G113" s="5"/>
      <c r="H113" s="5"/>
      <c r="I113" s="5"/>
      <c r="J113" s="5"/>
      <c r="K113" s="5"/>
      <c r="L113" s="5"/>
      <c r="M113" s="5"/>
      <c r="N113" s="5"/>
      <c r="O113" s="5"/>
      <c r="Q113" s="5"/>
      <c r="R113" s="5"/>
      <c r="S113" s="5"/>
      <c r="T113" s="5"/>
      <c r="U113" s="5"/>
    </row>
    <row r="114" spans="2:21">
      <c r="B114" s="5"/>
      <c r="C114" s="5"/>
      <c r="D114" s="5"/>
      <c r="E114" s="5"/>
      <c r="F114" s="5"/>
      <c r="G114" s="5"/>
      <c r="H114" s="5"/>
      <c r="I114" s="49"/>
      <c r="J114" s="5"/>
      <c r="K114" s="5"/>
      <c r="L114" s="5"/>
      <c r="M114" s="5"/>
      <c r="N114" s="5"/>
      <c r="O114" s="5"/>
      <c r="Q114" s="41"/>
      <c r="R114" s="5"/>
      <c r="S114" s="5"/>
      <c r="T114" s="5"/>
      <c r="U114" s="5"/>
    </row>
    <row r="115" spans="2:21">
      <c r="B115" s="5"/>
      <c r="C115" s="5"/>
      <c r="D115" s="5"/>
      <c r="E115" s="5"/>
      <c r="F115" s="5"/>
      <c r="G115" s="5"/>
      <c r="H115" s="5"/>
      <c r="I115" s="5"/>
      <c r="J115" s="5"/>
      <c r="K115" s="5"/>
      <c r="L115" s="5"/>
      <c r="M115" s="5"/>
      <c r="N115" s="5"/>
      <c r="O115" s="5"/>
      <c r="Q115" s="5"/>
      <c r="R115" s="5"/>
      <c r="S115" s="5"/>
      <c r="T115" s="5"/>
      <c r="U115" s="5"/>
    </row>
    <row r="116" spans="2:21">
      <c r="B116" s="5"/>
      <c r="C116" s="5"/>
      <c r="D116" s="5"/>
      <c r="E116" s="5"/>
      <c r="F116" s="5"/>
      <c r="G116" s="5"/>
      <c r="H116" s="5"/>
      <c r="I116" s="254"/>
      <c r="J116" s="49"/>
      <c r="K116" s="49"/>
      <c r="L116" s="49"/>
      <c r="M116" s="49"/>
      <c r="N116" s="49"/>
      <c r="O116" s="49"/>
      <c r="Q116" s="5"/>
      <c r="R116" s="5"/>
      <c r="S116" s="5"/>
      <c r="T116" s="5"/>
      <c r="U116" s="5"/>
    </row>
    <row r="117" spans="2:21">
      <c r="B117" s="41"/>
      <c r="C117" s="49"/>
      <c r="D117" s="49"/>
      <c r="E117" s="49"/>
      <c r="F117" s="49"/>
      <c r="G117" s="49"/>
      <c r="H117" s="49"/>
      <c r="I117" s="249"/>
      <c r="J117" s="5"/>
      <c r="K117" s="5"/>
      <c r="L117" s="5"/>
      <c r="M117" s="5"/>
      <c r="N117" s="5"/>
      <c r="O117" s="5"/>
      <c r="Q117" s="5"/>
      <c r="R117" s="5"/>
      <c r="S117" s="5"/>
      <c r="T117" s="5"/>
      <c r="U117" s="5"/>
    </row>
    <row r="118" spans="2:21">
      <c r="B118" s="5"/>
      <c r="C118" s="5"/>
      <c r="D118" s="5"/>
      <c r="E118" s="5"/>
      <c r="F118" s="5"/>
      <c r="G118" s="5"/>
      <c r="H118" s="5"/>
      <c r="I118" s="254"/>
      <c r="J118" s="254"/>
      <c r="K118" s="254"/>
      <c r="L118" s="254"/>
      <c r="M118" s="254"/>
      <c r="N118" s="254"/>
      <c r="O118" s="248"/>
      <c r="Q118" s="5"/>
      <c r="R118" s="5"/>
      <c r="S118" s="5"/>
      <c r="T118" s="5"/>
      <c r="U118" s="5"/>
    </row>
    <row r="119" spans="2:21">
      <c r="B119" s="41"/>
      <c r="C119" s="254"/>
      <c r="D119" s="254"/>
      <c r="E119" s="254"/>
      <c r="F119" s="254"/>
      <c r="G119" s="254"/>
      <c r="H119" s="254"/>
      <c r="I119" s="254"/>
      <c r="J119" s="249"/>
      <c r="K119" s="249"/>
      <c r="L119" s="249"/>
      <c r="M119" s="249"/>
      <c r="N119" s="249"/>
      <c r="O119" s="248"/>
      <c r="Q119" s="5"/>
      <c r="R119" s="5"/>
      <c r="S119" s="5"/>
      <c r="T119" s="5"/>
      <c r="U119" s="5"/>
    </row>
    <row r="120" spans="2:21">
      <c r="B120" s="41"/>
      <c r="C120" s="254"/>
      <c r="D120" s="249"/>
      <c r="E120" s="249"/>
      <c r="F120" s="249"/>
      <c r="G120" s="249"/>
      <c r="H120" s="249"/>
      <c r="I120" s="254"/>
      <c r="J120" s="254"/>
      <c r="K120" s="254"/>
      <c r="L120" s="254"/>
      <c r="M120" s="254"/>
      <c r="N120" s="254"/>
      <c r="O120" s="248"/>
      <c r="Q120" s="5"/>
      <c r="R120" s="5"/>
      <c r="S120" s="5"/>
      <c r="T120" s="5"/>
      <c r="U120" s="5"/>
    </row>
    <row r="121" spans="2:21">
      <c r="B121" s="41"/>
      <c r="C121" s="254"/>
      <c r="D121" s="254"/>
      <c r="E121" s="254"/>
      <c r="F121" s="254"/>
      <c r="G121" s="254"/>
      <c r="H121" s="254"/>
      <c r="I121" s="254"/>
      <c r="J121" s="254"/>
      <c r="K121" s="254"/>
      <c r="L121" s="254"/>
      <c r="M121" s="254"/>
      <c r="N121" s="254"/>
      <c r="O121" s="248"/>
      <c r="Q121" s="5"/>
      <c r="R121" s="5"/>
      <c r="S121" s="5"/>
      <c r="T121" s="5"/>
      <c r="U121" s="5"/>
    </row>
    <row r="122" spans="2:21">
      <c r="B122" s="41"/>
      <c r="C122" s="254"/>
      <c r="D122" s="254"/>
      <c r="E122" s="254"/>
      <c r="F122" s="254"/>
      <c r="G122" s="254"/>
      <c r="H122" s="254"/>
      <c r="I122" s="254"/>
      <c r="J122" s="254"/>
      <c r="K122" s="254"/>
      <c r="L122" s="254"/>
      <c r="M122" s="254"/>
      <c r="N122" s="254"/>
      <c r="O122" s="248"/>
      <c r="Q122" s="5"/>
      <c r="R122" s="5"/>
      <c r="S122" s="5"/>
      <c r="T122" s="5"/>
      <c r="U122" s="5"/>
    </row>
    <row r="123" spans="2:21">
      <c r="B123" s="41"/>
      <c r="C123" s="254"/>
      <c r="D123" s="254"/>
      <c r="E123" s="254"/>
      <c r="F123" s="254"/>
      <c r="G123" s="254"/>
      <c r="H123" s="254"/>
      <c r="I123" s="254"/>
      <c r="J123" s="254"/>
      <c r="K123" s="254"/>
      <c r="L123" s="254"/>
      <c r="M123" s="254"/>
      <c r="N123" s="254"/>
      <c r="O123" s="248"/>
      <c r="Q123" s="5"/>
      <c r="R123" s="5"/>
      <c r="S123" s="5"/>
      <c r="T123" s="5"/>
      <c r="U123" s="5"/>
    </row>
    <row r="124" spans="2:21">
      <c r="B124" s="41"/>
      <c r="C124" s="254"/>
      <c r="D124" s="254"/>
      <c r="E124" s="254"/>
      <c r="F124" s="254"/>
      <c r="G124" s="254"/>
      <c r="H124" s="254"/>
      <c r="I124" s="254"/>
      <c r="J124" s="254"/>
      <c r="K124" s="254"/>
      <c r="L124" s="254"/>
      <c r="M124" s="254"/>
      <c r="N124" s="254"/>
      <c r="O124" s="5"/>
      <c r="Q124" s="5"/>
      <c r="R124" s="5"/>
      <c r="S124" s="5"/>
      <c r="T124" s="5"/>
      <c r="U124" s="5"/>
    </row>
    <row r="125" spans="2:21">
      <c r="B125" s="41"/>
      <c r="C125" s="254"/>
      <c r="D125" s="254"/>
      <c r="E125" s="254"/>
      <c r="F125" s="254"/>
      <c r="G125" s="254"/>
      <c r="H125" s="254"/>
      <c r="I125" s="254"/>
      <c r="J125" s="254"/>
      <c r="K125" s="254"/>
      <c r="L125" s="254"/>
      <c r="M125" s="254"/>
      <c r="N125" s="254"/>
      <c r="O125" s="5"/>
      <c r="Q125" s="5"/>
      <c r="R125" s="5"/>
      <c r="S125" s="5"/>
      <c r="T125" s="5"/>
      <c r="U125" s="5"/>
    </row>
    <row r="126" spans="2:21">
      <c r="B126" s="41"/>
      <c r="C126" s="254"/>
      <c r="D126" s="254"/>
      <c r="E126" s="254"/>
      <c r="F126" s="254"/>
      <c r="G126" s="254"/>
      <c r="H126" s="254"/>
      <c r="I126" s="18"/>
      <c r="J126" s="254"/>
      <c r="K126" s="254"/>
      <c r="L126" s="254"/>
      <c r="M126" s="254"/>
      <c r="N126" s="254"/>
      <c r="O126" s="5"/>
      <c r="Q126" s="5"/>
      <c r="R126" s="5"/>
      <c r="S126" s="5"/>
      <c r="T126" s="5"/>
      <c r="U126" s="5"/>
    </row>
    <row r="127" spans="2:21">
      <c r="B127" s="41"/>
      <c r="C127" s="254"/>
      <c r="D127" s="254"/>
      <c r="E127" s="254"/>
      <c r="F127" s="254"/>
      <c r="G127" s="254"/>
      <c r="H127" s="254"/>
      <c r="I127" s="5"/>
      <c r="J127" s="254"/>
      <c r="K127" s="254"/>
      <c r="L127" s="254"/>
      <c r="M127" s="254"/>
      <c r="N127" s="254"/>
      <c r="O127" s="5"/>
      <c r="Q127" s="5"/>
      <c r="R127" s="5"/>
      <c r="S127" s="5"/>
      <c r="T127" s="5"/>
      <c r="U127" s="5"/>
    </row>
    <row r="128" spans="2:21">
      <c r="B128" s="41"/>
      <c r="C128" s="254"/>
      <c r="D128" s="254"/>
      <c r="E128" s="254"/>
      <c r="F128" s="254"/>
      <c r="G128" s="254"/>
      <c r="H128" s="254"/>
      <c r="I128" s="254"/>
      <c r="J128" s="18"/>
      <c r="K128" s="18"/>
      <c r="L128" s="18"/>
      <c r="M128" s="18"/>
      <c r="N128" s="18"/>
      <c r="O128" s="5"/>
      <c r="Q128" s="5"/>
      <c r="R128" s="5"/>
      <c r="S128" s="5"/>
      <c r="T128" s="5"/>
      <c r="U128" s="5"/>
    </row>
    <row r="129" spans="2:27">
      <c r="B129" s="5"/>
      <c r="C129" s="5"/>
      <c r="D129" s="18"/>
      <c r="E129" s="18"/>
      <c r="F129" s="18"/>
      <c r="G129" s="18"/>
      <c r="H129" s="18"/>
      <c r="I129" s="18"/>
      <c r="J129" s="5"/>
      <c r="K129" s="5"/>
      <c r="L129" s="5"/>
      <c r="M129" s="5"/>
      <c r="N129" s="5"/>
      <c r="O129" s="5"/>
      <c r="Q129" s="5"/>
      <c r="R129" s="5"/>
      <c r="S129" s="5"/>
      <c r="T129" s="5"/>
      <c r="U129" s="5"/>
    </row>
    <row r="130" spans="2:27">
      <c r="B130" s="5"/>
      <c r="C130" s="5"/>
      <c r="D130" s="5"/>
      <c r="E130" s="5"/>
      <c r="F130" s="5"/>
      <c r="G130" s="5"/>
      <c r="H130" s="5"/>
      <c r="I130" s="5"/>
      <c r="J130" s="254"/>
      <c r="K130" s="254"/>
      <c r="L130" s="254"/>
      <c r="M130" s="254"/>
      <c r="N130" s="254"/>
      <c r="O130" s="5"/>
      <c r="Q130" s="5"/>
      <c r="R130" s="5"/>
      <c r="S130" s="5"/>
      <c r="T130" s="5"/>
      <c r="U130" s="5"/>
    </row>
    <row r="131" spans="2:27">
      <c r="B131" s="41"/>
      <c r="C131" s="254"/>
      <c r="D131" s="254"/>
      <c r="E131" s="254"/>
      <c r="F131" s="254"/>
      <c r="G131" s="254"/>
      <c r="H131" s="254"/>
      <c r="I131" s="5"/>
      <c r="J131" s="18"/>
      <c r="K131" s="18"/>
      <c r="L131" s="18"/>
      <c r="M131" s="18"/>
      <c r="N131" s="18"/>
      <c r="O131" s="5"/>
      <c r="Q131" s="5"/>
      <c r="R131" s="5"/>
      <c r="S131" s="5"/>
      <c r="T131" s="5"/>
      <c r="U131" s="5"/>
    </row>
    <row r="132" spans="2:27">
      <c r="B132" s="5"/>
      <c r="C132" s="259"/>
      <c r="D132" s="18"/>
      <c r="E132" s="18"/>
      <c r="F132" s="18"/>
      <c r="G132" s="18"/>
      <c r="H132" s="18"/>
      <c r="I132" s="17"/>
      <c r="J132" s="5"/>
      <c r="K132" s="5"/>
      <c r="L132" s="5"/>
      <c r="M132" s="5"/>
      <c r="N132" s="5"/>
      <c r="O132" s="5"/>
      <c r="Q132" s="5"/>
      <c r="R132" s="5"/>
      <c r="S132" s="5"/>
      <c r="T132" s="5"/>
      <c r="U132" s="5"/>
    </row>
    <row r="133" spans="2:27">
      <c r="B133" s="5"/>
      <c r="C133" s="5"/>
      <c r="D133" s="5"/>
      <c r="E133" s="5"/>
      <c r="F133" s="5"/>
      <c r="G133" s="5"/>
      <c r="H133" s="5"/>
      <c r="I133" s="17"/>
      <c r="J133" s="5"/>
      <c r="K133" s="5"/>
      <c r="L133" s="5"/>
      <c r="M133" s="5"/>
      <c r="N133" s="5"/>
      <c r="O133" s="5"/>
      <c r="Q133" s="5"/>
      <c r="R133" s="5"/>
      <c r="S133" s="5"/>
      <c r="T133" s="5"/>
      <c r="U133" s="5"/>
    </row>
    <row r="134" spans="2:27">
      <c r="B134" s="41"/>
      <c r="C134" s="5"/>
      <c r="D134" s="5"/>
      <c r="E134" s="5"/>
      <c r="F134" s="5"/>
      <c r="G134" s="5"/>
      <c r="H134" s="5"/>
      <c r="I134" s="17"/>
      <c r="J134" s="17"/>
      <c r="K134" s="17"/>
      <c r="L134" s="17"/>
      <c r="M134" s="17"/>
      <c r="N134" s="17"/>
      <c r="O134" s="5"/>
      <c r="Q134" s="41"/>
      <c r="R134" s="5"/>
      <c r="S134" s="5"/>
      <c r="T134" s="5"/>
      <c r="U134" s="5"/>
    </row>
    <row r="135" spans="2:27">
      <c r="B135" s="5"/>
      <c r="C135" s="17"/>
      <c r="D135" s="17"/>
      <c r="E135" s="17"/>
      <c r="F135" s="17"/>
      <c r="G135" s="17"/>
      <c r="H135" s="17"/>
      <c r="I135" s="17"/>
      <c r="J135" s="17"/>
      <c r="K135" s="17"/>
      <c r="L135" s="17"/>
      <c r="M135" s="17"/>
      <c r="N135" s="17"/>
      <c r="O135" s="5"/>
      <c r="Q135" s="5"/>
      <c r="R135" s="5"/>
      <c r="S135" s="5"/>
      <c r="T135" s="5"/>
      <c r="U135" s="5"/>
      <c r="X135" s="304"/>
    </row>
    <row r="136" spans="2:27">
      <c r="B136" s="5"/>
      <c r="C136" s="17"/>
      <c r="D136" s="17"/>
      <c r="E136" s="17"/>
      <c r="F136" s="17"/>
      <c r="G136" s="17"/>
      <c r="H136" s="17"/>
      <c r="I136" s="17"/>
      <c r="J136" s="17"/>
      <c r="K136" s="17"/>
      <c r="L136" s="17"/>
      <c r="M136" s="17"/>
      <c r="N136" s="17"/>
      <c r="O136" s="5"/>
      <c r="Q136" s="5"/>
      <c r="R136" s="5"/>
      <c r="S136" s="5"/>
      <c r="T136" s="5"/>
      <c r="U136" s="5"/>
      <c r="X136" s="10"/>
      <c r="Y136" s="304"/>
      <c r="Z136" s="304"/>
      <c r="AA136" s="304"/>
    </row>
    <row r="137" spans="2:27">
      <c r="B137" s="5"/>
      <c r="C137" s="5"/>
      <c r="D137" s="17"/>
      <c r="E137" s="17"/>
      <c r="F137" s="17"/>
      <c r="G137" s="17"/>
      <c r="H137" s="17"/>
      <c r="I137" s="17"/>
      <c r="J137" s="17"/>
      <c r="K137" s="17"/>
      <c r="L137" s="17"/>
      <c r="M137" s="17"/>
      <c r="N137" s="17"/>
      <c r="O137" s="5"/>
      <c r="Q137" s="5"/>
      <c r="R137" s="5"/>
      <c r="S137" s="5"/>
      <c r="T137" s="5"/>
      <c r="U137" s="5"/>
      <c r="Y137" s="10"/>
      <c r="Z137" s="10"/>
      <c r="AA137" s="10"/>
    </row>
    <row r="138" spans="2:27">
      <c r="B138" s="5"/>
      <c r="C138" s="5"/>
      <c r="D138" s="17"/>
      <c r="E138" s="17"/>
      <c r="F138" s="17"/>
      <c r="G138" s="17"/>
      <c r="H138" s="17"/>
      <c r="I138" s="5"/>
      <c r="J138" s="17"/>
      <c r="K138" s="17"/>
      <c r="L138" s="17"/>
      <c r="M138" s="17"/>
      <c r="N138" s="17"/>
      <c r="O138" s="5"/>
      <c r="Q138" s="5"/>
      <c r="R138" s="5"/>
      <c r="S138" s="5"/>
      <c r="T138" s="5"/>
      <c r="U138" s="5"/>
    </row>
    <row r="139" spans="2:27">
      <c r="B139" s="5"/>
      <c r="C139" s="5"/>
      <c r="D139" s="17"/>
      <c r="E139" s="17"/>
      <c r="F139" s="17"/>
      <c r="G139" s="17"/>
      <c r="H139" s="17"/>
      <c r="I139" s="5"/>
      <c r="J139" s="17"/>
      <c r="K139" s="17"/>
      <c r="L139" s="17"/>
      <c r="M139" s="17"/>
      <c r="N139" s="17"/>
      <c r="O139" s="5"/>
      <c r="Q139" s="5"/>
      <c r="R139" s="5"/>
      <c r="S139" s="5"/>
      <c r="T139" s="5"/>
      <c r="U139" s="5"/>
    </row>
    <row r="140" spans="2:27">
      <c r="B140" s="5"/>
      <c r="C140" s="17"/>
      <c r="D140" s="17"/>
      <c r="E140" s="17"/>
      <c r="F140" s="17"/>
      <c r="G140" s="17"/>
      <c r="H140" s="17"/>
      <c r="I140" s="5"/>
      <c r="J140" s="5"/>
      <c r="K140" s="5"/>
      <c r="L140" s="5"/>
      <c r="M140" s="5"/>
      <c r="N140" s="5"/>
      <c r="O140" s="5"/>
      <c r="Q140" s="5"/>
      <c r="R140" s="5"/>
      <c r="S140" s="5"/>
      <c r="T140" s="5"/>
      <c r="U140" s="5"/>
    </row>
    <row r="141" spans="2:27">
      <c r="B141" s="5"/>
      <c r="C141" s="5"/>
      <c r="D141" s="5"/>
      <c r="E141" s="5"/>
      <c r="F141" s="5"/>
      <c r="G141" s="5"/>
      <c r="H141" s="5"/>
      <c r="I141" s="5"/>
      <c r="J141" s="5"/>
      <c r="K141" s="5"/>
      <c r="L141" s="5"/>
      <c r="M141" s="5"/>
      <c r="N141" s="5"/>
      <c r="O141" s="5"/>
      <c r="Q141" s="5"/>
      <c r="R141" s="5"/>
      <c r="S141" s="5"/>
      <c r="T141" s="5"/>
      <c r="U141" s="5"/>
    </row>
    <row r="142" spans="2:27">
      <c r="B142" s="5"/>
      <c r="C142" s="5"/>
      <c r="D142" s="5"/>
      <c r="E142" s="5"/>
      <c r="F142" s="5"/>
      <c r="G142" s="5"/>
      <c r="H142" s="5"/>
      <c r="I142" s="5"/>
      <c r="J142" s="5"/>
      <c r="K142" s="5"/>
      <c r="L142" s="5"/>
      <c r="M142" s="5"/>
      <c r="N142" s="5"/>
      <c r="O142" s="5"/>
      <c r="Q142" s="5"/>
      <c r="R142" s="5"/>
      <c r="S142" s="5"/>
      <c r="T142" s="5"/>
      <c r="U142" s="5"/>
    </row>
    <row r="143" spans="2:27">
      <c r="B143" s="5"/>
      <c r="C143" s="5"/>
      <c r="D143" s="5"/>
      <c r="E143" s="5"/>
      <c r="F143" s="5"/>
      <c r="G143" s="5"/>
      <c r="H143" s="5"/>
      <c r="I143" s="5"/>
      <c r="J143" s="5"/>
      <c r="K143" s="5"/>
      <c r="L143" s="5"/>
      <c r="M143" s="5"/>
      <c r="N143" s="5"/>
      <c r="O143" s="5"/>
      <c r="Q143" s="5"/>
      <c r="R143" s="5"/>
      <c r="S143" s="5"/>
      <c r="T143" s="5"/>
      <c r="U143" s="5"/>
    </row>
    <row r="144" spans="2:27">
      <c r="B144" s="5"/>
      <c r="C144" s="5"/>
      <c r="D144" s="5"/>
      <c r="E144" s="5"/>
      <c r="F144" s="5"/>
      <c r="G144" s="5"/>
      <c r="H144" s="5"/>
      <c r="I144" s="5"/>
      <c r="J144" s="5"/>
      <c r="K144" s="5"/>
      <c r="L144" s="5"/>
      <c r="M144" s="5"/>
      <c r="N144" s="5"/>
      <c r="O144" s="5"/>
      <c r="Q144" s="5"/>
      <c r="R144" s="5"/>
      <c r="S144" s="5"/>
      <c r="T144" s="5"/>
      <c r="U144" s="5"/>
    </row>
    <row r="145" spans="2:21">
      <c r="B145" s="5"/>
      <c r="C145" s="5"/>
      <c r="D145" s="5"/>
      <c r="E145" s="5"/>
      <c r="F145" s="5"/>
      <c r="G145" s="5"/>
      <c r="H145" s="5"/>
      <c r="I145" s="5"/>
      <c r="J145" s="5"/>
      <c r="K145" s="5"/>
      <c r="L145" s="5"/>
      <c r="M145" s="5"/>
      <c r="N145" s="5"/>
      <c r="O145" s="5"/>
      <c r="Q145" s="5"/>
      <c r="R145" s="5"/>
      <c r="S145" s="5"/>
      <c r="T145" s="5"/>
      <c r="U145" s="5"/>
    </row>
    <row r="146" spans="2:21">
      <c r="B146" s="5"/>
      <c r="C146" s="5"/>
      <c r="D146" s="5"/>
      <c r="E146" s="5"/>
      <c r="F146" s="5"/>
      <c r="G146" s="5"/>
      <c r="H146" s="5"/>
      <c r="I146" s="5"/>
      <c r="J146" s="5"/>
      <c r="K146" s="5"/>
      <c r="L146" s="5"/>
      <c r="M146" s="5"/>
      <c r="N146" s="5"/>
      <c r="O146" s="5"/>
      <c r="Q146" s="5"/>
      <c r="R146" s="5"/>
      <c r="S146" s="5"/>
      <c r="T146" s="5"/>
      <c r="U146" s="5"/>
    </row>
    <row r="147" spans="2:21">
      <c r="B147" s="5"/>
      <c r="C147" s="5"/>
      <c r="D147" s="5"/>
      <c r="E147" s="5"/>
      <c r="F147" s="5"/>
      <c r="G147" s="5"/>
      <c r="H147" s="5"/>
      <c r="I147" s="5"/>
      <c r="J147" s="5"/>
      <c r="K147" s="5"/>
      <c r="L147" s="5"/>
      <c r="M147" s="5"/>
      <c r="N147" s="5"/>
      <c r="O147" s="5"/>
      <c r="Q147" s="5"/>
      <c r="R147" s="5"/>
      <c r="S147" s="5"/>
      <c r="T147" s="5"/>
      <c r="U147" s="5"/>
    </row>
    <row r="148" spans="2:21">
      <c r="B148" s="5"/>
      <c r="C148" s="5"/>
      <c r="D148" s="5"/>
      <c r="E148" s="5"/>
      <c r="F148" s="5"/>
      <c r="G148" s="5"/>
      <c r="H148" s="5"/>
      <c r="J148" s="5"/>
      <c r="K148" s="5"/>
      <c r="L148" s="5"/>
      <c r="M148" s="5"/>
      <c r="N148" s="5"/>
      <c r="O148" s="5"/>
      <c r="Q148" s="5"/>
      <c r="R148" s="5"/>
      <c r="S148" s="5"/>
      <c r="T148" s="5"/>
      <c r="U148" s="5"/>
    </row>
    <row r="149" spans="2:21">
      <c r="B149" s="5"/>
      <c r="C149" s="5"/>
      <c r="D149" s="5"/>
      <c r="E149" s="5"/>
      <c r="F149" s="5"/>
      <c r="G149" s="5"/>
      <c r="H149" s="5"/>
      <c r="J149" s="5"/>
      <c r="K149" s="5"/>
      <c r="L149" s="5"/>
      <c r="M149" s="5"/>
      <c r="N149" s="5"/>
      <c r="O149" s="5"/>
      <c r="Q149" s="5"/>
      <c r="R149" s="5"/>
      <c r="S149" s="5"/>
      <c r="T149" s="5"/>
      <c r="U149" s="5"/>
    </row>
    <row r="150" spans="2:21">
      <c r="B150" s="5"/>
      <c r="C150" s="5"/>
      <c r="D150" s="5"/>
      <c r="E150" s="5"/>
      <c r="F150" s="5"/>
      <c r="G150" s="5"/>
      <c r="H150" s="5"/>
      <c r="Q150" s="5"/>
      <c r="R150" s="5"/>
      <c r="S150" s="5"/>
      <c r="T150" s="5"/>
      <c r="U150" s="5"/>
    </row>
    <row r="151" spans="2:21">
      <c r="Q151" s="5"/>
      <c r="R151" s="5"/>
      <c r="S151" s="5"/>
      <c r="T151" s="5"/>
      <c r="U151" s="5"/>
    </row>
    <row r="152" spans="2:21">
      <c r="Q152" s="5"/>
      <c r="R152" s="5"/>
      <c r="S152" s="5"/>
      <c r="T152" s="5"/>
      <c r="U152" s="5"/>
    </row>
    <row r="153" spans="2:21">
      <c r="C153" s="263"/>
      <c r="Q153" s="5"/>
      <c r="R153" s="5"/>
      <c r="S153" s="5"/>
      <c r="T153" s="5"/>
      <c r="U153" s="5"/>
    </row>
    <row r="154" spans="2:21">
      <c r="Q154" s="5"/>
      <c r="R154" s="5"/>
      <c r="S154" s="5"/>
      <c r="T154" s="5"/>
      <c r="U154" s="5"/>
    </row>
    <row r="155" spans="2:21">
      <c r="Q155" s="5"/>
      <c r="R155" s="5"/>
      <c r="S155" s="5"/>
      <c r="T155" s="5"/>
      <c r="U155" s="5"/>
    </row>
    <row r="156" spans="2:21">
      <c r="Q156" s="5"/>
      <c r="R156" s="5"/>
      <c r="S156" s="5"/>
      <c r="T156" s="5"/>
      <c r="U156" s="5"/>
    </row>
    <row r="157" spans="2:21">
      <c r="Q157" s="5"/>
      <c r="R157" s="5"/>
      <c r="S157" s="5"/>
      <c r="T157" s="5"/>
      <c r="U157" s="5"/>
    </row>
    <row r="158" spans="2:21">
      <c r="Q158" s="5"/>
      <c r="R158" s="5"/>
      <c r="S158" s="5"/>
      <c r="T158" s="5"/>
      <c r="U158" s="5"/>
    </row>
    <row r="159" spans="2:21">
      <c r="Q159" s="5"/>
      <c r="R159" s="5"/>
      <c r="S159" s="5"/>
      <c r="T159" s="5"/>
      <c r="U159" s="5"/>
    </row>
    <row r="160" spans="2:21">
      <c r="Q160" s="5"/>
      <c r="R160" s="5"/>
      <c r="S160" s="5"/>
      <c r="T160" s="5"/>
      <c r="U160" s="5"/>
    </row>
    <row r="161" spans="17:21">
      <c r="Q161" s="5"/>
      <c r="R161" s="5"/>
      <c r="S161" s="5"/>
      <c r="T161" s="5"/>
      <c r="U161" s="5"/>
    </row>
    <row r="162" spans="17:21">
      <c r="Q162" s="5"/>
      <c r="R162" s="5"/>
      <c r="S162" s="5"/>
      <c r="T162" s="5"/>
      <c r="U162" s="5"/>
    </row>
    <row r="163" spans="17:21">
      <c r="Q163" s="5"/>
      <c r="R163" s="5"/>
      <c r="S163" s="5"/>
      <c r="T163" s="5"/>
      <c r="U163" s="5"/>
    </row>
    <row r="164" spans="17:21">
      <c r="Q164" s="5"/>
      <c r="R164" s="5"/>
      <c r="S164" s="5"/>
      <c r="T164" s="5"/>
      <c r="U164" s="5"/>
    </row>
  </sheetData>
  <phoneticPr fontId="7" type="noConversion"/>
  <pageMargins left="0.75" right="0.75" top="1" bottom="1" header="0.5" footer="0.5"/>
  <pageSetup scale="70" orientation="landscape" r:id="rId1"/>
  <headerFooter alignWithMargins="0"/>
  <drawing r:id="rId2"/>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900-000000000000}">
  <sheetPr codeName="Sheet216">
    <tabColor theme="3" tint="0.59999389629810485"/>
    <pageSetUpPr fitToPage="1"/>
  </sheetPr>
  <dimension ref="B1:BK164"/>
  <sheetViews>
    <sheetView showGridLines="0" zoomScale="80" zoomScaleNormal="80" workbookViewId="0"/>
  </sheetViews>
  <sheetFormatPr defaultColWidth="8.88671875" defaultRowHeight="12"/>
  <cols>
    <col min="1" max="1" width="2.33203125" style="39" customWidth="1"/>
    <col min="2" max="2" width="26.6640625" style="39" customWidth="1"/>
    <col min="3" max="9" width="10" style="39" customWidth="1"/>
    <col min="10" max="10" width="26.6640625" style="39" customWidth="1"/>
    <col min="11" max="16" width="10" style="39" customWidth="1"/>
    <col min="17" max="17" width="4.5546875" style="39" customWidth="1"/>
    <col min="18" max="20" width="8.88671875" style="39"/>
    <col min="21" max="21" width="3.6640625" style="39" customWidth="1"/>
    <col min="22" max="63" width="9.109375" style="5" customWidth="1"/>
    <col min="64" max="16384" width="8.88671875" style="39"/>
  </cols>
  <sheetData>
    <row r="1" spans="2:63" s="312" customFormat="1">
      <c r="V1" s="149"/>
      <c r="W1" s="149"/>
      <c r="X1" s="149"/>
      <c r="Y1" s="149"/>
      <c r="Z1" s="149"/>
      <c r="AA1" s="149"/>
      <c r="AB1" s="149"/>
      <c r="AC1" s="149"/>
      <c r="AD1" s="149"/>
      <c r="AE1" s="149"/>
      <c r="AF1" s="149"/>
      <c r="AG1" s="149"/>
      <c r="AH1" s="149"/>
      <c r="AI1" s="149"/>
      <c r="AJ1" s="149"/>
      <c r="AK1" s="149"/>
      <c r="AL1" s="149"/>
      <c r="AM1" s="149"/>
      <c r="AN1" s="149"/>
      <c r="AO1" s="149"/>
      <c r="AP1" s="149"/>
      <c r="AQ1" s="149"/>
      <c r="AR1" s="149"/>
      <c r="AS1" s="149"/>
      <c r="AT1" s="149"/>
      <c r="AU1" s="149"/>
      <c r="AV1" s="149"/>
      <c r="AW1" s="149"/>
      <c r="AX1" s="149"/>
      <c r="AY1" s="149"/>
      <c r="AZ1" s="149"/>
      <c r="BA1" s="149"/>
      <c r="BB1" s="149"/>
      <c r="BC1" s="149"/>
      <c r="BD1" s="149"/>
      <c r="BE1" s="149"/>
      <c r="BF1" s="149"/>
      <c r="BG1" s="149"/>
      <c r="BH1" s="149"/>
      <c r="BI1" s="149"/>
      <c r="BJ1" s="149"/>
      <c r="BK1" s="149"/>
    </row>
    <row r="2" spans="2:63" s="312" customFormat="1">
      <c r="V2" s="149"/>
      <c r="W2" s="149"/>
      <c r="X2" s="149"/>
      <c r="Y2" s="149"/>
      <c r="Z2" s="149"/>
      <c r="AA2" s="149"/>
      <c r="AB2" s="149"/>
      <c r="AC2" s="149"/>
      <c r="AD2" s="149"/>
      <c r="AE2" s="149"/>
      <c r="AF2" s="149"/>
      <c r="AG2" s="149"/>
      <c r="AH2" s="149"/>
      <c r="AI2" s="149"/>
      <c r="AJ2" s="149"/>
      <c r="AK2" s="149"/>
      <c r="AL2" s="149"/>
      <c r="AM2" s="149"/>
      <c r="AN2" s="149"/>
      <c r="AO2" s="149"/>
      <c r="AP2" s="149"/>
      <c r="AQ2" s="149"/>
      <c r="AR2" s="149"/>
      <c r="AS2" s="149"/>
      <c r="AT2" s="149"/>
      <c r="AU2" s="149"/>
      <c r="AV2" s="149"/>
      <c r="AW2" s="149"/>
      <c r="AX2" s="149"/>
      <c r="AY2" s="149"/>
      <c r="AZ2" s="149"/>
      <c r="BA2" s="149"/>
      <c r="BB2" s="149"/>
      <c r="BC2" s="149"/>
      <c r="BD2" s="149"/>
      <c r="BE2" s="149"/>
      <c r="BF2" s="149"/>
      <c r="BG2" s="149"/>
      <c r="BH2" s="149"/>
      <c r="BI2" s="149"/>
      <c r="BJ2" s="149"/>
      <c r="BK2" s="149"/>
    </row>
    <row r="3" spans="2:63" s="149" customFormat="1">
      <c r="H3" s="153"/>
      <c r="P3" s="153"/>
    </row>
    <row r="4" spans="2:63" s="156" customFormat="1" ht="21">
      <c r="B4" s="129" t="s">
        <v>864</v>
      </c>
      <c r="H4" s="222"/>
      <c r="P4" s="222"/>
    </row>
    <row r="5" spans="2:63" s="149" customFormat="1">
      <c r="C5" s="153"/>
      <c r="D5" s="153" t="str" cm="1">
        <f t="array" ref="D5:H5">headings</f>
        <v>2023E</v>
      </c>
      <c r="E5" s="153" t="str">
        <v>2024E</v>
      </c>
      <c r="F5" s="153" t="str">
        <v>2025E</v>
      </c>
      <c r="G5" s="153" t="str">
        <v>2026E</v>
      </c>
      <c r="H5" s="153" t="str">
        <v>23E-26E</v>
      </c>
      <c r="I5" s="153"/>
      <c r="J5" s="153"/>
      <c r="K5" s="153"/>
      <c r="L5" s="153" t="str" cm="1">
        <f t="array" ref="L5:P5">headings</f>
        <v>2023E</v>
      </c>
      <c r="M5" s="153" t="str">
        <v>2024E</v>
      </c>
      <c r="N5" s="153" t="str">
        <v>2025E</v>
      </c>
      <c r="O5" s="153" t="str">
        <v>2026E</v>
      </c>
      <c r="P5" s="153" t="str">
        <v>23E-26E</v>
      </c>
      <c r="Q5" s="162"/>
      <c r="R5" s="162"/>
      <c r="S5" s="162"/>
      <c r="T5" s="162"/>
      <c r="U5" s="162"/>
      <c r="V5" s="162"/>
      <c r="W5" s="162"/>
      <c r="X5" s="162"/>
      <c r="Y5" s="162"/>
    </row>
    <row r="6" spans="2:63">
      <c r="I6" s="5"/>
      <c r="J6" s="5"/>
      <c r="K6" s="5"/>
      <c r="L6" s="5"/>
      <c r="M6" s="5"/>
      <c r="N6" s="5"/>
      <c r="O6" s="49"/>
    </row>
    <row r="7" spans="2:63" ht="12.6" thickBot="1">
      <c r="B7" s="306" t="s">
        <v>271</v>
      </c>
      <c r="C7" s="265"/>
      <c r="D7" s="265"/>
      <c r="E7" s="265"/>
      <c r="F7" s="265"/>
      <c r="G7" s="265"/>
      <c r="H7" s="265"/>
      <c r="I7" s="49"/>
      <c r="J7" s="306" t="s">
        <v>866</v>
      </c>
      <c r="K7" s="306"/>
      <c r="L7" s="306"/>
      <c r="M7" s="306"/>
      <c r="N7" s="266"/>
      <c r="O7" s="266"/>
      <c r="P7" s="266"/>
    </row>
    <row r="8" spans="2:63" ht="12.6" thickTop="1">
      <c r="B8" s="5"/>
      <c r="C8" s="5"/>
      <c r="D8" s="5"/>
      <c r="E8" s="5"/>
      <c r="F8" s="5"/>
      <c r="G8" s="5"/>
      <c r="H8" s="5"/>
      <c r="I8" s="5"/>
      <c r="J8" s="5"/>
      <c r="K8" s="5"/>
      <c r="L8" s="5"/>
      <c r="M8" s="5"/>
      <c r="N8" s="5"/>
    </row>
    <row r="9" spans="2:63">
      <c r="B9" s="41" t="s">
        <v>500</v>
      </c>
      <c r="C9" s="287"/>
      <c r="D9" s="5"/>
      <c r="E9" s="249"/>
      <c r="F9" s="249"/>
      <c r="G9" s="249"/>
      <c r="H9" s="249"/>
      <c r="I9" s="249"/>
      <c r="J9" s="5" t="s">
        <v>273</v>
      </c>
      <c r="L9" s="557">
        <f>'AGG DM'!D37</f>
        <v>2.329412469433874</v>
      </c>
      <c r="M9" s="557">
        <f>'AGG DM'!E37</f>
        <v>2.207031841456474</v>
      </c>
      <c r="N9" s="557">
        <f>'AGG DM'!F37</f>
        <v>2.0665364578686574</v>
      </c>
      <c r="O9" s="557">
        <f>'AGG DM'!G37</f>
        <v>1.9167412853037995</v>
      </c>
      <c r="P9" s="18">
        <f>'AGG DM'!H37</f>
        <v>1.9501934659983178E-2</v>
      </c>
    </row>
    <row r="10" spans="2:63">
      <c r="B10" s="5" t="s">
        <v>274</v>
      </c>
      <c r="C10" s="5"/>
      <c r="D10" s="332"/>
      <c r="E10" s="332"/>
      <c r="F10" s="332"/>
      <c r="G10" s="332"/>
      <c r="H10" s="247"/>
      <c r="I10" s="247"/>
      <c r="J10" s="5" t="s">
        <v>184</v>
      </c>
      <c r="L10" s="557">
        <f>'AGG DM'!D38</f>
        <v>7.0841879802792365</v>
      </c>
      <c r="M10" s="557">
        <f>'AGG DM'!E38</f>
        <v>6.5876114702803505</v>
      </c>
      <c r="N10" s="557">
        <f>'AGG DM'!F38</f>
        <v>6.0864198915332164</v>
      </c>
      <c r="O10" s="557">
        <f>'AGG DM'!G38</f>
        <v>5.5767680131537691</v>
      </c>
      <c r="P10" s="18">
        <f>'AGG DM'!H38</f>
        <v>3.4656651554389573E-2</v>
      </c>
      <c r="W10" s="10"/>
      <c r="X10" s="10"/>
      <c r="Y10" s="10"/>
      <c r="Z10" s="10"/>
    </row>
    <row r="11" spans="2:63">
      <c r="B11" s="41" t="s">
        <v>523</v>
      </c>
      <c r="C11" s="5"/>
      <c r="D11" s="271">
        <f>'W.EUR INCUMB'!D11/Prices!$F$155 +'US TELCO'!D11+'DM ASIA INCUMB'!D11</f>
        <v>953942.99951028405</v>
      </c>
      <c r="E11" s="271">
        <f>'W.EUR INCUMB'!E11/Prices!$F$155 +'US TELCO'!E11+'DM ASIA INCUMB'!E11</f>
        <v>936066.3613096741</v>
      </c>
      <c r="F11" s="271">
        <f>'W.EUR INCUMB'!F11/Prices!$F$155 +'US TELCO'!F11+'DM ASIA INCUMB'!F11</f>
        <v>915778.11647893023</v>
      </c>
      <c r="G11" s="271">
        <f>'W.EUR INCUMB'!G11/Prices!$F$155 +'US TELCO'!G11+'DM ASIA INCUMB'!G11</f>
        <v>896919.79502527951</v>
      </c>
      <c r="H11" s="249"/>
      <c r="I11" s="249"/>
      <c r="J11" s="5" t="s">
        <v>185</v>
      </c>
      <c r="L11" s="557">
        <f>'AGG DM'!D39</f>
        <v>13.53328960256645</v>
      </c>
      <c r="M11" s="557">
        <f>'AGG DM'!E39</f>
        <v>11.493643628277713</v>
      </c>
      <c r="N11" s="557">
        <f>'AGG DM'!F39</f>
        <v>10.264735122504899</v>
      </c>
      <c r="O11" s="557">
        <f>'AGG DM'!G39</f>
        <v>9.0451770938503948</v>
      </c>
      <c r="P11" s="18">
        <f>'AGG DM'!H39</f>
        <v>9.2670425427640479E-2</v>
      </c>
      <c r="W11" s="10"/>
      <c r="X11" s="10"/>
      <c r="Y11" s="10"/>
      <c r="Z11" s="10"/>
    </row>
    <row r="12" spans="2:63">
      <c r="B12" s="5" t="s">
        <v>229</v>
      </c>
      <c r="C12" s="249"/>
      <c r="D12" s="228">
        <f>'W.EUR INCUMB'!D12/Prices!$F$155 +'US TELCO'!D12+'DM ASIA INCUMB'!D12</f>
        <v>607345.04446949507</v>
      </c>
      <c r="E12" s="228">
        <f>'W.EUR INCUMB'!E12/Prices!$F$155 +'US TELCO'!E12+'DM ASIA INCUMB'!E12</f>
        <v>602239.81584849977</v>
      </c>
      <c r="F12" s="228">
        <f>'W.EUR INCUMB'!F12/Prices!$F$155 +'US TELCO'!F12+'DM ASIA INCUMB'!F12</f>
        <v>588584.17714458343</v>
      </c>
      <c r="G12" s="228">
        <f>'W.EUR INCUMB'!G12/Prices!$F$155 +'US TELCO'!G12+'DM ASIA INCUMB'!G12</f>
        <v>569157.84789457545</v>
      </c>
      <c r="H12" s="247"/>
      <c r="I12" s="247"/>
      <c r="J12" s="5" t="s">
        <v>466</v>
      </c>
      <c r="L12" s="557">
        <f>'AGG DM'!D40</f>
        <v>19.213286909010346</v>
      </c>
      <c r="M12" s="557">
        <f>'AGG DM'!E40</f>
        <v>16.347188206412962</v>
      </c>
      <c r="N12" s="557">
        <f>'AGG DM'!F40</f>
        <v>14.618845003714046</v>
      </c>
      <c r="O12" s="557">
        <f>'AGG DM'!G40</f>
        <v>12.840265625641983</v>
      </c>
      <c r="P12" s="18">
        <f>'AGG DM'!H40</f>
        <v>9.2705111729584289E-2</v>
      </c>
      <c r="W12" s="10"/>
      <c r="X12" s="10"/>
      <c r="Y12" s="10"/>
      <c r="Z12" s="10"/>
    </row>
    <row r="13" spans="2:63">
      <c r="B13" s="5" t="s">
        <v>529</v>
      </c>
      <c r="C13" s="257"/>
      <c r="D13" s="228">
        <f>'W.EUR INCUMB'!D13/Prices!$F$155 +'US TELCO'!D13+'DM ASIA INCUMB'!D13</f>
        <v>79548.186173929003</v>
      </c>
      <c r="E13" s="228">
        <f>'W.EUR INCUMB'!E13/Prices!$F$155 +'US TELCO'!E13+'DM ASIA INCUMB'!E13</f>
        <v>78031.787348291618</v>
      </c>
      <c r="F13" s="228">
        <f>'W.EUR INCUMB'!F13/Prices!$F$155 +'US TELCO'!F13+'DM ASIA INCUMB'!F13</f>
        <v>76212.907218458146</v>
      </c>
      <c r="G13" s="228">
        <f>'W.EUR INCUMB'!G13/Prices!$F$155 +'US TELCO'!G13+'DM ASIA INCUMB'!G13</f>
        <v>74584.757165088406</v>
      </c>
      <c r="H13" s="247"/>
      <c r="I13" s="247"/>
      <c r="J13" s="5" t="s">
        <v>530</v>
      </c>
      <c r="L13" s="557">
        <f>'AGG DM'!D41</f>
        <v>1.3514515540183685</v>
      </c>
      <c r="M13" s="557">
        <f>'AGG DM'!E41</f>
        <v>1.4007532435377124</v>
      </c>
      <c r="N13" s="557">
        <f>'AGG DM'!F41</f>
        <v>1.3363938049874495</v>
      </c>
      <c r="O13" s="557">
        <f>'AGG DM'!G41</f>
        <v>1.2739776448559783</v>
      </c>
      <c r="P13" s="18">
        <f>'AGG DM'!H41</f>
        <v>-2.5668717959517307E-2</v>
      </c>
    </row>
    <row r="14" spans="2:63">
      <c r="B14" s="5" t="s">
        <v>532</v>
      </c>
      <c r="C14" s="274"/>
      <c r="D14" s="228">
        <f>'W.EUR INCUMB'!D14/Prices!$F$155 +'US TELCO'!D14+'DM ASIA INCUMB'!D14</f>
        <v>37793.573713731152</v>
      </c>
      <c r="E14" s="228">
        <f>'W.EUR INCUMB'!E14/Prices!$F$155 +'US TELCO'!E14+'DM ASIA INCUMB'!E14</f>
        <v>37894.301196104301</v>
      </c>
      <c r="F14" s="228">
        <f>'W.EUR INCUMB'!F14/Prices!$F$155 +'US TELCO'!F14+'DM ASIA INCUMB'!F14</f>
        <v>38000.065052596117</v>
      </c>
      <c r="G14" s="228">
        <f>'W.EUR INCUMB'!G14/Prices!$F$155 +'US TELCO'!G14+'DM ASIA INCUMB'!G14</f>
        <v>38111.117101912518</v>
      </c>
      <c r="H14" s="247"/>
      <c r="I14" s="247"/>
      <c r="J14" s="5" t="s">
        <v>593</v>
      </c>
      <c r="L14" s="557">
        <f>'AGG DM'!D42</f>
        <v>3.3000460374957705</v>
      </c>
      <c r="M14" s="557">
        <f>'AGG DM'!E42</f>
        <v>3.1838124862642916</v>
      </c>
      <c r="N14" s="557">
        <f>'AGG DM'!F42</f>
        <v>3.0594658370749888</v>
      </c>
      <c r="O14" s="557">
        <f>'AGG DM'!G42</f>
        <v>2.9412325385033187</v>
      </c>
      <c r="P14" s="18">
        <f>'AGG DM'!H42</f>
        <v>-7.2864107786076993E-3</v>
      </c>
    </row>
    <row r="15" spans="2:63">
      <c r="B15" s="5" t="s">
        <v>531</v>
      </c>
      <c r="C15" s="257"/>
      <c r="D15" s="228">
        <f>'W.EUR INCUMB'!D15/Prices!$F$155 +'US TELCO'!D15+'DM ASIA INCUMB'!D15</f>
        <v>163883.51794193347</v>
      </c>
      <c r="E15" s="228">
        <f>'W.EUR INCUMB'!E15/Prices!$F$155 +'US TELCO'!E15+'DM ASIA INCUMB'!E15</f>
        <v>160560.88024889588</v>
      </c>
      <c r="F15" s="228">
        <f>'W.EUR INCUMB'!F15/Prices!$F$155 +'US TELCO'!F15+'DM ASIA INCUMB'!F15</f>
        <v>158124.92493599403</v>
      </c>
      <c r="G15" s="228">
        <f>'W.EUR INCUMB'!G15/Prices!$F$155 +'US TELCO'!G15+'DM ASIA INCUMB'!G15</f>
        <v>155314.33583633683</v>
      </c>
      <c r="H15" s="247"/>
      <c r="I15" s="247"/>
      <c r="J15" s="5" t="s">
        <v>475</v>
      </c>
      <c r="L15" s="557">
        <f>'AGG DM'!D43</f>
        <v>11.806292254184493</v>
      </c>
      <c r="M15" s="557">
        <f>'AGG DM'!E43</f>
        <v>10.8479727708929</v>
      </c>
      <c r="N15" s="557">
        <f>'AGG DM'!F43</f>
        <v>9.79850588673491</v>
      </c>
      <c r="O15" s="557">
        <f>'AGG DM'!G43</f>
        <v>8.8149149732476211</v>
      </c>
      <c r="P15" s="18">
        <f>'AGG DM'!H43</f>
        <v>7.171679530370545E-2</v>
      </c>
      <c r="S15" s="88"/>
      <c r="T15" s="88"/>
      <c r="U15" s="88"/>
      <c r="V15" s="42"/>
      <c r="W15" s="42"/>
      <c r="X15" s="42"/>
      <c r="Y15" s="42"/>
      <c r="Z15" s="42"/>
      <c r="AA15" s="42"/>
    </row>
    <row r="16" spans="2:63">
      <c r="B16" s="5" t="s">
        <v>534</v>
      </c>
      <c r="C16" s="257"/>
      <c r="D16" s="228">
        <f>'W.EUR INCUMB'!D16/Prices!$F$155 +'US TELCO'!D16+'DM ASIA INCUMB'!D16</f>
        <v>27163.243505821119</v>
      </c>
      <c r="E16" s="228">
        <f>'W.EUR INCUMB'!E16/Prices!$F$155 +'US TELCO'!E16+'DM ASIA INCUMB'!E16</f>
        <v>70309.033074542371</v>
      </c>
      <c r="F16" s="228">
        <f>'W.EUR INCUMB'!F16/Prices!$F$155 +'US TELCO'!F16+'DM ASIA INCUMB'!F16</f>
        <v>114697.95255155565</v>
      </c>
      <c r="G16" s="228">
        <f>'W.EUR INCUMB'!G16/Prices!$F$155 +'US TELCO'!G16+'DM ASIA INCUMB'!G16</f>
        <v>160990.78721886131</v>
      </c>
      <c r="H16" s="247"/>
      <c r="I16" s="247"/>
      <c r="J16" s="5" t="s">
        <v>533</v>
      </c>
      <c r="L16" s="557">
        <f>'AGG DM'!D44</f>
        <v>13.624604105346204</v>
      </c>
      <c r="M16" s="557">
        <f>'AGG DM'!E44</f>
        <v>12.503028582967529</v>
      </c>
      <c r="N16" s="557">
        <f>'AGG DM'!F44</f>
        <v>11.302702719097406</v>
      </c>
      <c r="O16" s="557">
        <f>'AGG DM'!G44</f>
        <v>10.160048566687355</v>
      </c>
      <c r="P16" s="18">
        <f>'AGG DM'!H44</f>
        <v>7.6119307301105277E-2</v>
      </c>
      <c r="S16" s="88"/>
      <c r="T16" s="88"/>
      <c r="U16" s="88"/>
      <c r="V16" s="42"/>
      <c r="W16" s="42"/>
      <c r="X16" s="42"/>
      <c r="Y16" s="42"/>
      <c r="Z16" s="42"/>
      <c r="AA16" s="42"/>
    </row>
    <row r="17" spans="2:27">
      <c r="B17" s="5" t="s">
        <v>6</v>
      </c>
      <c r="C17" s="257"/>
      <c r="D17" s="228">
        <f>'W.EUR INCUMB'!D17/Prices!$F$155 +'US TELCO'!D17+'DM ASIA INCUMB'!D17</f>
        <v>5431.4259044824021</v>
      </c>
      <c r="E17" s="228">
        <f>'W.EUR INCUMB'!E17/Prices!$F$155 +'US TELCO'!E17+'DM ASIA INCUMB'!E17</f>
        <v>5343.9766547109539</v>
      </c>
      <c r="F17" s="228">
        <f>'W.EUR INCUMB'!F17/Prices!$F$155 +'US TELCO'!F17+'DM ASIA INCUMB'!F17</f>
        <v>5217.0909803342884</v>
      </c>
      <c r="G17" s="228">
        <f>'W.EUR INCUMB'!G17/Prices!$F$155 +'US TELCO'!G17+'DM ASIA INCUMB'!G17</f>
        <v>5148.9642018392942</v>
      </c>
      <c r="H17" s="247"/>
      <c r="I17" s="247"/>
      <c r="J17" s="5" t="s">
        <v>580</v>
      </c>
      <c r="L17" s="248">
        <f>'AGG DM'!D45</f>
        <v>3.8692911642747754E-2</v>
      </c>
      <c r="M17" s="248">
        <f>'AGG DM'!E45</f>
        <v>4.3419291969220015E-2</v>
      </c>
      <c r="N17" s="248">
        <f>'AGG DM'!F45</f>
        <v>4.6126321738259798E-2</v>
      </c>
      <c r="O17" s="248">
        <f>'AGG DM'!G45</f>
        <v>4.9423675586152439E-2</v>
      </c>
      <c r="P17" s="18">
        <f>'AGG DM'!H45</f>
        <v>5.8812184463164385E-2</v>
      </c>
      <c r="S17" s="88"/>
      <c r="T17" s="88"/>
      <c r="U17" s="88"/>
      <c r="V17" s="42"/>
      <c r="W17" s="42"/>
      <c r="X17" s="42"/>
      <c r="Y17" s="42"/>
      <c r="Z17" s="42"/>
      <c r="AA17" s="42"/>
    </row>
    <row r="18" spans="2:27" ht="12.6" thickBot="1">
      <c r="B18" s="41" t="s">
        <v>89</v>
      </c>
      <c r="C18" s="249"/>
      <c r="D18" s="275">
        <f>'W.EUR INCUMB'!D18/Prices!$F$155 +'US TELCO'!D18+'DM ASIA INCUMB'!D18</f>
        <v>1734331.5049716069</v>
      </c>
      <c r="E18" s="275">
        <f>'W.EUR INCUMB'!E18/Prices!$F$155 +'US TELCO'!E18+'DM ASIA INCUMB'!E18</f>
        <v>1663351.533830004</v>
      </c>
      <c r="F18" s="275">
        <f>'W.EUR INCUMB'!F18/Prices!$F$155 +'US TELCO'!F18+'DM ASIA INCUMB'!F18</f>
        <v>1580785.0171934797</v>
      </c>
      <c r="G18" s="275">
        <f>'W.EUR INCUMB'!G18/Prices!$F$155 +'US TELCO'!G18+'DM ASIA INCUMB'!G18</f>
        <v>1491725.8673986667</v>
      </c>
      <c r="H18" s="276">
        <f>IF(D18=0,"nm",IF(G18=0,"nm",(G18/D18)^(1/3)-1))</f>
        <v>-4.8988790877547372E-2</v>
      </c>
      <c r="I18" s="254"/>
      <c r="J18" s="5" t="s">
        <v>36</v>
      </c>
      <c r="L18" s="248">
        <f>'AGG DM'!D46</f>
        <v>5.5339609483801136E-2</v>
      </c>
      <c r="M18" s="248">
        <f>'AGG DM'!E46</f>
        <v>7.6500460251698113E-2</v>
      </c>
      <c r="N18" s="248">
        <f>'AGG DM'!F46</f>
        <v>8.0311545489538158E-2</v>
      </c>
      <c r="O18" s="248">
        <f>'AGG DM'!G46</f>
        <v>9.1977124183415609E-2</v>
      </c>
      <c r="P18" s="18">
        <f>'AGG DM'!H46</f>
        <v>0.15593203466037919</v>
      </c>
      <c r="S18" s="88"/>
      <c r="T18" s="88"/>
      <c r="U18" s="88"/>
      <c r="V18" s="42"/>
      <c r="W18" s="42"/>
      <c r="X18" s="42"/>
      <c r="Y18" s="42"/>
      <c r="Z18" s="42"/>
      <c r="AA18" s="42"/>
    </row>
    <row r="19" spans="2:27" ht="12.6" thickTop="1">
      <c r="B19" s="41"/>
      <c r="C19" s="249"/>
      <c r="D19" s="229"/>
      <c r="E19" s="229"/>
      <c r="F19" s="229"/>
      <c r="G19" s="229"/>
      <c r="H19" s="276"/>
      <c r="I19" s="17"/>
      <c r="J19" s="5" t="s">
        <v>581</v>
      </c>
      <c r="L19" s="248">
        <f>'AGG DM'!D47</f>
        <v>8.4700596806382714E-2</v>
      </c>
      <c r="M19" s="248">
        <f>'AGG DM'!E47</f>
        <v>9.2183122240422966E-2</v>
      </c>
      <c r="N19" s="248">
        <f>'AGG DM'!F47</f>
        <v>0.10205637589642999</v>
      </c>
      <c r="O19" s="248">
        <f>'AGG DM'!G47</f>
        <v>0.11344408914151745</v>
      </c>
      <c r="P19" s="18">
        <f>'AGG DM'!H47</f>
        <v>7.171679530370545E-2</v>
      </c>
      <c r="S19" s="88"/>
      <c r="T19" s="88"/>
      <c r="U19" s="88"/>
      <c r="V19" s="42"/>
      <c r="W19" s="42"/>
      <c r="X19" s="42"/>
      <c r="Y19" s="42"/>
      <c r="Z19" s="42"/>
      <c r="AA19" s="42"/>
    </row>
    <row r="20" spans="2:27">
      <c r="H20" s="277"/>
      <c r="I20" s="49"/>
      <c r="J20" s="5" t="s">
        <v>604</v>
      </c>
      <c r="L20" s="305">
        <f>'AGG DM'!D48</f>
        <v>0.45770628705874244</v>
      </c>
      <c r="M20" s="305">
        <f>'AGG DM'!E48</f>
        <v>0.47291165163323612</v>
      </c>
      <c r="N20" s="305">
        <f>'AGG DM'!F48</f>
        <v>0.45515009617149715</v>
      </c>
      <c r="O20" s="305">
        <f>'AGG DM'!G48</f>
        <v>0.44137076019918969</v>
      </c>
      <c r="P20" s="18" t="str">
        <f>'AGG DM'!H48</f>
        <v>nm</v>
      </c>
      <c r="S20" s="42"/>
      <c r="T20" s="42"/>
      <c r="U20" s="42"/>
      <c r="V20" s="42"/>
      <c r="W20" s="42"/>
      <c r="X20" s="42"/>
      <c r="Y20" s="42"/>
      <c r="Z20" s="42"/>
      <c r="AA20" s="42"/>
    </row>
    <row r="21" spans="2:27" ht="12.6" thickBot="1">
      <c r="B21" s="306" t="s">
        <v>308</v>
      </c>
      <c r="C21" s="265">
        <v>2020</v>
      </c>
      <c r="D21" s="265" t="str">
        <f>D5</f>
        <v>2023E</v>
      </c>
      <c r="E21" s="265" t="str">
        <f>E5</f>
        <v>2024E</v>
      </c>
      <c r="F21" s="265" t="str">
        <f>F5</f>
        <v>2025E</v>
      </c>
      <c r="G21" s="265" t="str">
        <f>G5</f>
        <v>2026E</v>
      </c>
      <c r="H21" s="282" t="str">
        <f>H5</f>
        <v>23E-26E</v>
      </c>
      <c r="I21" s="17"/>
      <c r="S21" s="42"/>
      <c r="T21" s="42"/>
      <c r="U21" s="42"/>
      <c r="V21" s="42"/>
      <c r="W21" s="42"/>
      <c r="X21" s="42"/>
      <c r="Y21" s="42"/>
      <c r="Z21" s="42"/>
      <c r="AA21" s="42"/>
    </row>
    <row r="22" spans="2:27" ht="12.6" thickTop="1">
      <c r="B22" s="5"/>
      <c r="C22" s="257"/>
      <c r="D22" s="17"/>
      <c r="E22" s="17"/>
      <c r="F22" s="17"/>
      <c r="G22" s="17"/>
      <c r="H22" s="17"/>
      <c r="I22" s="247"/>
      <c r="P22" s="277"/>
      <c r="S22" s="42"/>
      <c r="T22" s="42"/>
      <c r="U22" s="42"/>
      <c r="V22" s="42"/>
      <c r="W22" s="42"/>
      <c r="X22" s="42"/>
      <c r="Y22" s="42"/>
      <c r="Z22" s="42"/>
      <c r="AA22" s="42"/>
    </row>
    <row r="23" spans="2:27" ht="12.6" thickBot="1">
      <c r="B23" s="5" t="s">
        <v>584</v>
      </c>
      <c r="C23" s="365">
        <f>'W.EUR INCUMB'!C23/Prices!$F$155 +'US TELCO'!C23+'DM ASIA INCUMB'!C23</f>
        <v>757465.7675838134</v>
      </c>
      <c r="D23" s="228">
        <f>'W.EUR INCUMB'!D23/Prices!$F$155 +'US TELCO'!D23+'DM ASIA INCUMB'!D23</f>
        <v>761390.67748196644</v>
      </c>
      <c r="E23" s="228">
        <f>'W.EUR INCUMB'!E23/Prices!$F$155 +'US TELCO'!E23+'DM ASIA INCUMB'!E23</f>
        <v>773568.19078255282</v>
      </c>
      <c r="F23" s="228">
        <f>'W.EUR INCUMB'!F23/Prices!$F$155 +'US TELCO'!F23+'DM ASIA INCUMB'!F23</f>
        <v>788745.40803581104</v>
      </c>
      <c r="G23" s="228">
        <f>'W.EUR INCUMB'!G23/Prices!$F$155 +'US TELCO'!G23+'DM ASIA INCUMB'!G23</f>
        <v>804484.97194491897</v>
      </c>
      <c r="H23" s="279">
        <f>IF(D23=0,"nm",IF(G23=0,"nm",(G23/D23)^(1/3)-1))</f>
        <v>1.8521326341160327E-2</v>
      </c>
      <c r="I23" s="249"/>
      <c r="J23" s="306" t="s">
        <v>9</v>
      </c>
      <c r="K23" s="306"/>
      <c r="L23" s="265" t="str">
        <f>L5</f>
        <v>2023E</v>
      </c>
      <c r="M23" s="265" t="str">
        <f>M5</f>
        <v>2024E</v>
      </c>
      <c r="N23" s="265" t="str">
        <f>N5</f>
        <v>2025E</v>
      </c>
      <c r="O23" s="265" t="str">
        <f>O5</f>
        <v>2026E</v>
      </c>
      <c r="P23" s="282" t="str">
        <f>P5</f>
        <v>23E-26E</v>
      </c>
      <c r="S23" s="42"/>
      <c r="T23" s="42"/>
      <c r="U23" s="42"/>
      <c r="V23" s="42"/>
      <c r="W23" s="42" t="s">
        <v>608</v>
      </c>
      <c r="X23" s="42" t="s">
        <v>867</v>
      </c>
      <c r="Y23" s="42"/>
      <c r="Z23" s="42"/>
      <c r="AA23" s="42"/>
    </row>
    <row r="24" spans="2:27" ht="12.6" thickTop="1">
      <c r="B24" s="5" t="s">
        <v>483</v>
      </c>
      <c r="C24" s="365">
        <f>'W.EUR INCUMB'!C24/Prices!$F$155 +'US TELCO'!C24+'DM ASIA INCUMB'!C24</f>
        <v>246543.63035750479</v>
      </c>
      <c r="D24" s="228">
        <f>'W.EUR INCUMB'!D24/Prices!$F$155 +'US TELCO'!D24+'DM ASIA INCUMB'!D24</f>
        <v>253193.30188850098</v>
      </c>
      <c r="E24" s="228">
        <f>'W.EUR INCUMB'!E24/Prices!$F$155 +'US TELCO'!E24+'DM ASIA INCUMB'!E24</f>
        <v>264838.35328737646</v>
      </c>
      <c r="F24" s="228">
        <f>'W.EUR INCUMB'!F24/Prices!$F$155 +'US TELCO'!F24+'DM ASIA INCUMB'!F24</f>
        <v>272855.7668372636</v>
      </c>
      <c r="G24" s="228">
        <f>'W.EUR INCUMB'!G24/Prices!$F$155 +'US TELCO'!G24+'DM ASIA INCUMB'!G24</f>
        <v>280517.09116689023</v>
      </c>
      <c r="H24" s="279">
        <f t="shared" ref="H24:H33" si="0">IF(D24=0,"nm",IF(G24=0,"nm",(G24/D24)^(1/3)-1))</f>
        <v>3.4750642634944207E-2</v>
      </c>
      <c r="I24" s="248"/>
      <c r="J24" s="17"/>
      <c r="K24" s="17"/>
      <c r="L24" s="17"/>
      <c r="M24" s="17"/>
      <c r="N24" s="17"/>
      <c r="O24" s="248"/>
      <c r="S24" s="42"/>
      <c r="T24" s="42"/>
      <c r="U24" s="42"/>
      <c r="V24" s="147" t="s">
        <v>273</v>
      </c>
      <c r="W24" s="364">
        <f t="shared" ref="W24:W31" si="1">E37/M9</f>
        <v>0.97426441651781959</v>
      </c>
      <c r="X24" s="288">
        <v>1</v>
      </c>
      <c r="Y24" s="42"/>
      <c r="Z24" s="42"/>
      <c r="AA24" s="42"/>
    </row>
    <row r="25" spans="2:27">
      <c r="B25" s="5" t="s">
        <v>183</v>
      </c>
      <c r="C25" s="365">
        <f>'W.EUR INCUMB'!C25/Prices!$F$155 +'US TELCO'!C25+'DM ASIA INCUMB'!C25</f>
        <v>109292.92292027725</v>
      </c>
      <c r="D25" s="228">
        <f>'W.EUR INCUMB'!D25/Prices!$F$155 +'US TELCO'!D25+'DM ASIA INCUMB'!D25</f>
        <v>131971.79649426212</v>
      </c>
      <c r="E25" s="228">
        <f>'W.EUR INCUMB'!E25/Prices!$F$155 +'US TELCO'!E25+'DM ASIA INCUMB'!E25</f>
        <v>151699.80351519928</v>
      </c>
      <c r="F25" s="228">
        <f>'W.EUR INCUMB'!F25/Prices!$F$155 +'US TELCO'!F25+'DM ASIA INCUMB'!F25</f>
        <v>161229.87575634234</v>
      </c>
      <c r="G25" s="228">
        <f>'W.EUR INCUMB'!G25/Prices!$F$155 +'US TELCO'!G25+'DM ASIA INCUMB'!G25</f>
        <v>169548.68036130458</v>
      </c>
      <c r="H25" s="279">
        <f t="shared" si="0"/>
        <v>8.7104003376275552E-2</v>
      </c>
      <c r="I25" s="249"/>
      <c r="J25" s="247" t="s">
        <v>10</v>
      </c>
      <c r="K25" s="247"/>
      <c r="L25" s="332">
        <f>'W.EUR INCUMB'!L25/Prices!$F$155 +'US TELCO'!L25+'DM ASIA INCUMB'!L25</f>
        <v>71506.031894435946</v>
      </c>
      <c r="M25" s="332">
        <f>'W.EUR INCUMB'!M25/Prices!$F$155 +'US TELCO'!M25+'DM ASIA INCUMB'!M25</f>
        <v>68497.928141605356</v>
      </c>
      <c r="N25" s="332">
        <f>'W.EUR INCUMB'!N25/Prices!$F$155 +'US TELCO'!N25+'DM ASIA INCUMB'!N25</f>
        <v>65056.159303041117</v>
      </c>
      <c r="O25" s="332">
        <f>'W.EUR INCUMB'!O25/Prices!$F$155 +'US TELCO'!O25+'DM ASIA INCUMB'!O25</f>
        <v>58382.540987309068</v>
      </c>
      <c r="P25" s="279">
        <f>IF(L25=0,"nm",IF(O25=0,"nm",(O25/L25)^(1/3)-1))</f>
        <v>-6.5354818073741106E-2</v>
      </c>
      <c r="Q25" s="5"/>
      <c r="S25" s="42"/>
      <c r="T25" s="42"/>
      <c r="U25" s="42"/>
      <c r="V25" s="147" t="s">
        <v>184</v>
      </c>
      <c r="W25" s="364">
        <f t="shared" si="1"/>
        <v>0.95340008669178689</v>
      </c>
      <c r="X25" s="288">
        <v>1</v>
      </c>
      <c r="Y25" s="42"/>
      <c r="Z25" s="42"/>
      <c r="AA25" s="42"/>
    </row>
    <row r="26" spans="2:27">
      <c r="B26" s="5" t="s">
        <v>586</v>
      </c>
      <c r="C26" s="365">
        <f>'W.EUR INCUMB'!C26/Prices!$F$155 +'US TELCO'!C26+'DM ASIA INCUMB'!C26</f>
        <v>74020.243305558193</v>
      </c>
      <c r="D26" s="228">
        <f>'W.EUR INCUMB'!D26/Prices!$F$155 +'US TELCO'!D26+'DM ASIA INCUMB'!D26</f>
        <v>93605.305329710784</v>
      </c>
      <c r="E26" s="228">
        <f>'W.EUR INCUMB'!E26/Prices!$F$155 +'US TELCO'!E26+'DM ASIA INCUMB'!E26</f>
        <v>105505.85137522839</v>
      </c>
      <c r="F26" s="228">
        <f>'W.EUR INCUMB'!F26/Prices!$F$155 +'US TELCO'!F26+'DM ASIA INCUMB'!F26</f>
        <v>112305.6454853185</v>
      </c>
      <c r="G26" s="228">
        <f>'W.EUR INCUMB'!G26/Prices!$F$155 +'US TELCO'!G26+'DM ASIA INCUMB'!G26</f>
        <v>118759.87853758995</v>
      </c>
      <c r="H26" s="279">
        <f t="shared" si="0"/>
        <v>8.2571094333434569E-2</v>
      </c>
      <c r="I26" s="249"/>
      <c r="J26" s="249" t="s">
        <v>11</v>
      </c>
      <c r="K26" s="249"/>
      <c r="L26" s="281">
        <f>'W.EUR INCUMB'!L26/Prices!$F$155 +'US TELCO'!L26+'DM ASIA INCUMB'!L26</f>
        <v>1025449.0314047199</v>
      </c>
      <c r="M26" s="281">
        <f>'W.EUR INCUMB'!M26/Prices!$F$155 +'US TELCO'!M26+'DM ASIA INCUMB'!M26</f>
        <v>1004564.2894512793</v>
      </c>
      <c r="N26" s="281">
        <f>'W.EUR INCUMB'!N26/Prices!$F$155 +'US TELCO'!N26+'DM ASIA INCUMB'!N26</f>
        <v>980834.27578197117</v>
      </c>
      <c r="O26" s="281">
        <f>'W.EUR INCUMB'!O26/Prices!$F$155 +'US TELCO'!O26+'DM ASIA INCUMB'!O26</f>
        <v>955302.33601258835</v>
      </c>
      <c r="P26" s="279">
        <f>IF(L26=0,"nm",IF(O26=0,"nm",(O26/L26)^(1/3)-1))</f>
        <v>-2.3342580875558405E-2</v>
      </c>
      <c r="Q26" s="41"/>
      <c r="S26" s="42"/>
      <c r="T26" s="42"/>
      <c r="U26" s="42"/>
      <c r="V26" s="147" t="s">
        <v>185</v>
      </c>
      <c r="W26" s="364">
        <f t="shared" si="1"/>
        <v>0.95398445375864249</v>
      </c>
      <c r="X26" s="288">
        <v>1</v>
      </c>
      <c r="Y26" s="42"/>
      <c r="Z26" s="42"/>
      <c r="AA26" s="42"/>
    </row>
    <row r="27" spans="2:27">
      <c r="B27" s="5" t="s">
        <v>587</v>
      </c>
      <c r="C27" s="365">
        <f>'W.EUR INCUMB'!C27/Prices!$F$155 +'US TELCO'!C27+'DM ASIA INCUMB'!C27</f>
        <v>1020873.9230582813</v>
      </c>
      <c r="D27" s="228">
        <f>'W.EUR INCUMB'!D27/Prices!$F$155 +'US TELCO'!D27+'DM ASIA INCUMB'!D27</f>
        <v>1271255.7605938318</v>
      </c>
      <c r="E27" s="228">
        <f>'W.EUR INCUMB'!E27/Prices!$F$155 +'US TELCO'!E27+'DM ASIA INCUMB'!E27</f>
        <v>1142682.108788806</v>
      </c>
      <c r="F27" s="228">
        <f>'W.EUR INCUMB'!F27/Prices!$F$155 +'US TELCO'!F27+'DM ASIA INCUMB'!F27</f>
        <v>1152687.6048188577</v>
      </c>
      <c r="G27" s="228">
        <f>'W.EUR INCUMB'!G27/Prices!$F$155 +'US TELCO'!G27+'DM ASIA INCUMB'!G27</f>
        <v>1159038.5850627241</v>
      </c>
      <c r="H27" s="279">
        <f t="shared" si="0"/>
        <v>-3.0335148824800706E-2</v>
      </c>
      <c r="I27" s="248"/>
      <c r="J27" s="248"/>
      <c r="K27" s="248"/>
      <c r="L27" s="248"/>
      <c r="M27" s="248"/>
      <c r="N27" s="248"/>
      <c r="O27" s="248"/>
      <c r="Q27" s="5"/>
      <c r="S27" s="42"/>
      <c r="T27" s="42"/>
      <c r="U27" s="42"/>
      <c r="V27" s="147" t="s">
        <v>466</v>
      </c>
      <c r="W27" s="364">
        <f t="shared" si="1"/>
        <v>0.96441606010732828</v>
      </c>
      <c r="X27" s="288">
        <v>1</v>
      </c>
      <c r="Y27" s="42"/>
      <c r="Z27" s="42"/>
      <c r="AA27" s="42"/>
    </row>
    <row r="28" spans="2:27" ht="12.6" thickBot="1">
      <c r="B28" s="5" t="s">
        <v>592</v>
      </c>
      <c r="C28" s="365">
        <f>'W.EUR INCUMB'!C28/Prices!$F$155 +'US TELCO'!C28+'DM ASIA INCUMB'!C28</f>
        <v>472227.00614162599</v>
      </c>
      <c r="D28" s="228">
        <f>'W.EUR INCUMB'!D28/Prices!$F$155 +'US TELCO'!D28+'DM ASIA INCUMB'!D28</f>
        <v>557334.05364650569</v>
      </c>
      <c r="E28" s="228">
        <f>'W.EUR INCUMB'!E28/Prices!$F$155 +'US TELCO'!E28+'DM ASIA INCUMB'!E28</f>
        <v>555508.70039050723</v>
      </c>
      <c r="F28" s="228">
        <f>'W.EUR INCUMB'!F28/Prices!$F$155 +'US TELCO'!F28+'DM ASIA INCUMB'!F28</f>
        <v>551306.04791494063</v>
      </c>
      <c r="G28" s="228">
        <f>'W.EUR INCUMB'!G28/Prices!$F$155 +'US TELCO'!G28+'DM ASIA INCUMB'!G28</f>
        <v>546774.50391449162</v>
      </c>
      <c r="H28" s="279">
        <f t="shared" si="0"/>
        <v>-6.3558229129041521E-3</v>
      </c>
      <c r="I28" s="252"/>
      <c r="J28" s="306" t="s">
        <v>859</v>
      </c>
      <c r="K28" s="306"/>
      <c r="L28" s="306"/>
      <c r="M28" s="306"/>
      <c r="N28" s="266"/>
      <c r="O28" s="266"/>
      <c r="P28" s="266"/>
      <c r="Q28" s="5"/>
      <c r="S28" s="42"/>
      <c r="T28" s="42"/>
      <c r="U28" s="42"/>
      <c r="V28" s="147" t="s">
        <v>530</v>
      </c>
      <c r="W28" s="364">
        <f t="shared" si="1"/>
        <v>1.0391948328251774</v>
      </c>
      <c r="X28" s="288">
        <v>1</v>
      </c>
      <c r="Y28" s="42"/>
      <c r="Z28" s="42"/>
      <c r="AA28" s="42"/>
    </row>
    <row r="29" spans="2:27" ht="12.6" thickTop="1">
      <c r="B29" s="5" t="s">
        <v>588</v>
      </c>
      <c r="C29" s="365">
        <f>'W.EUR INCUMB'!C29/Prices!$F$155 +'US TELCO'!C29+'DM ASIA INCUMB'!C29</f>
        <v>70398.616638631385</v>
      </c>
      <c r="D29" s="228">
        <f>'W.EUR INCUMB'!D29/Prices!$F$155 +'US TELCO'!D29+'DM ASIA INCUMB'!D29</f>
        <v>74542.572507316552</v>
      </c>
      <c r="E29" s="228">
        <f>'W.EUR INCUMB'!E29/Prices!$F$155 +'US TELCO'!E29+'DM ASIA INCUMB'!E29</f>
        <v>74386.394045913592</v>
      </c>
      <c r="F29" s="228">
        <f>'W.EUR INCUMB'!F29/Prices!$F$155 +'US TELCO'!F29+'DM ASIA INCUMB'!F29</f>
        <v>80846.638392712572</v>
      </c>
      <c r="G29" s="228">
        <f>'W.EUR INCUMB'!G29/Prices!$F$155 +'US TELCO'!G29+'DM ASIA INCUMB'!G29</f>
        <v>85765.386641538847</v>
      </c>
      <c r="H29" s="279">
        <f t="shared" si="0"/>
        <v>4.7858300096549344E-2</v>
      </c>
      <c r="I29" s="254"/>
      <c r="J29" s="249"/>
      <c r="K29" s="249"/>
      <c r="L29" s="249"/>
      <c r="M29" s="249"/>
      <c r="N29" s="249"/>
      <c r="O29" s="251"/>
      <c r="Q29" s="5"/>
      <c r="S29" s="42"/>
      <c r="T29" s="42"/>
      <c r="U29" s="42"/>
      <c r="V29" s="147" t="s">
        <v>593</v>
      </c>
      <c r="W29" s="364">
        <f t="shared" si="1"/>
        <v>0.94047162316539124</v>
      </c>
      <c r="X29" s="288">
        <v>1</v>
      </c>
      <c r="Y29" s="42"/>
      <c r="Z29" s="42"/>
      <c r="AA29" s="42"/>
    </row>
    <row r="30" spans="2:27">
      <c r="B30" s="5" t="s">
        <v>589</v>
      </c>
      <c r="C30" s="365">
        <f>'W.EUR INCUMB'!C30/Prices!$F$155 +'US TELCO'!C30+'DM ASIA INCUMB'!C30</f>
        <v>77443.959022077615</v>
      </c>
      <c r="D30" s="228">
        <f>'W.EUR INCUMB'!D30/Prices!$F$155 +'US TELCO'!D30+'DM ASIA INCUMB'!D30</f>
        <v>78769.371097817246</v>
      </c>
      <c r="E30" s="228">
        <f>'W.EUR INCUMB'!E30/Prices!$F$155 +'US TELCO'!E30+'DM ASIA INCUMB'!E30</f>
        <v>81261.428802808834</v>
      </c>
      <c r="F30" s="228">
        <f>'W.EUR INCUMB'!F30/Prices!$F$155 +'US TELCO'!F30+'DM ASIA INCUMB'!F30</f>
        <v>86763.232844939921</v>
      </c>
      <c r="G30" s="228">
        <f>'W.EUR INCUMB'!G30/Prices!$F$155 +'US TELCO'!G30+'DM ASIA INCUMB'!G30</f>
        <v>92580.407405606733</v>
      </c>
      <c r="H30" s="279">
        <f t="shared" si="0"/>
        <v>5.5327454491813866E-2</v>
      </c>
      <c r="I30" s="254"/>
      <c r="J30" s="248"/>
      <c r="K30" s="248"/>
      <c r="L30" s="248"/>
      <c r="M30" s="248"/>
      <c r="N30" s="248"/>
      <c r="O30" s="5"/>
      <c r="Q30" s="5"/>
      <c r="S30" s="42"/>
      <c r="T30" s="42"/>
      <c r="U30" s="42"/>
      <c r="V30" s="147" t="s">
        <v>475</v>
      </c>
      <c r="W30" s="364">
        <f t="shared" si="1"/>
        <v>1.2449033708461918</v>
      </c>
      <c r="X30" s="288">
        <v>1</v>
      </c>
      <c r="Y30" s="42"/>
      <c r="Z30" s="42"/>
      <c r="AA30" s="42"/>
    </row>
    <row r="31" spans="2:27">
      <c r="B31" s="5" t="s">
        <v>590</v>
      </c>
      <c r="C31" s="365">
        <f>'W.EUR INCUMB'!C31/Prices!$F$155 +'US TELCO'!C31+'DM ASIA INCUMB'!C31</f>
        <v>40274.132335752372</v>
      </c>
      <c r="D31" s="228">
        <f>'W.EUR INCUMB'!D31/Prices!$F$155 +'US TELCO'!D31+'DM ASIA INCUMB'!D31</f>
        <v>39708.246695449998</v>
      </c>
      <c r="E31" s="228">
        <f>'W.EUR INCUMB'!E31/Prices!$F$155 +'US TELCO'!E31+'DM ASIA INCUMB'!E31</f>
        <v>43808.389320818904</v>
      </c>
      <c r="F31" s="228">
        <f>'W.EUR INCUMB'!F31/Prices!$F$155 +'US TELCO'!F31+'DM ASIA INCUMB'!F31</f>
        <v>45381.628466498885</v>
      </c>
      <c r="G31" s="228">
        <f>'W.EUR INCUMB'!G31/Prices!$F$155 +'US TELCO'!G31+'DM ASIA INCUMB'!G31</f>
        <v>47354.854355220574</v>
      </c>
      <c r="H31" s="279">
        <f t="shared" si="0"/>
        <v>6.0460747578668261E-2</v>
      </c>
      <c r="I31" s="254"/>
      <c r="J31" s="252"/>
      <c r="K31" s="252"/>
      <c r="L31" s="252"/>
      <c r="M31" s="252"/>
      <c r="N31" s="252"/>
      <c r="O31" s="5"/>
      <c r="Q31" s="5"/>
      <c r="S31" s="42"/>
      <c r="T31" s="42"/>
      <c r="U31" s="42"/>
      <c r="V31" s="147" t="s">
        <v>533</v>
      </c>
      <c r="W31" s="364">
        <f t="shared" si="1"/>
        <v>0.92131249343002353</v>
      </c>
      <c r="X31" s="288">
        <v>1</v>
      </c>
      <c r="Y31" s="42"/>
      <c r="Z31" s="42"/>
      <c r="AA31" s="42"/>
    </row>
    <row r="32" spans="2:27">
      <c r="B32" s="5" t="s">
        <v>606</v>
      </c>
      <c r="C32" s="365">
        <f>'W.EUR INCUMB'!C32/Prices!$F$155 +'US TELCO'!C32+'DM ASIA INCUMB'!C32</f>
        <v>4506.8615990419084</v>
      </c>
      <c r="D32" s="228">
        <f>'W.EUR INCUMB'!D32/Prices!$F$155 +'US TELCO'!D32+'DM ASIA INCUMB'!D32</f>
        <v>13083.807928075194</v>
      </c>
      <c r="E32" s="228">
        <f>'W.EUR INCUMB'!E32/Prices!$F$155 +'US TELCO'!E32+'DM ASIA INCUMB'!E32</f>
        <v>17456.349288384932</v>
      </c>
      <c r="F32" s="228">
        <f>'W.EUR INCUMB'!F32/Prices!$F$155 +'US TELCO'!F32+'DM ASIA INCUMB'!F32</f>
        <v>18906.138632515944</v>
      </c>
      <c r="G32" s="228">
        <f>'W.EUR INCUMB'!G32/Prices!$F$155 +'US TELCO'!G32+'DM ASIA INCUMB'!G32</f>
        <v>21054.600203710532</v>
      </c>
      <c r="H32" s="279">
        <f t="shared" si="0"/>
        <v>0.17184709136998255</v>
      </c>
      <c r="I32" s="5"/>
      <c r="J32" s="254"/>
      <c r="K32" s="254"/>
      <c r="L32" s="254"/>
      <c r="M32" s="254"/>
      <c r="N32" s="254"/>
      <c r="O32" s="251"/>
      <c r="Q32" s="5"/>
      <c r="S32" s="42"/>
      <c r="T32" s="42"/>
      <c r="U32" s="42"/>
      <c r="V32" s="147" t="s">
        <v>580</v>
      </c>
      <c r="W32" s="288">
        <f>M17/E45</f>
        <v>0.92775240711612617</v>
      </c>
      <c r="X32" s="288">
        <v>1</v>
      </c>
      <c r="Y32" s="42"/>
      <c r="Z32" s="42"/>
      <c r="AA32" s="42"/>
    </row>
    <row r="33" spans="2:42">
      <c r="B33" s="5" t="s">
        <v>5</v>
      </c>
      <c r="C33" s="365">
        <f>'W.EUR INCUMB'!C33/Prices!$F$155 +'US TELCO'!C33+'DM ASIA INCUMB'!C33</f>
        <v>22578.394227381479</v>
      </c>
      <c r="D33" s="228">
        <f>'W.EUR INCUMB'!D33/Prices!$F$155 +'US TELCO'!D33+'DM ASIA INCUMB'!D33</f>
        <v>28676.097677149137</v>
      </c>
      <c r="E33" s="228">
        <f>'W.EUR INCUMB'!E33/Prices!$F$155 +'US TELCO'!E33+'DM ASIA INCUMB'!E33</f>
        <v>29566.58142141554</v>
      </c>
      <c r="F33" s="228">
        <f>'W.EUR INCUMB'!F33/Prices!$F$155 +'US TELCO'!F33+'DM ASIA INCUMB'!F33</f>
        <v>28686.090778571466</v>
      </c>
      <c r="G33" s="228">
        <f>'W.EUR INCUMB'!G33/Prices!$F$155 +'US TELCO'!G33+'DM ASIA INCUMB'!G33</f>
        <v>27248.483075120897</v>
      </c>
      <c r="H33" s="279">
        <f t="shared" si="0"/>
        <v>-1.6877973659489509E-2</v>
      </c>
      <c r="I33" s="49"/>
      <c r="J33" s="254"/>
      <c r="K33" s="254"/>
      <c r="L33" s="254"/>
      <c r="M33" s="254"/>
      <c r="N33" s="254"/>
      <c r="O33" s="251"/>
      <c r="Q33" s="5"/>
      <c r="S33" s="42"/>
      <c r="T33" s="42"/>
      <c r="U33" s="42"/>
      <c r="V33" s="147" t="s">
        <v>581</v>
      </c>
      <c r="W33" s="288">
        <f>M19/E47</f>
        <v>1.2449033708461918</v>
      </c>
      <c r="X33" s="288">
        <v>1</v>
      </c>
      <c r="Y33" s="288"/>
      <c r="Z33" s="288"/>
      <c r="AA33" s="42"/>
      <c r="AC33" s="10"/>
      <c r="AD33" s="10"/>
      <c r="AE33" s="10"/>
      <c r="AF33" s="10"/>
      <c r="AH33" s="10"/>
      <c r="AI33" s="10"/>
      <c r="AJ33" s="10"/>
      <c r="AK33" s="10"/>
      <c r="AM33" s="10"/>
      <c r="AN33" s="10"/>
      <c r="AO33" s="10"/>
      <c r="AP33" s="10"/>
    </row>
    <row r="34" spans="2:42">
      <c r="H34" s="277"/>
      <c r="I34" s="254"/>
      <c r="J34" s="254"/>
      <c r="K34" s="254"/>
      <c r="L34" s="254"/>
      <c r="M34" s="254"/>
      <c r="N34" s="254"/>
      <c r="O34" s="251"/>
      <c r="Q34" s="5"/>
      <c r="S34" s="42"/>
      <c r="T34" s="42"/>
      <c r="U34" s="42"/>
      <c r="V34" s="42"/>
      <c r="W34" s="42"/>
      <c r="X34" s="42"/>
      <c r="Y34" s="288"/>
      <c r="Z34" s="288"/>
      <c r="AA34" s="42"/>
      <c r="AC34" s="10"/>
      <c r="AD34" s="10"/>
      <c r="AE34" s="10"/>
      <c r="AF34" s="10"/>
      <c r="AH34" s="10"/>
      <c r="AI34" s="10"/>
      <c r="AJ34" s="10"/>
      <c r="AK34" s="10"/>
      <c r="AM34" s="10"/>
      <c r="AN34" s="10"/>
      <c r="AO34" s="10"/>
      <c r="AP34" s="10"/>
    </row>
    <row r="35" spans="2:42" ht="12.6" thickBot="1">
      <c r="B35" s="306" t="s">
        <v>863</v>
      </c>
      <c r="C35" s="265"/>
      <c r="D35" s="265" t="str">
        <f>D5</f>
        <v>2023E</v>
      </c>
      <c r="E35" s="265" t="str">
        <f>E5</f>
        <v>2024E</v>
      </c>
      <c r="F35" s="265" t="str">
        <f>F5</f>
        <v>2025E</v>
      </c>
      <c r="G35" s="265" t="str">
        <f>G5</f>
        <v>2026E</v>
      </c>
      <c r="H35" s="265" t="str">
        <f>H5</f>
        <v>23E-26E</v>
      </c>
      <c r="I35" s="17"/>
      <c r="J35" s="5"/>
      <c r="K35" s="5"/>
      <c r="L35" s="5"/>
      <c r="M35" s="5"/>
      <c r="N35" s="5"/>
      <c r="O35" s="5"/>
      <c r="Q35" s="5"/>
      <c r="S35" s="42"/>
      <c r="T35" s="42"/>
      <c r="U35" s="42"/>
      <c r="V35" s="42"/>
      <c r="W35" s="42"/>
      <c r="X35" s="42"/>
      <c r="Y35" s="288"/>
      <c r="Z35" s="288"/>
      <c r="AA35" s="42"/>
      <c r="AC35" s="10"/>
      <c r="AD35" s="10"/>
      <c r="AE35" s="10"/>
      <c r="AF35" s="10"/>
      <c r="AH35" s="10"/>
      <c r="AI35" s="10"/>
      <c r="AJ35" s="10"/>
      <c r="AK35" s="10"/>
      <c r="AM35" s="10"/>
      <c r="AN35" s="10"/>
      <c r="AO35" s="10"/>
      <c r="AP35" s="10"/>
    </row>
    <row r="36" spans="2:42" ht="12.6" thickTop="1">
      <c r="B36" s="41"/>
      <c r="C36" s="249"/>
      <c r="D36" s="254"/>
      <c r="E36" s="254"/>
      <c r="F36" s="254"/>
      <c r="G36" s="254"/>
      <c r="H36" s="254"/>
      <c r="I36" s="5"/>
      <c r="J36" s="49"/>
      <c r="K36" s="49"/>
      <c r="L36" s="49"/>
      <c r="M36" s="49"/>
      <c r="N36" s="49"/>
      <c r="O36" s="49"/>
      <c r="Q36" s="5"/>
      <c r="R36" s="5"/>
      <c r="S36" s="42"/>
      <c r="T36" s="42"/>
      <c r="U36" s="42"/>
      <c r="V36" s="42"/>
      <c r="W36" s="42"/>
      <c r="X36" s="42"/>
      <c r="Y36" s="42"/>
      <c r="Z36" s="42"/>
      <c r="AA36" s="42"/>
      <c r="AC36" s="10"/>
      <c r="AD36" s="10"/>
      <c r="AE36" s="10"/>
      <c r="AF36" s="10"/>
      <c r="AH36" s="10"/>
      <c r="AI36" s="10"/>
      <c r="AJ36" s="10"/>
      <c r="AK36" s="10"/>
      <c r="AM36" s="10"/>
      <c r="AN36" s="10"/>
      <c r="AO36" s="10"/>
      <c r="AP36" s="10"/>
    </row>
    <row r="37" spans="2:42">
      <c r="B37" s="5" t="s">
        <v>273</v>
      </c>
      <c r="C37" s="247"/>
      <c r="D37" s="557">
        <f>D$18/D23</f>
        <v>2.277847045234783</v>
      </c>
      <c r="E37" s="557">
        <f t="shared" ref="D37:G41" si="2">E$18/E23</f>
        <v>2.1502325892528407</v>
      </c>
      <c r="F37" s="557">
        <f t="shared" si="2"/>
        <v>2.0041765075121782</v>
      </c>
      <c r="G37" s="557">
        <f t="shared" si="2"/>
        <v>1.8542619432557919</v>
      </c>
      <c r="H37" s="17">
        <f t="shared" ref="H37:H45" si="3">H23</f>
        <v>1.8521326341160327E-2</v>
      </c>
      <c r="I37" s="259"/>
      <c r="J37" s="259"/>
      <c r="K37" s="259"/>
      <c r="L37" s="259"/>
      <c r="M37" s="259"/>
      <c r="N37" s="259"/>
      <c r="O37" s="18"/>
      <c r="Q37" s="5"/>
      <c r="R37" s="5"/>
      <c r="S37" s="42"/>
      <c r="T37" s="42"/>
      <c r="U37" s="42"/>
      <c r="V37" s="42"/>
      <c r="W37" s="42"/>
      <c r="X37" s="42"/>
      <c r="Y37" s="42"/>
      <c r="Z37" s="42"/>
      <c r="AA37" s="42"/>
      <c r="AC37" s="10"/>
      <c r="AD37" s="10"/>
      <c r="AE37" s="10"/>
      <c r="AF37" s="10"/>
      <c r="AH37" s="10"/>
      <c r="AI37" s="10"/>
      <c r="AJ37" s="10"/>
      <c r="AK37" s="10"/>
      <c r="AM37" s="10"/>
      <c r="AN37" s="10"/>
      <c r="AO37" s="10"/>
      <c r="AP37" s="10"/>
    </row>
    <row r="38" spans="2:42">
      <c r="B38" s="5" t="s">
        <v>184</v>
      </c>
      <c r="C38" s="247"/>
      <c r="D38" s="557">
        <f t="shared" si="2"/>
        <v>6.849831697899166</v>
      </c>
      <c r="E38" s="557">
        <f>E$18/E24</f>
        <v>6.2806293468570962</v>
      </c>
      <c r="F38" s="557">
        <f t="shared" si="2"/>
        <v>5.7934821591522017</v>
      </c>
      <c r="G38" s="557">
        <f t="shared" si="2"/>
        <v>5.317771766395448</v>
      </c>
      <c r="H38" s="17">
        <f t="shared" si="3"/>
        <v>3.4750642634944207E-2</v>
      </c>
      <c r="I38" s="17"/>
      <c r="J38" s="17"/>
      <c r="K38" s="17"/>
      <c r="L38" s="17"/>
      <c r="M38" s="17"/>
      <c r="N38" s="17"/>
      <c r="O38" s="5"/>
      <c r="Q38" s="5"/>
      <c r="R38" s="5"/>
      <c r="S38" s="42"/>
      <c r="T38" s="42"/>
      <c r="U38" s="42"/>
      <c r="V38" s="42"/>
      <c r="W38" s="42"/>
      <c r="X38" s="42"/>
      <c r="Y38" s="42"/>
      <c r="Z38" s="42"/>
      <c r="AA38" s="42"/>
    </row>
    <row r="39" spans="2:42">
      <c r="B39" s="5" t="s">
        <v>185</v>
      </c>
      <c r="C39" s="247"/>
      <c r="D39" s="557">
        <f t="shared" si="2"/>
        <v>13.141682928041465</v>
      </c>
      <c r="E39" s="557">
        <f t="shared" si="2"/>
        <v>10.964757338419016</v>
      </c>
      <c r="F39" s="557">
        <f t="shared" si="2"/>
        <v>9.804541557685198</v>
      </c>
      <c r="G39" s="557">
        <f t="shared" si="2"/>
        <v>8.7982157349725814</v>
      </c>
      <c r="H39" s="17">
        <f t="shared" si="3"/>
        <v>8.7104003376275552E-2</v>
      </c>
      <c r="I39" s="5"/>
      <c r="J39" s="5"/>
      <c r="K39" s="5"/>
      <c r="L39" s="5"/>
      <c r="M39" s="5"/>
      <c r="N39" s="5"/>
      <c r="O39" s="5"/>
      <c r="Q39" s="5"/>
      <c r="R39" s="5"/>
      <c r="S39" s="42"/>
      <c r="T39" s="42"/>
      <c r="U39" s="42"/>
      <c r="V39" s="42"/>
      <c r="W39" s="288"/>
      <c r="X39" s="288"/>
      <c r="Y39" s="42"/>
      <c r="Z39" s="42"/>
      <c r="AA39" s="42"/>
    </row>
    <row r="40" spans="2:42">
      <c r="B40" s="5" t="s">
        <v>466</v>
      </c>
      <c r="C40" s="247"/>
      <c r="D40" s="557">
        <f t="shared" si="2"/>
        <v>18.52813255469529</v>
      </c>
      <c r="E40" s="557">
        <f t="shared" si="2"/>
        <v>15.765490843861771</v>
      </c>
      <c r="F40" s="557">
        <f t="shared" si="2"/>
        <v>14.075739561998535</v>
      </c>
      <c r="G40" s="557">
        <f t="shared" si="2"/>
        <v>12.560857132625854</v>
      </c>
      <c r="H40" s="17">
        <f t="shared" si="3"/>
        <v>8.2571094333434569E-2</v>
      </c>
      <c r="I40" s="247"/>
      <c r="J40" s="259"/>
      <c r="K40" s="259"/>
      <c r="L40" s="259"/>
      <c r="M40" s="259"/>
      <c r="N40" s="259"/>
      <c r="O40" s="18"/>
      <c r="Q40" s="5"/>
      <c r="R40" s="5"/>
      <c r="S40" s="42"/>
      <c r="T40" s="42"/>
      <c r="U40" s="42"/>
      <c r="V40" s="42"/>
      <c r="W40" s="288"/>
      <c r="X40" s="288"/>
      <c r="Y40" s="288"/>
      <c r="Z40" s="288"/>
      <c r="AA40" s="42"/>
    </row>
    <row r="41" spans="2:42">
      <c r="B41" s="5" t="s">
        <v>530</v>
      </c>
      <c r="C41" s="247"/>
      <c r="D41" s="557">
        <f t="shared" si="2"/>
        <v>1.3642663881904158</v>
      </c>
      <c r="E41" s="557">
        <f t="shared" si="2"/>
        <v>1.455655532747498</v>
      </c>
      <c r="F41" s="557">
        <f t="shared" si="2"/>
        <v>1.3713906617759601</v>
      </c>
      <c r="G41" s="557">
        <f t="shared" si="2"/>
        <v>1.2870372795379703</v>
      </c>
      <c r="H41" s="17">
        <f t="shared" si="3"/>
        <v>-3.0335148824800706E-2</v>
      </c>
      <c r="I41" s="248"/>
      <c r="J41" s="17"/>
      <c r="K41" s="17"/>
      <c r="L41" s="17"/>
      <c r="M41" s="17"/>
      <c r="N41" s="17"/>
      <c r="O41" s="5"/>
      <c r="Q41" s="5"/>
      <c r="R41" s="5"/>
      <c r="S41" s="42"/>
      <c r="T41" s="42"/>
      <c r="U41" s="42"/>
      <c r="V41" s="42"/>
      <c r="W41" s="288"/>
      <c r="X41" s="288"/>
      <c r="Y41" s="288"/>
      <c r="Z41" s="288"/>
      <c r="AA41" s="42"/>
    </row>
    <row r="42" spans="2:42">
      <c r="B42" s="5" t="s">
        <v>593</v>
      </c>
      <c r="C42" s="247"/>
      <c r="D42" s="557">
        <f>D18/D28</f>
        <v>3.1118348028875746</v>
      </c>
      <c r="E42" s="557">
        <f>E18/E28</f>
        <v>2.9942852968112184</v>
      </c>
      <c r="F42" s="557">
        <f>F18/F28</f>
        <v>2.8673456842566223</v>
      </c>
      <c r="G42" s="557">
        <f>G18/G28</f>
        <v>2.7282286513343954</v>
      </c>
      <c r="H42" s="17">
        <f t="shared" si="3"/>
        <v>-6.3558229129041521E-3</v>
      </c>
      <c r="I42" s="247"/>
      <c r="J42" s="5"/>
      <c r="K42" s="5"/>
      <c r="L42" s="5"/>
      <c r="M42" s="5"/>
      <c r="N42" s="5"/>
      <c r="O42" s="5"/>
      <c r="Q42" s="5"/>
      <c r="R42" s="5"/>
      <c r="S42" s="42"/>
      <c r="T42" s="42"/>
      <c r="U42" s="42"/>
      <c r="V42" s="42"/>
      <c r="W42" s="288"/>
      <c r="X42" s="288"/>
      <c r="Y42" s="288"/>
      <c r="Z42" s="288"/>
      <c r="AA42" s="42"/>
    </row>
    <row r="43" spans="2:42">
      <c r="B43" s="5" t="s">
        <v>475</v>
      </c>
      <c r="C43" s="247"/>
      <c r="D43" s="557">
        <f>L26/D29</f>
        <v>13.756555440906864</v>
      </c>
      <c r="E43" s="557">
        <f>M26/E29</f>
        <v>13.504677869332275</v>
      </c>
      <c r="F43" s="557">
        <f>N26/F29</f>
        <v>12.132035360797172</v>
      </c>
      <c r="G43" s="557">
        <f>O26/G29</f>
        <v>11.138553365419163</v>
      </c>
      <c r="H43" s="17">
        <f t="shared" si="3"/>
        <v>4.7858300096549344E-2</v>
      </c>
      <c r="I43" s="247"/>
      <c r="J43" s="247"/>
      <c r="K43" s="247"/>
      <c r="L43" s="247"/>
      <c r="M43" s="247"/>
      <c r="N43" s="247"/>
      <c r="O43" s="18"/>
      <c r="Q43" s="5"/>
      <c r="R43" s="5"/>
      <c r="S43" s="42"/>
      <c r="T43" s="42"/>
      <c r="U43" s="42"/>
      <c r="V43" s="42"/>
      <c r="W43" s="325"/>
      <c r="X43" s="325"/>
      <c r="Y43" s="288"/>
      <c r="Z43" s="288"/>
      <c r="AA43" s="42"/>
    </row>
    <row r="44" spans="2:42">
      <c r="B44" s="5" t="s">
        <v>533</v>
      </c>
      <c r="C44" s="69"/>
      <c r="D44" s="557">
        <f>D11/D30</f>
        <v>12.110582910782163</v>
      </c>
      <c r="E44" s="557">
        <f>E11/E30</f>
        <v>11.519196439200668</v>
      </c>
      <c r="F44" s="557">
        <f>F11/F30</f>
        <v>10.554910028716604</v>
      </c>
      <c r="G44" s="557">
        <f>G11/G30</f>
        <v>9.6880087284100824</v>
      </c>
      <c r="H44" s="17">
        <f t="shared" si="3"/>
        <v>5.5327454491813866E-2</v>
      </c>
      <c r="I44" s="248"/>
      <c r="J44" s="248"/>
      <c r="K44" s="248"/>
      <c r="L44" s="248"/>
      <c r="M44" s="248"/>
      <c r="N44" s="248"/>
      <c r="O44" s="248"/>
      <c r="Q44" s="5"/>
      <c r="R44" s="5"/>
      <c r="S44" s="42"/>
      <c r="T44" s="42"/>
      <c r="U44" s="42"/>
      <c r="V44" s="42"/>
      <c r="W44" s="42"/>
      <c r="X44" s="42"/>
      <c r="Y44" s="325"/>
      <c r="Z44" s="325"/>
      <c r="AA44" s="42"/>
    </row>
    <row r="45" spans="2:42">
      <c r="B45" s="5" t="s">
        <v>580</v>
      </c>
      <c r="C45" s="247"/>
      <c r="D45" s="248">
        <f>D31/D11</f>
        <v>4.1625387172854786E-2</v>
      </c>
      <c r="E45" s="248">
        <f>E31/E11</f>
        <v>4.6800516642351596E-2</v>
      </c>
      <c r="F45" s="248">
        <f>F31/F11</f>
        <v>4.9555266335677944E-2</v>
      </c>
      <c r="G45" s="248">
        <f>G31/G11</f>
        <v>5.2797200616902303E-2</v>
      </c>
      <c r="H45" s="17">
        <f t="shared" si="3"/>
        <v>6.0460747578668261E-2</v>
      </c>
      <c r="I45" s="247"/>
      <c r="J45" s="247"/>
      <c r="K45" s="247"/>
      <c r="L45" s="247"/>
      <c r="M45" s="247"/>
      <c r="N45" s="247"/>
      <c r="O45" s="248"/>
      <c r="Q45" s="5"/>
      <c r="R45" s="5"/>
      <c r="S45" s="42"/>
      <c r="T45" s="42"/>
      <c r="U45" s="42"/>
      <c r="V45" s="42"/>
      <c r="W45" s="42"/>
      <c r="X45" s="42"/>
      <c r="Y45" s="42"/>
      <c r="Z45" s="42"/>
      <c r="AA45" s="326"/>
      <c r="AB45" s="303"/>
    </row>
    <row r="46" spans="2:42">
      <c r="B46" s="5" t="s">
        <v>605</v>
      </c>
      <c r="C46" s="247"/>
      <c r="D46" s="248">
        <f>(D31+D32)/D11</f>
        <v>5.5340890022387609E-2</v>
      </c>
      <c r="E46" s="248">
        <f>(E31+E32)/E11</f>
        <v>6.5449140297581879E-2</v>
      </c>
      <c r="F46" s="248">
        <f>(F31+F32)/F11</f>
        <v>7.0200156503187131E-2</v>
      </c>
      <c r="G46" s="248">
        <f>(G31+G32)/G11</f>
        <v>7.6271540597454418E-2</v>
      </c>
      <c r="H46" s="279">
        <f>((G31+G32)/(D31+D32))^(1/3)-1</f>
        <v>9.0224291345406549E-2</v>
      </c>
      <c r="I46" s="17"/>
      <c r="J46" s="247"/>
      <c r="K46" s="247"/>
      <c r="L46" s="247"/>
      <c r="M46" s="247"/>
      <c r="N46" s="247"/>
      <c r="O46" s="18"/>
      <c r="Q46" s="5"/>
      <c r="R46" s="5"/>
      <c r="S46" s="42"/>
      <c r="T46" s="42"/>
      <c r="U46" s="42"/>
      <c r="V46" s="42"/>
      <c r="W46" s="42"/>
      <c r="X46" s="42"/>
      <c r="Y46" s="42"/>
      <c r="Z46" s="42"/>
      <c r="AA46" s="326"/>
      <c r="AB46" s="303"/>
    </row>
    <row r="47" spans="2:42">
      <c r="B47" s="5" t="s">
        <v>581</v>
      </c>
      <c r="C47" s="5"/>
      <c r="D47" s="248">
        <f>1/D43</f>
        <v>7.2692615843816033E-2</v>
      </c>
      <c r="E47" s="248">
        <f>1/E43</f>
        <v>7.4048415643507975E-2</v>
      </c>
      <c r="F47" s="248">
        <f>1/F43</f>
        <v>8.2426400044245507E-2</v>
      </c>
      <c r="G47" s="248">
        <f>1/G43</f>
        <v>8.9778265380907316E-2</v>
      </c>
      <c r="H47" s="17">
        <f>H29</f>
        <v>4.7858300096549344E-2</v>
      </c>
      <c r="I47" s="247"/>
      <c r="J47" s="248"/>
      <c r="K47" s="248"/>
      <c r="L47" s="248"/>
      <c r="M47" s="248"/>
      <c r="N47" s="248"/>
      <c r="O47" s="248"/>
      <c r="Q47" s="5"/>
      <c r="R47" s="5"/>
      <c r="S47" s="5"/>
      <c r="T47" s="5"/>
      <c r="U47" s="5"/>
      <c r="AA47" s="303"/>
      <c r="AB47" s="303"/>
    </row>
    <row r="48" spans="2:42">
      <c r="B48" s="5" t="s">
        <v>618</v>
      </c>
      <c r="C48" s="5"/>
      <c r="D48" s="305">
        <f>D31/D29</f>
        <v>0.53269219668468681</v>
      </c>
      <c r="E48" s="305">
        <f>E31/E29</f>
        <v>0.58893013813492567</v>
      </c>
      <c r="F48" s="305">
        <f>F31/F29</f>
        <v>0.56132981369067703</v>
      </c>
      <c r="G48" s="305">
        <f>G31/G29</f>
        <v>0.55214412491536702</v>
      </c>
      <c r="H48" s="17" t="s">
        <v>607</v>
      </c>
      <c r="I48" s="259"/>
      <c r="J48" s="247"/>
      <c r="K48" s="247"/>
      <c r="L48" s="247"/>
      <c r="M48" s="247"/>
      <c r="N48" s="247"/>
      <c r="O48" s="248"/>
      <c r="Q48" s="5"/>
      <c r="R48" s="5"/>
      <c r="S48" s="5"/>
      <c r="T48" s="5"/>
      <c r="U48" s="5"/>
      <c r="AA48" s="303"/>
      <c r="AB48" s="303"/>
    </row>
    <row r="49" spans="2:28">
      <c r="B49" s="41"/>
      <c r="C49" s="17"/>
      <c r="D49" s="17"/>
      <c r="E49" s="17"/>
      <c r="F49" s="17"/>
      <c r="G49" s="17"/>
      <c r="H49" s="17"/>
      <c r="I49" s="17"/>
      <c r="J49" s="17"/>
      <c r="K49" s="17"/>
      <c r="L49" s="17"/>
      <c r="M49" s="17"/>
      <c r="N49" s="17"/>
      <c r="O49" s="248"/>
      <c r="Q49" s="5"/>
      <c r="R49" s="5"/>
      <c r="S49" s="5"/>
      <c r="T49" s="5"/>
      <c r="U49" s="5"/>
      <c r="W49" s="10"/>
      <c r="X49" s="10"/>
      <c r="AA49" s="303"/>
      <c r="AB49" s="303"/>
    </row>
    <row r="50" spans="2:28">
      <c r="B50" s="5"/>
      <c r="C50" s="257"/>
      <c r="D50" s="257"/>
      <c r="E50" s="257"/>
      <c r="F50" s="5"/>
      <c r="G50" s="41"/>
      <c r="H50" s="249"/>
      <c r="I50" s="259"/>
      <c r="J50" s="249"/>
      <c r="K50" s="249"/>
      <c r="L50" s="249"/>
      <c r="M50" s="249"/>
      <c r="N50" s="249"/>
      <c r="O50" s="250"/>
      <c r="Q50" s="5"/>
      <c r="R50" s="5"/>
      <c r="S50" s="5"/>
      <c r="T50" s="5"/>
      <c r="U50" s="5"/>
      <c r="W50" s="10"/>
      <c r="X50" s="10"/>
      <c r="Y50" s="10"/>
      <c r="Z50" s="10"/>
    </row>
    <row r="51" spans="2:28">
      <c r="B51" s="41"/>
      <c r="C51" s="249"/>
      <c r="D51" s="254"/>
      <c r="E51" s="254"/>
      <c r="F51" s="254"/>
      <c r="G51" s="254"/>
      <c r="H51" s="254"/>
      <c r="I51" s="254"/>
      <c r="J51" s="254"/>
      <c r="K51" s="254"/>
      <c r="L51" s="254"/>
      <c r="M51" s="254"/>
      <c r="N51" s="254"/>
      <c r="O51" s="251"/>
      <c r="Q51" s="5"/>
      <c r="R51" s="5"/>
      <c r="S51" s="5"/>
      <c r="T51" s="5"/>
      <c r="U51" s="5"/>
      <c r="Y51" s="10"/>
      <c r="Z51" s="10"/>
    </row>
    <row r="52" spans="2:28">
      <c r="B52" s="5"/>
      <c r="C52" s="257"/>
      <c r="D52" s="17"/>
      <c r="E52" s="17"/>
      <c r="F52" s="17"/>
      <c r="G52" s="17"/>
      <c r="H52" s="17"/>
      <c r="I52" s="17"/>
      <c r="J52" s="17"/>
      <c r="K52" s="17"/>
      <c r="L52" s="17"/>
      <c r="M52" s="17"/>
      <c r="N52" s="17"/>
      <c r="O52" s="248"/>
      <c r="Q52" s="5"/>
      <c r="R52" s="5"/>
      <c r="S52" s="5"/>
      <c r="T52" s="5"/>
      <c r="U52" s="5"/>
    </row>
    <row r="53" spans="2:28">
      <c r="B53" s="5"/>
      <c r="C53" s="257"/>
      <c r="D53" s="257"/>
      <c r="E53" s="257"/>
      <c r="F53" s="5"/>
      <c r="G53" s="5"/>
      <c r="H53" s="259"/>
      <c r="I53" s="259"/>
      <c r="J53" s="259"/>
      <c r="K53" s="259"/>
      <c r="L53" s="259"/>
      <c r="M53" s="259"/>
      <c r="N53" s="259"/>
      <c r="O53" s="18"/>
      <c r="Q53" s="5"/>
      <c r="R53" s="5"/>
      <c r="S53" s="5"/>
      <c r="T53" s="5"/>
      <c r="U53" s="5"/>
    </row>
    <row r="54" spans="2:28">
      <c r="B54" s="41"/>
      <c r="C54" s="249"/>
      <c r="D54" s="254"/>
      <c r="E54" s="254"/>
      <c r="F54" s="254"/>
      <c r="G54" s="254"/>
      <c r="H54" s="254"/>
      <c r="I54" s="249"/>
      <c r="J54" s="17"/>
      <c r="K54" s="17"/>
      <c r="L54" s="17"/>
      <c r="M54" s="17"/>
      <c r="N54" s="17"/>
      <c r="O54" s="18"/>
      <c r="Q54" s="5"/>
      <c r="R54" s="5"/>
      <c r="S54" s="5"/>
      <c r="T54" s="5"/>
      <c r="U54" s="5"/>
    </row>
    <row r="55" spans="2:28">
      <c r="B55" s="5"/>
      <c r="C55" s="257"/>
      <c r="D55" s="17"/>
      <c r="E55" s="17"/>
      <c r="F55" s="17"/>
      <c r="G55" s="17"/>
      <c r="H55" s="17"/>
      <c r="I55" s="248"/>
      <c r="J55" s="259"/>
      <c r="K55" s="259"/>
      <c r="L55" s="259"/>
      <c r="M55" s="259"/>
      <c r="N55" s="259"/>
      <c r="O55" s="18"/>
      <c r="Q55" s="5"/>
      <c r="R55" s="5"/>
      <c r="S55" s="5"/>
      <c r="T55" s="5"/>
      <c r="U55" s="5"/>
    </row>
    <row r="56" spans="2:28">
      <c r="B56" s="5"/>
      <c r="C56" s="248"/>
      <c r="D56" s="248"/>
      <c r="E56" s="248"/>
      <c r="F56" s="5"/>
      <c r="G56" s="5"/>
      <c r="H56" s="259"/>
      <c r="I56" s="5"/>
      <c r="J56" s="249"/>
      <c r="K56" s="249"/>
      <c r="L56" s="249"/>
      <c r="M56" s="249"/>
      <c r="N56" s="249"/>
      <c r="O56" s="251"/>
      <c r="Q56" s="5"/>
      <c r="R56" s="5"/>
      <c r="S56" s="5"/>
      <c r="T56" s="5"/>
      <c r="U56" s="5"/>
    </row>
    <row r="57" spans="2:28">
      <c r="B57" s="41"/>
      <c r="C57" s="249"/>
      <c r="D57" s="249"/>
      <c r="E57" s="249"/>
      <c r="F57" s="249"/>
      <c r="G57" s="249"/>
      <c r="H57" s="249"/>
      <c r="I57" s="17"/>
      <c r="J57" s="248"/>
      <c r="K57" s="248"/>
      <c r="L57" s="248"/>
      <c r="M57" s="248"/>
      <c r="N57" s="248"/>
      <c r="O57" s="18"/>
      <c r="Q57" s="5"/>
      <c r="R57" s="5"/>
      <c r="S57" s="5"/>
      <c r="T57" s="5"/>
      <c r="U57" s="5"/>
    </row>
    <row r="58" spans="2:28">
      <c r="B58" s="5"/>
      <c r="C58" s="5"/>
      <c r="D58" s="248"/>
      <c r="E58" s="248"/>
      <c r="F58" s="248"/>
      <c r="G58" s="248"/>
      <c r="H58" s="248"/>
      <c r="I58" s="5"/>
      <c r="J58" s="5"/>
      <c r="K58" s="5"/>
      <c r="L58" s="5"/>
      <c r="M58" s="5"/>
      <c r="N58" s="5"/>
      <c r="O58" s="5"/>
      <c r="Q58" s="5"/>
      <c r="R58" s="5"/>
      <c r="S58" s="5"/>
      <c r="T58" s="5"/>
      <c r="U58" s="5"/>
    </row>
    <row r="59" spans="2:28">
      <c r="B59" s="5"/>
      <c r="C59" s="5"/>
      <c r="D59" s="5"/>
      <c r="E59" s="5"/>
      <c r="F59" s="5"/>
      <c r="G59" s="5"/>
      <c r="H59" s="5"/>
      <c r="I59" s="249"/>
      <c r="J59" s="17"/>
      <c r="K59" s="17"/>
      <c r="L59" s="17"/>
      <c r="M59" s="17"/>
      <c r="N59" s="17"/>
      <c r="O59" s="251"/>
      <c r="Q59" s="5"/>
      <c r="R59" s="5"/>
      <c r="S59" s="5"/>
      <c r="T59" s="5"/>
      <c r="U59" s="5"/>
    </row>
    <row r="60" spans="2:28">
      <c r="B60" s="41"/>
      <c r="C60" s="17"/>
      <c r="D60" s="17"/>
      <c r="E60" s="17"/>
      <c r="F60" s="17"/>
      <c r="G60" s="17"/>
      <c r="H60" s="17"/>
      <c r="I60" s="5"/>
      <c r="J60" s="5"/>
      <c r="K60" s="5"/>
      <c r="L60" s="5"/>
      <c r="M60" s="5"/>
      <c r="N60" s="5"/>
      <c r="O60" s="5"/>
      <c r="Q60" s="41"/>
      <c r="R60" s="5"/>
      <c r="S60" s="5"/>
      <c r="T60" s="5"/>
      <c r="U60" s="5"/>
    </row>
    <row r="61" spans="2:28">
      <c r="B61" s="5"/>
      <c r="C61" s="5"/>
      <c r="D61" s="5"/>
      <c r="E61" s="5"/>
      <c r="F61" s="5"/>
      <c r="G61" s="5"/>
      <c r="H61" s="5"/>
      <c r="I61" s="5"/>
      <c r="J61" s="249"/>
      <c r="K61" s="249"/>
      <c r="L61" s="249"/>
      <c r="M61" s="249"/>
      <c r="N61" s="249"/>
      <c r="O61" s="251"/>
      <c r="Q61" s="5"/>
      <c r="R61" s="5"/>
      <c r="S61" s="5"/>
      <c r="T61" s="5"/>
      <c r="U61" s="5"/>
    </row>
    <row r="62" spans="2:28">
      <c r="B62" s="41"/>
      <c r="C62" s="249"/>
      <c r="D62" s="249"/>
      <c r="E62" s="249"/>
      <c r="F62" s="249"/>
      <c r="G62" s="249"/>
      <c r="H62" s="249"/>
      <c r="I62" s="254"/>
      <c r="J62" s="5"/>
      <c r="K62" s="5"/>
      <c r="L62" s="5"/>
      <c r="M62" s="5"/>
      <c r="N62" s="5"/>
      <c r="O62" s="5"/>
      <c r="Q62" s="5"/>
      <c r="R62" s="5"/>
      <c r="S62" s="5"/>
      <c r="T62" s="5"/>
      <c r="U62" s="5"/>
    </row>
    <row r="63" spans="2:28">
      <c r="B63" s="5"/>
      <c r="C63" s="5"/>
      <c r="D63" s="5"/>
      <c r="E63" s="5"/>
      <c r="F63" s="5"/>
      <c r="G63" s="5"/>
      <c r="H63" s="5"/>
      <c r="I63" s="17"/>
      <c r="J63" s="5"/>
      <c r="K63" s="5"/>
      <c r="L63" s="5"/>
      <c r="M63" s="5"/>
      <c r="N63" s="5"/>
      <c r="O63" s="5"/>
      <c r="Q63" s="5"/>
      <c r="R63" s="5"/>
      <c r="S63" s="5"/>
      <c r="T63" s="5"/>
      <c r="U63" s="5"/>
    </row>
    <row r="64" spans="2:28">
      <c r="B64" s="5"/>
      <c r="C64" s="5"/>
      <c r="D64" s="5"/>
      <c r="E64" s="5"/>
      <c r="F64" s="5"/>
      <c r="G64" s="5"/>
      <c r="H64" s="5"/>
      <c r="I64" s="254"/>
      <c r="J64" s="254"/>
      <c r="K64" s="254"/>
      <c r="L64" s="254"/>
      <c r="M64" s="254"/>
      <c r="N64" s="254"/>
      <c r="O64" s="251"/>
      <c r="Q64" s="5"/>
      <c r="R64" s="5"/>
      <c r="S64" s="5"/>
      <c r="T64" s="5"/>
      <c r="U64" s="5"/>
    </row>
    <row r="65" spans="2:26">
      <c r="B65" s="41"/>
      <c r="C65" s="249"/>
      <c r="D65" s="254"/>
      <c r="E65" s="254"/>
      <c r="F65" s="254"/>
      <c r="G65" s="254"/>
      <c r="H65" s="254"/>
      <c r="I65" s="248"/>
      <c r="J65" s="17"/>
      <c r="K65" s="17"/>
      <c r="L65" s="17"/>
      <c r="M65" s="17"/>
      <c r="N65" s="17"/>
      <c r="O65" s="5"/>
      <c r="Q65" s="5"/>
      <c r="R65" s="5"/>
      <c r="S65" s="5"/>
      <c r="T65" s="5"/>
      <c r="U65" s="5"/>
    </row>
    <row r="66" spans="2:26">
      <c r="B66" s="5"/>
      <c r="C66" s="5"/>
      <c r="D66" s="17"/>
      <c r="E66" s="17"/>
      <c r="F66" s="17"/>
      <c r="G66" s="17"/>
      <c r="H66" s="17"/>
      <c r="I66" s="5"/>
      <c r="J66" s="254"/>
      <c r="K66" s="254"/>
      <c r="L66" s="254"/>
      <c r="M66" s="254"/>
      <c r="N66" s="254"/>
      <c r="O66" s="251"/>
      <c r="Q66" s="41"/>
      <c r="R66" s="5"/>
      <c r="S66" s="5"/>
      <c r="T66" s="5"/>
      <c r="U66" s="5"/>
    </row>
    <row r="67" spans="2:26">
      <c r="B67" s="41"/>
      <c r="C67" s="249"/>
      <c r="D67" s="254"/>
      <c r="E67" s="254"/>
      <c r="F67" s="254"/>
      <c r="G67" s="254"/>
      <c r="H67" s="254"/>
      <c r="I67" s="245"/>
      <c r="J67" s="248"/>
      <c r="K67" s="248"/>
      <c r="L67" s="248"/>
      <c r="M67" s="248"/>
      <c r="N67" s="248"/>
      <c r="O67" s="5"/>
      <c r="Q67" s="5"/>
      <c r="R67" s="5"/>
      <c r="S67" s="5"/>
      <c r="T67" s="5"/>
      <c r="U67" s="5"/>
    </row>
    <row r="68" spans="2:26">
      <c r="B68" s="5"/>
      <c r="C68" s="5"/>
      <c r="D68" s="248"/>
      <c r="E68" s="248"/>
      <c r="F68" s="248"/>
      <c r="G68" s="248"/>
      <c r="H68" s="248"/>
      <c r="I68" s="248"/>
      <c r="J68" s="5"/>
      <c r="K68" s="5"/>
      <c r="L68" s="5"/>
      <c r="M68" s="5"/>
      <c r="N68" s="5"/>
      <c r="O68" s="5"/>
      <c r="Q68" s="5"/>
      <c r="R68" s="5"/>
      <c r="S68" s="5"/>
      <c r="T68" s="5"/>
      <c r="U68" s="5"/>
    </row>
    <row r="69" spans="2:26">
      <c r="B69" s="41"/>
      <c r="C69" s="5"/>
      <c r="D69" s="5"/>
      <c r="E69" s="5"/>
      <c r="F69" s="5"/>
      <c r="G69" s="5"/>
      <c r="H69" s="5"/>
      <c r="I69" s="5"/>
      <c r="J69" s="245"/>
      <c r="K69" s="245"/>
      <c r="L69" s="245"/>
      <c r="M69" s="245"/>
      <c r="N69" s="245"/>
      <c r="O69" s="251"/>
      <c r="Q69" s="5"/>
      <c r="R69" s="5"/>
      <c r="S69" s="5"/>
      <c r="T69" s="5"/>
      <c r="U69" s="5"/>
      <c r="W69" s="76"/>
      <c r="X69" s="76"/>
    </row>
    <row r="70" spans="2:26">
      <c r="B70" s="41"/>
      <c r="C70" s="245"/>
      <c r="D70" s="245"/>
      <c r="E70" s="245"/>
      <c r="F70" s="245"/>
      <c r="G70" s="245"/>
      <c r="H70" s="245"/>
      <c r="I70" s="245"/>
      <c r="J70" s="248"/>
      <c r="K70" s="248"/>
      <c r="L70" s="248"/>
      <c r="M70" s="248"/>
      <c r="N70" s="248"/>
      <c r="O70" s="5"/>
      <c r="Q70" s="5"/>
      <c r="R70" s="5"/>
      <c r="S70" s="5"/>
      <c r="T70" s="5"/>
      <c r="U70" s="5"/>
      <c r="W70" s="76"/>
      <c r="X70" s="76"/>
      <c r="Y70" s="76"/>
      <c r="Z70" s="76"/>
    </row>
    <row r="71" spans="2:26">
      <c r="B71" s="5"/>
      <c r="C71" s="5"/>
      <c r="D71" s="248"/>
      <c r="E71" s="248"/>
      <c r="F71" s="248"/>
      <c r="G71" s="248"/>
      <c r="H71" s="248"/>
      <c r="I71" s="18"/>
      <c r="J71" s="5"/>
      <c r="K71" s="5"/>
      <c r="L71" s="5"/>
      <c r="M71" s="5"/>
      <c r="N71" s="5"/>
      <c r="O71" s="5"/>
      <c r="Q71" s="5"/>
      <c r="R71" s="5"/>
      <c r="S71" s="5"/>
      <c r="T71" s="5"/>
      <c r="U71" s="5"/>
      <c r="Y71" s="76"/>
      <c r="Z71" s="76"/>
    </row>
    <row r="72" spans="2:26">
      <c r="B72" s="41"/>
      <c r="C72" s="5"/>
      <c r="D72" s="5"/>
      <c r="E72" s="5"/>
      <c r="F72" s="5"/>
      <c r="G72" s="5"/>
      <c r="H72" s="5"/>
      <c r="I72" s="5"/>
      <c r="J72" s="245"/>
      <c r="K72" s="245"/>
      <c r="L72" s="245"/>
      <c r="M72" s="245"/>
      <c r="N72" s="245"/>
      <c r="O72" s="251"/>
      <c r="Q72" s="5"/>
      <c r="R72" s="5"/>
      <c r="S72" s="5"/>
      <c r="T72" s="5"/>
      <c r="U72" s="5"/>
    </row>
    <row r="73" spans="2:26">
      <c r="B73" s="41"/>
      <c r="C73" s="245"/>
      <c r="D73" s="245"/>
      <c r="E73" s="245"/>
      <c r="F73" s="245"/>
      <c r="G73" s="245"/>
      <c r="H73" s="245"/>
      <c r="I73" s="249"/>
      <c r="J73" s="18"/>
      <c r="K73" s="18"/>
      <c r="L73" s="18"/>
      <c r="M73" s="18"/>
      <c r="N73" s="18"/>
      <c r="O73" s="5"/>
      <c r="Q73" s="5"/>
      <c r="R73" s="5"/>
      <c r="S73" s="5"/>
      <c r="T73" s="5"/>
      <c r="U73" s="5"/>
    </row>
    <row r="74" spans="2:26">
      <c r="B74" s="5"/>
      <c r="C74" s="5"/>
      <c r="D74" s="18"/>
      <c r="E74" s="18"/>
      <c r="F74" s="18"/>
      <c r="G74" s="18"/>
      <c r="H74" s="18"/>
      <c r="I74" s="248"/>
      <c r="J74" s="5"/>
      <c r="K74" s="5"/>
      <c r="L74" s="5"/>
      <c r="M74" s="5"/>
      <c r="N74" s="5"/>
      <c r="O74" s="5"/>
      <c r="Q74" s="5"/>
      <c r="R74" s="5"/>
      <c r="S74" s="5"/>
      <c r="T74" s="5"/>
      <c r="U74" s="5"/>
    </row>
    <row r="75" spans="2:26">
      <c r="B75" s="41"/>
      <c r="C75" s="5"/>
      <c r="D75" s="5"/>
      <c r="E75" s="5"/>
      <c r="F75" s="5"/>
      <c r="G75" s="5"/>
      <c r="H75" s="5"/>
      <c r="I75" s="5"/>
      <c r="J75" s="249"/>
      <c r="K75" s="249"/>
      <c r="L75" s="249"/>
      <c r="M75" s="249"/>
      <c r="N75" s="249"/>
      <c r="O75" s="251"/>
      <c r="Q75" s="5"/>
      <c r="R75" s="5"/>
      <c r="S75" s="5"/>
      <c r="T75" s="5"/>
      <c r="U75" s="5"/>
    </row>
    <row r="76" spans="2:26">
      <c r="B76" s="41"/>
      <c r="C76" s="249"/>
      <c r="D76" s="249"/>
      <c r="E76" s="249"/>
      <c r="F76" s="249"/>
      <c r="G76" s="249"/>
      <c r="H76" s="249"/>
      <c r="I76" s="245"/>
      <c r="J76" s="248"/>
      <c r="K76" s="248"/>
      <c r="L76" s="248"/>
      <c r="M76" s="248"/>
      <c r="N76" s="248"/>
      <c r="O76" s="5"/>
      <c r="Q76" s="5"/>
      <c r="R76" s="5"/>
      <c r="S76" s="5"/>
      <c r="T76" s="5"/>
      <c r="U76" s="5"/>
    </row>
    <row r="77" spans="2:26">
      <c r="B77" s="5"/>
      <c r="C77" s="5"/>
      <c r="D77" s="248"/>
      <c r="E77" s="248"/>
      <c r="F77" s="248"/>
      <c r="G77" s="248"/>
      <c r="H77" s="248"/>
      <c r="I77" s="248"/>
      <c r="J77" s="5"/>
      <c r="K77" s="5"/>
      <c r="L77" s="5"/>
      <c r="M77" s="5"/>
      <c r="N77" s="5"/>
      <c r="O77" s="5"/>
      <c r="Q77" s="5"/>
      <c r="R77" s="5"/>
      <c r="S77" s="5"/>
      <c r="T77" s="5"/>
      <c r="U77" s="5"/>
    </row>
    <row r="78" spans="2:26">
      <c r="B78" s="41"/>
      <c r="C78" s="5"/>
      <c r="D78" s="5"/>
      <c r="E78" s="5"/>
      <c r="F78" s="5"/>
      <c r="G78" s="5"/>
      <c r="H78" s="5"/>
      <c r="I78" s="5"/>
      <c r="J78" s="245"/>
      <c r="K78" s="245"/>
      <c r="L78" s="245"/>
      <c r="M78" s="245"/>
      <c r="N78" s="245"/>
      <c r="O78" s="251"/>
      <c r="Q78" s="5"/>
      <c r="R78" s="5"/>
      <c r="S78" s="5"/>
      <c r="T78" s="5"/>
      <c r="U78" s="5"/>
    </row>
    <row r="79" spans="2:26">
      <c r="B79" s="41"/>
      <c r="C79" s="245"/>
      <c r="D79" s="245"/>
      <c r="E79" s="245"/>
      <c r="F79" s="245"/>
      <c r="G79" s="245"/>
      <c r="H79" s="245"/>
      <c r="I79" s="249"/>
      <c r="J79" s="248"/>
      <c r="K79" s="248"/>
      <c r="L79" s="248"/>
      <c r="M79" s="248"/>
      <c r="N79" s="248"/>
      <c r="O79" s="5"/>
      <c r="Q79" s="5"/>
      <c r="R79" s="5"/>
      <c r="S79" s="5"/>
      <c r="T79" s="5"/>
      <c r="U79" s="5"/>
    </row>
    <row r="80" spans="2:26">
      <c r="B80" s="5"/>
      <c r="C80" s="5"/>
      <c r="D80" s="248"/>
      <c r="E80" s="248"/>
      <c r="F80" s="248"/>
      <c r="G80" s="248"/>
      <c r="H80" s="248"/>
      <c r="I80" s="248"/>
      <c r="J80" s="5"/>
      <c r="K80" s="5"/>
      <c r="L80" s="5"/>
      <c r="M80" s="5"/>
      <c r="N80" s="5"/>
      <c r="O80" s="5"/>
      <c r="Q80" s="5"/>
      <c r="R80" s="5"/>
      <c r="S80" s="5"/>
      <c r="T80" s="5"/>
      <c r="U80" s="5"/>
    </row>
    <row r="81" spans="2:26">
      <c r="B81" s="41"/>
      <c r="C81" s="5"/>
      <c r="D81" s="5"/>
      <c r="E81" s="5"/>
      <c r="F81" s="5"/>
      <c r="G81" s="5"/>
      <c r="H81" s="5"/>
      <c r="I81" s="259"/>
      <c r="J81" s="249"/>
      <c r="K81" s="249"/>
      <c r="L81" s="249"/>
      <c r="M81" s="249"/>
      <c r="N81" s="249"/>
      <c r="O81" s="251"/>
      <c r="Q81" s="5"/>
      <c r="R81" s="5"/>
      <c r="S81" s="5"/>
      <c r="T81" s="5"/>
      <c r="U81" s="5"/>
    </row>
    <row r="82" spans="2:26">
      <c r="B82" s="41"/>
      <c r="C82" s="249"/>
      <c r="D82" s="249"/>
      <c r="E82" s="249"/>
      <c r="F82" s="249"/>
      <c r="G82" s="249"/>
      <c r="H82" s="249"/>
      <c r="I82" s="5"/>
      <c r="J82" s="248"/>
      <c r="K82" s="248"/>
      <c r="L82" s="248"/>
      <c r="M82" s="248"/>
      <c r="N82" s="248"/>
      <c r="O82" s="5"/>
      <c r="Q82" s="5"/>
      <c r="R82" s="5"/>
      <c r="S82" s="5"/>
      <c r="T82" s="5"/>
      <c r="U82" s="5"/>
    </row>
    <row r="83" spans="2:26">
      <c r="B83" s="5"/>
      <c r="C83" s="5"/>
      <c r="D83" s="248"/>
      <c r="E83" s="248"/>
      <c r="F83" s="248"/>
      <c r="G83" s="248"/>
      <c r="H83" s="248"/>
      <c r="I83" s="245"/>
      <c r="J83" s="259"/>
      <c r="K83" s="259"/>
      <c r="L83" s="259"/>
      <c r="M83" s="259"/>
      <c r="N83" s="259"/>
      <c r="O83" s="251"/>
      <c r="Q83" s="5"/>
      <c r="R83" s="5"/>
      <c r="S83" s="5"/>
      <c r="T83" s="5"/>
      <c r="U83" s="5"/>
    </row>
    <row r="84" spans="2:26">
      <c r="B84" s="5"/>
      <c r="C84" s="259"/>
      <c r="D84" s="259"/>
      <c r="E84" s="259"/>
      <c r="F84" s="259"/>
      <c r="G84" s="259"/>
      <c r="H84" s="259"/>
      <c r="I84" s="248"/>
      <c r="J84" s="5"/>
      <c r="K84" s="5"/>
      <c r="L84" s="5"/>
      <c r="M84" s="5"/>
      <c r="N84" s="5"/>
      <c r="O84" s="5"/>
      <c r="Q84" s="5"/>
      <c r="R84" s="5"/>
      <c r="S84" s="5"/>
      <c r="T84" s="5"/>
      <c r="U84" s="5"/>
    </row>
    <row r="85" spans="2:26">
      <c r="B85" s="41"/>
      <c r="C85" s="5"/>
      <c r="D85" s="5"/>
      <c r="E85" s="5"/>
      <c r="F85" s="5"/>
      <c r="G85" s="5"/>
      <c r="H85" s="5"/>
      <c r="I85" s="5"/>
      <c r="J85" s="245"/>
      <c r="K85" s="245"/>
      <c r="L85" s="245"/>
      <c r="M85" s="245"/>
      <c r="N85" s="245"/>
      <c r="O85" s="251"/>
      <c r="Q85" s="5"/>
      <c r="R85" s="5"/>
      <c r="S85" s="5"/>
      <c r="T85" s="5"/>
      <c r="U85" s="5"/>
    </row>
    <row r="86" spans="2:26">
      <c r="B86" s="41"/>
      <c r="C86" s="245"/>
      <c r="D86" s="245"/>
      <c r="E86" s="245"/>
      <c r="F86" s="245"/>
      <c r="G86" s="245"/>
      <c r="H86" s="245"/>
      <c r="I86" s="5"/>
      <c r="J86" s="248"/>
      <c r="K86" s="248"/>
      <c r="L86" s="248"/>
      <c r="M86" s="248"/>
      <c r="N86" s="248"/>
      <c r="O86" s="5"/>
      <c r="Q86" s="5"/>
      <c r="R86" s="5"/>
      <c r="S86" s="5"/>
      <c r="T86" s="5"/>
      <c r="U86" s="5"/>
    </row>
    <row r="87" spans="2:26">
      <c r="B87" s="5"/>
      <c r="C87" s="5"/>
      <c r="D87" s="248"/>
      <c r="E87" s="248"/>
      <c r="F87" s="248"/>
      <c r="G87" s="248"/>
      <c r="H87" s="248"/>
      <c r="I87" s="5"/>
      <c r="J87" s="5"/>
      <c r="K87" s="5"/>
      <c r="L87" s="5"/>
      <c r="M87" s="5"/>
      <c r="N87" s="5"/>
      <c r="O87" s="5"/>
      <c r="Q87" s="5"/>
      <c r="R87" s="5"/>
      <c r="S87" s="5"/>
      <c r="T87" s="5"/>
      <c r="U87" s="5"/>
    </row>
    <row r="88" spans="2:26">
      <c r="B88" s="41"/>
      <c r="C88" s="5"/>
      <c r="D88" s="5"/>
      <c r="E88" s="5"/>
      <c r="F88" s="5"/>
      <c r="G88" s="5"/>
      <c r="H88" s="5"/>
      <c r="I88" s="5"/>
      <c r="J88" s="5"/>
      <c r="K88" s="5"/>
      <c r="L88" s="5"/>
      <c r="M88" s="5"/>
      <c r="N88" s="5"/>
      <c r="O88" s="5"/>
      <c r="Q88" s="5"/>
      <c r="R88" s="5"/>
      <c r="S88" s="5"/>
      <c r="T88" s="5"/>
      <c r="U88" s="5"/>
    </row>
    <row r="89" spans="2:26">
      <c r="B89" s="41"/>
      <c r="C89" s="5"/>
      <c r="D89" s="5"/>
      <c r="E89" s="5"/>
      <c r="F89" s="5"/>
      <c r="G89" s="5"/>
      <c r="H89" s="5"/>
      <c r="I89" s="49"/>
      <c r="J89" s="5"/>
      <c r="K89" s="5"/>
      <c r="L89" s="5"/>
      <c r="M89" s="5"/>
      <c r="N89" s="5"/>
      <c r="O89" s="5"/>
      <c r="Q89" s="41"/>
      <c r="R89" s="5"/>
      <c r="S89" s="5"/>
      <c r="T89" s="5"/>
      <c r="U89" s="5"/>
    </row>
    <row r="90" spans="2:26">
      <c r="B90" s="41"/>
      <c r="C90" s="5"/>
      <c r="D90" s="5"/>
      <c r="E90" s="5"/>
      <c r="F90" s="5"/>
      <c r="G90" s="5"/>
      <c r="H90" s="5"/>
      <c r="I90" s="5"/>
      <c r="J90" s="5"/>
      <c r="K90" s="5"/>
      <c r="L90" s="5"/>
      <c r="M90" s="5"/>
      <c r="N90" s="5"/>
      <c r="O90" s="5"/>
      <c r="Q90" s="5"/>
      <c r="R90" s="5"/>
      <c r="S90" s="5"/>
      <c r="T90" s="5"/>
      <c r="U90" s="5"/>
    </row>
    <row r="91" spans="2:26">
      <c r="B91" s="5"/>
      <c r="C91" s="5"/>
      <c r="D91" s="5"/>
      <c r="E91" s="5"/>
      <c r="F91" s="5"/>
      <c r="G91" s="5"/>
      <c r="H91" s="5"/>
      <c r="I91" s="247"/>
      <c r="J91" s="49"/>
      <c r="K91" s="49"/>
      <c r="L91" s="49"/>
      <c r="M91" s="49"/>
      <c r="N91" s="49"/>
      <c r="O91" s="49"/>
      <c r="Q91" s="5"/>
      <c r="R91" s="5"/>
      <c r="S91" s="5"/>
      <c r="T91" s="5"/>
      <c r="U91" s="5"/>
      <c r="W91" s="21"/>
      <c r="X91" s="21"/>
    </row>
    <row r="92" spans="2:26">
      <c r="B92" s="41"/>
      <c r="C92" s="49"/>
      <c r="D92" s="49"/>
      <c r="E92" s="49"/>
      <c r="F92" s="49"/>
      <c r="G92" s="49"/>
      <c r="H92" s="49"/>
      <c r="I92" s="247"/>
      <c r="J92" s="5"/>
      <c r="K92" s="5"/>
      <c r="L92" s="5"/>
      <c r="M92" s="5"/>
      <c r="N92" s="5"/>
      <c r="O92" s="5"/>
      <c r="Q92" s="5"/>
      <c r="R92" s="5"/>
      <c r="S92" s="5"/>
      <c r="T92" s="5"/>
      <c r="U92" s="5"/>
      <c r="W92" s="21"/>
      <c r="X92" s="21"/>
      <c r="Y92" s="21"/>
      <c r="Z92" s="21"/>
    </row>
    <row r="93" spans="2:26">
      <c r="B93" s="5"/>
      <c r="C93" s="5"/>
      <c r="D93" s="5"/>
      <c r="E93" s="5"/>
      <c r="F93" s="5"/>
      <c r="G93" s="5"/>
      <c r="H93" s="5"/>
      <c r="I93" s="247"/>
      <c r="J93" s="247"/>
      <c r="K93" s="247"/>
      <c r="L93" s="247"/>
      <c r="M93" s="247"/>
      <c r="N93" s="247"/>
      <c r="O93" s="248"/>
      <c r="Q93" s="5"/>
      <c r="R93" s="5"/>
      <c r="S93" s="5"/>
      <c r="T93" s="5"/>
      <c r="U93" s="5"/>
      <c r="Y93" s="21"/>
      <c r="Z93" s="21"/>
    </row>
    <row r="94" spans="2:26">
      <c r="B94" s="5"/>
      <c r="C94" s="259"/>
      <c r="D94" s="247"/>
      <c r="E94" s="247"/>
      <c r="F94" s="247"/>
      <c r="G94" s="247"/>
      <c r="H94" s="247"/>
      <c r="I94" s="248"/>
      <c r="J94" s="247"/>
      <c r="K94" s="247"/>
      <c r="L94" s="247"/>
      <c r="M94" s="247"/>
      <c r="N94" s="247"/>
      <c r="O94" s="248"/>
      <c r="Q94" s="5"/>
      <c r="R94" s="5"/>
      <c r="S94" s="5"/>
      <c r="T94" s="5"/>
      <c r="U94" s="5"/>
    </row>
    <row r="95" spans="2:26">
      <c r="B95" s="5"/>
      <c r="C95" s="259"/>
      <c r="D95" s="247"/>
      <c r="E95" s="247"/>
      <c r="F95" s="247"/>
      <c r="G95" s="247"/>
      <c r="H95" s="247"/>
      <c r="I95" s="247"/>
      <c r="J95" s="247"/>
      <c r="K95" s="247"/>
      <c r="L95" s="247"/>
      <c r="M95" s="247"/>
      <c r="N95" s="247"/>
      <c r="O95" s="248"/>
      <c r="Q95" s="5"/>
      <c r="R95" s="5"/>
      <c r="S95" s="5"/>
      <c r="T95" s="5"/>
      <c r="U95" s="5"/>
    </row>
    <row r="96" spans="2:26">
      <c r="B96" s="5"/>
      <c r="C96" s="259"/>
      <c r="D96" s="247"/>
      <c r="E96" s="247"/>
      <c r="F96" s="247"/>
      <c r="G96" s="247"/>
      <c r="H96" s="247"/>
      <c r="I96" s="249"/>
      <c r="J96" s="248"/>
      <c r="K96" s="248"/>
      <c r="L96" s="248"/>
      <c r="M96" s="248"/>
      <c r="N96" s="248"/>
      <c r="O96" s="248"/>
      <c r="Q96" s="5"/>
      <c r="R96" s="5"/>
      <c r="S96" s="5"/>
      <c r="T96" s="5"/>
      <c r="U96" s="5"/>
    </row>
    <row r="97" spans="2:21">
      <c r="B97" s="5"/>
      <c r="C97" s="259"/>
      <c r="D97" s="248"/>
      <c r="E97" s="248"/>
      <c r="F97" s="248"/>
      <c r="G97" s="248"/>
      <c r="H97" s="248"/>
      <c r="I97" s="248"/>
      <c r="J97" s="247"/>
      <c r="K97" s="247"/>
      <c r="L97" s="247"/>
      <c r="M97" s="247"/>
      <c r="N97" s="247"/>
      <c r="O97" s="248"/>
      <c r="Q97" s="5"/>
      <c r="R97" s="5"/>
      <c r="S97" s="5"/>
      <c r="T97" s="5"/>
      <c r="U97" s="5"/>
    </row>
    <row r="98" spans="2:21">
      <c r="B98" s="5"/>
      <c r="C98" s="259"/>
      <c r="D98" s="247"/>
      <c r="E98" s="247"/>
      <c r="F98" s="247"/>
      <c r="G98" s="247"/>
      <c r="H98" s="247"/>
      <c r="I98" s="5"/>
      <c r="J98" s="249"/>
      <c r="K98" s="249"/>
      <c r="L98" s="249"/>
      <c r="M98" s="249"/>
      <c r="N98" s="249"/>
      <c r="O98" s="248"/>
      <c r="Q98" s="5"/>
      <c r="R98" s="5"/>
      <c r="S98" s="5"/>
      <c r="T98" s="5"/>
      <c r="U98" s="5"/>
    </row>
    <row r="99" spans="2:21">
      <c r="B99" s="41"/>
      <c r="C99" s="249"/>
      <c r="D99" s="249"/>
      <c r="E99" s="249"/>
      <c r="F99" s="249"/>
      <c r="G99" s="249"/>
      <c r="H99" s="249"/>
      <c r="I99" s="259"/>
      <c r="J99" s="248"/>
      <c r="K99" s="248"/>
      <c r="L99" s="248"/>
      <c r="M99" s="248"/>
      <c r="N99" s="248"/>
      <c r="O99" s="248"/>
      <c r="Q99" s="5"/>
      <c r="R99" s="5"/>
      <c r="S99" s="5"/>
      <c r="T99" s="5"/>
      <c r="U99" s="5"/>
    </row>
    <row r="100" spans="2:21" s="5" customFormat="1">
      <c r="B100" s="41"/>
      <c r="C100" s="257"/>
      <c r="D100" s="248"/>
      <c r="E100" s="248"/>
      <c r="F100" s="248"/>
      <c r="G100" s="248"/>
      <c r="H100" s="248"/>
      <c r="I100" s="259"/>
      <c r="O100" s="248"/>
      <c r="P100" s="39"/>
    </row>
    <row r="101" spans="2:21">
      <c r="B101" s="41"/>
      <c r="C101" s="5"/>
      <c r="D101" s="5"/>
      <c r="E101" s="5"/>
      <c r="F101" s="5"/>
      <c r="G101" s="5"/>
      <c r="H101" s="5"/>
      <c r="I101" s="247"/>
      <c r="J101" s="259"/>
      <c r="K101" s="259"/>
      <c r="L101" s="259"/>
      <c r="M101" s="259"/>
      <c r="N101" s="259"/>
      <c r="O101" s="5"/>
      <c r="Q101" s="5"/>
      <c r="R101" s="5"/>
      <c r="S101" s="5"/>
      <c r="T101" s="5"/>
      <c r="U101" s="5"/>
    </row>
    <row r="102" spans="2:21">
      <c r="B102" s="5"/>
      <c r="C102" s="259"/>
      <c r="D102" s="259"/>
      <c r="E102" s="259"/>
      <c r="F102" s="259"/>
      <c r="G102" s="259"/>
      <c r="H102" s="259"/>
      <c r="I102" s="5"/>
      <c r="J102" s="259"/>
      <c r="K102" s="259"/>
      <c r="L102" s="259"/>
      <c r="M102" s="259"/>
      <c r="N102" s="259"/>
      <c r="O102" s="5"/>
      <c r="P102" s="5"/>
      <c r="Q102" s="5"/>
      <c r="R102" s="5"/>
      <c r="S102" s="5"/>
      <c r="T102" s="5"/>
      <c r="U102" s="5"/>
    </row>
    <row r="103" spans="2:21">
      <c r="B103" s="5"/>
      <c r="C103" s="259"/>
      <c r="D103" s="259"/>
      <c r="E103" s="259"/>
      <c r="F103" s="259"/>
      <c r="G103" s="259"/>
      <c r="H103" s="259"/>
      <c r="I103" s="247"/>
      <c r="J103" s="247"/>
      <c r="K103" s="247"/>
      <c r="L103" s="247"/>
      <c r="M103" s="247"/>
      <c r="N103" s="247"/>
      <c r="O103" s="5"/>
      <c r="Q103" s="5"/>
      <c r="R103" s="5"/>
      <c r="S103" s="5"/>
      <c r="T103" s="5"/>
      <c r="U103" s="5"/>
    </row>
    <row r="104" spans="2:21" s="5" customFormat="1">
      <c r="C104" s="247"/>
      <c r="D104" s="247"/>
      <c r="E104" s="247"/>
      <c r="F104" s="247"/>
      <c r="G104" s="247"/>
      <c r="H104" s="247"/>
      <c r="P104" s="39"/>
    </row>
    <row r="105" spans="2:21" s="5" customFormat="1">
      <c r="I105" s="259"/>
      <c r="J105" s="247"/>
      <c r="K105" s="247"/>
      <c r="L105" s="247"/>
      <c r="M105" s="247"/>
      <c r="N105" s="247"/>
      <c r="P105" s="39"/>
    </row>
    <row r="106" spans="2:21">
      <c r="B106" s="5"/>
      <c r="C106" s="259"/>
      <c r="D106" s="247"/>
      <c r="E106" s="247"/>
      <c r="F106" s="247"/>
      <c r="G106" s="247"/>
      <c r="H106" s="247"/>
      <c r="I106" s="247"/>
      <c r="J106" s="5"/>
      <c r="K106" s="5"/>
      <c r="L106" s="5"/>
      <c r="M106" s="5"/>
      <c r="N106" s="5"/>
      <c r="O106" s="5"/>
      <c r="P106" s="5"/>
      <c r="Q106" s="5"/>
      <c r="R106" s="5"/>
      <c r="S106" s="5"/>
      <c r="T106" s="5"/>
      <c r="U106" s="5"/>
    </row>
    <row r="107" spans="2:21">
      <c r="B107" s="5"/>
      <c r="C107" s="259"/>
      <c r="D107" s="5"/>
      <c r="E107" s="5"/>
      <c r="F107" s="5"/>
      <c r="G107" s="5"/>
      <c r="H107" s="5"/>
      <c r="I107" s="249"/>
      <c r="J107" s="259"/>
      <c r="K107" s="259"/>
      <c r="L107" s="259"/>
      <c r="M107" s="259"/>
      <c r="N107" s="259"/>
      <c r="O107" s="5"/>
      <c r="P107" s="5"/>
      <c r="Q107" s="5"/>
      <c r="R107" s="5"/>
      <c r="S107" s="5"/>
      <c r="T107" s="5"/>
      <c r="U107" s="5"/>
    </row>
    <row r="108" spans="2:21">
      <c r="B108" s="5"/>
      <c r="C108" s="259"/>
      <c r="D108" s="259"/>
      <c r="E108" s="259"/>
      <c r="F108" s="259"/>
      <c r="G108" s="259"/>
      <c r="H108" s="259"/>
      <c r="I108" s="249"/>
      <c r="J108" s="247"/>
      <c r="K108" s="247"/>
      <c r="L108" s="247"/>
      <c r="M108" s="247"/>
      <c r="N108" s="247"/>
      <c r="O108" s="5"/>
      <c r="Q108" s="5"/>
      <c r="R108" s="5"/>
      <c r="S108" s="5"/>
      <c r="T108" s="5"/>
      <c r="U108" s="5"/>
    </row>
    <row r="109" spans="2:21">
      <c r="B109" s="5"/>
      <c r="C109" s="247"/>
      <c r="D109" s="247"/>
      <c r="E109" s="247"/>
      <c r="F109" s="247"/>
      <c r="G109" s="247"/>
      <c r="H109" s="247"/>
      <c r="I109" s="247"/>
      <c r="J109" s="249"/>
      <c r="K109" s="249"/>
      <c r="L109" s="249"/>
      <c r="M109" s="249"/>
      <c r="N109" s="249"/>
      <c r="O109" s="5"/>
      <c r="Q109" s="5"/>
      <c r="R109" s="5"/>
      <c r="S109" s="5"/>
      <c r="T109" s="5"/>
      <c r="U109" s="5"/>
    </row>
    <row r="110" spans="2:21">
      <c r="B110" s="41"/>
      <c r="C110" s="249"/>
      <c r="D110" s="249"/>
      <c r="E110" s="249"/>
      <c r="F110" s="249"/>
      <c r="G110" s="249"/>
      <c r="H110" s="249"/>
      <c r="I110" s="5"/>
      <c r="J110" s="249"/>
      <c r="K110" s="249"/>
      <c r="L110" s="249"/>
      <c r="M110" s="249"/>
      <c r="N110" s="249"/>
      <c r="O110" s="5"/>
      <c r="Q110" s="5"/>
      <c r="R110" s="5"/>
      <c r="S110" s="5"/>
      <c r="T110" s="5"/>
      <c r="U110" s="5"/>
    </row>
    <row r="111" spans="2:21">
      <c r="B111" s="5"/>
      <c r="C111" s="249"/>
      <c r="D111" s="249"/>
      <c r="E111" s="249"/>
      <c r="F111" s="249"/>
      <c r="G111" s="249"/>
      <c r="H111" s="249"/>
      <c r="I111" s="5"/>
      <c r="J111" s="247"/>
      <c r="K111" s="247"/>
      <c r="L111" s="247"/>
      <c r="M111" s="247"/>
      <c r="N111" s="247"/>
      <c r="O111" s="5"/>
      <c r="Q111" s="5"/>
      <c r="R111" s="5"/>
      <c r="S111" s="5"/>
      <c r="T111" s="5"/>
      <c r="U111" s="5"/>
    </row>
    <row r="112" spans="2:21">
      <c r="B112" s="5"/>
      <c r="C112" s="247"/>
      <c r="D112" s="247"/>
      <c r="E112" s="247"/>
      <c r="F112" s="247"/>
      <c r="G112" s="247"/>
      <c r="H112" s="247"/>
      <c r="I112" s="5"/>
      <c r="J112" s="5"/>
      <c r="K112" s="5"/>
      <c r="L112" s="5"/>
      <c r="M112" s="5"/>
      <c r="N112" s="5"/>
      <c r="O112" s="5"/>
      <c r="Q112" s="5"/>
      <c r="R112" s="5"/>
      <c r="S112" s="5"/>
      <c r="T112" s="5"/>
      <c r="U112" s="5"/>
    </row>
    <row r="113" spans="2:21">
      <c r="B113" s="5"/>
      <c r="C113" s="5"/>
      <c r="D113" s="5"/>
      <c r="E113" s="5"/>
      <c r="F113" s="5"/>
      <c r="G113" s="5"/>
      <c r="H113" s="5"/>
      <c r="I113" s="5"/>
      <c r="J113" s="5"/>
      <c r="K113" s="5"/>
      <c r="L113" s="5"/>
      <c r="M113" s="5"/>
      <c r="N113" s="5"/>
      <c r="O113" s="5"/>
      <c r="Q113" s="5"/>
      <c r="R113" s="5"/>
      <c r="S113" s="5"/>
      <c r="T113" s="5"/>
      <c r="U113" s="5"/>
    </row>
    <row r="114" spans="2:21">
      <c r="B114" s="5"/>
      <c r="C114" s="5"/>
      <c r="D114" s="5"/>
      <c r="E114" s="5"/>
      <c r="F114" s="5"/>
      <c r="G114" s="5"/>
      <c r="H114" s="5"/>
      <c r="I114" s="49"/>
      <c r="J114" s="5"/>
      <c r="K114" s="5"/>
      <c r="L114" s="5"/>
      <c r="M114" s="5"/>
      <c r="N114" s="5"/>
      <c r="O114" s="5"/>
      <c r="Q114" s="41"/>
      <c r="R114" s="5"/>
      <c r="S114" s="5"/>
      <c r="T114" s="5"/>
      <c r="U114" s="5"/>
    </row>
    <row r="115" spans="2:21">
      <c r="B115" s="5"/>
      <c r="C115" s="5"/>
      <c r="D115" s="5"/>
      <c r="E115" s="5"/>
      <c r="F115" s="5"/>
      <c r="G115" s="5"/>
      <c r="H115" s="5"/>
      <c r="I115" s="5"/>
      <c r="J115" s="5"/>
      <c r="K115" s="5"/>
      <c r="L115" s="5"/>
      <c r="M115" s="5"/>
      <c r="N115" s="5"/>
      <c r="O115" s="5"/>
      <c r="Q115" s="5"/>
      <c r="R115" s="5"/>
      <c r="S115" s="5"/>
      <c r="T115" s="5"/>
      <c r="U115" s="5"/>
    </row>
    <row r="116" spans="2:21">
      <c r="B116" s="5"/>
      <c r="C116" s="5"/>
      <c r="D116" s="5"/>
      <c r="E116" s="5"/>
      <c r="F116" s="5"/>
      <c r="G116" s="5"/>
      <c r="H116" s="5"/>
      <c r="I116" s="254"/>
      <c r="J116" s="49"/>
      <c r="K116" s="49"/>
      <c r="L116" s="49"/>
      <c r="M116" s="49"/>
      <c r="N116" s="49"/>
      <c r="O116" s="49"/>
      <c r="Q116" s="5"/>
      <c r="R116" s="5"/>
      <c r="S116" s="5"/>
      <c r="T116" s="5"/>
      <c r="U116" s="5"/>
    </row>
    <row r="117" spans="2:21">
      <c r="B117" s="41"/>
      <c r="C117" s="49"/>
      <c r="D117" s="49"/>
      <c r="E117" s="49"/>
      <c r="F117" s="49"/>
      <c r="G117" s="49"/>
      <c r="H117" s="49"/>
      <c r="I117" s="249"/>
      <c r="J117" s="5"/>
      <c r="K117" s="5"/>
      <c r="L117" s="5"/>
      <c r="M117" s="5"/>
      <c r="N117" s="5"/>
      <c r="O117" s="5"/>
      <c r="Q117" s="5"/>
      <c r="R117" s="5"/>
      <c r="S117" s="5"/>
      <c r="T117" s="5"/>
      <c r="U117" s="5"/>
    </row>
    <row r="118" spans="2:21">
      <c r="B118" s="5"/>
      <c r="C118" s="5"/>
      <c r="D118" s="5"/>
      <c r="E118" s="5"/>
      <c r="F118" s="5"/>
      <c r="G118" s="5"/>
      <c r="H118" s="5"/>
      <c r="I118" s="254"/>
      <c r="J118" s="254"/>
      <c r="K118" s="254"/>
      <c r="L118" s="254"/>
      <c r="M118" s="254"/>
      <c r="N118" s="254"/>
      <c r="O118" s="248"/>
      <c r="Q118" s="5"/>
      <c r="R118" s="5"/>
      <c r="S118" s="5"/>
      <c r="T118" s="5"/>
      <c r="U118" s="5"/>
    </row>
    <row r="119" spans="2:21">
      <c r="B119" s="41"/>
      <c r="C119" s="254"/>
      <c r="D119" s="254"/>
      <c r="E119" s="254"/>
      <c r="F119" s="254"/>
      <c r="G119" s="254"/>
      <c r="H119" s="254"/>
      <c r="I119" s="254"/>
      <c r="J119" s="249"/>
      <c r="K119" s="249"/>
      <c r="L119" s="249"/>
      <c r="M119" s="249"/>
      <c r="N119" s="249"/>
      <c r="O119" s="248"/>
      <c r="Q119" s="5"/>
      <c r="R119" s="5"/>
      <c r="S119" s="5"/>
      <c r="T119" s="5"/>
      <c r="U119" s="5"/>
    </row>
    <row r="120" spans="2:21">
      <c r="B120" s="41"/>
      <c r="C120" s="254"/>
      <c r="D120" s="249"/>
      <c r="E120" s="249"/>
      <c r="F120" s="249"/>
      <c r="G120" s="249"/>
      <c r="H120" s="249"/>
      <c r="I120" s="254"/>
      <c r="J120" s="254"/>
      <c r="K120" s="254"/>
      <c r="L120" s="254"/>
      <c r="M120" s="254"/>
      <c r="N120" s="254"/>
      <c r="O120" s="248"/>
      <c r="Q120" s="5"/>
      <c r="R120" s="5"/>
      <c r="S120" s="5"/>
      <c r="T120" s="5"/>
      <c r="U120" s="5"/>
    </row>
    <row r="121" spans="2:21">
      <c r="B121" s="41"/>
      <c r="C121" s="254"/>
      <c r="D121" s="254"/>
      <c r="E121" s="254"/>
      <c r="F121" s="254"/>
      <c r="G121" s="254"/>
      <c r="H121" s="254"/>
      <c r="I121" s="254"/>
      <c r="J121" s="254"/>
      <c r="K121" s="254"/>
      <c r="L121" s="254"/>
      <c r="M121" s="254"/>
      <c r="N121" s="254"/>
      <c r="O121" s="248"/>
      <c r="Q121" s="5"/>
      <c r="R121" s="5"/>
      <c r="S121" s="5"/>
      <c r="T121" s="5"/>
      <c r="U121" s="5"/>
    </row>
    <row r="122" spans="2:21">
      <c r="B122" s="41"/>
      <c r="C122" s="254"/>
      <c r="D122" s="254"/>
      <c r="E122" s="254"/>
      <c r="F122" s="254"/>
      <c r="G122" s="254"/>
      <c r="H122" s="254"/>
      <c r="I122" s="254"/>
      <c r="J122" s="254"/>
      <c r="K122" s="254"/>
      <c r="L122" s="254"/>
      <c r="M122" s="254"/>
      <c r="N122" s="254"/>
      <c r="O122" s="248"/>
      <c r="Q122" s="5"/>
      <c r="R122" s="5"/>
      <c r="S122" s="5"/>
      <c r="T122" s="5"/>
      <c r="U122" s="5"/>
    </row>
    <row r="123" spans="2:21">
      <c r="B123" s="41"/>
      <c r="C123" s="254"/>
      <c r="D123" s="254"/>
      <c r="E123" s="254"/>
      <c r="F123" s="254"/>
      <c r="G123" s="254"/>
      <c r="H123" s="254"/>
      <c r="I123" s="254"/>
      <c r="J123" s="254"/>
      <c r="K123" s="254"/>
      <c r="L123" s="254"/>
      <c r="M123" s="254"/>
      <c r="N123" s="254"/>
      <c r="O123" s="248"/>
      <c r="Q123" s="5"/>
      <c r="R123" s="5"/>
      <c r="S123" s="5"/>
      <c r="T123" s="5"/>
      <c r="U123" s="5"/>
    </row>
    <row r="124" spans="2:21">
      <c r="B124" s="41"/>
      <c r="C124" s="254"/>
      <c r="D124" s="254"/>
      <c r="E124" s="254"/>
      <c r="F124" s="254"/>
      <c r="G124" s="254"/>
      <c r="H124" s="254"/>
      <c r="I124" s="254"/>
      <c r="J124" s="254"/>
      <c r="K124" s="254"/>
      <c r="L124" s="254"/>
      <c r="M124" s="254"/>
      <c r="N124" s="254"/>
      <c r="O124" s="5"/>
      <c r="Q124" s="5"/>
      <c r="R124" s="5"/>
      <c r="S124" s="5"/>
      <c r="T124" s="5"/>
      <c r="U124" s="5"/>
    </row>
    <row r="125" spans="2:21">
      <c r="B125" s="41"/>
      <c r="C125" s="254"/>
      <c r="D125" s="254"/>
      <c r="E125" s="254"/>
      <c r="F125" s="254"/>
      <c r="G125" s="254"/>
      <c r="H125" s="254"/>
      <c r="I125" s="254"/>
      <c r="J125" s="254"/>
      <c r="K125" s="254"/>
      <c r="L125" s="254"/>
      <c r="M125" s="254"/>
      <c r="N125" s="254"/>
      <c r="O125" s="5"/>
      <c r="Q125" s="5"/>
      <c r="R125" s="5"/>
      <c r="S125" s="5"/>
      <c r="T125" s="5"/>
      <c r="U125" s="5"/>
    </row>
    <row r="126" spans="2:21">
      <c r="B126" s="41"/>
      <c r="C126" s="254"/>
      <c r="D126" s="254"/>
      <c r="E126" s="254"/>
      <c r="F126" s="254"/>
      <c r="G126" s="254"/>
      <c r="H126" s="254"/>
      <c r="I126" s="18"/>
      <c r="J126" s="254"/>
      <c r="K126" s="254"/>
      <c r="L126" s="254"/>
      <c r="M126" s="254"/>
      <c r="N126" s="254"/>
      <c r="O126" s="5"/>
      <c r="Q126" s="5"/>
      <c r="R126" s="5"/>
      <c r="S126" s="5"/>
      <c r="T126" s="5"/>
      <c r="U126" s="5"/>
    </row>
    <row r="127" spans="2:21">
      <c r="B127" s="41"/>
      <c r="C127" s="254"/>
      <c r="D127" s="254"/>
      <c r="E127" s="254"/>
      <c r="F127" s="254"/>
      <c r="G127" s="254"/>
      <c r="H127" s="254"/>
      <c r="I127" s="5"/>
      <c r="J127" s="254"/>
      <c r="K127" s="254"/>
      <c r="L127" s="254"/>
      <c r="M127" s="254"/>
      <c r="N127" s="254"/>
      <c r="O127" s="5"/>
      <c r="Q127" s="5"/>
      <c r="R127" s="5"/>
      <c r="S127" s="5"/>
      <c r="T127" s="5"/>
      <c r="U127" s="5"/>
    </row>
    <row r="128" spans="2:21">
      <c r="B128" s="41"/>
      <c r="C128" s="254"/>
      <c r="D128" s="254"/>
      <c r="E128" s="254"/>
      <c r="F128" s="254"/>
      <c r="G128" s="254"/>
      <c r="H128" s="254"/>
      <c r="I128" s="254"/>
      <c r="J128" s="18"/>
      <c r="K128" s="18"/>
      <c r="L128" s="18"/>
      <c r="M128" s="18"/>
      <c r="N128" s="18"/>
      <c r="O128" s="5"/>
      <c r="Q128" s="5"/>
      <c r="R128" s="5"/>
      <c r="S128" s="5"/>
      <c r="T128" s="5"/>
      <c r="U128" s="5"/>
    </row>
    <row r="129" spans="2:27">
      <c r="B129" s="5"/>
      <c r="C129" s="5"/>
      <c r="D129" s="18"/>
      <c r="E129" s="18"/>
      <c r="F129" s="18"/>
      <c r="G129" s="18"/>
      <c r="H129" s="18"/>
      <c r="I129" s="18"/>
      <c r="J129" s="5"/>
      <c r="K129" s="5"/>
      <c r="L129" s="5"/>
      <c r="M129" s="5"/>
      <c r="N129" s="5"/>
      <c r="O129" s="5"/>
      <c r="Q129" s="5"/>
      <c r="R129" s="5"/>
      <c r="S129" s="5"/>
      <c r="T129" s="5"/>
      <c r="U129" s="5"/>
    </row>
    <row r="130" spans="2:27">
      <c r="B130" s="5"/>
      <c r="C130" s="5"/>
      <c r="D130" s="5"/>
      <c r="E130" s="5"/>
      <c r="F130" s="5"/>
      <c r="G130" s="5"/>
      <c r="H130" s="5"/>
      <c r="I130" s="5"/>
      <c r="J130" s="254"/>
      <c r="K130" s="254"/>
      <c r="L130" s="254"/>
      <c r="M130" s="254"/>
      <c r="N130" s="254"/>
      <c r="O130" s="5"/>
      <c r="Q130" s="5"/>
      <c r="R130" s="5"/>
      <c r="S130" s="5"/>
      <c r="T130" s="5"/>
      <c r="U130" s="5"/>
    </row>
    <row r="131" spans="2:27">
      <c r="B131" s="41"/>
      <c r="C131" s="254"/>
      <c r="D131" s="254"/>
      <c r="E131" s="254"/>
      <c r="F131" s="254"/>
      <c r="G131" s="254"/>
      <c r="H131" s="254"/>
      <c r="I131" s="5"/>
      <c r="J131" s="18"/>
      <c r="K131" s="18"/>
      <c r="L131" s="18"/>
      <c r="M131" s="18"/>
      <c r="N131" s="18"/>
      <c r="O131" s="5"/>
      <c r="Q131" s="5"/>
      <c r="R131" s="5"/>
      <c r="S131" s="5"/>
      <c r="T131" s="5"/>
      <c r="U131" s="5"/>
    </row>
    <row r="132" spans="2:27">
      <c r="B132" s="5"/>
      <c r="C132" s="259"/>
      <c r="D132" s="18"/>
      <c r="E132" s="18"/>
      <c r="F132" s="18"/>
      <c r="G132" s="18"/>
      <c r="H132" s="18"/>
      <c r="I132" s="17"/>
      <c r="J132" s="5"/>
      <c r="K132" s="5"/>
      <c r="L132" s="5"/>
      <c r="M132" s="5"/>
      <c r="N132" s="5"/>
      <c r="O132" s="5"/>
      <c r="Q132" s="5"/>
      <c r="R132" s="5"/>
      <c r="S132" s="5"/>
      <c r="T132" s="5"/>
      <c r="U132" s="5"/>
    </row>
    <row r="133" spans="2:27">
      <c r="B133" s="5"/>
      <c r="C133" s="5"/>
      <c r="D133" s="5"/>
      <c r="E133" s="5"/>
      <c r="F133" s="5"/>
      <c r="G133" s="5"/>
      <c r="H133" s="5"/>
      <c r="I133" s="17"/>
      <c r="J133" s="5"/>
      <c r="K133" s="5"/>
      <c r="L133" s="5"/>
      <c r="M133" s="5"/>
      <c r="N133" s="5"/>
      <c r="O133" s="5"/>
      <c r="Q133" s="5"/>
      <c r="R133" s="5"/>
      <c r="S133" s="5"/>
      <c r="T133" s="5"/>
      <c r="U133" s="5"/>
    </row>
    <row r="134" spans="2:27">
      <c r="B134" s="41"/>
      <c r="C134" s="5"/>
      <c r="D134" s="5"/>
      <c r="E134" s="5"/>
      <c r="F134" s="5"/>
      <c r="G134" s="5"/>
      <c r="H134" s="5"/>
      <c r="I134" s="17"/>
      <c r="J134" s="17"/>
      <c r="K134" s="17"/>
      <c r="L134" s="17"/>
      <c r="M134" s="17"/>
      <c r="N134" s="17"/>
      <c r="O134" s="5"/>
      <c r="Q134" s="41"/>
      <c r="R134" s="5"/>
      <c r="S134" s="5"/>
      <c r="T134" s="5"/>
      <c r="U134" s="5"/>
    </row>
    <row r="135" spans="2:27">
      <c r="B135" s="5"/>
      <c r="C135" s="17"/>
      <c r="D135" s="17"/>
      <c r="E135" s="17"/>
      <c r="F135" s="17"/>
      <c r="G135" s="17"/>
      <c r="H135" s="17"/>
      <c r="I135" s="17"/>
      <c r="J135" s="17"/>
      <c r="K135" s="17"/>
      <c r="L135" s="17"/>
      <c r="M135" s="17"/>
      <c r="N135" s="17"/>
      <c r="O135" s="5"/>
      <c r="Q135" s="5"/>
      <c r="R135" s="5"/>
      <c r="S135" s="5"/>
      <c r="T135" s="5"/>
      <c r="U135" s="5"/>
      <c r="X135" s="304"/>
    </row>
    <row r="136" spans="2:27">
      <c r="B136" s="5"/>
      <c r="C136" s="17"/>
      <c r="D136" s="17"/>
      <c r="E136" s="17"/>
      <c r="F136" s="17"/>
      <c r="G136" s="17"/>
      <c r="H136" s="17"/>
      <c r="I136" s="17"/>
      <c r="J136" s="17"/>
      <c r="K136" s="17"/>
      <c r="L136" s="17"/>
      <c r="M136" s="17"/>
      <c r="N136" s="17"/>
      <c r="O136" s="5"/>
      <c r="Q136" s="5"/>
      <c r="R136" s="5"/>
      <c r="S136" s="5"/>
      <c r="T136" s="5"/>
      <c r="U136" s="5"/>
      <c r="X136" s="10"/>
      <c r="Y136" s="304"/>
      <c r="Z136" s="304"/>
      <c r="AA136" s="304"/>
    </row>
    <row r="137" spans="2:27">
      <c r="B137" s="5"/>
      <c r="C137" s="5"/>
      <c r="D137" s="17"/>
      <c r="E137" s="17"/>
      <c r="F137" s="17"/>
      <c r="G137" s="17"/>
      <c r="H137" s="17"/>
      <c r="I137" s="17"/>
      <c r="J137" s="17"/>
      <c r="K137" s="17"/>
      <c r="L137" s="17"/>
      <c r="M137" s="17"/>
      <c r="N137" s="17"/>
      <c r="O137" s="5"/>
      <c r="Q137" s="5"/>
      <c r="R137" s="5"/>
      <c r="S137" s="5"/>
      <c r="T137" s="5"/>
      <c r="U137" s="5"/>
      <c r="Y137" s="10"/>
      <c r="Z137" s="10"/>
      <c r="AA137" s="10"/>
    </row>
    <row r="138" spans="2:27">
      <c r="B138" s="5"/>
      <c r="C138" s="5"/>
      <c r="D138" s="17"/>
      <c r="E138" s="17"/>
      <c r="F138" s="17"/>
      <c r="G138" s="17"/>
      <c r="H138" s="17"/>
      <c r="I138" s="5"/>
      <c r="J138" s="17"/>
      <c r="K138" s="17"/>
      <c r="L138" s="17"/>
      <c r="M138" s="17"/>
      <c r="N138" s="17"/>
      <c r="O138" s="5"/>
      <c r="Q138" s="5"/>
      <c r="R138" s="5"/>
      <c r="S138" s="5"/>
      <c r="T138" s="5"/>
      <c r="U138" s="5"/>
    </row>
    <row r="139" spans="2:27">
      <c r="B139" s="5"/>
      <c r="C139" s="5"/>
      <c r="D139" s="17"/>
      <c r="E139" s="17"/>
      <c r="F139" s="17"/>
      <c r="G139" s="17"/>
      <c r="H139" s="17"/>
      <c r="I139" s="5"/>
      <c r="J139" s="17"/>
      <c r="K139" s="17"/>
      <c r="L139" s="17"/>
      <c r="M139" s="17"/>
      <c r="N139" s="17"/>
      <c r="O139" s="5"/>
      <c r="Q139" s="5"/>
      <c r="R139" s="5"/>
      <c r="S139" s="5"/>
      <c r="T139" s="5"/>
      <c r="U139" s="5"/>
    </row>
    <row r="140" spans="2:27">
      <c r="B140" s="5"/>
      <c r="C140" s="17"/>
      <c r="D140" s="17"/>
      <c r="E140" s="17"/>
      <c r="F140" s="17"/>
      <c r="G140" s="17"/>
      <c r="H140" s="17"/>
      <c r="I140" s="5"/>
      <c r="J140" s="5"/>
      <c r="K140" s="5"/>
      <c r="L140" s="5"/>
      <c r="M140" s="5"/>
      <c r="N140" s="5"/>
      <c r="O140" s="5"/>
      <c r="Q140" s="5"/>
      <c r="R140" s="5"/>
      <c r="S140" s="5"/>
      <c r="T140" s="5"/>
      <c r="U140" s="5"/>
    </row>
    <row r="141" spans="2:27">
      <c r="B141" s="5"/>
      <c r="C141" s="5"/>
      <c r="D141" s="5"/>
      <c r="E141" s="5"/>
      <c r="F141" s="5"/>
      <c r="G141" s="5"/>
      <c r="H141" s="5"/>
      <c r="I141" s="5"/>
      <c r="J141" s="5"/>
      <c r="K141" s="5"/>
      <c r="L141" s="5"/>
      <c r="M141" s="5"/>
      <c r="N141" s="5"/>
      <c r="O141" s="5"/>
      <c r="Q141" s="5"/>
      <c r="R141" s="5"/>
      <c r="S141" s="5"/>
      <c r="T141" s="5"/>
      <c r="U141" s="5"/>
    </row>
    <row r="142" spans="2:27">
      <c r="B142" s="5"/>
      <c r="C142" s="5"/>
      <c r="D142" s="5"/>
      <c r="E142" s="5"/>
      <c r="F142" s="5"/>
      <c r="G142" s="5"/>
      <c r="H142" s="5"/>
      <c r="I142" s="5"/>
      <c r="J142" s="5"/>
      <c r="K142" s="5"/>
      <c r="L142" s="5"/>
      <c r="M142" s="5"/>
      <c r="N142" s="5"/>
      <c r="O142" s="5"/>
      <c r="Q142" s="5"/>
      <c r="R142" s="5"/>
      <c r="S142" s="5"/>
      <c r="T142" s="5"/>
      <c r="U142" s="5"/>
    </row>
    <row r="143" spans="2:27">
      <c r="B143" s="5"/>
      <c r="C143" s="5"/>
      <c r="D143" s="5"/>
      <c r="E143" s="5"/>
      <c r="F143" s="5"/>
      <c r="G143" s="5"/>
      <c r="H143" s="5"/>
      <c r="I143" s="5"/>
      <c r="J143" s="5"/>
      <c r="K143" s="5"/>
      <c r="L143" s="5"/>
      <c r="M143" s="5"/>
      <c r="N143" s="5"/>
      <c r="O143" s="5"/>
      <c r="Q143" s="5"/>
      <c r="R143" s="5"/>
      <c r="S143" s="5"/>
      <c r="T143" s="5"/>
      <c r="U143" s="5"/>
    </row>
    <row r="144" spans="2:27">
      <c r="B144" s="5"/>
      <c r="C144" s="5"/>
      <c r="D144" s="5"/>
      <c r="E144" s="5"/>
      <c r="F144" s="5"/>
      <c r="G144" s="5"/>
      <c r="H144" s="5"/>
      <c r="I144" s="5"/>
      <c r="J144" s="5"/>
      <c r="K144" s="5"/>
      <c r="L144" s="5"/>
      <c r="M144" s="5"/>
      <c r="N144" s="5"/>
      <c r="O144" s="5"/>
      <c r="Q144" s="5"/>
      <c r="R144" s="5"/>
      <c r="S144" s="5"/>
      <c r="T144" s="5"/>
      <c r="U144" s="5"/>
    </row>
    <row r="145" spans="2:21">
      <c r="B145" s="5"/>
      <c r="C145" s="5"/>
      <c r="D145" s="5"/>
      <c r="E145" s="5"/>
      <c r="F145" s="5"/>
      <c r="G145" s="5"/>
      <c r="H145" s="5"/>
      <c r="I145" s="5"/>
      <c r="J145" s="5"/>
      <c r="K145" s="5"/>
      <c r="L145" s="5"/>
      <c r="M145" s="5"/>
      <c r="N145" s="5"/>
      <c r="O145" s="5"/>
      <c r="Q145" s="5"/>
      <c r="R145" s="5"/>
      <c r="S145" s="5"/>
      <c r="T145" s="5"/>
      <c r="U145" s="5"/>
    </row>
    <row r="146" spans="2:21">
      <c r="B146" s="5"/>
      <c r="C146" s="5"/>
      <c r="D146" s="5"/>
      <c r="E146" s="5"/>
      <c r="F146" s="5"/>
      <c r="G146" s="5"/>
      <c r="H146" s="5"/>
      <c r="I146" s="5"/>
      <c r="J146" s="5"/>
      <c r="K146" s="5"/>
      <c r="L146" s="5"/>
      <c r="M146" s="5"/>
      <c r="N146" s="5"/>
      <c r="O146" s="5"/>
      <c r="Q146" s="5"/>
      <c r="R146" s="5"/>
      <c r="S146" s="5"/>
      <c r="T146" s="5"/>
      <c r="U146" s="5"/>
    </row>
    <row r="147" spans="2:21">
      <c r="B147" s="5"/>
      <c r="C147" s="5"/>
      <c r="D147" s="5"/>
      <c r="E147" s="5"/>
      <c r="F147" s="5"/>
      <c r="G147" s="5"/>
      <c r="H147" s="5"/>
      <c r="I147" s="5"/>
      <c r="J147" s="5"/>
      <c r="K147" s="5"/>
      <c r="L147" s="5"/>
      <c r="M147" s="5"/>
      <c r="N147" s="5"/>
      <c r="O147" s="5"/>
      <c r="Q147" s="5"/>
      <c r="R147" s="5"/>
      <c r="S147" s="5"/>
      <c r="T147" s="5"/>
      <c r="U147" s="5"/>
    </row>
    <row r="148" spans="2:21">
      <c r="B148" s="5"/>
      <c r="C148" s="5"/>
      <c r="D148" s="5"/>
      <c r="E148" s="5"/>
      <c r="F148" s="5"/>
      <c r="G148" s="5"/>
      <c r="H148" s="5"/>
      <c r="J148" s="5"/>
      <c r="K148" s="5"/>
      <c r="L148" s="5"/>
      <c r="M148" s="5"/>
      <c r="N148" s="5"/>
      <c r="O148" s="5"/>
      <c r="Q148" s="5"/>
      <c r="R148" s="5"/>
      <c r="S148" s="5"/>
      <c r="T148" s="5"/>
      <c r="U148" s="5"/>
    </row>
    <row r="149" spans="2:21">
      <c r="B149" s="5"/>
      <c r="C149" s="5"/>
      <c r="D149" s="5"/>
      <c r="E149" s="5"/>
      <c r="F149" s="5"/>
      <c r="G149" s="5"/>
      <c r="H149" s="5"/>
      <c r="J149" s="5"/>
      <c r="K149" s="5"/>
      <c r="L149" s="5"/>
      <c r="M149" s="5"/>
      <c r="N149" s="5"/>
      <c r="O149" s="5"/>
      <c r="Q149" s="5"/>
      <c r="R149" s="5"/>
      <c r="S149" s="5"/>
      <c r="T149" s="5"/>
      <c r="U149" s="5"/>
    </row>
    <row r="150" spans="2:21">
      <c r="B150" s="5"/>
      <c r="C150" s="5"/>
      <c r="D150" s="5"/>
      <c r="E150" s="5"/>
      <c r="F150" s="5"/>
      <c r="G150" s="5"/>
      <c r="H150" s="5"/>
      <c r="Q150" s="5"/>
      <c r="R150" s="5"/>
      <c r="S150" s="5"/>
      <c r="T150" s="5"/>
      <c r="U150" s="5"/>
    </row>
    <row r="151" spans="2:21">
      <c r="Q151" s="5"/>
      <c r="R151" s="5"/>
      <c r="S151" s="5"/>
      <c r="T151" s="5"/>
      <c r="U151" s="5"/>
    </row>
    <row r="152" spans="2:21">
      <c r="Q152" s="5"/>
      <c r="R152" s="5"/>
      <c r="S152" s="5"/>
      <c r="T152" s="5"/>
      <c r="U152" s="5"/>
    </row>
    <row r="153" spans="2:21">
      <c r="C153" s="263"/>
      <c r="Q153" s="5"/>
      <c r="R153" s="5"/>
      <c r="S153" s="5"/>
      <c r="T153" s="5"/>
      <c r="U153" s="5"/>
    </row>
    <row r="154" spans="2:21">
      <c r="Q154" s="5"/>
      <c r="R154" s="5"/>
      <c r="S154" s="5"/>
      <c r="T154" s="5"/>
      <c r="U154" s="5"/>
    </row>
    <row r="155" spans="2:21">
      <c r="Q155" s="5"/>
      <c r="R155" s="5"/>
      <c r="S155" s="5"/>
      <c r="T155" s="5"/>
      <c r="U155" s="5"/>
    </row>
    <row r="156" spans="2:21">
      <c r="Q156" s="5"/>
      <c r="R156" s="5"/>
      <c r="S156" s="5"/>
      <c r="T156" s="5"/>
      <c r="U156" s="5"/>
    </row>
    <row r="157" spans="2:21">
      <c r="Q157" s="5"/>
      <c r="R157" s="5"/>
      <c r="S157" s="5"/>
      <c r="T157" s="5"/>
      <c r="U157" s="5"/>
    </row>
    <row r="158" spans="2:21">
      <c r="Q158" s="5"/>
      <c r="R158" s="5"/>
      <c r="S158" s="5"/>
      <c r="T158" s="5"/>
      <c r="U158" s="5"/>
    </row>
    <row r="159" spans="2:21">
      <c r="Q159" s="5"/>
      <c r="R159" s="5"/>
      <c r="S159" s="5"/>
      <c r="T159" s="5"/>
      <c r="U159" s="5"/>
    </row>
    <row r="160" spans="2:21">
      <c r="Q160" s="5"/>
      <c r="R160" s="5"/>
      <c r="S160" s="5"/>
      <c r="T160" s="5"/>
      <c r="U160" s="5"/>
    </row>
    <row r="161" spans="17:21">
      <c r="Q161" s="5"/>
      <c r="R161" s="5"/>
      <c r="S161" s="5"/>
      <c r="T161" s="5"/>
      <c r="U161" s="5"/>
    </row>
    <row r="162" spans="17:21">
      <c r="Q162" s="5"/>
      <c r="R162" s="5"/>
      <c r="S162" s="5"/>
      <c r="T162" s="5"/>
      <c r="U162" s="5"/>
    </row>
    <row r="163" spans="17:21">
      <c r="Q163" s="5"/>
      <c r="R163" s="5"/>
      <c r="S163" s="5"/>
      <c r="T163" s="5"/>
      <c r="U163" s="5"/>
    </row>
    <row r="164" spans="17:21">
      <c r="Q164" s="5"/>
      <c r="R164" s="5"/>
      <c r="S164" s="5"/>
      <c r="T164" s="5"/>
      <c r="U164" s="5"/>
    </row>
  </sheetData>
  <pageMargins left="0.75" right="0.75" top="1" bottom="1" header="0.5" footer="0.5"/>
  <pageSetup scale="70" orientation="landscape" r:id="rId1"/>
  <headerFooter alignWithMargins="0"/>
  <drawing r:id="rId2"/>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A00-000000000000}">
  <sheetPr codeName="Sheet217">
    <tabColor theme="3" tint="0.59999389629810485"/>
    <pageSetUpPr fitToPage="1"/>
  </sheetPr>
  <dimension ref="B1:BK164"/>
  <sheetViews>
    <sheetView showGridLines="0" zoomScale="80" zoomScaleNormal="80" workbookViewId="0"/>
  </sheetViews>
  <sheetFormatPr defaultColWidth="8.88671875" defaultRowHeight="12"/>
  <cols>
    <col min="1" max="1" width="2.33203125" style="39" customWidth="1"/>
    <col min="2" max="2" width="26.6640625" style="39" customWidth="1"/>
    <col min="3" max="9" width="10" style="39" customWidth="1"/>
    <col min="10" max="10" width="26.6640625" style="39" customWidth="1"/>
    <col min="11" max="16" width="10" style="39" customWidth="1"/>
    <col min="17" max="17" width="4.5546875" style="39" customWidth="1"/>
    <col min="18" max="20" width="8.88671875" style="39"/>
    <col min="21" max="21" width="3.6640625" style="39" customWidth="1"/>
    <col min="22" max="63" width="9.109375" style="5" customWidth="1"/>
    <col min="64" max="16384" width="8.88671875" style="39"/>
  </cols>
  <sheetData>
    <row r="1" spans="2:63" s="312" customFormat="1">
      <c r="V1" s="149"/>
      <c r="W1" s="149"/>
      <c r="X1" s="149"/>
      <c r="Y1" s="149"/>
      <c r="Z1" s="149"/>
      <c r="AA1" s="149"/>
      <c r="AB1" s="149"/>
      <c r="AC1" s="149"/>
      <c r="AD1" s="149"/>
      <c r="AE1" s="149"/>
      <c r="AF1" s="149"/>
      <c r="AG1" s="149"/>
      <c r="AH1" s="149"/>
      <c r="AI1" s="149"/>
      <c r="AJ1" s="149"/>
      <c r="AK1" s="149"/>
      <c r="AL1" s="149"/>
      <c r="AM1" s="149"/>
      <c r="AN1" s="149"/>
      <c r="AO1" s="149"/>
      <c r="AP1" s="149"/>
      <c r="AQ1" s="149"/>
      <c r="AR1" s="149"/>
      <c r="AS1" s="149"/>
      <c r="AT1" s="149"/>
      <c r="AU1" s="149"/>
      <c r="AV1" s="149"/>
      <c r="AW1" s="149"/>
      <c r="AX1" s="149"/>
      <c r="AY1" s="149"/>
      <c r="AZ1" s="149"/>
      <c r="BA1" s="149"/>
      <c r="BB1" s="149"/>
      <c r="BC1" s="149"/>
      <c r="BD1" s="149"/>
      <c r="BE1" s="149"/>
      <c r="BF1" s="149"/>
      <c r="BG1" s="149"/>
      <c r="BH1" s="149"/>
      <c r="BI1" s="149"/>
      <c r="BJ1" s="149"/>
      <c r="BK1" s="149"/>
    </row>
    <row r="2" spans="2:63" s="312" customFormat="1">
      <c r="V2" s="149"/>
      <c r="W2" s="149"/>
      <c r="X2" s="149"/>
      <c r="Y2" s="149"/>
      <c r="Z2" s="149"/>
      <c r="AA2" s="149"/>
      <c r="AB2" s="149"/>
      <c r="AC2" s="149"/>
      <c r="AD2" s="149"/>
      <c r="AE2" s="149"/>
      <c r="AF2" s="149"/>
      <c r="AG2" s="149"/>
      <c r="AH2" s="149"/>
      <c r="AI2" s="149"/>
      <c r="AJ2" s="149"/>
      <c r="AK2" s="149"/>
      <c r="AL2" s="149"/>
      <c r="AM2" s="149"/>
      <c r="AN2" s="149"/>
      <c r="AO2" s="149"/>
      <c r="AP2" s="149"/>
      <c r="AQ2" s="149"/>
      <c r="AR2" s="149"/>
      <c r="AS2" s="149"/>
      <c r="AT2" s="149"/>
      <c r="AU2" s="149"/>
      <c r="AV2" s="149"/>
      <c r="AW2" s="149"/>
      <c r="AX2" s="149"/>
      <c r="AY2" s="149"/>
      <c r="AZ2" s="149"/>
      <c r="BA2" s="149"/>
      <c r="BB2" s="149"/>
      <c r="BC2" s="149"/>
      <c r="BD2" s="149"/>
      <c r="BE2" s="149"/>
      <c r="BF2" s="149"/>
      <c r="BG2" s="149"/>
      <c r="BH2" s="149"/>
      <c r="BI2" s="149"/>
      <c r="BJ2" s="149"/>
      <c r="BK2" s="149"/>
    </row>
    <row r="3" spans="2:63" s="149" customFormat="1">
      <c r="H3" s="153"/>
      <c r="P3" s="153"/>
    </row>
    <row r="4" spans="2:63" s="156" customFormat="1" ht="21">
      <c r="B4" s="129" t="s">
        <v>868</v>
      </c>
      <c r="H4" s="222"/>
      <c r="P4" s="222"/>
    </row>
    <row r="5" spans="2:63" s="149" customFormat="1">
      <c r="C5" s="153"/>
      <c r="D5" s="153" t="str" cm="1">
        <f t="array" ref="D5:H5">headings</f>
        <v>2023E</v>
      </c>
      <c r="E5" s="153" t="str">
        <v>2024E</v>
      </c>
      <c r="F5" s="153" t="str">
        <v>2025E</v>
      </c>
      <c r="G5" s="153" t="str">
        <v>2026E</v>
      </c>
      <c r="H5" s="153" t="str">
        <v>23E-26E</v>
      </c>
      <c r="I5" s="153"/>
      <c r="J5" s="153"/>
      <c r="K5" s="153"/>
      <c r="L5" s="153" t="str" cm="1">
        <f t="array" ref="L5:P5">headings</f>
        <v>2023E</v>
      </c>
      <c r="M5" s="153" t="str">
        <v>2024E</v>
      </c>
      <c r="N5" s="153" t="str">
        <v>2025E</v>
      </c>
      <c r="O5" s="153" t="str">
        <v>2026E</v>
      </c>
      <c r="P5" s="153" t="str">
        <v>23E-26E</v>
      </c>
      <c r="Q5" s="162"/>
      <c r="R5" s="162"/>
      <c r="S5" s="162"/>
      <c r="T5" s="162"/>
      <c r="U5" s="162"/>
      <c r="V5" s="162"/>
      <c r="W5" s="162"/>
      <c r="X5" s="162"/>
      <c r="Y5" s="162"/>
    </row>
    <row r="6" spans="2:63">
      <c r="I6" s="5"/>
      <c r="J6" s="5"/>
      <c r="K6" s="5"/>
      <c r="L6" s="5"/>
      <c r="M6" s="5"/>
      <c r="N6" s="5"/>
      <c r="O6" s="49"/>
    </row>
    <row r="7" spans="2:63" ht="12.6" thickBot="1">
      <c r="B7" s="306" t="s">
        <v>271</v>
      </c>
      <c r="C7" s="265"/>
      <c r="D7" s="265"/>
      <c r="E7" s="265"/>
      <c r="F7" s="265"/>
      <c r="G7" s="265"/>
      <c r="H7" s="265"/>
      <c r="I7" s="49"/>
      <c r="J7" s="306" t="s">
        <v>866</v>
      </c>
      <c r="K7" s="306"/>
      <c r="L7" s="306"/>
      <c r="M7" s="306"/>
      <c r="N7" s="266"/>
      <c r="O7" s="266"/>
      <c r="P7" s="266"/>
    </row>
    <row r="8" spans="2:63" ht="12.6" thickTop="1">
      <c r="B8" s="5"/>
      <c r="C8" s="5"/>
      <c r="D8" s="5"/>
      <c r="E8" s="5"/>
      <c r="F8" s="5"/>
      <c r="G8" s="5"/>
      <c r="H8" s="5"/>
      <c r="I8" s="5"/>
      <c r="J8" s="5"/>
      <c r="K8" s="5"/>
      <c r="L8" s="5"/>
      <c r="M8" s="5"/>
      <c r="N8" s="5"/>
    </row>
    <row r="9" spans="2:63">
      <c r="B9" s="41" t="s">
        <v>500</v>
      </c>
      <c r="C9" s="287"/>
      <c r="D9" s="5"/>
      <c r="E9" s="249"/>
      <c r="F9" s="249"/>
      <c r="G9" s="249"/>
      <c r="H9" s="249"/>
      <c r="I9" s="249"/>
      <c r="J9" s="5" t="s">
        <v>273</v>
      </c>
      <c r="L9" s="557">
        <f>'AGG DM'!D37</f>
        <v>2.329412469433874</v>
      </c>
      <c r="M9" s="557">
        <f>'AGG DM'!E37</f>
        <v>2.207031841456474</v>
      </c>
      <c r="N9" s="557">
        <f>'AGG DM'!F37</f>
        <v>2.0665364578686574</v>
      </c>
      <c r="O9" s="557">
        <f>'AGG DM'!G37</f>
        <v>1.9167412853037995</v>
      </c>
      <c r="P9" s="18">
        <f>'AGG DM'!H37</f>
        <v>1.9501934659983178E-2</v>
      </c>
    </row>
    <row r="10" spans="2:63">
      <c r="B10" s="5" t="s">
        <v>274</v>
      </c>
      <c r="C10" s="5"/>
      <c r="D10" s="332"/>
      <c r="E10" s="332"/>
      <c r="F10" s="332"/>
      <c r="G10" s="332"/>
      <c r="H10" s="247"/>
      <c r="I10" s="247"/>
      <c r="J10" s="5" t="s">
        <v>184</v>
      </c>
      <c r="L10" s="557">
        <f>'AGG DM'!D38</f>
        <v>7.0841879802792365</v>
      </c>
      <c r="M10" s="557">
        <f>'AGG DM'!E38</f>
        <v>6.5876114702803505</v>
      </c>
      <c r="N10" s="557">
        <f>'AGG DM'!F38</f>
        <v>6.0864198915332164</v>
      </c>
      <c r="O10" s="557">
        <f>'AGG DM'!G38</f>
        <v>5.5767680131537691</v>
      </c>
      <c r="P10" s="18">
        <f>'AGG DM'!H38</f>
        <v>3.4656651554389573E-2</v>
      </c>
      <c r="W10" s="10"/>
      <c r="X10" s="10"/>
      <c r="Y10" s="10"/>
      <c r="Z10" s="10"/>
    </row>
    <row r="11" spans="2:63">
      <c r="B11" s="41" t="s">
        <v>523</v>
      </c>
      <c r="C11" s="5"/>
      <c r="D11" s="271">
        <f>'W.EUR OTHER'!D11/Prices!$F$155+'DM ASIA OTHER'!D11</f>
        <v>181902.8053513396</v>
      </c>
      <c r="E11" s="271">
        <f>'W.EUR OTHER'!E11/Prices!$F$155+'DM ASIA OTHER'!E11</f>
        <v>177820.63552516495</v>
      </c>
      <c r="F11" s="271">
        <f>'W.EUR OTHER'!F11/Prices!$F$155+'DM ASIA OTHER'!F11</f>
        <v>175777.51790784858</v>
      </c>
      <c r="G11" s="271">
        <f>'W.EUR OTHER'!G11/Prices!$F$155+'DM ASIA OTHER'!G11</f>
        <v>173773.42345260488</v>
      </c>
      <c r="H11" s="249"/>
      <c r="I11" s="249"/>
      <c r="J11" s="5" t="s">
        <v>185</v>
      </c>
      <c r="L11" s="557">
        <f>'AGG DM'!D39</f>
        <v>13.53328960256645</v>
      </c>
      <c r="M11" s="557">
        <f>'AGG DM'!E39</f>
        <v>11.493643628277713</v>
      </c>
      <c r="N11" s="557">
        <f>'AGG DM'!F39</f>
        <v>10.264735122504899</v>
      </c>
      <c r="O11" s="557">
        <f>'AGG DM'!G39</f>
        <v>9.0451770938503948</v>
      </c>
      <c r="P11" s="18">
        <f>'AGG DM'!H39</f>
        <v>9.2670425427640479E-2</v>
      </c>
      <c r="W11" s="10"/>
      <c r="X11" s="10"/>
      <c r="Y11" s="10"/>
      <c r="Z11" s="10"/>
    </row>
    <row r="12" spans="2:63">
      <c r="B12" s="5" t="s">
        <v>229</v>
      </c>
      <c r="C12" s="249"/>
      <c r="D12" s="228">
        <f>'W.EUR OTHER'!D12/Prices!$F$155+'DM ASIA OTHER'!D12</f>
        <v>99614.77938668408</v>
      </c>
      <c r="E12" s="228">
        <f>'W.EUR OTHER'!E12/Prices!$F$155+'DM ASIA OTHER'!E12</f>
        <v>92695.141229010449</v>
      </c>
      <c r="F12" s="228">
        <f>'W.EUR OTHER'!F12/Prices!$F$155+'DM ASIA OTHER'!F12</f>
        <v>89103.601641468485</v>
      </c>
      <c r="G12" s="228">
        <f>'W.EUR OTHER'!G12/Prices!$F$155+'DM ASIA OTHER'!G12</f>
        <v>80506.605522344529</v>
      </c>
      <c r="H12" s="247"/>
      <c r="I12" s="247"/>
      <c r="J12" s="5" t="s">
        <v>466</v>
      </c>
      <c r="L12" s="557">
        <f>'AGG DM'!D40</f>
        <v>19.213286909010346</v>
      </c>
      <c r="M12" s="557">
        <f>'AGG DM'!E40</f>
        <v>16.347188206412962</v>
      </c>
      <c r="N12" s="557">
        <f>'AGG DM'!F40</f>
        <v>14.618845003714046</v>
      </c>
      <c r="O12" s="557">
        <f>'AGG DM'!G40</f>
        <v>12.840265625641983</v>
      </c>
      <c r="P12" s="18">
        <f>'AGG DM'!H40</f>
        <v>9.2705111729584289E-2</v>
      </c>
      <c r="W12" s="10"/>
      <c r="X12" s="10"/>
      <c r="Y12" s="10"/>
      <c r="Z12" s="10"/>
    </row>
    <row r="13" spans="2:63">
      <c r="B13" s="5" t="s">
        <v>529</v>
      </c>
      <c r="C13" s="257"/>
      <c r="D13" s="228">
        <f>'W.EUR OTHER'!D13/Prices!$F$155+'DM ASIA OTHER'!D13</f>
        <v>13202.00658193924</v>
      </c>
      <c r="E13" s="228">
        <f>'W.EUR OTHER'!E13/Prices!$F$155+'DM ASIA OTHER'!E13</f>
        <v>13557.206362425357</v>
      </c>
      <c r="F13" s="228">
        <f>'W.EUR OTHER'!F13/Prices!$F$155+'DM ASIA OTHER'!F13</f>
        <v>11548.174155558554</v>
      </c>
      <c r="G13" s="228">
        <f>'W.EUR OTHER'!G13/Prices!$F$155+'DM ASIA OTHER'!G13</f>
        <v>11351.429262914895</v>
      </c>
      <c r="H13" s="247"/>
      <c r="I13" s="247"/>
      <c r="J13" s="5" t="s">
        <v>530</v>
      </c>
      <c r="L13" s="557">
        <f>'AGG DM'!D41</f>
        <v>1.3514515540183685</v>
      </c>
      <c r="M13" s="557">
        <f>'AGG DM'!E41</f>
        <v>1.4007532435377124</v>
      </c>
      <c r="N13" s="557">
        <f>'AGG DM'!F41</f>
        <v>1.3363938049874495</v>
      </c>
      <c r="O13" s="557">
        <f>'AGG DM'!G41</f>
        <v>1.2739776448559783</v>
      </c>
      <c r="P13" s="18">
        <f>'AGG DM'!H41</f>
        <v>-2.5668717959517307E-2</v>
      </c>
    </row>
    <row r="14" spans="2:63">
      <c r="B14" s="5" t="s">
        <v>532</v>
      </c>
      <c r="C14" s="274"/>
      <c r="D14" s="228">
        <f>'W.EUR OTHER'!D14/Prices!$F$155+'DM ASIA OTHER'!D14</f>
        <v>15375.811106454114</v>
      </c>
      <c r="E14" s="228">
        <f>'W.EUR OTHER'!E14/Prices!$F$155+'DM ASIA OTHER'!E14</f>
        <v>15375.811106454114</v>
      </c>
      <c r="F14" s="228">
        <f>'W.EUR OTHER'!F14/Prices!$F$155+'DM ASIA OTHER'!F14</f>
        <v>15375.811106454114</v>
      </c>
      <c r="G14" s="228">
        <f>'W.EUR OTHER'!G14/Prices!$F$155+'DM ASIA OTHER'!G14</f>
        <v>15375.811106454114</v>
      </c>
      <c r="H14" s="247"/>
      <c r="I14" s="247"/>
      <c r="J14" s="5" t="s">
        <v>593</v>
      </c>
      <c r="L14" s="557">
        <f>'AGG DM'!D42</f>
        <v>3.3000460374957705</v>
      </c>
      <c r="M14" s="557">
        <f>'AGG DM'!E42</f>
        <v>3.1838124862642916</v>
      </c>
      <c r="N14" s="557">
        <f>'AGG DM'!F42</f>
        <v>3.0594658370749888</v>
      </c>
      <c r="O14" s="557">
        <f>'AGG DM'!G42</f>
        <v>2.9412325385033187</v>
      </c>
      <c r="P14" s="18">
        <f>'AGG DM'!H42</f>
        <v>-7.2864107786076993E-3</v>
      </c>
    </row>
    <row r="15" spans="2:63">
      <c r="B15" s="5" t="s">
        <v>531</v>
      </c>
      <c r="C15" s="257"/>
      <c r="D15" s="228">
        <f>'W.EUR OTHER'!D15/Prices!$F$155+'DM ASIA OTHER'!D15</f>
        <v>6328.3568236485926</v>
      </c>
      <c r="E15" s="228">
        <f>'W.EUR OTHER'!E15/Prices!$F$155+'DM ASIA OTHER'!E15</f>
        <v>6328.3568236485926</v>
      </c>
      <c r="F15" s="228">
        <f>'W.EUR OTHER'!F15/Prices!$F$155+'DM ASIA OTHER'!F15</f>
        <v>6328.3568236485926</v>
      </c>
      <c r="G15" s="228">
        <f>'W.EUR OTHER'!G15/Prices!$F$155+'DM ASIA OTHER'!G15</f>
        <v>6328.3568236485926</v>
      </c>
      <c r="H15" s="247"/>
      <c r="I15" s="247"/>
      <c r="J15" s="5" t="s">
        <v>475</v>
      </c>
      <c r="L15" s="557">
        <f>'AGG DM'!D43</f>
        <v>11.806292254184493</v>
      </c>
      <c r="M15" s="557">
        <f>'AGG DM'!E43</f>
        <v>10.8479727708929</v>
      </c>
      <c r="N15" s="557">
        <f>'AGG DM'!F43</f>
        <v>9.79850588673491</v>
      </c>
      <c r="O15" s="557">
        <f>'AGG DM'!G43</f>
        <v>8.8149149732476211</v>
      </c>
      <c r="P15" s="18">
        <f>'AGG DM'!H43</f>
        <v>7.171679530370545E-2</v>
      </c>
      <c r="S15" s="88"/>
      <c r="T15" s="88"/>
      <c r="U15" s="88"/>
      <c r="V15" s="42"/>
      <c r="W15" s="42"/>
      <c r="X15" s="42"/>
      <c r="Y15" s="42"/>
      <c r="Z15" s="42"/>
      <c r="AA15" s="42"/>
    </row>
    <row r="16" spans="2:63">
      <c r="B16" s="5" t="s">
        <v>534</v>
      </c>
      <c r="C16" s="257"/>
      <c r="D16" s="228">
        <f>'W.EUR OTHER'!D16/Prices!$F$155+'DM ASIA OTHER'!D16</f>
        <v>801.36020015312658</v>
      </c>
      <c r="E16" s="228">
        <f>'W.EUR OTHER'!E16/Prices!$F$155+'DM ASIA OTHER'!E16</f>
        <v>8550.206597254115</v>
      </c>
      <c r="F16" s="228">
        <f>'W.EUR OTHER'!F16/Prices!$F$155+'DM ASIA OTHER'!F16</f>
        <v>15812.54142415362</v>
      </c>
      <c r="G16" s="228">
        <f>'W.EUR OTHER'!G16/Prices!$F$155+'DM ASIA OTHER'!G16</f>
        <v>22129.666666309568</v>
      </c>
      <c r="H16" s="247"/>
      <c r="I16" s="247"/>
      <c r="J16" s="5" t="s">
        <v>533</v>
      </c>
      <c r="L16" s="557">
        <f>'AGG DM'!D44</f>
        <v>13.624604105346204</v>
      </c>
      <c r="M16" s="557">
        <f>'AGG DM'!E44</f>
        <v>12.503028582967529</v>
      </c>
      <c r="N16" s="557">
        <f>'AGG DM'!F44</f>
        <v>11.302702719097406</v>
      </c>
      <c r="O16" s="557">
        <f>'AGG DM'!G44</f>
        <v>10.160048566687355</v>
      </c>
      <c r="P16" s="18">
        <f>'AGG DM'!H44</f>
        <v>7.6119307301105277E-2</v>
      </c>
      <c r="S16" s="88"/>
      <c r="T16" s="88"/>
      <c r="U16" s="88"/>
      <c r="V16" s="42"/>
      <c r="W16" s="42"/>
      <c r="X16" s="42"/>
      <c r="Y16" s="42"/>
      <c r="Z16" s="42"/>
      <c r="AA16" s="42"/>
    </row>
    <row r="17" spans="2:27">
      <c r="B17" s="5" t="s">
        <v>6</v>
      </c>
      <c r="C17" s="257"/>
      <c r="D17" s="228">
        <f>'W.EUR OTHER'!D17/Prices!$F$155+'DM ASIA OTHER'!D17</f>
        <v>1502.8185068969105</v>
      </c>
      <c r="E17" s="228">
        <f>'W.EUR OTHER'!E17/Prices!$F$155+'DM ASIA OTHER'!E17</f>
        <v>1494.5629602472388</v>
      </c>
      <c r="F17" s="228">
        <f>'W.EUR OTHER'!F17/Prices!$F$155+'DM ASIA OTHER'!F17</f>
        <v>1494.5629602472388</v>
      </c>
      <c r="G17" s="228">
        <f>'W.EUR OTHER'!G17/Prices!$F$155+'DM ASIA OTHER'!G17</f>
        <v>1454.3358596050507</v>
      </c>
      <c r="H17" s="247"/>
      <c r="I17" s="247"/>
      <c r="J17" s="5" t="s">
        <v>580</v>
      </c>
      <c r="L17" s="248">
        <f>'AGG DM'!D45</f>
        <v>3.8692911642747754E-2</v>
      </c>
      <c r="M17" s="248">
        <f>'AGG DM'!E45</f>
        <v>4.3419291969220015E-2</v>
      </c>
      <c r="N17" s="248">
        <f>'AGG DM'!F45</f>
        <v>4.6126321738259798E-2</v>
      </c>
      <c r="O17" s="248">
        <f>'AGG DM'!G45</f>
        <v>4.9423675586152439E-2</v>
      </c>
      <c r="P17" s="18">
        <f>'AGG DM'!H45</f>
        <v>5.8812184463164385E-2</v>
      </c>
      <c r="S17" s="88"/>
      <c r="T17" s="88"/>
      <c r="U17" s="88"/>
      <c r="V17" s="42"/>
      <c r="W17" s="42"/>
      <c r="X17" s="42"/>
      <c r="Y17" s="42"/>
      <c r="Z17" s="42"/>
      <c r="AA17" s="42"/>
    </row>
    <row r="18" spans="2:27" ht="12.6" thickBot="1">
      <c r="B18" s="41" t="s">
        <v>89</v>
      </c>
      <c r="C18" s="249"/>
      <c r="D18" s="275">
        <f>'W.EUR OTHER'!D18/Prices!$F$155+'DM ASIA OTHER'!D18</f>
        <v>283367.95833010733</v>
      </c>
      <c r="E18" s="275">
        <f>'W.EUR OTHER'!E18/Prices!$F$155+'DM ASIA OTHER'!E18</f>
        <v>264980.75927629386</v>
      </c>
      <c r="F18" s="275">
        <f>'W.EUR OTHER'!F18/Prices!$F$155+'DM ASIA OTHER'!F18</f>
        <v>250074.73503766931</v>
      </c>
      <c r="G18" s="275">
        <f>'W.EUR OTHER'!G18/Prices!$F$155+'DM ASIA OTHER'!G18</f>
        <v>233000.00142914418</v>
      </c>
      <c r="H18" s="276">
        <f>IF(D18=0,"nm",IF(G18=0,"nm",(G18/D18)^(1/3)-1))</f>
        <v>-6.315359584464475E-2</v>
      </c>
      <c r="I18" s="254"/>
      <c r="J18" s="5" t="s">
        <v>36</v>
      </c>
      <c r="L18" s="248">
        <f>'AGG DM'!D46</f>
        <v>5.5339609483801136E-2</v>
      </c>
      <c r="M18" s="248">
        <f>'AGG DM'!E46</f>
        <v>7.6500460251698113E-2</v>
      </c>
      <c r="N18" s="248">
        <f>'AGG DM'!F46</f>
        <v>8.0311545489538158E-2</v>
      </c>
      <c r="O18" s="248">
        <f>'AGG DM'!G46</f>
        <v>9.1977124183415609E-2</v>
      </c>
      <c r="P18" s="18">
        <f>'AGG DM'!H46</f>
        <v>0.15593203466037919</v>
      </c>
      <c r="S18" s="88"/>
      <c r="T18" s="88"/>
      <c r="U18" s="88"/>
      <c r="V18" s="42"/>
      <c r="W18" s="42"/>
      <c r="X18" s="42"/>
      <c r="Y18" s="42"/>
      <c r="Z18" s="42"/>
      <c r="AA18" s="42"/>
    </row>
    <row r="19" spans="2:27" ht="12.6" thickTop="1">
      <c r="B19" s="41"/>
      <c r="C19" s="249"/>
      <c r="D19" s="229"/>
      <c r="E19" s="229"/>
      <c r="F19" s="229"/>
      <c r="G19" s="229"/>
      <c r="H19" s="276"/>
      <c r="I19" s="17"/>
      <c r="J19" s="5" t="s">
        <v>581</v>
      </c>
      <c r="L19" s="248">
        <f>'AGG DM'!D47</f>
        <v>8.4700596806382714E-2</v>
      </c>
      <c r="M19" s="248">
        <f>'AGG DM'!E47</f>
        <v>9.2183122240422966E-2</v>
      </c>
      <c r="N19" s="248">
        <f>'AGG DM'!F47</f>
        <v>0.10205637589642999</v>
      </c>
      <c r="O19" s="248">
        <f>'AGG DM'!G47</f>
        <v>0.11344408914151745</v>
      </c>
      <c r="P19" s="18">
        <f>'AGG DM'!H47</f>
        <v>7.171679530370545E-2</v>
      </c>
      <c r="S19" s="88"/>
      <c r="T19" s="88"/>
      <c r="U19" s="88"/>
      <c r="V19" s="42"/>
      <c r="W19" s="42"/>
      <c r="X19" s="42"/>
      <c r="Y19" s="42"/>
      <c r="Z19" s="42"/>
      <c r="AA19" s="42"/>
    </row>
    <row r="20" spans="2:27">
      <c r="H20" s="277"/>
      <c r="I20" s="49"/>
      <c r="J20" s="5" t="s">
        <v>604</v>
      </c>
      <c r="L20" s="305">
        <f>'AGG DM'!D48</f>
        <v>0.45770628705874244</v>
      </c>
      <c r="M20" s="305">
        <f>'AGG DM'!E48</f>
        <v>0.47291165163323612</v>
      </c>
      <c r="N20" s="305">
        <f>'AGG DM'!F48</f>
        <v>0.45515009617149715</v>
      </c>
      <c r="O20" s="305">
        <f>'AGG DM'!G48</f>
        <v>0.44137076019918969</v>
      </c>
      <c r="P20" s="18" t="str">
        <f>'AGG DM'!H48</f>
        <v>nm</v>
      </c>
      <c r="S20" s="42"/>
      <c r="T20" s="42"/>
      <c r="U20" s="42"/>
      <c r="V20" s="42"/>
      <c r="W20" s="42"/>
      <c r="X20" s="42"/>
      <c r="Y20" s="42"/>
      <c r="Z20" s="42"/>
      <c r="AA20" s="42"/>
    </row>
    <row r="21" spans="2:27" ht="12.6" thickBot="1">
      <c r="B21" s="306" t="s">
        <v>308</v>
      </c>
      <c r="C21" s="265">
        <v>2020</v>
      </c>
      <c r="D21" s="265" t="str">
        <f>D5</f>
        <v>2023E</v>
      </c>
      <c r="E21" s="265" t="str">
        <f>E5</f>
        <v>2024E</v>
      </c>
      <c r="F21" s="265" t="str">
        <f>F5</f>
        <v>2025E</v>
      </c>
      <c r="G21" s="265" t="str">
        <f>G5</f>
        <v>2026E</v>
      </c>
      <c r="H21" s="282" t="str">
        <f>H5</f>
        <v>23E-26E</v>
      </c>
      <c r="I21" s="17"/>
      <c r="S21" s="42"/>
      <c r="T21" s="42"/>
      <c r="U21" s="42"/>
      <c r="V21" s="42"/>
      <c r="W21" s="42"/>
      <c r="X21" s="42"/>
      <c r="Y21" s="42"/>
      <c r="Z21" s="42"/>
      <c r="AA21" s="42"/>
    </row>
    <row r="22" spans="2:27" ht="12.6" thickTop="1">
      <c r="B22" s="5"/>
      <c r="C22" s="257"/>
      <c r="D22" s="17"/>
      <c r="E22" s="17"/>
      <c r="F22" s="17"/>
      <c r="G22" s="17"/>
      <c r="H22" s="17"/>
      <c r="I22" s="247"/>
      <c r="P22" s="277"/>
      <c r="S22" s="42"/>
      <c r="T22" s="42"/>
      <c r="U22" s="42"/>
      <c r="V22" s="42"/>
      <c r="W22" s="42"/>
      <c r="X22" s="42"/>
      <c r="Y22" s="42"/>
      <c r="Z22" s="42"/>
      <c r="AA22" s="42"/>
    </row>
    <row r="23" spans="2:27" ht="12.6" thickBot="1">
      <c r="B23" s="5" t="s">
        <v>584</v>
      </c>
      <c r="C23" s="365">
        <f>'W.EUR OTHER'!C23/Prices!$F$155+'DM ASIA OTHER'!C23</f>
        <v>162962.88178725581</v>
      </c>
      <c r="D23" s="228">
        <f>'W.EUR OTHER'!D23/Prices!$F$155+'DM ASIA OTHER'!D23</f>
        <v>162098.76444376266</v>
      </c>
      <c r="E23" s="228">
        <f>'W.EUR OTHER'!E23/Prices!$F$155+'DM ASIA OTHER'!E23</f>
        <v>168611.78820950221</v>
      </c>
      <c r="F23" s="228">
        <f>'W.EUR OTHER'!F23/Prices!$F$155+'DM ASIA OTHER'!F23</f>
        <v>174936.94238284091</v>
      </c>
      <c r="G23" s="228">
        <f>'W.EUR OTHER'!G23/Prices!$F$155+'DM ASIA OTHER'!G23</f>
        <v>181288.53024874977</v>
      </c>
      <c r="H23" s="279">
        <f>IF(D23=0,"nm",IF(G23=0,"nm",(G23/D23)^(1/3)-1))</f>
        <v>3.7998855109847574E-2</v>
      </c>
      <c r="I23" s="249"/>
      <c r="J23" s="306" t="s">
        <v>9</v>
      </c>
      <c r="K23" s="306"/>
      <c r="L23" s="265" t="str">
        <f>L5</f>
        <v>2023E</v>
      </c>
      <c r="M23" s="265" t="str">
        <f>M5</f>
        <v>2024E</v>
      </c>
      <c r="N23" s="265" t="str">
        <f>N5</f>
        <v>2025E</v>
      </c>
      <c r="O23" s="265" t="str">
        <f>O5</f>
        <v>2026E</v>
      </c>
      <c r="P23" s="282" t="str">
        <f>P5</f>
        <v>23E-26E</v>
      </c>
      <c r="S23" s="42"/>
      <c r="T23" s="42"/>
      <c r="U23" s="42"/>
      <c r="V23" s="42"/>
      <c r="W23" s="42" t="s">
        <v>608</v>
      </c>
      <c r="X23" s="42" t="s">
        <v>867</v>
      </c>
      <c r="Y23" s="42"/>
      <c r="Z23" s="42"/>
      <c r="AA23" s="42"/>
    </row>
    <row r="24" spans="2:27" ht="12.6" thickTop="1">
      <c r="B24" s="5" t="s">
        <v>483</v>
      </c>
      <c r="C24" s="365">
        <f>'W.EUR OTHER'!C24/Prices!$F$155+'DM ASIA OTHER'!C24</f>
        <v>45175.024250680552</v>
      </c>
      <c r="D24" s="228">
        <f>'W.EUR OTHER'!D24/Prices!$F$155+'DM ASIA OTHER'!D24</f>
        <v>44537.298737028774</v>
      </c>
      <c r="E24" s="228">
        <f>'W.EUR OTHER'!E24/Prices!$F$155+'DM ASIA OTHER'!E24</f>
        <v>44805.595450982364</v>
      </c>
      <c r="F24" s="228">
        <f>'W.EUR OTHER'!F24/Prices!$F$155+'DM ASIA OTHER'!F24</f>
        <v>47442.584853499648</v>
      </c>
      <c r="G24" s="228">
        <f>'W.EUR OTHER'!G24/Prices!$F$155+'DM ASIA OTHER'!G24</f>
        <v>49924.996020818267</v>
      </c>
      <c r="H24" s="279">
        <f t="shared" ref="H24:H28" si="0">IF(D24=0,"nm",IF(G24=0,"nm",(G24/D24)^(1/3)-1))</f>
        <v>3.8798679067213904E-2</v>
      </c>
      <c r="I24" s="248"/>
      <c r="J24" s="17"/>
      <c r="K24" s="17"/>
      <c r="L24" s="17"/>
      <c r="M24" s="17"/>
      <c r="N24" s="17"/>
      <c r="O24" s="248"/>
      <c r="S24" s="42"/>
      <c r="T24" s="42"/>
      <c r="U24" s="42"/>
      <c r="V24" s="147" t="s">
        <v>273</v>
      </c>
      <c r="W24" s="364">
        <f t="shared" ref="W24:W31" si="1">E37/M9</f>
        <v>0.71206199542263393</v>
      </c>
      <c r="X24" s="288">
        <v>1</v>
      </c>
      <c r="Y24" s="42"/>
      <c r="Z24" s="42"/>
      <c r="AA24" s="42"/>
    </row>
    <row r="25" spans="2:27">
      <c r="B25" s="5" t="s">
        <v>183</v>
      </c>
      <c r="C25" s="365">
        <f>'W.EUR OTHER'!C25/Prices!$F$155+'DM ASIA OTHER'!C25</f>
        <v>19960.038164042518</v>
      </c>
      <c r="D25" s="228">
        <f>'W.EUR OTHER'!D25/Prices!$F$155+'DM ASIA OTHER'!D25</f>
        <v>20959.081358650299</v>
      </c>
      <c r="E25" s="228">
        <f>'W.EUR OTHER'!E25/Prices!$F$155+'DM ASIA OTHER'!E25</f>
        <v>23144.524168956334</v>
      </c>
      <c r="F25" s="228">
        <f>'W.EUR OTHER'!F25/Prices!$F$155+'DM ASIA OTHER'!F25</f>
        <v>25780.661585953254</v>
      </c>
      <c r="G25" s="228">
        <f>'W.EUR OTHER'!G25/Prices!$F$155+'DM ASIA OTHER'!G25</f>
        <v>27866.961636610336</v>
      </c>
      <c r="H25" s="279">
        <f t="shared" si="0"/>
        <v>9.9611125919708332E-2</v>
      </c>
      <c r="I25" s="249"/>
      <c r="J25" s="247" t="s">
        <v>10</v>
      </c>
      <c r="K25" s="247"/>
      <c r="L25" s="332">
        <f>'W.EUR OTHER'!L25/Prices!$F$155+'DM ASIA OTHER'!L25</f>
        <v>3415.3186602226137</v>
      </c>
      <c r="M25" s="332">
        <f>'W.EUR OTHER'!M25/Prices!$F$155+'DM ASIA OTHER'!M25</f>
        <v>3349.4255749470817</v>
      </c>
      <c r="N25" s="332">
        <f>'W.EUR OTHER'!N25/Prices!$F$155+'DM ASIA OTHER'!N25</f>
        <v>2568.9693045170125</v>
      </c>
      <c r="O25" s="332">
        <f>'W.EUR OTHER'!O25/Prices!$F$155+'DM ASIA OTHER'!O25</f>
        <v>985.14255663445215</v>
      </c>
      <c r="P25" s="279">
        <f>IF(L25=0,"nm",IF(O25=0,"nm",(O25/L25)^(1/3)-1))</f>
        <v>-0.33927214462888122</v>
      </c>
      <c r="Q25" s="5"/>
      <c r="S25" s="42"/>
      <c r="T25" s="42"/>
      <c r="U25" s="42"/>
      <c r="V25" s="147" t="s">
        <v>184</v>
      </c>
      <c r="W25" s="364">
        <f t="shared" si="1"/>
        <v>0.89774730444811701</v>
      </c>
      <c r="X25" s="288">
        <v>1</v>
      </c>
      <c r="Y25" s="42"/>
      <c r="Z25" s="42"/>
      <c r="AA25" s="42"/>
    </row>
    <row r="26" spans="2:27">
      <c r="B26" s="5" t="s">
        <v>586</v>
      </c>
      <c r="C26" s="365">
        <f>'W.EUR OTHER'!C26/Prices!$F$155+'DM ASIA OTHER'!C26</f>
        <v>14155.327454899925</v>
      </c>
      <c r="D26" s="228">
        <f>'W.EUR OTHER'!D26/Prices!$F$155+'DM ASIA OTHER'!D26</f>
        <v>15226.364762153862</v>
      </c>
      <c r="E26" s="228">
        <f>'W.EUR OTHER'!E26/Prices!$F$155+'DM ASIA OTHER'!E26</f>
        <v>16730.024516709429</v>
      </c>
      <c r="F26" s="228">
        <f>'W.EUR OTHER'!F26/Prices!$F$155+'DM ASIA OTHER'!F26</f>
        <v>18472.020311323024</v>
      </c>
      <c r="G26" s="228">
        <f>'W.EUR OTHER'!G26/Prices!$F$155+'DM ASIA OTHER'!G26</f>
        <v>19848.727072495552</v>
      </c>
      <c r="H26" s="279">
        <f t="shared" si="0"/>
        <v>9.2392752592956651E-2</v>
      </c>
      <c r="I26" s="249"/>
      <c r="J26" s="249" t="s">
        <v>11</v>
      </c>
      <c r="K26" s="249"/>
      <c r="L26" s="281">
        <f>'W.EUR OTHER'!L26/Prices!$F$155+'DM ASIA OTHER'!L26</f>
        <v>119661.61611807227</v>
      </c>
      <c r="M26" s="281">
        <f>'W.EUR OTHER'!M26/Prices!$F$155+'DM ASIA OTHER'!M26</f>
        <v>115502.54868405976</v>
      </c>
      <c r="N26" s="281">
        <f>'W.EUR OTHER'!N26/Prices!$F$155+'DM ASIA OTHER'!N26</f>
        <v>112675.29336878881</v>
      </c>
      <c r="O26" s="281">
        <f>'W.EUR OTHER'!O26/Prices!$F$155+'DM ASIA OTHER'!O26</f>
        <v>109095.3777236946</v>
      </c>
      <c r="P26" s="279">
        <f>IF(L26=0,"nm",IF(O26=0,"nm",(O26/L26)^(1/3)-1))</f>
        <v>-3.0345176678179153E-2</v>
      </c>
      <c r="Q26" s="41"/>
      <c r="S26" s="42"/>
      <c r="T26" s="42"/>
      <c r="U26" s="42"/>
      <c r="V26" s="147" t="s">
        <v>185</v>
      </c>
      <c r="W26" s="364">
        <f t="shared" si="1"/>
        <v>0.99611242295748403</v>
      </c>
      <c r="X26" s="288">
        <v>1</v>
      </c>
      <c r="Y26" s="42"/>
      <c r="Z26" s="42"/>
      <c r="AA26" s="42"/>
    </row>
    <row r="27" spans="2:27">
      <c r="B27" s="5" t="s">
        <v>587</v>
      </c>
      <c r="C27" s="365">
        <f>'W.EUR OTHER'!C27/Prices!$F$155+'DM ASIA OTHER'!C27</f>
        <v>245560.91467899806</v>
      </c>
      <c r="D27" s="228">
        <f>'W.EUR OTHER'!D27/Prices!$F$155+'DM ASIA OTHER'!D27</f>
        <v>247172.48053540525</v>
      </c>
      <c r="E27" s="228">
        <f>'W.EUR OTHER'!E27/Prices!$F$155+'DM ASIA OTHER'!E27</f>
        <v>240042.74616066058</v>
      </c>
      <c r="F27" s="228">
        <f>'W.EUR OTHER'!F27/Prices!$F$155+'DM ASIA OTHER'!F27</f>
        <v>241236.5366425642</v>
      </c>
      <c r="G27" s="228">
        <f>'W.EUR OTHER'!G27/Prices!$F$155+'DM ASIA OTHER'!G27</f>
        <v>238996.35190361584</v>
      </c>
      <c r="H27" s="279">
        <f t="shared" si="0"/>
        <v>-1.1150074241471741E-2</v>
      </c>
      <c r="I27" s="248"/>
      <c r="J27" s="248"/>
      <c r="K27" s="248"/>
      <c r="L27" s="248"/>
      <c r="M27" s="248"/>
      <c r="N27" s="248"/>
      <c r="O27" s="248"/>
      <c r="Q27" s="5"/>
      <c r="S27" s="42"/>
      <c r="T27" s="42"/>
      <c r="U27" s="42"/>
      <c r="V27" s="147" t="s">
        <v>466</v>
      </c>
      <c r="W27" s="364">
        <f t="shared" si="1"/>
        <v>0.96889050540242527</v>
      </c>
      <c r="X27" s="288">
        <v>1</v>
      </c>
      <c r="Y27" s="42"/>
      <c r="Z27" s="42"/>
      <c r="AA27" s="42"/>
    </row>
    <row r="28" spans="2:27" ht="12.6" thickBot="1">
      <c r="B28" s="5" t="s">
        <v>592</v>
      </c>
      <c r="C28" s="365">
        <f>'W.EUR OTHER'!C28/Prices!$F$155+'DM ASIA OTHER'!C28</f>
        <v>99160.245078194144</v>
      </c>
      <c r="D28" s="228">
        <f>'W.EUR OTHER'!D28/Prices!$F$155+'DM ASIA OTHER'!D28</f>
        <v>100243.92593629693</v>
      </c>
      <c r="E28" s="228">
        <f>'W.EUR OTHER'!E28/Prices!$F$155+'DM ASIA OTHER'!E28</f>
        <v>99964.814383416495</v>
      </c>
      <c r="F28" s="228">
        <f>'W.EUR OTHER'!F28/Prices!$F$155+'DM ASIA OTHER'!F28</f>
        <v>99914.845786098871</v>
      </c>
      <c r="G28" s="228">
        <f>'W.EUR OTHER'!G28/Prices!$F$155+'DM ASIA OTHER'!G28</f>
        <v>99317.978273965506</v>
      </c>
      <c r="H28" s="279">
        <f t="shared" si="0"/>
        <v>-3.0885108516032211E-3</v>
      </c>
      <c r="I28" s="252"/>
      <c r="J28" s="306" t="s">
        <v>859</v>
      </c>
      <c r="K28" s="306"/>
      <c r="L28" s="306"/>
      <c r="M28" s="306"/>
      <c r="N28" s="266"/>
      <c r="O28" s="266"/>
      <c r="P28" s="266"/>
      <c r="Q28" s="5"/>
      <c r="S28" s="42"/>
      <c r="T28" s="42"/>
      <c r="U28" s="42"/>
      <c r="V28" s="147" t="s">
        <v>530</v>
      </c>
      <c r="W28" s="364">
        <f t="shared" si="1"/>
        <v>0.78806876896473455</v>
      </c>
      <c r="X28" s="288">
        <v>1</v>
      </c>
      <c r="Y28" s="42"/>
      <c r="Z28" s="42"/>
      <c r="AA28" s="42"/>
    </row>
    <row r="29" spans="2:27" ht="12.6" thickTop="1">
      <c r="B29" s="5" t="s">
        <v>588</v>
      </c>
      <c r="C29" s="365">
        <f>'W.EUR OTHER'!C29/Prices!$F$155+'DM ASIA OTHER'!C29</f>
        <v>9630.4645248817142</v>
      </c>
      <c r="D29" s="228">
        <f>'W.EUR OTHER'!D29/Prices!$F$155+'DM ASIA OTHER'!D29</f>
        <v>9379.2093977484092</v>
      </c>
      <c r="E29" s="228">
        <f>'W.EUR OTHER'!E29/Prices!$F$155+'DM ASIA OTHER'!E29</f>
        <v>11834.259857427172</v>
      </c>
      <c r="F29" s="228">
        <f>'W.EUR OTHER'!F29/Prices!$F$155+'DM ASIA OTHER'!F29</f>
        <v>14463.383571230528</v>
      </c>
      <c r="G29" s="228">
        <f>'W.EUR OTHER'!G29/Prices!$F$155+'DM ASIA OTHER'!G29</f>
        <v>15976.91693847317</v>
      </c>
      <c r="H29" s="279">
        <f>IF(D29=0,"nm",IF(G29=0,"nm",(G29/D29)^(1/3)-1))</f>
        <v>0.19428757800097984</v>
      </c>
      <c r="I29" s="254"/>
      <c r="J29" s="249"/>
      <c r="K29" s="249"/>
      <c r="L29" s="249"/>
      <c r="M29" s="249"/>
      <c r="N29" s="249"/>
      <c r="O29" s="251"/>
      <c r="Q29" s="5"/>
      <c r="S29" s="42"/>
      <c r="T29" s="42"/>
      <c r="U29" s="42"/>
      <c r="V29" s="147" t="s">
        <v>593</v>
      </c>
      <c r="W29" s="364">
        <f t="shared" si="1"/>
        <v>0.8325679616835493</v>
      </c>
      <c r="X29" s="288">
        <v>1</v>
      </c>
      <c r="Y29" s="42"/>
      <c r="Z29" s="42"/>
      <c r="AA29" s="42"/>
    </row>
    <row r="30" spans="2:27">
      <c r="B30" s="5" t="s">
        <v>589</v>
      </c>
      <c r="C30" s="365">
        <f>'W.EUR OTHER'!C30/Prices!$F$155+'DM ASIA OTHER'!C30</f>
        <v>12299.637638791672</v>
      </c>
      <c r="D30" s="228">
        <f>'W.EUR OTHER'!D30/Prices!$F$155+'DM ASIA OTHER'!D30</f>
        <v>8921.9343575389394</v>
      </c>
      <c r="E30" s="228">
        <f>'W.EUR OTHER'!E30/Prices!$F$155+'DM ASIA OTHER'!E30</f>
        <v>10929.409812006223</v>
      </c>
      <c r="F30" s="228">
        <f>'W.EUR OTHER'!F30/Prices!$F$155+'DM ASIA OTHER'!F30</f>
        <v>12485.718819130641</v>
      </c>
      <c r="G30" s="228">
        <f>'W.EUR OTHER'!G30/Prices!$F$155+'DM ASIA OTHER'!G30</f>
        <v>13734.815218136984</v>
      </c>
      <c r="H30" s="279">
        <f>IF(D30=0,"nm",IF(G30=0,"nm",(G30/D30)^(1/3)-1))</f>
        <v>0.15466127080448167</v>
      </c>
      <c r="I30" s="254"/>
      <c r="J30" s="248"/>
      <c r="K30" s="248"/>
      <c r="L30" s="248"/>
      <c r="M30" s="248"/>
      <c r="N30" s="248"/>
      <c r="O30" s="5"/>
      <c r="Q30" s="5"/>
      <c r="S30" s="42"/>
      <c r="T30" s="42"/>
      <c r="U30" s="42"/>
      <c r="V30" s="147" t="s">
        <v>475</v>
      </c>
      <c r="W30" s="364">
        <f t="shared" si="1"/>
        <v>0.89970861656724521</v>
      </c>
      <c r="X30" s="288">
        <v>1</v>
      </c>
      <c r="Y30" s="42"/>
      <c r="Z30" s="42"/>
      <c r="AA30" s="42"/>
    </row>
    <row r="31" spans="2:27">
      <c r="B31" s="5" t="s">
        <v>590</v>
      </c>
      <c r="C31" s="365">
        <f>'W.EUR OTHER'!C31/Prices!$F$155+'DM ASIA OTHER'!C31</f>
        <v>8526.2114071586329</v>
      </c>
      <c r="D31" s="228">
        <f>'W.EUR OTHER'!D31/Prices!$F$155+'DM ASIA OTHER'!D31</f>
        <v>8604.4034674354079</v>
      </c>
      <c r="E31" s="228">
        <f>'W.EUR OTHER'!E31/Prices!$F$155+'DM ASIA OTHER'!E31</f>
        <v>7358.6787460765427</v>
      </c>
      <c r="F31" s="228">
        <f>'W.EUR OTHER'!F31/Prices!$F$155+'DM ASIA OTHER'!F31</f>
        <v>7719.2208841911561</v>
      </c>
      <c r="G31" s="228">
        <f>'W.EUR OTHER'!G31/Prices!$F$155+'DM ASIA OTHER'!G31</f>
        <v>7897.3288868933796</v>
      </c>
      <c r="H31" s="279">
        <f>IF(D31=0,"nm",IF(G31=0,"nm",(G31/D31)^(1/3)-1))</f>
        <v>-2.8178537743517307E-2</v>
      </c>
      <c r="I31" s="254"/>
      <c r="J31" s="252"/>
      <c r="K31" s="252"/>
      <c r="L31" s="252"/>
      <c r="M31" s="252"/>
      <c r="N31" s="252"/>
      <c r="O31" s="5"/>
      <c r="Q31" s="5"/>
      <c r="S31" s="42"/>
      <c r="T31" s="42"/>
      <c r="U31" s="42"/>
      <c r="V31" s="147" t="s">
        <v>533</v>
      </c>
      <c r="W31" s="364">
        <f t="shared" si="1"/>
        <v>1.3012784071986991</v>
      </c>
      <c r="X31" s="288">
        <v>1</v>
      </c>
      <c r="Y31" s="42"/>
      <c r="Z31" s="42"/>
      <c r="AA31" s="42"/>
    </row>
    <row r="32" spans="2:27">
      <c r="B32" s="5" t="s">
        <v>606</v>
      </c>
      <c r="C32" s="365">
        <f>'W.EUR OTHER'!C32/Prices!$F$155+'DM ASIA OTHER'!C32</f>
        <v>335.76615509512101</v>
      </c>
      <c r="D32" s="228">
        <f>'W.EUR OTHER'!D32/Prices!$F$155+'DM ASIA OTHER'!D32</f>
        <v>1164.2286910931243</v>
      </c>
      <c r="E32" s="228">
        <f>'W.EUR OTHER'!E32/Prices!$F$155+'DM ASIA OTHER'!E32</f>
        <v>2418.6688093947641</v>
      </c>
      <c r="F32" s="228">
        <f>'W.EUR OTHER'!F32/Prices!$F$155+'DM ASIA OTHER'!F32</f>
        <v>1401.0969716610857</v>
      </c>
      <c r="G32" s="228">
        <f>'W.EUR OTHER'!G32/Prices!$F$155+'DM ASIA OTHER'!G32</f>
        <v>-2547.7950226284775</v>
      </c>
      <c r="H32" s="279">
        <f>IF(D32=0,"nm",IF(G32=0,"nm",(G32/D32)^(1/3)-1))</f>
        <v>-2.2983010122073342</v>
      </c>
      <c r="I32" s="5"/>
      <c r="J32" s="254"/>
      <c r="K32" s="254"/>
      <c r="L32" s="254"/>
      <c r="M32" s="254"/>
      <c r="N32" s="254"/>
      <c r="O32" s="251"/>
      <c r="Q32" s="5"/>
      <c r="S32" s="42"/>
      <c r="T32" s="42"/>
      <c r="U32" s="42"/>
      <c r="V32" s="147" t="s">
        <v>580</v>
      </c>
      <c r="W32" s="288">
        <f>M17/E45</f>
        <v>1.0492163550604718</v>
      </c>
      <c r="X32" s="288">
        <v>1</v>
      </c>
      <c r="Y32" s="42"/>
      <c r="Z32" s="42"/>
      <c r="AA32" s="42"/>
    </row>
    <row r="33" spans="2:42">
      <c r="B33" s="5" t="s">
        <v>5</v>
      </c>
      <c r="C33" s="365">
        <f>'W.EUR OTHER'!C33/Prices!$F$155+'DM ASIA OTHER'!C33</f>
        <v>1987.9436806865394</v>
      </c>
      <c r="D33" s="228">
        <f>'W.EUR OTHER'!D33/Prices!$F$155+'DM ASIA OTHER'!D33</f>
        <v>2258.684092581354</v>
      </c>
      <c r="E33" s="228">
        <f>'W.EUR OTHER'!E33/Prices!$F$155+'DM ASIA OTHER'!E33</f>
        <v>3161.4371017297481</v>
      </c>
      <c r="F33" s="228">
        <f>'W.EUR OTHER'!F33/Prices!$F$155+'DM ASIA OTHER'!F33</f>
        <v>3469.6845127822066</v>
      </c>
      <c r="G33" s="228">
        <f>'W.EUR OTHER'!G33/Prices!$F$155+'DM ASIA OTHER'!G33</f>
        <v>3697.5081660623305</v>
      </c>
      <c r="H33" s="279">
        <f>IF(D33=0,"nm",IF(G33=0,"nm",(G33/D33)^(1/3)-1))</f>
        <v>0.17855869475633113</v>
      </c>
      <c r="I33" s="49"/>
      <c r="J33" s="254"/>
      <c r="K33" s="254"/>
      <c r="L33" s="254"/>
      <c r="M33" s="254"/>
      <c r="N33" s="254"/>
      <c r="O33" s="251"/>
      <c r="Q33" s="5"/>
      <c r="S33" s="42"/>
      <c r="T33" s="42"/>
      <c r="U33" s="42"/>
      <c r="V33" s="147" t="s">
        <v>581</v>
      </c>
      <c r="W33" s="288">
        <f>M19/E47</f>
        <v>0.89970861656724521</v>
      </c>
      <c r="X33" s="288">
        <v>1</v>
      </c>
      <c r="Y33" s="288"/>
      <c r="Z33" s="288"/>
      <c r="AA33" s="42"/>
      <c r="AC33" s="10"/>
      <c r="AD33" s="10"/>
      <c r="AE33" s="10"/>
      <c r="AF33" s="10"/>
      <c r="AH33" s="10"/>
      <c r="AI33" s="10"/>
      <c r="AJ33" s="10"/>
      <c r="AK33" s="10"/>
      <c r="AM33" s="10"/>
      <c r="AN33" s="10"/>
      <c r="AO33" s="10"/>
      <c r="AP33" s="10"/>
    </row>
    <row r="34" spans="2:42">
      <c r="H34" s="277"/>
      <c r="I34" s="254"/>
      <c r="J34" s="254"/>
      <c r="K34" s="254"/>
      <c r="L34" s="254"/>
      <c r="M34" s="254"/>
      <c r="N34" s="254"/>
      <c r="O34" s="251"/>
      <c r="Q34" s="5"/>
      <c r="S34" s="42"/>
      <c r="T34" s="42"/>
      <c r="U34" s="42"/>
      <c r="V34" s="42"/>
      <c r="W34" s="42"/>
      <c r="X34" s="42"/>
      <c r="Y34" s="288"/>
      <c r="Z34" s="288"/>
      <c r="AA34" s="42"/>
      <c r="AC34" s="10"/>
      <c r="AD34" s="10"/>
      <c r="AE34" s="10"/>
      <c r="AF34" s="10"/>
      <c r="AH34" s="10"/>
      <c r="AI34" s="10"/>
      <c r="AJ34" s="10"/>
      <c r="AK34" s="10"/>
      <c r="AM34" s="10"/>
      <c r="AN34" s="10"/>
      <c r="AO34" s="10"/>
      <c r="AP34" s="10"/>
    </row>
    <row r="35" spans="2:42" ht="12.6" thickBot="1">
      <c r="B35" s="306" t="s">
        <v>863</v>
      </c>
      <c r="C35" s="265"/>
      <c r="D35" s="265" t="str">
        <f>D5</f>
        <v>2023E</v>
      </c>
      <c r="E35" s="265" t="str">
        <f>E5</f>
        <v>2024E</v>
      </c>
      <c r="F35" s="265" t="str">
        <f>F5</f>
        <v>2025E</v>
      </c>
      <c r="G35" s="265" t="str">
        <f>G5</f>
        <v>2026E</v>
      </c>
      <c r="H35" s="265" t="str">
        <f>H5</f>
        <v>23E-26E</v>
      </c>
      <c r="I35" s="17"/>
      <c r="J35" s="5"/>
      <c r="K35" s="5"/>
      <c r="L35" s="5"/>
      <c r="M35" s="5"/>
      <c r="N35" s="5"/>
      <c r="O35" s="5"/>
      <c r="Q35" s="5"/>
      <c r="S35" s="42"/>
      <c r="T35" s="42"/>
      <c r="U35" s="42"/>
      <c r="V35" s="42"/>
      <c r="W35" s="42"/>
      <c r="X35" s="42"/>
      <c r="Y35" s="288"/>
      <c r="Z35" s="288"/>
      <c r="AA35" s="42"/>
      <c r="AC35" s="10"/>
      <c r="AD35" s="10"/>
      <c r="AE35" s="10"/>
      <c r="AF35" s="10"/>
      <c r="AH35" s="10"/>
      <c r="AI35" s="10"/>
      <c r="AJ35" s="10"/>
      <c r="AK35" s="10"/>
      <c r="AM35" s="10"/>
      <c r="AN35" s="10"/>
      <c r="AO35" s="10"/>
      <c r="AP35" s="10"/>
    </row>
    <row r="36" spans="2:42" ht="12.6" thickTop="1">
      <c r="B36" s="41"/>
      <c r="C36" s="249"/>
      <c r="D36" s="254"/>
      <c r="E36" s="254"/>
      <c r="F36" s="254"/>
      <c r="G36" s="254"/>
      <c r="H36" s="254"/>
      <c r="I36" s="5"/>
      <c r="J36" s="49"/>
      <c r="K36" s="49"/>
      <c r="L36" s="49"/>
      <c r="M36" s="49"/>
      <c r="N36" s="49"/>
      <c r="O36" s="49"/>
      <c r="Q36" s="5"/>
      <c r="R36" s="5"/>
      <c r="S36" s="42"/>
      <c r="T36" s="42"/>
      <c r="U36" s="42"/>
      <c r="V36" s="42"/>
      <c r="W36" s="42"/>
      <c r="X36" s="42"/>
      <c r="Y36" s="42"/>
      <c r="Z36" s="42"/>
      <c r="AA36" s="42"/>
      <c r="AC36" s="10"/>
      <c r="AD36" s="10"/>
      <c r="AE36" s="10"/>
      <c r="AF36" s="10"/>
      <c r="AH36" s="10"/>
      <c r="AI36" s="10"/>
      <c r="AJ36" s="10"/>
      <c r="AK36" s="10"/>
      <c r="AM36" s="10"/>
      <c r="AN36" s="10"/>
      <c r="AO36" s="10"/>
      <c r="AP36" s="10"/>
    </row>
    <row r="37" spans="2:42">
      <c r="B37" s="5" t="s">
        <v>273</v>
      </c>
      <c r="C37" s="247"/>
      <c r="D37" s="557">
        <f t="shared" ref="D37:G41" si="2">D$18/D23</f>
        <v>1.7481191747665474</v>
      </c>
      <c r="E37" s="557">
        <f t="shared" si="2"/>
        <v>1.5715434969887871</v>
      </c>
      <c r="F37" s="557">
        <f t="shared" si="2"/>
        <v>1.4295135814732205</v>
      </c>
      <c r="G37" s="557">
        <f t="shared" si="2"/>
        <v>1.2852440312105793</v>
      </c>
      <c r="H37" s="17">
        <f t="shared" ref="H37:H45" si="3">H23</f>
        <v>3.7998855109847574E-2</v>
      </c>
      <c r="I37" s="259"/>
      <c r="J37" s="259"/>
      <c r="K37" s="259"/>
      <c r="L37" s="259"/>
      <c r="M37" s="259"/>
      <c r="N37" s="259"/>
      <c r="O37" s="18"/>
      <c r="Q37" s="5"/>
      <c r="R37" s="5"/>
      <c r="S37" s="42"/>
      <c r="T37" s="42"/>
      <c r="U37" s="42"/>
      <c r="V37" s="42"/>
      <c r="W37" s="42"/>
      <c r="X37" s="42"/>
      <c r="Y37" s="42"/>
      <c r="Z37" s="42"/>
      <c r="AA37" s="42"/>
      <c r="AC37" s="10"/>
      <c r="AD37" s="10"/>
      <c r="AE37" s="10"/>
      <c r="AF37" s="10"/>
      <c r="AH37" s="10"/>
      <c r="AI37" s="10"/>
      <c r="AJ37" s="10"/>
      <c r="AK37" s="10"/>
      <c r="AM37" s="10"/>
      <c r="AN37" s="10"/>
      <c r="AO37" s="10"/>
      <c r="AP37" s="10"/>
    </row>
    <row r="38" spans="2:42">
      <c r="B38" s="5" t="s">
        <v>184</v>
      </c>
      <c r="C38" s="247"/>
      <c r="D38" s="557">
        <f t="shared" si="2"/>
        <v>6.3624864184794454</v>
      </c>
      <c r="E38" s="557">
        <f t="shared" si="2"/>
        <v>5.9140104401956819</v>
      </c>
      <c r="F38" s="557">
        <f t="shared" si="2"/>
        <v>5.2711026561872147</v>
      </c>
      <c r="G38" s="557">
        <f t="shared" si="2"/>
        <v>4.6670009013518055</v>
      </c>
      <c r="H38" s="17">
        <f t="shared" si="3"/>
        <v>3.8798679067213904E-2</v>
      </c>
      <c r="I38" s="17"/>
      <c r="J38" s="17"/>
      <c r="K38" s="17"/>
      <c r="L38" s="17"/>
      <c r="M38" s="17"/>
      <c r="N38" s="17"/>
      <c r="O38" s="5"/>
      <c r="Q38" s="5"/>
      <c r="R38" s="5"/>
      <c r="S38" s="42"/>
      <c r="T38" s="42"/>
      <c r="U38" s="42"/>
      <c r="V38" s="42"/>
      <c r="W38" s="42"/>
      <c r="X38" s="42"/>
      <c r="Y38" s="42"/>
      <c r="Z38" s="42"/>
      <c r="AA38" s="42"/>
    </row>
    <row r="39" spans="2:42">
      <c r="B39" s="5" t="s">
        <v>185</v>
      </c>
      <c r="C39" s="247"/>
      <c r="D39" s="557">
        <f t="shared" si="2"/>
        <v>13.520056221984882</v>
      </c>
      <c r="E39" s="557">
        <f t="shared" si="2"/>
        <v>11.44896120317356</v>
      </c>
      <c r="F39" s="557">
        <f t="shared" si="2"/>
        <v>9.7000898989312212</v>
      </c>
      <c r="G39" s="557">
        <f t="shared" si="2"/>
        <v>8.3611555672090017</v>
      </c>
      <c r="H39" s="17">
        <f t="shared" si="3"/>
        <v>9.9611125919708332E-2</v>
      </c>
      <c r="I39" s="5"/>
      <c r="J39" s="5"/>
      <c r="K39" s="5"/>
      <c r="L39" s="5"/>
      <c r="M39" s="5"/>
      <c r="N39" s="5"/>
      <c r="O39" s="5"/>
      <c r="Q39" s="5"/>
      <c r="R39" s="5"/>
      <c r="S39" s="42"/>
      <c r="T39" s="42"/>
      <c r="U39" s="42"/>
      <c r="V39" s="42"/>
      <c r="W39" s="288"/>
      <c r="X39" s="288"/>
      <c r="Y39" s="42"/>
      <c r="Z39" s="42"/>
      <c r="AA39" s="42"/>
    </row>
    <row r="40" spans="2:42">
      <c r="B40" s="5" t="s">
        <v>466</v>
      </c>
      <c r="C40" s="247"/>
      <c r="D40" s="557">
        <f t="shared" si="2"/>
        <v>18.610348744201712</v>
      </c>
      <c r="E40" s="557">
        <f t="shared" si="2"/>
        <v>15.838635443220021</v>
      </c>
      <c r="F40" s="557">
        <f t="shared" si="2"/>
        <v>13.538028370636745</v>
      </c>
      <c r="G40" s="557">
        <f t="shared" si="2"/>
        <v>11.738788113622311</v>
      </c>
      <c r="H40" s="17">
        <f t="shared" si="3"/>
        <v>9.2392752592956651E-2</v>
      </c>
      <c r="I40" s="247"/>
      <c r="J40" s="259"/>
      <c r="K40" s="259"/>
      <c r="L40" s="259"/>
      <c r="M40" s="259"/>
      <c r="N40" s="259"/>
      <c r="O40" s="18"/>
      <c r="Q40" s="5"/>
      <c r="R40" s="5"/>
      <c r="S40" s="42"/>
      <c r="T40" s="42"/>
      <c r="U40" s="42"/>
      <c r="V40" s="42"/>
      <c r="W40" s="288"/>
      <c r="X40" s="288"/>
      <c r="Y40" s="288"/>
      <c r="Z40" s="288"/>
      <c r="AA40" s="42"/>
    </row>
    <row r="41" spans="2:42">
      <c r="B41" s="5" t="s">
        <v>530</v>
      </c>
      <c r="C41" s="247"/>
      <c r="D41" s="557">
        <f t="shared" si="2"/>
        <v>1.1464381379201209</v>
      </c>
      <c r="E41" s="557">
        <f t="shared" si="2"/>
        <v>1.103889884258124</v>
      </c>
      <c r="F41" s="557">
        <f t="shared" si="2"/>
        <v>1.0366370638465952</v>
      </c>
      <c r="G41" s="557">
        <f t="shared" si="2"/>
        <v>0.97491028450137218</v>
      </c>
      <c r="H41" s="17">
        <f t="shared" si="3"/>
        <v>-1.1150074241471741E-2</v>
      </c>
      <c r="I41" s="248"/>
      <c r="J41" s="17"/>
      <c r="K41" s="17"/>
      <c r="L41" s="17"/>
      <c r="M41" s="17"/>
      <c r="N41" s="17"/>
      <c r="O41" s="5"/>
      <c r="Q41" s="5"/>
      <c r="R41" s="5"/>
      <c r="S41" s="42"/>
      <c r="T41" s="42"/>
      <c r="U41" s="42"/>
      <c r="V41" s="42"/>
      <c r="W41" s="288"/>
      <c r="X41" s="288"/>
      <c r="Y41" s="288"/>
      <c r="Z41" s="288"/>
      <c r="AA41" s="42"/>
    </row>
    <row r="42" spans="2:42">
      <c r="B42" s="5" t="s">
        <v>593</v>
      </c>
      <c r="C42" s="247"/>
      <c r="D42" s="557">
        <f>D18/D28</f>
        <v>2.8267843231736771</v>
      </c>
      <c r="E42" s="557">
        <f>E18/E28</f>
        <v>2.6507402720716944</v>
      </c>
      <c r="F42" s="557">
        <f>F18/F28</f>
        <v>2.5028786570219794</v>
      </c>
      <c r="G42" s="557">
        <f>G18/G28</f>
        <v>2.3460002456596634</v>
      </c>
      <c r="H42" s="17">
        <f t="shared" si="3"/>
        <v>-3.0885108516032211E-3</v>
      </c>
      <c r="I42" s="247"/>
      <c r="J42" s="5"/>
      <c r="K42" s="5"/>
      <c r="L42" s="5"/>
      <c r="M42" s="5"/>
      <c r="N42" s="5"/>
      <c r="O42" s="5"/>
      <c r="Q42" s="5"/>
      <c r="R42" s="5"/>
      <c r="S42" s="42"/>
      <c r="T42" s="42"/>
      <c r="U42" s="42"/>
      <c r="V42" s="42"/>
      <c r="W42" s="288"/>
      <c r="X42" s="288"/>
      <c r="Y42" s="288"/>
      <c r="Z42" s="288"/>
      <c r="AA42" s="42"/>
    </row>
    <row r="43" spans="2:42">
      <c r="B43" s="5" t="s">
        <v>475</v>
      </c>
      <c r="C43" s="247"/>
      <c r="D43" s="557">
        <f>L26/D29</f>
        <v>12.758177266710611</v>
      </c>
      <c r="E43" s="557">
        <f>M26/E29</f>
        <v>9.7600145742591966</v>
      </c>
      <c r="F43" s="557">
        <f>N26/F29</f>
        <v>7.7903827146584161</v>
      </c>
      <c r="G43" s="557">
        <f>O26/G29</f>
        <v>6.8283122547246764</v>
      </c>
      <c r="H43" s="17">
        <f t="shared" si="3"/>
        <v>0.19428757800097984</v>
      </c>
      <c r="I43" s="247"/>
      <c r="J43" s="247"/>
      <c r="K43" s="247"/>
      <c r="L43" s="247"/>
      <c r="M43" s="247"/>
      <c r="N43" s="247"/>
      <c r="O43" s="18"/>
      <c r="Q43" s="5"/>
      <c r="R43" s="5"/>
      <c r="S43" s="42"/>
      <c r="T43" s="42"/>
      <c r="U43" s="42"/>
      <c r="V43" s="42"/>
      <c r="W43" s="325"/>
      <c r="X43" s="325"/>
      <c r="Y43" s="288"/>
      <c r="Z43" s="288"/>
      <c r="AA43" s="42"/>
    </row>
    <row r="44" spans="2:42">
      <c r="B44" s="5" t="s">
        <v>533</v>
      </c>
      <c r="C44" s="69"/>
      <c r="D44" s="557">
        <f>D11/D30</f>
        <v>20.388269859622277</v>
      </c>
      <c r="E44" s="557">
        <f>E11/E30</f>
        <v>16.269921119603794</v>
      </c>
      <c r="F44" s="557">
        <f>F11/F30</f>
        <v>14.078285796290874</v>
      </c>
      <c r="G44" s="557">
        <f>G11/G30</f>
        <v>12.652039411723212</v>
      </c>
      <c r="H44" s="17">
        <f t="shared" si="3"/>
        <v>0.15466127080448167</v>
      </c>
      <c r="I44" s="248"/>
      <c r="J44" s="248"/>
      <c r="K44" s="248"/>
      <c r="L44" s="248"/>
      <c r="M44" s="248"/>
      <c r="N44" s="248"/>
      <c r="O44" s="248"/>
      <c r="Q44" s="5"/>
      <c r="R44" s="5"/>
      <c r="S44" s="42"/>
      <c r="T44" s="42"/>
      <c r="U44" s="42"/>
      <c r="V44" s="42"/>
      <c r="W44" s="42"/>
      <c r="X44" s="42"/>
      <c r="Y44" s="325"/>
      <c r="Z44" s="325"/>
      <c r="AA44" s="42"/>
    </row>
    <row r="45" spans="2:42">
      <c r="B45" s="5" t="s">
        <v>580</v>
      </c>
      <c r="C45" s="247"/>
      <c r="D45" s="248">
        <f>D31/D11</f>
        <v>4.7302203233294128E-2</v>
      </c>
      <c r="E45" s="248">
        <f>E31/E11</f>
        <v>4.1382591645473858E-2</v>
      </c>
      <c r="F45" s="248">
        <f>F31/F11</f>
        <v>4.3914722292517291E-2</v>
      </c>
      <c r="G45" s="248">
        <f>G31/G11</f>
        <v>4.5446125937936094E-2</v>
      </c>
      <c r="H45" s="17">
        <f t="shared" si="3"/>
        <v>-2.8178537743517307E-2</v>
      </c>
      <c r="I45" s="247"/>
      <c r="J45" s="247"/>
      <c r="K45" s="247"/>
      <c r="L45" s="247"/>
      <c r="M45" s="247"/>
      <c r="N45" s="247"/>
      <c r="O45" s="248"/>
      <c r="Q45" s="5"/>
      <c r="R45" s="5"/>
      <c r="S45" s="42"/>
      <c r="T45" s="42"/>
      <c r="U45" s="42"/>
      <c r="V45" s="42"/>
      <c r="W45" s="42"/>
      <c r="X45" s="42"/>
      <c r="Y45" s="42"/>
      <c r="Z45" s="42"/>
      <c r="AA45" s="326"/>
      <c r="AB45" s="303"/>
    </row>
    <row r="46" spans="2:42">
      <c r="B46" s="5" t="s">
        <v>605</v>
      </c>
      <c r="C46" s="247"/>
      <c r="D46" s="248">
        <f>(D31+D32)/D11</f>
        <v>5.3702482156120265E-2</v>
      </c>
      <c r="E46" s="248">
        <f>(E31+E32)/E11</f>
        <v>5.4984324662857423E-2</v>
      </c>
      <c r="F46" s="248">
        <f>(F31+F32)/F11</f>
        <v>5.1885576519709257E-2</v>
      </c>
      <c r="G46" s="248">
        <f>(G31+G32)/G11</f>
        <v>3.0784534009735607E-2</v>
      </c>
      <c r="H46" s="279">
        <f>((G31+G32)/(D31+D32))^(1/3)-1</f>
        <v>-0.18186043618651115</v>
      </c>
      <c r="I46" s="17"/>
      <c r="J46" s="247"/>
      <c r="K46" s="247"/>
      <c r="L46" s="247"/>
      <c r="M46" s="247"/>
      <c r="N46" s="247"/>
      <c r="O46" s="18"/>
      <c r="Q46" s="5"/>
      <c r="R46" s="5"/>
      <c r="S46" s="42"/>
      <c r="T46" s="42"/>
      <c r="U46" s="42"/>
      <c r="V46" s="42"/>
      <c r="W46" s="42"/>
      <c r="X46" s="42"/>
      <c r="Y46" s="42"/>
      <c r="Z46" s="42"/>
      <c r="AA46" s="326"/>
      <c r="AB46" s="303"/>
    </row>
    <row r="47" spans="2:42">
      <c r="B47" s="5" t="s">
        <v>581</v>
      </c>
      <c r="C47" s="5"/>
      <c r="D47" s="248">
        <f>1/D43</f>
        <v>7.8381102495672247E-2</v>
      </c>
      <c r="E47" s="248">
        <f>1/E43</f>
        <v>0.10245886339528359</v>
      </c>
      <c r="F47" s="248">
        <f>1/F43</f>
        <v>0.12836339838842525</v>
      </c>
      <c r="G47" s="248">
        <f>1/G43</f>
        <v>0.14644907302065391</v>
      </c>
      <c r="H47" s="17">
        <f>H29</f>
        <v>0.19428757800097984</v>
      </c>
      <c r="I47" s="247"/>
      <c r="J47" s="248"/>
      <c r="K47" s="248"/>
      <c r="L47" s="248"/>
      <c r="M47" s="248"/>
      <c r="N47" s="248"/>
      <c r="O47" s="248"/>
      <c r="Q47" s="5"/>
      <c r="R47" s="5"/>
      <c r="S47" s="5"/>
      <c r="T47" s="5"/>
      <c r="U47" s="5"/>
      <c r="AA47" s="303"/>
      <c r="AB47" s="303"/>
    </row>
    <row r="48" spans="2:42">
      <c r="B48" s="5" t="s">
        <v>618</v>
      </c>
      <c r="C48" s="5"/>
      <c r="D48" s="305">
        <f>D31/D29</f>
        <v>0.91739112568496417</v>
      </c>
      <c r="E48" s="305">
        <f>E31/E29</f>
        <v>0.62181148924647289</v>
      </c>
      <c r="F48" s="305">
        <f>F31/F29</f>
        <v>0.53370781782664245</v>
      </c>
      <c r="G48" s="305">
        <f>G31/G29</f>
        <v>0.49429617224060535</v>
      </c>
      <c r="H48" s="17" t="s">
        <v>607</v>
      </c>
      <c r="I48" s="259"/>
      <c r="J48" s="247"/>
      <c r="K48" s="247"/>
      <c r="L48" s="247"/>
      <c r="M48" s="247"/>
      <c r="N48" s="247"/>
      <c r="O48" s="248"/>
      <c r="Q48" s="5"/>
      <c r="R48" s="5"/>
      <c r="S48" s="5"/>
      <c r="T48" s="5"/>
      <c r="U48" s="5"/>
      <c r="AA48" s="303"/>
      <c r="AB48" s="303"/>
    </row>
    <row r="49" spans="2:28">
      <c r="B49" s="41"/>
      <c r="C49" s="17"/>
      <c r="D49" s="17"/>
      <c r="E49" s="17"/>
      <c r="F49" s="17"/>
      <c r="G49" s="17"/>
      <c r="H49" s="17"/>
      <c r="I49" s="17"/>
      <c r="J49" s="17"/>
      <c r="K49" s="17"/>
      <c r="L49" s="17"/>
      <c r="M49" s="17"/>
      <c r="N49" s="17"/>
      <c r="O49" s="248"/>
      <c r="Q49" s="5"/>
      <c r="R49" s="5"/>
      <c r="S49" s="5"/>
      <c r="T49" s="5"/>
      <c r="U49" s="5"/>
      <c r="W49" s="10"/>
      <c r="X49" s="10"/>
      <c r="AA49" s="303"/>
      <c r="AB49" s="303"/>
    </row>
    <row r="50" spans="2:28">
      <c r="B50" s="5"/>
      <c r="C50" s="257"/>
      <c r="D50" s="257"/>
      <c r="E50" s="257"/>
      <c r="F50" s="5"/>
      <c r="G50" s="41"/>
      <c r="H50" s="249"/>
      <c r="I50" s="259"/>
      <c r="J50" s="249"/>
      <c r="K50" s="249"/>
      <c r="L50" s="249"/>
      <c r="M50" s="249"/>
      <c r="N50" s="249"/>
      <c r="O50" s="250"/>
      <c r="Q50" s="5"/>
      <c r="R50" s="5"/>
      <c r="S50" s="5"/>
      <c r="T50" s="5"/>
      <c r="U50" s="5"/>
      <c r="W50" s="10"/>
      <c r="X50" s="10"/>
      <c r="Y50" s="10"/>
      <c r="Z50" s="10"/>
    </row>
    <row r="51" spans="2:28">
      <c r="B51" s="41"/>
      <c r="C51" s="249"/>
      <c r="D51" s="254"/>
      <c r="E51" s="254"/>
      <c r="F51" s="254"/>
      <c r="G51" s="254"/>
      <c r="H51" s="254"/>
      <c r="I51" s="254"/>
      <c r="J51" s="254"/>
      <c r="K51" s="254"/>
      <c r="L51" s="254"/>
      <c r="M51" s="254"/>
      <c r="N51" s="254"/>
      <c r="O51" s="251"/>
      <c r="Q51" s="5"/>
      <c r="R51" s="5"/>
      <c r="S51" s="5"/>
      <c r="T51" s="5"/>
      <c r="U51" s="5"/>
      <c r="Y51" s="10"/>
      <c r="Z51" s="10"/>
    </row>
    <row r="52" spans="2:28">
      <c r="B52" s="5"/>
      <c r="C52" s="257"/>
      <c r="D52" s="17"/>
      <c r="E52" s="17"/>
      <c r="F52" s="17"/>
      <c r="G52" s="17"/>
      <c r="H52" s="17"/>
      <c r="I52" s="17"/>
      <c r="J52" s="17"/>
      <c r="K52" s="17"/>
      <c r="L52" s="17"/>
      <c r="M52" s="17"/>
      <c r="N52" s="17"/>
      <c r="O52" s="248"/>
      <c r="Q52" s="5"/>
      <c r="R52" s="5"/>
      <c r="S52" s="5"/>
      <c r="T52" s="5"/>
      <c r="U52" s="5"/>
    </row>
    <row r="53" spans="2:28">
      <c r="B53" s="5"/>
      <c r="C53" s="257"/>
      <c r="D53" s="257"/>
      <c r="E53" s="257"/>
      <c r="F53" s="5"/>
      <c r="G53" s="5"/>
      <c r="H53" s="259"/>
      <c r="I53" s="259"/>
      <c r="J53" s="259"/>
      <c r="K53" s="259"/>
      <c r="L53" s="259"/>
      <c r="M53" s="259"/>
      <c r="N53" s="259"/>
      <c r="O53" s="18"/>
      <c r="Q53" s="5"/>
      <c r="R53" s="5"/>
      <c r="S53" s="5"/>
      <c r="T53" s="5"/>
      <c r="U53" s="5"/>
    </row>
    <row r="54" spans="2:28">
      <c r="B54" s="41"/>
      <c r="C54" s="249"/>
      <c r="D54" s="254"/>
      <c r="E54" s="254"/>
      <c r="F54" s="254"/>
      <c r="G54" s="254"/>
      <c r="H54" s="254"/>
      <c r="I54" s="249"/>
      <c r="J54" s="17"/>
      <c r="K54" s="17"/>
      <c r="L54" s="17"/>
      <c r="M54" s="17"/>
      <c r="N54" s="17"/>
      <c r="O54" s="18"/>
      <c r="Q54" s="5"/>
      <c r="R54" s="5"/>
      <c r="S54" s="5"/>
      <c r="T54" s="5"/>
      <c r="U54" s="5"/>
    </row>
    <row r="55" spans="2:28">
      <c r="B55" s="5"/>
      <c r="C55" s="257"/>
      <c r="D55" s="17"/>
      <c r="E55" s="17"/>
      <c r="F55" s="17"/>
      <c r="G55" s="17"/>
      <c r="H55" s="17"/>
      <c r="I55" s="248"/>
      <c r="J55" s="259"/>
      <c r="K55" s="259"/>
      <c r="L55" s="259"/>
      <c r="M55" s="259"/>
      <c r="N55" s="259"/>
      <c r="O55" s="18"/>
      <c r="Q55" s="5"/>
      <c r="R55" s="5"/>
      <c r="S55" s="5"/>
      <c r="T55" s="5"/>
      <c r="U55" s="5"/>
    </row>
    <row r="56" spans="2:28">
      <c r="B56" s="5"/>
      <c r="C56" s="248"/>
      <c r="D56" s="248"/>
      <c r="E56" s="248"/>
      <c r="F56" s="5"/>
      <c r="G56" s="5"/>
      <c r="H56" s="259"/>
      <c r="I56" s="5"/>
      <c r="J56" s="249"/>
      <c r="K56" s="249"/>
      <c r="L56" s="249"/>
      <c r="M56" s="249"/>
      <c r="N56" s="249"/>
      <c r="O56" s="251"/>
      <c r="Q56" s="5"/>
      <c r="R56" s="5"/>
      <c r="S56" s="5"/>
      <c r="T56" s="5"/>
      <c r="U56" s="5"/>
    </row>
    <row r="57" spans="2:28">
      <c r="B57" s="41"/>
      <c r="C57" s="249"/>
      <c r="D57" s="249"/>
      <c r="E57" s="249"/>
      <c r="F57" s="249"/>
      <c r="G57" s="249"/>
      <c r="H57" s="249"/>
      <c r="I57" s="17"/>
      <c r="J57" s="248"/>
      <c r="K57" s="248"/>
      <c r="L57" s="248"/>
      <c r="M57" s="248"/>
      <c r="N57" s="248"/>
      <c r="O57" s="18"/>
      <c r="Q57" s="5"/>
      <c r="R57" s="5"/>
      <c r="S57" s="5"/>
      <c r="T57" s="5"/>
      <c r="U57" s="5"/>
    </row>
    <row r="58" spans="2:28">
      <c r="B58" s="5"/>
      <c r="C58" s="5"/>
      <c r="D58" s="248"/>
      <c r="E58" s="248"/>
      <c r="F58" s="248"/>
      <c r="G58" s="248"/>
      <c r="H58" s="248"/>
      <c r="I58" s="5"/>
      <c r="J58" s="5"/>
      <c r="K58" s="5"/>
      <c r="L58" s="5"/>
      <c r="M58" s="5"/>
      <c r="N58" s="5"/>
      <c r="O58" s="5"/>
      <c r="Q58" s="5"/>
      <c r="R58" s="5"/>
      <c r="S58" s="5"/>
      <c r="T58" s="5"/>
      <c r="U58" s="5"/>
    </row>
    <row r="59" spans="2:28">
      <c r="B59" s="5"/>
      <c r="C59" s="5"/>
      <c r="D59" s="5"/>
      <c r="E59" s="5"/>
      <c r="F59" s="5"/>
      <c r="G59" s="5"/>
      <c r="H59" s="5"/>
      <c r="I59" s="249"/>
      <c r="J59" s="17"/>
      <c r="K59" s="17"/>
      <c r="L59" s="17"/>
      <c r="M59" s="17"/>
      <c r="N59" s="17"/>
      <c r="O59" s="251"/>
      <c r="Q59" s="5"/>
      <c r="R59" s="5"/>
      <c r="S59" s="5"/>
      <c r="T59" s="5"/>
      <c r="U59" s="5"/>
    </row>
    <row r="60" spans="2:28">
      <c r="B60" s="41"/>
      <c r="C60" s="17"/>
      <c r="D60" s="17"/>
      <c r="E60" s="17"/>
      <c r="F60" s="17"/>
      <c r="G60" s="17"/>
      <c r="H60" s="17"/>
      <c r="I60" s="5"/>
      <c r="J60" s="5"/>
      <c r="K60" s="5"/>
      <c r="L60" s="5"/>
      <c r="M60" s="5"/>
      <c r="N60" s="5"/>
      <c r="O60" s="5"/>
      <c r="Q60" s="41"/>
      <c r="R60" s="5"/>
      <c r="S60" s="5"/>
      <c r="T60" s="5"/>
      <c r="U60" s="5"/>
    </row>
    <row r="61" spans="2:28">
      <c r="B61" s="5"/>
      <c r="C61" s="5"/>
      <c r="D61" s="5"/>
      <c r="E61" s="5"/>
      <c r="F61" s="5"/>
      <c r="G61" s="5"/>
      <c r="H61" s="5"/>
      <c r="I61" s="5"/>
      <c r="J61" s="249"/>
      <c r="K61" s="249"/>
      <c r="L61" s="249"/>
      <c r="M61" s="249"/>
      <c r="N61" s="249"/>
      <c r="O61" s="251"/>
      <c r="Q61" s="5"/>
      <c r="R61" s="5"/>
      <c r="S61" s="5"/>
      <c r="T61" s="5"/>
      <c r="U61" s="5"/>
    </row>
    <row r="62" spans="2:28">
      <c r="B62" s="41"/>
      <c r="C62" s="249"/>
      <c r="D62" s="249"/>
      <c r="E62" s="249"/>
      <c r="F62" s="249"/>
      <c r="G62" s="249"/>
      <c r="H62" s="249"/>
      <c r="I62" s="254"/>
      <c r="J62" s="5"/>
      <c r="K62" s="5"/>
      <c r="L62" s="5"/>
      <c r="M62" s="5"/>
      <c r="N62" s="5"/>
      <c r="O62" s="5"/>
      <c r="Q62" s="5"/>
      <c r="R62" s="5"/>
      <c r="S62" s="5"/>
      <c r="T62" s="5"/>
      <c r="U62" s="5"/>
    </row>
    <row r="63" spans="2:28">
      <c r="B63" s="5"/>
      <c r="C63" s="5"/>
      <c r="D63" s="5"/>
      <c r="E63" s="5"/>
      <c r="F63" s="5"/>
      <c r="G63" s="5"/>
      <c r="H63" s="5"/>
      <c r="I63" s="17"/>
      <c r="J63" s="5"/>
      <c r="K63" s="5"/>
      <c r="L63" s="5"/>
      <c r="M63" s="5"/>
      <c r="N63" s="5"/>
      <c r="O63" s="5"/>
      <c r="Q63" s="5"/>
      <c r="R63" s="5"/>
      <c r="S63" s="5"/>
      <c r="T63" s="5"/>
      <c r="U63" s="5"/>
    </row>
    <row r="64" spans="2:28">
      <c r="B64" s="5"/>
      <c r="C64" s="5"/>
      <c r="D64" s="5"/>
      <c r="E64" s="5"/>
      <c r="F64" s="5"/>
      <c r="G64" s="5"/>
      <c r="H64" s="5"/>
      <c r="I64" s="254"/>
      <c r="J64" s="254"/>
      <c r="K64" s="254"/>
      <c r="L64" s="254"/>
      <c r="M64" s="254"/>
      <c r="N64" s="254"/>
      <c r="O64" s="251"/>
      <c r="Q64" s="5"/>
      <c r="R64" s="5"/>
      <c r="S64" s="5"/>
      <c r="T64" s="5"/>
      <c r="U64" s="5"/>
    </row>
    <row r="65" spans="2:26">
      <c r="B65" s="41"/>
      <c r="C65" s="249"/>
      <c r="D65" s="254"/>
      <c r="E65" s="254"/>
      <c r="F65" s="254"/>
      <c r="G65" s="254"/>
      <c r="H65" s="254"/>
      <c r="I65" s="248"/>
      <c r="J65" s="17"/>
      <c r="K65" s="17"/>
      <c r="L65" s="17"/>
      <c r="M65" s="17"/>
      <c r="N65" s="17"/>
      <c r="O65" s="5"/>
      <c r="Q65" s="5"/>
      <c r="R65" s="5"/>
      <c r="S65" s="5"/>
      <c r="T65" s="5"/>
      <c r="U65" s="5"/>
    </row>
    <row r="66" spans="2:26">
      <c r="B66" s="5"/>
      <c r="C66" s="5"/>
      <c r="D66" s="17"/>
      <c r="E66" s="17"/>
      <c r="F66" s="17"/>
      <c r="G66" s="17"/>
      <c r="H66" s="17"/>
      <c r="I66" s="5"/>
      <c r="J66" s="254"/>
      <c r="K66" s="254"/>
      <c r="L66" s="254"/>
      <c r="M66" s="254"/>
      <c r="N66" s="254"/>
      <c r="O66" s="251"/>
      <c r="Q66" s="41"/>
      <c r="R66" s="5"/>
      <c r="S66" s="5"/>
      <c r="T66" s="5"/>
      <c r="U66" s="5"/>
    </row>
    <row r="67" spans="2:26">
      <c r="B67" s="41"/>
      <c r="C67" s="249"/>
      <c r="D67" s="254"/>
      <c r="E67" s="254"/>
      <c r="F67" s="254"/>
      <c r="G67" s="254"/>
      <c r="H67" s="254"/>
      <c r="I67" s="245"/>
      <c r="J67" s="248"/>
      <c r="K67" s="248"/>
      <c r="L67" s="248"/>
      <c r="M67" s="248"/>
      <c r="N67" s="248"/>
      <c r="O67" s="5"/>
      <c r="Q67" s="5"/>
      <c r="R67" s="5"/>
      <c r="S67" s="5"/>
      <c r="T67" s="5"/>
      <c r="U67" s="5"/>
    </row>
    <row r="68" spans="2:26">
      <c r="B68" s="5"/>
      <c r="C68" s="5"/>
      <c r="D68" s="248"/>
      <c r="E68" s="248"/>
      <c r="F68" s="248"/>
      <c r="G68" s="248"/>
      <c r="H68" s="248"/>
      <c r="I68" s="248"/>
      <c r="J68" s="5"/>
      <c r="K68" s="5"/>
      <c r="L68" s="5"/>
      <c r="M68" s="5"/>
      <c r="N68" s="5"/>
      <c r="O68" s="5"/>
      <c r="Q68" s="5"/>
      <c r="R68" s="5"/>
      <c r="S68" s="5"/>
      <c r="T68" s="5"/>
      <c r="U68" s="5"/>
    </row>
    <row r="69" spans="2:26">
      <c r="B69" s="41"/>
      <c r="C69" s="5"/>
      <c r="D69" s="5"/>
      <c r="E69" s="5"/>
      <c r="F69" s="5"/>
      <c r="G69" s="5"/>
      <c r="H69" s="5"/>
      <c r="I69" s="5"/>
      <c r="J69" s="245"/>
      <c r="K69" s="245"/>
      <c r="L69" s="245"/>
      <c r="M69" s="245"/>
      <c r="N69" s="245"/>
      <c r="O69" s="251"/>
      <c r="Q69" s="5"/>
      <c r="R69" s="5"/>
      <c r="S69" s="5"/>
      <c r="T69" s="5"/>
      <c r="U69" s="5"/>
      <c r="W69" s="76"/>
      <c r="X69" s="76"/>
    </row>
    <row r="70" spans="2:26">
      <c r="B70" s="41"/>
      <c r="C70" s="245"/>
      <c r="D70" s="245"/>
      <c r="E70" s="245"/>
      <c r="F70" s="245"/>
      <c r="G70" s="245"/>
      <c r="H70" s="245"/>
      <c r="I70" s="245"/>
      <c r="J70" s="248"/>
      <c r="K70" s="248"/>
      <c r="L70" s="248"/>
      <c r="M70" s="248"/>
      <c r="N70" s="248"/>
      <c r="O70" s="5"/>
      <c r="Q70" s="5"/>
      <c r="R70" s="5"/>
      <c r="S70" s="5"/>
      <c r="T70" s="5"/>
      <c r="U70" s="5"/>
      <c r="W70" s="76"/>
      <c r="X70" s="76"/>
      <c r="Y70" s="76"/>
      <c r="Z70" s="76"/>
    </row>
    <row r="71" spans="2:26">
      <c r="B71" s="5"/>
      <c r="C71" s="5"/>
      <c r="D71" s="248"/>
      <c r="E71" s="248"/>
      <c r="F71" s="248"/>
      <c r="G71" s="248"/>
      <c r="H71" s="248"/>
      <c r="I71" s="18"/>
      <c r="J71" s="5"/>
      <c r="K71" s="5"/>
      <c r="L71" s="5"/>
      <c r="M71" s="5"/>
      <c r="N71" s="5"/>
      <c r="O71" s="5"/>
      <c r="Q71" s="5"/>
      <c r="R71" s="5"/>
      <c r="S71" s="5"/>
      <c r="T71" s="5"/>
      <c r="U71" s="5"/>
      <c r="Y71" s="76"/>
      <c r="Z71" s="76"/>
    </row>
    <row r="72" spans="2:26">
      <c r="B72" s="41"/>
      <c r="C72" s="5"/>
      <c r="D72" s="5"/>
      <c r="E72" s="5"/>
      <c r="F72" s="5"/>
      <c r="G72" s="5"/>
      <c r="H72" s="5"/>
      <c r="I72" s="5"/>
      <c r="J72" s="245"/>
      <c r="K72" s="245"/>
      <c r="L72" s="245"/>
      <c r="M72" s="245"/>
      <c r="N72" s="245"/>
      <c r="O72" s="251"/>
      <c r="Q72" s="5"/>
      <c r="R72" s="5"/>
      <c r="S72" s="5"/>
      <c r="T72" s="5"/>
      <c r="U72" s="5"/>
    </row>
    <row r="73" spans="2:26">
      <c r="B73" s="41"/>
      <c r="C73" s="245"/>
      <c r="D73" s="245"/>
      <c r="E73" s="245"/>
      <c r="F73" s="245"/>
      <c r="G73" s="245"/>
      <c r="H73" s="245"/>
      <c r="I73" s="249"/>
      <c r="J73" s="18"/>
      <c r="K73" s="18"/>
      <c r="L73" s="18"/>
      <c r="M73" s="18"/>
      <c r="N73" s="18"/>
      <c r="O73" s="5"/>
      <c r="Q73" s="5"/>
      <c r="R73" s="5"/>
      <c r="S73" s="5"/>
      <c r="T73" s="5"/>
      <c r="U73" s="5"/>
    </row>
    <row r="74" spans="2:26">
      <c r="B74" s="5"/>
      <c r="C74" s="5"/>
      <c r="D74" s="18"/>
      <c r="E74" s="18"/>
      <c r="F74" s="18"/>
      <c r="G74" s="18"/>
      <c r="H74" s="18"/>
      <c r="I74" s="248"/>
      <c r="J74" s="5"/>
      <c r="K74" s="5"/>
      <c r="L74" s="5"/>
      <c r="M74" s="5"/>
      <c r="N74" s="5"/>
      <c r="O74" s="5"/>
      <c r="Q74" s="5"/>
      <c r="R74" s="5"/>
      <c r="S74" s="5"/>
      <c r="T74" s="5"/>
      <c r="U74" s="5"/>
    </row>
    <row r="75" spans="2:26">
      <c r="B75" s="41"/>
      <c r="C75" s="5"/>
      <c r="D75" s="5"/>
      <c r="E75" s="5"/>
      <c r="F75" s="5"/>
      <c r="G75" s="5"/>
      <c r="H75" s="5"/>
      <c r="I75" s="5"/>
      <c r="J75" s="249"/>
      <c r="K75" s="249"/>
      <c r="L75" s="249"/>
      <c r="M75" s="249"/>
      <c r="N75" s="249"/>
      <c r="O75" s="251"/>
      <c r="Q75" s="5"/>
      <c r="R75" s="5"/>
      <c r="S75" s="5"/>
      <c r="T75" s="5"/>
      <c r="U75" s="5"/>
    </row>
    <row r="76" spans="2:26">
      <c r="B76" s="41"/>
      <c r="C76" s="249"/>
      <c r="D76" s="249"/>
      <c r="E76" s="249"/>
      <c r="F76" s="249"/>
      <c r="G76" s="249"/>
      <c r="H76" s="249"/>
      <c r="I76" s="245"/>
      <c r="J76" s="248"/>
      <c r="K76" s="248"/>
      <c r="L76" s="248"/>
      <c r="M76" s="248"/>
      <c r="N76" s="248"/>
      <c r="O76" s="5"/>
      <c r="Q76" s="5"/>
      <c r="R76" s="5"/>
      <c r="S76" s="5"/>
      <c r="T76" s="5"/>
      <c r="U76" s="5"/>
    </row>
    <row r="77" spans="2:26">
      <c r="B77" s="5"/>
      <c r="C77" s="5"/>
      <c r="D77" s="248"/>
      <c r="E77" s="248"/>
      <c r="F77" s="248"/>
      <c r="G77" s="248"/>
      <c r="H77" s="248"/>
      <c r="I77" s="248"/>
      <c r="J77" s="5"/>
      <c r="K77" s="5"/>
      <c r="L77" s="5"/>
      <c r="M77" s="5"/>
      <c r="N77" s="5"/>
      <c r="O77" s="5"/>
      <c r="Q77" s="5"/>
      <c r="R77" s="5"/>
      <c r="S77" s="5"/>
      <c r="T77" s="5"/>
      <c r="U77" s="5"/>
    </row>
    <row r="78" spans="2:26">
      <c r="B78" s="41"/>
      <c r="C78" s="5"/>
      <c r="D78" s="5"/>
      <c r="E78" s="5"/>
      <c r="F78" s="5"/>
      <c r="G78" s="5"/>
      <c r="H78" s="5"/>
      <c r="I78" s="5"/>
      <c r="J78" s="245"/>
      <c r="K78" s="245"/>
      <c r="L78" s="245"/>
      <c r="M78" s="245"/>
      <c r="N78" s="245"/>
      <c r="O78" s="251"/>
      <c r="Q78" s="5"/>
      <c r="R78" s="5"/>
      <c r="S78" s="5"/>
      <c r="T78" s="5"/>
      <c r="U78" s="5"/>
    </row>
    <row r="79" spans="2:26">
      <c r="B79" s="41"/>
      <c r="C79" s="245"/>
      <c r="D79" s="245"/>
      <c r="E79" s="245"/>
      <c r="F79" s="245"/>
      <c r="G79" s="245"/>
      <c r="H79" s="245"/>
      <c r="I79" s="249"/>
      <c r="J79" s="248"/>
      <c r="K79" s="248"/>
      <c r="L79" s="248"/>
      <c r="M79" s="248"/>
      <c r="N79" s="248"/>
      <c r="O79" s="5"/>
      <c r="Q79" s="5"/>
      <c r="R79" s="5"/>
      <c r="S79" s="5"/>
      <c r="T79" s="5"/>
      <c r="U79" s="5"/>
    </row>
    <row r="80" spans="2:26">
      <c r="B80" s="5"/>
      <c r="C80" s="5"/>
      <c r="D80" s="248"/>
      <c r="E80" s="248"/>
      <c r="F80" s="248"/>
      <c r="G80" s="248"/>
      <c r="H80" s="248"/>
      <c r="I80" s="248"/>
      <c r="J80" s="5"/>
      <c r="K80" s="5"/>
      <c r="L80" s="5"/>
      <c r="M80" s="5"/>
      <c r="N80" s="5"/>
      <c r="O80" s="5"/>
      <c r="Q80" s="5"/>
      <c r="R80" s="5"/>
      <c r="S80" s="5"/>
      <c r="T80" s="5"/>
      <c r="U80" s="5"/>
    </row>
    <row r="81" spans="2:26">
      <c r="B81" s="41"/>
      <c r="C81" s="5"/>
      <c r="D81" s="5"/>
      <c r="E81" s="5"/>
      <c r="F81" s="5"/>
      <c r="G81" s="5"/>
      <c r="H81" s="5"/>
      <c r="I81" s="259"/>
      <c r="J81" s="249"/>
      <c r="K81" s="249"/>
      <c r="L81" s="249"/>
      <c r="M81" s="249"/>
      <c r="N81" s="249"/>
      <c r="O81" s="251"/>
      <c r="Q81" s="5"/>
      <c r="R81" s="5"/>
      <c r="S81" s="5"/>
      <c r="T81" s="5"/>
      <c r="U81" s="5"/>
    </row>
    <row r="82" spans="2:26">
      <c r="B82" s="41"/>
      <c r="C82" s="249"/>
      <c r="D82" s="249"/>
      <c r="E82" s="249"/>
      <c r="F82" s="249"/>
      <c r="G82" s="249"/>
      <c r="H82" s="249"/>
      <c r="I82" s="5"/>
      <c r="J82" s="248"/>
      <c r="K82" s="248"/>
      <c r="L82" s="248"/>
      <c r="M82" s="248"/>
      <c r="N82" s="248"/>
      <c r="O82" s="5"/>
      <c r="Q82" s="5"/>
      <c r="R82" s="5"/>
      <c r="S82" s="5"/>
      <c r="T82" s="5"/>
      <c r="U82" s="5"/>
    </row>
    <row r="83" spans="2:26">
      <c r="B83" s="5"/>
      <c r="C83" s="5"/>
      <c r="D83" s="248"/>
      <c r="E83" s="248"/>
      <c r="F83" s="248"/>
      <c r="G83" s="248"/>
      <c r="H83" s="248"/>
      <c r="I83" s="245"/>
      <c r="J83" s="259"/>
      <c r="K83" s="259"/>
      <c r="L83" s="259"/>
      <c r="M83" s="259"/>
      <c r="N83" s="259"/>
      <c r="O83" s="251"/>
      <c r="Q83" s="5"/>
      <c r="R83" s="5"/>
      <c r="S83" s="5"/>
      <c r="T83" s="5"/>
      <c r="U83" s="5"/>
    </row>
    <row r="84" spans="2:26">
      <c r="B84" s="5"/>
      <c r="C84" s="259"/>
      <c r="D84" s="259"/>
      <c r="E84" s="259"/>
      <c r="F84" s="259"/>
      <c r="G84" s="259"/>
      <c r="H84" s="259"/>
      <c r="I84" s="248"/>
      <c r="J84" s="5"/>
      <c r="K84" s="5"/>
      <c r="L84" s="5"/>
      <c r="M84" s="5"/>
      <c r="N84" s="5"/>
      <c r="O84" s="5"/>
      <c r="Q84" s="5"/>
      <c r="R84" s="5"/>
      <c r="S84" s="5"/>
      <c r="T84" s="5"/>
      <c r="U84" s="5"/>
    </row>
    <row r="85" spans="2:26">
      <c r="B85" s="41"/>
      <c r="C85" s="5"/>
      <c r="D85" s="5"/>
      <c r="E85" s="5"/>
      <c r="F85" s="5"/>
      <c r="G85" s="5"/>
      <c r="H85" s="5"/>
      <c r="I85" s="5"/>
      <c r="J85" s="245"/>
      <c r="K85" s="245"/>
      <c r="L85" s="245"/>
      <c r="M85" s="245"/>
      <c r="N85" s="245"/>
      <c r="O85" s="251"/>
      <c r="Q85" s="5"/>
      <c r="R85" s="5"/>
      <c r="S85" s="5"/>
      <c r="T85" s="5"/>
      <c r="U85" s="5"/>
    </row>
    <row r="86" spans="2:26">
      <c r="B86" s="41"/>
      <c r="C86" s="245"/>
      <c r="D86" s="245"/>
      <c r="E86" s="245"/>
      <c r="F86" s="245"/>
      <c r="G86" s="245"/>
      <c r="H86" s="245"/>
      <c r="I86" s="5"/>
      <c r="J86" s="248"/>
      <c r="K86" s="248"/>
      <c r="L86" s="248"/>
      <c r="M86" s="248"/>
      <c r="N86" s="248"/>
      <c r="O86" s="5"/>
      <c r="Q86" s="5"/>
      <c r="R86" s="5"/>
      <c r="S86" s="5"/>
      <c r="T86" s="5"/>
      <c r="U86" s="5"/>
    </row>
    <row r="87" spans="2:26">
      <c r="B87" s="5"/>
      <c r="C87" s="5"/>
      <c r="D87" s="248"/>
      <c r="E87" s="248"/>
      <c r="F87" s="248"/>
      <c r="G87" s="248"/>
      <c r="H87" s="248"/>
      <c r="I87" s="5"/>
      <c r="J87" s="5"/>
      <c r="K87" s="5"/>
      <c r="L87" s="5"/>
      <c r="M87" s="5"/>
      <c r="N87" s="5"/>
      <c r="O87" s="5"/>
      <c r="Q87" s="5"/>
      <c r="R87" s="5"/>
      <c r="S87" s="5"/>
      <c r="T87" s="5"/>
      <c r="U87" s="5"/>
    </row>
    <row r="88" spans="2:26">
      <c r="B88" s="41"/>
      <c r="C88" s="5"/>
      <c r="D88" s="5"/>
      <c r="E88" s="5"/>
      <c r="F88" s="5"/>
      <c r="G88" s="5"/>
      <c r="H88" s="5"/>
      <c r="I88" s="5"/>
      <c r="J88" s="5"/>
      <c r="K88" s="5"/>
      <c r="L88" s="5"/>
      <c r="M88" s="5"/>
      <c r="N88" s="5"/>
      <c r="O88" s="5"/>
      <c r="Q88" s="5"/>
      <c r="R88" s="5"/>
      <c r="S88" s="5"/>
      <c r="T88" s="5"/>
      <c r="U88" s="5"/>
    </row>
    <row r="89" spans="2:26">
      <c r="B89" s="41"/>
      <c r="C89" s="5"/>
      <c r="D89" s="5"/>
      <c r="E89" s="5"/>
      <c r="F89" s="5"/>
      <c r="G89" s="5"/>
      <c r="H89" s="5"/>
      <c r="I89" s="49"/>
      <c r="J89" s="5"/>
      <c r="K89" s="5"/>
      <c r="L89" s="5"/>
      <c r="M89" s="5"/>
      <c r="N89" s="5"/>
      <c r="O89" s="5"/>
      <c r="Q89" s="41"/>
      <c r="R89" s="5"/>
      <c r="S89" s="5"/>
      <c r="T89" s="5"/>
      <c r="U89" s="5"/>
    </row>
    <row r="90" spans="2:26">
      <c r="B90" s="41"/>
      <c r="C90" s="5"/>
      <c r="D90" s="5"/>
      <c r="E90" s="5"/>
      <c r="F90" s="5"/>
      <c r="G90" s="5"/>
      <c r="H90" s="5"/>
      <c r="I90" s="5"/>
      <c r="J90" s="5"/>
      <c r="K90" s="5"/>
      <c r="L90" s="5"/>
      <c r="M90" s="5"/>
      <c r="N90" s="5"/>
      <c r="O90" s="5"/>
      <c r="Q90" s="5"/>
      <c r="R90" s="5"/>
      <c r="S90" s="5"/>
      <c r="T90" s="5"/>
      <c r="U90" s="5"/>
    </row>
    <row r="91" spans="2:26">
      <c r="B91" s="5"/>
      <c r="C91" s="5"/>
      <c r="D91" s="5"/>
      <c r="E91" s="5"/>
      <c r="F91" s="5"/>
      <c r="G91" s="5"/>
      <c r="H91" s="5"/>
      <c r="I91" s="247"/>
      <c r="J91" s="49"/>
      <c r="K91" s="49"/>
      <c r="L91" s="49"/>
      <c r="M91" s="49"/>
      <c r="N91" s="49"/>
      <c r="O91" s="49"/>
      <c r="Q91" s="5"/>
      <c r="R91" s="5"/>
      <c r="S91" s="5"/>
      <c r="T91" s="5"/>
      <c r="U91" s="5"/>
      <c r="W91" s="21"/>
      <c r="X91" s="21"/>
    </row>
    <row r="92" spans="2:26">
      <c r="B92" s="41"/>
      <c r="C92" s="49"/>
      <c r="D92" s="49"/>
      <c r="E92" s="49"/>
      <c r="F92" s="49"/>
      <c r="G92" s="49"/>
      <c r="H92" s="49"/>
      <c r="I92" s="247"/>
      <c r="J92" s="5"/>
      <c r="K92" s="5"/>
      <c r="L92" s="5"/>
      <c r="M92" s="5"/>
      <c r="N92" s="5"/>
      <c r="O92" s="5"/>
      <c r="Q92" s="5"/>
      <c r="R92" s="5"/>
      <c r="S92" s="5"/>
      <c r="T92" s="5"/>
      <c r="U92" s="5"/>
      <c r="W92" s="21"/>
      <c r="X92" s="21"/>
      <c r="Y92" s="21"/>
      <c r="Z92" s="21"/>
    </row>
    <row r="93" spans="2:26">
      <c r="B93" s="5"/>
      <c r="C93" s="5"/>
      <c r="D93" s="5"/>
      <c r="E93" s="5"/>
      <c r="F93" s="5"/>
      <c r="G93" s="5"/>
      <c r="H93" s="5"/>
      <c r="I93" s="247"/>
      <c r="J93" s="247"/>
      <c r="K93" s="247"/>
      <c r="L93" s="247"/>
      <c r="M93" s="247"/>
      <c r="N93" s="247"/>
      <c r="O93" s="248"/>
      <c r="Q93" s="5"/>
      <c r="R93" s="5"/>
      <c r="S93" s="5"/>
      <c r="T93" s="5"/>
      <c r="U93" s="5"/>
      <c r="Y93" s="21"/>
      <c r="Z93" s="21"/>
    </row>
    <row r="94" spans="2:26">
      <c r="B94" s="5"/>
      <c r="C94" s="259"/>
      <c r="D94" s="247"/>
      <c r="E94" s="247"/>
      <c r="F94" s="247"/>
      <c r="G94" s="247"/>
      <c r="H94" s="247"/>
      <c r="I94" s="248"/>
      <c r="J94" s="247"/>
      <c r="K94" s="247"/>
      <c r="L94" s="247"/>
      <c r="M94" s="247"/>
      <c r="N94" s="247"/>
      <c r="O94" s="248"/>
      <c r="Q94" s="5"/>
      <c r="R94" s="5"/>
      <c r="S94" s="5"/>
      <c r="T94" s="5"/>
      <c r="U94" s="5"/>
    </row>
    <row r="95" spans="2:26">
      <c r="B95" s="5"/>
      <c r="C95" s="259"/>
      <c r="D95" s="247"/>
      <c r="E95" s="247"/>
      <c r="F95" s="247"/>
      <c r="G95" s="247"/>
      <c r="H95" s="247"/>
      <c r="I95" s="247"/>
      <c r="J95" s="247"/>
      <c r="K95" s="247"/>
      <c r="L95" s="247"/>
      <c r="M95" s="247"/>
      <c r="N95" s="247"/>
      <c r="O95" s="248"/>
      <c r="Q95" s="5"/>
      <c r="R95" s="5"/>
      <c r="S95" s="5"/>
      <c r="T95" s="5"/>
      <c r="U95" s="5"/>
    </row>
    <row r="96" spans="2:26">
      <c r="B96" s="5"/>
      <c r="C96" s="259"/>
      <c r="D96" s="247"/>
      <c r="E96" s="247"/>
      <c r="F96" s="247"/>
      <c r="G96" s="247"/>
      <c r="H96" s="247"/>
      <c r="I96" s="249"/>
      <c r="J96" s="248"/>
      <c r="K96" s="248"/>
      <c r="L96" s="248"/>
      <c r="M96" s="248"/>
      <c r="N96" s="248"/>
      <c r="O96" s="248"/>
      <c r="Q96" s="5"/>
      <c r="R96" s="5"/>
      <c r="S96" s="5"/>
      <c r="T96" s="5"/>
      <c r="U96" s="5"/>
    </row>
    <row r="97" spans="2:21">
      <c r="B97" s="5"/>
      <c r="C97" s="259"/>
      <c r="D97" s="248"/>
      <c r="E97" s="248"/>
      <c r="F97" s="248"/>
      <c r="G97" s="248"/>
      <c r="H97" s="248"/>
      <c r="I97" s="248"/>
      <c r="J97" s="247"/>
      <c r="K97" s="247"/>
      <c r="L97" s="247"/>
      <c r="M97" s="247"/>
      <c r="N97" s="247"/>
      <c r="O97" s="248"/>
      <c r="Q97" s="5"/>
      <c r="R97" s="5"/>
      <c r="S97" s="5"/>
      <c r="T97" s="5"/>
      <c r="U97" s="5"/>
    </row>
    <row r="98" spans="2:21">
      <c r="B98" s="5"/>
      <c r="C98" s="259"/>
      <c r="D98" s="247"/>
      <c r="E98" s="247"/>
      <c r="F98" s="247"/>
      <c r="G98" s="247"/>
      <c r="H98" s="247"/>
      <c r="I98" s="5"/>
      <c r="J98" s="249"/>
      <c r="K98" s="249"/>
      <c r="L98" s="249"/>
      <c r="M98" s="249"/>
      <c r="N98" s="249"/>
      <c r="O98" s="248"/>
      <c r="Q98" s="5"/>
      <c r="R98" s="5"/>
      <c r="S98" s="5"/>
      <c r="T98" s="5"/>
      <c r="U98" s="5"/>
    </row>
    <row r="99" spans="2:21">
      <c r="B99" s="41"/>
      <c r="C99" s="249"/>
      <c r="D99" s="249"/>
      <c r="E99" s="249"/>
      <c r="F99" s="249"/>
      <c r="G99" s="249"/>
      <c r="H99" s="249"/>
      <c r="I99" s="259"/>
      <c r="J99" s="248"/>
      <c r="K99" s="248"/>
      <c r="L99" s="248"/>
      <c r="M99" s="248"/>
      <c r="N99" s="248"/>
      <c r="O99" s="248"/>
      <c r="Q99" s="5"/>
      <c r="R99" s="5"/>
      <c r="S99" s="5"/>
      <c r="T99" s="5"/>
      <c r="U99" s="5"/>
    </row>
    <row r="100" spans="2:21" s="5" customFormat="1">
      <c r="B100" s="41"/>
      <c r="C100" s="257"/>
      <c r="D100" s="248"/>
      <c r="E100" s="248"/>
      <c r="F100" s="248"/>
      <c r="G100" s="248"/>
      <c r="H100" s="248"/>
      <c r="I100" s="259"/>
      <c r="O100" s="248"/>
      <c r="P100" s="39"/>
    </row>
    <row r="101" spans="2:21">
      <c r="B101" s="41"/>
      <c r="C101" s="5"/>
      <c r="D101" s="5"/>
      <c r="E101" s="5"/>
      <c r="F101" s="5"/>
      <c r="G101" s="5"/>
      <c r="H101" s="5"/>
      <c r="I101" s="247"/>
      <c r="J101" s="259"/>
      <c r="K101" s="259"/>
      <c r="L101" s="259"/>
      <c r="M101" s="259"/>
      <c r="N101" s="259"/>
      <c r="O101" s="5"/>
      <c r="Q101" s="5"/>
      <c r="R101" s="5"/>
      <c r="S101" s="5"/>
      <c r="T101" s="5"/>
      <c r="U101" s="5"/>
    </row>
    <row r="102" spans="2:21">
      <c r="B102" s="5"/>
      <c r="C102" s="259"/>
      <c r="D102" s="259"/>
      <c r="E102" s="259"/>
      <c r="F102" s="259"/>
      <c r="G102" s="259"/>
      <c r="H102" s="259"/>
      <c r="I102" s="5"/>
      <c r="J102" s="259"/>
      <c r="K102" s="259"/>
      <c r="L102" s="259"/>
      <c r="M102" s="259"/>
      <c r="N102" s="259"/>
      <c r="O102" s="5"/>
      <c r="P102" s="5"/>
      <c r="Q102" s="5"/>
      <c r="R102" s="5"/>
      <c r="S102" s="5"/>
      <c r="T102" s="5"/>
      <c r="U102" s="5"/>
    </row>
    <row r="103" spans="2:21">
      <c r="B103" s="5"/>
      <c r="C103" s="259"/>
      <c r="D103" s="259"/>
      <c r="E103" s="259"/>
      <c r="F103" s="259"/>
      <c r="G103" s="259"/>
      <c r="H103" s="259"/>
      <c r="I103" s="247"/>
      <c r="J103" s="247"/>
      <c r="K103" s="247"/>
      <c r="L103" s="247"/>
      <c r="M103" s="247"/>
      <c r="N103" s="247"/>
      <c r="O103" s="5"/>
      <c r="Q103" s="5"/>
      <c r="R103" s="5"/>
      <c r="S103" s="5"/>
      <c r="T103" s="5"/>
      <c r="U103" s="5"/>
    </row>
    <row r="104" spans="2:21" s="5" customFormat="1">
      <c r="C104" s="247"/>
      <c r="D104" s="247"/>
      <c r="E104" s="247"/>
      <c r="F104" s="247"/>
      <c r="G104" s="247"/>
      <c r="H104" s="247"/>
      <c r="P104" s="39"/>
    </row>
    <row r="105" spans="2:21" s="5" customFormat="1">
      <c r="I105" s="259"/>
      <c r="J105" s="247"/>
      <c r="K105" s="247"/>
      <c r="L105" s="247"/>
      <c r="M105" s="247"/>
      <c r="N105" s="247"/>
      <c r="P105" s="39"/>
    </row>
    <row r="106" spans="2:21">
      <c r="B106" s="5"/>
      <c r="C106" s="259"/>
      <c r="D106" s="247"/>
      <c r="E106" s="247"/>
      <c r="F106" s="247"/>
      <c r="G106" s="247"/>
      <c r="H106" s="247"/>
      <c r="I106" s="247"/>
      <c r="J106" s="5"/>
      <c r="K106" s="5"/>
      <c r="L106" s="5"/>
      <c r="M106" s="5"/>
      <c r="N106" s="5"/>
      <c r="O106" s="5"/>
      <c r="P106" s="5"/>
      <c r="Q106" s="5"/>
      <c r="R106" s="5"/>
      <c r="S106" s="5"/>
      <c r="T106" s="5"/>
      <c r="U106" s="5"/>
    </row>
    <row r="107" spans="2:21">
      <c r="B107" s="5"/>
      <c r="C107" s="259"/>
      <c r="D107" s="5"/>
      <c r="E107" s="5"/>
      <c r="F107" s="5"/>
      <c r="G107" s="5"/>
      <c r="H107" s="5"/>
      <c r="I107" s="249"/>
      <c r="J107" s="259"/>
      <c r="K107" s="259"/>
      <c r="L107" s="259"/>
      <c r="M107" s="259"/>
      <c r="N107" s="259"/>
      <c r="O107" s="5"/>
      <c r="P107" s="5"/>
      <c r="Q107" s="5"/>
      <c r="R107" s="5"/>
      <c r="S107" s="5"/>
      <c r="T107" s="5"/>
      <c r="U107" s="5"/>
    </row>
    <row r="108" spans="2:21">
      <c r="B108" s="5"/>
      <c r="C108" s="259"/>
      <c r="D108" s="259"/>
      <c r="E108" s="259"/>
      <c r="F108" s="259"/>
      <c r="G108" s="259"/>
      <c r="H108" s="259"/>
      <c r="I108" s="249"/>
      <c r="J108" s="247"/>
      <c r="K108" s="247"/>
      <c r="L108" s="247"/>
      <c r="M108" s="247"/>
      <c r="N108" s="247"/>
      <c r="O108" s="5"/>
      <c r="Q108" s="5"/>
      <c r="R108" s="5"/>
      <c r="S108" s="5"/>
      <c r="T108" s="5"/>
      <c r="U108" s="5"/>
    </row>
    <row r="109" spans="2:21">
      <c r="B109" s="5"/>
      <c r="C109" s="247"/>
      <c r="D109" s="247"/>
      <c r="E109" s="247"/>
      <c r="F109" s="247"/>
      <c r="G109" s="247"/>
      <c r="H109" s="247"/>
      <c r="I109" s="247"/>
      <c r="J109" s="249"/>
      <c r="K109" s="249"/>
      <c r="L109" s="249"/>
      <c r="M109" s="249"/>
      <c r="N109" s="249"/>
      <c r="O109" s="5"/>
      <c r="Q109" s="5"/>
      <c r="R109" s="5"/>
      <c r="S109" s="5"/>
      <c r="T109" s="5"/>
      <c r="U109" s="5"/>
    </row>
    <row r="110" spans="2:21">
      <c r="B110" s="41"/>
      <c r="C110" s="249"/>
      <c r="D110" s="249"/>
      <c r="E110" s="249"/>
      <c r="F110" s="249"/>
      <c r="G110" s="249"/>
      <c r="H110" s="249"/>
      <c r="I110" s="5"/>
      <c r="J110" s="249"/>
      <c r="K110" s="249"/>
      <c r="L110" s="249"/>
      <c r="M110" s="249"/>
      <c r="N110" s="249"/>
      <c r="O110" s="5"/>
      <c r="Q110" s="5"/>
      <c r="R110" s="5"/>
      <c r="S110" s="5"/>
      <c r="T110" s="5"/>
      <c r="U110" s="5"/>
    </row>
    <row r="111" spans="2:21">
      <c r="B111" s="5"/>
      <c r="C111" s="249"/>
      <c r="D111" s="249"/>
      <c r="E111" s="249"/>
      <c r="F111" s="249"/>
      <c r="G111" s="249"/>
      <c r="H111" s="249"/>
      <c r="I111" s="5"/>
      <c r="J111" s="247"/>
      <c r="K111" s="247"/>
      <c r="L111" s="247"/>
      <c r="M111" s="247"/>
      <c r="N111" s="247"/>
      <c r="O111" s="5"/>
      <c r="Q111" s="5"/>
      <c r="R111" s="5"/>
      <c r="S111" s="5"/>
      <c r="T111" s="5"/>
      <c r="U111" s="5"/>
    </row>
    <row r="112" spans="2:21">
      <c r="B112" s="5"/>
      <c r="C112" s="247"/>
      <c r="D112" s="247"/>
      <c r="E112" s="247"/>
      <c r="F112" s="247"/>
      <c r="G112" s="247"/>
      <c r="H112" s="247"/>
      <c r="I112" s="5"/>
      <c r="J112" s="5"/>
      <c r="K112" s="5"/>
      <c r="L112" s="5"/>
      <c r="M112" s="5"/>
      <c r="N112" s="5"/>
      <c r="O112" s="5"/>
      <c r="Q112" s="5"/>
      <c r="R112" s="5"/>
      <c r="S112" s="5"/>
      <c r="T112" s="5"/>
      <c r="U112" s="5"/>
    </row>
    <row r="113" spans="2:21">
      <c r="B113" s="5"/>
      <c r="C113" s="5"/>
      <c r="D113" s="5"/>
      <c r="E113" s="5"/>
      <c r="F113" s="5"/>
      <c r="G113" s="5"/>
      <c r="H113" s="5"/>
      <c r="I113" s="5"/>
      <c r="J113" s="5"/>
      <c r="K113" s="5"/>
      <c r="L113" s="5"/>
      <c r="M113" s="5"/>
      <c r="N113" s="5"/>
      <c r="O113" s="5"/>
      <c r="Q113" s="5"/>
      <c r="R113" s="5"/>
      <c r="S113" s="5"/>
      <c r="T113" s="5"/>
      <c r="U113" s="5"/>
    </row>
    <row r="114" spans="2:21">
      <c r="B114" s="5"/>
      <c r="C114" s="5"/>
      <c r="D114" s="5"/>
      <c r="E114" s="5"/>
      <c r="F114" s="5"/>
      <c r="G114" s="5"/>
      <c r="H114" s="5"/>
      <c r="I114" s="49"/>
      <c r="J114" s="5"/>
      <c r="K114" s="5"/>
      <c r="L114" s="5"/>
      <c r="M114" s="5"/>
      <c r="N114" s="5"/>
      <c r="O114" s="5"/>
      <c r="Q114" s="41"/>
      <c r="R114" s="5"/>
      <c r="S114" s="5"/>
      <c r="T114" s="5"/>
      <c r="U114" s="5"/>
    </row>
    <row r="115" spans="2:21">
      <c r="B115" s="5"/>
      <c r="C115" s="5"/>
      <c r="D115" s="5"/>
      <c r="E115" s="5"/>
      <c r="F115" s="5"/>
      <c r="G115" s="5"/>
      <c r="H115" s="5"/>
      <c r="I115" s="5"/>
      <c r="J115" s="5"/>
      <c r="K115" s="5"/>
      <c r="L115" s="5"/>
      <c r="M115" s="5"/>
      <c r="N115" s="5"/>
      <c r="O115" s="5"/>
      <c r="Q115" s="5"/>
      <c r="R115" s="5"/>
      <c r="S115" s="5"/>
      <c r="T115" s="5"/>
      <c r="U115" s="5"/>
    </row>
    <row r="116" spans="2:21">
      <c r="B116" s="5"/>
      <c r="C116" s="5"/>
      <c r="D116" s="5"/>
      <c r="E116" s="5"/>
      <c r="F116" s="5"/>
      <c r="G116" s="5"/>
      <c r="H116" s="5"/>
      <c r="I116" s="254"/>
      <c r="J116" s="49"/>
      <c r="K116" s="49"/>
      <c r="L116" s="49"/>
      <c r="M116" s="49"/>
      <c r="N116" s="49"/>
      <c r="O116" s="49"/>
      <c r="Q116" s="5"/>
      <c r="R116" s="5"/>
      <c r="S116" s="5"/>
      <c r="T116" s="5"/>
      <c r="U116" s="5"/>
    </row>
    <row r="117" spans="2:21">
      <c r="B117" s="41"/>
      <c r="C117" s="49"/>
      <c r="D117" s="49"/>
      <c r="E117" s="49"/>
      <c r="F117" s="49"/>
      <c r="G117" s="49"/>
      <c r="H117" s="49"/>
      <c r="I117" s="249"/>
      <c r="J117" s="5"/>
      <c r="K117" s="5"/>
      <c r="L117" s="5"/>
      <c r="M117" s="5"/>
      <c r="N117" s="5"/>
      <c r="O117" s="5"/>
      <c r="Q117" s="5"/>
      <c r="R117" s="5"/>
      <c r="S117" s="5"/>
      <c r="T117" s="5"/>
      <c r="U117" s="5"/>
    </row>
    <row r="118" spans="2:21">
      <c r="B118" s="5"/>
      <c r="C118" s="5"/>
      <c r="D118" s="5"/>
      <c r="E118" s="5"/>
      <c r="F118" s="5"/>
      <c r="G118" s="5"/>
      <c r="H118" s="5"/>
      <c r="I118" s="254"/>
      <c r="J118" s="254"/>
      <c r="K118" s="254"/>
      <c r="L118" s="254"/>
      <c r="M118" s="254"/>
      <c r="N118" s="254"/>
      <c r="O118" s="248"/>
      <c r="Q118" s="5"/>
      <c r="R118" s="5"/>
      <c r="S118" s="5"/>
      <c r="T118" s="5"/>
      <c r="U118" s="5"/>
    </row>
    <row r="119" spans="2:21">
      <c r="B119" s="41"/>
      <c r="C119" s="254"/>
      <c r="D119" s="254"/>
      <c r="E119" s="254"/>
      <c r="F119" s="254"/>
      <c r="G119" s="254"/>
      <c r="H119" s="254"/>
      <c r="I119" s="254"/>
      <c r="J119" s="249"/>
      <c r="K119" s="249"/>
      <c r="L119" s="249"/>
      <c r="M119" s="249"/>
      <c r="N119" s="249"/>
      <c r="O119" s="248"/>
      <c r="Q119" s="5"/>
      <c r="R119" s="5"/>
      <c r="S119" s="5"/>
      <c r="T119" s="5"/>
      <c r="U119" s="5"/>
    </row>
    <row r="120" spans="2:21">
      <c r="B120" s="41"/>
      <c r="C120" s="254"/>
      <c r="D120" s="249"/>
      <c r="E120" s="249"/>
      <c r="F120" s="249"/>
      <c r="G120" s="249"/>
      <c r="H120" s="249"/>
      <c r="I120" s="254"/>
      <c r="J120" s="254"/>
      <c r="K120" s="254"/>
      <c r="L120" s="254"/>
      <c r="M120" s="254"/>
      <c r="N120" s="254"/>
      <c r="O120" s="248"/>
      <c r="Q120" s="5"/>
      <c r="R120" s="5"/>
      <c r="S120" s="5"/>
      <c r="T120" s="5"/>
      <c r="U120" s="5"/>
    </row>
    <row r="121" spans="2:21">
      <c r="B121" s="41"/>
      <c r="C121" s="254"/>
      <c r="D121" s="254"/>
      <c r="E121" s="254"/>
      <c r="F121" s="254"/>
      <c r="G121" s="254"/>
      <c r="H121" s="254"/>
      <c r="I121" s="254"/>
      <c r="J121" s="254"/>
      <c r="K121" s="254"/>
      <c r="L121" s="254"/>
      <c r="M121" s="254"/>
      <c r="N121" s="254"/>
      <c r="O121" s="248"/>
      <c r="Q121" s="5"/>
      <c r="R121" s="5"/>
      <c r="S121" s="5"/>
      <c r="T121" s="5"/>
      <c r="U121" s="5"/>
    </row>
    <row r="122" spans="2:21">
      <c r="B122" s="41"/>
      <c r="C122" s="254"/>
      <c r="D122" s="254"/>
      <c r="E122" s="254"/>
      <c r="F122" s="254"/>
      <c r="G122" s="254"/>
      <c r="H122" s="254"/>
      <c r="I122" s="254"/>
      <c r="J122" s="254"/>
      <c r="K122" s="254"/>
      <c r="L122" s="254"/>
      <c r="M122" s="254"/>
      <c r="N122" s="254"/>
      <c r="O122" s="248"/>
      <c r="Q122" s="5"/>
      <c r="R122" s="5"/>
      <c r="S122" s="5"/>
      <c r="T122" s="5"/>
      <c r="U122" s="5"/>
    </row>
    <row r="123" spans="2:21">
      <c r="B123" s="41"/>
      <c r="C123" s="254"/>
      <c r="D123" s="254"/>
      <c r="E123" s="254"/>
      <c r="F123" s="254"/>
      <c r="G123" s="254"/>
      <c r="H123" s="254"/>
      <c r="I123" s="254"/>
      <c r="J123" s="254"/>
      <c r="K123" s="254"/>
      <c r="L123" s="254"/>
      <c r="M123" s="254"/>
      <c r="N123" s="254"/>
      <c r="O123" s="248"/>
      <c r="Q123" s="5"/>
      <c r="R123" s="5"/>
      <c r="S123" s="5"/>
      <c r="T123" s="5"/>
      <c r="U123" s="5"/>
    </row>
    <row r="124" spans="2:21">
      <c r="B124" s="41"/>
      <c r="C124" s="254"/>
      <c r="D124" s="254"/>
      <c r="E124" s="254"/>
      <c r="F124" s="254"/>
      <c r="G124" s="254"/>
      <c r="H124" s="254"/>
      <c r="I124" s="254"/>
      <c r="J124" s="254"/>
      <c r="K124" s="254"/>
      <c r="L124" s="254"/>
      <c r="M124" s="254"/>
      <c r="N124" s="254"/>
      <c r="O124" s="5"/>
      <c r="Q124" s="5"/>
      <c r="R124" s="5"/>
      <c r="S124" s="5"/>
      <c r="T124" s="5"/>
      <c r="U124" s="5"/>
    </row>
    <row r="125" spans="2:21">
      <c r="B125" s="41"/>
      <c r="C125" s="254"/>
      <c r="D125" s="254"/>
      <c r="E125" s="254"/>
      <c r="F125" s="254"/>
      <c r="G125" s="254"/>
      <c r="H125" s="254"/>
      <c r="I125" s="254"/>
      <c r="J125" s="254"/>
      <c r="K125" s="254"/>
      <c r="L125" s="254"/>
      <c r="M125" s="254"/>
      <c r="N125" s="254"/>
      <c r="O125" s="5"/>
      <c r="Q125" s="5"/>
      <c r="R125" s="5"/>
      <c r="S125" s="5"/>
      <c r="T125" s="5"/>
      <c r="U125" s="5"/>
    </row>
    <row r="126" spans="2:21">
      <c r="B126" s="41"/>
      <c r="C126" s="254"/>
      <c r="D126" s="254"/>
      <c r="E126" s="254"/>
      <c r="F126" s="254"/>
      <c r="G126" s="254"/>
      <c r="H126" s="254"/>
      <c r="I126" s="18"/>
      <c r="J126" s="254"/>
      <c r="K126" s="254"/>
      <c r="L126" s="254"/>
      <c r="M126" s="254"/>
      <c r="N126" s="254"/>
      <c r="O126" s="5"/>
      <c r="Q126" s="5"/>
      <c r="R126" s="5"/>
      <c r="S126" s="5"/>
      <c r="T126" s="5"/>
      <c r="U126" s="5"/>
    </row>
    <row r="127" spans="2:21">
      <c r="B127" s="41"/>
      <c r="C127" s="254"/>
      <c r="D127" s="254"/>
      <c r="E127" s="254"/>
      <c r="F127" s="254"/>
      <c r="G127" s="254"/>
      <c r="H127" s="254"/>
      <c r="I127" s="5"/>
      <c r="J127" s="254"/>
      <c r="K127" s="254"/>
      <c r="L127" s="254"/>
      <c r="M127" s="254"/>
      <c r="N127" s="254"/>
      <c r="O127" s="5"/>
      <c r="Q127" s="5"/>
      <c r="R127" s="5"/>
      <c r="S127" s="5"/>
      <c r="T127" s="5"/>
      <c r="U127" s="5"/>
    </row>
    <row r="128" spans="2:21">
      <c r="B128" s="41"/>
      <c r="C128" s="254"/>
      <c r="D128" s="254"/>
      <c r="E128" s="254"/>
      <c r="F128" s="254"/>
      <c r="G128" s="254"/>
      <c r="H128" s="254"/>
      <c r="I128" s="254"/>
      <c r="J128" s="18"/>
      <c r="K128" s="18"/>
      <c r="L128" s="18"/>
      <c r="M128" s="18"/>
      <c r="N128" s="18"/>
      <c r="O128" s="5"/>
      <c r="Q128" s="5"/>
      <c r="R128" s="5"/>
      <c r="S128" s="5"/>
      <c r="T128" s="5"/>
      <c r="U128" s="5"/>
    </row>
    <row r="129" spans="2:27">
      <c r="B129" s="5"/>
      <c r="C129" s="5"/>
      <c r="D129" s="18"/>
      <c r="E129" s="18"/>
      <c r="F129" s="18"/>
      <c r="G129" s="18"/>
      <c r="H129" s="18"/>
      <c r="I129" s="18"/>
      <c r="J129" s="5"/>
      <c r="K129" s="5"/>
      <c r="L129" s="5"/>
      <c r="M129" s="5"/>
      <c r="N129" s="5"/>
      <c r="O129" s="5"/>
      <c r="Q129" s="5"/>
      <c r="R129" s="5"/>
      <c r="S129" s="5"/>
      <c r="T129" s="5"/>
      <c r="U129" s="5"/>
    </row>
    <row r="130" spans="2:27">
      <c r="B130" s="5"/>
      <c r="C130" s="5"/>
      <c r="D130" s="5"/>
      <c r="E130" s="5"/>
      <c r="F130" s="5"/>
      <c r="G130" s="5"/>
      <c r="H130" s="5"/>
      <c r="I130" s="5"/>
      <c r="J130" s="254"/>
      <c r="K130" s="254"/>
      <c r="L130" s="254"/>
      <c r="M130" s="254"/>
      <c r="N130" s="254"/>
      <c r="O130" s="5"/>
      <c r="Q130" s="5"/>
      <c r="R130" s="5"/>
      <c r="S130" s="5"/>
      <c r="T130" s="5"/>
      <c r="U130" s="5"/>
    </row>
    <row r="131" spans="2:27">
      <c r="B131" s="41"/>
      <c r="C131" s="254"/>
      <c r="D131" s="254"/>
      <c r="E131" s="254"/>
      <c r="F131" s="254"/>
      <c r="G131" s="254"/>
      <c r="H131" s="254"/>
      <c r="I131" s="5"/>
      <c r="J131" s="18"/>
      <c r="K131" s="18"/>
      <c r="L131" s="18"/>
      <c r="M131" s="18"/>
      <c r="N131" s="18"/>
      <c r="O131" s="5"/>
      <c r="Q131" s="5"/>
      <c r="R131" s="5"/>
      <c r="S131" s="5"/>
      <c r="T131" s="5"/>
      <c r="U131" s="5"/>
    </row>
    <row r="132" spans="2:27">
      <c r="B132" s="5"/>
      <c r="C132" s="259"/>
      <c r="D132" s="18"/>
      <c r="E132" s="18"/>
      <c r="F132" s="18"/>
      <c r="G132" s="18"/>
      <c r="H132" s="18"/>
      <c r="I132" s="17"/>
      <c r="J132" s="5"/>
      <c r="K132" s="5"/>
      <c r="L132" s="5"/>
      <c r="M132" s="5"/>
      <c r="N132" s="5"/>
      <c r="O132" s="5"/>
      <c r="Q132" s="5"/>
      <c r="R132" s="5"/>
      <c r="S132" s="5"/>
      <c r="T132" s="5"/>
      <c r="U132" s="5"/>
    </row>
    <row r="133" spans="2:27">
      <c r="B133" s="5"/>
      <c r="C133" s="5"/>
      <c r="D133" s="5"/>
      <c r="E133" s="5"/>
      <c r="F133" s="5"/>
      <c r="G133" s="5"/>
      <c r="H133" s="5"/>
      <c r="I133" s="17"/>
      <c r="J133" s="5"/>
      <c r="K133" s="5"/>
      <c r="L133" s="5"/>
      <c r="M133" s="5"/>
      <c r="N133" s="5"/>
      <c r="O133" s="5"/>
      <c r="Q133" s="5"/>
      <c r="R133" s="5"/>
      <c r="S133" s="5"/>
      <c r="T133" s="5"/>
      <c r="U133" s="5"/>
    </row>
    <row r="134" spans="2:27">
      <c r="B134" s="41"/>
      <c r="C134" s="5"/>
      <c r="D134" s="5"/>
      <c r="E134" s="5"/>
      <c r="F134" s="5"/>
      <c r="G134" s="5"/>
      <c r="H134" s="5"/>
      <c r="I134" s="17"/>
      <c r="J134" s="17"/>
      <c r="K134" s="17"/>
      <c r="L134" s="17"/>
      <c r="M134" s="17"/>
      <c r="N134" s="17"/>
      <c r="O134" s="5"/>
      <c r="Q134" s="41"/>
      <c r="R134" s="5"/>
      <c r="S134" s="5"/>
      <c r="T134" s="5"/>
      <c r="U134" s="5"/>
    </row>
    <row r="135" spans="2:27">
      <c r="B135" s="5"/>
      <c r="C135" s="17"/>
      <c r="D135" s="17"/>
      <c r="E135" s="17"/>
      <c r="F135" s="17"/>
      <c r="G135" s="17"/>
      <c r="H135" s="17"/>
      <c r="I135" s="17"/>
      <c r="J135" s="17"/>
      <c r="K135" s="17"/>
      <c r="L135" s="17"/>
      <c r="M135" s="17"/>
      <c r="N135" s="17"/>
      <c r="O135" s="5"/>
      <c r="Q135" s="5"/>
      <c r="R135" s="5"/>
      <c r="S135" s="5"/>
      <c r="T135" s="5"/>
      <c r="U135" s="5"/>
      <c r="X135" s="304"/>
    </row>
    <row r="136" spans="2:27">
      <c r="B136" s="5"/>
      <c r="C136" s="17"/>
      <c r="D136" s="17"/>
      <c r="E136" s="17"/>
      <c r="F136" s="17"/>
      <c r="G136" s="17"/>
      <c r="H136" s="17"/>
      <c r="I136" s="17"/>
      <c r="J136" s="17"/>
      <c r="K136" s="17"/>
      <c r="L136" s="17"/>
      <c r="M136" s="17"/>
      <c r="N136" s="17"/>
      <c r="O136" s="5"/>
      <c r="Q136" s="5"/>
      <c r="R136" s="5"/>
      <c r="S136" s="5"/>
      <c r="T136" s="5"/>
      <c r="U136" s="5"/>
      <c r="X136" s="10"/>
      <c r="Y136" s="304"/>
      <c r="Z136" s="304"/>
      <c r="AA136" s="304"/>
    </row>
    <row r="137" spans="2:27">
      <c r="B137" s="5"/>
      <c r="C137" s="5"/>
      <c r="D137" s="17"/>
      <c r="E137" s="17"/>
      <c r="F137" s="17"/>
      <c r="G137" s="17"/>
      <c r="H137" s="17"/>
      <c r="I137" s="17"/>
      <c r="J137" s="17"/>
      <c r="K137" s="17"/>
      <c r="L137" s="17"/>
      <c r="M137" s="17"/>
      <c r="N137" s="17"/>
      <c r="O137" s="5"/>
      <c r="Q137" s="5"/>
      <c r="R137" s="5"/>
      <c r="S137" s="5"/>
      <c r="T137" s="5"/>
      <c r="U137" s="5"/>
      <c r="Y137" s="10"/>
      <c r="Z137" s="10"/>
      <c r="AA137" s="10"/>
    </row>
    <row r="138" spans="2:27">
      <c r="B138" s="5"/>
      <c r="C138" s="5"/>
      <c r="D138" s="17"/>
      <c r="E138" s="17"/>
      <c r="F138" s="17"/>
      <c r="G138" s="17"/>
      <c r="H138" s="17"/>
      <c r="I138" s="5"/>
      <c r="J138" s="17"/>
      <c r="K138" s="17"/>
      <c r="L138" s="17"/>
      <c r="M138" s="17"/>
      <c r="N138" s="17"/>
      <c r="O138" s="5"/>
      <c r="Q138" s="5"/>
      <c r="R138" s="5"/>
      <c r="S138" s="5"/>
      <c r="T138" s="5"/>
      <c r="U138" s="5"/>
    </row>
    <row r="139" spans="2:27">
      <c r="B139" s="5"/>
      <c r="C139" s="5"/>
      <c r="D139" s="17"/>
      <c r="E139" s="17"/>
      <c r="F139" s="17"/>
      <c r="G139" s="17"/>
      <c r="H139" s="17"/>
      <c r="I139" s="5"/>
      <c r="J139" s="17"/>
      <c r="K139" s="17"/>
      <c r="L139" s="17"/>
      <c r="M139" s="17"/>
      <c r="N139" s="17"/>
      <c r="O139" s="5"/>
      <c r="Q139" s="5"/>
      <c r="R139" s="5"/>
      <c r="S139" s="5"/>
      <c r="T139" s="5"/>
      <c r="U139" s="5"/>
    </row>
    <row r="140" spans="2:27">
      <c r="B140" s="5"/>
      <c r="C140" s="17"/>
      <c r="D140" s="17"/>
      <c r="E140" s="17"/>
      <c r="F140" s="17"/>
      <c r="G140" s="17"/>
      <c r="H140" s="17"/>
      <c r="I140" s="5"/>
      <c r="J140" s="5"/>
      <c r="K140" s="5"/>
      <c r="L140" s="5"/>
      <c r="M140" s="5"/>
      <c r="N140" s="5"/>
      <c r="O140" s="5"/>
      <c r="Q140" s="5"/>
      <c r="R140" s="5"/>
      <c r="S140" s="5"/>
      <c r="T140" s="5"/>
      <c r="U140" s="5"/>
    </row>
    <row r="141" spans="2:27">
      <c r="B141" s="5"/>
      <c r="C141" s="5"/>
      <c r="D141" s="5"/>
      <c r="E141" s="5"/>
      <c r="F141" s="5"/>
      <c r="G141" s="5"/>
      <c r="H141" s="5"/>
      <c r="I141" s="5"/>
      <c r="J141" s="5"/>
      <c r="K141" s="5"/>
      <c r="L141" s="5"/>
      <c r="M141" s="5"/>
      <c r="N141" s="5"/>
      <c r="O141" s="5"/>
      <c r="Q141" s="5"/>
      <c r="R141" s="5"/>
      <c r="S141" s="5"/>
      <c r="T141" s="5"/>
      <c r="U141" s="5"/>
    </row>
    <row r="142" spans="2:27">
      <c r="B142" s="5"/>
      <c r="C142" s="5"/>
      <c r="D142" s="5"/>
      <c r="E142" s="5"/>
      <c r="F142" s="5"/>
      <c r="G142" s="5"/>
      <c r="H142" s="5"/>
      <c r="I142" s="5"/>
      <c r="J142" s="5"/>
      <c r="K142" s="5"/>
      <c r="L142" s="5"/>
      <c r="M142" s="5"/>
      <c r="N142" s="5"/>
      <c r="O142" s="5"/>
      <c r="Q142" s="5"/>
      <c r="R142" s="5"/>
      <c r="S142" s="5"/>
      <c r="T142" s="5"/>
      <c r="U142" s="5"/>
    </row>
    <row r="143" spans="2:27">
      <c r="B143" s="5"/>
      <c r="C143" s="5"/>
      <c r="D143" s="5"/>
      <c r="E143" s="5"/>
      <c r="F143" s="5"/>
      <c r="G143" s="5"/>
      <c r="H143" s="5"/>
      <c r="I143" s="5"/>
      <c r="J143" s="5"/>
      <c r="K143" s="5"/>
      <c r="L143" s="5"/>
      <c r="M143" s="5"/>
      <c r="N143" s="5"/>
      <c r="O143" s="5"/>
      <c r="Q143" s="5"/>
      <c r="R143" s="5"/>
      <c r="S143" s="5"/>
      <c r="T143" s="5"/>
      <c r="U143" s="5"/>
    </row>
    <row r="144" spans="2:27">
      <c r="B144" s="5"/>
      <c r="C144" s="5"/>
      <c r="D144" s="5"/>
      <c r="E144" s="5"/>
      <c r="F144" s="5"/>
      <c r="G144" s="5"/>
      <c r="H144" s="5"/>
      <c r="I144" s="5"/>
      <c r="J144" s="5"/>
      <c r="K144" s="5"/>
      <c r="L144" s="5"/>
      <c r="M144" s="5"/>
      <c r="N144" s="5"/>
      <c r="O144" s="5"/>
      <c r="Q144" s="5"/>
      <c r="R144" s="5"/>
      <c r="S144" s="5"/>
      <c r="T144" s="5"/>
      <c r="U144" s="5"/>
    </row>
    <row r="145" spans="2:21">
      <c r="B145" s="5"/>
      <c r="C145" s="5"/>
      <c r="D145" s="5"/>
      <c r="E145" s="5"/>
      <c r="F145" s="5"/>
      <c r="G145" s="5"/>
      <c r="H145" s="5"/>
      <c r="I145" s="5"/>
      <c r="J145" s="5"/>
      <c r="K145" s="5"/>
      <c r="L145" s="5"/>
      <c r="M145" s="5"/>
      <c r="N145" s="5"/>
      <c r="O145" s="5"/>
      <c r="Q145" s="5"/>
      <c r="R145" s="5"/>
      <c r="S145" s="5"/>
      <c r="T145" s="5"/>
      <c r="U145" s="5"/>
    </row>
    <row r="146" spans="2:21">
      <c r="B146" s="5"/>
      <c r="C146" s="5"/>
      <c r="D146" s="5"/>
      <c r="E146" s="5"/>
      <c r="F146" s="5"/>
      <c r="G146" s="5"/>
      <c r="H146" s="5"/>
      <c r="I146" s="5"/>
      <c r="J146" s="5"/>
      <c r="K146" s="5"/>
      <c r="L146" s="5"/>
      <c r="M146" s="5"/>
      <c r="N146" s="5"/>
      <c r="O146" s="5"/>
      <c r="Q146" s="5"/>
      <c r="R146" s="5"/>
      <c r="S146" s="5"/>
      <c r="T146" s="5"/>
      <c r="U146" s="5"/>
    </row>
    <row r="147" spans="2:21">
      <c r="B147" s="5"/>
      <c r="C147" s="5"/>
      <c r="D147" s="5"/>
      <c r="E147" s="5"/>
      <c r="F147" s="5"/>
      <c r="G147" s="5"/>
      <c r="H147" s="5"/>
      <c r="I147" s="5"/>
      <c r="J147" s="5"/>
      <c r="K147" s="5"/>
      <c r="L147" s="5"/>
      <c r="M147" s="5"/>
      <c r="N147" s="5"/>
      <c r="O147" s="5"/>
      <c r="Q147" s="5"/>
      <c r="R147" s="5"/>
      <c r="S147" s="5"/>
      <c r="T147" s="5"/>
      <c r="U147" s="5"/>
    </row>
    <row r="148" spans="2:21">
      <c r="B148" s="5"/>
      <c r="C148" s="5"/>
      <c r="D148" s="5"/>
      <c r="E148" s="5"/>
      <c r="F148" s="5"/>
      <c r="G148" s="5"/>
      <c r="H148" s="5"/>
      <c r="J148" s="5"/>
      <c r="K148" s="5"/>
      <c r="L148" s="5"/>
      <c r="M148" s="5"/>
      <c r="N148" s="5"/>
      <c r="O148" s="5"/>
      <c r="Q148" s="5"/>
      <c r="R148" s="5"/>
      <c r="S148" s="5"/>
      <c r="T148" s="5"/>
      <c r="U148" s="5"/>
    </row>
    <row r="149" spans="2:21">
      <c r="B149" s="5"/>
      <c r="C149" s="5"/>
      <c r="D149" s="5"/>
      <c r="E149" s="5"/>
      <c r="F149" s="5"/>
      <c r="G149" s="5"/>
      <c r="H149" s="5"/>
      <c r="J149" s="5"/>
      <c r="K149" s="5"/>
      <c r="L149" s="5"/>
      <c r="M149" s="5"/>
      <c r="N149" s="5"/>
      <c r="O149" s="5"/>
      <c r="Q149" s="5"/>
      <c r="R149" s="5"/>
      <c r="S149" s="5"/>
      <c r="T149" s="5"/>
      <c r="U149" s="5"/>
    </row>
    <row r="150" spans="2:21">
      <c r="B150" s="5"/>
      <c r="C150" s="5"/>
      <c r="D150" s="5"/>
      <c r="E150" s="5"/>
      <c r="F150" s="5"/>
      <c r="G150" s="5"/>
      <c r="H150" s="5"/>
      <c r="Q150" s="5"/>
      <c r="R150" s="5"/>
      <c r="S150" s="5"/>
      <c r="T150" s="5"/>
      <c r="U150" s="5"/>
    </row>
    <row r="151" spans="2:21">
      <c r="Q151" s="5"/>
      <c r="R151" s="5"/>
      <c r="S151" s="5"/>
      <c r="T151" s="5"/>
      <c r="U151" s="5"/>
    </row>
    <row r="152" spans="2:21">
      <c r="Q152" s="5"/>
      <c r="R152" s="5"/>
      <c r="S152" s="5"/>
      <c r="T152" s="5"/>
      <c r="U152" s="5"/>
    </row>
    <row r="153" spans="2:21">
      <c r="C153" s="263"/>
      <c r="Q153" s="5"/>
      <c r="R153" s="5"/>
      <c r="S153" s="5"/>
      <c r="T153" s="5"/>
      <c r="U153" s="5"/>
    </row>
    <row r="154" spans="2:21">
      <c r="Q154" s="5"/>
      <c r="R154" s="5"/>
      <c r="S154" s="5"/>
      <c r="T154" s="5"/>
      <c r="U154" s="5"/>
    </row>
    <row r="155" spans="2:21">
      <c r="Q155" s="5"/>
      <c r="R155" s="5"/>
      <c r="S155" s="5"/>
      <c r="T155" s="5"/>
      <c r="U155" s="5"/>
    </row>
    <row r="156" spans="2:21">
      <c r="Q156" s="5"/>
      <c r="R156" s="5"/>
      <c r="S156" s="5"/>
      <c r="T156" s="5"/>
      <c r="U156" s="5"/>
    </row>
    <row r="157" spans="2:21">
      <c r="Q157" s="5"/>
      <c r="R157" s="5"/>
      <c r="S157" s="5"/>
      <c r="T157" s="5"/>
      <c r="U157" s="5"/>
    </row>
    <row r="158" spans="2:21">
      <c r="Q158" s="5"/>
      <c r="R158" s="5"/>
      <c r="S158" s="5"/>
      <c r="T158" s="5"/>
      <c r="U158" s="5"/>
    </row>
    <row r="159" spans="2:21">
      <c r="Q159" s="5"/>
      <c r="R159" s="5"/>
      <c r="S159" s="5"/>
      <c r="T159" s="5"/>
      <c r="U159" s="5"/>
    </row>
    <row r="160" spans="2:21">
      <c r="Q160" s="5"/>
      <c r="R160" s="5"/>
      <c r="S160" s="5"/>
      <c r="T160" s="5"/>
      <c r="U160" s="5"/>
    </row>
    <row r="161" spans="17:21">
      <c r="Q161" s="5"/>
      <c r="R161" s="5"/>
      <c r="S161" s="5"/>
      <c r="T161" s="5"/>
      <c r="U161" s="5"/>
    </row>
    <row r="162" spans="17:21">
      <c r="Q162" s="5"/>
      <c r="R162" s="5"/>
      <c r="S162" s="5"/>
      <c r="T162" s="5"/>
      <c r="U162" s="5"/>
    </row>
    <row r="163" spans="17:21">
      <c r="Q163" s="5"/>
      <c r="R163" s="5"/>
      <c r="S163" s="5"/>
      <c r="T163" s="5"/>
      <c r="U163" s="5"/>
    </row>
    <row r="164" spans="17:21">
      <c r="Q164" s="5"/>
      <c r="R164" s="5"/>
      <c r="S164" s="5"/>
      <c r="T164" s="5"/>
      <c r="U164" s="5"/>
    </row>
  </sheetData>
  <pageMargins left="0.75" right="0.75" top="1" bottom="1" header="0.5" footer="0.5"/>
  <pageSetup scale="70" orientation="landscape" r:id="rId1"/>
  <headerFooter alignWithMargins="0"/>
  <drawing r:id="rId2"/>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B00-000000000000}">
  <sheetPr codeName="Sheet170">
    <tabColor theme="3" tint="0.39997558519241921"/>
    <pageSetUpPr fitToPage="1"/>
  </sheetPr>
  <dimension ref="B1:BK164"/>
  <sheetViews>
    <sheetView showGridLines="0" zoomScale="80" zoomScaleNormal="80" workbookViewId="0"/>
  </sheetViews>
  <sheetFormatPr defaultColWidth="8.88671875" defaultRowHeight="12"/>
  <cols>
    <col min="1" max="1" width="2.33203125" style="39" customWidth="1"/>
    <col min="2" max="2" width="26.6640625" style="39" customWidth="1"/>
    <col min="3" max="9" width="10" style="39" customWidth="1"/>
    <col min="10" max="10" width="26.6640625" style="39" customWidth="1"/>
    <col min="11" max="16" width="10" style="39" customWidth="1"/>
    <col min="17" max="17" width="4.5546875" style="39" customWidth="1"/>
    <col min="18" max="20" width="8.88671875" style="39"/>
    <col min="21" max="21" width="3.6640625" style="39" customWidth="1"/>
    <col min="22" max="63" width="9.109375" style="5" customWidth="1"/>
    <col min="64" max="16384" width="8.88671875" style="39"/>
  </cols>
  <sheetData>
    <row r="1" spans="2:63" s="312" customFormat="1">
      <c r="V1" s="149"/>
      <c r="W1" s="149"/>
      <c r="X1" s="149"/>
      <c r="Y1" s="149"/>
      <c r="Z1" s="149"/>
      <c r="AA1" s="149"/>
      <c r="AB1" s="149"/>
      <c r="AC1" s="149"/>
      <c r="AD1" s="149"/>
      <c r="AE1" s="149"/>
      <c r="AF1" s="149"/>
      <c r="AG1" s="149"/>
      <c r="AH1" s="149"/>
      <c r="AI1" s="149"/>
      <c r="AJ1" s="149"/>
      <c r="AK1" s="149"/>
      <c r="AL1" s="149"/>
      <c r="AM1" s="149"/>
      <c r="AN1" s="149"/>
      <c r="AO1" s="149"/>
      <c r="AP1" s="149"/>
      <c r="AQ1" s="149"/>
      <c r="AR1" s="149"/>
      <c r="AS1" s="149"/>
      <c r="AT1" s="149"/>
      <c r="AU1" s="149"/>
      <c r="AV1" s="149"/>
      <c r="AW1" s="149"/>
      <c r="AX1" s="149"/>
      <c r="AY1" s="149"/>
      <c r="AZ1" s="149"/>
      <c r="BA1" s="149"/>
      <c r="BB1" s="149"/>
      <c r="BC1" s="149"/>
      <c r="BD1" s="149"/>
      <c r="BE1" s="149"/>
      <c r="BF1" s="149"/>
      <c r="BG1" s="149"/>
      <c r="BH1" s="149"/>
      <c r="BI1" s="149"/>
      <c r="BJ1" s="149"/>
      <c r="BK1" s="149"/>
    </row>
    <row r="2" spans="2:63" s="312" customFormat="1">
      <c r="V2" s="149"/>
      <c r="W2" s="149"/>
      <c r="X2" s="149"/>
      <c r="Y2" s="149"/>
      <c r="Z2" s="149"/>
      <c r="AA2" s="149"/>
      <c r="AB2" s="149"/>
      <c r="AC2" s="149"/>
      <c r="AD2" s="149"/>
      <c r="AE2" s="149"/>
      <c r="AF2" s="149"/>
      <c r="AG2" s="149"/>
      <c r="AH2" s="149"/>
      <c r="AI2" s="149"/>
      <c r="AJ2" s="149"/>
      <c r="AK2" s="149"/>
      <c r="AL2" s="149"/>
      <c r="AM2" s="149"/>
      <c r="AN2" s="149"/>
      <c r="AO2" s="149"/>
      <c r="AP2" s="149"/>
      <c r="AQ2" s="149"/>
      <c r="AR2" s="149"/>
      <c r="AS2" s="149"/>
      <c r="AT2" s="149"/>
      <c r="AU2" s="149"/>
      <c r="AV2" s="149"/>
      <c r="AW2" s="149"/>
      <c r="AX2" s="149"/>
      <c r="AY2" s="149"/>
      <c r="AZ2" s="149"/>
      <c r="BA2" s="149"/>
      <c r="BB2" s="149"/>
      <c r="BC2" s="149"/>
      <c r="BD2" s="149"/>
      <c r="BE2" s="149"/>
      <c r="BF2" s="149"/>
      <c r="BG2" s="149"/>
      <c r="BH2" s="149"/>
      <c r="BI2" s="149"/>
      <c r="BJ2" s="149"/>
      <c r="BK2" s="149"/>
    </row>
    <row r="3" spans="2:63" s="149" customFormat="1">
      <c r="H3" s="153"/>
      <c r="P3" s="153"/>
    </row>
    <row r="4" spans="2:63" s="156" customFormat="1" ht="21">
      <c r="B4" s="129" t="s">
        <v>320</v>
      </c>
      <c r="H4" s="222"/>
      <c r="P4" s="222"/>
    </row>
    <row r="5" spans="2:63" s="149" customFormat="1">
      <c r="C5" s="153"/>
      <c r="D5" s="153" t="str" cm="1">
        <f t="array" ref="D5:H5">headings</f>
        <v>2023E</v>
      </c>
      <c r="E5" s="153" t="str">
        <v>2024E</v>
      </c>
      <c r="F5" s="153" t="str">
        <v>2025E</v>
      </c>
      <c r="G5" s="153" t="str">
        <v>2026E</v>
      </c>
      <c r="H5" s="153" t="str">
        <v>23E-26E</v>
      </c>
      <c r="I5" s="153"/>
      <c r="J5" s="153"/>
      <c r="K5" s="153"/>
      <c r="L5" s="153" t="str" cm="1">
        <f t="array" ref="L5:P5">headings</f>
        <v>2023E</v>
      </c>
      <c r="M5" s="153" t="str">
        <v>2024E</v>
      </c>
      <c r="N5" s="153" t="str">
        <v>2025E</v>
      </c>
      <c r="O5" s="153" t="str">
        <v>2026E</v>
      </c>
      <c r="P5" s="153" t="str">
        <v>23E-26E</v>
      </c>
      <c r="Q5" s="162"/>
      <c r="R5" s="162"/>
      <c r="S5" s="162"/>
      <c r="T5" s="162"/>
      <c r="U5" s="162"/>
      <c r="V5" s="162"/>
      <c r="W5" s="162"/>
      <c r="X5" s="162"/>
      <c r="Y5" s="162"/>
    </row>
    <row r="6" spans="2:63">
      <c r="I6" s="5"/>
      <c r="J6" s="5"/>
      <c r="K6" s="5"/>
      <c r="L6" s="5"/>
      <c r="M6" s="5"/>
      <c r="N6" s="5"/>
      <c r="O6" s="49"/>
    </row>
    <row r="7" spans="2:63" ht="12.6" thickBot="1">
      <c r="B7" s="306" t="s">
        <v>271</v>
      </c>
      <c r="C7" s="265"/>
      <c r="D7" s="265"/>
      <c r="E7" s="265"/>
      <c r="F7" s="265"/>
      <c r="G7" s="265"/>
      <c r="H7" s="265"/>
      <c r="I7" s="49"/>
      <c r="J7" s="306" t="s">
        <v>550</v>
      </c>
      <c r="K7" s="306"/>
      <c r="L7" s="306"/>
      <c r="M7" s="306"/>
      <c r="N7" s="266"/>
      <c r="O7" s="266"/>
      <c r="P7" s="266"/>
    </row>
    <row r="8" spans="2:63" ht="12.6" thickTop="1">
      <c r="B8" s="5"/>
      <c r="C8" s="5"/>
      <c r="D8" s="5"/>
      <c r="E8" s="5"/>
      <c r="F8" s="5"/>
      <c r="G8" s="5"/>
      <c r="H8" s="5"/>
      <c r="I8" s="5"/>
      <c r="J8" s="5"/>
      <c r="K8" s="5"/>
      <c r="L8" s="5"/>
      <c r="M8" s="5"/>
      <c r="N8" s="5"/>
    </row>
    <row r="9" spans="2:63">
      <c r="B9" s="41" t="s">
        <v>500</v>
      </c>
      <c r="C9" s="287"/>
      <c r="D9" s="5"/>
      <c r="E9" s="249"/>
      <c r="F9" s="249"/>
      <c r="G9" s="249"/>
      <c r="H9" s="249"/>
      <c r="I9" s="249"/>
      <c r="J9" s="5" t="s">
        <v>273</v>
      </c>
      <c r="L9" s="64">
        <f>'AGG EM'!D37</f>
        <v>36.099467473183068</v>
      </c>
      <c r="M9" s="64">
        <f>'AGG EM'!E37</f>
        <v>33.850821771625633</v>
      </c>
      <c r="N9" s="64">
        <f>'AGG EM'!F37</f>
        <v>28.989720438526753</v>
      </c>
      <c r="O9" s="64">
        <f>'AGG EM'!G37</f>
        <v>24.505387911772221</v>
      </c>
      <c r="P9" s="17">
        <f>'AGG EM'!H37</f>
        <v>4.6033064370190946E-2</v>
      </c>
    </row>
    <row r="10" spans="2:63">
      <c r="B10" s="5" t="s">
        <v>274</v>
      </c>
      <c r="C10" s="5"/>
      <c r="D10" s="332"/>
      <c r="E10" s="332"/>
      <c r="F10" s="332"/>
      <c r="G10" s="332"/>
      <c r="H10" s="247"/>
      <c r="I10" s="247"/>
      <c r="J10" s="5" t="s">
        <v>184</v>
      </c>
      <c r="L10" s="64">
        <f>'AGG EM'!D38</f>
        <v>105.42482757786077</v>
      </c>
      <c r="M10" s="64">
        <f>'AGG EM'!E38</f>
        <v>98.32493726594646</v>
      </c>
      <c r="N10" s="64">
        <f>'AGG EM'!F38</f>
        <v>83.460498540205094</v>
      </c>
      <c r="O10" s="64">
        <f>'AGG EM'!G38</f>
        <v>69.927868752575165</v>
      </c>
      <c r="P10" s="17">
        <f>'AGG EM'!H38</f>
        <v>5.4135753422354771E-2</v>
      </c>
      <c r="W10" s="10"/>
      <c r="X10" s="10"/>
      <c r="Y10" s="10"/>
      <c r="Z10" s="10"/>
    </row>
    <row r="11" spans="2:63">
      <c r="B11" s="41" t="s">
        <v>523</v>
      </c>
      <c r="C11" s="5"/>
      <c r="D11" s="271">
        <f>'AGG DM ASIA'!D11+'W.EUR AGG'!D11/Prices!$F$155+'US AGG'!D11</f>
        <v>1542693.6467178855</v>
      </c>
      <c r="E11" s="271">
        <f>'AGG DM ASIA'!E11+'W.EUR AGG'!E11/Prices!$F$155+'US AGG'!E11</f>
        <v>1506788.7713849712</v>
      </c>
      <c r="F11" s="271">
        <f>'AGG DM ASIA'!F11+'W.EUR AGG'!F11/Prices!$F$155+'US AGG'!F11</f>
        <v>1471062.7701349468</v>
      </c>
      <c r="G11" s="271">
        <f>'AGG DM ASIA'!G11+'W.EUR AGG'!G11/Prices!$F$155+'US AGG'!G11</f>
        <v>1433616.0465748163</v>
      </c>
      <c r="H11" s="249"/>
      <c r="I11" s="249"/>
      <c r="J11" s="5" t="s">
        <v>185</v>
      </c>
      <c r="L11" s="64">
        <f>'AGG EM'!D39</f>
        <v>224.63525692719486</v>
      </c>
      <c r="M11" s="64">
        <f>'AGG EM'!E39</f>
        <v>195.27313510926092</v>
      </c>
      <c r="N11" s="64">
        <f>'AGG EM'!F39</f>
        <v>156.82951036244214</v>
      </c>
      <c r="O11" s="64">
        <f>'AGG EM'!G39</f>
        <v>125.44852848860397</v>
      </c>
      <c r="P11" s="17">
        <f>'AGG EM'!H39</f>
        <v>0.11635706268692725</v>
      </c>
      <c r="W11" s="10"/>
      <c r="X11" s="10"/>
      <c r="Y11" s="10"/>
      <c r="Z11" s="10"/>
    </row>
    <row r="12" spans="2:63">
      <c r="B12" s="5" t="s">
        <v>229</v>
      </c>
      <c r="C12" s="249"/>
      <c r="D12" s="228">
        <f>'AGG DM ASIA'!D12+'W.EUR AGG'!D12/Prices!$F$155+'US AGG'!D12</f>
        <v>1034242.6882268601</v>
      </c>
      <c r="E12" s="228">
        <f>'AGG DM ASIA'!E12+'W.EUR AGG'!E12/Prices!$F$155+'US AGG'!E12</f>
        <v>1033519.638035954</v>
      </c>
      <c r="F12" s="228">
        <f>'AGG DM ASIA'!F12+'W.EUR AGG'!F12/Prices!$F$155+'US AGG'!F12</f>
        <v>1022224.8535297061</v>
      </c>
      <c r="G12" s="228">
        <f>'AGG DM ASIA'!G12+'W.EUR AGG'!G12/Prices!$F$155+'US AGG'!G12</f>
        <v>1000412.6060368259</v>
      </c>
      <c r="H12" s="247"/>
      <c r="I12" s="247"/>
      <c r="J12" s="5" t="s">
        <v>466</v>
      </c>
      <c r="L12" s="64">
        <f>'AGG EM'!D40</f>
        <v>301.14194802237273</v>
      </c>
      <c r="M12" s="64">
        <f>'AGG EM'!E40</f>
        <v>259.63239152824843</v>
      </c>
      <c r="N12" s="64">
        <f>'AGG EM'!F40</f>
        <v>208.91697606045113</v>
      </c>
      <c r="O12" s="64">
        <f>'AGG EM'!G40</f>
        <v>167.13793424632385</v>
      </c>
      <c r="P12" s="17">
        <f>'AGG EM'!H40</f>
        <v>0.11865907373414464</v>
      </c>
      <c r="W12" s="10"/>
      <c r="X12" s="10"/>
      <c r="Y12" s="10"/>
      <c r="Z12" s="10"/>
    </row>
    <row r="13" spans="2:63">
      <c r="B13" s="5" t="s">
        <v>529</v>
      </c>
      <c r="C13" s="257"/>
      <c r="D13" s="228">
        <f>'AGG DM ASIA'!D13+'W.EUR AGG'!D13/Prices!$F$155+'US AGG'!D13</f>
        <v>94181.159372769616</v>
      </c>
      <c r="E13" s="228">
        <f>'AGG DM ASIA'!E13+'W.EUR AGG'!E13/Prices!$F$155+'US AGG'!E13</f>
        <v>93441.077600639823</v>
      </c>
      <c r="F13" s="228">
        <f>'AGG DM ASIA'!F13+'W.EUR AGG'!F13/Prices!$F$155+'US AGG'!F13</f>
        <v>89426.306013755064</v>
      </c>
      <c r="G13" s="228">
        <f>'AGG DM ASIA'!G13+'W.EUR AGG'!G13/Prices!$F$155+'US AGG'!G13</f>
        <v>87403.713981046501</v>
      </c>
      <c r="H13" s="247"/>
      <c r="I13" s="247"/>
      <c r="J13" s="5" t="s">
        <v>530</v>
      </c>
      <c r="L13" s="64">
        <f>'AGG EM'!D41</f>
        <v>27.243713322021154</v>
      </c>
      <c r="M13" s="64">
        <f>'AGG EM'!E41</f>
        <v>27.089658338273644</v>
      </c>
      <c r="N13" s="64">
        <f>'AGG EM'!F41</f>
        <v>24.66957505581005</v>
      </c>
      <c r="O13" s="64">
        <f>'AGG EM'!G41</f>
        <v>22.040277006694431</v>
      </c>
      <c r="P13" s="17">
        <f>'AGG EM'!H41</f>
        <v>-1.3382626032309664E-2</v>
      </c>
    </row>
    <row r="14" spans="2:63">
      <c r="B14" s="5" t="s">
        <v>532</v>
      </c>
      <c r="C14" s="274"/>
      <c r="D14" s="228">
        <f>'AGG DM ASIA'!D14+'W.EUR AGG'!D14/Prices!$F$155+'US AGG'!D14</f>
        <v>61287.839820185261</v>
      </c>
      <c r="E14" s="228">
        <f>'AGG DM ASIA'!E14+'W.EUR AGG'!E14/Prices!$F$155+'US AGG'!E14</f>
        <v>62576.20471770392</v>
      </c>
      <c r="F14" s="228">
        <f>'AGG DM ASIA'!F14+'W.EUR AGG'!F14/Prices!$F$155+'US AGG'!F14</f>
        <v>62625.745314059299</v>
      </c>
      <c r="G14" s="228">
        <f>'AGG DM ASIA'!G14+'W.EUR AGG'!G14/Prices!$F$155+'US AGG'!G14</f>
        <v>63216.306150479621</v>
      </c>
      <c r="H14" s="247"/>
      <c r="I14" s="247"/>
      <c r="J14" s="5" t="s">
        <v>593</v>
      </c>
      <c r="L14" s="64">
        <f>'AGG EM'!D42</f>
        <v>42.295202413837345</v>
      </c>
      <c r="M14" s="64">
        <f>'AGG EM'!E42</f>
        <v>41.555857792028846</v>
      </c>
      <c r="N14" s="64">
        <f>'AGG EM'!F42</f>
        <v>37.316788882264667</v>
      </c>
      <c r="O14" s="64">
        <f>'AGG EM'!G42</f>
        <v>33.586664495982959</v>
      </c>
      <c r="P14" s="17">
        <f>'AGG EM'!H42</f>
        <v>-7.2488050935257675E-3</v>
      </c>
    </row>
    <row r="15" spans="2:63">
      <c r="B15" s="5" t="s">
        <v>531</v>
      </c>
      <c r="C15" s="257"/>
      <c r="D15" s="228">
        <f>'AGG DM ASIA'!D15+'W.EUR AGG'!D15/Prices!$F$155+'US AGG'!D15</f>
        <v>172087.74701046012</v>
      </c>
      <c r="E15" s="228">
        <f>'AGG DM ASIA'!E15+'W.EUR AGG'!E15/Prices!$F$155+'US AGG'!E15</f>
        <v>168765.10931742255</v>
      </c>
      <c r="F15" s="228">
        <f>'AGG DM ASIA'!F15+'W.EUR AGG'!F15/Prices!$F$155+'US AGG'!F15</f>
        <v>166329.15400452068</v>
      </c>
      <c r="G15" s="228">
        <f>'AGG DM ASIA'!G15+'W.EUR AGG'!G15/Prices!$F$155+'US AGG'!G15</f>
        <v>163518.56490486348</v>
      </c>
      <c r="H15" s="247"/>
      <c r="I15" s="247"/>
      <c r="J15" s="5" t="s">
        <v>475</v>
      </c>
      <c r="L15" s="64">
        <f>'AGG EM'!D43</f>
        <v>19.300585311517345</v>
      </c>
      <c r="M15" s="64">
        <f>'AGG EM'!E43</f>
        <v>15.882933755129079</v>
      </c>
      <c r="N15" s="64">
        <f>'AGG EM'!F43</f>
        <v>13.174403404675031</v>
      </c>
      <c r="O15" s="64">
        <f>'AGG EM'!G43</f>
        <v>11.229961793899795</v>
      </c>
      <c r="P15" s="17">
        <f>'AGG EM'!H43</f>
        <v>0.19549120190388991</v>
      </c>
      <c r="S15" s="88"/>
      <c r="T15" s="88"/>
      <c r="U15" s="88"/>
      <c r="V15" s="42"/>
      <c r="W15" s="42"/>
      <c r="X15" s="42"/>
      <c r="Y15" s="42"/>
      <c r="Z15" s="42"/>
      <c r="AA15" s="42"/>
    </row>
    <row r="16" spans="2:63">
      <c r="B16" s="5" t="s">
        <v>534</v>
      </c>
      <c r="C16" s="257"/>
      <c r="D16" s="228">
        <f>'AGG DM ASIA'!D16+'W.EUR AGG'!D16/Prices!$F$155+'US AGG'!D16</f>
        <v>75397.963514771734</v>
      </c>
      <c r="E16" s="228">
        <f>'AGG DM ASIA'!E16+'W.EUR AGG'!E16/Prices!$F$155+'US AGG'!E16</f>
        <v>133988.49806369428</v>
      </c>
      <c r="F16" s="228">
        <f>'AGG DM ASIA'!F16+'W.EUR AGG'!F16/Prices!$F$155+'US AGG'!F16</f>
        <v>197782.04049337545</v>
      </c>
      <c r="G16" s="228">
        <f>'AGG DM ASIA'!G16+'W.EUR AGG'!G16/Prices!$F$155+'US AGG'!G16</f>
        <v>261498.53336906488</v>
      </c>
      <c r="H16" s="247"/>
      <c r="I16" s="247"/>
      <c r="J16" s="5" t="s">
        <v>533</v>
      </c>
      <c r="L16" s="64">
        <f>'AGG EM'!D44</f>
        <v>245.42467510563969</v>
      </c>
      <c r="M16" s="64">
        <f>'AGG EM'!E44</f>
        <v>213.62789634539095</v>
      </c>
      <c r="N16" s="64">
        <f>'AGG EM'!F44</f>
        <v>181.57395789810795</v>
      </c>
      <c r="O16" s="64">
        <f>'AGG EM'!G44</f>
        <v>158.59598060321596</v>
      </c>
      <c r="P16" s="17">
        <f>'AGG EM'!H44</f>
        <v>0.16397795492835376</v>
      </c>
      <c r="S16" s="88"/>
      <c r="T16" s="88"/>
      <c r="U16" s="88"/>
      <c r="V16" s="42"/>
      <c r="W16" s="42"/>
      <c r="X16" s="42"/>
      <c r="Y16" s="42"/>
      <c r="Z16" s="42"/>
      <c r="AA16" s="42"/>
    </row>
    <row r="17" spans="2:27">
      <c r="B17" s="5" t="s">
        <v>6</v>
      </c>
      <c r="C17" s="257"/>
      <c r="D17" s="228">
        <f>'AGG DM ASIA'!D17+'W.EUR AGG'!D17/Prices!$F$155+'US AGG'!D17</f>
        <v>7929.335660582251</v>
      </c>
      <c r="E17" s="228">
        <f>'AGG DM ASIA'!E17+'W.EUR AGG'!E17/Prices!$F$155+'US AGG'!E17</f>
        <v>7728.3906327562445</v>
      </c>
      <c r="F17" s="228">
        <f>'AGG DM ASIA'!F17+'W.EUR AGG'!F17/Prices!$F$155+'US AGG'!F17</f>
        <v>7490.1607935532084</v>
      </c>
      <c r="G17" s="228">
        <f>'AGG DM ASIA'!G17+'W.EUR AGG'!G17/Prices!$F$155+'US AGG'!G17</f>
        <v>7256.3542229418572</v>
      </c>
      <c r="H17" s="247"/>
      <c r="I17" s="247"/>
      <c r="J17" s="5" t="s">
        <v>580</v>
      </c>
      <c r="L17" s="248">
        <f>'AGG EM'!D45</f>
        <v>2.9794876849606393E-3</v>
      </c>
      <c r="M17" s="248">
        <f>'AGG EM'!E45</f>
        <v>3.2338565373739416E-3</v>
      </c>
      <c r="N17" s="248">
        <f>'AGG EM'!F45</f>
        <v>3.7591690821787136E-3</v>
      </c>
      <c r="O17" s="248">
        <f>'AGG EM'!G45</f>
        <v>4.3245157193855478E-3</v>
      </c>
      <c r="P17" s="17">
        <f>'AGG EM'!H45</f>
        <v>0.13937853690845947</v>
      </c>
      <c r="S17" s="88"/>
      <c r="T17" s="88"/>
      <c r="U17" s="88"/>
      <c r="V17" s="42"/>
      <c r="W17" s="42"/>
      <c r="X17" s="42"/>
      <c r="Y17" s="42"/>
      <c r="Z17" s="42"/>
      <c r="AA17" s="42"/>
    </row>
    <row r="18" spans="2:27" ht="12.6" thickBot="1">
      <c r="B18" s="41" t="s">
        <v>89</v>
      </c>
      <c r="C18" s="249"/>
      <c r="D18" s="275">
        <f>'AGG DM ASIA'!D18+'W.EUR AGG'!D18/Prices!$F$155+'US AGG'!D18</f>
        <v>2698590.102332436</v>
      </c>
      <c r="E18" s="275">
        <f>'AGG DM ASIA'!E18+'W.EUR AGG'!E18/Prices!$F$155+'US AGG'!E18</f>
        <v>2598221.5029248334</v>
      </c>
      <c r="F18" s="275">
        <f>'AGG DM ASIA'!F18+'W.EUR AGG'!F18/Prices!$F$155+'US AGG'!F18</f>
        <v>2481145.1370819407</v>
      </c>
      <c r="G18" s="275">
        <f>'AGG DM ASIA'!G18+'W.EUR AGG'!G18/Prices!$F$155+'US AGG'!G18</f>
        <v>2352979.7377550658</v>
      </c>
      <c r="H18" s="276">
        <f>IF(D18=0,"nm",IF(G18=0,"nm",(G18/D18)^(1/3)-1))</f>
        <v>-4.4654589918357912E-2</v>
      </c>
      <c r="I18" s="254"/>
      <c r="J18" s="5" t="s">
        <v>36</v>
      </c>
      <c r="L18" s="248" t="e">
        <f>'AGG EM'!D46</f>
        <v>#VALUE!</v>
      </c>
      <c r="M18" s="248" t="e">
        <f>'AGG EM'!E46</f>
        <v>#VALUE!</v>
      </c>
      <c r="N18" s="248" t="e">
        <f>'AGG EM'!F46</f>
        <v>#VALUE!</v>
      </c>
      <c r="O18" s="248" t="e">
        <f>'AGG EM'!G46</f>
        <v>#VALUE!</v>
      </c>
      <c r="P18" s="17" t="e">
        <f>'AGG EM'!H46</f>
        <v>#VALUE!</v>
      </c>
      <c r="S18" s="88"/>
      <c r="T18" s="88"/>
      <c r="U18" s="88"/>
      <c r="V18" s="42"/>
      <c r="W18" s="42"/>
      <c r="X18" s="42"/>
      <c r="Y18" s="42"/>
      <c r="Z18" s="42"/>
      <c r="AA18" s="42"/>
    </row>
    <row r="19" spans="2:27" ht="12.6" thickTop="1">
      <c r="B19" s="41"/>
      <c r="C19" s="249"/>
      <c r="D19" s="229"/>
      <c r="E19" s="229"/>
      <c r="F19" s="229"/>
      <c r="G19" s="229"/>
      <c r="H19" s="276"/>
      <c r="I19" s="17"/>
      <c r="J19" s="5" t="s">
        <v>581</v>
      </c>
      <c r="L19" s="248">
        <f>'AGG EM'!D47</f>
        <v>5.1811900201972863E-2</v>
      </c>
      <c r="M19" s="248">
        <f>'AGG EM'!E47</f>
        <v>6.2960660506253749E-2</v>
      </c>
      <c r="N19" s="248">
        <f>'AGG EM'!F47</f>
        <v>7.5904765421494755E-2</v>
      </c>
      <c r="O19" s="248">
        <f>'AGG EM'!G47</f>
        <v>8.9047497965951045E-2</v>
      </c>
      <c r="P19" s="17">
        <f>'AGG EM'!H47</f>
        <v>0.19549120190388991</v>
      </c>
      <c r="S19" s="88"/>
      <c r="T19" s="88"/>
      <c r="U19" s="88"/>
      <c r="V19" s="42"/>
      <c r="W19" s="42"/>
      <c r="X19" s="42"/>
      <c r="Y19" s="42"/>
      <c r="Z19" s="42"/>
      <c r="AA19" s="42"/>
    </row>
    <row r="20" spans="2:27">
      <c r="H20" s="277"/>
      <c r="I20" s="49"/>
      <c r="J20" s="5" t="s">
        <v>604</v>
      </c>
      <c r="L20" s="248">
        <f>'AGG EM'!D48</f>
        <v>0.78546224095974659</v>
      </c>
      <c r="M20" s="248">
        <f>'AGG EM'!E48</f>
        <v>0.71334963498575799</v>
      </c>
      <c r="N20" s="248">
        <f>'AGG EM'!F48</f>
        <v>0.68989991347231316</v>
      </c>
      <c r="O20" s="248">
        <f>'AGG EM'!G48</f>
        <v>0.67997079786563763</v>
      </c>
      <c r="P20" s="17" t="str">
        <f>'AGG EM'!H48</f>
        <v>nm</v>
      </c>
      <c r="S20" s="42"/>
      <c r="T20" s="42"/>
      <c r="U20" s="42"/>
      <c r="V20" s="42"/>
      <c r="W20" s="42"/>
      <c r="X20" s="42"/>
      <c r="Y20" s="42"/>
      <c r="Z20" s="42"/>
      <c r="AA20" s="42"/>
    </row>
    <row r="21" spans="2:27" ht="12.6" thickBot="1">
      <c r="B21" s="306" t="s">
        <v>308</v>
      </c>
      <c r="C21" s="265">
        <v>2020</v>
      </c>
      <c r="D21" s="265" t="str">
        <f>D5</f>
        <v>2023E</v>
      </c>
      <c r="E21" s="265" t="str">
        <f>E5</f>
        <v>2024E</v>
      </c>
      <c r="F21" s="265" t="str">
        <f>F5</f>
        <v>2025E</v>
      </c>
      <c r="G21" s="265" t="str">
        <f>G5</f>
        <v>2026E</v>
      </c>
      <c r="H21" s="282" t="str">
        <f>H5</f>
        <v>23E-26E</v>
      </c>
      <c r="I21" s="17"/>
      <c r="S21" s="42"/>
      <c r="T21" s="42"/>
      <c r="U21" s="42"/>
      <c r="V21" s="42"/>
      <c r="W21" s="42"/>
      <c r="X21" s="42"/>
      <c r="Y21" s="42"/>
      <c r="Z21" s="42"/>
      <c r="AA21" s="42"/>
    </row>
    <row r="22" spans="2:27" ht="12.6" thickTop="1">
      <c r="B22" s="5"/>
      <c r="C22" s="257"/>
      <c r="D22" s="17"/>
      <c r="E22" s="17"/>
      <c r="F22" s="17"/>
      <c r="G22" s="17"/>
      <c r="H22" s="17"/>
      <c r="I22" s="247"/>
      <c r="P22" s="277"/>
      <c r="S22" s="42"/>
      <c r="T22" s="42"/>
      <c r="U22" s="42"/>
      <c r="V22" s="42"/>
      <c r="W22" s="42"/>
      <c r="X22" s="42"/>
      <c r="Y22" s="42"/>
      <c r="Z22" s="42"/>
      <c r="AA22" s="42"/>
    </row>
    <row r="23" spans="2:27" ht="12.6" thickBot="1">
      <c r="B23" s="5" t="s">
        <v>584</v>
      </c>
      <c r="C23" s="365">
        <f>'AGG DM ASIA'!C23+'W.EUR AGG'!C23/Prices!$F$155+'US AGG'!C23</f>
        <v>1155760.9981287373</v>
      </c>
      <c r="D23" s="228">
        <f>'AGG DM ASIA'!D23+'W.EUR AGG'!D23/Prices!$F$155+'US AGG'!D23</f>
        <v>1158485.2995091439</v>
      </c>
      <c r="E23" s="228">
        <f>'AGG DM ASIA'!E23+'W.EUR AGG'!E23/Prices!$F$155+'US AGG'!E23</f>
        <v>1177246.9495547486</v>
      </c>
      <c r="F23" s="228">
        <f>'AGG DM ASIA'!F23+'W.EUR AGG'!F23/Prices!$F$155+'US AGG'!F23</f>
        <v>1200629.7433730708</v>
      </c>
      <c r="G23" s="228">
        <f>'AGG DM ASIA'!G23+'W.EUR AGG'!G23/Prices!$F$155+'US AGG'!G23</f>
        <v>1227593.8102841685</v>
      </c>
      <c r="H23" s="279">
        <f t="shared" ref="H23:H33" si="0">IF(D23=0,"nm",IF(G23=0,"nm",(G23/D23)^(1/3)-1))</f>
        <v>1.9501934659983178E-2</v>
      </c>
      <c r="I23" s="249"/>
      <c r="J23" s="306" t="s">
        <v>9</v>
      </c>
      <c r="K23" s="306"/>
      <c r="L23" s="265" t="str">
        <f>L5</f>
        <v>2023E</v>
      </c>
      <c r="M23" s="265" t="str">
        <f>M5</f>
        <v>2024E</v>
      </c>
      <c r="N23" s="265" t="str">
        <f>N5</f>
        <v>2025E</v>
      </c>
      <c r="O23" s="265" t="str">
        <f>O5</f>
        <v>2026E</v>
      </c>
      <c r="P23" s="282" t="str">
        <f>P5</f>
        <v>23E-26E</v>
      </c>
      <c r="S23" s="42"/>
      <c r="T23" s="42"/>
      <c r="U23" s="42"/>
      <c r="V23" s="42"/>
      <c r="W23" s="42" t="s">
        <v>26</v>
      </c>
      <c r="X23" s="42" t="s">
        <v>542</v>
      </c>
      <c r="Y23" s="42"/>
      <c r="Z23" s="42"/>
      <c r="AA23" s="42"/>
    </row>
    <row r="24" spans="2:27" ht="12.6" thickTop="1">
      <c r="B24" s="5" t="s">
        <v>483</v>
      </c>
      <c r="C24" s="365">
        <f>'AGG DM ASIA'!C24+'W.EUR AGG'!C24/Prices!$F$155+'US AGG'!C24</f>
        <v>374372.07738858531</v>
      </c>
      <c r="D24" s="228">
        <f>'AGG DM ASIA'!D24+'W.EUR AGG'!D24/Prices!$F$155+'US AGG'!D24</f>
        <v>380931.46452983678</v>
      </c>
      <c r="E24" s="228">
        <f>'AGG DM ASIA'!E24+'W.EUR AGG'!E24/Prices!$F$155+'US AGG'!E24</f>
        <v>394410.252433157</v>
      </c>
      <c r="F24" s="228">
        <f>'AGG DM ASIA'!F24+'W.EUR AGG'!F24/Prices!$F$155+'US AGG'!F24</f>
        <v>407652.64002463047</v>
      </c>
      <c r="G24" s="228">
        <f>'AGG DM ASIA'!G24+'W.EUR AGG'!G24/Prices!$F$155+'US AGG'!G24</f>
        <v>421925.3395882987</v>
      </c>
      <c r="H24" s="279">
        <f t="shared" si="0"/>
        <v>3.4656651554389573E-2</v>
      </c>
      <c r="I24" s="248"/>
      <c r="J24" s="17"/>
      <c r="K24" s="17"/>
      <c r="L24" s="17"/>
      <c r="M24" s="17"/>
      <c r="N24" s="17"/>
      <c r="O24" s="248"/>
      <c r="S24" s="42"/>
      <c r="T24" s="42"/>
      <c r="U24" s="42"/>
      <c r="V24" s="147" t="s">
        <v>273</v>
      </c>
      <c r="W24" s="357">
        <f t="shared" ref="W24:W31" si="1">E37/M9</f>
        <v>6.5198767000287358E-2</v>
      </c>
      <c r="X24" s="288">
        <v>1</v>
      </c>
      <c r="Y24" s="42"/>
      <c r="Z24" s="42"/>
      <c r="AA24" s="42"/>
    </row>
    <row r="25" spans="2:27">
      <c r="B25" s="5" t="s">
        <v>183</v>
      </c>
      <c r="C25" s="365">
        <f>'AGG DM ASIA'!C25+'W.EUR AGG'!C25/Prices!$F$155+'US AGG'!C25</f>
        <v>177845.85062071978</v>
      </c>
      <c r="D25" s="228">
        <f>'AGG DM ASIA'!D25+'W.EUR AGG'!D25/Prices!$F$155+'US AGG'!D25</f>
        <v>199403.85387309498</v>
      </c>
      <c r="E25" s="228">
        <f>'AGG DM ASIA'!E25+'W.EUR AGG'!E25/Prices!$F$155+'US AGG'!E25</f>
        <v>226057.25276990939</v>
      </c>
      <c r="F25" s="228">
        <f>'AGG DM ASIA'!F25+'W.EUR AGG'!F25/Prices!$F$155+'US AGG'!F25</f>
        <v>241715.45660658684</v>
      </c>
      <c r="G25" s="228">
        <f>'AGG DM ASIA'!G25+'W.EUR AGG'!G25/Prices!$F$155+'US AGG'!G25</f>
        <v>260136.39239355543</v>
      </c>
      <c r="H25" s="279">
        <f t="shared" si="0"/>
        <v>9.2670425427640479E-2</v>
      </c>
      <c r="I25" s="249"/>
      <c r="J25" s="247" t="s">
        <v>10</v>
      </c>
      <c r="K25" s="247"/>
      <c r="L25" s="332">
        <f>'AGG DM ASIA'!L25+'W.EUR AGG'!L25/Prices!$F$155+'US AGG'!L25</f>
        <v>75029.810554658558</v>
      </c>
      <c r="M25" s="332">
        <f>'AGG DM ASIA'!M25+'W.EUR AGG'!M25/Prices!$F$155+'US AGG'!M25</f>
        <v>71955.813716552439</v>
      </c>
      <c r="N25" s="332">
        <f>'AGG DM ASIA'!N25+'W.EUR AGG'!N25/Prices!$F$155+'US AGG'!N25</f>
        <v>67733.588607558137</v>
      </c>
      <c r="O25" s="332">
        <f>'AGG DM ASIA'!O25+'W.EUR AGG'!O25/Prices!$F$155+'US AGG'!O25</f>
        <v>59476.143543943523</v>
      </c>
      <c r="P25" s="279">
        <f>IF(L25=0,"nm",IF(O25=0,"nm",(O25/L25)^(1/3)-1))</f>
        <v>-7.4514432878550529E-2</v>
      </c>
      <c r="Q25" s="5"/>
      <c r="S25" s="42"/>
      <c r="T25" s="42"/>
      <c r="U25" s="42"/>
      <c r="V25" s="147" t="s">
        <v>184</v>
      </c>
      <c r="W25" s="357">
        <f t="shared" si="1"/>
        <v>6.6998379591764898E-2</v>
      </c>
      <c r="X25" s="288">
        <v>1</v>
      </c>
      <c r="Y25" s="42"/>
      <c r="Z25" s="42"/>
      <c r="AA25" s="42"/>
    </row>
    <row r="26" spans="2:27">
      <c r="B26" s="5" t="s">
        <v>586</v>
      </c>
      <c r="C26" s="365">
        <f>'AGG DM ASIA'!C26+'W.EUR AGG'!C26/Prices!$F$155+'US AGG'!C26</f>
        <v>121443.19303526808</v>
      </c>
      <c r="D26" s="228">
        <f>'AGG DM ASIA'!D26+'W.EUR AGG'!D26/Prices!$F$155+'US AGG'!D26</f>
        <v>140454.3696824146</v>
      </c>
      <c r="E26" s="228">
        <f>'AGG DM ASIA'!E26+'W.EUR AGG'!E26/Prices!$F$155+'US AGG'!E26</f>
        <v>158939.9638713132</v>
      </c>
      <c r="F26" s="228">
        <f>'AGG DM ASIA'!F26+'W.EUR AGG'!F26/Prices!$F$155+'US AGG'!F26</f>
        <v>169722.37796156836</v>
      </c>
      <c r="G26" s="228">
        <f>'AGG DM ASIA'!G26+'W.EUR AGG'!G26/Prices!$F$155+'US AGG'!G26</f>
        <v>183250.08269736805</v>
      </c>
      <c r="H26" s="279">
        <f t="shared" si="0"/>
        <v>9.2705111729584289E-2</v>
      </c>
      <c r="I26" s="249"/>
      <c r="J26" s="249" t="s">
        <v>11</v>
      </c>
      <c r="K26" s="249"/>
      <c r="L26" s="281">
        <f>'AGG DM ASIA'!L26+'W.EUR AGG'!L26/Prices!$F$155+'US AGG'!L26</f>
        <v>1539705.8301205006</v>
      </c>
      <c r="M26" s="281">
        <f>'AGG DM ASIA'!M26+'W.EUR AGG'!M26/Prices!$F$155+'US AGG'!M26</f>
        <v>1500733.8708708747</v>
      </c>
      <c r="N26" s="281">
        <f>'AGG DM ASIA'!N26+'W.EUR AGG'!N26/Prices!$F$155+'US AGG'!N26</f>
        <v>1460781.4572842969</v>
      </c>
      <c r="O26" s="281">
        <f>'AGG DM ASIA'!O26+'W.EUR AGG'!O26/Prices!$F$155+'US AGG'!O26</f>
        <v>1415084.7884185496</v>
      </c>
      <c r="P26" s="279">
        <f>IF(L26=0,"nm",IF(O26=0,"nm",(O26/L26)^(1/3)-1))</f>
        <v>-2.7741901283880432E-2</v>
      </c>
      <c r="Q26" s="41"/>
      <c r="S26" s="42"/>
      <c r="T26" s="42"/>
      <c r="U26" s="42"/>
      <c r="V26" s="147" t="s">
        <v>185</v>
      </c>
      <c r="W26" s="357">
        <f t="shared" si="1"/>
        <v>5.8859318368841111E-2</v>
      </c>
      <c r="X26" s="288">
        <v>1</v>
      </c>
      <c r="Y26" s="42"/>
      <c r="Z26" s="42"/>
      <c r="AA26" s="42"/>
    </row>
    <row r="27" spans="2:27">
      <c r="B27" s="5" t="s">
        <v>587</v>
      </c>
      <c r="C27" s="365">
        <f>'AGG DM ASIA'!C27+'W.EUR AGG'!C27/Prices!$F$155+'US AGG'!C27</f>
        <v>1740949.9984128796</v>
      </c>
      <c r="D27" s="228">
        <f>'AGG DM ASIA'!D27+'W.EUR AGG'!D27/Prices!$F$155+'US AGG'!D27</f>
        <v>1996808.6124201221</v>
      </c>
      <c r="E27" s="228">
        <f>'AGG DM ASIA'!E27+'W.EUR AGG'!E27/Prices!$F$155+'US AGG'!E27</f>
        <v>1854874.5219128111</v>
      </c>
      <c r="F27" s="228">
        <f>'AGG DM ASIA'!F27+'W.EUR AGG'!F27/Prices!$F$155+'US AGG'!F27</f>
        <v>1856597.305242104</v>
      </c>
      <c r="G27" s="228">
        <f>'AGG DM ASIA'!G27+'W.EUR AGG'!G27/Prices!$F$155+'US AGG'!G27</f>
        <v>1846955.279989287</v>
      </c>
      <c r="H27" s="279">
        <f t="shared" si="0"/>
        <v>-2.5668717959517307E-2</v>
      </c>
      <c r="I27" s="248"/>
      <c r="J27" s="248"/>
      <c r="K27" s="248"/>
      <c r="L27" s="248"/>
      <c r="M27" s="248"/>
      <c r="N27" s="248"/>
      <c r="O27" s="248"/>
      <c r="Q27" s="5"/>
      <c r="S27" s="42"/>
      <c r="T27" s="42"/>
      <c r="U27" s="42"/>
      <c r="V27" s="147" t="s">
        <v>466</v>
      </c>
      <c r="W27" s="357">
        <f t="shared" si="1"/>
        <v>6.296282259000939E-2</v>
      </c>
      <c r="X27" s="288">
        <v>1</v>
      </c>
      <c r="Y27" s="42"/>
      <c r="Z27" s="42"/>
      <c r="AA27" s="42"/>
    </row>
    <row r="28" spans="2:27" ht="12.6" thickBot="1">
      <c r="B28" s="5" t="s">
        <v>592</v>
      </c>
      <c r="C28" s="365">
        <f>'AGG DM ASIA'!C28+'W.EUR AGG'!C28/Prices!$F$155+'US AGG'!C28</f>
        <v>729270.73469662014</v>
      </c>
      <c r="D28" s="228">
        <f>'AGG DM ASIA'!D28+'W.EUR AGG'!D28/Prices!$F$155+'US AGG'!D28</f>
        <v>817743.16832872201</v>
      </c>
      <c r="E28" s="228">
        <f>'AGG DM ASIA'!E28+'W.EUR AGG'!E28/Prices!$F$155+'US AGG'!E28</f>
        <v>816072.40191882092</v>
      </c>
      <c r="F28" s="228">
        <f>'AGG DM ASIA'!F28+'W.EUR AGG'!F28/Prices!$F$155+'US AGG'!F28</f>
        <v>810973.31011679047</v>
      </c>
      <c r="G28" s="228">
        <f>'AGG DM ASIA'!G28+'W.EUR AGG'!G28/Prices!$F$155+'US AGG'!G28</f>
        <v>799997.86040460702</v>
      </c>
      <c r="H28" s="279">
        <f t="shared" si="0"/>
        <v>-7.2864107786076993E-3</v>
      </c>
      <c r="I28" s="252"/>
      <c r="J28" s="306" t="s">
        <v>754</v>
      </c>
      <c r="K28" s="306"/>
      <c r="L28" s="306"/>
      <c r="M28" s="306"/>
      <c r="N28" s="266"/>
      <c r="O28" s="266"/>
      <c r="P28" s="266"/>
      <c r="Q28" s="5"/>
      <c r="S28" s="42"/>
      <c r="T28" s="42"/>
      <c r="U28" s="42"/>
      <c r="V28" s="147" t="s">
        <v>530</v>
      </c>
      <c r="W28" s="357">
        <f t="shared" si="1"/>
        <v>5.1708043934930586E-2</v>
      </c>
      <c r="X28" s="288">
        <v>1</v>
      </c>
      <c r="Y28" s="42"/>
      <c r="Z28" s="42"/>
      <c r="AA28" s="42"/>
    </row>
    <row r="29" spans="2:27" ht="12.6" thickTop="1">
      <c r="B29" s="5" t="s">
        <v>588</v>
      </c>
      <c r="C29" s="365">
        <f>'AGG DM ASIA'!C29+'W.EUR AGG'!C29/Prices!$F$155+'US AGG'!C29</f>
        <v>129390.24545636485</v>
      </c>
      <c r="D29" s="228">
        <f>'AGG DM ASIA'!D29+'W.EUR AGG'!D29/Prices!$F$155+'US AGG'!D29</f>
        <v>130414.00271747333</v>
      </c>
      <c r="E29" s="228">
        <f>'AGG DM ASIA'!E29+'W.EUR AGG'!E29/Prices!$F$155+'US AGG'!E29</f>
        <v>138342.33386883297</v>
      </c>
      <c r="F29" s="228">
        <f>'AGG DM ASIA'!F29+'W.EUR AGG'!F29/Prices!$F$155+'US AGG'!F29</f>
        <v>149082.06150714098</v>
      </c>
      <c r="G29" s="228">
        <f>'AGG DM ASIA'!G29+'W.EUR AGG'!G29/Prices!$F$155+'US AGG'!G29</f>
        <v>160533.00488015928</v>
      </c>
      <c r="H29" s="279">
        <f t="shared" si="0"/>
        <v>7.171679530370545E-2</v>
      </c>
      <c r="I29" s="254"/>
      <c r="J29" s="249"/>
      <c r="K29" s="249"/>
      <c r="L29" s="249"/>
      <c r="M29" s="249"/>
      <c r="N29" s="249"/>
      <c r="O29" s="251"/>
      <c r="Q29" s="5"/>
      <c r="S29" s="42"/>
      <c r="T29" s="42"/>
      <c r="U29" s="42"/>
      <c r="V29" s="147" t="s">
        <v>593</v>
      </c>
      <c r="W29" s="357">
        <f t="shared" si="1"/>
        <v>7.6615251264889148E-2</v>
      </c>
      <c r="X29" s="288">
        <v>1</v>
      </c>
      <c r="Y29" s="42"/>
      <c r="Z29" s="42"/>
      <c r="AA29" s="42"/>
    </row>
    <row r="30" spans="2:27">
      <c r="B30" s="5" t="s">
        <v>589</v>
      </c>
      <c r="C30" s="365">
        <f>'AGG DM ASIA'!C30+'W.EUR AGG'!C30/Prices!$F$155+'US AGG'!C30</f>
        <v>119540.61618592931</v>
      </c>
      <c r="D30" s="228">
        <f>'AGG DM ASIA'!D30+'W.EUR AGG'!D30/Prices!$F$155+'US AGG'!D30</f>
        <v>113228.51180039372</v>
      </c>
      <c r="E30" s="228">
        <f>'AGG DM ASIA'!E30+'W.EUR AGG'!E30/Prices!$F$155+'US AGG'!E30</f>
        <v>120513.90280252745</v>
      </c>
      <c r="F30" s="228">
        <f>'AGG DM ASIA'!F30+'W.EUR AGG'!F30/Prices!$F$155+'US AGG'!F30</f>
        <v>130151.41658546787</v>
      </c>
      <c r="G30" s="228">
        <f>'AGG DM ASIA'!G30+'W.EUR AGG'!G30/Prices!$F$155+'US AGG'!G30</f>
        <v>141103.26709218099</v>
      </c>
      <c r="H30" s="279">
        <f t="shared" si="0"/>
        <v>7.6119307301105277E-2</v>
      </c>
      <c r="I30" s="254"/>
      <c r="J30" s="248"/>
      <c r="K30" s="248"/>
      <c r="L30" s="248"/>
      <c r="M30" s="248"/>
      <c r="N30" s="248"/>
      <c r="O30" s="5"/>
      <c r="Q30" s="5"/>
      <c r="S30" s="42"/>
      <c r="T30" s="42"/>
      <c r="U30" s="42"/>
      <c r="V30" s="147" t="s">
        <v>475</v>
      </c>
      <c r="W30" s="357">
        <f t="shared" si="1"/>
        <v>0.68299553080927267</v>
      </c>
      <c r="X30" s="288">
        <v>1</v>
      </c>
      <c r="Y30" s="42"/>
      <c r="Z30" s="42"/>
      <c r="AA30" s="42"/>
    </row>
    <row r="31" spans="2:27">
      <c r="B31" s="5" t="s">
        <v>590</v>
      </c>
      <c r="C31" s="365">
        <f>'AGG DM ASIA'!C31+'W.EUR AGG'!C31/Prices!$F$155+'US AGG'!C31</f>
        <v>59481.199664068947</v>
      </c>
      <c r="D31" s="228">
        <f>'AGG DM ASIA'!D31+'W.EUR AGG'!D31/Prices!$F$155+'US AGG'!D31</f>
        <v>59691.30896428346</v>
      </c>
      <c r="E31" s="228">
        <f>'AGG DM ASIA'!E31+'W.EUR AGG'!E31/Prices!$F$155+'US AGG'!E31</f>
        <v>65423.701600706379</v>
      </c>
      <c r="F31" s="228">
        <f>'AGG DM ASIA'!F31+'W.EUR AGG'!F31/Prices!$F$155+'US AGG'!F31</f>
        <v>67854.714632420277</v>
      </c>
      <c r="G31" s="228">
        <f>'AGG DM ASIA'!G31+'W.EUR AGG'!G31/Prices!$F$155+'US AGG'!G31</f>
        <v>70854.574401016129</v>
      </c>
      <c r="H31" s="279">
        <f t="shared" si="0"/>
        <v>5.8812184463164385E-2</v>
      </c>
      <c r="I31" s="254"/>
      <c r="J31" s="252"/>
      <c r="K31" s="252"/>
      <c r="L31" s="252"/>
      <c r="M31" s="252"/>
      <c r="N31" s="252"/>
      <c r="O31" s="5"/>
      <c r="Q31" s="5"/>
      <c r="S31" s="42"/>
      <c r="T31" s="42"/>
      <c r="U31" s="42"/>
      <c r="V31" s="147" t="s">
        <v>533</v>
      </c>
      <c r="W31" s="357">
        <f t="shared" si="1"/>
        <v>5.8527134315608229E-2</v>
      </c>
      <c r="X31" s="288">
        <v>1</v>
      </c>
      <c r="Y31" s="42"/>
      <c r="Z31" s="42"/>
      <c r="AA31" s="42"/>
    </row>
    <row r="32" spans="2:27">
      <c r="B32" s="5" t="s">
        <v>606</v>
      </c>
      <c r="C32" s="365">
        <f>'AGG DM ASIA'!C32+'W.EUR AGG'!C32/Prices!$F$155+'US AGG'!C32</f>
        <v>28963.09475413703</v>
      </c>
      <c r="D32" s="228">
        <f>'AGG DM ASIA'!D32+'W.EUR AGG'!D32/Prices!$F$155+'US AGG'!D32</f>
        <v>25680.754998225395</v>
      </c>
      <c r="E32" s="228">
        <f>'AGG DM ASIA'!E32+'W.EUR AGG'!E32/Prices!$F$155+'US AGG'!E32</f>
        <v>49846.332912334641</v>
      </c>
      <c r="F32" s="228">
        <f>'AGG DM ASIA'!F32+'W.EUR AGG'!F32/Prices!$F$155+'US AGG'!F32</f>
        <v>50288.609949238511</v>
      </c>
      <c r="G32" s="228">
        <f>'AGG DM ASIA'!G32+'W.EUR AGG'!G32/Prices!$F$155+'US AGG'!G32</f>
        <v>61005.306746133101</v>
      </c>
      <c r="H32" s="279">
        <f t="shared" si="0"/>
        <v>0.33429935433101754</v>
      </c>
      <c r="I32" s="5"/>
      <c r="J32" s="254"/>
      <c r="K32" s="254"/>
      <c r="L32" s="254"/>
      <c r="M32" s="254"/>
      <c r="N32" s="254"/>
      <c r="O32" s="251"/>
      <c r="Q32" s="5"/>
      <c r="S32" s="42"/>
      <c r="T32" s="42"/>
      <c r="U32" s="42"/>
      <c r="V32" s="147" t="s">
        <v>580</v>
      </c>
      <c r="W32" s="288">
        <f>M17/E45</f>
        <v>7.4479716059543899E-2</v>
      </c>
      <c r="X32" s="288">
        <v>1</v>
      </c>
      <c r="Y32" s="42"/>
      <c r="Z32" s="42"/>
      <c r="AA32" s="42"/>
    </row>
    <row r="33" spans="2:42">
      <c r="B33" s="5" t="s">
        <v>5</v>
      </c>
      <c r="C33" s="365">
        <f>'AGG DM ASIA'!C33+'W.EUR AGG'!C33/Prices!$F$155+'US AGG'!C33</f>
        <v>17063.939881608021</v>
      </c>
      <c r="D33" s="228">
        <f>'AGG DM ASIA'!D33+'W.EUR AGG'!D33/Prices!$F$155+'US AGG'!D33</f>
        <v>23104.752346087349</v>
      </c>
      <c r="E33" s="228">
        <f>'AGG DM ASIA'!E33+'W.EUR AGG'!E33/Prices!$F$155+'US AGG'!E33</f>
        <v>25319.820408345535</v>
      </c>
      <c r="F33" s="228">
        <f>'AGG DM ASIA'!F33+'W.EUR AGG'!F33/Prices!$F$155+'US AGG'!F33</f>
        <v>24322.320395342591</v>
      </c>
      <c r="G33" s="228">
        <f>'AGG DM ASIA'!G33+'W.EUR AGG'!G33/Prices!$F$155+'US AGG'!G33</f>
        <v>23050.535276285336</v>
      </c>
      <c r="H33" s="279">
        <f t="shared" si="0"/>
        <v>-7.8280480323500434E-4</v>
      </c>
      <c r="I33" s="49"/>
      <c r="J33" s="254"/>
      <c r="K33" s="254"/>
      <c r="L33" s="254"/>
      <c r="M33" s="254"/>
      <c r="N33" s="254"/>
      <c r="O33" s="251"/>
      <c r="Q33" s="5"/>
      <c r="S33" s="42"/>
      <c r="T33" s="42"/>
      <c r="U33" s="42"/>
      <c r="V33" s="147" t="s">
        <v>581</v>
      </c>
      <c r="W33" s="288">
        <f>M19/E47</f>
        <v>0.68299553080927267</v>
      </c>
      <c r="X33" s="288">
        <v>1</v>
      </c>
      <c r="Y33" s="288"/>
      <c r="Z33" s="288"/>
      <c r="AA33" s="42"/>
      <c r="AC33" s="10"/>
      <c r="AD33" s="10"/>
      <c r="AE33" s="10"/>
      <c r="AF33" s="10"/>
      <c r="AH33" s="10"/>
      <c r="AI33" s="10"/>
      <c r="AJ33" s="10"/>
      <c r="AK33" s="10"/>
      <c r="AM33" s="10"/>
      <c r="AN33" s="10"/>
      <c r="AO33" s="10"/>
      <c r="AP33" s="10"/>
    </row>
    <row r="34" spans="2:42">
      <c r="H34" s="277"/>
      <c r="I34" s="254"/>
      <c r="J34" s="254"/>
      <c r="K34" s="254"/>
      <c r="L34" s="254"/>
      <c r="M34" s="254"/>
      <c r="N34" s="254"/>
      <c r="O34" s="251"/>
      <c r="Q34" s="5"/>
      <c r="S34" s="42"/>
      <c r="T34" s="42"/>
      <c r="U34" s="42"/>
      <c r="V34" s="42"/>
      <c r="W34" s="42"/>
      <c r="X34" s="42"/>
      <c r="Y34" s="288"/>
      <c r="Z34" s="288"/>
      <c r="AA34" s="42"/>
      <c r="AC34" s="10"/>
      <c r="AD34" s="10"/>
      <c r="AE34" s="10"/>
      <c r="AF34" s="10"/>
      <c r="AH34" s="10"/>
      <c r="AI34" s="10"/>
      <c r="AJ34" s="10"/>
      <c r="AK34" s="10"/>
      <c r="AM34" s="10"/>
      <c r="AN34" s="10"/>
      <c r="AO34" s="10"/>
      <c r="AP34" s="10"/>
    </row>
    <row r="35" spans="2:42" ht="12.6" thickBot="1">
      <c r="B35" s="306" t="s">
        <v>285</v>
      </c>
      <c r="C35" s="265"/>
      <c r="D35" s="265" t="str">
        <f>D5</f>
        <v>2023E</v>
      </c>
      <c r="E35" s="265" t="str">
        <f>E5</f>
        <v>2024E</v>
      </c>
      <c r="F35" s="265" t="str">
        <f>F5</f>
        <v>2025E</v>
      </c>
      <c r="G35" s="265" t="str">
        <f>G5</f>
        <v>2026E</v>
      </c>
      <c r="H35" s="265" t="str">
        <f>H5</f>
        <v>23E-26E</v>
      </c>
      <c r="I35" s="17"/>
      <c r="J35" s="5"/>
      <c r="K35" s="5"/>
      <c r="L35" s="5"/>
      <c r="M35" s="5"/>
      <c r="N35" s="5"/>
      <c r="O35" s="5"/>
      <c r="Q35" s="5"/>
      <c r="S35" s="42"/>
      <c r="T35" s="42"/>
      <c r="U35" s="42"/>
      <c r="V35" s="42"/>
      <c r="W35" s="42"/>
      <c r="X35" s="42"/>
      <c r="Y35" s="288"/>
      <c r="Z35" s="288"/>
      <c r="AA35" s="42"/>
      <c r="AC35" s="10"/>
      <c r="AD35" s="10"/>
      <c r="AE35" s="10"/>
      <c r="AF35" s="10"/>
      <c r="AH35" s="10"/>
      <c r="AI35" s="10"/>
      <c r="AJ35" s="10"/>
      <c r="AK35" s="10"/>
      <c r="AM35" s="10"/>
      <c r="AN35" s="10"/>
      <c r="AO35" s="10"/>
      <c r="AP35" s="10"/>
    </row>
    <row r="36" spans="2:42" ht="12.6" thickTop="1">
      <c r="B36" s="41"/>
      <c r="C36" s="249"/>
      <c r="D36" s="254"/>
      <c r="E36" s="254"/>
      <c r="F36" s="254"/>
      <c r="G36" s="254"/>
      <c r="H36" s="254"/>
      <c r="I36" s="5"/>
      <c r="J36" s="49"/>
      <c r="K36" s="49"/>
      <c r="L36" s="49"/>
      <c r="M36" s="49"/>
      <c r="N36" s="49"/>
      <c r="O36" s="49"/>
      <c r="Q36" s="5"/>
      <c r="R36" s="5"/>
      <c r="S36" s="42"/>
      <c r="T36" s="42"/>
      <c r="U36" s="42"/>
      <c r="V36" s="42"/>
      <c r="W36" s="42"/>
      <c r="X36" s="42"/>
      <c r="Y36" s="42"/>
      <c r="Z36" s="42"/>
      <c r="AA36" s="42"/>
      <c r="AC36" s="10"/>
      <c r="AD36" s="10"/>
      <c r="AE36" s="10"/>
      <c r="AF36" s="10"/>
      <c r="AH36" s="10"/>
      <c r="AI36" s="10"/>
      <c r="AJ36" s="10"/>
      <c r="AK36" s="10"/>
      <c r="AM36" s="10"/>
      <c r="AN36" s="10"/>
      <c r="AO36" s="10"/>
      <c r="AP36" s="10"/>
    </row>
    <row r="37" spans="2:42">
      <c r="B37" s="5" t="s">
        <v>273</v>
      </c>
      <c r="C37" s="247"/>
      <c r="D37" s="557">
        <f>D$18/D23</f>
        <v>2.329412469433874</v>
      </c>
      <c r="E37" s="557">
        <f t="shared" ref="D37:G41" si="2">E$18/E23</f>
        <v>2.207031841456474</v>
      </c>
      <c r="F37" s="557">
        <f t="shared" si="2"/>
        <v>2.0665364578686574</v>
      </c>
      <c r="G37" s="557">
        <f t="shared" si="2"/>
        <v>1.9167412853037995</v>
      </c>
      <c r="H37" s="17">
        <f t="shared" ref="H37:H45" si="3">H23</f>
        <v>1.9501934659983178E-2</v>
      </c>
      <c r="I37" s="259"/>
      <c r="J37" s="259"/>
      <c r="K37" s="259"/>
      <c r="L37" s="259"/>
      <c r="M37" s="259"/>
      <c r="N37" s="259"/>
      <c r="O37" s="18"/>
      <c r="Q37" s="5"/>
      <c r="R37" s="5"/>
      <c r="S37" s="42"/>
      <c r="T37" s="42"/>
      <c r="U37" s="42"/>
      <c r="V37" s="42"/>
      <c r="W37" s="42"/>
      <c r="X37" s="42"/>
      <c r="Y37" s="42"/>
      <c r="Z37" s="42"/>
      <c r="AA37" s="42"/>
      <c r="AC37" s="10"/>
      <c r="AD37" s="10"/>
      <c r="AE37" s="10"/>
      <c r="AF37" s="10"/>
      <c r="AH37" s="10"/>
      <c r="AI37" s="10"/>
      <c r="AJ37" s="10"/>
      <c r="AK37" s="10"/>
      <c r="AM37" s="10"/>
      <c r="AN37" s="10"/>
      <c r="AO37" s="10"/>
      <c r="AP37" s="10"/>
    </row>
    <row r="38" spans="2:42">
      <c r="B38" s="5" t="s">
        <v>184</v>
      </c>
      <c r="C38" s="247"/>
      <c r="D38" s="557">
        <f t="shared" si="2"/>
        <v>7.0841879802792365</v>
      </c>
      <c r="E38" s="557">
        <f t="shared" si="2"/>
        <v>6.5876114702803505</v>
      </c>
      <c r="F38" s="557">
        <f t="shared" si="2"/>
        <v>6.0864198915332164</v>
      </c>
      <c r="G38" s="557">
        <f t="shared" si="2"/>
        <v>5.5767680131537691</v>
      </c>
      <c r="H38" s="17">
        <f t="shared" si="3"/>
        <v>3.4656651554389573E-2</v>
      </c>
      <c r="I38" s="17"/>
      <c r="J38" s="17"/>
      <c r="K38" s="17"/>
      <c r="L38" s="17"/>
      <c r="M38" s="17"/>
      <c r="N38" s="17"/>
      <c r="O38" s="5"/>
      <c r="Q38" s="5"/>
      <c r="R38" s="5"/>
      <c r="S38" s="42"/>
      <c r="T38" s="42"/>
      <c r="U38" s="42"/>
      <c r="V38" s="42"/>
      <c r="W38" s="42"/>
      <c r="X38" s="42"/>
      <c r="Y38" s="42"/>
      <c r="Z38" s="42"/>
      <c r="AA38" s="42"/>
    </row>
    <row r="39" spans="2:42">
      <c r="B39" s="5" t="s">
        <v>185</v>
      </c>
      <c r="C39" s="247"/>
      <c r="D39" s="557">
        <f t="shared" si="2"/>
        <v>13.53328960256645</v>
      </c>
      <c r="E39" s="557">
        <f t="shared" si="2"/>
        <v>11.493643628277713</v>
      </c>
      <c r="F39" s="557">
        <f t="shared" si="2"/>
        <v>10.264735122504899</v>
      </c>
      <c r="G39" s="557">
        <f t="shared" si="2"/>
        <v>9.0451770938503948</v>
      </c>
      <c r="H39" s="17">
        <f t="shared" si="3"/>
        <v>9.2670425427640479E-2</v>
      </c>
      <c r="I39" s="5"/>
      <c r="J39" s="5"/>
      <c r="K39" s="5"/>
      <c r="L39" s="5"/>
      <c r="M39" s="5"/>
      <c r="N39" s="5"/>
      <c r="O39" s="5"/>
      <c r="Q39" s="5"/>
      <c r="R39" s="5"/>
      <c r="S39" s="42"/>
      <c r="T39" s="42"/>
      <c r="U39" s="42"/>
      <c r="V39" s="42"/>
      <c r="W39" s="288"/>
      <c r="X39" s="288"/>
      <c r="Y39" s="42"/>
      <c r="Z39" s="42"/>
      <c r="AA39" s="42"/>
    </row>
    <row r="40" spans="2:42">
      <c r="B40" s="5" t="s">
        <v>466</v>
      </c>
      <c r="C40" s="247"/>
      <c r="D40" s="557">
        <f t="shared" si="2"/>
        <v>19.213286909010346</v>
      </c>
      <c r="E40" s="557">
        <f t="shared" si="2"/>
        <v>16.347188206412962</v>
      </c>
      <c r="F40" s="557">
        <f t="shared" si="2"/>
        <v>14.618845003714046</v>
      </c>
      <c r="G40" s="557">
        <f t="shared" si="2"/>
        <v>12.840265625641983</v>
      </c>
      <c r="H40" s="17">
        <f t="shared" si="3"/>
        <v>9.2705111729584289E-2</v>
      </c>
      <c r="I40" s="247"/>
      <c r="J40" s="259"/>
      <c r="K40" s="259"/>
      <c r="L40" s="259"/>
      <c r="M40" s="259"/>
      <c r="N40" s="259"/>
      <c r="O40" s="18"/>
      <c r="Q40" s="5"/>
      <c r="R40" s="5"/>
      <c r="S40" s="42"/>
      <c r="T40" s="42"/>
      <c r="U40" s="42"/>
      <c r="V40" s="42"/>
      <c r="W40" s="288"/>
      <c r="X40" s="288"/>
      <c r="Y40" s="288"/>
      <c r="Z40" s="288"/>
      <c r="AA40" s="42"/>
    </row>
    <row r="41" spans="2:42">
      <c r="B41" s="5" t="s">
        <v>530</v>
      </c>
      <c r="C41" s="247"/>
      <c r="D41" s="557">
        <f t="shared" si="2"/>
        <v>1.3514515540183685</v>
      </c>
      <c r="E41" s="557">
        <f t="shared" si="2"/>
        <v>1.4007532435377124</v>
      </c>
      <c r="F41" s="557">
        <f t="shared" si="2"/>
        <v>1.3363938049874495</v>
      </c>
      <c r="G41" s="557">
        <f t="shared" si="2"/>
        <v>1.2739776448559783</v>
      </c>
      <c r="H41" s="17">
        <f t="shared" si="3"/>
        <v>-2.5668717959517307E-2</v>
      </c>
      <c r="I41" s="248"/>
      <c r="J41" s="17"/>
      <c r="K41" s="17"/>
      <c r="L41" s="17"/>
      <c r="M41" s="17"/>
      <c r="N41" s="17"/>
      <c r="O41" s="5"/>
      <c r="Q41" s="5"/>
      <c r="R41" s="5"/>
      <c r="S41" s="42"/>
      <c r="T41" s="42"/>
      <c r="U41" s="42"/>
      <c r="V41" s="42"/>
      <c r="W41" s="288"/>
      <c r="X41" s="288"/>
      <c r="Y41" s="288"/>
      <c r="Z41" s="288"/>
      <c r="AA41" s="42"/>
    </row>
    <row r="42" spans="2:42">
      <c r="B42" s="5" t="s">
        <v>593</v>
      </c>
      <c r="C42" s="247"/>
      <c r="D42" s="557">
        <f>D18/D28</f>
        <v>3.3000460374957705</v>
      </c>
      <c r="E42" s="557">
        <f>E18/E28</f>
        <v>3.1838124862642916</v>
      </c>
      <c r="F42" s="557">
        <f>F18/F28</f>
        <v>3.0594658370749888</v>
      </c>
      <c r="G42" s="557">
        <f>G18/G28</f>
        <v>2.9412325385033187</v>
      </c>
      <c r="H42" s="17">
        <f t="shared" si="3"/>
        <v>-7.2864107786076993E-3</v>
      </c>
      <c r="I42" s="247"/>
      <c r="J42" s="5"/>
      <c r="K42" s="5"/>
      <c r="L42" s="5"/>
      <c r="M42" s="5"/>
      <c r="N42" s="5"/>
      <c r="O42" s="5"/>
      <c r="Q42" s="5"/>
      <c r="R42" s="5"/>
      <c r="S42" s="42"/>
      <c r="T42" s="42"/>
      <c r="U42" s="42"/>
      <c r="V42" s="42"/>
      <c r="W42" s="288"/>
      <c r="X42" s="288"/>
      <c r="Y42" s="288"/>
      <c r="Z42" s="288"/>
      <c r="AA42" s="42"/>
    </row>
    <row r="43" spans="2:42">
      <c r="B43" s="5" t="s">
        <v>475</v>
      </c>
      <c r="C43" s="247"/>
      <c r="D43" s="557">
        <f>L26/D29</f>
        <v>11.806292254184493</v>
      </c>
      <c r="E43" s="557">
        <f>M26/E29</f>
        <v>10.8479727708929</v>
      </c>
      <c r="F43" s="557">
        <f>N26/F29</f>
        <v>9.79850588673491</v>
      </c>
      <c r="G43" s="557">
        <f>O26/G29</f>
        <v>8.8149149732476211</v>
      </c>
      <c r="H43" s="17">
        <f t="shared" si="3"/>
        <v>7.171679530370545E-2</v>
      </c>
      <c r="I43" s="247"/>
      <c r="J43" s="247"/>
      <c r="K43" s="247"/>
      <c r="L43" s="247"/>
      <c r="M43" s="247"/>
      <c r="N43" s="247"/>
      <c r="O43" s="18"/>
      <c r="Q43" s="5"/>
      <c r="R43" s="5"/>
      <c r="S43" s="42"/>
      <c r="T43" s="42"/>
      <c r="U43" s="42"/>
      <c r="V43" s="42"/>
      <c r="W43" s="325"/>
      <c r="X43" s="325"/>
      <c r="Y43" s="288"/>
      <c r="Z43" s="288"/>
      <c r="AA43" s="42"/>
    </row>
    <row r="44" spans="2:42">
      <c r="B44" s="5" t="s">
        <v>533</v>
      </c>
      <c r="C44" s="69"/>
      <c r="D44" s="557">
        <f>D11/D30</f>
        <v>13.624604105346204</v>
      </c>
      <c r="E44" s="557">
        <f>E11/E30</f>
        <v>12.503028582967529</v>
      </c>
      <c r="F44" s="557">
        <f>F11/F30</f>
        <v>11.302702719097406</v>
      </c>
      <c r="G44" s="557">
        <f>G11/G30</f>
        <v>10.160048566687355</v>
      </c>
      <c r="H44" s="17">
        <f t="shared" si="3"/>
        <v>7.6119307301105277E-2</v>
      </c>
      <c r="I44" s="248"/>
      <c r="J44" s="248"/>
      <c r="K44" s="248"/>
      <c r="L44" s="248"/>
      <c r="M44" s="248"/>
      <c r="N44" s="248"/>
      <c r="O44" s="248"/>
      <c r="Q44" s="5"/>
      <c r="R44" s="5"/>
      <c r="S44" s="42"/>
      <c r="T44" s="42"/>
      <c r="U44" s="42"/>
      <c r="V44" s="42"/>
      <c r="W44" s="42"/>
      <c r="X44" s="42"/>
      <c r="Y44" s="325"/>
      <c r="Z44" s="325"/>
      <c r="AA44" s="42"/>
    </row>
    <row r="45" spans="2:42">
      <c r="B45" s="5" t="s">
        <v>580</v>
      </c>
      <c r="C45" s="247"/>
      <c r="D45" s="248">
        <f>D31/D11</f>
        <v>3.8692911642747754E-2</v>
      </c>
      <c r="E45" s="248">
        <f>E31/E11</f>
        <v>4.3419291969220015E-2</v>
      </c>
      <c r="F45" s="248">
        <f>F31/F11</f>
        <v>4.6126321738259798E-2</v>
      </c>
      <c r="G45" s="248">
        <f>G31/G11</f>
        <v>4.9423675586152439E-2</v>
      </c>
      <c r="H45" s="17">
        <f t="shared" si="3"/>
        <v>5.8812184463164385E-2</v>
      </c>
      <c r="I45" s="247"/>
      <c r="J45" s="247"/>
      <c r="K45" s="247"/>
      <c r="L45" s="247"/>
      <c r="M45" s="247"/>
      <c r="N45" s="247"/>
      <c r="O45" s="248"/>
      <c r="Q45" s="5"/>
      <c r="R45" s="5"/>
      <c r="S45" s="42"/>
      <c r="T45" s="42"/>
      <c r="U45" s="42"/>
      <c r="V45" s="42"/>
      <c r="W45" s="42"/>
      <c r="X45" s="42"/>
      <c r="Y45" s="42"/>
      <c r="Z45" s="42"/>
      <c r="AA45" s="326"/>
      <c r="AB45" s="303"/>
    </row>
    <row r="46" spans="2:42">
      <c r="B46" s="5" t="s">
        <v>605</v>
      </c>
      <c r="C46" s="247"/>
      <c r="D46" s="248">
        <f>(D31+D32)/D11</f>
        <v>5.5339609483801136E-2</v>
      </c>
      <c r="E46" s="248">
        <f>(E31+E32)/E11</f>
        <v>7.6500460251698113E-2</v>
      </c>
      <c r="F46" s="248">
        <f>(F31+F32)/F11</f>
        <v>8.0311545489538158E-2</v>
      </c>
      <c r="G46" s="248">
        <f>(G31+G32)/G11</f>
        <v>9.1977124183415609E-2</v>
      </c>
      <c r="H46" s="279">
        <f>((G31+G32)/(D31+D32))^(1/3)-1</f>
        <v>0.15593203466037919</v>
      </c>
      <c r="I46" s="17"/>
      <c r="J46" s="247"/>
      <c r="K46" s="247"/>
      <c r="L46" s="247"/>
      <c r="M46" s="247"/>
      <c r="N46" s="247"/>
      <c r="O46" s="18"/>
      <c r="Q46" s="5"/>
      <c r="R46" s="5"/>
      <c r="S46" s="42"/>
      <c r="T46" s="42"/>
      <c r="U46" s="42"/>
      <c r="V46" s="42"/>
      <c r="W46" s="42"/>
      <c r="X46" s="42"/>
      <c r="Y46" s="42"/>
      <c r="Z46" s="42"/>
      <c r="AA46" s="326"/>
      <c r="AB46" s="303"/>
    </row>
    <row r="47" spans="2:42">
      <c r="B47" s="5" t="s">
        <v>581</v>
      </c>
      <c r="C47" s="5"/>
      <c r="D47" s="248">
        <f>1/D43</f>
        <v>8.4700596806382714E-2</v>
      </c>
      <c r="E47" s="248">
        <f>1/E43</f>
        <v>9.2183122240422966E-2</v>
      </c>
      <c r="F47" s="248">
        <f>1/F43</f>
        <v>0.10205637589642999</v>
      </c>
      <c r="G47" s="248">
        <f>1/G43</f>
        <v>0.11344408914151745</v>
      </c>
      <c r="H47" s="17">
        <f>H29</f>
        <v>7.171679530370545E-2</v>
      </c>
      <c r="I47" s="247"/>
      <c r="J47" s="248"/>
      <c r="K47" s="248"/>
      <c r="L47" s="248"/>
      <c r="M47" s="248"/>
      <c r="N47" s="248"/>
      <c r="O47" s="248"/>
      <c r="Q47" s="5"/>
      <c r="R47" s="5"/>
      <c r="S47" s="5"/>
      <c r="T47" s="5"/>
      <c r="U47" s="5"/>
      <c r="AA47" s="303"/>
      <c r="AB47" s="303"/>
    </row>
    <row r="48" spans="2:42">
      <c r="B48" s="5" t="s">
        <v>618</v>
      </c>
      <c r="C48" s="5"/>
      <c r="D48" s="305">
        <f>D31/D29</f>
        <v>0.45770628705874244</v>
      </c>
      <c r="E48" s="305">
        <f>E31/E29</f>
        <v>0.47291165163323612</v>
      </c>
      <c r="F48" s="305">
        <f>F31/F29</f>
        <v>0.45515009617149715</v>
      </c>
      <c r="G48" s="305">
        <f>G31/G29</f>
        <v>0.44137076019918969</v>
      </c>
      <c r="H48" s="17" t="s">
        <v>607</v>
      </c>
      <c r="I48" s="259"/>
      <c r="J48" s="247"/>
      <c r="K48" s="247"/>
      <c r="L48" s="247"/>
      <c r="M48" s="247"/>
      <c r="N48" s="247"/>
      <c r="O48" s="248"/>
      <c r="Q48" s="5"/>
      <c r="R48" s="5"/>
      <c r="S48" s="5"/>
      <c r="T48" s="5"/>
      <c r="U48" s="5"/>
      <c r="AA48" s="303"/>
      <c r="AB48" s="303"/>
    </row>
    <row r="49" spans="2:28">
      <c r="B49" s="41"/>
      <c r="C49" s="17"/>
      <c r="D49" s="17"/>
      <c r="E49" s="17"/>
      <c r="F49" s="17"/>
      <c r="G49" s="17"/>
      <c r="H49" s="17"/>
      <c r="I49" s="17"/>
      <c r="J49" s="17"/>
      <c r="K49" s="17"/>
      <c r="L49" s="17"/>
      <c r="M49" s="17"/>
      <c r="N49" s="17"/>
      <c r="O49" s="248"/>
      <c r="Q49" s="5"/>
      <c r="R49" s="5"/>
      <c r="S49" s="5"/>
      <c r="T49" s="5"/>
      <c r="U49" s="5"/>
      <c r="W49" s="10"/>
      <c r="X49" s="10"/>
      <c r="AA49" s="303"/>
      <c r="AB49" s="303"/>
    </row>
    <row r="50" spans="2:28">
      <c r="B50" s="5"/>
      <c r="C50" s="257"/>
      <c r="D50" s="257"/>
      <c r="E50" s="257"/>
      <c r="F50" s="5"/>
      <c r="G50" s="41"/>
      <c r="H50" s="249"/>
      <c r="I50" s="259"/>
      <c r="J50" s="249"/>
      <c r="K50" s="249"/>
      <c r="L50" s="249"/>
      <c r="M50" s="249"/>
      <c r="N50" s="249"/>
      <c r="O50" s="250"/>
      <c r="Q50" s="5"/>
      <c r="R50" s="5"/>
      <c r="S50" s="5"/>
      <c r="T50" s="5"/>
      <c r="U50" s="5"/>
      <c r="W50" s="10"/>
      <c r="X50" s="10"/>
      <c r="Y50" s="10"/>
      <c r="Z50" s="10"/>
    </row>
    <row r="51" spans="2:28">
      <c r="B51" s="41"/>
      <c r="C51" s="249"/>
      <c r="D51" s="254"/>
      <c r="E51" s="254"/>
      <c r="F51" s="254"/>
      <c r="G51" s="254"/>
      <c r="H51" s="254"/>
      <c r="I51" s="254"/>
      <c r="J51" s="254"/>
      <c r="K51" s="254"/>
      <c r="L51" s="254"/>
      <c r="M51" s="254"/>
      <c r="N51" s="254"/>
      <c r="O51" s="251"/>
      <c r="Q51" s="5"/>
      <c r="R51" s="5"/>
      <c r="S51" s="5"/>
      <c r="T51" s="5"/>
      <c r="U51" s="5"/>
      <c r="Y51" s="10"/>
      <c r="Z51" s="10"/>
    </row>
    <row r="52" spans="2:28">
      <c r="B52" s="5"/>
      <c r="C52" s="257"/>
      <c r="D52" s="17"/>
      <c r="E52" s="17"/>
      <c r="F52" s="17"/>
      <c r="G52" s="17"/>
      <c r="H52" s="17"/>
      <c r="I52" s="17"/>
      <c r="J52" s="17"/>
      <c r="K52" s="17"/>
      <c r="L52" s="17"/>
      <c r="M52" s="17"/>
      <c r="N52" s="17"/>
      <c r="O52" s="248"/>
      <c r="Q52" s="5"/>
      <c r="R52" s="5"/>
      <c r="S52" s="5"/>
      <c r="T52" s="5"/>
      <c r="U52" s="5"/>
    </row>
    <row r="53" spans="2:28">
      <c r="B53" s="5"/>
      <c r="C53" s="257"/>
      <c r="D53" s="257"/>
      <c r="E53" s="257"/>
      <c r="F53" s="5"/>
      <c r="G53" s="5"/>
      <c r="H53" s="259"/>
      <c r="I53" s="259"/>
      <c r="J53" s="259"/>
      <c r="K53" s="259"/>
      <c r="L53" s="259"/>
      <c r="M53" s="259"/>
      <c r="N53" s="259"/>
      <c r="O53" s="18"/>
      <c r="Q53" s="5"/>
      <c r="R53" s="5"/>
      <c r="S53" s="5"/>
      <c r="T53" s="5"/>
      <c r="U53" s="5"/>
    </row>
    <row r="54" spans="2:28">
      <c r="B54" s="41"/>
      <c r="C54" s="249"/>
      <c r="D54" s="254"/>
      <c r="E54" s="254"/>
      <c r="F54" s="254"/>
      <c r="G54" s="254"/>
      <c r="H54" s="254"/>
      <c r="I54" s="249"/>
      <c r="J54" s="17"/>
      <c r="K54" s="17"/>
      <c r="L54" s="17"/>
      <c r="M54" s="17"/>
      <c r="N54" s="17"/>
      <c r="O54" s="18"/>
      <c r="Q54" s="5"/>
      <c r="R54" s="5"/>
      <c r="S54" s="5"/>
      <c r="T54" s="5"/>
      <c r="U54" s="5"/>
    </row>
    <row r="55" spans="2:28">
      <c r="B55" s="5"/>
      <c r="C55" s="257"/>
      <c r="D55" s="17"/>
      <c r="E55" s="17"/>
      <c r="F55" s="17"/>
      <c r="G55" s="17"/>
      <c r="H55" s="17"/>
      <c r="I55" s="248"/>
      <c r="J55" s="259"/>
      <c r="K55" s="259"/>
      <c r="L55" s="259"/>
      <c r="M55" s="259"/>
      <c r="N55" s="259"/>
      <c r="O55" s="18"/>
      <c r="Q55" s="5"/>
      <c r="R55" s="5"/>
      <c r="S55" s="5"/>
      <c r="T55" s="5"/>
      <c r="U55" s="5"/>
    </row>
    <row r="56" spans="2:28">
      <c r="B56" s="5"/>
      <c r="C56" s="248"/>
      <c r="D56" s="248"/>
      <c r="E56" s="248"/>
      <c r="F56" s="5"/>
      <c r="G56" s="5"/>
      <c r="H56" s="259"/>
      <c r="I56" s="5"/>
      <c r="J56" s="249"/>
      <c r="K56" s="249"/>
      <c r="L56" s="249"/>
      <c r="M56" s="249"/>
      <c r="N56" s="249"/>
      <c r="O56" s="251"/>
      <c r="Q56" s="5"/>
      <c r="R56" s="5"/>
      <c r="S56" s="5"/>
      <c r="T56" s="5"/>
      <c r="U56" s="5"/>
    </row>
    <row r="57" spans="2:28">
      <c r="B57" s="41"/>
      <c r="C57" s="249"/>
      <c r="D57" s="249"/>
      <c r="E57" s="249"/>
      <c r="F57" s="249"/>
      <c r="G57" s="249"/>
      <c r="H57" s="249"/>
      <c r="I57" s="17"/>
      <c r="J57" s="248"/>
      <c r="K57" s="248"/>
      <c r="L57" s="248"/>
      <c r="M57" s="248"/>
      <c r="N57" s="248"/>
      <c r="O57" s="18"/>
      <c r="Q57" s="5"/>
      <c r="R57" s="5"/>
      <c r="S57" s="5"/>
      <c r="T57" s="5"/>
      <c r="U57" s="5"/>
    </row>
    <row r="58" spans="2:28">
      <c r="B58" s="5"/>
      <c r="C58" s="5"/>
      <c r="D58" s="248"/>
      <c r="E58" s="248"/>
      <c r="F58" s="248"/>
      <c r="G58" s="248"/>
      <c r="H58" s="248"/>
      <c r="I58" s="5"/>
      <c r="J58" s="5"/>
      <c r="K58" s="5"/>
      <c r="L58" s="5"/>
      <c r="M58" s="5"/>
      <c r="N58" s="5"/>
      <c r="O58" s="5"/>
      <c r="Q58" s="5"/>
      <c r="R58" s="5"/>
      <c r="S58" s="5"/>
      <c r="T58" s="5"/>
      <c r="U58" s="5"/>
    </row>
    <row r="59" spans="2:28">
      <c r="B59" s="5"/>
      <c r="C59" s="5"/>
      <c r="D59" s="5"/>
      <c r="E59" s="5"/>
      <c r="F59" s="5"/>
      <c r="G59" s="5"/>
      <c r="H59" s="5"/>
      <c r="I59" s="249"/>
      <c r="J59" s="17"/>
      <c r="K59" s="17"/>
      <c r="L59" s="17"/>
      <c r="M59" s="17"/>
      <c r="N59" s="17"/>
      <c r="O59" s="251"/>
      <c r="Q59" s="5"/>
      <c r="R59" s="5"/>
      <c r="S59" s="5"/>
      <c r="T59" s="5"/>
      <c r="U59" s="5"/>
    </row>
    <row r="60" spans="2:28">
      <c r="B60" s="41"/>
      <c r="C60" s="17"/>
      <c r="D60" s="17"/>
      <c r="E60" s="17"/>
      <c r="F60" s="17"/>
      <c r="G60" s="17"/>
      <c r="H60" s="17"/>
      <c r="I60" s="5"/>
      <c r="J60" s="5"/>
      <c r="K60" s="5"/>
      <c r="L60" s="5"/>
      <c r="M60" s="5"/>
      <c r="N60" s="5"/>
      <c r="O60" s="5"/>
      <c r="Q60" s="41"/>
      <c r="R60" s="5"/>
      <c r="S60" s="5"/>
      <c r="T60" s="5"/>
      <c r="U60" s="5"/>
    </row>
    <row r="61" spans="2:28">
      <c r="B61" s="5"/>
      <c r="C61" s="5"/>
      <c r="D61" s="5"/>
      <c r="E61" s="5"/>
      <c r="F61" s="5"/>
      <c r="G61" s="5"/>
      <c r="H61" s="5"/>
      <c r="I61" s="5"/>
      <c r="J61" s="249"/>
      <c r="K61" s="249"/>
      <c r="L61" s="249"/>
      <c r="M61" s="249"/>
      <c r="N61" s="249"/>
      <c r="O61" s="251"/>
      <c r="Q61" s="5"/>
      <c r="R61" s="5"/>
      <c r="S61" s="5"/>
      <c r="T61" s="5"/>
      <c r="U61" s="5"/>
    </row>
    <row r="62" spans="2:28">
      <c r="B62" s="41"/>
      <c r="C62" s="249"/>
      <c r="D62" s="249"/>
      <c r="E62" s="249"/>
      <c r="F62" s="249"/>
      <c r="G62" s="249"/>
      <c r="H62" s="249"/>
      <c r="I62" s="254"/>
      <c r="J62" s="5"/>
      <c r="K62" s="5"/>
      <c r="L62" s="5"/>
      <c r="M62" s="5"/>
      <c r="N62" s="5"/>
      <c r="O62" s="5"/>
      <c r="Q62" s="5"/>
      <c r="R62" s="5"/>
      <c r="S62" s="5"/>
      <c r="T62" s="5"/>
      <c r="U62" s="5"/>
    </row>
    <row r="63" spans="2:28">
      <c r="B63" s="5"/>
      <c r="C63" s="5"/>
      <c r="D63" s="5"/>
      <c r="E63" s="5"/>
      <c r="F63" s="5"/>
      <c r="G63" s="5"/>
      <c r="H63" s="5"/>
      <c r="I63" s="17"/>
      <c r="J63" s="5"/>
      <c r="K63" s="5"/>
      <c r="L63" s="5"/>
      <c r="M63" s="5"/>
      <c r="N63" s="5"/>
      <c r="O63" s="5"/>
      <c r="Q63" s="5"/>
      <c r="R63" s="5"/>
      <c r="S63" s="5"/>
      <c r="T63" s="5"/>
      <c r="U63" s="5"/>
    </row>
    <row r="64" spans="2:28">
      <c r="B64" s="5"/>
      <c r="C64" s="5"/>
      <c r="D64" s="5"/>
      <c r="E64" s="5"/>
      <c r="F64" s="5"/>
      <c r="G64" s="5"/>
      <c r="H64" s="5"/>
      <c r="I64" s="254"/>
      <c r="J64" s="254"/>
      <c r="K64" s="254"/>
      <c r="L64" s="254"/>
      <c r="M64" s="254"/>
      <c r="N64" s="254"/>
      <c r="O64" s="251"/>
      <c r="Q64" s="5"/>
      <c r="R64" s="5"/>
      <c r="S64" s="5"/>
      <c r="T64" s="5"/>
      <c r="U64" s="5"/>
    </row>
    <row r="65" spans="2:26">
      <c r="B65" s="41"/>
      <c r="C65" s="249"/>
      <c r="D65" s="254"/>
      <c r="E65" s="254"/>
      <c r="F65" s="254"/>
      <c r="G65" s="254"/>
      <c r="H65" s="254"/>
      <c r="I65" s="248"/>
      <c r="J65" s="17"/>
      <c r="K65" s="17"/>
      <c r="L65" s="17"/>
      <c r="M65" s="17"/>
      <c r="N65" s="17"/>
      <c r="O65" s="5"/>
      <c r="Q65" s="5"/>
      <c r="R65" s="5"/>
      <c r="S65" s="5"/>
      <c r="T65" s="5"/>
      <c r="U65" s="5"/>
    </row>
    <row r="66" spans="2:26">
      <c r="B66" s="5"/>
      <c r="C66" s="5"/>
      <c r="D66" s="17"/>
      <c r="E66" s="17"/>
      <c r="F66" s="17"/>
      <c r="G66" s="17"/>
      <c r="H66" s="17"/>
      <c r="I66" s="5"/>
      <c r="J66" s="254"/>
      <c r="K66" s="254"/>
      <c r="L66" s="254"/>
      <c r="M66" s="254"/>
      <c r="N66" s="254"/>
      <c r="O66" s="251"/>
      <c r="Q66" s="41"/>
      <c r="R66" s="5"/>
      <c r="S66" s="5"/>
      <c r="T66" s="5"/>
      <c r="U66" s="5"/>
    </row>
    <row r="67" spans="2:26">
      <c r="B67" s="41"/>
      <c r="C67" s="249"/>
      <c r="D67" s="254"/>
      <c r="E67" s="254"/>
      <c r="F67" s="254"/>
      <c r="G67" s="254"/>
      <c r="H67" s="254"/>
      <c r="I67" s="245"/>
      <c r="J67" s="248"/>
      <c r="K67" s="248"/>
      <c r="L67" s="248"/>
      <c r="M67" s="248"/>
      <c r="N67" s="248"/>
      <c r="O67" s="5"/>
      <c r="Q67" s="5"/>
      <c r="R67" s="5"/>
      <c r="S67" s="5"/>
      <c r="T67" s="5"/>
      <c r="U67" s="5"/>
    </row>
    <row r="68" spans="2:26">
      <c r="B68" s="5"/>
      <c r="C68" s="5"/>
      <c r="D68" s="248"/>
      <c r="E68" s="248"/>
      <c r="F68" s="248"/>
      <c r="G68" s="248"/>
      <c r="H68" s="248"/>
      <c r="I68" s="248"/>
      <c r="J68" s="5"/>
      <c r="K68" s="5"/>
      <c r="L68" s="5"/>
      <c r="M68" s="5"/>
      <c r="N68" s="5"/>
      <c r="O68" s="5"/>
      <c r="Q68" s="5"/>
      <c r="R68" s="5"/>
      <c r="S68" s="5"/>
      <c r="T68" s="5"/>
      <c r="U68" s="5"/>
    </row>
    <row r="69" spans="2:26">
      <c r="B69" s="41"/>
      <c r="C69" s="5"/>
      <c r="D69" s="5"/>
      <c r="E69" s="5"/>
      <c r="F69" s="5"/>
      <c r="G69" s="5"/>
      <c r="H69" s="5"/>
      <c r="I69" s="5"/>
      <c r="J69" s="245"/>
      <c r="K69" s="245"/>
      <c r="L69" s="245"/>
      <c r="M69" s="245"/>
      <c r="N69" s="245"/>
      <c r="O69" s="251"/>
      <c r="Q69" s="5"/>
      <c r="R69" s="5"/>
      <c r="S69" s="5"/>
      <c r="T69" s="5"/>
      <c r="U69" s="5"/>
      <c r="W69" s="76"/>
      <c r="X69" s="76"/>
    </row>
    <row r="70" spans="2:26">
      <c r="B70" s="41"/>
      <c r="C70" s="245"/>
      <c r="D70" s="245"/>
      <c r="E70" s="245"/>
      <c r="F70" s="245"/>
      <c r="G70" s="245"/>
      <c r="H70" s="245"/>
      <c r="I70" s="245"/>
      <c r="J70" s="248"/>
      <c r="K70" s="248"/>
      <c r="L70" s="248"/>
      <c r="M70" s="248"/>
      <c r="N70" s="248"/>
      <c r="O70" s="5"/>
      <c r="Q70" s="5"/>
      <c r="R70" s="5"/>
      <c r="S70" s="5"/>
      <c r="T70" s="5"/>
      <c r="U70" s="5"/>
      <c r="W70" s="76"/>
      <c r="X70" s="76"/>
      <c r="Y70" s="76"/>
      <c r="Z70" s="76"/>
    </row>
    <row r="71" spans="2:26">
      <c r="B71" s="5"/>
      <c r="C71" s="5"/>
      <c r="D71" s="248"/>
      <c r="E71" s="248"/>
      <c r="F71" s="248"/>
      <c r="G71" s="248"/>
      <c r="H71" s="248"/>
      <c r="I71" s="18"/>
      <c r="J71" s="5"/>
      <c r="K71" s="5"/>
      <c r="L71" s="5"/>
      <c r="M71" s="5"/>
      <c r="N71" s="5"/>
      <c r="O71" s="5"/>
      <c r="Q71" s="5"/>
      <c r="R71" s="5"/>
      <c r="S71" s="5"/>
      <c r="T71" s="5"/>
      <c r="U71" s="5"/>
      <c r="Y71" s="76"/>
      <c r="Z71" s="76"/>
    </row>
    <row r="72" spans="2:26">
      <c r="B72" s="41"/>
      <c r="C72" s="5"/>
      <c r="D72" s="5"/>
      <c r="E72" s="5"/>
      <c r="F72" s="5"/>
      <c r="G72" s="5"/>
      <c r="H72" s="5"/>
      <c r="I72" s="5"/>
      <c r="J72" s="245"/>
      <c r="K72" s="245"/>
      <c r="L72" s="245"/>
      <c r="M72" s="245"/>
      <c r="N72" s="245"/>
      <c r="O72" s="251"/>
      <c r="Q72" s="5"/>
      <c r="R72" s="5"/>
      <c r="S72" s="5"/>
      <c r="T72" s="5"/>
      <c r="U72" s="5"/>
    </row>
    <row r="73" spans="2:26">
      <c r="B73" s="41"/>
      <c r="C73" s="245"/>
      <c r="D73" s="245"/>
      <c r="E73" s="245"/>
      <c r="F73" s="245"/>
      <c r="G73" s="245"/>
      <c r="H73" s="245"/>
      <c r="I73" s="249"/>
      <c r="J73" s="18"/>
      <c r="K73" s="18"/>
      <c r="L73" s="18"/>
      <c r="M73" s="18"/>
      <c r="N73" s="18"/>
      <c r="O73" s="5"/>
      <c r="Q73" s="5"/>
      <c r="R73" s="5"/>
      <c r="S73" s="5"/>
      <c r="T73" s="5"/>
      <c r="U73" s="5"/>
    </row>
    <row r="74" spans="2:26">
      <c r="B74" s="5"/>
      <c r="C74" s="5"/>
      <c r="D74" s="18"/>
      <c r="E74" s="18"/>
      <c r="F74" s="18"/>
      <c r="G74" s="18"/>
      <c r="H74" s="18"/>
      <c r="I74" s="248"/>
      <c r="J74" s="5"/>
      <c r="K74" s="5"/>
      <c r="L74" s="5"/>
      <c r="M74" s="5"/>
      <c r="N74" s="5"/>
      <c r="O74" s="5"/>
      <c r="Q74" s="5"/>
      <c r="R74" s="5"/>
      <c r="S74" s="5"/>
      <c r="T74" s="5"/>
      <c r="U74" s="5"/>
    </row>
    <row r="75" spans="2:26">
      <c r="B75" s="41"/>
      <c r="C75" s="5"/>
      <c r="D75" s="5"/>
      <c r="E75" s="5"/>
      <c r="F75" s="5"/>
      <c r="G75" s="5"/>
      <c r="H75" s="5"/>
      <c r="I75" s="5"/>
      <c r="J75" s="249"/>
      <c r="K75" s="249"/>
      <c r="L75" s="249"/>
      <c r="M75" s="249"/>
      <c r="N75" s="249"/>
      <c r="O75" s="251"/>
      <c r="Q75" s="5"/>
      <c r="R75" s="5"/>
      <c r="S75" s="5"/>
      <c r="T75" s="5"/>
      <c r="U75" s="5"/>
    </row>
    <row r="76" spans="2:26">
      <c r="B76" s="41"/>
      <c r="C76" s="249"/>
      <c r="D76" s="249"/>
      <c r="E76" s="249"/>
      <c r="F76" s="249"/>
      <c r="G76" s="249"/>
      <c r="H76" s="249"/>
      <c r="I76" s="245"/>
      <c r="J76" s="248"/>
      <c r="K76" s="248"/>
      <c r="L76" s="248"/>
      <c r="M76" s="248"/>
      <c r="N76" s="248"/>
      <c r="O76" s="5"/>
      <c r="Q76" s="5"/>
      <c r="R76" s="5"/>
      <c r="S76" s="5"/>
      <c r="T76" s="5"/>
      <c r="U76" s="5"/>
    </row>
    <row r="77" spans="2:26">
      <c r="B77" s="5"/>
      <c r="C77" s="5"/>
      <c r="D77" s="248"/>
      <c r="E77" s="248"/>
      <c r="F77" s="248"/>
      <c r="G77" s="248"/>
      <c r="H77" s="248"/>
      <c r="I77" s="248"/>
      <c r="J77" s="5"/>
      <c r="K77" s="5"/>
      <c r="L77" s="5"/>
      <c r="M77" s="5"/>
      <c r="N77" s="5"/>
      <c r="O77" s="5"/>
      <c r="Q77" s="5"/>
      <c r="R77" s="5"/>
      <c r="S77" s="5"/>
      <c r="T77" s="5"/>
      <c r="U77" s="5"/>
    </row>
    <row r="78" spans="2:26">
      <c r="B78" s="41"/>
      <c r="C78" s="5"/>
      <c r="D78" s="5"/>
      <c r="E78" s="5"/>
      <c r="F78" s="5"/>
      <c r="G78" s="5"/>
      <c r="H78" s="5"/>
      <c r="I78" s="5"/>
      <c r="J78" s="245"/>
      <c r="K78" s="245"/>
      <c r="L78" s="245"/>
      <c r="M78" s="245"/>
      <c r="N78" s="245"/>
      <c r="O78" s="251"/>
      <c r="Q78" s="5"/>
      <c r="R78" s="5"/>
      <c r="S78" s="5"/>
      <c r="T78" s="5"/>
      <c r="U78" s="5"/>
    </row>
    <row r="79" spans="2:26">
      <c r="B79" s="41"/>
      <c r="C79" s="245"/>
      <c r="D79" s="245"/>
      <c r="E79" s="245"/>
      <c r="F79" s="245"/>
      <c r="G79" s="245"/>
      <c r="H79" s="245"/>
      <c r="I79" s="249"/>
      <c r="J79" s="248"/>
      <c r="K79" s="248"/>
      <c r="L79" s="248"/>
      <c r="M79" s="248"/>
      <c r="N79" s="248"/>
      <c r="O79" s="5"/>
      <c r="Q79" s="5"/>
      <c r="R79" s="5"/>
      <c r="S79" s="5"/>
      <c r="T79" s="5"/>
      <c r="U79" s="5"/>
    </row>
    <row r="80" spans="2:26">
      <c r="B80" s="5"/>
      <c r="C80" s="5"/>
      <c r="D80" s="248"/>
      <c r="E80" s="248"/>
      <c r="F80" s="248"/>
      <c r="G80" s="248"/>
      <c r="H80" s="248"/>
      <c r="I80" s="248"/>
      <c r="J80" s="5"/>
      <c r="K80" s="5"/>
      <c r="L80" s="5"/>
      <c r="M80" s="5"/>
      <c r="N80" s="5"/>
      <c r="O80" s="5"/>
      <c r="Q80" s="5"/>
      <c r="R80" s="5"/>
      <c r="S80" s="5"/>
      <c r="T80" s="5"/>
      <c r="U80" s="5"/>
    </row>
    <row r="81" spans="2:26">
      <c r="B81" s="41"/>
      <c r="C81" s="5"/>
      <c r="D81" s="5"/>
      <c r="E81" s="5"/>
      <c r="F81" s="5"/>
      <c r="G81" s="5"/>
      <c r="H81" s="5"/>
      <c r="I81" s="259"/>
      <c r="J81" s="249"/>
      <c r="K81" s="249"/>
      <c r="L81" s="249"/>
      <c r="M81" s="249"/>
      <c r="N81" s="249"/>
      <c r="O81" s="251"/>
      <c r="Q81" s="5"/>
      <c r="R81" s="5"/>
      <c r="S81" s="5"/>
      <c r="T81" s="5"/>
      <c r="U81" s="5"/>
    </row>
    <row r="82" spans="2:26">
      <c r="B82" s="41"/>
      <c r="C82" s="249"/>
      <c r="D82" s="249"/>
      <c r="E82" s="249"/>
      <c r="F82" s="249"/>
      <c r="G82" s="249"/>
      <c r="H82" s="249"/>
      <c r="I82" s="5"/>
      <c r="J82" s="248"/>
      <c r="K82" s="248"/>
      <c r="L82" s="248"/>
      <c r="M82" s="248"/>
      <c r="N82" s="248"/>
      <c r="O82" s="5"/>
      <c r="Q82" s="5"/>
      <c r="R82" s="5"/>
      <c r="S82" s="5"/>
      <c r="T82" s="5"/>
      <c r="U82" s="5"/>
    </row>
    <row r="83" spans="2:26">
      <c r="B83" s="5"/>
      <c r="C83" s="5"/>
      <c r="D83" s="248"/>
      <c r="E83" s="248"/>
      <c r="F83" s="248"/>
      <c r="G83" s="248"/>
      <c r="H83" s="248"/>
      <c r="I83" s="245"/>
      <c r="J83" s="259"/>
      <c r="K83" s="259"/>
      <c r="L83" s="259"/>
      <c r="M83" s="259"/>
      <c r="N83" s="259"/>
      <c r="O83" s="251"/>
      <c r="Q83" s="5"/>
      <c r="R83" s="5"/>
      <c r="S83" s="5"/>
      <c r="T83" s="5"/>
      <c r="U83" s="5"/>
    </row>
    <row r="84" spans="2:26">
      <c r="B84" s="5"/>
      <c r="C84" s="259"/>
      <c r="D84" s="259"/>
      <c r="E84" s="259"/>
      <c r="F84" s="259"/>
      <c r="G84" s="259"/>
      <c r="H84" s="259"/>
      <c r="I84" s="248"/>
      <c r="J84" s="5"/>
      <c r="K84" s="5"/>
      <c r="L84" s="5"/>
      <c r="M84" s="5"/>
      <c r="N84" s="5"/>
      <c r="O84" s="5"/>
      <c r="Q84" s="5"/>
      <c r="R84" s="5"/>
      <c r="S84" s="5"/>
      <c r="T84" s="5"/>
      <c r="U84" s="5"/>
    </row>
    <row r="85" spans="2:26">
      <c r="B85" s="41"/>
      <c r="C85" s="5"/>
      <c r="D85" s="5"/>
      <c r="E85" s="5"/>
      <c r="F85" s="5"/>
      <c r="G85" s="5"/>
      <c r="H85" s="5"/>
      <c r="I85" s="5"/>
      <c r="J85" s="245"/>
      <c r="K85" s="245"/>
      <c r="L85" s="245"/>
      <c r="M85" s="245"/>
      <c r="N85" s="245"/>
      <c r="O85" s="251"/>
      <c r="Q85" s="5"/>
      <c r="R85" s="5"/>
      <c r="S85" s="5"/>
      <c r="T85" s="5"/>
      <c r="U85" s="5"/>
    </row>
    <row r="86" spans="2:26">
      <c r="B86" s="41"/>
      <c r="C86" s="245"/>
      <c r="D86" s="245"/>
      <c r="E86" s="245"/>
      <c r="F86" s="245"/>
      <c r="G86" s="245"/>
      <c r="H86" s="245"/>
      <c r="I86" s="5"/>
      <c r="J86" s="248"/>
      <c r="K86" s="248"/>
      <c r="L86" s="248"/>
      <c r="M86" s="248"/>
      <c r="N86" s="248"/>
      <c r="O86" s="5"/>
      <c r="Q86" s="5"/>
      <c r="R86" s="5"/>
      <c r="S86" s="5"/>
      <c r="T86" s="5"/>
      <c r="U86" s="5"/>
    </row>
    <row r="87" spans="2:26">
      <c r="B87" s="5"/>
      <c r="C87" s="5"/>
      <c r="D87" s="248"/>
      <c r="E87" s="248"/>
      <c r="F87" s="248"/>
      <c r="G87" s="248"/>
      <c r="H87" s="248"/>
      <c r="I87" s="5"/>
      <c r="J87" s="5"/>
      <c r="K87" s="5"/>
      <c r="L87" s="5"/>
      <c r="M87" s="5"/>
      <c r="N87" s="5"/>
      <c r="O87" s="5"/>
      <c r="Q87" s="5"/>
      <c r="R87" s="5"/>
      <c r="S87" s="5"/>
      <c r="T87" s="5"/>
      <c r="U87" s="5"/>
    </row>
    <row r="88" spans="2:26">
      <c r="B88" s="41"/>
      <c r="C88" s="5"/>
      <c r="D88" s="5"/>
      <c r="E88" s="5"/>
      <c r="F88" s="5"/>
      <c r="G88" s="5"/>
      <c r="H88" s="5"/>
      <c r="I88" s="5"/>
      <c r="J88" s="5"/>
      <c r="K88" s="5"/>
      <c r="L88" s="5"/>
      <c r="M88" s="5"/>
      <c r="N88" s="5"/>
      <c r="O88" s="5"/>
      <c r="Q88" s="5"/>
      <c r="R88" s="5"/>
      <c r="S88" s="5"/>
      <c r="T88" s="5"/>
      <c r="U88" s="5"/>
    </row>
    <row r="89" spans="2:26">
      <c r="B89" s="41"/>
      <c r="C89" s="5"/>
      <c r="D89" s="5"/>
      <c r="E89" s="5"/>
      <c r="F89" s="5"/>
      <c r="G89" s="5"/>
      <c r="H89" s="5"/>
      <c r="I89" s="49"/>
      <c r="J89" s="5"/>
      <c r="K89" s="5"/>
      <c r="L89" s="5"/>
      <c r="M89" s="5"/>
      <c r="N89" s="5"/>
      <c r="O89" s="5"/>
      <c r="Q89" s="41"/>
      <c r="R89" s="5"/>
      <c r="S89" s="5"/>
      <c r="T89" s="5"/>
      <c r="U89" s="5"/>
    </row>
    <row r="90" spans="2:26">
      <c r="B90" s="41"/>
      <c r="C90" s="5"/>
      <c r="D90" s="5"/>
      <c r="E90" s="5"/>
      <c r="F90" s="5"/>
      <c r="G90" s="5"/>
      <c r="H90" s="5"/>
      <c r="I90" s="5"/>
      <c r="J90" s="5"/>
      <c r="K90" s="5"/>
      <c r="L90" s="5"/>
      <c r="M90" s="5"/>
      <c r="N90" s="5"/>
      <c r="O90" s="5"/>
      <c r="Q90" s="5"/>
      <c r="R90" s="5"/>
      <c r="S90" s="5"/>
      <c r="T90" s="5"/>
      <c r="U90" s="5"/>
    </row>
    <row r="91" spans="2:26">
      <c r="B91" s="5"/>
      <c r="C91" s="5"/>
      <c r="D91" s="5"/>
      <c r="E91" s="5"/>
      <c r="F91" s="5"/>
      <c r="G91" s="5"/>
      <c r="H91" s="5"/>
      <c r="I91" s="247"/>
      <c r="J91" s="49"/>
      <c r="K91" s="49"/>
      <c r="L91" s="49"/>
      <c r="M91" s="49"/>
      <c r="N91" s="49"/>
      <c r="O91" s="49"/>
      <c r="Q91" s="5"/>
      <c r="R91" s="5"/>
      <c r="S91" s="5"/>
      <c r="T91" s="5"/>
      <c r="U91" s="5"/>
      <c r="W91" s="21"/>
      <c r="X91" s="21"/>
    </row>
    <row r="92" spans="2:26">
      <c r="B92" s="41"/>
      <c r="C92" s="49"/>
      <c r="D92" s="49"/>
      <c r="E92" s="49"/>
      <c r="F92" s="49"/>
      <c r="G92" s="49"/>
      <c r="H92" s="49"/>
      <c r="I92" s="247"/>
      <c r="J92" s="5"/>
      <c r="K92" s="5"/>
      <c r="L92" s="5"/>
      <c r="M92" s="5"/>
      <c r="N92" s="5"/>
      <c r="O92" s="5"/>
      <c r="Q92" s="5"/>
      <c r="R92" s="5"/>
      <c r="S92" s="5"/>
      <c r="T92" s="5"/>
      <c r="U92" s="5"/>
      <c r="W92" s="21"/>
      <c r="X92" s="21"/>
      <c r="Y92" s="21"/>
      <c r="Z92" s="21"/>
    </row>
    <row r="93" spans="2:26">
      <c r="B93" s="5"/>
      <c r="C93" s="5"/>
      <c r="D93" s="5"/>
      <c r="E93" s="5"/>
      <c r="F93" s="5"/>
      <c r="G93" s="5"/>
      <c r="H93" s="5"/>
      <c r="I93" s="247"/>
      <c r="J93" s="247"/>
      <c r="K93" s="247"/>
      <c r="L93" s="247"/>
      <c r="M93" s="247"/>
      <c r="N93" s="247"/>
      <c r="O93" s="248"/>
      <c r="Q93" s="5"/>
      <c r="R93" s="5"/>
      <c r="S93" s="5"/>
      <c r="T93" s="5"/>
      <c r="U93" s="5"/>
      <c r="Y93" s="21"/>
      <c r="Z93" s="21"/>
    </row>
    <row r="94" spans="2:26">
      <c r="B94" s="5"/>
      <c r="C94" s="259"/>
      <c r="D94" s="247"/>
      <c r="E94" s="247"/>
      <c r="F94" s="247"/>
      <c r="G94" s="247"/>
      <c r="H94" s="247"/>
      <c r="I94" s="248"/>
      <c r="J94" s="247"/>
      <c r="K94" s="247"/>
      <c r="L94" s="247"/>
      <c r="M94" s="247"/>
      <c r="N94" s="247"/>
      <c r="O94" s="248"/>
      <c r="Q94" s="5"/>
      <c r="R94" s="5"/>
      <c r="S94" s="5"/>
      <c r="T94" s="5"/>
      <c r="U94" s="5"/>
    </row>
    <row r="95" spans="2:26">
      <c r="B95" s="5"/>
      <c r="C95" s="259"/>
      <c r="D95" s="247"/>
      <c r="E95" s="247"/>
      <c r="F95" s="247"/>
      <c r="G95" s="247"/>
      <c r="H95" s="247"/>
      <c r="I95" s="247"/>
      <c r="J95" s="247"/>
      <c r="K95" s="247"/>
      <c r="L95" s="247"/>
      <c r="M95" s="247"/>
      <c r="N95" s="247"/>
      <c r="O95" s="248"/>
      <c r="Q95" s="5"/>
      <c r="R95" s="5"/>
      <c r="S95" s="5"/>
      <c r="T95" s="5"/>
      <c r="U95" s="5"/>
    </row>
    <row r="96" spans="2:26">
      <c r="B96" s="5"/>
      <c r="C96" s="259"/>
      <c r="D96" s="247"/>
      <c r="E96" s="247"/>
      <c r="F96" s="247"/>
      <c r="G96" s="247"/>
      <c r="H96" s="247"/>
      <c r="I96" s="249"/>
      <c r="J96" s="248"/>
      <c r="K96" s="248"/>
      <c r="L96" s="248"/>
      <c r="M96" s="248"/>
      <c r="N96" s="248"/>
      <c r="O96" s="248"/>
      <c r="Q96" s="5"/>
      <c r="R96" s="5"/>
      <c r="S96" s="5"/>
      <c r="T96" s="5"/>
      <c r="U96" s="5"/>
    </row>
    <row r="97" spans="2:21">
      <c r="B97" s="5"/>
      <c r="C97" s="259"/>
      <c r="D97" s="248"/>
      <c r="E97" s="248"/>
      <c r="F97" s="248"/>
      <c r="G97" s="248"/>
      <c r="H97" s="248"/>
      <c r="I97" s="248"/>
      <c r="J97" s="247"/>
      <c r="K97" s="247"/>
      <c r="L97" s="247"/>
      <c r="M97" s="247"/>
      <c r="N97" s="247"/>
      <c r="O97" s="248"/>
      <c r="Q97" s="5"/>
      <c r="R97" s="5"/>
      <c r="S97" s="5"/>
      <c r="T97" s="5"/>
      <c r="U97" s="5"/>
    </row>
    <row r="98" spans="2:21">
      <c r="B98" s="5"/>
      <c r="C98" s="259"/>
      <c r="D98" s="247"/>
      <c r="E98" s="247"/>
      <c r="F98" s="247"/>
      <c r="G98" s="247"/>
      <c r="H98" s="247"/>
      <c r="I98" s="5"/>
      <c r="J98" s="249"/>
      <c r="K98" s="249"/>
      <c r="L98" s="249"/>
      <c r="M98" s="249"/>
      <c r="N98" s="249"/>
      <c r="O98" s="248"/>
      <c r="Q98" s="5"/>
      <c r="R98" s="5"/>
      <c r="S98" s="5"/>
      <c r="T98" s="5"/>
      <c r="U98" s="5"/>
    </row>
    <row r="99" spans="2:21">
      <c r="B99" s="41"/>
      <c r="C99" s="249"/>
      <c r="D99" s="249"/>
      <c r="E99" s="249"/>
      <c r="F99" s="249"/>
      <c r="G99" s="249"/>
      <c r="H99" s="249"/>
      <c r="I99" s="259"/>
      <c r="J99" s="248"/>
      <c r="K99" s="248"/>
      <c r="L99" s="248"/>
      <c r="M99" s="248"/>
      <c r="N99" s="248"/>
      <c r="O99" s="248"/>
      <c r="Q99" s="5"/>
      <c r="R99" s="5"/>
      <c r="S99" s="5"/>
      <c r="T99" s="5"/>
      <c r="U99" s="5"/>
    </row>
    <row r="100" spans="2:21" s="5" customFormat="1">
      <c r="B100" s="41"/>
      <c r="C100" s="257"/>
      <c r="D100" s="248"/>
      <c r="E100" s="248"/>
      <c r="F100" s="248"/>
      <c r="G100" s="248"/>
      <c r="H100" s="248"/>
      <c r="I100" s="259"/>
      <c r="O100" s="248"/>
      <c r="P100" s="39"/>
    </row>
    <row r="101" spans="2:21">
      <c r="B101" s="41"/>
      <c r="C101" s="5"/>
      <c r="D101" s="5"/>
      <c r="E101" s="5"/>
      <c r="F101" s="5"/>
      <c r="G101" s="5"/>
      <c r="H101" s="5"/>
      <c r="I101" s="247"/>
      <c r="J101" s="259"/>
      <c r="K101" s="259"/>
      <c r="L101" s="259"/>
      <c r="M101" s="259"/>
      <c r="N101" s="259"/>
      <c r="O101" s="5"/>
      <c r="Q101" s="5"/>
      <c r="R101" s="5"/>
      <c r="S101" s="5"/>
      <c r="T101" s="5"/>
      <c r="U101" s="5"/>
    </row>
    <row r="102" spans="2:21">
      <c r="B102" s="5"/>
      <c r="C102" s="259"/>
      <c r="D102" s="259"/>
      <c r="E102" s="259"/>
      <c r="F102" s="259"/>
      <c r="G102" s="259"/>
      <c r="H102" s="259"/>
      <c r="I102" s="5"/>
      <c r="J102" s="259"/>
      <c r="K102" s="259"/>
      <c r="L102" s="259"/>
      <c r="M102" s="259"/>
      <c r="N102" s="259"/>
      <c r="O102" s="5"/>
      <c r="P102" s="5"/>
      <c r="Q102" s="5"/>
      <c r="R102" s="5"/>
      <c r="S102" s="5"/>
      <c r="T102" s="5"/>
      <c r="U102" s="5"/>
    </row>
    <row r="103" spans="2:21">
      <c r="B103" s="5"/>
      <c r="C103" s="259"/>
      <c r="D103" s="259"/>
      <c r="E103" s="259"/>
      <c r="F103" s="259"/>
      <c r="G103" s="259"/>
      <c r="H103" s="259"/>
      <c r="I103" s="247"/>
      <c r="J103" s="247"/>
      <c r="K103" s="247"/>
      <c r="L103" s="247"/>
      <c r="M103" s="247"/>
      <c r="N103" s="247"/>
      <c r="O103" s="5"/>
      <c r="Q103" s="5"/>
      <c r="R103" s="5"/>
      <c r="S103" s="5"/>
      <c r="T103" s="5"/>
      <c r="U103" s="5"/>
    </row>
    <row r="104" spans="2:21" s="5" customFormat="1">
      <c r="C104" s="247"/>
      <c r="D104" s="247"/>
      <c r="E104" s="247"/>
      <c r="F104" s="247"/>
      <c r="G104" s="247"/>
      <c r="H104" s="247"/>
      <c r="P104" s="39"/>
    </row>
    <row r="105" spans="2:21" s="5" customFormat="1">
      <c r="I105" s="259"/>
      <c r="J105" s="247"/>
      <c r="K105" s="247"/>
      <c r="L105" s="247"/>
      <c r="M105" s="247"/>
      <c r="N105" s="247"/>
      <c r="P105" s="39"/>
    </row>
    <row r="106" spans="2:21">
      <c r="B106" s="5"/>
      <c r="C106" s="259"/>
      <c r="D106" s="247"/>
      <c r="E106" s="247"/>
      <c r="F106" s="247"/>
      <c r="G106" s="247"/>
      <c r="H106" s="247"/>
      <c r="I106" s="247"/>
      <c r="J106" s="5"/>
      <c r="K106" s="5"/>
      <c r="L106" s="5"/>
      <c r="M106" s="5"/>
      <c r="N106" s="5"/>
      <c r="O106" s="5"/>
      <c r="P106" s="5"/>
      <c r="Q106" s="5"/>
      <c r="R106" s="5"/>
      <c r="S106" s="5"/>
      <c r="T106" s="5"/>
      <c r="U106" s="5"/>
    </row>
    <row r="107" spans="2:21">
      <c r="B107" s="5"/>
      <c r="C107" s="259"/>
      <c r="D107" s="5"/>
      <c r="E107" s="5"/>
      <c r="F107" s="5"/>
      <c r="G107" s="5"/>
      <c r="H107" s="5"/>
      <c r="I107" s="249"/>
      <c r="J107" s="259"/>
      <c r="K107" s="259"/>
      <c r="L107" s="259"/>
      <c r="M107" s="259"/>
      <c r="N107" s="259"/>
      <c r="O107" s="5"/>
      <c r="P107" s="5"/>
      <c r="Q107" s="5"/>
      <c r="R107" s="5"/>
      <c r="S107" s="5"/>
      <c r="T107" s="5"/>
      <c r="U107" s="5"/>
    </row>
    <row r="108" spans="2:21">
      <c r="B108" s="5"/>
      <c r="C108" s="259"/>
      <c r="D108" s="259"/>
      <c r="E108" s="259"/>
      <c r="F108" s="259"/>
      <c r="G108" s="259"/>
      <c r="H108" s="259"/>
      <c r="I108" s="249"/>
      <c r="J108" s="247"/>
      <c r="K108" s="247"/>
      <c r="L108" s="247"/>
      <c r="M108" s="247"/>
      <c r="N108" s="247"/>
      <c r="O108" s="5"/>
      <c r="Q108" s="5"/>
      <c r="R108" s="5"/>
      <c r="S108" s="5"/>
      <c r="T108" s="5"/>
      <c r="U108" s="5"/>
    </row>
    <row r="109" spans="2:21">
      <c r="B109" s="5"/>
      <c r="C109" s="247"/>
      <c r="D109" s="247"/>
      <c r="E109" s="247"/>
      <c r="F109" s="247"/>
      <c r="G109" s="247"/>
      <c r="H109" s="247"/>
      <c r="I109" s="247"/>
      <c r="J109" s="249"/>
      <c r="K109" s="249"/>
      <c r="L109" s="249"/>
      <c r="M109" s="249"/>
      <c r="N109" s="249"/>
      <c r="O109" s="5"/>
      <c r="Q109" s="5"/>
      <c r="R109" s="5"/>
      <c r="S109" s="5"/>
      <c r="T109" s="5"/>
      <c r="U109" s="5"/>
    </row>
    <row r="110" spans="2:21">
      <c r="B110" s="41"/>
      <c r="C110" s="249"/>
      <c r="D110" s="249"/>
      <c r="E110" s="249"/>
      <c r="F110" s="249"/>
      <c r="G110" s="249"/>
      <c r="H110" s="249"/>
      <c r="I110" s="5"/>
      <c r="J110" s="249"/>
      <c r="K110" s="249"/>
      <c r="L110" s="249"/>
      <c r="M110" s="249"/>
      <c r="N110" s="249"/>
      <c r="O110" s="5"/>
      <c r="Q110" s="5"/>
      <c r="R110" s="5"/>
      <c r="S110" s="5"/>
      <c r="T110" s="5"/>
      <c r="U110" s="5"/>
    </row>
    <row r="111" spans="2:21">
      <c r="B111" s="5"/>
      <c r="C111" s="249"/>
      <c r="D111" s="249"/>
      <c r="E111" s="249"/>
      <c r="F111" s="249"/>
      <c r="G111" s="249"/>
      <c r="H111" s="249"/>
      <c r="I111" s="5"/>
      <c r="J111" s="247"/>
      <c r="K111" s="247"/>
      <c r="L111" s="247"/>
      <c r="M111" s="247"/>
      <c r="N111" s="247"/>
      <c r="O111" s="5"/>
      <c r="Q111" s="5"/>
      <c r="R111" s="5"/>
      <c r="S111" s="5"/>
      <c r="T111" s="5"/>
      <c r="U111" s="5"/>
    </row>
    <row r="112" spans="2:21">
      <c r="B112" s="5"/>
      <c r="C112" s="247"/>
      <c r="D112" s="247"/>
      <c r="E112" s="247"/>
      <c r="F112" s="247"/>
      <c r="G112" s="247"/>
      <c r="H112" s="247"/>
      <c r="I112" s="5"/>
      <c r="J112" s="5"/>
      <c r="K112" s="5"/>
      <c r="L112" s="5"/>
      <c r="M112" s="5"/>
      <c r="N112" s="5"/>
      <c r="O112" s="5"/>
      <c r="Q112" s="5"/>
      <c r="R112" s="5"/>
      <c r="S112" s="5"/>
      <c r="T112" s="5"/>
      <c r="U112" s="5"/>
    </row>
    <row r="113" spans="2:21">
      <c r="B113" s="5"/>
      <c r="C113" s="5"/>
      <c r="D113" s="5"/>
      <c r="E113" s="5"/>
      <c r="F113" s="5"/>
      <c r="G113" s="5"/>
      <c r="H113" s="5"/>
      <c r="I113" s="5"/>
      <c r="J113" s="5"/>
      <c r="K113" s="5"/>
      <c r="L113" s="5"/>
      <c r="M113" s="5"/>
      <c r="N113" s="5"/>
      <c r="O113" s="5"/>
      <c r="Q113" s="5"/>
      <c r="R113" s="5"/>
      <c r="S113" s="5"/>
      <c r="T113" s="5"/>
      <c r="U113" s="5"/>
    </row>
    <row r="114" spans="2:21">
      <c r="B114" s="5"/>
      <c r="C114" s="5"/>
      <c r="D114" s="5"/>
      <c r="E114" s="5"/>
      <c r="F114" s="5"/>
      <c r="G114" s="5"/>
      <c r="H114" s="5"/>
      <c r="I114" s="49"/>
      <c r="J114" s="5"/>
      <c r="K114" s="5"/>
      <c r="L114" s="5"/>
      <c r="M114" s="5"/>
      <c r="N114" s="5"/>
      <c r="O114" s="5"/>
      <c r="Q114" s="41"/>
      <c r="R114" s="5"/>
      <c r="S114" s="5"/>
      <c r="T114" s="5"/>
      <c r="U114" s="5"/>
    </row>
    <row r="115" spans="2:21">
      <c r="B115" s="5"/>
      <c r="C115" s="5"/>
      <c r="D115" s="5"/>
      <c r="E115" s="5"/>
      <c r="F115" s="5"/>
      <c r="G115" s="5"/>
      <c r="H115" s="5"/>
      <c r="I115" s="5"/>
      <c r="J115" s="5"/>
      <c r="K115" s="5"/>
      <c r="L115" s="5"/>
      <c r="M115" s="5"/>
      <c r="N115" s="5"/>
      <c r="O115" s="5"/>
      <c r="Q115" s="5"/>
      <c r="R115" s="5"/>
      <c r="S115" s="5"/>
      <c r="T115" s="5"/>
      <c r="U115" s="5"/>
    </row>
    <row r="116" spans="2:21">
      <c r="B116" s="5"/>
      <c r="C116" s="5"/>
      <c r="D116" s="5"/>
      <c r="E116" s="5"/>
      <c r="F116" s="5"/>
      <c r="G116" s="5"/>
      <c r="H116" s="5"/>
      <c r="I116" s="254"/>
      <c r="J116" s="49"/>
      <c r="K116" s="49"/>
      <c r="L116" s="49"/>
      <c r="M116" s="49"/>
      <c r="N116" s="49"/>
      <c r="O116" s="49"/>
      <c r="Q116" s="5"/>
      <c r="R116" s="5"/>
      <c r="S116" s="5"/>
      <c r="T116" s="5"/>
      <c r="U116" s="5"/>
    </row>
    <row r="117" spans="2:21">
      <c r="B117" s="41"/>
      <c r="C117" s="49"/>
      <c r="D117" s="49"/>
      <c r="E117" s="49"/>
      <c r="F117" s="49"/>
      <c r="G117" s="49"/>
      <c r="H117" s="49"/>
      <c r="I117" s="249"/>
      <c r="J117" s="5"/>
      <c r="K117" s="5"/>
      <c r="L117" s="5"/>
      <c r="M117" s="5"/>
      <c r="N117" s="5"/>
      <c r="O117" s="5"/>
      <c r="Q117" s="5"/>
      <c r="R117" s="5"/>
      <c r="S117" s="5"/>
      <c r="T117" s="5"/>
      <c r="U117" s="5"/>
    </row>
    <row r="118" spans="2:21">
      <c r="B118" s="5"/>
      <c r="C118" s="5"/>
      <c r="D118" s="5"/>
      <c r="E118" s="5"/>
      <c r="F118" s="5"/>
      <c r="G118" s="5"/>
      <c r="H118" s="5"/>
      <c r="I118" s="254"/>
      <c r="J118" s="254"/>
      <c r="K118" s="254"/>
      <c r="L118" s="254"/>
      <c r="M118" s="254"/>
      <c r="N118" s="254"/>
      <c r="O118" s="248"/>
      <c r="Q118" s="5"/>
      <c r="R118" s="5"/>
      <c r="S118" s="5"/>
      <c r="T118" s="5"/>
      <c r="U118" s="5"/>
    </row>
    <row r="119" spans="2:21">
      <c r="B119" s="41"/>
      <c r="C119" s="254"/>
      <c r="D119" s="254"/>
      <c r="E119" s="254"/>
      <c r="F119" s="254"/>
      <c r="G119" s="254"/>
      <c r="H119" s="254"/>
      <c r="I119" s="254"/>
      <c r="J119" s="249"/>
      <c r="K119" s="249"/>
      <c r="L119" s="249"/>
      <c r="M119" s="249"/>
      <c r="N119" s="249"/>
      <c r="O119" s="248"/>
      <c r="Q119" s="5"/>
      <c r="R119" s="5"/>
      <c r="S119" s="5"/>
      <c r="T119" s="5"/>
      <c r="U119" s="5"/>
    </row>
    <row r="120" spans="2:21">
      <c r="B120" s="41"/>
      <c r="C120" s="254"/>
      <c r="D120" s="249"/>
      <c r="E120" s="249"/>
      <c r="F120" s="249"/>
      <c r="G120" s="249"/>
      <c r="H120" s="249"/>
      <c r="I120" s="254"/>
      <c r="J120" s="254"/>
      <c r="K120" s="254"/>
      <c r="L120" s="254"/>
      <c r="M120" s="254"/>
      <c r="N120" s="254"/>
      <c r="O120" s="248"/>
      <c r="Q120" s="5"/>
      <c r="R120" s="5"/>
      <c r="S120" s="5"/>
      <c r="T120" s="5"/>
      <c r="U120" s="5"/>
    </row>
    <row r="121" spans="2:21">
      <c r="B121" s="41"/>
      <c r="C121" s="254"/>
      <c r="D121" s="254"/>
      <c r="E121" s="254"/>
      <c r="F121" s="254"/>
      <c r="G121" s="254"/>
      <c r="H121" s="254"/>
      <c r="I121" s="254"/>
      <c r="J121" s="254"/>
      <c r="K121" s="254"/>
      <c r="L121" s="254"/>
      <c r="M121" s="254"/>
      <c r="N121" s="254"/>
      <c r="O121" s="248"/>
      <c r="Q121" s="5"/>
      <c r="R121" s="5"/>
      <c r="S121" s="5"/>
      <c r="T121" s="5"/>
      <c r="U121" s="5"/>
    </row>
    <row r="122" spans="2:21">
      <c r="B122" s="41"/>
      <c r="C122" s="254"/>
      <c r="D122" s="254"/>
      <c r="E122" s="254"/>
      <c r="F122" s="254"/>
      <c r="G122" s="254"/>
      <c r="H122" s="254"/>
      <c r="I122" s="254"/>
      <c r="J122" s="254"/>
      <c r="K122" s="254"/>
      <c r="L122" s="254"/>
      <c r="M122" s="254"/>
      <c r="N122" s="254"/>
      <c r="O122" s="248"/>
      <c r="Q122" s="5"/>
      <c r="R122" s="5"/>
      <c r="S122" s="5"/>
      <c r="T122" s="5"/>
      <c r="U122" s="5"/>
    </row>
    <row r="123" spans="2:21">
      <c r="B123" s="41"/>
      <c r="C123" s="254"/>
      <c r="D123" s="254"/>
      <c r="E123" s="254"/>
      <c r="F123" s="254"/>
      <c r="G123" s="254"/>
      <c r="H123" s="254"/>
      <c r="I123" s="254"/>
      <c r="J123" s="254"/>
      <c r="K123" s="254"/>
      <c r="L123" s="254"/>
      <c r="M123" s="254"/>
      <c r="N123" s="254"/>
      <c r="O123" s="248"/>
      <c r="Q123" s="5"/>
      <c r="R123" s="5"/>
      <c r="S123" s="5"/>
      <c r="T123" s="5"/>
      <c r="U123" s="5"/>
    </row>
    <row r="124" spans="2:21">
      <c r="B124" s="41"/>
      <c r="C124" s="254"/>
      <c r="D124" s="254"/>
      <c r="E124" s="254"/>
      <c r="F124" s="254"/>
      <c r="G124" s="254"/>
      <c r="H124" s="254"/>
      <c r="I124" s="254"/>
      <c r="J124" s="254"/>
      <c r="K124" s="254"/>
      <c r="L124" s="254"/>
      <c r="M124" s="254"/>
      <c r="N124" s="254"/>
      <c r="O124" s="5"/>
      <c r="Q124" s="5"/>
      <c r="R124" s="5"/>
      <c r="S124" s="5"/>
      <c r="T124" s="5"/>
      <c r="U124" s="5"/>
    </row>
    <row r="125" spans="2:21">
      <c r="B125" s="41"/>
      <c r="C125" s="254"/>
      <c r="D125" s="254"/>
      <c r="E125" s="254"/>
      <c r="F125" s="254"/>
      <c r="G125" s="254"/>
      <c r="H125" s="254"/>
      <c r="I125" s="254"/>
      <c r="J125" s="254"/>
      <c r="K125" s="254"/>
      <c r="L125" s="254"/>
      <c r="M125" s="254"/>
      <c r="N125" s="254"/>
      <c r="O125" s="5"/>
      <c r="Q125" s="5"/>
      <c r="R125" s="5"/>
      <c r="S125" s="5"/>
      <c r="T125" s="5"/>
      <c r="U125" s="5"/>
    </row>
    <row r="126" spans="2:21">
      <c r="B126" s="41"/>
      <c r="C126" s="254"/>
      <c r="D126" s="254"/>
      <c r="E126" s="254"/>
      <c r="F126" s="254"/>
      <c r="G126" s="254"/>
      <c r="H126" s="254"/>
      <c r="I126" s="18"/>
      <c r="J126" s="254"/>
      <c r="K126" s="254"/>
      <c r="L126" s="254"/>
      <c r="M126" s="254"/>
      <c r="N126" s="254"/>
      <c r="O126" s="5"/>
      <c r="Q126" s="5"/>
      <c r="R126" s="5"/>
      <c r="S126" s="5"/>
      <c r="T126" s="5"/>
      <c r="U126" s="5"/>
    </row>
    <row r="127" spans="2:21">
      <c r="B127" s="41"/>
      <c r="C127" s="254"/>
      <c r="D127" s="254"/>
      <c r="E127" s="254"/>
      <c r="F127" s="254"/>
      <c r="G127" s="254"/>
      <c r="H127" s="254"/>
      <c r="I127" s="5"/>
      <c r="J127" s="254"/>
      <c r="K127" s="254"/>
      <c r="L127" s="254"/>
      <c r="M127" s="254"/>
      <c r="N127" s="254"/>
      <c r="O127" s="5"/>
      <c r="Q127" s="5"/>
      <c r="R127" s="5"/>
      <c r="S127" s="5"/>
      <c r="T127" s="5"/>
      <c r="U127" s="5"/>
    </row>
    <row r="128" spans="2:21">
      <c r="B128" s="41"/>
      <c r="C128" s="254"/>
      <c r="D128" s="254"/>
      <c r="E128" s="254"/>
      <c r="F128" s="254"/>
      <c r="G128" s="254"/>
      <c r="H128" s="254"/>
      <c r="I128" s="254"/>
      <c r="J128" s="18"/>
      <c r="K128" s="18"/>
      <c r="L128" s="18"/>
      <c r="M128" s="18"/>
      <c r="N128" s="18"/>
      <c r="O128" s="5"/>
      <c r="Q128" s="5"/>
      <c r="R128" s="5"/>
      <c r="S128" s="5"/>
      <c r="T128" s="5"/>
      <c r="U128" s="5"/>
    </row>
    <row r="129" spans="2:27">
      <c r="B129" s="5"/>
      <c r="C129" s="5"/>
      <c r="D129" s="18"/>
      <c r="E129" s="18"/>
      <c r="F129" s="18"/>
      <c r="G129" s="18"/>
      <c r="H129" s="18"/>
      <c r="I129" s="18"/>
      <c r="J129" s="5"/>
      <c r="K129" s="5"/>
      <c r="L129" s="5"/>
      <c r="M129" s="5"/>
      <c r="N129" s="5"/>
      <c r="O129" s="5"/>
      <c r="Q129" s="5"/>
      <c r="R129" s="5"/>
      <c r="S129" s="5"/>
      <c r="T129" s="5"/>
      <c r="U129" s="5"/>
    </row>
    <row r="130" spans="2:27">
      <c r="B130" s="5"/>
      <c r="C130" s="5"/>
      <c r="D130" s="5"/>
      <c r="E130" s="5"/>
      <c r="F130" s="5"/>
      <c r="G130" s="5"/>
      <c r="H130" s="5"/>
      <c r="I130" s="5"/>
      <c r="J130" s="254"/>
      <c r="K130" s="254"/>
      <c r="L130" s="254"/>
      <c r="M130" s="254"/>
      <c r="N130" s="254"/>
      <c r="O130" s="5"/>
      <c r="Q130" s="5"/>
      <c r="R130" s="5"/>
      <c r="S130" s="5"/>
      <c r="T130" s="5"/>
      <c r="U130" s="5"/>
    </row>
    <row r="131" spans="2:27">
      <c r="B131" s="41"/>
      <c r="C131" s="254"/>
      <c r="D131" s="254"/>
      <c r="E131" s="254"/>
      <c r="F131" s="254"/>
      <c r="G131" s="254"/>
      <c r="H131" s="254"/>
      <c r="I131" s="5"/>
      <c r="J131" s="18"/>
      <c r="K131" s="18"/>
      <c r="L131" s="18"/>
      <c r="M131" s="18"/>
      <c r="N131" s="18"/>
      <c r="O131" s="5"/>
      <c r="Q131" s="5"/>
      <c r="R131" s="5"/>
      <c r="S131" s="5"/>
      <c r="T131" s="5"/>
      <c r="U131" s="5"/>
    </row>
    <row r="132" spans="2:27">
      <c r="B132" s="5"/>
      <c r="C132" s="259"/>
      <c r="D132" s="18"/>
      <c r="E132" s="18"/>
      <c r="F132" s="18"/>
      <c r="G132" s="18"/>
      <c r="H132" s="18"/>
      <c r="I132" s="17"/>
      <c r="J132" s="5"/>
      <c r="K132" s="5"/>
      <c r="L132" s="5"/>
      <c r="M132" s="5"/>
      <c r="N132" s="5"/>
      <c r="O132" s="5"/>
      <c r="Q132" s="5"/>
      <c r="R132" s="5"/>
      <c r="S132" s="5"/>
      <c r="T132" s="5"/>
      <c r="U132" s="5"/>
    </row>
    <row r="133" spans="2:27">
      <c r="B133" s="5"/>
      <c r="C133" s="5"/>
      <c r="D133" s="5"/>
      <c r="E133" s="5"/>
      <c r="F133" s="5"/>
      <c r="G133" s="5"/>
      <c r="H133" s="5"/>
      <c r="I133" s="17"/>
      <c r="J133" s="5"/>
      <c r="K133" s="5"/>
      <c r="L133" s="5"/>
      <c r="M133" s="5"/>
      <c r="N133" s="5"/>
      <c r="O133" s="5"/>
      <c r="Q133" s="5"/>
      <c r="R133" s="5"/>
      <c r="S133" s="5"/>
      <c r="T133" s="5"/>
      <c r="U133" s="5"/>
    </row>
    <row r="134" spans="2:27">
      <c r="B134" s="41"/>
      <c r="C134" s="5"/>
      <c r="D134" s="5"/>
      <c r="E134" s="5"/>
      <c r="F134" s="5"/>
      <c r="G134" s="5"/>
      <c r="H134" s="5"/>
      <c r="I134" s="17"/>
      <c r="J134" s="17"/>
      <c r="K134" s="17"/>
      <c r="L134" s="17"/>
      <c r="M134" s="17"/>
      <c r="N134" s="17"/>
      <c r="O134" s="5"/>
      <c r="Q134" s="41"/>
      <c r="R134" s="5"/>
      <c r="S134" s="5"/>
      <c r="T134" s="5"/>
      <c r="U134" s="5"/>
    </row>
    <row r="135" spans="2:27">
      <c r="B135" s="5"/>
      <c r="C135" s="17"/>
      <c r="D135" s="17"/>
      <c r="E135" s="17"/>
      <c r="F135" s="17"/>
      <c r="G135" s="17"/>
      <c r="H135" s="17"/>
      <c r="I135" s="17"/>
      <c r="J135" s="17"/>
      <c r="K135" s="17"/>
      <c r="L135" s="17"/>
      <c r="M135" s="17"/>
      <c r="N135" s="17"/>
      <c r="O135" s="5"/>
      <c r="Q135" s="5"/>
      <c r="R135" s="5"/>
      <c r="S135" s="5"/>
      <c r="T135" s="5"/>
      <c r="U135" s="5"/>
      <c r="X135" s="304"/>
    </row>
    <row r="136" spans="2:27">
      <c r="B136" s="5"/>
      <c r="C136" s="17"/>
      <c r="D136" s="17"/>
      <c r="E136" s="17"/>
      <c r="F136" s="17"/>
      <c r="G136" s="17"/>
      <c r="H136" s="17"/>
      <c r="I136" s="17"/>
      <c r="J136" s="17"/>
      <c r="K136" s="17"/>
      <c r="L136" s="17"/>
      <c r="M136" s="17"/>
      <c r="N136" s="17"/>
      <c r="O136" s="5"/>
      <c r="Q136" s="5"/>
      <c r="R136" s="5"/>
      <c r="S136" s="5"/>
      <c r="T136" s="5"/>
      <c r="U136" s="5"/>
      <c r="X136" s="10"/>
      <c r="Y136" s="304"/>
      <c r="Z136" s="304"/>
      <c r="AA136" s="304"/>
    </row>
    <row r="137" spans="2:27">
      <c r="B137" s="5"/>
      <c r="C137" s="5"/>
      <c r="D137" s="17"/>
      <c r="E137" s="17"/>
      <c r="F137" s="17"/>
      <c r="G137" s="17"/>
      <c r="H137" s="17"/>
      <c r="I137" s="17"/>
      <c r="J137" s="17"/>
      <c r="K137" s="17"/>
      <c r="L137" s="17"/>
      <c r="M137" s="17"/>
      <c r="N137" s="17"/>
      <c r="O137" s="5"/>
      <c r="Q137" s="5"/>
      <c r="R137" s="5"/>
      <c r="S137" s="5"/>
      <c r="T137" s="5"/>
      <c r="U137" s="5"/>
      <c r="Y137" s="10"/>
      <c r="Z137" s="10"/>
      <c r="AA137" s="10"/>
    </row>
    <row r="138" spans="2:27">
      <c r="B138" s="5"/>
      <c r="C138" s="5"/>
      <c r="D138" s="17"/>
      <c r="E138" s="17"/>
      <c r="F138" s="17"/>
      <c r="G138" s="17"/>
      <c r="H138" s="17"/>
      <c r="I138" s="5"/>
      <c r="J138" s="17"/>
      <c r="K138" s="17"/>
      <c r="L138" s="17"/>
      <c r="M138" s="17"/>
      <c r="N138" s="17"/>
      <c r="O138" s="5"/>
      <c r="Q138" s="5"/>
      <c r="R138" s="5"/>
      <c r="S138" s="5"/>
      <c r="T138" s="5"/>
      <c r="U138" s="5"/>
    </row>
    <row r="139" spans="2:27">
      <c r="B139" s="5"/>
      <c r="C139" s="5"/>
      <c r="D139" s="17"/>
      <c r="E139" s="17"/>
      <c r="F139" s="17"/>
      <c r="G139" s="17"/>
      <c r="H139" s="17"/>
      <c r="I139" s="5"/>
      <c r="J139" s="17"/>
      <c r="K139" s="17"/>
      <c r="L139" s="17"/>
      <c r="M139" s="17"/>
      <c r="N139" s="17"/>
      <c r="O139" s="5"/>
      <c r="Q139" s="5"/>
      <c r="R139" s="5"/>
      <c r="S139" s="5"/>
      <c r="T139" s="5"/>
      <c r="U139" s="5"/>
    </row>
    <row r="140" spans="2:27">
      <c r="B140" s="5"/>
      <c r="C140" s="17"/>
      <c r="D140" s="17"/>
      <c r="E140" s="17"/>
      <c r="F140" s="17"/>
      <c r="G140" s="17"/>
      <c r="H140" s="17"/>
      <c r="I140" s="5"/>
      <c r="J140" s="5"/>
      <c r="K140" s="5"/>
      <c r="L140" s="5"/>
      <c r="M140" s="5"/>
      <c r="N140" s="5"/>
      <c r="O140" s="5"/>
      <c r="Q140" s="5"/>
      <c r="R140" s="5"/>
      <c r="S140" s="5"/>
      <c r="T140" s="5"/>
      <c r="U140" s="5"/>
    </row>
    <row r="141" spans="2:27">
      <c r="B141" s="5"/>
      <c r="C141" s="5"/>
      <c r="D141" s="5"/>
      <c r="E141" s="5"/>
      <c r="F141" s="5"/>
      <c r="G141" s="5"/>
      <c r="H141" s="5"/>
      <c r="I141" s="5"/>
      <c r="J141" s="5"/>
      <c r="K141" s="5"/>
      <c r="L141" s="5"/>
      <c r="M141" s="5"/>
      <c r="N141" s="5"/>
      <c r="O141" s="5"/>
      <c r="Q141" s="5"/>
      <c r="R141" s="5"/>
      <c r="S141" s="5"/>
      <c r="T141" s="5"/>
      <c r="U141" s="5"/>
    </row>
    <row r="142" spans="2:27">
      <c r="B142" s="5"/>
      <c r="C142" s="5"/>
      <c r="D142" s="5"/>
      <c r="E142" s="5"/>
      <c r="F142" s="5"/>
      <c r="G142" s="5"/>
      <c r="H142" s="5"/>
      <c r="I142" s="5"/>
      <c r="J142" s="5"/>
      <c r="K142" s="5"/>
      <c r="L142" s="5"/>
      <c r="M142" s="5"/>
      <c r="N142" s="5"/>
      <c r="O142" s="5"/>
      <c r="Q142" s="5"/>
      <c r="R142" s="5"/>
      <c r="S142" s="5"/>
      <c r="T142" s="5"/>
      <c r="U142" s="5"/>
    </row>
    <row r="143" spans="2:27">
      <c r="B143" s="5"/>
      <c r="C143" s="5"/>
      <c r="D143" s="5"/>
      <c r="E143" s="5"/>
      <c r="F143" s="5"/>
      <c r="G143" s="5"/>
      <c r="H143" s="5"/>
      <c r="I143" s="5"/>
      <c r="J143" s="5"/>
      <c r="K143" s="5"/>
      <c r="L143" s="5"/>
      <c r="M143" s="5"/>
      <c r="N143" s="5"/>
      <c r="O143" s="5"/>
      <c r="Q143" s="5"/>
      <c r="R143" s="5"/>
      <c r="S143" s="5"/>
      <c r="T143" s="5"/>
      <c r="U143" s="5"/>
    </row>
    <row r="144" spans="2:27">
      <c r="B144" s="5"/>
      <c r="C144" s="5"/>
      <c r="D144" s="5"/>
      <c r="E144" s="5"/>
      <c r="F144" s="5"/>
      <c r="G144" s="5"/>
      <c r="H144" s="5"/>
      <c r="I144" s="5"/>
      <c r="J144" s="5"/>
      <c r="K144" s="5"/>
      <c r="L144" s="5"/>
      <c r="M144" s="5"/>
      <c r="N144" s="5"/>
      <c r="O144" s="5"/>
      <c r="Q144" s="5"/>
      <c r="R144" s="5"/>
      <c r="S144" s="5"/>
      <c r="T144" s="5"/>
      <c r="U144" s="5"/>
    </row>
    <row r="145" spans="2:21">
      <c r="B145" s="5"/>
      <c r="C145" s="5"/>
      <c r="D145" s="5"/>
      <c r="E145" s="5"/>
      <c r="F145" s="5"/>
      <c r="G145" s="5"/>
      <c r="H145" s="5"/>
      <c r="I145" s="5"/>
      <c r="J145" s="5"/>
      <c r="K145" s="5"/>
      <c r="L145" s="5"/>
      <c r="M145" s="5"/>
      <c r="N145" s="5"/>
      <c r="O145" s="5"/>
      <c r="Q145" s="5"/>
      <c r="R145" s="5"/>
      <c r="S145" s="5"/>
      <c r="T145" s="5"/>
      <c r="U145" s="5"/>
    </row>
    <row r="146" spans="2:21">
      <c r="B146" s="5"/>
      <c r="C146" s="5"/>
      <c r="D146" s="5"/>
      <c r="E146" s="5"/>
      <c r="F146" s="5"/>
      <c r="G146" s="5"/>
      <c r="H146" s="5"/>
      <c r="I146" s="5"/>
      <c r="J146" s="5"/>
      <c r="K146" s="5"/>
      <c r="L146" s="5"/>
      <c r="M146" s="5"/>
      <c r="N146" s="5"/>
      <c r="O146" s="5"/>
      <c r="Q146" s="5"/>
      <c r="R146" s="5"/>
      <c r="S146" s="5"/>
      <c r="T146" s="5"/>
      <c r="U146" s="5"/>
    </row>
    <row r="147" spans="2:21">
      <c r="B147" s="5"/>
      <c r="C147" s="5"/>
      <c r="D147" s="5"/>
      <c r="E147" s="5"/>
      <c r="F147" s="5"/>
      <c r="G147" s="5"/>
      <c r="H147" s="5"/>
      <c r="I147" s="5"/>
      <c r="J147" s="5"/>
      <c r="K147" s="5"/>
      <c r="L147" s="5"/>
      <c r="M147" s="5"/>
      <c r="N147" s="5"/>
      <c r="O147" s="5"/>
      <c r="Q147" s="5"/>
      <c r="R147" s="5"/>
      <c r="S147" s="5"/>
      <c r="T147" s="5"/>
      <c r="U147" s="5"/>
    </row>
    <row r="148" spans="2:21">
      <c r="B148" s="5"/>
      <c r="C148" s="5"/>
      <c r="D148" s="5"/>
      <c r="E148" s="5"/>
      <c r="F148" s="5"/>
      <c r="G148" s="5"/>
      <c r="H148" s="5"/>
      <c r="J148" s="5"/>
      <c r="K148" s="5"/>
      <c r="L148" s="5"/>
      <c r="M148" s="5"/>
      <c r="N148" s="5"/>
      <c r="O148" s="5"/>
      <c r="Q148" s="5"/>
      <c r="R148" s="5"/>
      <c r="S148" s="5"/>
      <c r="T148" s="5"/>
      <c r="U148" s="5"/>
    </row>
    <row r="149" spans="2:21">
      <c r="B149" s="5"/>
      <c r="C149" s="5"/>
      <c r="D149" s="5"/>
      <c r="E149" s="5"/>
      <c r="F149" s="5"/>
      <c r="G149" s="5"/>
      <c r="H149" s="5"/>
      <c r="J149" s="5"/>
      <c r="K149" s="5"/>
      <c r="L149" s="5"/>
      <c r="M149" s="5"/>
      <c r="N149" s="5"/>
      <c r="O149" s="5"/>
      <c r="Q149" s="5"/>
      <c r="R149" s="5"/>
      <c r="S149" s="5"/>
      <c r="T149" s="5"/>
      <c r="U149" s="5"/>
    </row>
    <row r="150" spans="2:21">
      <c r="B150" s="5"/>
      <c r="C150" s="5"/>
      <c r="D150" s="5"/>
      <c r="E150" s="5"/>
      <c r="F150" s="5"/>
      <c r="G150" s="5"/>
      <c r="H150" s="5"/>
      <c r="Q150" s="5"/>
      <c r="R150" s="5"/>
      <c r="S150" s="5"/>
      <c r="T150" s="5"/>
      <c r="U150" s="5"/>
    </row>
    <row r="151" spans="2:21">
      <c r="Q151" s="5"/>
      <c r="R151" s="5"/>
      <c r="S151" s="5"/>
      <c r="T151" s="5"/>
      <c r="U151" s="5"/>
    </row>
    <row r="152" spans="2:21">
      <c r="Q152" s="5"/>
      <c r="R152" s="5"/>
      <c r="S152" s="5"/>
      <c r="T152" s="5"/>
      <c r="U152" s="5"/>
    </row>
    <row r="153" spans="2:21">
      <c r="C153" s="263"/>
      <c r="Q153" s="5"/>
      <c r="R153" s="5"/>
      <c r="S153" s="5"/>
      <c r="T153" s="5"/>
      <c r="U153" s="5"/>
    </row>
    <row r="154" spans="2:21">
      <c r="Q154" s="5"/>
      <c r="R154" s="5"/>
      <c r="S154" s="5"/>
      <c r="T154" s="5"/>
      <c r="U154" s="5"/>
    </row>
    <row r="155" spans="2:21">
      <c r="Q155" s="5"/>
      <c r="R155" s="5"/>
      <c r="S155" s="5"/>
      <c r="T155" s="5"/>
      <c r="U155" s="5"/>
    </row>
    <row r="156" spans="2:21">
      <c r="Q156" s="5"/>
      <c r="R156" s="5"/>
      <c r="S156" s="5"/>
      <c r="T156" s="5"/>
      <c r="U156" s="5"/>
    </row>
    <row r="157" spans="2:21">
      <c r="Q157" s="5"/>
      <c r="R157" s="5"/>
      <c r="S157" s="5"/>
      <c r="T157" s="5"/>
      <c r="U157" s="5"/>
    </row>
    <row r="158" spans="2:21">
      <c r="Q158" s="5"/>
      <c r="R158" s="5"/>
      <c r="S158" s="5"/>
      <c r="T158" s="5"/>
      <c r="U158" s="5"/>
    </row>
    <row r="159" spans="2:21">
      <c r="Q159" s="5"/>
      <c r="R159" s="5"/>
      <c r="S159" s="5"/>
      <c r="T159" s="5"/>
      <c r="U159" s="5"/>
    </row>
    <row r="160" spans="2:21">
      <c r="Q160" s="5"/>
      <c r="R160" s="5"/>
      <c r="S160" s="5"/>
      <c r="T160" s="5"/>
      <c r="U160" s="5"/>
    </row>
    <row r="161" spans="17:21">
      <c r="Q161" s="5"/>
      <c r="R161" s="5"/>
      <c r="S161" s="5"/>
      <c r="T161" s="5"/>
      <c r="U161" s="5"/>
    </row>
    <row r="162" spans="17:21">
      <c r="Q162" s="5"/>
      <c r="R162" s="5"/>
      <c r="S162" s="5"/>
      <c r="T162" s="5"/>
      <c r="U162" s="5"/>
    </row>
    <row r="163" spans="17:21">
      <c r="Q163" s="5"/>
      <c r="R163" s="5"/>
      <c r="S163" s="5"/>
      <c r="T163" s="5"/>
      <c r="U163" s="5"/>
    </row>
    <row r="164" spans="17:21">
      <c r="Q164" s="5"/>
      <c r="R164" s="5"/>
      <c r="S164" s="5"/>
      <c r="T164" s="5"/>
      <c r="U164" s="5"/>
    </row>
  </sheetData>
  <phoneticPr fontId="7" type="noConversion"/>
  <pageMargins left="0.75" right="0.75" top="1" bottom="1" header="0.5" footer="0.5"/>
  <pageSetup scale="70" orientation="landscape" r:id="rId1"/>
  <headerFooter alignWithMargins="0"/>
  <drawing r:id="rId2"/>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C00-000000000000}">
  <sheetPr codeName="Sheet125">
    <tabColor theme="3" tint="0.59999389629810485"/>
    <pageSetUpPr fitToPage="1"/>
  </sheetPr>
  <dimension ref="B1:BK164"/>
  <sheetViews>
    <sheetView showGridLines="0" zoomScale="80" zoomScaleNormal="80" workbookViewId="0"/>
  </sheetViews>
  <sheetFormatPr defaultColWidth="8.88671875" defaultRowHeight="12"/>
  <cols>
    <col min="1" max="1" width="2.33203125" style="39" customWidth="1"/>
    <col min="2" max="2" width="26.6640625" style="39" customWidth="1"/>
    <col min="3" max="9" width="10" style="39" customWidth="1"/>
    <col min="10" max="10" width="26.6640625" style="39" customWidth="1"/>
    <col min="11" max="16" width="10" style="39" customWidth="1"/>
    <col min="17" max="17" width="4.5546875" style="39" customWidth="1"/>
    <col min="18" max="20" width="8.88671875" style="39"/>
    <col min="21" max="21" width="3.6640625" style="39" customWidth="1"/>
    <col min="22" max="63" width="9.109375" style="5" customWidth="1"/>
    <col min="64" max="16384" width="8.88671875" style="39"/>
  </cols>
  <sheetData>
    <row r="1" spans="2:63" s="312" customFormat="1">
      <c r="V1" s="149"/>
      <c r="W1" s="149"/>
      <c r="X1" s="149"/>
      <c r="Y1" s="149"/>
      <c r="Z1" s="149"/>
      <c r="AA1" s="149"/>
      <c r="AB1" s="149"/>
      <c r="AC1" s="149"/>
      <c r="AD1" s="149"/>
      <c r="AE1" s="149"/>
      <c r="AF1" s="149"/>
      <c r="AG1" s="149"/>
      <c r="AH1" s="149"/>
      <c r="AI1" s="149"/>
      <c r="AJ1" s="149"/>
      <c r="AK1" s="149"/>
      <c r="AL1" s="149"/>
      <c r="AM1" s="149"/>
      <c r="AN1" s="149"/>
      <c r="AO1" s="149"/>
      <c r="AP1" s="149"/>
      <c r="AQ1" s="149"/>
      <c r="AR1" s="149"/>
      <c r="AS1" s="149"/>
      <c r="AT1" s="149"/>
      <c r="AU1" s="149"/>
      <c r="AV1" s="149"/>
      <c r="AW1" s="149"/>
      <c r="AX1" s="149"/>
      <c r="AY1" s="149"/>
      <c r="AZ1" s="149"/>
      <c r="BA1" s="149"/>
      <c r="BB1" s="149"/>
      <c r="BC1" s="149"/>
      <c r="BD1" s="149"/>
      <c r="BE1" s="149"/>
      <c r="BF1" s="149"/>
      <c r="BG1" s="149"/>
      <c r="BH1" s="149"/>
      <c r="BI1" s="149"/>
      <c r="BJ1" s="149"/>
      <c r="BK1" s="149"/>
    </row>
    <row r="2" spans="2:63" s="312" customFormat="1">
      <c r="V2" s="149"/>
      <c r="W2" s="149"/>
      <c r="X2" s="149"/>
      <c r="Y2" s="149"/>
      <c r="Z2" s="149"/>
      <c r="AA2" s="149"/>
      <c r="AB2" s="149"/>
      <c r="AC2" s="149"/>
      <c r="AD2" s="149"/>
      <c r="AE2" s="149"/>
      <c r="AF2" s="149"/>
      <c r="AG2" s="149"/>
      <c r="AH2" s="149"/>
      <c r="AI2" s="149"/>
      <c r="AJ2" s="149"/>
      <c r="AK2" s="149"/>
      <c r="AL2" s="149"/>
      <c r="AM2" s="149"/>
      <c r="AN2" s="149"/>
      <c r="AO2" s="149"/>
      <c r="AP2" s="149"/>
      <c r="AQ2" s="149"/>
      <c r="AR2" s="149"/>
      <c r="AS2" s="149"/>
      <c r="AT2" s="149"/>
      <c r="AU2" s="149"/>
      <c r="AV2" s="149"/>
      <c r="AW2" s="149"/>
      <c r="AX2" s="149"/>
      <c r="AY2" s="149"/>
      <c r="AZ2" s="149"/>
      <c r="BA2" s="149"/>
      <c r="BB2" s="149"/>
      <c r="BC2" s="149"/>
      <c r="BD2" s="149"/>
      <c r="BE2" s="149"/>
      <c r="BF2" s="149"/>
      <c r="BG2" s="149"/>
      <c r="BH2" s="149"/>
      <c r="BI2" s="149"/>
      <c r="BJ2" s="149"/>
      <c r="BK2" s="149"/>
    </row>
    <row r="3" spans="2:63" s="149" customFormat="1">
      <c r="H3" s="153"/>
      <c r="P3" s="153"/>
    </row>
    <row r="4" spans="2:63" s="156" customFormat="1" ht="21">
      <c r="B4" s="129" t="s">
        <v>316</v>
      </c>
      <c r="H4" s="222"/>
      <c r="P4" s="222"/>
    </row>
    <row r="5" spans="2:63" s="149" customFormat="1">
      <c r="C5" s="153"/>
      <c r="D5" s="153" t="str" cm="1">
        <f t="array" ref="D5:H5">headings</f>
        <v>2023E</v>
      </c>
      <c r="E5" s="153" t="str">
        <v>2024E</v>
      </c>
      <c r="F5" s="153" t="str">
        <v>2025E</v>
      </c>
      <c r="G5" s="153" t="str">
        <v>2026E</v>
      </c>
      <c r="H5" s="153" t="str">
        <v>23E-26E</v>
      </c>
      <c r="I5" s="153"/>
      <c r="J5" s="153"/>
      <c r="K5" s="153"/>
      <c r="L5" s="153" t="str" cm="1">
        <f t="array" ref="L5:P5">headings</f>
        <v>2023E</v>
      </c>
      <c r="M5" s="153" t="str">
        <v>2024E</v>
      </c>
      <c r="N5" s="153" t="str">
        <v>2025E</v>
      </c>
      <c r="O5" s="153" t="str">
        <v>2026E</v>
      </c>
      <c r="P5" s="153" t="str">
        <v>23E-26E</v>
      </c>
      <c r="Q5" s="162"/>
      <c r="R5" s="162"/>
      <c r="S5" s="162"/>
      <c r="T5" s="162"/>
      <c r="U5" s="162"/>
      <c r="V5" s="162"/>
      <c r="W5" s="162"/>
      <c r="X5" s="162"/>
      <c r="Y5" s="162"/>
    </row>
    <row r="6" spans="2:63">
      <c r="I6" s="5"/>
      <c r="J6" s="5"/>
      <c r="K6" s="5"/>
      <c r="L6" s="5"/>
      <c r="M6" s="5"/>
      <c r="N6" s="5"/>
      <c r="O6" s="49"/>
    </row>
    <row r="7" spans="2:63" ht="12.6" thickBot="1">
      <c r="B7" s="306" t="s">
        <v>271</v>
      </c>
      <c r="C7" s="265"/>
      <c r="D7" s="265"/>
      <c r="E7" s="265"/>
      <c r="F7" s="265"/>
      <c r="G7" s="265"/>
      <c r="H7" s="265"/>
      <c r="I7" s="49"/>
      <c r="J7" s="306" t="s">
        <v>550</v>
      </c>
      <c r="K7" s="306"/>
      <c r="L7" s="306"/>
      <c r="M7" s="306"/>
      <c r="N7" s="266"/>
      <c r="O7" s="266"/>
      <c r="P7" s="266"/>
    </row>
    <row r="8" spans="2:63" ht="12.6" thickTop="1">
      <c r="B8" s="5"/>
      <c r="C8" s="5"/>
      <c r="D8" s="5"/>
      <c r="E8" s="5"/>
      <c r="F8" s="5"/>
      <c r="G8" s="5"/>
      <c r="H8" s="5"/>
      <c r="I8" s="5"/>
      <c r="J8" s="5"/>
      <c r="K8" s="5"/>
      <c r="L8" s="5"/>
      <c r="M8" s="5"/>
      <c r="N8" s="5"/>
    </row>
    <row r="9" spans="2:63">
      <c r="B9" s="41" t="s">
        <v>500</v>
      </c>
      <c r="C9" s="287"/>
      <c r="D9" s="5"/>
      <c r="E9" s="249"/>
      <c r="F9" s="249"/>
      <c r="G9" s="249"/>
      <c r="H9" s="249"/>
      <c r="I9" s="249"/>
      <c r="J9" s="5" t="s">
        <v>273</v>
      </c>
      <c r="L9" s="64">
        <f>'AGG EM'!D37</f>
        <v>36.099467473183068</v>
      </c>
      <c r="M9" s="64">
        <f>'AGG EM'!E37</f>
        <v>33.850821771625633</v>
      </c>
      <c r="N9" s="64">
        <f>'AGG EM'!F37</f>
        <v>28.989720438526753</v>
      </c>
      <c r="O9" s="64">
        <f>'AGG EM'!G37</f>
        <v>24.505387911772221</v>
      </c>
      <c r="P9" s="17">
        <f>'AGG EM'!H37</f>
        <v>4.6033064370190946E-2</v>
      </c>
    </row>
    <row r="10" spans="2:63">
      <c r="B10" s="5" t="s">
        <v>274</v>
      </c>
      <c r="C10" s="5"/>
      <c r="D10" s="332"/>
      <c r="E10" s="332"/>
      <c r="F10" s="332"/>
      <c r="G10" s="332"/>
      <c r="H10" s="247"/>
      <c r="I10" s="247"/>
      <c r="J10" s="5" t="s">
        <v>184</v>
      </c>
      <c r="L10" s="64">
        <f>'AGG EM'!D38</f>
        <v>105.42482757786077</v>
      </c>
      <c r="M10" s="64">
        <f>'AGG EM'!E38</f>
        <v>98.32493726594646</v>
      </c>
      <c r="N10" s="64">
        <f>'AGG EM'!F38</f>
        <v>83.460498540205094</v>
      </c>
      <c r="O10" s="64">
        <f>'AGG EM'!G38</f>
        <v>69.927868752575165</v>
      </c>
      <c r="P10" s="17">
        <f>'AGG EM'!H38</f>
        <v>5.4135753422354771E-2</v>
      </c>
      <c r="W10" s="10"/>
      <c r="X10" s="10"/>
      <c r="Y10" s="10"/>
      <c r="Z10" s="10"/>
    </row>
    <row r="11" spans="2:63">
      <c r="B11" s="41" t="s">
        <v>359</v>
      </c>
      <c r="C11" s="5"/>
      <c r="D11" s="271">
        <f>'LATAM INCUMB'!D11+'EMEA INCUMB'!D11+'EM ASIA INCUMB'!D11</f>
        <v>9150625.8998636249</v>
      </c>
      <c r="E11" s="271">
        <f>'LATAM INCUMB'!E11+'EMEA INCUMB'!E11+'EM ASIA INCUMB'!E11</f>
        <v>9335873.7546015661</v>
      </c>
      <c r="F11" s="271">
        <f>'LATAM INCUMB'!F11+'EMEA INCUMB'!F11+'EM ASIA INCUMB'!F11</f>
        <v>9333739.334287094</v>
      </c>
      <c r="G11" s="271">
        <f>'LATAM INCUMB'!G11+'EMEA INCUMB'!G11+'EM ASIA INCUMB'!G11</f>
        <v>9331578.1838940047</v>
      </c>
      <c r="H11" s="249"/>
      <c r="I11" s="249"/>
      <c r="J11" s="5" t="s">
        <v>185</v>
      </c>
      <c r="L11" s="64">
        <f>'AGG EM'!D39</f>
        <v>224.63525692719486</v>
      </c>
      <c r="M11" s="64">
        <f>'AGG EM'!E39</f>
        <v>195.27313510926092</v>
      </c>
      <c r="N11" s="64">
        <f>'AGG EM'!F39</f>
        <v>156.82951036244214</v>
      </c>
      <c r="O11" s="64">
        <f>'AGG EM'!G39</f>
        <v>125.44852848860397</v>
      </c>
      <c r="P11" s="17">
        <f>'AGG EM'!H39</f>
        <v>0.11635706268692725</v>
      </c>
      <c r="W11" s="10"/>
      <c r="X11" s="10"/>
      <c r="Y11" s="10"/>
      <c r="Z11" s="10"/>
    </row>
    <row r="12" spans="2:63">
      <c r="B12" s="5" t="s">
        <v>229</v>
      </c>
      <c r="C12" s="249"/>
      <c r="D12" s="228">
        <f>'LATAM INCUMB'!D12+'EMEA INCUMB'!D12+'EM ASIA INCUMB'!D12</f>
        <v>7374267.5365109453</v>
      </c>
      <c r="E12" s="228">
        <f>'LATAM INCUMB'!E12+'EMEA INCUMB'!E12+'EM ASIA INCUMB'!E12</f>
        <v>6911592.2464281693</v>
      </c>
      <c r="F12" s="228">
        <f>'LATAM INCUMB'!F12+'EMEA INCUMB'!F12+'EM ASIA INCUMB'!F12</f>
        <v>5790457.8503889125</v>
      </c>
      <c r="G12" s="228">
        <f>'LATAM INCUMB'!G12+'EMEA INCUMB'!G12+'EM ASIA INCUMB'!G12</f>
        <v>4676391.3958348539</v>
      </c>
      <c r="H12" s="247"/>
      <c r="I12" s="247"/>
      <c r="J12" s="5" t="s">
        <v>466</v>
      </c>
      <c r="L12" s="64">
        <f>'AGG EM'!D40</f>
        <v>301.14194802237273</v>
      </c>
      <c r="M12" s="64">
        <f>'AGG EM'!E40</f>
        <v>259.63239152824843</v>
      </c>
      <c r="N12" s="64">
        <f>'AGG EM'!F40</f>
        <v>208.91697606045113</v>
      </c>
      <c r="O12" s="64">
        <f>'AGG EM'!G40</f>
        <v>167.13793424632385</v>
      </c>
      <c r="P12" s="17">
        <f>'AGG EM'!H40</f>
        <v>0.11865907373414464</v>
      </c>
      <c r="W12" s="10"/>
      <c r="X12" s="10"/>
      <c r="Y12" s="10"/>
      <c r="Z12" s="10"/>
    </row>
    <row r="13" spans="2:63">
      <c r="B13" s="5" t="s">
        <v>529</v>
      </c>
      <c r="C13" s="257"/>
      <c r="D13" s="228">
        <f>'LATAM INCUMB'!D13+'EMEA INCUMB'!D13+'EM ASIA INCUMB'!D13</f>
        <v>1468253.6279611439</v>
      </c>
      <c r="E13" s="228">
        <f>'LATAM INCUMB'!E13+'EMEA INCUMB'!E13+'EM ASIA INCUMB'!E13</f>
        <v>1383107.1154468188</v>
      </c>
      <c r="F13" s="228">
        <f>'LATAM INCUMB'!F13+'EMEA INCUMB'!F13+'EM ASIA INCUMB'!F13</f>
        <v>1290723.1493687765</v>
      </c>
      <c r="G13" s="228">
        <f>'LATAM INCUMB'!G13+'EMEA INCUMB'!G13+'EM ASIA INCUMB'!G13</f>
        <v>1190486.5461741004</v>
      </c>
      <c r="H13" s="247"/>
      <c r="I13" s="247"/>
      <c r="J13" s="5" t="s">
        <v>530</v>
      </c>
      <c r="L13" s="64">
        <f>'AGG EM'!D41</f>
        <v>27.243713322021154</v>
      </c>
      <c r="M13" s="64">
        <f>'AGG EM'!E41</f>
        <v>27.089658338273644</v>
      </c>
      <c r="N13" s="64">
        <f>'AGG EM'!F41</f>
        <v>24.66957505581005</v>
      </c>
      <c r="O13" s="64">
        <f>'AGG EM'!G41</f>
        <v>22.040277006694431</v>
      </c>
      <c r="P13" s="17">
        <f>'AGG EM'!H41</f>
        <v>-1.3382626032309664E-2</v>
      </c>
    </row>
    <row r="14" spans="2:63">
      <c r="B14" s="5" t="s">
        <v>532</v>
      </c>
      <c r="C14" s="274"/>
      <c r="D14" s="228">
        <f>'LATAM INCUMB'!D14+'EMEA INCUMB'!D14+'EM ASIA INCUMB'!D14</f>
        <v>26079.149273408693</v>
      </c>
      <c r="E14" s="228">
        <f>'LATAM INCUMB'!E14+'EMEA INCUMB'!E14+'EM ASIA INCUMB'!E14</f>
        <v>26389.738422200306</v>
      </c>
      <c r="F14" s="228">
        <f>'LATAM INCUMB'!F14+'EMEA INCUMB'!F14+'EM ASIA INCUMB'!F14</f>
        <v>26389.738422200306</v>
      </c>
      <c r="G14" s="228">
        <f>'LATAM INCUMB'!G14+'EMEA INCUMB'!G14+'EM ASIA INCUMB'!G14</f>
        <v>26389.738422200306</v>
      </c>
      <c r="H14" s="247"/>
      <c r="I14" s="247"/>
      <c r="J14" s="5" t="s">
        <v>593</v>
      </c>
      <c r="L14" s="64">
        <f>'AGG EM'!D42</f>
        <v>42.295202413837345</v>
      </c>
      <c r="M14" s="64">
        <f>'AGG EM'!E42</f>
        <v>41.555857792028846</v>
      </c>
      <c r="N14" s="64">
        <f>'AGG EM'!F42</f>
        <v>37.316788882264667</v>
      </c>
      <c r="O14" s="64">
        <f>'AGG EM'!G42</f>
        <v>33.586664495982959</v>
      </c>
      <c r="P14" s="17">
        <f>'AGG EM'!H42</f>
        <v>-7.2488050935257675E-3</v>
      </c>
    </row>
    <row r="15" spans="2:63">
      <c r="B15" s="5" t="s">
        <v>531</v>
      </c>
      <c r="C15" s="257"/>
      <c r="D15" s="228">
        <f>'LATAM INCUMB'!D15+'EMEA INCUMB'!D15+'EM ASIA INCUMB'!D15</f>
        <v>16977.432222090047</v>
      </c>
      <c r="E15" s="228">
        <f>'LATAM INCUMB'!E15+'EMEA INCUMB'!E15+'EM ASIA INCUMB'!E15</f>
        <v>17025.961776588738</v>
      </c>
      <c r="F15" s="228">
        <f>'LATAM INCUMB'!F15+'EMEA INCUMB'!F15+'EM ASIA INCUMB'!F15</f>
        <v>17025.961776588738</v>
      </c>
      <c r="G15" s="228">
        <f>'LATAM INCUMB'!G15+'EMEA INCUMB'!G15+'EM ASIA INCUMB'!G15</f>
        <v>17025.961776588738</v>
      </c>
      <c r="H15" s="247"/>
      <c r="I15" s="247"/>
      <c r="J15" s="5" t="s">
        <v>475</v>
      </c>
      <c r="L15" s="64">
        <f>'AGG EM'!D43</f>
        <v>19.300585311517345</v>
      </c>
      <c r="M15" s="64">
        <f>'AGG EM'!E43</f>
        <v>15.882933755129079</v>
      </c>
      <c r="N15" s="64">
        <f>'AGG EM'!F43</f>
        <v>13.174403404675031</v>
      </c>
      <c r="O15" s="64">
        <f>'AGG EM'!G43</f>
        <v>11.229961793899795</v>
      </c>
      <c r="P15" s="17">
        <f>'AGG EM'!H43</f>
        <v>0.19549120190388991</v>
      </c>
      <c r="S15" s="88"/>
      <c r="T15" s="88"/>
      <c r="U15" s="88"/>
      <c r="V15" s="42"/>
      <c r="W15" s="42"/>
      <c r="X15" s="42"/>
      <c r="Y15" s="42"/>
      <c r="Z15" s="42"/>
      <c r="AA15" s="42"/>
    </row>
    <row r="16" spans="2:63">
      <c r="B16" s="5" t="s">
        <v>534</v>
      </c>
      <c r="C16" s="257"/>
      <c r="D16" s="228">
        <f>'LATAM INCUMB'!D16+'EMEA INCUMB'!D16+'EM ASIA INCUMB'!D16</f>
        <v>13863.761610869813</v>
      </c>
      <c r="E16" s="228">
        <f>'LATAM INCUMB'!E16+'EMEA INCUMB'!E16+'EM ASIA INCUMB'!E16</f>
        <v>18065.02416331102</v>
      </c>
      <c r="F16" s="228">
        <f>'LATAM INCUMB'!F16+'EMEA INCUMB'!F16+'EM ASIA INCUMB'!F16</f>
        <v>542092.38574864971</v>
      </c>
      <c r="G16" s="228">
        <f>'LATAM INCUMB'!G16+'EMEA INCUMB'!G16+'EM ASIA INCUMB'!G16</f>
        <v>1153013.2445417256</v>
      </c>
      <c r="H16" s="247"/>
      <c r="I16" s="247"/>
      <c r="J16" s="5" t="s">
        <v>533</v>
      </c>
      <c r="L16" s="64">
        <f>'AGG EM'!D44</f>
        <v>245.42467510563969</v>
      </c>
      <c r="M16" s="64">
        <f>'AGG EM'!E44</f>
        <v>213.62789634539095</v>
      </c>
      <c r="N16" s="64">
        <f>'AGG EM'!F44</f>
        <v>181.57395789810795</v>
      </c>
      <c r="O16" s="64">
        <f>'AGG EM'!G44</f>
        <v>158.59598060321596</v>
      </c>
      <c r="P16" s="17">
        <f>'AGG EM'!H44</f>
        <v>0.16397795492835376</v>
      </c>
      <c r="S16" s="88"/>
      <c r="T16" s="88"/>
      <c r="U16" s="88"/>
      <c r="V16" s="42"/>
      <c r="W16" s="42"/>
      <c r="X16" s="42"/>
      <c r="Y16" s="42"/>
      <c r="Z16" s="42"/>
      <c r="AA16" s="42"/>
    </row>
    <row r="17" spans="2:27">
      <c r="B17" s="5" t="s">
        <v>6</v>
      </c>
      <c r="C17" s="257"/>
      <c r="D17" s="228">
        <f>'LATAM INCUMB'!D17+'EMEA INCUMB'!D17+'EM ASIA INCUMB'!D17</f>
        <v>570548.37014633161</v>
      </c>
      <c r="E17" s="228">
        <f>'LATAM INCUMB'!E17+'EMEA INCUMB'!E17+'EM ASIA INCUMB'!E17</f>
        <v>570455.05877398152</v>
      </c>
      <c r="F17" s="228">
        <f>'LATAM INCUMB'!F17+'EMEA INCUMB'!F17+'EM ASIA INCUMB'!F17</f>
        <v>570448.0835256537</v>
      </c>
      <c r="G17" s="228">
        <f>'LATAM INCUMB'!G17+'EMEA INCUMB'!G17+'EM ASIA INCUMB'!G17</f>
        <v>570531.32312055875</v>
      </c>
      <c r="H17" s="247"/>
      <c r="I17" s="247"/>
      <c r="J17" s="5" t="s">
        <v>580</v>
      </c>
      <c r="L17" s="248">
        <f>'AGG EM'!D45</f>
        <v>2.9794876849606393E-3</v>
      </c>
      <c r="M17" s="248">
        <f>'AGG EM'!E45</f>
        <v>3.2338565373739416E-3</v>
      </c>
      <c r="N17" s="248">
        <f>'AGG EM'!F45</f>
        <v>3.7591690821787136E-3</v>
      </c>
      <c r="O17" s="248">
        <f>'AGG EM'!G45</f>
        <v>4.3245157193855478E-3</v>
      </c>
      <c r="P17" s="17">
        <f>'AGG EM'!H45</f>
        <v>0.13937853690845947</v>
      </c>
      <c r="S17" s="88"/>
      <c r="T17" s="88"/>
      <c r="U17" s="88"/>
      <c r="V17" s="42"/>
      <c r="W17" s="42"/>
      <c r="X17" s="42"/>
      <c r="Y17" s="42"/>
      <c r="Z17" s="42"/>
      <c r="AA17" s="42"/>
    </row>
    <row r="18" spans="2:27" ht="12.6" thickBot="1">
      <c r="B18" s="41" t="s">
        <v>360</v>
      </c>
      <c r="C18" s="249"/>
      <c r="D18" s="275">
        <f>'LATAM INCUMB'!D18+'EMEA INCUMB'!D18+'EM ASIA INCUMB'!D18</f>
        <v>17398470.835637841</v>
      </c>
      <c r="E18" s="275">
        <f>'LATAM INCUMB'!E18+'EMEA INCUMB'!E18+'EM ASIA INCUMB'!E18</f>
        <v>17031862.806345262</v>
      </c>
      <c r="F18" s="275">
        <f>'LATAM INCUMB'!F18+'EMEA INCUMB'!F18+'EM ASIA INCUMB'!F18</f>
        <v>15292540.683737796</v>
      </c>
      <c r="G18" s="275">
        <f>'LATAM INCUMB'!G18+'EMEA INCUMB'!G18+'EM ASIA INCUMB'!G18</f>
        <v>13465439.220446562</v>
      </c>
      <c r="H18" s="276">
        <f>IF(D18=0,"nm",IF(G18=0,"nm",(G18/D18)^(1/3)-1))</f>
        <v>-8.1872177691325598E-2</v>
      </c>
      <c r="I18" s="254"/>
      <c r="J18" s="5" t="s">
        <v>36</v>
      </c>
      <c r="L18" s="248" t="e">
        <f>'AGG EM'!D46</f>
        <v>#VALUE!</v>
      </c>
      <c r="M18" s="248" t="e">
        <f>'AGG EM'!E46</f>
        <v>#VALUE!</v>
      </c>
      <c r="N18" s="248" t="e">
        <f>'AGG EM'!F46</f>
        <v>#VALUE!</v>
      </c>
      <c r="O18" s="248" t="e">
        <f>'AGG EM'!G46</f>
        <v>#VALUE!</v>
      </c>
      <c r="P18" s="17" t="e">
        <f>'AGG EM'!H46</f>
        <v>#VALUE!</v>
      </c>
      <c r="S18" s="88"/>
      <c r="T18" s="88"/>
      <c r="U18" s="88"/>
      <c r="V18" s="42"/>
      <c r="W18" s="42"/>
      <c r="X18" s="42"/>
      <c r="Y18" s="42"/>
      <c r="Z18" s="42"/>
      <c r="AA18" s="42"/>
    </row>
    <row r="19" spans="2:27" ht="12.6" thickTop="1">
      <c r="B19" s="41"/>
      <c r="C19" s="249"/>
      <c r="D19" s="229"/>
      <c r="E19" s="229"/>
      <c r="F19" s="229"/>
      <c r="G19" s="229"/>
      <c r="H19" s="276"/>
      <c r="I19" s="17"/>
      <c r="J19" s="5" t="s">
        <v>581</v>
      </c>
      <c r="L19" s="248">
        <f>'AGG EM'!D47</f>
        <v>5.1811900201972863E-2</v>
      </c>
      <c r="M19" s="248">
        <f>'AGG EM'!E47</f>
        <v>6.2960660506253749E-2</v>
      </c>
      <c r="N19" s="248">
        <f>'AGG EM'!F47</f>
        <v>7.5904765421494755E-2</v>
      </c>
      <c r="O19" s="248">
        <f>'AGG EM'!G47</f>
        <v>8.9047497965951045E-2</v>
      </c>
      <c r="P19" s="17">
        <f>'AGG EM'!H47</f>
        <v>0.19549120190388991</v>
      </c>
      <c r="S19" s="88"/>
      <c r="T19" s="88"/>
      <c r="U19" s="88"/>
      <c r="V19" s="42"/>
      <c r="W19" s="42"/>
      <c r="X19" s="42"/>
      <c r="Y19" s="42"/>
      <c r="Z19" s="42"/>
      <c r="AA19" s="42"/>
    </row>
    <row r="20" spans="2:27">
      <c r="H20" s="277"/>
      <c r="I20" s="49"/>
      <c r="J20" s="5" t="s">
        <v>604</v>
      </c>
      <c r="L20" s="248">
        <f>'AGG EM'!D48</f>
        <v>0.78546224095974659</v>
      </c>
      <c r="M20" s="248">
        <f>'AGG EM'!E48</f>
        <v>0.71334963498575799</v>
      </c>
      <c r="N20" s="248">
        <f>'AGG EM'!F48</f>
        <v>0.68989991347231316</v>
      </c>
      <c r="O20" s="248">
        <f>'AGG EM'!G48</f>
        <v>0.67997079786563763</v>
      </c>
      <c r="P20" s="17" t="str">
        <f>'AGG EM'!H48</f>
        <v>nm</v>
      </c>
      <c r="S20" s="42"/>
      <c r="T20" s="42"/>
      <c r="U20" s="42"/>
      <c r="V20" s="42"/>
      <c r="W20" s="42"/>
      <c r="X20" s="42"/>
      <c r="Y20" s="42"/>
      <c r="Z20" s="42"/>
      <c r="AA20" s="42"/>
    </row>
    <row r="21" spans="2:27" ht="12.6" thickBot="1">
      <c r="B21" s="306" t="s">
        <v>482</v>
      </c>
      <c r="C21" s="265">
        <v>2020</v>
      </c>
      <c r="D21" s="265" t="str">
        <f>D5</f>
        <v>2023E</v>
      </c>
      <c r="E21" s="265" t="str">
        <f>E5</f>
        <v>2024E</v>
      </c>
      <c r="F21" s="265" t="str">
        <f>F5</f>
        <v>2025E</v>
      </c>
      <c r="G21" s="265" t="str">
        <f>G5</f>
        <v>2026E</v>
      </c>
      <c r="H21" s="282" t="str">
        <f>H5</f>
        <v>23E-26E</v>
      </c>
      <c r="I21" s="17"/>
      <c r="S21" s="42"/>
      <c r="T21" s="42"/>
      <c r="U21" s="42"/>
      <c r="V21" s="42"/>
      <c r="W21" s="42"/>
      <c r="X21" s="42"/>
      <c r="Y21" s="42"/>
      <c r="Z21" s="42"/>
      <c r="AA21" s="42"/>
    </row>
    <row r="22" spans="2:27" ht="12.6" thickTop="1">
      <c r="B22" s="5"/>
      <c r="C22" s="257"/>
      <c r="D22" s="17"/>
      <c r="E22" s="17"/>
      <c r="F22" s="17"/>
      <c r="G22" s="17"/>
      <c r="H22" s="17"/>
      <c r="I22" s="247"/>
      <c r="P22" s="277"/>
      <c r="S22" s="42"/>
      <c r="T22" s="42"/>
      <c r="U22" s="42"/>
      <c r="V22" s="42"/>
      <c r="W22" s="42"/>
      <c r="X22" s="42"/>
      <c r="Y22" s="42"/>
      <c r="Z22" s="42"/>
      <c r="AA22" s="42"/>
    </row>
    <row r="23" spans="2:27" ht="12.6" thickBot="1">
      <c r="B23" s="5" t="s">
        <v>584</v>
      </c>
      <c r="C23" s="365">
        <f>'LATAM INCUMB'!C23+'EMEA INCUMB'!C23+'EM ASIA INCUMB'!C23</f>
        <v>212184.30387476832</v>
      </c>
      <c r="D23" s="228">
        <f>'LATAM INCUMB'!D23+'EMEA INCUMB'!D23+'EM ASIA INCUMB'!D23</f>
        <v>224815.11212872987</v>
      </c>
      <c r="E23" s="228">
        <f>'LATAM INCUMB'!E23+'EMEA INCUMB'!E23+'EM ASIA INCUMB'!E23</f>
        <v>234880.32007866912</v>
      </c>
      <c r="F23" s="228">
        <f>'LATAM INCUMB'!F23+'EMEA INCUMB'!F23+'EM ASIA INCUMB'!F23</f>
        <v>245069.67203917512</v>
      </c>
      <c r="G23" s="228">
        <f>'LATAM INCUMB'!G23+'EMEA INCUMB'!G23+'EM ASIA INCUMB'!G23</f>
        <v>253785.93765141902</v>
      </c>
      <c r="H23" s="279">
        <f t="shared" ref="H23:H33" si="0">IF(D23=0,"nm",IF(G23=0,"nm",(G23/D23)^(1/3)-1))</f>
        <v>4.1231626442215452E-2</v>
      </c>
      <c r="I23" s="249"/>
      <c r="J23" s="306" t="s">
        <v>9</v>
      </c>
      <c r="K23" s="306"/>
      <c r="L23" s="265" t="str">
        <f>L5</f>
        <v>2023E</v>
      </c>
      <c r="M23" s="265" t="str">
        <f>M5</f>
        <v>2024E</v>
      </c>
      <c r="N23" s="265" t="str">
        <f>N5</f>
        <v>2025E</v>
      </c>
      <c r="O23" s="265" t="str">
        <f>O5</f>
        <v>2026E</v>
      </c>
      <c r="P23" s="282" t="str">
        <f>P5</f>
        <v>23E-26E</v>
      </c>
      <c r="S23" s="42"/>
      <c r="T23" s="42"/>
      <c r="U23" s="42"/>
      <c r="V23" s="42"/>
      <c r="W23" s="42" t="s">
        <v>561</v>
      </c>
      <c r="X23" s="42" t="s">
        <v>26</v>
      </c>
      <c r="Y23" s="42"/>
      <c r="Z23" s="42"/>
      <c r="AA23" s="42"/>
    </row>
    <row r="24" spans="2:27" ht="12.6" thickTop="1">
      <c r="B24" s="5" t="s">
        <v>483</v>
      </c>
      <c r="C24" s="365">
        <f>'LATAM INCUMB'!C24+'EMEA INCUMB'!C24+'EM ASIA INCUMB'!C24</f>
        <v>65925.800618827227</v>
      </c>
      <c r="D24" s="228">
        <f>'LATAM INCUMB'!D24+'EMEA INCUMB'!D24+'EM ASIA INCUMB'!D24</f>
        <v>69106.509460104033</v>
      </c>
      <c r="E24" s="228">
        <f>'LATAM INCUMB'!E24+'EMEA INCUMB'!E24+'EM ASIA INCUMB'!E24</f>
        <v>72330.329659922791</v>
      </c>
      <c r="F24" s="228">
        <f>'LATAM INCUMB'!F24+'EMEA INCUMB'!F24+'EM ASIA INCUMB'!F24</f>
        <v>75672.667060052932</v>
      </c>
      <c r="G24" s="228">
        <f>'LATAM INCUMB'!G24+'EMEA INCUMB'!G24+'EM ASIA INCUMB'!G24</f>
        <v>78934.427916350789</v>
      </c>
      <c r="H24" s="279">
        <f t="shared" si="0"/>
        <v>4.5319782471582526E-2</v>
      </c>
      <c r="I24" s="248"/>
      <c r="J24" s="17"/>
      <c r="K24" s="17"/>
      <c r="L24" s="17"/>
      <c r="M24" s="17"/>
      <c r="N24" s="17"/>
      <c r="O24" s="248"/>
      <c r="S24" s="42"/>
      <c r="T24" s="42"/>
      <c r="U24" s="42"/>
      <c r="V24" s="147" t="s">
        <v>273</v>
      </c>
      <c r="W24" s="288">
        <f t="shared" ref="W24:W31" si="1">E37/M9</f>
        <v>2.142132369801816</v>
      </c>
      <c r="X24" s="288">
        <v>1</v>
      </c>
      <c r="Y24" s="42"/>
      <c r="Z24" s="42"/>
      <c r="AA24" s="42"/>
    </row>
    <row r="25" spans="2:27">
      <c r="B25" s="5" t="s">
        <v>183</v>
      </c>
      <c r="C25" s="365">
        <f>'LATAM INCUMB'!C25+'EMEA INCUMB'!C25+'EM ASIA INCUMB'!C25</f>
        <v>24586.601731079776</v>
      </c>
      <c r="D25" s="228">
        <f>'LATAM INCUMB'!D25+'EMEA INCUMB'!D25+'EM ASIA INCUMB'!D25</f>
        <v>27451.359222394785</v>
      </c>
      <c r="E25" s="228">
        <f>'LATAM INCUMB'!E25+'EMEA INCUMB'!E25+'EM ASIA INCUMB'!E25</f>
        <v>32755.054114337538</v>
      </c>
      <c r="F25" s="228">
        <f>'LATAM INCUMB'!F25+'EMEA INCUMB'!F25+'EM ASIA INCUMB'!F25</f>
        <v>36239.323903204349</v>
      </c>
      <c r="G25" s="228">
        <f>'LATAM INCUMB'!G25+'EMEA INCUMB'!G25+'EM ASIA INCUMB'!G25</f>
        <v>39618.847338120846</v>
      </c>
      <c r="H25" s="279">
        <f t="shared" si="0"/>
        <v>0.13008903497063584</v>
      </c>
      <c r="I25" s="249"/>
      <c r="J25" s="247" t="s">
        <v>10</v>
      </c>
      <c r="K25" s="247"/>
      <c r="L25" s="332">
        <f>'LATAM INCUMB'!L25+'EMEA INCUMB'!L25+'EM ASIA INCUMB'!L25</f>
        <v>13554.70641358566</v>
      </c>
      <c r="M25" s="332">
        <f>'LATAM INCUMB'!M25+'EMEA INCUMB'!M25+'EM ASIA INCUMB'!M25</f>
        <v>13554.806857556436</v>
      </c>
      <c r="N25" s="332">
        <f>'LATAM INCUMB'!N25+'EMEA INCUMB'!N25+'EM ASIA INCUMB'!N25</f>
        <v>13554.806857556436</v>
      </c>
      <c r="O25" s="332">
        <f>'LATAM INCUMB'!O25+'EMEA INCUMB'!O25+'EM ASIA INCUMB'!O25</f>
        <v>13554.806857556436</v>
      </c>
      <c r="P25" s="279">
        <f>IF(L25=0,"nm",IF(O25=0,"nm",(O25/L25)^(1/3)-1))</f>
        <v>2.4700823366696767E-6</v>
      </c>
      <c r="Q25" s="5"/>
      <c r="S25" s="42"/>
      <c r="T25" s="42"/>
      <c r="U25" s="42"/>
      <c r="V25" s="147" t="s">
        <v>184</v>
      </c>
      <c r="W25" s="288">
        <f t="shared" si="1"/>
        <v>2.3948484055226587</v>
      </c>
      <c r="X25" s="288">
        <v>1</v>
      </c>
      <c r="Y25" s="42"/>
      <c r="Z25" s="42"/>
      <c r="AA25" s="42"/>
    </row>
    <row r="26" spans="2:27">
      <c r="B26" s="5" t="s">
        <v>586</v>
      </c>
      <c r="C26" s="365">
        <f>'LATAM INCUMB'!C26+'EMEA INCUMB'!C26+'EM ASIA INCUMB'!C26</f>
        <v>17992.429100326444</v>
      </c>
      <c r="D26" s="228">
        <f>'LATAM INCUMB'!D26+'EMEA INCUMB'!D26+'EM ASIA INCUMB'!D26</f>
        <v>19483.803468701899</v>
      </c>
      <c r="E26" s="228">
        <f>'LATAM INCUMB'!E26+'EMEA INCUMB'!E26+'EM ASIA INCUMB'!E26</f>
        <v>24131.15134825425</v>
      </c>
      <c r="F26" s="228">
        <f>'LATAM INCUMB'!F26+'EMEA INCUMB'!F26+'EM ASIA INCUMB'!F26</f>
        <v>26767.498327522269</v>
      </c>
      <c r="G26" s="228">
        <f>'LATAM INCUMB'!G26+'EMEA INCUMB'!G26+'EM ASIA INCUMB'!G26</f>
        <v>29378.917202065328</v>
      </c>
      <c r="H26" s="279">
        <f t="shared" si="0"/>
        <v>0.14671109623312839</v>
      </c>
      <c r="I26" s="249"/>
      <c r="J26" s="249" t="s">
        <v>11</v>
      </c>
      <c r="K26" s="249"/>
      <c r="L26" s="281">
        <f>'LATAM INCUMB'!L26+'EMEA INCUMB'!L26+'EM ASIA INCUMB'!L26</f>
        <v>213593.15315238229</v>
      </c>
      <c r="M26" s="281">
        <f>'LATAM INCUMB'!M26+'EMEA INCUMB'!M26+'EM ASIA INCUMB'!M26</f>
        <v>212018.6695482402</v>
      </c>
      <c r="N26" s="281">
        <f>'LATAM INCUMB'!N26+'EMEA INCUMB'!N26+'EM ASIA INCUMB'!N26</f>
        <v>209884.24923376867</v>
      </c>
      <c r="O26" s="281">
        <f>'LATAM INCUMB'!O26+'EMEA INCUMB'!O26+'EM ASIA INCUMB'!O26</f>
        <v>207723.09884067927</v>
      </c>
      <c r="P26" s="279">
        <f>IF(L26=0,"nm",IF(O26=0,"nm",(O26/L26)^(1/3)-1))</f>
        <v>-9.2460284345096122E-3</v>
      </c>
      <c r="Q26" s="41"/>
      <c r="S26" s="42"/>
      <c r="T26" s="42"/>
      <c r="U26" s="42"/>
      <c r="V26" s="147" t="s">
        <v>185</v>
      </c>
      <c r="W26" s="288">
        <f t="shared" si="1"/>
        <v>2.6628170555307689</v>
      </c>
      <c r="X26" s="288">
        <v>1</v>
      </c>
      <c r="Y26" s="42"/>
      <c r="Z26" s="42"/>
      <c r="AA26" s="42"/>
    </row>
    <row r="27" spans="2:27">
      <c r="B27" s="5" t="s">
        <v>587</v>
      </c>
      <c r="C27" s="365">
        <f>'LATAM INCUMB'!C27+'EMEA INCUMB'!C27+'EM ASIA INCUMB'!C27</f>
        <v>229608.31719911244</v>
      </c>
      <c r="D27" s="228">
        <f>'LATAM INCUMB'!D27+'EMEA INCUMB'!D27+'EM ASIA INCUMB'!D27</f>
        <v>237709.95620369475</v>
      </c>
      <c r="E27" s="228">
        <f>'LATAM INCUMB'!E27+'EMEA INCUMB'!E27+'EM ASIA INCUMB'!E27</f>
        <v>235813.78004435278</v>
      </c>
      <c r="F27" s="228">
        <f>'LATAM INCUMB'!F27+'EMEA INCUMB'!F27+'EM ASIA INCUMB'!F27</f>
        <v>233865.85799901155</v>
      </c>
      <c r="G27" s="228">
        <f>'LATAM INCUMB'!G27+'EMEA INCUMB'!G27+'EM ASIA INCUMB'!G27</f>
        <v>233665.06902998974</v>
      </c>
      <c r="H27" s="279">
        <f t="shared" si="0"/>
        <v>-5.7044998568572813E-3</v>
      </c>
      <c r="I27" s="248"/>
      <c r="J27" s="248"/>
      <c r="K27" s="248"/>
      <c r="L27" s="248"/>
      <c r="M27" s="248"/>
      <c r="N27" s="248"/>
      <c r="O27" s="248"/>
      <c r="Q27" s="5"/>
      <c r="S27" s="42"/>
      <c r="T27" s="42"/>
      <c r="U27" s="42"/>
      <c r="V27" s="147" t="s">
        <v>466</v>
      </c>
      <c r="W27" s="288">
        <f t="shared" si="1"/>
        <v>2.718474308085018</v>
      </c>
      <c r="X27" s="288">
        <v>1</v>
      </c>
      <c r="Y27" s="42"/>
      <c r="Z27" s="42"/>
      <c r="AA27" s="42"/>
    </row>
    <row r="28" spans="2:27" ht="12.6" thickBot="1">
      <c r="B28" s="5" t="s">
        <v>592</v>
      </c>
      <c r="C28" s="365">
        <f>'LATAM INCUMB'!C28+'EMEA INCUMB'!C28+'EM ASIA INCUMB'!C28</f>
        <v>185047.18486555573</v>
      </c>
      <c r="D28" s="228">
        <f>'LATAM INCUMB'!D28+'EMEA INCUMB'!D28+'EM ASIA INCUMB'!D28</f>
        <v>188797.73168578924</v>
      </c>
      <c r="E28" s="228">
        <f>'LATAM INCUMB'!E28+'EMEA INCUMB'!E28+'EM ASIA INCUMB'!E28</f>
        <v>183698.90163286595</v>
      </c>
      <c r="F28" s="228">
        <f>'LATAM INCUMB'!F28+'EMEA INCUMB'!F28+'EM ASIA INCUMB'!F28</f>
        <v>179178.72677575093</v>
      </c>
      <c r="G28" s="228">
        <f>'LATAM INCUMB'!G28+'EMEA INCUMB'!G28+'EM ASIA INCUMB'!G28</f>
        <v>166885.40221008373</v>
      </c>
      <c r="H28" s="279">
        <f t="shared" si="0"/>
        <v>-4.0288882333939902E-2</v>
      </c>
      <c r="I28" s="252"/>
      <c r="J28" s="306" t="s">
        <v>754</v>
      </c>
      <c r="K28" s="306"/>
      <c r="L28" s="306"/>
      <c r="M28" s="306"/>
      <c r="N28" s="266"/>
      <c r="O28" s="266"/>
      <c r="P28" s="266"/>
      <c r="Q28" s="5"/>
      <c r="S28" s="42"/>
      <c r="T28" s="42"/>
      <c r="U28" s="42"/>
      <c r="V28" s="147" t="s">
        <v>530</v>
      </c>
      <c r="W28" s="288">
        <f t="shared" si="1"/>
        <v>2.6661798540873178</v>
      </c>
      <c r="X28" s="288">
        <v>1</v>
      </c>
      <c r="Y28" s="42"/>
      <c r="Z28" s="42"/>
      <c r="AA28" s="42"/>
    </row>
    <row r="29" spans="2:27" ht="12.6" thickTop="1">
      <c r="B29" s="5" t="s">
        <v>588</v>
      </c>
      <c r="C29" s="365">
        <f>'LATAM INCUMB'!C29+'EMEA INCUMB'!C29+'EM ASIA INCUMB'!C29</f>
        <v>13051.341218587724</v>
      </c>
      <c r="D29" s="228">
        <f>'LATAM INCUMB'!D29+'EMEA INCUMB'!D29+'EM ASIA INCUMB'!D29</f>
        <v>14686.741959201827</v>
      </c>
      <c r="E29" s="228">
        <f>'LATAM INCUMB'!E29+'EMEA INCUMB'!E29+'EM ASIA INCUMB'!E29</f>
        <v>19760.321101490386</v>
      </c>
      <c r="F29" s="228">
        <f>'LATAM INCUMB'!F29+'EMEA INCUMB'!F29+'EM ASIA INCUMB'!F29</f>
        <v>23083.654433017105</v>
      </c>
      <c r="G29" s="228">
        <f>'LATAM INCUMB'!G29+'EMEA INCUMB'!G29+'EM ASIA INCUMB'!G29</f>
        <v>26489.018597347855</v>
      </c>
      <c r="H29" s="279">
        <f t="shared" si="0"/>
        <v>0.21725098476735072</v>
      </c>
      <c r="I29" s="254"/>
      <c r="J29" s="249"/>
      <c r="K29" s="249"/>
      <c r="L29" s="249"/>
      <c r="M29" s="249"/>
      <c r="N29" s="249"/>
      <c r="O29" s="251"/>
      <c r="Q29" s="5"/>
      <c r="S29" s="42"/>
      <c r="T29" s="42"/>
      <c r="U29" s="42"/>
      <c r="V29" s="147" t="s">
        <v>593</v>
      </c>
      <c r="W29" s="288">
        <f t="shared" si="1"/>
        <v>2.2311221056319375</v>
      </c>
      <c r="X29" s="288">
        <v>1</v>
      </c>
      <c r="Y29" s="42"/>
      <c r="Z29" s="42"/>
      <c r="AA29" s="42"/>
    </row>
    <row r="30" spans="2:27">
      <c r="B30" s="5" t="s">
        <v>589</v>
      </c>
      <c r="C30" s="365">
        <f>'LATAM INCUMB'!C30+'EMEA INCUMB'!C30+'EM ASIA INCUMB'!C30</f>
        <v>12737.702993929604</v>
      </c>
      <c r="D30" s="228">
        <f>'LATAM INCUMB'!D30+'EMEA INCUMB'!D30+'EM ASIA INCUMB'!D30</f>
        <v>14432.730725081188</v>
      </c>
      <c r="E30" s="228">
        <f>'LATAM INCUMB'!E30+'EMEA INCUMB'!E30+'EM ASIA INCUMB'!E30</f>
        <v>16870.753218965583</v>
      </c>
      <c r="F30" s="228">
        <f>'LATAM INCUMB'!F30+'EMEA INCUMB'!F30+'EM ASIA INCUMB'!F30</f>
        <v>19437.262964458023</v>
      </c>
      <c r="G30" s="228">
        <f>'LATAM INCUMB'!G30+'EMEA INCUMB'!G30+'EM ASIA INCUMB'!G30</f>
        <v>22592.176409189407</v>
      </c>
      <c r="H30" s="279">
        <f t="shared" si="0"/>
        <v>0.16110061170195666</v>
      </c>
      <c r="I30" s="254"/>
      <c r="J30" s="248"/>
      <c r="K30" s="248"/>
      <c r="L30" s="248"/>
      <c r="M30" s="248"/>
      <c r="N30" s="248"/>
      <c r="O30" s="5"/>
      <c r="Q30" s="5"/>
      <c r="S30" s="42"/>
      <c r="T30" s="42"/>
      <c r="U30" s="42"/>
      <c r="V30" s="147" t="s">
        <v>475</v>
      </c>
      <c r="W30" s="288">
        <f t="shared" si="1"/>
        <v>0.67553737643501854</v>
      </c>
      <c r="X30" s="288">
        <v>1</v>
      </c>
      <c r="Y30" s="42"/>
      <c r="Z30" s="42"/>
      <c r="AA30" s="42"/>
    </row>
    <row r="31" spans="2:27">
      <c r="B31" s="5" t="s">
        <v>590</v>
      </c>
      <c r="C31" s="365">
        <f>'LATAM INCUMB'!C31+'EMEA INCUMB'!C31+'EM ASIA INCUMB'!C31</f>
        <v>8877.5213977143212</v>
      </c>
      <c r="D31" s="228">
        <f>'LATAM INCUMB'!D31+'EMEA INCUMB'!D31+'EM ASIA INCUMB'!D31</f>
        <v>9466.3859096872693</v>
      </c>
      <c r="E31" s="228">
        <f>'LATAM INCUMB'!E31+'EMEA INCUMB'!E31+'EM ASIA INCUMB'!E31</f>
        <v>10592.973538273898</v>
      </c>
      <c r="F31" s="228">
        <f>'LATAM INCUMB'!F31+'EMEA INCUMB'!F31+'EM ASIA INCUMB'!F31</f>
        <v>12314.310815069031</v>
      </c>
      <c r="G31" s="228">
        <f>'LATAM INCUMB'!G31+'EMEA INCUMB'!G31+'EM ASIA INCUMB'!G31</f>
        <v>14310.690208690747</v>
      </c>
      <c r="H31" s="279">
        <f t="shared" si="0"/>
        <v>0.14769227496166182</v>
      </c>
      <c r="I31" s="254"/>
      <c r="J31" s="252"/>
      <c r="K31" s="252"/>
      <c r="L31" s="252"/>
      <c r="M31" s="252"/>
      <c r="N31" s="252"/>
      <c r="O31" s="5"/>
      <c r="Q31" s="5"/>
      <c r="S31" s="42"/>
      <c r="T31" s="42"/>
      <c r="U31" s="42"/>
      <c r="V31" s="147" t="s">
        <v>533</v>
      </c>
      <c r="W31" s="288">
        <f t="shared" si="1"/>
        <v>2.5903743657612561</v>
      </c>
      <c r="X31" s="288">
        <v>1</v>
      </c>
      <c r="Y31" s="42"/>
      <c r="Z31" s="42"/>
      <c r="AA31" s="42"/>
    </row>
    <row r="32" spans="2:27">
      <c r="B32" s="5" t="s">
        <v>606</v>
      </c>
      <c r="C32" s="365">
        <f>'LATAM INCUMB'!C32+'EMEA INCUMB'!C32+'EM ASIA INCUMB'!C32</f>
        <v>106.99191546570955</v>
      </c>
      <c r="D32" s="228">
        <f>'LATAM INCUMB'!D32+'EMEA INCUMB'!D32+'EM ASIA INCUMB'!D32</f>
        <v>26.5730629225169</v>
      </c>
      <c r="E32" s="228">
        <f>'LATAM INCUMB'!E32+'EMEA INCUMB'!E32+'EM ASIA INCUMB'!E32</f>
        <v>19.5</v>
      </c>
      <c r="F32" s="228">
        <f>'LATAM INCUMB'!F32+'EMEA INCUMB'!F32+'EM ASIA INCUMB'!F32</f>
        <v>-476.9236405429578</v>
      </c>
      <c r="G32" s="228">
        <f>'LATAM INCUMB'!G32+'EMEA INCUMB'!G32+'EM ASIA INCUMB'!G32</f>
        <v>1952.3750826595972</v>
      </c>
      <c r="H32" s="279">
        <f t="shared" si="0"/>
        <v>3.1883266654149489</v>
      </c>
      <c r="I32" s="5"/>
      <c r="J32" s="254"/>
      <c r="K32" s="254"/>
      <c r="L32" s="254"/>
      <c r="M32" s="254"/>
      <c r="N32" s="254"/>
      <c r="O32" s="251"/>
      <c r="Q32" s="5"/>
      <c r="S32" s="42"/>
      <c r="T32" s="42"/>
      <c r="U32" s="42"/>
      <c r="V32" s="147" t="s">
        <v>580</v>
      </c>
      <c r="W32" s="288">
        <f>M17/E45</f>
        <v>2.8500851308966468</v>
      </c>
      <c r="X32" s="288">
        <v>1</v>
      </c>
      <c r="Y32" s="42"/>
      <c r="Z32" s="42"/>
      <c r="AA32" s="42"/>
    </row>
    <row r="33" spans="2:42">
      <c r="B33" s="5" t="s">
        <v>5</v>
      </c>
      <c r="C33" s="365">
        <f>'LATAM INCUMB'!C33+'EMEA INCUMB'!C33+'EM ASIA INCUMB'!C33</f>
        <v>-147.120227071138</v>
      </c>
      <c r="D33" s="228">
        <f>'LATAM INCUMB'!D33+'EMEA INCUMB'!D33+'EM ASIA INCUMB'!D33</f>
        <v>-903.69483942010709</v>
      </c>
      <c r="E33" s="228">
        <f>'LATAM INCUMB'!E33+'EMEA INCUMB'!E33+'EM ASIA INCUMB'!E33</f>
        <v>-942.76800995346071</v>
      </c>
      <c r="F33" s="228">
        <f>'LATAM INCUMB'!F33+'EMEA INCUMB'!F33+'EM ASIA INCUMB'!F33</f>
        <v>-577.01290160093663</v>
      </c>
      <c r="G33" s="228">
        <f>'LATAM INCUMB'!G33+'EMEA INCUMB'!G33+'EM ASIA INCUMB'!G33</f>
        <v>-186.8227731550094</v>
      </c>
      <c r="H33" s="279">
        <f t="shared" si="0"/>
        <v>-0.40870709114157067</v>
      </c>
      <c r="I33" s="49"/>
      <c r="J33" s="254"/>
      <c r="K33" s="254"/>
      <c r="L33" s="254"/>
      <c r="M33" s="254"/>
      <c r="N33" s="254"/>
      <c r="O33" s="251"/>
      <c r="Q33" s="5"/>
      <c r="S33" s="42"/>
      <c r="T33" s="42"/>
      <c r="U33" s="42"/>
      <c r="V33" s="147" t="s">
        <v>581</v>
      </c>
      <c r="W33" s="288">
        <f>M19/E47</f>
        <v>0.67553737643501854</v>
      </c>
      <c r="X33" s="288">
        <v>1</v>
      </c>
      <c r="Y33" s="288"/>
      <c r="Z33" s="288"/>
      <c r="AA33" s="42"/>
      <c r="AC33" s="10"/>
      <c r="AD33" s="10"/>
      <c r="AE33" s="10"/>
      <c r="AF33" s="10"/>
      <c r="AH33" s="10"/>
      <c r="AI33" s="10"/>
      <c r="AJ33" s="10"/>
      <c r="AK33" s="10"/>
      <c r="AM33" s="10"/>
      <c r="AN33" s="10"/>
      <c r="AO33" s="10"/>
      <c r="AP33" s="10"/>
    </row>
    <row r="34" spans="2:42">
      <c r="H34" s="277"/>
      <c r="I34" s="254"/>
      <c r="J34" s="254"/>
      <c r="K34" s="254"/>
      <c r="L34" s="254"/>
      <c r="M34" s="254"/>
      <c r="N34" s="254"/>
      <c r="O34" s="251"/>
      <c r="Q34" s="5"/>
      <c r="S34" s="42"/>
      <c r="T34" s="42"/>
      <c r="U34" s="42"/>
      <c r="V34" s="42"/>
      <c r="W34" s="42"/>
      <c r="X34" s="42"/>
      <c r="Y34" s="288"/>
      <c r="Z34" s="288"/>
      <c r="AA34" s="42"/>
      <c r="AC34" s="10"/>
      <c r="AD34" s="10"/>
      <c r="AE34" s="10"/>
      <c r="AF34" s="10"/>
      <c r="AH34" s="10"/>
      <c r="AI34" s="10"/>
      <c r="AJ34" s="10"/>
      <c r="AK34" s="10"/>
      <c r="AM34" s="10"/>
      <c r="AN34" s="10"/>
      <c r="AO34" s="10"/>
      <c r="AP34" s="10"/>
    </row>
    <row r="35" spans="2:42" ht="12.6" thickBot="1">
      <c r="B35" s="306" t="s">
        <v>336</v>
      </c>
      <c r="C35" s="265"/>
      <c r="D35" s="265" t="str">
        <f>D5</f>
        <v>2023E</v>
      </c>
      <c r="E35" s="265" t="str">
        <f>E5</f>
        <v>2024E</v>
      </c>
      <c r="F35" s="265" t="str">
        <f>F5</f>
        <v>2025E</v>
      </c>
      <c r="G35" s="265" t="str">
        <f>G5</f>
        <v>2026E</v>
      </c>
      <c r="H35" s="265" t="str">
        <f>H5</f>
        <v>23E-26E</v>
      </c>
      <c r="I35" s="17"/>
      <c r="J35" s="5"/>
      <c r="K35" s="5"/>
      <c r="L35" s="5"/>
      <c r="M35" s="5"/>
      <c r="N35" s="5"/>
      <c r="O35" s="5"/>
      <c r="Q35" s="5"/>
      <c r="S35" s="42"/>
      <c r="T35" s="42"/>
      <c r="U35" s="42"/>
      <c r="V35" s="42"/>
      <c r="W35" s="42"/>
      <c r="X35" s="42"/>
      <c r="Y35" s="288"/>
      <c r="Z35" s="288"/>
      <c r="AA35" s="42"/>
      <c r="AC35" s="10"/>
      <c r="AD35" s="10"/>
      <c r="AE35" s="10"/>
      <c r="AF35" s="10"/>
      <c r="AH35" s="10"/>
      <c r="AI35" s="10"/>
      <c r="AJ35" s="10"/>
      <c r="AK35" s="10"/>
      <c r="AM35" s="10"/>
      <c r="AN35" s="10"/>
      <c r="AO35" s="10"/>
      <c r="AP35" s="10"/>
    </row>
    <row r="36" spans="2:42" ht="12.6" thickTop="1">
      <c r="B36" s="41"/>
      <c r="C36" s="249"/>
      <c r="D36" s="254"/>
      <c r="E36" s="254"/>
      <c r="F36" s="254"/>
      <c r="G36" s="254"/>
      <c r="H36" s="254"/>
      <c r="I36" s="5"/>
      <c r="J36" s="49"/>
      <c r="K36" s="49"/>
      <c r="L36" s="49"/>
      <c r="M36" s="49"/>
      <c r="N36" s="49"/>
      <c r="O36" s="49"/>
      <c r="Q36" s="5"/>
      <c r="R36" s="5"/>
      <c r="S36" s="42"/>
      <c r="T36" s="42"/>
      <c r="U36" s="42"/>
      <c r="V36" s="42"/>
      <c r="W36" s="42"/>
      <c r="X36" s="42"/>
      <c r="Y36" s="42"/>
      <c r="Z36" s="42"/>
      <c r="AA36" s="42"/>
      <c r="AC36" s="10"/>
      <c r="AD36" s="10"/>
      <c r="AE36" s="10"/>
      <c r="AF36" s="10"/>
      <c r="AH36" s="10"/>
      <c r="AI36" s="10"/>
      <c r="AJ36" s="10"/>
      <c r="AK36" s="10"/>
      <c r="AM36" s="10"/>
      <c r="AN36" s="10"/>
      <c r="AO36" s="10"/>
      <c r="AP36" s="10"/>
    </row>
    <row r="37" spans="2:42">
      <c r="B37" s="5" t="s">
        <v>273</v>
      </c>
      <c r="C37" s="247"/>
      <c r="D37" s="557">
        <f t="shared" ref="D37:G41" si="2">D$18/D23</f>
        <v>77.390130364881429</v>
      </c>
      <c r="E37" s="557">
        <f t="shared" si="2"/>
        <v>72.512941061391317</v>
      </c>
      <c r="F37" s="557">
        <f t="shared" si="2"/>
        <v>62.400788137070009</v>
      </c>
      <c r="G37" s="557">
        <f t="shared" si="2"/>
        <v>53.058255887060461</v>
      </c>
      <c r="H37" s="17">
        <f t="shared" ref="H37:H45" si="3">H23</f>
        <v>4.1231626442215452E-2</v>
      </c>
      <c r="I37" s="259"/>
      <c r="J37" s="259"/>
      <c r="K37" s="259"/>
      <c r="L37" s="259"/>
      <c r="M37" s="259"/>
      <c r="N37" s="259"/>
      <c r="O37" s="18"/>
      <c r="Q37" s="5"/>
      <c r="R37" s="5"/>
      <c r="S37" s="42"/>
      <c r="T37" s="42"/>
      <c r="U37" s="42"/>
      <c r="V37" s="42"/>
      <c r="W37" s="42"/>
      <c r="X37" s="42"/>
      <c r="Y37" s="42"/>
      <c r="Z37" s="42"/>
      <c r="AA37" s="42"/>
      <c r="AC37" s="10"/>
      <c r="AD37" s="10"/>
      <c r="AE37" s="10"/>
      <c r="AF37" s="10"/>
      <c r="AH37" s="10"/>
      <c r="AI37" s="10"/>
      <c r="AJ37" s="10"/>
      <c r="AK37" s="10"/>
      <c r="AM37" s="10"/>
      <c r="AN37" s="10"/>
      <c r="AO37" s="10"/>
      <c r="AP37" s="10"/>
    </row>
    <row r="38" spans="2:42">
      <c r="B38" s="5" t="s">
        <v>184</v>
      </c>
      <c r="C38" s="247"/>
      <c r="D38" s="557">
        <f t="shared" si="2"/>
        <v>251.76312581207961</v>
      </c>
      <c r="E38" s="557">
        <f t="shared" si="2"/>
        <v>235.47331923446734</v>
      </c>
      <c r="F38" s="557">
        <f t="shared" si="2"/>
        <v>202.08803624698223</v>
      </c>
      <c r="G38" s="557">
        <f t="shared" si="2"/>
        <v>170.59019208597164</v>
      </c>
      <c r="H38" s="17">
        <f t="shared" si="3"/>
        <v>4.5319782471582526E-2</v>
      </c>
      <c r="I38" s="17"/>
      <c r="J38" s="17"/>
      <c r="K38" s="17"/>
      <c r="L38" s="17"/>
      <c r="M38" s="17"/>
      <c r="N38" s="17"/>
      <c r="O38" s="5"/>
      <c r="Q38" s="5"/>
      <c r="R38" s="5"/>
      <c r="S38" s="42"/>
      <c r="T38" s="42"/>
      <c r="U38" s="42"/>
      <c r="V38" s="42"/>
      <c r="W38" s="42"/>
      <c r="X38" s="42"/>
      <c r="Y38" s="42"/>
      <c r="Z38" s="42"/>
      <c r="AA38" s="42"/>
    </row>
    <row r="39" spans="2:42">
      <c r="B39" s="5" t="s">
        <v>185</v>
      </c>
      <c r="C39" s="247"/>
      <c r="D39" s="557">
        <f t="shared" si="2"/>
        <v>633.79269108992571</v>
      </c>
      <c r="E39" s="557">
        <f t="shared" si="2"/>
        <v>519.97663465590415</v>
      </c>
      <c r="F39" s="557">
        <f t="shared" si="2"/>
        <v>421.98747207824152</v>
      </c>
      <c r="G39" s="557">
        <f t="shared" si="2"/>
        <v>339.87458306214415</v>
      </c>
      <c r="H39" s="17">
        <f t="shared" si="3"/>
        <v>0.13008903497063584</v>
      </c>
      <c r="I39" s="5"/>
      <c r="J39" s="5"/>
      <c r="K39" s="5"/>
      <c r="L39" s="5"/>
      <c r="M39" s="5"/>
      <c r="N39" s="5"/>
      <c r="O39" s="5"/>
      <c r="Q39" s="5"/>
      <c r="R39" s="5"/>
      <c r="S39" s="42"/>
      <c r="T39" s="42"/>
      <c r="U39" s="42"/>
      <c r="V39" s="42"/>
      <c r="W39" s="288"/>
      <c r="X39" s="288"/>
      <c r="Y39" s="42"/>
      <c r="Z39" s="42"/>
      <c r="AA39" s="42"/>
    </row>
    <row r="40" spans="2:42">
      <c r="B40" s="5" t="s">
        <v>466</v>
      </c>
      <c r="C40" s="247"/>
      <c r="D40" s="557">
        <f t="shared" si="2"/>
        <v>892.97096758269697</v>
      </c>
      <c r="E40" s="557">
        <f t="shared" si="2"/>
        <v>705.80398591621361</v>
      </c>
      <c r="F40" s="557">
        <f t="shared" si="2"/>
        <v>571.3100453625151</v>
      </c>
      <c r="G40" s="557">
        <f t="shared" si="2"/>
        <v>458.33681098022043</v>
      </c>
      <c r="H40" s="17">
        <f t="shared" si="3"/>
        <v>0.14671109623312839</v>
      </c>
      <c r="I40" s="247"/>
      <c r="J40" s="259"/>
      <c r="K40" s="259"/>
      <c r="L40" s="259"/>
      <c r="M40" s="259"/>
      <c r="N40" s="259"/>
      <c r="O40" s="18"/>
      <c r="Q40" s="5"/>
      <c r="R40" s="5"/>
      <c r="S40" s="42"/>
      <c r="T40" s="42"/>
      <c r="U40" s="42"/>
      <c r="V40" s="42"/>
      <c r="W40" s="288"/>
      <c r="X40" s="288"/>
      <c r="Y40" s="288"/>
      <c r="Z40" s="288"/>
      <c r="AA40" s="42"/>
    </row>
    <row r="41" spans="2:42">
      <c r="B41" s="5" t="s">
        <v>530</v>
      </c>
      <c r="C41" s="247"/>
      <c r="D41" s="557">
        <f t="shared" si="2"/>
        <v>73.192015654274968</v>
      </c>
      <c r="E41" s="557">
        <f t="shared" si="2"/>
        <v>72.225901315613712</v>
      </c>
      <c r="F41" s="557">
        <f t="shared" si="2"/>
        <v>65.390223329659477</v>
      </c>
      <c r="G41" s="557">
        <f t="shared" si="2"/>
        <v>57.627095382058755</v>
      </c>
      <c r="H41" s="17">
        <f t="shared" si="3"/>
        <v>-5.7044998568572813E-3</v>
      </c>
      <c r="I41" s="248"/>
      <c r="J41" s="17"/>
      <c r="K41" s="17"/>
      <c r="L41" s="17"/>
      <c r="M41" s="17"/>
      <c r="N41" s="17"/>
      <c r="O41" s="5"/>
      <c r="Q41" s="5"/>
      <c r="R41" s="5"/>
      <c r="S41" s="42"/>
      <c r="T41" s="42"/>
      <c r="U41" s="42"/>
      <c r="V41" s="42"/>
      <c r="W41" s="288"/>
      <c r="X41" s="288"/>
      <c r="Y41" s="288"/>
      <c r="Z41" s="288"/>
      <c r="AA41" s="42"/>
    </row>
    <row r="42" spans="2:42">
      <c r="B42" s="5" t="s">
        <v>593</v>
      </c>
      <c r="C42" s="247"/>
      <c r="D42" s="557">
        <f>D18/D28</f>
        <v>92.154024734754898</v>
      </c>
      <c r="E42" s="557">
        <f>E18/E28</f>
        <v>92.71619293829275</v>
      </c>
      <c r="F42" s="557">
        <f>F18/F28</f>
        <v>85.347970481322818</v>
      </c>
      <c r="G42" s="557">
        <f>G18/G28</f>
        <v>80.686740973878528</v>
      </c>
      <c r="H42" s="17">
        <f t="shared" si="3"/>
        <v>-4.0288882333939902E-2</v>
      </c>
      <c r="I42" s="247"/>
      <c r="J42" s="5"/>
      <c r="K42" s="5"/>
      <c r="L42" s="5"/>
      <c r="M42" s="5"/>
      <c r="N42" s="5"/>
      <c r="O42" s="5"/>
      <c r="Q42" s="5"/>
      <c r="R42" s="5"/>
      <c r="S42" s="42"/>
      <c r="T42" s="42"/>
      <c r="U42" s="42"/>
      <c r="V42" s="42"/>
      <c r="W42" s="288"/>
      <c r="X42" s="288"/>
      <c r="Y42" s="288"/>
      <c r="Z42" s="288"/>
      <c r="AA42" s="42"/>
    </row>
    <row r="43" spans="2:42">
      <c r="B43" s="5" t="s">
        <v>475</v>
      </c>
      <c r="C43" s="247"/>
      <c r="D43" s="557">
        <f>L26/D29</f>
        <v>14.54326315160441</v>
      </c>
      <c r="E43" s="557">
        <f>M26/E29</f>
        <v>10.729515399031095</v>
      </c>
      <c r="F43" s="557">
        <f>N26/F29</f>
        <v>9.0923319720800446</v>
      </c>
      <c r="G43" s="557">
        <f>O26/G29</f>
        <v>7.8418571106094896</v>
      </c>
      <c r="H43" s="17">
        <f t="shared" si="3"/>
        <v>0.21725098476735072</v>
      </c>
      <c r="I43" s="247"/>
      <c r="J43" s="247"/>
      <c r="K43" s="247"/>
      <c r="L43" s="247"/>
      <c r="M43" s="247"/>
      <c r="N43" s="247"/>
      <c r="O43" s="18"/>
      <c r="Q43" s="5"/>
      <c r="R43" s="5"/>
      <c r="S43" s="42"/>
      <c r="T43" s="42"/>
      <c r="U43" s="42"/>
      <c r="V43" s="42"/>
      <c r="W43" s="325"/>
      <c r="X43" s="325"/>
      <c r="Y43" s="288"/>
      <c r="Z43" s="288"/>
      <c r="AA43" s="42"/>
    </row>
    <row r="44" spans="2:42">
      <c r="B44" s="5" t="s">
        <v>533</v>
      </c>
      <c r="C44" s="69"/>
      <c r="D44" s="557">
        <f>D11/D30</f>
        <v>634.01902759549682</v>
      </c>
      <c r="E44" s="557">
        <f>E11/E30</f>
        <v>553.37622650460344</v>
      </c>
      <c r="F44" s="557">
        <f>F11/F30</f>
        <v>480.19823322626689</v>
      </c>
      <c r="G44" s="557">
        <f>G11/G30</f>
        <v>413.04467594801395</v>
      </c>
      <c r="H44" s="17">
        <f t="shared" si="3"/>
        <v>0.16110061170195666</v>
      </c>
      <c r="I44" s="248"/>
      <c r="J44" s="248"/>
      <c r="K44" s="248"/>
      <c r="L44" s="248"/>
      <c r="M44" s="248"/>
      <c r="N44" s="248"/>
      <c r="O44" s="248"/>
      <c r="Q44" s="5"/>
      <c r="R44" s="5"/>
      <c r="S44" s="42"/>
      <c r="T44" s="42"/>
      <c r="U44" s="42"/>
      <c r="V44" s="42"/>
      <c r="W44" s="42"/>
      <c r="X44" s="42"/>
      <c r="Y44" s="325"/>
      <c r="Z44" s="325"/>
      <c r="AA44" s="42"/>
    </row>
    <row r="45" spans="2:42">
      <c r="B45" s="5" t="s">
        <v>580</v>
      </c>
      <c r="C45" s="247"/>
      <c r="D45" s="248">
        <f>D31/D11</f>
        <v>1.0345069302667427E-3</v>
      </c>
      <c r="E45" s="248">
        <f>E31/E11</f>
        <v>1.1346526117121838E-3</v>
      </c>
      <c r="F45" s="248">
        <f>F31/F11</f>
        <v>1.3193330533490405E-3</v>
      </c>
      <c r="G45" s="248">
        <f>G31/G11</f>
        <v>1.5335766283768081E-3</v>
      </c>
      <c r="H45" s="17">
        <f t="shared" si="3"/>
        <v>0.14769227496166182</v>
      </c>
      <c r="I45" s="247"/>
      <c r="J45" s="247"/>
      <c r="K45" s="247"/>
      <c r="L45" s="247"/>
      <c r="M45" s="247"/>
      <c r="N45" s="247"/>
      <c r="O45" s="248"/>
      <c r="Q45" s="5"/>
      <c r="R45" s="5"/>
      <c r="S45" s="42"/>
      <c r="T45" s="42"/>
      <c r="U45" s="42"/>
      <c r="V45" s="42"/>
      <c r="W45" s="42"/>
      <c r="X45" s="42"/>
      <c r="Y45" s="42"/>
      <c r="Z45" s="42"/>
      <c r="AA45" s="326"/>
      <c r="AB45" s="303"/>
    </row>
    <row r="46" spans="2:42">
      <c r="B46" s="5" t="s">
        <v>605</v>
      </c>
      <c r="C46" s="247"/>
      <c r="D46" s="248">
        <f>(D31+D32)/D11</f>
        <v>1.0374108915053846E-3</v>
      </c>
      <c r="E46" s="248">
        <f>(E31+E32)/E11</f>
        <v>1.1367413289027294E-3</v>
      </c>
      <c r="F46" s="248">
        <f>(F31+F32)/F11</f>
        <v>1.2682363145756529E-3</v>
      </c>
      <c r="G46" s="248">
        <f>(G31+G32)/G11</f>
        <v>1.7427990175788118E-3</v>
      </c>
      <c r="H46" s="279">
        <f>((G31+G32)/(D31+D32))^(1/3)-1</f>
        <v>0.19655757517991312</v>
      </c>
      <c r="I46" s="17"/>
      <c r="J46" s="247"/>
      <c r="K46" s="247"/>
      <c r="L46" s="247"/>
      <c r="M46" s="247"/>
      <c r="N46" s="247"/>
      <c r="O46" s="18"/>
      <c r="Q46" s="5"/>
      <c r="R46" s="5"/>
      <c r="S46" s="42"/>
      <c r="T46" s="42"/>
      <c r="U46" s="42"/>
      <c r="V46" s="42"/>
      <c r="W46" s="42"/>
      <c r="X46" s="42"/>
      <c r="Y46" s="42"/>
      <c r="Z46" s="42"/>
      <c r="AA46" s="326"/>
      <c r="AB46" s="303"/>
    </row>
    <row r="47" spans="2:42">
      <c r="B47" s="5" t="s">
        <v>581</v>
      </c>
      <c r="C47" s="5"/>
      <c r="D47" s="248">
        <f>1/D43</f>
        <v>6.8760359320712713E-2</v>
      </c>
      <c r="E47" s="248">
        <f>1/E43</f>
        <v>9.3200854168148425E-2</v>
      </c>
      <c r="F47" s="248">
        <f>1/F43</f>
        <v>0.10998278583214015</v>
      </c>
      <c r="G47" s="248">
        <f>1/G43</f>
        <v>0.12752081374284024</v>
      </c>
      <c r="H47" s="17">
        <f>H29</f>
        <v>0.21725098476735072</v>
      </c>
      <c r="I47" s="247"/>
      <c r="J47" s="248"/>
      <c r="K47" s="248"/>
      <c r="L47" s="248"/>
      <c r="M47" s="248"/>
      <c r="N47" s="248"/>
      <c r="O47" s="248"/>
      <c r="Q47" s="5"/>
      <c r="R47" s="5"/>
      <c r="S47" s="5"/>
      <c r="T47" s="5"/>
      <c r="U47" s="5"/>
      <c r="AA47" s="303"/>
      <c r="AB47" s="303"/>
    </row>
    <row r="48" spans="2:42">
      <c r="B48" s="5" t="s">
        <v>618</v>
      </c>
      <c r="C48" s="5"/>
      <c r="D48" s="305">
        <f>D31/D29</f>
        <v>0.64455315794230339</v>
      </c>
      <c r="E48" s="305">
        <f>E31/E29</f>
        <v>0.5360729455694393</v>
      </c>
      <c r="F48" s="305">
        <f>F31/F29</f>
        <v>0.53346452793261268</v>
      </c>
      <c r="G48" s="305">
        <f>G31/G29</f>
        <v>0.54024992115500903</v>
      </c>
      <c r="H48" s="17" t="s">
        <v>607</v>
      </c>
      <c r="I48" s="259"/>
      <c r="J48" s="247"/>
      <c r="K48" s="247"/>
      <c r="L48" s="247"/>
      <c r="M48" s="247"/>
      <c r="N48" s="247"/>
      <c r="O48" s="248"/>
      <c r="Q48" s="5"/>
      <c r="R48" s="5"/>
      <c r="S48" s="5"/>
      <c r="T48" s="5"/>
      <c r="U48" s="5"/>
      <c r="AA48" s="303"/>
      <c r="AB48" s="303"/>
    </row>
    <row r="49" spans="2:28">
      <c r="B49" s="41"/>
      <c r="C49" s="17"/>
      <c r="D49" s="17"/>
      <c r="E49" s="17"/>
      <c r="F49" s="17"/>
      <c r="G49" s="17"/>
      <c r="H49" s="17"/>
      <c r="I49" s="17"/>
      <c r="J49" s="17"/>
      <c r="K49" s="17"/>
      <c r="L49" s="17"/>
      <c r="M49" s="17"/>
      <c r="N49" s="17"/>
      <c r="O49" s="248"/>
      <c r="Q49" s="5"/>
      <c r="R49" s="5"/>
      <c r="S49" s="5"/>
      <c r="T49" s="5"/>
      <c r="U49" s="5"/>
      <c r="W49" s="10"/>
      <c r="X49" s="10"/>
      <c r="AA49" s="303"/>
      <c r="AB49" s="303"/>
    </row>
    <row r="50" spans="2:28">
      <c r="B50" s="5"/>
      <c r="C50" s="257"/>
      <c r="D50" s="257"/>
      <c r="E50" s="257"/>
      <c r="F50" s="5"/>
      <c r="G50" s="41"/>
      <c r="H50" s="249"/>
      <c r="I50" s="259"/>
      <c r="J50" s="254"/>
      <c r="K50" s="254"/>
      <c r="L50" s="254"/>
      <c r="M50" s="254"/>
      <c r="N50" s="254"/>
      <c r="O50" s="251"/>
      <c r="Q50" s="5"/>
      <c r="R50" s="5"/>
      <c r="S50" s="5"/>
      <c r="T50" s="5"/>
      <c r="U50" s="5"/>
      <c r="W50" s="10"/>
      <c r="X50" s="10"/>
      <c r="Y50" s="10"/>
      <c r="Z50" s="10"/>
    </row>
    <row r="51" spans="2:28">
      <c r="B51" s="41"/>
      <c r="C51" s="249"/>
      <c r="D51" s="254"/>
      <c r="E51" s="254"/>
      <c r="F51" s="254"/>
      <c r="G51" s="254"/>
      <c r="H51" s="254"/>
      <c r="I51" s="254"/>
      <c r="J51" s="17"/>
      <c r="K51" s="17"/>
      <c r="L51" s="17"/>
      <c r="M51" s="17"/>
      <c r="N51" s="17"/>
      <c r="O51" s="248"/>
      <c r="Q51" s="5"/>
      <c r="R51" s="5"/>
      <c r="S51" s="5"/>
      <c r="T51" s="5"/>
      <c r="U51" s="5"/>
      <c r="Y51" s="10"/>
      <c r="Z51" s="10"/>
    </row>
    <row r="52" spans="2:28">
      <c r="B52" s="5"/>
      <c r="C52" s="257"/>
      <c r="D52" s="17"/>
      <c r="E52" s="17"/>
      <c r="F52" s="17"/>
      <c r="G52" s="17"/>
      <c r="H52" s="17"/>
      <c r="I52" s="17"/>
      <c r="J52" s="259"/>
      <c r="K52" s="259"/>
      <c r="L52" s="259"/>
      <c r="M52" s="259"/>
      <c r="N52" s="259"/>
      <c r="O52" s="18"/>
      <c r="Q52" s="5"/>
      <c r="R52" s="5"/>
      <c r="S52" s="5"/>
      <c r="T52" s="5"/>
      <c r="U52" s="5"/>
    </row>
    <row r="53" spans="2:28">
      <c r="B53" s="5"/>
      <c r="C53" s="257"/>
      <c r="D53" s="257"/>
      <c r="E53" s="257"/>
      <c r="F53" s="5"/>
      <c r="G53" s="5"/>
      <c r="H53" s="259"/>
      <c r="I53" s="259"/>
      <c r="J53" s="254"/>
      <c r="K53" s="254"/>
      <c r="L53" s="254"/>
      <c r="M53" s="254"/>
      <c r="N53" s="254"/>
      <c r="O53" s="251"/>
      <c r="Q53" s="5"/>
      <c r="R53" s="5"/>
      <c r="S53" s="5"/>
      <c r="T53" s="5"/>
      <c r="U53" s="5"/>
    </row>
    <row r="54" spans="2:28">
      <c r="B54" s="41"/>
      <c r="C54" s="249"/>
      <c r="D54" s="254"/>
      <c r="E54" s="254"/>
      <c r="F54" s="254"/>
      <c r="G54" s="254"/>
      <c r="H54" s="254"/>
      <c r="I54" s="249"/>
      <c r="J54" s="17"/>
      <c r="K54" s="17"/>
      <c r="L54" s="17"/>
      <c r="M54" s="17"/>
      <c r="N54" s="17"/>
      <c r="O54" s="18"/>
      <c r="Q54" s="5"/>
      <c r="R54" s="5"/>
      <c r="S54" s="5"/>
      <c r="T54" s="5"/>
      <c r="U54" s="5"/>
    </row>
    <row r="55" spans="2:28">
      <c r="B55" s="5"/>
      <c r="C55" s="257"/>
      <c r="D55" s="17"/>
      <c r="E55" s="17"/>
      <c r="F55" s="17"/>
      <c r="G55" s="17"/>
      <c r="H55" s="17"/>
      <c r="I55" s="248"/>
      <c r="J55" s="259"/>
      <c r="K55" s="259"/>
      <c r="L55" s="259"/>
      <c r="M55" s="259"/>
      <c r="N55" s="259"/>
      <c r="O55" s="18"/>
      <c r="Q55" s="5"/>
      <c r="R55" s="5"/>
      <c r="S55" s="5"/>
      <c r="T55" s="5"/>
      <c r="U55" s="5"/>
    </row>
    <row r="56" spans="2:28">
      <c r="B56" s="5"/>
      <c r="C56" s="248"/>
      <c r="D56" s="248"/>
      <c r="E56" s="248"/>
      <c r="F56" s="5"/>
      <c r="G56" s="5"/>
      <c r="H56" s="259"/>
      <c r="I56" s="5"/>
      <c r="J56" s="249"/>
      <c r="K56" s="249"/>
      <c r="L56" s="249"/>
      <c r="M56" s="249"/>
      <c r="N56" s="249"/>
      <c r="O56" s="251"/>
      <c r="Q56" s="5"/>
      <c r="R56" s="5"/>
      <c r="S56" s="5"/>
      <c r="T56" s="5"/>
      <c r="U56" s="5"/>
    </row>
    <row r="57" spans="2:28">
      <c r="B57" s="41"/>
      <c r="C57" s="249"/>
      <c r="D57" s="249"/>
      <c r="E57" s="249"/>
      <c r="F57" s="249"/>
      <c r="G57" s="249"/>
      <c r="H57" s="249"/>
      <c r="I57" s="17"/>
      <c r="J57" s="248"/>
      <c r="K57" s="248"/>
      <c r="L57" s="248"/>
      <c r="M57" s="248"/>
      <c r="N57" s="248"/>
      <c r="O57" s="18"/>
      <c r="Q57" s="5"/>
      <c r="R57" s="5"/>
      <c r="S57" s="5"/>
      <c r="T57" s="5"/>
      <c r="U57" s="5"/>
    </row>
    <row r="58" spans="2:28">
      <c r="B58" s="5"/>
      <c r="C58" s="5"/>
      <c r="D58" s="248"/>
      <c r="E58" s="248"/>
      <c r="F58" s="248"/>
      <c r="G58" s="248"/>
      <c r="H58" s="248"/>
      <c r="I58" s="5"/>
      <c r="J58" s="5"/>
      <c r="K58" s="5"/>
      <c r="L58" s="5"/>
      <c r="M58" s="5"/>
      <c r="N58" s="5"/>
      <c r="O58" s="5"/>
      <c r="Q58" s="5"/>
      <c r="R58" s="5"/>
      <c r="S58" s="5"/>
      <c r="T58" s="5"/>
      <c r="U58" s="5"/>
    </row>
    <row r="59" spans="2:28">
      <c r="B59" s="5"/>
      <c r="C59" s="5"/>
      <c r="D59" s="5"/>
      <c r="E59" s="5"/>
      <c r="F59" s="5"/>
      <c r="G59" s="5"/>
      <c r="H59" s="5"/>
      <c r="I59" s="249"/>
      <c r="J59" s="17"/>
      <c r="K59" s="17"/>
      <c r="L59" s="17"/>
      <c r="M59" s="17"/>
      <c r="N59" s="17"/>
      <c r="O59" s="251"/>
      <c r="Q59" s="5"/>
      <c r="R59" s="5"/>
      <c r="S59" s="5"/>
      <c r="T59" s="5"/>
      <c r="U59" s="5"/>
    </row>
    <row r="60" spans="2:28">
      <c r="B60" s="41"/>
      <c r="C60" s="17"/>
      <c r="D60" s="17"/>
      <c r="E60" s="17"/>
      <c r="F60" s="17"/>
      <c r="G60" s="17"/>
      <c r="H60" s="17"/>
      <c r="I60" s="5"/>
      <c r="J60" s="5"/>
      <c r="K60" s="5"/>
      <c r="L60" s="5"/>
      <c r="M60" s="5"/>
      <c r="N60" s="5"/>
      <c r="O60" s="5"/>
      <c r="Q60" s="41"/>
      <c r="R60" s="5"/>
      <c r="S60" s="5"/>
      <c r="T60" s="5"/>
      <c r="U60" s="5"/>
    </row>
    <row r="61" spans="2:28">
      <c r="B61" s="5"/>
      <c r="C61" s="5"/>
      <c r="D61" s="5"/>
      <c r="E61" s="5"/>
      <c r="F61" s="5"/>
      <c r="G61" s="5"/>
      <c r="H61" s="5"/>
      <c r="I61" s="5"/>
      <c r="J61" s="249"/>
      <c r="K61" s="249"/>
      <c r="L61" s="249"/>
      <c r="M61" s="249"/>
      <c r="N61" s="249"/>
      <c r="O61" s="251"/>
      <c r="Q61" s="5"/>
      <c r="R61" s="5"/>
      <c r="S61" s="5"/>
      <c r="T61" s="5"/>
      <c r="U61" s="5"/>
    </row>
    <row r="62" spans="2:28">
      <c r="B62" s="41"/>
      <c r="C62" s="249"/>
      <c r="D62" s="249"/>
      <c r="E62" s="249"/>
      <c r="F62" s="249"/>
      <c r="G62" s="249"/>
      <c r="H62" s="249"/>
      <c r="I62" s="254"/>
      <c r="J62" s="5"/>
      <c r="K62" s="5"/>
      <c r="L62" s="5"/>
      <c r="M62" s="5"/>
      <c r="N62" s="5"/>
      <c r="O62" s="5"/>
      <c r="Q62" s="5"/>
      <c r="R62" s="5"/>
      <c r="S62" s="5"/>
      <c r="T62" s="5"/>
      <c r="U62" s="5"/>
    </row>
    <row r="63" spans="2:28">
      <c r="B63" s="5"/>
      <c r="C63" s="5"/>
      <c r="D63" s="5"/>
      <c r="E63" s="5"/>
      <c r="F63" s="5"/>
      <c r="G63" s="5"/>
      <c r="H63" s="5"/>
      <c r="I63" s="17"/>
      <c r="J63" s="5"/>
      <c r="K63" s="5"/>
      <c r="L63" s="5"/>
      <c r="M63" s="5"/>
      <c r="N63" s="5"/>
      <c r="O63" s="5"/>
      <c r="Q63" s="5"/>
      <c r="R63" s="5"/>
      <c r="S63" s="5"/>
      <c r="T63" s="5"/>
      <c r="U63" s="5"/>
    </row>
    <row r="64" spans="2:28">
      <c r="B64" s="5"/>
      <c r="C64" s="5"/>
      <c r="D64" s="5"/>
      <c r="E64" s="5"/>
      <c r="F64" s="5"/>
      <c r="G64" s="5"/>
      <c r="H64" s="5"/>
      <c r="I64" s="254"/>
      <c r="J64" s="254"/>
      <c r="K64" s="254"/>
      <c r="L64" s="254"/>
      <c r="M64" s="254"/>
      <c r="N64" s="254"/>
      <c r="O64" s="251"/>
      <c r="Q64" s="5"/>
      <c r="R64" s="5"/>
      <c r="S64" s="5"/>
      <c r="T64" s="5"/>
      <c r="U64" s="5"/>
    </row>
    <row r="65" spans="2:26">
      <c r="B65" s="41"/>
      <c r="C65" s="249"/>
      <c r="D65" s="254"/>
      <c r="E65" s="254"/>
      <c r="F65" s="254"/>
      <c r="G65" s="254"/>
      <c r="H65" s="254"/>
      <c r="I65" s="248"/>
      <c r="J65" s="17"/>
      <c r="K65" s="17"/>
      <c r="L65" s="17"/>
      <c r="M65" s="17"/>
      <c r="N65" s="17"/>
      <c r="O65" s="5"/>
      <c r="Q65" s="5"/>
      <c r="R65" s="5"/>
      <c r="S65" s="5"/>
      <c r="T65" s="5"/>
      <c r="U65" s="5"/>
    </row>
    <row r="66" spans="2:26">
      <c r="B66" s="5"/>
      <c r="C66" s="5"/>
      <c r="D66" s="17"/>
      <c r="E66" s="17"/>
      <c r="F66" s="17"/>
      <c r="G66" s="17"/>
      <c r="H66" s="17"/>
      <c r="I66" s="5"/>
      <c r="J66" s="254"/>
      <c r="K66" s="254"/>
      <c r="L66" s="254"/>
      <c r="M66" s="254"/>
      <c r="N66" s="254"/>
      <c r="O66" s="251"/>
      <c r="Q66" s="41"/>
      <c r="R66" s="5"/>
      <c r="S66" s="5"/>
      <c r="T66" s="5"/>
      <c r="U66" s="5"/>
    </row>
    <row r="67" spans="2:26">
      <c r="B67" s="41"/>
      <c r="C67" s="249"/>
      <c r="D67" s="254"/>
      <c r="E67" s="254"/>
      <c r="F67" s="254"/>
      <c r="G67" s="254"/>
      <c r="H67" s="254"/>
      <c r="I67" s="245"/>
      <c r="J67" s="248"/>
      <c r="K67" s="248"/>
      <c r="L67" s="248"/>
      <c r="M67" s="248"/>
      <c r="N67" s="248"/>
      <c r="O67" s="5"/>
      <c r="Q67" s="5"/>
      <c r="R67" s="5"/>
      <c r="S67" s="5"/>
      <c r="T67" s="5"/>
      <c r="U67" s="5"/>
    </row>
    <row r="68" spans="2:26">
      <c r="B68" s="5"/>
      <c r="C68" s="5"/>
      <c r="D68" s="248"/>
      <c r="E68" s="248"/>
      <c r="F68" s="248"/>
      <c r="G68" s="248"/>
      <c r="H68" s="248"/>
      <c r="I68" s="248"/>
      <c r="J68" s="5"/>
      <c r="K68" s="5"/>
      <c r="L68" s="5"/>
      <c r="M68" s="5"/>
      <c r="N68" s="5"/>
      <c r="O68" s="5"/>
      <c r="Q68" s="5"/>
      <c r="R68" s="5"/>
      <c r="S68" s="5"/>
      <c r="T68" s="5"/>
      <c r="U68" s="5"/>
    </row>
    <row r="69" spans="2:26">
      <c r="B69" s="41"/>
      <c r="C69" s="5"/>
      <c r="D69" s="5"/>
      <c r="E69" s="5"/>
      <c r="F69" s="5"/>
      <c r="G69" s="5"/>
      <c r="H69" s="5"/>
      <c r="I69" s="5"/>
      <c r="J69" s="245"/>
      <c r="K69" s="245"/>
      <c r="L69" s="245"/>
      <c r="M69" s="245"/>
      <c r="N69" s="245"/>
      <c r="O69" s="251"/>
      <c r="Q69" s="5"/>
      <c r="R69" s="5"/>
      <c r="S69" s="5"/>
      <c r="T69" s="5"/>
      <c r="U69" s="5"/>
      <c r="W69" s="76"/>
      <c r="X69" s="76"/>
    </row>
    <row r="70" spans="2:26">
      <c r="B70" s="41"/>
      <c r="C70" s="245"/>
      <c r="D70" s="245"/>
      <c r="E70" s="245"/>
      <c r="F70" s="245"/>
      <c r="G70" s="245"/>
      <c r="H70" s="245"/>
      <c r="I70" s="245"/>
      <c r="J70" s="248"/>
      <c r="K70" s="248"/>
      <c r="L70" s="248"/>
      <c r="M70" s="248"/>
      <c r="N70" s="248"/>
      <c r="O70" s="5"/>
      <c r="Q70" s="5"/>
      <c r="R70" s="5"/>
      <c r="S70" s="5"/>
      <c r="T70" s="5"/>
      <c r="U70" s="5"/>
      <c r="W70" s="76"/>
      <c r="X70" s="76"/>
      <c r="Y70" s="76"/>
      <c r="Z70" s="76"/>
    </row>
    <row r="71" spans="2:26">
      <c r="B71" s="5"/>
      <c r="C71" s="5"/>
      <c r="D71" s="248"/>
      <c r="E71" s="248"/>
      <c r="F71" s="248"/>
      <c r="G71" s="248"/>
      <c r="H71" s="248"/>
      <c r="I71" s="18"/>
      <c r="J71" s="5"/>
      <c r="K71" s="5"/>
      <c r="L71" s="5"/>
      <c r="M71" s="5"/>
      <c r="N71" s="5"/>
      <c r="O71" s="5"/>
      <c r="Q71" s="5"/>
      <c r="R71" s="5"/>
      <c r="S71" s="5"/>
      <c r="T71" s="5"/>
      <c r="U71" s="5"/>
      <c r="Y71" s="76"/>
      <c r="Z71" s="76"/>
    </row>
    <row r="72" spans="2:26">
      <c r="B72" s="41"/>
      <c r="C72" s="5"/>
      <c r="D72" s="5"/>
      <c r="E72" s="5"/>
      <c r="F72" s="5"/>
      <c r="G72" s="5"/>
      <c r="H72" s="5"/>
      <c r="I72" s="5"/>
      <c r="J72" s="245"/>
      <c r="K72" s="245"/>
      <c r="L72" s="245"/>
      <c r="M72" s="245"/>
      <c r="N72" s="245"/>
      <c r="O72" s="251"/>
      <c r="Q72" s="5"/>
      <c r="R72" s="5"/>
      <c r="S72" s="5"/>
      <c r="T72" s="5"/>
      <c r="U72" s="5"/>
    </row>
    <row r="73" spans="2:26">
      <c r="B73" s="41"/>
      <c r="C73" s="245"/>
      <c r="D73" s="245"/>
      <c r="E73" s="245"/>
      <c r="F73" s="245"/>
      <c r="G73" s="245"/>
      <c r="H73" s="245"/>
      <c r="I73" s="249"/>
      <c r="J73" s="18"/>
      <c r="K73" s="18"/>
      <c r="L73" s="18"/>
      <c r="M73" s="18"/>
      <c r="N73" s="18"/>
      <c r="O73" s="5"/>
      <c r="Q73" s="5"/>
      <c r="R73" s="5"/>
      <c r="S73" s="5"/>
      <c r="T73" s="5"/>
      <c r="U73" s="5"/>
    </row>
    <row r="74" spans="2:26">
      <c r="B74" s="5"/>
      <c r="C74" s="5"/>
      <c r="D74" s="18"/>
      <c r="E74" s="18"/>
      <c r="F74" s="18"/>
      <c r="G74" s="18"/>
      <c r="H74" s="18"/>
      <c r="I74" s="248"/>
      <c r="J74" s="5"/>
      <c r="K74" s="5"/>
      <c r="L74" s="5"/>
      <c r="M74" s="5"/>
      <c r="N74" s="5"/>
      <c r="O74" s="5"/>
      <c r="Q74" s="5"/>
      <c r="R74" s="5"/>
      <c r="S74" s="5"/>
      <c r="T74" s="5"/>
      <c r="U74" s="5"/>
    </row>
    <row r="75" spans="2:26">
      <c r="B75" s="41"/>
      <c r="C75" s="5"/>
      <c r="D75" s="5"/>
      <c r="E75" s="5"/>
      <c r="F75" s="5"/>
      <c r="G75" s="5"/>
      <c r="H75" s="5"/>
      <c r="I75" s="5"/>
      <c r="J75" s="249"/>
      <c r="K75" s="249"/>
      <c r="L75" s="249"/>
      <c r="M75" s="249"/>
      <c r="N75" s="249"/>
      <c r="O75" s="251"/>
      <c r="Q75" s="5"/>
      <c r="R75" s="5"/>
      <c r="S75" s="5"/>
      <c r="T75" s="5"/>
      <c r="U75" s="5"/>
    </row>
    <row r="76" spans="2:26">
      <c r="B76" s="41"/>
      <c r="C76" s="249"/>
      <c r="D76" s="249"/>
      <c r="E76" s="249"/>
      <c r="F76" s="249"/>
      <c r="G76" s="249"/>
      <c r="H76" s="249"/>
      <c r="I76" s="245"/>
      <c r="J76" s="248"/>
      <c r="K76" s="248"/>
      <c r="L76" s="248"/>
      <c r="M76" s="248"/>
      <c r="N76" s="248"/>
      <c r="O76" s="5"/>
      <c r="Q76" s="5"/>
      <c r="R76" s="5"/>
      <c r="S76" s="5"/>
      <c r="T76" s="5"/>
      <c r="U76" s="5"/>
    </row>
    <row r="77" spans="2:26">
      <c r="B77" s="5"/>
      <c r="C77" s="5"/>
      <c r="D77" s="248"/>
      <c r="E77" s="248"/>
      <c r="F77" s="248"/>
      <c r="G77" s="248"/>
      <c r="H77" s="248"/>
      <c r="I77" s="248"/>
      <c r="J77" s="5"/>
      <c r="K77" s="5"/>
      <c r="L77" s="5"/>
      <c r="M77" s="5"/>
      <c r="N77" s="5"/>
      <c r="O77" s="5"/>
      <c r="Q77" s="5"/>
      <c r="R77" s="5"/>
      <c r="S77" s="5"/>
      <c r="T77" s="5"/>
      <c r="U77" s="5"/>
    </row>
    <row r="78" spans="2:26">
      <c r="B78" s="41"/>
      <c r="C78" s="5"/>
      <c r="D78" s="5"/>
      <c r="E78" s="5"/>
      <c r="F78" s="5"/>
      <c r="G78" s="5"/>
      <c r="H78" s="5"/>
      <c r="I78" s="5"/>
      <c r="J78" s="245"/>
      <c r="K78" s="245"/>
      <c r="L78" s="245"/>
      <c r="M78" s="245"/>
      <c r="N78" s="245"/>
      <c r="O78" s="251"/>
      <c r="Q78" s="5"/>
      <c r="R78" s="5"/>
      <c r="S78" s="5"/>
      <c r="T78" s="5"/>
      <c r="U78" s="5"/>
    </row>
    <row r="79" spans="2:26">
      <c r="B79" s="41"/>
      <c r="C79" s="245"/>
      <c r="D79" s="245"/>
      <c r="E79" s="245"/>
      <c r="F79" s="245"/>
      <c r="G79" s="245"/>
      <c r="H79" s="245"/>
      <c r="I79" s="249"/>
      <c r="J79" s="248"/>
      <c r="K79" s="248"/>
      <c r="L79" s="248"/>
      <c r="M79" s="248"/>
      <c r="N79" s="248"/>
      <c r="O79" s="5"/>
      <c r="Q79" s="5"/>
      <c r="R79" s="5"/>
      <c r="S79" s="5"/>
      <c r="T79" s="5"/>
      <c r="U79" s="5"/>
    </row>
    <row r="80" spans="2:26">
      <c r="B80" s="5"/>
      <c r="C80" s="5"/>
      <c r="D80" s="248"/>
      <c r="E80" s="248"/>
      <c r="F80" s="248"/>
      <c r="G80" s="248"/>
      <c r="H80" s="248"/>
      <c r="I80" s="248"/>
      <c r="J80" s="5"/>
      <c r="K80" s="5"/>
      <c r="L80" s="5"/>
      <c r="M80" s="5"/>
      <c r="N80" s="5"/>
      <c r="O80" s="5"/>
      <c r="Q80" s="5"/>
      <c r="R80" s="5"/>
      <c r="S80" s="5"/>
      <c r="T80" s="5"/>
      <c r="U80" s="5"/>
    </row>
    <row r="81" spans="2:26">
      <c r="B81" s="41"/>
      <c r="C81" s="5"/>
      <c r="D81" s="5"/>
      <c r="E81" s="5"/>
      <c r="F81" s="5"/>
      <c r="G81" s="5"/>
      <c r="H81" s="5"/>
      <c r="I81" s="259"/>
      <c r="J81" s="249"/>
      <c r="K81" s="249"/>
      <c r="L81" s="249"/>
      <c r="M81" s="249"/>
      <c r="N81" s="249"/>
      <c r="O81" s="251"/>
      <c r="Q81" s="5"/>
      <c r="R81" s="5"/>
      <c r="S81" s="5"/>
      <c r="T81" s="5"/>
      <c r="U81" s="5"/>
    </row>
    <row r="82" spans="2:26">
      <c r="B82" s="41"/>
      <c r="C82" s="249"/>
      <c r="D82" s="249"/>
      <c r="E82" s="249"/>
      <c r="F82" s="249"/>
      <c r="G82" s="249"/>
      <c r="H82" s="249"/>
      <c r="I82" s="5"/>
      <c r="J82" s="248"/>
      <c r="K82" s="248"/>
      <c r="L82" s="248"/>
      <c r="M82" s="248"/>
      <c r="N82" s="248"/>
      <c r="O82" s="5"/>
      <c r="Q82" s="5"/>
      <c r="R82" s="5"/>
      <c r="S82" s="5"/>
      <c r="T82" s="5"/>
      <c r="U82" s="5"/>
    </row>
    <row r="83" spans="2:26">
      <c r="B83" s="5"/>
      <c r="C83" s="5"/>
      <c r="D83" s="248"/>
      <c r="E83" s="248"/>
      <c r="F83" s="248"/>
      <c r="G83" s="248"/>
      <c r="H83" s="248"/>
      <c r="I83" s="245"/>
      <c r="J83" s="259"/>
      <c r="K83" s="259"/>
      <c r="L83" s="259"/>
      <c r="M83" s="259"/>
      <c r="N83" s="259"/>
      <c r="O83" s="251"/>
      <c r="Q83" s="5"/>
      <c r="R83" s="5"/>
      <c r="S83" s="5"/>
      <c r="T83" s="5"/>
      <c r="U83" s="5"/>
    </row>
    <row r="84" spans="2:26">
      <c r="B84" s="5"/>
      <c r="C84" s="259"/>
      <c r="D84" s="259"/>
      <c r="E84" s="259"/>
      <c r="F84" s="259"/>
      <c r="G84" s="259"/>
      <c r="H84" s="259"/>
      <c r="I84" s="248"/>
      <c r="J84" s="5"/>
      <c r="K84" s="5"/>
      <c r="L84" s="5"/>
      <c r="M84" s="5"/>
      <c r="N84" s="5"/>
      <c r="O84" s="5"/>
      <c r="Q84" s="5"/>
      <c r="R84" s="5"/>
      <c r="S84" s="5"/>
      <c r="T84" s="5"/>
      <c r="U84" s="5"/>
    </row>
    <row r="85" spans="2:26">
      <c r="B85" s="41"/>
      <c r="C85" s="5"/>
      <c r="D85" s="5"/>
      <c r="E85" s="5"/>
      <c r="F85" s="5"/>
      <c r="G85" s="5"/>
      <c r="H85" s="5"/>
      <c r="I85" s="5"/>
      <c r="J85" s="245"/>
      <c r="K85" s="245"/>
      <c r="L85" s="245"/>
      <c r="M85" s="245"/>
      <c r="N85" s="245"/>
      <c r="O85" s="251"/>
      <c r="Q85" s="5"/>
      <c r="R85" s="5"/>
      <c r="S85" s="5"/>
      <c r="T85" s="5"/>
      <c r="U85" s="5"/>
    </row>
    <row r="86" spans="2:26">
      <c r="B86" s="41"/>
      <c r="C86" s="245"/>
      <c r="D86" s="245"/>
      <c r="E86" s="245"/>
      <c r="F86" s="245"/>
      <c r="G86" s="245"/>
      <c r="H86" s="245"/>
      <c r="I86" s="5"/>
      <c r="J86" s="248"/>
      <c r="K86" s="248"/>
      <c r="L86" s="248"/>
      <c r="M86" s="248"/>
      <c r="N86" s="248"/>
      <c r="O86" s="5"/>
      <c r="Q86" s="5"/>
      <c r="R86" s="5"/>
      <c r="S86" s="5"/>
      <c r="T86" s="5"/>
      <c r="U86" s="5"/>
    </row>
    <row r="87" spans="2:26">
      <c r="B87" s="5"/>
      <c r="C87" s="5"/>
      <c r="D87" s="248"/>
      <c r="E87" s="248"/>
      <c r="F87" s="248"/>
      <c r="G87" s="248"/>
      <c r="H87" s="248"/>
      <c r="I87" s="5"/>
      <c r="J87" s="5"/>
      <c r="K87" s="5"/>
      <c r="L87" s="5"/>
      <c r="M87" s="5"/>
      <c r="N87" s="5"/>
      <c r="O87" s="5"/>
      <c r="Q87" s="5"/>
      <c r="R87" s="5"/>
      <c r="S87" s="5"/>
      <c r="T87" s="5"/>
      <c r="U87" s="5"/>
    </row>
    <row r="88" spans="2:26">
      <c r="B88" s="41"/>
      <c r="C88" s="5"/>
      <c r="D88" s="5"/>
      <c r="E88" s="5"/>
      <c r="F88" s="5"/>
      <c r="G88" s="5"/>
      <c r="H88" s="5"/>
      <c r="I88" s="5"/>
      <c r="J88" s="5"/>
      <c r="K88" s="5"/>
      <c r="L88" s="5"/>
      <c r="M88" s="5"/>
      <c r="N88" s="5"/>
      <c r="O88" s="5"/>
      <c r="Q88" s="5"/>
      <c r="R88" s="5"/>
      <c r="S88" s="5"/>
      <c r="T88" s="5"/>
      <c r="U88" s="5"/>
    </row>
    <row r="89" spans="2:26">
      <c r="B89" s="41"/>
      <c r="C89" s="5"/>
      <c r="D89" s="5"/>
      <c r="E89" s="5"/>
      <c r="F89" s="5"/>
      <c r="G89" s="5"/>
      <c r="H89" s="5"/>
      <c r="I89" s="49"/>
      <c r="J89" s="5"/>
      <c r="K89" s="5"/>
      <c r="L89" s="5"/>
      <c r="M89" s="5"/>
      <c r="N89" s="5"/>
      <c r="O89" s="5"/>
      <c r="Q89" s="41"/>
      <c r="R89" s="5"/>
      <c r="S89" s="5"/>
      <c r="T89" s="5"/>
      <c r="U89" s="5"/>
    </row>
    <row r="90" spans="2:26">
      <c r="B90" s="41"/>
      <c r="C90" s="5"/>
      <c r="D90" s="5"/>
      <c r="E90" s="5"/>
      <c r="F90" s="5"/>
      <c r="G90" s="5"/>
      <c r="H90" s="5"/>
      <c r="I90" s="5"/>
      <c r="J90" s="5"/>
      <c r="K90" s="5"/>
      <c r="L90" s="5"/>
      <c r="M90" s="5"/>
      <c r="N90" s="5"/>
      <c r="O90" s="5"/>
      <c r="Q90" s="5"/>
      <c r="R90" s="5"/>
      <c r="S90" s="5"/>
      <c r="T90" s="5"/>
      <c r="U90" s="5"/>
    </row>
    <row r="91" spans="2:26">
      <c r="B91" s="5"/>
      <c r="C91" s="5"/>
      <c r="D91" s="5"/>
      <c r="E91" s="5"/>
      <c r="F91" s="5"/>
      <c r="G91" s="5"/>
      <c r="H91" s="5"/>
      <c r="I91" s="247"/>
      <c r="J91" s="49"/>
      <c r="K91" s="49"/>
      <c r="L91" s="49"/>
      <c r="M91" s="49"/>
      <c r="N91" s="49"/>
      <c r="O91" s="49"/>
      <c r="Q91" s="5"/>
      <c r="R91" s="5"/>
      <c r="S91" s="5"/>
      <c r="T91" s="5"/>
      <c r="U91" s="5"/>
      <c r="W91" s="21"/>
      <c r="X91" s="21"/>
    </row>
    <row r="92" spans="2:26">
      <c r="B92" s="41"/>
      <c r="C92" s="49"/>
      <c r="D92" s="49"/>
      <c r="E92" s="49"/>
      <c r="F92" s="49"/>
      <c r="G92" s="49"/>
      <c r="H92" s="49"/>
      <c r="I92" s="247"/>
      <c r="J92" s="5"/>
      <c r="K92" s="5"/>
      <c r="L92" s="5"/>
      <c r="M92" s="5"/>
      <c r="N92" s="5"/>
      <c r="O92" s="5"/>
      <c r="Q92" s="5"/>
      <c r="R92" s="5"/>
      <c r="S92" s="5"/>
      <c r="T92" s="5"/>
      <c r="U92" s="5"/>
      <c r="W92" s="21"/>
      <c r="X92" s="21"/>
      <c r="Y92" s="21"/>
      <c r="Z92" s="21"/>
    </row>
    <row r="93" spans="2:26">
      <c r="B93" s="5"/>
      <c r="C93" s="5"/>
      <c r="D93" s="5"/>
      <c r="E93" s="5"/>
      <c r="F93" s="5"/>
      <c r="G93" s="5"/>
      <c r="H93" s="5"/>
      <c r="I93" s="247"/>
      <c r="J93" s="247"/>
      <c r="K93" s="247"/>
      <c r="L93" s="247"/>
      <c r="M93" s="247"/>
      <c r="N93" s="247"/>
      <c r="O93" s="248"/>
      <c r="Q93" s="5"/>
      <c r="R93" s="5"/>
      <c r="S93" s="5"/>
      <c r="T93" s="5"/>
      <c r="U93" s="5"/>
      <c r="Y93" s="21"/>
      <c r="Z93" s="21"/>
    </row>
    <row r="94" spans="2:26">
      <c r="B94" s="5"/>
      <c r="C94" s="259"/>
      <c r="D94" s="247"/>
      <c r="E94" s="247"/>
      <c r="F94" s="247"/>
      <c r="G94" s="247"/>
      <c r="H94" s="247"/>
      <c r="I94" s="248"/>
      <c r="J94" s="247"/>
      <c r="K94" s="247"/>
      <c r="L94" s="247"/>
      <c r="M94" s="247"/>
      <c r="N94" s="247"/>
      <c r="O94" s="248"/>
      <c r="Q94" s="5"/>
      <c r="R94" s="5"/>
      <c r="S94" s="5"/>
      <c r="T94" s="5"/>
      <c r="U94" s="5"/>
    </row>
    <row r="95" spans="2:26">
      <c r="B95" s="5"/>
      <c r="C95" s="259"/>
      <c r="D95" s="247"/>
      <c r="E95" s="247"/>
      <c r="F95" s="247"/>
      <c r="G95" s="247"/>
      <c r="H95" s="247"/>
      <c r="I95" s="247"/>
      <c r="J95" s="247"/>
      <c r="K95" s="247"/>
      <c r="L95" s="247"/>
      <c r="M95" s="247"/>
      <c r="N95" s="247"/>
      <c r="O95" s="248"/>
      <c r="Q95" s="5"/>
      <c r="R95" s="5"/>
      <c r="S95" s="5"/>
      <c r="T95" s="5"/>
      <c r="U95" s="5"/>
    </row>
    <row r="96" spans="2:26">
      <c r="B96" s="5"/>
      <c r="C96" s="259"/>
      <c r="D96" s="247"/>
      <c r="E96" s="247"/>
      <c r="F96" s="247"/>
      <c r="G96" s="247"/>
      <c r="H96" s="247"/>
      <c r="I96" s="249"/>
      <c r="J96" s="248"/>
      <c r="K96" s="248"/>
      <c r="L96" s="248"/>
      <c r="M96" s="248"/>
      <c r="N96" s="248"/>
      <c r="O96" s="248"/>
      <c r="Q96" s="5"/>
      <c r="R96" s="5"/>
      <c r="S96" s="5"/>
      <c r="T96" s="5"/>
      <c r="U96" s="5"/>
    </row>
    <row r="97" spans="2:21">
      <c r="B97" s="5"/>
      <c r="C97" s="259"/>
      <c r="D97" s="248"/>
      <c r="E97" s="248"/>
      <c r="F97" s="248"/>
      <c r="G97" s="248"/>
      <c r="H97" s="248"/>
      <c r="I97" s="248"/>
      <c r="J97" s="247"/>
      <c r="K97" s="247"/>
      <c r="L97" s="247"/>
      <c r="M97" s="247"/>
      <c r="N97" s="247"/>
      <c r="O97" s="248"/>
      <c r="Q97" s="5"/>
      <c r="R97" s="5"/>
      <c r="S97" s="5"/>
      <c r="T97" s="5"/>
      <c r="U97" s="5"/>
    </row>
    <row r="98" spans="2:21">
      <c r="B98" s="5"/>
      <c r="C98" s="259"/>
      <c r="D98" s="247"/>
      <c r="E98" s="247"/>
      <c r="F98" s="247"/>
      <c r="G98" s="247"/>
      <c r="H98" s="247"/>
      <c r="I98" s="5"/>
      <c r="J98" s="249"/>
      <c r="K98" s="249"/>
      <c r="L98" s="249"/>
      <c r="M98" s="249"/>
      <c r="N98" s="249"/>
      <c r="O98" s="248"/>
      <c r="Q98" s="5"/>
      <c r="R98" s="5"/>
      <c r="S98" s="5"/>
      <c r="T98" s="5"/>
      <c r="U98" s="5"/>
    </row>
    <row r="99" spans="2:21">
      <c r="B99" s="41"/>
      <c r="C99" s="249"/>
      <c r="D99" s="249"/>
      <c r="E99" s="249"/>
      <c r="F99" s="249"/>
      <c r="G99" s="249"/>
      <c r="H99" s="249"/>
      <c r="I99" s="259"/>
      <c r="J99" s="248"/>
      <c r="K99" s="248"/>
      <c r="L99" s="248"/>
      <c r="M99" s="248"/>
      <c r="N99" s="248"/>
      <c r="O99" s="248"/>
      <c r="Q99" s="5"/>
      <c r="R99" s="5"/>
      <c r="S99" s="5"/>
      <c r="T99" s="5"/>
      <c r="U99" s="5"/>
    </row>
    <row r="100" spans="2:21" s="5" customFormat="1">
      <c r="B100" s="41"/>
      <c r="C100" s="257"/>
      <c r="D100" s="248"/>
      <c r="E100" s="248"/>
      <c r="F100" s="248"/>
      <c r="G100" s="248"/>
      <c r="H100" s="248"/>
      <c r="I100" s="259"/>
      <c r="O100" s="248"/>
      <c r="P100" s="39"/>
    </row>
    <row r="101" spans="2:21">
      <c r="B101" s="41"/>
      <c r="C101" s="5"/>
      <c r="D101" s="5"/>
      <c r="E101" s="5"/>
      <c r="F101" s="5"/>
      <c r="G101" s="5"/>
      <c r="H101" s="5"/>
      <c r="I101" s="247"/>
      <c r="J101" s="259"/>
      <c r="K101" s="259"/>
      <c r="L101" s="259"/>
      <c r="M101" s="259"/>
      <c r="N101" s="259"/>
      <c r="O101" s="5"/>
      <c r="Q101" s="5"/>
      <c r="R101" s="5"/>
      <c r="S101" s="5"/>
      <c r="T101" s="5"/>
      <c r="U101" s="5"/>
    </row>
    <row r="102" spans="2:21">
      <c r="B102" s="5"/>
      <c r="C102" s="259"/>
      <c r="D102" s="259"/>
      <c r="E102" s="259"/>
      <c r="F102" s="259"/>
      <c r="G102" s="259"/>
      <c r="H102" s="259"/>
      <c r="I102" s="5"/>
      <c r="J102" s="259"/>
      <c r="K102" s="259"/>
      <c r="L102" s="259"/>
      <c r="M102" s="259"/>
      <c r="N102" s="259"/>
      <c r="O102" s="5"/>
      <c r="P102" s="5"/>
      <c r="Q102" s="5"/>
      <c r="R102" s="5"/>
      <c r="S102" s="5"/>
      <c r="T102" s="5"/>
      <c r="U102" s="5"/>
    </row>
    <row r="103" spans="2:21">
      <c r="B103" s="5"/>
      <c r="C103" s="259"/>
      <c r="D103" s="259"/>
      <c r="E103" s="259"/>
      <c r="F103" s="259"/>
      <c r="G103" s="259"/>
      <c r="H103" s="259"/>
      <c r="I103" s="247"/>
      <c r="J103" s="247"/>
      <c r="K103" s="247"/>
      <c r="L103" s="247"/>
      <c r="M103" s="247"/>
      <c r="N103" s="247"/>
      <c r="O103" s="5"/>
      <c r="Q103" s="5"/>
      <c r="R103" s="5"/>
      <c r="S103" s="5"/>
      <c r="T103" s="5"/>
      <c r="U103" s="5"/>
    </row>
    <row r="104" spans="2:21" s="5" customFormat="1">
      <c r="C104" s="247"/>
      <c r="D104" s="247"/>
      <c r="E104" s="247"/>
      <c r="F104" s="247"/>
      <c r="G104" s="247"/>
      <c r="H104" s="247"/>
      <c r="P104" s="39"/>
    </row>
    <row r="105" spans="2:21" s="5" customFormat="1">
      <c r="I105" s="259"/>
      <c r="J105" s="247"/>
      <c r="K105" s="247"/>
      <c r="L105" s="247"/>
      <c r="M105" s="247"/>
      <c r="N105" s="247"/>
      <c r="P105" s="39"/>
    </row>
    <row r="106" spans="2:21">
      <c r="B106" s="5"/>
      <c r="C106" s="259"/>
      <c r="D106" s="247"/>
      <c r="E106" s="247"/>
      <c r="F106" s="247"/>
      <c r="G106" s="247"/>
      <c r="H106" s="247"/>
      <c r="I106" s="247"/>
      <c r="J106" s="5"/>
      <c r="K106" s="5"/>
      <c r="L106" s="5"/>
      <c r="M106" s="5"/>
      <c r="N106" s="5"/>
      <c r="O106" s="5"/>
      <c r="P106" s="5"/>
      <c r="Q106" s="5"/>
      <c r="R106" s="5"/>
      <c r="S106" s="5"/>
      <c r="T106" s="5"/>
      <c r="U106" s="5"/>
    </row>
    <row r="107" spans="2:21">
      <c r="B107" s="5"/>
      <c r="C107" s="259"/>
      <c r="D107" s="5"/>
      <c r="E107" s="5"/>
      <c r="F107" s="5"/>
      <c r="G107" s="5"/>
      <c r="H107" s="5"/>
      <c r="I107" s="249"/>
      <c r="J107" s="259"/>
      <c r="K107" s="259"/>
      <c r="L107" s="259"/>
      <c r="M107" s="259"/>
      <c r="N107" s="259"/>
      <c r="O107" s="5"/>
      <c r="P107" s="5"/>
      <c r="Q107" s="5"/>
      <c r="R107" s="5"/>
      <c r="S107" s="5"/>
      <c r="T107" s="5"/>
      <c r="U107" s="5"/>
    </row>
    <row r="108" spans="2:21">
      <c r="B108" s="5"/>
      <c r="C108" s="259"/>
      <c r="D108" s="259"/>
      <c r="E108" s="259"/>
      <c r="F108" s="259"/>
      <c r="G108" s="259"/>
      <c r="H108" s="259"/>
      <c r="I108" s="249"/>
      <c r="J108" s="247"/>
      <c r="K108" s="247"/>
      <c r="L108" s="247"/>
      <c r="M108" s="247"/>
      <c r="N108" s="247"/>
      <c r="O108" s="5"/>
      <c r="Q108" s="5"/>
      <c r="R108" s="5"/>
      <c r="S108" s="5"/>
      <c r="T108" s="5"/>
      <c r="U108" s="5"/>
    </row>
    <row r="109" spans="2:21">
      <c r="B109" s="5"/>
      <c r="C109" s="247"/>
      <c r="D109" s="247"/>
      <c r="E109" s="247"/>
      <c r="F109" s="247"/>
      <c r="G109" s="247"/>
      <c r="H109" s="247"/>
      <c r="I109" s="247"/>
      <c r="J109" s="249"/>
      <c r="K109" s="249"/>
      <c r="L109" s="249"/>
      <c r="M109" s="249"/>
      <c r="N109" s="249"/>
      <c r="O109" s="5"/>
      <c r="Q109" s="5"/>
      <c r="R109" s="5"/>
      <c r="S109" s="5"/>
      <c r="T109" s="5"/>
      <c r="U109" s="5"/>
    </row>
    <row r="110" spans="2:21">
      <c r="B110" s="41"/>
      <c r="C110" s="249"/>
      <c r="D110" s="249"/>
      <c r="E110" s="249"/>
      <c r="F110" s="249"/>
      <c r="G110" s="249"/>
      <c r="H110" s="249"/>
      <c r="I110" s="5"/>
      <c r="J110" s="249"/>
      <c r="K110" s="249"/>
      <c r="L110" s="249"/>
      <c r="M110" s="249"/>
      <c r="N110" s="249"/>
      <c r="O110" s="5"/>
      <c r="Q110" s="5"/>
      <c r="R110" s="5"/>
      <c r="S110" s="5"/>
      <c r="T110" s="5"/>
      <c r="U110" s="5"/>
    </row>
    <row r="111" spans="2:21">
      <c r="B111" s="5"/>
      <c r="C111" s="249"/>
      <c r="D111" s="249"/>
      <c r="E111" s="249"/>
      <c r="F111" s="249"/>
      <c r="G111" s="249"/>
      <c r="H111" s="249"/>
      <c r="I111" s="5"/>
      <c r="J111" s="247"/>
      <c r="K111" s="247"/>
      <c r="L111" s="247"/>
      <c r="M111" s="247"/>
      <c r="N111" s="247"/>
      <c r="O111" s="5"/>
      <c r="Q111" s="5"/>
      <c r="R111" s="5"/>
      <c r="S111" s="5"/>
      <c r="T111" s="5"/>
      <c r="U111" s="5"/>
    </row>
    <row r="112" spans="2:21">
      <c r="B112" s="5"/>
      <c r="C112" s="247"/>
      <c r="D112" s="247"/>
      <c r="E112" s="247"/>
      <c r="F112" s="247"/>
      <c r="G112" s="247"/>
      <c r="H112" s="247"/>
      <c r="I112" s="5"/>
      <c r="J112" s="5"/>
      <c r="K112" s="5"/>
      <c r="L112" s="5"/>
      <c r="M112" s="5"/>
      <c r="N112" s="5"/>
      <c r="O112" s="5"/>
      <c r="Q112" s="5"/>
      <c r="R112" s="5"/>
      <c r="S112" s="5"/>
      <c r="T112" s="5"/>
      <c r="U112" s="5"/>
    </row>
    <row r="113" spans="2:21">
      <c r="B113" s="5"/>
      <c r="C113" s="5"/>
      <c r="D113" s="5"/>
      <c r="E113" s="5"/>
      <c r="F113" s="5"/>
      <c r="G113" s="5"/>
      <c r="H113" s="5"/>
      <c r="I113" s="5"/>
      <c r="J113" s="5"/>
      <c r="K113" s="5"/>
      <c r="L113" s="5"/>
      <c r="M113" s="5"/>
      <c r="N113" s="5"/>
      <c r="O113" s="5"/>
      <c r="Q113" s="5"/>
      <c r="R113" s="5"/>
      <c r="S113" s="5"/>
      <c r="T113" s="5"/>
      <c r="U113" s="5"/>
    </row>
    <row r="114" spans="2:21">
      <c r="B114" s="5"/>
      <c r="C114" s="5"/>
      <c r="D114" s="5"/>
      <c r="E114" s="5"/>
      <c r="F114" s="5"/>
      <c r="G114" s="5"/>
      <c r="H114" s="5"/>
      <c r="I114" s="49"/>
      <c r="J114" s="5"/>
      <c r="K114" s="5"/>
      <c r="L114" s="5"/>
      <c r="M114" s="5"/>
      <c r="N114" s="5"/>
      <c r="O114" s="5"/>
      <c r="Q114" s="41"/>
      <c r="R114" s="5"/>
      <c r="S114" s="5"/>
      <c r="T114" s="5"/>
      <c r="U114" s="5"/>
    </row>
    <row r="115" spans="2:21">
      <c r="B115" s="5"/>
      <c r="C115" s="5"/>
      <c r="D115" s="5"/>
      <c r="E115" s="5"/>
      <c r="F115" s="5"/>
      <c r="G115" s="5"/>
      <c r="H115" s="5"/>
      <c r="I115" s="5"/>
      <c r="J115" s="5"/>
      <c r="K115" s="5"/>
      <c r="L115" s="5"/>
      <c r="M115" s="5"/>
      <c r="N115" s="5"/>
      <c r="O115" s="5"/>
      <c r="Q115" s="5"/>
      <c r="R115" s="5"/>
      <c r="S115" s="5"/>
      <c r="T115" s="5"/>
      <c r="U115" s="5"/>
    </row>
    <row r="116" spans="2:21">
      <c r="B116" s="5"/>
      <c r="C116" s="5"/>
      <c r="D116" s="5"/>
      <c r="E116" s="5"/>
      <c r="F116" s="5"/>
      <c r="G116" s="5"/>
      <c r="H116" s="5"/>
      <c r="I116" s="254"/>
      <c r="J116" s="49"/>
      <c r="K116" s="49"/>
      <c r="L116" s="49"/>
      <c r="M116" s="49"/>
      <c r="N116" s="49"/>
      <c r="O116" s="49"/>
      <c r="Q116" s="5"/>
      <c r="R116" s="5"/>
      <c r="S116" s="5"/>
      <c r="T116" s="5"/>
      <c r="U116" s="5"/>
    </row>
    <row r="117" spans="2:21">
      <c r="B117" s="41"/>
      <c r="C117" s="49"/>
      <c r="D117" s="49"/>
      <c r="E117" s="49"/>
      <c r="F117" s="49"/>
      <c r="G117" s="49"/>
      <c r="H117" s="49"/>
      <c r="I117" s="249"/>
      <c r="J117" s="5"/>
      <c r="K117" s="5"/>
      <c r="L117" s="5"/>
      <c r="M117" s="5"/>
      <c r="N117" s="5"/>
      <c r="O117" s="5"/>
      <c r="Q117" s="5"/>
      <c r="R117" s="5"/>
      <c r="S117" s="5"/>
      <c r="T117" s="5"/>
      <c r="U117" s="5"/>
    </row>
    <row r="118" spans="2:21">
      <c r="B118" s="5"/>
      <c r="C118" s="5"/>
      <c r="D118" s="5"/>
      <c r="E118" s="5"/>
      <c r="F118" s="5"/>
      <c r="G118" s="5"/>
      <c r="H118" s="5"/>
      <c r="I118" s="254"/>
      <c r="J118" s="254"/>
      <c r="K118" s="254"/>
      <c r="L118" s="254"/>
      <c r="M118" s="254"/>
      <c r="N118" s="254"/>
      <c r="O118" s="248"/>
      <c r="Q118" s="5"/>
      <c r="R118" s="5"/>
      <c r="S118" s="5"/>
      <c r="T118" s="5"/>
      <c r="U118" s="5"/>
    </row>
    <row r="119" spans="2:21">
      <c r="B119" s="41"/>
      <c r="C119" s="254"/>
      <c r="D119" s="254"/>
      <c r="E119" s="254"/>
      <c r="F119" s="254"/>
      <c r="G119" s="254"/>
      <c r="H119" s="254"/>
      <c r="I119" s="254"/>
      <c r="J119" s="249"/>
      <c r="K119" s="249"/>
      <c r="L119" s="249"/>
      <c r="M119" s="249"/>
      <c r="N119" s="249"/>
      <c r="O119" s="248"/>
      <c r="Q119" s="5"/>
      <c r="R119" s="5"/>
      <c r="S119" s="5"/>
      <c r="T119" s="5"/>
      <c r="U119" s="5"/>
    </row>
    <row r="120" spans="2:21">
      <c r="B120" s="41"/>
      <c r="C120" s="254"/>
      <c r="D120" s="249"/>
      <c r="E120" s="249"/>
      <c r="F120" s="249"/>
      <c r="G120" s="249"/>
      <c r="H120" s="249"/>
      <c r="I120" s="254"/>
      <c r="J120" s="254"/>
      <c r="K120" s="254"/>
      <c r="L120" s="254"/>
      <c r="M120" s="254"/>
      <c r="N120" s="254"/>
      <c r="O120" s="248"/>
      <c r="Q120" s="5"/>
      <c r="R120" s="5"/>
      <c r="S120" s="5"/>
      <c r="T120" s="5"/>
      <c r="U120" s="5"/>
    </row>
    <row r="121" spans="2:21">
      <c r="B121" s="41"/>
      <c r="C121" s="254"/>
      <c r="D121" s="254"/>
      <c r="E121" s="254"/>
      <c r="F121" s="254"/>
      <c r="G121" s="254"/>
      <c r="H121" s="254"/>
      <c r="I121" s="254"/>
      <c r="J121" s="254"/>
      <c r="K121" s="254"/>
      <c r="L121" s="254"/>
      <c r="M121" s="254"/>
      <c r="N121" s="254"/>
      <c r="O121" s="248"/>
      <c r="Q121" s="5"/>
      <c r="R121" s="5"/>
      <c r="S121" s="5"/>
      <c r="T121" s="5"/>
      <c r="U121" s="5"/>
    </row>
    <row r="122" spans="2:21">
      <c r="B122" s="41"/>
      <c r="C122" s="254"/>
      <c r="D122" s="254"/>
      <c r="E122" s="254"/>
      <c r="F122" s="254"/>
      <c r="G122" s="254"/>
      <c r="H122" s="254"/>
      <c r="I122" s="254"/>
      <c r="J122" s="254"/>
      <c r="K122" s="254"/>
      <c r="L122" s="254"/>
      <c r="M122" s="254"/>
      <c r="N122" s="254"/>
      <c r="O122" s="248"/>
      <c r="Q122" s="5"/>
      <c r="R122" s="5"/>
      <c r="S122" s="5"/>
      <c r="T122" s="5"/>
      <c r="U122" s="5"/>
    </row>
    <row r="123" spans="2:21">
      <c r="B123" s="41"/>
      <c r="C123" s="254"/>
      <c r="D123" s="254"/>
      <c r="E123" s="254"/>
      <c r="F123" s="254"/>
      <c r="G123" s="254"/>
      <c r="H123" s="254"/>
      <c r="I123" s="254"/>
      <c r="J123" s="254"/>
      <c r="K123" s="254"/>
      <c r="L123" s="254"/>
      <c r="M123" s="254"/>
      <c r="N123" s="254"/>
      <c r="O123" s="248"/>
      <c r="Q123" s="5"/>
      <c r="R123" s="5"/>
      <c r="S123" s="5"/>
      <c r="T123" s="5"/>
      <c r="U123" s="5"/>
    </row>
    <row r="124" spans="2:21">
      <c r="B124" s="41"/>
      <c r="C124" s="254"/>
      <c r="D124" s="254"/>
      <c r="E124" s="254"/>
      <c r="F124" s="254"/>
      <c r="G124" s="254"/>
      <c r="H124" s="254"/>
      <c r="I124" s="254"/>
      <c r="J124" s="254"/>
      <c r="K124" s="254"/>
      <c r="L124" s="254"/>
      <c r="M124" s="254"/>
      <c r="N124" s="254"/>
      <c r="O124" s="5"/>
      <c r="Q124" s="5"/>
      <c r="R124" s="5"/>
      <c r="S124" s="5"/>
      <c r="T124" s="5"/>
      <c r="U124" s="5"/>
    </row>
    <row r="125" spans="2:21">
      <c r="B125" s="41"/>
      <c r="C125" s="254"/>
      <c r="D125" s="254"/>
      <c r="E125" s="254"/>
      <c r="F125" s="254"/>
      <c r="G125" s="254"/>
      <c r="H125" s="254"/>
      <c r="I125" s="254"/>
      <c r="J125" s="254"/>
      <c r="K125" s="254"/>
      <c r="L125" s="254"/>
      <c r="M125" s="254"/>
      <c r="N125" s="254"/>
      <c r="O125" s="5"/>
      <c r="Q125" s="5"/>
      <c r="R125" s="5"/>
      <c r="S125" s="5"/>
      <c r="T125" s="5"/>
      <c r="U125" s="5"/>
    </row>
    <row r="126" spans="2:21">
      <c r="B126" s="41"/>
      <c r="C126" s="254"/>
      <c r="D126" s="254"/>
      <c r="E126" s="254"/>
      <c r="F126" s="254"/>
      <c r="G126" s="254"/>
      <c r="H126" s="254"/>
      <c r="I126" s="18"/>
      <c r="J126" s="254"/>
      <c r="K126" s="254"/>
      <c r="L126" s="254"/>
      <c r="M126" s="254"/>
      <c r="N126" s="254"/>
      <c r="O126" s="5"/>
      <c r="Q126" s="5"/>
      <c r="R126" s="5"/>
      <c r="S126" s="5"/>
      <c r="T126" s="5"/>
      <c r="U126" s="5"/>
    </row>
    <row r="127" spans="2:21">
      <c r="B127" s="41"/>
      <c r="C127" s="254"/>
      <c r="D127" s="254"/>
      <c r="E127" s="254"/>
      <c r="F127" s="254"/>
      <c r="G127" s="254"/>
      <c r="H127" s="254"/>
      <c r="I127" s="5"/>
      <c r="J127" s="254"/>
      <c r="K127" s="254"/>
      <c r="L127" s="254"/>
      <c r="M127" s="254"/>
      <c r="N127" s="254"/>
      <c r="O127" s="5"/>
      <c r="Q127" s="5"/>
      <c r="R127" s="5"/>
      <c r="S127" s="5"/>
      <c r="T127" s="5"/>
      <c r="U127" s="5"/>
    </row>
    <row r="128" spans="2:21">
      <c r="B128" s="41"/>
      <c r="C128" s="254"/>
      <c r="D128" s="254"/>
      <c r="E128" s="254"/>
      <c r="F128" s="254"/>
      <c r="G128" s="254"/>
      <c r="H128" s="254"/>
      <c r="I128" s="254"/>
      <c r="J128" s="18"/>
      <c r="K128" s="18"/>
      <c r="L128" s="18"/>
      <c r="M128" s="18"/>
      <c r="N128" s="18"/>
      <c r="O128" s="5"/>
      <c r="Q128" s="5"/>
      <c r="R128" s="5"/>
      <c r="S128" s="5"/>
      <c r="T128" s="5"/>
      <c r="U128" s="5"/>
    </row>
    <row r="129" spans="2:27">
      <c r="B129" s="5"/>
      <c r="C129" s="5"/>
      <c r="D129" s="18"/>
      <c r="E129" s="18"/>
      <c r="F129" s="18"/>
      <c r="G129" s="18"/>
      <c r="H129" s="18"/>
      <c r="I129" s="18"/>
      <c r="J129" s="5"/>
      <c r="K129" s="5"/>
      <c r="L129" s="5"/>
      <c r="M129" s="5"/>
      <c r="N129" s="5"/>
      <c r="O129" s="5"/>
      <c r="Q129" s="5"/>
      <c r="R129" s="5"/>
      <c r="S129" s="5"/>
      <c r="T129" s="5"/>
      <c r="U129" s="5"/>
    </row>
    <row r="130" spans="2:27">
      <c r="B130" s="5"/>
      <c r="C130" s="5"/>
      <c r="D130" s="5"/>
      <c r="E130" s="5"/>
      <c r="F130" s="5"/>
      <c r="G130" s="5"/>
      <c r="H130" s="5"/>
      <c r="I130" s="5"/>
      <c r="J130" s="254"/>
      <c r="K130" s="254"/>
      <c r="L130" s="254"/>
      <c r="M130" s="254"/>
      <c r="N130" s="254"/>
      <c r="O130" s="5"/>
      <c r="Q130" s="5"/>
      <c r="R130" s="5"/>
      <c r="S130" s="5"/>
      <c r="T130" s="5"/>
      <c r="U130" s="5"/>
    </row>
    <row r="131" spans="2:27">
      <c r="B131" s="41"/>
      <c r="C131" s="254"/>
      <c r="D131" s="254"/>
      <c r="E131" s="254"/>
      <c r="F131" s="254"/>
      <c r="G131" s="254"/>
      <c r="H131" s="254"/>
      <c r="I131" s="5"/>
      <c r="J131" s="18"/>
      <c r="K131" s="18"/>
      <c r="L131" s="18"/>
      <c r="M131" s="18"/>
      <c r="N131" s="18"/>
      <c r="O131" s="5"/>
      <c r="Q131" s="5"/>
      <c r="R131" s="5"/>
      <c r="S131" s="5"/>
      <c r="T131" s="5"/>
      <c r="U131" s="5"/>
    </row>
    <row r="132" spans="2:27">
      <c r="B132" s="5"/>
      <c r="C132" s="259"/>
      <c r="D132" s="18"/>
      <c r="E132" s="18"/>
      <c r="F132" s="18"/>
      <c r="G132" s="18"/>
      <c r="H132" s="18"/>
      <c r="I132" s="17"/>
      <c r="J132" s="5"/>
      <c r="K132" s="5"/>
      <c r="L132" s="5"/>
      <c r="M132" s="5"/>
      <c r="N132" s="5"/>
      <c r="O132" s="5"/>
      <c r="Q132" s="5"/>
      <c r="R132" s="5"/>
      <c r="S132" s="5"/>
      <c r="T132" s="5"/>
      <c r="U132" s="5"/>
    </row>
    <row r="133" spans="2:27">
      <c r="B133" s="5"/>
      <c r="C133" s="5"/>
      <c r="D133" s="5"/>
      <c r="E133" s="5"/>
      <c r="F133" s="5"/>
      <c r="G133" s="5"/>
      <c r="H133" s="5"/>
      <c r="I133" s="17"/>
      <c r="J133" s="5"/>
      <c r="K133" s="5"/>
      <c r="L133" s="5"/>
      <c r="M133" s="5"/>
      <c r="N133" s="5"/>
      <c r="O133" s="5"/>
      <c r="Q133" s="5"/>
      <c r="R133" s="5"/>
      <c r="S133" s="5"/>
      <c r="T133" s="5"/>
      <c r="U133" s="5"/>
    </row>
    <row r="134" spans="2:27">
      <c r="B134" s="41"/>
      <c r="C134" s="5"/>
      <c r="D134" s="5"/>
      <c r="E134" s="5"/>
      <c r="F134" s="5"/>
      <c r="G134" s="5"/>
      <c r="H134" s="5"/>
      <c r="I134" s="17"/>
      <c r="J134" s="17"/>
      <c r="K134" s="17"/>
      <c r="L134" s="17"/>
      <c r="M134" s="17"/>
      <c r="N134" s="17"/>
      <c r="O134" s="5"/>
      <c r="Q134" s="41"/>
      <c r="R134" s="5"/>
      <c r="S134" s="5"/>
      <c r="T134" s="5"/>
      <c r="U134" s="5"/>
    </row>
    <row r="135" spans="2:27">
      <c r="B135" s="5"/>
      <c r="C135" s="17"/>
      <c r="D135" s="17"/>
      <c r="E135" s="17"/>
      <c r="F135" s="17"/>
      <c r="G135" s="17"/>
      <c r="H135" s="17"/>
      <c r="I135" s="17"/>
      <c r="J135" s="17"/>
      <c r="K135" s="17"/>
      <c r="L135" s="17"/>
      <c r="M135" s="17"/>
      <c r="N135" s="17"/>
      <c r="O135" s="5"/>
      <c r="Q135" s="5"/>
      <c r="R135" s="5"/>
      <c r="S135" s="5"/>
      <c r="T135" s="5"/>
      <c r="U135" s="5"/>
      <c r="X135" s="304"/>
    </row>
    <row r="136" spans="2:27">
      <c r="B136" s="5"/>
      <c r="C136" s="17"/>
      <c r="D136" s="17"/>
      <c r="E136" s="17"/>
      <c r="F136" s="17"/>
      <c r="G136" s="17"/>
      <c r="H136" s="17"/>
      <c r="I136" s="17"/>
      <c r="J136" s="17"/>
      <c r="K136" s="17"/>
      <c r="L136" s="17"/>
      <c r="M136" s="17"/>
      <c r="N136" s="17"/>
      <c r="O136" s="5"/>
      <c r="Q136" s="5"/>
      <c r="R136" s="5"/>
      <c r="S136" s="5"/>
      <c r="T136" s="5"/>
      <c r="U136" s="5"/>
      <c r="X136" s="10"/>
      <c r="Y136" s="304"/>
      <c r="Z136" s="304"/>
      <c r="AA136" s="304"/>
    </row>
    <row r="137" spans="2:27">
      <c r="B137" s="5"/>
      <c r="C137" s="5"/>
      <c r="D137" s="17"/>
      <c r="E137" s="17"/>
      <c r="F137" s="17"/>
      <c r="G137" s="17"/>
      <c r="H137" s="17"/>
      <c r="I137" s="17"/>
      <c r="J137" s="17"/>
      <c r="K137" s="17"/>
      <c r="L137" s="17"/>
      <c r="M137" s="17"/>
      <c r="N137" s="17"/>
      <c r="O137" s="5"/>
      <c r="Q137" s="5"/>
      <c r="R137" s="5"/>
      <c r="S137" s="5"/>
      <c r="T137" s="5"/>
      <c r="U137" s="5"/>
      <c r="Y137" s="10"/>
      <c r="Z137" s="10"/>
      <c r="AA137" s="10"/>
    </row>
    <row r="138" spans="2:27">
      <c r="B138" s="5"/>
      <c r="C138" s="5"/>
      <c r="D138" s="17"/>
      <c r="E138" s="17"/>
      <c r="F138" s="17"/>
      <c r="G138" s="17"/>
      <c r="H138" s="17"/>
      <c r="I138" s="5"/>
      <c r="J138" s="17"/>
      <c r="K138" s="17"/>
      <c r="L138" s="17"/>
      <c r="M138" s="17"/>
      <c r="N138" s="17"/>
      <c r="O138" s="5"/>
      <c r="Q138" s="5"/>
      <c r="R138" s="5"/>
      <c r="S138" s="5"/>
      <c r="T138" s="5"/>
      <c r="U138" s="5"/>
    </row>
    <row r="139" spans="2:27">
      <c r="B139" s="5"/>
      <c r="C139" s="5"/>
      <c r="D139" s="17"/>
      <c r="E139" s="17"/>
      <c r="F139" s="17"/>
      <c r="G139" s="17"/>
      <c r="H139" s="17"/>
      <c r="I139" s="5"/>
      <c r="J139" s="17"/>
      <c r="K139" s="17"/>
      <c r="L139" s="17"/>
      <c r="M139" s="17"/>
      <c r="N139" s="17"/>
      <c r="O139" s="5"/>
      <c r="Q139" s="5"/>
      <c r="R139" s="5"/>
      <c r="S139" s="5"/>
      <c r="T139" s="5"/>
      <c r="U139" s="5"/>
    </row>
    <row r="140" spans="2:27">
      <c r="B140" s="5"/>
      <c r="C140" s="17"/>
      <c r="D140" s="17"/>
      <c r="E140" s="17"/>
      <c r="F140" s="17"/>
      <c r="G140" s="17"/>
      <c r="H140" s="17"/>
      <c r="I140" s="5"/>
      <c r="J140" s="5"/>
      <c r="K140" s="5"/>
      <c r="L140" s="5"/>
      <c r="M140" s="5"/>
      <c r="N140" s="5"/>
      <c r="O140" s="5"/>
      <c r="Q140" s="5"/>
      <c r="R140" s="5"/>
      <c r="S140" s="5"/>
      <c r="T140" s="5"/>
      <c r="U140" s="5"/>
    </row>
    <row r="141" spans="2:27">
      <c r="B141" s="5"/>
      <c r="C141" s="5"/>
      <c r="D141" s="5"/>
      <c r="E141" s="5"/>
      <c r="F141" s="5"/>
      <c r="G141" s="5"/>
      <c r="H141" s="5"/>
      <c r="I141" s="5"/>
      <c r="J141" s="5"/>
      <c r="K141" s="5"/>
      <c r="L141" s="5"/>
      <c r="M141" s="5"/>
      <c r="N141" s="5"/>
      <c r="O141" s="5"/>
      <c r="Q141" s="5"/>
      <c r="R141" s="5"/>
      <c r="S141" s="5"/>
      <c r="T141" s="5"/>
      <c r="U141" s="5"/>
    </row>
    <row r="142" spans="2:27">
      <c r="B142" s="5"/>
      <c r="C142" s="5"/>
      <c r="D142" s="5"/>
      <c r="E142" s="5"/>
      <c r="F142" s="5"/>
      <c r="G142" s="5"/>
      <c r="H142" s="5"/>
      <c r="I142" s="5"/>
      <c r="J142" s="5"/>
      <c r="K142" s="5"/>
      <c r="L142" s="5"/>
      <c r="M142" s="5"/>
      <c r="N142" s="5"/>
      <c r="O142" s="5"/>
      <c r="Q142" s="5"/>
      <c r="R142" s="5"/>
      <c r="S142" s="5"/>
      <c r="T142" s="5"/>
      <c r="U142" s="5"/>
    </row>
    <row r="143" spans="2:27">
      <c r="B143" s="5"/>
      <c r="C143" s="5"/>
      <c r="D143" s="5"/>
      <c r="E143" s="5"/>
      <c r="F143" s="5"/>
      <c r="G143" s="5"/>
      <c r="H143" s="5"/>
      <c r="I143" s="5"/>
      <c r="J143" s="5"/>
      <c r="K143" s="5"/>
      <c r="L143" s="5"/>
      <c r="M143" s="5"/>
      <c r="N143" s="5"/>
      <c r="O143" s="5"/>
      <c r="Q143" s="5"/>
      <c r="R143" s="5"/>
      <c r="S143" s="5"/>
      <c r="T143" s="5"/>
      <c r="U143" s="5"/>
    </row>
    <row r="144" spans="2:27">
      <c r="B144" s="5"/>
      <c r="C144" s="5"/>
      <c r="D144" s="5"/>
      <c r="E144" s="5"/>
      <c r="F144" s="5"/>
      <c r="G144" s="5"/>
      <c r="H144" s="5"/>
      <c r="I144" s="5"/>
      <c r="J144" s="5"/>
      <c r="K144" s="5"/>
      <c r="L144" s="5"/>
      <c r="M144" s="5"/>
      <c r="N144" s="5"/>
      <c r="O144" s="5"/>
      <c r="Q144" s="5"/>
      <c r="R144" s="5"/>
      <c r="S144" s="5"/>
      <c r="T144" s="5"/>
      <c r="U144" s="5"/>
    </row>
    <row r="145" spans="2:21">
      <c r="B145" s="5"/>
      <c r="C145" s="5"/>
      <c r="D145" s="5"/>
      <c r="E145" s="5"/>
      <c r="F145" s="5"/>
      <c r="G145" s="5"/>
      <c r="H145" s="5"/>
      <c r="I145" s="5"/>
      <c r="J145" s="5"/>
      <c r="K145" s="5"/>
      <c r="L145" s="5"/>
      <c r="M145" s="5"/>
      <c r="N145" s="5"/>
      <c r="O145" s="5"/>
      <c r="Q145" s="5"/>
      <c r="R145" s="5"/>
      <c r="S145" s="5"/>
      <c r="T145" s="5"/>
      <c r="U145" s="5"/>
    </row>
    <row r="146" spans="2:21">
      <c r="B146" s="5"/>
      <c r="C146" s="5"/>
      <c r="D146" s="5"/>
      <c r="E146" s="5"/>
      <c r="F146" s="5"/>
      <c r="G146" s="5"/>
      <c r="H146" s="5"/>
      <c r="I146" s="5"/>
      <c r="J146" s="5"/>
      <c r="K146" s="5"/>
      <c r="L146" s="5"/>
      <c r="M146" s="5"/>
      <c r="N146" s="5"/>
      <c r="O146" s="5"/>
      <c r="Q146" s="5"/>
      <c r="R146" s="5"/>
      <c r="S146" s="5"/>
      <c r="T146" s="5"/>
      <c r="U146" s="5"/>
    </row>
    <row r="147" spans="2:21">
      <c r="B147" s="5"/>
      <c r="C147" s="5"/>
      <c r="D147" s="5"/>
      <c r="E147" s="5"/>
      <c r="F147" s="5"/>
      <c r="G147" s="5"/>
      <c r="H147" s="5"/>
      <c r="I147" s="5"/>
      <c r="J147" s="5"/>
      <c r="K147" s="5"/>
      <c r="L147" s="5"/>
      <c r="M147" s="5"/>
      <c r="N147" s="5"/>
      <c r="O147" s="5"/>
      <c r="Q147" s="5"/>
      <c r="R147" s="5"/>
      <c r="S147" s="5"/>
      <c r="T147" s="5"/>
      <c r="U147" s="5"/>
    </row>
    <row r="148" spans="2:21">
      <c r="B148" s="5"/>
      <c r="C148" s="5"/>
      <c r="D148" s="5"/>
      <c r="E148" s="5"/>
      <c r="F148" s="5"/>
      <c r="G148" s="5"/>
      <c r="H148" s="5"/>
      <c r="J148" s="5"/>
      <c r="K148" s="5"/>
      <c r="L148" s="5"/>
      <c r="M148" s="5"/>
      <c r="N148" s="5"/>
      <c r="O148" s="5"/>
      <c r="Q148" s="5"/>
      <c r="R148" s="5"/>
      <c r="S148" s="5"/>
      <c r="T148" s="5"/>
      <c r="U148" s="5"/>
    </row>
    <row r="149" spans="2:21">
      <c r="B149" s="5"/>
      <c r="C149" s="5"/>
      <c r="D149" s="5"/>
      <c r="E149" s="5"/>
      <c r="F149" s="5"/>
      <c r="G149" s="5"/>
      <c r="H149" s="5"/>
      <c r="J149" s="5"/>
      <c r="K149" s="5"/>
      <c r="L149" s="5"/>
      <c r="M149" s="5"/>
      <c r="N149" s="5"/>
      <c r="O149" s="5"/>
      <c r="Q149" s="5"/>
      <c r="R149" s="5"/>
      <c r="S149" s="5"/>
      <c r="T149" s="5"/>
      <c r="U149" s="5"/>
    </row>
    <row r="150" spans="2:21">
      <c r="B150" s="5"/>
      <c r="C150" s="5"/>
      <c r="D150" s="5"/>
      <c r="E150" s="5"/>
      <c r="F150" s="5"/>
      <c r="G150" s="5"/>
      <c r="H150" s="5"/>
      <c r="Q150" s="5"/>
      <c r="R150" s="5"/>
      <c r="S150" s="5"/>
      <c r="T150" s="5"/>
      <c r="U150" s="5"/>
    </row>
    <row r="151" spans="2:21">
      <c r="Q151" s="5"/>
      <c r="R151" s="5"/>
      <c r="S151" s="5"/>
      <c r="T151" s="5"/>
      <c r="U151" s="5"/>
    </row>
    <row r="152" spans="2:21">
      <c r="Q152" s="5"/>
      <c r="R152" s="5"/>
      <c r="S152" s="5"/>
      <c r="T152" s="5"/>
      <c r="U152" s="5"/>
    </row>
    <row r="153" spans="2:21">
      <c r="C153" s="263"/>
      <c r="Q153" s="5"/>
      <c r="R153" s="5"/>
      <c r="S153" s="5"/>
      <c r="T153" s="5"/>
      <c r="U153" s="5"/>
    </row>
    <row r="154" spans="2:21">
      <c r="Q154" s="5"/>
      <c r="R154" s="5"/>
      <c r="S154" s="5"/>
      <c r="T154" s="5"/>
      <c r="U154" s="5"/>
    </row>
    <row r="155" spans="2:21">
      <c r="Q155" s="5"/>
      <c r="R155" s="5"/>
      <c r="S155" s="5"/>
      <c r="T155" s="5"/>
      <c r="U155" s="5"/>
    </row>
    <row r="156" spans="2:21">
      <c r="Q156" s="5"/>
      <c r="R156" s="5"/>
      <c r="S156" s="5"/>
      <c r="T156" s="5"/>
      <c r="U156" s="5"/>
    </row>
    <row r="157" spans="2:21">
      <c r="Q157" s="5"/>
      <c r="R157" s="5"/>
      <c r="S157" s="5"/>
      <c r="T157" s="5"/>
      <c r="U157" s="5"/>
    </row>
    <row r="158" spans="2:21">
      <c r="Q158" s="5"/>
      <c r="R158" s="5"/>
      <c r="S158" s="5"/>
      <c r="T158" s="5"/>
      <c r="U158" s="5"/>
    </row>
    <row r="159" spans="2:21">
      <c r="Q159" s="5"/>
      <c r="R159" s="5"/>
      <c r="S159" s="5"/>
      <c r="T159" s="5"/>
      <c r="U159" s="5"/>
    </row>
    <row r="160" spans="2:21">
      <c r="Q160" s="5"/>
      <c r="R160" s="5"/>
      <c r="S160" s="5"/>
      <c r="T160" s="5"/>
      <c r="U160" s="5"/>
    </row>
    <row r="161" spans="17:21">
      <c r="Q161" s="5"/>
      <c r="R161" s="5"/>
      <c r="S161" s="5"/>
      <c r="T161" s="5"/>
      <c r="U161" s="5"/>
    </row>
    <row r="162" spans="17:21">
      <c r="Q162" s="5"/>
      <c r="R162" s="5"/>
      <c r="S162" s="5"/>
      <c r="T162" s="5"/>
      <c r="U162" s="5"/>
    </row>
    <row r="163" spans="17:21">
      <c r="Q163" s="5"/>
      <c r="R163" s="5"/>
      <c r="S163" s="5"/>
      <c r="T163" s="5"/>
      <c r="U163" s="5"/>
    </row>
    <row r="164" spans="17:21">
      <c r="Q164" s="5"/>
      <c r="R164" s="5"/>
      <c r="S164" s="5"/>
      <c r="T164" s="5"/>
      <c r="U164" s="5"/>
    </row>
  </sheetData>
  <phoneticPr fontId="7" type="noConversion"/>
  <pageMargins left="0.75" right="0.75" top="1" bottom="1" header="0.5" footer="0.5"/>
  <pageSetup scale="70" orientation="landscape" r:id="rId1"/>
  <headerFooter alignWithMargins="0"/>
  <drawing r:id="rId2"/>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D00-000000000000}">
  <sheetPr codeName="Sheet128">
    <tabColor theme="3" tint="0.59999389629810485"/>
    <pageSetUpPr fitToPage="1"/>
  </sheetPr>
  <dimension ref="B1:BK164"/>
  <sheetViews>
    <sheetView showGridLines="0" zoomScale="80" zoomScaleNormal="80" workbookViewId="0"/>
  </sheetViews>
  <sheetFormatPr defaultColWidth="8.88671875" defaultRowHeight="12"/>
  <cols>
    <col min="1" max="1" width="2.33203125" style="39" customWidth="1"/>
    <col min="2" max="2" width="26.6640625" style="39" customWidth="1"/>
    <col min="3" max="9" width="10" style="39" customWidth="1"/>
    <col min="10" max="10" width="26.6640625" style="39" customWidth="1"/>
    <col min="11" max="16" width="10" style="39" customWidth="1"/>
    <col min="17" max="17" width="4.5546875" style="39" customWidth="1"/>
    <col min="18" max="20" width="8.88671875" style="39"/>
    <col min="21" max="21" width="3.6640625" style="39" customWidth="1"/>
    <col min="22" max="63" width="9.109375" style="5" customWidth="1"/>
    <col min="64" max="16384" width="8.88671875" style="39"/>
  </cols>
  <sheetData>
    <row r="1" spans="2:63" s="312" customFormat="1">
      <c r="V1" s="149"/>
      <c r="W1" s="149"/>
      <c r="X1" s="149"/>
      <c r="Y1" s="149"/>
      <c r="Z1" s="149"/>
      <c r="AA1" s="149"/>
      <c r="AB1" s="149"/>
      <c r="AC1" s="149"/>
      <c r="AD1" s="149"/>
      <c r="AE1" s="149"/>
      <c r="AF1" s="149"/>
      <c r="AG1" s="149"/>
      <c r="AH1" s="149"/>
      <c r="AI1" s="149"/>
      <c r="AJ1" s="149"/>
      <c r="AK1" s="149"/>
      <c r="AL1" s="149"/>
      <c r="AM1" s="149"/>
      <c r="AN1" s="149"/>
      <c r="AO1" s="149"/>
      <c r="AP1" s="149"/>
      <c r="AQ1" s="149"/>
      <c r="AR1" s="149"/>
      <c r="AS1" s="149"/>
      <c r="AT1" s="149"/>
      <c r="AU1" s="149"/>
      <c r="AV1" s="149"/>
      <c r="AW1" s="149"/>
      <c r="AX1" s="149"/>
      <c r="AY1" s="149"/>
      <c r="AZ1" s="149"/>
      <c r="BA1" s="149"/>
      <c r="BB1" s="149"/>
      <c r="BC1" s="149"/>
      <c r="BD1" s="149"/>
      <c r="BE1" s="149"/>
      <c r="BF1" s="149"/>
      <c r="BG1" s="149"/>
      <c r="BH1" s="149"/>
      <c r="BI1" s="149"/>
      <c r="BJ1" s="149"/>
      <c r="BK1" s="149"/>
    </row>
    <row r="2" spans="2:63" s="312" customFormat="1">
      <c r="V2" s="149"/>
      <c r="W2" s="149"/>
      <c r="X2" s="149"/>
      <c r="Y2" s="149"/>
      <c r="Z2" s="149"/>
      <c r="AA2" s="149"/>
      <c r="AB2" s="149"/>
      <c r="AC2" s="149"/>
      <c r="AD2" s="149"/>
      <c r="AE2" s="149"/>
      <c r="AF2" s="149"/>
      <c r="AG2" s="149"/>
      <c r="AH2" s="149"/>
      <c r="AI2" s="149"/>
      <c r="AJ2" s="149"/>
      <c r="AK2" s="149"/>
      <c r="AL2" s="149"/>
      <c r="AM2" s="149"/>
      <c r="AN2" s="149"/>
      <c r="AO2" s="149"/>
      <c r="AP2" s="149"/>
      <c r="AQ2" s="149"/>
      <c r="AR2" s="149"/>
      <c r="AS2" s="149"/>
      <c r="AT2" s="149"/>
      <c r="AU2" s="149"/>
      <c r="AV2" s="149"/>
      <c r="AW2" s="149"/>
      <c r="AX2" s="149"/>
      <c r="AY2" s="149"/>
      <c r="AZ2" s="149"/>
      <c r="BA2" s="149"/>
      <c r="BB2" s="149"/>
      <c r="BC2" s="149"/>
      <c r="BD2" s="149"/>
      <c r="BE2" s="149"/>
      <c r="BF2" s="149"/>
      <c r="BG2" s="149"/>
      <c r="BH2" s="149"/>
      <c r="BI2" s="149"/>
      <c r="BJ2" s="149"/>
      <c r="BK2" s="149"/>
    </row>
    <row r="3" spans="2:63" s="149" customFormat="1">
      <c r="H3" s="153"/>
      <c r="P3" s="153"/>
    </row>
    <row r="4" spans="2:63" s="156" customFormat="1" ht="21">
      <c r="B4" s="129" t="s">
        <v>315</v>
      </c>
      <c r="H4" s="222"/>
      <c r="P4" s="222"/>
    </row>
    <row r="5" spans="2:63" s="149" customFormat="1">
      <c r="C5" s="153"/>
      <c r="D5" s="153" t="str" cm="1">
        <f t="array" ref="D5:H5">headings</f>
        <v>2023E</v>
      </c>
      <c r="E5" s="153" t="str">
        <v>2024E</v>
      </c>
      <c r="F5" s="153" t="str">
        <v>2025E</v>
      </c>
      <c r="G5" s="153" t="str">
        <v>2026E</v>
      </c>
      <c r="H5" s="153" t="str">
        <v>23E-26E</v>
      </c>
      <c r="I5" s="153"/>
      <c r="J5" s="153"/>
      <c r="K5" s="153"/>
      <c r="L5" s="153" t="str" cm="1">
        <f t="array" ref="L5:P5">headings</f>
        <v>2023E</v>
      </c>
      <c r="M5" s="153" t="str">
        <v>2024E</v>
      </c>
      <c r="N5" s="153" t="str">
        <v>2025E</v>
      </c>
      <c r="O5" s="153" t="str">
        <v>2026E</v>
      </c>
      <c r="P5" s="153" t="str">
        <v>23E-26E</v>
      </c>
      <c r="Q5" s="162"/>
      <c r="R5" s="162"/>
      <c r="S5" s="162"/>
      <c r="T5" s="162"/>
      <c r="U5" s="162"/>
      <c r="V5" s="162"/>
      <c r="W5" s="162"/>
      <c r="X5" s="162"/>
      <c r="Y5" s="162"/>
    </row>
    <row r="6" spans="2:63">
      <c r="I6" s="5"/>
      <c r="J6" s="5"/>
      <c r="K6" s="5"/>
      <c r="L6" s="5"/>
      <c r="M6" s="5"/>
      <c r="N6" s="5"/>
      <c r="O6" s="49"/>
    </row>
    <row r="7" spans="2:63" ht="12.6" thickBot="1">
      <c r="B7" s="306" t="s">
        <v>271</v>
      </c>
      <c r="C7" s="265"/>
      <c r="D7" s="265"/>
      <c r="E7" s="265"/>
      <c r="F7" s="265"/>
      <c r="G7" s="265"/>
      <c r="H7" s="265"/>
      <c r="I7" s="49"/>
      <c r="J7" s="306" t="s">
        <v>550</v>
      </c>
      <c r="K7" s="306"/>
      <c r="L7" s="306"/>
      <c r="M7" s="306"/>
      <c r="N7" s="266"/>
      <c r="O7" s="266"/>
      <c r="P7" s="266"/>
    </row>
    <row r="8" spans="2:63" ht="12.6" thickTop="1">
      <c r="B8" s="5"/>
      <c r="C8" s="5"/>
      <c r="D8" s="5"/>
      <c r="E8" s="5"/>
      <c r="F8" s="5"/>
      <c r="G8" s="5"/>
      <c r="H8" s="5"/>
      <c r="I8" s="5"/>
      <c r="J8" s="5"/>
      <c r="K8" s="5"/>
      <c r="L8" s="5"/>
      <c r="M8" s="5"/>
      <c r="N8" s="5"/>
    </row>
    <row r="9" spans="2:63">
      <c r="B9" s="41" t="s">
        <v>500</v>
      </c>
      <c r="C9" s="287"/>
      <c r="D9" s="5"/>
      <c r="E9" s="249"/>
      <c r="F9" s="249"/>
      <c r="G9" s="249"/>
      <c r="H9" s="249"/>
      <c r="I9" s="249"/>
      <c r="J9" s="5" t="s">
        <v>273</v>
      </c>
      <c r="L9" s="64">
        <f>'AGG EM'!D37</f>
        <v>36.099467473183068</v>
      </c>
      <c r="M9" s="64">
        <f>'AGG EM'!E37</f>
        <v>33.850821771625633</v>
      </c>
      <c r="N9" s="64">
        <f>'AGG EM'!F37</f>
        <v>28.989720438526753</v>
      </c>
      <c r="O9" s="64">
        <f>'AGG EM'!G37</f>
        <v>24.505387911772221</v>
      </c>
      <c r="P9" s="17">
        <f>'AGG EM'!H37</f>
        <v>4.6033064370190946E-2</v>
      </c>
    </row>
    <row r="10" spans="2:63">
      <c r="B10" s="5" t="s">
        <v>274</v>
      </c>
      <c r="C10" s="5"/>
      <c r="D10" s="332"/>
      <c r="E10" s="332"/>
      <c r="F10" s="332"/>
      <c r="G10" s="332"/>
      <c r="H10" s="247"/>
      <c r="I10" s="247"/>
      <c r="J10" s="5" t="s">
        <v>184</v>
      </c>
      <c r="L10" s="64">
        <f>'AGG EM'!D38</f>
        <v>105.42482757786077</v>
      </c>
      <c r="M10" s="64">
        <f>'AGG EM'!E38</f>
        <v>98.32493726594646</v>
      </c>
      <c r="N10" s="64">
        <f>'AGG EM'!F38</f>
        <v>83.460498540205094</v>
      </c>
      <c r="O10" s="64">
        <f>'AGG EM'!G38</f>
        <v>69.927868752575165</v>
      </c>
      <c r="P10" s="17">
        <f>'AGG EM'!H38</f>
        <v>5.4135753422354771E-2</v>
      </c>
      <c r="W10" s="10"/>
      <c r="X10" s="10"/>
      <c r="Y10" s="10"/>
      <c r="Z10" s="10"/>
    </row>
    <row r="11" spans="2:63">
      <c r="B11" s="41" t="s">
        <v>359</v>
      </c>
      <c r="C11" s="5"/>
      <c r="D11" s="271">
        <f>'LATAM CELLULAR'!D11+'EM ASIA CELLULAR'!D11+'EMEA CELLULAR'!D11</f>
        <v>495628.83053987857</v>
      </c>
      <c r="E11" s="271">
        <f>'LATAM CELLULAR'!E11+'EM ASIA CELLULAR'!E11+'EMEA CELLULAR'!E11</f>
        <v>498871.27566049702</v>
      </c>
      <c r="F11" s="271">
        <f>'LATAM CELLULAR'!F11+'EM ASIA CELLULAR'!F11+'EMEA CELLULAR'!F11</f>
        <v>498630.37566049705</v>
      </c>
      <c r="G11" s="271">
        <f>'LATAM CELLULAR'!G11+'EM ASIA CELLULAR'!G11+'EMEA CELLULAR'!G11</f>
        <v>498389.47566049703</v>
      </c>
      <c r="H11" s="249"/>
      <c r="I11" s="249"/>
      <c r="J11" s="5" t="s">
        <v>185</v>
      </c>
      <c r="L11" s="64">
        <f>'AGG EM'!D39</f>
        <v>224.63525692719486</v>
      </c>
      <c r="M11" s="64">
        <f>'AGG EM'!E39</f>
        <v>195.27313510926092</v>
      </c>
      <c r="N11" s="64">
        <f>'AGG EM'!F39</f>
        <v>156.82951036244214</v>
      </c>
      <c r="O11" s="64">
        <f>'AGG EM'!G39</f>
        <v>125.44852848860397</v>
      </c>
      <c r="P11" s="17">
        <f>'AGG EM'!H39</f>
        <v>0.11635706268692725</v>
      </c>
      <c r="W11" s="10"/>
      <c r="X11" s="10"/>
      <c r="Y11" s="10"/>
      <c r="Z11" s="10"/>
    </row>
    <row r="12" spans="2:63">
      <c r="B12" s="5" t="s">
        <v>229</v>
      </c>
      <c r="C12" s="249"/>
      <c r="D12" s="228">
        <f>'LATAM CELLULAR'!D12+'EM ASIA CELLULAR'!D12+'EMEA CELLULAR'!D12</f>
        <v>120870.28577367787</v>
      </c>
      <c r="E12" s="228">
        <f>'LATAM CELLULAR'!E12+'EM ASIA CELLULAR'!E12+'EMEA CELLULAR'!E12</f>
        <v>109547.23713471038</v>
      </c>
      <c r="F12" s="228">
        <f>'LATAM CELLULAR'!F12+'EM ASIA CELLULAR'!F12+'EMEA CELLULAR'!F12</f>
        <v>95930.750077755991</v>
      </c>
      <c r="G12" s="228">
        <f>'LATAM CELLULAR'!G12+'EM ASIA CELLULAR'!G12+'EMEA CELLULAR'!G12</f>
        <v>79962.608668582485</v>
      </c>
      <c r="H12" s="247"/>
      <c r="I12" s="247"/>
      <c r="J12" s="5" t="s">
        <v>466</v>
      </c>
      <c r="L12" s="64">
        <f>'AGG EM'!D40</f>
        <v>301.14194802237273</v>
      </c>
      <c r="M12" s="64">
        <f>'AGG EM'!E40</f>
        <v>259.63239152824843</v>
      </c>
      <c r="N12" s="64">
        <f>'AGG EM'!F40</f>
        <v>208.91697606045113</v>
      </c>
      <c r="O12" s="64">
        <f>'AGG EM'!G40</f>
        <v>167.13793424632385</v>
      </c>
      <c r="P12" s="17">
        <f>'AGG EM'!H40</f>
        <v>0.11865907373414464</v>
      </c>
      <c r="W12" s="10"/>
      <c r="X12" s="10"/>
      <c r="Y12" s="10"/>
      <c r="Z12" s="10"/>
    </row>
    <row r="13" spans="2:63">
      <c r="B13" s="5" t="s">
        <v>529</v>
      </c>
      <c r="C13" s="257"/>
      <c r="D13" s="228">
        <f>'LATAM CELLULAR'!D13+'EM ASIA CELLULAR'!D13+'EMEA CELLULAR'!D13</f>
        <v>10450.075806431058</v>
      </c>
      <c r="E13" s="228">
        <f>'LATAM CELLULAR'!E13+'EM ASIA CELLULAR'!E13+'EMEA CELLULAR'!E13</f>
        <v>10091.379642879241</v>
      </c>
      <c r="F13" s="228">
        <f>'LATAM CELLULAR'!F13+'EM ASIA CELLULAR'!F13+'EMEA CELLULAR'!F13</f>
        <v>9708.9206910815647</v>
      </c>
      <c r="G13" s="228">
        <f>'LATAM CELLULAR'!G13+'EM ASIA CELLULAR'!G13+'EMEA CELLULAR'!G13</f>
        <v>9300.6852986311114</v>
      </c>
      <c r="H13" s="247"/>
      <c r="I13" s="247"/>
      <c r="J13" s="5" t="s">
        <v>530</v>
      </c>
      <c r="L13" s="64">
        <f>'AGG EM'!D41</f>
        <v>27.243713322021154</v>
      </c>
      <c r="M13" s="64">
        <f>'AGG EM'!E41</f>
        <v>27.089658338273644</v>
      </c>
      <c r="N13" s="64">
        <f>'AGG EM'!F41</f>
        <v>24.66957505581005</v>
      </c>
      <c r="O13" s="64">
        <f>'AGG EM'!G41</f>
        <v>22.040277006694431</v>
      </c>
      <c r="P13" s="17">
        <f>'AGG EM'!H41</f>
        <v>-1.3382626032309664E-2</v>
      </c>
    </row>
    <row r="14" spans="2:63">
      <c r="B14" s="5" t="s">
        <v>532</v>
      </c>
      <c r="C14" s="274"/>
      <c r="D14" s="228">
        <f>'LATAM CELLULAR'!D14+'EM ASIA CELLULAR'!D14+'EMEA CELLULAR'!D14</f>
        <v>21420.040173737361</v>
      </c>
      <c r="E14" s="228">
        <f>'LATAM CELLULAR'!E14+'EM ASIA CELLULAR'!E14+'EMEA CELLULAR'!E14</f>
        <v>19781.597002772702</v>
      </c>
      <c r="F14" s="228">
        <f>'LATAM CELLULAR'!F14+'EM ASIA CELLULAR'!F14+'EMEA CELLULAR'!F14</f>
        <v>19778.799167688332</v>
      </c>
      <c r="G14" s="228">
        <f>'LATAM CELLULAR'!G14+'EM ASIA CELLULAR'!G14+'EMEA CELLULAR'!G14</f>
        <v>19777.400250146151</v>
      </c>
      <c r="H14" s="247"/>
      <c r="I14" s="247"/>
      <c r="J14" s="5" t="s">
        <v>593</v>
      </c>
      <c r="L14" s="64">
        <f>'AGG EM'!D42</f>
        <v>42.295202413837345</v>
      </c>
      <c r="M14" s="64">
        <f>'AGG EM'!E42</f>
        <v>41.555857792028846</v>
      </c>
      <c r="N14" s="64">
        <f>'AGG EM'!F42</f>
        <v>37.316788882264667</v>
      </c>
      <c r="O14" s="64">
        <f>'AGG EM'!G42</f>
        <v>33.586664495982959</v>
      </c>
      <c r="P14" s="17">
        <f>'AGG EM'!H42</f>
        <v>-7.2488050935257675E-3</v>
      </c>
    </row>
    <row r="15" spans="2:63">
      <c r="B15" s="5" t="s">
        <v>531</v>
      </c>
      <c r="C15" s="257"/>
      <c r="D15" s="228">
        <f>'LATAM CELLULAR'!D15+'EM ASIA CELLULAR'!D15+'EMEA CELLULAR'!D15</f>
        <v>21294.003258766941</v>
      </c>
      <c r="E15" s="228">
        <f>'LATAM CELLULAR'!E15+'EM ASIA CELLULAR'!E15+'EMEA CELLULAR'!E15</f>
        <v>21286.554887759834</v>
      </c>
      <c r="F15" s="228">
        <f>'LATAM CELLULAR'!F15+'EM ASIA CELLULAR'!F15+'EMEA CELLULAR'!F15</f>
        <v>21302.196335096432</v>
      </c>
      <c r="G15" s="228">
        <f>'LATAM CELLULAR'!G15+'EM ASIA CELLULAR'!G15+'EMEA CELLULAR'!G15</f>
        <v>21339.448360619434</v>
      </c>
      <c r="H15" s="247"/>
      <c r="I15" s="247"/>
      <c r="J15" s="5" t="s">
        <v>475</v>
      </c>
      <c r="L15" s="64">
        <f>'AGG EM'!D43</f>
        <v>19.300585311517345</v>
      </c>
      <c r="M15" s="64">
        <f>'AGG EM'!E43</f>
        <v>15.882933755129079</v>
      </c>
      <c r="N15" s="64">
        <f>'AGG EM'!F43</f>
        <v>13.174403404675031</v>
      </c>
      <c r="O15" s="64">
        <f>'AGG EM'!G43</f>
        <v>11.229961793899795</v>
      </c>
      <c r="P15" s="17">
        <f>'AGG EM'!H43</f>
        <v>0.19549120190388991</v>
      </c>
      <c r="S15" s="88"/>
      <c r="T15" s="88"/>
      <c r="U15" s="88"/>
      <c r="V15" s="42"/>
      <c r="W15" s="42"/>
      <c r="X15" s="42"/>
      <c r="Y15" s="42"/>
      <c r="Z15" s="42"/>
      <c r="AA15" s="42"/>
    </row>
    <row r="16" spans="2:63">
      <c r="B16" s="5" t="s">
        <v>534</v>
      </c>
      <c r="C16" s="257"/>
      <c r="D16" s="228">
        <f>'LATAM CELLULAR'!D16+'EM ASIA CELLULAR'!D16+'EMEA CELLULAR'!D16</f>
        <v>8875.6927501029659</v>
      </c>
      <c r="E16" s="228">
        <f>'LATAM CELLULAR'!E16+'EM ASIA CELLULAR'!E16+'EMEA CELLULAR'!E16</f>
        <v>12676.614687732108</v>
      </c>
      <c r="F16" s="228">
        <f>'LATAM CELLULAR'!F16+'EM ASIA CELLULAR'!F16+'EMEA CELLULAR'!F16</f>
        <v>34892.957754666386</v>
      </c>
      <c r="G16" s="228">
        <f>'LATAM CELLULAR'!G16+'EM ASIA CELLULAR'!G16+'EMEA CELLULAR'!G16</f>
        <v>60027.352163833493</v>
      </c>
      <c r="H16" s="247"/>
      <c r="I16" s="247"/>
      <c r="J16" s="5" t="s">
        <v>533</v>
      </c>
      <c r="L16" s="64">
        <f>'AGG EM'!D44</f>
        <v>245.42467510563969</v>
      </c>
      <c r="M16" s="64">
        <f>'AGG EM'!E44</f>
        <v>213.62789634539095</v>
      </c>
      <c r="N16" s="64">
        <f>'AGG EM'!F44</f>
        <v>181.57395789810795</v>
      </c>
      <c r="O16" s="64">
        <f>'AGG EM'!G44</f>
        <v>158.59598060321596</v>
      </c>
      <c r="P16" s="17">
        <f>'AGG EM'!H44</f>
        <v>0.16397795492835376</v>
      </c>
      <c r="S16" s="88"/>
      <c r="T16" s="88"/>
      <c r="U16" s="88"/>
      <c r="V16" s="42"/>
      <c r="W16" s="42"/>
      <c r="X16" s="42"/>
      <c r="Y16" s="42"/>
      <c r="Z16" s="42"/>
      <c r="AA16" s="42"/>
    </row>
    <row r="17" spans="2:27">
      <c r="B17" s="5" t="s">
        <v>6</v>
      </c>
      <c r="C17" s="257"/>
      <c r="D17" s="228">
        <f>'LATAM CELLULAR'!D17+'EM ASIA CELLULAR'!D17+'EMEA CELLULAR'!D17</f>
        <v>226.38622970578089</v>
      </c>
      <c r="E17" s="228">
        <f>'LATAM CELLULAR'!E17+'EM ASIA CELLULAR'!E17+'EMEA CELLULAR'!E17</f>
        <v>226.38622970578089</v>
      </c>
      <c r="F17" s="228">
        <f>'LATAM CELLULAR'!F17+'EM ASIA CELLULAR'!F17+'EMEA CELLULAR'!F17</f>
        <v>226.38622970578089</v>
      </c>
      <c r="G17" s="228">
        <f>'LATAM CELLULAR'!G17+'EM ASIA CELLULAR'!G17+'EMEA CELLULAR'!G17</f>
        <v>226.38622970578089</v>
      </c>
      <c r="H17" s="247"/>
      <c r="I17" s="247"/>
      <c r="J17" s="5" t="s">
        <v>580</v>
      </c>
      <c r="L17" s="248">
        <f>'AGG EM'!D45</f>
        <v>2.9794876849606393E-3</v>
      </c>
      <c r="M17" s="248">
        <f>'AGG EM'!E45</f>
        <v>3.2338565373739416E-3</v>
      </c>
      <c r="N17" s="248">
        <f>'AGG EM'!F45</f>
        <v>3.7591690821787136E-3</v>
      </c>
      <c r="O17" s="248">
        <f>'AGG EM'!G45</f>
        <v>4.3245157193855478E-3</v>
      </c>
      <c r="P17" s="17">
        <f>'AGG EM'!H45</f>
        <v>0.13937853690845947</v>
      </c>
      <c r="S17" s="88"/>
      <c r="T17" s="88"/>
      <c r="U17" s="88"/>
      <c r="V17" s="42"/>
      <c r="W17" s="42"/>
      <c r="X17" s="42"/>
      <c r="Y17" s="42"/>
      <c r="Z17" s="42"/>
      <c r="AA17" s="42"/>
    </row>
    <row r="18" spans="2:27" ht="12.6" thickBot="1">
      <c r="B18" s="41" t="s">
        <v>360</v>
      </c>
      <c r="C18" s="249"/>
      <c r="D18" s="275">
        <f>'LATAM CELLULAR'!D18+'EM ASIA CELLULAR'!D18+'EMEA CELLULAR'!D18</f>
        <v>617721.07622520835</v>
      </c>
      <c r="E18" s="275">
        <f>'LATAM CELLULAR'!E18+'EM ASIA CELLULAR'!E18+'EMEA CELLULAR'!E18</f>
        <v>607111.84940563596</v>
      </c>
      <c r="F18" s="275">
        <f>'LATAM CELLULAR'!F18+'EM ASIA CELLULAR'!F18+'EMEA CELLULAR'!F18</f>
        <v>570674.0996123706</v>
      </c>
      <c r="G18" s="275">
        <f>'LATAM CELLULAR'!G18+'EM ASIA CELLULAR'!G18+'EMEA CELLULAR'!G18</f>
        <v>528961.07934464491</v>
      </c>
      <c r="H18" s="276">
        <f>IF(D18=0,"nm",IF(G18=0,"nm",(G18/D18)^(1/3)-1))</f>
        <v>-5.0393308592625696E-2</v>
      </c>
      <c r="I18" s="254"/>
      <c r="J18" s="5" t="s">
        <v>36</v>
      </c>
      <c r="L18" s="248" t="e">
        <f>'AGG EM'!D46</f>
        <v>#VALUE!</v>
      </c>
      <c r="M18" s="248" t="e">
        <f>'AGG EM'!E46</f>
        <v>#VALUE!</v>
      </c>
      <c r="N18" s="248" t="e">
        <f>'AGG EM'!F46</f>
        <v>#VALUE!</v>
      </c>
      <c r="O18" s="248" t="e">
        <f>'AGG EM'!G46</f>
        <v>#VALUE!</v>
      </c>
      <c r="P18" s="17" t="e">
        <f>'AGG EM'!H46</f>
        <v>#VALUE!</v>
      </c>
      <c r="S18" s="88"/>
      <c r="T18" s="88"/>
      <c r="U18" s="88"/>
      <c r="V18" s="42"/>
      <c r="W18" s="42"/>
      <c r="X18" s="42"/>
      <c r="Y18" s="42"/>
      <c r="Z18" s="42"/>
      <c r="AA18" s="42"/>
    </row>
    <row r="19" spans="2:27" ht="12.6" thickTop="1">
      <c r="B19" s="41"/>
      <c r="C19" s="249"/>
      <c r="D19" s="229"/>
      <c r="E19" s="229"/>
      <c r="F19" s="229"/>
      <c r="G19" s="229"/>
      <c r="H19" s="276"/>
      <c r="I19" s="17"/>
      <c r="J19" s="5" t="s">
        <v>581</v>
      </c>
      <c r="L19" s="248">
        <f>'AGG EM'!D47</f>
        <v>5.1811900201972863E-2</v>
      </c>
      <c r="M19" s="248">
        <f>'AGG EM'!E47</f>
        <v>6.2960660506253749E-2</v>
      </c>
      <c r="N19" s="248">
        <f>'AGG EM'!F47</f>
        <v>7.5904765421494755E-2</v>
      </c>
      <c r="O19" s="248">
        <f>'AGG EM'!G47</f>
        <v>8.9047497965951045E-2</v>
      </c>
      <c r="P19" s="17">
        <f>'AGG EM'!H47</f>
        <v>0.19549120190388991</v>
      </c>
      <c r="S19" s="88"/>
      <c r="T19" s="88"/>
      <c r="U19" s="88"/>
      <c r="V19" s="42"/>
      <c r="W19" s="42"/>
      <c r="X19" s="42"/>
      <c r="Y19" s="42"/>
      <c r="Z19" s="42"/>
      <c r="AA19" s="42"/>
    </row>
    <row r="20" spans="2:27">
      <c r="H20" s="277"/>
      <c r="I20" s="49"/>
      <c r="J20" s="5" t="s">
        <v>604</v>
      </c>
      <c r="L20" s="248">
        <f>'AGG EM'!D48</f>
        <v>0.78546224095974659</v>
      </c>
      <c r="M20" s="248">
        <f>'AGG EM'!E48</f>
        <v>0.71334963498575799</v>
      </c>
      <c r="N20" s="248">
        <f>'AGG EM'!F48</f>
        <v>0.68989991347231316</v>
      </c>
      <c r="O20" s="248">
        <f>'AGG EM'!G48</f>
        <v>0.67997079786563763</v>
      </c>
      <c r="P20" s="17" t="str">
        <f>'AGG EM'!H48</f>
        <v>nm</v>
      </c>
      <c r="S20" s="42"/>
      <c r="T20" s="42"/>
      <c r="U20" s="42"/>
      <c r="V20" s="42"/>
      <c r="W20" s="42"/>
      <c r="X20" s="42"/>
      <c r="Y20" s="42"/>
      <c r="Z20" s="42"/>
      <c r="AA20" s="42"/>
    </row>
    <row r="21" spans="2:27" ht="12.6" thickBot="1">
      <c r="B21" s="306" t="s">
        <v>482</v>
      </c>
      <c r="C21" s="265">
        <v>2020</v>
      </c>
      <c r="D21" s="265" t="str">
        <f>D5</f>
        <v>2023E</v>
      </c>
      <c r="E21" s="265" t="str">
        <f>E5</f>
        <v>2024E</v>
      </c>
      <c r="F21" s="265" t="str">
        <f>F5</f>
        <v>2025E</v>
      </c>
      <c r="G21" s="265" t="str">
        <f>G5</f>
        <v>2026E</v>
      </c>
      <c r="H21" s="282" t="str">
        <f>H5</f>
        <v>23E-26E</v>
      </c>
      <c r="I21" s="17"/>
      <c r="S21" s="42"/>
      <c r="T21" s="42"/>
      <c r="U21" s="42"/>
      <c r="V21" s="42"/>
      <c r="W21" s="42"/>
      <c r="X21" s="42"/>
      <c r="Y21" s="42"/>
      <c r="Z21" s="42"/>
      <c r="AA21" s="42"/>
    </row>
    <row r="22" spans="2:27" ht="12.6" thickTop="1">
      <c r="B22" s="5"/>
      <c r="C22" s="257"/>
      <c r="D22" s="17"/>
      <c r="E22" s="17"/>
      <c r="F22" s="17"/>
      <c r="G22" s="17"/>
      <c r="H22" s="17"/>
      <c r="I22" s="247"/>
      <c r="P22" s="277"/>
      <c r="S22" s="42"/>
      <c r="T22" s="42"/>
      <c r="U22" s="42"/>
      <c r="V22" s="42"/>
      <c r="W22" s="42"/>
      <c r="X22" s="42"/>
      <c r="Y22" s="42"/>
      <c r="Z22" s="42"/>
      <c r="AA22" s="42"/>
    </row>
    <row r="23" spans="2:27" ht="12.6" thickBot="1">
      <c r="B23" s="5" t="s">
        <v>584</v>
      </c>
      <c r="C23" s="365">
        <f>'LATAM CELLULAR'!C23+'EM ASIA CELLULAR'!C23+'EMEA CELLULAR'!C23</f>
        <v>250414.94384532759</v>
      </c>
      <c r="D23" s="228">
        <f>'LATAM CELLULAR'!D23+'EM ASIA CELLULAR'!D23+'EMEA CELLULAR'!D23</f>
        <v>268237.75120616605</v>
      </c>
      <c r="E23" s="228">
        <f>'LATAM CELLULAR'!E23+'EM ASIA CELLULAR'!E23+'EMEA CELLULAR'!E23</f>
        <v>279930.36567975231</v>
      </c>
      <c r="F23" s="228">
        <f>'LATAM CELLULAR'!F23+'EM ASIA CELLULAR'!F23+'EMEA CELLULAR'!F23</f>
        <v>295717.86198973597</v>
      </c>
      <c r="G23" s="228">
        <f>'LATAM CELLULAR'!G23+'EM ASIA CELLULAR'!G23+'EMEA CELLULAR'!G23</f>
        <v>310853.96855119069</v>
      </c>
      <c r="H23" s="279">
        <f t="shared" ref="H23:H33" si="0">IF(D23=0,"nm",IF(G23=0,"nm",(G23/D23)^(1/3)-1))</f>
        <v>5.0377730628003325E-2</v>
      </c>
      <c r="I23" s="249"/>
      <c r="J23" s="306" t="s">
        <v>9</v>
      </c>
      <c r="K23" s="306"/>
      <c r="L23" s="265" t="str">
        <f>L5</f>
        <v>2023E</v>
      </c>
      <c r="M23" s="265" t="str">
        <f>M5</f>
        <v>2024E</v>
      </c>
      <c r="N23" s="265" t="str">
        <f>N5</f>
        <v>2025E</v>
      </c>
      <c r="O23" s="265" t="str">
        <f>O5</f>
        <v>2026E</v>
      </c>
      <c r="P23" s="282" t="str">
        <f>P5</f>
        <v>23E-26E</v>
      </c>
      <c r="S23" s="42"/>
      <c r="T23" s="42"/>
      <c r="U23" s="42"/>
      <c r="V23" s="42"/>
      <c r="W23" s="42" t="s">
        <v>563</v>
      </c>
      <c r="X23" s="42" t="s">
        <v>26</v>
      </c>
      <c r="Y23" s="42"/>
      <c r="Z23" s="42"/>
      <c r="AA23" s="42"/>
    </row>
    <row r="24" spans="2:27" ht="12.6" thickTop="1">
      <c r="B24" s="5" t="s">
        <v>483</v>
      </c>
      <c r="C24" s="365">
        <f>'LATAM CELLULAR'!C24+'EM ASIA CELLULAR'!C24+'EMEA CELLULAR'!C24</f>
        <v>93984.011004296641</v>
      </c>
      <c r="D24" s="228">
        <f>'LATAM CELLULAR'!D24+'EM ASIA CELLULAR'!D24+'EMEA CELLULAR'!D24</f>
        <v>99446.517865079019</v>
      </c>
      <c r="E24" s="228">
        <f>'LATAM CELLULAR'!E24+'EM ASIA CELLULAR'!E24+'EMEA CELLULAR'!E24</f>
        <v>104544.61062430678</v>
      </c>
      <c r="F24" s="228">
        <f>'LATAM CELLULAR'!F24+'EM ASIA CELLULAR'!F24+'EMEA CELLULAR'!F24</f>
        <v>111766.26328909669</v>
      </c>
      <c r="G24" s="228">
        <f>'LATAM CELLULAR'!G24+'EM ASIA CELLULAR'!G24+'EMEA CELLULAR'!G24</f>
        <v>118519.92907631077</v>
      </c>
      <c r="H24" s="279">
        <f t="shared" si="0"/>
        <v>6.0231249791276253E-2</v>
      </c>
      <c r="I24" s="248"/>
      <c r="J24" s="17"/>
      <c r="K24" s="17"/>
      <c r="L24" s="17"/>
      <c r="M24" s="17"/>
      <c r="N24" s="17"/>
      <c r="O24" s="248"/>
      <c r="S24" s="42"/>
      <c r="T24" s="42"/>
      <c r="U24" s="42"/>
      <c r="V24" s="147" t="s">
        <v>273</v>
      </c>
      <c r="W24" s="288">
        <f t="shared" ref="W24:W29" si="1">E37/M9</f>
        <v>6.4069226626141285E-2</v>
      </c>
      <c r="X24" s="288">
        <v>1</v>
      </c>
      <c r="Y24" s="42"/>
      <c r="Z24" s="42"/>
      <c r="AA24" s="42"/>
    </row>
    <row r="25" spans="2:27">
      <c r="B25" s="5" t="s">
        <v>183</v>
      </c>
      <c r="C25" s="365">
        <f>'LATAM CELLULAR'!C25+'EM ASIA CELLULAR'!C25+'EMEA CELLULAR'!C25</f>
        <v>46053.705147760891</v>
      </c>
      <c r="D25" s="228">
        <f>'LATAM CELLULAR'!D25+'EM ASIA CELLULAR'!D25+'EMEA CELLULAR'!D25</f>
        <v>51836.497280631687</v>
      </c>
      <c r="E25" s="228">
        <f>'LATAM CELLULAR'!E25+'EM ASIA CELLULAR'!E25+'EMEA CELLULAR'!E25</f>
        <v>56500.158327229539</v>
      </c>
      <c r="F25" s="228">
        <f>'LATAM CELLULAR'!F25+'EM ASIA CELLULAR'!F25+'EMEA CELLULAR'!F25</f>
        <v>63594.42160345475</v>
      </c>
      <c r="G25" s="228">
        <f>'LATAM CELLULAR'!G25+'EM ASIA CELLULAR'!G25+'EMEA CELLULAR'!G25</f>
        <v>70529.773181338853</v>
      </c>
      <c r="H25" s="279">
        <f t="shared" si="0"/>
        <v>0.10809997877797661</v>
      </c>
      <c r="I25" s="249"/>
      <c r="J25" s="247" t="s">
        <v>10</v>
      </c>
      <c r="K25" s="247"/>
      <c r="L25" s="332">
        <f>'LATAM CELLULAR'!L25+'EM ASIA CELLULAR'!L25+'EMEA CELLULAR'!L25</f>
        <v>3099.2343520366403</v>
      </c>
      <c r="M25" s="332">
        <f>'LATAM CELLULAR'!M25+'EM ASIA CELLULAR'!M25+'EMEA CELLULAR'!M25</f>
        <v>3206.213812662018</v>
      </c>
      <c r="N25" s="332">
        <f>'LATAM CELLULAR'!N25+'EM ASIA CELLULAR'!N25+'EMEA CELLULAR'!N25</f>
        <v>3304.3389883240779</v>
      </c>
      <c r="O25" s="332">
        <f>'LATAM CELLULAR'!O25+'EM ASIA CELLULAR'!O25+'EMEA CELLULAR'!O25</f>
        <v>1947.1402236379806</v>
      </c>
      <c r="P25" s="279">
        <f>IF(L25=0,"nm",IF(O25=0,"nm",(O25/L25)^(1/3)-1))</f>
        <v>-0.1435258287848763</v>
      </c>
      <c r="Q25" s="5"/>
      <c r="S25" s="42"/>
      <c r="T25" s="42"/>
      <c r="U25" s="42"/>
      <c r="V25" s="147" t="s">
        <v>184</v>
      </c>
      <c r="W25" s="288">
        <f t="shared" si="1"/>
        <v>5.9061351670354992E-2</v>
      </c>
      <c r="X25" s="288">
        <v>1</v>
      </c>
      <c r="Y25" s="42"/>
      <c r="Z25" s="42"/>
      <c r="AA25" s="42"/>
    </row>
    <row r="26" spans="2:27">
      <c r="B26" s="5" t="s">
        <v>586</v>
      </c>
      <c r="C26" s="365">
        <f>'LATAM CELLULAR'!C26+'EM ASIA CELLULAR'!C26+'EMEA CELLULAR'!C26</f>
        <v>35942.031786509571</v>
      </c>
      <c r="D26" s="228">
        <f>'LATAM CELLULAR'!D26+'EM ASIA CELLULAR'!D26+'EMEA CELLULAR'!D26</f>
        <v>39685.74419651788</v>
      </c>
      <c r="E26" s="228">
        <f>'LATAM CELLULAR'!E26+'EM ASIA CELLULAR'!E26+'EMEA CELLULAR'!E26</f>
        <v>43035.509769112134</v>
      </c>
      <c r="F26" s="228">
        <f>'LATAM CELLULAR'!F26+'EM ASIA CELLULAR'!F26+'EMEA CELLULAR'!F26</f>
        <v>48218.630639891438</v>
      </c>
      <c r="G26" s="228">
        <f>'LATAM CELLULAR'!G26+'EM ASIA CELLULAR'!G26+'EMEA CELLULAR'!G26</f>
        <v>53341.436411804221</v>
      </c>
      <c r="H26" s="279">
        <f t="shared" si="0"/>
        <v>0.10359585146755945</v>
      </c>
      <c r="I26" s="249"/>
      <c r="J26" s="249" t="s">
        <v>11</v>
      </c>
      <c r="K26" s="249"/>
      <c r="L26" s="281">
        <f>'LATAM CELLULAR'!L26+'EM ASIA CELLULAR'!L26+'EMEA CELLULAR'!L26</f>
        <v>492944.88791517395</v>
      </c>
      <c r="M26" s="281">
        <f>'LATAM CELLULAR'!M26+'EM ASIA CELLULAR'!M26+'EMEA CELLULAR'!M26</f>
        <v>496414.5384570217</v>
      </c>
      <c r="N26" s="281">
        <f>'LATAM CELLULAR'!N26+'EM ASIA CELLULAR'!N26+'EMEA CELLULAR'!N26</f>
        <v>496271.76363268372</v>
      </c>
      <c r="O26" s="281">
        <f>'LATAM CELLULAR'!O26+'EM ASIA CELLULAR'!O26+'EMEA CELLULAR'!O26</f>
        <v>494673.66486799764</v>
      </c>
      <c r="P26" s="279">
        <f>IF(L26=0,"nm",IF(O26=0,"nm",(O26/L26)^(1/3)-1))</f>
        <v>1.1676490690863961E-3</v>
      </c>
      <c r="Q26" s="41"/>
      <c r="S26" s="42"/>
      <c r="T26" s="42"/>
      <c r="U26" s="42"/>
      <c r="V26" s="147" t="s">
        <v>185</v>
      </c>
      <c r="W26" s="288">
        <f t="shared" si="1"/>
        <v>5.5027089877328218E-2</v>
      </c>
      <c r="X26" s="288">
        <v>1</v>
      </c>
      <c r="Y26" s="42"/>
      <c r="Z26" s="42"/>
      <c r="AA26" s="42"/>
    </row>
    <row r="27" spans="2:27">
      <c r="B27" s="5" t="s">
        <v>587</v>
      </c>
      <c r="C27" s="365">
        <f>'LATAM CELLULAR'!C27+'EM ASIA CELLULAR'!C27+'EMEA CELLULAR'!C27</f>
        <v>342103.89306283323</v>
      </c>
      <c r="D27" s="228">
        <f>'LATAM CELLULAR'!D27+'EM ASIA CELLULAR'!D27+'EMEA CELLULAR'!D27</f>
        <v>413678.95853185037</v>
      </c>
      <c r="E27" s="228">
        <f>'LATAM CELLULAR'!E27+'EM ASIA CELLULAR'!E27+'EMEA CELLULAR'!E27</f>
        <v>405420.67114137521</v>
      </c>
      <c r="F27" s="228">
        <f>'LATAM CELLULAR'!F27+'EM ASIA CELLULAR'!F27+'EMEA CELLULAR'!F27</f>
        <v>399581.88651619066</v>
      </c>
      <c r="G27" s="228">
        <f>'LATAM CELLULAR'!G27+'EM ASIA CELLULAR'!G27+'EMEA CELLULAR'!G27</f>
        <v>392031.5064988595</v>
      </c>
      <c r="H27" s="279">
        <f t="shared" si="0"/>
        <v>-1.7756462726124411E-2</v>
      </c>
      <c r="I27" s="248"/>
      <c r="J27" s="248"/>
      <c r="K27" s="248"/>
      <c r="L27" s="248"/>
      <c r="M27" s="248"/>
      <c r="N27" s="248"/>
      <c r="O27" s="248"/>
      <c r="Q27" s="5"/>
      <c r="S27" s="42"/>
      <c r="T27" s="42"/>
      <c r="U27" s="42"/>
      <c r="V27" s="147" t="s">
        <v>466</v>
      </c>
      <c r="W27" s="288">
        <f t="shared" si="1"/>
        <v>5.4335401926473098E-2</v>
      </c>
      <c r="X27" s="288">
        <v>1</v>
      </c>
      <c r="Y27" s="42"/>
      <c r="Z27" s="42"/>
      <c r="AA27" s="42"/>
    </row>
    <row r="28" spans="2:27" ht="12.6" thickBot="1">
      <c r="B28" s="5" t="s">
        <v>592</v>
      </c>
      <c r="C28" s="365">
        <f>'LATAM CELLULAR'!C28+'EM ASIA CELLULAR'!C28+'EMEA CELLULAR'!C28</f>
        <v>234637.91140335653</v>
      </c>
      <c r="D28" s="228">
        <f>'LATAM CELLULAR'!D28+'EM ASIA CELLULAR'!D28+'EMEA CELLULAR'!D28</f>
        <v>232011.4775696861</v>
      </c>
      <c r="E28" s="228">
        <f>'LATAM CELLULAR'!E28+'EM ASIA CELLULAR'!E28+'EMEA CELLULAR'!E28</f>
        <v>235065.65334671622</v>
      </c>
      <c r="F28" s="228">
        <f>'LATAM CELLULAR'!F28+'EM ASIA CELLULAR'!F28+'EMEA CELLULAR'!F28</f>
        <v>239952.36613043511</v>
      </c>
      <c r="G28" s="228">
        <f>'LATAM CELLULAR'!G28+'EM ASIA CELLULAR'!G28+'EMEA CELLULAR'!G28</f>
        <v>243608.97218599141</v>
      </c>
      <c r="H28" s="279">
        <f t="shared" si="0"/>
        <v>1.6392074372026055E-2</v>
      </c>
      <c r="I28" s="252"/>
      <c r="J28" s="306" t="s">
        <v>754</v>
      </c>
      <c r="K28" s="306"/>
      <c r="L28" s="306"/>
      <c r="M28" s="306"/>
      <c r="N28" s="266"/>
      <c r="O28" s="266"/>
      <c r="P28" s="266"/>
      <c r="Q28" s="5"/>
      <c r="S28" s="42"/>
      <c r="T28" s="42"/>
      <c r="U28" s="42"/>
      <c r="V28" s="147" t="s">
        <v>530</v>
      </c>
      <c r="W28" s="288">
        <f t="shared" si="1"/>
        <v>5.5278887411724154E-2</v>
      </c>
      <c r="X28" s="288">
        <v>1</v>
      </c>
      <c r="Y28" s="42"/>
      <c r="Z28" s="42"/>
      <c r="AA28" s="42"/>
    </row>
    <row r="29" spans="2:27" ht="12.6" thickTop="1">
      <c r="B29" s="5" t="s">
        <v>588</v>
      </c>
      <c r="C29" s="365">
        <f>'LATAM CELLULAR'!C29+'EM ASIA CELLULAR'!C29+'EMEA CELLULAR'!C29</f>
        <v>17692.648680113041</v>
      </c>
      <c r="D29" s="228">
        <f>'LATAM CELLULAR'!D29+'EM ASIA CELLULAR'!D29+'EMEA CELLULAR'!D29</f>
        <v>21572.195162473374</v>
      </c>
      <c r="E29" s="228">
        <f>'LATAM CELLULAR'!E29+'EM ASIA CELLULAR'!E29+'EMEA CELLULAR'!E29</f>
        <v>24318.236603785372</v>
      </c>
      <c r="F29" s="228">
        <f>'LATAM CELLULAR'!F29+'EM ASIA CELLULAR'!F29+'EMEA CELLULAR'!F29</f>
        <v>29757.305708211352</v>
      </c>
      <c r="G29" s="228">
        <f>'LATAM CELLULAR'!G29+'EM ASIA CELLULAR'!G29+'EMEA CELLULAR'!G29</f>
        <v>35203.073211515475</v>
      </c>
      <c r="H29" s="279">
        <f t="shared" si="0"/>
        <v>0.1773224152875903</v>
      </c>
      <c r="I29" s="254"/>
      <c r="J29" s="249"/>
      <c r="K29" s="249"/>
      <c r="L29" s="249"/>
      <c r="M29" s="249"/>
      <c r="N29" s="249"/>
      <c r="O29" s="251"/>
      <c r="Q29" s="5"/>
      <c r="S29" s="42"/>
      <c r="T29" s="42"/>
      <c r="U29" s="42"/>
      <c r="V29" s="147" t="s">
        <v>593</v>
      </c>
      <c r="W29" s="288">
        <f t="shared" si="1"/>
        <v>6.2150879852942979E-2</v>
      </c>
      <c r="X29" s="288">
        <v>1</v>
      </c>
      <c r="Y29" s="42"/>
      <c r="Z29" s="42"/>
      <c r="AA29" s="42"/>
    </row>
    <row r="30" spans="2:27">
      <c r="B30" s="5" t="s">
        <v>589</v>
      </c>
      <c r="C30" s="365">
        <f>'LATAM CELLULAR'!C30+'EM ASIA CELLULAR'!C30+'EMEA CELLULAR'!C30</f>
        <v>24726.568284819543</v>
      </c>
      <c r="D30" s="228">
        <f>'LATAM CELLULAR'!D30+'EM ASIA CELLULAR'!D30+'EMEA CELLULAR'!D30</f>
        <v>24358.031352287944</v>
      </c>
      <c r="E30" s="228">
        <f>'LATAM CELLULAR'!E30+'EM ASIA CELLULAR'!E30+'EMEA CELLULAR'!E30</f>
        <v>28293.33387448344</v>
      </c>
      <c r="F30" s="228">
        <f>'LATAM CELLULAR'!F30+'EM ASIA CELLULAR'!F30+'EMEA CELLULAR'!F30</f>
        <v>33789.039576591014</v>
      </c>
      <c r="G30" s="228">
        <f>'LATAM CELLULAR'!G30+'EM ASIA CELLULAR'!G30+'EMEA CELLULAR'!G30</f>
        <v>38440.150493051115</v>
      </c>
      <c r="H30" s="279">
        <f t="shared" si="0"/>
        <v>0.16425371227743413</v>
      </c>
      <c r="I30" s="254"/>
      <c r="J30" s="248"/>
      <c r="K30" s="248"/>
      <c r="L30" s="248"/>
      <c r="M30" s="248"/>
      <c r="N30" s="248"/>
      <c r="O30" s="5"/>
      <c r="Q30" s="5"/>
      <c r="S30" s="42"/>
      <c r="T30" s="42"/>
      <c r="U30" s="42"/>
      <c r="V30" s="147" t="s">
        <v>384</v>
      </c>
      <c r="W30" s="288">
        <f>F43/N15</f>
        <v>1.2658871798818703</v>
      </c>
      <c r="X30" s="288">
        <v>1</v>
      </c>
      <c r="Y30" s="42"/>
      <c r="Z30" s="42"/>
      <c r="AA30" s="42"/>
    </row>
    <row r="31" spans="2:27">
      <c r="B31" s="5" t="s">
        <v>590</v>
      </c>
      <c r="C31" s="365">
        <f>'LATAM CELLULAR'!C31+'EM ASIA CELLULAR'!C31+'EMEA CELLULAR'!C31</f>
        <v>16889.401416254768</v>
      </c>
      <c r="D31" s="228">
        <f>'LATAM CELLULAR'!D31+'EM ASIA CELLULAR'!D31+'EMEA CELLULAR'!D31</f>
        <v>19127.697442768793</v>
      </c>
      <c r="E31" s="228">
        <f>'LATAM CELLULAR'!E31+'EM ASIA CELLULAR'!E31+'EMEA CELLULAR'!E31</f>
        <v>21057.497497620501</v>
      </c>
      <c r="F31" s="228">
        <f>'LATAM CELLULAR'!F31+'EM ASIA CELLULAR'!F31+'EMEA CELLULAR'!F31</f>
        <v>24480.642283247616</v>
      </c>
      <c r="G31" s="228">
        <f>'LATAM CELLULAR'!G31+'EM ASIA CELLULAR'!G31+'EMEA CELLULAR'!G31</f>
        <v>28016.711115835657</v>
      </c>
      <c r="H31" s="279">
        <f t="shared" si="0"/>
        <v>0.1356682547662138</v>
      </c>
      <c r="I31" s="254"/>
      <c r="J31" s="252"/>
      <c r="K31" s="252"/>
      <c r="L31" s="252"/>
      <c r="M31" s="252"/>
      <c r="N31" s="252"/>
      <c r="O31" s="5"/>
      <c r="Q31" s="5"/>
      <c r="S31" s="42"/>
      <c r="T31" s="42"/>
      <c r="U31" s="42"/>
      <c r="V31" s="147" t="s">
        <v>533</v>
      </c>
      <c r="W31" s="288">
        <f>E44/M16</f>
        <v>8.2536568745840741E-2</v>
      </c>
      <c r="X31" s="288">
        <v>1</v>
      </c>
      <c r="Y31" s="42"/>
      <c r="Z31" s="42"/>
      <c r="AA31" s="42"/>
    </row>
    <row r="32" spans="2:27">
      <c r="B32" s="5" t="s">
        <v>606</v>
      </c>
      <c r="C32" s="365" t="e">
        <f>'LATAM CELLULAR'!C32+'EM ASIA CELLULAR'!C32+'EMEA CELLULAR'!C32</f>
        <v>#VALUE!</v>
      </c>
      <c r="D32" s="228" t="e">
        <f>'LATAM CELLULAR'!D32+'EM ASIA CELLULAR'!D32+'EMEA CELLULAR'!D32</f>
        <v>#VALUE!</v>
      </c>
      <c r="E32" s="228" t="e">
        <f>'LATAM CELLULAR'!E32+'EM ASIA CELLULAR'!E32+'EMEA CELLULAR'!E32</f>
        <v>#VALUE!</v>
      </c>
      <c r="F32" s="228" t="e">
        <f>'LATAM CELLULAR'!F32+'EM ASIA CELLULAR'!F32+'EMEA CELLULAR'!F32</f>
        <v>#VALUE!</v>
      </c>
      <c r="G32" s="228" t="e">
        <f>'LATAM CELLULAR'!G32+'EM ASIA CELLULAR'!G32+'EMEA CELLULAR'!G32</f>
        <v>#VALUE!</v>
      </c>
      <c r="H32" s="279" t="e">
        <f t="shared" si="0"/>
        <v>#VALUE!</v>
      </c>
      <c r="I32" s="5"/>
      <c r="J32" s="254"/>
      <c r="K32" s="254"/>
      <c r="L32" s="254"/>
      <c r="M32" s="254"/>
      <c r="N32" s="254"/>
      <c r="O32" s="251"/>
      <c r="Q32" s="5"/>
      <c r="S32" s="42"/>
      <c r="T32" s="42"/>
      <c r="U32" s="42"/>
      <c r="V32" s="147" t="s">
        <v>580</v>
      </c>
      <c r="W32" s="288">
        <f>M17/E45</f>
        <v>7.6613003814203301E-2</v>
      </c>
      <c r="X32" s="288">
        <v>1</v>
      </c>
      <c r="Y32" s="42"/>
      <c r="Z32" s="42"/>
      <c r="AA32" s="42"/>
    </row>
    <row r="33" spans="2:42">
      <c r="B33" s="5" t="s">
        <v>5</v>
      </c>
      <c r="C33" s="365">
        <f>'LATAM CELLULAR'!C33+'EM ASIA CELLULAR'!C33+'EMEA CELLULAR'!C33</f>
        <v>5957.5714240467551</v>
      </c>
      <c r="D33" s="228">
        <f>'LATAM CELLULAR'!D33+'EM ASIA CELLULAR'!D33+'EMEA CELLULAR'!D33</f>
        <v>4780.3463083144916</v>
      </c>
      <c r="E33" s="228">
        <f>'LATAM CELLULAR'!E33+'EM ASIA CELLULAR'!E33+'EMEA CELLULAR'!E33</f>
        <v>5179.106099758028</v>
      </c>
      <c r="F33" s="228">
        <f>'LATAM CELLULAR'!F33+'EM ASIA CELLULAR'!F33+'EMEA CELLULAR'!F33</f>
        <v>5816.6561440887281</v>
      </c>
      <c r="G33" s="228">
        <f>'LATAM CELLULAR'!G33+'EM ASIA CELLULAR'!G33+'EMEA CELLULAR'!G33</f>
        <v>5537.5352121429496</v>
      </c>
      <c r="H33" s="279">
        <f t="shared" si="0"/>
        <v>5.0233128808801819E-2</v>
      </c>
      <c r="I33" s="49"/>
      <c r="J33" s="254"/>
      <c r="K33" s="254"/>
      <c r="L33" s="254"/>
      <c r="M33" s="254"/>
      <c r="N33" s="254"/>
      <c r="O33" s="251"/>
      <c r="Q33" s="5"/>
      <c r="S33" s="42"/>
      <c r="T33" s="42"/>
      <c r="U33" s="42"/>
      <c r="V33" s="147" t="s">
        <v>266</v>
      </c>
      <c r="W33" s="288">
        <f>N19/F47</f>
        <v>1.2658871798818703</v>
      </c>
      <c r="X33" s="288">
        <v>1</v>
      </c>
      <c r="Y33" s="288"/>
      <c r="Z33" s="288"/>
      <c r="AA33" s="42"/>
      <c r="AC33" s="10"/>
      <c r="AD33" s="10"/>
      <c r="AE33" s="10"/>
      <c r="AF33" s="10"/>
      <c r="AH33" s="10"/>
      <c r="AI33" s="10"/>
      <c r="AJ33" s="10"/>
      <c r="AK33" s="10"/>
      <c r="AM33" s="10"/>
      <c r="AN33" s="10"/>
      <c r="AO33" s="10"/>
      <c r="AP33" s="10"/>
    </row>
    <row r="34" spans="2:42">
      <c r="H34" s="277"/>
      <c r="I34" s="254"/>
      <c r="J34" s="254"/>
      <c r="K34" s="254"/>
      <c r="L34" s="254"/>
      <c r="M34" s="254"/>
      <c r="N34" s="254"/>
      <c r="O34" s="251"/>
      <c r="Q34" s="5"/>
      <c r="S34" s="42"/>
      <c r="T34" s="42"/>
      <c r="U34" s="42"/>
      <c r="V34" s="42"/>
      <c r="W34" s="42"/>
      <c r="X34" s="42"/>
      <c r="Y34" s="288"/>
      <c r="Z34" s="288"/>
      <c r="AA34" s="42"/>
      <c r="AC34" s="10"/>
      <c r="AD34" s="10"/>
      <c r="AE34" s="10"/>
      <c r="AF34" s="10"/>
      <c r="AH34" s="10"/>
      <c r="AI34" s="10"/>
      <c r="AJ34" s="10"/>
      <c r="AK34" s="10"/>
      <c r="AM34" s="10"/>
      <c r="AN34" s="10"/>
      <c r="AO34" s="10"/>
      <c r="AP34" s="10"/>
    </row>
    <row r="35" spans="2:42" ht="12.6" thickBot="1">
      <c r="B35" s="306" t="s">
        <v>278</v>
      </c>
      <c r="C35" s="265"/>
      <c r="D35" s="265" t="str">
        <f>D5</f>
        <v>2023E</v>
      </c>
      <c r="E35" s="265" t="str">
        <f>E5</f>
        <v>2024E</v>
      </c>
      <c r="F35" s="265" t="str">
        <f>F5</f>
        <v>2025E</v>
      </c>
      <c r="G35" s="265" t="str">
        <f>G5</f>
        <v>2026E</v>
      </c>
      <c r="H35" s="265" t="str">
        <f>H5</f>
        <v>23E-26E</v>
      </c>
      <c r="I35" s="17"/>
      <c r="J35" s="5"/>
      <c r="K35" s="5"/>
      <c r="L35" s="5"/>
      <c r="M35" s="5"/>
      <c r="N35" s="5"/>
      <c r="O35" s="5"/>
      <c r="Q35" s="5"/>
      <c r="S35" s="42"/>
      <c r="T35" s="42"/>
      <c r="U35" s="42"/>
      <c r="V35" s="42"/>
      <c r="W35" s="42"/>
      <c r="X35" s="42"/>
      <c r="Y35" s="288"/>
      <c r="Z35" s="288"/>
      <c r="AA35" s="42"/>
      <c r="AC35" s="10"/>
      <c r="AD35" s="10"/>
      <c r="AE35" s="10"/>
      <c r="AF35" s="10"/>
      <c r="AH35" s="10"/>
      <c r="AI35" s="10"/>
      <c r="AJ35" s="10"/>
      <c r="AK35" s="10"/>
      <c r="AM35" s="10"/>
      <c r="AN35" s="10"/>
      <c r="AO35" s="10"/>
      <c r="AP35" s="10"/>
    </row>
    <row r="36" spans="2:42" ht="12.6" thickTop="1">
      <c r="B36" s="41"/>
      <c r="C36" s="249"/>
      <c r="D36" s="254"/>
      <c r="E36" s="254"/>
      <c r="F36" s="254"/>
      <c r="G36" s="254"/>
      <c r="H36" s="254"/>
      <c r="I36" s="5"/>
      <c r="J36" s="49"/>
      <c r="K36" s="49"/>
      <c r="L36" s="49"/>
      <c r="M36" s="49"/>
      <c r="N36" s="49"/>
      <c r="O36" s="49"/>
      <c r="Q36" s="5"/>
      <c r="R36" s="5"/>
      <c r="S36" s="42"/>
      <c r="T36" s="42"/>
      <c r="U36" s="42"/>
      <c r="V36" s="42"/>
      <c r="W36" s="42"/>
      <c r="X36" s="42"/>
      <c r="Y36" s="42"/>
      <c r="Z36" s="42"/>
      <c r="AA36" s="42"/>
      <c r="AC36" s="10"/>
      <c r="AD36" s="10"/>
      <c r="AE36" s="10"/>
      <c r="AF36" s="10"/>
      <c r="AH36" s="10"/>
      <c r="AI36" s="10"/>
      <c r="AJ36" s="10"/>
      <c r="AK36" s="10"/>
      <c r="AM36" s="10"/>
      <c r="AN36" s="10"/>
      <c r="AO36" s="10"/>
      <c r="AP36" s="10"/>
    </row>
    <row r="37" spans="2:42">
      <c r="B37" s="5" t="s">
        <v>273</v>
      </c>
      <c r="C37" s="247"/>
      <c r="D37" s="64">
        <f t="shared" ref="D37:G41" si="2">D$18/D23</f>
        <v>2.3028864261184152</v>
      </c>
      <c r="E37" s="64">
        <f t="shared" si="2"/>
        <v>2.1687959715674001</v>
      </c>
      <c r="F37" s="64">
        <f t="shared" si="2"/>
        <v>1.9297924574883407</v>
      </c>
      <c r="G37" s="64">
        <f t="shared" si="2"/>
        <v>1.70163849543242</v>
      </c>
      <c r="H37" s="17">
        <f t="shared" ref="H37:H45" si="3">H23</f>
        <v>5.0377730628003325E-2</v>
      </c>
      <c r="I37" s="259"/>
      <c r="J37" s="259"/>
      <c r="K37" s="259"/>
      <c r="L37" s="259"/>
      <c r="M37" s="259"/>
      <c r="N37" s="259"/>
      <c r="O37" s="18"/>
      <c r="Q37" s="5"/>
      <c r="R37" s="5"/>
      <c r="S37" s="42"/>
      <c r="T37" s="42"/>
      <c r="U37" s="42"/>
      <c r="V37" s="42"/>
      <c r="W37" s="42"/>
      <c r="X37" s="42"/>
      <c r="Y37" s="42"/>
      <c r="Z37" s="42"/>
      <c r="AA37" s="42"/>
      <c r="AC37" s="10"/>
      <c r="AD37" s="10"/>
      <c r="AE37" s="10"/>
      <c r="AF37" s="10"/>
      <c r="AH37" s="10"/>
      <c r="AI37" s="10"/>
      <c r="AJ37" s="10"/>
      <c r="AK37" s="10"/>
      <c r="AM37" s="10"/>
      <c r="AN37" s="10"/>
      <c r="AO37" s="10"/>
      <c r="AP37" s="10"/>
    </row>
    <row r="38" spans="2:42">
      <c r="B38" s="5" t="s">
        <v>184</v>
      </c>
      <c r="C38" s="247"/>
      <c r="D38" s="64">
        <f t="shared" si="2"/>
        <v>6.211590807666914</v>
      </c>
      <c r="E38" s="64">
        <f t="shared" si="2"/>
        <v>5.8072036978296566</v>
      </c>
      <c r="F38" s="64">
        <f t="shared" si="2"/>
        <v>5.1059602676010947</v>
      </c>
      <c r="G38" s="64">
        <f t="shared" si="2"/>
        <v>4.4630559895464135</v>
      </c>
      <c r="H38" s="17">
        <f t="shared" si="3"/>
        <v>6.0231249791276253E-2</v>
      </c>
      <c r="I38" s="17"/>
      <c r="J38" s="17"/>
      <c r="K38" s="17"/>
      <c r="L38" s="17"/>
      <c r="M38" s="17"/>
      <c r="N38" s="17"/>
      <c r="O38" s="5"/>
      <c r="Q38" s="5"/>
      <c r="R38" s="5"/>
      <c r="S38" s="42"/>
      <c r="T38" s="42"/>
      <c r="U38" s="42"/>
      <c r="V38" s="42"/>
      <c r="W38" s="42"/>
      <c r="X38" s="42"/>
      <c r="Y38" s="42"/>
      <c r="Z38" s="42"/>
      <c r="AA38" s="42"/>
    </row>
    <row r="39" spans="2:42">
      <c r="B39" s="5" t="s">
        <v>185</v>
      </c>
      <c r="C39" s="247"/>
      <c r="D39" s="64">
        <f t="shared" si="2"/>
        <v>11.916721009928562</v>
      </c>
      <c r="E39" s="64">
        <f t="shared" si="2"/>
        <v>10.745312356284957</v>
      </c>
      <c r="F39" s="64">
        <f t="shared" si="2"/>
        <v>8.9736502860396943</v>
      </c>
      <c r="G39" s="64">
        <f t="shared" si="2"/>
        <v>7.4998267467078747</v>
      </c>
      <c r="H39" s="17">
        <f t="shared" si="3"/>
        <v>0.10809997877797661</v>
      </c>
      <c r="I39" s="5"/>
      <c r="J39" s="5"/>
      <c r="K39" s="5"/>
      <c r="L39" s="5"/>
      <c r="M39" s="5"/>
      <c r="N39" s="5"/>
      <c r="O39" s="5"/>
      <c r="Q39" s="5"/>
      <c r="R39" s="5"/>
      <c r="S39" s="42"/>
      <c r="T39" s="42"/>
      <c r="U39" s="42"/>
      <c r="V39" s="42"/>
      <c r="W39" s="288"/>
      <c r="X39" s="288"/>
      <c r="Y39" s="42"/>
      <c r="Z39" s="42"/>
      <c r="AA39" s="42"/>
    </row>
    <row r="40" spans="2:42">
      <c r="B40" s="5" t="s">
        <v>466</v>
      </c>
      <c r="C40" s="247"/>
      <c r="D40" s="64">
        <f t="shared" si="2"/>
        <v>15.565314163351601</v>
      </c>
      <c r="E40" s="64">
        <f t="shared" si="2"/>
        <v>14.107230346818808</v>
      </c>
      <c r="F40" s="64">
        <f t="shared" si="2"/>
        <v>11.835137000764389</v>
      </c>
      <c r="G40" s="64">
        <f t="shared" si="2"/>
        <v>9.9165135948155338</v>
      </c>
      <c r="H40" s="17">
        <f t="shared" si="3"/>
        <v>0.10359585146755945</v>
      </c>
      <c r="I40" s="247"/>
      <c r="J40" s="259"/>
      <c r="K40" s="259"/>
      <c r="L40" s="259"/>
      <c r="M40" s="259"/>
      <c r="N40" s="259"/>
      <c r="O40" s="18"/>
      <c r="Q40" s="5"/>
      <c r="R40" s="5"/>
      <c r="S40" s="42"/>
      <c r="T40" s="42"/>
      <c r="U40" s="42"/>
      <c r="V40" s="42"/>
      <c r="W40" s="288"/>
      <c r="X40" s="288"/>
      <c r="Y40" s="288"/>
      <c r="Z40" s="288"/>
      <c r="AA40" s="42"/>
    </row>
    <row r="41" spans="2:42">
      <c r="B41" s="5" t="s">
        <v>530</v>
      </c>
      <c r="C41" s="247"/>
      <c r="D41" s="64">
        <f t="shared" si="2"/>
        <v>1.4932378441908309</v>
      </c>
      <c r="E41" s="64">
        <f t="shared" si="2"/>
        <v>1.4974861733035032</v>
      </c>
      <c r="F41" s="64">
        <f t="shared" si="2"/>
        <v>1.4281781003335032</v>
      </c>
      <c r="G41" s="64">
        <f t="shared" si="2"/>
        <v>1.349282061711496</v>
      </c>
      <c r="H41" s="17">
        <f t="shared" si="3"/>
        <v>-1.7756462726124411E-2</v>
      </c>
      <c r="I41" s="248"/>
      <c r="J41" s="17"/>
      <c r="K41" s="17"/>
      <c r="L41" s="17"/>
      <c r="M41" s="17"/>
      <c r="N41" s="17"/>
      <c r="O41" s="5"/>
      <c r="Q41" s="5"/>
      <c r="R41" s="5"/>
      <c r="S41" s="42"/>
      <c r="T41" s="42"/>
      <c r="U41" s="42"/>
      <c r="V41" s="42"/>
      <c r="W41" s="288"/>
      <c r="X41" s="288"/>
      <c r="Y41" s="288"/>
      <c r="Z41" s="288"/>
      <c r="AA41" s="42"/>
    </row>
    <row r="42" spans="2:42">
      <c r="B42" s="5" t="s">
        <v>593</v>
      </c>
      <c r="C42" s="247"/>
      <c r="D42" s="64">
        <f>D18/D28</f>
        <v>2.6624591278665166</v>
      </c>
      <c r="E42" s="64">
        <f>E18/E28</f>
        <v>2.5827331248183691</v>
      </c>
      <c r="F42" s="64">
        <f>F18/F28</f>
        <v>2.37828077636942</v>
      </c>
      <c r="G42" s="64">
        <f>G18/G28</f>
        <v>2.1713530277562678</v>
      </c>
      <c r="H42" s="17">
        <f t="shared" si="3"/>
        <v>1.6392074372026055E-2</v>
      </c>
      <c r="I42" s="247"/>
      <c r="J42" s="5"/>
      <c r="K42" s="5"/>
      <c r="L42" s="5"/>
      <c r="M42" s="5"/>
      <c r="N42" s="5"/>
      <c r="O42" s="5"/>
      <c r="Q42" s="5"/>
      <c r="R42" s="5"/>
      <c r="S42" s="42"/>
      <c r="T42" s="42"/>
      <c r="U42" s="42"/>
      <c r="V42" s="42"/>
      <c r="W42" s="288"/>
      <c r="X42" s="288"/>
      <c r="Y42" s="288"/>
      <c r="Z42" s="288"/>
      <c r="AA42" s="42"/>
    </row>
    <row r="43" spans="2:42">
      <c r="B43" s="5" t="s">
        <v>475</v>
      </c>
      <c r="C43" s="247"/>
      <c r="D43" s="64">
        <f>L26/D29</f>
        <v>22.850937709514724</v>
      </c>
      <c r="E43" s="64">
        <f>M26/E29</f>
        <v>20.413262135123315</v>
      </c>
      <c r="F43" s="64">
        <f>N26/F29</f>
        <v>16.677308372570185</v>
      </c>
      <c r="G43" s="64">
        <f>O26/G29</f>
        <v>14.052002275363339</v>
      </c>
      <c r="H43" s="17">
        <f t="shared" si="3"/>
        <v>0.1773224152875903</v>
      </c>
      <c r="I43" s="247"/>
      <c r="J43" s="247"/>
      <c r="K43" s="247"/>
      <c r="L43" s="247"/>
      <c r="M43" s="247"/>
      <c r="N43" s="247"/>
      <c r="O43" s="18"/>
      <c r="Q43" s="5"/>
      <c r="R43" s="5"/>
      <c r="S43" s="42"/>
      <c r="T43" s="42"/>
      <c r="U43" s="42"/>
      <c r="V43" s="42"/>
      <c r="W43" s="325"/>
      <c r="X43" s="325"/>
      <c r="Y43" s="288"/>
      <c r="Z43" s="288"/>
      <c r="AA43" s="42"/>
    </row>
    <row r="44" spans="2:42">
      <c r="B44" s="5" t="s">
        <v>533</v>
      </c>
      <c r="C44" s="69"/>
      <c r="D44" s="64">
        <f>D11/D30</f>
        <v>20.347655496934248</v>
      </c>
      <c r="E44" s="64">
        <f>E11/E30</f>
        <v>17.632113552740702</v>
      </c>
      <c r="F44" s="64">
        <f>F11/F30</f>
        <v>14.75716332600194</v>
      </c>
      <c r="G44" s="64">
        <f>G11/G30</f>
        <v>12.965336224440424</v>
      </c>
      <c r="H44" s="17">
        <f t="shared" si="3"/>
        <v>0.16425371227743413</v>
      </c>
      <c r="I44" s="248"/>
      <c r="J44" s="248"/>
      <c r="K44" s="248"/>
      <c r="L44" s="248"/>
      <c r="M44" s="248"/>
      <c r="N44" s="248"/>
      <c r="O44" s="248"/>
      <c r="Q44" s="5"/>
      <c r="R44" s="5"/>
      <c r="S44" s="42"/>
      <c r="T44" s="42"/>
      <c r="U44" s="42"/>
      <c r="V44" s="42"/>
      <c r="W44" s="42"/>
      <c r="X44" s="42"/>
      <c r="Y44" s="325"/>
      <c r="Z44" s="325"/>
      <c r="AA44" s="42"/>
    </row>
    <row r="45" spans="2:42">
      <c r="B45" s="5" t="s">
        <v>580</v>
      </c>
      <c r="C45" s="247"/>
      <c r="D45" s="248">
        <f>D31/D11</f>
        <v>3.8592786101513454E-2</v>
      </c>
      <c r="E45" s="248">
        <f>E31/E11</f>
        <v>4.221028254180547E-2</v>
      </c>
      <c r="F45" s="248">
        <f>F31/F11</f>
        <v>4.9095770089858652E-2</v>
      </c>
      <c r="G45" s="248">
        <f>G31/G11</f>
        <v>5.6214491846374066E-2</v>
      </c>
      <c r="H45" s="17">
        <f t="shared" si="3"/>
        <v>0.1356682547662138</v>
      </c>
      <c r="I45" s="247"/>
      <c r="J45" s="247"/>
      <c r="K45" s="247"/>
      <c r="L45" s="247"/>
      <c r="M45" s="247"/>
      <c r="N45" s="247"/>
      <c r="O45" s="248"/>
      <c r="Q45" s="5"/>
      <c r="R45" s="5"/>
      <c r="S45" s="42"/>
      <c r="T45" s="42"/>
      <c r="U45" s="42"/>
      <c r="V45" s="42"/>
      <c r="W45" s="42"/>
      <c r="X45" s="42"/>
      <c r="Y45" s="42"/>
      <c r="Z45" s="42"/>
      <c r="AA45" s="326"/>
      <c r="AB45" s="303"/>
    </row>
    <row r="46" spans="2:42">
      <c r="B46" s="5" t="s">
        <v>605</v>
      </c>
      <c r="C46" s="247"/>
      <c r="D46" s="248" t="e">
        <f>(D31+D32)/D11</f>
        <v>#VALUE!</v>
      </c>
      <c r="E46" s="248" t="e">
        <f>(E31+E32)/E11</f>
        <v>#VALUE!</v>
      </c>
      <c r="F46" s="248" t="e">
        <f>(F31+F32)/F11</f>
        <v>#VALUE!</v>
      </c>
      <c r="G46" s="248" t="e">
        <f>(G31+G32)/G11</f>
        <v>#VALUE!</v>
      </c>
      <c r="H46" s="279" t="e">
        <f>((G31+G32)/(D31+D32))^(1/3)-1</f>
        <v>#VALUE!</v>
      </c>
      <c r="I46" s="17"/>
      <c r="J46" s="247"/>
      <c r="K46" s="247"/>
      <c r="L46" s="247"/>
      <c r="M46" s="247"/>
      <c r="N46" s="247"/>
      <c r="O46" s="18"/>
      <c r="Q46" s="5"/>
      <c r="R46" s="5"/>
      <c r="S46" s="42"/>
      <c r="T46" s="42"/>
      <c r="U46" s="42"/>
      <c r="V46" s="42"/>
      <c r="W46" s="42"/>
      <c r="X46" s="42"/>
      <c r="Y46" s="42"/>
      <c r="Z46" s="42"/>
      <c r="AA46" s="326"/>
      <c r="AB46" s="303"/>
    </row>
    <row r="47" spans="2:42">
      <c r="B47" s="5" t="s">
        <v>581</v>
      </c>
      <c r="C47" s="5"/>
      <c r="D47" s="248">
        <f>1/D43</f>
        <v>4.3761880265579547E-2</v>
      </c>
      <c r="E47" s="248">
        <f>1/E43</f>
        <v>4.8987760671499313E-2</v>
      </c>
      <c r="F47" s="248">
        <f>1/F43</f>
        <v>5.9961714304254204E-2</v>
      </c>
      <c r="G47" s="248">
        <f>1/G43</f>
        <v>7.1164235559031272E-2</v>
      </c>
      <c r="H47" s="17">
        <f>H29</f>
        <v>0.1773224152875903</v>
      </c>
      <c r="I47" s="247"/>
      <c r="J47" s="248"/>
      <c r="K47" s="248"/>
      <c r="L47" s="248"/>
      <c r="M47" s="248"/>
      <c r="N47" s="248"/>
      <c r="O47" s="248"/>
      <c r="Q47" s="5"/>
      <c r="R47" s="5"/>
      <c r="S47" s="5"/>
      <c r="T47" s="5"/>
      <c r="U47" s="5"/>
      <c r="AA47" s="303"/>
      <c r="AB47" s="303"/>
    </row>
    <row r="48" spans="2:42">
      <c r="B48" s="5" t="s">
        <v>618</v>
      </c>
      <c r="C48" s="5"/>
      <c r="D48" s="305">
        <f>D31/D29</f>
        <v>0.88668294064217501</v>
      </c>
      <c r="E48" s="305">
        <f>E31/E29</f>
        <v>0.86591383416109602</v>
      </c>
      <c r="F48" s="305">
        <f>F31/F29</f>
        <v>0.82267670747127919</v>
      </c>
      <c r="G48" s="305">
        <f>G31/G29</f>
        <v>0.79585980881552554</v>
      </c>
      <c r="H48" s="17" t="s">
        <v>607</v>
      </c>
      <c r="I48" s="259"/>
      <c r="J48" s="247"/>
      <c r="K48" s="247"/>
      <c r="L48" s="247"/>
      <c r="M48" s="247"/>
      <c r="N48" s="247"/>
      <c r="O48" s="248"/>
      <c r="Q48" s="5"/>
      <c r="R48" s="5"/>
      <c r="S48" s="5"/>
      <c r="T48" s="5"/>
      <c r="U48" s="5"/>
      <c r="AA48" s="303"/>
      <c r="AB48" s="303"/>
    </row>
    <row r="49" spans="2:28">
      <c r="B49" s="41"/>
      <c r="C49" s="17"/>
      <c r="D49" s="17"/>
      <c r="E49" s="17"/>
      <c r="F49" s="17"/>
      <c r="G49" s="17"/>
      <c r="H49" s="17"/>
      <c r="I49" s="17"/>
      <c r="J49" s="17"/>
      <c r="K49" s="17"/>
      <c r="L49" s="17"/>
      <c r="M49" s="17"/>
      <c r="N49" s="17"/>
      <c r="O49" s="248"/>
      <c r="Q49" s="5"/>
      <c r="R49" s="5"/>
      <c r="S49" s="5"/>
      <c r="T49" s="5"/>
      <c r="U49" s="5"/>
      <c r="W49" s="10"/>
      <c r="X49" s="10"/>
      <c r="AA49" s="303"/>
      <c r="AB49" s="303"/>
    </row>
    <row r="50" spans="2:28">
      <c r="B50" s="5"/>
      <c r="C50" s="257"/>
      <c r="D50" s="257"/>
      <c r="E50" s="257"/>
      <c r="F50" s="5"/>
      <c r="G50" s="41"/>
      <c r="H50" s="249"/>
      <c r="I50" s="259"/>
      <c r="J50" s="249"/>
      <c r="K50" s="249"/>
      <c r="L50" s="249"/>
      <c r="M50" s="249"/>
      <c r="N50" s="249"/>
      <c r="O50" s="250"/>
      <c r="Q50" s="5"/>
      <c r="R50" s="5"/>
      <c r="S50" s="5"/>
      <c r="T50" s="5"/>
      <c r="U50" s="5"/>
      <c r="W50" s="10"/>
      <c r="X50" s="10"/>
      <c r="Y50" s="10"/>
      <c r="Z50" s="10"/>
    </row>
    <row r="51" spans="2:28">
      <c r="B51" s="41"/>
      <c r="C51" s="249"/>
      <c r="D51" s="254"/>
      <c r="E51" s="254"/>
      <c r="F51" s="254"/>
      <c r="G51" s="254"/>
      <c r="H51" s="254"/>
      <c r="I51" s="254"/>
      <c r="J51" s="254"/>
      <c r="K51" s="254"/>
      <c r="L51" s="254"/>
      <c r="M51" s="254"/>
      <c r="N51" s="254"/>
      <c r="O51" s="251"/>
      <c r="Q51" s="5"/>
      <c r="R51" s="5"/>
      <c r="S51" s="5"/>
      <c r="T51" s="5"/>
      <c r="U51" s="5"/>
      <c r="Y51" s="10"/>
      <c r="Z51" s="10"/>
    </row>
    <row r="52" spans="2:28">
      <c r="B52" s="5"/>
      <c r="C52" s="257"/>
      <c r="D52" s="17"/>
      <c r="E52" s="17"/>
      <c r="F52" s="17"/>
      <c r="G52" s="17"/>
      <c r="H52" s="17"/>
      <c r="I52" s="17"/>
      <c r="J52" s="17"/>
      <c r="K52" s="17"/>
      <c r="L52" s="17"/>
      <c r="M52" s="17"/>
      <c r="N52" s="17"/>
      <c r="O52" s="248"/>
      <c r="Q52" s="5"/>
      <c r="R52" s="5"/>
      <c r="S52" s="5"/>
      <c r="T52" s="5"/>
      <c r="U52" s="5"/>
    </row>
    <row r="53" spans="2:28">
      <c r="B53" s="5"/>
      <c r="C53" s="257"/>
      <c r="D53" s="257"/>
      <c r="E53" s="257"/>
      <c r="F53" s="5"/>
      <c r="G53" s="5"/>
      <c r="H53" s="259"/>
      <c r="I53" s="259"/>
      <c r="J53" s="259"/>
      <c r="K53" s="259"/>
      <c r="L53" s="259"/>
      <c r="M53" s="259"/>
      <c r="N53" s="259"/>
      <c r="O53" s="18"/>
      <c r="Q53" s="5"/>
      <c r="R53" s="5"/>
      <c r="S53" s="5"/>
      <c r="T53" s="5"/>
      <c r="U53" s="5"/>
    </row>
    <row r="54" spans="2:28">
      <c r="B54" s="41"/>
      <c r="C54" s="249"/>
      <c r="D54" s="254"/>
      <c r="E54" s="254"/>
      <c r="F54" s="254"/>
      <c r="G54" s="254"/>
      <c r="H54" s="254"/>
      <c r="I54" s="249"/>
      <c r="J54" s="254"/>
      <c r="K54" s="254"/>
      <c r="L54" s="254"/>
      <c r="M54" s="254"/>
      <c r="N54" s="254"/>
      <c r="O54" s="251"/>
      <c r="Q54" s="5"/>
      <c r="R54" s="5"/>
      <c r="S54" s="5"/>
      <c r="T54" s="5"/>
      <c r="U54" s="5"/>
    </row>
    <row r="55" spans="2:28">
      <c r="B55" s="5"/>
      <c r="C55" s="257"/>
      <c r="D55" s="17"/>
      <c r="E55" s="17"/>
      <c r="F55" s="17"/>
      <c r="G55" s="17"/>
      <c r="H55" s="17"/>
      <c r="I55" s="248"/>
      <c r="J55" s="259"/>
      <c r="K55" s="259"/>
      <c r="L55" s="259"/>
      <c r="M55" s="259"/>
      <c r="N55" s="259"/>
      <c r="O55" s="18"/>
      <c r="Q55" s="5"/>
      <c r="R55" s="5"/>
      <c r="S55" s="5"/>
      <c r="T55" s="5"/>
      <c r="U55" s="5"/>
    </row>
    <row r="56" spans="2:28">
      <c r="B56" s="5"/>
      <c r="C56" s="248"/>
      <c r="D56" s="248"/>
      <c r="E56" s="248"/>
      <c r="F56" s="5"/>
      <c r="G56" s="5"/>
      <c r="H56" s="259"/>
      <c r="I56" s="5"/>
      <c r="J56" s="249"/>
      <c r="K56" s="249"/>
      <c r="L56" s="249"/>
      <c r="M56" s="249"/>
      <c r="N56" s="249"/>
      <c r="O56" s="251"/>
      <c r="Q56" s="5"/>
      <c r="R56" s="5"/>
      <c r="S56" s="5"/>
      <c r="T56" s="5"/>
      <c r="U56" s="5"/>
    </row>
    <row r="57" spans="2:28">
      <c r="B57" s="41"/>
      <c r="C57" s="249"/>
      <c r="D57" s="249"/>
      <c r="E57" s="249"/>
      <c r="F57" s="249"/>
      <c r="G57" s="249"/>
      <c r="H57" s="249"/>
      <c r="I57" s="17"/>
      <c r="J57" s="248"/>
      <c r="K57" s="248"/>
      <c r="L57" s="248"/>
      <c r="M57" s="248"/>
      <c r="N57" s="248"/>
      <c r="O57" s="18"/>
      <c r="Q57" s="5"/>
      <c r="R57" s="5"/>
      <c r="S57" s="5"/>
      <c r="T57" s="5"/>
      <c r="U57" s="5"/>
    </row>
    <row r="58" spans="2:28">
      <c r="B58" s="5"/>
      <c r="C58" s="5"/>
      <c r="D58" s="248"/>
      <c r="E58" s="248"/>
      <c r="F58" s="248"/>
      <c r="G58" s="248"/>
      <c r="H58" s="248"/>
      <c r="I58" s="5"/>
      <c r="J58" s="5"/>
      <c r="K58" s="5"/>
      <c r="L58" s="5"/>
      <c r="M58" s="5"/>
      <c r="N58" s="5"/>
      <c r="O58" s="5"/>
      <c r="Q58" s="5"/>
      <c r="R58" s="5"/>
      <c r="S58" s="5"/>
      <c r="T58" s="5"/>
      <c r="U58" s="5"/>
    </row>
    <row r="59" spans="2:28">
      <c r="B59" s="5"/>
      <c r="C59" s="5"/>
      <c r="D59" s="5"/>
      <c r="E59" s="5"/>
      <c r="F59" s="5"/>
      <c r="G59" s="5"/>
      <c r="H59" s="5"/>
      <c r="I59" s="249"/>
      <c r="J59" s="17"/>
      <c r="K59" s="17"/>
      <c r="L59" s="17"/>
      <c r="M59" s="17"/>
      <c r="N59" s="17"/>
      <c r="O59" s="251"/>
      <c r="Q59" s="5"/>
      <c r="R59" s="5"/>
      <c r="S59" s="5"/>
      <c r="T59" s="5"/>
      <c r="U59" s="5"/>
    </row>
    <row r="60" spans="2:28">
      <c r="B60" s="41"/>
      <c r="C60" s="17"/>
      <c r="D60" s="17"/>
      <c r="E60" s="17"/>
      <c r="F60" s="17"/>
      <c r="G60" s="17"/>
      <c r="H60" s="17"/>
      <c r="I60" s="5"/>
      <c r="J60" s="5"/>
      <c r="K60" s="5"/>
      <c r="L60" s="5"/>
      <c r="M60" s="5"/>
      <c r="N60" s="5"/>
      <c r="O60" s="5"/>
      <c r="Q60" s="41"/>
      <c r="R60" s="5"/>
      <c r="S60" s="5"/>
      <c r="T60" s="5"/>
      <c r="U60" s="5"/>
    </row>
    <row r="61" spans="2:28">
      <c r="B61" s="5"/>
      <c r="C61" s="5"/>
      <c r="D61" s="5"/>
      <c r="E61" s="5"/>
      <c r="F61" s="5"/>
      <c r="G61" s="5"/>
      <c r="H61" s="5"/>
      <c r="I61" s="5"/>
      <c r="J61" s="249"/>
      <c r="K61" s="249"/>
      <c r="L61" s="249"/>
      <c r="M61" s="249"/>
      <c r="N61" s="249"/>
      <c r="O61" s="251"/>
      <c r="Q61" s="5"/>
      <c r="R61" s="5"/>
      <c r="S61" s="5"/>
      <c r="T61" s="5"/>
      <c r="U61" s="5"/>
    </row>
    <row r="62" spans="2:28">
      <c r="B62" s="41"/>
      <c r="C62" s="249"/>
      <c r="D62" s="249"/>
      <c r="E62" s="249"/>
      <c r="F62" s="249"/>
      <c r="G62" s="249"/>
      <c r="H62" s="249"/>
      <c r="I62" s="254"/>
      <c r="J62" s="5"/>
      <c r="K62" s="5"/>
      <c r="L62" s="5"/>
      <c r="M62" s="5"/>
      <c r="N62" s="5"/>
      <c r="O62" s="5"/>
      <c r="Q62" s="5"/>
      <c r="R62" s="5"/>
      <c r="S62" s="5"/>
      <c r="T62" s="5"/>
      <c r="U62" s="5"/>
    </row>
    <row r="63" spans="2:28">
      <c r="B63" s="5"/>
      <c r="C63" s="5"/>
      <c r="D63" s="5"/>
      <c r="E63" s="5"/>
      <c r="F63" s="5"/>
      <c r="G63" s="5"/>
      <c r="H63" s="5"/>
      <c r="I63" s="17"/>
      <c r="J63" s="5"/>
      <c r="K63" s="5"/>
      <c r="L63" s="5"/>
      <c r="M63" s="5"/>
      <c r="N63" s="5"/>
      <c r="O63" s="5"/>
      <c r="Q63" s="5"/>
      <c r="R63" s="5"/>
      <c r="S63" s="5"/>
      <c r="T63" s="5"/>
      <c r="U63" s="5"/>
    </row>
    <row r="64" spans="2:28">
      <c r="B64" s="5"/>
      <c r="C64" s="5"/>
      <c r="D64" s="5"/>
      <c r="E64" s="5"/>
      <c r="F64" s="5"/>
      <c r="G64" s="5"/>
      <c r="H64" s="5"/>
      <c r="I64" s="254"/>
      <c r="J64" s="254"/>
      <c r="K64" s="254"/>
      <c r="L64" s="254"/>
      <c r="M64" s="254"/>
      <c r="N64" s="254"/>
      <c r="O64" s="251"/>
      <c r="Q64" s="5"/>
      <c r="R64" s="5"/>
      <c r="S64" s="5"/>
      <c r="T64" s="5"/>
      <c r="U64" s="5"/>
    </row>
    <row r="65" spans="2:26">
      <c r="B65" s="41"/>
      <c r="C65" s="249"/>
      <c r="D65" s="254"/>
      <c r="E65" s="254"/>
      <c r="F65" s="254"/>
      <c r="G65" s="254"/>
      <c r="H65" s="254"/>
      <c r="I65" s="248"/>
      <c r="J65" s="17"/>
      <c r="K65" s="17"/>
      <c r="L65" s="17"/>
      <c r="M65" s="17"/>
      <c r="N65" s="17"/>
      <c r="O65" s="5"/>
      <c r="Q65" s="5"/>
      <c r="R65" s="5"/>
      <c r="S65" s="5"/>
      <c r="T65" s="5"/>
      <c r="U65" s="5"/>
    </row>
    <row r="66" spans="2:26">
      <c r="B66" s="5"/>
      <c r="C66" s="5"/>
      <c r="D66" s="17"/>
      <c r="E66" s="17"/>
      <c r="F66" s="17"/>
      <c r="G66" s="17"/>
      <c r="H66" s="17"/>
      <c r="I66" s="5"/>
      <c r="J66" s="254"/>
      <c r="K66" s="254"/>
      <c r="L66" s="254"/>
      <c r="M66" s="254"/>
      <c r="N66" s="254"/>
      <c r="O66" s="251"/>
      <c r="Q66" s="41"/>
      <c r="R66" s="5"/>
      <c r="S66" s="5"/>
      <c r="T66" s="5"/>
      <c r="U66" s="5"/>
    </row>
    <row r="67" spans="2:26">
      <c r="B67" s="41"/>
      <c r="C67" s="249"/>
      <c r="D67" s="254"/>
      <c r="E67" s="254"/>
      <c r="F67" s="254"/>
      <c r="G67" s="254"/>
      <c r="H67" s="254"/>
      <c r="I67" s="245"/>
      <c r="J67" s="248"/>
      <c r="K67" s="248"/>
      <c r="L67" s="248"/>
      <c r="M67" s="248"/>
      <c r="N67" s="248"/>
      <c r="O67" s="5"/>
      <c r="Q67" s="5"/>
      <c r="R67" s="5"/>
      <c r="S67" s="5"/>
      <c r="T67" s="5"/>
      <c r="U67" s="5"/>
    </row>
    <row r="68" spans="2:26">
      <c r="B68" s="5"/>
      <c r="C68" s="5"/>
      <c r="D68" s="248"/>
      <c r="E68" s="248"/>
      <c r="F68" s="248"/>
      <c r="G68" s="248"/>
      <c r="H68" s="248"/>
      <c r="I68" s="248"/>
      <c r="J68" s="5"/>
      <c r="K68" s="5"/>
      <c r="L68" s="5"/>
      <c r="M68" s="5"/>
      <c r="N68" s="5"/>
      <c r="O68" s="5"/>
      <c r="Q68" s="5"/>
      <c r="R68" s="5"/>
      <c r="S68" s="5"/>
      <c r="T68" s="5"/>
      <c r="U68" s="5"/>
    </row>
    <row r="69" spans="2:26">
      <c r="B69" s="41"/>
      <c r="C69" s="5"/>
      <c r="D69" s="5"/>
      <c r="E69" s="5"/>
      <c r="F69" s="5"/>
      <c r="G69" s="5"/>
      <c r="H69" s="5"/>
      <c r="I69" s="5"/>
      <c r="J69" s="245"/>
      <c r="K69" s="245"/>
      <c r="L69" s="245"/>
      <c r="M69" s="245"/>
      <c r="N69" s="245"/>
      <c r="O69" s="251"/>
      <c r="Q69" s="5"/>
      <c r="R69" s="5"/>
      <c r="S69" s="5"/>
      <c r="T69" s="5"/>
      <c r="U69" s="5"/>
      <c r="W69" s="76"/>
      <c r="X69" s="76"/>
    </row>
    <row r="70" spans="2:26">
      <c r="B70" s="41"/>
      <c r="C70" s="245"/>
      <c r="D70" s="245"/>
      <c r="E70" s="245"/>
      <c r="F70" s="245"/>
      <c r="G70" s="245"/>
      <c r="H70" s="245"/>
      <c r="I70" s="245"/>
      <c r="J70" s="248"/>
      <c r="K70" s="248"/>
      <c r="L70" s="248"/>
      <c r="M70" s="248"/>
      <c r="N70" s="248"/>
      <c r="O70" s="5"/>
      <c r="Q70" s="5"/>
      <c r="R70" s="5"/>
      <c r="S70" s="5"/>
      <c r="T70" s="5"/>
      <c r="U70" s="5"/>
      <c r="W70" s="76"/>
      <c r="X70" s="76"/>
      <c r="Y70" s="76"/>
      <c r="Z70" s="76"/>
    </row>
    <row r="71" spans="2:26">
      <c r="B71" s="5"/>
      <c r="C71" s="5"/>
      <c r="D71" s="248"/>
      <c r="E71" s="248"/>
      <c r="F71" s="248"/>
      <c r="G71" s="248"/>
      <c r="H71" s="248"/>
      <c r="I71" s="18"/>
      <c r="J71" s="5"/>
      <c r="K71" s="5"/>
      <c r="L71" s="5"/>
      <c r="M71" s="5"/>
      <c r="N71" s="5"/>
      <c r="O71" s="5"/>
      <c r="Q71" s="5"/>
      <c r="R71" s="5"/>
      <c r="S71" s="5"/>
      <c r="T71" s="5"/>
      <c r="U71" s="5"/>
      <c r="Y71" s="76"/>
      <c r="Z71" s="76"/>
    </row>
    <row r="72" spans="2:26">
      <c r="B72" s="41"/>
      <c r="C72" s="5"/>
      <c r="D72" s="5"/>
      <c r="E72" s="5"/>
      <c r="F72" s="5"/>
      <c r="G72" s="5"/>
      <c r="H72" s="5"/>
      <c r="I72" s="5"/>
      <c r="J72" s="245"/>
      <c r="K72" s="245"/>
      <c r="L72" s="245"/>
      <c r="M72" s="245"/>
      <c r="N72" s="245"/>
      <c r="O72" s="251"/>
      <c r="Q72" s="5"/>
      <c r="R72" s="5"/>
      <c r="S72" s="5"/>
      <c r="T72" s="5"/>
      <c r="U72" s="5"/>
    </row>
    <row r="73" spans="2:26">
      <c r="B73" s="41"/>
      <c r="C73" s="245"/>
      <c r="D73" s="245"/>
      <c r="E73" s="245"/>
      <c r="F73" s="245"/>
      <c r="G73" s="245"/>
      <c r="H73" s="245"/>
      <c r="I73" s="249"/>
      <c r="J73" s="18"/>
      <c r="K73" s="18"/>
      <c r="L73" s="18"/>
      <c r="M73" s="18"/>
      <c r="N73" s="18"/>
      <c r="O73" s="5"/>
      <c r="Q73" s="5"/>
      <c r="R73" s="5"/>
      <c r="S73" s="5"/>
      <c r="T73" s="5"/>
      <c r="U73" s="5"/>
    </row>
    <row r="74" spans="2:26">
      <c r="B74" s="5"/>
      <c r="C74" s="5"/>
      <c r="D74" s="18"/>
      <c r="E74" s="18"/>
      <c r="F74" s="18"/>
      <c r="G74" s="18"/>
      <c r="H74" s="18"/>
      <c r="I74" s="248"/>
      <c r="J74" s="5"/>
      <c r="K74" s="5"/>
      <c r="L74" s="5"/>
      <c r="M74" s="5"/>
      <c r="N74" s="5"/>
      <c r="O74" s="5"/>
      <c r="Q74" s="5"/>
      <c r="R74" s="5"/>
      <c r="S74" s="5"/>
      <c r="T74" s="5"/>
      <c r="U74" s="5"/>
    </row>
    <row r="75" spans="2:26">
      <c r="B75" s="41"/>
      <c r="C75" s="5"/>
      <c r="D75" s="5"/>
      <c r="E75" s="5"/>
      <c r="F75" s="5"/>
      <c r="G75" s="5"/>
      <c r="H75" s="5"/>
      <c r="I75" s="5"/>
      <c r="J75" s="249"/>
      <c r="K75" s="249"/>
      <c r="L75" s="249"/>
      <c r="M75" s="249"/>
      <c r="N75" s="249"/>
      <c r="O75" s="251"/>
      <c r="Q75" s="5"/>
      <c r="R75" s="5"/>
      <c r="S75" s="5"/>
      <c r="T75" s="5"/>
      <c r="U75" s="5"/>
    </row>
    <row r="76" spans="2:26">
      <c r="B76" s="41"/>
      <c r="C76" s="249"/>
      <c r="D76" s="249"/>
      <c r="E76" s="249"/>
      <c r="F76" s="249"/>
      <c r="G76" s="249"/>
      <c r="H76" s="249"/>
      <c r="I76" s="245"/>
      <c r="J76" s="248"/>
      <c r="K76" s="248"/>
      <c r="L76" s="248"/>
      <c r="M76" s="248"/>
      <c r="N76" s="248"/>
      <c r="O76" s="5"/>
      <c r="Q76" s="5"/>
      <c r="R76" s="5"/>
      <c r="S76" s="5"/>
      <c r="T76" s="5"/>
      <c r="U76" s="5"/>
    </row>
    <row r="77" spans="2:26">
      <c r="B77" s="5"/>
      <c r="C77" s="5"/>
      <c r="D77" s="248"/>
      <c r="E77" s="248"/>
      <c r="F77" s="248"/>
      <c r="G77" s="248"/>
      <c r="H77" s="248"/>
      <c r="I77" s="248"/>
      <c r="J77" s="5"/>
      <c r="K77" s="5"/>
      <c r="L77" s="5"/>
      <c r="M77" s="5"/>
      <c r="N77" s="5"/>
      <c r="O77" s="5"/>
      <c r="Q77" s="5"/>
      <c r="R77" s="5"/>
      <c r="S77" s="5"/>
      <c r="T77" s="5"/>
      <c r="U77" s="5"/>
    </row>
    <row r="78" spans="2:26">
      <c r="B78" s="41"/>
      <c r="C78" s="5"/>
      <c r="D78" s="5"/>
      <c r="E78" s="5"/>
      <c r="F78" s="5"/>
      <c r="G78" s="5"/>
      <c r="H78" s="5"/>
      <c r="I78" s="5"/>
      <c r="J78" s="245"/>
      <c r="K78" s="245"/>
      <c r="L78" s="245"/>
      <c r="M78" s="245"/>
      <c r="N78" s="245"/>
      <c r="O78" s="251"/>
      <c r="Q78" s="5"/>
      <c r="R78" s="5"/>
      <c r="S78" s="5"/>
      <c r="T78" s="5"/>
      <c r="U78" s="5"/>
    </row>
    <row r="79" spans="2:26">
      <c r="B79" s="41"/>
      <c r="C79" s="245"/>
      <c r="D79" s="245"/>
      <c r="E79" s="245"/>
      <c r="F79" s="245"/>
      <c r="G79" s="245"/>
      <c r="H79" s="245"/>
      <c r="I79" s="249"/>
      <c r="J79" s="248"/>
      <c r="K79" s="248"/>
      <c r="L79" s="248"/>
      <c r="M79" s="248"/>
      <c r="N79" s="248"/>
      <c r="O79" s="5"/>
      <c r="Q79" s="5"/>
      <c r="R79" s="5"/>
      <c r="S79" s="5"/>
      <c r="T79" s="5"/>
      <c r="U79" s="5"/>
    </row>
    <row r="80" spans="2:26">
      <c r="B80" s="5"/>
      <c r="C80" s="5"/>
      <c r="D80" s="248"/>
      <c r="E80" s="248"/>
      <c r="F80" s="248"/>
      <c r="G80" s="248"/>
      <c r="H80" s="248"/>
      <c r="I80" s="248"/>
      <c r="J80" s="5"/>
      <c r="K80" s="5"/>
      <c r="L80" s="5"/>
      <c r="M80" s="5"/>
      <c r="N80" s="5"/>
      <c r="O80" s="5"/>
      <c r="Q80" s="5"/>
      <c r="R80" s="5"/>
      <c r="S80" s="5"/>
      <c r="T80" s="5"/>
      <c r="U80" s="5"/>
    </row>
    <row r="81" spans="2:26">
      <c r="B81" s="41"/>
      <c r="C81" s="5"/>
      <c r="D81" s="5"/>
      <c r="E81" s="5"/>
      <c r="F81" s="5"/>
      <c r="G81" s="5"/>
      <c r="H81" s="5"/>
      <c r="I81" s="259"/>
      <c r="J81" s="249"/>
      <c r="K81" s="249"/>
      <c r="L81" s="249"/>
      <c r="M81" s="249"/>
      <c r="N81" s="249"/>
      <c r="O81" s="251"/>
      <c r="Q81" s="5"/>
      <c r="R81" s="5"/>
      <c r="S81" s="5"/>
      <c r="T81" s="5"/>
      <c r="U81" s="5"/>
    </row>
    <row r="82" spans="2:26">
      <c r="B82" s="41"/>
      <c r="C82" s="249"/>
      <c r="D82" s="249"/>
      <c r="E82" s="249"/>
      <c r="F82" s="249"/>
      <c r="G82" s="249"/>
      <c r="H82" s="249"/>
      <c r="I82" s="5"/>
      <c r="J82" s="248"/>
      <c r="K82" s="248"/>
      <c r="L82" s="248"/>
      <c r="M82" s="248"/>
      <c r="N82" s="248"/>
      <c r="O82" s="5"/>
      <c r="Q82" s="5"/>
      <c r="R82" s="5"/>
      <c r="S82" s="5"/>
      <c r="T82" s="5"/>
      <c r="U82" s="5"/>
    </row>
    <row r="83" spans="2:26">
      <c r="B83" s="5"/>
      <c r="C83" s="5"/>
      <c r="D83" s="248"/>
      <c r="E83" s="248"/>
      <c r="F83" s="248"/>
      <c r="G83" s="248"/>
      <c r="H83" s="248"/>
      <c r="I83" s="245"/>
      <c r="J83" s="259"/>
      <c r="K83" s="259"/>
      <c r="L83" s="259"/>
      <c r="M83" s="259"/>
      <c r="N83" s="259"/>
      <c r="O83" s="251"/>
      <c r="Q83" s="5"/>
      <c r="R83" s="5"/>
      <c r="S83" s="5"/>
      <c r="T83" s="5"/>
      <c r="U83" s="5"/>
    </row>
    <row r="84" spans="2:26">
      <c r="B84" s="5"/>
      <c r="C84" s="259"/>
      <c r="D84" s="259"/>
      <c r="E84" s="259"/>
      <c r="F84" s="259"/>
      <c r="G84" s="259"/>
      <c r="H84" s="259"/>
      <c r="I84" s="248"/>
      <c r="J84" s="5"/>
      <c r="K84" s="5"/>
      <c r="L84" s="5"/>
      <c r="M84" s="5"/>
      <c r="N84" s="5"/>
      <c r="O84" s="5"/>
      <c r="Q84" s="5"/>
      <c r="R84" s="5"/>
      <c r="S84" s="5"/>
      <c r="T84" s="5"/>
      <c r="U84" s="5"/>
    </row>
    <row r="85" spans="2:26">
      <c r="B85" s="41"/>
      <c r="C85" s="5"/>
      <c r="D85" s="5"/>
      <c r="E85" s="5"/>
      <c r="F85" s="5"/>
      <c r="G85" s="5"/>
      <c r="H85" s="5"/>
      <c r="I85" s="5"/>
      <c r="J85" s="245"/>
      <c r="K85" s="245"/>
      <c r="L85" s="245"/>
      <c r="M85" s="245"/>
      <c r="N85" s="245"/>
      <c r="O85" s="251"/>
      <c r="Q85" s="5"/>
      <c r="R85" s="5"/>
      <c r="S85" s="5"/>
      <c r="T85" s="5"/>
      <c r="U85" s="5"/>
    </row>
    <row r="86" spans="2:26">
      <c r="B86" s="41"/>
      <c r="C86" s="245"/>
      <c r="D86" s="245"/>
      <c r="E86" s="245"/>
      <c r="F86" s="245"/>
      <c r="G86" s="245"/>
      <c r="H86" s="245"/>
      <c r="I86" s="5"/>
      <c r="J86" s="248"/>
      <c r="K86" s="248"/>
      <c r="L86" s="248"/>
      <c r="M86" s="248"/>
      <c r="N86" s="248"/>
      <c r="O86" s="5"/>
      <c r="Q86" s="5"/>
      <c r="R86" s="5"/>
      <c r="S86" s="5"/>
      <c r="T86" s="5"/>
      <c r="U86" s="5"/>
    </row>
    <row r="87" spans="2:26">
      <c r="B87" s="5"/>
      <c r="C87" s="5"/>
      <c r="D87" s="248"/>
      <c r="E87" s="248"/>
      <c r="F87" s="248"/>
      <c r="G87" s="248"/>
      <c r="H87" s="248"/>
      <c r="I87" s="5"/>
      <c r="J87" s="5"/>
      <c r="K87" s="5"/>
      <c r="L87" s="5"/>
      <c r="M87" s="5"/>
      <c r="N87" s="5"/>
      <c r="O87" s="5"/>
      <c r="Q87" s="5"/>
      <c r="R87" s="5"/>
      <c r="S87" s="5"/>
      <c r="T87" s="5"/>
      <c r="U87" s="5"/>
    </row>
    <row r="88" spans="2:26">
      <c r="B88" s="41"/>
      <c r="C88" s="5"/>
      <c r="D88" s="5"/>
      <c r="E88" s="5"/>
      <c r="F88" s="5"/>
      <c r="G88" s="5"/>
      <c r="H88" s="5"/>
      <c r="I88" s="5"/>
      <c r="J88" s="5"/>
      <c r="K88" s="5"/>
      <c r="L88" s="5"/>
      <c r="M88" s="5"/>
      <c r="N88" s="5"/>
      <c r="O88" s="5"/>
      <c r="Q88" s="5"/>
      <c r="R88" s="5"/>
      <c r="S88" s="5"/>
      <c r="T88" s="5"/>
      <c r="U88" s="5"/>
    </row>
    <row r="89" spans="2:26">
      <c r="B89" s="41"/>
      <c r="C89" s="5"/>
      <c r="D89" s="5"/>
      <c r="E89" s="5"/>
      <c r="F89" s="5"/>
      <c r="G89" s="5"/>
      <c r="H89" s="5"/>
      <c r="I89" s="49"/>
      <c r="J89" s="5"/>
      <c r="K89" s="5"/>
      <c r="L89" s="5"/>
      <c r="M89" s="5"/>
      <c r="N89" s="5"/>
      <c r="O89" s="5"/>
      <c r="Q89" s="41"/>
      <c r="R89" s="5"/>
      <c r="S89" s="5"/>
      <c r="T89" s="5"/>
      <c r="U89" s="5"/>
    </row>
    <row r="90" spans="2:26">
      <c r="B90" s="41"/>
      <c r="C90" s="5"/>
      <c r="D90" s="5"/>
      <c r="E90" s="5"/>
      <c r="F90" s="5"/>
      <c r="G90" s="5"/>
      <c r="H90" s="5"/>
      <c r="I90" s="5"/>
      <c r="J90" s="5"/>
      <c r="K90" s="5"/>
      <c r="L90" s="5"/>
      <c r="M90" s="5"/>
      <c r="N90" s="5"/>
      <c r="O90" s="5"/>
      <c r="Q90" s="5"/>
      <c r="R90" s="5"/>
      <c r="S90" s="5"/>
      <c r="T90" s="5"/>
      <c r="U90" s="5"/>
    </row>
    <row r="91" spans="2:26">
      <c r="B91" s="5"/>
      <c r="C91" s="5"/>
      <c r="D91" s="5"/>
      <c r="E91" s="5"/>
      <c r="F91" s="5"/>
      <c r="G91" s="5"/>
      <c r="H91" s="5"/>
      <c r="I91" s="247"/>
      <c r="J91" s="49"/>
      <c r="K91" s="49"/>
      <c r="L91" s="49"/>
      <c r="M91" s="49"/>
      <c r="N91" s="49"/>
      <c r="O91" s="49"/>
      <c r="Q91" s="5"/>
      <c r="R91" s="5"/>
      <c r="S91" s="5"/>
      <c r="T91" s="5"/>
      <c r="U91" s="5"/>
      <c r="W91" s="21"/>
      <c r="X91" s="21"/>
    </row>
    <row r="92" spans="2:26">
      <c r="B92" s="41"/>
      <c r="C92" s="49"/>
      <c r="D92" s="49"/>
      <c r="E92" s="49"/>
      <c r="F92" s="49"/>
      <c r="G92" s="49"/>
      <c r="H92" s="49"/>
      <c r="I92" s="247"/>
      <c r="J92" s="5"/>
      <c r="K92" s="5"/>
      <c r="L92" s="5"/>
      <c r="M92" s="5"/>
      <c r="N92" s="5"/>
      <c r="O92" s="5"/>
      <c r="Q92" s="5"/>
      <c r="R92" s="5"/>
      <c r="S92" s="5"/>
      <c r="T92" s="5"/>
      <c r="U92" s="5"/>
      <c r="W92" s="21"/>
      <c r="X92" s="21"/>
      <c r="Y92" s="21"/>
      <c r="Z92" s="21"/>
    </row>
    <row r="93" spans="2:26">
      <c r="B93" s="5"/>
      <c r="C93" s="5"/>
      <c r="D93" s="5"/>
      <c r="E93" s="5"/>
      <c r="F93" s="5"/>
      <c r="G93" s="5"/>
      <c r="H93" s="5"/>
      <c r="I93" s="247"/>
      <c r="J93" s="247"/>
      <c r="K93" s="247"/>
      <c r="L93" s="247"/>
      <c r="M93" s="247"/>
      <c r="N93" s="247"/>
      <c r="O93" s="248"/>
      <c r="Q93" s="5"/>
      <c r="R93" s="5"/>
      <c r="S93" s="5"/>
      <c r="T93" s="5"/>
      <c r="U93" s="5"/>
      <c r="Y93" s="21"/>
      <c r="Z93" s="21"/>
    </row>
    <row r="94" spans="2:26">
      <c r="B94" s="5"/>
      <c r="C94" s="259"/>
      <c r="D94" s="247"/>
      <c r="E94" s="247"/>
      <c r="F94" s="247"/>
      <c r="G94" s="247"/>
      <c r="H94" s="247"/>
      <c r="I94" s="248"/>
      <c r="J94" s="247"/>
      <c r="K94" s="247"/>
      <c r="L94" s="247"/>
      <c r="M94" s="247"/>
      <c r="N94" s="247"/>
      <c r="O94" s="248"/>
      <c r="Q94" s="5"/>
      <c r="R94" s="5"/>
      <c r="S94" s="5"/>
      <c r="T94" s="5"/>
      <c r="U94" s="5"/>
    </row>
    <row r="95" spans="2:26">
      <c r="B95" s="5"/>
      <c r="C95" s="259"/>
      <c r="D95" s="247"/>
      <c r="E95" s="247"/>
      <c r="F95" s="247"/>
      <c r="G95" s="247"/>
      <c r="H95" s="247"/>
      <c r="I95" s="247"/>
      <c r="J95" s="247"/>
      <c r="K95" s="247"/>
      <c r="L95" s="247"/>
      <c r="M95" s="247"/>
      <c r="N95" s="247"/>
      <c r="O95" s="248"/>
      <c r="Q95" s="5"/>
      <c r="R95" s="5"/>
      <c r="S95" s="5"/>
      <c r="T95" s="5"/>
      <c r="U95" s="5"/>
    </row>
    <row r="96" spans="2:26">
      <c r="B96" s="5"/>
      <c r="C96" s="259"/>
      <c r="D96" s="247"/>
      <c r="E96" s="247"/>
      <c r="F96" s="247"/>
      <c r="G96" s="247"/>
      <c r="H96" s="247"/>
      <c r="I96" s="249"/>
      <c r="J96" s="248"/>
      <c r="K96" s="248"/>
      <c r="L96" s="248"/>
      <c r="M96" s="248"/>
      <c r="N96" s="248"/>
      <c r="O96" s="248"/>
      <c r="Q96" s="5"/>
      <c r="R96" s="5"/>
      <c r="S96" s="5"/>
      <c r="T96" s="5"/>
      <c r="U96" s="5"/>
    </row>
    <row r="97" spans="2:21">
      <c r="B97" s="5"/>
      <c r="C97" s="259"/>
      <c r="D97" s="248"/>
      <c r="E97" s="248"/>
      <c r="F97" s="248"/>
      <c r="G97" s="248"/>
      <c r="H97" s="248"/>
      <c r="I97" s="248"/>
      <c r="J97" s="247"/>
      <c r="K97" s="247"/>
      <c r="L97" s="247"/>
      <c r="M97" s="247"/>
      <c r="N97" s="247"/>
      <c r="O97" s="248"/>
      <c r="Q97" s="5"/>
      <c r="R97" s="5"/>
      <c r="S97" s="5"/>
      <c r="T97" s="5"/>
      <c r="U97" s="5"/>
    </row>
    <row r="98" spans="2:21">
      <c r="B98" s="5"/>
      <c r="C98" s="259"/>
      <c r="D98" s="247"/>
      <c r="E98" s="247"/>
      <c r="F98" s="247"/>
      <c r="G98" s="247"/>
      <c r="H98" s="247"/>
      <c r="I98" s="5"/>
      <c r="J98" s="249"/>
      <c r="K98" s="249"/>
      <c r="L98" s="249"/>
      <c r="M98" s="249"/>
      <c r="N98" s="249"/>
      <c r="O98" s="248"/>
      <c r="Q98" s="5"/>
      <c r="R98" s="5"/>
      <c r="S98" s="5"/>
      <c r="T98" s="5"/>
      <c r="U98" s="5"/>
    </row>
    <row r="99" spans="2:21">
      <c r="B99" s="41"/>
      <c r="C99" s="249"/>
      <c r="D99" s="249"/>
      <c r="E99" s="249"/>
      <c r="F99" s="249"/>
      <c r="G99" s="249"/>
      <c r="H99" s="249"/>
      <c r="I99" s="259"/>
      <c r="J99" s="248"/>
      <c r="K99" s="248"/>
      <c r="L99" s="248"/>
      <c r="M99" s="248"/>
      <c r="N99" s="248"/>
      <c r="O99" s="248"/>
      <c r="Q99" s="5"/>
      <c r="R99" s="5"/>
      <c r="S99" s="5"/>
      <c r="T99" s="5"/>
      <c r="U99" s="5"/>
    </row>
    <row r="100" spans="2:21" s="5" customFormat="1">
      <c r="B100" s="41"/>
      <c r="C100" s="257"/>
      <c r="D100" s="248"/>
      <c r="E100" s="248"/>
      <c r="F100" s="248"/>
      <c r="G100" s="248"/>
      <c r="H100" s="248"/>
      <c r="I100" s="259"/>
      <c r="O100" s="248"/>
      <c r="P100" s="39"/>
    </row>
    <row r="101" spans="2:21">
      <c r="B101" s="41"/>
      <c r="C101" s="5"/>
      <c r="D101" s="5"/>
      <c r="E101" s="5"/>
      <c r="F101" s="5"/>
      <c r="G101" s="5"/>
      <c r="H101" s="5"/>
      <c r="I101" s="247"/>
      <c r="J101" s="259"/>
      <c r="K101" s="259"/>
      <c r="L101" s="259"/>
      <c r="M101" s="259"/>
      <c r="N101" s="259"/>
      <c r="O101" s="5"/>
      <c r="Q101" s="5"/>
      <c r="R101" s="5"/>
      <c r="S101" s="5"/>
      <c r="T101" s="5"/>
      <c r="U101" s="5"/>
    </row>
    <row r="102" spans="2:21">
      <c r="B102" s="5"/>
      <c r="C102" s="259"/>
      <c r="D102" s="259"/>
      <c r="E102" s="259"/>
      <c r="F102" s="259"/>
      <c r="G102" s="259"/>
      <c r="H102" s="259"/>
      <c r="I102" s="5"/>
      <c r="J102" s="259"/>
      <c r="K102" s="259"/>
      <c r="L102" s="259"/>
      <c r="M102" s="259"/>
      <c r="N102" s="259"/>
      <c r="O102" s="5"/>
      <c r="P102" s="5"/>
      <c r="Q102" s="5"/>
      <c r="R102" s="5"/>
      <c r="S102" s="5"/>
      <c r="T102" s="5"/>
      <c r="U102" s="5"/>
    </row>
    <row r="103" spans="2:21">
      <c r="B103" s="5"/>
      <c r="C103" s="259"/>
      <c r="D103" s="259"/>
      <c r="E103" s="259"/>
      <c r="F103" s="259"/>
      <c r="G103" s="259"/>
      <c r="H103" s="259"/>
      <c r="I103" s="247"/>
      <c r="J103" s="247"/>
      <c r="K103" s="247"/>
      <c r="L103" s="247"/>
      <c r="M103" s="247"/>
      <c r="N103" s="247"/>
      <c r="O103" s="5"/>
      <c r="Q103" s="5"/>
      <c r="R103" s="5"/>
      <c r="S103" s="5"/>
      <c r="T103" s="5"/>
      <c r="U103" s="5"/>
    </row>
    <row r="104" spans="2:21" s="5" customFormat="1">
      <c r="C104" s="247"/>
      <c r="D104" s="247"/>
      <c r="E104" s="247"/>
      <c r="F104" s="247"/>
      <c r="G104" s="247"/>
      <c r="H104" s="247"/>
      <c r="P104" s="39"/>
    </row>
    <row r="105" spans="2:21" s="5" customFormat="1">
      <c r="I105" s="259"/>
      <c r="J105" s="247"/>
      <c r="K105" s="247"/>
      <c r="L105" s="247"/>
      <c r="M105" s="247"/>
      <c r="N105" s="247"/>
      <c r="P105" s="39"/>
    </row>
    <row r="106" spans="2:21">
      <c r="B106" s="5"/>
      <c r="C106" s="259"/>
      <c r="D106" s="247"/>
      <c r="E106" s="247"/>
      <c r="F106" s="247"/>
      <c r="G106" s="247"/>
      <c r="H106" s="247"/>
      <c r="I106" s="247"/>
      <c r="J106" s="5"/>
      <c r="K106" s="5"/>
      <c r="L106" s="5"/>
      <c r="M106" s="5"/>
      <c r="N106" s="5"/>
      <c r="O106" s="5"/>
      <c r="P106" s="5"/>
      <c r="Q106" s="5"/>
      <c r="R106" s="5"/>
      <c r="S106" s="5"/>
      <c r="T106" s="5"/>
      <c r="U106" s="5"/>
    </row>
    <row r="107" spans="2:21">
      <c r="B107" s="5"/>
      <c r="C107" s="259"/>
      <c r="D107" s="5"/>
      <c r="E107" s="5"/>
      <c r="F107" s="5"/>
      <c r="G107" s="5"/>
      <c r="H107" s="5"/>
      <c r="I107" s="249"/>
      <c r="J107" s="259"/>
      <c r="K107" s="259"/>
      <c r="L107" s="259"/>
      <c r="M107" s="259"/>
      <c r="N107" s="259"/>
      <c r="O107" s="5"/>
      <c r="P107" s="5"/>
      <c r="Q107" s="5"/>
      <c r="R107" s="5"/>
      <c r="S107" s="5"/>
      <c r="T107" s="5"/>
      <c r="U107" s="5"/>
    </row>
    <row r="108" spans="2:21">
      <c r="B108" s="5"/>
      <c r="C108" s="259"/>
      <c r="D108" s="259"/>
      <c r="E108" s="259"/>
      <c r="F108" s="259"/>
      <c r="G108" s="259"/>
      <c r="H108" s="259"/>
      <c r="I108" s="249"/>
      <c r="J108" s="247"/>
      <c r="K108" s="247"/>
      <c r="L108" s="247"/>
      <c r="M108" s="247"/>
      <c r="N108" s="247"/>
      <c r="O108" s="5"/>
      <c r="Q108" s="5"/>
      <c r="R108" s="5"/>
      <c r="S108" s="5"/>
      <c r="T108" s="5"/>
      <c r="U108" s="5"/>
    </row>
    <row r="109" spans="2:21">
      <c r="B109" s="5"/>
      <c r="C109" s="247"/>
      <c r="D109" s="247"/>
      <c r="E109" s="247"/>
      <c r="F109" s="247"/>
      <c r="G109" s="247"/>
      <c r="H109" s="247"/>
      <c r="I109" s="247"/>
      <c r="J109" s="249"/>
      <c r="K109" s="249"/>
      <c r="L109" s="249"/>
      <c r="M109" s="249"/>
      <c r="N109" s="249"/>
      <c r="O109" s="5"/>
      <c r="Q109" s="5"/>
      <c r="R109" s="5"/>
      <c r="S109" s="5"/>
      <c r="T109" s="5"/>
      <c r="U109" s="5"/>
    </row>
    <row r="110" spans="2:21">
      <c r="B110" s="41"/>
      <c r="C110" s="249"/>
      <c r="D110" s="249"/>
      <c r="E110" s="249"/>
      <c r="F110" s="249"/>
      <c r="G110" s="249"/>
      <c r="H110" s="249"/>
      <c r="I110" s="5"/>
      <c r="J110" s="249"/>
      <c r="K110" s="249"/>
      <c r="L110" s="249"/>
      <c r="M110" s="249"/>
      <c r="N110" s="249"/>
      <c r="O110" s="5"/>
      <c r="Q110" s="5"/>
      <c r="R110" s="5"/>
      <c r="S110" s="5"/>
      <c r="T110" s="5"/>
      <c r="U110" s="5"/>
    </row>
    <row r="111" spans="2:21">
      <c r="B111" s="5"/>
      <c r="C111" s="249"/>
      <c r="D111" s="249"/>
      <c r="E111" s="249"/>
      <c r="F111" s="249"/>
      <c r="G111" s="249"/>
      <c r="H111" s="249"/>
      <c r="I111" s="5"/>
      <c r="J111" s="247"/>
      <c r="K111" s="247"/>
      <c r="L111" s="247"/>
      <c r="M111" s="247"/>
      <c r="N111" s="247"/>
      <c r="O111" s="5"/>
      <c r="Q111" s="5"/>
      <c r="R111" s="5"/>
      <c r="S111" s="5"/>
      <c r="T111" s="5"/>
      <c r="U111" s="5"/>
    </row>
    <row r="112" spans="2:21">
      <c r="B112" s="5"/>
      <c r="C112" s="247"/>
      <c r="D112" s="247"/>
      <c r="E112" s="247"/>
      <c r="F112" s="247"/>
      <c r="G112" s="247"/>
      <c r="H112" s="247"/>
      <c r="I112" s="5"/>
      <c r="J112" s="5"/>
      <c r="K112" s="5"/>
      <c r="L112" s="5"/>
      <c r="M112" s="5"/>
      <c r="N112" s="5"/>
      <c r="O112" s="5"/>
      <c r="Q112" s="5"/>
      <c r="R112" s="5"/>
      <c r="S112" s="5"/>
      <c r="T112" s="5"/>
      <c r="U112" s="5"/>
    </row>
    <row r="113" spans="2:21">
      <c r="B113" s="5"/>
      <c r="C113" s="5"/>
      <c r="D113" s="5"/>
      <c r="E113" s="5"/>
      <c r="F113" s="5"/>
      <c r="G113" s="5"/>
      <c r="H113" s="5"/>
      <c r="I113" s="5"/>
      <c r="J113" s="5"/>
      <c r="K113" s="5"/>
      <c r="L113" s="5"/>
      <c r="M113" s="5"/>
      <c r="N113" s="5"/>
      <c r="O113" s="5"/>
      <c r="Q113" s="5"/>
      <c r="R113" s="5"/>
      <c r="S113" s="5"/>
      <c r="T113" s="5"/>
      <c r="U113" s="5"/>
    </row>
    <row r="114" spans="2:21">
      <c r="B114" s="5"/>
      <c r="C114" s="5"/>
      <c r="D114" s="5"/>
      <c r="E114" s="5"/>
      <c r="F114" s="5"/>
      <c r="G114" s="5"/>
      <c r="H114" s="5"/>
      <c r="I114" s="49"/>
      <c r="J114" s="5"/>
      <c r="K114" s="5"/>
      <c r="L114" s="5"/>
      <c r="M114" s="5"/>
      <c r="N114" s="5"/>
      <c r="O114" s="5"/>
      <c r="Q114" s="41"/>
      <c r="R114" s="5"/>
      <c r="S114" s="5"/>
      <c r="T114" s="5"/>
      <c r="U114" s="5"/>
    </row>
    <row r="115" spans="2:21">
      <c r="B115" s="5"/>
      <c r="C115" s="5"/>
      <c r="D115" s="5"/>
      <c r="E115" s="5"/>
      <c r="F115" s="5"/>
      <c r="G115" s="5"/>
      <c r="H115" s="5"/>
      <c r="I115" s="5"/>
      <c r="J115" s="5"/>
      <c r="K115" s="5"/>
      <c r="L115" s="5"/>
      <c r="M115" s="5"/>
      <c r="N115" s="5"/>
      <c r="O115" s="5"/>
      <c r="Q115" s="5"/>
      <c r="R115" s="5"/>
      <c r="S115" s="5"/>
      <c r="T115" s="5"/>
      <c r="U115" s="5"/>
    </row>
    <row r="116" spans="2:21">
      <c r="B116" s="5"/>
      <c r="C116" s="5"/>
      <c r="D116" s="5"/>
      <c r="E116" s="5"/>
      <c r="F116" s="5"/>
      <c r="G116" s="5"/>
      <c r="H116" s="5"/>
      <c r="I116" s="254"/>
      <c r="J116" s="49"/>
      <c r="K116" s="49"/>
      <c r="L116" s="49"/>
      <c r="M116" s="49"/>
      <c r="N116" s="49"/>
      <c r="O116" s="49"/>
      <c r="Q116" s="5"/>
      <c r="R116" s="5"/>
      <c r="S116" s="5"/>
      <c r="T116" s="5"/>
      <c r="U116" s="5"/>
    </row>
    <row r="117" spans="2:21">
      <c r="B117" s="41"/>
      <c r="C117" s="49"/>
      <c r="D117" s="49"/>
      <c r="E117" s="49"/>
      <c r="F117" s="49"/>
      <c r="G117" s="49"/>
      <c r="H117" s="49"/>
      <c r="I117" s="249"/>
      <c r="J117" s="5"/>
      <c r="K117" s="5"/>
      <c r="L117" s="5"/>
      <c r="M117" s="5"/>
      <c r="N117" s="5"/>
      <c r="O117" s="5"/>
      <c r="Q117" s="5"/>
      <c r="R117" s="5"/>
      <c r="S117" s="5"/>
      <c r="T117" s="5"/>
      <c r="U117" s="5"/>
    </row>
    <row r="118" spans="2:21">
      <c r="B118" s="5"/>
      <c r="C118" s="5"/>
      <c r="D118" s="5"/>
      <c r="E118" s="5"/>
      <c r="F118" s="5"/>
      <c r="G118" s="5"/>
      <c r="H118" s="5"/>
      <c r="I118" s="254"/>
      <c r="J118" s="254"/>
      <c r="K118" s="254"/>
      <c r="L118" s="254"/>
      <c r="M118" s="254"/>
      <c r="N118" s="254"/>
      <c r="O118" s="248"/>
      <c r="Q118" s="5"/>
      <c r="R118" s="5"/>
      <c r="S118" s="5"/>
      <c r="T118" s="5"/>
      <c r="U118" s="5"/>
    </row>
    <row r="119" spans="2:21">
      <c r="B119" s="41"/>
      <c r="C119" s="254"/>
      <c r="D119" s="254"/>
      <c r="E119" s="254"/>
      <c r="F119" s="254"/>
      <c r="G119" s="254"/>
      <c r="H119" s="254"/>
      <c r="I119" s="254"/>
      <c r="J119" s="249"/>
      <c r="K119" s="249"/>
      <c r="L119" s="249"/>
      <c r="M119" s="249"/>
      <c r="N119" s="249"/>
      <c r="O119" s="248"/>
      <c r="Q119" s="5"/>
      <c r="R119" s="5"/>
      <c r="S119" s="5"/>
      <c r="T119" s="5"/>
      <c r="U119" s="5"/>
    </row>
    <row r="120" spans="2:21">
      <c r="B120" s="41"/>
      <c r="C120" s="254"/>
      <c r="D120" s="249"/>
      <c r="E120" s="249"/>
      <c r="F120" s="249"/>
      <c r="G120" s="249"/>
      <c r="H120" s="249"/>
      <c r="I120" s="254"/>
      <c r="J120" s="254"/>
      <c r="K120" s="254"/>
      <c r="L120" s="254"/>
      <c r="M120" s="254"/>
      <c r="N120" s="254"/>
      <c r="O120" s="248"/>
      <c r="Q120" s="5"/>
      <c r="R120" s="5"/>
      <c r="S120" s="5"/>
      <c r="T120" s="5"/>
      <c r="U120" s="5"/>
    </row>
    <row r="121" spans="2:21">
      <c r="B121" s="41"/>
      <c r="C121" s="254"/>
      <c r="D121" s="254"/>
      <c r="E121" s="254"/>
      <c r="F121" s="254"/>
      <c r="G121" s="254"/>
      <c r="H121" s="254"/>
      <c r="I121" s="254"/>
      <c r="J121" s="254"/>
      <c r="K121" s="254"/>
      <c r="L121" s="254"/>
      <c r="M121" s="254"/>
      <c r="N121" s="254"/>
      <c r="O121" s="248"/>
      <c r="Q121" s="5"/>
      <c r="R121" s="5"/>
      <c r="S121" s="5"/>
      <c r="T121" s="5"/>
      <c r="U121" s="5"/>
    </row>
    <row r="122" spans="2:21">
      <c r="B122" s="41"/>
      <c r="C122" s="254"/>
      <c r="D122" s="254"/>
      <c r="E122" s="254"/>
      <c r="F122" s="254"/>
      <c r="G122" s="254"/>
      <c r="H122" s="254"/>
      <c r="I122" s="254"/>
      <c r="J122" s="254"/>
      <c r="K122" s="254"/>
      <c r="L122" s="254"/>
      <c r="M122" s="254"/>
      <c r="N122" s="254"/>
      <c r="O122" s="248"/>
      <c r="Q122" s="5"/>
      <c r="R122" s="5"/>
      <c r="S122" s="5"/>
      <c r="T122" s="5"/>
      <c r="U122" s="5"/>
    </row>
    <row r="123" spans="2:21">
      <c r="B123" s="41"/>
      <c r="C123" s="254"/>
      <c r="D123" s="254"/>
      <c r="E123" s="254"/>
      <c r="F123" s="254"/>
      <c r="G123" s="254"/>
      <c r="H123" s="254"/>
      <c r="I123" s="254"/>
      <c r="J123" s="254"/>
      <c r="K123" s="254"/>
      <c r="L123" s="254"/>
      <c r="M123" s="254"/>
      <c r="N123" s="254"/>
      <c r="O123" s="248"/>
      <c r="Q123" s="5"/>
      <c r="R123" s="5"/>
      <c r="S123" s="5"/>
      <c r="T123" s="5"/>
      <c r="U123" s="5"/>
    </row>
    <row r="124" spans="2:21">
      <c r="B124" s="41"/>
      <c r="C124" s="254"/>
      <c r="D124" s="254"/>
      <c r="E124" s="254"/>
      <c r="F124" s="254"/>
      <c r="G124" s="254"/>
      <c r="H124" s="254"/>
      <c r="I124" s="254"/>
      <c r="J124" s="254"/>
      <c r="K124" s="254"/>
      <c r="L124" s="254"/>
      <c r="M124" s="254"/>
      <c r="N124" s="254"/>
      <c r="O124" s="5"/>
      <c r="Q124" s="5"/>
      <c r="R124" s="5"/>
      <c r="S124" s="5"/>
      <c r="T124" s="5"/>
      <c r="U124" s="5"/>
    </row>
    <row r="125" spans="2:21">
      <c r="B125" s="41"/>
      <c r="C125" s="254"/>
      <c r="D125" s="254"/>
      <c r="E125" s="254"/>
      <c r="F125" s="254"/>
      <c r="G125" s="254"/>
      <c r="H125" s="254"/>
      <c r="I125" s="254"/>
      <c r="J125" s="254"/>
      <c r="K125" s="254"/>
      <c r="L125" s="254"/>
      <c r="M125" s="254"/>
      <c r="N125" s="254"/>
      <c r="O125" s="5"/>
      <c r="Q125" s="5"/>
      <c r="R125" s="5"/>
      <c r="S125" s="5"/>
      <c r="T125" s="5"/>
      <c r="U125" s="5"/>
    </row>
    <row r="126" spans="2:21">
      <c r="B126" s="41"/>
      <c r="C126" s="254"/>
      <c r="D126" s="254"/>
      <c r="E126" s="254"/>
      <c r="F126" s="254"/>
      <c r="G126" s="254"/>
      <c r="H126" s="254"/>
      <c r="I126" s="18"/>
      <c r="J126" s="254"/>
      <c r="K126" s="254"/>
      <c r="L126" s="254"/>
      <c r="M126" s="254"/>
      <c r="N126" s="254"/>
      <c r="O126" s="5"/>
      <c r="Q126" s="5"/>
      <c r="R126" s="5"/>
      <c r="S126" s="5"/>
      <c r="T126" s="5"/>
      <c r="U126" s="5"/>
    </row>
    <row r="127" spans="2:21">
      <c r="B127" s="41"/>
      <c r="C127" s="254"/>
      <c r="D127" s="254"/>
      <c r="E127" s="254"/>
      <c r="F127" s="254"/>
      <c r="G127" s="254"/>
      <c r="H127" s="254"/>
      <c r="I127" s="5"/>
      <c r="J127" s="254"/>
      <c r="K127" s="254"/>
      <c r="L127" s="254"/>
      <c r="M127" s="254"/>
      <c r="N127" s="254"/>
      <c r="O127" s="5"/>
      <c r="Q127" s="5"/>
      <c r="R127" s="5"/>
      <c r="S127" s="5"/>
      <c r="T127" s="5"/>
      <c r="U127" s="5"/>
    </row>
    <row r="128" spans="2:21">
      <c r="B128" s="41"/>
      <c r="C128" s="254"/>
      <c r="D128" s="254"/>
      <c r="E128" s="254"/>
      <c r="F128" s="254"/>
      <c r="G128" s="254"/>
      <c r="H128" s="254"/>
      <c r="I128" s="254"/>
      <c r="J128" s="18"/>
      <c r="K128" s="18"/>
      <c r="L128" s="18"/>
      <c r="M128" s="18"/>
      <c r="N128" s="18"/>
      <c r="O128" s="5"/>
      <c r="Q128" s="5"/>
      <c r="R128" s="5"/>
      <c r="S128" s="5"/>
      <c r="T128" s="5"/>
      <c r="U128" s="5"/>
    </row>
    <row r="129" spans="2:27">
      <c r="B129" s="5"/>
      <c r="C129" s="5"/>
      <c r="D129" s="18"/>
      <c r="E129" s="18"/>
      <c r="F129" s="18"/>
      <c r="G129" s="18"/>
      <c r="H129" s="18"/>
      <c r="I129" s="18"/>
      <c r="J129" s="5"/>
      <c r="K129" s="5"/>
      <c r="L129" s="5"/>
      <c r="M129" s="5"/>
      <c r="N129" s="5"/>
      <c r="O129" s="5"/>
      <c r="Q129" s="5"/>
      <c r="R129" s="5"/>
      <c r="S129" s="5"/>
      <c r="T129" s="5"/>
      <c r="U129" s="5"/>
    </row>
    <row r="130" spans="2:27">
      <c r="B130" s="5"/>
      <c r="C130" s="5"/>
      <c r="D130" s="5"/>
      <c r="E130" s="5"/>
      <c r="F130" s="5"/>
      <c r="G130" s="5"/>
      <c r="H130" s="5"/>
      <c r="I130" s="5"/>
      <c r="J130" s="254"/>
      <c r="K130" s="254"/>
      <c r="L130" s="254"/>
      <c r="M130" s="254"/>
      <c r="N130" s="254"/>
      <c r="O130" s="5"/>
      <c r="Q130" s="5"/>
      <c r="R130" s="5"/>
      <c r="S130" s="5"/>
      <c r="T130" s="5"/>
      <c r="U130" s="5"/>
    </row>
    <row r="131" spans="2:27">
      <c r="B131" s="41"/>
      <c r="C131" s="254"/>
      <c r="D131" s="254"/>
      <c r="E131" s="254"/>
      <c r="F131" s="254"/>
      <c r="G131" s="254"/>
      <c r="H131" s="254"/>
      <c r="I131" s="5"/>
      <c r="J131" s="18"/>
      <c r="K131" s="18"/>
      <c r="L131" s="18"/>
      <c r="M131" s="18"/>
      <c r="N131" s="18"/>
      <c r="O131" s="5"/>
      <c r="Q131" s="5"/>
      <c r="R131" s="5"/>
      <c r="S131" s="5"/>
      <c r="T131" s="5"/>
      <c r="U131" s="5"/>
    </row>
    <row r="132" spans="2:27">
      <c r="B132" s="5"/>
      <c r="C132" s="259"/>
      <c r="D132" s="18"/>
      <c r="E132" s="18"/>
      <c r="F132" s="18"/>
      <c r="G132" s="18"/>
      <c r="H132" s="18"/>
      <c r="I132" s="17"/>
      <c r="J132" s="5"/>
      <c r="K132" s="5"/>
      <c r="L132" s="5"/>
      <c r="M132" s="5"/>
      <c r="N132" s="5"/>
      <c r="O132" s="5"/>
      <c r="Q132" s="5"/>
      <c r="R132" s="5"/>
      <c r="S132" s="5"/>
      <c r="T132" s="5"/>
      <c r="U132" s="5"/>
    </row>
    <row r="133" spans="2:27">
      <c r="B133" s="5"/>
      <c r="C133" s="5"/>
      <c r="D133" s="5"/>
      <c r="E133" s="5"/>
      <c r="F133" s="5"/>
      <c r="G133" s="5"/>
      <c r="H133" s="5"/>
      <c r="I133" s="17"/>
      <c r="J133" s="5"/>
      <c r="K133" s="5"/>
      <c r="L133" s="5"/>
      <c r="M133" s="5"/>
      <c r="N133" s="5"/>
      <c r="O133" s="5"/>
      <c r="Q133" s="5"/>
      <c r="R133" s="5"/>
      <c r="S133" s="5"/>
      <c r="T133" s="5"/>
      <c r="U133" s="5"/>
    </row>
    <row r="134" spans="2:27">
      <c r="B134" s="41"/>
      <c r="C134" s="5"/>
      <c r="D134" s="5"/>
      <c r="E134" s="5"/>
      <c r="F134" s="5"/>
      <c r="G134" s="5"/>
      <c r="H134" s="5"/>
      <c r="I134" s="17"/>
      <c r="J134" s="17"/>
      <c r="K134" s="17"/>
      <c r="L134" s="17"/>
      <c r="M134" s="17"/>
      <c r="N134" s="17"/>
      <c r="O134" s="5"/>
      <c r="Q134" s="41"/>
      <c r="R134" s="5"/>
      <c r="S134" s="5"/>
      <c r="T134" s="5"/>
      <c r="U134" s="5"/>
    </row>
    <row r="135" spans="2:27">
      <c r="B135" s="5"/>
      <c r="C135" s="17"/>
      <c r="D135" s="17"/>
      <c r="E135" s="17"/>
      <c r="F135" s="17"/>
      <c r="G135" s="17"/>
      <c r="H135" s="17"/>
      <c r="I135" s="17"/>
      <c r="J135" s="17"/>
      <c r="K135" s="17"/>
      <c r="L135" s="17"/>
      <c r="M135" s="17"/>
      <c r="N135" s="17"/>
      <c r="O135" s="5"/>
      <c r="Q135" s="5"/>
      <c r="R135" s="5"/>
      <c r="S135" s="5"/>
      <c r="T135" s="5"/>
      <c r="U135" s="5"/>
      <c r="X135" s="304"/>
    </row>
    <row r="136" spans="2:27">
      <c r="B136" s="5"/>
      <c r="C136" s="17"/>
      <c r="D136" s="17"/>
      <c r="E136" s="17"/>
      <c r="F136" s="17"/>
      <c r="G136" s="17"/>
      <c r="H136" s="17"/>
      <c r="I136" s="17"/>
      <c r="J136" s="17"/>
      <c r="K136" s="17"/>
      <c r="L136" s="17"/>
      <c r="M136" s="17"/>
      <c r="N136" s="17"/>
      <c r="O136" s="5"/>
      <c r="Q136" s="5"/>
      <c r="R136" s="5"/>
      <c r="S136" s="5"/>
      <c r="T136" s="5"/>
      <c r="U136" s="5"/>
      <c r="X136" s="10"/>
      <c r="Y136" s="304"/>
      <c r="Z136" s="304"/>
      <c r="AA136" s="304"/>
    </row>
    <row r="137" spans="2:27">
      <c r="B137" s="5"/>
      <c r="C137" s="5"/>
      <c r="D137" s="17"/>
      <c r="E137" s="17"/>
      <c r="F137" s="17"/>
      <c r="G137" s="17"/>
      <c r="H137" s="17"/>
      <c r="I137" s="17"/>
      <c r="J137" s="17"/>
      <c r="K137" s="17"/>
      <c r="L137" s="17"/>
      <c r="M137" s="17"/>
      <c r="N137" s="17"/>
      <c r="O137" s="5"/>
      <c r="Q137" s="5"/>
      <c r="R137" s="5"/>
      <c r="S137" s="5"/>
      <c r="T137" s="5"/>
      <c r="U137" s="5"/>
      <c r="Y137" s="10"/>
      <c r="Z137" s="10"/>
      <c r="AA137" s="10"/>
    </row>
    <row r="138" spans="2:27">
      <c r="B138" s="5"/>
      <c r="C138" s="5"/>
      <c r="D138" s="17"/>
      <c r="E138" s="17"/>
      <c r="F138" s="17"/>
      <c r="G138" s="17"/>
      <c r="H138" s="17"/>
      <c r="I138" s="5"/>
      <c r="J138" s="17"/>
      <c r="K138" s="17"/>
      <c r="L138" s="17"/>
      <c r="M138" s="17"/>
      <c r="N138" s="17"/>
      <c r="O138" s="5"/>
      <c r="Q138" s="5"/>
      <c r="R138" s="5"/>
      <c r="S138" s="5"/>
      <c r="T138" s="5"/>
      <c r="U138" s="5"/>
    </row>
    <row r="139" spans="2:27">
      <c r="B139" s="5"/>
      <c r="C139" s="5"/>
      <c r="D139" s="17"/>
      <c r="E139" s="17"/>
      <c r="F139" s="17"/>
      <c r="G139" s="17"/>
      <c r="H139" s="17"/>
      <c r="I139" s="5"/>
      <c r="J139" s="17"/>
      <c r="K139" s="17"/>
      <c r="L139" s="17"/>
      <c r="M139" s="17"/>
      <c r="N139" s="17"/>
      <c r="O139" s="5"/>
      <c r="Q139" s="5"/>
      <c r="R139" s="5"/>
      <c r="S139" s="5"/>
      <c r="T139" s="5"/>
      <c r="U139" s="5"/>
    </row>
    <row r="140" spans="2:27">
      <c r="B140" s="5"/>
      <c r="C140" s="17"/>
      <c r="D140" s="17"/>
      <c r="E140" s="17"/>
      <c r="F140" s="17"/>
      <c r="G140" s="17"/>
      <c r="H140" s="17"/>
      <c r="I140" s="5"/>
      <c r="J140" s="5"/>
      <c r="K140" s="5"/>
      <c r="L140" s="5"/>
      <c r="M140" s="5"/>
      <c r="N140" s="5"/>
      <c r="O140" s="5"/>
      <c r="Q140" s="5"/>
      <c r="R140" s="5"/>
      <c r="S140" s="5"/>
      <c r="T140" s="5"/>
      <c r="U140" s="5"/>
    </row>
    <row r="141" spans="2:27">
      <c r="B141" s="5"/>
      <c r="C141" s="5"/>
      <c r="D141" s="5"/>
      <c r="E141" s="5"/>
      <c r="F141" s="5"/>
      <c r="G141" s="5"/>
      <c r="H141" s="5"/>
      <c r="I141" s="5"/>
      <c r="J141" s="5"/>
      <c r="K141" s="5"/>
      <c r="L141" s="5"/>
      <c r="M141" s="5"/>
      <c r="N141" s="5"/>
      <c r="O141" s="5"/>
      <c r="Q141" s="5"/>
      <c r="R141" s="5"/>
      <c r="S141" s="5"/>
      <c r="T141" s="5"/>
      <c r="U141" s="5"/>
    </row>
    <row r="142" spans="2:27">
      <c r="B142" s="5"/>
      <c r="C142" s="5"/>
      <c r="D142" s="5"/>
      <c r="E142" s="5"/>
      <c r="F142" s="5"/>
      <c r="G142" s="5"/>
      <c r="H142" s="5"/>
      <c r="I142" s="5"/>
      <c r="J142" s="5"/>
      <c r="K142" s="5"/>
      <c r="L142" s="5"/>
      <c r="M142" s="5"/>
      <c r="N142" s="5"/>
      <c r="O142" s="5"/>
      <c r="Q142" s="5"/>
      <c r="R142" s="5"/>
      <c r="S142" s="5"/>
      <c r="T142" s="5"/>
      <c r="U142" s="5"/>
    </row>
    <row r="143" spans="2:27">
      <c r="B143" s="5"/>
      <c r="C143" s="5"/>
      <c r="D143" s="5"/>
      <c r="E143" s="5"/>
      <c r="F143" s="5"/>
      <c r="G143" s="5"/>
      <c r="H143" s="5"/>
      <c r="I143" s="5"/>
      <c r="J143" s="5"/>
      <c r="K143" s="5"/>
      <c r="L143" s="5"/>
      <c r="M143" s="5"/>
      <c r="N143" s="5"/>
      <c r="O143" s="5"/>
      <c r="Q143" s="5"/>
      <c r="R143" s="5"/>
      <c r="S143" s="5"/>
      <c r="T143" s="5"/>
      <c r="U143" s="5"/>
    </row>
    <row r="144" spans="2:27">
      <c r="B144" s="5"/>
      <c r="C144" s="5"/>
      <c r="D144" s="5"/>
      <c r="E144" s="5"/>
      <c r="F144" s="5"/>
      <c r="G144" s="5"/>
      <c r="H144" s="5"/>
      <c r="I144" s="5"/>
      <c r="J144" s="5"/>
      <c r="K144" s="5"/>
      <c r="L144" s="5"/>
      <c r="M144" s="5"/>
      <c r="N144" s="5"/>
      <c r="O144" s="5"/>
      <c r="Q144" s="5"/>
      <c r="R144" s="5"/>
      <c r="S144" s="5"/>
      <c r="T144" s="5"/>
      <c r="U144" s="5"/>
    </row>
    <row r="145" spans="2:21">
      <c r="B145" s="5"/>
      <c r="C145" s="5"/>
      <c r="D145" s="5"/>
      <c r="E145" s="5"/>
      <c r="F145" s="5"/>
      <c r="G145" s="5"/>
      <c r="H145" s="5"/>
      <c r="I145" s="5"/>
      <c r="J145" s="5"/>
      <c r="K145" s="5"/>
      <c r="L145" s="5"/>
      <c r="M145" s="5"/>
      <c r="N145" s="5"/>
      <c r="O145" s="5"/>
      <c r="Q145" s="5"/>
      <c r="R145" s="5"/>
      <c r="S145" s="5"/>
      <c r="T145" s="5"/>
      <c r="U145" s="5"/>
    </row>
    <row r="146" spans="2:21">
      <c r="B146" s="5"/>
      <c r="C146" s="5"/>
      <c r="D146" s="5"/>
      <c r="E146" s="5"/>
      <c r="F146" s="5"/>
      <c r="G146" s="5"/>
      <c r="H146" s="5"/>
      <c r="I146" s="5"/>
      <c r="J146" s="5"/>
      <c r="K146" s="5"/>
      <c r="L146" s="5"/>
      <c r="M146" s="5"/>
      <c r="N146" s="5"/>
      <c r="O146" s="5"/>
      <c r="Q146" s="5"/>
      <c r="R146" s="5"/>
      <c r="S146" s="5"/>
      <c r="T146" s="5"/>
      <c r="U146" s="5"/>
    </row>
    <row r="147" spans="2:21">
      <c r="B147" s="5"/>
      <c r="C147" s="5"/>
      <c r="D147" s="5"/>
      <c r="E147" s="5"/>
      <c r="F147" s="5"/>
      <c r="G147" s="5"/>
      <c r="H147" s="5"/>
      <c r="I147" s="5"/>
      <c r="J147" s="5"/>
      <c r="K147" s="5"/>
      <c r="L147" s="5"/>
      <c r="M147" s="5"/>
      <c r="N147" s="5"/>
      <c r="O147" s="5"/>
      <c r="Q147" s="5"/>
      <c r="R147" s="5"/>
      <c r="S147" s="5"/>
      <c r="T147" s="5"/>
      <c r="U147" s="5"/>
    </row>
    <row r="148" spans="2:21">
      <c r="B148" s="5"/>
      <c r="C148" s="5"/>
      <c r="D148" s="5"/>
      <c r="E148" s="5"/>
      <c r="F148" s="5"/>
      <c r="G148" s="5"/>
      <c r="H148" s="5"/>
      <c r="J148" s="5"/>
      <c r="K148" s="5"/>
      <c r="L148" s="5"/>
      <c r="M148" s="5"/>
      <c r="N148" s="5"/>
      <c r="O148" s="5"/>
      <c r="Q148" s="5"/>
      <c r="R148" s="5"/>
      <c r="S148" s="5"/>
      <c r="T148" s="5"/>
      <c r="U148" s="5"/>
    </row>
    <row r="149" spans="2:21">
      <c r="B149" s="5"/>
      <c r="C149" s="5"/>
      <c r="D149" s="5"/>
      <c r="E149" s="5"/>
      <c r="F149" s="5"/>
      <c r="G149" s="5"/>
      <c r="H149" s="5"/>
      <c r="J149" s="5"/>
      <c r="K149" s="5"/>
      <c r="L149" s="5"/>
      <c r="M149" s="5"/>
      <c r="N149" s="5"/>
      <c r="O149" s="5"/>
      <c r="Q149" s="5"/>
      <c r="R149" s="5"/>
      <c r="S149" s="5"/>
      <c r="T149" s="5"/>
      <c r="U149" s="5"/>
    </row>
    <row r="150" spans="2:21">
      <c r="B150" s="5"/>
      <c r="C150" s="5"/>
      <c r="D150" s="5"/>
      <c r="E150" s="5"/>
      <c r="F150" s="5"/>
      <c r="G150" s="5"/>
      <c r="H150" s="5"/>
      <c r="Q150" s="5"/>
      <c r="R150" s="5"/>
      <c r="S150" s="5"/>
      <c r="T150" s="5"/>
      <c r="U150" s="5"/>
    </row>
    <row r="151" spans="2:21">
      <c r="Q151" s="5"/>
      <c r="R151" s="5"/>
      <c r="S151" s="5"/>
      <c r="T151" s="5"/>
      <c r="U151" s="5"/>
    </row>
    <row r="152" spans="2:21">
      <c r="Q152" s="5"/>
      <c r="R152" s="5"/>
      <c r="S152" s="5"/>
      <c r="T152" s="5"/>
      <c r="U152" s="5"/>
    </row>
    <row r="153" spans="2:21">
      <c r="C153" s="263"/>
      <c r="Q153" s="5"/>
      <c r="R153" s="5"/>
      <c r="S153" s="5"/>
      <c r="T153" s="5"/>
      <c r="U153" s="5"/>
    </row>
    <row r="154" spans="2:21">
      <c r="Q154" s="5"/>
      <c r="R154" s="5"/>
      <c r="S154" s="5"/>
      <c r="T154" s="5"/>
      <c r="U154" s="5"/>
    </row>
    <row r="155" spans="2:21">
      <c r="Q155" s="5"/>
      <c r="R155" s="5"/>
      <c r="S155" s="5"/>
      <c r="T155" s="5"/>
      <c r="U155" s="5"/>
    </row>
    <row r="156" spans="2:21">
      <c r="Q156" s="5"/>
      <c r="R156" s="5"/>
      <c r="S156" s="5"/>
      <c r="T156" s="5"/>
      <c r="U156" s="5"/>
    </row>
    <row r="157" spans="2:21">
      <c r="Q157" s="5"/>
      <c r="R157" s="5"/>
      <c r="S157" s="5"/>
      <c r="T157" s="5"/>
      <c r="U157" s="5"/>
    </row>
    <row r="158" spans="2:21">
      <c r="Q158" s="5"/>
      <c r="R158" s="5"/>
      <c r="S158" s="5"/>
      <c r="T158" s="5"/>
      <c r="U158" s="5"/>
    </row>
    <row r="159" spans="2:21">
      <c r="Q159" s="5"/>
      <c r="R159" s="5"/>
      <c r="S159" s="5"/>
      <c r="T159" s="5"/>
      <c r="U159" s="5"/>
    </row>
    <row r="160" spans="2:21">
      <c r="Q160" s="5"/>
      <c r="R160" s="5"/>
      <c r="S160" s="5"/>
      <c r="T160" s="5"/>
      <c r="U160" s="5"/>
    </row>
    <row r="161" spans="17:21">
      <c r="Q161" s="5"/>
      <c r="R161" s="5"/>
      <c r="S161" s="5"/>
      <c r="T161" s="5"/>
      <c r="U161" s="5"/>
    </row>
    <row r="162" spans="17:21">
      <c r="Q162" s="5"/>
      <c r="R162" s="5"/>
      <c r="S162" s="5"/>
      <c r="T162" s="5"/>
      <c r="U162" s="5"/>
    </row>
    <row r="163" spans="17:21">
      <c r="Q163" s="5"/>
      <c r="R163" s="5"/>
      <c r="S163" s="5"/>
      <c r="T163" s="5"/>
      <c r="U163" s="5"/>
    </row>
    <row r="164" spans="17:21">
      <c r="Q164" s="5"/>
      <c r="R164" s="5"/>
      <c r="S164" s="5"/>
      <c r="T164" s="5"/>
      <c r="U164" s="5"/>
    </row>
  </sheetData>
  <phoneticPr fontId="7" type="noConversion"/>
  <pageMargins left="0.75" right="0.75" top="1" bottom="1" header="0.5" footer="0.5"/>
  <pageSetup scale="69" orientation="landscape" r:id="rId1"/>
  <headerFooter alignWithMargins="0"/>
  <drawing r:id="rId2"/>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E00-000000000000}">
  <sheetPr codeName="Sheet191">
    <tabColor theme="3" tint="0.59999389629810485"/>
    <pageSetUpPr fitToPage="1"/>
  </sheetPr>
  <dimension ref="B1:BK164"/>
  <sheetViews>
    <sheetView showGridLines="0" zoomScale="80" zoomScaleNormal="80" workbookViewId="0"/>
  </sheetViews>
  <sheetFormatPr defaultColWidth="8.88671875" defaultRowHeight="12"/>
  <cols>
    <col min="1" max="1" width="2.33203125" style="39" customWidth="1"/>
    <col min="2" max="2" width="26.6640625" style="39" customWidth="1"/>
    <col min="3" max="9" width="10" style="39" customWidth="1"/>
    <col min="10" max="10" width="26.6640625" style="39" customWidth="1"/>
    <col min="11" max="16" width="10" style="39" customWidth="1"/>
    <col min="17" max="17" width="4.5546875" style="39" customWidth="1"/>
    <col min="18" max="20" width="8.88671875" style="39"/>
    <col min="21" max="21" width="3.6640625" style="39" customWidth="1"/>
    <col min="22" max="63" width="9.109375" style="5" customWidth="1"/>
    <col min="64" max="16384" width="8.88671875" style="39"/>
  </cols>
  <sheetData>
    <row r="1" spans="2:63" s="312" customFormat="1">
      <c r="V1" s="149"/>
      <c r="W1" s="149"/>
      <c r="X1" s="149"/>
      <c r="Y1" s="149"/>
      <c r="Z1" s="149"/>
      <c r="AA1" s="149"/>
      <c r="AB1" s="149"/>
      <c r="AC1" s="149"/>
      <c r="AD1" s="149"/>
      <c r="AE1" s="149"/>
      <c r="AF1" s="149"/>
      <c r="AG1" s="149"/>
      <c r="AH1" s="149"/>
      <c r="AI1" s="149"/>
      <c r="AJ1" s="149"/>
      <c r="AK1" s="149"/>
      <c r="AL1" s="149"/>
      <c r="AM1" s="149"/>
      <c r="AN1" s="149"/>
      <c r="AO1" s="149"/>
      <c r="AP1" s="149"/>
      <c r="AQ1" s="149"/>
      <c r="AR1" s="149"/>
      <c r="AS1" s="149"/>
      <c r="AT1" s="149"/>
      <c r="AU1" s="149"/>
      <c r="AV1" s="149"/>
      <c r="AW1" s="149"/>
      <c r="AX1" s="149"/>
      <c r="AY1" s="149"/>
      <c r="AZ1" s="149"/>
      <c r="BA1" s="149"/>
      <c r="BB1" s="149"/>
      <c r="BC1" s="149"/>
      <c r="BD1" s="149"/>
      <c r="BE1" s="149"/>
      <c r="BF1" s="149"/>
      <c r="BG1" s="149"/>
      <c r="BH1" s="149"/>
      <c r="BI1" s="149"/>
      <c r="BJ1" s="149"/>
      <c r="BK1" s="149"/>
    </row>
    <row r="2" spans="2:63" s="312" customFormat="1">
      <c r="V2" s="149"/>
      <c r="W2" s="149"/>
      <c r="X2" s="149"/>
      <c r="Y2" s="149"/>
      <c r="Z2" s="149"/>
      <c r="AA2" s="149"/>
      <c r="AB2" s="149"/>
      <c r="AC2" s="149"/>
      <c r="AD2" s="149"/>
      <c r="AE2" s="149"/>
      <c r="AF2" s="149"/>
      <c r="AG2" s="149"/>
      <c r="AH2" s="149"/>
      <c r="AI2" s="149"/>
      <c r="AJ2" s="149"/>
      <c r="AK2" s="149"/>
      <c r="AL2" s="149"/>
      <c r="AM2" s="149"/>
      <c r="AN2" s="149"/>
      <c r="AO2" s="149"/>
      <c r="AP2" s="149"/>
      <c r="AQ2" s="149"/>
      <c r="AR2" s="149"/>
      <c r="AS2" s="149"/>
      <c r="AT2" s="149"/>
      <c r="AU2" s="149"/>
      <c r="AV2" s="149"/>
      <c r="AW2" s="149"/>
      <c r="AX2" s="149"/>
      <c r="AY2" s="149"/>
      <c r="AZ2" s="149"/>
      <c r="BA2" s="149"/>
      <c r="BB2" s="149"/>
      <c r="BC2" s="149"/>
      <c r="BD2" s="149"/>
      <c r="BE2" s="149"/>
      <c r="BF2" s="149"/>
      <c r="BG2" s="149"/>
      <c r="BH2" s="149"/>
      <c r="BI2" s="149"/>
      <c r="BJ2" s="149"/>
      <c r="BK2" s="149"/>
    </row>
    <row r="3" spans="2:63" s="149" customFormat="1">
      <c r="H3" s="153"/>
      <c r="P3" s="153"/>
    </row>
    <row r="4" spans="2:63" s="156" customFormat="1" ht="21">
      <c r="B4" s="129" t="s">
        <v>827</v>
      </c>
      <c r="H4" s="222"/>
      <c r="P4" s="222"/>
    </row>
    <row r="5" spans="2:63" s="149" customFormat="1">
      <c r="C5" s="153"/>
      <c r="D5" s="153" t="str" cm="1">
        <f t="array" ref="D5:H5">headings</f>
        <v>2023E</v>
      </c>
      <c r="E5" s="153" t="str">
        <v>2024E</v>
      </c>
      <c r="F5" s="153" t="str">
        <v>2025E</v>
      </c>
      <c r="G5" s="153" t="str">
        <v>2026E</v>
      </c>
      <c r="H5" s="153" t="str">
        <v>23E-26E</v>
      </c>
      <c r="I5" s="153"/>
      <c r="J5" s="153"/>
      <c r="K5" s="153"/>
      <c r="L5" s="153" t="str" cm="1">
        <f t="array" ref="L5:P5">headings</f>
        <v>2023E</v>
      </c>
      <c r="M5" s="153" t="str">
        <v>2024E</v>
      </c>
      <c r="N5" s="153" t="str">
        <v>2025E</v>
      </c>
      <c r="O5" s="153" t="str">
        <v>2026E</v>
      </c>
      <c r="P5" s="153" t="str">
        <v>23E-26E</v>
      </c>
      <c r="Q5" s="162"/>
      <c r="R5" s="162"/>
      <c r="S5" s="162"/>
      <c r="T5" s="162"/>
      <c r="U5" s="162"/>
      <c r="V5" s="162"/>
      <c r="W5" s="162"/>
      <c r="X5" s="162"/>
      <c r="Y5" s="162"/>
    </row>
    <row r="6" spans="2:63">
      <c r="I6" s="5"/>
      <c r="J6" s="5"/>
      <c r="K6" s="5"/>
      <c r="L6" s="5"/>
      <c r="M6" s="5"/>
      <c r="N6" s="5"/>
      <c r="O6" s="49"/>
    </row>
    <row r="7" spans="2:63" ht="12.6" thickBot="1">
      <c r="B7" s="306" t="s">
        <v>271</v>
      </c>
      <c r="C7" s="265"/>
      <c r="D7" s="265"/>
      <c r="E7" s="265"/>
      <c r="F7" s="265"/>
      <c r="G7" s="265"/>
      <c r="H7" s="265"/>
      <c r="I7" s="49"/>
      <c r="J7" s="306" t="s">
        <v>550</v>
      </c>
      <c r="K7" s="306"/>
      <c r="L7" s="306"/>
      <c r="M7" s="306"/>
      <c r="N7" s="266"/>
      <c r="O7" s="266"/>
      <c r="P7" s="266"/>
    </row>
    <row r="8" spans="2:63" ht="12.6" thickTop="1">
      <c r="B8" s="5"/>
      <c r="C8" s="5"/>
      <c r="D8" s="5"/>
      <c r="E8" s="5"/>
      <c r="F8" s="5"/>
      <c r="G8" s="5"/>
      <c r="H8" s="5"/>
      <c r="I8" s="5"/>
      <c r="J8" s="5"/>
      <c r="K8" s="5"/>
      <c r="L8" s="5"/>
      <c r="M8" s="5"/>
      <c r="N8" s="5"/>
    </row>
    <row r="9" spans="2:63">
      <c r="B9" s="41" t="s">
        <v>500</v>
      </c>
      <c r="C9" s="287"/>
      <c r="D9" s="5"/>
      <c r="E9" s="249"/>
      <c r="F9" s="249"/>
      <c r="G9" s="249"/>
      <c r="H9" s="249"/>
      <c r="I9" s="249"/>
      <c r="J9" s="5" t="s">
        <v>273</v>
      </c>
      <c r="L9" s="64">
        <f>'AGG EM'!D37</f>
        <v>36.099467473183068</v>
      </c>
      <c r="M9" s="64">
        <f>'AGG EM'!E37</f>
        <v>33.850821771625633</v>
      </c>
      <c r="N9" s="64">
        <f>'AGG EM'!F37</f>
        <v>28.989720438526753</v>
      </c>
      <c r="O9" s="64">
        <f>'AGG EM'!G37</f>
        <v>24.505387911772221</v>
      </c>
      <c r="P9" s="17">
        <f>'AGG EM'!H37</f>
        <v>4.6033064370190946E-2</v>
      </c>
    </row>
    <row r="10" spans="2:63">
      <c r="B10" s="5" t="s">
        <v>274</v>
      </c>
      <c r="C10" s="5"/>
      <c r="D10" s="332"/>
      <c r="E10" s="332"/>
      <c r="F10" s="332"/>
      <c r="G10" s="332"/>
      <c r="H10" s="247"/>
      <c r="I10" s="247"/>
      <c r="J10" s="5" t="s">
        <v>184</v>
      </c>
      <c r="L10" s="64">
        <f>'AGG EM'!D38</f>
        <v>105.42482757786077</v>
      </c>
      <c r="M10" s="64">
        <f>'AGG EM'!E38</f>
        <v>98.32493726594646</v>
      </c>
      <c r="N10" s="64">
        <f>'AGG EM'!F38</f>
        <v>83.460498540205094</v>
      </c>
      <c r="O10" s="64">
        <f>'AGG EM'!G38</f>
        <v>69.927868752575165</v>
      </c>
      <c r="P10" s="17">
        <f>'AGG EM'!H38</f>
        <v>5.4135753422354771E-2</v>
      </c>
      <c r="W10" s="10"/>
      <c r="X10" s="10"/>
      <c r="Y10" s="10"/>
      <c r="Z10" s="10"/>
    </row>
    <row r="11" spans="2:63">
      <c r="B11" s="41" t="s">
        <v>359</v>
      </c>
      <c r="C11" s="5"/>
      <c r="D11" s="271">
        <f>'LATAM ALTNET &amp; CABLE'!D11</f>
        <v>4222.4429995290775</v>
      </c>
      <c r="E11" s="271">
        <f>'LATAM ALTNET &amp; CABLE'!E11</f>
        <v>4230.4885495290773</v>
      </c>
      <c r="F11" s="271">
        <f>'LATAM ALTNET &amp; CABLE'!F11</f>
        <v>4658.894849529077</v>
      </c>
      <c r="G11" s="271">
        <f>'LATAM ALTNET &amp; CABLE'!G11</f>
        <v>4639.2298495290779</v>
      </c>
      <c r="H11" s="249"/>
      <c r="I11" s="249"/>
      <c r="J11" s="5" t="s">
        <v>185</v>
      </c>
      <c r="L11" s="64">
        <f>'AGG EM'!D39</f>
        <v>224.63525692719486</v>
      </c>
      <c r="M11" s="64">
        <f>'AGG EM'!E39</f>
        <v>195.27313510926092</v>
      </c>
      <c r="N11" s="64">
        <f>'AGG EM'!F39</f>
        <v>156.82951036244214</v>
      </c>
      <c r="O11" s="64">
        <f>'AGG EM'!G39</f>
        <v>125.44852848860397</v>
      </c>
      <c r="P11" s="17">
        <f>'AGG EM'!H39</f>
        <v>0.11635706268692725</v>
      </c>
      <c r="W11" s="10"/>
      <c r="X11" s="10"/>
      <c r="Y11" s="10"/>
      <c r="Z11" s="10"/>
    </row>
    <row r="12" spans="2:63">
      <c r="B12" s="5" t="s">
        <v>229</v>
      </c>
      <c r="C12" s="249"/>
      <c r="D12" s="228">
        <f>'LATAM ALTNET &amp; CABLE'!D12</f>
        <v>8249.7766151995875</v>
      </c>
      <c r="E12" s="228">
        <f>'LATAM ALTNET &amp; CABLE'!E12</f>
        <v>8233.0108253923609</v>
      </c>
      <c r="F12" s="228">
        <f>'LATAM ALTNET &amp; CABLE'!F12</f>
        <v>8059.9304260560675</v>
      </c>
      <c r="G12" s="228">
        <f>'LATAM ALTNET &amp; CABLE'!G12</f>
        <v>7728.684311810739</v>
      </c>
      <c r="H12" s="247"/>
      <c r="I12" s="247"/>
      <c r="J12" s="5" t="s">
        <v>466</v>
      </c>
      <c r="L12" s="64">
        <f>'AGG EM'!D40</f>
        <v>301.14194802237273</v>
      </c>
      <c r="M12" s="64">
        <f>'AGG EM'!E40</f>
        <v>259.63239152824843</v>
      </c>
      <c r="N12" s="64">
        <f>'AGG EM'!F40</f>
        <v>208.91697606045113</v>
      </c>
      <c r="O12" s="64">
        <f>'AGG EM'!G40</f>
        <v>167.13793424632385</v>
      </c>
      <c r="P12" s="17">
        <f>'AGG EM'!H40</f>
        <v>0.11865907373414464</v>
      </c>
      <c r="W12" s="10"/>
      <c r="X12" s="10"/>
      <c r="Y12" s="10"/>
      <c r="Z12" s="10"/>
    </row>
    <row r="13" spans="2:63">
      <c r="B13" s="5" t="s">
        <v>529</v>
      </c>
      <c r="C13" s="257"/>
      <c r="D13" s="228">
        <f>'LATAM ALTNET &amp; CABLE'!D13</f>
        <v>0</v>
      </c>
      <c r="E13" s="228">
        <f>'LATAM ALTNET &amp; CABLE'!E13</f>
        <v>0</v>
      </c>
      <c r="F13" s="228">
        <f>'LATAM ALTNET &amp; CABLE'!F13</f>
        <v>0</v>
      </c>
      <c r="G13" s="228">
        <f>'LATAM ALTNET &amp; CABLE'!G13</f>
        <v>0</v>
      </c>
      <c r="H13" s="247"/>
      <c r="I13" s="247"/>
      <c r="J13" s="5" t="s">
        <v>530</v>
      </c>
      <c r="L13" s="64">
        <f>'AGG EM'!D41</f>
        <v>27.243713322021154</v>
      </c>
      <c r="M13" s="64">
        <f>'AGG EM'!E41</f>
        <v>27.089658338273644</v>
      </c>
      <c r="N13" s="64">
        <f>'AGG EM'!F41</f>
        <v>24.66957505581005</v>
      </c>
      <c r="O13" s="64">
        <f>'AGG EM'!G41</f>
        <v>22.040277006694431</v>
      </c>
      <c r="P13" s="17">
        <f>'AGG EM'!H41</f>
        <v>-1.3382626032309664E-2</v>
      </c>
    </row>
    <row r="14" spans="2:63">
      <c r="B14" s="5" t="s">
        <v>532</v>
      </c>
      <c r="C14" s="274"/>
      <c r="D14" s="228">
        <f>'LATAM ALTNET &amp; CABLE'!D14</f>
        <v>0</v>
      </c>
      <c r="E14" s="228">
        <f>'LATAM ALTNET &amp; CABLE'!E14</f>
        <v>0</v>
      </c>
      <c r="F14" s="228">
        <f>'LATAM ALTNET &amp; CABLE'!F14</f>
        <v>1183.3135633341376</v>
      </c>
      <c r="G14" s="228">
        <f>'LATAM ALTNET &amp; CABLE'!G14</f>
        <v>1183.3135633341376</v>
      </c>
      <c r="H14" s="247"/>
      <c r="I14" s="247"/>
      <c r="J14" s="5" t="s">
        <v>593</v>
      </c>
      <c r="L14" s="64">
        <f>'AGG EM'!D42</f>
        <v>42.295202413837345</v>
      </c>
      <c r="M14" s="64">
        <f>'AGG EM'!E42</f>
        <v>41.555857792028846</v>
      </c>
      <c r="N14" s="64">
        <f>'AGG EM'!F42</f>
        <v>37.316788882264667</v>
      </c>
      <c r="O14" s="64">
        <f>'AGG EM'!G42</f>
        <v>33.586664495982959</v>
      </c>
      <c r="P14" s="17">
        <f>'AGG EM'!H42</f>
        <v>-7.2488050935257675E-3</v>
      </c>
    </row>
    <row r="15" spans="2:63">
      <c r="B15" s="5" t="s">
        <v>531</v>
      </c>
      <c r="C15" s="257"/>
      <c r="D15" s="228">
        <f>'LATAM ALTNET &amp; CABLE'!D15</f>
        <v>257.42300170372107</v>
      </c>
      <c r="E15" s="228">
        <f>'LATAM ALTNET &amp; CABLE'!E15</f>
        <v>257.42300170372107</v>
      </c>
      <c r="F15" s="228">
        <f>'LATAM ALTNET &amp; CABLE'!F15</f>
        <v>257.42300170372107</v>
      </c>
      <c r="G15" s="228">
        <f>'LATAM ALTNET &amp; CABLE'!G15</f>
        <v>257.42300170372107</v>
      </c>
      <c r="H15" s="247"/>
      <c r="I15" s="247"/>
      <c r="J15" s="5" t="s">
        <v>475</v>
      </c>
      <c r="L15" s="64">
        <f>'AGG EM'!D43</f>
        <v>19.300585311517345</v>
      </c>
      <c r="M15" s="64">
        <f>'AGG EM'!E43</f>
        <v>15.882933755129079</v>
      </c>
      <c r="N15" s="64">
        <f>'AGG EM'!F43</f>
        <v>13.174403404675031</v>
      </c>
      <c r="O15" s="64">
        <f>'AGG EM'!G43</f>
        <v>11.229961793899795</v>
      </c>
      <c r="P15" s="17">
        <f>'AGG EM'!H43</f>
        <v>0.19549120190388991</v>
      </c>
      <c r="S15" s="88"/>
      <c r="T15" s="88"/>
      <c r="U15" s="88"/>
      <c r="V15" s="42"/>
      <c r="W15" s="42"/>
      <c r="X15" s="42"/>
      <c r="Y15" s="42"/>
      <c r="Z15" s="42"/>
      <c r="AA15" s="42"/>
    </row>
    <row r="16" spans="2:63">
      <c r="B16" s="5" t="s">
        <v>534</v>
      </c>
      <c r="C16" s="257"/>
      <c r="D16" s="228">
        <f>'LATAM ALTNET &amp; CABLE'!D16</f>
        <v>0</v>
      </c>
      <c r="E16" s="228">
        <f>'LATAM ALTNET &amp; CABLE'!E16</f>
        <v>159.39453969203169</v>
      </c>
      <c r="F16" s="228">
        <f>'LATAM ALTNET &amp; CABLE'!F16</f>
        <v>326.75880636866498</v>
      </c>
      <c r="G16" s="228">
        <f>'LATAM ALTNET &amp; CABLE'!G16</f>
        <v>510.85949971296156</v>
      </c>
      <c r="H16" s="247"/>
      <c r="I16" s="247"/>
      <c r="J16" s="5" t="s">
        <v>533</v>
      </c>
      <c r="L16" s="64">
        <f>'AGG EM'!D44</f>
        <v>245.42467510563969</v>
      </c>
      <c r="M16" s="64">
        <f>'AGG EM'!E44</f>
        <v>213.62789634539095</v>
      </c>
      <c r="N16" s="64">
        <f>'AGG EM'!F44</f>
        <v>181.57395789810795</v>
      </c>
      <c r="O16" s="64">
        <f>'AGG EM'!G44</f>
        <v>158.59598060321596</v>
      </c>
      <c r="P16" s="17">
        <f>'AGG EM'!H44</f>
        <v>0.16397795492835376</v>
      </c>
      <c r="S16" s="88"/>
      <c r="T16" s="88"/>
      <c r="U16" s="88"/>
      <c r="V16" s="42"/>
      <c r="W16" s="42"/>
      <c r="X16" s="42"/>
      <c r="Y16" s="42"/>
      <c r="Z16" s="42"/>
      <c r="AA16" s="42"/>
    </row>
    <row r="17" spans="2:27">
      <c r="B17" s="5" t="s">
        <v>6</v>
      </c>
      <c r="C17" s="257"/>
      <c r="D17" s="228">
        <f>'LATAM ALTNET &amp; CABLE'!D17</f>
        <v>0</v>
      </c>
      <c r="E17" s="228">
        <f>'LATAM ALTNET &amp; CABLE'!E17</f>
        <v>0</v>
      </c>
      <c r="F17" s="228">
        <f>'LATAM ALTNET &amp; CABLE'!F17</f>
        <v>0</v>
      </c>
      <c r="G17" s="228">
        <f>'LATAM ALTNET &amp; CABLE'!G17</f>
        <v>0</v>
      </c>
      <c r="H17" s="247"/>
      <c r="I17" s="247"/>
      <c r="J17" s="5" t="s">
        <v>580</v>
      </c>
      <c r="L17" s="248">
        <f>'AGG EM'!D45</f>
        <v>2.9794876849606393E-3</v>
      </c>
      <c r="M17" s="248">
        <f>'AGG EM'!E45</f>
        <v>3.2338565373739416E-3</v>
      </c>
      <c r="N17" s="248">
        <f>'AGG EM'!F45</f>
        <v>3.7591690821787136E-3</v>
      </c>
      <c r="O17" s="248">
        <f>'AGG EM'!G45</f>
        <v>4.3245157193855478E-3</v>
      </c>
      <c r="P17" s="17">
        <f>'AGG EM'!H45</f>
        <v>0.13937853690845947</v>
      </c>
      <c r="S17" s="88"/>
      <c r="T17" s="88"/>
      <c r="U17" s="88"/>
      <c r="V17" s="42"/>
      <c r="W17" s="42"/>
      <c r="X17" s="42"/>
      <c r="Y17" s="42"/>
      <c r="Z17" s="42"/>
      <c r="AA17" s="42"/>
    </row>
    <row r="18" spans="2:27" ht="12.6" thickBot="1">
      <c r="B18" s="41" t="s">
        <v>360</v>
      </c>
      <c r="C18" s="249"/>
      <c r="D18" s="275">
        <f>'LATAM ALTNET &amp; CABLE'!D18</f>
        <v>12729.642616432386</v>
      </c>
      <c r="E18" s="275">
        <f>'LATAM ALTNET &amp; CABLE'!E18</f>
        <v>12561.527836933128</v>
      </c>
      <c r="F18" s="275">
        <f>'LATAM ALTNET &amp; CABLE'!F18</f>
        <v>13832.803034254339</v>
      </c>
      <c r="G18" s="275">
        <f>'LATAM ALTNET &amp; CABLE'!G18</f>
        <v>13297.791226664714</v>
      </c>
      <c r="H18" s="276">
        <f>IF(D18=0,"nm",IF(G18=0,"nm",(G18/D18)^(1/3)-1))</f>
        <v>1.4661307957358316E-2</v>
      </c>
      <c r="I18" s="254"/>
      <c r="J18" s="5" t="s">
        <v>36</v>
      </c>
      <c r="L18" s="248" t="e">
        <f>'AGG EM'!D46</f>
        <v>#VALUE!</v>
      </c>
      <c r="M18" s="248" t="e">
        <f>'AGG EM'!E46</f>
        <v>#VALUE!</v>
      </c>
      <c r="N18" s="248" t="e">
        <f>'AGG EM'!F46</f>
        <v>#VALUE!</v>
      </c>
      <c r="O18" s="248" t="e">
        <f>'AGG EM'!G46</f>
        <v>#VALUE!</v>
      </c>
      <c r="P18" s="17" t="e">
        <f>'AGG EM'!H46</f>
        <v>#VALUE!</v>
      </c>
      <c r="S18" s="88"/>
      <c r="T18" s="88"/>
      <c r="U18" s="88"/>
      <c r="V18" s="42"/>
      <c r="W18" s="42"/>
      <c r="X18" s="42"/>
      <c r="Y18" s="42"/>
      <c r="Z18" s="42"/>
      <c r="AA18" s="42"/>
    </row>
    <row r="19" spans="2:27" ht="12.6" thickTop="1">
      <c r="B19" s="41"/>
      <c r="C19" s="249"/>
      <c r="D19" s="229"/>
      <c r="E19" s="229"/>
      <c r="F19" s="229"/>
      <c r="G19" s="229"/>
      <c r="H19" s="276"/>
      <c r="I19" s="17"/>
      <c r="J19" s="5" t="s">
        <v>581</v>
      </c>
      <c r="L19" s="248">
        <f>'AGG EM'!D47</f>
        <v>5.1811900201972863E-2</v>
      </c>
      <c r="M19" s="248">
        <f>'AGG EM'!E47</f>
        <v>6.2960660506253749E-2</v>
      </c>
      <c r="N19" s="248">
        <f>'AGG EM'!F47</f>
        <v>7.5904765421494755E-2</v>
      </c>
      <c r="O19" s="248">
        <f>'AGG EM'!G47</f>
        <v>8.9047497965951045E-2</v>
      </c>
      <c r="P19" s="17">
        <f>'AGG EM'!H47</f>
        <v>0.19549120190388991</v>
      </c>
      <c r="S19" s="88"/>
      <c r="T19" s="88"/>
      <c r="U19" s="88"/>
      <c r="V19" s="42"/>
      <c r="W19" s="42"/>
      <c r="X19" s="42"/>
      <c r="Y19" s="42"/>
      <c r="Z19" s="42"/>
      <c r="AA19" s="42"/>
    </row>
    <row r="20" spans="2:27">
      <c r="H20" s="277"/>
      <c r="I20" s="49"/>
      <c r="J20" s="5" t="s">
        <v>604</v>
      </c>
      <c r="L20" s="248">
        <f>'AGG EM'!D48</f>
        <v>0.78546224095974659</v>
      </c>
      <c r="M20" s="248">
        <f>'AGG EM'!E48</f>
        <v>0.71334963498575799</v>
      </c>
      <c r="N20" s="248">
        <f>'AGG EM'!F48</f>
        <v>0.68989991347231316</v>
      </c>
      <c r="O20" s="248">
        <f>'AGG EM'!G48</f>
        <v>0.67997079786563763</v>
      </c>
      <c r="P20" s="17" t="str">
        <f>'AGG EM'!H48</f>
        <v>nm</v>
      </c>
      <c r="S20" s="42"/>
      <c r="T20" s="42"/>
      <c r="U20" s="42"/>
      <c r="V20" s="42"/>
      <c r="W20" s="42"/>
      <c r="X20" s="42"/>
      <c r="Y20" s="42"/>
      <c r="Z20" s="42"/>
      <c r="AA20" s="42"/>
    </row>
    <row r="21" spans="2:27" ht="12.6" thickBot="1">
      <c r="B21" s="306" t="s">
        <v>482</v>
      </c>
      <c r="C21" s="265">
        <v>2020</v>
      </c>
      <c r="D21" s="265" t="str">
        <f>D5</f>
        <v>2023E</v>
      </c>
      <c r="E21" s="265" t="str">
        <f>E5</f>
        <v>2024E</v>
      </c>
      <c r="F21" s="265" t="str">
        <f>F5</f>
        <v>2025E</v>
      </c>
      <c r="G21" s="265" t="str">
        <f>G5</f>
        <v>2026E</v>
      </c>
      <c r="H21" s="282" t="str">
        <f>H5</f>
        <v>23E-26E</v>
      </c>
      <c r="I21" s="17"/>
      <c r="S21" s="42"/>
      <c r="T21" s="42"/>
      <c r="U21" s="42"/>
      <c r="V21" s="42"/>
      <c r="W21" s="42"/>
      <c r="X21" s="42"/>
      <c r="Y21" s="42"/>
      <c r="Z21" s="42"/>
      <c r="AA21" s="42"/>
    </row>
    <row r="22" spans="2:27" ht="12.6" thickTop="1">
      <c r="B22" s="5"/>
      <c r="C22" s="257"/>
      <c r="D22" s="17"/>
      <c r="E22" s="17"/>
      <c r="F22" s="17"/>
      <c r="G22" s="17"/>
      <c r="H22" s="17"/>
      <c r="I22" s="247"/>
      <c r="P22" s="277"/>
      <c r="S22" s="42"/>
      <c r="T22" s="42"/>
      <c r="U22" s="42"/>
      <c r="V22" s="42"/>
      <c r="W22" s="42"/>
      <c r="X22" s="42"/>
      <c r="Y22" s="42"/>
      <c r="Z22" s="42"/>
      <c r="AA22" s="42"/>
    </row>
    <row r="23" spans="2:27" ht="12.6" thickBot="1">
      <c r="B23" s="5" t="s">
        <v>584</v>
      </c>
      <c r="C23" s="365">
        <f>'LATAM ALTNET &amp; CABLE'!C23</f>
        <v>6438.8932575870831</v>
      </c>
      <c r="D23" s="228">
        <f>'LATAM ALTNET &amp; CABLE'!D23</f>
        <v>6370.6134206126535</v>
      </c>
      <c r="E23" s="228">
        <f>'LATAM ALTNET &amp; CABLE'!E23</f>
        <v>6640.0578209757341</v>
      </c>
      <c r="F23" s="228">
        <f>'LATAM ALTNET &amp; CABLE'!F23</f>
        <v>6890.9998173190052</v>
      </c>
      <c r="G23" s="228">
        <f>'LATAM ALTNET &amp; CABLE'!G23</f>
        <v>6977.1659878154696</v>
      </c>
      <c r="H23" s="279">
        <f t="shared" ref="H23:H33" si="0">IF(D23=0,"nm",IF(G23=0,"nm",(G23/D23)^(1/3)-1))</f>
        <v>3.0779883338322822E-2</v>
      </c>
      <c r="I23" s="249"/>
      <c r="J23" s="306" t="s">
        <v>9</v>
      </c>
      <c r="K23" s="306"/>
      <c r="L23" s="265" t="str">
        <f>L5</f>
        <v>2023E</v>
      </c>
      <c r="M23" s="265" t="str">
        <f>M5</f>
        <v>2024E</v>
      </c>
      <c r="N23" s="265" t="str">
        <f>N5</f>
        <v>2025E</v>
      </c>
      <c r="O23" s="265" t="str">
        <f>O5</f>
        <v>2026E</v>
      </c>
      <c r="P23" s="282" t="str">
        <f>P5</f>
        <v>23E-26E</v>
      </c>
      <c r="S23" s="42"/>
      <c r="T23" s="42"/>
      <c r="U23" s="42"/>
      <c r="V23" s="42"/>
      <c r="W23" s="42" t="s">
        <v>563</v>
      </c>
      <c r="X23" s="42" t="s">
        <v>26</v>
      </c>
      <c r="Y23" s="42"/>
      <c r="Z23" s="42"/>
      <c r="AA23" s="42"/>
    </row>
    <row r="24" spans="2:27" ht="12.6" thickTop="1">
      <c r="B24" s="5" t="s">
        <v>483</v>
      </c>
      <c r="C24" s="365">
        <f>'LATAM ALTNET &amp; CABLE'!C24</f>
        <v>2481.5830766930781</v>
      </c>
      <c r="D24" s="228">
        <f>'LATAM ALTNET &amp; CABLE'!D24</f>
        <v>2459.0764524053216</v>
      </c>
      <c r="E24" s="228">
        <f>'LATAM ALTNET &amp; CABLE'!E24</f>
        <v>2647.5356451927319</v>
      </c>
      <c r="F24" s="228">
        <f>'LATAM ALTNET &amp; CABLE'!F24</f>
        <v>2795.3465134074813</v>
      </c>
      <c r="G24" s="228">
        <f>'LATAM ALTNET &amp; CABLE'!G24</f>
        <v>2862.0310354238263</v>
      </c>
      <c r="H24" s="279">
        <f t="shared" si="0"/>
        <v>5.1882999030477217E-2</v>
      </c>
      <c r="I24" s="248"/>
      <c r="J24" s="17"/>
      <c r="K24" s="17"/>
      <c r="L24" s="17"/>
      <c r="M24" s="17"/>
      <c r="N24" s="17"/>
      <c r="O24" s="248"/>
      <c r="S24" s="42"/>
      <c r="T24" s="42"/>
      <c r="U24" s="42"/>
      <c r="V24" s="147" t="s">
        <v>273</v>
      </c>
      <c r="W24" s="288">
        <f t="shared" ref="W24:W29" si="1">E37/M9</f>
        <v>5.5885789129984181E-2</v>
      </c>
      <c r="X24" s="288">
        <v>1</v>
      </c>
      <c r="Y24" s="42"/>
      <c r="Z24" s="42"/>
      <c r="AA24" s="42"/>
    </row>
    <row r="25" spans="2:27">
      <c r="B25" s="5" t="s">
        <v>183</v>
      </c>
      <c r="C25" s="365">
        <f>'LATAM ALTNET &amp; CABLE'!C25</f>
        <v>957.49416953206764</v>
      </c>
      <c r="D25" s="228">
        <f>'LATAM ALTNET &amp; CABLE'!D25</f>
        <v>970.7894508574467</v>
      </c>
      <c r="E25" s="228">
        <f>'LATAM ALTNET &amp; CABLE'!E25</f>
        <v>1138.8715869977868</v>
      </c>
      <c r="F25" s="228">
        <f>'LATAM ALTNET &amp; CABLE'!F25</f>
        <v>1403.8822184523174</v>
      </c>
      <c r="G25" s="228">
        <f>'LATAM ALTNET &amp; CABLE'!G25</f>
        <v>1512.2993795757388</v>
      </c>
      <c r="H25" s="279">
        <f t="shared" si="0"/>
        <v>0.15923346120854243</v>
      </c>
      <c r="I25" s="249"/>
      <c r="J25" s="247" t="s">
        <v>10</v>
      </c>
      <c r="K25" s="247"/>
      <c r="L25" s="332">
        <f>'LATAM ALTNET &amp; CABLE'!L25</f>
        <v>0</v>
      </c>
      <c r="M25" s="332">
        <f>'LATAM ALTNET &amp; CABLE'!M25</f>
        <v>0</v>
      </c>
      <c r="N25" s="332">
        <f>'LATAM ALTNET &amp; CABLE'!N25</f>
        <v>0</v>
      </c>
      <c r="O25" s="332">
        <f>'LATAM ALTNET &amp; CABLE'!O25</f>
        <v>0</v>
      </c>
      <c r="P25" s="279" t="str">
        <f>IF(L25=0,"nm",IF(O25=0,"nm",(O25/L25)^(1/3)-1))</f>
        <v>nm</v>
      </c>
      <c r="Q25" s="5"/>
      <c r="S25" s="42"/>
      <c r="T25" s="42"/>
      <c r="U25" s="42"/>
      <c r="V25" s="147" t="s">
        <v>184</v>
      </c>
      <c r="W25" s="288">
        <f t="shared" si="1"/>
        <v>4.8254405691334594E-2</v>
      </c>
      <c r="X25" s="288">
        <v>1</v>
      </c>
      <c r="Y25" s="42"/>
      <c r="Z25" s="42"/>
      <c r="AA25" s="42"/>
    </row>
    <row r="26" spans="2:27">
      <c r="B26" s="5" t="s">
        <v>586</v>
      </c>
      <c r="C26" s="365">
        <f>'LATAM ALTNET &amp; CABLE'!C26</f>
        <v>689.39580206308869</v>
      </c>
      <c r="D26" s="228">
        <f>'LATAM ALTNET &amp; CABLE'!D26</f>
        <v>698.96840461736156</v>
      </c>
      <c r="E26" s="228">
        <f>'LATAM ALTNET &amp; CABLE'!E26</f>
        <v>819.98754263840647</v>
      </c>
      <c r="F26" s="228">
        <f>'LATAM ALTNET &amp; CABLE'!F26</f>
        <v>1010.7951972856683</v>
      </c>
      <c r="G26" s="228">
        <f>'LATAM ALTNET &amp; CABLE'!G26</f>
        <v>1088.8555532945318</v>
      </c>
      <c r="H26" s="279">
        <f t="shared" si="0"/>
        <v>0.15923346120854243</v>
      </c>
      <c r="I26" s="249"/>
      <c r="J26" s="249" t="s">
        <v>11</v>
      </c>
      <c r="K26" s="249"/>
      <c r="L26" s="281">
        <f>'LATAM ALTNET &amp; CABLE'!L26</f>
        <v>2675.0383495290771</v>
      </c>
      <c r="M26" s="281">
        <f>'LATAM ALTNET &amp; CABLE'!M26</f>
        <v>2675.0383495290771</v>
      </c>
      <c r="N26" s="281">
        <f>'LATAM ALTNET &amp; CABLE'!N26</f>
        <v>2675.0383495290771</v>
      </c>
      <c r="O26" s="281">
        <f>'LATAM ALTNET &amp; CABLE'!O26</f>
        <v>2675.0383495290771</v>
      </c>
      <c r="P26" s="279">
        <f>IF(L26=0,"nm",IF(O26=0,"nm",(O26/L26)^(1/3)-1))</f>
        <v>0</v>
      </c>
      <c r="Q26" s="41"/>
      <c r="S26" s="42"/>
      <c r="T26" s="42"/>
      <c r="U26" s="42"/>
      <c r="V26" s="147" t="s">
        <v>185</v>
      </c>
      <c r="W26" s="288">
        <f t="shared" si="1"/>
        <v>5.6483969265946288E-2</v>
      </c>
      <c r="X26" s="288">
        <v>1</v>
      </c>
      <c r="Y26" s="42"/>
      <c r="Z26" s="42"/>
      <c r="AA26" s="42"/>
    </row>
    <row r="27" spans="2:27">
      <c r="B27" s="5" t="s">
        <v>587</v>
      </c>
      <c r="C27" s="365">
        <f>'LATAM ALTNET &amp; CABLE'!C27</f>
        <v>10010.534758558828</v>
      </c>
      <c r="D27" s="228">
        <f>'LATAM ALTNET &amp; CABLE'!D27</f>
        <v>10375.556993301987</v>
      </c>
      <c r="E27" s="228">
        <f>'LATAM ALTNET &amp; CABLE'!E27</f>
        <v>10362.40408537915</v>
      </c>
      <c r="F27" s="228">
        <f>'LATAM ALTNET &amp; CABLE'!F27</f>
        <v>10140.462840041155</v>
      </c>
      <c r="G27" s="228">
        <f>'LATAM ALTNET &amp; CABLE'!G27</f>
        <v>9853.4262593871554</v>
      </c>
      <c r="H27" s="279">
        <f t="shared" si="0"/>
        <v>-1.7063904711860811E-2</v>
      </c>
      <c r="I27" s="248"/>
      <c r="J27" s="248"/>
      <c r="K27" s="248"/>
      <c r="L27" s="248"/>
      <c r="M27" s="248"/>
      <c r="N27" s="248"/>
      <c r="O27" s="248"/>
      <c r="Q27" s="5"/>
      <c r="S27" s="42"/>
      <c r="T27" s="42"/>
      <c r="U27" s="42"/>
      <c r="V27" s="147" t="s">
        <v>466</v>
      </c>
      <c r="W27" s="288">
        <f t="shared" si="1"/>
        <v>5.9003304725132724E-2</v>
      </c>
      <c r="X27" s="288">
        <v>1</v>
      </c>
      <c r="Y27" s="42"/>
      <c r="Z27" s="42"/>
      <c r="AA27" s="42"/>
    </row>
    <row r="28" spans="2:27" ht="12.6" thickBot="1">
      <c r="B28" s="5" t="s">
        <v>592</v>
      </c>
      <c r="C28" s="365">
        <f>'LATAM ALTNET &amp; CABLE'!C28</f>
        <v>7058.4991478546872</v>
      </c>
      <c r="D28" s="228">
        <f>'LATAM ALTNET &amp; CABLE'!D28</f>
        <v>5454.7763870457711</v>
      </c>
      <c r="E28" s="228">
        <f>'LATAM ALTNET &amp; CABLE'!E28</f>
        <v>6001.9429694436894</v>
      </c>
      <c r="F28" s="228">
        <f>'LATAM ALTNET &amp; CABLE'!F28</f>
        <v>6335.5150722462295</v>
      </c>
      <c r="G28" s="228">
        <f>'LATAM ALTNET &amp; CABLE'!G28</f>
        <v>6566.9295834618661</v>
      </c>
      <c r="H28" s="279">
        <f t="shared" si="0"/>
        <v>6.3804449613136471E-2</v>
      </c>
      <c r="I28" s="252"/>
      <c r="J28" s="306" t="s">
        <v>754</v>
      </c>
      <c r="K28" s="306"/>
      <c r="L28" s="306"/>
      <c r="M28" s="306"/>
      <c r="N28" s="266"/>
      <c r="O28" s="266"/>
      <c r="P28" s="266"/>
      <c r="Q28" s="5"/>
      <c r="S28" s="42"/>
      <c r="T28" s="42"/>
      <c r="U28" s="42"/>
      <c r="V28" s="147" t="s">
        <v>530</v>
      </c>
      <c r="W28" s="288">
        <f t="shared" si="1"/>
        <v>4.4748492960269358E-2</v>
      </c>
      <c r="X28" s="288">
        <v>1</v>
      </c>
      <c r="Y28" s="42"/>
      <c r="Z28" s="42"/>
      <c r="AA28" s="42"/>
    </row>
    <row r="29" spans="2:27" ht="12.6" thickTop="1">
      <c r="B29" s="5" t="s">
        <v>588</v>
      </c>
      <c r="C29" s="365">
        <f>'LATAM ALTNET &amp; CABLE'!C29</f>
        <v>215.77546386808677</v>
      </c>
      <c r="D29" s="228">
        <f>'LATAM ALTNET &amp; CABLE'!D29</f>
        <v>348.14135101442457</v>
      </c>
      <c r="E29" s="228">
        <f>'LATAM ALTNET &amp; CABLE'!E29</f>
        <v>524.86499529977846</v>
      </c>
      <c r="F29" s="228">
        <f>'LATAM ALTNET &amp; CABLE'!F29</f>
        <v>759.64636637763988</v>
      </c>
      <c r="G29" s="228">
        <f>'LATAM ALTNET &amp; CABLE'!G29</f>
        <v>854.58257877567121</v>
      </c>
      <c r="H29" s="279">
        <f t="shared" si="0"/>
        <v>0.34896125174837644</v>
      </c>
      <c r="I29" s="254"/>
      <c r="J29" s="249"/>
      <c r="K29" s="249"/>
      <c r="L29" s="249"/>
      <c r="M29" s="249"/>
      <c r="N29" s="249"/>
      <c r="O29" s="251"/>
      <c r="Q29" s="5"/>
      <c r="S29" s="42"/>
      <c r="T29" s="42"/>
      <c r="U29" s="42"/>
      <c r="V29" s="147" t="s">
        <v>593</v>
      </c>
      <c r="W29" s="288">
        <f t="shared" si="1"/>
        <v>5.0363783605648457E-2</v>
      </c>
      <c r="X29" s="288">
        <v>1</v>
      </c>
      <c r="Y29" s="42"/>
      <c r="Z29" s="42"/>
      <c r="AA29" s="42"/>
    </row>
    <row r="30" spans="2:27">
      <c r="B30" s="5" t="s">
        <v>589</v>
      </c>
      <c r="C30" s="365">
        <f>'LATAM ALTNET &amp; CABLE'!C30</f>
        <v>516.2946579492301</v>
      </c>
      <c r="D30" s="228">
        <f>'LATAM ALTNET &amp; CABLE'!D30</f>
        <v>530.78197377045888</v>
      </c>
      <c r="E30" s="228">
        <f>'LATAM ALTNET &amp; CABLE'!E30</f>
        <v>892.51734412900169</v>
      </c>
      <c r="F30" s="228">
        <f>'LATAM ALTNET &amp; CABLE'!F30</f>
        <v>950.12627435007744</v>
      </c>
      <c r="G30" s="228">
        <f>'LATAM ALTNET &amp; CABLE'!G30</f>
        <v>978.11530441782202</v>
      </c>
      <c r="H30" s="279">
        <f t="shared" si="0"/>
        <v>0.22600233239872392</v>
      </c>
      <c r="I30" s="254"/>
      <c r="J30" s="248"/>
      <c r="K30" s="248"/>
      <c r="L30" s="248"/>
      <c r="M30" s="248"/>
      <c r="N30" s="248"/>
      <c r="O30" s="5"/>
      <c r="Q30" s="5"/>
      <c r="S30" s="42"/>
      <c r="T30" s="42"/>
      <c r="U30" s="42"/>
      <c r="V30" s="147" t="s">
        <v>384</v>
      </c>
      <c r="W30" s="288">
        <f>F43/N15</f>
        <v>0.26729300290441538</v>
      </c>
      <c r="X30" s="288">
        <v>1</v>
      </c>
      <c r="Y30" s="42"/>
      <c r="Z30" s="42"/>
      <c r="AA30" s="42"/>
    </row>
    <row r="31" spans="2:27">
      <c r="B31" s="5" t="s">
        <v>590</v>
      </c>
      <c r="C31" s="365">
        <f>'LATAM ALTNET &amp; CABLE'!C31</f>
        <v>151.80432351622065</v>
      </c>
      <c r="D31" s="228">
        <f>'LATAM ALTNET &amp; CABLE'!D31</f>
        <v>159.39453969203169</v>
      </c>
      <c r="E31" s="228">
        <f>'LATAM ALTNET &amp; CABLE'!E31</f>
        <v>167.36426667663326</v>
      </c>
      <c r="F31" s="228">
        <f>'LATAM ALTNET &amp; CABLE'!F31</f>
        <v>184.10069334429664</v>
      </c>
      <c r="G31" s="228">
        <f>'LATAM ALTNET &amp; CABLE'!G31</f>
        <v>202.51076267872631</v>
      </c>
      <c r="H31" s="279">
        <f t="shared" si="0"/>
        <v>8.3074231263342124E-2</v>
      </c>
      <c r="I31" s="254"/>
      <c r="J31" s="252"/>
      <c r="K31" s="252"/>
      <c r="L31" s="252"/>
      <c r="M31" s="252"/>
      <c r="N31" s="252"/>
      <c r="O31" s="5"/>
      <c r="Q31" s="5"/>
      <c r="S31" s="42"/>
      <c r="T31" s="42"/>
      <c r="U31" s="42"/>
      <c r="V31" s="147" t="s">
        <v>533</v>
      </c>
      <c r="W31" s="288">
        <f>E44/M16</f>
        <v>2.2187884454375986E-2</v>
      </c>
      <c r="X31" s="288">
        <v>1</v>
      </c>
      <c r="Y31" s="42"/>
      <c r="Z31" s="42"/>
      <c r="AA31" s="42"/>
    </row>
    <row r="32" spans="2:27">
      <c r="B32" s="5" t="s">
        <v>606</v>
      </c>
      <c r="C32" s="365">
        <f>'LATAM ALTNET &amp; CABLE'!C32</f>
        <v>0</v>
      </c>
      <c r="D32" s="228">
        <f>'LATAM ALTNET &amp; CABLE'!D32</f>
        <v>247.7999999999999</v>
      </c>
      <c r="E32" s="228">
        <f>'LATAM ALTNET &amp; CABLE'!E32</f>
        <v>-156.30000000000018</v>
      </c>
      <c r="F32" s="228">
        <f>'LATAM ALTNET &amp; CABLE'!F32</f>
        <v>1815.57</v>
      </c>
      <c r="G32" s="228">
        <f>'LATAM ALTNET &amp; CABLE'!G32</f>
        <v>296.89999999999992</v>
      </c>
      <c r="H32" s="279">
        <f t="shared" si="0"/>
        <v>6.2110327747262106E-2</v>
      </c>
      <c r="I32" s="5"/>
      <c r="J32" s="254"/>
      <c r="K32" s="254"/>
      <c r="L32" s="254"/>
      <c r="M32" s="254"/>
      <c r="N32" s="254"/>
      <c r="O32" s="251"/>
      <c r="Q32" s="5"/>
      <c r="S32" s="42"/>
      <c r="T32" s="42"/>
      <c r="U32" s="42"/>
      <c r="V32" s="147" t="s">
        <v>580</v>
      </c>
      <c r="W32" s="288">
        <f>M17/E45</f>
        <v>8.1742616412935107E-2</v>
      </c>
      <c r="X32" s="288">
        <v>1</v>
      </c>
      <c r="Y32" s="42"/>
      <c r="Z32" s="42"/>
      <c r="AA32" s="42"/>
    </row>
    <row r="33" spans="2:42">
      <c r="B33" s="5" t="s">
        <v>5</v>
      </c>
      <c r="C33" s="365">
        <f>'LATAM ALTNET &amp; CABLE'!C33</f>
        <v>485.17959336223657</v>
      </c>
      <c r="D33" s="228">
        <f>'LATAM ALTNET &amp; CABLE'!D33</f>
        <v>313.54184569465656</v>
      </c>
      <c r="E33" s="228">
        <f>'LATAM ALTNET &amp; CABLE'!E33</f>
        <v>299.17079721109496</v>
      </c>
      <c r="F33" s="228">
        <f>'LATAM ALTNET &amp; CABLE'!F33</f>
        <v>305.34317681161457</v>
      </c>
      <c r="G33" s="228">
        <f>'LATAM ALTNET &amp; CABLE'!G33</f>
        <v>326.11986848198785</v>
      </c>
      <c r="H33" s="279">
        <f t="shared" si="0"/>
        <v>1.31970484926478E-2</v>
      </c>
      <c r="I33" s="49"/>
      <c r="J33" s="254"/>
      <c r="K33" s="254"/>
      <c r="L33" s="254"/>
      <c r="M33" s="254"/>
      <c r="N33" s="254"/>
      <c r="O33" s="251"/>
      <c r="Q33" s="5"/>
      <c r="S33" s="42"/>
      <c r="T33" s="42"/>
      <c r="U33" s="42"/>
      <c r="V33" s="147" t="s">
        <v>266</v>
      </c>
      <c r="W33" s="288">
        <f>N19/F47</f>
        <v>0.26729300290441532</v>
      </c>
      <c r="X33" s="288">
        <v>1</v>
      </c>
      <c r="Y33" s="288"/>
      <c r="Z33" s="288"/>
      <c r="AA33" s="42"/>
      <c r="AC33" s="10"/>
      <c r="AD33" s="10"/>
      <c r="AE33" s="10"/>
      <c r="AF33" s="10"/>
      <c r="AH33" s="10"/>
      <c r="AI33" s="10"/>
      <c r="AJ33" s="10"/>
      <c r="AK33" s="10"/>
      <c r="AM33" s="10"/>
      <c r="AN33" s="10"/>
      <c r="AO33" s="10"/>
      <c r="AP33" s="10"/>
    </row>
    <row r="34" spans="2:42">
      <c r="H34" s="277"/>
      <c r="I34" s="254"/>
      <c r="J34" s="254"/>
      <c r="K34" s="254"/>
      <c r="L34" s="254"/>
      <c r="M34" s="254"/>
      <c r="N34" s="254"/>
      <c r="O34" s="251"/>
      <c r="Q34" s="5"/>
      <c r="S34" s="42"/>
      <c r="T34" s="42"/>
      <c r="U34" s="42"/>
      <c r="V34" s="42"/>
      <c r="W34" s="42"/>
      <c r="X34" s="42"/>
      <c r="Y34" s="288"/>
      <c r="Z34" s="288"/>
      <c r="AA34" s="42"/>
      <c r="AC34" s="10"/>
      <c r="AD34" s="10"/>
      <c r="AE34" s="10"/>
      <c r="AF34" s="10"/>
      <c r="AH34" s="10"/>
      <c r="AI34" s="10"/>
      <c r="AJ34" s="10"/>
      <c r="AK34" s="10"/>
      <c r="AM34" s="10"/>
      <c r="AN34" s="10"/>
      <c r="AO34" s="10"/>
      <c r="AP34" s="10"/>
    </row>
    <row r="35" spans="2:42" ht="12.6" thickBot="1">
      <c r="B35" s="306" t="s">
        <v>831</v>
      </c>
      <c r="C35" s="265"/>
      <c r="D35" s="265" t="str">
        <f>D5</f>
        <v>2023E</v>
      </c>
      <c r="E35" s="265" t="str">
        <f>E5</f>
        <v>2024E</v>
      </c>
      <c r="F35" s="265" t="str">
        <f>F5</f>
        <v>2025E</v>
      </c>
      <c r="G35" s="265" t="str">
        <f>G5</f>
        <v>2026E</v>
      </c>
      <c r="H35" s="265" t="str">
        <f>H5</f>
        <v>23E-26E</v>
      </c>
      <c r="I35" s="17"/>
      <c r="J35" s="5"/>
      <c r="K35" s="5"/>
      <c r="L35" s="5"/>
      <c r="M35" s="5"/>
      <c r="N35" s="5"/>
      <c r="O35" s="5"/>
      <c r="Q35" s="5"/>
      <c r="S35" s="42"/>
      <c r="T35" s="42"/>
      <c r="U35" s="42"/>
      <c r="V35" s="42"/>
      <c r="W35" s="42"/>
      <c r="X35" s="42"/>
      <c r="Y35" s="288"/>
      <c r="Z35" s="288"/>
      <c r="AA35" s="42"/>
      <c r="AC35" s="10"/>
      <c r="AD35" s="10"/>
      <c r="AE35" s="10"/>
      <c r="AF35" s="10"/>
      <c r="AH35" s="10"/>
      <c r="AI35" s="10"/>
      <c r="AJ35" s="10"/>
      <c r="AK35" s="10"/>
      <c r="AM35" s="10"/>
      <c r="AN35" s="10"/>
      <c r="AO35" s="10"/>
      <c r="AP35" s="10"/>
    </row>
    <row r="36" spans="2:42" ht="12.6" thickTop="1">
      <c r="B36" s="41"/>
      <c r="C36" s="249"/>
      <c r="D36" s="254"/>
      <c r="E36" s="254"/>
      <c r="F36" s="254"/>
      <c r="G36" s="254"/>
      <c r="H36" s="254"/>
      <c r="I36" s="5"/>
      <c r="J36" s="49"/>
      <c r="K36" s="49"/>
      <c r="L36" s="49"/>
      <c r="M36" s="49"/>
      <c r="N36" s="49"/>
      <c r="O36" s="49"/>
      <c r="Q36" s="5"/>
      <c r="R36" s="5"/>
      <c r="S36" s="42"/>
      <c r="T36" s="42"/>
      <c r="U36" s="42"/>
      <c r="V36" s="42"/>
      <c r="W36" s="42"/>
      <c r="X36" s="42"/>
      <c r="Y36" s="42"/>
      <c r="Z36" s="42"/>
      <c r="AA36" s="42"/>
      <c r="AC36" s="10"/>
      <c r="AD36" s="10"/>
      <c r="AE36" s="10"/>
      <c r="AF36" s="10"/>
      <c r="AH36" s="10"/>
      <c r="AI36" s="10"/>
      <c r="AJ36" s="10"/>
      <c r="AK36" s="10"/>
      <c r="AM36" s="10"/>
      <c r="AN36" s="10"/>
      <c r="AO36" s="10"/>
      <c r="AP36" s="10"/>
    </row>
    <row r="37" spans="2:42">
      <c r="B37" s="5" t="s">
        <v>273</v>
      </c>
      <c r="C37" s="247"/>
      <c r="D37" s="64">
        <f t="shared" ref="D37:G41" si="2">D$18/D23</f>
        <v>1.9981816154853409</v>
      </c>
      <c r="E37" s="64">
        <f t="shared" si="2"/>
        <v>1.8917798874057477</v>
      </c>
      <c r="F37" s="64">
        <f t="shared" si="2"/>
        <v>2.0073724279441492</v>
      </c>
      <c r="G37" s="64">
        <f t="shared" si="2"/>
        <v>1.9059015150115719</v>
      </c>
      <c r="H37" s="17">
        <f t="shared" ref="H37:H45" si="3">H23</f>
        <v>3.0779883338322822E-2</v>
      </c>
      <c r="I37" s="259"/>
      <c r="J37" s="259"/>
      <c r="K37" s="259"/>
      <c r="L37" s="259"/>
      <c r="M37" s="259"/>
      <c r="N37" s="259"/>
      <c r="O37" s="18"/>
      <c r="Q37" s="5"/>
      <c r="R37" s="5"/>
      <c r="S37" s="42"/>
      <c r="T37" s="42"/>
      <c r="U37" s="42"/>
      <c r="V37" s="42"/>
      <c r="W37" s="42"/>
      <c r="X37" s="42"/>
      <c r="Y37" s="42"/>
      <c r="Z37" s="42"/>
      <c r="AA37" s="42"/>
      <c r="AC37" s="10"/>
      <c r="AD37" s="10"/>
      <c r="AE37" s="10"/>
      <c r="AF37" s="10"/>
      <c r="AH37" s="10"/>
      <c r="AI37" s="10"/>
      <c r="AJ37" s="10"/>
      <c r="AK37" s="10"/>
      <c r="AM37" s="10"/>
      <c r="AN37" s="10"/>
      <c r="AO37" s="10"/>
      <c r="AP37" s="10"/>
    </row>
    <row r="38" spans="2:42">
      <c r="B38" s="5" t="s">
        <v>184</v>
      </c>
      <c r="C38" s="247"/>
      <c r="D38" s="64">
        <f t="shared" si="2"/>
        <v>5.1765948976417588</v>
      </c>
      <c r="E38" s="64">
        <f t="shared" si="2"/>
        <v>4.7446114124060035</v>
      </c>
      <c r="F38" s="64">
        <f t="shared" si="2"/>
        <v>4.9485110228400195</v>
      </c>
      <c r="G38" s="64">
        <f t="shared" si="2"/>
        <v>4.6462777873739931</v>
      </c>
      <c r="H38" s="17">
        <f t="shared" si="3"/>
        <v>5.1882999030477217E-2</v>
      </c>
      <c r="I38" s="17"/>
      <c r="J38" s="17"/>
      <c r="K38" s="17"/>
      <c r="L38" s="17"/>
      <c r="M38" s="17"/>
      <c r="N38" s="17"/>
      <c r="O38" s="5"/>
      <c r="Q38" s="5"/>
      <c r="R38" s="5"/>
      <c r="S38" s="42"/>
      <c r="T38" s="42"/>
      <c r="U38" s="42"/>
      <c r="V38" s="42"/>
      <c r="W38" s="42"/>
      <c r="X38" s="42"/>
      <c r="Y38" s="42"/>
      <c r="Z38" s="42"/>
      <c r="AA38" s="42"/>
    </row>
    <row r="39" spans="2:42">
      <c r="B39" s="5" t="s">
        <v>185</v>
      </c>
      <c r="C39" s="247"/>
      <c r="D39" s="64">
        <f t="shared" si="2"/>
        <v>13.112670935174428</v>
      </c>
      <c r="E39" s="64">
        <f t="shared" si="2"/>
        <v>11.02980176197647</v>
      </c>
      <c r="F39" s="64">
        <f t="shared" si="2"/>
        <v>9.8532504026613026</v>
      </c>
      <c r="G39" s="64">
        <f t="shared" si="2"/>
        <v>8.7930944138820468</v>
      </c>
      <c r="H39" s="17">
        <f t="shared" si="3"/>
        <v>0.15923346120854243</v>
      </c>
      <c r="I39" s="5"/>
      <c r="J39" s="5"/>
      <c r="K39" s="5"/>
      <c r="L39" s="5"/>
      <c r="M39" s="5"/>
      <c r="N39" s="5"/>
      <c r="O39" s="5"/>
      <c r="Q39" s="5"/>
      <c r="R39" s="5"/>
      <c r="S39" s="42"/>
      <c r="T39" s="42"/>
      <c r="U39" s="42"/>
      <c r="V39" s="42"/>
      <c r="W39" s="288"/>
      <c r="X39" s="288"/>
      <c r="Y39" s="42"/>
      <c r="Z39" s="42"/>
      <c r="AA39" s="42"/>
    </row>
    <row r="40" spans="2:42">
      <c r="B40" s="5" t="s">
        <v>466</v>
      </c>
      <c r="C40" s="247"/>
      <c r="D40" s="64">
        <f t="shared" si="2"/>
        <v>18.212042965520041</v>
      </c>
      <c r="E40" s="64">
        <f t="shared" si="2"/>
        <v>15.31916911385621</v>
      </c>
      <c r="F40" s="64">
        <f t="shared" si="2"/>
        <v>13.685070003696255</v>
      </c>
      <c r="G40" s="64">
        <f t="shared" si="2"/>
        <v>12.212631130391735</v>
      </c>
      <c r="H40" s="17">
        <f t="shared" si="3"/>
        <v>0.15923346120854243</v>
      </c>
      <c r="I40" s="247"/>
      <c r="J40" s="259"/>
      <c r="K40" s="259"/>
      <c r="L40" s="259"/>
      <c r="M40" s="259"/>
      <c r="N40" s="259"/>
      <c r="O40" s="18"/>
      <c r="Q40" s="5"/>
      <c r="R40" s="5"/>
      <c r="S40" s="42"/>
      <c r="T40" s="42"/>
      <c r="U40" s="42"/>
      <c r="V40" s="42"/>
      <c r="W40" s="288"/>
      <c r="X40" s="288"/>
      <c r="Y40" s="288"/>
      <c r="Z40" s="288"/>
      <c r="AA40" s="42"/>
    </row>
    <row r="41" spans="2:42">
      <c r="B41" s="5" t="s">
        <v>530</v>
      </c>
      <c r="C41" s="247"/>
      <c r="D41" s="64">
        <f t="shared" si="2"/>
        <v>1.2268876383841461</v>
      </c>
      <c r="E41" s="64">
        <f t="shared" si="2"/>
        <v>1.2122213854463402</v>
      </c>
      <c r="F41" s="64">
        <f t="shared" si="2"/>
        <v>1.3641194936027397</v>
      </c>
      <c r="G41" s="64">
        <f t="shared" si="2"/>
        <v>1.3495601303146896</v>
      </c>
      <c r="H41" s="17">
        <f t="shared" si="3"/>
        <v>-1.7063904711860811E-2</v>
      </c>
      <c r="I41" s="248"/>
      <c r="J41" s="17"/>
      <c r="K41" s="17"/>
      <c r="L41" s="17"/>
      <c r="M41" s="17"/>
      <c r="N41" s="17"/>
      <c r="O41" s="5"/>
      <c r="Q41" s="5"/>
      <c r="R41" s="5"/>
      <c r="S41" s="42"/>
      <c r="T41" s="42"/>
      <c r="U41" s="42"/>
      <c r="V41" s="42"/>
      <c r="W41" s="288"/>
      <c r="X41" s="288"/>
      <c r="Y41" s="288"/>
      <c r="Z41" s="288"/>
      <c r="AA41" s="42"/>
    </row>
    <row r="42" spans="2:42">
      <c r="B42" s="5" t="s">
        <v>593</v>
      </c>
      <c r="C42" s="247"/>
      <c r="D42" s="64">
        <f>D18/D28</f>
        <v>2.3336690110090066</v>
      </c>
      <c r="E42" s="64">
        <f>E18/E28</f>
        <v>2.0929102293848412</v>
      </c>
      <c r="F42" s="64">
        <f>F18/F28</f>
        <v>2.1833746548644828</v>
      </c>
      <c r="G42" s="64">
        <f>G18/G28</f>
        <v>2.0249632735751923</v>
      </c>
      <c r="H42" s="17">
        <f t="shared" si="3"/>
        <v>6.3804449613136471E-2</v>
      </c>
      <c r="I42" s="247"/>
      <c r="J42" s="5"/>
      <c r="K42" s="5"/>
      <c r="L42" s="5"/>
      <c r="M42" s="5"/>
      <c r="N42" s="5"/>
      <c r="O42" s="5"/>
      <c r="Q42" s="5"/>
      <c r="R42" s="5"/>
      <c r="S42" s="42"/>
      <c r="T42" s="42"/>
      <c r="U42" s="42"/>
      <c r="V42" s="42"/>
      <c r="W42" s="288"/>
      <c r="X42" s="288"/>
      <c r="Y42" s="288"/>
      <c r="Z42" s="288"/>
      <c r="AA42" s="42"/>
    </row>
    <row r="43" spans="2:42">
      <c r="B43" s="5" t="s">
        <v>475</v>
      </c>
      <c r="C43" s="247"/>
      <c r="D43" s="64">
        <f>L26/D29</f>
        <v>7.6837708066981163</v>
      </c>
      <c r="E43" s="64">
        <f>M26/E29</f>
        <v>5.0966217474671174</v>
      </c>
      <c r="F43" s="64">
        <f>N26/F29</f>
        <v>3.5214258475097426</v>
      </c>
      <c r="G43" s="64">
        <f>O26/G29</f>
        <v>3.130228038771286</v>
      </c>
      <c r="H43" s="17">
        <f t="shared" si="3"/>
        <v>0.34896125174837644</v>
      </c>
      <c r="I43" s="247"/>
      <c r="J43" s="247"/>
      <c r="K43" s="247"/>
      <c r="L43" s="247"/>
      <c r="M43" s="247"/>
      <c r="N43" s="247"/>
      <c r="O43" s="18"/>
      <c r="Q43" s="5"/>
      <c r="R43" s="5"/>
      <c r="S43" s="42"/>
      <c r="T43" s="42"/>
      <c r="U43" s="42"/>
      <c r="V43" s="42"/>
      <c r="W43" s="325"/>
      <c r="X43" s="325"/>
      <c r="Y43" s="288"/>
      <c r="Z43" s="288"/>
      <c r="AA43" s="42"/>
    </row>
    <row r="44" spans="2:42">
      <c r="B44" s="5" t="s">
        <v>533</v>
      </c>
      <c r="C44" s="69"/>
      <c r="D44" s="64">
        <f>D11/D30</f>
        <v>7.9551363991029369</v>
      </c>
      <c r="E44" s="64">
        <f>E11/E30</f>
        <v>4.7399510803429443</v>
      </c>
      <c r="F44" s="64">
        <f>F11/F30</f>
        <v>4.9034480734846939</v>
      </c>
      <c r="G44" s="64">
        <f>G11/G30</f>
        <v>4.7430296086516766</v>
      </c>
      <c r="H44" s="17">
        <f t="shared" si="3"/>
        <v>0.22600233239872392</v>
      </c>
      <c r="I44" s="248"/>
      <c r="J44" s="248"/>
      <c r="K44" s="248"/>
      <c r="L44" s="248"/>
      <c r="M44" s="248"/>
      <c r="N44" s="248"/>
      <c r="O44" s="248"/>
      <c r="Q44" s="5"/>
      <c r="R44" s="5"/>
      <c r="S44" s="42"/>
      <c r="T44" s="42"/>
      <c r="U44" s="42"/>
      <c r="V44" s="42"/>
      <c r="W44" s="42"/>
      <c r="X44" s="42"/>
      <c r="Y44" s="325"/>
      <c r="Z44" s="325"/>
      <c r="AA44" s="42"/>
    </row>
    <row r="45" spans="2:42">
      <c r="B45" s="5" t="s">
        <v>580</v>
      </c>
      <c r="C45" s="247"/>
      <c r="D45" s="248">
        <f>D31/D11</f>
        <v>3.7749364457923699E-2</v>
      </c>
      <c r="E45" s="248">
        <f>E31/E11</f>
        <v>3.9561451287999268E-2</v>
      </c>
      <c r="F45" s="248">
        <f>F31/F11</f>
        <v>3.9515958030884861E-2</v>
      </c>
      <c r="G45" s="248">
        <f>G31/G11</f>
        <v>4.3651806279717507E-2</v>
      </c>
      <c r="H45" s="17">
        <f t="shared" si="3"/>
        <v>8.3074231263342124E-2</v>
      </c>
      <c r="I45" s="247"/>
      <c r="J45" s="247"/>
      <c r="K45" s="247"/>
      <c r="L45" s="247"/>
      <c r="M45" s="247"/>
      <c r="N45" s="247"/>
      <c r="O45" s="248"/>
      <c r="Q45" s="5"/>
      <c r="R45" s="5"/>
      <c r="S45" s="42"/>
      <c r="T45" s="42"/>
      <c r="U45" s="42"/>
      <c r="V45" s="42"/>
      <c r="W45" s="42"/>
      <c r="X45" s="42"/>
      <c r="Y45" s="42"/>
      <c r="Z45" s="42"/>
      <c r="AA45" s="326"/>
      <c r="AB45" s="303"/>
    </row>
    <row r="46" spans="2:42">
      <c r="B46" s="5" t="s">
        <v>605</v>
      </c>
      <c r="C46" s="247"/>
      <c r="D46" s="248">
        <f>(D31+D32)/D11</f>
        <v>9.6435769467449375E-2</v>
      </c>
      <c r="E46" s="248">
        <f>(E31+E32)/E11</f>
        <v>2.6153638160454815E-3</v>
      </c>
      <c r="F46" s="248">
        <f>(F31+F32)/F11</f>
        <v>0.42921567408769146</v>
      </c>
      <c r="G46" s="248">
        <f>(G31+G32)/G11</f>
        <v>0.10764949762715911</v>
      </c>
      <c r="H46" s="279">
        <f>((G31+G32)/(D31+D32))^(1/3)-1</f>
        <v>7.0414501132136209E-2</v>
      </c>
      <c r="I46" s="17"/>
      <c r="J46" s="247"/>
      <c r="K46" s="247"/>
      <c r="L46" s="247"/>
      <c r="M46" s="247"/>
      <c r="N46" s="247"/>
      <c r="O46" s="18"/>
      <c r="Q46" s="5"/>
      <c r="R46" s="5"/>
      <c r="S46" s="42"/>
      <c r="T46" s="42"/>
      <c r="U46" s="42"/>
      <c r="V46" s="42"/>
      <c r="W46" s="42"/>
      <c r="X46" s="42"/>
      <c r="Y46" s="42"/>
      <c r="Z46" s="42"/>
      <c r="AA46" s="326"/>
      <c r="AB46" s="303"/>
    </row>
    <row r="47" spans="2:42">
      <c r="B47" s="5" t="s">
        <v>581</v>
      </c>
      <c r="C47" s="5"/>
      <c r="D47" s="248">
        <f>1/D43</f>
        <v>0.13014443365857262</v>
      </c>
      <c r="E47" s="248">
        <f>1/E43</f>
        <v>0.19620840029907513</v>
      </c>
      <c r="F47" s="248">
        <f>1/F43</f>
        <v>0.28397587889211784</v>
      </c>
      <c r="G47" s="248">
        <f>1/G43</f>
        <v>0.31946554296169805</v>
      </c>
      <c r="H47" s="17">
        <f>H29</f>
        <v>0.34896125174837644</v>
      </c>
      <c r="I47" s="247"/>
      <c r="J47" s="248"/>
      <c r="K47" s="248"/>
      <c r="L47" s="248"/>
      <c r="M47" s="248"/>
      <c r="N47" s="248"/>
      <c r="O47" s="248"/>
      <c r="Q47" s="5"/>
      <c r="R47" s="5"/>
      <c r="S47" s="5"/>
      <c r="T47" s="5"/>
      <c r="U47" s="5"/>
      <c r="AA47" s="303"/>
      <c r="AB47" s="303"/>
    </row>
    <row r="48" spans="2:42">
      <c r="B48" s="5" t="s">
        <v>618</v>
      </c>
      <c r="C48" s="5"/>
      <c r="D48" s="305">
        <f>D31/D29</f>
        <v>0.45784431877334641</v>
      </c>
      <c r="E48" s="305">
        <f>E31/E29</f>
        <v>0.31887107765882267</v>
      </c>
      <c r="F48" s="305">
        <f>F31/F29</f>
        <v>0.24235052189109718</v>
      </c>
      <c r="G48" s="305">
        <f>G31/G29</f>
        <v>0.23697038496719178</v>
      </c>
      <c r="H48" s="17" t="s">
        <v>607</v>
      </c>
      <c r="I48" s="259"/>
      <c r="J48" s="247"/>
      <c r="K48" s="247"/>
      <c r="L48" s="247"/>
      <c r="M48" s="247"/>
      <c r="N48" s="247"/>
      <c r="O48" s="248"/>
      <c r="Q48" s="5"/>
      <c r="R48" s="5"/>
      <c r="S48" s="5"/>
      <c r="T48" s="5"/>
      <c r="U48" s="5"/>
      <c r="AA48" s="303"/>
      <c r="AB48" s="303"/>
    </row>
    <row r="49" spans="2:28">
      <c r="B49" s="41"/>
      <c r="C49" s="17"/>
      <c r="D49" s="17"/>
      <c r="E49" s="17"/>
      <c r="F49" s="17"/>
      <c r="G49" s="17"/>
      <c r="H49" s="17"/>
      <c r="I49" s="17"/>
      <c r="J49" s="17"/>
      <c r="K49" s="17"/>
      <c r="L49" s="17"/>
      <c r="M49" s="17"/>
      <c r="N49" s="17"/>
      <c r="O49" s="248"/>
      <c r="Q49" s="5"/>
      <c r="R49" s="5"/>
      <c r="S49" s="5"/>
      <c r="T49" s="5"/>
      <c r="U49" s="5"/>
      <c r="W49" s="10"/>
      <c r="X49" s="10"/>
      <c r="AA49" s="303"/>
      <c r="AB49" s="303"/>
    </row>
    <row r="50" spans="2:28">
      <c r="B50" s="5"/>
      <c r="C50" s="257"/>
      <c r="D50" s="257"/>
      <c r="E50" s="257"/>
      <c r="F50" s="5"/>
      <c r="G50" s="41"/>
      <c r="H50" s="249"/>
      <c r="I50" s="259"/>
      <c r="J50" s="249"/>
      <c r="K50" s="249"/>
      <c r="L50" s="249"/>
      <c r="M50" s="249"/>
      <c r="N50" s="249"/>
      <c r="O50" s="250"/>
      <c r="Q50" s="5"/>
      <c r="R50" s="5"/>
      <c r="S50" s="5"/>
      <c r="T50" s="5"/>
      <c r="U50" s="5"/>
      <c r="W50" s="10"/>
      <c r="X50" s="10"/>
      <c r="Y50" s="10"/>
      <c r="Z50" s="10"/>
    </row>
    <row r="51" spans="2:28">
      <c r="B51" s="41"/>
      <c r="C51" s="249"/>
      <c r="D51" s="254"/>
      <c r="E51" s="254"/>
      <c r="F51" s="254"/>
      <c r="G51" s="254"/>
      <c r="H51" s="254"/>
      <c r="I51" s="254"/>
      <c r="J51" s="254"/>
      <c r="K51" s="254"/>
      <c r="L51" s="254"/>
      <c r="M51" s="254"/>
      <c r="N51" s="254"/>
      <c r="O51" s="251"/>
      <c r="Q51" s="5"/>
      <c r="R51" s="5"/>
      <c r="S51" s="5"/>
      <c r="T51" s="5"/>
      <c r="U51" s="5"/>
      <c r="Y51" s="10"/>
      <c r="Z51" s="10"/>
    </row>
    <row r="52" spans="2:28">
      <c r="B52" s="5"/>
      <c r="C52" s="257"/>
      <c r="D52" s="17"/>
      <c r="E52" s="17"/>
      <c r="F52" s="17"/>
      <c r="G52" s="17"/>
      <c r="H52" s="17"/>
      <c r="I52" s="17"/>
      <c r="J52" s="17"/>
      <c r="K52" s="17"/>
      <c r="L52" s="17"/>
      <c r="M52" s="17"/>
      <c r="N52" s="17"/>
      <c r="O52" s="248"/>
      <c r="Q52" s="5"/>
      <c r="R52" s="5"/>
      <c r="S52" s="5"/>
      <c r="T52" s="5"/>
      <c r="U52" s="5"/>
    </row>
    <row r="53" spans="2:28">
      <c r="B53" s="5"/>
      <c r="C53" s="257"/>
      <c r="D53" s="257"/>
      <c r="E53" s="257"/>
      <c r="F53" s="5"/>
      <c r="G53" s="5"/>
      <c r="H53" s="259"/>
      <c r="I53" s="259"/>
      <c r="J53" s="259"/>
      <c r="K53" s="259"/>
      <c r="L53" s="259"/>
      <c r="M53" s="259"/>
      <c r="N53" s="259"/>
      <c r="O53" s="18"/>
      <c r="Q53" s="5"/>
      <c r="R53" s="5"/>
      <c r="S53" s="5"/>
      <c r="T53" s="5"/>
      <c r="U53" s="5"/>
    </row>
    <row r="54" spans="2:28">
      <c r="B54" s="41"/>
      <c r="C54" s="249"/>
      <c r="D54" s="254"/>
      <c r="E54" s="254"/>
      <c r="F54" s="254"/>
      <c r="G54" s="254"/>
      <c r="H54" s="254"/>
      <c r="I54" s="249"/>
      <c r="J54" s="254"/>
      <c r="K54" s="254"/>
      <c r="L54" s="254"/>
      <c r="M54" s="254"/>
      <c r="N54" s="254"/>
      <c r="O54" s="251"/>
      <c r="Q54" s="5"/>
      <c r="R54" s="5"/>
      <c r="S54" s="5"/>
      <c r="T54" s="5"/>
      <c r="U54" s="5"/>
    </row>
    <row r="55" spans="2:28">
      <c r="B55" s="5"/>
      <c r="C55" s="257"/>
      <c r="D55" s="17"/>
      <c r="E55" s="17"/>
      <c r="F55" s="17"/>
      <c r="G55" s="17"/>
      <c r="H55" s="17"/>
      <c r="I55" s="248"/>
      <c r="J55" s="259"/>
      <c r="K55" s="259"/>
      <c r="L55" s="259"/>
      <c r="M55" s="259"/>
      <c r="N55" s="259"/>
      <c r="O55" s="18"/>
      <c r="Q55" s="5"/>
      <c r="R55" s="5"/>
      <c r="S55" s="5"/>
      <c r="T55" s="5"/>
      <c r="U55" s="5"/>
    </row>
    <row r="56" spans="2:28">
      <c r="B56" s="5"/>
      <c r="C56" s="248"/>
      <c r="D56" s="248"/>
      <c r="E56" s="248"/>
      <c r="F56" s="5"/>
      <c r="G56" s="5"/>
      <c r="H56" s="259"/>
      <c r="I56" s="5"/>
      <c r="J56" s="249"/>
      <c r="K56" s="249"/>
      <c r="L56" s="249"/>
      <c r="M56" s="249"/>
      <c r="N56" s="249"/>
      <c r="O56" s="251"/>
      <c r="Q56" s="5"/>
      <c r="R56" s="5"/>
      <c r="S56" s="5"/>
      <c r="T56" s="5"/>
      <c r="U56" s="5"/>
    </row>
    <row r="57" spans="2:28">
      <c r="B57" s="41"/>
      <c r="C57" s="249"/>
      <c r="D57" s="249"/>
      <c r="E57" s="249"/>
      <c r="F57" s="249"/>
      <c r="G57" s="249"/>
      <c r="H57" s="249"/>
      <c r="I57" s="17"/>
      <c r="J57" s="248"/>
      <c r="K57" s="248"/>
      <c r="L57" s="248"/>
      <c r="M57" s="248"/>
      <c r="N57" s="248"/>
      <c r="O57" s="18"/>
      <c r="Q57" s="5"/>
      <c r="R57" s="5"/>
      <c r="S57" s="5"/>
      <c r="T57" s="5"/>
      <c r="U57" s="5"/>
    </row>
    <row r="58" spans="2:28">
      <c r="B58" s="5"/>
      <c r="C58" s="5"/>
      <c r="D58" s="248"/>
      <c r="E58" s="248"/>
      <c r="F58" s="248"/>
      <c r="G58" s="248"/>
      <c r="H58" s="248"/>
      <c r="I58" s="5"/>
      <c r="J58" s="5"/>
      <c r="K58" s="5"/>
      <c r="L58" s="5"/>
      <c r="M58" s="5"/>
      <c r="N58" s="5"/>
      <c r="O58" s="5"/>
      <c r="Q58" s="5"/>
      <c r="R58" s="5"/>
      <c r="S58" s="5"/>
      <c r="T58" s="5"/>
      <c r="U58" s="5"/>
    </row>
    <row r="59" spans="2:28">
      <c r="B59" s="5"/>
      <c r="C59" s="5"/>
      <c r="D59" s="5"/>
      <c r="E59" s="5"/>
      <c r="F59" s="5"/>
      <c r="G59" s="5"/>
      <c r="H59" s="5"/>
      <c r="I59" s="249"/>
      <c r="J59" s="17"/>
      <c r="K59" s="17"/>
      <c r="L59" s="17"/>
      <c r="M59" s="17"/>
      <c r="N59" s="17"/>
      <c r="O59" s="251"/>
      <c r="Q59" s="5"/>
      <c r="R59" s="5"/>
      <c r="S59" s="5"/>
      <c r="T59" s="5"/>
      <c r="U59" s="5"/>
    </row>
    <row r="60" spans="2:28">
      <c r="B60" s="41"/>
      <c r="C60" s="17"/>
      <c r="D60" s="17"/>
      <c r="E60" s="17"/>
      <c r="F60" s="17"/>
      <c r="G60" s="17"/>
      <c r="H60" s="17"/>
      <c r="I60" s="5"/>
      <c r="J60" s="5"/>
      <c r="K60" s="5"/>
      <c r="L60" s="5"/>
      <c r="M60" s="5"/>
      <c r="N60" s="5"/>
      <c r="O60" s="5"/>
      <c r="Q60" s="41"/>
      <c r="R60" s="5"/>
      <c r="S60" s="5"/>
      <c r="T60" s="5"/>
      <c r="U60" s="5"/>
    </row>
    <row r="61" spans="2:28">
      <c r="B61" s="5"/>
      <c r="C61" s="5"/>
      <c r="D61" s="5"/>
      <c r="E61" s="5"/>
      <c r="F61" s="5"/>
      <c r="G61" s="5"/>
      <c r="H61" s="5"/>
      <c r="I61" s="5"/>
      <c r="J61" s="249"/>
      <c r="K61" s="249"/>
      <c r="L61" s="249"/>
      <c r="M61" s="249"/>
      <c r="N61" s="249"/>
      <c r="O61" s="251"/>
      <c r="Q61" s="5"/>
      <c r="R61" s="5"/>
      <c r="S61" s="5"/>
      <c r="T61" s="5"/>
      <c r="U61" s="5"/>
    </row>
    <row r="62" spans="2:28">
      <c r="B62" s="41"/>
      <c r="C62" s="249"/>
      <c r="D62" s="249"/>
      <c r="E62" s="249"/>
      <c r="F62" s="249"/>
      <c r="G62" s="249"/>
      <c r="H62" s="249"/>
      <c r="I62" s="254"/>
      <c r="J62" s="5"/>
      <c r="K62" s="5"/>
      <c r="L62" s="5"/>
      <c r="M62" s="5"/>
      <c r="N62" s="5"/>
      <c r="O62" s="5"/>
      <c r="Q62" s="5"/>
      <c r="R62" s="5"/>
      <c r="S62" s="5"/>
      <c r="T62" s="5"/>
      <c r="U62" s="5"/>
    </row>
    <row r="63" spans="2:28">
      <c r="B63" s="5"/>
      <c r="C63" s="5"/>
      <c r="D63" s="5"/>
      <c r="E63" s="5"/>
      <c r="F63" s="5"/>
      <c r="G63" s="5"/>
      <c r="H63" s="5"/>
      <c r="I63" s="17"/>
      <c r="J63" s="5"/>
      <c r="K63" s="5"/>
      <c r="L63" s="5"/>
      <c r="M63" s="5"/>
      <c r="N63" s="5"/>
      <c r="O63" s="5"/>
      <c r="Q63" s="5"/>
      <c r="R63" s="5"/>
      <c r="S63" s="5"/>
      <c r="T63" s="5"/>
      <c r="U63" s="5"/>
    </row>
    <row r="64" spans="2:28">
      <c r="B64" s="5"/>
      <c r="C64" s="5"/>
      <c r="D64" s="5"/>
      <c r="E64" s="5"/>
      <c r="F64" s="5"/>
      <c r="G64" s="5"/>
      <c r="H64" s="5"/>
      <c r="I64" s="254"/>
      <c r="J64" s="254"/>
      <c r="K64" s="254"/>
      <c r="L64" s="254"/>
      <c r="M64" s="254"/>
      <c r="N64" s="254"/>
      <c r="O64" s="251"/>
      <c r="Q64" s="5"/>
      <c r="R64" s="5"/>
      <c r="S64" s="5"/>
      <c r="T64" s="5"/>
      <c r="U64" s="5"/>
    </row>
    <row r="65" spans="2:26">
      <c r="B65" s="41"/>
      <c r="C65" s="249"/>
      <c r="D65" s="254"/>
      <c r="E65" s="254"/>
      <c r="F65" s="254"/>
      <c r="G65" s="254"/>
      <c r="H65" s="254"/>
      <c r="I65" s="248"/>
      <c r="J65" s="17"/>
      <c r="K65" s="17"/>
      <c r="L65" s="17"/>
      <c r="M65" s="17"/>
      <c r="N65" s="17"/>
      <c r="O65" s="5"/>
      <c r="Q65" s="5"/>
      <c r="R65" s="5"/>
      <c r="S65" s="5"/>
      <c r="T65" s="5"/>
      <c r="U65" s="5"/>
    </row>
    <row r="66" spans="2:26">
      <c r="B66" s="5"/>
      <c r="C66" s="5"/>
      <c r="D66" s="17"/>
      <c r="E66" s="17"/>
      <c r="F66" s="17"/>
      <c r="G66" s="17"/>
      <c r="H66" s="17"/>
      <c r="I66" s="5"/>
      <c r="J66" s="254"/>
      <c r="K66" s="254"/>
      <c r="L66" s="254"/>
      <c r="M66" s="254"/>
      <c r="N66" s="254"/>
      <c r="O66" s="251"/>
      <c r="Q66" s="41"/>
      <c r="R66" s="5"/>
      <c r="S66" s="5"/>
      <c r="T66" s="5"/>
      <c r="U66" s="5"/>
    </row>
    <row r="67" spans="2:26">
      <c r="B67" s="41"/>
      <c r="C67" s="249"/>
      <c r="D67" s="254"/>
      <c r="E67" s="254"/>
      <c r="F67" s="254"/>
      <c r="G67" s="254"/>
      <c r="H67" s="254"/>
      <c r="I67" s="245"/>
      <c r="J67" s="248"/>
      <c r="K67" s="248"/>
      <c r="L67" s="248"/>
      <c r="M67" s="248"/>
      <c r="N67" s="248"/>
      <c r="O67" s="5"/>
      <c r="Q67" s="5"/>
      <c r="R67" s="5"/>
      <c r="S67" s="5"/>
      <c r="T67" s="5"/>
      <c r="U67" s="5"/>
    </row>
    <row r="68" spans="2:26">
      <c r="B68" s="5"/>
      <c r="C68" s="5"/>
      <c r="D68" s="248"/>
      <c r="E68" s="248"/>
      <c r="F68" s="248"/>
      <c r="G68" s="248"/>
      <c r="H68" s="248"/>
      <c r="I68" s="248"/>
      <c r="J68" s="5"/>
      <c r="K68" s="5"/>
      <c r="L68" s="5"/>
      <c r="M68" s="5"/>
      <c r="N68" s="5"/>
      <c r="O68" s="5"/>
      <c r="Q68" s="5"/>
      <c r="R68" s="5"/>
      <c r="S68" s="5"/>
      <c r="T68" s="5"/>
      <c r="U68" s="5"/>
    </row>
    <row r="69" spans="2:26">
      <c r="B69" s="41"/>
      <c r="C69" s="5"/>
      <c r="D69" s="5"/>
      <c r="E69" s="5"/>
      <c r="F69" s="5"/>
      <c r="G69" s="5"/>
      <c r="H69" s="5"/>
      <c r="I69" s="5"/>
      <c r="J69" s="245"/>
      <c r="K69" s="245"/>
      <c r="L69" s="245"/>
      <c r="M69" s="245"/>
      <c r="N69" s="245"/>
      <c r="O69" s="251"/>
      <c r="Q69" s="5"/>
      <c r="R69" s="5"/>
      <c r="S69" s="5"/>
      <c r="T69" s="5"/>
      <c r="U69" s="5"/>
      <c r="W69" s="76"/>
      <c r="X69" s="76"/>
    </row>
    <row r="70" spans="2:26">
      <c r="B70" s="41"/>
      <c r="C70" s="245"/>
      <c r="D70" s="245"/>
      <c r="E70" s="245"/>
      <c r="F70" s="245"/>
      <c r="G70" s="245"/>
      <c r="H70" s="245"/>
      <c r="I70" s="245"/>
      <c r="J70" s="248"/>
      <c r="K70" s="248"/>
      <c r="L70" s="248"/>
      <c r="M70" s="248"/>
      <c r="N70" s="248"/>
      <c r="O70" s="5"/>
      <c r="Q70" s="5"/>
      <c r="R70" s="5"/>
      <c r="S70" s="5"/>
      <c r="T70" s="5"/>
      <c r="U70" s="5"/>
      <c r="W70" s="76"/>
      <c r="X70" s="76"/>
      <c r="Y70" s="76"/>
      <c r="Z70" s="76"/>
    </row>
    <row r="71" spans="2:26">
      <c r="B71" s="5"/>
      <c r="C71" s="5"/>
      <c r="D71" s="248"/>
      <c r="E71" s="248"/>
      <c r="F71" s="248"/>
      <c r="G71" s="248"/>
      <c r="H71" s="248"/>
      <c r="I71" s="18"/>
      <c r="J71" s="5"/>
      <c r="K71" s="5"/>
      <c r="L71" s="5"/>
      <c r="M71" s="5"/>
      <c r="N71" s="5"/>
      <c r="O71" s="5"/>
      <c r="Q71" s="5"/>
      <c r="R71" s="5"/>
      <c r="S71" s="5"/>
      <c r="T71" s="5"/>
      <c r="U71" s="5"/>
      <c r="Y71" s="76"/>
      <c r="Z71" s="76"/>
    </row>
    <row r="72" spans="2:26">
      <c r="B72" s="41"/>
      <c r="C72" s="5"/>
      <c r="D72" s="5"/>
      <c r="E72" s="5"/>
      <c r="F72" s="5"/>
      <c r="G72" s="5"/>
      <c r="H72" s="5"/>
      <c r="I72" s="5"/>
      <c r="J72" s="245"/>
      <c r="K72" s="245"/>
      <c r="L72" s="245"/>
      <c r="M72" s="245"/>
      <c r="N72" s="245"/>
      <c r="O72" s="251"/>
      <c r="Q72" s="5"/>
      <c r="R72" s="5"/>
      <c r="S72" s="5"/>
      <c r="T72" s="5"/>
      <c r="U72" s="5"/>
    </row>
    <row r="73" spans="2:26">
      <c r="B73" s="41"/>
      <c r="C73" s="245"/>
      <c r="D73" s="245"/>
      <c r="E73" s="245"/>
      <c r="F73" s="245"/>
      <c r="G73" s="245"/>
      <c r="H73" s="245"/>
      <c r="I73" s="249"/>
      <c r="J73" s="18"/>
      <c r="K73" s="18"/>
      <c r="L73" s="18"/>
      <c r="M73" s="18"/>
      <c r="N73" s="18"/>
      <c r="O73" s="5"/>
      <c r="Q73" s="5"/>
      <c r="R73" s="5"/>
      <c r="S73" s="5"/>
      <c r="T73" s="5"/>
      <c r="U73" s="5"/>
    </row>
    <row r="74" spans="2:26">
      <c r="B74" s="5"/>
      <c r="C74" s="5"/>
      <c r="D74" s="18"/>
      <c r="E74" s="18"/>
      <c r="F74" s="18"/>
      <c r="G74" s="18"/>
      <c r="H74" s="18"/>
      <c r="I74" s="248"/>
      <c r="J74" s="5"/>
      <c r="K74" s="5"/>
      <c r="L74" s="5"/>
      <c r="M74" s="5"/>
      <c r="N74" s="5"/>
      <c r="O74" s="5"/>
      <c r="Q74" s="5"/>
      <c r="R74" s="5"/>
      <c r="S74" s="5"/>
      <c r="T74" s="5"/>
      <c r="U74" s="5"/>
    </row>
    <row r="75" spans="2:26">
      <c r="B75" s="41"/>
      <c r="C75" s="5"/>
      <c r="D75" s="5"/>
      <c r="E75" s="5"/>
      <c r="F75" s="5"/>
      <c r="G75" s="5"/>
      <c r="H75" s="5"/>
      <c r="I75" s="5"/>
      <c r="J75" s="249"/>
      <c r="K75" s="249"/>
      <c r="L75" s="249"/>
      <c r="M75" s="249"/>
      <c r="N75" s="249"/>
      <c r="O75" s="251"/>
      <c r="Q75" s="5"/>
      <c r="R75" s="5"/>
      <c r="S75" s="5"/>
      <c r="T75" s="5"/>
      <c r="U75" s="5"/>
    </row>
    <row r="76" spans="2:26">
      <c r="B76" s="41"/>
      <c r="C76" s="249"/>
      <c r="D76" s="249"/>
      <c r="E76" s="249"/>
      <c r="F76" s="249"/>
      <c r="G76" s="249"/>
      <c r="H76" s="249"/>
      <c r="I76" s="245"/>
      <c r="J76" s="248"/>
      <c r="K76" s="248"/>
      <c r="L76" s="248"/>
      <c r="M76" s="248"/>
      <c r="N76" s="248"/>
      <c r="O76" s="5"/>
      <c r="Q76" s="5"/>
      <c r="R76" s="5"/>
      <c r="S76" s="5"/>
      <c r="T76" s="5"/>
      <c r="U76" s="5"/>
    </row>
    <row r="77" spans="2:26">
      <c r="B77" s="5"/>
      <c r="C77" s="5"/>
      <c r="D77" s="248"/>
      <c r="E77" s="248"/>
      <c r="F77" s="248"/>
      <c r="G77" s="248"/>
      <c r="H77" s="248"/>
      <c r="I77" s="248"/>
      <c r="J77" s="5"/>
      <c r="K77" s="5"/>
      <c r="L77" s="5"/>
      <c r="M77" s="5"/>
      <c r="N77" s="5"/>
      <c r="O77" s="5"/>
      <c r="Q77" s="5"/>
      <c r="R77" s="5"/>
      <c r="S77" s="5"/>
      <c r="T77" s="5"/>
      <c r="U77" s="5"/>
    </row>
    <row r="78" spans="2:26">
      <c r="B78" s="41"/>
      <c r="C78" s="5"/>
      <c r="D78" s="5"/>
      <c r="E78" s="5"/>
      <c r="F78" s="5"/>
      <c r="G78" s="5"/>
      <c r="H78" s="5"/>
      <c r="I78" s="5"/>
      <c r="J78" s="245"/>
      <c r="K78" s="245"/>
      <c r="L78" s="245"/>
      <c r="M78" s="245"/>
      <c r="N78" s="245"/>
      <c r="O78" s="251"/>
      <c r="Q78" s="5"/>
      <c r="R78" s="5"/>
      <c r="S78" s="5"/>
      <c r="T78" s="5"/>
      <c r="U78" s="5"/>
    </row>
    <row r="79" spans="2:26">
      <c r="B79" s="41"/>
      <c r="C79" s="245"/>
      <c r="D79" s="245"/>
      <c r="E79" s="245"/>
      <c r="F79" s="245"/>
      <c r="G79" s="245"/>
      <c r="H79" s="245"/>
      <c r="I79" s="249"/>
      <c r="J79" s="248"/>
      <c r="K79" s="248"/>
      <c r="L79" s="248"/>
      <c r="M79" s="248"/>
      <c r="N79" s="248"/>
      <c r="O79" s="5"/>
      <c r="Q79" s="5"/>
      <c r="R79" s="5"/>
      <c r="S79" s="5"/>
      <c r="T79" s="5"/>
      <c r="U79" s="5"/>
    </row>
    <row r="80" spans="2:26">
      <c r="B80" s="5"/>
      <c r="C80" s="5"/>
      <c r="D80" s="248"/>
      <c r="E80" s="248"/>
      <c r="F80" s="248"/>
      <c r="G80" s="248"/>
      <c r="H80" s="248"/>
      <c r="I80" s="248"/>
      <c r="J80" s="5"/>
      <c r="K80" s="5"/>
      <c r="L80" s="5"/>
      <c r="M80" s="5"/>
      <c r="N80" s="5"/>
      <c r="O80" s="5"/>
      <c r="Q80" s="5"/>
      <c r="R80" s="5"/>
      <c r="S80" s="5"/>
      <c r="T80" s="5"/>
      <c r="U80" s="5"/>
    </row>
    <row r="81" spans="2:26">
      <c r="B81" s="41"/>
      <c r="C81" s="5"/>
      <c r="D81" s="5"/>
      <c r="E81" s="5"/>
      <c r="F81" s="5"/>
      <c r="G81" s="5"/>
      <c r="H81" s="5"/>
      <c r="I81" s="259"/>
      <c r="J81" s="249"/>
      <c r="K81" s="249"/>
      <c r="L81" s="249"/>
      <c r="M81" s="249"/>
      <c r="N81" s="249"/>
      <c r="O81" s="251"/>
      <c r="Q81" s="5"/>
      <c r="R81" s="5"/>
      <c r="S81" s="5"/>
      <c r="T81" s="5"/>
      <c r="U81" s="5"/>
    </row>
    <row r="82" spans="2:26">
      <c r="B82" s="41"/>
      <c r="C82" s="249"/>
      <c r="D82" s="249"/>
      <c r="E82" s="249"/>
      <c r="F82" s="249"/>
      <c r="G82" s="249"/>
      <c r="H82" s="249"/>
      <c r="I82" s="5"/>
      <c r="J82" s="248"/>
      <c r="K82" s="248"/>
      <c r="L82" s="248"/>
      <c r="M82" s="248"/>
      <c r="N82" s="248"/>
      <c r="O82" s="5"/>
      <c r="Q82" s="5"/>
      <c r="R82" s="5"/>
      <c r="S82" s="5"/>
      <c r="T82" s="5"/>
      <c r="U82" s="5"/>
    </row>
    <row r="83" spans="2:26">
      <c r="B83" s="5"/>
      <c r="C83" s="5"/>
      <c r="D83" s="248"/>
      <c r="E83" s="248"/>
      <c r="F83" s="248"/>
      <c r="G83" s="248"/>
      <c r="H83" s="248"/>
      <c r="I83" s="245"/>
      <c r="J83" s="259"/>
      <c r="K83" s="259"/>
      <c r="L83" s="259"/>
      <c r="M83" s="259"/>
      <c r="N83" s="259"/>
      <c r="O83" s="251"/>
      <c r="Q83" s="5"/>
      <c r="R83" s="5"/>
      <c r="S83" s="5"/>
      <c r="T83" s="5"/>
      <c r="U83" s="5"/>
    </row>
    <row r="84" spans="2:26">
      <c r="B84" s="5"/>
      <c r="C84" s="259"/>
      <c r="D84" s="259"/>
      <c r="E84" s="259"/>
      <c r="F84" s="259"/>
      <c r="G84" s="259"/>
      <c r="H84" s="259"/>
      <c r="I84" s="248"/>
      <c r="J84" s="5"/>
      <c r="K84" s="5"/>
      <c r="L84" s="5"/>
      <c r="M84" s="5"/>
      <c r="N84" s="5"/>
      <c r="O84" s="5"/>
      <c r="Q84" s="5"/>
      <c r="R84" s="5"/>
      <c r="S84" s="5"/>
      <c r="T84" s="5"/>
      <c r="U84" s="5"/>
    </row>
    <row r="85" spans="2:26">
      <c r="B85" s="41"/>
      <c r="C85" s="5"/>
      <c r="D85" s="5"/>
      <c r="E85" s="5"/>
      <c r="F85" s="5"/>
      <c r="G85" s="5"/>
      <c r="H85" s="5"/>
      <c r="I85" s="5"/>
      <c r="J85" s="245"/>
      <c r="K85" s="245"/>
      <c r="L85" s="245"/>
      <c r="M85" s="245"/>
      <c r="N85" s="245"/>
      <c r="O85" s="251"/>
      <c r="Q85" s="5"/>
      <c r="R85" s="5"/>
      <c r="S85" s="5"/>
      <c r="T85" s="5"/>
      <c r="U85" s="5"/>
    </row>
    <row r="86" spans="2:26">
      <c r="B86" s="41"/>
      <c r="C86" s="245"/>
      <c r="D86" s="245"/>
      <c r="E86" s="245"/>
      <c r="F86" s="245"/>
      <c r="G86" s="245"/>
      <c r="H86" s="245"/>
      <c r="I86" s="5"/>
      <c r="J86" s="248"/>
      <c r="K86" s="248"/>
      <c r="L86" s="248"/>
      <c r="M86" s="248"/>
      <c r="N86" s="248"/>
      <c r="O86" s="5"/>
      <c r="Q86" s="5"/>
      <c r="R86" s="5"/>
      <c r="S86" s="5"/>
      <c r="T86" s="5"/>
      <c r="U86" s="5"/>
    </row>
    <row r="87" spans="2:26">
      <c r="B87" s="5"/>
      <c r="C87" s="5"/>
      <c r="D87" s="248"/>
      <c r="E87" s="248"/>
      <c r="F87" s="248"/>
      <c r="G87" s="248"/>
      <c r="H87" s="248"/>
      <c r="I87" s="5"/>
      <c r="J87" s="5"/>
      <c r="K87" s="5"/>
      <c r="L87" s="5"/>
      <c r="M87" s="5"/>
      <c r="N87" s="5"/>
      <c r="O87" s="5"/>
      <c r="Q87" s="5"/>
      <c r="R87" s="5"/>
      <c r="S87" s="5"/>
      <c r="T87" s="5"/>
      <c r="U87" s="5"/>
    </row>
    <row r="88" spans="2:26">
      <c r="B88" s="41"/>
      <c r="C88" s="5"/>
      <c r="D88" s="5"/>
      <c r="E88" s="5"/>
      <c r="F88" s="5"/>
      <c r="G88" s="5"/>
      <c r="H88" s="5"/>
      <c r="I88" s="5"/>
      <c r="J88" s="5"/>
      <c r="K88" s="5"/>
      <c r="L88" s="5"/>
      <c r="M88" s="5"/>
      <c r="N88" s="5"/>
      <c r="O88" s="5"/>
      <c r="Q88" s="5"/>
      <c r="R88" s="5"/>
      <c r="S88" s="5"/>
      <c r="T88" s="5"/>
      <c r="U88" s="5"/>
    </row>
    <row r="89" spans="2:26">
      <c r="B89" s="41"/>
      <c r="C89" s="5"/>
      <c r="D89" s="5"/>
      <c r="E89" s="5"/>
      <c r="F89" s="5"/>
      <c r="G89" s="5"/>
      <c r="H89" s="5"/>
      <c r="I89" s="49"/>
      <c r="J89" s="5"/>
      <c r="K89" s="5"/>
      <c r="L89" s="5"/>
      <c r="M89" s="5"/>
      <c r="N89" s="5"/>
      <c r="O89" s="5"/>
      <c r="Q89" s="41"/>
      <c r="R89" s="5"/>
      <c r="S89" s="5"/>
      <c r="T89" s="5"/>
      <c r="U89" s="5"/>
    </row>
    <row r="90" spans="2:26">
      <c r="B90" s="41"/>
      <c r="C90" s="5"/>
      <c r="D90" s="5"/>
      <c r="E90" s="5"/>
      <c r="F90" s="5"/>
      <c r="G90" s="5"/>
      <c r="H90" s="5"/>
      <c r="I90" s="5"/>
      <c r="J90" s="5"/>
      <c r="K90" s="5"/>
      <c r="L90" s="5"/>
      <c r="M90" s="5"/>
      <c r="N90" s="5"/>
      <c r="O90" s="5"/>
      <c r="Q90" s="5"/>
      <c r="R90" s="5"/>
      <c r="S90" s="5"/>
      <c r="T90" s="5"/>
      <c r="U90" s="5"/>
    </row>
    <row r="91" spans="2:26">
      <c r="B91" s="5"/>
      <c r="C91" s="5"/>
      <c r="D91" s="5"/>
      <c r="E91" s="5"/>
      <c r="F91" s="5"/>
      <c r="G91" s="5"/>
      <c r="H91" s="5"/>
      <c r="I91" s="247"/>
      <c r="J91" s="49"/>
      <c r="K91" s="49"/>
      <c r="L91" s="49"/>
      <c r="M91" s="49"/>
      <c r="N91" s="49"/>
      <c r="O91" s="49"/>
      <c r="Q91" s="5"/>
      <c r="R91" s="5"/>
      <c r="S91" s="5"/>
      <c r="T91" s="5"/>
      <c r="U91" s="5"/>
      <c r="W91" s="21"/>
      <c r="X91" s="21"/>
    </row>
    <row r="92" spans="2:26">
      <c r="B92" s="41"/>
      <c r="C92" s="49"/>
      <c r="D92" s="49"/>
      <c r="E92" s="49"/>
      <c r="F92" s="49"/>
      <c r="G92" s="49"/>
      <c r="H92" s="49"/>
      <c r="I92" s="247"/>
      <c r="J92" s="5"/>
      <c r="K92" s="5"/>
      <c r="L92" s="5"/>
      <c r="M92" s="5"/>
      <c r="N92" s="5"/>
      <c r="O92" s="5"/>
      <c r="Q92" s="5"/>
      <c r="R92" s="5"/>
      <c r="S92" s="5"/>
      <c r="T92" s="5"/>
      <c r="U92" s="5"/>
      <c r="W92" s="21"/>
      <c r="X92" s="21"/>
      <c r="Y92" s="21"/>
      <c r="Z92" s="21"/>
    </row>
    <row r="93" spans="2:26">
      <c r="B93" s="5"/>
      <c r="C93" s="5"/>
      <c r="D93" s="5"/>
      <c r="E93" s="5"/>
      <c r="F93" s="5"/>
      <c r="G93" s="5"/>
      <c r="H93" s="5"/>
      <c r="I93" s="247"/>
      <c r="J93" s="247"/>
      <c r="K93" s="247"/>
      <c r="L93" s="247"/>
      <c r="M93" s="247"/>
      <c r="N93" s="247"/>
      <c r="O93" s="248"/>
      <c r="Q93" s="5"/>
      <c r="R93" s="5"/>
      <c r="S93" s="5"/>
      <c r="T93" s="5"/>
      <c r="U93" s="5"/>
      <c r="Y93" s="21"/>
      <c r="Z93" s="21"/>
    </row>
    <row r="94" spans="2:26">
      <c r="B94" s="5"/>
      <c r="C94" s="259"/>
      <c r="D94" s="247"/>
      <c r="E94" s="247"/>
      <c r="F94" s="247"/>
      <c r="G94" s="247"/>
      <c r="H94" s="247"/>
      <c r="I94" s="248"/>
      <c r="J94" s="247"/>
      <c r="K94" s="247"/>
      <c r="L94" s="247"/>
      <c r="M94" s="247"/>
      <c r="N94" s="247"/>
      <c r="O94" s="248"/>
      <c r="Q94" s="5"/>
      <c r="R94" s="5"/>
      <c r="S94" s="5"/>
      <c r="T94" s="5"/>
      <c r="U94" s="5"/>
    </row>
    <row r="95" spans="2:26">
      <c r="B95" s="5"/>
      <c r="C95" s="259"/>
      <c r="D95" s="247"/>
      <c r="E95" s="247"/>
      <c r="F95" s="247"/>
      <c r="G95" s="247"/>
      <c r="H95" s="247"/>
      <c r="I95" s="247"/>
      <c r="J95" s="247"/>
      <c r="K95" s="247"/>
      <c r="L95" s="247"/>
      <c r="M95" s="247"/>
      <c r="N95" s="247"/>
      <c r="O95" s="248"/>
      <c r="Q95" s="5"/>
      <c r="R95" s="5"/>
      <c r="S95" s="5"/>
      <c r="T95" s="5"/>
      <c r="U95" s="5"/>
    </row>
    <row r="96" spans="2:26">
      <c r="B96" s="5"/>
      <c r="C96" s="259"/>
      <c r="D96" s="247"/>
      <c r="E96" s="247"/>
      <c r="F96" s="247"/>
      <c r="G96" s="247"/>
      <c r="H96" s="247"/>
      <c r="I96" s="249"/>
      <c r="J96" s="248"/>
      <c r="K96" s="248"/>
      <c r="L96" s="248"/>
      <c r="M96" s="248"/>
      <c r="N96" s="248"/>
      <c r="O96" s="248"/>
      <c r="Q96" s="5"/>
      <c r="R96" s="5"/>
      <c r="S96" s="5"/>
      <c r="T96" s="5"/>
      <c r="U96" s="5"/>
    </row>
    <row r="97" spans="2:21">
      <c r="B97" s="5"/>
      <c r="C97" s="259"/>
      <c r="D97" s="248"/>
      <c r="E97" s="248"/>
      <c r="F97" s="248"/>
      <c r="G97" s="248"/>
      <c r="H97" s="248"/>
      <c r="I97" s="248"/>
      <c r="J97" s="247"/>
      <c r="K97" s="247"/>
      <c r="L97" s="247"/>
      <c r="M97" s="247"/>
      <c r="N97" s="247"/>
      <c r="O97" s="248"/>
      <c r="Q97" s="5"/>
      <c r="R97" s="5"/>
      <c r="S97" s="5"/>
      <c r="T97" s="5"/>
      <c r="U97" s="5"/>
    </row>
    <row r="98" spans="2:21">
      <c r="B98" s="5"/>
      <c r="C98" s="259"/>
      <c r="D98" s="247"/>
      <c r="E98" s="247"/>
      <c r="F98" s="247"/>
      <c r="G98" s="247"/>
      <c r="H98" s="247"/>
      <c r="I98" s="5"/>
      <c r="J98" s="249"/>
      <c r="K98" s="249"/>
      <c r="L98" s="249"/>
      <c r="M98" s="249"/>
      <c r="N98" s="249"/>
      <c r="O98" s="248"/>
      <c r="Q98" s="5"/>
      <c r="R98" s="5"/>
      <c r="S98" s="5"/>
      <c r="T98" s="5"/>
      <c r="U98" s="5"/>
    </row>
    <row r="99" spans="2:21">
      <c r="B99" s="41"/>
      <c r="C99" s="249"/>
      <c r="D99" s="249"/>
      <c r="E99" s="249"/>
      <c r="F99" s="249"/>
      <c r="G99" s="249"/>
      <c r="H99" s="249"/>
      <c r="I99" s="259"/>
      <c r="J99" s="248"/>
      <c r="K99" s="248"/>
      <c r="L99" s="248"/>
      <c r="M99" s="248"/>
      <c r="N99" s="248"/>
      <c r="O99" s="248"/>
      <c r="Q99" s="5"/>
      <c r="R99" s="5"/>
      <c r="S99" s="5"/>
      <c r="T99" s="5"/>
      <c r="U99" s="5"/>
    </row>
    <row r="100" spans="2:21" s="5" customFormat="1">
      <c r="B100" s="41"/>
      <c r="C100" s="257"/>
      <c r="D100" s="248"/>
      <c r="E100" s="248"/>
      <c r="F100" s="248"/>
      <c r="G100" s="248"/>
      <c r="H100" s="248"/>
      <c r="I100" s="259"/>
      <c r="O100" s="248"/>
      <c r="P100" s="39"/>
    </row>
    <row r="101" spans="2:21">
      <c r="B101" s="41"/>
      <c r="C101" s="5"/>
      <c r="D101" s="5"/>
      <c r="E101" s="5"/>
      <c r="F101" s="5"/>
      <c r="G101" s="5"/>
      <c r="H101" s="5"/>
      <c r="I101" s="247"/>
      <c r="J101" s="259"/>
      <c r="K101" s="259"/>
      <c r="L101" s="259"/>
      <c r="M101" s="259"/>
      <c r="N101" s="259"/>
      <c r="O101" s="5"/>
      <c r="Q101" s="5"/>
      <c r="R101" s="5"/>
      <c r="S101" s="5"/>
      <c r="T101" s="5"/>
      <c r="U101" s="5"/>
    </row>
    <row r="102" spans="2:21">
      <c r="B102" s="5"/>
      <c r="C102" s="259"/>
      <c r="D102" s="259"/>
      <c r="E102" s="259"/>
      <c r="F102" s="259"/>
      <c r="G102" s="259"/>
      <c r="H102" s="259"/>
      <c r="I102" s="5"/>
      <c r="J102" s="259"/>
      <c r="K102" s="259"/>
      <c r="L102" s="259"/>
      <c r="M102" s="259"/>
      <c r="N102" s="259"/>
      <c r="O102" s="5"/>
      <c r="P102" s="5"/>
      <c r="Q102" s="5"/>
      <c r="R102" s="5"/>
      <c r="S102" s="5"/>
      <c r="T102" s="5"/>
      <c r="U102" s="5"/>
    </row>
    <row r="103" spans="2:21">
      <c r="B103" s="5"/>
      <c r="C103" s="259"/>
      <c r="D103" s="259"/>
      <c r="E103" s="259"/>
      <c r="F103" s="259"/>
      <c r="G103" s="259"/>
      <c r="H103" s="259"/>
      <c r="I103" s="247"/>
      <c r="J103" s="247"/>
      <c r="K103" s="247"/>
      <c r="L103" s="247"/>
      <c r="M103" s="247"/>
      <c r="N103" s="247"/>
      <c r="O103" s="5"/>
      <c r="Q103" s="5"/>
      <c r="R103" s="5"/>
      <c r="S103" s="5"/>
      <c r="T103" s="5"/>
      <c r="U103" s="5"/>
    </row>
    <row r="104" spans="2:21" s="5" customFormat="1">
      <c r="C104" s="247"/>
      <c r="D104" s="247"/>
      <c r="E104" s="247"/>
      <c r="F104" s="247"/>
      <c r="G104" s="247"/>
      <c r="H104" s="247"/>
      <c r="P104" s="39"/>
    </row>
    <row r="105" spans="2:21" s="5" customFormat="1">
      <c r="I105" s="259"/>
      <c r="J105" s="247"/>
      <c r="K105" s="247"/>
      <c r="L105" s="247"/>
      <c r="M105" s="247"/>
      <c r="N105" s="247"/>
      <c r="P105" s="39"/>
    </row>
    <row r="106" spans="2:21">
      <c r="B106" s="5"/>
      <c r="C106" s="259"/>
      <c r="D106" s="247"/>
      <c r="E106" s="247"/>
      <c r="F106" s="247"/>
      <c r="G106" s="247"/>
      <c r="H106" s="247"/>
      <c r="I106" s="247"/>
      <c r="J106" s="5"/>
      <c r="K106" s="5"/>
      <c r="L106" s="5"/>
      <c r="M106" s="5"/>
      <c r="N106" s="5"/>
      <c r="O106" s="5"/>
      <c r="P106" s="5"/>
      <c r="Q106" s="5"/>
      <c r="R106" s="5"/>
      <c r="S106" s="5"/>
      <c r="T106" s="5"/>
      <c r="U106" s="5"/>
    </row>
    <row r="107" spans="2:21">
      <c r="B107" s="5"/>
      <c r="C107" s="259"/>
      <c r="D107" s="5"/>
      <c r="E107" s="5"/>
      <c r="F107" s="5"/>
      <c r="G107" s="5"/>
      <c r="H107" s="5"/>
      <c r="I107" s="249"/>
      <c r="J107" s="259"/>
      <c r="K107" s="259"/>
      <c r="L107" s="259"/>
      <c r="M107" s="259"/>
      <c r="N107" s="259"/>
      <c r="O107" s="5"/>
      <c r="P107" s="5"/>
      <c r="Q107" s="5"/>
      <c r="R107" s="5"/>
      <c r="S107" s="5"/>
      <c r="T107" s="5"/>
      <c r="U107" s="5"/>
    </row>
    <row r="108" spans="2:21">
      <c r="B108" s="5"/>
      <c r="C108" s="259"/>
      <c r="D108" s="259"/>
      <c r="E108" s="259"/>
      <c r="F108" s="259"/>
      <c r="G108" s="259"/>
      <c r="H108" s="259"/>
      <c r="I108" s="249"/>
      <c r="J108" s="247"/>
      <c r="K108" s="247"/>
      <c r="L108" s="247"/>
      <c r="M108" s="247"/>
      <c r="N108" s="247"/>
      <c r="O108" s="5"/>
      <c r="Q108" s="5"/>
      <c r="R108" s="5"/>
      <c r="S108" s="5"/>
      <c r="T108" s="5"/>
      <c r="U108" s="5"/>
    </row>
    <row r="109" spans="2:21">
      <c r="B109" s="5"/>
      <c r="C109" s="247"/>
      <c r="D109" s="247"/>
      <c r="E109" s="247"/>
      <c r="F109" s="247"/>
      <c r="G109" s="247"/>
      <c r="H109" s="247"/>
      <c r="I109" s="247"/>
      <c r="J109" s="249"/>
      <c r="K109" s="249"/>
      <c r="L109" s="249"/>
      <c r="M109" s="249"/>
      <c r="N109" s="249"/>
      <c r="O109" s="5"/>
      <c r="Q109" s="5"/>
      <c r="R109" s="5"/>
      <c r="S109" s="5"/>
      <c r="T109" s="5"/>
      <c r="U109" s="5"/>
    </row>
    <row r="110" spans="2:21">
      <c r="B110" s="41"/>
      <c r="C110" s="249"/>
      <c r="D110" s="249"/>
      <c r="E110" s="249"/>
      <c r="F110" s="249"/>
      <c r="G110" s="249"/>
      <c r="H110" s="249"/>
      <c r="I110" s="5"/>
      <c r="J110" s="249"/>
      <c r="K110" s="249"/>
      <c r="L110" s="249"/>
      <c r="M110" s="249"/>
      <c r="N110" s="249"/>
      <c r="O110" s="5"/>
      <c r="Q110" s="5"/>
      <c r="R110" s="5"/>
      <c r="S110" s="5"/>
      <c r="T110" s="5"/>
      <c r="U110" s="5"/>
    </row>
    <row r="111" spans="2:21">
      <c r="B111" s="5"/>
      <c r="C111" s="249"/>
      <c r="D111" s="249"/>
      <c r="E111" s="249"/>
      <c r="F111" s="249"/>
      <c r="G111" s="249"/>
      <c r="H111" s="249"/>
      <c r="I111" s="5"/>
      <c r="J111" s="247"/>
      <c r="K111" s="247"/>
      <c r="L111" s="247"/>
      <c r="M111" s="247"/>
      <c r="N111" s="247"/>
      <c r="O111" s="5"/>
      <c r="Q111" s="5"/>
      <c r="R111" s="5"/>
      <c r="S111" s="5"/>
      <c r="T111" s="5"/>
      <c r="U111" s="5"/>
    </row>
    <row r="112" spans="2:21">
      <c r="B112" s="5"/>
      <c r="C112" s="247"/>
      <c r="D112" s="247"/>
      <c r="E112" s="247"/>
      <c r="F112" s="247"/>
      <c r="G112" s="247"/>
      <c r="H112" s="247"/>
      <c r="I112" s="5"/>
      <c r="J112" s="5"/>
      <c r="K112" s="5"/>
      <c r="L112" s="5"/>
      <c r="M112" s="5"/>
      <c r="N112" s="5"/>
      <c r="O112" s="5"/>
      <c r="Q112" s="5"/>
      <c r="R112" s="5"/>
      <c r="S112" s="5"/>
      <c r="T112" s="5"/>
      <c r="U112" s="5"/>
    </row>
    <row r="113" spans="2:21">
      <c r="B113" s="5"/>
      <c r="C113" s="5"/>
      <c r="D113" s="5"/>
      <c r="E113" s="5"/>
      <c r="F113" s="5"/>
      <c r="G113" s="5"/>
      <c r="H113" s="5"/>
      <c r="I113" s="5"/>
      <c r="J113" s="5"/>
      <c r="K113" s="5"/>
      <c r="L113" s="5"/>
      <c r="M113" s="5"/>
      <c r="N113" s="5"/>
      <c r="O113" s="5"/>
      <c r="Q113" s="5"/>
      <c r="R113" s="5"/>
      <c r="S113" s="5"/>
      <c r="T113" s="5"/>
      <c r="U113" s="5"/>
    </row>
    <row r="114" spans="2:21">
      <c r="B114" s="5"/>
      <c r="C114" s="5"/>
      <c r="D114" s="5"/>
      <c r="E114" s="5"/>
      <c r="F114" s="5"/>
      <c r="G114" s="5"/>
      <c r="H114" s="5"/>
      <c r="I114" s="49"/>
      <c r="J114" s="5"/>
      <c r="K114" s="5"/>
      <c r="L114" s="5"/>
      <c r="M114" s="5"/>
      <c r="N114" s="5"/>
      <c r="O114" s="5"/>
      <c r="Q114" s="41"/>
      <c r="R114" s="5"/>
      <c r="S114" s="5"/>
      <c r="T114" s="5"/>
      <c r="U114" s="5"/>
    </row>
    <row r="115" spans="2:21">
      <c r="B115" s="5"/>
      <c r="C115" s="5"/>
      <c r="D115" s="5"/>
      <c r="E115" s="5"/>
      <c r="F115" s="5"/>
      <c r="G115" s="5"/>
      <c r="H115" s="5"/>
      <c r="I115" s="5"/>
      <c r="J115" s="5"/>
      <c r="K115" s="5"/>
      <c r="L115" s="5"/>
      <c r="M115" s="5"/>
      <c r="N115" s="5"/>
      <c r="O115" s="5"/>
      <c r="Q115" s="5"/>
      <c r="R115" s="5"/>
      <c r="S115" s="5"/>
      <c r="T115" s="5"/>
      <c r="U115" s="5"/>
    </row>
    <row r="116" spans="2:21">
      <c r="B116" s="5"/>
      <c r="C116" s="5"/>
      <c r="D116" s="5"/>
      <c r="E116" s="5"/>
      <c r="F116" s="5"/>
      <c r="G116" s="5"/>
      <c r="H116" s="5"/>
      <c r="I116" s="254"/>
      <c r="J116" s="49"/>
      <c r="K116" s="49"/>
      <c r="L116" s="49"/>
      <c r="M116" s="49"/>
      <c r="N116" s="49"/>
      <c r="O116" s="49"/>
      <c r="Q116" s="5"/>
      <c r="R116" s="5"/>
      <c r="S116" s="5"/>
      <c r="T116" s="5"/>
      <c r="U116" s="5"/>
    </row>
    <row r="117" spans="2:21">
      <c r="B117" s="41"/>
      <c r="C117" s="49"/>
      <c r="D117" s="49"/>
      <c r="E117" s="49"/>
      <c r="F117" s="49"/>
      <c r="G117" s="49"/>
      <c r="H117" s="49"/>
      <c r="I117" s="249"/>
      <c r="J117" s="5"/>
      <c r="K117" s="5"/>
      <c r="L117" s="5"/>
      <c r="M117" s="5"/>
      <c r="N117" s="5"/>
      <c r="O117" s="5"/>
      <c r="Q117" s="5"/>
      <c r="R117" s="5"/>
      <c r="S117" s="5"/>
      <c r="T117" s="5"/>
      <c r="U117" s="5"/>
    </row>
    <row r="118" spans="2:21">
      <c r="B118" s="5"/>
      <c r="C118" s="5"/>
      <c r="D118" s="5"/>
      <c r="E118" s="5"/>
      <c r="F118" s="5"/>
      <c r="G118" s="5"/>
      <c r="H118" s="5"/>
      <c r="I118" s="254"/>
      <c r="J118" s="254"/>
      <c r="K118" s="254"/>
      <c r="L118" s="254"/>
      <c r="M118" s="254"/>
      <c r="N118" s="254"/>
      <c r="O118" s="248"/>
      <c r="Q118" s="5"/>
      <c r="R118" s="5"/>
      <c r="S118" s="5"/>
      <c r="T118" s="5"/>
      <c r="U118" s="5"/>
    </row>
    <row r="119" spans="2:21">
      <c r="B119" s="41"/>
      <c r="C119" s="254"/>
      <c r="D119" s="254"/>
      <c r="E119" s="254"/>
      <c r="F119" s="254"/>
      <c r="G119" s="254"/>
      <c r="H119" s="254"/>
      <c r="I119" s="254"/>
      <c r="J119" s="249"/>
      <c r="K119" s="249"/>
      <c r="L119" s="249"/>
      <c r="M119" s="249"/>
      <c r="N119" s="249"/>
      <c r="O119" s="248"/>
      <c r="Q119" s="5"/>
      <c r="R119" s="5"/>
      <c r="S119" s="5"/>
      <c r="T119" s="5"/>
      <c r="U119" s="5"/>
    </row>
    <row r="120" spans="2:21">
      <c r="B120" s="41"/>
      <c r="C120" s="254"/>
      <c r="D120" s="249"/>
      <c r="E120" s="249"/>
      <c r="F120" s="249"/>
      <c r="G120" s="249"/>
      <c r="H120" s="249"/>
      <c r="I120" s="254"/>
      <c r="J120" s="254"/>
      <c r="K120" s="254"/>
      <c r="L120" s="254"/>
      <c r="M120" s="254"/>
      <c r="N120" s="254"/>
      <c r="O120" s="248"/>
      <c r="Q120" s="5"/>
      <c r="R120" s="5"/>
      <c r="S120" s="5"/>
      <c r="T120" s="5"/>
      <c r="U120" s="5"/>
    </row>
    <row r="121" spans="2:21">
      <c r="B121" s="41"/>
      <c r="C121" s="254"/>
      <c r="D121" s="254"/>
      <c r="E121" s="254"/>
      <c r="F121" s="254"/>
      <c r="G121" s="254"/>
      <c r="H121" s="254"/>
      <c r="I121" s="254"/>
      <c r="J121" s="254"/>
      <c r="K121" s="254"/>
      <c r="L121" s="254"/>
      <c r="M121" s="254"/>
      <c r="N121" s="254"/>
      <c r="O121" s="248"/>
      <c r="Q121" s="5"/>
      <c r="R121" s="5"/>
      <c r="S121" s="5"/>
      <c r="T121" s="5"/>
      <c r="U121" s="5"/>
    </row>
    <row r="122" spans="2:21">
      <c r="B122" s="41"/>
      <c r="C122" s="254"/>
      <c r="D122" s="254"/>
      <c r="E122" s="254"/>
      <c r="F122" s="254"/>
      <c r="G122" s="254"/>
      <c r="H122" s="254"/>
      <c r="I122" s="254"/>
      <c r="J122" s="254"/>
      <c r="K122" s="254"/>
      <c r="L122" s="254"/>
      <c r="M122" s="254"/>
      <c r="N122" s="254"/>
      <c r="O122" s="248"/>
      <c r="Q122" s="5"/>
      <c r="R122" s="5"/>
      <c r="S122" s="5"/>
      <c r="T122" s="5"/>
      <c r="U122" s="5"/>
    </row>
    <row r="123" spans="2:21">
      <c r="B123" s="41"/>
      <c r="C123" s="254"/>
      <c r="D123" s="254"/>
      <c r="E123" s="254"/>
      <c r="F123" s="254"/>
      <c r="G123" s="254"/>
      <c r="H123" s="254"/>
      <c r="I123" s="254"/>
      <c r="J123" s="254"/>
      <c r="K123" s="254"/>
      <c r="L123" s="254"/>
      <c r="M123" s="254"/>
      <c r="N123" s="254"/>
      <c r="O123" s="248"/>
      <c r="Q123" s="5"/>
      <c r="R123" s="5"/>
      <c r="S123" s="5"/>
      <c r="T123" s="5"/>
      <c r="U123" s="5"/>
    </row>
    <row r="124" spans="2:21">
      <c r="B124" s="41"/>
      <c r="C124" s="254"/>
      <c r="D124" s="254"/>
      <c r="E124" s="254"/>
      <c r="F124" s="254"/>
      <c r="G124" s="254"/>
      <c r="H124" s="254"/>
      <c r="I124" s="254"/>
      <c r="J124" s="254"/>
      <c r="K124" s="254"/>
      <c r="L124" s="254"/>
      <c r="M124" s="254"/>
      <c r="N124" s="254"/>
      <c r="O124" s="5"/>
      <c r="Q124" s="5"/>
      <c r="R124" s="5"/>
      <c r="S124" s="5"/>
      <c r="T124" s="5"/>
      <c r="U124" s="5"/>
    </row>
    <row r="125" spans="2:21">
      <c r="B125" s="41"/>
      <c r="C125" s="254"/>
      <c r="D125" s="254"/>
      <c r="E125" s="254"/>
      <c r="F125" s="254"/>
      <c r="G125" s="254"/>
      <c r="H125" s="254"/>
      <c r="I125" s="254"/>
      <c r="J125" s="254"/>
      <c r="K125" s="254"/>
      <c r="L125" s="254"/>
      <c r="M125" s="254"/>
      <c r="N125" s="254"/>
      <c r="O125" s="5"/>
      <c r="Q125" s="5"/>
      <c r="R125" s="5"/>
      <c r="S125" s="5"/>
      <c r="T125" s="5"/>
      <c r="U125" s="5"/>
    </row>
    <row r="126" spans="2:21">
      <c r="B126" s="41"/>
      <c r="C126" s="254"/>
      <c r="D126" s="254"/>
      <c r="E126" s="254"/>
      <c r="F126" s="254"/>
      <c r="G126" s="254"/>
      <c r="H126" s="254"/>
      <c r="I126" s="18"/>
      <c r="J126" s="254"/>
      <c r="K126" s="254"/>
      <c r="L126" s="254"/>
      <c r="M126" s="254"/>
      <c r="N126" s="254"/>
      <c r="O126" s="5"/>
      <c r="Q126" s="5"/>
      <c r="R126" s="5"/>
      <c r="S126" s="5"/>
      <c r="T126" s="5"/>
      <c r="U126" s="5"/>
    </row>
    <row r="127" spans="2:21">
      <c r="B127" s="41"/>
      <c r="C127" s="254"/>
      <c r="D127" s="254"/>
      <c r="E127" s="254"/>
      <c r="F127" s="254"/>
      <c r="G127" s="254"/>
      <c r="H127" s="254"/>
      <c r="I127" s="5"/>
      <c r="J127" s="254"/>
      <c r="K127" s="254"/>
      <c r="L127" s="254"/>
      <c r="M127" s="254"/>
      <c r="N127" s="254"/>
      <c r="O127" s="5"/>
      <c r="Q127" s="5"/>
      <c r="R127" s="5"/>
      <c r="S127" s="5"/>
      <c r="T127" s="5"/>
      <c r="U127" s="5"/>
    </row>
    <row r="128" spans="2:21">
      <c r="B128" s="41"/>
      <c r="C128" s="254"/>
      <c r="D128" s="254"/>
      <c r="E128" s="254"/>
      <c r="F128" s="254"/>
      <c r="G128" s="254"/>
      <c r="H128" s="254"/>
      <c r="I128" s="254"/>
      <c r="J128" s="18"/>
      <c r="K128" s="18"/>
      <c r="L128" s="18"/>
      <c r="M128" s="18"/>
      <c r="N128" s="18"/>
      <c r="O128" s="5"/>
      <c r="Q128" s="5"/>
      <c r="R128" s="5"/>
      <c r="S128" s="5"/>
      <c r="T128" s="5"/>
      <c r="U128" s="5"/>
    </row>
    <row r="129" spans="2:27">
      <c r="B129" s="5"/>
      <c r="C129" s="5"/>
      <c r="D129" s="18"/>
      <c r="E129" s="18"/>
      <c r="F129" s="18"/>
      <c r="G129" s="18"/>
      <c r="H129" s="18"/>
      <c r="I129" s="18"/>
      <c r="J129" s="5"/>
      <c r="K129" s="5"/>
      <c r="L129" s="5"/>
      <c r="M129" s="5"/>
      <c r="N129" s="5"/>
      <c r="O129" s="5"/>
      <c r="Q129" s="5"/>
      <c r="R129" s="5"/>
      <c r="S129" s="5"/>
      <c r="T129" s="5"/>
      <c r="U129" s="5"/>
    </row>
    <row r="130" spans="2:27">
      <c r="B130" s="5"/>
      <c r="C130" s="5"/>
      <c r="D130" s="5"/>
      <c r="E130" s="5"/>
      <c r="F130" s="5"/>
      <c r="G130" s="5"/>
      <c r="H130" s="5"/>
      <c r="I130" s="5"/>
      <c r="J130" s="254"/>
      <c r="K130" s="254"/>
      <c r="L130" s="254"/>
      <c r="M130" s="254"/>
      <c r="N130" s="254"/>
      <c r="O130" s="5"/>
      <c r="Q130" s="5"/>
      <c r="R130" s="5"/>
      <c r="S130" s="5"/>
      <c r="T130" s="5"/>
      <c r="U130" s="5"/>
    </row>
    <row r="131" spans="2:27">
      <c r="B131" s="41"/>
      <c r="C131" s="254"/>
      <c r="D131" s="254"/>
      <c r="E131" s="254"/>
      <c r="F131" s="254"/>
      <c r="G131" s="254"/>
      <c r="H131" s="254"/>
      <c r="I131" s="5"/>
      <c r="J131" s="18"/>
      <c r="K131" s="18"/>
      <c r="L131" s="18"/>
      <c r="M131" s="18"/>
      <c r="N131" s="18"/>
      <c r="O131" s="5"/>
      <c r="Q131" s="5"/>
      <c r="R131" s="5"/>
      <c r="S131" s="5"/>
      <c r="T131" s="5"/>
      <c r="U131" s="5"/>
    </row>
    <row r="132" spans="2:27">
      <c r="B132" s="5"/>
      <c r="C132" s="259"/>
      <c r="D132" s="18"/>
      <c r="E132" s="18"/>
      <c r="F132" s="18"/>
      <c r="G132" s="18"/>
      <c r="H132" s="18"/>
      <c r="I132" s="17"/>
      <c r="J132" s="5"/>
      <c r="K132" s="5"/>
      <c r="L132" s="5"/>
      <c r="M132" s="5"/>
      <c r="N132" s="5"/>
      <c r="O132" s="5"/>
      <c r="Q132" s="5"/>
      <c r="R132" s="5"/>
      <c r="S132" s="5"/>
      <c r="T132" s="5"/>
      <c r="U132" s="5"/>
    </row>
    <row r="133" spans="2:27">
      <c r="B133" s="5"/>
      <c r="C133" s="5"/>
      <c r="D133" s="5"/>
      <c r="E133" s="5"/>
      <c r="F133" s="5"/>
      <c r="G133" s="5"/>
      <c r="H133" s="5"/>
      <c r="I133" s="17"/>
      <c r="J133" s="5"/>
      <c r="K133" s="5"/>
      <c r="L133" s="5"/>
      <c r="M133" s="5"/>
      <c r="N133" s="5"/>
      <c r="O133" s="5"/>
      <c r="Q133" s="5"/>
      <c r="R133" s="5"/>
      <c r="S133" s="5"/>
      <c r="T133" s="5"/>
      <c r="U133" s="5"/>
    </row>
    <row r="134" spans="2:27">
      <c r="B134" s="41"/>
      <c r="C134" s="5"/>
      <c r="D134" s="5"/>
      <c r="E134" s="5"/>
      <c r="F134" s="5"/>
      <c r="G134" s="5"/>
      <c r="H134" s="5"/>
      <c r="I134" s="17"/>
      <c r="J134" s="17"/>
      <c r="K134" s="17"/>
      <c r="L134" s="17"/>
      <c r="M134" s="17"/>
      <c r="N134" s="17"/>
      <c r="O134" s="5"/>
      <c r="Q134" s="41"/>
      <c r="R134" s="5"/>
      <c r="S134" s="5"/>
      <c r="T134" s="5"/>
      <c r="U134" s="5"/>
    </row>
    <row r="135" spans="2:27">
      <c r="B135" s="5"/>
      <c r="C135" s="17"/>
      <c r="D135" s="17"/>
      <c r="E135" s="17"/>
      <c r="F135" s="17"/>
      <c r="G135" s="17"/>
      <c r="H135" s="17"/>
      <c r="I135" s="17"/>
      <c r="J135" s="17"/>
      <c r="K135" s="17"/>
      <c r="L135" s="17"/>
      <c r="M135" s="17"/>
      <c r="N135" s="17"/>
      <c r="O135" s="5"/>
      <c r="Q135" s="5"/>
      <c r="R135" s="5"/>
      <c r="S135" s="5"/>
      <c r="T135" s="5"/>
      <c r="U135" s="5"/>
      <c r="X135" s="304"/>
    </row>
    <row r="136" spans="2:27">
      <c r="B136" s="5"/>
      <c r="C136" s="17"/>
      <c r="D136" s="17"/>
      <c r="E136" s="17"/>
      <c r="F136" s="17"/>
      <c r="G136" s="17"/>
      <c r="H136" s="17"/>
      <c r="I136" s="17"/>
      <c r="J136" s="17"/>
      <c r="K136" s="17"/>
      <c r="L136" s="17"/>
      <c r="M136" s="17"/>
      <c r="N136" s="17"/>
      <c r="O136" s="5"/>
      <c r="Q136" s="5"/>
      <c r="R136" s="5"/>
      <c r="S136" s="5"/>
      <c r="T136" s="5"/>
      <c r="U136" s="5"/>
      <c r="X136" s="10"/>
      <c r="Y136" s="304"/>
      <c r="Z136" s="304"/>
      <c r="AA136" s="304"/>
    </row>
    <row r="137" spans="2:27">
      <c r="B137" s="5"/>
      <c r="C137" s="5"/>
      <c r="D137" s="17"/>
      <c r="E137" s="17"/>
      <c r="F137" s="17"/>
      <c r="G137" s="17"/>
      <c r="H137" s="17"/>
      <c r="I137" s="17"/>
      <c r="J137" s="17"/>
      <c r="K137" s="17"/>
      <c r="L137" s="17"/>
      <c r="M137" s="17"/>
      <c r="N137" s="17"/>
      <c r="O137" s="5"/>
      <c r="Q137" s="5"/>
      <c r="R137" s="5"/>
      <c r="S137" s="5"/>
      <c r="T137" s="5"/>
      <c r="U137" s="5"/>
      <c r="Y137" s="10"/>
      <c r="Z137" s="10"/>
      <c r="AA137" s="10"/>
    </row>
    <row r="138" spans="2:27">
      <c r="B138" s="5"/>
      <c r="C138" s="5"/>
      <c r="D138" s="17"/>
      <c r="E138" s="17"/>
      <c r="F138" s="17"/>
      <c r="G138" s="17"/>
      <c r="H138" s="17"/>
      <c r="I138" s="5"/>
      <c r="J138" s="17"/>
      <c r="K138" s="17"/>
      <c r="L138" s="17"/>
      <c r="M138" s="17"/>
      <c r="N138" s="17"/>
      <c r="O138" s="5"/>
      <c r="Q138" s="5"/>
      <c r="R138" s="5"/>
      <c r="S138" s="5"/>
      <c r="T138" s="5"/>
      <c r="U138" s="5"/>
    </row>
    <row r="139" spans="2:27">
      <c r="B139" s="5"/>
      <c r="C139" s="5"/>
      <c r="D139" s="17"/>
      <c r="E139" s="17"/>
      <c r="F139" s="17"/>
      <c r="G139" s="17"/>
      <c r="H139" s="17"/>
      <c r="I139" s="5"/>
      <c r="J139" s="17"/>
      <c r="K139" s="17"/>
      <c r="L139" s="17"/>
      <c r="M139" s="17"/>
      <c r="N139" s="17"/>
      <c r="O139" s="5"/>
      <c r="Q139" s="5"/>
      <c r="R139" s="5"/>
      <c r="S139" s="5"/>
      <c r="T139" s="5"/>
      <c r="U139" s="5"/>
    </row>
    <row r="140" spans="2:27">
      <c r="B140" s="5"/>
      <c r="C140" s="17"/>
      <c r="D140" s="17"/>
      <c r="E140" s="17"/>
      <c r="F140" s="17"/>
      <c r="G140" s="17"/>
      <c r="H140" s="17"/>
      <c r="I140" s="5"/>
      <c r="J140" s="5"/>
      <c r="K140" s="5"/>
      <c r="L140" s="5"/>
      <c r="M140" s="5"/>
      <c r="N140" s="5"/>
      <c r="O140" s="5"/>
      <c r="Q140" s="5"/>
      <c r="R140" s="5"/>
      <c r="S140" s="5"/>
      <c r="T140" s="5"/>
      <c r="U140" s="5"/>
    </row>
    <row r="141" spans="2:27">
      <c r="B141" s="5"/>
      <c r="C141" s="5"/>
      <c r="D141" s="5"/>
      <c r="E141" s="5"/>
      <c r="F141" s="5"/>
      <c r="G141" s="5"/>
      <c r="H141" s="5"/>
      <c r="I141" s="5"/>
      <c r="J141" s="5"/>
      <c r="K141" s="5"/>
      <c r="L141" s="5"/>
      <c r="M141" s="5"/>
      <c r="N141" s="5"/>
      <c r="O141" s="5"/>
      <c r="Q141" s="5"/>
      <c r="R141" s="5"/>
      <c r="S141" s="5"/>
      <c r="T141" s="5"/>
      <c r="U141" s="5"/>
    </row>
    <row r="142" spans="2:27">
      <c r="B142" s="5"/>
      <c r="C142" s="5"/>
      <c r="D142" s="5"/>
      <c r="E142" s="5"/>
      <c r="F142" s="5"/>
      <c r="G142" s="5"/>
      <c r="H142" s="5"/>
      <c r="I142" s="5"/>
      <c r="J142" s="5"/>
      <c r="K142" s="5"/>
      <c r="L142" s="5"/>
      <c r="M142" s="5"/>
      <c r="N142" s="5"/>
      <c r="O142" s="5"/>
      <c r="Q142" s="5"/>
      <c r="R142" s="5"/>
      <c r="S142" s="5"/>
      <c r="T142" s="5"/>
      <c r="U142" s="5"/>
    </row>
    <row r="143" spans="2:27">
      <c r="B143" s="5"/>
      <c r="C143" s="5"/>
      <c r="D143" s="5"/>
      <c r="E143" s="5"/>
      <c r="F143" s="5"/>
      <c r="G143" s="5"/>
      <c r="H143" s="5"/>
      <c r="I143" s="5"/>
      <c r="J143" s="5"/>
      <c r="K143" s="5"/>
      <c r="L143" s="5"/>
      <c r="M143" s="5"/>
      <c r="N143" s="5"/>
      <c r="O143" s="5"/>
      <c r="Q143" s="5"/>
      <c r="R143" s="5"/>
      <c r="S143" s="5"/>
      <c r="T143" s="5"/>
      <c r="U143" s="5"/>
    </row>
    <row r="144" spans="2:27">
      <c r="B144" s="5"/>
      <c r="C144" s="5"/>
      <c r="D144" s="5"/>
      <c r="E144" s="5"/>
      <c r="F144" s="5"/>
      <c r="G144" s="5"/>
      <c r="H144" s="5"/>
      <c r="I144" s="5"/>
      <c r="J144" s="5"/>
      <c r="K144" s="5"/>
      <c r="L144" s="5"/>
      <c r="M144" s="5"/>
      <c r="N144" s="5"/>
      <c r="O144" s="5"/>
      <c r="Q144" s="5"/>
      <c r="R144" s="5"/>
      <c r="S144" s="5"/>
      <c r="T144" s="5"/>
      <c r="U144" s="5"/>
    </row>
    <row r="145" spans="2:21">
      <c r="B145" s="5"/>
      <c r="C145" s="5"/>
      <c r="D145" s="5"/>
      <c r="E145" s="5"/>
      <c r="F145" s="5"/>
      <c r="G145" s="5"/>
      <c r="H145" s="5"/>
      <c r="I145" s="5"/>
      <c r="J145" s="5"/>
      <c r="K145" s="5"/>
      <c r="L145" s="5"/>
      <c r="M145" s="5"/>
      <c r="N145" s="5"/>
      <c r="O145" s="5"/>
      <c r="Q145" s="5"/>
      <c r="R145" s="5"/>
      <c r="S145" s="5"/>
      <c r="T145" s="5"/>
      <c r="U145" s="5"/>
    </row>
    <row r="146" spans="2:21">
      <c r="B146" s="5"/>
      <c r="C146" s="5"/>
      <c r="D146" s="5"/>
      <c r="E146" s="5"/>
      <c r="F146" s="5"/>
      <c r="G146" s="5"/>
      <c r="H146" s="5"/>
      <c r="I146" s="5"/>
      <c r="J146" s="5"/>
      <c r="K146" s="5"/>
      <c r="L146" s="5"/>
      <c r="M146" s="5"/>
      <c r="N146" s="5"/>
      <c r="O146" s="5"/>
      <c r="Q146" s="5"/>
      <c r="R146" s="5"/>
      <c r="S146" s="5"/>
      <c r="T146" s="5"/>
      <c r="U146" s="5"/>
    </row>
    <row r="147" spans="2:21">
      <c r="B147" s="5"/>
      <c r="C147" s="5"/>
      <c r="D147" s="5"/>
      <c r="E147" s="5"/>
      <c r="F147" s="5"/>
      <c r="G147" s="5"/>
      <c r="H147" s="5"/>
      <c r="I147" s="5"/>
      <c r="J147" s="5"/>
      <c r="K147" s="5"/>
      <c r="L147" s="5"/>
      <c r="M147" s="5"/>
      <c r="N147" s="5"/>
      <c r="O147" s="5"/>
      <c r="Q147" s="5"/>
      <c r="R147" s="5"/>
      <c r="S147" s="5"/>
      <c r="T147" s="5"/>
      <c r="U147" s="5"/>
    </row>
    <row r="148" spans="2:21">
      <c r="B148" s="5"/>
      <c r="C148" s="5"/>
      <c r="D148" s="5"/>
      <c r="E148" s="5"/>
      <c r="F148" s="5"/>
      <c r="G148" s="5"/>
      <c r="H148" s="5"/>
      <c r="J148" s="5"/>
      <c r="K148" s="5"/>
      <c r="L148" s="5"/>
      <c r="M148" s="5"/>
      <c r="N148" s="5"/>
      <c r="O148" s="5"/>
      <c r="Q148" s="5"/>
      <c r="R148" s="5"/>
      <c r="S148" s="5"/>
      <c r="T148" s="5"/>
      <c r="U148" s="5"/>
    </row>
    <row r="149" spans="2:21">
      <c r="B149" s="5"/>
      <c r="C149" s="5"/>
      <c r="D149" s="5"/>
      <c r="E149" s="5"/>
      <c r="F149" s="5"/>
      <c r="G149" s="5"/>
      <c r="H149" s="5"/>
      <c r="J149" s="5"/>
      <c r="K149" s="5"/>
      <c r="L149" s="5"/>
      <c r="M149" s="5"/>
      <c r="N149" s="5"/>
      <c r="O149" s="5"/>
      <c r="Q149" s="5"/>
      <c r="R149" s="5"/>
      <c r="S149" s="5"/>
      <c r="T149" s="5"/>
      <c r="U149" s="5"/>
    </row>
    <row r="150" spans="2:21">
      <c r="B150" s="5"/>
      <c r="C150" s="5"/>
      <c r="D150" s="5"/>
      <c r="E150" s="5"/>
      <c r="F150" s="5"/>
      <c r="G150" s="5"/>
      <c r="H150" s="5"/>
      <c r="Q150" s="5"/>
      <c r="R150" s="5"/>
      <c r="S150" s="5"/>
      <c r="T150" s="5"/>
      <c r="U150" s="5"/>
    </row>
    <row r="151" spans="2:21">
      <c r="Q151" s="5"/>
      <c r="R151" s="5"/>
      <c r="S151" s="5"/>
      <c r="T151" s="5"/>
      <c r="U151" s="5"/>
    </row>
    <row r="152" spans="2:21">
      <c r="Q152" s="5"/>
      <c r="R152" s="5"/>
      <c r="S152" s="5"/>
      <c r="T152" s="5"/>
      <c r="U152" s="5"/>
    </row>
    <row r="153" spans="2:21">
      <c r="C153" s="263"/>
      <c r="Q153" s="5"/>
      <c r="R153" s="5"/>
      <c r="S153" s="5"/>
      <c r="T153" s="5"/>
      <c r="U153" s="5"/>
    </row>
    <row r="154" spans="2:21">
      <c r="Q154" s="5"/>
      <c r="R154" s="5"/>
      <c r="S154" s="5"/>
      <c r="T154" s="5"/>
      <c r="U154" s="5"/>
    </row>
    <row r="155" spans="2:21">
      <c r="Q155" s="5"/>
      <c r="R155" s="5"/>
      <c r="S155" s="5"/>
      <c r="T155" s="5"/>
      <c r="U155" s="5"/>
    </row>
    <row r="156" spans="2:21">
      <c r="Q156" s="5"/>
      <c r="R156" s="5"/>
      <c r="S156" s="5"/>
      <c r="T156" s="5"/>
      <c r="U156" s="5"/>
    </row>
    <row r="157" spans="2:21">
      <c r="Q157" s="5"/>
      <c r="R157" s="5"/>
      <c r="S157" s="5"/>
      <c r="T157" s="5"/>
      <c r="U157" s="5"/>
    </row>
    <row r="158" spans="2:21">
      <c r="Q158" s="5"/>
      <c r="R158" s="5"/>
      <c r="S158" s="5"/>
      <c r="T158" s="5"/>
      <c r="U158" s="5"/>
    </row>
    <row r="159" spans="2:21">
      <c r="Q159" s="5"/>
      <c r="R159" s="5"/>
      <c r="S159" s="5"/>
      <c r="T159" s="5"/>
      <c r="U159" s="5"/>
    </row>
    <row r="160" spans="2:21">
      <c r="Q160" s="5"/>
      <c r="R160" s="5"/>
      <c r="S160" s="5"/>
      <c r="T160" s="5"/>
      <c r="U160" s="5"/>
    </row>
    <row r="161" spans="17:21">
      <c r="Q161" s="5"/>
      <c r="R161" s="5"/>
      <c r="S161" s="5"/>
      <c r="T161" s="5"/>
      <c r="U161" s="5"/>
    </row>
    <row r="162" spans="17:21">
      <c r="Q162" s="5"/>
      <c r="R162" s="5"/>
      <c r="S162" s="5"/>
      <c r="T162" s="5"/>
      <c r="U162" s="5"/>
    </row>
    <row r="163" spans="17:21">
      <c r="Q163" s="5"/>
      <c r="R163" s="5"/>
      <c r="S163" s="5"/>
      <c r="T163" s="5"/>
      <c r="U163" s="5"/>
    </row>
    <row r="164" spans="17:21">
      <c r="Q164" s="5"/>
      <c r="R164" s="5"/>
      <c r="S164" s="5"/>
      <c r="T164" s="5"/>
      <c r="U164" s="5"/>
    </row>
  </sheetData>
  <pageMargins left="0.75" right="0.75" top="1" bottom="1" header="0.5" footer="0.5"/>
  <pageSetup scale="69" orientation="landscape" r:id="rId1"/>
  <headerFooter alignWithMargins="0"/>
  <drawing r:id="rId2"/>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CFB5CB-9A04-465E-96B3-1CA18CB3A2A5}">
  <sheetPr codeName="Sheet80">
    <tabColor theme="3" tint="0.59999389629810485"/>
    <pageSetUpPr fitToPage="1"/>
  </sheetPr>
  <dimension ref="B1:BK164"/>
  <sheetViews>
    <sheetView showGridLines="0" zoomScale="80" zoomScaleNormal="80" workbookViewId="0"/>
  </sheetViews>
  <sheetFormatPr defaultColWidth="8.88671875" defaultRowHeight="12"/>
  <cols>
    <col min="1" max="1" width="2.33203125" style="39" customWidth="1"/>
    <col min="2" max="2" width="26.6640625" style="39" customWidth="1"/>
    <col min="3" max="9" width="10" style="39" customWidth="1"/>
    <col min="10" max="10" width="26.6640625" style="39" customWidth="1"/>
    <col min="11" max="16" width="10" style="39" customWidth="1"/>
    <col min="17" max="17" width="4.5546875" style="39" customWidth="1"/>
    <col min="18" max="20" width="8.88671875" style="39"/>
    <col min="21" max="21" width="3.6640625" style="39" customWidth="1"/>
    <col min="22" max="63" width="9.109375" style="5" customWidth="1"/>
    <col min="64" max="16384" width="8.88671875" style="39"/>
  </cols>
  <sheetData>
    <row r="1" spans="2:63" s="312" customFormat="1">
      <c r="V1" s="149"/>
      <c r="W1" s="149"/>
      <c r="X1" s="149"/>
      <c r="Y1" s="149"/>
      <c r="Z1" s="149"/>
      <c r="AA1" s="149"/>
      <c r="AB1" s="149"/>
      <c r="AC1" s="149"/>
      <c r="AD1" s="149"/>
      <c r="AE1" s="149"/>
      <c r="AF1" s="149"/>
      <c r="AG1" s="149"/>
      <c r="AH1" s="149"/>
      <c r="AI1" s="149"/>
      <c r="AJ1" s="149"/>
      <c r="AK1" s="149"/>
      <c r="AL1" s="149"/>
      <c r="AM1" s="149"/>
      <c r="AN1" s="149"/>
      <c r="AO1" s="149"/>
      <c r="AP1" s="149"/>
      <c r="AQ1" s="149"/>
      <c r="AR1" s="149"/>
      <c r="AS1" s="149"/>
      <c r="AT1" s="149"/>
      <c r="AU1" s="149"/>
      <c r="AV1" s="149"/>
      <c r="AW1" s="149"/>
      <c r="AX1" s="149"/>
      <c r="AY1" s="149"/>
      <c r="AZ1" s="149"/>
      <c r="BA1" s="149"/>
      <c r="BB1" s="149"/>
      <c r="BC1" s="149"/>
      <c r="BD1" s="149"/>
      <c r="BE1" s="149"/>
      <c r="BF1" s="149"/>
      <c r="BG1" s="149"/>
      <c r="BH1" s="149"/>
      <c r="BI1" s="149"/>
      <c r="BJ1" s="149"/>
      <c r="BK1" s="149"/>
    </row>
    <row r="2" spans="2:63" s="312" customFormat="1">
      <c r="V2" s="149"/>
      <c r="W2" s="149"/>
      <c r="X2" s="149"/>
      <c r="Y2" s="149"/>
      <c r="Z2" s="149"/>
      <c r="AA2" s="149"/>
      <c r="AB2" s="149"/>
      <c r="AC2" s="149"/>
      <c r="AD2" s="149"/>
      <c r="AE2" s="149"/>
      <c r="AF2" s="149"/>
      <c r="AG2" s="149"/>
      <c r="AH2" s="149"/>
      <c r="AI2" s="149"/>
      <c r="AJ2" s="149"/>
      <c r="AK2" s="149"/>
      <c r="AL2" s="149"/>
      <c r="AM2" s="149"/>
      <c r="AN2" s="149"/>
      <c r="AO2" s="149"/>
      <c r="AP2" s="149"/>
      <c r="AQ2" s="149"/>
      <c r="AR2" s="149"/>
      <c r="AS2" s="149"/>
      <c r="AT2" s="149"/>
      <c r="AU2" s="149"/>
      <c r="AV2" s="149"/>
      <c r="AW2" s="149"/>
      <c r="AX2" s="149"/>
      <c r="AY2" s="149"/>
      <c r="AZ2" s="149"/>
      <c r="BA2" s="149"/>
      <c r="BB2" s="149"/>
      <c r="BC2" s="149"/>
      <c r="BD2" s="149"/>
      <c r="BE2" s="149"/>
      <c r="BF2" s="149"/>
      <c r="BG2" s="149"/>
      <c r="BH2" s="149"/>
      <c r="BI2" s="149"/>
      <c r="BJ2" s="149"/>
      <c r="BK2" s="149"/>
    </row>
    <row r="3" spans="2:63" s="149" customFormat="1">
      <c r="H3" s="153"/>
      <c r="P3" s="153"/>
    </row>
    <row r="4" spans="2:63" s="156" customFormat="1" ht="21">
      <c r="B4" s="129" t="s">
        <v>1401</v>
      </c>
      <c r="H4" s="222"/>
      <c r="P4" s="222"/>
    </row>
    <row r="5" spans="2:63" s="149" customFormat="1">
      <c r="C5" s="153"/>
      <c r="D5" s="153" t="str" cm="1">
        <f t="array" ref="D5:H5">headings</f>
        <v>2023E</v>
      </c>
      <c r="E5" s="153" t="str">
        <v>2024E</v>
      </c>
      <c r="F5" s="153" t="str">
        <v>2025E</v>
      </c>
      <c r="G5" s="153" t="str">
        <v>2026E</v>
      </c>
      <c r="H5" s="153" t="str">
        <v>23E-26E</v>
      </c>
      <c r="I5" s="153"/>
      <c r="J5" s="153"/>
      <c r="K5" s="153"/>
      <c r="L5" s="153" t="str" cm="1">
        <f t="array" ref="L5:P5">headings</f>
        <v>2023E</v>
      </c>
      <c r="M5" s="153" t="str">
        <v>2024E</v>
      </c>
      <c r="N5" s="153" t="str">
        <v>2025E</v>
      </c>
      <c r="O5" s="153" t="str">
        <v>2026E</v>
      </c>
      <c r="P5" s="153" t="str">
        <v>23E-26E</v>
      </c>
      <c r="Q5" s="162"/>
      <c r="R5" s="162"/>
      <c r="S5" s="162"/>
      <c r="T5" s="162"/>
      <c r="U5" s="162"/>
      <c r="V5" s="162"/>
      <c r="W5" s="162"/>
      <c r="X5" s="162"/>
      <c r="Y5" s="162"/>
    </row>
    <row r="6" spans="2:63">
      <c r="I6" s="5"/>
      <c r="J6" s="5"/>
      <c r="K6" s="5"/>
      <c r="L6" s="5"/>
      <c r="M6" s="5"/>
      <c r="N6" s="5"/>
      <c r="O6" s="49"/>
    </row>
    <row r="7" spans="2:63" ht="12.6" thickBot="1">
      <c r="B7" s="306" t="s">
        <v>271</v>
      </c>
      <c r="C7" s="265"/>
      <c r="D7" s="265"/>
      <c r="E7" s="265"/>
      <c r="F7" s="265"/>
      <c r="G7" s="265"/>
      <c r="H7" s="265"/>
      <c r="I7" s="49"/>
      <c r="J7" s="306" t="s">
        <v>200</v>
      </c>
      <c r="K7" s="306"/>
      <c r="L7" s="306"/>
      <c r="M7" s="306"/>
      <c r="N7" s="266"/>
      <c r="O7" s="266"/>
      <c r="P7" s="266"/>
    </row>
    <row r="8" spans="2:63" ht="12.6" thickTop="1">
      <c r="B8" s="5"/>
      <c r="C8" s="5"/>
      <c r="D8" s="5"/>
      <c r="E8" s="5"/>
      <c r="F8" s="5"/>
      <c r="G8" s="5"/>
      <c r="H8" s="5"/>
      <c r="I8" s="5"/>
      <c r="J8" s="5"/>
      <c r="K8" s="5"/>
      <c r="L8" s="5"/>
      <c r="M8" s="5"/>
      <c r="N8" s="5"/>
    </row>
    <row r="9" spans="2:63">
      <c r="B9" s="41" t="s">
        <v>500</v>
      </c>
      <c r="C9" s="287"/>
      <c r="D9" s="5"/>
      <c r="E9" s="249"/>
      <c r="F9" s="249"/>
      <c r="G9" s="249"/>
      <c r="H9" s="249"/>
      <c r="I9" s="249"/>
      <c r="J9" s="5" t="s">
        <v>273</v>
      </c>
      <c r="L9" s="64">
        <f>'AGG EM'!D37</f>
        <v>36.099467473183068</v>
      </c>
      <c r="M9" s="64">
        <f>'AGG EM'!E37</f>
        <v>33.850821771625633</v>
      </c>
      <c r="N9" s="64">
        <f>'AGG EM'!F37</f>
        <v>28.989720438526753</v>
      </c>
      <c r="O9" s="64">
        <f>'AGG EM'!G37</f>
        <v>24.505387911772221</v>
      </c>
      <c r="P9" s="17">
        <f>'AGG EM'!H37</f>
        <v>4.6033064370190946E-2</v>
      </c>
    </row>
    <row r="10" spans="2:63">
      <c r="B10" s="5" t="s">
        <v>274</v>
      </c>
      <c r="C10" s="5"/>
      <c r="D10" s="332"/>
      <c r="E10" s="332"/>
      <c r="F10" s="332"/>
      <c r="G10" s="332"/>
      <c r="H10" s="247"/>
      <c r="I10" s="247"/>
      <c r="J10" s="5" t="s">
        <v>184</v>
      </c>
      <c r="L10" s="64">
        <f>'AGG EM'!D38</f>
        <v>105.42482757786077</v>
      </c>
      <c r="M10" s="64">
        <f>'AGG EM'!E38</f>
        <v>98.32493726594646</v>
      </c>
      <c r="N10" s="64">
        <f>'AGG EM'!F38</f>
        <v>83.460498540205094</v>
      </c>
      <c r="O10" s="64">
        <f>'AGG EM'!G38</f>
        <v>69.927868752575165</v>
      </c>
      <c r="P10" s="17">
        <f>'AGG EM'!H38</f>
        <v>5.4135753422354771E-2</v>
      </c>
      <c r="W10" s="10"/>
      <c r="X10" s="10"/>
      <c r="Y10" s="10"/>
      <c r="Z10" s="10"/>
    </row>
    <row r="11" spans="2:63">
      <c r="B11" s="41" t="s">
        <v>1402</v>
      </c>
      <c r="C11" s="5"/>
      <c r="D11" s="271">
        <f>ChinaTow!D11/Prices!$C$175+BHIN!D11/Prices!$C$152+IHS!D11+SITES!D11/Prices!$C$180+(TOWR!D11/1000)/Prices!$C$172+(TBIG!D11/1000)/Prices!$C$172</f>
        <v>36614.198392191407</v>
      </c>
      <c r="E11" s="271">
        <f>ChinaTow!E11/Prices!$C$175+BHIN!E11/Prices!$C$152+IHS!E11+SITES!E11/Prices!$C$180+(TOWR!E11/1000)/Prices!$C$172+(TBIG!E11/1000)/Prices!$C$172</f>
        <v>36629.205106834233</v>
      </c>
      <c r="F11" s="271">
        <f>ChinaTow!F11/Prices!$C$175+BHIN!F11/Prices!$C$152+IHS!F11+SITES!F11/Prices!$C$180+(TOWR!F11/1000)/Prices!$C$172+(TBIG!F11/1000)/Prices!$C$172</f>
        <v>36563.268023563192</v>
      </c>
      <c r="G11" s="271">
        <f>ChinaTow!G11/Prices!$C$175+BHIN!G11/Prices!$C$152+IHS!G11+SITES!G11/Prices!$C$180+(TOWR!G11/1000)/Prices!$C$172+(TBIG!G11/1000)/Prices!$C$172</f>
        <v>36364.858005627786</v>
      </c>
      <c r="H11" s="249"/>
      <c r="I11" s="249"/>
      <c r="J11" s="5" t="s">
        <v>185</v>
      </c>
      <c r="L11" s="64">
        <f>'AGG EM'!D39</f>
        <v>224.63525692719486</v>
      </c>
      <c r="M11" s="64">
        <f>'AGG EM'!E39</f>
        <v>195.27313510926092</v>
      </c>
      <c r="N11" s="64">
        <f>'AGG EM'!F39</f>
        <v>156.82951036244214</v>
      </c>
      <c r="O11" s="64">
        <f>'AGG EM'!G39</f>
        <v>125.44852848860397</v>
      </c>
      <c r="P11" s="17">
        <f>'AGG EM'!H39</f>
        <v>0.11635706268692725</v>
      </c>
      <c r="W11" s="10"/>
      <c r="X11" s="10"/>
      <c r="Y11" s="10"/>
      <c r="Z11" s="10"/>
    </row>
    <row r="12" spans="2:63">
      <c r="B12" s="5" t="s">
        <v>229</v>
      </c>
      <c r="C12" s="249"/>
      <c r="D12" s="228">
        <f>ChinaTow!D12/Prices!$C$175+BHIN!D12/Prices!$C$152+IHS!D12+SITES!D12/Prices!$C$180+(TOWR!D12/1000)/Prices!$C$172+(TBIG!D12/1000)/Prices!$C$172</f>
        <v>15247.353529530428</v>
      </c>
      <c r="E12" s="228">
        <f>ChinaTow!E12/Prices!$C$175+BHIN!E12/Prices!$C$152+IHS!E12+SITES!E12/Prices!$C$180+(TOWR!E12/1000)/Prices!$C$172+(TBIG!E12/1000)/Prices!$C$172</f>
        <v>12680.830353309633</v>
      </c>
      <c r="F12" s="228">
        <f>ChinaTow!F12/Prices!$C$175+BHIN!F12/Prices!$C$152+IHS!F12+SITES!F12/Prices!$C$180+(TOWR!F12/1000)/Prices!$C$172+(TBIG!F12/1000)/Prices!$C$172</f>
        <v>10095.501505394337</v>
      </c>
      <c r="G12" s="228">
        <f>ChinaTow!G12/Prices!$C$175+BHIN!G12/Prices!$C$152+IHS!G12+SITES!G12/Prices!$C$180+(TOWR!G12/1000)/Prices!$C$172+(TBIG!G12/1000)/Prices!$C$172</f>
        <v>7513.805256715902</v>
      </c>
      <c r="H12" s="247"/>
      <c r="I12" s="247"/>
      <c r="J12" s="5" t="s">
        <v>466</v>
      </c>
      <c r="L12" s="64">
        <f>'AGG EM'!D40</f>
        <v>301.14194802237273</v>
      </c>
      <c r="M12" s="64">
        <f>'AGG EM'!E40</f>
        <v>259.63239152824843</v>
      </c>
      <c r="N12" s="64">
        <f>'AGG EM'!F40</f>
        <v>208.91697606045113</v>
      </c>
      <c r="O12" s="64">
        <f>'AGG EM'!G40</f>
        <v>167.13793424632385</v>
      </c>
      <c r="P12" s="17">
        <f>'AGG EM'!H40</f>
        <v>0.11865907373414464</v>
      </c>
      <c r="W12" s="10"/>
      <c r="X12" s="10"/>
      <c r="Y12" s="10"/>
      <c r="Z12" s="10"/>
    </row>
    <row r="13" spans="2:63">
      <c r="B13" s="5" t="s">
        <v>529</v>
      </c>
      <c r="C13" s="257"/>
      <c r="D13" s="228">
        <f>ChinaTow!D13/Prices!$C$175+BHIN!D13/Prices!$C$152+IHS!D13+SITES!D13/Prices!$C$180+(TOWR!D13/1000)/Prices!$C$172+(TBIG!D13/1000)/Prices!$C$172</f>
        <v>0</v>
      </c>
      <c r="E13" s="228">
        <f>ChinaTow!E13/Prices!$C$175+BHIN!E13/Prices!$C$152+IHS!E13+SITES!E13/Prices!$C$180+(TOWR!E13/1000)/Prices!$C$172+(TBIG!E13/1000)/Prices!$C$172</f>
        <v>0</v>
      </c>
      <c r="F13" s="228">
        <f>ChinaTow!F13/Prices!$C$175+BHIN!F13/Prices!$C$152+IHS!F13+SITES!F13/Prices!$C$180+(TOWR!F13/1000)/Prices!$C$172+(TBIG!F13/1000)/Prices!$C$172</f>
        <v>0</v>
      </c>
      <c r="G13" s="228">
        <f>ChinaTow!G13/Prices!$C$175+BHIN!G13/Prices!$C$152+IHS!G13+SITES!G13/Prices!$C$180+(TOWR!G13/1000)/Prices!$C$172+(TBIG!G13/1000)/Prices!$C$172</f>
        <v>0</v>
      </c>
      <c r="H13" s="247"/>
      <c r="I13" s="247"/>
      <c r="J13" s="5" t="s">
        <v>530</v>
      </c>
      <c r="L13" s="64">
        <f>'AGG EM'!D41</f>
        <v>27.243713322021154</v>
      </c>
      <c r="M13" s="64">
        <f>'AGG EM'!E41</f>
        <v>27.089658338273644</v>
      </c>
      <c r="N13" s="64">
        <f>'AGG EM'!F41</f>
        <v>24.66957505581005</v>
      </c>
      <c r="O13" s="64">
        <f>'AGG EM'!G41</f>
        <v>22.040277006694431</v>
      </c>
      <c r="P13" s="17">
        <f>'AGG EM'!H41</f>
        <v>-1.3382626032309664E-2</v>
      </c>
    </row>
    <row r="14" spans="2:63">
      <c r="B14" s="5" t="s">
        <v>532</v>
      </c>
      <c r="C14" s="274"/>
      <c r="D14" s="228">
        <f>ChinaTow!D14/Prices!$C$175+BHIN!D14/Prices!$C$152+IHS!D14+SITES!D14/Prices!$C$180+(TOWR!D14/1000)/Prices!$C$172+(TBIG!D14/1000)/Prices!$C$172</f>
        <v>0</v>
      </c>
      <c r="E14" s="228">
        <f>ChinaTow!E14/Prices!$C$175+BHIN!E14/Prices!$C$152+IHS!E14+SITES!E14/Prices!$C$180+(TOWR!E14/1000)/Prices!$C$172+(TBIG!E14/1000)/Prices!$C$172</f>
        <v>0</v>
      </c>
      <c r="F14" s="228">
        <f>ChinaTow!F14/Prices!$C$175+BHIN!F14/Prices!$C$152+IHS!F14+SITES!F14/Prices!$C$180+(TOWR!F14/1000)/Prices!$C$172+(TBIG!F14/1000)/Prices!$C$172</f>
        <v>0</v>
      </c>
      <c r="G14" s="228">
        <f>ChinaTow!G14/Prices!$C$175+BHIN!G14/Prices!$C$152+IHS!G14+SITES!G14/Prices!$C$180+(TOWR!G14/1000)/Prices!$C$172+(TBIG!G14/1000)/Prices!$C$172</f>
        <v>0</v>
      </c>
      <c r="H14" s="247"/>
      <c r="I14" s="247"/>
      <c r="J14" s="5" t="s">
        <v>593</v>
      </c>
      <c r="L14" s="64">
        <f>'AGG EM'!D42</f>
        <v>42.295202413837345</v>
      </c>
      <c r="M14" s="64">
        <f>'AGG EM'!E42</f>
        <v>41.555857792028846</v>
      </c>
      <c r="N14" s="64">
        <f>'AGG EM'!F42</f>
        <v>37.316788882264667</v>
      </c>
      <c r="O14" s="64">
        <f>'AGG EM'!G42</f>
        <v>33.586664495982959</v>
      </c>
      <c r="P14" s="17">
        <f>'AGG EM'!H42</f>
        <v>-7.2488050935257675E-3</v>
      </c>
    </row>
    <row r="15" spans="2:63">
      <c r="B15" s="5" t="s">
        <v>531</v>
      </c>
      <c r="C15" s="257"/>
      <c r="D15" s="228">
        <f>ChinaTow!D15/Prices!$C$175+BHIN!D15/Prices!$C$152+IHS!D15+SITES!D15/Prices!$C$180+(TOWR!D15/1000)/Prices!$C$172+(TBIG!D15/1000)/Prices!$C$172</f>
        <v>0</v>
      </c>
      <c r="E15" s="228">
        <f>ChinaTow!E15/Prices!$C$175+BHIN!E15/Prices!$C$152+IHS!E15+SITES!E15/Prices!$C$180+(TOWR!E15/1000)/Prices!$C$172+(TBIG!E15/1000)/Prices!$C$172</f>
        <v>0</v>
      </c>
      <c r="F15" s="228">
        <f>ChinaTow!F15/Prices!$C$175+BHIN!F15/Prices!$C$152+IHS!F15+SITES!F15/Prices!$C$180+(TOWR!F15/1000)/Prices!$C$172+(TBIG!F15/1000)/Prices!$C$172</f>
        <v>0</v>
      </c>
      <c r="G15" s="228">
        <f>ChinaTow!G15/Prices!$C$175+BHIN!G15/Prices!$C$152+IHS!G15+SITES!G15/Prices!$C$180+(TOWR!G15/1000)/Prices!$C$172+(TBIG!G15/1000)/Prices!$C$172</f>
        <v>0</v>
      </c>
      <c r="H15" s="247"/>
      <c r="I15" s="247"/>
      <c r="J15" s="5" t="s">
        <v>475</v>
      </c>
      <c r="L15" s="64">
        <f>'AGG EM'!D43</f>
        <v>19.300585311517345</v>
      </c>
      <c r="M15" s="64">
        <f>'AGG EM'!E43</f>
        <v>15.882933755129079</v>
      </c>
      <c r="N15" s="64">
        <f>'AGG EM'!F43</f>
        <v>13.174403404675031</v>
      </c>
      <c r="O15" s="64">
        <f>'AGG EM'!G43</f>
        <v>11.229961793899795</v>
      </c>
      <c r="P15" s="17">
        <f>'AGG EM'!H43</f>
        <v>0.19549120190388991</v>
      </c>
      <c r="S15" s="88"/>
      <c r="T15" s="88"/>
      <c r="U15" s="88"/>
      <c r="V15" s="42"/>
      <c r="W15" s="42"/>
      <c r="X15" s="42"/>
      <c r="Y15" s="42"/>
      <c r="Z15" s="42"/>
      <c r="AA15" s="42"/>
    </row>
    <row r="16" spans="2:63">
      <c r="B16" s="5" t="s">
        <v>534</v>
      </c>
      <c r="C16" s="257"/>
      <c r="D16" s="228">
        <f>ChinaTow!D16/Prices!$C$175+BHIN!D16/Prices!$C$152+IHS!D16+SITES!D16/Prices!$C$180+(TOWR!D16/1000)/Prices!$C$172+(TBIG!D16/1000)/Prices!$C$172</f>
        <v>177.73428977968274</v>
      </c>
      <c r="E16" s="228">
        <f>ChinaTow!E16/Prices!$C$175+BHIN!E16/Prices!$C$152+IHS!E16+SITES!E16/Prices!$C$180+(TOWR!E16/1000)/Prices!$C$172+(TBIG!E16/1000)/Prices!$C$172</f>
        <v>544.78721705306737</v>
      </c>
      <c r="F16" s="228">
        <f>ChinaTow!F16/Prices!$C$175+BHIN!F16/Prices!$C$152+IHS!F16+SITES!F16/Prices!$C$180+(TOWR!F16/1000)/Prices!$C$172+(TBIG!F16/1000)/Prices!$C$172</f>
        <v>2344.9099923060658</v>
      </c>
      <c r="G16" s="228">
        <f>ChinaTow!G16/Prices!$C$175+BHIN!G16/Prices!$C$152+IHS!G16+SITES!G16/Prices!$C$180+(TOWR!G16/1000)/Prices!$C$172+(TBIG!G16/1000)/Prices!$C$172</f>
        <v>4498.6664106485878</v>
      </c>
      <c r="H16" s="247"/>
      <c r="I16" s="247"/>
      <c r="J16" s="5" t="s">
        <v>533</v>
      </c>
      <c r="L16" s="64">
        <f>'AGG EM'!D44</f>
        <v>245.42467510563969</v>
      </c>
      <c r="M16" s="64">
        <f>'AGG EM'!E44</f>
        <v>213.62789634539095</v>
      </c>
      <c r="N16" s="64">
        <f>'AGG EM'!F44</f>
        <v>181.57395789810795</v>
      </c>
      <c r="O16" s="64">
        <f>'AGG EM'!G44</f>
        <v>158.59598060321596</v>
      </c>
      <c r="P16" s="17">
        <f>'AGG EM'!H44</f>
        <v>0.16397795492835376</v>
      </c>
      <c r="S16" s="88"/>
      <c r="T16" s="88"/>
      <c r="U16" s="88"/>
      <c r="V16" s="42"/>
      <c r="W16" s="42"/>
      <c r="X16" s="42"/>
      <c r="Y16" s="42"/>
      <c r="Z16" s="42"/>
      <c r="AA16" s="42"/>
    </row>
    <row r="17" spans="2:27">
      <c r="B17" s="5" t="s">
        <v>6</v>
      </c>
      <c r="C17" s="257"/>
      <c r="D17" s="228">
        <f>ChinaTow!D17/Prices!$C$175+BHIN!D17/Prices!$C$152+IHS!D17+SITES!D17/Prices!$C$180+(TOWR!D17/1000)/Prices!$C$172+(TBIG!D17/1000)/Prices!$C$172</f>
        <v>0</v>
      </c>
      <c r="E17" s="228">
        <f>ChinaTow!E17/Prices!$C$175+BHIN!E17/Prices!$C$152+IHS!E17+SITES!E17/Prices!$C$180+(TOWR!E17/1000)/Prices!$C$172+(TBIG!E17/1000)/Prices!$C$172</f>
        <v>0</v>
      </c>
      <c r="F17" s="228">
        <f>ChinaTow!F17/Prices!$C$175+BHIN!F17/Prices!$C$152+IHS!F17+SITES!F17/Prices!$C$180+(TOWR!F17/1000)/Prices!$C$172+(TBIG!F17/1000)/Prices!$C$172</f>
        <v>0</v>
      </c>
      <c r="G17" s="228">
        <f>ChinaTow!G17/Prices!$C$175+BHIN!G17/Prices!$C$152+IHS!G17+SITES!G17/Prices!$C$180+(TOWR!G17/1000)/Prices!$C$172+(TBIG!G17/1000)/Prices!$C$172</f>
        <v>0</v>
      </c>
      <c r="H17" s="247"/>
      <c r="I17" s="247"/>
      <c r="J17" s="5" t="s">
        <v>580</v>
      </c>
      <c r="L17" s="248">
        <f>'AGG EM'!D45</f>
        <v>2.9794876849606393E-3</v>
      </c>
      <c r="M17" s="248">
        <f>'AGG EM'!E45</f>
        <v>3.2338565373739416E-3</v>
      </c>
      <c r="N17" s="248">
        <f>'AGG EM'!F45</f>
        <v>3.7591690821787136E-3</v>
      </c>
      <c r="O17" s="248">
        <f>'AGG EM'!G45</f>
        <v>4.3245157193855478E-3</v>
      </c>
      <c r="P17" s="17">
        <f>'AGG EM'!H45</f>
        <v>0.13937853690845947</v>
      </c>
      <c r="S17" s="88"/>
      <c r="T17" s="88"/>
      <c r="U17" s="88"/>
      <c r="V17" s="42"/>
      <c r="W17" s="42"/>
      <c r="X17" s="42"/>
      <c r="Y17" s="42"/>
      <c r="Z17" s="42"/>
      <c r="AA17" s="42"/>
    </row>
    <row r="18" spans="2:27" ht="12.6" thickBot="1">
      <c r="B18" s="41" t="s">
        <v>456</v>
      </c>
      <c r="C18" s="249"/>
      <c r="D18" s="275">
        <f>ChinaTow!D18/Prices!$C$175+BHIN!D18/Prices!$C$152+IHS!D18+SITES!D18/Prices!$C$180+(TOWR!D18/1000)/Prices!$C$172+(TBIG!D18/1000)/Prices!$C$172</f>
        <v>51683.817631942147</v>
      </c>
      <c r="E18" s="275">
        <f>ChinaTow!E18/Prices!$C$175+BHIN!E18/Prices!$C$152+IHS!E18+SITES!E18/Prices!$C$180+(TOWR!E18/1000)/Prices!$C$172+(TBIG!E18/1000)/Prices!$C$172</f>
        <v>48765.248243090806</v>
      </c>
      <c r="F18" s="275">
        <f>ChinaTow!F18/Prices!$C$175+BHIN!F18/Prices!$C$152+IHS!F18+SITES!F18/Prices!$C$180+(TOWR!F18/1000)/Prices!$C$172+(TBIG!F18/1000)/Prices!$C$172</f>
        <v>44313.859536651456</v>
      </c>
      <c r="G18" s="275">
        <f>ChinaTow!G18/Prices!$C$175+BHIN!G18/Prices!$C$152+IHS!G18+SITES!G18/Prices!$C$180+(TOWR!G18/1000)/Prices!$C$172+(TBIG!G18/1000)/Prices!$C$172</f>
        <v>39379.99685169509</v>
      </c>
      <c r="H18" s="276">
        <f>IF(D18=0,"nm",IF(G18=0,"nm",(G18/D18)^(1/3)-1))</f>
        <v>-8.6643415724606876E-2</v>
      </c>
      <c r="I18" s="254"/>
      <c r="J18" s="5" t="s">
        <v>36</v>
      </c>
      <c r="L18" s="248" t="e">
        <f>'AGG EM'!D46</f>
        <v>#VALUE!</v>
      </c>
      <c r="M18" s="248" t="e">
        <f>'AGG EM'!E46</f>
        <v>#VALUE!</v>
      </c>
      <c r="N18" s="248" t="e">
        <f>'AGG EM'!F46</f>
        <v>#VALUE!</v>
      </c>
      <c r="O18" s="248" t="e">
        <f>'AGG EM'!G46</f>
        <v>#VALUE!</v>
      </c>
      <c r="P18" s="17" t="e">
        <f>'AGG EM'!H46</f>
        <v>#VALUE!</v>
      </c>
      <c r="S18" s="88"/>
      <c r="T18" s="88"/>
      <c r="U18" s="88"/>
      <c r="V18" s="42"/>
      <c r="W18" s="42"/>
      <c r="X18" s="42"/>
      <c r="Y18" s="42"/>
      <c r="Z18" s="42"/>
      <c r="AA18" s="42"/>
    </row>
    <row r="19" spans="2:27" ht="12.6" thickTop="1">
      <c r="B19" s="41"/>
      <c r="C19" s="249"/>
      <c r="D19" s="229"/>
      <c r="E19" s="229"/>
      <c r="F19" s="229"/>
      <c r="G19" s="229"/>
      <c r="H19" s="276"/>
      <c r="I19" s="17"/>
      <c r="J19" s="5" t="s">
        <v>581</v>
      </c>
      <c r="L19" s="248">
        <f>'AGG EM'!D47</f>
        <v>5.1811900201972863E-2</v>
      </c>
      <c r="M19" s="248">
        <f>'AGG EM'!E47</f>
        <v>6.2960660506253749E-2</v>
      </c>
      <c r="N19" s="248">
        <f>'AGG EM'!F47</f>
        <v>7.5904765421494755E-2</v>
      </c>
      <c r="O19" s="248">
        <f>'AGG EM'!G47</f>
        <v>8.9047497965951045E-2</v>
      </c>
      <c r="P19" s="17">
        <f>'AGG EM'!H47</f>
        <v>0.19549120190388991</v>
      </c>
      <c r="S19" s="88"/>
      <c r="T19" s="88"/>
      <c r="U19" s="88"/>
      <c r="V19" s="42"/>
      <c r="W19" s="42"/>
      <c r="X19" s="42"/>
      <c r="Y19" s="42"/>
      <c r="Z19" s="42"/>
      <c r="AA19" s="42"/>
    </row>
    <row r="20" spans="2:27">
      <c r="H20" s="277"/>
      <c r="I20" s="49"/>
      <c r="J20" s="5" t="s">
        <v>604</v>
      </c>
      <c r="L20" s="248">
        <f>'AGG EM'!D48</f>
        <v>0.78546224095974659</v>
      </c>
      <c r="M20" s="248">
        <f>'AGG EM'!E48</f>
        <v>0.71334963498575799</v>
      </c>
      <c r="N20" s="248">
        <f>'AGG EM'!F48</f>
        <v>0.68989991347231316</v>
      </c>
      <c r="O20" s="248">
        <f>'AGG EM'!G48</f>
        <v>0.67997079786563763</v>
      </c>
      <c r="P20" s="17" t="str">
        <f>'AGG EM'!H48</f>
        <v>nm</v>
      </c>
      <c r="S20" s="42"/>
      <c r="T20" s="42"/>
      <c r="U20" s="42"/>
      <c r="V20" s="42"/>
      <c r="W20" s="42"/>
      <c r="X20" s="42"/>
      <c r="Y20" s="42"/>
      <c r="Z20" s="42"/>
      <c r="AA20" s="42"/>
    </row>
    <row r="21" spans="2:27" ht="12.6" thickBot="1">
      <c r="B21" s="306" t="s">
        <v>308</v>
      </c>
      <c r="C21" s="265">
        <v>2020</v>
      </c>
      <c r="D21" s="265" t="str">
        <f>D5</f>
        <v>2023E</v>
      </c>
      <c r="E21" s="265" t="str">
        <f>E5</f>
        <v>2024E</v>
      </c>
      <c r="F21" s="265" t="str">
        <f>F5</f>
        <v>2025E</v>
      </c>
      <c r="G21" s="265" t="str">
        <f>G5</f>
        <v>2026E</v>
      </c>
      <c r="H21" s="282" t="str">
        <f>H5</f>
        <v>23E-26E</v>
      </c>
      <c r="I21" s="17"/>
      <c r="S21" s="42"/>
      <c r="T21" s="42"/>
      <c r="U21" s="42"/>
      <c r="V21" s="42"/>
      <c r="W21" s="42"/>
      <c r="X21" s="42"/>
      <c r="Y21" s="42"/>
      <c r="Z21" s="42"/>
      <c r="AA21" s="42"/>
    </row>
    <row r="22" spans="2:27" ht="12.6" thickTop="1">
      <c r="B22" s="5"/>
      <c r="C22" s="257"/>
      <c r="D22" s="17"/>
      <c r="E22" s="17"/>
      <c r="F22" s="17"/>
      <c r="G22" s="17"/>
      <c r="H22" s="17"/>
      <c r="I22" s="247"/>
      <c r="P22" s="277"/>
      <c r="S22" s="42"/>
      <c r="T22" s="42"/>
      <c r="U22" s="42"/>
      <c r="V22" s="42"/>
      <c r="W22" s="42"/>
      <c r="X22" s="42"/>
      <c r="Y22" s="42"/>
      <c r="Z22" s="42"/>
      <c r="AA22" s="42"/>
    </row>
    <row r="23" spans="2:27" ht="12.6" thickBot="1">
      <c r="B23" s="5" t="s">
        <v>584</v>
      </c>
      <c r="C23" s="365" t="e">
        <f>INWIT!C23+CLNX!C23 +#REF!</f>
        <v>#REF!</v>
      </c>
      <c r="D23" s="350">
        <f>ChinaTow!D23/Prices!$C$175+BHIN!D23/Prices!$C$152+IHS!D23+SITES!D23/Prices!$C$180+(TOWR!D23/1000)/Prices!$C$172+(TBIG!D23/1000)/Prices!$C$172</f>
        <v>19346.356291280084</v>
      </c>
      <c r="E23" s="350">
        <f>ChinaTow!E23/Prices!$C$175+BHIN!E23/Prices!$C$152+IHS!E23+SITES!E23/Prices!$C$180+(TOWR!E23/1000)/Prices!$C$172+(TBIG!E23/1000)/Prices!$C$172</f>
        <v>19771.69968933778</v>
      </c>
      <c r="F23" s="350">
        <f>ChinaTow!F23/Prices!$C$175+BHIN!F23/Prices!$C$152+IHS!F23+SITES!F23/Prices!$C$180+(TOWR!F23/1000)/Prices!$C$172+(TBIG!F23/1000)/Prices!$C$172</f>
        <v>20785.307944798282</v>
      </c>
      <c r="G23" s="350">
        <f>ChinaTow!G23/Prices!$C$175+BHIN!G23/Prices!$C$152+IHS!G23+SITES!G23/Prices!$C$180+(TOWR!G23/1000)/Prices!$C$172+(TBIG!G23/1000)/Prices!$C$172</f>
        <v>21856.71297257128</v>
      </c>
      <c r="H23" s="279">
        <f t="shared" ref="H23:H33" si="0">IF(D23=0,"nm",IF(G23=0,"nm",(G23/D23)^(1/3)-1))</f>
        <v>4.1506270779823939E-2</v>
      </c>
      <c r="I23" s="249"/>
      <c r="J23" s="306" t="s">
        <v>9</v>
      </c>
      <c r="K23" s="306"/>
      <c r="L23" s="265" t="str">
        <f>L5</f>
        <v>2023E</v>
      </c>
      <c r="M23" s="265" t="str">
        <f>M5</f>
        <v>2024E</v>
      </c>
      <c r="N23" s="265" t="str">
        <f>N5</f>
        <v>2025E</v>
      </c>
      <c r="O23" s="265" t="str">
        <f>O5</f>
        <v>2026E</v>
      </c>
      <c r="P23" s="282" t="str">
        <f>P5</f>
        <v>23E-26E</v>
      </c>
      <c r="S23" s="42"/>
      <c r="T23" s="42"/>
      <c r="U23" s="42"/>
      <c r="V23" s="42"/>
      <c r="W23" s="42" t="s">
        <v>1404</v>
      </c>
      <c r="X23" s="42" t="s">
        <v>1403</v>
      </c>
      <c r="Y23" s="42"/>
      <c r="Z23" s="42"/>
      <c r="AA23" s="42"/>
    </row>
    <row r="24" spans="2:27" ht="12.6" thickTop="1">
      <c r="B24" s="5" t="s">
        <v>483</v>
      </c>
      <c r="C24" s="365" t="e">
        <f>INWIT!C24+CLNX!C24 +#REF!</f>
        <v>#REF!</v>
      </c>
      <c r="D24" s="350">
        <f>ChinaTow!D24/Prices!$C$175+BHIN!D24/Prices!$C$152+IHS!D24+SITES!D24/Prices!$C$180+(TOWR!D24/1000)/Prices!$C$172+(TBIG!D24/1000)/Prices!$C$172</f>
        <v>12457.19652695386</v>
      </c>
      <c r="E24" s="350">
        <f>ChinaTow!E24/Prices!$C$175+BHIN!E24/Prices!$C$152+IHS!E24+SITES!E24/Prices!$C$180+(TOWR!E24/1000)/Prices!$C$172+(TBIG!E24/1000)/Prices!$C$172</f>
        <v>12887.990397857155</v>
      </c>
      <c r="F24" s="350">
        <f>ChinaTow!F24/Prices!$C$175+BHIN!F24/Prices!$C$152+IHS!F24+SITES!F24/Prices!$C$180+(TOWR!F24/1000)/Prices!$C$172+(TBIG!F24/1000)/Prices!$C$172</f>
        <v>13644.574343196864</v>
      </c>
      <c r="G24" s="350">
        <f>ChinaTow!G24/Prices!$C$175+BHIN!G24/Prices!$C$152+IHS!G24+SITES!G24/Prices!$C$180+(TOWR!G24/1000)/Prices!$C$172+(TBIG!G24/1000)/Prices!$C$172</f>
        <v>14357.281886827952</v>
      </c>
      <c r="H24" s="279">
        <f t="shared" si="0"/>
        <v>4.8457032571161518E-2</v>
      </c>
      <c r="I24" s="248"/>
      <c r="J24" s="17"/>
      <c r="K24" s="17"/>
      <c r="L24" s="17"/>
      <c r="M24" s="17"/>
      <c r="N24" s="17"/>
      <c r="O24" s="248"/>
      <c r="S24" s="42"/>
      <c r="T24" s="42"/>
      <c r="U24" s="42"/>
      <c r="V24" s="147" t="s">
        <v>273</v>
      </c>
      <c r="W24" s="288">
        <f t="shared" ref="W24:W27" si="1">E37/M9</f>
        <v>7.2861350679981049E-2</v>
      </c>
      <c r="X24" s="288">
        <v>1</v>
      </c>
      <c r="Y24" s="42"/>
      <c r="Z24" s="42"/>
      <c r="AA24" s="42"/>
    </row>
    <row r="25" spans="2:27">
      <c r="B25" s="5" t="s">
        <v>183</v>
      </c>
      <c r="C25" s="365" t="e">
        <f>INWIT!C25+CLNX!C25 +#REF!</f>
        <v>#REF!</v>
      </c>
      <c r="D25" s="350">
        <f>ChinaTow!D25/Prices!$C$175+BHIN!D25/Prices!$C$152+IHS!D25+SITES!D25/Prices!$C$180+(TOWR!D25/1000)/Prices!$C$172+(TBIG!D25/1000)/Prices!$C$172</f>
        <v>8354.8253995580253</v>
      </c>
      <c r="E25" s="350">
        <f>ChinaTow!E25/Prices!$C$175+BHIN!E25/Prices!$C$152+IHS!E25+SITES!E25/Prices!$C$180+(TOWR!E25/1000)/Prices!$C$172+(TBIG!E25/1000)/Prices!$C$172</f>
        <v>8930.5187004139189</v>
      </c>
      <c r="F25" s="350">
        <f>ChinaTow!F25/Prices!$C$175+BHIN!F25/Prices!$C$152+IHS!F25+SITES!F25/Prices!$C$180+(TOWR!F25/1000)/Prices!$C$172+(TBIG!F25/1000)/Prices!$C$172</f>
        <v>9522.9191822175035</v>
      </c>
      <c r="G25" s="350">
        <f>ChinaTow!G25/Prices!$C$175+BHIN!G25/Prices!$C$152+IHS!G25+SITES!G25/Prices!$C$180+(TOWR!G25/1000)/Prices!$C$172+(TBIG!G25/1000)/Prices!$C$172</f>
        <v>10059.345228384509</v>
      </c>
      <c r="H25" s="279">
        <f t="shared" si="0"/>
        <v>6.3842766266186013E-2</v>
      </c>
      <c r="I25" s="249"/>
      <c r="J25" s="247" t="s">
        <v>10</v>
      </c>
      <c r="K25" s="247"/>
      <c r="L25" s="332">
        <f>ChinaTow!L25/Prices!$C$175+BHIN!L25/Prices!$C$152+IHS!L25+SITES!L25/Prices!$C$180+(TOWR!L25/1000)/Prices!$C$172+(TBIG!L25/1000)/Prices!$C$172</f>
        <v>0</v>
      </c>
      <c r="M25" s="332">
        <f>ChinaTow!M25/Prices!$C$175+BHIN!M25/Prices!$C$152+IHS!M25+SITES!M25/Prices!$C$180+(TOWR!M25/1000)/Prices!$C$172+(TBIG!M25/1000)/Prices!$C$172</f>
        <v>0</v>
      </c>
      <c r="N25" s="332">
        <f>ChinaTow!N25/Prices!$C$175+BHIN!N25/Prices!$C$152+IHS!N25+SITES!N25/Prices!$C$180+(TOWR!N25/1000)/Prices!$C$172+(TBIG!N25/1000)/Prices!$C$172</f>
        <v>0</v>
      </c>
      <c r="O25" s="332">
        <f>ChinaTow!O25/Prices!$C$175+BHIN!O25/Prices!$C$152+IHS!O25+SITES!O25/Prices!$C$180+(TOWR!O25/1000)/Prices!$C$172+(TBIG!O25/1000)/Prices!$C$172</f>
        <v>0</v>
      </c>
      <c r="P25" s="279" t="str">
        <f>IF(L25=0,"nm",IF(O25=0,"nm",(O25/L25)^(1/3)-1))</f>
        <v>nm</v>
      </c>
      <c r="Q25" s="5"/>
      <c r="S25" s="42"/>
      <c r="T25" s="42"/>
      <c r="U25" s="42"/>
      <c r="V25" s="147" t="s">
        <v>184</v>
      </c>
      <c r="W25" s="288">
        <f t="shared" si="1"/>
        <v>3.8482347546927351E-2</v>
      </c>
      <c r="X25" s="288">
        <v>1</v>
      </c>
      <c r="Y25" s="42"/>
      <c r="Z25" s="42"/>
      <c r="AA25" s="42"/>
    </row>
    <row r="26" spans="2:27">
      <c r="B26" s="5" t="s">
        <v>586</v>
      </c>
      <c r="C26" s="365" t="e">
        <f>INWIT!C26+CLNX!C26 +#REF!</f>
        <v>#REF!</v>
      </c>
      <c r="D26" s="350">
        <f>ChinaTow!D26/Prices!$C$175+BHIN!D26/Prices!$C$152+IHS!D26+SITES!D26/Prices!$C$180+(TOWR!D26/1000)/Prices!$C$172+(TBIG!D26/1000)/Prices!$C$172</f>
        <v>7442.9957860678514</v>
      </c>
      <c r="E26" s="350">
        <f>ChinaTow!E26/Prices!$C$175+BHIN!E26/Prices!$C$152+IHS!E26+SITES!E26/Prices!$C$180+(TOWR!E26/1000)/Prices!$C$172+(TBIG!E26/1000)/Prices!$C$172</f>
        <v>7998.1288063943439</v>
      </c>
      <c r="F26" s="350">
        <f>ChinaTow!F26/Prices!$C$175+BHIN!F26/Prices!$C$152+IHS!F26+SITES!F26/Prices!$C$180+(TOWR!F26/1000)/Prices!$C$172+(TBIG!F26/1000)/Prices!$C$172</f>
        <v>8574.0909531303878</v>
      </c>
      <c r="G26" s="350">
        <f>ChinaTow!G26/Prices!$C$175+BHIN!G26/Prices!$C$152+IHS!G26+SITES!G26/Prices!$C$180+(TOWR!G26/1000)/Prices!$C$172+(TBIG!G26/1000)/Prices!$C$172</f>
        <v>9088.6104178831447</v>
      </c>
      <c r="H26" s="279">
        <f t="shared" si="0"/>
        <v>6.8849532391503709E-2</v>
      </c>
      <c r="I26" s="249"/>
      <c r="J26" s="249" t="s">
        <v>11</v>
      </c>
      <c r="K26" s="249"/>
      <c r="L26" s="281">
        <f>ChinaTow!L26/Prices!$C$175+BHIN!L26/Prices!$C$152+IHS!L26+SITES!L26/Prices!$C$180+(TOWR!L26/1000)/Prices!$C$172+(TBIG!L26/1000)/Prices!$C$172</f>
        <v>36614.198392191407</v>
      </c>
      <c r="M26" s="281">
        <f>ChinaTow!M26/Prices!$C$175+BHIN!M26/Prices!$C$152+IHS!M26+SITES!M26/Prices!$C$180+(TOWR!M26/1000)/Prices!$C$172+(TBIG!M26/1000)/Prices!$C$172</f>
        <v>36629.205106834233</v>
      </c>
      <c r="N26" s="281">
        <f>ChinaTow!N26/Prices!$C$175+BHIN!N26/Prices!$C$152+IHS!N26+SITES!N26/Prices!$C$180+(TOWR!N26/1000)/Prices!$C$172+(TBIG!N26/1000)/Prices!$C$172</f>
        <v>36563.268023563192</v>
      </c>
      <c r="O26" s="281">
        <f>ChinaTow!O26/Prices!$C$175+BHIN!O26/Prices!$C$152+IHS!O26+SITES!O26/Prices!$C$180+(TOWR!O26/1000)/Prices!$C$172+(TBIG!O26/1000)/Prices!$C$172</f>
        <v>36364.858005627786</v>
      </c>
      <c r="P26" s="279">
        <f>IF(L26=0,"nm",IF(O26=0,"nm",(O26/L26)^(1/3)-1))</f>
        <v>-2.2751514083935165E-3</v>
      </c>
      <c r="Q26" s="41"/>
      <c r="S26" s="42"/>
      <c r="T26" s="42"/>
      <c r="U26" s="42"/>
      <c r="V26" s="147" t="s">
        <v>185</v>
      </c>
      <c r="W26" s="288">
        <f t="shared" si="1"/>
        <v>2.7963482492160768E-2</v>
      </c>
      <c r="X26" s="288">
        <v>1</v>
      </c>
      <c r="Y26" s="42"/>
      <c r="Z26" s="42"/>
      <c r="AA26" s="42"/>
    </row>
    <row r="27" spans="2:27">
      <c r="B27" s="5" t="s">
        <v>587</v>
      </c>
      <c r="C27" s="365" t="e">
        <f>INWIT!C27+CLNX!C27 +#REF!</f>
        <v>#REF!</v>
      </c>
      <c r="D27" s="350">
        <f>ChinaTow!D27/Prices!$C$175+BHIN!D27/Prices!$C$152+IHS!D27+SITES!D27/Prices!$C$180+(TOWR!D27/1000)/Prices!$C$172+(TBIG!D27/1000)/Prices!$C$172</f>
        <v>43974.510944789152</v>
      </c>
      <c r="E27" s="350">
        <f>ChinaTow!E27/Prices!$C$175+BHIN!E27/Prices!$C$152+IHS!E27+SITES!E27/Prices!$C$180+(TOWR!E27/1000)/Prices!$C$172+(TBIG!E27/1000)/Prices!$C$172</f>
        <v>41475.627909664589</v>
      </c>
      <c r="F27" s="350">
        <f>ChinaTow!F27/Prices!$C$175+BHIN!F27/Prices!$C$152+IHS!F27+SITES!F27/Prices!$C$180+(TOWR!F27/1000)/Prices!$C$172+(TBIG!F27/1000)/Prices!$C$172</f>
        <v>39344.548282077369</v>
      </c>
      <c r="G27" s="350">
        <f>ChinaTow!G27/Prices!$C$175+BHIN!G27/Prices!$C$152+IHS!G27+SITES!G27/Prices!$C$180+(TOWR!G27/1000)/Prices!$C$172+(TBIG!G27/1000)/Prices!$C$172</f>
        <v>37606.665276460408</v>
      </c>
      <c r="H27" s="279">
        <f t="shared" si="0"/>
        <v>-5.0806835295409858E-2</v>
      </c>
      <c r="I27" s="248"/>
      <c r="J27" s="248"/>
      <c r="K27" s="248"/>
      <c r="L27" s="248"/>
      <c r="M27" s="248"/>
      <c r="N27" s="248"/>
      <c r="O27" s="248"/>
      <c r="Q27" s="5"/>
      <c r="S27" s="42"/>
      <c r="T27" s="42"/>
      <c r="U27" s="42"/>
      <c r="V27" s="147" t="s">
        <v>466</v>
      </c>
      <c r="W27" s="288">
        <f t="shared" si="1"/>
        <v>2.348351874407989E-2</v>
      </c>
      <c r="X27" s="288">
        <v>1</v>
      </c>
      <c r="Y27" s="42"/>
      <c r="Z27" s="42"/>
      <c r="AA27" s="42"/>
    </row>
    <row r="28" spans="2:27" ht="12.6" thickBot="1">
      <c r="B28" s="5" t="s">
        <v>592</v>
      </c>
      <c r="C28" s="365" t="e">
        <f>INWIT!C28+CLNX!C28 +#REF!</f>
        <v>#REF!</v>
      </c>
      <c r="D28" s="350">
        <f>ChinaTow!D28/Prices!$C$175+BHIN!D28/Prices!$C$152+IHS!D28+SITES!D28/Prices!$C$180+(TOWR!D28/1000)/Prices!$C$172+(TBIG!D28/1000)/Prices!$C$172</f>
        <v>31230.363309613484</v>
      </c>
      <c r="E28" s="350">
        <f>ChinaTow!E28/Prices!$C$175+BHIN!E28/Prices!$C$152+IHS!E28+SITES!E28/Prices!$C$180+(TOWR!E28/1000)/Prices!$C$172+(TBIG!E28/1000)/Prices!$C$172</f>
        <v>27326.818948298089</v>
      </c>
      <c r="F28" s="350">
        <f>ChinaTow!F28/Prices!$C$175+BHIN!F28/Prices!$C$152+IHS!F28+SITES!F28/Prices!$C$180+(TOWR!F28/1000)/Prices!$C$172+(TBIG!F28/1000)/Prices!$C$172</f>
        <v>23676.790210001272</v>
      </c>
      <c r="G28" s="350">
        <f>ChinaTow!G28/Prices!$C$175+BHIN!G28/Prices!$C$152+IHS!G28+SITES!G28/Prices!$C$180+(TOWR!G28/1000)/Prices!$C$172+(TBIG!G28/1000)/Prices!$C$172</f>
        <v>20292.074847076023</v>
      </c>
      <c r="H28" s="279">
        <f t="shared" si="0"/>
        <v>-0.13386988386454612</v>
      </c>
      <c r="I28" s="252"/>
      <c r="J28" s="306" t="s">
        <v>1405</v>
      </c>
      <c r="K28" s="306"/>
      <c r="L28" s="306"/>
      <c r="M28" s="306"/>
      <c r="N28" s="266"/>
      <c r="O28" s="266"/>
      <c r="P28" s="266"/>
      <c r="Q28" s="5"/>
      <c r="S28" s="42"/>
      <c r="T28" s="42"/>
      <c r="U28" s="42"/>
      <c r="V28" s="147" t="s">
        <v>530</v>
      </c>
      <c r="W28" s="288" t="e">
        <f>#REF!/M13</f>
        <v>#REF!</v>
      </c>
      <c r="X28" s="288">
        <v>1</v>
      </c>
      <c r="Y28" s="42"/>
      <c r="Z28" s="42"/>
      <c r="AA28" s="42"/>
    </row>
    <row r="29" spans="2:27" ht="12.6" thickTop="1">
      <c r="B29" s="5" t="s">
        <v>588</v>
      </c>
      <c r="C29" s="365" t="e">
        <f>INWIT!C29+CLNX!C29 +#REF!</f>
        <v>#REF!</v>
      </c>
      <c r="D29" s="350">
        <f>ChinaTow!D29/Prices!$C$175+BHIN!D29/Prices!$C$152+IHS!D29+SITES!D29/Prices!$C$180+(TOWR!D29/1000)/Prices!$C$172+(TBIG!D29/1000)/Prices!$C$172</f>
        <v>6126.2505543789612</v>
      </c>
      <c r="E29" s="350">
        <f>ChinaTow!E29/Prices!$C$175+BHIN!E29/Prices!$C$152+IHS!E29+SITES!E29/Prices!$C$180+(TOWR!E29/1000)/Prices!$C$172+(TBIG!E29/1000)/Prices!$C$172</f>
        <v>6772.1316982134167</v>
      </c>
      <c r="F29" s="350">
        <f>ChinaTow!F29/Prices!$C$175+BHIN!F29/Prices!$C$152+IHS!F29+SITES!F29/Prices!$C$180+(TOWR!F29/1000)/Prices!$C$172+(TBIG!F29/1000)/Prices!$C$172</f>
        <v>7226.0170199360027</v>
      </c>
      <c r="G29" s="350">
        <f>ChinaTow!G29/Prices!$C$175+BHIN!G29/Prices!$C$152+IHS!G29+SITES!G29/Prices!$C$180+(TOWR!G29/1000)/Prices!$C$172+(TBIG!G29/1000)/Prices!$C$172</f>
        <v>7616.7767887144391</v>
      </c>
      <c r="H29" s="279">
        <f t="shared" si="0"/>
        <v>7.5289713595871444E-2</v>
      </c>
      <c r="I29" s="254"/>
      <c r="J29" s="249"/>
      <c r="K29" s="249"/>
      <c r="L29" s="249"/>
      <c r="M29" s="249"/>
      <c r="N29" s="249"/>
      <c r="O29" s="251"/>
      <c r="Q29" s="5"/>
      <c r="S29" s="42"/>
      <c r="T29" s="42"/>
      <c r="U29" s="42"/>
      <c r="V29" s="147" t="s">
        <v>593</v>
      </c>
      <c r="W29" s="288" t="e">
        <f>#REF!/M14</f>
        <v>#REF!</v>
      </c>
      <c r="X29" s="288">
        <v>1</v>
      </c>
      <c r="Y29" s="42"/>
      <c r="Z29" s="42"/>
      <c r="AA29" s="42"/>
    </row>
    <row r="30" spans="2:27">
      <c r="B30" s="5" t="s">
        <v>589</v>
      </c>
      <c r="C30" s="365" t="e">
        <f>INWIT!C30+CLNX!C30 +#REF!</f>
        <v>#REF!</v>
      </c>
      <c r="D30" s="350">
        <f>ChinaTow!D30/Prices!$C$175+BHIN!D30/Prices!$C$152+IHS!D30+SITES!D30/Prices!$C$180+(TOWR!D30/1000)/Prices!$C$172+(TBIG!D30/1000)/Prices!$C$172</f>
        <v>2458.3223841125691</v>
      </c>
      <c r="E30" s="350">
        <f>ChinaTow!E30/Prices!$C$175+BHIN!E30/Prices!$C$152+IHS!E30+SITES!E30/Prices!$C$180+(TOWR!E30/1000)/Prices!$C$172+(TBIG!E30/1000)/Prices!$C$172</f>
        <v>3093.5593163555254</v>
      </c>
      <c r="F30" s="350">
        <f>ChinaTow!F30/Prices!$C$175+BHIN!F30/Prices!$C$152+IHS!F30+SITES!F30/Prices!$C$180+(TOWR!F30/1000)/Prices!$C$172+(TBIG!F30/1000)/Prices!$C$172</f>
        <v>3818.7660050614741</v>
      </c>
      <c r="G30" s="350">
        <f>ChinaTow!G30/Prices!$C$175+BHIN!G30/Prices!$C$152+IHS!G30+SITES!G30/Prices!$C$180+(TOWR!G30/1000)/Prices!$C$172+(TBIG!G30/1000)/Prices!$C$172</f>
        <v>4481.1711102833215</v>
      </c>
      <c r="H30" s="279">
        <f t="shared" si="0"/>
        <v>0.22156776501415409</v>
      </c>
      <c r="I30" s="254"/>
      <c r="J30" s="248"/>
      <c r="K30" s="248"/>
      <c r="L30" s="248"/>
      <c r="M30" s="248"/>
      <c r="N30" s="248"/>
      <c r="O30" s="5"/>
      <c r="Q30" s="5"/>
      <c r="S30" s="42"/>
      <c r="T30" s="42"/>
      <c r="U30" s="42"/>
      <c r="V30" s="147" t="s">
        <v>475</v>
      </c>
      <c r="W30" s="288">
        <f>E43/M15</f>
        <v>0.3405425426020191</v>
      </c>
      <c r="X30" s="288">
        <v>1</v>
      </c>
      <c r="Y30" s="42"/>
      <c r="Z30" s="42"/>
      <c r="AA30" s="42"/>
    </row>
    <row r="31" spans="2:27">
      <c r="B31" s="5" t="s">
        <v>590</v>
      </c>
      <c r="C31" s="365" t="e">
        <f>INWIT!C31+CLNX!C31 +#REF!</f>
        <v>#REF!</v>
      </c>
      <c r="D31" s="350">
        <f>ChinaTow!D31/Prices!$C$175+BHIN!D31/Prices!$C$152+IHS!D31+SITES!D31/Prices!$C$180+(TOWR!D31/1000)/Prices!$C$172+(TBIG!D31/1000)/Prices!$C$172</f>
        <v>1250.55421529304</v>
      </c>
      <c r="E31" s="350">
        <f>ChinaTow!E31/Prices!$C$175+BHIN!E31/Prices!$C$152+IHS!E31+SITES!E31/Prices!$C$180+(TOWR!E31/1000)/Prices!$C$172+(TBIG!E31/1000)/Prices!$C$172</f>
        <v>1614.393939459583</v>
      </c>
      <c r="F31" s="350">
        <f>ChinaTow!F31/Prices!$C$175+BHIN!F31/Prices!$C$152+IHS!F31+SITES!F31/Prices!$C$180+(TOWR!F31/1000)/Prices!$C$172+(TBIG!F31/1000)/Prices!$C$172</f>
        <v>1985.8515814190403</v>
      </c>
      <c r="G31" s="350">
        <f>ChinaTow!G31/Prices!$C$175+BHIN!G31/Prices!$C$152+IHS!G31+SITES!G31/Prices!$C$180+(TOWR!G31/1000)/Prices!$C$172+(TBIG!G31/1000)/Prices!$C$172</f>
        <v>2321.6612217077327</v>
      </c>
      <c r="H31" s="279">
        <f t="shared" si="0"/>
        <v>0.22903836843887304</v>
      </c>
      <c r="I31" s="254"/>
      <c r="J31" s="252"/>
      <c r="K31" s="252"/>
      <c r="L31" s="252"/>
      <c r="M31" s="252"/>
      <c r="N31" s="252"/>
      <c r="O31" s="5"/>
      <c r="Q31" s="5"/>
      <c r="S31" s="42"/>
      <c r="T31" s="42"/>
      <c r="U31" s="42"/>
      <c r="V31" s="147" t="s">
        <v>533</v>
      </c>
      <c r="W31" s="288">
        <f>E44/M16</f>
        <v>5.5425686702574931E-2</v>
      </c>
      <c r="X31" s="288">
        <v>1</v>
      </c>
      <c r="Y31" s="42"/>
      <c r="Z31" s="42"/>
      <c r="AA31" s="42"/>
    </row>
    <row r="32" spans="2:27">
      <c r="B32" s="5" t="s">
        <v>606</v>
      </c>
      <c r="C32" s="365" t="e">
        <f>INWIT!C32+CLNX!C32 +#REF!</f>
        <v>#REF!</v>
      </c>
      <c r="D32" s="350">
        <f>ChinaTow!D32/Prices!$C$175+BHIN!D32/Prices!$C$152+IHS!D32+SITES!D32/Prices!$C$180+(TOWR!D32/1000)/Prices!$C$172+(TBIG!D32/1000)/Prices!$C$172</f>
        <v>-178.8673270777924</v>
      </c>
      <c r="E32" s="350">
        <f>ChinaTow!E32/Prices!$C$175+BHIN!E32/Prices!$C$152+IHS!E32+SITES!E32/Prices!$C$180+(TOWR!E32/1000)/Prices!$C$172+(TBIG!E32/1000)/Prices!$C$172</f>
        <v>-203.22554440123346</v>
      </c>
      <c r="F32" s="350">
        <f>ChinaTow!F32/Prices!$C$175+BHIN!F32/Prices!$C$152+IHS!F32+SITES!F32/Prices!$C$180+(TOWR!F32/1000)/Prices!$C$172+(TBIG!F32/1000)/Prices!$C$172</f>
        <v>-224.64266971937894</v>
      </c>
      <c r="G32" s="350">
        <f>ChinaTow!G32/Prices!$C$175+BHIN!G32/Prices!$C$152+IHS!G32+SITES!G32/Prices!$C$180+(TOWR!G32/1000)/Prices!$C$172+(TBIG!G32/1000)/Prices!$C$172</f>
        <v>-235.16339452176433</v>
      </c>
      <c r="H32" s="279">
        <f t="shared" si="0"/>
        <v>9.5501309744310259E-2</v>
      </c>
      <c r="I32" s="5"/>
      <c r="J32" s="254"/>
      <c r="K32" s="254"/>
      <c r="L32" s="254"/>
      <c r="M32" s="254"/>
      <c r="N32" s="254"/>
      <c r="O32" s="251"/>
      <c r="Q32" s="5"/>
      <c r="S32" s="42"/>
      <c r="T32" s="42"/>
      <c r="U32" s="42"/>
      <c r="V32" s="147" t="s">
        <v>580</v>
      </c>
      <c r="W32" s="288">
        <f>M17/E45</f>
        <v>7.3373413699260481E-2</v>
      </c>
      <c r="X32" s="288">
        <v>1</v>
      </c>
      <c r="Y32" s="42"/>
      <c r="Z32" s="42"/>
      <c r="AA32" s="42"/>
    </row>
    <row r="33" spans="2:42">
      <c r="B33" s="5" t="s">
        <v>5</v>
      </c>
      <c r="C33" s="365" t="e">
        <f>INWIT!C33+CLNX!C33 +#REF!</f>
        <v>#REF!</v>
      </c>
      <c r="D33" s="350">
        <f>ChinaTow!D33/Prices!$C$175+BHIN!D33/Prices!$C$152+IHS!D33+SITES!D33/Prices!$C$180+(TOWR!D33/1000)/Prices!$C$172+(TBIG!D33/1000)/Prices!$C$172</f>
        <v>386.01246844135716</v>
      </c>
      <c r="E33" s="350">
        <f>ChinaTow!E33/Prices!$C$175+BHIN!E33/Prices!$C$152+IHS!E33+SITES!E33/Prices!$C$180+(TOWR!E33/1000)/Prices!$C$172+(TBIG!E33/1000)/Prices!$C$172</f>
        <v>436.83381513963309</v>
      </c>
      <c r="F33" s="350">
        <f>ChinaTow!F33/Prices!$C$175+BHIN!F33/Prices!$C$152+IHS!F33+SITES!F33/Prices!$C$180+(TOWR!F33/1000)/Prices!$C$172+(TBIG!F33/1000)/Prices!$C$172</f>
        <v>424.86147737222086</v>
      </c>
      <c r="G33" s="350">
        <f>ChinaTow!G33/Prices!$C$175+BHIN!G33/Prices!$C$152+IHS!G33+SITES!G33/Prices!$C$180+(TOWR!G33/1000)/Prices!$C$172+(TBIG!G33/1000)/Prices!$C$172</f>
        <v>395.69750910945532</v>
      </c>
      <c r="H33" s="279">
        <f t="shared" si="0"/>
        <v>8.2943366029444299E-3</v>
      </c>
      <c r="I33" s="49"/>
      <c r="J33" s="254"/>
      <c r="K33" s="254"/>
      <c r="L33" s="254"/>
      <c r="M33" s="254"/>
      <c r="N33" s="254"/>
      <c r="O33" s="251"/>
      <c r="Q33" s="5"/>
      <c r="S33" s="42"/>
      <c r="T33" s="42"/>
      <c r="U33" s="42"/>
      <c r="V33" s="147" t="s">
        <v>581</v>
      </c>
      <c r="W33" s="288">
        <f>M19/E47</f>
        <v>0.34054254260201905</v>
      </c>
      <c r="X33" s="288">
        <v>1</v>
      </c>
      <c r="Y33" s="288"/>
      <c r="Z33" s="288"/>
      <c r="AA33" s="42"/>
      <c r="AC33" s="10"/>
      <c r="AD33" s="10"/>
      <c r="AE33" s="10"/>
      <c r="AF33" s="10"/>
      <c r="AH33" s="10"/>
      <c r="AI33" s="10"/>
      <c r="AJ33" s="10"/>
      <c r="AK33" s="10"/>
      <c r="AM33" s="10"/>
      <c r="AN33" s="10"/>
      <c r="AO33" s="10"/>
      <c r="AP33" s="10"/>
    </row>
    <row r="34" spans="2:42">
      <c r="H34" s="277"/>
      <c r="I34" s="254"/>
      <c r="J34" s="254"/>
      <c r="K34" s="254"/>
      <c r="L34" s="254"/>
      <c r="M34" s="254"/>
      <c r="N34" s="254"/>
      <c r="O34" s="251"/>
      <c r="Q34" s="5"/>
      <c r="S34" s="42"/>
      <c r="T34" s="42"/>
      <c r="U34" s="42"/>
      <c r="V34" s="42"/>
      <c r="W34" s="42"/>
      <c r="X34" s="42"/>
      <c r="Y34" s="288"/>
      <c r="Z34" s="288"/>
      <c r="AA34" s="42"/>
      <c r="AC34" s="10"/>
      <c r="AD34" s="10"/>
      <c r="AE34" s="10"/>
      <c r="AF34" s="10"/>
      <c r="AH34" s="10"/>
      <c r="AI34" s="10"/>
      <c r="AJ34" s="10"/>
      <c r="AK34" s="10"/>
      <c r="AM34" s="10"/>
      <c r="AN34" s="10"/>
      <c r="AO34" s="10"/>
      <c r="AP34" s="10"/>
    </row>
    <row r="35" spans="2:42" ht="12.6" thickBot="1">
      <c r="B35" s="306" t="s">
        <v>285</v>
      </c>
      <c r="C35" s="265"/>
      <c r="D35" s="265" t="str">
        <f>D5</f>
        <v>2023E</v>
      </c>
      <c r="E35" s="265" t="str">
        <f>E5</f>
        <v>2024E</v>
      </c>
      <c r="F35" s="265" t="str">
        <f>F5</f>
        <v>2025E</v>
      </c>
      <c r="G35" s="265" t="str">
        <f>G5</f>
        <v>2026E</v>
      </c>
      <c r="H35" s="265" t="str">
        <f>H5</f>
        <v>23E-26E</v>
      </c>
      <c r="I35" s="17"/>
      <c r="J35" s="5"/>
      <c r="K35" s="5"/>
      <c r="L35" s="5"/>
      <c r="M35" s="5"/>
      <c r="N35" s="5"/>
      <c r="O35" s="5"/>
      <c r="Q35" s="5"/>
      <c r="S35" s="42"/>
      <c r="T35" s="42"/>
      <c r="U35" s="42"/>
      <c r="V35" s="42"/>
      <c r="W35" s="42"/>
      <c r="X35" s="42"/>
      <c r="Y35" s="288"/>
      <c r="Z35" s="288"/>
      <c r="AA35" s="42"/>
      <c r="AC35" s="10"/>
      <c r="AD35" s="10"/>
      <c r="AE35" s="10"/>
      <c r="AF35" s="10"/>
      <c r="AH35" s="10"/>
      <c r="AI35" s="10"/>
      <c r="AJ35" s="10"/>
      <c r="AK35" s="10"/>
      <c r="AM35" s="10"/>
      <c r="AN35" s="10"/>
      <c r="AO35" s="10"/>
      <c r="AP35" s="10"/>
    </row>
    <row r="36" spans="2:42" ht="12.6" thickTop="1">
      <c r="B36" s="41"/>
      <c r="C36" s="249"/>
      <c r="D36" s="254"/>
      <c r="E36" s="254"/>
      <c r="F36" s="254"/>
      <c r="G36" s="254"/>
      <c r="H36" s="254"/>
      <c r="I36" s="5"/>
      <c r="J36" s="49"/>
      <c r="K36" s="49"/>
      <c r="L36" s="49"/>
      <c r="M36" s="49"/>
      <c r="N36" s="49"/>
      <c r="O36" s="49"/>
      <c r="Q36" s="5"/>
      <c r="R36" s="5"/>
      <c r="S36" s="42"/>
      <c r="T36" s="42"/>
      <c r="U36" s="42"/>
      <c r="V36" s="42"/>
      <c r="W36" s="42"/>
      <c r="X36" s="42"/>
      <c r="Y36" s="42"/>
      <c r="Z36" s="42"/>
      <c r="AA36" s="42"/>
      <c r="AC36" s="10"/>
      <c r="AD36" s="10"/>
      <c r="AE36" s="10"/>
      <c r="AF36" s="10"/>
      <c r="AH36" s="10"/>
      <c r="AI36" s="10"/>
      <c r="AJ36" s="10"/>
      <c r="AK36" s="10"/>
      <c r="AM36" s="10"/>
      <c r="AN36" s="10"/>
      <c r="AO36" s="10"/>
      <c r="AP36" s="10"/>
    </row>
    <row r="37" spans="2:42">
      <c r="B37" s="5" t="s">
        <v>273</v>
      </c>
      <c r="C37" s="247"/>
      <c r="D37" s="557">
        <f t="shared" ref="D37:G40" si="2">D$18/D23</f>
        <v>2.6715013852627854</v>
      </c>
      <c r="E37" s="557">
        <f t="shared" si="2"/>
        <v>2.4664165959079525</v>
      </c>
      <c r="F37" s="557">
        <f t="shared" si="2"/>
        <v>2.131979937672341</v>
      </c>
      <c r="G37" s="557">
        <f t="shared" si="2"/>
        <v>1.8017346387407094</v>
      </c>
      <c r="H37" s="17">
        <f t="shared" ref="H37:H41" si="3">H23</f>
        <v>4.1506270779823939E-2</v>
      </c>
      <c r="I37" s="259"/>
      <c r="J37" s="259"/>
      <c r="K37" s="259"/>
      <c r="L37" s="259"/>
      <c r="M37" s="259"/>
      <c r="N37" s="259"/>
      <c r="O37" s="18"/>
      <c r="Q37" s="5"/>
      <c r="R37" s="5"/>
      <c r="S37" s="42"/>
      <c r="T37" s="42"/>
      <c r="U37" s="42"/>
      <c r="V37" s="42"/>
      <c r="W37" s="42"/>
      <c r="X37" s="42"/>
      <c r="Y37" s="42"/>
      <c r="Z37" s="42"/>
      <c r="AA37" s="42"/>
      <c r="AC37" s="10"/>
      <c r="AD37" s="10"/>
      <c r="AE37" s="10"/>
      <c r="AF37" s="10"/>
      <c r="AH37" s="10"/>
      <c r="AI37" s="10"/>
      <c r="AJ37" s="10"/>
      <c r="AK37" s="10"/>
      <c r="AM37" s="10"/>
      <c r="AN37" s="10"/>
      <c r="AO37" s="10"/>
      <c r="AP37" s="10"/>
    </row>
    <row r="38" spans="2:42">
      <c r="B38" s="5" t="s">
        <v>184</v>
      </c>
      <c r="C38" s="247"/>
      <c r="D38" s="557">
        <f t="shared" si="2"/>
        <v>4.1489124394973578</v>
      </c>
      <c r="E38" s="557">
        <f t="shared" si="2"/>
        <v>3.7837744083979801</v>
      </c>
      <c r="F38" s="557">
        <f t="shared" si="2"/>
        <v>3.2477275158639292</v>
      </c>
      <c r="G38" s="557">
        <f t="shared" si="2"/>
        <v>2.7428587919433522</v>
      </c>
      <c r="H38" s="17">
        <f t="shared" si="3"/>
        <v>4.8457032571161518E-2</v>
      </c>
      <c r="I38" s="17"/>
      <c r="J38" s="17"/>
      <c r="K38" s="17"/>
      <c r="L38" s="17"/>
      <c r="M38" s="17"/>
      <c r="N38" s="17"/>
      <c r="O38" s="5"/>
      <c r="Q38" s="5"/>
      <c r="R38" s="5"/>
      <c r="S38" s="42"/>
      <c r="T38" s="42"/>
      <c r="U38" s="42"/>
      <c r="V38" s="42"/>
      <c r="W38" s="42"/>
      <c r="X38" s="42"/>
      <c r="Y38" s="42"/>
      <c r="Z38" s="42"/>
      <c r="AA38" s="42"/>
    </row>
    <row r="39" spans="2:42">
      <c r="B39" s="5" t="s">
        <v>185</v>
      </c>
      <c r="C39" s="247"/>
      <c r="D39" s="557">
        <f t="shared" si="2"/>
        <v>6.1861038573799814</v>
      </c>
      <c r="E39" s="557">
        <f t="shared" si="2"/>
        <v>5.4605168948171618</v>
      </c>
      <c r="F39" s="557">
        <f t="shared" si="2"/>
        <v>4.6533902775737461</v>
      </c>
      <c r="G39" s="557">
        <f t="shared" si="2"/>
        <v>3.9147674085760911</v>
      </c>
      <c r="H39" s="17">
        <f t="shared" si="3"/>
        <v>6.3842766266186013E-2</v>
      </c>
      <c r="I39" s="5"/>
      <c r="J39" s="5"/>
      <c r="K39" s="5"/>
      <c r="L39" s="5"/>
      <c r="M39" s="5"/>
      <c r="N39" s="5"/>
      <c r="O39" s="5"/>
      <c r="Q39" s="5"/>
      <c r="R39" s="5"/>
      <c r="S39" s="42"/>
      <c r="T39" s="42"/>
      <c r="U39" s="42"/>
      <c r="V39" s="42"/>
      <c r="W39" s="288"/>
      <c r="X39" s="288"/>
      <c r="Y39" s="42"/>
      <c r="Z39" s="42"/>
      <c r="AA39" s="42"/>
    </row>
    <row r="40" spans="2:42">
      <c r="B40" s="5" t="s">
        <v>466</v>
      </c>
      <c r="C40" s="247"/>
      <c r="D40" s="557">
        <f t="shared" si="2"/>
        <v>6.9439536333859468</v>
      </c>
      <c r="E40" s="557">
        <f t="shared" si="2"/>
        <v>6.0970821330239104</v>
      </c>
      <c r="F40" s="557">
        <f t="shared" si="2"/>
        <v>5.1683449334617251</v>
      </c>
      <c r="G40" s="557">
        <f t="shared" si="2"/>
        <v>4.3328952437227697</v>
      </c>
      <c r="H40" s="17">
        <f t="shared" si="3"/>
        <v>6.8849532391503709E-2</v>
      </c>
      <c r="I40" s="247"/>
      <c r="J40" s="259"/>
      <c r="K40" s="259"/>
      <c r="L40" s="259"/>
      <c r="M40" s="259"/>
      <c r="N40" s="259"/>
      <c r="O40" s="18"/>
      <c r="Q40" s="5"/>
      <c r="R40" s="5"/>
      <c r="S40" s="42"/>
      <c r="T40" s="42"/>
      <c r="U40" s="42"/>
      <c r="V40" s="42"/>
      <c r="W40" s="288"/>
      <c r="X40" s="288"/>
      <c r="Y40" s="288"/>
      <c r="Z40" s="288"/>
      <c r="AA40" s="42"/>
    </row>
    <row r="41" spans="2:42">
      <c r="B41" s="5" t="s">
        <v>530</v>
      </c>
      <c r="D41" s="557">
        <f>D18/D27</f>
        <v>1.1753130739039299</v>
      </c>
      <c r="E41" s="557">
        <f t="shared" ref="E41:G41" si="4">E18/E27</f>
        <v>1.1757567202913304</v>
      </c>
      <c r="F41" s="557">
        <f t="shared" si="4"/>
        <v>1.1263024096489058</v>
      </c>
      <c r="G41" s="557">
        <f t="shared" si="4"/>
        <v>1.0471547147878779</v>
      </c>
      <c r="H41" s="17">
        <f t="shared" si="3"/>
        <v>-5.0806835295409858E-2</v>
      </c>
      <c r="I41" s="248"/>
      <c r="J41" s="17"/>
      <c r="K41" s="17"/>
      <c r="L41" s="17"/>
      <c r="M41" s="17"/>
      <c r="N41" s="17"/>
      <c r="O41" s="5"/>
      <c r="Q41" s="5"/>
      <c r="R41" s="5"/>
      <c r="S41" s="42"/>
      <c r="T41" s="42"/>
      <c r="U41" s="42"/>
      <c r="V41" s="42"/>
      <c r="W41" s="288"/>
      <c r="X41" s="288"/>
      <c r="Y41" s="288"/>
      <c r="Z41" s="288"/>
      <c r="AA41" s="42"/>
    </row>
    <row r="42" spans="2:42">
      <c r="B42" s="5" t="s">
        <v>593</v>
      </c>
      <c r="D42" s="557">
        <f>IFERROR(D18/D28,"na")</f>
        <v>1.6549220743785771</v>
      </c>
      <c r="E42" s="557">
        <f>IFERROR(E18/E28,"na")</f>
        <v>1.784519754580798</v>
      </c>
      <c r="F42" s="557">
        <f>IFERROR(F18/F28,"na")</f>
        <v>1.8716160063762746</v>
      </c>
      <c r="G42" s="557">
        <f>IFERROR(G18/G28,"na")</f>
        <v>1.9406589591487502</v>
      </c>
      <c r="H42" s="17">
        <f>H28</f>
        <v>-0.13386988386454612</v>
      </c>
      <c r="I42" s="247"/>
      <c r="J42" s="5"/>
      <c r="K42" s="5"/>
      <c r="L42" s="5"/>
      <c r="M42" s="5"/>
      <c r="N42" s="5"/>
      <c r="O42" s="5"/>
      <c r="Q42" s="5"/>
      <c r="R42" s="5"/>
      <c r="S42" s="42"/>
      <c r="T42" s="42"/>
      <c r="U42" s="42"/>
      <c r="V42" s="42"/>
      <c r="W42" s="288"/>
      <c r="X42" s="288"/>
      <c r="Y42" s="288"/>
      <c r="Z42" s="288"/>
      <c r="AA42" s="42"/>
    </row>
    <row r="43" spans="2:42">
      <c r="B43" s="5" t="s">
        <v>475</v>
      </c>
      <c r="C43" s="247"/>
      <c r="D43" s="557">
        <f>L26/D29</f>
        <v>5.976608052052339</v>
      </c>
      <c r="E43" s="557">
        <f>M26/E29</f>
        <v>5.4088146449510912</v>
      </c>
      <c r="F43" s="557">
        <f>N26/F29</f>
        <v>5.0599476755573729</v>
      </c>
      <c r="G43" s="557">
        <f>O26/G29</f>
        <v>4.7743105797072269</v>
      </c>
      <c r="H43" s="17">
        <f>H29</f>
        <v>7.5289713595871444E-2</v>
      </c>
      <c r="I43" s="247"/>
      <c r="J43" s="247"/>
      <c r="K43" s="247"/>
      <c r="L43" s="247"/>
      <c r="M43" s="247"/>
      <c r="N43" s="247"/>
      <c r="O43" s="18"/>
      <c r="Q43" s="5"/>
      <c r="R43" s="5"/>
      <c r="S43" s="42"/>
      <c r="T43" s="42"/>
      <c r="U43" s="42"/>
      <c r="V43" s="42"/>
      <c r="W43" s="325"/>
      <c r="X43" s="325"/>
      <c r="Y43" s="288"/>
      <c r="Z43" s="288"/>
      <c r="AA43" s="42"/>
    </row>
    <row r="44" spans="2:42">
      <c r="B44" s="5" t="s">
        <v>533</v>
      </c>
      <c r="C44" s="69"/>
      <c r="D44" s="557">
        <f>D11/D30</f>
        <v>14.893977546972051</v>
      </c>
      <c r="E44" s="557">
        <f>E11/E30</f>
        <v>11.840472853769791</v>
      </c>
      <c r="F44" s="557">
        <f>F11/F30</f>
        <v>9.5746290752304422</v>
      </c>
      <c r="G44" s="557">
        <f>G11/G30</f>
        <v>8.1150344654722684</v>
      </c>
      <c r="H44" s="17">
        <f>H30</f>
        <v>0.22156776501415409</v>
      </c>
      <c r="I44" s="248"/>
      <c r="J44" s="248"/>
      <c r="K44" s="248"/>
      <c r="L44" s="248"/>
      <c r="M44" s="248"/>
      <c r="N44" s="248"/>
      <c r="O44" s="248"/>
      <c r="Q44" s="5"/>
      <c r="R44" s="5"/>
      <c r="S44" s="42"/>
      <c r="T44" s="42"/>
      <c r="U44" s="42"/>
      <c r="V44" s="42"/>
      <c r="W44" s="42"/>
      <c r="X44" s="42"/>
      <c r="Y44" s="325"/>
      <c r="Z44" s="325"/>
      <c r="AA44" s="42"/>
    </row>
    <row r="45" spans="2:42">
      <c r="B45" s="5" t="s">
        <v>580</v>
      </c>
      <c r="C45" s="247"/>
      <c r="D45" s="248">
        <f>D31/D11</f>
        <v>3.4154898105313747E-2</v>
      </c>
      <c r="E45" s="248">
        <f>E31/E11</f>
        <v>4.4073955051740152E-2</v>
      </c>
      <c r="F45" s="248">
        <f>F31/F11</f>
        <v>5.4312748525084206E-2</v>
      </c>
      <c r="G45" s="248">
        <f>G31/G11</f>
        <v>6.3843538763397198E-2</v>
      </c>
      <c r="H45" s="17">
        <f>H31</f>
        <v>0.22903836843887304</v>
      </c>
      <c r="I45" s="247"/>
      <c r="J45" s="247"/>
      <c r="K45" s="247"/>
      <c r="L45" s="247"/>
      <c r="M45" s="247"/>
      <c r="N45" s="247"/>
      <c r="O45" s="248"/>
      <c r="Q45" s="5"/>
      <c r="R45" s="5"/>
      <c r="S45" s="42"/>
      <c r="T45" s="42"/>
      <c r="U45" s="42"/>
      <c r="V45" s="42"/>
      <c r="W45" s="42"/>
      <c r="X45" s="42"/>
      <c r="Y45" s="42"/>
      <c r="Z45" s="42"/>
      <c r="AA45" s="326"/>
      <c r="AB45" s="303"/>
    </row>
    <row r="46" spans="2:42">
      <c r="B46" s="5" t="s">
        <v>605</v>
      </c>
      <c r="C46" s="247"/>
      <c r="D46" s="248">
        <f>(D31+D32)/D11</f>
        <v>2.9269707798486252E-2</v>
      </c>
      <c r="E46" s="248">
        <f>(E31+E32)/E11</f>
        <v>3.8525771742588415E-2</v>
      </c>
      <c r="F46" s="248">
        <f>(F31+F32)/F11</f>
        <v>4.8168804565408389E-2</v>
      </c>
      <c r="G46" s="248">
        <f>(G31+G32)/G11</f>
        <v>5.7376762666392481E-2</v>
      </c>
      <c r="H46" s="279">
        <f>((G31+G32)/(D31+D32))^(1/3)-1</f>
        <v>0.24867669579952301</v>
      </c>
      <c r="I46" s="17"/>
      <c r="J46" s="247"/>
      <c r="K46" s="247"/>
      <c r="L46" s="247"/>
      <c r="M46" s="247"/>
      <c r="N46" s="247"/>
      <c r="O46" s="18"/>
      <c r="Q46" s="5"/>
      <c r="R46" s="5"/>
      <c r="S46" s="42"/>
      <c r="T46" s="42"/>
      <c r="U46" s="42"/>
      <c r="V46" s="42"/>
      <c r="W46" s="42"/>
      <c r="X46" s="42"/>
      <c r="Y46" s="42"/>
      <c r="Z46" s="42"/>
      <c r="AA46" s="326"/>
      <c r="AB46" s="303"/>
    </row>
    <row r="47" spans="2:42">
      <c r="B47" s="5" t="s">
        <v>581</v>
      </c>
      <c r="C47" s="5"/>
      <c r="D47" s="248">
        <f>1/D43</f>
        <v>0.1673189861691875</v>
      </c>
      <c r="E47" s="248">
        <f>1/E43</f>
        <v>0.18488339232209766</v>
      </c>
      <c r="F47" s="248">
        <f>1/F43</f>
        <v>0.19763050215531056</v>
      </c>
      <c r="G47" s="248">
        <f>1/G43</f>
        <v>0.20945432503918138</v>
      </c>
      <c r="H47" s="17">
        <f>H29</f>
        <v>7.5289713595871444E-2</v>
      </c>
      <c r="I47" s="247"/>
      <c r="J47" s="248"/>
      <c r="K47" s="248"/>
      <c r="L47" s="248"/>
      <c r="M47" s="248"/>
      <c r="N47" s="248"/>
      <c r="O47" s="248"/>
      <c r="Q47" s="5"/>
      <c r="R47" s="5"/>
      <c r="S47" s="5"/>
      <c r="T47" s="5"/>
      <c r="U47" s="5"/>
      <c r="AA47" s="303"/>
      <c r="AB47" s="303"/>
    </row>
    <row r="48" spans="2:42">
      <c r="B48" s="5" t="s">
        <v>618</v>
      </c>
      <c r="C48" s="5"/>
      <c r="D48" s="305">
        <f>D31/D29</f>
        <v>0.20413043903324535</v>
      </c>
      <c r="E48" s="305">
        <f>E31/E29</f>
        <v>0.2383878535447683</v>
      </c>
      <c r="F48" s="305">
        <f>F31/F29</f>
        <v>0.27481966565263194</v>
      </c>
      <c r="G48" s="305">
        <f>G31/G29</f>
        <v>0.30480888256403571</v>
      </c>
      <c r="H48" s="17" t="s">
        <v>607</v>
      </c>
      <c r="I48" s="259"/>
      <c r="J48" s="247"/>
      <c r="K48" s="247"/>
      <c r="L48" s="247"/>
      <c r="M48" s="247"/>
      <c r="N48" s="247"/>
      <c r="O48" s="248"/>
      <c r="Q48" s="5"/>
      <c r="R48" s="5"/>
      <c r="S48" s="5"/>
      <c r="T48" s="5"/>
      <c r="U48" s="5"/>
      <c r="AA48" s="303"/>
      <c r="AB48" s="303"/>
    </row>
    <row r="49" spans="2:28">
      <c r="B49" s="41"/>
      <c r="C49" s="17"/>
      <c r="D49" s="17"/>
      <c r="E49" s="17"/>
      <c r="F49" s="17"/>
      <c r="G49" s="17"/>
      <c r="H49" s="17"/>
      <c r="I49" s="17"/>
      <c r="J49" s="17"/>
      <c r="K49" s="17"/>
      <c r="L49" s="17"/>
      <c r="M49" s="17"/>
      <c r="N49" s="17"/>
      <c r="O49" s="248"/>
      <c r="Q49" s="5"/>
      <c r="R49" s="5"/>
      <c r="S49" s="5"/>
      <c r="T49" s="5"/>
      <c r="U49" s="5"/>
      <c r="W49" s="10"/>
      <c r="X49" s="10"/>
      <c r="AA49" s="303"/>
      <c r="AB49" s="303"/>
    </row>
    <row r="50" spans="2:28">
      <c r="B50" s="5"/>
      <c r="C50" s="257"/>
      <c r="D50" s="257"/>
      <c r="E50" s="257"/>
      <c r="F50" s="5"/>
      <c r="G50" s="41"/>
      <c r="H50" s="249"/>
      <c r="I50" s="259"/>
      <c r="J50" s="254"/>
      <c r="K50" s="254"/>
      <c r="L50" s="254"/>
      <c r="M50" s="254"/>
      <c r="N50" s="254"/>
      <c r="O50" s="251"/>
      <c r="Q50" s="5"/>
      <c r="R50" s="5"/>
      <c r="S50" s="5"/>
      <c r="T50" s="5"/>
      <c r="U50" s="5"/>
      <c r="W50" s="10"/>
      <c r="X50" s="10"/>
      <c r="Y50" s="10"/>
      <c r="Z50" s="10"/>
    </row>
    <row r="51" spans="2:28">
      <c r="B51" s="41"/>
      <c r="C51" s="249"/>
      <c r="D51" s="254"/>
      <c r="E51" s="254"/>
      <c r="F51" s="254"/>
      <c r="G51" s="254"/>
      <c r="H51" s="254"/>
      <c r="I51" s="254"/>
      <c r="J51" s="17"/>
      <c r="K51" s="17"/>
      <c r="L51" s="17"/>
      <c r="M51" s="17"/>
      <c r="N51" s="17"/>
      <c r="O51" s="248"/>
      <c r="Q51" s="5"/>
      <c r="R51" s="5"/>
      <c r="S51" s="5"/>
      <c r="T51" s="5"/>
      <c r="U51" s="5"/>
      <c r="Y51" s="10"/>
      <c r="Z51" s="10"/>
    </row>
    <row r="52" spans="2:28">
      <c r="B52" s="5"/>
      <c r="C52" s="257"/>
      <c r="D52" s="17"/>
      <c r="E52" s="17"/>
      <c r="F52" s="17"/>
      <c r="G52" s="17"/>
      <c r="H52" s="17"/>
      <c r="I52" s="17"/>
      <c r="J52" s="259"/>
      <c r="K52" s="259"/>
      <c r="L52" s="259"/>
      <c r="M52" s="259"/>
      <c r="N52" s="259"/>
      <c r="O52" s="18"/>
      <c r="Q52" s="5"/>
      <c r="R52" s="5"/>
      <c r="S52" s="5"/>
      <c r="T52" s="5"/>
      <c r="U52" s="5"/>
    </row>
    <row r="53" spans="2:28">
      <c r="B53" s="5"/>
      <c r="C53" s="257"/>
      <c r="D53" s="257"/>
      <c r="E53" s="257"/>
      <c r="F53" s="5"/>
      <c r="G53" s="5"/>
      <c r="H53" s="259"/>
      <c r="I53" s="259"/>
      <c r="J53" s="254"/>
      <c r="K53" s="254"/>
      <c r="L53" s="254"/>
      <c r="M53" s="254"/>
      <c r="N53" s="254"/>
      <c r="O53" s="251"/>
      <c r="Q53" s="5"/>
      <c r="R53" s="5"/>
      <c r="S53" s="5"/>
      <c r="T53" s="5"/>
      <c r="U53" s="5"/>
    </row>
    <row r="54" spans="2:28">
      <c r="B54" s="41"/>
      <c r="C54" s="249"/>
      <c r="D54" s="254"/>
      <c r="E54" s="254"/>
      <c r="F54" s="254"/>
      <c r="G54" s="254"/>
      <c r="H54" s="254"/>
      <c r="I54" s="249"/>
      <c r="J54" s="17"/>
      <c r="K54" s="17"/>
      <c r="L54" s="17"/>
      <c r="M54" s="17"/>
      <c r="N54" s="17"/>
      <c r="O54" s="18"/>
      <c r="Q54" s="5"/>
      <c r="R54" s="5"/>
      <c r="S54" s="5"/>
      <c r="T54" s="5"/>
      <c r="U54" s="5"/>
    </row>
    <row r="55" spans="2:28">
      <c r="B55" s="5"/>
      <c r="C55" s="257"/>
      <c r="D55" s="17"/>
      <c r="E55" s="17"/>
      <c r="F55" s="17"/>
      <c r="G55" s="17"/>
      <c r="H55" s="17"/>
      <c r="I55" s="248"/>
      <c r="J55" s="259"/>
      <c r="K55" s="259"/>
      <c r="L55" s="259"/>
      <c r="M55" s="259"/>
      <c r="N55" s="259"/>
      <c r="O55" s="18"/>
      <c r="Q55" s="5"/>
      <c r="R55" s="5"/>
      <c r="S55" s="5"/>
      <c r="T55" s="5"/>
      <c r="U55" s="5"/>
    </row>
    <row r="56" spans="2:28">
      <c r="B56" s="5"/>
      <c r="C56" s="248"/>
      <c r="D56" s="248"/>
      <c r="E56" s="248"/>
      <c r="F56" s="5"/>
      <c r="G56" s="5"/>
      <c r="H56" s="259"/>
      <c r="I56" s="5"/>
      <c r="J56" s="249"/>
      <c r="K56" s="249"/>
      <c r="L56" s="249"/>
      <c r="M56" s="249"/>
      <c r="N56" s="249"/>
      <c r="O56" s="251"/>
      <c r="Q56" s="5"/>
      <c r="R56" s="5"/>
      <c r="S56" s="5"/>
      <c r="T56" s="5"/>
      <c r="U56" s="5"/>
    </row>
    <row r="57" spans="2:28">
      <c r="B57" s="41"/>
      <c r="C57" s="249"/>
      <c r="D57" s="249"/>
      <c r="E57" s="249"/>
      <c r="F57" s="249"/>
      <c r="G57" s="249"/>
      <c r="H57" s="249"/>
      <c r="I57" s="17"/>
      <c r="J57" s="248"/>
      <c r="K57" s="248"/>
      <c r="L57" s="248"/>
      <c r="M57" s="248"/>
      <c r="N57" s="248"/>
      <c r="O57" s="18"/>
      <c r="Q57" s="5"/>
      <c r="R57" s="5"/>
      <c r="S57" s="5"/>
      <c r="T57" s="5"/>
      <c r="U57" s="5"/>
    </row>
    <row r="58" spans="2:28">
      <c r="B58" s="5"/>
      <c r="C58" s="5"/>
      <c r="D58" s="248"/>
      <c r="E58" s="248"/>
      <c r="F58" s="248"/>
      <c r="G58" s="248"/>
      <c r="H58" s="248"/>
      <c r="I58" s="5"/>
      <c r="J58" s="5"/>
      <c r="K58" s="5"/>
      <c r="L58" s="5"/>
      <c r="M58" s="5"/>
      <c r="N58" s="5"/>
      <c r="O58" s="5"/>
      <c r="Q58" s="5"/>
      <c r="R58" s="5"/>
      <c r="S58" s="5"/>
      <c r="T58" s="5"/>
      <c r="U58" s="5"/>
    </row>
    <row r="59" spans="2:28">
      <c r="B59" s="5"/>
      <c r="C59" s="5"/>
      <c r="D59" s="5"/>
      <c r="E59" s="5"/>
      <c r="F59" s="5"/>
      <c r="G59" s="5"/>
      <c r="H59" s="5"/>
      <c r="I59" s="249"/>
      <c r="J59" s="17"/>
      <c r="K59" s="17"/>
      <c r="L59" s="17"/>
      <c r="M59" s="17"/>
      <c r="N59" s="17"/>
      <c r="O59" s="251"/>
      <c r="Q59" s="5"/>
      <c r="R59" s="5"/>
      <c r="S59" s="5"/>
      <c r="T59" s="5"/>
      <c r="U59" s="5"/>
    </row>
    <row r="60" spans="2:28">
      <c r="B60" s="41"/>
      <c r="C60" s="17"/>
      <c r="D60" s="17"/>
      <c r="E60" s="17"/>
      <c r="F60" s="17"/>
      <c r="G60" s="17"/>
      <c r="H60" s="17"/>
      <c r="I60" s="5"/>
      <c r="J60" s="5"/>
      <c r="K60" s="5"/>
      <c r="L60" s="5"/>
      <c r="M60" s="5"/>
      <c r="N60" s="5"/>
      <c r="O60" s="5"/>
      <c r="Q60" s="41"/>
      <c r="R60" s="5"/>
      <c r="S60" s="5"/>
      <c r="T60" s="5"/>
      <c r="U60" s="5"/>
    </row>
    <row r="61" spans="2:28">
      <c r="B61" s="5"/>
      <c r="C61" s="5"/>
      <c r="D61" s="5"/>
      <c r="E61" s="5"/>
      <c r="F61" s="5"/>
      <c r="G61" s="5"/>
      <c r="H61" s="5"/>
      <c r="I61" s="5"/>
      <c r="J61" s="249"/>
      <c r="K61" s="249"/>
      <c r="L61" s="249"/>
      <c r="M61" s="249"/>
      <c r="N61" s="249"/>
      <c r="O61" s="251"/>
      <c r="Q61" s="5"/>
      <c r="R61" s="5"/>
      <c r="S61" s="5"/>
      <c r="T61" s="5"/>
      <c r="U61" s="5"/>
    </row>
    <row r="62" spans="2:28">
      <c r="B62" s="41"/>
      <c r="C62" s="249"/>
      <c r="D62" s="249"/>
      <c r="E62" s="249"/>
      <c r="F62" s="249"/>
      <c r="G62" s="249"/>
      <c r="H62" s="249"/>
      <c r="I62" s="254"/>
      <c r="J62" s="5"/>
      <c r="K62" s="5"/>
      <c r="L62" s="5"/>
      <c r="M62" s="5"/>
      <c r="N62" s="5"/>
      <c r="O62" s="5"/>
      <c r="Q62" s="5"/>
      <c r="R62" s="5"/>
      <c r="S62" s="5"/>
      <c r="T62" s="5"/>
      <c r="U62" s="5"/>
    </row>
    <row r="63" spans="2:28">
      <c r="B63" s="5"/>
      <c r="C63" s="5"/>
      <c r="D63" s="5"/>
      <c r="E63" s="5"/>
      <c r="F63" s="5"/>
      <c r="G63" s="5"/>
      <c r="H63" s="5"/>
      <c r="I63" s="17"/>
      <c r="J63" s="5"/>
      <c r="K63" s="5"/>
      <c r="L63" s="5"/>
      <c r="M63" s="5"/>
      <c r="N63" s="5"/>
      <c r="O63" s="5"/>
      <c r="Q63" s="5"/>
      <c r="R63" s="5"/>
      <c r="S63" s="5"/>
      <c r="T63" s="5"/>
      <c r="U63" s="5"/>
    </row>
    <row r="64" spans="2:28">
      <c r="B64" s="5"/>
      <c r="C64" s="5"/>
      <c r="D64" s="5"/>
      <c r="E64" s="5"/>
      <c r="F64" s="5"/>
      <c r="G64" s="5"/>
      <c r="H64" s="5"/>
      <c r="I64" s="254"/>
      <c r="J64" s="254"/>
      <c r="K64" s="254"/>
      <c r="L64" s="254"/>
      <c r="M64" s="254"/>
      <c r="N64" s="254"/>
      <c r="O64" s="251"/>
      <c r="Q64" s="5"/>
      <c r="R64" s="5"/>
      <c r="S64" s="5"/>
      <c r="T64" s="5"/>
      <c r="U64" s="5"/>
    </row>
    <row r="65" spans="2:26">
      <c r="B65" s="41"/>
      <c r="C65" s="249"/>
      <c r="D65" s="254"/>
      <c r="E65" s="254"/>
      <c r="F65" s="254"/>
      <c r="G65" s="254"/>
      <c r="H65" s="254"/>
      <c r="I65" s="248"/>
      <c r="J65" s="17"/>
      <c r="K65" s="17"/>
      <c r="L65" s="17"/>
      <c r="M65" s="17"/>
      <c r="N65" s="17"/>
      <c r="O65" s="5"/>
      <c r="Q65" s="5"/>
      <c r="R65" s="5"/>
      <c r="S65" s="5"/>
      <c r="T65" s="5"/>
      <c r="U65" s="5"/>
    </row>
    <row r="66" spans="2:26">
      <c r="B66" s="5"/>
      <c r="C66" s="5"/>
      <c r="D66" s="17"/>
      <c r="E66" s="17"/>
      <c r="F66" s="17"/>
      <c r="G66" s="17"/>
      <c r="H66" s="17"/>
      <c r="I66" s="5"/>
      <c r="J66" s="254"/>
      <c r="K66" s="254"/>
      <c r="L66" s="254"/>
      <c r="M66" s="254"/>
      <c r="N66" s="254"/>
      <c r="O66" s="251"/>
      <c r="Q66" s="41"/>
      <c r="R66" s="5"/>
      <c r="S66" s="5"/>
      <c r="T66" s="5"/>
      <c r="U66" s="5"/>
    </row>
    <row r="67" spans="2:26">
      <c r="B67" s="41"/>
      <c r="C67" s="249"/>
      <c r="D67" s="254"/>
      <c r="E67" s="254"/>
      <c r="F67" s="254"/>
      <c r="G67" s="254"/>
      <c r="H67" s="254"/>
      <c r="I67" s="245"/>
      <c r="J67" s="248"/>
      <c r="K67" s="248"/>
      <c r="L67" s="248"/>
      <c r="M67" s="248"/>
      <c r="N67" s="248"/>
      <c r="O67" s="5"/>
      <c r="Q67" s="5"/>
      <c r="R67" s="5"/>
      <c r="S67" s="5"/>
      <c r="T67" s="5"/>
      <c r="U67" s="5"/>
    </row>
    <row r="68" spans="2:26">
      <c r="B68" s="5"/>
      <c r="C68" s="5"/>
      <c r="D68" s="248"/>
      <c r="E68" s="248"/>
      <c r="F68" s="248"/>
      <c r="G68" s="248"/>
      <c r="H68" s="248"/>
      <c r="I68" s="248"/>
      <c r="J68" s="5"/>
      <c r="K68" s="5"/>
      <c r="L68" s="5"/>
      <c r="M68" s="5"/>
      <c r="N68" s="5"/>
      <c r="O68" s="5"/>
      <c r="Q68" s="5"/>
      <c r="R68" s="5"/>
      <c r="S68" s="5"/>
      <c r="T68" s="5"/>
      <c r="U68" s="5"/>
    </row>
    <row r="69" spans="2:26">
      <c r="B69" s="41"/>
      <c r="C69" s="5"/>
      <c r="D69" s="5"/>
      <c r="E69" s="5"/>
      <c r="F69" s="5"/>
      <c r="G69" s="5"/>
      <c r="H69" s="5"/>
      <c r="I69" s="5"/>
      <c r="J69" s="245"/>
      <c r="K69" s="245"/>
      <c r="L69" s="245"/>
      <c r="M69" s="245"/>
      <c r="N69" s="245"/>
      <c r="O69" s="251"/>
      <c r="Q69" s="5"/>
      <c r="R69" s="5"/>
      <c r="S69" s="5"/>
      <c r="T69" s="5"/>
      <c r="U69" s="5"/>
      <c r="W69" s="76"/>
      <c r="X69" s="76"/>
    </row>
    <row r="70" spans="2:26">
      <c r="B70" s="41"/>
      <c r="C70" s="245"/>
      <c r="D70" s="245"/>
      <c r="E70" s="245"/>
      <c r="F70" s="245"/>
      <c r="G70" s="245"/>
      <c r="H70" s="245"/>
      <c r="I70" s="245"/>
      <c r="J70" s="248"/>
      <c r="K70" s="248"/>
      <c r="L70" s="248"/>
      <c r="M70" s="248"/>
      <c r="N70" s="248"/>
      <c r="O70" s="5"/>
      <c r="Q70" s="5"/>
      <c r="R70" s="5"/>
      <c r="S70" s="5"/>
      <c r="T70" s="5"/>
      <c r="U70" s="5"/>
      <c r="W70" s="76"/>
      <c r="X70" s="76"/>
      <c r="Y70" s="76"/>
      <c r="Z70" s="76"/>
    </row>
    <row r="71" spans="2:26">
      <c r="B71" s="5"/>
      <c r="C71" s="5"/>
      <c r="D71" s="248"/>
      <c r="E71" s="248"/>
      <c r="F71" s="248"/>
      <c r="G71" s="248"/>
      <c r="H71" s="248"/>
      <c r="I71" s="18"/>
      <c r="J71" s="5"/>
      <c r="K71" s="5"/>
      <c r="L71" s="5"/>
      <c r="M71" s="5"/>
      <c r="N71" s="5"/>
      <c r="O71" s="5"/>
      <c r="Q71" s="5"/>
      <c r="R71" s="5"/>
      <c r="S71" s="5"/>
      <c r="T71" s="5"/>
      <c r="U71" s="5"/>
      <c r="Y71" s="76"/>
      <c r="Z71" s="76"/>
    </row>
    <row r="72" spans="2:26">
      <c r="B72" s="41"/>
      <c r="C72" s="5"/>
      <c r="D72" s="5"/>
      <c r="E72" s="5"/>
      <c r="F72" s="5"/>
      <c r="G72" s="5"/>
      <c r="H72" s="5"/>
      <c r="I72" s="5"/>
      <c r="J72" s="245"/>
      <c r="K72" s="245"/>
      <c r="L72" s="245"/>
      <c r="M72" s="245"/>
      <c r="N72" s="245"/>
      <c r="O72" s="251"/>
      <c r="Q72" s="5"/>
      <c r="R72" s="5"/>
      <c r="S72" s="5"/>
      <c r="T72" s="5"/>
      <c r="U72" s="5"/>
    </row>
    <row r="73" spans="2:26">
      <c r="B73" s="41"/>
      <c r="C73" s="245"/>
      <c r="D73" s="245"/>
      <c r="E73" s="245"/>
      <c r="F73" s="245"/>
      <c r="G73" s="245"/>
      <c r="H73" s="245"/>
      <c r="I73" s="249"/>
      <c r="J73" s="18"/>
      <c r="K73" s="18"/>
      <c r="L73" s="18"/>
      <c r="M73" s="18"/>
      <c r="N73" s="18"/>
      <c r="O73" s="5"/>
      <c r="Q73" s="5"/>
      <c r="R73" s="5"/>
      <c r="S73" s="5"/>
      <c r="T73" s="5"/>
      <c r="U73" s="5"/>
    </row>
    <row r="74" spans="2:26">
      <c r="B74" s="5"/>
      <c r="C74" s="5"/>
      <c r="D74" s="18"/>
      <c r="E74" s="18"/>
      <c r="F74" s="18"/>
      <c r="G74" s="18"/>
      <c r="H74" s="18"/>
      <c r="I74" s="248"/>
      <c r="J74" s="5"/>
      <c r="K74" s="5"/>
      <c r="L74" s="5"/>
      <c r="M74" s="5"/>
      <c r="N74" s="5"/>
      <c r="O74" s="5"/>
      <c r="Q74" s="5"/>
      <c r="R74" s="5"/>
      <c r="S74" s="5"/>
      <c r="T74" s="5"/>
      <c r="U74" s="5"/>
    </row>
    <row r="75" spans="2:26">
      <c r="B75" s="41"/>
      <c r="C75" s="5"/>
      <c r="D75" s="5"/>
      <c r="E75" s="5"/>
      <c r="F75" s="5"/>
      <c r="G75" s="5"/>
      <c r="H75" s="5"/>
      <c r="I75" s="5"/>
      <c r="J75" s="249"/>
      <c r="K75" s="249"/>
      <c r="L75" s="249"/>
      <c r="M75" s="249"/>
      <c r="N75" s="249"/>
      <c r="O75" s="251"/>
      <c r="Q75" s="5"/>
      <c r="R75" s="5"/>
      <c r="S75" s="5"/>
      <c r="T75" s="5"/>
      <c r="U75" s="5"/>
    </row>
    <row r="76" spans="2:26">
      <c r="B76" s="41"/>
      <c r="C76" s="249"/>
      <c r="D76" s="249"/>
      <c r="E76" s="249"/>
      <c r="F76" s="249"/>
      <c r="G76" s="249"/>
      <c r="H76" s="249"/>
      <c r="I76" s="245"/>
      <c r="J76" s="248"/>
      <c r="K76" s="248"/>
      <c r="L76" s="248"/>
      <c r="M76" s="248"/>
      <c r="N76" s="248"/>
      <c r="O76" s="5"/>
      <c r="Q76" s="5"/>
      <c r="R76" s="5"/>
      <c r="S76" s="5"/>
      <c r="T76" s="5"/>
      <c r="U76" s="5"/>
    </row>
    <row r="77" spans="2:26">
      <c r="B77" s="5"/>
      <c r="C77" s="5"/>
      <c r="D77" s="248"/>
      <c r="E77" s="248"/>
      <c r="F77" s="248"/>
      <c r="G77" s="248"/>
      <c r="H77" s="248"/>
      <c r="I77" s="248"/>
      <c r="J77" s="5"/>
      <c r="K77" s="5"/>
      <c r="L77" s="5"/>
      <c r="M77" s="5"/>
      <c r="N77" s="5"/>
      <c r="O77" s="5"/>
      <c r="Q77" s="5"/>
      <c r="R77" s="5"/>
      <c r="S77" s="5"/>
      <c r="T77" s="5"/>
      <c r="U77" s="5"/>
    </row>
    <row r="78" spans="2:26">
      <c r="B78" s="41"/>
      <c r="C78" s="5"/>
      <c r="D78" s="5"/>
      <c r="E78" s="5"/>
      <c r="F78" s="5"/>
      <c r="G78" s="5"/>
      <c r="H78" s="5"/>
      <c r="I78" s="5"/>
      <c r="J78" s="245"/>
      <c r="K78" s="245"/>
      <c r="L78" s="245"/>
      <c r="M78" s="245"/>
      <c r="N78" s="245"/>
      <c r="O78" s="251"/>
      <c r="Q78" s="5"/>
      <c r="R78" s="5"/>
      <c r="S78" s="5"/>
      <c r="T78" s="5"/>
      <c r="U78" s="5"/>
    </row>
    <row r="79" spans="2:26">
      <c r="B79" s="41"/>
      <c r="C79" s="245"/>
      <c r="D79" s="245"/>
      <c r="E79" s="245"/>
      <c r="F79" s="245"/>
      <c r="G79" s="245"/>
      <c r="H79" s="245"/>
      <c r="I79" s="249"/>
      <c r="J79" s="248"/>
      <c r="K79" s="248"/>
      <c r="L79" s="248"/>
      <c r="M79" s="248"/>
      <c r="N79" s="248"/>
      <c r="O79" s="5"/>
      <c r="Q79" s="5"/>
      <c r="R79" s="5"/>
      <c r="S79" s="5"/>
      <c r="T79" s="5"/>
      <c r="U79" s="5"/>
    </row>
    <row r="80" spans="2:26">
      <c r="B80" s="5"/>
      <c r="C80" s="5"/>
      <c r="D80" s="248"/>
      <c r="E80" s="248"/>
      <c r="F80" s="248"/>
      <c r="G80" s="248"/>
      <c r="H80" s="248"/>
      <c r="I80" s="248"/>
      <c r="J80" s="5"/>
      <c r="K80" s="5"/>
      <c r="L80" s="5"/>
      <c r="M80" s="5"/>
      <c r="N80" s="5"/>
      <c r="O80" s="5"/>
      <c r="Q80" s="5"/>
      <c r="R80" s="5"/>
      <c r="S80" s="5"/>
      <c r="T80" s="5"/>
      <c r="U80" s="5"/>
    </row>
    <row r="81" spans="2:26">
      <c r="B81" s="41"/>
      <c r="C81" s="5"/>
      <c r="D81" s="5"/>
      <c r="E81" s="5"/>
      <c r="F81" s="5"/>
      <c r="G81" s="5"/>
      <c r="H81" s="5"/>
      <c r="I81" s="259"/>
      <c r="J81" s="249"/>
      <c r="K81" s="249"/>
      <c r="L81" s="249"/>
      <c r="M81" s="249"/>
      <c r="N81" s="249"/>
      <c r="O81" s="251"/>
      <c r="Q81" s="5"/>
      <c r="R81" s="5"/>
      <c r="S81" s="5"/>
      <c r="T81" s="5"/>
      <c r="U81" s="5"/>
    </row>
    <row r="82" spans="2:26">
      <c r="B82" s="41"/>
      <c r="C82" s="249"/>
      <c r="D82" s="249"/>
      <c r="E82" s="249"/>
      <c r="F82" s="249"/>
      <c r="G82" s="249"/>
      <c r="H82" s="249"/>
      <c r="I82" s="5"/>
      <c r="J82" s="248"/>
      <c r="K82" s="248"/>
      <c r="L82" s="248"/>
      <c r="M82" s="248"/>
      <c r="N82" s="248"/>
      <c r="O82" s="5"/>
      <c r="Q82" s="5"/>
      <c r="R82" s="5"/>
      <c r="S82" s="5"/>
      <c r="T82" s="5"/>
      <c r="U82" s="5"/>
    </row>
    <row r="83" spans="2:26">
      <c r="B83" s="5"/>
      <c r="C83" s="5"/>
      <c r="D83" s="248"/>
      <c r="E83" s="248"/>
      <c r="F83" s="248"/>
      <c r="G83" s="248"/>
      <c r="H83" s="248"/>
      <c r="I83" s="245"/>
      <c r="J83" s="259"/>
      <c r="K83" s="259"/>
      <c r="L83" s="259"/>
      <c r="M83" s="259"/>
      <c r="N83" s="259"/>
      <c r="O83" s="251"/>
      <c r="Q83" s="5"/>
      <c r="R83" s="5"/>
      <c r="S83" s="5"/>
      <c r="T83" s="5"/>
      <c r="U83" s="5"/>
    </row>
    <row r="84" spans="2:26">
      <c r="B84" s="5"/>
      <c r="C84" s="259"/>
      <c r="D84" s="259"/>
      <c r="E84" s="259"/>
      <c r="F84" s="259"/>
      <c r="G84" s="259"/>
      <c r="H84" s="259"/>
      <c r="I84" s="248"/>
      <c r="J84" s="5"/>
      <c r="K84" s="5"/>
      <c r="L84" s="5"/>
      <c r="M84" s="5"/>
      <c r="N84" s="5"/>
      <c r="O84" s="5"/>
      <c r="Q84" s="5"/>
      <c r="R84" s="5"/>
      <c r="S84" s="5"/>
      <c r="T84" s="5"/>
      <c r="U84" s="5"/>
    </row>
    <row r="85" spans="2:26">
      <c r="B85" s="41"/>
      <c r="C85" s="5"/>
      <c r="D85" s="5"/>
      <c r="E85" s="5"/>
      <c r="F85" s="5"/>
      <c r="G85" s="5"/>
      <c r="H85" s="5"/>
      <c r="I85" s="5"/>
      <c r="J85" s="245"/>
      <c r="K85" s="245"/>
      <c r="L85" s="245"/>
      <c r="M85" s="245"/>
      <c r="N85" s="245"/>
      <c r="O85" s="251"/>
      <c r="Q85" s="5"/>
      <c r="R85" s="5"/>
      <c r="S85" s="5"/>
      <c r="T85" s="5"/>
      <c r="U85" s="5"/>
    </row>
    <row r="86" spans="2:26">
      <c r="B86" s="41"/>
      <c r="C86" s="245"/>
      <c r="D86" s="245"/>
      <c r="E86" s="245"/>
      <c r="F86" s="245"/>
      <c r="G86" s="245"/>
      <c r="H86" s="245"/>
      <c r="I86" s="5"/>
      <c r="J86" s="248"/>
      <c r="K86" s="248"/>
      <c r="L86" s="248"/>
      <c r="M86" s="248"/>
      <c r="N86" s="248"/>
      <c r="O86" s="5"/>
      <c r="Q86" s="5"/>
      <c r="R86" s="5"/>
      <c r="S86" s="5"/>
      <c r="T86" s="5"/>
      <c r="U86" s="5"/>
    </row>
    <row r="87" spans="2:26">
      <c r="B87" s="5"/>
      <c r="C87" s="5"/>
      <c r="D87" s="248"/>
      <c r="E87" s="248"/>
      <c r="F87" s="248"/>
      <c r="G87" s="248"/>
      <c r="H87" s="248"/>
      <c r="I87" s="5"/>
      <c r="J87" s="5"/>
      <c r="K87" s="5"/>
      <c r="L87" s="5"/>
      <c r="M87" s="5"/>
      <c r="N87" s="5"/>
      <c r="O87" s="5"/>
      <c r="Q87" s="5"/>
      <c r="R87" s="5"/>
      <c r="S87" s="5"/>
      <c r="T87" s="5"/>
      <c r="U87" s="5"/>
    </row>
    <row r="88" spans="2:26">
      <c r="B88" s="41"/>
      <c r="C88" s="5"/>
      <c r="D88" s="5"/>
      <c r="E88" s="5"/>
      <c r="F88" s="5"/>
      <c r="G88" s="5"/>
      <c r="H88" s="5"/>
      <c r="I88" s="5"/>
      <c r="J88" s="5"/>
      <c r="K88" s="5"/>
      <c r="L88" s="5"/>
      <c r="M88" s="5"/>
      <c r="N88" s="5"/>
      <c r="O88" s="5"/>
      <c r="Q88" s="5"/>
      <c r="R88" s="5"/>
      <c r="S88" s="5"/>
      <c r="T88" s="5"/>
      <c r="U88" s="5"/>
    </row>
    <row r="89" spans="2:26">
      <c r="B89" s="41"/>
      <c r="C89" s="5"/>
      <c r="D89" s="5"/>
      <c r="E89" s="5"/>
      <c r="F89" s="5"/>
      <c r="G89" s="5"/>
      <c r="H89" s="5"/>
      <c r="I89" s="49"/>
      <c r="J89" s="5"/>
      <c r="K89" s="5"/>
      <c r="L89" s="5"/>
      <c r="M89" s="5"/>
      <c r="N89" s="5"/>
      <c r="O89" s="5"/>
      <c r="Q89" s="41"/>
      <c r="R89" s="5"/>
      <c r="S89" s="5"/>
      <c r="T89" s="5"/>
      <c r="U89" s="5"/>
    </row>
    <row r="90" spans="2:26">
      <c r="B90" s="41"/>
      <c r="C90" s="5"/>
      <c r="D90" s="5"/>
      <c r="E90" s="5"/>
      <c r="F90" s="5"/>
      <c r="G90" s="5"/>
      <c r="H90" s="5"/>
      <c r="I90" s="5"/>
      <c r="J90" s="5"/>
      <c r="K90" s="5"/>
      <c r="L90" s="5"/>
      <c r="M90" s="5"/>
      <c r="N90" s="5"/>
      <c r="O90" s="5"/>
      <c r="Q90" s="5"/>
      <c r="R90" s="5"/>
      <c r="S90" s="5"/>
      <c r="T90" s="5"/>
      <c r="U90" s="5"/>
    </row>
    <row r="91" spans="2:26">
      <c r="B91" s="5"/>
      <c r="C91" s="5"/>
      <c r="D91" s="5"/>
      <c r="E91" s="5"/>
      <c r="F91" s="5"/>
      <c r="G91" s="5"/>
      <c r="H91" s="5"/>
      <c r="I91" s="247"/>
      <c r="J91" s="49"/>
      <c r="K91" s="49"/>
      <c r="L91" s="49"/>
      <c r="M91" s="49"/>
      <c r="N91" s="49"/>
      <c r="O91" s="49"/>
      <c r="Q91" s="5"/>
      <c r="R91" s="5"/>
      <c r="S91" s="5"/>
      <c r="T91" s="5"/>
      <c r="U91" s="5"/>
      <c r="W91" s="21"/>
      <c r="X91" s="21"/>
    </row>
    <row r="92" spans="2:26">
      <c r="B92" s="41"/>
      <c r="C92" s="49"/>
      <c r="D92" s="49"/>
      <c r="E92" s="49"/>
      <c r="F92" s="49"/>
      <c r="G92" s="49"/>
      <c r="H92" s="49"/>
      <c r="I92" s="247"/>
      <c r="J92" s="5"/>
      <c r="K92" s="5"/>
      <c r="L92" s="5"/>
      <c r="M92" s="5"/>
      <c r="N92" s="5"/>
      <c r="O92" s="5"/>
      <c r="Q92" s="5"/>
      <c r="R92" s="5"/>
      <c r="S92" s="5"/>
      <c r="T92" s="5"/>
      <c r="U92" s="5"/>
      <c r="W92" s="21"/>
      <c r="X92" s="21"/>
      <c r="Y92" s="21"/>
      <c r="Z92" s="21"/>
    </row>
    <row r="93" spans="2:26">
      <c r="B93" s="5"/>
      <c r="C93" s="5"/>
      <c r="D93" s="5"/>
      <c r="E93" s="5"/>
      <c r="F93" s="5"/>
      <c r="G93" s="5"/>
      <c r="H93" s="5"/>
      <c r="I93" s="247"/>
      <c r="J93" s="247"/>
      <c r="K93" s="247"/>
      <c r="L93" s="247"/>
      <c r="M93" s="247"/>
      <c r="N93" s="247"/>
      <c r="O93" s="248"/>
      <c r="Q93" s="5"/>
      <c r="R93" s="5"/>
      <c r="S93" s="5"/>
      <c r="T93" s="5"/>
      <c r="U93" s="5"/>
      <c r="Y93" s="21"/>
      <c r="Z93" s="21"/>
    </row>
    <row r="94" spans="2:26">
      <c r="B94" s="5"/>
      <c r="C94" s="259"/>
      <c r="D94" s="247"/>
      <c r="E94" s="247"/>
      <c r="F94" s="247"/>
      <c r="G94" s="247"/>
      <c r="H94" s="247"/>
      <c r="I94" s="248"/>
      <c r="J94" s="247"/>
      <c r="K94" s="247"/>
      <c r="L94" s="247"/>
      <c r="M94" s="247"/>
      <c r="N94" s="247"/>
      <c r="O94" s="248"/>
      <c r="Q94" s="5"/>
      <c r="R94" s="5"/>
      <c r="S94" s="5"/>
      <c r="T94" s="5"/>
      <c r="U94" s="5"/>
    </row>
    <row r="95" spans="2:26">
      <c r="B95" s="5"/>
      <c r="C95" s="259"/>
      <c r="D95" s="247"/>
      <c r="E95" s="247"/>
      <c r="F95" s="247"/>
      <c r="G95" s="247"/>
      <c r="H95" s="247"/>
      <c r="I95" s="247"/>
      <c r="J95" s="247"/>
      <c r="K95" s="247"/>
      <c r="L95" s="247"/>
      <c r="M95" s="247"/>
      <c r="N95" s="247"/>
      <c r="O95" s="248"/>
      <c r="Q95" s="5"/>
      <c r="R95" s="5"/>
      <c r="S95" s="5"/>
      <c r="T95" s="5"/>
      <c r="U95" s="5"/>
    </row>
    <row r="96" spans="2:26">
      <c r="B96" s="5"/>
      <c r="C96" s="259"/>
      <c r="D96" s="247"/>
      <c r="E96" s="247"/>
      <c r="F96" s="247"/>
      <c r="G96" s="247"/>
      <c r="H96" s="247"/>
      <c r="I96" s="249"/>
      <c r="J96" s="248"/>
      <c r="K96" s="248"/>
      <c r="L96" s="248"/>
      <c r="M96" s="248"/>
      <c r="N96" s="248"/>
      <c r="O96" s="248"/>
      <c r="Q96" s="5"/>
      <c r="R96" s="5"/>
      <c r="S96" s="5"/>
      <c r="T96" s="5"/>
      <c r="U96" s="5"/>
    </row>
    <row r="97" spans="2:21">
      <c r="B97" s="5"/>
      <c r="C97" s="259"/>
      <c r="D97" s="248"/>
      <c r="E97" s="248"/>
      <c r="F97" s="248"/>
      <c r="G97" s="248"/>
      <c r="H97" s="248"/>
      <c r="I97" s="248"/>
      <c r="J97" s="247"/>
      <c r="K97" s="247"/>
      <c r="L97" s="247"/>
      <c r="M97" s="247"/>
      <c r="N97" s="247"/>
      <c r="O97" s="248"/>
      <c r="Q97" s="5"/>
      <c r="R97" s="5"/>
      <c r="S97" s="5"/>
      <c r="T97" s="5"/>
      <c r="U97" s="5"/>
    </row>
    <row r="98" spans="2:21">
      <c r="B98" s="5"/>
      <c r="C98" s="259"/>
      <c r="D98" s="247"/>
      <c r="E98" s="247"/>
      <c r="F98" s="247"/>
      <c r="G98" s="247"/>
      <c r="H98" s="247"/>
      <c r="I98" s="5"/>
      <c r="J98" s="249"/>
      <c r="K98" s="249"/>
      <c r="L98" s="249"/>
      <c r="M98" s="249"/>
      <c r="N98" s="249"/>
      <c r="O98" s="248"/>
      <c r="Q98" s="5"/>
      <c r="R98" s="5"/>
      <c r="S98" s="5"/>
      <c r="T98" s="5"/>
      <c r="U98" s="5"/>
    </row>
    <row r="99" spans="2:21">
      <c r="B99" s="41"/>
      <c r="C99" s="249"/>
      <c r="D99" s="249"/>
      <c r="E99" s="249"/>
      <c r="F99" s="249"/>
      <c r="G99" s="249"/>
      <c r="H99" s="249"/>
      <c r="I99" s="259"/>
      <c r="J99" s="248"/>
      <c r="K99" s="248"/>
      <c r="L99" s="248"/>
      <c r="M99" s="248"/>
      <c r="N99" s="248"/>
      <c r="O99" s="248"/>
      <c r="Q99" s="5"/>
      <c r="R99" s="5"/>
      <c r="S99" s="5"/>
      <c r="T99" s="5"/>
      <c r="U99" s="5"/>
    </row>
    <row r="100" spans="2:21" s="5" customFormat="1">
      <c r="B100" s="41"/>
      <c r="C100" s="257"/>
      <c r="D100" s="248"/>
      <c r="E100" s="248"/>
      <c r="F100" s="248"/>
      <c r="G100" s="248"/>
      <c r="H100" s="248"/>
      <c r="I100" s="259"/>
      <c r="O100" s="248"/>
      <c r="P100" s="39"/>
    </row>
    <row r="101" spans="2:21">
      <c r="B101" s="41"/>
      <c r="C101" s="5"/>
      <c r="D101" s="5"/>
      <c r="E101" s="5"/>
      <c r="F101" s="5"/>
      <c r="G101" s="5"/>
      <c r="H101" s="5"/>
      <c r="I101" s="247"/>
      <c r="J101" s="259"/>
      <c r="K101" s="259"/>
      <c r="L101" s="259"/>
      <c r="M101" s="259"/>
      <c r="N101" s="259"/>
      <c r="O101" s="5"/>
      <c r="Q101" s="5"/>
      <c r="R101" s="5"/>
      <c r="S101" s="5"/>
      <c r="T101" s="5"/>
      <c r="U101" s="5"/>
    </row>
    <row r="102" spans="2:21">
      <c r="B102" s="5"/>
      <c r="C102" s="259"/>
      <c r="D102" s="259"/>
      <c r="E102" s="259"/>
      <c r="F102" s="259"/>
      <c r="G102" s="259"/>
      <c r="H102" s="259"/>
      <c r="I102" s="5"/>
      <c r="J102" s="259"/>
      <c r="K102" s="259"/>
      <c r="L102" s="259"/>
      <c r="M102" s="259"/>
      <c r="N102" s="259"/>
      <c r="O102" s="5"/>
      <c r="P102" s="5"/>
      <c r="Q102" s="5"/>
      <c r="R102" s="5"/>
      <c r="S102" s="5"/>
      <c r="T102" s="5"/>
      <c r="U102" s="5"/>
    </row>
    <row r="103" spans="2:21">
      <c r="B103" s="5"/>
      <c r="C103" s="259"/>
      <c r="D103" s="259"/>
      <c r="E103" s="259"/>
      <c r="F103" s="259"/>
      <c r="G103" s="259"/>
      <c r="H103" s="259"/>
      <c r="I103" s="247"/>
      <c r="J103" s="247"/>
      <c r="K103" s="247"/>
      <c r="L103" s="247"/>
      <c r="M103" s="247"/>
      <c r="N103" s="247"/>
      <c r="O103" s="5"/>
      <c r="Q103" s="5"/>
      <c r="R103" s="5"/>
      <c r="S103" s="5"/>
      <c r="T103" s="5"/>
      <c r="U103" s="5"/>
    </row>
    <row r="104" spans="2:21" s="5" customFormat="1">
      <c r="C104" s="247"/>
      <c r="D104" s="247"/>
      <c r="E104" s="247"/>
      <c r="F104" s="247"/>
      <c r="G104" s="247"/>
      <c r="H104" s="247"/>
      <c r="P104" s="39"/>
    </row>
    <row r="105" spans="2:21" s="5" customFormat="1">
      <c r="I105" s="259"/>
      <c r="J105" s="247"/>
      <c r="K105" s="247"/>
      <c r="L105" s="247"/>
      <c r="M105" s="247"/>
      <c r="N105" s="247"/>
      <c r="P105" s="39"/>
    </row>
    <row r="106" spans="2:21">
      <c r="B106" s="5"/>
      <c r="C106" s="259"/>
      <c r="D106" s="247"/>
      <c r="E106" s="247"/>
      <c r="F106" s="247"/>
      <c r="G106" s="247"/>
      <c r="H106" s="247"/>
      <c r="I106" s="247"/>
      <c r="J106" s="5"/>
      <c r="K106" s="5"/>
      <c r="L106" s="5"/>
      <c r="M106" s="5"/>
      <c r="N106" s="5"/>
      <c r="O106" s="5"/>
      <c r="P106" s="5"/>
      <c r="Q106" s="5"/>
      <c r="R106" s="5"/>
      <c r="S106" s="5"/>
      <c r="T106" s="5"/>
      <c r="U106" s="5"/>
    </row>
    <row r="107" spans="2:21">
      <c r="B107" s="5"/>
      <c r="C107" s="259"/>
      <c r="D107" s="5"/>
      <c r="E107" s="5"/>
      <c r="F107" s="5"/>
      <c r="G107" s="5"/>
      <c r="H107" s="5"/>
      <c r="I107" s="249"/>
      <c r="J107" s="259"/>
      <c r="K107" s="259"/>
      <c r="L107" s="259"/>
      <c r="M107" s="259"/>
      <c r="N107" s="259"/>
      <c r="O107" s="5"/>
      <c r="P107" s="5"/>
      <c r="Q107" s="5"/>
      <c r="R107" s="5"/>
      <c r="S107" s="5"/>
      <c r="T107" s="5"/>
      <c r="U107" s="5"/>
    </row>
    <row r="108" spans="2:21">
      <c r="B108" s="5"/>
      <c r="C108" s="259"/>
      <c r="D108" s="259"/>
      <c r="E108" s="259"/>
      <c r="F108" s="259"/>
      <c r="G108" s="259"/>
      <c r="H108" s="259"/>
      <c r="I108" s="249"/>
      <c r="J108" s="247"/>
      <c r="K108" s="247"/>
      <c r="L108" s="247"/>
      <c r="M108" s="247"/>
      <c r="N108" s="247"/>
      <c r="O108" s="5"/>
      <c r="Q108" s="5"/>
      <c r="R108" s="5"/>
      <c r="S108" s="5"/>
      <c r="T108" s="5"/>
      <c r="U108" s="5"/>
    </row>
    <row r="109" spans="2:21">
      <c r="B109" s="5"/>
      <c r="C109" s="247"/>
      <c r="D109" s="247"/>
      <c r="E109" s="247"/>
      <c r="F109" s="247"/>
      <c r="G109" s="247"/>
      <c r="H109" s="247"/>
      <c r="I109" s="247"/>
      <c r="J109" s="249"/>
      <c r="K109" s="249"/>
      <c r="L109" s="249"/>
      <c r="M109" s="249"/>
      <c r="N109" s="249"/>
      <c r="O109" s="5"/>
      <c r="Q109" s="5"/>
      <c r="R109" s="5"/>
      <c r="S109" s="5"/>
      <c r="T109" s="5"/>
      <c r="U109" s="5"/>
    </row>
    <row r="110" spans="2:21">
      <c r="B110" s="41"/>
      <c r="C110" s="249"/>
      <c r="D110" s="249"/>
      <c r="E110" s="249"/>
      <c r="F110" s="249"/>
      <c r="G110" s="249"/>
      <c r="H110" s="249"/>
      <c r="I110" s="5"/>
      <c r="J110" s="249"/>
      <c r="K110" s="249"/>
      <c r="L110" s="249"/>
      <c r="M110" s="249"/>
      <c r="N110" s="249"/>
      <c r="O110" s="5"/>
      <c r="Q110" s="5"/>
      <c r="R110" s="5"/>
      <c r="S110" s="5"/>
      <c r="T110" s="5"/>
      <c r="U110" s="5"/>
    </row>
    <row r="111" spans="2:21">
      <c r="B111" s="5"/>
      <c r="C111" s="249"/>
      <c r="D111" s="249"/>
      <c r="E111" s="249"/>
      <c r="F111" s="249"/>
      <c r="G111" s="249"/>
      <c r="H111" s="249"/>
      <c r="I111" s="5"/>
      <c r="J111" s="247"/>
      <c r="K111" s="247"/>
      <c r="L111" s="247"/>
      <c r="M111" s="247"/>
      <c r="N111" s="247"/>
      <c r="O111" s="5"/>
      <c r="Q111" s="5"/>
      <c r="R111" s="5"/>
      <c r="S111" s="5"/>
      <c r="T111" s="5"/>
      <c r="U111" s="5"/>
    </row>
    <row r="112" spans="2:21">
      <c r="B112" s="5"/>
      <c r="C112" s="247"/>
      <c r="D112" s="247"/>
      <c r="E112" s="247"/>
      <c r="F112" s="247"/>
      <c r="G112" s="247"/>
      <c r="H112" s="247"/>
      <c r="I112" s="5"/>
      <c r="J112" s="5"/>
      <c r="K112" s="5"/>
      <c r="L112" s="5"/>
      <c r="M112" s="5"/>
      <c r="N112" s="5"/>
      <c r="O112" s="5"/>
      <c r="Q112" s="5"/>
      <c r="R112" s="5"/>
      <c r="S112" s="5"/>
      <c r="T112" s="5"/>
      <c r="U112" s="5"/>
    </row>
    <row r="113" spans="2:21">
      <c r="B113" s="5"/>
      <c r="C113" s="5"/>
      <c r="D113" s="5"/>
      <c r="E113" s="5"/>
      <c r="F113" s="5"/>
      <c r="G113" s="5"/>
      <c r="H113" s="5"/>
      <c r="I113" s="5"/>
      <c r="J113" s="5"/>
      <c r="K113" s="5"/>
      <c r="L113" s="5"/>
      <c r="M113" s="5"/>
      <c r="N113" s="5"/>
      <c r="O113" s="5"/>
      <c r="Q113" s="5"/>
      <c r="R113" s="5"/>
      <c r="S113" s="5"/>
      <c r="T113" s="5"/>
      <c r="U113" s="5"/>
    </row>
    <row r="114" spans="2:21">
      <c r="B114" s="5"/>
      <c r="C114" s="5"/>
      <c r="D114" s="5"/>
      <c r="E114" s="5"/>
      <c r="F114" s="5"/>
      <c r="G114" s="5"/>
      <c r="H114" s="5"/>
      <c r="I114" s="49"/>
      <c r="J114" s="5"/>
      <c r="K114" s="5"/>
      <c r="L114" s="5"/>
      <c r="M114" s="5"/>
      <c r="N114" s="5"/>
      <c r="O114" s="5"/>
      <c r="Q114" s="41"/>
      <c r="R114" s="5"/>
      <c r="S114" s="5"/>
      <c r="T114" s="5"/>
      <c r="U114" s="5"/>
    </row>
    <row r="115" spans="2:21">
      <c r="B115" s="5"/>
      <c r="C115" s="5"/>
      <c r="D115" s="5"/>
      <c r="E115" s="5"/>
      <c r="F115" s="5"/>
      <c r="G115" s="5"/>
      <c r="H115" s="5"/>
      <c r="I115" s="5"/>
      <c r="J115" s="5"/>
      <c r="K115" s="5"/>
      <c r="L115" s="5"/>
      <c r="M115" s="5"/>
      <c r="N115" s="5"/>
      <c r="O115" s="5"/>
      <c r="Q115" s="5"/>
      <c r="R115" s="5"/>
      <c r="S115" s="5"/>
      <c r="T115" s="5"/>
      <c r="U115" s="5"/>
    </row>
    <row r="116" spans="2:21">
      <c r="B116" s="5"/>
      <c r="C116" s="5"/>
      <c r="D116" s="5"/>
      <c r="E116" s="5"/>
      <c r="F116" s="5"/>
      <c r="G116" s="5"/>
      <c r="H116" s="5"/>
      <c r="I116" s="254"/>
      <c r="J116" s="49"/>
      <c r="K116" s="49"/>
      <c r="L116" s="49"/>
      <c r="M116" s="49"/>
      <c r="N116" s="49"/>
      <c r="O116" s="49"/>
      <c r="Q116" s="5"/>
      <c r="R116" s="5"/>
      <c r="S116" s="5"/>
      <c r="T116" s="5"/>
      <c r="U116" s="5"/>
    </row>
    <row r="117" spans="2:21">
      <c r="B117" s="41"/>
      <c r="C117" s="49"/>
      <c r="D117" s="49"/>
      <c r="E117" s="49"/>
      <c r="F117" s="49"/>
      <c r="G117" s="49"/>
      <c r="H117" s="49"/>
      <c r="I117" s="249"/>
      <c r="J117" s="5"/>
      <c r="K117" s="5"/>
      <c r="L117" s="5"/>
      <c r="M117" s="5"/>
      <c r="N117" s="5"/>
      <c r="O117" s="5"/>
      <c r="Q117" s="5"/>
      <c r="R117" s="5"/>
      <c r="S117" s="5"/>
      <c r="T117" s="5"/>
      <c r="U117" s="5"/>
    </row>
    <row r="118" spans="2:21">
      <c r="B118" s="5"/>
      <c r="C118" s="5"/>
      <c r="D118" s="5"/>
      <c r="E118" s="5"/>
      <c r="F118" s="5"/>
      <c r="G118" s="5"/>
      <c r="H118" s="5"/>
      <c r="I118" s="254"/>
      <c r="J118" s="254"/>
      <c r="K118" s="254"/>
      <c r="L118" s="254"/>
      <c r="M118" s="254"/>
      <c r="N118" s="254"/>
      <c r="O118" s="248"/>
      <c r="Q118" s="5"/>
      <c r="R118" s="5"/>
      <c r="S118" s="5"/>
      <c r="T118" s="5"/>
      <c r="U118" s="5"/>
    </row>
    <row r="119" spans="2:21">
      <c r="B119" s="41"/>
      <c r="C119" s="254"/>
      <c r="D119" s="254"/>
      <c r="E119" s="254"/>
      <c r="F119" s="254"/>
      <c r="G119" s="254"/>
      <c r="H119" s="254"/>
      <c r="I119" s="254"/>
      <c r="J119" s="249"/>
      <c r="K119" s="249"/>
      <c r="L119" s="249"/>
      <c r="M119" s="249"/>
      <c r="N119" s="249"/>
      <c r="O119" s="248"/>
      <c r="Q119" s="5"/>
      <c r="R119" s="5"/>
      <c r="S119" s="5"/>
      <c r="T119" s="5"/>
      <c r="U119" s="5"/>
    </row>
    <row r="120" spans="2:21">
      <c r="B120" s="41"/>
      <c r="C120" s="254"/>
      <c r="D120" s="249"/>
      <c r="E120" s="249"/>
      <c r="F120" s="249"/>
      <c r="G120" s="249"/>
      <c r="H120" s="249"/>
      <c r="I120" s="254"/>
      <c r="J120" s="254"/>
      <c r="K120" s="254"/>
      <c r="L120" s="254"/>
      <c r="M120" s="254"/>
      <c r="N120" s="254"/>
      <c r="O120" s="248"/>
      <c r="Q120" s="5"/>
      <c r="R120" s="5"/>
      <c r="S120" s="5"/>
      <c r="T120" s="5"/>
      <c r="U120" s="5"/>
    </row>
    <row r="121" spans="2:21">
      <c r="B121" s="41"/>
      <c r="C121" s="254"/>
      <c r="D121" s="254"/>
      <c r="E121" s="254"/>
      <c r="F121" s="254"/>
      <c r="G121" s="254"/>
      <c r="H121" s="254"/>
      <c r="I121" s="254"/>
      <c r="J121" s="254"/>
      <c r="K121" s="254"/>
      <c r="L121" s="254"/>
      <c r="M121" s="254"/>
      <c r="N121" s="254"/>
      <c r="O121" s="248"/>
      <c r="Q121" s="5"/>
      <c r="R121" s="5"/>
      <c r="S121" s="5"/>
      <c r="T121" s="5"/>
      <c r="U121" s="5"/>
    </row>
    <row r="122" spans="2:21">
      <c r="B122" s="41"/>
      <c r="C122" s="254"/>
      <c r="D122" s="254"/>
      <c r="E122" s="254"/>
      <c r="F122" s="254"/>
      <c r="G122" s="254"/>
      <c r="H122" s="254"/>
      <c r="I122" s="254"/>
      <c r="J122" s="254"/>
      <c r="K122" s="254"/>
      <c r="L122" s="254"/>
      <c r="M122" s="254"/>
      <c r="N122" s="254"/>
      <c r="O122" s="248"/>
      <c r="Q122" s="5"/>
      <c r="R122" s="5"/>
      <c r="S122" s="5"/>
      <c r="T122" s="5"/>
      <c r="U122" s="5"/>
    </row>
    <row r="123" spans="2:21">
      <c r="B123" s="41"/>
      <c r="C123" s="254"/>
      <c r="D123" s="254"/>
      <c r="E123" s="254"/>
      <c r="F123" s="254"/>
      <c r="G123" s="254"/>
      <c r="H123" s="254"/>
      <c r="I123" s="254"/>
      <c r="J123" s="254"/>
      <c r="K123" s="254"/>
      <c r="L123" s="254"/>
      <c r="M123" s="254"/>
      <c r="N123" s="254"/>
      <c r="O123" s="248"/>
      <c r="Q123" s="5"/>
      <c r="R123" s="5"/>
      <c r="S123" s="5"/>
      <c r="T123" s="5"/>
      <c r="U123" s="5"/>
    </row>
    <row r="124" spans="2:21">
      <c r="B124" s="41"/>
      <c r="C124" s="254"/>
      <c r="D124" s="254"/>
      <c r="E124" s="254"/>
      <c r="F124" s="254"/>
      <c r="G124" s="254"/>
      <c r="H124" s="254"/>
      <c r="I124" s="254"/>
      <c r="J124" s="254"/>
      <c r="K124" s="254"/>
      <c r="L124" s="254"/>
      <c r="M124" s="254"/>
      <c r="N124" s="254"/>
      <c r="O124" s="5"/>
      <c r="Q124" s="5"/>
      <c r="R124" s="5"/>
      <c r="S124" s="5"/>
      <c r="T124" s="5"/>
      <c r="U124" s="5"/>
    </row>
    <row r="125" spans="2:21">
      <c r="B125" s="41"/>
      <c r="C125" s="254"/>
      <c r="D125" s="254"/>
      <c r="E125" s="254"/>
      <c r="F125" s="254"/>
      <c r="G125" s="254"/>
      <c r="H125" s="254"/>
      <c r="I125" s="254"/>
      <c r="J125" s="254"/>
      <c r="K125" s="254"/>
      <c r="L125" s="254"/>
      <c r="M125" s="254"/>
      <c r="N125" s="254"/>
      <c r="O125" s="5"/>
      <c r="Q125" s="5"/>
      <c r="R125" s="5"/>
      <c r="S125" s="5"/>
      <c r="T125" s="5"/>
      <c r="U125" s="5"/>
    </row>
    <row r="126" spans="2:21">
      <c r="B126" s="41"/>
      <c r="C126" s="254"/>
      <c r="D126" s="254"/>
      <c r="E126" s="254"/>
      <c r="F126" s="254"/>
      <c r="G126" s="254"/>
      <c r="H126" s="254"/>
      <c r="I126" s="18"/>
      <c r="J126" s="254"/>
      <c r="K126" s="254"/>
      <c r="L126" s="254"/>
      <c r="M126" s="254"/>
      <c r="N126" s="254"/>
      <c r="O126" s="5"/>
      <c r="Q126" s="5"/>
      <c r="R126" s="5"/>
      <c r="S126" s="5"/>
      <c r="T126" s="5"/>
      <c r="U126" s="5"/>
    </row>
    <row r="127" spans="2:21">
      <c r="B127" s="41"/>
      <c r="C127" s="254"/>
      <c r="D127" s="254"/>
      <c r="E127" s="254"/>
      <c r="F127" s="254"/>
      <c r="G127" s="254"/>
      <c r="H127" s="254"/>
      <c r="I127" s="5"/>
      <c r="J127" s="254"/>
      <c r="K127" s="254"/>
      <c r="L127" s="254"/>
      <c r="M127" s="254"/>
      <c r="N127" s="254"/>
      <c r="O127" s="5"/>
      <c r="Q127" s="5"/>
      <c r="R127" s="5"/>
      <c r="S127" s="5"/>
      <c r="T127" s="5"/>
      <c r="U127" s="5"/>
    </row>
    <row r="128" spans="2:21">
      <c r="B128" s="41"/>
      <c r="C128" s="254"/>
      <c r="D128" s="254"/>
      <c r="E128" s="254"/>
      <c r="F128" s="254"/>
      <c r="G128" s="254"/>
      <c r="H128" s="254"/>
      <c r="I128" s="254"/>
      <c r="J128" s="18"/>
      <c r="K128" s="18"/>
      <c r="L128" s="18"/>
      <c r="M128" s="18"/>
      <c r="N128" s="18"/>
      <c r="O128" s="5"/>
      <c r="Q128" s="5"/>
      <c r="R128" s="5"/>
      <c r="S128" s="5"/>
      <c r="T128" s="5"/>
      <c r="U128" s="5"/>
    </row>
    <row r="129" spans="2:27">
      <c r="B129" s="5"/>
      <c r="C129" s="5"/>
      <c r="D129" s="18"/>
      <c r="E129" s="18"/>
      <c r="F129" s="18"/>
      <c r="G129" s="18"/>
      <c r="H129" s="18"/>
      <c r="I129" s="18"/>
      <c r="J129" s="5"/>
      <c r="K129" s="5"/>
      <c r="L129" s="5"/>
      <c r="M129" s="5"/>
      <c r="N129" s="5"/>
      <c r="O129" s="5"/>
      <c r="Q129" s="5"/>
      <c r="R129" s="5"/>
      <c r="S129" s="5"/>
      <c r="T129" s="5"/>
      <c r="U129" s="5"/>
    </row>
    <row r="130" spans="2:27">
      <c r="B130" s="5"/>
      <c r="C130" s="5"/>
      <c r="D130" s="5"/>
      <c r="E130" s="5"/>
      <c r="F130" s="5"/>
      <c r="G130" s="5"/>
      <c r="H130" s="5"/>
      <c r="I130" s="5"/>
      <c r="J130" s="254"/>
      <c r="K130" s="254"/>
      <c r="L130" s="254"/>
      <c r="M130" s="254"/>
      <c r="N130" s="254"/>
      <c r="O130" s="5"/>
      <c r="Q130" s="5"/>
      <c r="R130" s="5"/>
      <c r="S130" s="5"/>
      <c r="T130" s="5"/>
      <c r="U130" s="5"/>
    </row>
    <row r="131" spans="2:27">
      <c r="B131" s="41"/>
      <c r="C131" s="254"/>
      <c r="D131" s="254"/>
      <c r="E131" s="254"/>
      <c r="F131" s="254"/>
      <c r="G131" s="254"/>
      <c r="H131" s="254"/>
      <c r="I131" s="5"/>
      <c r="J131" s="18"/>
      <c r="K131" s="18"/>
      <c r="L131" s="18"/>
      <c r="M131" s="18"/>
      <c r="N131" s="18"/>
      <c r="O131" s="5"/>
      <c r="Q131" s="5"/>
      <c r="R131" s="5"/>
      <c r="S131" s="5"/>
      <c r="T131" s="5"/>
      <c r="U131" s="5"/>
    </row>
    <row r="132" spans="2:27">
      <c r="B132" s="5"/>
      <c r="C132" s="259"/>
      <c r="D132" s="18"/>
      <c r="E132" s="18"/>
      <c r="F132" s="18"/>
      <c r="G132" s="18"/>
      <c r="H132" s="18"/>
      <c r="I132" s="17"/>
      <c r="J132" s="5"/>
      <c r="K132" s="5"/>
      <c r="L132" s="5"/>
      <c r="M132" s="5"/>
      <c r="N132" s="5"/>
      <c r="O132" s="5"/>
      <c r="Q132" s="5"/>
      <c r="R132" s="5"/>
      <c r="S132" s="5"/>
      <c r="T132" s="5"/>
      <c r="U132" s="5"/>
    </row>
    <row r="133" spans="2:27">
      <c r="B133" s="5"/>
      <c r="C133" s="5"/>
      <c r="D133" s="5"/>
      <c r="E133" s="5"/>
      <c r="F133" s="5"/>
      <c r="G133" s="5"/>
      <c r="H133" s="5"/>
      <c r="I133" s="17"/>
      <c r="J133" s="5"/>
      <c r="K133" s="5"/>
      <c r="L133" s="5"/>
      <c r="M133" s="5"/>
      <c r="N133" s="5"/>
      <c r="O133" s="5"/>
      <c r="Q133" s="5"/>
      <c r="R133" s="5"/>
      <c r="S133" s="5"/>
      <c r="T133" s="5"/>
      <c r="U133" s="5"/>
    </row>
    <row r="134" spans="2:27">
      <c r="B134" s="41"/>
      <c r="C134" s="5"/>
      <c r="D134" s="5"/>
      <c r="E134" s="5"/>
      <c r="F134" s="5"/>
      <c r="G134" s="5"/>
      <c r="H134" s="5"/>
      <c r="I134" s="17"/>
      <c r="J134" s="17"/>
      <c r="K134" s="17"/>
      <c r="L134" s="17"/>
      <c r="M134" s="17"/>
      <c r="N134" s="17"/>
      <c r="O134" s="5"/>
      <c r="Q134" s="41"/>
      <c r="R134" s="5"/>
      <c r="S134" s="5"/>
      <c r="T134" s="5"/>
      <c r="U134" s="5"/>
    </row>
    <row r="135" spans="2:27">
      <c r="B135" s="5"/>
      <c r="C135" s="17"/>
      <c r="D135" s="17"/>
      <c r="E135" s="17"/>
      <c r="F135" s="17"/>
      <c r="G135" s="17"/>
      <c r="H135" s="17"/>
      <c r="I135" s="17"/>
      <c r="J135" s="17"/>
      <c r="K135" s="17"/>
      <c r="L135" s="17"/>
      <c r="M135" s="17"/>
      <c r="N135" s="17"/>
      <c r="O135" s="5"/>
      <c r="Q135" s="5"/>
      <c r="R135" s="5"/>
      <c r="S135" s="5"/>
      <c r="T135" s="5"/>
      <c r="U135" s="5"/>
      <c r="X135" s="304"/>
    </row>
    <row r="136" spans="2:27">
      <c r="B136" s="5"/>
      <c r="C136" s="17"/>
      <c r="D136" s="17"/>
      <c r="E136" s="17"/>
      <c r="F136" s="17"/>
      <c r="G136" s="17"/>
      <c r="H136" s="17"/>
      <c r="I136" s="17"/>
      <c r="J136" s="17"/>
      <c r="K136" s="17"/>
      <c r="L136" s="17"/>
      <c r="M136" s="17"/>
      <c r="N136" s="17"/>
      <c r="O136" s="5"/>
      <c r="Q136" s="5"/>
      <c r="R136" s="5"/>
      <c r="S136" s="5"/>
      <c r="T136" s="5"/>
      <c r="U136" s="5"/>
      <c r="X136" s="10"/>
      <c r="Y136" s="304"/>
      <c r="Z136" s="304"/>
      <c r="AA136" s="304"/>
    </row>
    <row r="137" spans="2:27">
      <c r="B137" s="5"/>
      <c r="C137" s="5"/>
      <c r="D137" s="17"/>
      <c r="E137" s="17"/>
      <c r="F137" s="17"/>
      <c r="G137" s="17"/>
      <c r="H137" s="17"/>
      <c r="I137" s="17"/>
      <c r="J137" s="17"/>
      <c r="K137" s="17"/>
      <c r="L137" s="17"/>
      <c r="M137" s="17"/>
      <c r="N137" s="17"/>
      <c r="O137" s="5"/>
      <c r="Q137" s="5"/>
      <c r="R137" s="5"/>
      <c r="S137" s="5"/>
      <c r="T137" s="5"/>
      <c r="U137" s="5"/>
      <c r="Y137" s="10"/>
      <c r="Z137" s="10"/>
      <c r="AA137" s="10"/>
    </row>
    <row r="138" spans="2:27">
      <c r="B138" s="5"/>
      <c r="C138" s="5"/>
      <c r="D138" s="17"/>
      <c r="E138" s="17"/>
      <c r="F138" s="17"/>
      <c r="G138" s="17"/>
      <c r="H138" s="17"/>
      <c r="I138" s="5"/>
      <c r="J138" s="17"/>
      <c r="K138" s="17"/>
      <c r="L138" s="17"/>
      <c r="M138" s="17"/>
      <c r="N138" s="17"/>
      <c r="O138" s="5"/>
      <c r="Q138" s="5"/>
      <c r="R138" s="5"/>
      <c r="S138" s="5"/>
      <c r="T138" s="5"/>
      <c r="U138" s="5"/>
    </row>
    <row r="139" spans="2:27">
      <c r="B139" s="5"/>
      <c r="C139" s="5"/>
      <c r="D139" s="17"/>
      <c r="E139" s="17"/>
      <c r="F139" s="17"/>
      <c r="G139" s="17"/>
      <c r="H139" s="17"/>
      <c r="I139" s="5"/>
      <c r="J139" s="17"/>
      <c r="K139" s="17"/>
      <c r="L139" s="17"/>
      <c r="M139" s="17"/>
      <c r="N139" s="17"/>
      <c r="O139" s="5"/>
      <c r="Q139" s="5"/>
      <c r="R139" s="5"/>
      <c r="S139" s="5"/>
      <c r="T139" s="5"/>
      <c r="U139" s="5"/>
    </row>
    <row r="140" spans="2:27">
      <c r="B140" s="5"/>
      <c r="C140" s="17"/>
      <c r="D140" s="17"/>
      <c r="E140" s="17"/>
      <c r="F140" s="17"/>
      <c r="G140" s="17"/>
      <c r="H140" s="17"/>
      <c r="I140" s="5"/>
      <c r="J140" s="5"/>
      <c r="K140" s="5"/>
      <c r="L140" s="5"/>
      <c r="M140" s="5"/>
      <c r="N140" s="5"/>
      <c r="O140" s="5"/>
      <c r="Q140" s="5"/>
      <c r="R140" s="5"/>
      <c r="S140" s="5"/>
      <c r="T140" s="5"/>
      <c r="U140" s="5"/>
    </row>
    <row r="141" spans="2:27">
      <c r="B141" s="5"/>
      <c r="C141" s="5"/>
      <c r="D141" s="5"/>
      <c r="E141" s="5"/>
      <c r="F141" s="5"/>
      <c r="G141" s="5"/>
      <c r="H141" s="5"/>
      <c r="I141" s="5"/>
      <c r="J141" s="5"/>
      <c r="K141" s="5"/>
      <c r="L141" s="5"/>
      <c r="M141" s="5"/>
      <c r="N141" s="5"/>
      <c r="O141" s="5"/>
      <c r="Q141" s="5"/>
      <c r="R141" s="5"/>
      <c r="S141" s="5"/>
      <c r="T141" s="5"/>
      <c r="U141" s="5"/>
    </row>
    <row r="142" spans="2:27">
      <c r="B142" s="5"/>
      <c r="C142" s="5"/>
      <c r="D142" s="5"/>
      <c r="E142" s="5"/>
      <c r="F142" s="5"/>
      <c r="G142" s="5"/>
      <c r="H142" s="5"/>
      <c r="I142" s="5"/>
      <c r="J142" s="5"/>
      <c r="K142" s="5"/>
      <c r="L142" s="5"/>
      <c r="M142" s="5"/>
      <c r="N142" s="5"/>
      <c r="O142" s="5"/>
      <c r="Q142" s="5"/>
      <c r="R142" s="5"/>
      <c r="S142" s="5"/>
      <c r="T142" s="5"/>
      <c r="U142" s="5"/>
    </row>
    <row r="143" spans="2:27">
      <c r="B143" s="5"/>
      <c r="C143" s="5"/>
      <c r="D143" s="5"/>
      <c r="E143" s="5"/>
      <c r="F143" s="5"/>
      <c r="G143" s="5"/>
      <c r="H143" s="5"/>
      <c r="I143" s="5"/>
      <c r="J143" s="5"/>
      <c r="K143" s="5"/>
      <c r="L143" s="5"/>
      <c r="M143" s="5"/>
      <c r="N143" s="5"/>
      <c r="O143" s="5"/>
      <c r="Q143" s="5"/>
      <c r="R143" s="5"/>
      <c r="S143" s="5"/>
      <c r="T143" s="5"/>
      <c r="U143" s="5"/>
    </row>
    <row r="144" spans="2:27">
      <c r="B144" s="5"/>
      <c r="C144" s="5"/>
      <c r="D144" s="5"/>
      <c r="E144" s="5"/>
      <c r="F144" s="5"/>
      <c r="G144" s="5"/>
      <c r="H144" s="5"/>
      <c r="I144" s="5"/>
      <c r="J144" s="5"/>
      <c r="K144" s="5"/>
      <c r="L144" s="5"/>
      <c r="M144" s="5"/>
      <c r="N144" s="5"/>
      <c r="O144" s="5"/>
      <c r="Q144" s="5"/>
      <c r="R144" s="5"/>
      <c r="S144" s="5"/>
      <c r="T144" s="5"/>
      <c r="U144" s="5"/>
    </row>
    <row r="145" spans="2:21">
      <c r="B145" s="5"/>
      <c r="C145" s="5"/>
      <c r="D145" s="5"/>
      <c r="E145" s="5"/>
      <c r="F145" s="5"/>
      <c r="G145" s="5"/>
      <c r="H145" s="5"/>
      <c r="I145" s="5"/>
      <c r="J145" s="5"/>
      <c r="K145" s="5"/>
      <c r="L145" s="5"/>
      <c r="M145" s="5"/>
      <c r="N145" s="5"/>
      <c r="O145" s="5"/>
      <c r="Q145" s="5"/>
      <c r="R145" s="5"/>
      <c r="S145" s="5"/>
      <c r="T145" s="5"/>
      <c r="U145" s="5"/>
    </row>
    <row r="146" spans="2:21">
      <c r="B146" s="5"/>
      <c r="C146" s="5"/>
      <c r="D146" s="5"/>
      <c r="E146" s="5"/>
      <c r="F146" s="5"/>
      <c r="G146" s="5"/>
      <c r="H146" s="5"/>
      <c r="I146" s="5"/>
      <c r="J146" s="5"/>
      <c r="K146" s="5"/>
      <c r="L146" s="5"/>
      <c r="M146" s="5"/>
      <c r="N146" s="5"/>
      <c r="O146" s="5"/>
      <c r="Q146" s="5"/>
      <c r="R146" s="5"/>
      <c r="S146" s="5"/>
      <c r="T146" s="5"/>
      <c r="U146" s="5"/>
    </row>
    <row r="147" spans="2:21">
      <c r="B147" s="5"/>
      <c r="C147" s="5"/>
      <c r="D147" s="5"/>
      <c r="E147" s="5"/>
      <c r="F147" s="5"/>
      <c r="G147" s="5"/>
      <c r="H147" s="5"/>
      <c r="I147" s="5"/>
      <c r="J147" s="5"/>
      <c r="K147" s="5"/>
      <c r="L147" s="5"/>
      <c r="M147" s="5"/>
      <c r="N147" s="5"/>
      <c r="O147" s="5"/>
      <c r="Q147" s="5"/>
      <c r="R147" s="5"/>
      <c r="S147" s="5"/>
      <c r="T147" s="5"/>
      <c r="U147" s="5"/>
    </row>
    <row r="148" spans="2:21">
      <c r="B148" s="5"/>
      <c r="C148" s="5"/>
      <c r="D148" s="5"/>
      <c r="E148" s="5"/>
      <c r="F148" s="5"/>
      <c r="G148" s="5"/>
      <c r="H148" s="5"/>
      <c r="J148" s="5"/>
      <c r="K148" s="5"/>
      <c r="L148" s="5"/>
      <c r="M148" s="5"/>
      <c r="N148" s="5"/>
      <c r="O148" s="5"/>
      <c r="Q148" s="5"/>
      <c r="R148" s="5"/>
      <c r="S148" s="5"/>
      <c r="T148" s="5"/>
      <c r="U148" s="5"/>
    </row>
    <row r="149" spans="2:21">
      <c r="B149" s="5"/>
      <c r="C149" s="5"/>
      <c r="D149" s="5"/>
      <c r="E149" s="5"/>
      <c r="F149" s="5"/>
      <c r="G149" s="5"/>
      <c r="H149" s="5"/>
      <c r="J149" s="5"/>
      <c r="K149" s="5"/>
      <c r="L149" s="5"/>
      <c r="M149" s="5"/>
      <c r="N149" s="5"/>
      <c r="O149" s="5"/>
      <c r="Q149" s="5"/>
      <c r="R149" s="5"/>
      <c r="S149" s="5"/>
      <c r="T149" s="5"/>
      <c r="U149" s="5"/>
    </row>
    <row r="150" spans="2:21">
      <c r="B150" s="5"/>
      <c r="C150" s="5"/>
      <c r="D150" s="5"/>
      <c r="E150" s="5"/>
      <c r="F150" s="5"/>
      <c r="G150" s="5"/>
      <c r="H150" s="5"/>
      <c r="Q150" s="5"/>
      <c r="R150" s="5"/>
      <c r="S150" s="5"/>
      <c r="T150" s="5"/>
      <c r="U150" s="5"/>
    </row>
    <row r="151" spans="2:21">
      <c r="Q151" s="5"/>
      <c r="R151" s="5"/>
      <c r="S151" s="5"/>
      <c r="T151" s="5"/>
      <c r="U151" s="5"/>
    </row>
    <row r="152" spans="2:21">
      <c r="Q152" s="5"/>
      <c r="R152" s="5"/>
      <c r="S152" s="5"/>
      <c r="T152" s="5"/>
      <c r="U152" s="5"/>
    </row>
    <row r="153" spans="2:21">
      <c r="C153" s="263"/>
      <c r="Q153" s="5"/>
      <c r="R153" s="5"/>
      <c r="S153" s="5"/>
      <c r="T153" s="5"/>
      <c r="U153" s="5"/>
    </row>
    <row r="154" spans="2:21">
      <c r="Q154" s="5"/>
      <c r="R154" s="5"/>
      <c r="S154" s="5"/>
      <c r="T154" s="5"/>
      <c r="U154" s="5"/>
    </row>
    <row r="155" spans="2:21">
      <c r="Q155" s="5"/>
      <c r="R155" s="5"/>
      <c r="S155" s="5"/>
      <c r="T155" s="5"/>
      <c r="U155" s="5"/>
    </row>
    <row r="156" spans="2:21">
      <c r="Q156" s="5"/>
      <c r="R156" s="5"/>
      <c r="S156" s="5"/>
      <c r="T156" s="5"/>
      <c r="U156" s="5"/>
    </row>
    <row r="157" spans="2:21">
      <c r="Q157" s="5"/>
      <c r="R157" s="5"/>
      <c r="S157" s="5"/>
      <c r="T157" s="5"/>
      <c r="U157" s="5"/>
    </row>
    <row r="158" spans="2:21">
      <c r="Q158" s="5"/>
      <c r="R158" s="5"/>
      <c r="S158" s="5"/>
      <c r="T158" s="5"/>
      <c r="U158" s="5"/>
    </row>
    <row r="159" spans="2:21">
      <c r="Q159" s="5"/>
      <c r="R159" s="5"/>
      <c r="S159" s="5"/>
      <c r="T159" s="5"/>
      <c r="U159" s="5"/>
    </row>
    <row r="160" spans="2:21">
      <c r="Q160" s="5"/>
      <c r="R160" s="5"/>
      <c r="S160" s="5"/>
      <c r="T160" s="5"/>
      <c r="U160" s="5"/>
    </row>
    <row r="161" spans="17:21">
      <c r="Q161" s="5"/>
      <c r="R161" s="5"/>
      <c r="S161" s="5"/>
      <c r="T161" s="5"/>
      <c r="U161" s="5"/>
    </row>
    <row r="162" spans="17:21">
      <c r="Q162" s="5"/>
      <c r="R162" s="5"/>
      <c r="S162" s="5"/>
      <c r="T162" s="5"/>
      <c r="U162" s="5"/>
    </row>
    <row r="163" spans="17:21">
      <c r="Q163" s="5"/>
      <c r="R163" s="5"/>
      <c r="S163" s="5"/>
      <c r="T163" s="5"/>
      <c r="U163" s="5"/>
    </row>
    <row r="164" spans="17:21">
      <c r="Q164" s="5"/>
      <c r="R164" s="5"/>
      <c r="S164" s="5"/>
      <c r="T164" s="5"/>
      <c r="U164" s="5"/>
    </row>
  </sheetData>
  <pageMargins left="0.75" right="0.75" top="1" bottom="1" header="0.5" footer="0.5"/>
  <pageSetup scale="69" orientation="landscape"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30">
    <pageSetUpPr fitToPage="1"/>
  </sheetPr>
  <dimension ref="B1:AR165"/>
  <sheetViews>
    <sheetView showGridLines="0" zoomScale="80" zoomScaleNormal="80" zoomScaleSheetLayoutView="80" workbookViewId="0"/>
  </sheetViews>
  <sheetFormatPr defaultColWidth="9.109375" defaultRowHeight="12"/>
  <cols>
    <col min="1" max="1" width="2.33203125" style="39" customWidth="1"/>
    <col min="2" max="2" width="26.5546875" style="39" customWidth="1"/>
    <col min="3" max="9" width="10" style="39" customWidth="1"/>
    <col min="10" max="10" width="26.6640625" style="39" customWidth="1"/>
    <col min="11" max="16" width="10" style="39" customWidth="1"/>
    <col min="17" max="19" width="8.6640625" style="39" customWidth="1"/>
    <col min="20" max="28" width="8.6640625" style="5" customWidth="1"/>
    <col min="29" max="44" width="9.109375" style="5"/>
    <col min="45" max="16384" width="9.109375" style="39"/>
  </cols>
  <sheetData>
    <row r="1" spans="2:44" s="312" customFormat="1">
      <c r="T1" s="149"/>
      <c r="U1" s="149"/>
      <c r="V1" s="149"/>
      <c r="W1" s="149"/>
      <c r="X1" s="149"/>
      <c r="Y1" s="149"/>
      <c r="Z1" s="149"/>
      <c r="AA1" s="149"/>
      <c r="AB1" s="149"/>
      <c r="AC1" s="149"/>
      <c r="AD1" s="149"/>
      <c r="AE1" s="149"/>
      <c r="AF1" s="149"/>
      <c r="AG1" s="149"/>
      <c r="AH1" s="149"/>
      <c r="AI1" s="149"/>
      <c r="AJ1" s="149"/>
      <c r="AK1" s="149"/>
      <c r="AL1" s="149"/>
      <c r="AM1" s="149"/>
      <c r="AN1" s="149"/>
      <c r="AO1" s="149"/>
      <c r="AP1" s="149"/>
      <c r="AQ1" s="149"/>
      <c r="AR1" s="149"/>
    </row>
    <row r="2" spans="2:44" s="149" customFormat="1"/>
    <row r="3" spans="2:44" s="149" customFormat="1">
      <c r="H3" s="153"/>
      <c r="P3" s="153"/>
    </row>
    <row r="4" spans="2:44" s="156" customFormat="1" ht="21">
      <c r="B4" s="129" t="s">
        <v>990</v>
      </c>
      <c r="H4" s="222"/>
      <c r="P4" s="222"/>
    </row>
    <row r="5" spans="2:44" s="149" customFormat="1">
      <c r="C5" s="153"/>
      <c r="D5" s="153" t="str" cm="1">
        <f t="array" ref="D5:H5">headings</f>
        <v>2023E</v>
      </c>
      <c r="E5" s="153" t="str">
        <v>2024E</v>
      </c>
      <c r="F5" s="153" t="str">
        <v>2025E</v>
      </c>
      <c r="G5" s="153" t="str">
        <v>2026E</v>
      </c>
      <c r="H5" s="153" t="str">
        <v>23E-26E</v>
      </c>
      <c r="I5" s="153"/>
      <c r="J5" s="153"/>
      <c r="K5" s="153"/>
      <c r="L5" s="153" t="str" cm="1">
        <f t="array" ref="L5:P5">headings</f>
        <v>2023E</v>
      </c>
      <c r="M5" s="153" t="str">
        <v>2024E</v>
      </c>
      <c r="N5" s="153" t="str">
        <v>2025E</v>
      </c>
      <c r="O5" s="153" t="str">
        <v>2026E</v>
      </c>
      <c r="P5" s="153" t="str">
        <v>23E-26E</v>
      </c>
      <c r="Q5" s="162"/>
      <c r="R5" s="162"/>
      <c r="S5" s="162"/>
      <c r="T5" s="162"/>
      <c r="U5" s="162"/>
      <c r="V5" s="162"/>
      <c r="W5" s="162"/>
      <c r="X5" s="162"/>
      <c r="Y5" s="162"/>
    </row>
    <row r="6" spans="2:44">
      <c r="I6" s="5"/>
      <c r="J6" s="5"/>
      <c r="K6" s="5"/>
      <c r="L6" s="5"/>
      <c r="M6" s="5"/>
      <c r="N6" s="5"/>
      <c r="O6" s="49"/>
    </row>
    <row r="7" spans="2:44" ht="12.6" thickBot="1">
      <c r="B7" s="306" t="s">
        <v>271</v>
      </c>
      <c r="C7" s="265"/>
      <c r="D7" s="265" t="str">
        <f>D5</f>
        <v>2023E</v>
      </c>
      <c r="E7" s="265" t="str">
        <f t="shared" ref="E7:H7" si="0">E5</f>
        <v>2024E</v>
      </c>
      <c r="F7" s="265" t="str">
        <f t="shared" si="0"/>
        <v>2025E</v>
      </c>
      <c r="G7" s="265" t="str">
        <f t="shared" si="0"/>
        <v>2026E</v>
      </c>
      <c r="H7" s="265" t="str">
        <f t="shared" si="0"/>
        <v>23E-26E</v>
      </c>
      <c r="I7" s="49"/>
      <c r="J7" s="306" t="s">
        <v>157</v>
      </c>
      <c r="K7" s="306"/>
      <c r="L7" s="265" t="str">
        <f>L5</f>
        <v>2023E</v>
      </c>
      <c r="M7" s="265" t="str">
        <f t="shared" ref="M7:P7" si="1">M5</f>
        <v>2024E</v>
      </c>
      <c r="N7" s="265" t="str">
        <f t="shared" si="1"/>
        <v>2025E</v>
      </c>
      <c r="O7" s="265" t="str">
        <f t="shared" si="1"/>
        <v>2026E</v>
      </c>
      <c r="P7" s="265" t="str">
        <f t="shared" si="1"/>
        <v>23E-26E</v>
      </c>
    </row>
    <row r="8" spans="2:44" ht="12.6" thickTop="1">
      <c r="I8" s="5"/>
      <c r="J8" s="5"/>
      <c r="K8" s="5"/>
      <c r="L8" s="5"/>
      <c r="M8" s="5"/>
      <c r="N8" s="5"/>
      <c r="S8" s="88"/>
      <c r="T8" s="42"/>
      <c r="U8" s="42"/>
      <c r="V8" s="42"/>
      <c r="W8" s="42"/>
      <c r="X8" s="42"/>
      <c r="Y8" s="42"/>
      <c r="Z8" s="42"/>
      <c r="AA8" s="42"/>
    </row>
    <row r="9" spans="2:44">
      <c r="B9" s="41" t="s">
        <v>15</v>
      </c>
      <c r="C9" s="287">
        <f>Prices!C44</f>
        <v>2.33</v>
      </c>
      <c r="D9" s="535">
        <v>0</v>
      </c>
      <c r="E9" s="536">
        <v>0</v>
      </c>
      <c r="F9" s="536">
        <v>0</v>
      </c>
      <c r="G9" s="536">
        <v>0</v>
      </c>
      <c r="H9" s="249"/>
      <c r="I9" s="249"/>
      <c r="J9" s="5" t="s">
        <v>273</v>
      </c>
      <c r="L9" s="529">
        <f>'US OTHER'!D37</f>
        <v>1.9736708012823159</v>
      </c>
      <c r="M9" s="529">
        <f>'US OTHER'!E37</f>
        <v>1.9315843262416086</v>
      </c>
      <c r="N9" s="529">
        <f>'US OTHER'!F37</f>
        <v>1.8669914977413062</v>
      </c>
      <c r="O9" s="529">
        <f>'US OTHER'!G37</f>
        <v>1.7635061842615585</v>
      </c>
      <c r="P9" s="18">
        <f>'US OTHER'!H37</f>
        <v>6.8251004257615655E-3</v>
      </c>
      <c r="S9" s="88"/>
      <c r="T9" s="42"/>
      <c r="U9" s="42"/>
      <c r="V9" s="42"/>
      <c r="W9" s="42"/>
      <c r="X9" s="42"/>
      <c r="Y9" s="42"/>
      <c r="Z9" s="42"/>
      <c r="AA9" s="42"/>
    </row>
    <row r="10" spans="2:44">
      <c r="B10" s="5" t="s">
        <v>274</v>
      </c>
      <c r="C10" s="5"/>
      <c r="D10" s="531">
        <v>455.03575000000001</v>
      </c>
      <c r="E10" s="531">
        <v>455.15766199210321</v>
      </c>
      <c r="F10" s="531">
        <v>455.3747435519328</v>
      </c>
      <c r="G10" s="531">
        <v>455.59182511176243</v>
      </c>
      <c r="H10" s="247"/>
      <c r="I10" s="247"/>
      <c r="J10" s="5" t="s">
        <v>184</v>
      </c>
      <c r="L10" s="529">
        <f>'US OTHER'!D38</f>
        <v>6.1453559700889135</v>
      </c>
      <c r="M10" s="529">
        <f>'US OTHER'!E38</f>
        <v>5.9078404422634829</v>
      </c>
      <c r="N10" s="529">
        <f>'US OTHER'!F38</f>
        <v>5.5795545521746677</v>
      </c>
      <c r="O10" s="529">
        <f>'US OTHER'!G38</f>
        <v>5.1297067144515101</v>
      </c>
      <c r="P10" s="18">
        <f>'US OTHER'!H38</f>
        <v>2.9926645487549974E-2</v>
      </c>
      <c r="S10" s="88"/>
      <c r="T10" s="42"/>
      <c r="U10" s="42"/>
      <c r="V10" s="42"/>
      <c r="W10" s="288"/>
      <c r="X10" s="288"/>
      <c r="Y10" s="288"/>
      <c r="Z10" s="288"/>
      <c r="AA10" s="42"/>
    </row>
    <row r="11" spans="2:44">
      <c r="B11" s="41" t="s">
        <v>442</v>
      </c>
      <c r="C11" s="5"/>
      <c r="D11" s="532">
        <f>$C$9*D10</f>
        <v>1060.2332975000002</v>
      </c>
      <c r="E11" s="532">
        <f>$C$9*E10</f>
        <v>1060.5173524416005</v>
      </c>
      <c r="F11" s="532">
        <f>$C$9*F10</f>
        <v>1061.0231524760034</v>
      </c>
      <c r="G11" s="532">
        <f>$C$9*G10</f>
        <v>1061.5289525104065</v>
      </c>
      <c r="H11" s="249"/>
      <c r="I11" s="249"/>
      <c r="J11" s="5" t="s">
        <v>185</v>
      </c>
      <c r="L11" s="529">
        <f>'US OTHER'!D39</f>
        <v>11.521165626993916</v>
      </c>
      <c r="M11" s="529">
        <f>'US OTHER'!E39</f>
        <v>10.122351497758206</v>
      </c>
      <c r="N11" s="529">
        <f>'US OTHER'!F39</f>
        <v>9.1465239568917855</v>
      </c>
      <c r="O11" s="529">
        <f>'US OTHER'!G39</f>
        <v>7.6057283010476526</v>
      </c>
      <c r="P11" s="18">
        <f>'US OTHER'!H39</f>
        <v>0.11371310161076686</v>
      </c>
      <c r="S11" s="88"/>
      <c r="T11" s="42"/>
      <c r="U11" s="42"/>
      <c r="V11" s="42"/>
      <c r="W11" s="288"/>
      <c r="X11" s="288"/>
      <c r="Y11" s="288"/>
      <c r="Z11" s="288"/>
      <c r="AA11" s="42"/>
    </row>
    <row r="12" spans="2:44">
      <c r="B12" s="5" t="s">
        <v>24</v>
      </c>
      <c r="C12" s="249"/>
      <c r="D12" s="533">
        <v>24422</v>
      </c>
      <c r="E12" s="533">
        <v>24411.807639729228</v>
      </c>
      <c r="F12" s="533">
        <v>24404.817845797144</v>
      </c>
      <c r="G12" s="533">
        <v>24280.934226984005</v>
      </c>
      <c r="H12" s="247"/>
      <c r="I12" s="247"/>
      <c r="J12" s="5" t="s">
        <v>466</v>
      </c>
      <c r="L12" s="529">
        <f>'US OTHER'!D40</f>
        <v>18.630373776917377</v>
      </c>
      <c r="M12" s="529">
        <f>'US OTHER'!E40</f>
        <v>15.14815669690881</v>
      </c>
      <c r="N12" s="529">
        <f>'US OTHER'!F40</f>
        <v>13.783300944127415</v>
      </c>
      <c r="O12" s="529">
        <f>'US OTHER'!G40</f>
        <v>11.406014250403096</v>
      </c>
      <c r="P12" s="18">
        <f>'US OTHER'!H40</f>
        <v>0.14204708718901382</v>
      </c>
      <c r="S12" s="88"/>
      <c r="T12" s="42"/>
      <c r="U12" s="42"/>
      <c r="V12" s="42"/>
      <c r="W12" s="288"/>
      <c r="X12" s="288"/>
      <c r="Y12" s="288"/>
      <c r="Z12" s="288"/>
      <c r="AA12" s="42"/>
    </row>
    <row r="13" spans="2:44">
      <c r="B13" s="5" t="s">
        <v>529</v>
      </c>
      <c r="C13" s="257"/>
      <c r="D13" s="533">
        <v>0</v>
      </c>
      <c r="E13" s="533">
        <v>0</v>
      </c>
      <c r="F13" s="533">
        <v>0</v>
      </c>
      <c r="G13" s="533">
        <v>0</v>
      </c>
      <c r="H13" s="247"/>
      <c r="I13" s="247"/>
      <c r="J13" s="5" t="s">
        <v>530</v>
      </c>
      <c r="L13" s="529">
        <f>'US OTHER'!D41</f>
        <v>1.1522825702126613</v>
      </c>
      <c r="M13" s="529">
        <f>'US OTHER'!E41</f>
        <v>1.11146801504834</v>
      </c>
      <c r="N13" s="529">
        <f>'US OTHER'!F41</f>
        <v>1.0801964530788128</v>
      </c>
      <c r="O13" s="529">
        <f>'US OTHER'!G41</f>
        <v>1.0526573924692084</v>
      </c>
      <c r="P13" s="18">
        <f>'US OTHER'!H41</f>
        <v>-5.8597350806643966E-4</v>
      </c>
      <c r="S13" s="88"/>
      <c r="T13" s="42"/>
      <c r="U13" s="42"/>
      <c r="V13" s="42"/>
      <c r="W13" s="42"/>
      <c r="X13" s="42"/>
      <c r="Y13" s="42"/>
      <c r="Z13" s="42"/>
      <c r="AA13" s="42"/>
    </row>
    <row r="14" spans="2:44">
      <c r="B14" s="5" t="s">
        <v>532</v>
      </c>
      <c r="C14" s="257"/>
      <c r="D14" s="533">
        <v>0</v>
      </c>
      <c r="E14" s="533">
        <v>0</v>
      </c>
      <c r="F14" s="533">
        <v>0</v>
      </c>
      <c r="G14" s="533">
        <v>0</v>
      </c>
      <c r="H14" s="247"/>
      <c r="I14" s="247"/>
      <c r="J14" s="5" t="s">
        <v>593</v>
      </c>
      <c r="L14" s="529">
        <f>'US OTHER'!D42</f>
        <v>3.3822118406750996</v>
      </c>
      <c r="M14" s="529">
        <f>'US OTHER'!E42</f>
        <v>3.2615783050725393</v>
      </c>
      <c r="N14" s="529">
        <f>'US OTHER'!F42</f>
        <v>3.1662143476325193</v>
      </c>
      <c r="O14" s="529">
        <f>'US OTHER'!G42</f>
        <v>3.1303282941479575</v>
      </c>
      <c r="P14" s="18">
        <f>'US OTHER'!H42</f>
        <v>-4.9190074724069222E-3</v>
      </c>
      <c r="S14" s="88"/>
      <c r="T14" s="42"/>
      <c r="U14" s="42"/>
      <c r="V14" s="42"/>
      <c r="W14" s="42"/>
      <c r="X14" s="42"/>
      <c r="Y14" s="42"/>
      <c r="Z14" s="42"/>
      <c r="AA14" s="42"/>
    </row>
    <row r="15" spans="2:44">
      <c r="B15" s="5" t="s">
        <v>531</v>
      </c>
      <c r="C15" s="274"/>
      <c r="D15" s="533">
        <v>0</v>
      </c>
      <c r="E15" s="533">
        <v>0</v>
      </c>
      <c r="F15" s="533">
        <v>0</v>
      </c>
      <c r="G15" s="533">
        <v>0</v>
      </c>
      <c r="H15" s="247"/>
      <c r="I15" s="247"/>
      <c r="J15" s="5" t="s">
        <v>475</v>
      </c>
      <c r="L15" s="529">
        <f>'US OTHER'!D43</f>
        <v>5.2584697598751795</v>
      </c>
      <c r="M15" s="529">
        <f>'US OTHER'!E43</f>
        <v>4.360017500278734</v>
      </c>
      <c r="N15" s="529">
        <f>'US OTHER'!F43</f>
        <v>4.0012893476281652</v>
      </c>
      <c r="O15" s="529">
        <f>'US OTHER'!G43</f>
        <v>3.4158788512089493</v>
      </c>
      <c r="P15" s="18">
        <f>'US OTHER'!H43</f>
        <v>8.0117819415815195E-2</v>
      </c>
      <c r="S15" s="88"/>
      <c r="T15" s="42"/>
      <c r="U15" s="42"/>
      <c r="V15" s="42"/>
      <c r="W15" s="42"/>
      <c r="X15" s="42"/>
      <c r="Y15" s="42"/>
      <c r="Z15" s="42"/>
      <c r="AA15" s="42"/>
    </row>
    <row r="16" spans="2:44">
      <c r="B16" s="5" t="s">
        <v>534</v>
      </c>
      <c r="C16" s="257"/>
      <c r="D16" s="533">
        <v>0</v>
      </c>
      <c r="E16" s="533">
        <v>0</v>
      </c>
      <c r="F16" s="533">
        <v>0</v>
      </c>
      <c r="G16" s="533">
        <v>0</v>
      </c>
      <c r="H16" s="247"/>
      <c r="I16" s="247"/>
      <c r="J16" s="5" t="s">
        <v>533</v>
      </c>
      <c r="L16" s="529">
        <f>'US OTHER'!D44</f>
        <v>10.688801425562144</v>
      </c>
      <c r="M16" s="529">
        <f>'US OTHER'!E44</f>
        <v>9.0541039775975793</v>
      </c>
      <c r="N16" s="529">
        <f>'US OTHER'!F44</f>
        <v>7.9165392708689435</v>
      </c>
      <c r="O16" s="529">
        <f>'US OTHER'!G44</f>
        <v>6.6136995679588573</v>
      </c>
      <c r="P16" s="18">
        <f>'US OTHER'!H44</f>
        <v>0.10233723564171293</v>
      </c>
      <c r="S16" s="88"/>
      <c r="T16" s="42"/>
      <c r="U16" s="42"/>
      <c r="V16" s="42"/>
      <c r="W16" s="42"/>
      <c r="X16" s="42"/>
      <c r="Y16" s="42"/>
      <c r="Z16" s="42"/>
      <c r="AA16" s="42"/>
    </row>
    <row r="17" spans="2:27">
      <c r="B17" s="5" t="s">
        <v>6</v>
      </c>
      <c r="C17" s="257"/>
      <c r="D17" s="533">
        <v>0</v>
      </c>
      <c r="E17" s="533">
        <v>0</v>
      </c>
      <c r="F17" s="533">
        <v>0</v>
      </c>
      <c r="G17" s="533">
        <v>0</v>
      </c>
      <c r="H17" s="247"/>
      <c r="I17" s="247"/>
      <c r="J17" s="5" t="s">
        <v>580</v>
      </c>
      <c r="L17" s="18">
        <f>'US OTHER'!D45</f>
        <v>2.2052024532702785E-2</v>
      </c>
      <c r="M17" s="18">
        <f>'US OTHER'!E45</f>
        <v>2.4611250391623297E-2</v>
      </c>
      <c r="N17" s="18">
        <f>'US OTHER'!F45</f>
        <v>2.5733166701033407E-2</v>
      </c>
      <c r="O17" s="18">
        <f>'US OTHER'!G45</f>
        <v>2.7146152816565176E-2</v>
      </c>
      <c r="P17" s="18">
        <f>'US OTHER'!H45</f>
        <v>6.714297299340366E-3</v>
      </c>
      <c r="S17" s="88"/>
      <c r="T17" s="42"/>
      <c r="U17" s="42"/>
      <c r="V17" s="42"/>
      <c r="W17" s="42"/>
      <c r="X17" s="42"/>
      <c r="Y17" s="42"/>
      <c r="Z17" s="42"/>
      <c r="AA17" s="42"/>
    </row>
    <row r="18" spans="2:27" ht="12.6" thickBot="1">
      <c r="B18" s="41" t="s">
        <v>518</v>
      </c>
      <c r="C18" s="249"/>
      <c r="D18" s="534">
        <f>D11+D12+D13-D14+D15-D16-D17</f>
        <v>25482.233297499999</v>
      </c>
      <c r="E18" s="534">
        <f>E11+E12+E13-E14+E15-E16-E17</f>
        <v>25472.324992170827</v>
      </c>
      <c r="F18" s="534">
        <f>F11+F12+F13-F14+F15-F16-F17</f>
        <v>25465.840998273146</v>
      </c>
      <c r="G18" s="534">
        <f>G11+G12+G13-G14+G15-G16-G17</f>
        <v>25342.463179494411</v>
      </c>
      <c r="H18" s="276">
        <f>IF(D18=0,"nm",IF(G18=0,"nm",(G18/D18)^(1/3)-1))</f>
        <v>-1.8316872573904686E-3</v>
      </c>
      <c r="I18" s="254"/>
      <c r="J18" s="5" t="s">
        <v>36</v>
      </c>
      <c r="L18" s="18">
        <f>'US OTHER'!D46</f>
        <v>7.7745880700654107E-2</v>
      </c>
      <c r="M18" s="18">
        <f>'US OTHER'!E46</f>
        <v>0.1341751769191605</v>
      </c>
      <c r="N18" s="18">
        <f>'US OTHER'!F46</f>
        <v>0.14644095604748741</v>
      </c>
      <c r="O18" s="18">
        <f>'US OTHER'!G46</f>
        <v>0.21850989486146546</v>
      </c>
      <c r="P18" s="18">
        <f>'US OTHER'!H46</f>
        <v>0.3256153847966301</v>
      </c>
      <c r="S18" s="88"/>
      <c r="T18" s="42"/>
      <c r="U18" s="42"/>
      <c r="V18" s="42"/>
      <c r="W18" s="42"/>
      <c r="X18" s="42"/>
      <c r="Y18" s="42"/>
      <c r="Z18" s="42"/>
      <c r="AA18" s="42"/>
    </row>
    <row r="19" spans="2:27" ht="12.6" thickTop="1">
      <c r="B19" s="41"/>
      <c r="C19" s="249"/>
      <c r="D19" s="229"/>
      <c r="E19" s="229"/>
      <c r="F19" s="229"/>
      <c r="G19" s="229"/>
      <c r="H19" s="276"/>
      <c r="I19" s="254"/>
      <c r="J19" s="5" t="s">
        <v>581</v>
      </c>
      <c r="L19" s="18">
        <f>'US OTHER'!D47</f>
        <v>0.19016939255418236</v>
      </c>
      <c r="M19" s="18">
        <f>'US OTHER'!E47</f>
        <v>0.2293568775666773</v>
      </c>
      <c r="N19" s="18">
        <f>'US OTHER'!F47</f>
        <v>0.24991944174014</v>
      </c>
      <c r="O19" s="18">
        <f>'US OTHER'!G47</f>
        <v>0.29275042926246625</v>
      </c>
      <c r="P19" s="18">
        <f>'US OTHER'!H47</f>
        <v>8.0117819415815195E-2</v>
      </c>
      <c r="S19" s="88"/>
      <c r="T19" s="42"/>
      <c r="U19" s="42"/>
      <c r="V19" s="42"/>
      <c r="W19" s="42"/>
      <c r="X19" s="42"/>
      <c r="Y19" s="42"/>
      <c r="Z19" s="42"/>
      <c r="AA19" s="42"/>
    </row>
    <row r="20" spans="2:27">
      <c r="H20" s="277"/>
      <c r="I20" s="17"/>
      <c r="J20" s="5" t="s">
        <v>604</v>
      </c>
      <c r="L20" s="552">
        <f>'US OTHER'!D48</f>
        <v>0.122956651873093</v>
      </c>
      <c r="M20" s="552">
        <f>'US OTHER'!E48</f>
        <v>0.11420338650121682</v>
      </c>
      <c r="N20" s="552">
        <f>'US OTHER'!F48</f>
        <v>0.10996826737203369</v>
      </c>
      <c r="O20" s="552">
        <f>'US OTHER'!G48</f>
        <v>9.9553686168744285E-2</v>
      </c>
      <c r="P20" s="18" t="str">
        <f>'US OTHER'!H48</f>
        <v>nm</v>
      </c>
      <c r="S20" s="88"/>
      <c r="T20" s="42"/>
      <c r="U20" s="42"/>
      <c r="V20" s="42"/>
      <c r="W20" s="42"/>
      <c r="X20" s="42"/>
      <c r="Y20" s="42"/>
      <c r="Z20" s="42"/>
      <c r="AA20" s="42"/>
    </row>
    <row r="21" spans="2:27" ht="12.6" thickBot="1">
      <c r="B21" s="306" t="s">
        <v>924</v>
      </c>
      <c r="C21" s="265"/>
      <c r="D21" s="265" t="str">
        <f>D5</f>
        <v>2023E</v>
      </c>
      <c r="E21" s="265" t="str">
        <f t="shared" ref="E21:H21" si="2">E5</f>
        <v>2024E</v>
      </c>
      <c r="F21" s="265" t="str">
        <f t="shared" si="2"/>
        <v>2025E</v>
      </c>
      <c r="G21" s="265" t="str">
        <f t="shared" si="2"/>
        <v>2026E</v>
      </c>
      <c r="H21" s="265" t="str">
        <f t="shared" si="2"/>
        <v>23E-26E</v>
      </c>
      <c r="I21" s="49"/>
      <c r="J21" s="41"/>
      <c r="L21" s="250"/>
      <c r="M21" s="250"/>
      <c r="N21" s="250"/>
      <c r="O21" s="250"/>
      <c r="P21" s="279"/>
      <c r="S21" s="88"/>
      <c r="T21" s="42"/>
      <c r="U21" s="42"/>
      <c r="V21" s="42"/>
      <c r="W21" s="42"/>
      <c r="X21" s="42"/>
      <c r="Y21" s="42"/>
      <c r="Z21" s="42"/>
      <c r="AA21" s="42"/>
    </row>
    <row r="22" spans="2:27" ht="12.6" thickTop="1">
      <c r="B22" s="5"/>
      <c r="C22" s="257"/>
      <c r="D22" s="17"/>
      <c r="E22" s="17"/>
      <c r="F22" s="17"/>
      <c r="G22" s="17"/>
      <c r="H22" s="17"/>
      <c r="I22" s="17"/>
      <c r="P22" s="277"/>
      <c r="S22" s="88"/>
      <c r="T22" s="42"/>
      <c r="U22" s="42"/>
      <c r="V22" s="42"/>
      <c r="W22" s="42"/>
      <c r="X22" s="42"/>
      <c r="Y22" s="42"/>
      <c r="Z22" s="42"/>
      <c r="AA22" s="42"/>
    </row>
    <row r="23" spans="2:27" ht="12.6" thickBot="1">
      <c r="B23" s="5" t="s">
        <v>584</v>
      </c>
      <c r="C23" s="548">
        <v>9647.6589999999997</v>
      </c>
      <c r="D23" s="533">
        <v>9237.0640000000003</v>
      </c>
      <c r="E23" s="533">
        <v>9060.7928862591543</v>
      </c>
      <c r="F23" s="533">
        <v>8933.0174601168565</v>
      </c>
      <c r="G23" s="533">
        <v>8902.5772635930134</v>
      </c>
      <c r="H23" s="279">
        <f t="shared" ref="H23:H33" si="3">IF(D23=0,"nm",IF(G23=0,"nm",(G23/D23)^(1/3)-1))</f>
        <v>-1.2219156094296912E-2</v>
      </c>
      <c r="I23" s="247"/>
      <c r="J23" s="306" t="s">
        <v>9</v>
      </c>
      <c r="K23" s="306"/>
      <c r="L23" s="265" t="str">
        <f>D21</f>
        <v>2023E</v>
      </c>
      <c r="M23" s="265" t="str">
        <f t="shared" ref="M23:P23" si="4">E21</f>
        <v>2024E</v>
      </c>
      <c r="N23" s="265" t="str">
        <f t="shared" si="4"/>
        <v>2025E</v>
      </c>
      <c r="O23" s="265" t="str">
        <f t="shared" si="4"/>
        <v>2026E</v>
      </c>
      <c r="P23" s="265" t="str">
        <f t="shared" si="4"/>
        <v>23E-26E</v>
      </c>
      <c r="S23" s="88"/>
      <c r="T23" s="42"/>
      <c r="U23" s="42"/>
      <c r="V23" s="42"/>
      <c r="W23" s="42"/>
      <c r="X23" s="42"/>
      <c r="Y23" s="42"/>
      <c r="Z23" s="42"/>
      <c r="AA23" s="42"/>
    </row>
    <row r="24" spans="2:27" ht="12.6" thickTop="1">
      <c r="B24" s="5" t="s">
        <v>483</v>
      </c>
      <c r="C24" s="549">
        <v>3866.5369999999998</v>
      </c>
      <c r="D24" s="533">
        <v>3608.8899999999994</v>
      </c>
      <c r="E24" s="533">
        <v>3539.991170617222</v>
      </c>
      <c r="F24" s="533">
        <v>3447.077196913614</v>
      </c>
      <c r="G24" s="533">
        <v>3444.2585439917548</v>
      </c>
      <c r="H24" s="279">
        <f t="shared" si="3"/>
        <v>-1.5443372733004446E-2</v>
      </c>
      <c r="I24" s="249"/>
      <c r="J24" s="17"/>
      <c r="K24" s="17"/>
      <c r="L24" s="17"/>
      <c r="M24" s="17"/>
      <c r="N24" s="17"/>
      <c r="O24" s="248"/>
      <c r="S24" s="88"/>
      <c r="T24" s="42"/>
      <c r="U24" s="42"/>
      <c r="V24" s="42"/>
      <c r="W24" s="42" t="s">
        <v>1476</v>
      </c>
      <c r="X24" s="42" t="s">
        <v>264</v>
      </c>
      <c r="Y24" s="42"/>
      <c r="Z24" s="42"/>
      <c r="AA24" s="42"/>
    </row>
    <row r="25" spans="2:27">
      <c r="B25" s="5" t="s">
        <v>183</v>
      </c>
      <c r="C25" s="548">
        <v>1952.2549999999999</v>
      </c>
      <c r="D25" s="533">
        <v>1904.0789999999995</v>
      </c>
      <c r="E25" s="533">
        <v>1891.1765127694252</v>
      </c>
      <c r="F25" s="533">
        <v>1938.2240251432581</v>
      </c>
      <c r="G25" s="533">
        <v>2057.0537850348023</v>
      </c>
      <c r="H25" s="279">
        <f t="shared" si="3"/>
        <v>2.6093401132669003E-2</v>
      </c>
      <c r="I25" s="248"/>
      <c r="J25" s="247" t="s">
        <v>10</v>
      </c>
      <c r="K25" s="247"/>
      <c r="L25" s="321">
        <v>0</v>
      </c>
      <c r="M25" s="321">
        <v>0</v>
      </c>
      <c r="N25" s="321">
        <v>0</v>
      </c>
      <c r="O25" s="321">
        <v>0</v>
      </c>
      <c r="P25" s="279" t="str">
        <f>IF(L25=0,"nm",IF(O25=0,"nm",(O25/L25)^(1/3)-1))</f>
        <v>nm</v>
      </c>
      <c r="S25" s="88"/>
      <c r="T25" s="42"/>
      <c r="U25" s="42"/>
      <c r="V25" s="147" t="s">
        <v>273</v>
      </c>
      <c r="W25" s="288">
        <f>D37/L9</f>
        <v>1.3977478040861677</v>
      </c>
      <c r="X25" s="288">
        <v>1</v>
      </c>
      <c r="Y25" s="42"/>
      <c r="Z25" s="42"/>
      <c r="AA25" s="42"/>
    </row>
    <row r="26" spans="2:27">
      <c r="B26" s="5" t="s">
        <v>586</v>
      </c>
      <c r="C26" s="548">
        <v>1268.9657500000001</v>
      </c>
      <c r="D26" s="533">
        <v>1237.6513499999996</v>
      </c>
      <c r="E26" s="533">
        <v>1229.2647333001264</v>
      </c>
      <c r="F26" s="533">
        <v>1259.8456163431179</v>
      </c>
      <c r="G26" s="533">
        <v>1337.0849602726216</v>
      </c>
      <c r="H26" s="279">
        <f t="shared" si="3"/>
        <v>2.6093401132669003E-2</v>
      </c>
      <c r="I26" s="249"/>
      <c r="J26" s="249" t="s">
        <v>11</v>
      </c>
      <c r="K26" s="249"/>
      <c r="L26" s="281">
        <f>D11+L25</f>
        <v>1060.2332975000002</v>
      </c>
      <c r="M26" s="281">
        <f>E11+M25</f>
        <v>1060.5173524416005</v>
      </c>
      <c r="N26" s="281">
        <f>F11+N25</f>
        <v>1061.0231524760034</v>
      </c>
      <c r="O26" s="281">
        <f>G11+O25</f>
        <v>1061.5289525104065</v>
      </c>
      <c r="P26" s="279">
        <f>IF(L26=0,"nm",IF(O26=0,"nm",(O26/L26)^(1/3)-1))</f>
        <v>4.0718320759514093E-4</v>
      </c>
      <c r="Q26" s="5"/>
      <c r="S26" s="88"/>
      <c r="T26" s="42"/>
      <c r="U26" s="42"/>
      <c r="V26" s="147" t="s">
        <v>184</v>
      </c>
      <c r="W26" s="288">
        <f t="shared" ref="W26:W33" si="5">D38/L10</f>
        <v>1.1489914531310783</v>
      </c>
      <c r="X26" s="288">
        <v>1</v>
      </c>
      <c r="Y26" s="42"/>
      <c r="Z26" s="42"/>
      <c r="AA26" s="42"/>
    </row>
    <row r="27" spans="2:27">
      <c r="B27" s="5" t="s">
        <v>587</v>
      </c>
      <c r="C27" s="549">
        <v>23736.088</v>
      </c>
      <c r="D27" s="533">
        <v>23996.330982668293</v>
      </c>
      <c r="E27" s="533">
        <v>23871.18548576182</v>
      </c>
      <c r="F27" s="533">
        <v>23692.035679722274</v>
      </c>
      <c r="G27" s="533">
        <v>23414.209617491488</v>
      </c>
      <c r="H27" s="279">
        <f t="shared" si="3"/>
        <v>-8.15253841910768E-3</v>
      </c>
      <c r="I27" s="249"/>
      <c r="J27" s="248"/>
      <c r="K27" s="248"/>
      <c r="L27" s="248"/>
      <c r="M27" s="248"/>
      <c r="N27" s="248"/>
      <c r="O27" s="248"/>
      <c r="Q27" s="41"/>
      <c r="S27" s="88"/>
      <c r="T27" s="42"/>
      <c r="U27" s="42"/>
      <c r="V27" s="147" t="s">
        <v>185</v>
      </c>
      <c r="W27" s="288">
        <f t="shared" si="5"/>
        <v>1.1615986649275849</v>
      </c>
      <c r="X27" s="288">
        <v>1</v>
      </c>
      <c r="Y27" s="42"/>
      <c r="Z27" s="42"/>
      <c r="AA27" s="42"/>
    </row>
    <row r="28" spans="2:27" ht="12.6" thickBot="1">
      <c r="B28" s="5" t="s">
        <v>592</v>
      </c>
      <c r="C28" s="548">
        <v>7500.78</v>
      </c>
      <c r="D28" s="533">
        <v>7989.4529999999995</v>
      </c>
      <c r="E28" s="533">
        <v>7994.4244654945869</v>
      </c>
      <c r="F28" s="533">
        <v>7872.933446970017</v>
      </c>
      <c r="G28" s="533">
        <v>7654.1079587658405</v>
      </c>
      <c r="H28" s="279">
        <f t="shared" si="3"/>
        <v>-1.41916045432805E-2</v>
      </c>
      <c r="I28" s="248"/>
      <c r="J28" s="306" t="s">
        <v>1362</v>
      </c>
      <c r="K28" s="306"/>
      <c r="L28" s="306"/>
      <c r="M28" s="306"/>
      <c r="N28" s="266"/>
      <c r="O28" s="266"/>
      <c r="P28" s="266"/>
      <c r="Q28" s="5"/>
      <c r="S28" s="88"/>
      <c r="T28" s="42"/>
      <c r="U28" s="42"/>
      <c r="V28" s="147" t="s">
        <v>466</v>
      </c>
      <c r="W28" s="288">
        <f t="shared" si="5"/>
        <v>1.1051407664441055</v>
      </c>
      <c r="X28" s="288">
        <v>1</v>
      </c>
      <c r="Y28" s="42"/>
      <c r="Z28" s="42"/>
      <c r="AA28" s="42"/>
    </row>
    <row r="29" spans="2:27" ht="12.6" thickTop="1">
      <c r="B29" s="5" t="s">
        <v>588</v>
      </c>
      <c r="C29" s="548">
        <v>344.22399999999993</v>
      </c>
      <c r="D29" s="533">
        <v>255.33699999999976</v>
      </c>
      <c r="E29" s="533">
        <v>-62.413402130286158</v>
      </c>
      <c r="F29" s="533">
        <v>6.8422064171072634</v>
      </c>
      <c r="G29" s="533">
        <v>122.39424478652722</v>
      </c>
      <c r="H29" s="279">
        <f t="shared" si="3"/>
        <v>-0.21738335246278884</v>
      </c>
      <c r="I29" s="252"/>
      <c r="J29" s="249"/>
      <c r="K29" s="249"/>
      <c r="L29" s="249"/>
      <c r="M29" s="249"/>
      <c r="N29" s="249"/>
      <c r="O29" s="251"/>
      <c r="Q29" s="5"/>
      <c r="S29" s="88"/>
      <c r="T29" s="42"/>
      <c r="U29" s="42"/>
      <c r="V29" s="147" t="s">
        <v>530</v>
      </c>
      <c r="W29" s="288">
        <f t="shared" si="5"/>
        <v>0.92158129462585636</v>
      </c>
      <c r="X29" s="288">
        <v>1</v>
      </c>
      <c r="Y29" s="42"/>
      <c r="Z29" s="42"/>
      <c r="AA29" s="42"/>
    </row>
    <row r="30" spans="2:27">
      <c r="B30" s="5" t="s">
        <v>589</v>
      </c>
      <c r="C30" s="549">
        <v>484.83299999999969</v>
      </c>
      <c r="D30" s="533">
        <v>315.85099999999977</v>
      </c>
      <c r="E30" s="533">
        <v>-57.441936635700308</v>
      </c>
      <c r="F30" s="533">
        <v>-114.6488121074627</v>
      </c>
      <c r="G30" s="533">
        <v>-96.431243417648744</v>
      </c>
      <c r="H30" s="279">
        <f t="shared" si="3"/>
        <v>-1.6733566758064373</v>
      </c>
      <c r="I30" s="254"/>
      <c r="J30" s="248"/>
      <c r="K30" s="248"/>
      <c r="L30" s="248"/>
      <c r="M30" s="248"/>
      <c r="N30" s="248"/>
      <c r="O30" s="5"/>
      <c r="Q30" s="5"/>
      <c r="S30" s="88"/>
      <c r="T30" s="42"/>
      <c r="U30" s="42"/>
      <c r="V30" s="147" t="s">
        <v>593</v>
      </c>
      <c r="W30" s="288">
        <f t="shared" si="5"/>
        <v>0.94301724685847788</v>
      </c>
      <c r="X30" s="288">
        <v>1</v>
      </c>
      <c r="Y30" s="42"/>
      <c r="Z30" s="42"/>
      <c r="AA30" s="42"/>
    </row>
    <row r="31" spans="2:27">
      <c r="B31" s="5" t="s">
        <v>590</v>
      </c>
      <c r="C31" s="549">
        <v>0</v>
      </c>
      <c r="D31" s="533">
        <v>0</v>
      </c>
      <c r="E31" s="533">
        <v>0</v>
      </c>
      <c r="F31" s="533">
        <v>0</v>
      </c>
      <c r="G31" s="533">
        <v>0</v>
      </c>
      <c r="H31" s="279" t="str">
        <f t="shared" si="3"/>
        <v>nm</v>
      </c>
      <c r="I31" s="254"/>
      <c r="J31" s="252"/>
      <c r="K31" s="252"/>
      <c r="L31" s="252"/>
      <c r="M31" s="252"/>
      <c r="N31" s="252"/>
      <c r="O31" s="5"/>
      <c r="Q31" s="5"/>
      <c r="S31" s="88"/>
      <c r="T31" s="42"/>
      <c r="U31" s="42"/>
      <c r="V31" s="147" t="s">
        <v>475</v>
      </c>
      <c r="W31" s="288">
        <f t="shared" si="5"/>
        <v>0.78963848620173704</v>
      </c>
      <c r="X31" s="288">
        <v>1</v>
      </c>
      <c r="Y31" s="42"/>
      <c r="Z31" s="42"/>
      <c r="AA31" s="42"/>
    </row>
    <row r="32" spans="2:27">
      <c r="B32" s="5" t="s">
        <v>606</v>
      </c>
      <c r="C32" s="550">
        <v>0</v>
      </c>
      <c r="D32" s="533">
        <v>0</v>
      </c>
      <c r="E32" s="533">
        <v>0</v>
      </c>
      <c r="F32" s="533">
        <v>0</v>
      </c>
      <c r="G32" s="533">
        <v>0</v>
      </c>
      <c r="H32" s="279" t="str">
        <f t="shared" si="3"/>
        <v>nm</v>
      </c>
      <c r="I32" s="254"/>
      <c r="J32" s="254"/>
      <c r="K32" s="254"/>
      <c r="L32" s="254"/>
      <c r="M32" s="254"/>
      <c r="N32" s="254"/>
      <c r="O32" s="251"/>
      <c r="Q32" s="5"/>
      <c r="S32" s="88"/>
      <c r="T32" s="42"/>
      <c r="U32" s="42"/>
      <c r="V32" s="147" t="s">
        <v>533</v>
      </c>
      <c r="W32" s="288">
        <f t="shared" si="5"/>
        <v>0.31404376425072783</v>
      </c>
      <c r="X32" s="288">
        <v>1</v>
      </c>
      <c r="Y32" s="42"/>
      <c r="Z32" s="42"/>
      <c r="AA32" s="42"/>
    </row>
    <row r="33" spans="2:27">
      <c r="B33" s="5" t="s">
        <v>5</v>
      </c>
      <c r="C33" s="549">
        <v>-1331.636</v>
      </c>
      <c r="D33" s="533">
        <v>-1639.12</v>
      </c>
      <c r="E33" s="533">
        <v>-1714.8999181300001</v>
      </c>
      <c r="F33" s="533">
        <v>-1705.5770168399999</v>
      </c>
      <c r="G33" s="533">
        <v>-1703.2695168400001</v>
      </c>
      <c r="H33" s="279">
        <f t="shared" si="3"/>
        <v>1.2878940544143846E-2</v>
      </c>
      <c r="I33" s="5"/>
      <c r="J33" s="254"/>
      <c r="K33" s="254"/>
      <c r="L33" s="254"/>
      <c r="M33" s="254"/>
      <c r="N33" s="254"/>
      <c r="O33" s="251"/>
      <c r="Q33" s="5"/>
      <c r="S33" s="88"/>
      <c r="T33" s="42"/>
      <c r="U33" s="42"/>
      <c r="V33" s="147" t="s">
        <v>580</v>
      </c>
      <c r="W33" s="288">
        <f t="shared" si="5"/>
        <v>0</v>
      </c>
      <c r="X33" s="288">
        <v>1</v>
      </c>
      <c r="Y33" s="42"/>
      <c r="Z33" s="42"/>
      <c r="AA33" s="42"/>
    </row>
    <row r="34" spans="2:27">
      <c r="H34" s="277"/>
      <c r="I34" s="49"/>
      <c r="J34" s="254"/>
      <c r="K34" s="254"/>
      <c r="L34" s="254"/>
      <c r="M34" s="254"/>
      <c r="N34" s="254"/>
      <c r="O34" s="251"/>
      <c r="Q34" s="5"/>
      <c r="S34" s="88"/>
      <c r="T34" s="42"/>
      <c r="U34" s="42"/>
      <c r="V34" s="147" t="s">
        <v>581</v>
      </c>
      <c r="W34" s="288">
        <f>D47/L19</f>
        <v>1.2664023062124656</v>
      </c>
      <c r="X34" s="288">
        <v>1</v>
      </c>
      <c r="Y34" s="288"/>
      <c r="Z34" s="288"/>
      <c r="AA34" s="42"/>
    </row>
    <row r="35" spans="2:27" ht="12.6" thickBot="1">
      <c r="B35" s="306" t="s">
        <v>707</v>
      </c>
      <c r="C35" s="265"/>
      <c r="D35" s="265" t="str">
        <f>D5</f>
        <v>2023E</v>
      </c>
      <c r="E35" s="265" t="str">
        <f t="shared" ref="E35:H35" si="6">E5</f>
        <v>2024E</v>
      </c>
      <c r="F35" s="265" t="str">
        <f t="shared" si="6"/>
        <v>2025E</v>
      </c>
      <c r="G35" s="265" t="str">
        <f t="shared" si="6"/>
        <v>2026E</v>
      </c>
      <c r="H35" s="265" t="str">
        <f t="shared" si="6"/>
        <v>23E-26E</v>
      </c>
      <c r="I35" s="254"/>
      <c r="J35" s="5"/>
      <c r="K35" s="5"/>
      <c r="L35" s="5"/>
      <c r="M35" s="5"/>
      <c r="N35" s="5"/>
      <c r="O35" s="5"/>
      <c r="Q35" s="5"/>
      <c r="S35" s="88"/>
      <c r="T35" s="42"/>
      <c r="U35" s="42"/>
      <c r="V35" s="42"/>
      <c r="W35" s="288"/>
      <c r="X35" s="42"/>
      <c r="Y35" s="288"/>
      <c r="Z35" s="288"/>
      <c r="AA35" s="42"/>
    </row>
    <row r="36" spans="2:27" ht="12.6" thickTop="1">
      <c r="B36" s="41"/>
      <c r="C36" s="249"/>
      <c r="D36" s="254"/>
      <c r="E36" s="254"/>
      <c r="F36" s="254"/>
      <c r="G36" s="254"/>
      <c r="H36" s="254"/>
      <c r="I36" s="17"/>
      <c r="J36" s="49"/>
      <c r="K36" s="49"/>
      <c r="L36" s="49"/>
      <c r="M36" s="49"/>
      <c r="N36" s="49"/>
      <c r="O36" s="49"/>
      <c r="Q36" s="5"/>
      <c r="S36" s="88"/>
      <c r="T36" s="42"/>
      <c r="U36" s="42"/>
      <c r="V36" s="42"/>
      <c r="W36" s="42"/>
      <c r="X36" s="42"/>
      <c r="Y36" s="288"/>
      <c r="Z36" s="288"/>
      <c r="AA36" s="42"/>
    </row>
    <row r="37" spans="2:27">
      <c r="B37" s="5" t="s">
        <v>273</v>
      </c>
      <c r="C37" s="247"/>
      <c r="D37" s="529">
        <f t="shared" ref="D37:G41" si="7">D$18/D23</f>
        <v>2.7586940284813442</v>
      </c>
      <c r="E37" s="529">
        <f t="shared" si="7"/>
        <v>2.8112688714913721</v>
      </c>
      <c r="F37" s="529">
        <f t="shared" si="7"/>
        <v>2.8507546427587545</v>
      </c>
      <c r="G37" s="529">
        <f t="shared" si="7"/>
        <v>2.8466434414596007</v>
      </c>
      <c r="H37" s="17">
        <f t="shared" ref="H37:H45" si="8">H23</f>
        <v>-1.2219156094296912E-2</v>
      </c>
      <c r="I37" s="5"/>
      <c r="J37" s="259"/>
      <c r="K37" s="259"/>
      <c r="L37" s="259"/>
      <c r="M37" s="259"/>
      <c r="N37" s="259"/>
      <c r="O37" s="18"/>
      <c r="Q37" s="5"/>
      <c r="R37" s="5"/>
      <c r="S37" s="42"/>
      <c r="T37" s="42"/>
      <c r="U37" s="42"/>
      <c r="V37" s="42"/>
      <c r="W37" s="42"/>
      <c r="X37" s="42"/>
      <c r="Y37" s="42"/>
      <c r="Z37" s="42"/>
      <c r="AA37" s="42"/>
    </row>
    <row r="38" spans="2:27">
      <c r="B38" s="5" t="s">
        <v>184</v>
      </c>
      <c r="C38" s="247"/>
      <c r="D38" s="529">
        <f t="shared" si="7"/>
        <v>7.0609614860802088</v>
      </c>
      <c r="E38" s="529">
        <f t="shared" si="7"/>
        <v>7.1955899787539721</v>
      </c>
      <c r="F38" s="529">
        <f t="shared" si="7"/>
        <v>7.3876619360524689</v>
      </c>
      <c r="G38" s="529">
        <f t="shared" si="7"/>
        <v>7.3578864233936203</v>
      </c>
      <c r="H38" s="17">
        <f t="shared" si="8"/>
        <v>-1.5443372733004446E-2</v>
      </c>
      <c r="I38" s="259"/>
      <c r="J38" s="17"/>
      <c r="K38" s="17"/>
      <c r="L38" s="17"/>
      <c r="M38" s="17"/>
      <c r="N38" s="17"/>
      <c r="O38" s="5"/>
      <c r="Q38" s="5"/>
      <c r="R38" s="5"/>
      <c r="S38" s="42"/>
      <c r="T38" s="42"/>
      <c r="U38" s="42"/>
      <c r="V38" s="42"/>
      <c r="W38" s="42"/>
      <c r="X38" s="42"/>
      <c r="Y38" s="42"/>
      <c r="Z38" s="42"/>
      <c r="AA38" s="42"/>
    </row>
    <row r="39" spans="2:27">
      <c r="B39" s="5" t="s">
        <v>185</v>
      </c>
      <c r="C39" s="247"/>
      <c r="D39" s="529">
        <f t="shared" si="7"/>
        <v>13.382970610725714</v>
      </c>
      <c r="E39" s="529">
        <f t="shared" si="7"/>
        <v>13.469036242877898</v>
      </c>
      <c r="F39" s="529">
        <f t="shared" si="7"/>
        <v>13.138750045362229</v>
      </c>
      <c r="G39" s="529">
        <f t="shared" si="7"/>
        <v>12.319786368184658</v>
      </c>
      <c r="H39" s="17">
        <f t="shared" si="8"/>
        <v>2.6093401132669003E-2</v>
      </c>
      <c r="I39" s="17"/>
      <c r="J39" s="5"/>
      <c r="K39" s="5"/>
      <c r="L39" s="5"/>
      <c r="M39" s="5"/>
      <c r="N39" s="5"/>
      <c r="O39" s="5"/>
      <c r="Q39" s="5"/>
      <c r="R39" s="5"/>
      <c r="S39" s="42"/>
      <c r="T39" s="42"/>
      <c r="U39" s="42"/>
      <c r="V39" s="42"/>
      <c r="W39" s="42"/>
      <c r="X39" s="42"/>
      <c r="Y39" s="42"/>
      <c r="Z39" s="42"/>
      <c r="AA39" s="42"/>
    </row>
    <row r="40" spans="2:27">
      <c r="B40" s="5" t="s">
        <v>466</v>
      </c>
      <c r="C40" s="247"/>
      <c r="D40" s="529">
        <f t="shared" si="7"/>
        <v>20.589185554962636</v>
      </c>
      <c r="E40" s="529">
        <f t="shared" si="7"/>
        <v>20.721594219812154</v>
      </c>
      <c r="F40" s="529">
        <f t="shared" si="7"/>
        <v>20.213461608249585</v>
      </c>
      <c r="G40" s="529">
        <f t="shared" si="7"/>
        <v>18.953517489514855</v>
      </c>
      <c r="H40" s="17">
        <f t="shared" si="8"/>
        <v>2.6093401132669003E-2</v>
      </c>
      <c r="I40" s="5"/>
      <c r="J40" s="259"/>
      <c r="K40" s="259"/>
      <c r="L40" s="259"/>
      <c r="M40" s="259"/>
      <c r="N40" s="259"/>
      <c r="O40" s="18"/>
      <c r="Q40" s="5"/>
      <c r="R40" s="5"/>
      <c r="S40" s="42"/>
      <c r="T40" s="42"/>
      <c r="U40" s="42"/>
      <c r="V40" s="42"/>
      <c r="W40" s="288"/>
      <c r="X40" s="288"/>
      <c r="Y40" s="42"/>
      <c r="Z40" s="42"/>
      <c r="AA40" s="42"/>
    </row>
    <row r="41" spans="2:27">
      <c r="B41" s="5" t="s">
        <v>530</v>
      </c>
      <c r="C41" s="247"/>
      <c r="D41" s="529">
        <f t="shared" si="7"/>
        <v>1.0619220628313937</v>
      </c>
      <c r="E41" s="529">
        <f t="shared" si="7"/>
        <v>1.0670741512759816</v>
      </c>
      <c r="F41" s="529">
        <f t="shared" si="7"/>
        <v>1.0748692658803081</v>
      </c>
      <c r="G41" s="529">
        <f t="shared" si="7"/>
        <v>1.082353989030765</v>
      </c>
      <c r="H41" s="17">
        <f t="shared" si="8"/>
        <v>-8.15253841910768E-3</v>
      </c>
      <c r="I41" s="247"/>
      <c r="J41" s="17"/>
      <c r="K41" s="17"/>
      <c r="L41" s="17"/>
      <c r="M41" s="17"/>
      <c r="N41" s="17"/>
      <c r="O41" s="5"/>
      <c r="Q41" s="5"/>
      <c r="R41" s="5"/>
      <c r="S41" s="42"/>
      <c r="T41" s="42"/>
      <c r="U41" s="42"/>
      <c r="V41" s="42"/>
      <c r="W41" s="288"/>
      <c r="X41" s="288"/>
      <c r="Y41" s="288"/>
      <c r="Z41" s="288"/>
      <c r="AA41" s="42"/>
    </row>
    <row r="42" spans="2:27">
      <c r="B42" s="5" t="s">
        <v>593</v>
      </c>
      <c r="C42" s="247"/>
      <c r="D42" s="529">
        <f>D18/D28</f>
        <v>3.1894840982855772</v>
      </c>
      <c r="E42" s="529">
        <f>E18/E28</f>
        <v>3.18626126272305</v>
      </c>
      <c r="F42" s="529">
        <f>F18/F28</f>
        <v>3.2346064106605588</v>
      </c>
      <c r="G42" s="529">
        <f>G18/G28</f>
        <v>3.3109623376125814</v>
      </c>
      <c r="H42" s="17">
        <f t="shared" si="8"/>
        <v>-1.41916045432805E-2</v>
      </c>
      <c r="I42" s="248"/>
      <c r="J42" s="5"/>
      <c r="K42" s="5"/>
      <c r="L42" s="5"/>
      <c r="M42" s="5"/>
      <c r="N42" s="5"/>
      <c r="O42" s="5"/>
      <c r="Q42" s="5"/>
      <c r="R42" s="5"/>
      <c r="S42" s="42"/>
      <c r="T42" s="42"/>
      <c r="U42" s="42"/>
      <c r="V42" s="42"/>
      <c r="W42" s="288"/>
      <c r="X42" s="288"/>
      <c r="Y42" s="288"/>
      <c r="Z42" s="288"/>
      <c r="AA42" s="42"/>
    </row>
    <row r="43" spans="2:27">
      <c r="B43" s="5" t="s">
        <v>475</v>
      </c>
      <c r="C43" s="247"/>
      <c r="D43" s="529">
        <f>L26/D29</f>
        <v>4.1522901009254483</v>
      </c>
      <c r="E43" s="529">
        <f>M26/E29</f>
        <v>-16.991820926982982</v>
      </c>
      <c r="F43" s="529">
        <f>N26/F29</f>
        <v>155.07032202699622</v>
      </c>
      <c r="G43" s="529">
        <f>O26/G29</f>
        <v>8.6730299644551287</v>
      </c>
      <c r="H43" s="17">
        <f t="shared" si="8"/>
        <v>-0.21738335246278884</v>
      </c>
      <c r="I43" s="247"/>
      <c r="J43" s="247"/>
      <c r="K43" s="247"/>
      <c r="L43" s="247"/>
      <c r="M43" s="247"/>
      <c r="N43" s="247"/>
      <c r="O43" s="18"/>
      <c r="Q43" s="5"/>
      <c r="R43" s="5"/>
      <c r="S43" s="42"/>
      <c r="T43" s="42"/>
      <c r="U43" s="42"/>
      <c r="V43" s="42"/>
      <c r="W43" s="288"/>
      <c r="X43" s="288"/>
      <c r="Y43" s="288"/>
      <c r="Z43" s="288"/>
      <c r="AA43" s="42"/>
    </row>
    <row r="44" spans="2:27">
      <c r="B44" s="5" t="s">
        <v>533</v>
      </c>
      <c r="C44" s="69"/>
      <c r="D44" s="529">
        <f>D11/D30</f>
        <v>3.3567514350120815</v>
      </c>
      <c r="E44" s="529">
        <f>E11/E30</f>
        <v>-18.462423353994062</v>
      </c>
      <c r="F44" s="529">
        <f>F11/F30</f>
        <v>-9.2545498987070562</v>
      </c>
      <c r="G44" s="529">
        <f>G11/G30</f>
        <v>-11.008143366075549</v>
      </c>
      <c r="H44" s="17">
        <f t="shared" si="8"/>
        <v>-1.6733566758064373</v>
      </c>
      <c r="I44" s="247"/>
      <c r="J44" s="248"/>
      <c r="K44" s="248"/>
      <c r="L44" s="248"/>
      <c r="M44" s="248"/>
      <c r="N44" s="248"/>
      <c r="O44" s="248"/>
      <c r="Q44" s="5"/>
      <c r="R44" s="5"/>
      <c r="S44" s="42"/>
      <c r="T44" s="42"/>
      <c r="U44" s="42"/>
      <c r="V44" s="42"/>
      <c r="W44" s="325"/>
      <c r="X44" s="325"/>
      <c r="Y44" s="288"/>
      <c r="Z44" s="288"/>
      <c r="AA44" s="42"/>
    </row>
    <row r="45" spans="2:27">
      <c r="B45" s="5" t="s">
        <v>580</v>
      </c>
      <c r="C45" s="247"/>
      <c r="D45" s="248">
        <f>D31/D11</f>
        <v>0</v>
      </c>
      <c r="E45" s="248">
        <f>E31/E11</f>
        <v>0</v>
      </c>
      <c r="F45" s="248">
        <f>F31/F11</f>
        <v>0</v>
      </c>
      <c r="G45" s="248">
        <f>G31/G11</f>
        <v>0</v>
      </c>
      <c r="H45" s="17" t="str">
        <f t="shared" si="8"/>
        <v>nm</v>
      </c>
      <c r="I45" s="248"/>
      <c r="J45" s="247"/>
      <c r="K45" s="247"/>
      <c r="L45" s="247"/>
      <c r="M45" s="247"/>
      <c r="N45" s="247"/>
      <c r="O45" s="248"/>
      <c r="Q45" s="5"/>
      <c r="R45" s="5"/>
      <c r="S45" s="42"/>
      <c r="T45" s="42"/>
      <c r="U45" s="42"/>
      <c r="V45" s="42"/>
      <c r="W45" s="42"/>
      <c r="X45" s="42"/>
      <c r="Y45" s="325"/>
      <c r="Z45" s="325"/>
      <c r="AA45" s="42"/>
    </row>
    <row r="46" spans="2:27">
      <c r="B46" s="5" t="s">
        <v>605</v>
      </c>
      <c r="C46" s="247"/>
      <c r="D46" s="248">
        <f>(D31+D32)/D11</f>
        <v>0</v>
      </c>
      <c r="E46" s="248">
        <f>(E31+E32)/E11</f>
        <v>0</v>
      </c>
      <c r="F46" s="248">
        <f>(F31+F32)/F11</f>
        <v>0</v>
      </c>
      <c r="G46" s="248">
        <f>(G31+G32)/G11</f>
        <v>0</v>
      </c>
      <c r="H46" s="279" t="e">
        <f>((G31+G32)/(D31+D32))^(1/3)-1</f>
        <v>#DIV/0!</v>
      </c>
      <c r="I46" s="247"/>
      <c r="J46" s="247"/>
      <c r="K46" s="247"/>
      <c r="L46" s="247"/>
      <c r="M46" s="247"/>
      <c r="N46" s="247"/>
      <c r="O46" s="18"/>
      <c r="Q46" s="5"/>
      <c r="R46" s="5"/>
      <c r="S46" s="42"/>
      <c r="T46" s="42"/>
      <c r="U46" s="42"/>
      <c r="V46" s="42"/>
      <c r="W46" s="42"/>
      <c r="X46" s="42"/>
      <c r="Y46" s="42"/>
      <c r="Z46" s="42"/>
      <c r="AA46" s="326"/>
    </row>
    <row r="47" spans="2:27">
      <c r="B47" s="5" t="s">
        <v>581</v>
      </c>
      <c r="C47" s="5"/>
      <c r="D47" s="248">
        <f>1/D43</f>
        <v>0.24083095730164022</v>
      </c>
      <c r="E47" s="248">
        <f>1/E43</f>
        <v>-5.8851844325407278E-2</v>
      </c>
      <c r="F47" s="248">
        <f>1/F43</f>
        <v>6.4486871951288643E-3</v>
      </c>
      <c r="G47" s="248">
        <f>1/G43</f>
        <v>0.11529995907985124</v>
      </c>
      <c r="H47" s="17">
        <f>H29</f>
        <v>-0.21738335246278884</v>
      </c>
      <c r="I47" s="17"/>
      <c r="J47" s="248"/>
      <c r="K47" s="248"/>
      <c r="L47" s="248"/>
      <c r="M47" s="248"/>
      <c r="N47" s="248"/>
      <c r="O47" s="248"/>
      <c r="Q47" s="5"/>
      <c r="R47" s="5"/>
      <c r="S47" s="42"/>
      <c r="T47" s="42"/>
      <c r="U47" s="42"/>
      <c r="V47" s="42"/>
      <c r="W47" s="42"/>
      <c r="X47" s="42"/>
      <c r="Y47" s="42"/>
      <c r="Z47" s="42"/>
      <c r="AA47" s="326"/>
    </row>
    <row r="48" spans="2:27">
      <c r="B48" s="5" t="s">
        <v>618</v>
      </c>
      <c r="C48" s="5"/>
      <c r="D48" s="305">
        <f>D31/D29</f>
        <v>0</v>
      </c>
      <c r="E48" s="305">
        <f>E31/E29</f>
        <v>0</v>
      </c>
      <c r="F48" s="305">
        <f>F31/F29</f>
        <v>0</v>
      </c>
      <c r="G48" s="305">
        <f>G31/G29</f>
        <v>0</v>
      </c>
      <c r="H48" s="279" t="s">
        <v>607</v>
      </c>
      <c r="I48" s="247"/>
      <c r="J48" s="247"/>
      <c r="K48" s="247"/>
      <c r="L48" s="247"/>
      <c r="M48" s="247"/>
      <c r="N48" s="247"/>
      <c r="O48" s="248"/>
      <c r="Q48" s="5"/>
      <c r="R48" s="5"/>
      <c r="S48" s="42"/>
      <c r="T48" s="42"/>
      <c r="U48" s="42"/>
      <c r="V48" s="42"/>
      <c r="W48" s="42"/>
      <c r="X48" s="42"/>
      <c r="Y48" s="42"/>
      <c r="Z48" s="42"/>
      <c r="AA48" s="326"/>
    </row>
    <row r="49" spans="2:27">
      <c r="B49" s="41"/>
      <c r="C49" s="17"/>
      <c r="D49" s="17"/>
      <c r="E49" s="17"/>
      <c r="F49" s="17"/>
      <c r="G49" s="17"/>
      <c r="H49" s="17"/>
      <c r="I49" s="254"/>
      <c r="J49" s="17"/>
      <c r="K49" s="17"/>
      <c r="L49" s="17"/>
      <c r="M49" s="17"/>
      <c r="N49" s="17"/>
      <c r="O49" s="248"/>
      <c r="Q49" s="5"/>
      <c r="R49" s="5"/>
      <c r="S49" s="42"/>
      <c r="T49" s="42"/>
      <c r="U49" s="42"/>
      <c r="V49" s="42"/>
      <c r="W49" s="42"/>
      <c r="X49" s="42"/>
      <c r="Y49" s="42"/>
      <c r="Z49" s="42"/>
      <c r="AA49" s="326"/>
    </row>
    <row r="50" spans="2:27">
      <c r="B50" s="5"/>
      <c r="C50" s="257"/>
      <c r="D50" s="257"/>
      <c r="E50" s="257"/>
      <c r="F50" s="5"/>
      <c r="G50" s="41"/>
      <c r="H50" s="249"/>
      <c r="I50" s="17"/>
      <c r="J50" s="249"/>
      <c r="K50" s="249"/>
      <c r="L50" s="249"/>
      <c r="M50" s="249"/>
      <c r="N50" s="249"/>
      <c r="O50" s="250"/>
      <c r="Q50" s="5"/>
      <c r="R50" s="5"/>
      <c r="S50" s="42"/>
      <c r="T50" s="42"/>
      <c r="U50" s="42"/>
      <c r="V50" s="42"/>
      <c r="W50" s="288"/>
      <c r="X50" s="288"/>
      <c r="Y50" s="42"/>
      <c r="Z50" s="42"/>
      <c r="AA50" s="326"/>
    </row>
    <row r="51" spans="2:27">
      <c r="B51" s="41"/>
      <c r="C51" s="249"/>
      <c r="D51" s="254"/>
      <c r="E51" s="254"/>
      <c r="F51" s="254"/>
      <c r="G51" s="254"/>
      <c r="H51" s="254"/>
      <c r="I51" s="259"/>
      <c r="J51" s="254"/>
      <c r="K51" s="254"/>
      <c r="L51" s="254"/>
      <c r="M51" s="254"/>
      <c r="N51" s="254"/>
      <c r="O51" s="251"/>
      <c r="Q51" s="5"/>
      <c r="R51" s="5"/>
      <c r="S51" s="42"/>
      <c r="T51" s="42"/>
      <c r="U51" s="42"/>
      <c r="V51" s="42"/>
      <c r="W51" s="288"/>
      <c r="X51" s="288"/>
      <c r="Y51" s="288"/>
      <c r="Z51" s="288"/>
      <c r="AA51" s="42"/>
    </row>
    <row r="52" spans="2:27">
      <c r="B52" s="5"/>
      <c r="C52" s="257"/>
      <c r="D52" s="17"/>
      <c r="E52" s="17"/>
      <c r="F52" s="17"/>
      <c r="G52" s="17"/>
      <c r="H52" s="17"/>
      <c r="I52" s="254"/>
      <c r="J52" s="17"/>
      <c r="K52" s="17"/>
      <c r="L52" s="17"/>
      <c r="M52" s="17"/>
      <c r="N52" s="17"/>
      <c r="O52" s="248"/>
      <c r="Q52" s="5"/>
      <c r="R52" s="5"/>
      <c r="S52" s="5"/>
      <c r="Y52" s="10"/>
      <c r="Z52" s="10"/>
    </row>
    <row r="53" spans="2:27">
      <c r="B53" s="5"/>
      <c r="C53" s="257"/>
      <c r="D53" s="257"/>
      <c r="E53" s="257"/>
      <c r="F53" s="5"/>
      <c r="G53" s="5"/>
      <c r="H53" s="259"/>
      <c r="I53" s="17"/>
      <c r="J53" s="259"/>
      <c r="K53" s="259"/>
      <c r="L53" s="259"/>
      <c r="M53" s="259"/>
      <c r="N53" s="259"/>
      <c r="O53" s="18"/>
      <c r="Q53" s="5"/>
      <c r="R53" s="5"/>
      <c r="S53" s="5"/>
    </row>
    <row r="54" spans="2:27">
      <c r="B54" s="41"/>
      <c r="C54" s="249"/>
      <c r="D54" s="254"/>
      <c r="E54" s="254"/>
      <c r="F54" s="254"/>
      <c r="G54" s="254"/>
      <c r="H54" s="254"/>
      <c r="I54" s="259"/>
      <c r="J54" s="254"/>
      <c r="K54" s="254"/>
      <c r="L54" s="254"/>
      <c r="M54" s="254"/>
      <c r="N54" s="254"/>
      <c r="O54" s="251"/>
      <c r="Q54" s="5"/>
      <c r="R54" s="5"/>
      <c r="S54" s="5"/>
    </row>
    <row r="55" spans="2:27">
      <c r="B55" s="5"/>
      <c r="C55" s="257"/>
      <c r="D55" s="17"/>
      <c r="E55" s="17"/>
      <c r="F55" s="17"/>
      <c r="G55" s="17"/>
      <c r="H55" s="17"/>
      <c r="I55" s="249"/>
      <c r="J55" s="17"/>
      <c r="K55" s="17"/>
      <c r="L55" s="17"/>
      <c r="M55" s="17"/>
      <c r="N55" s="17"/>
      <c r="O55" s="18"/>
      <c r="Q55" s="5"/>
      <c r="R55" s="5"/>
      <c r="S55" s="5"/>
    </row>
    <row r="56" spans="2:27">
      <c r="B56" s="5"/>
      <c r="C56" s="248"/>
      <c r="D56" s="248"/>
      <c r="E56" s="248"/>
      <c r="F56" s="5"/>
      <c r="G56" s="5"/>
      <c r="H56" s="259"/>
      <c r="I56" s="248"/>
      <c r="J56" s="259"/>
      <c r="K56" s="259"/>
      <c r="L56" s="259"/>
      <c r="M56" s="259"/>
      <c r="N56" s="259"/>
      <c r="O56" s="18"/>
      <c r="Q56" s="5"/>
      <c r="R56" s="5"/>
      <c r="S56" s="5"/>
    </row>
    <row r="57" spans="2:27">
      <c r="B57" s="41"/>
      <c r="C57" s="249"/>
      <c r="D57" s="249"/>
      <c r="E57" s="249"/>
      <c r="F57" s="249"/>
      <c r="G57" s="249"/>
      <c r="H57" s="249"/>
      <c r="I57" s="5"/>
      <c r="J57" s="249"/>
      <c r="K57" s="249"/>
      <c r="L57" s="249"/>
      <c r="M57" s="249"/>
      <c r="N57" s="249"/>
      <c r="O57" s="251"/>
      <c r="Q57" s="5"/>
      <c r="R57" s="5"/>
      <c r="S57" s="5"/>
    </row>
    <row r="58" spans="2:27">
      <c r="B58" s="5"/>
      <c r="C58" s="5"/>
      <c r="D58" s="248"/>
      <c r="E58" s="248"/>
      <c r="F58" s="248"/>
      <c r="G58" s="248"/>
      <c r="H58" s="248"/>
      <c r="I58" s="17"/>
      <c r="J58" s="248"/>
      <c r="K58" s="248"/>
      <c r="L58" s="248"/>
      <c r="M58" s="248"/>
      <c r="N58" s="248"/>
      <c r="O58" s="18"/>
      <c r="Q58" s="5"/>
      <c r="R58" s="5"/>
      <c r="S58" s="5"/>
    </row>
    <row r="59" spans="2:27">
      <c r="B59" s="5"/>
      <c r="C59" s="5"/>
      <c r="D59" s="5"/>
      <c r="E59" s="5"/>
      <c r="F59" s="5"/>
      <c r="G59" s="5"/>
      <c r="H59" s="5"/>
      <c r="I59" s="5"/>
      <c r="J59" s="5"/>
      <c r="K59" s="5"/>
      <c r="L59" s="5"/>
      <c r="M59" s="5"/>
      <c r="N59" s="5"/>
      <c r="O59" s="5"/>
      <c r="Q59" s="5"/>
      <c r="R59" s="5"/>
      <c r="S59" s="5"/>
    </row>
    <row r="60" spans="2:27">
      <c r="B60" s="41"/>
      <c r="C60" s="17"/>
      <c r="D60" s="17"/>
      <c r="E60" s="17"/>
      <c r="F60" s="17"/>
      <c r="G60" s="17"/>
      <c r="H60" s="17"/>
      <c r="I60" s="249"/>
      <c r="J60" s="17"/>
      <c r="K60" s="17"/>
      <c r="L60" s="17"/>
      <c r="M60" s="17"/>
      <c r="N60" s="17"/>
      <c r="O60" s="251"/>
      <c r="Q60" s="5"/>
      <c r="R60" s="5"/>
      <c r="S60" s="5"/>
    </row>
    <row r="61" spans="2:27">
      <c r="B61" s="5"/>
      <c r="C61" s="5"/>
      <c r="D61" s="5"/>
      <c r="E61" s="5"/>
      <c r="F61" s="5"/>
      <c r="G61" s="5"/>
      <c r="H61" s="5"/>
      <c r="I61" s="5"/>
      <c r="J61" s="5"/>
      <c r="K61" s="5"/>
      <c r="L61" s="5"/>
      <c r="M61" s="5"/>
      <c r="N61" s="5"/>
      <c r="O61" s="5"/>
      <c r="Q61" s="41"/>
      <c r="R61" s="5"/>
      <c r="S61" s="5"/>
    </row>
    <row r="62" spans="2:27">
      <c r="B62" s="41"/>
      <c r="C62" s="249"/>
      <c r="D62" s="249"/>
      <c r="E62" s="249"/>
      <c r="F62" s="249"/>
      <c r="G62" s="249"/>
      <c r="H62" s="249"/>
      <c r="I62" s="5"/>
      <c r="J62" s="249"/>
      <c r="K62" s="249"/>
      <c r="L62" s="249"/>
      <c r="M62" s="249"/>
      <c r="N62" s="249"/>
      <c r="O62" s="251"/>
      <c r="Q62" s="5"/>
      <c r="R62" s="5"/>
      <c r="S62" s="5"/>
    </row>
    <row r="63" spans="2:27">
      <c r="B63" s="5"/>
      <c r="C63" s="5"/>
      <c r="D63" s="5"/>
      <c r="E63" s="5"/>
      <c r="F63" s="5"/>
      <c r="G63" s="5"/>
      <c r="H63" s="5"/>
      <c r="I63" s="254"/>
      <c r="J63" s="5"/>
      <c r="K63" s="5"/>
      <c r="L63" s="5"/>
      <c r="M63" s="5"/>
      <c r="N63" s="5"/>
      <c r="O63" s="5"/>
      <c r="Q63" s="5"/>
      <c r="R63" s="5"/>
      <c r="S63" s="5"/>
    </row>
    <row r="64" spans="2:27">
      <c r="B64" s="5"/>
      <c r="C64" s="5"/>
      <c r="D64" s="5"/>
      <c r="E64" s="5"/>
      <c r="F64" s="5"/>
      <c r="G64" s="5"/>
      <c r="H64" s="5"/>
      <c r="I64" s="17"/>
      <c r="J64" s="5"/>
      <c r="K64" s="5"/>
      <c r="L64" s="5"/>
      <c r="M64" s="5"/>
      <c r="N64" s="5"/>
      <c r="O64" s="5"/>
      <c r="Q64" s="5"/>
      <c r="R64" s="5"/>
      <c r="S64" s="5"/>
    </row>
    <row r="65" spans="2:26">
      <c r="B65" s="41"/>
      <c r="C65" s="249"/>
      <c r="D65" s="254"/>
      <c r="E65" s="254"/>
      <c r="F65" s="254"/>
      <c r="G65" s="254"/>
      <c r="H65" s="254"/>
      <c r="I65" s="254"/>
      <c r="J65" s="254"/>
      <c r="K65" s="254"/>
      <c r="L65" s="254"/>
      <c r="M65" s="254"/>
      <c r="N65" s="254"/>
      <c r="O65" s="251"/>
      <c r="Q65" s="5"/>
      <c r="R65" s="5"/>
      <c r="S65" s="5"/>
    </row>
    <row r="66" spans="2:26">
      <c r="B66" s="5"/>
      <c r="C66" s="5"/>
      <c r="D66" s="17"/>
      <c r="E66" s="17"/>
      <c r="F66" s="17"/>
      <c r="G66" s="17"/>
      <c r="H66" s="17"/>
      <c r="I66" s="248"/>
      <c r="J66" s="17"/>
      <c r="K66" s="17"/>
      <c r="L66" s="17"/>
      <c r="M66" s="17"/>
      <c r="N66" s="17"/>
      <c r="O66" s="5"/>
      <c r="Q66" s="5"/>
      <c r="R66" s="5"/>
      <c r="S66" s="5"/>
    </row>
    <row r="67" spans="2:26">
      <c r="B67" s="41"/>
      <c r="C67" s="249"/>
      <c r="D67" s="254"/>
      <c r="E67" s="254"/>
      <c r="F67" s="254"/>
      <c r="G67" s="254"/>
      <c r="H67" s="254"/>
      <c r="I67" s="5"/>
      <c r="J67" s="254"/>
      <c r="K67" s="254"/>
      <c r="L67" s="254"/>
      <c r="M67" s="254"/>
      <c r="N67" s="254"/>
      <c r="O67" s="251"/>
      <c r="Q67" s="41"/>
      <c r="R67" s="5"/>
      <c r="S67" s="5"/>
    </row>
    <row r="68" spans="2:26">
      <c r="B68" s="5"/>
      <c r="C68" s="5"/>
      <c r="D68" s="248"/>
      <c r="E68" s="248"/>
      <c r="F68" s="248"/>
      <c r="G68" s="248"/>
      <c r="H68" s="248"/>
      <c r="I68" s="245"/>
      <c r="J68" s="248"/>
      <c r="K68" s="248"/>
      <c r="L68" s="248"/>
      <c r="M68" s="248"/>
      <c r="N68" s="248"/>
      <c r="O68" s="5"/>
      <c r="Q68" s="5"/>
      <c r="R68" s="5"/>
      <c r="S68" s="5"/>
    </row>
    <row r="69" spans="2:26">
      <c r="B69" s="41"/>
      <c r="C69" s="5"/>
      <c r="D69" s="5"/>
      <c r="E69" s="5"/>
      <c r="F69" s="5"/>
      <c r="G69" s="5"/>
      <c r="H69" s="5"/>
      <c r="I69" s="248"/>
      <c r="J69" s="5"/>
      <c r="K69" s="5"/>
      <c r="L69" s="5"/>
      <c r="M69" s="5"/>
      <c r="N69" s="5"/>
      <c r="O69" s="5"/>
      <c r="Q69" s="5"/>
      <c r="R69" s="5"/>
      <c r="S69" s="5"/>
    </row>
    <row r="70" spans="2:26">
      <c r="B70" s="41"/>
      <c r="C70" s="245"/>
      <c r="D70" s="245"/>
      <c r="E70" s="245"/>
      <c r="F70" s="245"/>
      <c r="G70" s="245"/>
      <c r="H70" s="245"/>
      <c r="I70" s="5"/>
      <c r="J70" s="245"/>
      <c r="K70" s="245"/>
      <c r="L70" s="245"/>
      <c r="M70" s="245"/>
      <c r="N70" s="245"/>
      <c r="O70" s="251"/>
      <c r="Q70" s="5"/>
      <c r="R70" s="5"/>
      <c r="S70" s="5"/>
      <c r="W70" s="76"/>
      <c r="X70" s="76"/>
    </row>
    <row r="71" spans="2:26">
      <c r="B71" s="5"/>
      <c r="C71" s="5"/>
      <c r="D71" s="248"/>
      <c r="E71" s="248"/>
      <c r="F71" s="248"/>
      <c r="G71" s="248"/>
      <c r="H71" s="248"/>
      <c r="I71" s="245"/>
      <c r="J71" s="248"/>
      <c r="K71" s="248"/>
      <c r="L71" s="248"/>
      <c r="M71" s="248"/>
      <c r="N71" s="248"/>
      <c r="O71" s="5"/>
      <c r="Q71" s="5"/>
      <c r="R71" s="5"/>
      <c r="S71" s="5"/>
      <c r="W71" s="76"/>
      <c r="X71" s="76"/>
      <c r="Y71" s="76"/>
      <c r="Z71" s="76"/>
    </row>
    <row r="72" spans="2:26">
      <c r="B72" s="41"/>
      <c r="C72" s="5"/>
      <c r="D72" s="5"/>
      <c r="E72" s="5"/>
      <c r="F72" s="5"/>
      <c r="G72" s="5"/>
      <c r="H72" s="5"/>
      <c r="I72" s="18"/>
      <c r="J72" s="5"/>
      <c r="K72" s="5"/>
      <c r="L72" s="5"/>
      <c r="M72" s="5"/>
      <c r="N72" s="5"/>
      <c r="O72" s="5"/>
      <c r="Q72" s="5"/>
      <c r="R72" s="5"/>
      <c r="S72" s="5"/>
      <c r="Y72" s="76"/>
      <c r="Z72" s="76"/>
    </row>
    <row r="73" spans="2:26">
      <c r="B73" s="41"/>
      <c r="C73" s="245"/>
      <c r="D73" s="245"/>
      <c r="E73" s="245"/>
      <c r="F73" s="245"/>
      <c r="G73" s="245"/>
      <c r="H73" s="245"/>
      <c r="I73" s="5"/>
      <c r="J73" s="245"/>
      <c r="K73" s="245"/>
      <c r="L73" s="245"/>
      <c r="M73" s="245"/>
      <c r="N73" s="245"/>
      <c r="O73" s="251"/>
      <c r="Q73" s="5"/>
      <c r="R73" s="5"/>
      <c r="S73" s="5"/>
    </row>
    <row r="74" spans="2:26">
      <c r="B74" s="5"/>
      <c r="C74" s="5"/>
      <c r="D74" s="18"/>
      <c r="E74" s="18"/>
      <c r="F74" s="18"/>
      <c r="G74" s="18"/>
      <c r="H74" s="18"/>
      <c r="I74" s="249"/>
      <c r="J74" s="18"/>
      <c r="K74" s="18"/>
      <c r="L74" s="18"/>
      <c r="M74" s="18"/>
      <c r="N74" s="18"/>
      <c r="O74" s="5"/>
      <c r="Q74" s="5"/>
      <c r="R74" s="5"/>
      <c r="S74" s="5"/>
    </row>
    <row r="75" spans="2:26">
      <c r="B75" s="41"/>
      <c r="C75" s="5"/>
      <c r="D75" s="5"/>
      <c r="E75" s="5"/>
      <c r="F75" s="5"/>
      <c r="G75" s="5"/>
      <c r="H75" s="5"/>
      <c r="I75" s="248"/>
      <c r="J75" s="5"/>
      <c r="K75" s="5"/>
      <c r="L75" s="5"/>
      <c r="M75" s="5"/>
      <c r="N75" s="5"/>
      <c r="O75" s="5"/>
      <c r="Q75" s="5"/>
      <c r="R75" s="5"/>
      <c r="S75" s="5"/>
    </row>
    <row r="76" spans="2:26">
      <c r="B76" s="41"/>
      <c r="C76" s="249"/>
      <c r="D76" s="249"/>
      <c r="E76" s="249"/>
      <c r="F76" s="249"/>
      <c r="G76" s="249"/>
      <c r="H76" s="249"/>
      <c r="I76" s="5"/>
      <c r="J76" s="249"/>
      <c r="K76" s="249"/>
      <c r="L76" s="249"/>
      <c r="M76" s="249"/>
      <c r="N76" s="249"/>
      <c r="O76" s="251"/>
      <c r="Q76" s="5"/>
      <c r="R76" s="5"/>
      <c r="S76" s="5"/>
    </row>
    <row r="77" spans="2:26">
      <c r="B77" s="5"/>
      <c r="C77" s="5"/>
      <c r="D77" s="248"/>
      <c r="E77" s="248"/>
      <c r="F77" s="248"/>
      <c r="G77" s="248"/>
      <c r="H77" s="248"/>
      <c r="I77" s="245"/>
      <c r="J77" s="248"/>
      <c r="K77" s="248"/>
      <c r="L77" s="248"/>
      <c r="M77" s="248"/>
      <c r="N77" s="248"/>
      <c r="O77" s="5"/>
      <c r="Q77" s="5"/>
      <c r="R77" s="5"/>
      <c r="S77" s="5"/>
    </row>
    <row r="78" spans="2:26">
      <c r="B78" s="41"/>
      <c r="C78" s="5"/>
      <c r="D78" s="5"/>
      <c r="E78" s="5"/>
      <c r="F78" s="5"/>
      <c r="G78" s="5"/>
      <c r="H78" s="5"/>
      <c r="I78" s="248"/>
      <c r="J78" s="5"/>
      <c r="K78" s="5"/>
      <c r="L78" s="5"/>
      <c r="M78" s="5"/>
      <c r="N78" s="5"/>
      <c r="O78" s="5"/>
      <c r="Q78" s="5"/>
      <c r="R78" s="5"/>
      <c r="S78" s="5"/>
    </row>
    <row r="79" spans="2:26">
      <c r="B79" s="41"/>
      <c r="C79" s="245"/>
      <c r="D79" s="245"/>
      <c r="E79" s="245"/>
      <c r="F79" s="245"/>
      <c r="G79" s="245"/>
      <c r="H79" s="245"/>
      <c r="I79" s="5"/>
      <c r="J79" s="245"/>
      <c r="K79" s="245"/>
      <c r="L79" s="245"/>
      <c r="M79" s="245"/>
      <c r="N79" s="245"/>
      <c r="O79" s="251"/>
      <c r="Q79" s="5"/>
      <c r="R79" s="5"/>
      <c r="S79" s="5"/>
    </row>
    <row r="80" spans="2:26">
      <c r="B80" s="5"/>
      <c r="C80" s="5"/>
      <c r="D80" s="248"/>
      <c r="E80" s="248"/>
      <c r="F80" s="248"/>
      <c r="G80" s="248"/>
      <c r="H80" s="248"/>
      <c r="I80" s="249"/>
      <c r="J80" s="248"/>
      <c r="K80" s="248"/>
      <c r="L80" s="248"/>
      <c r="M80" s="248"/>
      <c r="N80" s="248"/>
      <c r="O80" s="5"/>
      <c r="Q80" s="5"/>
      <c r="R80" s="5"/>
      <c r="S80" s="5"/>
    </row>
    <row r="81" spans="2:26">
      <c r="B81" s="41"/>
      <c r="C81" s="5"/>
      <c r="D81" s="5"/>
      <c r="E81" s="5"/>
      <c r="F81" s="5"/>
      <c r="G81" s="5"/>
      <c r="H81" s="5"/>
      <c r="I81" s="248"/>
      <c r="J81" s="5"/>
      <c r="K81" s="5"/>
      <c r="L81" s="5"/>
      <c r="M81" s="5"/>
      <c r="N81" s="5"/>
      <c r="O81" s="5"/>
      <c r="Q81" s="5"/>
      <c r="R81" s="5"/>
      <c r="S81" s="5"/>
    </row>
    <row r="82" spans="2:26">
      <c r="B82" s="41"/>
      <c r="C82" s="249"/>
      <c r="D82" s="249"/>
      <c r="E82" s="249"/>
      <c r="F82" s="249"/>
      <c r="G82" s="249"/>
      <c r="H82" s="249"/>
      <c r="I82" s="259"/>
      <c r="J82" s="249"/>
      <c r="K82" s="249"/>
      <c r="L82" s="249"/>
      <c r="M82" s="249"/>
      <c r="N82" s="249"/>
      <c r="O82" s="251"/>
      <c r="Q82" s="5"/>
      <c r="R82" s="5"/>
      <c r="S82" s="5"/>
    </row>
    <row r="83" spans="2:26">
      <c r="B83" s="5"/>
      <c r="C83" s="5"/>
      <c r="D83" s="248"/>
      <c r="E83" s="248"/>
      <c r="F83" s="248"/>
      <c r="G83" s="248"/>
      <c r="H83" s="248"/>
      <c r="I83" s="5"/>
      <c r="J83" s="248"/>
      <c r="K83" s="248"/>
      <c r="L83" s="248"/>
      <c r="M83" s="248"/>
      <c r="N83" s="248"/>
      <c r="O83" s="5"/>
      <c r="Q83" s="5"/>
      <c r="R83" s="5"/>
      <c r="S83" s="5"/>
    </row>
    <row r="84" spans="2:26">
      <c r="B84" s="5"/>
      <c r="C84" s="259"/>
      <c r="D84" s="259"/>
      <c r="E84" s="259"/>
      <c r="F84" s="259"/>
      <c r="G84" s="259"/>
      <c r="H84" s="259"/>
      <c r="I84" s="245"/>
      <c r="J84" s="259"/>
      <c r="K84" s="259"/>
      <c r="L84" s="259"/>
      <c r="M84" s="259"/>
      <c r="N84" s="259"/>
      <c r="O84" s="251"/>
      <c r="Q84" s="5"/>
      <c r="R84" s="5"/>
      <c r="S84" s="5"/>
    </row>
    <row r="85" spans="2:26">
      <c r="B85" s="41"/>
      <c r="C85" s="5"/>
      <c r="D85" s="5"/>
      <c r="E85" s="5"/>
      <c r="F85" s="5"/>
      <c r="G85" s="5"/>
      <c r="H85" s="5"/>
      <c r="I85" s="248"/>
      <c r="J85" s="5"/>
      <c r="K85" s="5"/>
      <c r="L85" s="5"/>
      <c r="M85" s="5"/>
      <c r="N85" s="5"/>
      <c r="O85" s="5"/>
      <c r="Q85" s="5"/>
      <c r="R85" s="5"/>
      <c r="S85" s="5"/>
    </row>
    <row r="86" spans="2:26">
      <c r="B86" s="41"/>
      <c r="C86" s="245"/>
      <c r="D86" s="245"/>
      <c r="E86" s="245"/>
      <c r="F86" s="245"/>
      <c r="G86" s="245"/>
      <c r="H86" s="245"/>
      <c r="I86" s="5"/>
      <c r="J86" s="245"/>
      <c r="K86" s="245"/>
      <c r="L86" s="245"/>
      <c r="M86" s="245"/>
      <c r="N86" s="245"/>
      <c r="O86" s="251"/>
      <c r="Q86" s="5"/>
      <c r="R86" s="5"/>
      <c r="S86" s="5"/>
    </row>
    <row r="87" spans="2:26">
      <c r="B87" s="5"/>
      <c r="C87" s="5"/>
      <c r="D87" s="248"/>
      <c r="E87" s="248"/>
      <c r="F87" s="248"/>
      <c r="G87" s="248"/>
      <c r="H87" s="248"/>
      <c r="I87" s="5"/>
      <c r="J87" s="248"/>
      <c r="K87" s="248"/>
      <c r="L87" s="248"/>
      <c r="M87" s="248"/>
      <c r="N87" s="248"/>
      <c r="O87" s="5"/>
      <c r="Q87" s="5"/>
      <c r="R87" s="5"/>
      <c r="S87" s="5"/>
    </row>
    <row r="88" spans="2:26">
      <c r="B88" s="41"/>
      <c r="C88" s="5"/>
      <c r="D88" s="5"/>
      <c r="E88" s="5"/>
      <c r="F88" s="5"/>
      <c r="G88" s="5"/>
      <c r="H88" s="5"/>
      <c r="I88" s="5"/>
      <c r="J88" s="5"/>
      <c r="K88" s="5"/>
      <c r="L88" s="5"/>
      <c r="M88" s="5"/>
      <c r="N88" s="5"/>
      <c r="O88" s="5"/>
      <c r="Q88" s="5"/>
      <c r="R88" s="5"/>
      <c r="S88" s="5"/>
    </row>
    <row r="89" spans="2:26">
      <c r="B89" s="41"/>
      <c r="C89" s="5"/>
      <c r="D89" s="5"/>
      <c r="E89" s="5"/>
      <c r="F89" s="5"/>
      <c r="G89" s="5"/>
      <c r="H89" s="5"/>
      <c r="I89" s="5"/>
      <c r="J89" s="5"/>
      <c r="K89" s="5"/>
      <c r="L89" s="5"/>
      <c r="M89" s="5"/>
      <c r="N89" s="5"/>
      <c r="O89" s="5"/>
      <c r="Q89" s="5"/>
      <c r="R89" s="5"/>
      <c r="S89" s="5"/>
    </row>
    <row r="90" spans="2:26">
      <c r="B90" s="41"/>
      <c r="C90" s="5"/>
      <c r="D90" s="5"/>
      <c r="E90" s="5"/>
      <c r="F90" s="5"/>
      <c r="G90" s="5"/>
      <c r="H90" s="5"/>
      <c r="I90" s="49"/>
      <c r="J90" s="5"/>
      <c r="K90" s="5"/>
      <c r="L90" s="5"/>
      <c r="M90" s="5"/>
      <c r="N90" s="5"/>
      <c r="O90" s="5"/>
      <c r="Q90" s="41"/>
      <c r="R90" s="5"/>
      <c r="S90" s="5"/>
    </row>
    <row r="91" spans="2:26">
      <c r="B91" s="5"/>
      <c r="C91" s="5"/>
      <c r="D91" s="5"/>
      <c r="E91" s="5"/>
      <c r="F91" s="5"/>
      <c r="G91" s="5"/>
      <c r="H91" s="5"/>
      <c r="I91" s="5"/>
      <c r="J91" s="5"/>
      <c r="K91" s="5"/>
      <c r="L91" s="5"/>
      <c r="M91" s="5"/>
      <c r="N91" s="5"/>
      <c r="O91" s="5"/>
      <c r="Q91" s="5"/>
      <c r="R91" s="5"/>
      <c r="S91" s="5"/>
    </row>
    <row r="92" spans="2:26">
      <c r="B92" s="41"/>
      <c r="C92" s="49"/>
      <c r="D92" s="49"/>
      <c r="E92" s="49"/>
      <c r="F92" s="49"/>
      <c r="G92" s="49"/>
      <c r="H92" s="49"/>
      <c r="I92" s="247"/>
      <c r="J92" s="49"/>
      <c r="K92" s="49"/>
      <c r="L92" s="49"/>
      <c r="M92" s="49"/>
      <c r="N92" s="49"/>
      <c r="O92" s="49"/>
      <c r="Q92" s="5"/>
      <c r="R92" s="5"/>
      <c r="S92" s="5"/>
      <c r="W92" s="21"/>
      <c r="X92" s="21"/>
    </row>
    <row r="93" spans="2:26">
      <c r="B93" s="5"/>
      <c r="C93" s="5"/>
      <c r="D93" s="5"/>
      <c r="E93" s="5"/>
      <c r="F93" s="5"/>
      <c r="G93" s="5"/>
      <c r="H93" s="5"/>
      <c r="I93" s="247"/>
      <c r="J93" s="5"/>
      <c r="K93" s="5"/>
      <c r="L93" s="5"/>
      <c r="M93" s="5"/>
      <c r="N93" s="5"/>
      <c r="O93" s="5"/>
      <c r="Q93" s="5"/>
      <c r="R93" s="5"/>
      <c r="S93" s="5"/>
      <c r="W93" s="21"/>
      <c r="X93" s="21"/>
      <c r="Y93" s="21"/>
      <c r="Z93" s="21"/>
    </row>
    <row r="94" spans="2:26">
      <c r="B94" s="5"/>
      <c r="C94" s="259"/>
      <c r="D94" s="247"/>
      <c r="E94" s="247"/>
      <c r="F94" s="247"/>
      <c r="G94" s="247"/>
      <c r="H94" s="247"/>
      <c r="I94" s="247"/>
      <c r="J94" s="247"/>
      <c r="K94" s="247"/>
      <c r="L94" s="247"/>
      <c r="M94" s="247"/>
      <c r="N94" s="247"/>
      <c r="O94" s="248"/>
      <c r="Q94" s="5"/>
      <c r="R94" s="5"/>
      <c r="S94" s="5"/>
      <c r="Y94" s="21"/>
      <c r="Z94" s="21"/>
    </row>
    <row r="95" spans="2:26">
      <c r="B95" s="5"/>
      <c r="C95" s="259"/>
      <c r="D95" s="247"/>
      <c r="E95" s="247"/>
      <c r="F95" s="247"/>
      <c r="G95" s="247"/>
      <c r="H95" s="247"/>
      <c r="I95" s="248"/>
      <c r="J95" s="247"/>
      <c r="K95" s="247"/>
      <c r="L95" s="247"/>
      <c r="M95" s="247"/>
      <c r="N95" s="247"/>
      <c r="O95" s="248"/>
      <c r="Q95" s="5"/>
      <c r="R95" s="5"/>
      <c r="S95" s="5"/>
    </row>
    <row r="96" spans="2:26">
      <c r="B96" s="5"/>
      <c r="C96" s="259"/>
      <c r="D96" s="247"/>
      <c r="E96" s="247"/>
      <c r="F96" s="247"/>
      <c r="G96" s="247"/>
      <c r="H96" s="247"/>
      <c r="I96" s="247"/>
      <c r="J96" s="247"/>
      <c r="K96" s="247"/>
      <c r="L96" s="247"/>
      <c r="M96" s="247"/>
      <c r="N96" s="247"/>
      <c r="O96" s="248"/>
      <c r="Q96" s="5"/>
      <c r="R96" s="5"/>
      <c r="S96" s="5"/>
    </row>
    <row r="97" spans="2:19">
      <c r="B97" s="5"/>
      <c r="C97" s="259"/>
      <c r="D97" s="248"/>
      <c r="E97" s="248"/>
      <c r="F97" s="248"/>
      <c r="G97" s="248"/>
      <c r="H97" s="248"/>
      <c r="I97" s="249"/>
      <c r="J97" s="248"/>
      <c r="K97" s="248"/>
      <c r="L97" s="248"/>
      <c r="M97" s="248"/>
      <c r="N97" s="248"/>
      <c r="O97" s="248"/>
      <c r="Q97" s="5"/>
      <c r="R97" s="5"/>
      <c r="S97" s="5"/>
    </row>
    <row r="98" spans="2:19">
      <c r="B98" s="5"/>
      <c r="C98" s="259"/>
      <c r="D98" s="247"/>
      <c r="E98" s="247"/>
      <c r="F98" s="247"/>
      <c r="G98" s="247"/>
      <c r="H98" s="247"/>
      <c r="I98" s="248"/>
      <c r="J98" s="247"/>
      <c r="K98" s="247"/>
      <c r="L98" s="247"/>
      <c r="M98" s="247"/>
      <c r="N98" s="247"/>
      <c r="O98" s="248"/>
      <c r="Q98" s="5"/>
      <c r="R98" s="5"/>
      <c r="S98" s="5"/>
    </row>
    <row r="99" spans="2:19">
      <c r="B99" s="41"/>
      <c r="C99" s="249"/>
      <c r="D99" s="249"/>
      <c r="E99" s="249"/>
      <c r="F99" s="249"/>
      <c r="G99" s="249"/>
      <c r="H99" s="249"/>
      <c r="I99" s="5"/>
      <c r="J99" s="249"/>
      <c r="K99" s="249"/>
      <c r="L99" s="249"/>
      <c r="M99" s="249"/>
      <c r="N99" s="249"/>
      <c r="O99" s="248"/>
      <c r="Q99" s="5"/>
      <c r="R99" s="5"/>
      <c r="S99" s="5"/>
    </row>
    <row r="100" spans="2:19">
      <c r="B100" s="41"/>
      <c r="C100" s="257"/>
      <c r="D100" s="248"/>
      <c r="E100" s="248"/>
      <c r="F100" s="248"/>
      <c r="G100" s="248"/>
      <c r="H100" s="248"/>
      <c r="I100" s="259"/>
      <c r="J100" s="248"/>
      <c r="K100" s="248"/>
      <c r="L100" s="248"/>
      <c r="M100" s="248"/>
      <c r="N100" s="248"/>
      <c r="O100" s="248"/>
      <c r="Q100" s="5"/>
      <c r="R100" s="5"/>
      <c r="S100" s="5"/>
    </row>
    <row r="101" spans="2:19" s="5" customFormat="1">
      <c r="B101" s="41"/>
      <c r="I101" s="259"/>
      <c r="O101" s="248"/>
      <c r="P101" s="39"/>
    </row>
    <row r="102" spans="2:19">
      <c r="B102" s="5"/>
      <c r="C102" s="259"/>
      <c r="D102" s="259"/>
      <c r="E102" s="259"/>
      <c r="F102" s="259"/>
      <c r="G102" s="259"/>
      <c r="H102" s="259"/>
      <c r="I102" s="247"/>
      <c r="J102" s="259"/>
      <c r="K102" s="259"/>
      <c r="L102" s="259"/>
      <c r="M102" s="259"/>
      <c r="N102" s="259"/>
      <c r="O102" s="5"/>
      <c r="Q102" s="5"/>
      <c r="R102" s="5"/>
      <c r="S102" s="5"/>
    </row>
    <row r="103" spans="2:19">
      <c r="B103" s="5"/>
      <c r="C103" s="259"/>
      <c r="D103" s="259"/>
      <c r="E103" s="259"/>
      <c r="F103" s="259"/>
      <c r="G103" s="259"/>
      <c r="H103" s="259"/>
      <c r="I103" s="5"/>
      <c r="J103" s="259"/>
      <c r="K103" s="259"/>
      <c r="L103" s="259"/>
      <c r="M103" s="259"/>
      <c r="N103" s="259"/>
      <c r="O103" s="5"/>
      <c r="P103" s="5"/>
      <c r="Q103" s="5"/>
      <c r="R103" s="5"/>
      <c r="S103" s="5"/>
    </row>
    <row r="104" spans="2:19">
      <c r="B104" s="5"/>
      <c r="C104" s="247"/>
      <c r="D104" s="247"/>
      <c r="E104" s="247"/>
      <c r="F104" s="247"/>
      <c r="G104" s="247"/>
      <c r="H104" s="247"/>
      <c r="I104" s="247"/>
      <c r="J104" s="247"/>
      <c r="K104" s="247"/>
      <c r="L104" s="247"/>
      <c r="M104" s="247"/>
      <c r="N104" s="247"/>
      <c r="O104" s="5"/>
      <c r="Q104" s="5"/>
      <c r="R104" s="5"/>
      <c r="S104" s="5"/>
    </row>
    <row r="105" spans="2:19" s="5" customFormat="1">
      <c r="P105" s="39"/>
    </row>
    <row r="106" spans="2:19" s="5" customFormat="1">
      <c r="C106" s="259"/>
      <c r="D106" s="247"/>
      <c r="E106" s="247"/>
      <c r="F106" s="247"/>
      <c r="G106" s="247"/>
      <c r="H106" s="247"/>
      <c r="I106" s="259"/>
      <c r="J106" s="247"/>
      <c r="K106" s="247"/>
      <c r="L106" s="247"/>
      <c r="M106" s="247"/>
      <c r="N106" s="247"/>
      <c r="P106" s="39"/>
    </row>
    <row r="107" spans="2:19">
      <c r="B107" s="5"/>
      <c r="C107" s="259"/>
      <c r="D107" s="5"/>
      <c r="E107" s="5"/>
      <c r="F107" s="5"/>
      <c r="G107" s="5"/>
      <c r="H107" s="5"/>
      <c r="I107" s="247"/>
      <c r="J107" s="5"/>
      <c r="K107" s="5"/>
      <c r="L107" s="5"/>
      <c r="M107" s="5"/>
      <c r="N107" s="5"/>
      <c r="O107" s="5"/>
      <c r="P107" s="5"/>
      <c r="Q107" s="5"/>
      <c r="R107" s="5"/>
      <c r="S107" s="5"/>
    </row>
    <row r="108" spans="2:19">
      <c r="B108" s="5"/>
      <c r="C108" s="259"/>
      <c r="D108" s="259"/>
      <c r="E108" s="259"/>
      <c r="F108" s="259"/>
      <c r="G108" s="259"/>
      <c r="H108" s="259"/>
      <c r="I108" s="249"/>
      <c r="J108" s="259"/>
      <c r="K108" s="259"/>
      <c r="L108" s="259"/>
      <c r="M108" s="259"/>
      <c r="N108" s="259"/>
      <c r="O108" s="5"/>
      <c r="P108" s="5"/>
      <c r="Q108" s="5"/>
      <c r="R108" s="5"/>
      <c r="S108" s="5"/>
    </row>
    <row r="109" spans="2:19">
      <c r="B109" s="5"/>
      <c r="C109" s="247"/>
      <c r="D109" s="247"/>
      <c r="E109" s="247"/>
      <c r="F109" s="247"/>
      <c r="G109" s="247"/>
      <c r="H109" s="247"/>
      <c r="I109" s="249"/>
      <c r="J109" s="247"/>
      <c r="K109" s="247"/>
      <c r="L109" s="247"/>
      <c r="M109" s="247"/>
      <c r="N109" s="247"/>
      <c r="O109" s="5"/>
      <c r="Q109" s="5"/>
      <c r="R109" s="5"/>
      <c r="S109" s="5"/>
    </row>
    <row r="110" spans="2:19">
      <c r="B110" s="41"/>
      <c r="C110" s="249"/>
      <c r="D110" s="249"/>
      <c r="E110" s="249"/>
      <c r="F110" s="249"/>
      <c r="G110" s="249"/>
      <c r="H110" s="249"/>
      <c r="I110" s="247"/>
      <c r="J110" s="249"/>
      <c r="K110" s="249"/>
      <c r="L110" s="249"/>
      <c r="M110" s="249"/>
      <c r="N110" s="249"/>
      <c r="O110" s="5"/>
      <c r="Q110" s="5"/>
      <c r="R110" s="5"/>
      <c r="S110" s="5"/>
    </row>
    <row r="111" spans="2:19">
      <c r="B111" s="5"/>
      <c r="C111" s="249"/>
      <c r="D111" s="249"/>
      <c r="E111" s="249"/>
      <c r="F111" s="249"/>
      <c r="G111" s="249"/>
      <c r="H111" s="249"/>
      <c r="I111" s="5"/>
      <c r="J111" s="249"/>
      <c r="K111" s="249"/>
      <c r="L111" s="249"/>
      <c r="M111" s="249"/>
      <c r="N111" s="249"/>
      <c r="O111" s="5"/>
      <c r="Q111" s="5"/>
      <c r="R111" s="5"/>
      <c r="S111" s="5"/>
    </row>
    <row r="112" spans="2:19">
      <c r="B112" s="5"/>
      <c r="C112" s="247"/>
      <c r="D112" s="247"/>
      <c r="E112" s="247"/>
      <c r="F112" s="247"/>
      <c r="G112" s="247"/>
      <c r="H112" s="247"/>
      <c r="I112" s="5"/>
      <c r="J112" s="247"/>
      <c r="K112" s="247"/>
      <c r="L112" s="247"/>
      <c r="M112" s="247"/>
      <c r="N112" s="247"/>
      <c r="O112" s="5"/>
      <c r="Q112" s="5"/>
      <c r="R112" s="5"/>
      <c r="S112" s="5"/>
    </row>
    <row r="113" spans="2:19">
      <c r="B113" s="5"/>
      <c r="C113" s="5"/>
      <c r="D113" s="5"/>
      <c r="E113" s="5"/>
      <c r="F113" s="5"/>
      <c r="G113" s="5"/>
      <c r="H113" s="5"/>
      <c r="I113" s="5"/>
      <c r="J113" s="5"/>
      <c r="K113" s="5"/>
      <c r="L113" s="5"/>
      <c r="M113" s="5"/>
      <c r="N113" s="5"/>
      <c r="O113" s="5"/>
      <c r="Q113" s="5"/>
      <c r="R113" s="5"/>
      <c r="S113" s="5"/>
    </row>
    <row r="114" spans="2:19">
      <c r="B114" s="5"/>
      <c r="C114" s="5"/>
      <c r="D114" s="5"/>
      <c r="E114" s="5"/>
      <c r="F114" s="5"/>
      <c r="G114" s="5"/>
      <c r="H114" s="5"/>
      <c r="I114" s="5"/>
      <c r="J114" s="5"/>
      <c r="K114" s="5"/>
      <c r="L114" s="5"/>
      <c r="M114" s="5"/>
      <c r="N114" s="5"/>
      <c r="O114" s="5"/>
      <c r="Q114" s="5"/>
      <c r="R114" s="5"/>
      <c r="S114" s="5"/>
    </row>
    <row r="115" spans="2:19">
      <c r="B115" s="5"/>
      <c r="C115" s="5"/>
      <c r="D115" s="5"/>
      <c r="E115" s="5"/>
      <c r="F115" s="5"/>
      <c r="G115" s="5"/>
      <c r="H115" s="5"/>
      <c r="I115" s="49"/>
      <c r="J115" s="5"/>
      <c r="K115" s="5"/>
      <c r="L115" s="5"/>
      <c r="M115" s="5"/>
      <c r="N115" s="5"/>
      <c r="O115" s="5"/>
      <c r="Q115" s="41"/>
      <c r="R115" s="5"/>
      <c r="S115" s="5"/>
    </row>
    <row r="116" spans="2:19">
      <c r="B116" s="5"/>
      <c r="C116" s="5"/>
      <c r="D116" s="5"/>
      <c r="E116" s="5"/>
      <c r="F116" s="5"/>
      <c r="G116" s="5"/>
      <c r="H116" s="5"/>
      <c r="I116" s="5"/>
      <c r="J116" s="5"/>
      <c r="K116" s="5"/>
      <c r="L116" s="5"/>
      <c r="M116" s="5"/>
      <c r="N116" s="5"/>
      <c r="O116" s="5"/>
      <c r="Q116" s="5"/>
      <c r="R116" s="5"/>
      <c r="S116" s="5"/>
    </row>
    <row r="117" spans="2:19">
      <c r="B117" s="41"/>
      <c r="C117" s="49"/>
      <c r="D117" s="49"/>
      <c r="E117" s="49"/>
      <c r="F117" s="49"/>
      <c r="G117" s="49"/>
      <c r="H117" s="49"/>
      <c r="I117" s="254"/>
      <c r="J117" s="49"/>
      <c r="K117" s="49"/>
      <c r="L117" s="49"/>
      <c r="M117" s="49"/>
      <c r="N117" s="49"/>
      <c r="O117" s="49"/>
      <c r="Q117" s="5"/>
      <c r="R117" s="5"/>
      <c r="S117" s="5"/>
    </row>
    <row r="118" spans="2:19">
      <c r="B118" s="5"/>
      <c r="C118" s="5"/>
      <c r="D118" s="5"/>
      <c r="E118" s="5"/>
      <c r="F118" s="5"/>
      <c r="G118" s="5"/>
      <c r="H118" s="5"/>
      <c r="I118" s="249"/>
      <c r="J118" s="5"/>
      <c r="K118" s="5"/>
      <c r="L118" s="5"/>
      <c r="M118" s="5"/>
      <c r="N118" s="5"/>
      <c r="O118" s="5"/>
      <c r="Q118" s="5"/>
      <c r="R118" s="5"/>
      <c r="S118" s="5"/>
    </row>
    <row r="119" spans="2:19">
      <c r="B119" s="41"/>
      <c r="C119" s="254"/>
      <c r="D119" s="254"/>
      <c r="E119" s="254"/>
      <c r="F119" s="254"/>
      <c r="G119" s="254"/>
      <c r="H119" s="254"/>
      <c r="I119" s="254"/>
      <c r="J119" s="254"/>
      <c r="K119" s="254"/>
      <c r="L119" s="254"/>
      <c r="M119" s="254"/>
      <c r="N119" s="254"/>
      <c r="O119" s="248"/>
      <c r="Q119" s="5"/>
      <c r="R119" s="5"/>
      <c r="S119" s="5"/>
    </row>
    <row r="120" spans="2:19">
      <c r="B120" s="41"/>
      <c r="C120" s="254"/>
      <c r="D120" s="249"/>
      <c r="E120" s="249"/>
      <c r="F120" s="249"/>
      <c r="G120" s="249"/>
      <c r="H120" s="249"/>
      <c r="I120" s="254"/>
      <c r="J120" s="249"/>
      <c r="K120" s="249"/>
      <c r="L120" s="249"/>
      <c r="M120" s="249"/>
      <c r="N120" s="249"/>
      <c r="O120" s="248"/>
      <c r="Q120" s="5"/>
      <c r="R120" s="5"/>
      <c r="S120" s="5"/>
    </row>
    <row r="121" spans="2:19">
      <c r="B121" s="41"/>
      <c r="C121" s="254"/>
      <c r="D121" s="254"/>
      <c r="E121" s="254"/>
      <c r="F121" s="254"/>
      <c r="G121" s="254"/>
      <c r="H121" s="254"/>
      <c r="I121" s="254"/>
      <c r="J121" s="254"/>
      <c r="K121" s="254"/>
      <c r="L121" s="254"/>
      <c r="M121" s="254"/>
      <c r="N121" s="254"/>
      <c r="O121" s="248"/>
      <c r="Q121" s="5"/>
      <c r="R121" s="5"/>
      <c r="S121" s="5"/>
    </row>
    <row r="122" spans="2:19">
      <c r="B122" s="41"/>
      <c r="C122" s="254"/>
      <c r="D122" s="254"/>
      <c r="E122" s="254"/>
      <c r="F122" s="254"/>
      <c r="G122" s="254"/>
      <c r="H122" s="254"/>
      <c r="I122" s="254"/>
      <c r="J122" s="254"/>
      <c r="K122" s="254"/>
      <c r="L122" s="254"/>
      <c r="M122" s="254"/>
      <c r="N122" s="254"/>
      <c r="O122" s="248"/>
      <c r="Q122" s="5"/>
      <c r="R122" s="5"/>
      <c r="S122" s="5"/>
    </row>
    <row r="123" spans="2:19">
      <c r="B123" s="41"/>
      <c r="C123" s="254"/>
      <c r="D123" s="254"/>
      <c r="E123" s="254"/>
      <c r="F123" s="254"/>
      <c r="G123" s="254"/>
      <c r="H123" s="254"/>
      <c r="I123" s="254"/>
      <c r="J123" s="254"/>
      <c r="K123" s="254"/>
      <c r="L123" s="254"/>
      <c r="M123" s="254"/>
      <c r="N123" s="254"/>
      <c r="O123" s="248"/>
      <c r="Q123" s="5"/>
      <c r="R123" s="5"/>
      <c r="S123" s="5"/>
    </row>
    <row r="124" spans="2:19">
      <c r="B124" s="41"/>
      <c r="C124" s="254"/>
      <c r="D124" s="254"/>
      <c r="E124" s="254"/>
      <c r="F124" s="254"/>
      <c r="G124" s="254"/>
      <c r="H124" s="254"/>
      <c r="I124" s="254"/>
      <c r="J124" s="254"/>
      <c r="K124" s="254"/>
      <c r="L124" s="254"/>
      <c r="M124" s="254"/>
      <c r="N124" s="254"/>
      <c r="O124" s="248"/>
      <c r="Q124" s="5"/>
      <c r="R124" s="5"/>
      <c r="S124" s="5"/>
    </row>
    <row r="125" spans="2:19">
      <c r="B125" s="41"/>
      <c r="C125" s="254"/>
      <c r="D125" s="254"/>
      <c r="E125" s="254"/>
      <c r="F125" s="254"/>
      <c r="G125" s="254"/>
      <c r="H125" s="254"/>
      <c r="I125" s="254"/>
      <c r="J125" s="254"/>
      <c r="K125" s="254"/>
      <c r="L125" s="254"/>
      <c r="M125" s="254"/>
      <c r="N125" s="254"/>
      <c r="O125" s="5"/>
      <c r="Q125" s="5"/>
      <c r="R125" s="5"/>
      <c r="S125" s="5"/>
    </row>
    <row r="126" spans="2:19">
      <c r="B126" s="41"/>
      <c r="C126" s="254"/>
      <c r="D126" s="254"/>
      <c r="E126" s="254"/>
      <c r="F126" s="254"/>
      <c r="G126" s="254"/>
      <c r="H126" s="254"/>
      <c r="I126" s="254"/>
      <c r="J126" s="254"/>
      <c r="K126" s="254"/>
      <c r="L126" s="254"/>
      <c r="M126" s="254"/>
      <c r="N126" s="254"/>
      <c r="O126" s="5"/>
      <c r="Q126" s="5"/>
      <c r="R126" s="5"/>
      <c r="S126" s="5"/>
    </row>
    <row r="127" spans="2:19">
      <c r="B127" s="41"/>
      <c r="C127" s="254"/>
      <c r="D127" s="254"/>
      <c r="E127" s="254"/>
      <c r="F127" s="254"/>
      <c r="G127" s="254"/>
      <c r="H127" s="254"/>
      <c r="I127" s="18"/>
      <c r="J127" s="254"/>
      <c r="K127" s="254"/>
      <c r="L127" s="254"/>
      <c r="M127" s="254"/>
      <c r="N127" s="254"/>
      <c r="O127" s="5"/>
      <c r="Q127" s="5"/>
      <c r="R127" s="5"/>
      <c r="S127" s="5"/>
    </row>
    <row r="128" spans="2:19">
      <c r="B128" s="41"/>
      <c r="C128" s="254"/>
      <c r="D128" s="254"/>
      <c r="E128" s="254"/>
      <c r="F128" s="254"/>
      <c r="G128" s="254"/>
      <c r="H128" s="254"/>
      <c r="I128" s="5"/>
      <c r="J128" s="254"/>
      <c r="K128" s="254"/>
      <c r="L128" s="254"/>
      <c r="M128" s="254"/>
      <c r="N128" s="254"/>
      <c r="O128" s="5"/>
      <c r="Q128" s="5"/>
      <c r="R128" s="5"/>
      <c r="S128" s="5"/>
    </row>
    <row r="129" spans="2:27">
      <c r="B129" s="5"/>
      <c r="C129" s="5"/>
      <c r="D129" s="18"/>
      <c r="E129" s="18"/>
      <c r="F129" s="18"/>
      <c r="G129" s="18"/>
      <c r="H129" s="18"/>
      <c r="I129" s="254"/>
      <c r="J129" s="18"/>
      <c r="K129" s="18"/>
      <c r="L129" s="18"/>
      <c r="M129" s="18"/>
      <c r="N129" s="18"/>
      <c r="O129" s="5"/>
      <c r="Q129" s="5"/>
      <c r="R129" s="5"/>
      <c r="S129" s="5"/>
    </row>
    <row r="130" spans="2:27">
      <c r="B130" s="5"/>
      <c r="C130" s="5"/>
      <c r="D130" s="5"/>
      <c r="E130" s="5"/>
      <c r="F130" s="5"/>
      <c r="G130" s="5"/>
      <c r="H130" s="5"/>
      <c r="I130" s="18"/>
      <c r="J130" s="5"/>
      <c r="K130" s="5"/>
      <c r="L130" s="5"/>
      <c r="M130" s="5"/>
      <c r="N130" s="5"/>
      <c r="O130" s="5"/>
      <c r="Q130" s="5"/>
      <c r="R130" s="5"/>
      <c r="S130" s="5"/>
    </row>
    <row r="131" spans="2:27">
      <c r="B131" s="41"/>
      <c r="C131" s="254"/>
      <c r="D131" s="254"/>
      <c r="E131" s="254"/>
      <c r="F131" s="254"/>
      <c r="G131" s="254"/>
      <c r="H131" s="254"/>
      <c r="I131" s="5"/>
      <c r="J131" s="254"/>
      <c r="K131" s="254"/>
      <c r="L131" s="254"/>
      <c r="M131" s="254"/>
      <c r="N131" s="254"/>
      <c r="O131" s="5"/>
      <c r="Q131" s="5"/>
      <c r="R131" s="5"/>
      <c r="S131" s="5"/>
    </row>
    <row r="132" spans="2:27">
      <c r="B132" s="5"/>
      <c r="C132" s="259"/>
      <c r="D132" s="18"/>
      <c r="E132" s="18"/>
      <c r="F132" s="18"/>
      <c r="G132" s="18"/>
      <c r="H132" s="18"/>
      <c r="I132" s="5"/>
      <c r="J132" s="18"/>
      <c r="K132" s="18"/>
      <c r="L132" s="18"/>
      <c r="M132" s="18"/>
      <c r="N132" s="18"/>
      <c r="O132" s="5"/>
      <c r="Q132" s="5"/>
      <c r="R132" s="5"/>
      <c r="S132" s="5"/>
    </row>
    <row r="133" spans="2:27">
      <c r="B133" s="5"/>
      <c r="C133" s="5"/>
      <c r="D133" s="5"/>
      <c r="E133" s="5"/>
      <c r="F133" s="5"/>
      <c r="G133" s="5"/>
      <c r="H133" s="5"/>
      <c r="I133" s="17"/>
      <c r="J133" s="5"/>
      <c r="K133" s="5"/>
      <c r="L133" s="5"/>
      <c r="M133" s="5"/>
      <c r="N133" s="5"/>
      <c r="O133" s="5"/>
      <c r="Q133" s="5"/>
      <c r="R133" s="5"/>
      <c r="S133" s="5"/>
    </row>
    <row r="134" spans="2:27">
      <c r="B134" s="41"/>
      <c r="C134" s="5"/>
      <c r="D134" s="5"/>
      <c r="E134" s="5"/>
      <c r="F134" s="5"/>
      <c r="G134" s="5"/>
      <c r="H134" s="5"/>
      <c r="I134" s="17"/>
      <c r="J134" s="5"/>
      <c r="K134" s="5"/>
      <c r="L134" s="5"/>
      <c r="M134" s="5"/>
      <c r="N134" s="5"/>
      <c r="O134" s="5"/>
      <c r="Q134" s="5"/>
      <c r="R134" s="5"/>
      <c r="S134" s="5"/>
    </row>
    <row r="135" spans="2:27">
      <c r="B135" s="5"/>
      <c r="C135" s="17"/>
      <c r="D135" s="17"/>
      <c r="E135" s="17"/>
      <c r="F135" s="17"/>
      <c r="G135" s="17"/>
      <c r="H135" s="17"/>
      <c r="I135" s="17"/>
      <c r="J135" s="17"/>
      <c r="K135" s="17"/>
      <c r="L135" s="17"/>
      <c r="M135" s="17"/>
      <c r="N135" s="17"/>
      <c r="O135" s="5"/>
      <c r="Q135" s="41"/>
      <c r="R135" s="5"/>
      <c r="S135" s="5"/>
    </row>
    <row r="136" spans="2:27">
      <c r="B136" s="5"/>
      <c r="C136" s="17"/>
      <c r="D136" s="17"/>
      <c r="E136" s="17"/>
      <c r="F136" s="17"/>
      <c r="G136" s="17"/>
      <c r="H136" s="17"/>
      <c r="I136" s="17"/>
      <c r="J136" s="17"/>
      <c r="K136" s="17"/>
      <c r="L136" s="17"/>
      <c r="M136" s="17"/>
      <c r="N136" s="17"/>
      <c r="O136" s="5"/>
      <c r="Q136" s="5"/>
      <c r="R136" s="5"/>
      <c r="S136" s="5"/>
      <c r="X136" s="304"/>
    </row>
    <row r="137" spans="2:27">
      <c r="B137" s="5"/>
      <c r="C137" s="5"/>
      <c r="D137" s="17"/>
      <c r="E137" s="17"/>
      <c r="F137" s="17"/>
      <c r="G137" s="17"/>
      <c r="H137" s="17"/>
      <c r="I137" s="17"/>
      <c r="J137" s="17"/>
      <c r="K137" s="17"/>
      <c r="L137" s="17"/>
      <c r="M137" s="17"/>
      <c r="N137" s="17"/>
      <c r="O137" s="5"/>
      <c r="Q137" s="5"/>
      <c r="R137" s="5"/>
      <c r="S137" s="5"/>
      <c r="X137" s="10"/>
      <c r="Y137" s="304"/>
      <c r="Z137" s="304"/>
      <c r="AA137" s="304"/>
    </row>
    <row r="138" spans="2:27">
      <c r="B138" s="5"/>
      <c r="C138" s="5"/>
      <c r="D138" s="17"/>
      <c r="E138" s="17"/>
      <c r="F138" s="17"/>
      <c r="G138" s="17"/>
      <c r="H138" s="17"/>
      <c r="I138" s="17"/>
      <c r="J138" s="17"/>
      <c r="K138" s="17"/>
      <c r="L138" s="17"/>
      <c r="M138" s="17"/>
      <c r="N138" s="17"/>
      <c r="O138" s="5"/>
      <c r="Q138" s="5"/>
      <c r="R138" s="5"/>
      <c r="S138" s="5"/>
      <c r="Y138" s="10"/>
      <c r="Z138" s="10"/>
      <c r="AA138" s="10"/>
    </row>
    <row r="139" spans="2:27">
      <c r="B139" s="5"/>
      <c r="C139" s="5"/>
      <c r="D139" s="17"/>
      <c r="E139" s="17"/>
      <c r="F139" s="17"/>
      <c r="G139" s="17"/>
      <c r="H139" s="17"/>
      <c r="I139" s="5"/>
      <c r="J139" s="17"/>
      <c r="K139" s="17"/>
      <c r="L139" s="17"/>
      <c r="M139" s="17"/>
      <c r="N139" s="17"/>
      <c r="O139" s="5"/>
      <c r="Q139" s="5"/>
      <c r="R139" s="5"/>
      <c r="S139" s="5"/>
    </row>
    <row r="140" spans="2:27">
      <c r="B140" s="5"/>
      <c r="C140" s="17"/>
      <c r="D140" s="17"/>
      <c r="E140" s="17"/>
      <c r="F140" s="17"/>
      <c r="G140" s="17"/>
      <c r="H140" s="17"/>
      <c r="I140" s="5"/>
      <c r="J140" s="17"/>
      <c r="K140" s="17"/>
      <c r="L140" s="17"/>
      <c r="M140" s="17"/>
      <c r="N140" s="17"/>
      <c r="O140" s="5"/>
      <c r="Q140" s="5"/>
      <c r="R140" s="5"/>
      <c r="S140" s="5"/>
    </row>
    <row r="141" spans="2:27">
      <c r="B141" s="5"/>
      <c r="C141" s="5"/>
      <c r="D141" s="5"/>
      <c r="E141" s="5"/>
      <c r="F141" s="5"/>
      <c r="G141" s="5"/>
      <c r="H141" s="5"/>
      <c r="I141" s="5"/>
      <c r="J141" s="5"/>
      <c r="K141" s="5"/>
      <c r="L141" s="5"/>
      <c r="M141" s="5"/>
      <c r="N141" s="5"/>
      <c r="O141" s="5"/>
      <c r="Q141" s="5"/>
      <c r="R141" s="5"/>
      <c r="S141" s="5"/>
    </row>
    <row r="142" spans="2:27">
      <c r="B142" s="5"/>
      <c r="C142" s="5"/>
      <c r="D142" s="5"/>
      <c r="E142" s="5"/>
      <c r="F142" s="5"/>
      <c r="G142" s="5"/>
      <c r="H142" s="5"/>
      <c r="I142" s="5"/>
      <c r="J142" s="5"/>
      <c r="K142" s="5"/>
      <c r="L142" s="5"/>
      <c r="M142" s="5"/>
      <c r="N142" s="5"/>
      <c r="O142" s="5"/>
      <c r="Q142" s="5"/>
      <c r="R142" s="5"/>
      <c r="S142" s="5"/>
    </row>
    <row r="143" spans="2:27">
      <c r="B143" s="5"/>
      <c r="C143" s="5"/>
      <c r="D143" s="5"/>
      <c r="E143" s="5"/>
      <c r="F143" s="5"/>
      <c r="G143" s="5"/>
      <c r="H143" s="5"/>
      <c r="I143" s="5"/>
      <c r="J143" s="5"/>
      <c r="K143" s="5"/>
      <c r="L143" s="5"/>
      <c r="M143" s="5"/>
      <c r="N143" s="5"/>
      <c r="O143" s="5"/>
      <c r="Q143" s="5"/>
      <c r="R143" s="5"/>
      <c r="S143" s="5"/>
    </row>
    <row r="144" spans="2:27">
      <c r="B144" s="5"/>
      <c r="C144" s="5"/>
      <c r="D144" s="5"/>
      <c r="E144" s="5"/>
      <c r="F144" s="5"/>
      <c r="G144" s="5"/>
      <c r="H144" s="5"/>
      <c r="I144" s="5"/>
      <c r="J144" s="5"/>
      <c r="K144" s="5"/>
      <c r="L144" s="5"/>
      <c r="M144" s="5"/>
      <c r="N144" s="5"/>
      <c r="O144" s="5"/>
      <c r="Q144" s="5"/>
      <c r="R144" s="5"/>
      <c r="S144" s="5"/>
    </row>
    <row r="145" spans="2:19">
      <c r="B145" s="5"/>
      <c r="C145" s="5"/>
      <c r="D145" s="5"/>
      <c r="E145" s="5"/>
      <c r="F145" s="5"/>
      <c r="G145" s="5"/>
      <c r="H145" s="5"/>
      <c r="I145" s="5"/>
      <c r="J145" s="5"/>
      <c r="K145" s="5"/>
      <c r="L145" s="5"/>
      <c r="M145" s="5"/>
      <c r="N145" s="5"/>
      <c r="O145" s="5"/>
      <c r="Q145" s="5"/>
      <c r="R145" s="5"/>
      <c r="S145" s="5"/>
    </row>
    <row r="146" spans="2:19">
      <c r="B146" s="5"/>
      <c r="C146" s="5"/>
      <c r="D146" s="5"/>
      <c r="E146" s="5"/>
      <c r="F146" s="5"/>
      <c r="G146" s="5"/>
      <c r="H146" s="5"/>
      <c r="I146" s="5"/>
      <c r="J146" s="5"/>
      <c r="K146" s="5"/>
      <c r="L146" s="5"/>
      <c r="M146" s="5"/>
      <c r="N146" s="5"/>
      <c r="O146" s="5"/>
      <c r="Q146" s="5"/>
      <c r="R146" s="5"/>
      <c r="S146" s="5"/>
    </row>
    <row r="147" spans="2:19">
      <c r="B147" s="5"/>
      <c r="C147" s="5"/>
      <c r="D147" s="5"/>
      <c r="E147" s="5"/>
      <c r="F147" s="5"/>
      <c r="G147" s="5"/>
      <c r="H147" s="5"/>
      <c r="I147" s="5"/>
      <c r="J147" s="5"/>
      <c r="K147" s="5"/>
      <c r="L147" s="5"/>
      <c r="M147" s="5"/>
      <c r="N147" s="5"/>
      <c r="O147" s="5"/>
      <c r="Q147" s="5"/>
      <c r="R147" s="5"/>
      <c r="S147" s="5"/>
    </row>
    <row r="148" spans="2:19">
      <c r="B148" s="5"/>
      <c r="C148" s="5"/>
      <c r="D148" s="5"/>
      <c r="E148" s="5"/>
      <c r="F148" s="5"/>
      <c r="G148" s="5"/>
      <c r="H148" s="5"/>
      <c r="I148" s="5"/>
      <c r="J148" s="5"/>
      <c r="K148" s="5"/>
      <c r="L148" s="5"/>
      <c r="M148" s="5"/>
      <c r="N148" s="5"/>
      <c r="O148" s="5"/>
      <c r="Q148" s="5"/>
      <c r="R148" s="5"/>
      <c r="S148" s="5"/>
    </row>
    <row r="149" spans="2:19">
      <c r="B149" s="5"/>
      <c r="C149" s="5"/>
      <c r="D149" s="5"/>
      <c r="E149" s="5"/>
      <c r="F149" s="5"/>
      <c r="G149" s="5"/>
      <c r="H149" s="5"/>
      <c r="J149" s="5"/>
      <c r="K149" s="5"/>
      <c r="L149" s="5"/>
      <c r="M149" s="5"/>
      <c r="N149" s="5"/>
      <c r="O149" s="5"/>
      <c r="Q149" s="5"/>
      <c r="R149" s="5"/>
      <c r="S149" s="5"/>
    </row>
    <row r="150" spans="2:19">
      <c r="B150" s="5"/>
      <c r="C150" s="5"/>
      <c r="D150" s="5"/>
      <c r="E150" s="5"/>
      <c r="F150" s="5"/>
      <c r="G150" s="5"/>
      <c r="H150" s="5"/>
      <c r="J150" s="5"/>
      <c r="K150" s="5"/>
      <c r="L150" s="5"/>
      <c r="M150" s="5"/>
      <c r="N150" s="5"/>
      <c r="O150" s="5"/>
      <c r="Q150" s="5"/>
      <c r="R150" s="5"/>
      <c r="S150" s="5"/>
    </row>
    <row r="151" spans="2:19">
      <c r="Q151" s="5"/>
      <c r="R151" s="5"/>
      <c r="S151" s="5"/>
    </row>
    <row r="152" spans="2:19">
      <c r="Q152" s="5"/>
      <c r="R152" s="5"/>
      <c r="S152" s="5"/>
    </row>
    <row r="153" spans="2:19">
      <c r="C153" s="263"/>
      <c r="Q153" s="5"/>
      <c r="R153" s="5"/>
      <c r="S153" s="5"/>
    </row>
    <row r="154" spans="2:19">
      <c r="Q154" s="5"/>
      <c r="R154" s="5"/>
      <c r="S154" s="5"/>
    </row>
    <row r="155" spans="2:19">
      <c r="Q155" s="5"/>
      <c r="R155" s="5"/>
      <c r="S155" s="5"/>
    </row>
    <row r="156" spans="2:19">
      <c r="Q156" s="5"/>
      <c r="R156" s="5"/>
      <c r="S156" s="5"/>
    </row>
    <row r="157" spans="2:19">
      <c r="Q157" s="5"/>
      <c r="R157" s="5"/>
      <c r="S157" s="5"/>
    </row>
    <row r="158" spans="2:19">
      <c r="Q158" s="5"/>
      <c r="R158" s="5"/>
      <c r="S158" s="5"/>
    </row>
    <row r="159" spans="2:19">
      <c r="Q159" s="5"/>
      <c r="R159" s="5"/>
      <c r="S159" s="5"/>
    </row>
    <row r="160" spans="2:19">
      <c r="Q160" s="5"/>
      <c r="R160" s="5"/>
      <c r="S160" s="5"/>
    </row>
    <row r="161" spans="17:19">
      <c r="Q161" s="5"/>
      <c r="R161" s="5"/>
      <c r="S161" s="5"/>
    </row>
    <row r="162" spans="17:19">
      <c r="Q162" s="5"/>
      <c r="R162" s="5"/>
      <c r="S162" s="5"/>
    </row>
    <row r="163" spans="17:19">
      <c r="Q163" s="5"/>
      <c r="R163" s="5"/>
      <c r="S163" s="5"/>
    </row>
    <row r="164" spans="17:19">
      <c r="Q164" s="5"/>
      <c r="R164" s="5"/>
      <c r="S164" s="5"/>
    </row>
    <row r="165" spans="17:19">
      <c r="Q165" s="5"/>
      <c r="R165" s="5"/>
      <c r="S165" s="5"/>
    </row>
  </sheetData>
  <pageMargins left="0.75" right="0.75" top="1" bottom="1" header="0.5" footer="0.5"/>
  <pageSetup scale="71" orientation="landscape" r:id="rId1"/>
  <headerFooter alignWithMargins="0"/>
  <drawing r:id="rId2"/>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F00-000000000000}">
  <sheetPr codeName="Sheet130">
    <tabColor theme="3" tint="0.39997558519241921"/>
    <pageSetUpPr fitToPage="1"/>
  </sheetPr>
  <dimension ref="B1:BK164"/>
  <sheetViews>
    <sheetView showGridLines="0" zoomScale="80" zoomScaleNormal="80" workbookViewId="0"/>
  </sheetViews>
  <sheetFormatPr defaultColWidth="8.88671875" defaultRowHeight="12"/>
  <cols>
    <col min="1" max="1" width="2.33203125" style="39" customWidth="1"/>
    <col min="2" max="2" width="26.6640625" style="39" customWidth="1"/>
    <col min="3" max="9" width="10" style="39" customWidth="1"/>
    <col min="10" max="10" width="26.6640625" style="39" customWidth="1"/>
    <col min="11" max="16" width="10" style="39" customWidth="1"/>
    <col min="17" max="17" width="4.5546875" style="39" customWidth="1"/>
    <col min="18" max="20" width="8.88671875" style="39"/>
    <col min="21" max="21" width="3.6640625" style="39" customWidth="1"/>
    <col min="22" max="63" width="9.109375" style="5" customWidth="1"/>
    <col min="64" max="16384" width="8.88671875" style="39"/>
  </cols>
  <sheetData>
    <row r="1" spans="2:63" s="312" customFormat="1">
      <c r="V1" s="149"/>
      <c r="W1" s="149"/>
      <c r="X1" s="149"/>
      <c r="Y1" s="149"/>
      <c r="Z1" s="149"/>
      <c r="AA1" s="149"/>
      <c r="AB1" s="149"/>
      <c r="AC1" s="149"/>
      <c r="AD1" s="149"/>
      <c r="AE1" s="149"/>
      <c r="AF1" s="149"/>
      <c r="AG1" s="149"/>
      <c r="AH1" s="149"/>
      <c r="AI1" s="149"/>
      <c r="AJ1" s="149"/>
      <c r="AK1" s="149"/>
      <c r="AL1" s="149"/>
      <c r="AM1" s="149"/>
      <c r="AN1" s="149"/>
      <c r="AO1" s="149"/>
      <c r="AP1" s="149"/>
      <c r="AQ1" s="149"/>
      <c r="AR1" s="149"/>
      <c r="AS1" s="149"/>
      <c r="AT1" s="149"/>
      <c r="AU1" s="149"/>
      <c r="AV1" s="149"/>
      <c r="AW1" s="149"/>
      <c r="AX1" s="149"/>
      <c r="AY1" s="149"/>
      <c r="AZ1" s="149"/>
      <c r="BA1" s="149"/>
      <c r="BB1" s="149"/>
      <c r="BC1" s="149"/>
      <c r="BD1" s="149"/>
      <c r="BE1" s="149"/>
      <c r="BF1" s="149"/>
      <c r="BG1" s="149"/>
      <c r="BH1" s="149"/>
      <c r="BI1" s="149"/>
      <c r="BJ1" s="149"/>
      <c r="BK1" s="149"/>
    </row>
    <row r="2" spans="2:63" s="312" customFormat="1">
      <c r="V2" s="149"/>
      <c r="W2" s="149"/>
      <c r="X2" s="149"/>
      <c r="Y2" s="149"/>
      <c r="Z2" s="149"/>
      <c r="AA2" s="149"/>
      <c r="AB2" s="149"/>
      <c r="AC2" s="149"/>
      <c r="AD2" s="149"/>
      <c r="AE2" s="149"/>
      <c r="AF2" s="149"/>
      <c r="AG2" s="149"/>
      <c r="AH2" s="149"/>
      <c r="AI2" s="149"/>
      <c r="AJ2" s="149"/>
      <c r="AK2" s="149"/>
      <c r="AL2" s="149"/>
      <c r="AM2" s="149"/>
      <c r="AN2" s="149"/>
      <c r="AO2" s="149"/>
      <c r="AP2" s="149"/>
      <c r="AQ2" s="149"/>
      <c r="AR2" s="149"/>
      <c r="AS2" s="149"/>
      <c r="AT2" s="149"/>
      <c r="AU2" s="149"/>
      <c r="AV2" s="149"/>
      <c r="AW2" s="149"/>
      <c r="AX2" s="149"/>
      <c r="AY2" s="149"/>
      <c r="AZ2" s="149"/>
      <c r="BA2" s="149"/>
      <c r="BB2" s="149"/>
      <c r="BC2" s="149"/>
      <c r="BD2" s="149"/>
      <c r="BE2" s="149"/>
      <c r="BF2" s="149"/>
      <c r="BG2" s="149"/>
      <c r="BH2" s="149"/>
      <c r="BI2" s="149"/>
      <c r="BJ2" s="149"/>
      <c r="BK2" s="149"/>
    </row>
    <row r="3" spans="2:63" s="149" customFormat="1">
      <c r="H3" s="153"/>
      <c r="P3" s="153"/>
    </row>
    <row r="4" spans="2:63" s="156" customFormat="1" ht="21">
      <c r="B4" s="129" t="s">
        <v>317</v>
      </c>
      <c r="H4" s="222"/>
      <c r="P4" s="222"/>
    </row>
    <row r="5" spans="2:63" s="149" customFormat="1">
      <c r="C5" s="153"/>
      <c r="D5" s="153" t="str" cm="1">
        <f t="array" ref="D5:H5">headings</f>
        <v>2023E</v>
      </c>
      <c r="E5" s="153" t="str">
        <v>2024E</v>
      </c>
      <c r="F5" s="153" t="str">
        <v>2025E</v>
      </c>
      <c r="G5" s="153" t="str">
        <v>2026E</v>
      </c>
      <c r="H5" s="153" t="str">
        <v>23E-26E</v>
      </c>
      <c r="I5" s="153"/>
      <c r="J5" s="153"/>
      <c r="K5" s="153"/>
      <c r="L5" s="153" t="str" cm="1">
        <f t="array" ref="L5:P5">headings</f>
        <v>2023E</v>
      </c>
      <c r="M5" s="153" t="str">
        <v>2024E</v>
      </c>
      <c r="N5" s="153" t="str">
        <v>2025E</v>
      </c>
      <c r="O5" s="153" t="str">
        <v>2026E</v>
      </c>
      <c r="P5" s="153" t="str">
        <v>23E-26E</v>
      </c>
      <c r="Q5" s="162"/>
      <c r="R5" s="162"/>
      <c r="S5" s="162"/>
      <c r="T5" s="162"/>
      <c r="U5" s="162"/>
      <c r="V5" s="162"/>
      <c r="W5" s="162"/>
      <c r="X5" s="162"/>
      <c r="Y5" s="162"/>
    </row>
    <row r="6" spans="2:63">
      <c r="I6" s="5"/>
      <c r="J6" s="5"/>
      <c r="K6" s="5"/>
      <c r="L6" s="5"/>
      <c r="M6" s="5"/>
      <c r="N6" s="5"/>
      <c r="O6" s="49"/>
    </row>
    <row r="7" spans="2:63" ht="12.6" thickBot="1">
      <c r="B7" s="306" t="s">
        <v>271</v>
      </c>
      <c r="C7" s="265"/>
      <c r="D7" s="265"/>
      <c r="E7" s="265"/>
      <c r="F7" s="265"/>
      <c r="G7" s="265"/>
      <c r="H7" s="265"/>
      <c r="I7" s="49"/>
      <c r="J7" s="306" t="s">
        <v>91</v>
      </c>
      <c r="K7" s="306"/>
      <c r="L7" s="306"/>
      <c r="M7" s="306"/>
      <c r="N7" s="266"/>
      <c r="O7" s="266"/>
      <c r="P7" s="266"/>
    </row>
    <row r="8" spans="2:63" ht="12.6" thickTop="1">
      <c r="B8" s="5"/>
      <c r="C8" s="5"/>
      <c r="D8" s="5"/>
      <c r="E8" s="5"/>
      <c r="F8" s="5"/>
      <c r="G8" s="5"/>
      <c r="H8" s="5"/>
      <c r="I8" s="5"/>
      <c r="J8" s="5"/>
      <c r="K8" s="5"/>
      <c r="L8" s="5"/>
      <c r="M8" s="5"/>
      <c r="N8" s="5"/>
    </row>
    <row r="9" spans="2:63">
      <c r="B9" s="41" t="s">
        <v>500</v>
      </c>
      <c r="C9" s="287"/>
      <c r="D9" s="5"/>
      <c r="E9" s="249"/>
      <c r="F9" s="249"/>
      <c r="G9" s="249"/>
      <c r="H9" s="249"/>
      <c r="I9" s="249"/>
      <c r="J9" s="5" t="s">
        <v>273</v>
      </c>
      <c r="L9" s="64">
        <f>'AGG DM'!D37</f>
        <v>2.329412469433874</v>
      </c>
      <c r="M9" s="64">
        <f>'AGG DM'!E37</f>
        <v>2.207031841456474</v>
      </c>
      <c r="N9" s="64">
        <f>'AGG DM'!F37</f>
        <v>2.0665364578686574</v>
      </c>
      <c r="O9" s="64">
        <f>'AGG DM'!G37</f>
        <v>1.9167412853037995</v>
      </c>
      <c r="P9" s="17">
        <f>'AGG DM'!H37</f>
        <v>1.9501934659983178E-2</v>
      </c>
    </row>
    <row r="10" spans="2:63">
      <c r="B10" s="5" t="s">
        <v>274</v>
      </c>
      <c r="C10" s="5"/>
      <c r="D10" s="332"/>
      <c r="E10" s="332"/>
      <c r="F10" s="332"/>
      <c r="G10" s="332"/>
      <c r="H10" s="247"/>
      <c r="I10" s="247"/>
      <c r="J10" s="5" t="s">
        <v>184</v>
      </c>
      <c r="L10" s="64">
        <f>'AGG DM'!D38</f>
        <v>7.0841879802792365</v>
      </c>
      <c r="M10" s="64">
        <f>'AGG DM'!E38</f>
        <v>6.5876114702803505</v>
      </c>
      <c r="N10" s="64">
        <f>'AGG DM'!F38</f>
        <v>6.0864198915332164</v>
      </c>
      <c r="O10" s="64">
        <f>'AGG DM'!G38</f>
        <v>5.5767680131537691</v>
      </c>
      <c r="P10" s="17">
        <f>'AGG DM'!H38</f>
        <v>3.4656651554389573E-2</v>
      </c>
      <c r="W10" s="10"/>
      <c r="X10" s="10"/>
      <c r="Y10" s="10"/>
      <c r="Z10" s="10"/>
    </row>
    <row r="11" spans="2:63">
      <c r="B11" s="41" t="s">
        <v>523</v>
      </c>
      <c r="C11" s="271"/>
      <c r="D11" s="271">
        <f>'EM INCUMB'!D11+'EM CELLULAR'!D11+'EM ALTNET &amp; CABLE'!D11</f>
        <v>9650477.1734030321</v>
      </c>
      <c r="E11" s="271">
        <f>'EM INCUMB'!E11+'EM CELLULAR'!E11+'EM ALTNET &amp; CABLE'!E11</f>
        <v>9838975.518811591</v>
      </c>
      <c r="F11" s="271">
        <f>'EM INCUMB'!F11+'EM CELLULAR'!F11+'EM ALTNET &amp; CABLE'!F11</f>
        <v>9837028.6047971211</v>
      </c>
      <c r="G11" s="271">
        <f>'EM INCUMB'!G11+'EM CELLULAR'!G11+'EM ALTNET &amp; CABLE'!G11</f>
        <v>9834606.8894040305</v>
      </c>
      <c r="H11" s="249"/>
      <c r="I11" s="249"/>
      <c r="J11" s="5" t="s">
        <v>185</v>
      </c>
      <c r="L11" s="64">
        <f>'AGG DM'!D39</f>
        <v>13.53328960256645</v>
      </c>
      <c r="M11" s="64">
        <f>'AGG DM'!E39</f>
        <v>11.493643628277713</v>
      </c>
      <c r="N11" s="64">
        <f>'AGG DM'!F39</f>
        <v>10.264735122504899</v>
      </c>
      <c r="O11" s="64">
        <f>'AGG DM'!G39</f>
        <v>9.0451770938503948</v>
      </c>
      <c r="P11" s="17">
        <f>'AGG DM'!H39</f>
        <v>9.2670425427640479E-2</v>
      </c>
      <c r="W11" s="10"/>
      <c r="X11" s="10"/>
      <c r="Y11" s="10"/>
      <c r="Z11" s="10"/>
    </row>
    <row r="12" spans="2:63">
      <c r="B12" s="5" t="s">
        <v>229</v>
      </c>
      <c r="C12" s="228"/>
      <c r="D12" s="228">
        <f>'EM INCUMB'!D12+'EM CELLULAR'!D12+'EM ALTNET &amp; CABLE'!D12</f>
        <v>7503387.5988998227</v>
      </c>
      <c r="E12" s="228">
        <f>'EM INCUMB'!E12+'EM CELLULAR'!E12+'EM ALTNET &amp; CABLE'!E12</f>
        <v>7029372.4943882721</v>
      </c>
      <c r="F12" s="228">
        <f>'EM INCUMB'!F12+'EM CELLULAR'!F12+'EM ALTNET &amp; CABLE'!F12</f>
        <v>5894448.5308927251</v>
      </c>
      <c r="G12" s="228">
        <f>'EM INCUMB'!G12+'EM CELLULAR'!G12+'EM ALTNET &amp; CABLE'!G12</f>
        <v>4764082.6888152473</v>
      </c>
      <c r="H12" s="247"/>
      <c r="I12" s="247"/>
      <c r="J12" s="5" t="s">
        <v>466</v>
      </c>
      <c r="L12" s="64">
        <f>'AGG DM'!D40</f>
        <v>19.213286909010346</v>
      </c>
      <c r="M12" s="64">
        <f>'AGG DM'!E40</f>
        <v>16.347188206412962</v>
      </c>
      <c r="N12" s="64">
        <f>'AGG DM'!F40</f>
        <v>14.618845003714046</v>
      </c>
      <c r="O12" s="64">
        <f>'AGG DM'!G40</f>
        <v>12.840265625641983</v>
      </c>
      <c r="P12" s="17">
        <f>'AGG DM'!H40</f>
        <v>9.2705111729584289E-2</v>
      </c>
      <c r="W12" s="10"/>
      <c r="X12" s="10"/>
      <c r="Y12" s="10"/>
      <c r="Z12" s="10"/>
    </row>
    <row r="13" spans="2:63">
      <c r="B13" s="5" t="s">
        <v>529</v>
      </c>
      <c r="C13" s="228"/>
      <c r="D13" s="228">
        <f>'EM INCUMB'!D13+'EM CELLULAR'!D13+'EM ALTNET &amp; CABLE'!D13</f>
        <v>1478703.7037675749</v>
      </c>
      <c r="E13" s="228">
        <f>'EM INCUMB'!E13+'EM CELLULAR'!E13+'EM ALTNET &amp; CABLE'!E13</f>
        <v>1393198.4950896981</v>
      </c>
      <c r="F13" s="228">
        <f>'EM INCUMB'!F13+'EM CELLULAR'!F13+'EM ALTNET &amp; CABLE'!F13</f>
        <v>1300432.070059858</v>
      </c>
      <c r="G13" s="228">
        <f>'EM INCUMB'!G13+'EM CELLULAR'!G13+'EM ALTNET &amp; CABLE'!G13</f>
        <v>1199787.2314727316</v>
      </c>
      <c r="H13" s="247"/>
      <c r="I13" s="247"/>
      <c r="J13" s="5" t="s">
        <v>530</v>
      </c>
      <c r="L13" s="64">
        <f>'AGG DM'!D41</f>
        <v>1.3514515540183685</v>
      </c>
      <c r="M13" s="64">
        <f>'AGG DM'!E41</f>
        <v>1.4007532435377124</v>
      </c>
      <c r="N13" s="64">
        <f>'AGG DM'!F41</f>
        <v>1.3363938049874495</v>
      </c>
      <c r="O13" s="64">
        <f>'AGG DM'!G41</f>
        <v>1.2739776448559783</v>
      </c>
      <c r="P13" s="17">
        <f>'AGG DM'!H41</f>
        <v>-2.5668717959517307E-2</v>
      </c>
    </row>
    <row r="14" spans="2:63">
      <c r="B14" s="5" t="s">
        <v>532</v>
      </c>
      <c r="C14" s="228"/>
      <c r="D14" s="228">
        <f>'EM INCUMB'!D14+'EM CELLULAR'!D14+'EM ALTNET &amp; CABLE'!D14</f>
        <v>47499.189447146055</v>
      </c>
      <c r="E14" s="228">
        <f>'EM INCUMB'!E14+'EM CELLULAR'!E14+'EM ALTNET &amp; CABLE'!E14</f>
        <v>46171.335424973004</v>
      </c>
      <c r="F14" s="228">
        <f>'EM INCUMB'!F14+'EM CELLULAR'!F14+'EM ALTNET &amp; CABLE'!F14</f>
        <v>47351.851153222779</v>
      </c>
      <c r="G14" s="228">
        <f>'EM INCUMB'!G14+'EM CELLULAR'!G14+'EM ALTNET &amp; CABLE'!G14</f>
        <v>47350.45223568059</v>
      </c>
      <c r="H14" s="247"/>
      <c r="I14" s="247"/>
      <c r="J14" s="5" t="s">
        <v>593</v>
      </c>
      <c r="L14" s="64">
        <f>'AGG DM'!D42</f>
        <v>3.3000460374957705</v>
      </c>
      <c r="M14" s="64">
        <f>'AGG DM'!E42</f>
        <v>3.1838124862642916</v>
      </c>
      <c r="N14" s="64">
        <f>'AGG DM'!F42</f>
        <v>3.0594658370749888</v>
      </c>
      <c r="O14" s="64">
        <f>'AGG DM'!G42</f>
        <v>2.9412325385033187</v>
      </c>
      <c r="P14" s="17">
        <f>'AGG DM'!H42</f>
        <v>-7.2864107786076993E-3</v>
      </c>
    </row>
    <row r="15" spans="2:63">
      <c r="B15" s="5" t="s">
        <v>531</v>
      </c>
      <c r="C15" s="228"/>
      <c r="D15" s="228">
        <f>'EM INCUMB'!D15+'EM CELLULAR'!D15+'EM ALTNET &amp; CABLE'!D15</f>
        <v>38528.85848256071</v>
      </c>
      <c r="E15" s="228">
        <f>'EM INCUMB'!E15+'EM CELLULAR'!E15+'EM ALTNET &amp; CABLE'!E15</f>
        <v>38569.939666052291</v>
      </c>
      <c r="F15" s="228">
        <f>'EM INCUMB'!F15+'EM CELLULAR'!F15+'EM ALTNET &amp; CABLE'!F15</f>
        <v>38585.581113388893</v>
      </c>
      <c r="G15" s="228">
        <f>'EM INCUMB'!G15+'EM CELLULAR'!G15+'EM ALTNET &amp; CABLE'!G15</f>
        <v>38622.83313891189</v>
      </c>
      <c r="H15" s="247"/>
      <c r="I15" s="247"/>
      <c r="J15" s="5" t="s">
        <v>475</v>
      </c>
      <c r="L15" s="64">
        <f>'AGG DM'!D43</f>
        <v>11.806292254184493</v>
      </c>
      <c r="M15" s="64">
        <f>'AGG DM'!E43</f>
        <v>10.8479727708929</v>
      </c>
      <c r="N15" s="64">
        <f>'AGG DM'!F43</f>
        <v>9.79850588673491</v>
      </c>
      <c r="O15" s="64">
        <f>'AGG DM'!G43</f>
        <v>8.8149149732476211</v>
      </c>
      <c r="P15" s="17">
        <f>'AGG DM'!H43</f>
        <v>7.171679530370545E-2</v>
      </c>
      <c r="S15" s="88"/>
      <c r="T15" s="88"/>
      <c r="U15" s="88"/>
      <c r="V15" s="42"/>
      <c r="W15" s="42"/>
      <c r="X15" s="42"/>
      <c r="Y15" s="42"/>
      <c r="Z15" s="42"/>
      <c r="AA15" s="42"/>
    </row>
    <row r="16" spans="2:63">
      <c r="B16" s="5" t="s">
        <v>534</v>
      </c>
      <c r="C16" s="228"/>
      <c r="D16" s="228">
        <f>'EM INCUMB'!D16+'EM CELLULAR'!D16+'EM ALTNET &amp; CABLE'!D16</f>
        <v>22739.454360972777</v>
      </c>
      <c r="E16" s="228">
        <f>'EM INCUMB'!E16+'EM CELLULAR'!E16+'EM ALTNET &amp; CABLE'!E16</f>
        <v>30901.03339073516</v>
      </c>
      <c r="F16" s="228">
        <f>'EM INCUMB'!F16+'EM CELLULAR'!F16+'EM ALTNET &amp; CABLE'!F16</f>
        <v>577312.10230968473</v>
      </c>
      <c r="G16" s="228">
        <f>'EM INCUMB'!G16+'EM CELLULAR'!G16+'EM ALTNET &amp; CABLE'!G16</f>
        <v>1213551.4562052721</v>
      </c>
      <c r="H16" s="247"/>
      <c r="I16" s="247"/>
      <c r="J16" s="5" t="s">
        <v>533</v>
      </c>
      <c r="L16" s="64">
        <f>'AGG DM'!D44</f>
        <v>13.624604105346204</v>
      </c>
      <c r="M16" s="64">
        <f>'AGG DM'!E44</f>
        <v>12.503028582967529</v>
      </c>
      <c r="N16" s="64">
        <f>'AGG DM'!F44</f>
        <v>11.302702719097406</v>
      </c>
      <c r="O16" s="64">
        <f>'AGG DM'!G44</f>
        <v>10.160048566687355</v>
      </c>
      <c r="P16" s="17">
        <f>'AGG DM'!H44</f>
        <v>7.6119307301105277E-2</v>
      </c>
      <c r="S16" s="88"/>
      <c r="T16" s="88"/>
      <c r="U16" s="88"/>
      <c r="V16" s="42"/>
      <c r="W16" s="42"/>
      <c r="X16" s="42"/>
      <c r="Y16" s="42"/>
      <c r="Z16" s="42"/>
      <c r="AA16" s="42"/>
    </row>
    <row r="17" spans="2:27">
      <c r="B17" s="5" t="s">
        <v>6</v>
      </c>
      <c r="C17" s="228"/>
      <c r="D17" s="228">
        <f>'EM INCUMB'!D17+'EM CELLULAR'!D17+'EM ALTNET &amp; CABLE'!D17</f>
        <v>570774.75637603737</v>
      </c>
      <c r="E17" s="228">
        <f>'EM INCUMB'!E17+'EM CELLULAR'!E17+'EM ALTNET &amp; CABLE'!E17</f>
        <v>570681.44500368729</v>
      </c>
      <c r="F17" s="228">
        <f>'EM INCUMB'!F17+'EM CELLULAR'!F17+'EM ALTNET &amp; CABLE'!F17</f>
        <v>570674.46975535946</v>
      </c>
      <c r="G17" s="228">
        <f>'EM INCUMB'!G17+'EM CELLULAR'!G17+'EM ALTNET &amp; CABLE'!G17</f>
        <v>570757.70935026451</v>
      </c>
      <c r="H17" s="247"/>
      <c r="I17" s="247"/>
      <c r="J17" s="5" t="s">
        <v>580</v>
      </c>
      <c r="L17" s="248">
        <f>'AGG DM'!D45</f>
        <v>3.8692911642747754E-2</v>
      </c>
      <c r="M17" s="248">
        <f>'AGG DM'!E45</f>
        <v>4.3419291969220015E-2</v>
      </c>
      <c r="N17" s="248">
        <f>'AGG DM'!F45</f>
        <v>4.6126321738259798E-2</v>
      </c>
      <c r="O17" s="248">
        <f>'AGG DM'!G45</f>
        <v>4.9423675586152439E-2</v>
      </c>
      <c r="P17" s="17">
        <f>'AGG DM'!H45</f>
        <v>5.8812184463164385E-2</v>
      </c>
      <c r="S17" s="88"/>
      <c r="T17" s="88"/>
      <c r="U17" s="88"/>
      <c r="V17" s="42"/>
      <c r="W17" s="42"/>
      <c r="X17" s="42"/>
      <c r="Y17" s="42"/>
      <c r="Z17" s="42"/>
      <c r="AA17" s="42"/>
    </row>
    <row r="18" spans="2:27" ht="12.6" thickBot="1">
      <c r="B18" s="41" t="s">
        <v>89</v>
      </c>
      <c r="C18" s="229"/>
      <c r="D18" s="275">
        <f>'EM INCUMB'!D18+'EM CELLULAR'!D18+'EM ALTNET &amp; CABLE'!D18</f>
        <v>18028921.554479484</v>
      </c>
      <c r="E18" s="275">
        <f>'EM INCUMB'!E18+'EM CELLULAR'!E18+'EM ALTNET &amp; CABLE'!E18</f>
        <v>17651536.183587831</v>
      </c>
      <c r="F18" s="275">
        <f>'EM INCUMB'!F18+'EM CELLULAR'!F18+'EM ALTNET &amp; CABLE'!F18</f>
        <v>15877047.586384419</v>
      </c>
      <c r="G18" s="275">
        <f>'EM INCUMB'!G18+'EM CELLULAR'!G18+'EM ALTNET &amp; CABLE'!G18</f>
        <v>14007698.091017872</v>
      </c>
      <c r="H18" s="276">
        <f>IF(D18=0,"nm",IF(G18=0,"nm",(G18/D18)^(1/3)-1))</f>
        <v>-8.0682188389684328E-2</v>
      </c>
      <c r="I18" s="254"/>
      <c r="J18" s="5" t="s">
        <v>36</v>
      </c>
      <c r="L18" s="248">
        <f>'AGG DM'!D46</f>
        <v>5.5339609483801136E-2</v>
      </c>
      <c r="M18" s="248">
        <f>'AGG DM'!E46</f>
        <v>7.6500460251698113E-2</v>
      </c>
      <c r="N18" s="248">
        <f>'AGG DM'!F46</f>
        <v>8.0311545489538158E-2</v>
      </c>
      <c r="O18" s="248">
        <f>'AGG DM'!G46</f>
        <v>9.1977124183415609E-2</v>
      </c>
      <c r="P18" s="17">
        <f>'AGG DM'!H46</f>
        <v>0.15593203466037919</v>
      </c>
      <c r="S18" s="88"/>
      <c r="T18" s="88"/>
      <c r="U18" s="88"/>
      <c r="V18" s="42"/>
      <c r="W18" s="42"/>
      <c r="X18" s="42"/>
      <c r="Y18" s="42"/>
      <c r="Z18" s="42"/>
      <c r="AA18" s="42"/>
    </row>
    <row r="19" spans="2:27" ht="12.6" thickTop="1">
      <c r="B19" s="41"/>
      <c r="C19" s="229"/>
      <c r="D19" s="229"/>
      <c r="E19" s="229"/>
      <c r="F19" s="229"/>
      <c r="G19" s="229"/>
      <c r="H19" s="276"/>
      <c r="I19" s="17"/>
      <c r="J19" s="5" t="s">
        <v>581</v>
      </c>
      <c r="L19" s="248">
        <f>'AGG DM'!D47</f>
        <v>8.4700596806382714E-2</v>
      </c>
      <c r="M19" s="248">
        <f>'AGG DM'!E47</f>
        <v>9.2183122240422966E-2</v>
      </c>
      <c r="N19" s="248">
        <f>'AGG DM'!F47</f>
        <v>0.10205637589642999</v>
      </c>
      <c r="O19" s="248">
        <f>'AGG DM'!G47</f>
        <v>0.11344408914151745</v>
      </c>
      <c r="P19" s="17">
        <f>'W.EUR AGG'!H47</f>
        <v>0.13939037032474633</v>
      </c>
      <c r="S19" s="88"/>
      <c r="T19" s="88"/>
      <c r="U19" s="88"/>
      <c r="V19" s="42"/>
      <c r="W19" s="42"/>
      <c r="X19" s="42"/>
      <c r="Y19" s="42"/>
      <c r="Z19" s="42"/>
      <c r="AA19" s="42"/>
    </row>
    <row r="20" spans="2:27">
      <c r="H20" s="277"/>
      <c r="I20" s="49"/>
      <c r="J20" s="5" t="s">
        <v>604</v>
      </c>
      <c r="L20" s="248">
        <f>'AGG DM'!D48</f>
        <v>0.45770628705874244</v>
      </c>
      <c r="M20" s="248">
        <f>'AGG DM'!E48</f>
        <v>0.47291165163323612</v>
      </c>
      <c r="N20" s="248">
        <f>'AGG DM'!F48</f>
        <v>0.45515009617149715</v>
      </c>
      <c r="O20" s="248">
        <f>'AGG DM'!G48</f>
        <v>0.44137076019918969</v>
      </c>
      <c r="P20" s="17" t="str">
        <f>'W.EUR AGG'!H48</f>
        <v>nm</v>
      </c>
      <c r="S20" s="42"/>
      <c r="T20" s="42"/>
      <c r="U20" s="42"/>
      <c r="V20" s="42"/>
      <c r="W20" s="42"/>
      <c r="X20" s="42"/>
      <c r="Y20" s="42"/>
      <c r="Z20" s="42"/>
      <c r="AA20" s="42"/>
    </row>
    <row r="21" spans="2:27" ht="12.6" thickBot="1">
      <c r="B21" s="306" t="s">
        <v>308</v>
      </c>
      <c r="C21" s="265">
        <v>2020</v>
      </c>
      <c r="D21" s="265" t="str">
        <f>D5</f>
        <v>2023E</v>
      </c>
      <c r="E21" s="265" t="str">
        <f>E5</f>
        <v>2024E</v>
      </c>
      <c r="F21" s="265" t="str">
        <f>F5</f>
        <v>2025E</v>
      </c>
      <c r="G21" s="265" t="str">
        <f>G5</f>
        <v>2026E</v>
      </c>
      <c r="H21" s="282" t="str">
        <f>H5</f>
        <v>23E-26E</v>
      </c>
      <c r="I21" s="17"/>
      <c r="S21" s="42"/>
      <c r="T21" s="42"/>
      <c r="U21" s="42"/>
      <c r="V21" s="42"/>
      <c r="W21" s="42"/>
      <c r="X21" s="42"/>
      <c r="Y21" s="42"/>
      <c r="Z21" s="42"/>
      <c r="AA21" s="42"/>
    </row>
    <row r="22" spans="2:27" ht="12.6" thickTop="1">
      <c r="B22" s="5"/>
      <c r="C22" s="257"/>
      <c r="D22" s="17"/>
      <c r="E22" s="17"/>
      <c r="F22" s="17"/>
      <c r="G22" s="17"/>
      <c r="H22" s="17"/>
      <c r="I22" s="247"/>
      <c r="P22" s="277"/>
      <c r="S22" s="42"/>
      <c r="T22" s="42"/>
      <c r="U22" s="42"/>
      <c r="V22" s="42"/>
      <c r="W22" s="42"/>
      <c r="X22" s="42"/>
      <c r="Y22" s="42"/>
      <c r="Z22" s="42"/>
      <c r="AA22" s="42"/>
    </row>
    <row r="23" spans="2:27" ht="12.6" thickBot="1">
      <c r="B23" s="5" t="s">
        <v>584</v>
      </c>
      <c r="C23" s="365">
        <f>'EM INCUMB'!C23+'EM CELLULAR'!C23+'EM ALTNET &amp; CABLE'!C23</f>
        <v>469038.14097768301</v>
      </c>
      <c r="D23" s="228">
        <f>'EM INCUMB'!D23+'EM CELLULAR'!D23+'EM ALTNET &amp; CABLE'!D23</f>
        <v>499423.47675550857</v>
      </c>
      <c r="E23" s="228">
        <f>'EM INCUMB'!E23+'EM CELLULAR'!E23+'EM ALTNET &amp; CABLE'!E23</f>
        <v>521450.74357939715</v>
      </c>
      <c r="F23" s="228">
        <f>'EM INCUMB'!F23+'EM CELLULAR'!F23+'EM ALTNET &amp; CABLE'!F23</f>
        <v>547678.53384623001</v>
      </c>
      <c r="G23" s="228">
        <f>'EM INCUMB'!G23+'EM CELLULAR'!G23+'EM ALTNET &amp; CABLE'!G23</f>
        <v>571617.07219042513</v>
      </c>
      <c r="H23" s="279">
        <f t="shared" ref="H23:H33" si="0">IF(D23=0,"nm",IF(G23=0,"nm",(G23/D23)^(1/3)-1))</f>
        <v>4.6033064370190946E-2</v>
      </c>
      <c r="I23" s="249"/>
      <c r="J23" s="306" t="s">
        <v>9</v>
      </c>
      <c r="K23" s="306"/>
      <c r="L23" s="265" t="str">
        <f>L5</f>
        <v>2023E</v>
      </c>
      <c r="M23" s="265" t="str">
        <f>M5</f>
        <v>2024E</v>
      </c>
      <c r="N23" s="265" t="str">
        <f>N5</f>
        <v>2025E</v>
      </c>
      <c r="O23" s="265" t="str">
        <f>O5</f>
        <v>2026E</v>
      </c>
      <c r="P23" s="282" t="str">
        <f>P5</f>
        <v>23E-26E</v>
      </c>
      <c r="S23" s="42"/>
      <c r="T23" s="42"/>
      <c r="U23" s="42"/>
      <c r="V23" s="42"/>
      <c r="W23" s="42" t="s">
        <v>26</v>
      </c>
      <c r="X23" s="42" t="s">
        <v>608</v>
      </c>
      <c r="Y23" s="42"/>
      <c r="Z23" s="42"/>
      <c r="AA23" s="42"/>
    </row>
    <row r="24" spans="2:27" ht="12.6" thickTop="1">
      <c r="B24" s="5" t="s">
        <v>483</v>
      </c>
      <c r="C24" s="365">
        <f>'EM INCUMB'!C24+'EM CELLULAR'!C24+'EM ALTNET &amp; CABLE'!C24</f>
        <v>162391.39469981697</v>
      </c>
      <c r="D24" s="228">
        <f>'EM INCUMB'!D24+'EM CELLULAR'!D24+'EM ALTNET &amp; CABLE'!D24</f>
        <v>171012.10377758835</v>
      </c>
      <c r="E24" s="228">
        <f>'EM INCUMB'!E24+'EM CELLULAR'!E24+'EM ALTNET &amp; CABLE'!E24</f>
        <v>179522.4759294223</v>
      </c>
      <c r="F24" s="228">
        <f>'EM INCUMB'!F24+'EM CELLULAR'!F24+'EM ALTNET &amp; CABLE'!F24</f>
        <v>190234.2768625571</v>
      </c>
      <c r="G24" s="228">
        <f>'EM INCUMB'!G24+'EM CELLULAR'!G24+'EM ALTNET &amp; CABLE'!G24</f>
        <v>200316.38802808538</v>
      </c>
      <c r="H24" s="279">
        <f t="shared" si="0"/>
        <v>5.4135753422354771E-2</v>
      </c>
      <c r="I24" s="248"/>
      <c r="J24" s="17"/>
      <c r="K24" s="17"/>
      <c r="L24" s="17"/>
      <c r="M24" s="17"/>
      <c r="N24" s="17"/>
      <c r="O24" s="248"/>
      <c r="S24" s="42"/>
      <c r="T24" s="42"/>
      <c r="U24" s="42"/>
      <c r="V24" s="147" t="s">
        <v>273</v>
      </c>
      <c r="W24" s="357">
        <f t="shared" ref="W24:W31" si="1">E37/M9</f>
        <v>15.337713364971957</v>
      </c>
      <c r="X24" s="288">
        <v>1</v>
      </c>
      <c r="Y24" s="42"/>
      <c r="Z24" s="42"/>
      <c r="AA24" s="42"/>
    </row>
    <row r="25" spans="2:27">
      <c r="B25" s="5" t="s">
        <v>183</v>
      </c>
      <c r="C25" s="365">
        <f>'EM INCUMB'!C25+'EM CELLULAR'!C25+'EM ALTNET &amp; CABLE'!C25</f>
        <v>71597.801048372741</v>
      </c>
      <c r="D25" s="228">
        <f>'EM INCUMB'!D25+'EM CELLULAR'!D25+'EM ALTNET &amp; CABLE'!D25</f>
        <v>80258.645953883926</v>
      </c>
      <c r="E25" s="228">
        <f>'EM INCUMB'!E25+'EM CELLULAR'!E25+'EM ALTNET &amp; CABLE'!E25</f>
        <v>90394.084028564859</v>
      </c>
      <c r="F25" s="228">
        <f>'EM INCUMB'!F25+'EM CELLULAR'!F25+'EM ALTNET &amp; CABLE'!F25</f>
        <v>101237.62772511141</v>
      </c>
      <c r="G25" s="228">
        <f>'EM INCUMB'!G25+'EM CELLULAR'!G25+'EM ALTNET &amp; CABLE'!G25</f>
        <v>111660.91989903543</v>
      </c>
      <c r="H25" s="279">
        <f t="shared" si="0"/>
        <v>0.11635706268692725</v>
      </c>
      <c r="I25" s="249"/>
      <c r="J25" s="247" t="s">
        <v>10</v>
      </c>
      <c r="K25" s="247"/>
      <c r="L25" s="332">
        <f>'EM INCUMB'!L25+'EM CELLULAR'!L25</f>
        <v>16653.940765622301</v>
      </c>
      <c r="M25" s="332">
        <f>'EM INCUMB'!M25+'EM CELLULAR'!M25</f>
        <v>16761.020670218455</v>
      </c>
      <c r="N25" s="332">
        <f>'EM INCUMB'!N25+'EM CELLULAR'!N25</f>
        <v>16859.145845880514</v>
      </c>
      <c r="O25" s="332">
        <f>'EM INCUMB'!O25+'EM CELLULAR'!O25</f>
        <v>15501.947081194416</v>
      </c>
      <c r="P25" s="279">
        <f>IF(L25=0,"nm",IF(O25=0,"nm",(O25/L25)^(1/3)-1))</f>
        <v>-2.3610550099281147E-2</v>
      </c>
      <c r="Q25" s="5"/>
      <c r="S25" s="42"/>
      <c r="T25" s="42"/>
      <c r="U25" s="42"/>
      <c r="V25" s="147" t="s">
        <v>184</v>
      </c>
      <c r="W25" s="357">
        <f t="shared" si="1"/>
        <v>14.925734116156372</v>
      </c>
      <c r="X25" s="288">
        <v>1</v>
      </c>
      <c r="Y25" s="42"/>
      <c r="Z25" s="42"/>
      <c r="AA25" s="42"/>
    </row>
    <row r="26" spans="2:27">
      <c r="B26" s="5" t="s">
        <v>586</v>
      </c>
      <c r="C26" s="365">
        <f>'EM INCUMB'!C26+'EM CELLULAR'!C26+'EM ALTNET &amp; CABLE'!C26</f>
        <v>54623.856688899104</v>
      </c>
      <c r="D26" s="228">
        <f>'EM INCUMB'!D26+'EM CELLULAR'!D26+'EM ALTNET &amp; CABLE'!D26</f>
        <v>59868.516069837147</v>
      </c>
      <c r="E26" s="228">
        <f>'EM INCUMB'!E26+'EM CELLULAR'!E26+'EM ALTNET &amp; CABLE'!E26</f>
        <v>67986.648660004794</v>
      </c>
      <c r="F26" s="228">
        <f>'EM INCUMB'!F26+'EM CELLULAR'!F26+'EM ALTNET &amp; CABLE'!F26</f>
        <v>75996.924164699376</v>
      </c>
      <c r="G26" s="228">
        <f>'EM INCUMB'!G26+'EM CELLULAR'!G26+'EM ALTNET &amp; CABLE'!G26</f>
        <v>83809.209167164081</v>
      </c>
      <c r="H26" s="279">
        <f t="shared" si="0"/>
        <v>0.11865907373414464</v>
      </c>
      <c r="I26" s="249"/>
      <c r="J26" s="249" t="s">
        <v>11</v>
      </c>
      <c r="K26" s="249"/>
      <c r="L26" s="281">
        <f>'EM INCUMB'!L26+'EM CELLULAR'!L26</f>
        <v>706538.04106755625</v>
      </c>
      <c r="M26" s="281">
        <f>'EM INCUMB'!M26+'EM CELLULAR'!M26</f>
        <v>708433.20800526184</v>
      </c>
      <c r="N26" s="281">
        <f>'EM INCUMB'!N26+'EM CELLULAR'!N26</f>
        <v>706156.01286645234</v>
      </c>
      <c r="O26" s="281">
        <f>'EM INCUMB'!O26+'EM CELLULAR'!O26</f>
        <v>702396.76370867691</v>
      </c>
      <c r="P26" s="279">
        <f>IF(L26=0,"nm",IF(O26=0,"nm",(O26/L26)^(1/3)-1))</f>
        <v>-1.9576181077924915E-3</v>
      </c>
      <c r="Q26" s="41"/>
      <c r="S26" s="42"/>
      <c r="T26" s="42"/>
      <c r="U26" s="42"/>
      <c r="V26" s="147" t="s">
        <v>185</v>
      </c>
      <c r="W26" s="357">
        <f t="shared" si="1"/>
        <v>16.989663280391962</v>
      </c>
      <c r="X26" s="288">
        <v>1</v>
      </c>
      <c r="Y26" s="42"/>
      <c r="Z26" s="42"/>
      <c r="AA26" s="42"/>
    </row>
    <row r="27" spans="2:27">
      <c r="B27" s="5" t="s">
        <v>587</v>
      </c>
      <c r="C27" s="365">
        <f>'EM INCUMB'!C27+'EM CELLULAR'!C27+'EM ALTNET &amp; CABLE'!C27</f>
        <v>581722.74502050446</v>
      </c>
      <c r="D27" s="228">
        <f>'EM INCUMB'!D27+'EM CELLULAR'!D27+'EM ALTNET &amp; CABLE'!D27</f>
        <v>661764.47172884713</v>
      </c>
      <c r="E27" s="228">
        <f>'EM INCUMB'!E27+'EM CELLULAR'!E27+'EM ALTNET &amp; CABLE'!E27</f>
        <v>651596.85527110705</v>
      </c>
      <c r="F27" s="228">
        <f>'EM INCUMB'!F27+'EM CELLULAR'!F27+'EM ALTNET &amp; CABLE'!F27</f>
        <v>643588.20735524339</v>
      </c>
      <c r="G27" s="228">
        <f>'EM INCUMB'!G27+'EM CELLULAR'!G27+'EM ALTNET &amp; CABLE'!G27</f>
        <v>635550.00178823643</v>
      </c>
      <c r="H27" s="279">
        <f t="shared" si="0"/>
        <v>-1.3382626032309664E-2</v>
      </c>
      <c r="I27" s="248"/>
      <c r="J27" s="248"/>
      <c r="K27" s="248"/>
      <c r="L27" s="248"/>
      <c r="M27" s="248"/>
      <c r="N27" s="248"/>
      <c r="O27" s="248"/>
      <c r="Q27" s="5"/>
      <c r="S27" s="42"/>
      <c r="T27" s="42"/>
      <c r="U27" s="42"/>
      <c r="V27" s="147" t="s">
        <v>466</v>
      </c>
      <c r="W27" s="357">
        <f t="shared" si="1"/>
        <v>15.882388350211523</v>
      </c>
      <c r="X27" s="288">
        <v>1</v>
      </c>
      <c r="Y27" s="42"/>
      <c r="Z27" s="42"/>
      <c r="AA27" s="42"/>
    </row>
    <row r="28" spans="2:27" ht="12.6" thickBot="1">
      <c r="B28" s="5" t="s">
        <v>592</v>
      </c>
      <c r="C28" s="365">
        <f>'EM INCUMB'!C28+'EM CELLULAR'!C28+'EM ALTNET &amp; CABLE'!C28</f>
        <v>426743.59541676694</v>
      </c>
      <c r="D28" s="228">
        <f>'EM INCUMB'!D28+'EM CELLULAR'!D28+'EM ALTNET &amp; CABLE'!D28</f>
        <v>426263.98564252106</v>
      </c>
      <c r="E28" s="228">
        <f>'EM INCUMB'!E28+'EM CELLULAR'!E28+'EM ALTNET &amp; CABLE'!E28</f>
        <v>424766.49794902588</v>
      </c>
      <c r="F28" s="228">
        <f>'EM INCUMB'!F28+'EM CELLULAR'!F28+'EM ALTNET &amp; CABLE'!F28</f>
        <v>425466.60797843226</v>
      </c>
      <c r="G28" s="228">
        <f>'EM INCUMB'!G28+'EM CELLULAR'!G28+'EM ALTNET &amp; CABLE'!G28</f>
        <v>417061.30397953698</v>
      </c>
      <c r="H28" s="279">
        <f t="shared" si="0"/>
        <v>-7.2488050935257675E-3</v>
      </c>
      <c r="I28" s="252"/>
      <c r="J28" s="306" t="s">
        <v>754</v>
      </c>
      <c r="K28" s="306"/>
      <c r="L28" s="306"/>
      <c r="M28" s="306"/>
      <c r="N28" s="266"/>
      <c r="O28" s="266"/>
      <c r="P28" s="266"/>
      <c r="Q28" s="5"/>
      <c r="S28" s="42"/>
      <c r="T28" s="42"/>
      <c r="U28" s="42"/>
      <c r="V28" s="147" t="s">
        <v>530</v>
      </c>
      <c r="W28" s="357">
        <f t="shared" si="1"/>
        <v>19.33935078376587</v>
      </c>
      <c r="X28" s="288">
        <v>1</v>
      </c>
      <c r="Y28" s="42"/>
      <c r="Z28" s="42"/>
      <c r="AA28" s="42"/>
    </row>
    <row r="29" spans="2:27" ht="12.6" thickTop="1">
      <c r="B29" s="5" t="s">
        <v>588</v>
      </c>
      <c r="C29" s="365">
        <f>'EM INCUMB'!C29+'EM CELLULAR'!C29+'EM ALTNET &amp; CABLE'!C29</f>
        <v>30959.765362568851</v>
      </c>
      <c r="D29" s="228">
        <f>'EM INCUMB'!D29+'EM CELLULAR'!D29+'EM ALTNET &amp; CABLE'!D29</f>
        <v>36607.078472689631</v>
      </c>
      <c r="E29" s="228">
        <f>'EM INCUMB'!E29+'EM CELLULAR'!E29+'EM ALTNET &amp; CABLE'!E29</f>
        <v>44603.422700575538</v>
      </c>
      <c r="F29" s="228">
        <f>'EM INCUMB'!F29+'EM CELLULAR'!F29+'EM ALTNET &amp; CABLE'!F29</f>
        <v>53600.606507606091</v>
      </c>
      <c r="G29" s="228">
        <f>'EM INCUMB'!G29+'EM CELLULAR'!G29+'EM ALTNET &amp; CABLE'!G29</f>
        <v>62546.674387639003</v>
      </c>
      <c r="H29" s="279">
        <f t="shared" si="0"/>
        <v>0.19549120190388991</v>
      </c>
      <c r="I29" s="254"/>
      <c r="J29" s="249"/>
      <c r="K29" s="249"/>
      <c r="L29" s="249"/>
      <c r="M29" s="249"/>
      <c r="N29" s="249"/>
      <c r="O29" s="251"/>
      <c r="Q29" s="5"/>
      <c r="S29" s="42"/>
      <c r="T29" s="42"/>
      <c r="U29" s="42"/>
      <c r="V29" s="147" t="s">
        <v>593</v>
      </c>
      <c r="W29" s="357">
        <f t="shared" si="1"/>
        <v>13.052231552992048</v>
      </c>
      <c r="X29" s="288">
        <v>1</v>
      </c>
      <c r="Y29" s="42"/>
      <c r="Z29" s="42"/>
      <c r="AA29" s="42"/>
    </row>
    <row r="30" spans="2:27">
      <c r="B30" s="5" t="s">
        <v>589</v>
      </c>
      <c r="C30" s="365">
        <f>'EM INCUMB'!C30+'EM CELLULAR'!C30+'EM ALTNET &amp; CABLE'!C30</f>
        <v>37980.565936698375</v>
      </c>
      <c r="D30" s="228">
        <f>'EM INCUMB'!D30+'EM CELLULAR'!D30+'EM ALTNET &amp; CABLE'!D30</f>
        <v>39321.544051139586</v>
      </c>
      <c r="E30" s="228">
        <f>'EM INCUMB'!E30+'EM CELLULAR'!E30+'EM ALTNET &amp; CABLE'!E30</f>
        <v>46056.604437578026</v>
      </c>
      <c r="F30" s="228">
        <f>'EM INCUMB'!F30+'EM CELLULAR'!F30+'EM ALTNET &amp; CABLE'!F30</f>
        <v>54176.428815399115</v>
      </c>
      <c r="G30" s="228">
        <f>'EM INCUMB'!G30+'EM CELLULAR'!G30+'EM ALTNET &amp; CABLE'!G30</f>
        <v>62010.442206658343</v>
      </c>
      <c r="H30" s="279">
        <f t="shared" si="0"/>
        <v>0.16397795492835376</v>
      </c>
      <c r="I30" s="254"/>
      <c r="J30" s="248"/>
      <c r="K30" s="248"/>
      <c r="L30" s="248"/>
      <c r="M30" s="248"/>
      <c r="N30" s="248"/>
      <c r="O30" s="5"/>
      <c r="Q30" s="5"/>
      <c r="S30" s="42"/>
      <c r="T30" s="42"/>
      <c r="U30" s="42"/>
      <c r="V30" s="147" t="s">
        <v>475</v>
      </c>
      <c r="W30" s="357">
        <f t="shared" si="1"/>
        <v>1.4641384238856039</v>
      </c>
      <c r="X30" s="288">
        <v>1</v>
      </c>
      <c r="Y30" s="42"/>
      <c r="Z30" s="42"/>
      <c r="AA30" s="42"/>
    </row>
    <row r="31" spans="2:27">
      <c r="B31" s="5" t="s">
        <v>590</v>
      </c>
      <c r="C31" s="365">
        <f>'EM INCUMB'!C31+'EM CELLULAR'!C31+'EM ALTNET &amp; CABLE'!C31</f>
        <v>25918.727137485312</v>
      </c>
      <c r="D31" s="228">
        <f>'EM INCUMB'!D31+'EM CELLULAR'!D31+'EM ALTNET &amp; CABLE'!D31</f>
        <v>28753.477892148094</v>
      </c>
      <c r="E31" s="228">
        <f>'EM INCUMB'!E31+'EM CELLULAR'!E31+'EM ALTNET &amp; CABLE'!E31</f>
        <v>31817.835302571031</v>
      </c>
      <c r="F31" s="228">
        <f>'EM INCUMB'!F31+'EM CELLULAR'!F31+'EM ALTNET &amp; CABLE'!F31</f>
        <v>36979.053791660946</v>
      </c>
      <c r="G31" s="228">
        <f>'EM INCUMB'!G31+'EM CELLULAR'!G31+'EM ALTNET &amp; CABLE'!G31</f>
        <v>42529.912087205135</v>
      </c>
      <c r="H31" s="279">
        <f t="shared" si="0"/>
        <v>0.13937853690845947</v>
      </c>
      <c r="I31" s="254"/>
      <c r="J31" s="252"/>
      <c r="K31" s="252"/>
      <c r="L31" s="252"/>
      <c r="M31" s="252"/>
      <c r="N31" s="252"/>
      <c r="O31" s="5"/>
      <c r="Q31" s="5"/>
      <c r="S31" s="42"/>
      <c r="T31" s="42"/>
      <c r="U31" s="42"/>
      <c r="V31" s="147" t="s">
        <v>533</v>
      </c>
      <c r="W31" s="357">
        <f t="shared" si="1"/>
        <v>17.0860919758601</v>
      </c>
      <c r="X31" s="288">
        <v>1</v>
      </c>
      <c r="Y31" s="42"/>
      <c r="Z31" s="42"/>
      <c r="AA31" s="42"/>
    </row>
    <row r="32" spans="2:27">
      <c r="B32" s="5" t="s">
        <v>606</v>
      </c>
      <c r="C32" s="365" t="e">
        <f>'EM INCUMB'!C32+'EM CELLULAR'!C32+'EM ALTNET &amp; CABLE'!C32</f>
        <v>#VALUE!</v>
      </c>
      <c r="D32" s="228" t="e">
        <f>'EM INCUMB'!D32+'EM CELLULAR'!D32+'EM ALTNET &amp; CABLE'!D32</f>
        <v>#VALUE!</v>
      </c>
      <c r="E32" s="228" t="e">
        <f>'EM INCUMB'!E32+'EM CELLULAR'!E32+'EM ALTNET &amp; CABLE'!E32</f>
        <v>#VALUE!</v>
      </c>
      <c r="F32" s="228" t="e">
        <f>'EM INCUMB'!F32+'EM CELLULAR'!F32+'EM ALTNET &amp; CABLE'!F32</f>
        <v>#VALUE!</v>
      </c>
      <c r="G32" s="228" t="e">
        <f>'EM INCUMB'!G32+'EM CELLULAR'!G32+'EM ALTNET &amp; CABLE'!G32</f>
        <v>#VALUE!</v>
      </c>
      <c r="H32" s="279" t="e">
        <f t="shared" si="0"/>
        <v>#VALUE!</v>
      </c>
      <c r="I32" s="5"/>
      <c r="J32" s="254"/>
      <c r="K32" s="254"/>
      <c r="L32" s="254"/>
      <c r="M32" s="254"/>
      <c r="N32" s="254"/>
      <c r="O32" s="251"/>
      <c r="Q32" s="5"/>
      <c r="S32" s="42"/>
      <c r="T32" s="42"/>
      <c r="U32" s="42"/>
      <c r="V32" s="147" t="s">
        <v>580</v>
      </c>
      <c r="W32" s="288">
        <f>M17/E45</f>
        <v>13.426474386671067</v>
      </c>
      <c r="X32" s="288">
        <v>1</v>
      </c>
      <c r="Y32" s="42"/>
      <c r="Z32" s="42"/>
      <c r="AA32" s="42"/>
    </row>
    <row r="33" spans="2:42">
      <c r="B33" s="5" t="s">
        <v>5</v>
      </c>
      <c r="C33" s="365">
        <f>'EM INCUMB'!C33+'EM CELLULAR'!C33+'EM ALTNET &amp; CABLE'!C33</f>
        <v>6295.6307903378529</v>
      </c>
      <c r="D33" s="228">
        <f>'EM INCUMB'!D33+'EM CELLULAR'!D33+'EM ALTNET &amp; CABLE'!D33</f>
        <v>4190.1933145890407</v>
      </c>
      <c r="E33" s="228">
        <f>'EM INCUMB'!E33+'EM CELLULAR'!E33+'EM ALTNET &amp; CABLE'!E33</f>
        <v>4535.5088870156624</v>
      </c>
      <c r="F33" s="228">
        <f>'EM INCUMB'!F33+'EM CELLULAR'!F33+'EM ALTNET &amp; CABLE'!F33</f>
        <v>5544.9864192994055</v>
      </c>
      <c r="G33" s="228">
        <f>'EM INCUMB'!G33+'EM CELLULAR'!G33+'EM ALTNET &amp; CABLE'!G33</f>
        <v>5676.8323074699274</v>
      </c>
      <c r="H33" s="279">
        <f t="shared" si="0"/>
        <v>0.10651507553372208</v>
      </c>
      <c r="I33" s="49"/>
      <c r="J33" s="254"/>
      <c r="K33" s="254"/>
      <c r="L33" s="254"/>
      <c r="M33" s="254"/>
      <c r="N33" s="254"/>
      <c r="O33" s="251"/>
      <c r="Q33" s="5"/>
      <c r="S33" s="42"/>
      <c r="T33" s="42"/>
      <c r="U33" s="42"/>
      <c r="V33" s="147" t="s">
        <v>581</v>
      </c>
      <c r="W33" s="288">
        <f>M19/E47</f>
        <v>1.4641384238856041</v>
      </c>
      <c r="X33" s="288">
        <v>1</v>
      </c>
      <c r="Y33" s="288"/>
      <c r="Z33" s="288"/>
      <c r="AA33" s="42"/>
      <c r="AC33" s="10"/>
      <c r="AD33" s="10"/>
      <c r="AE33" s="10"/>
      <c r="AF33" s="10"/>
      <c r="AH33" s="10"/>
      <c r="AI33" s="10"/>
      <c r="AJ33" s="10"/>
      <c r="AK33" s="10"/>
      <c r="AM33" s="10"/>
      <c r="AN33" s="10"/>
      <c r="AO33" s="10"/>
      <c r="AP33" s="10"/>
    </row>
    <row r="34" spans="2:42">
      <c r="H34" s="277"/>
      <c r="I34" s="254"/>
      <c r="J34" s="254"/>
      <c r="K34" s="254"/>
      <c r="L34" s="254"/>
      <c r="M34" s="254"/>
      <c r="N34" s="254"/>
      <c r="O34" s="251"/>
      <c r="Q34" s="5"/>
      <c r="S34" s="42"/>
      <c r="T34" s="42"/>
      <c r="U34" s="42"/>
      <c r="V34" s="42"/>
      <c r="W34" s="42"/>
      <c r="X34" s="42"/>
      <c r="Y34" s="288"/>
      <c r="Z34" s="288"/>
      <c r="AA34" s="42"/>
      <c r="AC34" s="10"/>
      <c r="AD34" s="10"/>
      <c r="AE34" s="10"/>
      <c r="AF34" s="10"/>
      <c r="AH34" s="10"/>
      <c r="AI34" s="10"/>
      <c r="AJ34" s="10"/>
      <c r="AK34" s="10"/>
      <c r="AM34" s="10"/>
      <c r="AN34" s="10"/>
      <c r="AO34" s="10"/>
      <c r="AP34" s="10"/>
    </row>
    <row r="35" spans="2:42" ht="12.6" thickBot="1">
      <c r="B35" s="306" t="s">
        <v>285</v>
      </c>
      <c r="C35" s="265"/>
      <c r="D35" s="265" t="str">
        <f>D5</f>
        <v>2023E</v>
      </c>
      <c r="E35" s="265" t="str">
        <f>E5</f>
        <v>2024E</v>
      </c>
      <c r="F35" s="265" t="str">
        <f>F5</f>
        <v>2025E</v>
      </c>
      <c r="G35" s="265" t="str">
        <f>G5</f>
        <v>2026E</v>
      </c>
      <c r="H35" s="265" t="str">
        <f>H5</f>
        <v>23E-26E</v>
      </c>
      <c r="I35" s="17"/>
      <c r="J35" s="5"/>
      <c r="K35" s="5"/>
      <c r="L35" s="5"/>
      <c r="M35" s="5"/>
      <c r="N35" s="5"/>
      <c r="O35" s="5"/>
      <c r="Q35" s="5"/>
      <c r="S35" s="42"/>
      <c r="T35" s="42"/>
      <c r="U35" s="42"/>
      <c r="V35" s="42"/>
      <c r="W35" s="42"/>
      <c r="X35" s="42"/>
      <c r="Y35" s="288"/>
      <c r="Z35" s="288"/>
      <c r="AA35" s="42"/>
      <c r="AC35" s="10"/>
      <c r="AD35" s="10"/>
      <c r="AE35" s="10"/>
      <c r="AF35" s="10"/>
      <c r="AH35" s="10"/>
      <c r="AI35" s="10"/>
      <c r="AJ35" s="10"/>
      <c r="AK35" s="10"/>
      <c r="AM35" s="10"/>
      <c r="AN35" s="10"/>
      <c r="AO35" s="10"/>
      <c r="AP35" s="10"/>
    </row>
    <row r="36" spans="2:42" ht="12.6" thickTop="1">
      <c r="B36" s="41"/>
      <c r="C36" s="249"/>
      <c r="D36" s="254"/>
      <c r="E36" s="254"/>
      <c r="F36" s="254"/>
      <c r="G36" s="254"/>
      <c r="H36" s="254"/>
      <c r="I36" s="5"/>
      <c r="J36" s="49"/>
      <c r="K36" s="49"/>
      <c r="L36" s="49"/>
      <c r="M36" s="49"/>
      <c r="N36" s="49"/>
      <c r="O36" s="49"/>
      <c r="Q36" s="5"/>
      <c r="R36" s="5"/>
      <c r="S36" s="42"/>
      <c r="T36" s="42"/>
      <c r="U36" s="42"/>
      <c r="V36" s="42"/>
      <c r="W36" s="42"/>
      <c r="X36" s="42"/>
      <c r="Y36" s="42"/>
      <c r="Z36" s="42"/>
      <c r="AA36" s="42"/>
      <c r="AC36" s="10"/>
      <c r="AD36" s="10"/>
      <c r="AE36" s="10"/>
      <c r="AF36" s="10"/>
      <c r="AH36" s="10"/>
      <c r="AI36" s="10"/>
      <c r="AJ36" s="10"/>
      <c r="AK36" s="10"/>
      <c r="AM36" s="10"/>
      <c r="AN36" s="10"/>
      <c r="AO36" s="10"/>
      <c r="AP36" s="10"/>
    </row>
    <row r="37" spans="2:42">
      <c r="B37" s="5" t="s">
        <v>273</v>
      </c>
      <c r="C37" s="557"/>
      <c r="D37" s="557">
        <f t="shared" ref="D37:G41" si="2">D$18/D23</f>
        <v>36.099467473183068</v>
      </c>
      <c r="E37" s="557">
        <f t="shared" si="2"/>
        <v>33.850821771625633</v>
      </c>
      <c r="F37" s="557">
        <f t="shared" si="2"/>
        <v>28.989720438526753</v>
      </c>
      <c r="G37" s="557">
        <f t="shared" si="2"/>
        <v>24.505387911772221</v>
      </c>
      <c r="H37" s="17">
        <f t="shared" ref="H37:H45" si="3">H23</f>
        <v>4.6033064370190946E-2</v>
      </c>
      <c r="I37" s="259"/>
      <c r="J37" s="259"/>
      <c r="K37" s="259"/>
      <c r="L37" s="259"/>
      <c r="M37" s="259"/>
      <c r="N37" s="259"/>
      <c r="O37" s="18"/>
      <c r="Q37" s="5"/>
      <c r="R37" s="5"/>
      <c r="S37" s="42"/>
      <c r="T37" s="42"/>
      <c r="U37" s="42"/>
      <c r="V37" s="42"/>
      <c r="W37" s="42"/>
      <c r="X37" s="42"/>
      <c r="Y37" s="42"/>
      <c r="Z37" s="42"/>
      <c r="AA37" s="42"/>
      <c r="AC37" s="10"/>
      <c r="AD37" s="10"/>
      <c r="AE37" s="10"/>
      <c r="AF37" s="10"/>
      <c r="AH37" s="10"/>
      <c r="AI37" s="10"/>
      <c r="AJ37" s="10"/>
      <c r="AK37" s="10"/>
      <c r="AM37" s="10"/>
      <c r="AN37" s="10"/>
      <c r="AO37" s="10"/>
      <c r="AP37" s="10"/>
    </row>
    <row r="38" spans="2:42">
      <c r="B38" s="5" t="s">
        <v>184</v>
      </c>
      <c r="C38" s="557"/>
      <c r="D38" s="557">
        <f t="shared" si="2"/>
        <v>105.42482757786077</v>
      </c>
      <c r="E38" s="557">
        <f t="shared" si="2"/>
        <v>98.32493726594646</v>
      </c>
      <c r="F38" s="557">
        <f t="shared" si="2"/>
        <v>83.460498540205094</v>
      </c>
      <c r="G38" s="557">
        <f t="shared" si="2"/>
        <v>69.927868752575165</v>
      </c>
      <c r="H38" s="17">
        <f t="shared" si="3"/>
        <v>5.4135753422354771E-2</v>
      </c>
      <c r="I38" s="17"/>
      <c r="J38" s="17"/>
      <c r="K38" s="17"/>
      <c r="L38" s="17"/>
      <c r="M38" s="17"/>
      <c r="N38" s="17"/>
      <c r="O38" s="5"/>
      <c r="Q38" s="5"/>
      <c r="R38" s="5"/>
      <c r="S38" s="42"/>
      <c r="T38" s="42"/>
      <c r="U38" s="42"/>
      <c r="V38" s="42"/>
      <c r="W38" s="42"/>
      <c r="X38" s="42"/>
      <c r="Y38" s="42"/>
      <c r="Z38" s="42"/>
      <c r="AA38" s="42"/>
    </row>
    <row r="39" spans="2:42">
      <c r="B39" s="5" t="s">
        <v>185</v>
      </c>
      <c r="C39" s="557"/>
      <c r="D39" s="557">
        <f t="shared" si="2"/>
        <v>224.63525692719486</v>
      </c>
      <c r="E39" s="557">
        <f t="shared" si="2"/>
        <v>195.27313510926092</v>
      </c>
      <c r="F39" s="557">
        <f t="shared" si="2"/>
        <v>156.82951036244214</v>
      </c>
      <c r="G39" s="557">
        <f t="shared" si="2"/>
        <v>125.44852848860397</v>
      </c>
      <c r="H39" s="17">
        <f t="shared" si="3"/>
        <v>0.11635706268692725</v>
      </c>
      <c r="I39" s="5"/>
      <c r="J39" s="5"/>
      <c r="K39" s="5"/>
      <c r="L39" s="5"/>
      <c r="M39" s="5"/>
      <c r="N39" s="5"/>
      <c r="O39" s="5"/>
      <c r="Q39" s="5"/>
      <c r="R39" s="5"/>
      <c r="S39" s="42"/>
      <c r="T39" s="42"/>
      <c r="U39" s="42"/>
      <c r="V39" s="42"/>
      <c r="W39" s="288"/>
      <c r="X39" s="288"/>
      <c r="Y39" s="42"/>
      <c r="Z39" s="42"/>
      <c r="AA39" s="42"/>
    </row>
    <row r="40" spans="2:42">
      <c r="B40" s="5" t="s">
        <v>466</v>
      </c>
      <c r="C40" s="557"/>
      <c r="D40" s="557">
        <f t="shared" si="2"/>
        <v>301.14194802237273</v>
      </c>
      <c r="E40" s="557">
        <f t="shared" si="2"/>
        <v>259.63239152824843</v>
      </c>
      <c r="F40" s="557">
        <f t="shared" si="2"/>
        <v>208.91697606045113</v>
      </c>
      <c r="G40" s="557">
        <f t="shared" si="2"/>
        <v>167.13793424632385</v>
      </c>
      <c r="H40" s="17">
        <f t="shared" si="3"/>
        <v>0.11865907373414464</v>
      </c>
      <c r="I40" s="247"/>
      <c r="J40" s="259"/>
      <c r="K40" s="259"/>
      <c r="L40" s="259"/>
      <c r="M40" s="259"/>
      <c r="N40" s="259"/>
      <c r="O40" s="18"/>
      <c r="Q40" s="5"/>
      <c r="R40" s="5"/>
      <c r="S40" s="42"/>
      <c r="T40" s="42"/>
      <c r="U40" s="42"/>
      <c r="V40" s="42"/>
      <c r="W40" s="288"/>
      <c r="X40" s="288"/>
      <c r="Y40" s="288"/>
      <c r="Z40" s="288"/>
      <c r="AA40" s="42"/>
    </row>
    <row r="41" spans="2:42">
      <c r="B41" s="5" t="s">
        <v>530</v>
      </c>
      <c r="C41" s="557"/>
      <c r="D41" s="557">
        <f t="shared" si="2"/>
        <v>27.243713322021154</v>
      </c>
      <c r="E41" s="557">
        <f t="shared" si="2"/>
        <v>27.089658338273644</v>
      </c>
      <c r="F41" s="557">
        <f t="shared" si="2"/>
        <v>24.66957505581005</v>
      </c>
      <c r="G41" s="557">
        <f t="shared" si="2"/>
        <v>22.040277006694431</v>
      </c>
      <c r="H41" s="17">
        <f t="shared" si="3"/>
        <v>-1.3382626032309664E-2</v>
      </c>
      <c r="I41" s="248"/>
      <c r="J41" s="17"/>
      <c r="K41" s="17"/>
      <c r="L41" s="17"/>
      <c r="M41" s="17"/>
      <c r="N41" s="17"/>
      <c r="O41" s="5"/>
      <c r="Q41" s="5"/>
      <c r="R41" s="5"/>
      <c r="S41" s="42"/>
      <c r="T41" s="42"/>
      <c r="U41" s="42"/>
      <c r="V41" s="42"/>
      <c r="W41" s="288"/>
      <c r="X41" s="288"/>
      <c r="Y41" s="288"/>
      <c r="Z41" s="288"/>
      <c r="AA41" s="42"/>
    </row>
    <row r="42" spans="2:42">
      <c r="B42" s="5" t="s">
        <v>593</v>
      </c>
      <c r="C42" s="557"/>
      <c r="D42" s="557">
        <f>D18/D28</f>
        <v>42.295202413837345</v>
      </c>
      <c r="E42" s="557">
        <f>E18/E28</f>
        <v>41.555857792028846</v>
      </c>
      <c r="F42" s="557">
        <f>F18/F28</f>
        <v>37.316788882264667</v>
      </c>
      <c r="G42" s="557">
        <f>G18/G28</f>
        <v>33.586664495982959</v>
      </c>
      <c r="H42" s="17">
        <f t="shared" si="3"/>
        <v>-7.2488050935257675E-3</v>
      </c>
      <c r="I42" s="247"/>
      <c r="J42" s="5"/>
      <c r="K42" s="5"/>
      <c r="L42" s="5"/>
      <c r="M42" s="5"/>
      <c r="N42" s="5"/>
      <c r="O42" s="5"/>
      <c r="Q42" s="5"/>
      <c r="R42" s="5"/>
      <c r="S42" s="42"/>
      <c r="T42" s="42"/>
      <c r="U42" s="42"/>
      <c r="V42" s="42"/>
      <c r="W42" s="288"/>
      <c r="X42" s="288"/>
      <c r="Y42" s="288"/>
      <c r="Z42" s="288"/>
      <c r="AA42" s="42"/>
    </row>
    <row r="43" spans="2:42">
      <c r="B43" s="5" t="s">
        <v>475</v>
      </c>
      <c r="C43" s="557"/>
      <c r="D43" s="557">
        <f>L26/D29</f>
        <v>19.300585311517345</v>
      </c>
      <c r="E43" s="557">
        <f>M26/E29</f>
        <v>15.882933755129079</v>
      </c>
      <c r="F43" s="557">
        <f>N26/F29</f>
        <v>13.174403404675031</v>
      </c>
      <c r="G43" s="557">
        <f>O26/G29</f>
        <v>11.229961793899795</v>
      </c>
      <c r="H43" s="17">
        <f t="shared" si="3"/>
        <v>0.19549120190388991</v>
      </c>
      <c r="I43" s="247"/>
      <c r="J43" s="247"/>
      <c r="K43" s="247"/>
      <c r="L43" s="247"/>
      <c r="M43" s="247"/>
      <c r="N43" s="247"/>
      <c r="O43" s="18"/>
      <c r="Q43" s="5"/>
      <c r="R43" s="5"/>
      <c r="S43" s="42"/>
      <c r="T43" s="42"/>
      <c r="U43" s="42"/>
      <c r="V43" s="42"/>
      <c r="W43" s="325"/>
      <c r="X43" s="325"/>
      <c r="Y43" s="288"/>
      <c r="Z43" s="288"/>
      <c r="AA43" s="42"/>
    </row>
    <row r="44" spans="2:42">
      <c r="B44" s="5" t="s">
        <v>533</v>
      </c>
      <c r="C44" s="557"/>
      <c r="D44" s="557">
        <f>D11/D30</f>
        <v>245.42467510563969</v>
      </c>
      <c r="E44" s="557">
        <f>E11/E30</f>
        <v>213.62789634539095</v>
      </c>
      <c r="F44" s="557">
        <f>F11/F30</f>
        <v>181.57395789810795</v>
      </c>
      <c r="G44" s="557">
        <f>G11/G30</f>
        <v>158.59598060321596</v>
      </c>
      <c r="H44" s="17">
        <f t="shared" si="3"/>
        <v>0.16397795492835376</v>
      </c>
      <c r="I44" s="248"/>
      <c r="J44" s="248"/>
      <c r="K44" s="248"/>
      <c r="L44" s="248"/>
      <c r="M44" s="248"/>
      <c r="N44" s="248"/>
      <c r="O44" s="248"/>
      <c r="Q44" s="5"/>
      <c r="R44" s="5"/>
      <c r="S44" s="42"/>
      <c r="T44" s="42"/>
      <c r="U44" s="42"/>
      <c r="V44" s="42"/>
      <c r="W44" s="42"/>
      <c r="X44" s="42"/>
      <c r="Y44" s="325"/>
      <c r="Z44" s="325"/>
      <c r="AA44" s="42"/>
    </row>
    <row r="45" spans="2:42">
      <c r="B45" s="5" t="s">
        <v>580</v>
      </c>
      <c r="C45" s="248"/>
      <c r="D45" s="248">
        <f>D31/D11</f>
        <v>2.9794876849606393E-3</v>
      </c>
      <c r="E45" s="248">
        <f>E31/E11</f>
        <v>3.2338565373739416E-3</v>
      </c>
      <c r="F45" s="248">
        <f>F31/F11</f>
        <v>3.7591690821787136E-3</v>
      </c>
      <c r="G45" s="248">
        <f>G31/G11</f>
        <v>4.3245157193855478E-3</v>
      </c>
      <c r="H45" s="17">
        <f t="shared" si="3"/>
        <v>0.13937853690845947</v>
      </c>
      <c r="I45" s="247"/>
      <c r="J45" s="247"/>
      <c r="K45" s="247"/>
      <c r="L45" s="247"/>
      <c r="M45" s="247"/>
      <c r="N45" s="247"/>
      <c r="O45" s="248"/>
      <c r="Q45" s="5"/>
      <c r="R45" s="5"/>
      <c r="S45" s="42"/>
      <c r="T45" s="42"/>
      <c r="U45" s="42"/>
      <c r="V45" s="42"/>
      <c r="W45" s="42"/>
      <c r="X45" s="42"/>
      <c r="Y45" s="42"/>
      <c r="Z45" s="42"/>
      <c r="AA45" s="326"/>
      <c r="AB45" s="303"/>
    </row>
    <row r="46" spans="2:42">
      <c r="B46" s="5" t="s">
        <v>605</v>
      </c>
      <c r="C46" s="248"/>
      <c r="D46" s="248" t="e">
        <f>(D31+D32)/D11</f>
        <v>#VALUE!</v>
      </c>
      <c r="E46" s="248" t="e">
        <f>(E31+E32)/E11</f>
        <v>#VALUE!</v>
      </c>
      <c r="F46" s="248" t="e">
        <f>(F31+F32)/F11</f>
        <v>#VALUE!</v>
      </c>
      <c r="G46" s="248" t="e">
        <f>(G31+G32)/G11</f>
        <v>#VALUE!</v>
      </c>
      <c r="H46" s="279" t="e">
        <f>((G31+G32)/(D31+D32))^(1/3)-1</f>
        <v>#VALUE!</v>
      </c>
      <c r="I46" s="17"/>
      <c r="J46" s="247"/>
      <c r="K46" s="247"/>
      <c r="L46" s="247"/>
      <c r="M46" s="247"/>
      <c r="N46" s="247"/>
      <c r="O46" s="18"/>
      <c r="Q46" s="5"/>
      <c r="R46" s="5"/>
      <c r="S46" s="42"/>
      <c r="T46" s="42"/>
      <c r="U46" s="42"/>
      <c r="V46" s="42"/>
      <c r="W46" s="42"/>
      <c r="X46" s="42"/>
      <c r="Y46" s="42"/>
      <c r="Z46" s="42"/>
      <c r="AA46" s="326"/>
      <c r="AB46" s="303"/>
    </row>
    <row r="47" spans="2:42">
      <c r="B47" s="5" t="s">
        <v>581</v>
      </c>
      <c r="C47" s="248"/>
      <c r="D47" s="248">
        <f>1/D43</f>
        <v>5.1811900201972863E-2</v>
      </c>
      <c r="E47" s="248">
        <f>1/E43</f>
        <v>6.2960660506253749E-2</v>
      </c>
      <c r="F47" s="248">
        <f>1/F43</f>
        <v>7.5904765421494755E-2</v>
      </c>
      <c r="G47" s="248">
        <f>1/G43</f>
        <v>8.9047497965951045E-2</v>
      </c>
      <c r="H47" s="17">
        <f>H29</f>
        <v>0.19549120190388991</v>
      </c>
      <c r="I47" s="247"/>
      <c r="J47" s="248"/>
      <c r="K47" s="248"/>
      <c r="L47" s="248"/>
      <c r="M47" s="248"/>
      <c r="N47" s="248"/>
      <c r="O47" s="248"/>
      <c r="Q47" s="5"/>
      <c r="R47" s="5"/>
      <c r="S47" s="5"/>
      <c r="T47" s="5"/>
      <c r="U47" s="5"/>
      <c r="AA47" s="303"/>
      <c r="AB47" s="303"/>
    </row>
    <row r="48" spans="2:42">
      <c r="B48" s="5" t="s">
        <v>618</v>
      </c>
      <c r="C48" s="5"/>
      <c r="D48" s="305">
        <f>D31/D29</f>
        <v>0.78546224095974659</v>
      </c>
      <c r="E48" s="305">
        <f>E31/E29</f>
        <v>0.71334963498575799</v>
      </c>
      <c r="F48" s="305">
        <f>F31/F29</f>
        <v>0.68989991347231316</v>
      </c>
      <c r="G48" s="305">
        <f>G31/G29</f>
        <v>0.67997079786563763</v>
      </c>
      <c r="H48" s="17" t="s">
        <v>607</v>
      </c>
      <c r="I48" s="259"/>
      <c r="J48" s="247"/>
      <c r="K48" s="247"/>
      <c r="L48" s="247"/>
      <c r="M48" s="247"/>
      <c r="N48" s="247"/>
      <c r="O48" s="248"/>
      <c r="Q48" s="5"/>
      <c r="R48" s="5"/>
      <c r="S48" s="5"/>
      <c r="T48" s="5"/>
      <c r="U48" s="5"/>
      <c r="AA48" s="303"/>
      <c r="AB48" s="303"/>
    </row>
    <row r="49" spans="2:28">
      <c r="B49" s="41"/>
      <c r="C49" s="17"/>
      <c r="D49" s="17"/>
      <c r="E49" s="17"/>
      <c r="F49" s="17"/>
      <c r="G49" s="17"/>
      <c r="H49" s="17"/>
      <c r="I49" s="17"/>
      <c r="J49" s="17"/>
      <c r="K49" s="17"/>
      <c r="L49" s="17"/>
      <c r="M49" s="17"/>
      <c r="N49" s="17"/>
      <c r="O49" s="248"/>
      <c r="Q49" s="5"/>
      <c r="R49" s="5"/>
      <c r="S49" s="5"/>
      <c r="T49" s="5"/>
      <c r="U49" s="5"/>
      <c r="W49" s="10"/>
      <c r="X49" s="10"/>
      <c r="AA49" s="303"/>
      <c r="AB49" s="303"/>
    </row>
    <row r="50" spans="2:28">
      <c r="B50" s="5"/>
      <c r="C50" s="257"/>
      <c r="D50" s="257"/>
      <c r="E50" s="257"/>
      <c r="F50" s="5"/>
      <c r="G50" s="41"/>
      <c r="H50" s="249"/>
      <c r="I50" s="259"/>
      <c r="J50" s="249"/>
      <c r="K50" s="249"/>
      <c r="L50" s="249"/>
      <c r="M50" s="249"/>
      <c r="N50" s="249"/>
      <c r="O50" s="250"/>
      <c r="Q50" s="5"/>
      <c r="R50" s="5"/>
      <c r="S50" s="5"/>
      <c r="T50" s="5"/>
      <c r="U50" s="5"/>
      <c r="W50" s="10"/>
      <c r="X50" s="10"/>
      <c r="Y50" s="10"/>
      <c r="Z50" s="10"/>
    </row>
    <row r="51" spans="2:28">
      <c r="B51" s="41"/>
      <c r="C51" s="249"/>
      <c r="D51" s="254"/>
      <c r="E51" s="254"/>
      <c r="F51" s="254"/>
      <c r="G51" s="254"/>
      <c r="H51" s="254"/>
      <c r="I51" s="254"/>
      <c r="J51" s="254"/>
      <c r="K51" s="254"/>
      <c r="L51" s="254"/>
      <c r="M51" s="254"/>
      <c r="N51" s="254"/>
      <c r="O51" s="251"/>
      <c r="Q51" s="5"/>
      <c r="R51" s="5"/>
      <c r="S51" s="5"/>
      <c r="T51" s="5"/>
      <c r="U51" s="5"/>
      <c r="Y51" s="10"/>
      <c r="Z51" s="10"/>
    </row>
    <row r="52" spans="2:28">
      <c r="B52" s="5"/>
      <c r="C52" s="257"/>
      <c r="D52" s="17"/>
      <c r="E52" s="17"/>
      <c r="F52" s="17"/>
      <c r="G52" s="17"/>
      <c r="H52" s="17"/>
      <c r="I52" s="17"/>
      <c r="J52" s="17"/>
      <c r="K52" s="17"/>
      <c r="L52" s="17"/>
      <c r="M52" s="17"/>
      <c r="N52" s="17"/>
      <c r="O52" s="248"/>
      <c r="Q52" s="5"/>
      <c r="R52" s="5"/>
      <c r="S52" s="5"/>
      <c r="T52" s="5"/>
      <c r="U52" s="5"/>
    </row>
    <row r="53" spans="2:28">
      <c r="B53" s="5"/>
      <c r="C53" s="257"/>
      <c r="D53" s="257"/>
      <c r="E53" s="257"/>
      <c r="F53" s="5"/>
      <c r="G53" s="5"/>
      <c r="H53" s="259"/>
      <c r="I53" s="259"/>
      <c r="J53" s="254"/>
      <c r="K53" s="254"/>
      <c r="L53" s="254"/>
      <c r="M53" s="254"/>
      <c r="N53" s="254"/>
      <c r="O53" s="251"/>
      <c r="Q53" s="5"/>
      <c r="R53" s="5"/>
      <c r="S53" s="5"/>
      <c r="T53" s="5"/>
      <c r="U53" s="5"/>
    </row>
    <row r="54" spans="2:28">
      <c r="B54" s="41"/>
      <c r="C54" s="249"/>
      <c r="D54" s="254"/>
      <c r="E54" s="254"/>
      <c r="F54" s="254"/>
      <c r="G54" s="254"/>
      <c r="H54" s="254"/>
      <c r="I54" s="249"/>
      <c r="J54" s="17"/>
      <c r="K54" s="17"/>
      <c r="L54" s="17"/>
      <c r="M54" s="17"/>
      <c r="N54" s="17"/>
      <c r="O54" s="18"/>
      <c r="Q54" s="5"/>
      <c r="R54" s="5"/>
      <c r="S54" s="5"/>
      <c r="T54" s="5"/>
      <c r="U54" s="5"/>
    </row>
    <row r="55" spans="2:28">
      <c r="B55" s="5"/>
      <c r="C55" s="257"/>
      <c r="D55" s="17"/>
      <c r="E55" s="17"/>
      <c r="F55" s="17"/>
      <c r="G55" s="17"/>
      <c r="H55" s="17"/>
      <c r="I55" s="248"/>
      <c r="J55" s="259"/>
      <c r="K55" s="259"/>
      <c r="L55" s="259"/>
      <c r="M55" s="259"/>
      <c r="N55" s="259"/>
      <c r="O55" s="18"/>
      <c r="Q55" s="5"/>
      <c r="R55" s="5"/>
      <c r="S55" s="5"/>
      <c r="T55" s="5"/>
      <c r="U55" s="5"/>
    </row>
    <row r="56" spans="2:28">
      <c r="B56" s="5"/>
      <c r="C56" s="248"/>
      <c r="D56" s="248"/>
      <c r="E56" s="248"/>
      <c r="F56" s="5"/>
      <c r="G56" s="5"/>
      <c r="H56" s="259"/>
      <c r="I56" s="5"/>
      <c r="J56" s="249"/>
      <c r="K56" s="249"/>
      <c r="L56" s="249"/>
      <c r="M56" s="249"/>
      <c r="N56" s="249"/>
      <c r="O56" s="251"/>
      <c r="Q56" s="5"/>
      <c r="R56" s="5"/>
      <c r="S56" s="5"/>
      <c r="T56" s="5"/>
      <c r="U56" s="5"/>
    </row>
    <row r="57" spans="2:28">
      <c r="B57" s="41"/>
      <c r="C57" s="249"/>
      <c r="D57" s="249"/>
      <c r="E57" s="249"/>
      <c r="F57" s="249"/>
      <c r="G57" s="249"/>
      <c r="H57" s="249"/>
      <c r="I57" s="17"/>
      <c r="J57" s="248"/>
      <c r="K57" s="248"/>
      <c r="L57" s="248"/>
      <c r="M57" s="248"/>
      <c r="N57" s="248"/>
      <c r="O57" s="18"/>
      <c r="Q57" s="5"/>
      <c r="R57" s="5"/>
      <c r="S57" s="5"/>
      <c r="T57" s="5"/>
      <c r="U57" s="5"/>
    </row>
    <row r="58" spans="2:28">
      <c r="B58" s="5"/>
      <c r="C58" s="5"/>
      <c r="D58" s="248"/>
      <c r="E58" s="248"/>
      <c r="F58" s="248"/>
      <c r="G58" s="248"/>
      <c r="H58" s="248"/>
      <c r="I58" s="5"/>
      <c r="J58" s="5"/>
      <c r="K58" s="5"/>
      <c r="L58" s="5"/>
      <c r="M58" s="5"/>
      <c r="N58" s="5"/>
      <c r="O58" s="5"/>
      <c r="Q58" s="5"/>
      <c r="R58" s="5"/>
      <c r="S58" s="5"/>
      <c r="T58" s="5"/>
      <c r="U58" s="5"/>
    </row>
    <row r="59" spans="2:28">
      <c r="B59" s="5"/>
      <c r="C59" s="5"/>
      <c r="D59" s="5"/>
      <c r="E59" s="5"/>
      <c r="F59" s="5"/>
      <c r="G59" s="5"/>
      <c r="H59" s="5"/>
      <c r="I59" s="249"/>
      <c r="J59" s="17"/>
      <c r="K59" s="17"/>
      <c r="L59" s="17"/>
      <c r="M59" s="17"/>
      <c r="N59" s="17"/>
      <c r="O59" s="251"/>
      <c r="Q59" s="5"/>
      <c r="R59" s="5"/>
      <c r="S59" s="5"/>
      <c r="T59" s="5"/>
      <c r="U59" s="5"/>
    </row>
    <row r="60" spans="2:28">
      <c r="B60" s="41"/>
      <c r="C60" s="17"/>
      <c r="D60" s="17"/>
      <c r="E60" s="17"/>
      <c r="F60" s="17"/>
      <c r="G60" s="17"/>
      <c r="H60" s="17"/>
      <c r="I60" s="5"/>
      <c r="J60" s="5"/>
      <c r="K60" s="5"/>
      <c r="L60" s="5"/>
      <c r="M60" s="5"/>
      <c r="N60" s="5"/>
      <c r="O60" s="5"/>
      <c r="Q60" s="41"/>
      <c r="R60" s="5"/>
      <c r="S60" s="5"/>
      <c r="T60" s="5"/>
      <c r="U60" s="5"/>
    </row>
    <row r="61" spans="2:28">
      <c r="B61" s="5"/>
      <c r="C61" s="5"/>
      <c r="D61" s="5"/>
      <c r="E61" s="5"/>
      <c r="F61" s="5"/>
      <c r="G61" s="5"/>
      <c r="H61" s="5"/>
      <c r="I61" s="5"/>
      <c r="J61" s="249"/>
      <c r="K61" s="249"/>
      <c r="L61" s="249"/>
      <c r="M61" s="249"/>
      <c r="N61" s="249"/>
      <c r="O61" s="251"/>
      <c r="Q61" s="5"/>
      <c r="R61" s="5"/>
      <c r="S61" s="5"/>
      <c r="T61" s="5"/>
      <c r="U61" s="5"/>
    </row>
    <row r="62" spans="2:28">
      <c r="B62" s="41"/>
      <c r="C62" s="249"/>
      <c r="D62" s="249"/>
      <c r="E62" s="249"/>
      <c r="F62" s="249"/>
      <c r="G62" s="249"/>
      <c r="H62" s="249"/>
      <c r="I62" s="254"/>
      <c r="J62" s="5"/>
      <c r="K62" s="5"/>
      <c r="L62" s="5"/>
      <c r="M62" s="5"/>
      <c r="N62" s="5"/>
      <c r="O62" s="5"/>
      <c r="Q62" s="5"/>
      <c r="R62" s="5"/>
      <c r="S62" s="5"/>
      <c r="T62" s="5"/>
      <c r="U62" s="5"/>
    </row>
    <row r="63" spans="2:28">
      <c r="B63" s="5"/>
      <c r="C63" s="5"/>
      <c r="D63" s="5"/>
      <c r="E63" s="5"/>
      <c r="F63" s="5"/>
      <c r="G63" s="5"/>
      <c r="H63" s="5"/>
      <c r="I63" s="17"/>
      <c r="J63" s="5"/>
      <c r="K63" s="5"/>
      <c r="L63" s="5"/>
      <c r="M63" s="5"/>
      <c r="N63" s="5"/>
      <c r="O63" s="5"/>
      <c r="Q63" s="5"/>
      <c r="R63" s="5"/>
      <c r="S63" s="5"/>
      <c r="T63" s="5"/>
      <c r="U63" s="5"/>
    </row>
    <row r="64" spans="2:28">
      <c r="B64" s="5"/>
      <c r="C64" s="5"/>
      <c r="D64" s="5"/>
      <c r="E64" s="5"/>
      <c r="F64" s="5"/>
      <c r="G64" s="5"/>
      <c r="H64" s="5"/>
      <c r="I64" s="254"/>
      <c r="J64" s="254"/>
      <c r="K64" s="254"/>
      <c r="L64" s="254"/>
      <c r="M64" s="254"/>
      <c r="N64" s="254"/>
      <c r="O64" s="251"/>
      <c r="Q64" s="5"/>
      <c r="R64" s="5"/>
      <c r="S64" s="5"/>
      <c r="T64" s="5"/>
      <c r="U64" s="5"/>
    </row>
    <row r="65" spans="2:26">
      <c r="B65" s="41"/>
      <c r="C65" s="249"/>
      <c r="D65" s="254"/>
      <c r="E65" s="254"/>
      <c r="F65" s="254"/>
      <c r="G65" s="254"/>
      <c r="H65" s="254"/>
      <c r="I65" s="248"/>
      <c r="J65" s="17"/>
      <c r="K65" s="17"/>
      <c r="L65" s="17"/>
      <c r="M65" s="17"/>
      <c r="N65" s="17"/>
      <c r="O65" s="5"/>
      <c r="Q65" s="5"/>
      <c r="R65" s="5"/>
      <c r="S65" s="5"/>
      <c r="T65" s="5"/>
      <c r="U65" s="5"/>
    </row>
    <row r="66" spans="2:26">
      <c r="B66" s="5"/>
      <c r="C66" s="5"/>
      <c r="D66" s="17"/>
      <c r="E66" s="17"/>
      <c r="F66" s="17"/>
      <c r="G66" s="17"/>
      <c r="H66" s="17"/>
      <c r="I66" s="5"/>
      <c r="J66" s="254"/>
      <c r="K66" s="254"/>
      <c r="L66" s="254"/>
      <c r="M66" s="254"/>
      <c r="N66" s="254"/>
      <c r="O66" s="251"/>
      <c r="Q66" s="41"/>
      <c r="R66" s="5"/>
      <c r="S66" s="5"/>
      <c r="T66" s="5"/>
      <c r="U66" s="5"/>
    </row>
    <row r="67" spans="2:26">
      <c r="B67" s="41"/>
      <c r="C67" s="249"/>
      <c r="D67" s="254"/>
      <c r="E67" s="254"/>
      <c r="F67" s="254"/>
      <c r="G67" s="254"/>
      <c r="H67" s="254"/>
      <c r="I67" s="245"/>
      <c r="J67" s="248"/>
      <c r="K67" s="248"/>
      <c r="L67" s="248"/>
      <c r="M67" s="248"/>
      <c r="N67" s="248"/>
      <c r="O67" s="5"/>
      <c r="Q67" s="5"/>
      <c r="R67" s="5"/>
      <c r="S67" s="5"/>
      <c r="T67" s="5"/>
      <c r="U67" s="5"/>
    </row>
    <row r="68" spans="2:26">
      <c r="B68" s="5"/>
      <c r="C68" s="5"/>
      <c r="D68" s="248"/>
      <c r="E68" s="248"/>
      <c r="F68" s="248"/>
      <c r="G68" s="248"/>
      <c r="H68" s="248"/>
      <c r="I68" s="248"/>
      <c r="J68" s="5"/>
      <c r="K68" s="5"/>
      <c r="L68" s="5"/>
      <c r="M68" s="5"/>
      <c r="N68" s="5"/>
      <c r="O68" s="5"/>
      <c r="Q68" s="5"/>
      <c r="R68" s="5"/>
      <c r="S68" s="5"/>
      <c r="T68" s="5"/>
      <c r="U68" s="5"/>
    </row>
    <row r="69" spans="2:26">
      <c r="B69" s="41"/>
      <c r="C69" s="5"/>
      <c r="D69" s="5"/>
      <c r="E69" s="5"/>
      <c r="F69" s="5"/>
      <c r="G69" s="5"/>
      <c r="H69" s="5"/>
      <c r="I69" s="5"/>
      <c r="J69" s="245"/>
      <c r="K69" s="245"/>
      <c r="L69" s="245"/>
      <c r="M69" s="245"/>
      <c r="N69" s="245"/>
      <c r="O69" s="251"/>
      <c r="Q69" s="5"/>
      <c r="R69" s="5"/>
      <c r="S69" s="5"/>
      <c r="T69" s="5"/>
      <c r="U69" s="5"/>
      <c r="W69" s="76"/>
      <c r="X69" s="76"/>
    </row>
    <row r="70" spans="2:26">
      <c r="B70" s="41"/>
      <c r="C70" s="245"/>
      <c r="D70" s="245"/>
      <c r="E70" s="245"/>
      <c r="F70" s="245"/>
      <c r="G70" s="245"/>
      <c r="H70" s="245"/>
      <c r="I70" s="245"/>
      <c r="J70" s="248"/>
      <c r="K70" s="248"/>
      <c r="L70" s="248"/>
      <c r="M70" s="248"/>
      <c r="N70" s="248"/>
      <c r="O70" s="5"/>
      <c r="Q70" s="5"/>
      <c r="R70" s="5"/>
      <c r="S70" s="5"/>
      <c r="T70" s="5"/>
      <c r="U70" s="5"/>
      <c r="W70" s="76"/>
      <c r="X70" s="76"/>
      <c r="Y70" s="76"/>
      <c r="Z70" s="76"/>
    </row>
    <row r="71" spans="2:26">
      <c r="B71" s="5"/>
      <c r="C71" s="5"/>
      <c r="D71" s="248"/>
      <c r="E71" s="248"/>
      <c r="F71" s="248"/>
      <c r="G71" s="248"/>
      <c r="H71" s="248"/>
      <c r="I71" s="18"/>
      <c r="J71" s="5"/>
      <c r="K71" s="5"/>
      <c r="L71" s="5"/>
      <c r="M71" s="5"/>
      <c r="N71" s="5"/>
      <c r="O71" s="5"/>
      <c r="Q71" s="5"/>
      <c r="R71" s="5"/>
      <c r="S71" s="5"/>
      <c r="T71" s="5"/>
      <c r="U71" s="5"/>
      <c r="Y71" s="76"/>
      <c r="Z71" s="76"/>
    </row>
    <row r="72" spans="2:26">
      <c r="B72" s="41"/>
      <c r="C72" s="5"/>
      <c r="D72" s="5"/>
      <c r="E72" s="5"/>
      <c r="F72" s="5"/>
      <c r="G72" s="5"/>
      <c r="H72" s="5"/>
      <c r="I72" s="5"/>
      <c r="J72" s="245"/>
      <c r="K72" s="245"/>
      <c r="L72" s="245"/>
      <c r="M72" s="245"/>
      <c r="N72" s="245"/>
      <c r="O72" s="251"/>
      <c r="Q72" s="5"/>
      <c r="R72" s="5"/>
      <c r="S72" s="5"/>
      <c r="T72" s="5"/>
      <c r="U72" s="5"/>
    </row>
    <row r="73" spans="2:26">
      <c r="B73" s="41"/>
      <c r="C73" s="245"/>
      <c r="D73" s="245"/>
      <c r="E73" s="245"/>
      <c r="F73" s="245"/>
      <c r="G73" s="245"/>
      <c r="H73" s="245"/>
      <c r="I73" s="249"/>
      <c r="J73" s="18"/>
      <c r="K73" s="18"/>
      <c r="L73" s="18"/>
      <c r="M73" s="18"/>
      <c r="N73" s="18"/>
      <c r="O73" s="5"/>
      <c r="Q73" s="5"/>
      <c r="R73" s="5"/>
      <c r="S73" s="5"/>
      <c r="T73" s="5"/>
      <c r="U73" s="5"/>
    </row>
    <row r="74" spans="2:26">
      <c r="B74" s="5"/>
      <c r="C74" s="5"/>
      <c r="D74" s="18"/>
      <c r="E74" s="18"/>
      <c r="F74" s="18"/>
      <c r="G74" s="18"/>
      <c r="H74" s="18"/>
      <c r="I74" s="248"/>
      <c r="J74" s="5"/>
      <c r="K74" s="5"/>
      <c r="L74" s="5"/>
      <c r="M74" s="5"/>
      <c r="N74" s="5"/>
      <c r="O74" s="5"/>
      <c r="Q74" s="5"/>
      <c r="R74" s="5"/>
      <c r="S74" s="5"/>
      <c r="T74" s="5"/>
      <c r="U74" s="5"/>
    </row>
    <row r="75" spans="2:26">
      <c r="B75" s="41"/>
      <c r="C75" s="5"/>
      <c r="D75" s="5"/>
      <c r="E75" s="5"/>
      <c r="F75" s="5"/>
      <c r="G75" s="5"/>
      <c r="H75" s="5"/>
      <c r="I75" s="5"/>
      <c r="J75" s="249"/>
      <c r="K75" s="249"/>
      <c r="L75" s="249"/>
      <c r="M75" s="249"/>
      <c r="N75" s="249"/>
      <c r="O75" s="251"/>
      <c r="Q75" s="5"/>
      <c r="R75" s="5"/>
      <c r="S75" s="5"/>
      <c r="T75" s="5"/>
      <c r="U75" s="5"/>
    </row>
    <row r="76" spans="2:26">
      <c r="B76" s="41"/>
      <c r="C76" s="249"/>
      <c r="D76" s="249"/>
      <c r="E76" s="249"/>
      <c r="F76" s="249"/>
      <c r="G76" s="249"/>
      <c r="H76" s="249"/>
      <c r="I76" s="245"/>
      <c r="J76" s="248"/>
      <c r="K76" s="248"/>
      <c r="L76" s="248"/>
      <c r="M76" s="248"/>
      <c r="N76" s="248"/>
      <c r="O76" s="5"/>
      <c r="Q76" s="5"/>
      <c r="R76" s="5"/>
      <c r="S76" s="5"/>
      <c r="T76" s="5"/>
      <c r="U76" s="5"/>
    </row>
    <row r="77" spans="2:26">
      <c r="B77" s="5"/>
      <c r="C77" s="5"/>
      <c r="D77" s="248"/>
      <c r="E77" s="248"/>
      <c r="F77" s="248"/>
      <c r="G77" s="248"/>
      <c r="H77" s="248"/>
      <c r="I77" s="248"/>
      <c r="J77" s="5"/>
      <c r="K77" s="5"/>
      <c r="L77" s="5"/>
      <c r="M77" s="5"/>
      <c r="N77" s="5"/>
      <c r="O77" s="5"/>
      <c r="Q77" s="5"/>
      <c r="R77" s="5"/>
      <c r="S77" s="5"/>
      <c r="T77" s="5"/>
      <c r="U77" s="5"/>
    </row>
    <row r="78" spans="2:26">
      <c r="B78" s="41"/>
      <c r="C78" s="5"/>
      <c r="D78" s="5"/>
      <c r="E78" s="5"/>
      <c r="F78" s="5"/>
      <c r="G78" s="5"/>
      <c r="H78" s="5"/>
      <c r="I78" s="5"/>
      <c r="J78" s="245"/>
      <c r="K78" s="245"/>
      <c r="L78" s="245"/>
      <c r="M78" s="245"/>
      <c r="N78" s="245"/>
      <c r="O78" s="251"/>
      <c r="Q78" s="5"/>
      <c r="R78" s="5"/>
      <c r="S78" s="5"/>
      <c r="T78" s="5"/>
      <c r="U78" s="5"/>
    </row>
    <row r="79" spans="2:26">
      <c r="B79" s="41"/>
      <c r="C79" s="245"/>
      <c r="D79" s="245"/>
      <c r="E79" s="245"/>
      <c r="F79" s="245"/>
      <c r="G79" s="245"/>
      <c r="H79" s="245"/>
      <c r="I79" s="249"/>
      <c r="J79" s="248"/>
      <c r="K79" s="248"/>
      <c r="L79" s="248"/>
      <c r="M79" s="248"/>
      <c r="N79" s="248"/>
      <c r="O79" s="5"/>
      <c r="Q79" s="5"/>
      <c r="R79" s="5"/>
      <c r="S79" s="5"/>
      <c r="T79" s="5"/>
      <c r="U79" s="5"/>
    </row>
    <row r="80" spans="2:26">
      <c r="B80" s="5"/>
      <c r="C80" s="5"/>
      <c r="D80" s="248"/>
      <c r="E80" s="248"/>
      <c r="F80" s="248"/>
      <c r="G80" s="248"/>
      <c r="H80" s="248"/>
      <c r="I80" s="248"/>
      <c r="J80" s="5"/>
      <c r="K80" s="5"/>
      <c r="L80" s="5"/>
      <c r="M80" s="5"/>
      <c r="N80" s="5"/>
      <c r="O80" s="5"/>
      <c r="Q80" s="5"/>
      <c r="R80" s="5"/>
      <c r="S80" s="5"/>
      <c r="T80" s="5"/>
      <c r="U80" s="5"/>
    </row>
    <row r="81" spans="2:26">
      <c r="B81" s="41"/>
      <c r="C81" s="5"/>
      <c r="D81" s="5"/>
      <c r="E81" s="5"/>
      <c r="F81" s="5"/>
      <c r="G81" s="5"/>
      <c r="H81" s="5"/>
      <c r="I81" s="259"/>
      <c r="J81" s="249"/>
      <c r="K81" s="249"/>
      <c r="L81" s="249"/>
      <c r="M81" s="249"/>
      <c r="N81" s="249"/>
      <c r="O81" s="251"/>
      <c r="Q81" s="5"/>
      <c r="R81" s="5"/>
      <c r="S81" s="5"/>
      <c r="T81" s="5"/>
      <c r="U81" s="5"/>
    </row>
    <row r="82" spans="2:26">
      <c r="B82" s="41"/>
      <c r="C82" s="249"/>
      <c r="D82" s="249"/>
      <c r="E82" s="249"/>
      <c r="F82" s="249"/>
      <c r="G82" s="249"/>
      <c r="H82" s="249"/>
      <c r="I82" s="5"/>
      <c r="J82" s="248"/>
      <c r="K82" s="248"/>
      <c r="L82" s="248"/>
      <c r="M82" s="248"/>
      <c r="N82" s="248"/>
      <c r="O82" s="5"/>
      <c r="Q82" s="5"/>
      <c r="R82" s="5"/>
      <c r="S82" s="5"/>
      <c r="T82" s="5"/>
      <c r="U82" s="5"/>
    </row>
    <row r="83" spans="2:26">
      <c r="B83" s="5"/>
      <c r="C83" s="5"/>
      <c r="D83" s="248"/>
      <c r="E83" s="248"/>
      <c r="F83" s="248"/>
      <c r="G83" s="248"/>
      <c r="H83" s="248"/>
      <c r="I83" s="245"/>
      <c r="J83" s="259"/>
      <c r="K83" s="259"/>
      <c r="L83" s="259"/>
      <c r="M83" s="259"/>
      <c r="N83" s="259"/>
      <c r="O83" s="251"/>
      <c r="Q83" s="5"/>
      <c r="R83" s="5"/>
      <c r="S83" s="5"/>
      <c r="T83" s="5"/>
      <c r="U83" s="5"/>
    </row>
    <row r="84" spans="2:26">
      <c r="B84" s="5"/>
      <c r="C84" s="259"/>
      <c r="D84" s="259"/>
      <c r="E84" s="259"/>
      <c r="F84" s="259"/>
      <c r="G84" s="259"/>
      <c r="H84" s="259"/>
      <c r="I84" s="248"/>
      <c r="J84" s="5"/>
      <c r="K84" s="5"/>
      <c r="L84" s="5"/>
      <c r="M84" s="5"/>
      <c r="N84" s="5"/>
      <c r="O84" s="5"/>
      <c r="Q84" s="5"/>
      <c r="R84" s="5"/>
      <c r="S84" s="5"/>
      <c r="T84" s="5"/>
      <c r="U84" s="5"/>
    </row>
    <row r="85" spans="2:26">
      <c r="B85" s="41"/>
      <c r="C85" s="5"/>
      <c r="D85" s="5"/>
      <c r="E85" s="5"/>
      <c r="F85" s="5"/>
      <c r="G85" s="5"/>
      <c r="H85" s="5"/>
      <c r="I85" s="5"/>
      <c r="J85" s="245"/>
      <c r="K85" s="245"/>
      <c r="L85" s="245"/>
      <c r="M85" s="245"/>
      <c r="N85" s="245"/>
      <c r="O85" s="251"/>
      <c r="Q85" s="5"/>
      <c r="R85" s="5"/>
      <c r="S85" s="5"/>
      <c r="T85" s="5"/>
      <c r="U85" s="5"/>
    </row>
    <row r="86" spans="2:26">
      <c r="B86" s="41"/>
      <c r="C86" s="245"/>
      <c r="D86" s="245"/>
      <c r="E86" s="245"/>
      <c r="F86" s="245"/>
      <c r="G86" s="245"/>
      <c r="H86" s="245"/>
      <c r="I86" s="5"/>
      <c r="J86" s="248"/>
      <c r="K86" s="248"/>
      <c r="L86" s="248"/>
      <c r="M86" s="248"/>
      <c r="N86" s="248"/>
      <c r="O86" s="5"/>
      <c r="Q86" s="5"/>
      <c r="R86" s="5"/>
      <c r="S86" s="5"/>
      <c r="T86" s="5"/>
      <c r="U86" s="5"/>
    </row>
    <row r="87" spans="2:26">
      <c r="B87" s="5"/>
      <c r="C87" s="5"/>
      <c r="D87" s="248"/>
      <c r="E87" s="248"/>
      <c r="F87" s="248"/>
      <c r="G87" s="248"/>
      <c r="H87" s="248"/>
      <c r="I87" s="5"/>
      <c r="J87" s="5"/>
      <c r="K87" s="5"/>
      <c r="L87" s="5"/>
      <c r="M87" s="5"/>
      <c r="N87" s="5"/>
      <c r="O87" s="5"/>
      <c r="Q87" s="5"/>
      <c r="R87" s="5"/>
      <c r="S87" s="5"/>
      <c r="T87" s="5"/>
      <c r="U87" s="5"/>
    </row>
    <row r="88" spans="2:26">
      <c r="B88" s="41"/>
      <c r="C88" s="5"/>
      <c r="D88" s="5"/>
      <c r="E88" s="5"/>
      <c r="F88" s="5"/>
      <c r="G88" s="5"/>
      <c r="H88" s="5"/>
      <c r="I88" s="5"/>
      <c r="J88" s="5"/>
      <c r="K88" s="5"/>
      <c r="L88" s="5"/>
      <c r="M88" s="5"/>
      <c r="N88" s="5"/>
      <c r="O88" s="5"/>
      <c r="Q88" s="5"/>
      <c r="R88" s="5"/>
      <c r="S88" s="5"/>
      <c r="T88" s="5"/>
      <c r="U88" s="5"/>
    </row>
    <row r="89" spans="2:26">
      <c r="B89" s="41"/>
      <c r="C89" s="5"/>
      <c r="D89" s="5"/>
      <c r="E89" s="5"/>
      <c r="F89" s="5"/>
      <c r="G89" s="5"/>
      <c r="H89" s="5"/>
      <c r="I89" s="49"/>
      <c r="J89" s="5"/>
      <c r="K89" s="5"/>
      <c r="L89" s="5"/>
      <c r="M89" s="5"/>
      <c r="N89" s="5"/>
      <c r="O89" s="5"/>
      <c r="Q89" s="41"/>
      <c r="R89" s="5"/>
      <c r="S89" s="5"/>
      <c r="T89" s="5"/>
      <c r="U89" s="5"/>
    </row>
    <row r="90" spans="2:26">
      <c r="B90" s="41"/>
      <c r="C90" s="5"/>
      <c r="D90" s="5"/>
      <c r="E90" s="5"/>
      <c r="F90" s="5"/>
      <c r="G90" s="5"/>
      <c r="H90" s="5"/>
      <c r="I90" s="5"/>
      <c r="J90" s="5"/>
      <c r="K90" s="5"/>
      <c r="L90" s="5"/>
      <c r="M90" s="5"/>
      <c r="N90" s="5"/>
      <c r="O90" s="5"/>
      <c r="Q90" s="5"/>
      <c r="R90" s="5"/>
      <c r="S90" s="5"/>
      <c r="T90" s="5"/>
      <c r="U90" s="5"/>
    </row>
    <row r="91" spans="2:26">
      <c r="B91" s="5"/>
      <c r="C91" s="5"/>
      <c r="D91" s="5"/>
      <c r="E91" s="5"/>
      <c r="F91" s="5"/>
      <c r="G91" s="5"/>
      <c r="H91" s="5"/>
      <c r="I91" s="247"/>
      <c r="J91" s="49"/>
      <c r="K91" s="49"/>
      <c r="L91" s="49"/>
      <c r="M91" s="49"/>
      <c r="N91" s="49"/>
      <c r="O91" s="49"/>
      <c r="Q91" s="5"/>
      <c r="R91" s="5"/>
      <c r="S91" s="5"/>
      <c r="T91" s="5"/>
      <c r="U91" s="5"/>
      <c r="W91" s="21"/>
      <c r="X91" s="21"/>
    </row>
    <row r="92" spans="2:26">
      <c r="B92" s="41"/>
      <c r="C92" s="49"/>
      <c r="D92" s="49"/>
      <c r="E92" s="49"/>
      <c r="F92" s="49"/>
      <c r="G92" s="49"/>
      <c r="H92" s="49"/>
      <c r="I92" s="247"/>
      <c r="J92" s="5"/>
      <c r="K92" s="5"/>
      <c r="L92" s="5"/>
      <c r="M92" s="5"/>
      <c r="N92" s="5"/>
      <c r="O92" s="5"/>
      <c r="Q92" s="5"/>
      <c r="R92" s="5"/>
      <c r="S92" s="5"/>
      <c r="T92" s="5"/>
      <c r="U92" s="5"/>
      <c r="W92" s="21"/>
      <c r="X92" s="21"/>
      <c r="Y92" s="21"/>
      <c r="Z92" s="21"/>
    </row>
    <row r="93" spans="2:26">
      <c r="B93" s="5"/>
      <c r="C93" s="5"/>
      <c r="D93" s="5"/>
      <c r="E93" s="5"/>
      <c r="F93" s="5"/>
      <c r="G93" s="5"/>
      <c r="H93" s="5"/>
      <c r="I93" s="247"/>
      <c r="J93" s="247"/>
      <c r="K93" s="247"/>
      <c r="L93" s="247"/>
      <c r="M93" s="247"/>
      <c r="N93" s="247"/>
      <c r="O93" s="248"/>
      <c r="Q93" s="5"/>
      <c r="R93" s="5"/>
      <c r="S93" s="5"/>
      <c r="T93" s="5"/>
      <c r="U93" s="5"/>
      <c r="Y93" s="21"/>
      <c r="Z93" s="21"/>
    </row>
    <row r="94" spans="2:26">
      <c r="B94" s="5"/>
      <c r="C94" s="259"/>
      <c r="D94" s="247"/>
      <c r="E94" s="247"/>
      <c r="F94" s="247"/>
      <c r="G94" s="247"/>
      <c r="H94" s="247"/>
      <c r="I94" s="248"/>
      <c r="J94" s="247"/>
      <c r="K94" s="247"/>
      <c r="L94" s="247"/>
      <c r="M94" s="247"/>
      <c r="N94" s="247"/>
      <c r="O94" s="248"/>
      <c r="Q94" s="5"/>
      <c r="R94" s="5"/>
      <c r="S94" s="5"/>
      <c r="T94" s="5"/>
      <c r="U94" s="5"/>
    </row>
    <row r="95" spans="2:26">
      <c r="B95" s="5"/>
      <c r="C95" s="259"/>
      <c r="D95" s="247"/>
      <c r="E95" s="247"/>
      <c r="F95" s="247"/>
      <c r="G95" s="247"/>
      <c r="H95" s="247"/>
      <c r="I95" s="247"/>
      <c r="J95" s="247"/>
      <c r="K95" s="247"/>
      <c r="L95" s="247"/>
      <c r="M95" s="247"/>
      <c r="N95" s="247"/>
      <c r="O95" s="248"/>
      <c r="Q95" s="5"/>
      <c r="R95" s="5"/>
      <c r="S95" s="5"/>
      <c r="T95" s="5"/>
      <c r="U95" s="5"/>
    </row>
    <row r="96" spans="2:26">
      <c r="B96" s="5"/>
      <c r="C96" s="259"/>
      <c r="D96" s="247"/>
      <c r="E96" s="247"/>
      <c r="F96" s="247"/>
      <c r="G96" s="247"/>
      <c r="H96" s="247"/>
      <c r="I96" s="249"/>
      <c r="J96" s="248"/>
      <c r="K96" s="248"/>
      <c r="L96" s="248"/>
      <c r="M96" s="248"/>
      <c r="N96" s="248"/>
      <c r="O96" s="248"/>
      <c r="Q96" s="5"/>
      <c r="R96" s="5"/>
      <c r="S96" s="5"/>
      <c r="T96" s="5"/>
      <c r="U96" s="5"/>
    </row>
    <row r="97" spans="2:21">
      <c r="B97" s="5"/>
      <c r="C97" s="259"/>
      <c r="D97" s="248"/>
      <c r="E97" s="248"/>
      <c r="F97" s="248"/>
      <c r="G97" s="248"/>
      <c r="H97" s="248"/>
      <c r="I97" s="248"/>
      <c r="J97" s="247"/>
      <c r="K97" s="247"/>
      <c r="L97" s="247"/>
      <c r="M97" s="247"/>
      <c r="N97" s="247"/>
      <c r="O97" s="248"/>
      <c r="Q97" s="5"/>
      <c r="R97" s="5"/>
      <c r="S97" s="5"/>
      <c r="T97" s="5"/>
      <c r="U97" s="5"/>
    </row>
    <row r="98" spans="2:21">
      <c r="B98" s="5"/>
      <c r="C98" s="259"/>
      <c r="D98" s="247"/>
      <c r="E98" s="247"/>
      <c r="F98" s="247"/>
      <c r="G98" s="247"/>
      <c r="H98" s="247"/>
      <c r="I98" s="5"/>
      <c r="J98" s="249"/>
      <c r="K98" s="249"/>
      <c r="L98" s="249"/>
      <c r="M98" s="249"/>
      <c r="N98" s="249"/>
      <c r="O98" s="248"/>
      <c r="Q98" s="5"/>
      <c r="R98" s="5"/>
      <c r="S98" s="5"/>
      <c r="T98" s="5"/>
      <c r="U98" s="5"/>
    </row>
    <row r="99" spans="2:21">
      <c r="B99" s="41"/>
      <c r="C99" s="249"/>
      <c r="D99" s="249"/>
      <c r="E99" s="249"/>
      <c r="F99" s="249"/>
      <c r="G99" s="249"/>
      <c r="H99" s="249"/>
      <c r="I99" s="259"/>
      <c r="J99" s="248"/>
      <c r="K99" s="248"/>
      <c r="L99" s="248"/>
      <c r="M99" s="248"/>
      <c r="N99" s="248"/>
      <c r="O99" s="248"/>
      <c r="Q99" s="5"/>
      <c r="R99" s="5"/>
      <c r="S99" s="5"/>
      <c r="T99" s="5"/>
      <c r="U99" s="5"/>
    </row>
    <row r="100" spans="2:21" s="5" customFormat="1">
      <c r="B100" s="41"/>
      <c r="C100" s="257"/>
      <c r="D100" s="248"/>
      <c r="E100" s="248"/>
      <c r="F100" s="248"/>
      <c r="G100" s="248"/>
      <c r="H100" s="248"/>
      <c r="I100" s="259"/>
      <c r="O100" s="248"/>
      <c r="P100" s="39"/>
    </row>
    <row r="101" spans="2:21">
      <c r="B101" s="41"/>
      <c r="C101" s="5"/>
      <c r="D101" s="5"/>
      <c r="E101" s="5"/>
      <c r="F101" s="5"/>
      <c r="G101" s="5"/>
      <c r="H101" s="5"/>
      <c r="I101" s="247"/>
      <c r="J101" s="259"/>
      <c r="K101" s="259"/>
      <c r="L101" s="259"/>
      <c r="M101" s="259"/>
      <c r="N101" s="259"/>
      <c r="O101" s="5"/>
      <c r="Q101" s="5"/>
      <c r="R101" s="5"/>
      <c r="S101" s="5"/>
      <c r="T101" s="5"/>
      <c r="U101" s="5"/>
    </row>
    <row r="102" spans="2:21">
      <c r="B102" s="5"/>
      <c r="C102" s="259"/>
      <c r="D102" s="259"/>
      <c r="E102" s="259"/>
      <c r="F102" s="259"/>
      <c r="G102" s="259"/>
      <c r="H102" s="259"/>
      <c r="I102" s="5"/>
      <c r="J102" s="259"/>
      <c r="K102" s="259"/>
      <c r="L102" s="259"/>
      <c r="M102" s="259"/>
      <c r="N102" s="259"/>
      <c r="O102" s="5"/>
      <c r="P102" s="5"/>
      <c r="Q102" s="5"/>
      <c r="R102" s="5"/>
      <c r="S102" s="5"/>
      <c r="T102" s="5"/>
      <c r="U102" s="5"/>
    </row>
    <row r="103" spans="2:21">
      <c r="B103" s="5"/>
      <c r="C103" s="259"/>
      <c r="D103" s="259"/>
      <c r="E103" s="259"/>
      <c r="F103" s="259"/>
      <c r="G103" s="259"/>
      <c r="H103" s="259"/>
      <c r="I103" s="247"/>
      <c r="J103" s="247"/>
      <c r="K103" s="247"/>
      <c r="L103" s="247"/>
      <c r="M103" s="247"/>
      <c r="N103" s="247"/>
      <c r="O103" s="5"/>
      <c r="Q103" s="5"/>
      <c r="R103" s="5"/>
      <c r="S103" s="5"/>
      <c r="T103" s="5"/>
      <c r="U103" s="5"/>
    </row>
    <row r="104" spans="2:21" s="5" customFormat="1">
      <c r="C104" s="247"/>
      <c r="D104" s="247"/>
      <c r="E104" s="247"/>
      <c r="F104" s="247"/>
      <c r="G104" s="247"/>
      <c r="H104" s="247"/>
      <c r="P104" s="39"/>
    </row>
    <row r="105" spans="2:21" s="5" customFormat="1">
      <c r="I105" s="259"/>
      <c r="J105" s="247"/>
      <c r="K105" s="247"/>
      <c r="L105" s="247"/>
      <c r="M105" s="247"/>
      <c r="N105" s="247"/>
      <c r="P105" s="39"/>
    </row>
    <row r="106" spans="2:21">
      <c r="B106" s="5"/>
      <c r="C106" s="259"/>
      <c r="D106" s="247"/>
      <c r="E106" s="247"/>
      <c r="F106" s="247"/>
      <c r="G106" s="247"/>
      <c r="H106" s="247"/>
      <c r="I106" s="247"/>
      <c r="J106" s="5"/>
      <c r="K106" s="5"/>
      <c r="L106" s="5"/>
      <c r="M106" s="5"/>
      <c r="N106" s="5"/>
      <c r="O106" s="5"/>
      <c r="P106" s="5"/>
      <c r="Q106" s="5"/>
      <c r="R106" s="5"/>
      <c r="S106" s="5"/>
      <c r="T106" s="5"/>
      <c r="U106" s="5"/>
    </row>
    <row r="107" spans="2:21">
      <c r="B107" s="5"/>
      <c r="C107" s="259"/>
      <c r="D107" s="5"/>
      <c r="E107" s="5"/>
      <c r="F107" s="5"/>
      <c r="G107" s="5"/>
      <c r="H107" s="5"/>
      <c r="I107" s="249"/>
      <c r="J107" s="259"/>
      <c r="K107" s="259"/>
      <c r="L107" s="259"/>
      <c r="M107" s="259"/>
      <c r="N107" s="259"/>
      <c r="O107" s="5"/>
      <c r="P107" s="5"/>
      <c r="Q107" s="5"/>
      <c r="R107" s="5"/>
      <c r="S107" s="5"/>
      <c r="T107" s="5"/>
      <c r="U107" s="5"/>
    </row>
    <row r="108" spans="2:21">
      <c r="B108" s="5"/>
      <c r="C108" s="259"/>
      <c r="D108" s="259"/>
      <c r="E108" s="259"/>
      <c r="F108" s="259"/>
      <c r="G108" s="259"/>
      <c r="H108" s="259"/>
      <c r="I108" s="249"/>
      <c r="J108" s="247"/>
      <c r="K108" s="247"/>
      <c r="L108" s="247"/>
      <c r="M108" s="247"/>
      <c r="N108" s="247"/>
      <c r="O108" s="5"/>
      <c r="Q108" s="5"/>
      <c r="R108" s="5"/>
      <c r="S108" s="5"/>
      <c r="T108" s="5"/>
      <c r="U108" s="5"/>
    </row>
    <row r="109" spans="2:21">
      <c r="B109" s="5"/>
      <c r="C109" s="247"/>
      <c r="D109" s="247"/>
      <c r="E109" s="247"/>
      <c r="F109" s="247"/>
      <c r="G109" s="247"/>
      <c r="H109" s="247"/>
      <c r="I109" s="247"/>
      <c r="J109" s="249"/>
      <c r="K109" s="249"/>
      <c r="L109" s="249"/>
      <c r="M109" s="249"/>
      <c r="N109" s="249"/>
      <c r="O109" s="5"/>
      <c r="Q109" s="5"/>
      <c r="R109" s="5"/>
      <c r="S109" s="5"/>
      <c r="T109" s="5"/>
      <c r="U109" s="5"/>
    </row>
    <row r="110" spans="2:21">
      <c r="B110" s="41"/>
      <c r="C110" s="249"/>
      <c r="D110" s="249"/>
      <c r="E110" s="249"/>
      <c r="F110" s="249"/>
      <c r="G110" s="249"/>
      <c r="H110" s="249"/>
      <c r="I110" s="5"/>
      <c r="J110" s="249"/>
      <c r="K110" s="249"/>
      <c r="L110" s="249"/>
      <c r="M110" s="249"/>
      <c r="N110" s="249"/>
      <c r="O110" s="5"/>
      <c r="Q110" s="5"/>
      <c r="R110" s="5"/>
      <c r="S110" s="5"/>
      <c r="T110" s="5"/>
      <c r="U110" s="5"/>
    </row>
    <row r="111" spans="2:21">
      <c r="B111" s="5"/>
      <c r="C111" s="249"/>
      <c r="D111" s="249"/>
      <c r="E111" s="249"/>
      <c r="F111" s="249"/>
      <c r="G111" s="249"/>
      <c r="H111" s="249"/>
      <c r="I111" s="5"/>
      <c r="J111" s="247"/>
      <c r="K111" s="247"/>
      <c r="L111" s="247"/>
      <c r="M111" s="247"/>
      <c r="N111" s="247"/>
      <c r="O111" s="5"/>
      <c r="Q111" s="5"/>
      <c r="R111" s="5"/>
      <c r="S111" s="5"/>
      <c r="T111" s="5"/>
      <c r="U111" s="5"/>
    </row>
    <row r="112" spans="2:21">
      <c r="B112" s="5"/>
      <c r="C112" s="247"/>
      <c r="D112" s="247"/>
      <c r="E112" s="247"/>
      <c r="F112" s="247"/>
      <c r="G112" s="247"/>
      <c r="H112" s="247"/>
      <c r="I112" s="5"/>
      <c r="J112" s="5"/>
      <c r="K112" s="5"/>
      <c r="L112" s="5"/>
      <c r="M112" s="5"/>
      <c r="N112" s="5"/>
      <c r="O112" s="5"/>
      <c r="Q112" s="5"/>
      <c r="R112" s="5"/>
      <c r="S112" s="5"/>
      <c r="T112" s="5"/>
      <c r="U112" s="5"/>
    </row>
    <row r="113" spans="2:21">
      <c r="B113" s="5"/>
      <c r="C113" s="5"/>
      <c r="D113" s="5"/>
      <c r="E113" s="5"/>
      <c r="F113" s="5"/>
      <c r="G113" s="5"/>
      <c r="H113" s="5"/>
      <c r="I113" s="5"/>
      <c r="J113" s="5"/>
      <c r="K113" s="5"/>
      <c r="L113" s="5"/>
      <c r="M113" s="5"/>
      <c r="N113" s="5"/>
      <c r="O113" s="5"/>
      <c r="Q113" s="5"/>
      <c r="R113" s="5"/>
      <c r="S113" s="5"/>
      <c r="T113" s="5"/>
      <c r="U113" s="5"/>
    </row>
    <row r="114" spans="2:21">
      <c r="B114" s="5"/>
      <c r="C114" s="5"/>
      <c r="D114" s="5"/>
      <c r="E114" s="5"/>
      <c r="F114" s="5"/>
      <c r="G114" s="5"/>
      <c r="H114" s="5"/>
      <c r="I114" s="49"/>
      <c r="J114" s="5"/>
      <c r="K114" s="5"/>
      <c r="L114" s="5"/>
      <c r="M114" s="5"/>
      <c r="N114" s="5"/>
      <c r="O114" s="5"/>
      <c r="Q114" s="41"/>
      <c r="R114" s="5"/>
      <c r="S114" s="5"/>
      <c r="T114" s="5"/>
      <c r="U114" s="5"/>
    </row>
    <row r="115" spans="2:21">
      <c r="B115" s="5"/>
      <c r="C115" s="5"/>
      <c r="D115" s="5"/>
      <c r="E115" s="5"/>
      <c r="F115" s="5"/>
      <c r="G115" s="5"/>
      <c r="H115" s="5"/>
      <c r="I115" s="5"/>
      <c r="J115" s="5"/>
      <c r="K115" s="5"/>
      <c r="L115" s="5"/>
      <c r="M115" s="5"/>
      <c r="N115" s="5"/>
      <c r="O115" s="5"/>
      <c r="Q115" s="5"/>
      <c r="R115" s="5"/>
      <c r="S115" s="5"/>
      <c r="T115" s="5"/>
      <c r="U115" s="5"/>
    </row>
    <row r="116" spans="2:21">
      <c r="B116" s="5"/>
      <c r="C116" s="5"/>
      <c r="D116" s="5"/>
      <c r="E116" s="5"/>
      <c r="F116" s="5"/>
      <c r="G116" s="5"/>
      <c r="H116" s="5"/>
      <c r="I116" s="254"/>
      <c r="J116" s="49"/>
      <c r="K116" s="49"/>
      <c r="L116" s="49"/>
      <c r="M116" s="49"/>
      <c r="N116" s="49"/>
      <c r="O116" s="49"/>
      <c r="Q116" s="5"/>
      <c r="R116" s="5"/>
      <c r="S116" s="5"/>
      <c r="T116" s="5"/>
      <c r="U116" s="5"/>
    </row>
    <row r="117" spans="2:21">
      <c r="B117" s="41"/>
      <c r="C117" s="49"/>
      <c r="D117" s="49"/>
      <c r="E117" s="49"/>
      <c r="F117" s="49"/>
      <c r="G117" s="49"/>
      <c r="H117" s="49"/>
      <c r="I117" s="249"/>
      <c r="J117" s="5"/>
      <c r="K117" s="5"/>
      <c r="L117" s="5"/>
      <c r="M117" s="5"/>
      <c r="N117" s="5"/>
      <c r="O117" s="5"/>
      <c r="Q117" s="5"/>
      <c r="R117" s="5"/>
      <c r="S117" s="5"/>
      <c r="T117" s="5"/>
      <c r="U117" s="5"/>
    </row>
    <row r="118" spans="2:21">
      <c r="B118" s="5"/>
      <c r="C118" s="5"/>
      <c r="D118" s="5"/>
      <c r="E118" s="5"/>
      <c r="F118" s="5"/>
      <c r="G118" s="5"/>
      <c r="H118" s="5"/>
      <c r="I118" s="254"/>
      <c r="J118" s="254"/>
      <c r="K118" s="254"/>
      <c r="L118" s="254"/>
      <c r="M118" s="254"/>
      <c r="N118" s="254"/>
      <c r="O118" s="248"/>
      <c r="Q118" s="5"/>
      <c r="R118" s="5"/>
      <c r="S118" s="5"/>
      <c r="T118" s="5"/>
      <c r="U118" s="5"/>
    </row>
    <row r="119" spans="2:21">
      <c r="B119" s="41"/>
      <c r="C119" s="254"/>
      <c r="D119" s="254"/>
      <c r="E119" s="254"/>
      <c r="F119" s="254"/>
      <c r="G119" s="254"/>
      <c r="H119" s="254"/>
      <c r="I119" s="254"/>
      <c r="J119" s="249"/>
      <c r="K119" s="249"/>
      <c r="L119" s="249"/>
      <c r="M119" s="249"/>
      <c r="N119" s="249"/>
      <c r="O119" s="248"/>
      <c r="Q119" s="5"/>
      <c r="R119" s="5"/>
      <c r="S119" s="5"/>
      <c r="T119" s="5"/>
      <c r="U119" s="5"/>
    </row>
    <row r="120" spans="2:21">
      <c r="B120" s="41"/>
      <c r="C120" s="254"/>
      <c r="D120" s="249"/>
      <c r="E120" s="249"/>
      <c r="F120" s="249"/>
      <c r="G120" s="249"/>
      <c r="H120" s="249"/>
      <c r="I120" s="254"/>
      <c r="J120" s="254"/>
      <c r="K120" s="254"/>
      <c r="L120" s="254"/>
      <c r="M120" s="254"/>
      <c r="N120" s="254"/>
      <c r="O120" s="248"/>
      <c r="Q120" s="5"/>
      <c r="R120" s="5"/>
      <c r="S120" s="5"/>
      <c r="T120" s="5"/>
      <c r="U120" s="5"/>
    </row>
    <row r="121" spans="2:21">
      <c r="B121" s="41"/>
      <c r="C121" s="254"/>
      <c r="D121" s="254"/>
      <c r="E121" s="254"/>
      <c r="F121" s="254"/>
      <c r="G121" s="254"/>
      <c r="H121" s="254"/>
      <c r="I121" s="254"/>
      <c r="J121" s="254"/>
      <c r="K121" s="254"/>
      <c r="L121" s="254"/>
      <c r="M121" s="254"/>
      <c r="N121" s="254"/>
      <c r="O121" s="248"/>
      <c r="Q121" s="5"/>
      <c r="R121" s="5"/>
      <c r="S121" s="5"/>
      <c r="T121" s="5"/>
      <c r="U121" s="5"/>
    </row>
    <row r="122" spans="2:21">
      <c r="B122" s="41"/>
      <c r="C122" s="254"/>
      <c r="D122" s="254"/>
      <c r="E122" s="254"/>
      <c r="F122" s="254"/>
      <c r="G122" s="254"/>
      <c r="H122" s="254"/>
      <c r="I122" s="254"/>
      <c r="J122" s="254"/>
      <c r="K122" s="254"/>
      <c r="L122" s="254"/>
      <c r="M122" s="254"/>
      <c r="N122" s="254"/>
      <c r="O122" s="248"/>
      <c r="Q122" s="5"/>
      <c r="R122" s="5"/>
      <c r="S122" s="5"/>
      <c r="T122" s="5"/>
      <c r="U122" s="5"/>
    </row>
    <row r="123" spans="2:21">
      <c r="B123" s="41"/>
      <c r="C123" s="254"/>
      <c r="D123" s="254"/>
      <c r="E123" s="254"/>
      <c r="F123" s="254"/>
      <c r="G123" s="254"/>
      <c r="H123" s="254"/>
      <c r="I123" s="254"/>
      <c r="J123" s="254"/>
      <c r="K123" s="254"/>
      <c r="L123" s="254"/>
      <c r="M123" s="254"/>
      <c r="N123" s="254"/>
      <c r="O123" s="248"/>
      <c r="Q123" s="5"/>
      <c r="R123" s="5"/>
      <c r="S123" s="5"/>
      <c r="T123" s="5"/>
      <c r="U123" s="5"/>
    </row>
    <row r="124" spans="2:21">
      <c r="B124" s="41"/>
      <c r="C124" s="254"/>
      <c r="D124" s="254"/>
      <c r="E124" s="254"/>
      <c r="F124" s="254"/>
      <c r="G124" s="254"/>
      <c r="H124" s="254"/>
      <c r="I124" s="254"/>
      <c r="J124" s="254"/>
      <c r="K124" s="254"/>
      <c r="L124" s="254"/>
      <c r="M124" s="254"/>
      <c r="N124" s="254"/>
      <c r="O124" s="5"/>
      <c r="Q124" s="5"/>
      <c r="R124" s="5"/>
      <c r="S124" s="5"/>
      <c r="T124" s="5"/>
      <c r="U124" s="5"/>
    </row>
    <row r="125" spans="2:21">
      <c r="B125" s="41"/>
      <c r="C125" s="254"/>
      <c r="D125" s="254"/>
      <c r="E125" s="254"/>
      <c r="F125" s="254"/>
      <c r="G125" s="254"/>
      <c r="H125" s="254"/>
      <c r="I125" s="254"/>
      <c r="J125" s="254"/>
      <c r="K125" s="254"/>
      <c r="L125" s="254"/>
      <c r="M125" s="254"/>
      <c r="N125" s="254"/>
      <c r="O125" s="5"/>
      <c r="Q125" s="5"/>
      <c r="R125" s="5"/>
      <c r="S125" s="5"/>
      <c r="T125" s="5"/>
      <c r="U125" s="5"/>
    </row>
    <row r="126" spans="2:21">
      <c r="B126" s="41"/>
      <c r="C126" s="254"/>
      <c r="D126" s="254"/>
      <c r="E126" s="254"/>
      <c r="F126" s="254"/>
      <c r="G126" s="254"/>
      <c r="H126" s="254"/>
      <c r="I126" s="18"/>
      <c r="J126" s="254"/>
      <c r="K126" s="254"/>
      <c r="L126" s="254"/>
      <c r="M126" s="254"/>
      <c r="N126" s="254"/>
      <c r="O126" s="5"/>
      <c r="Q126" s="5"/>
      <c r="R126" s="5"/>
      <c r="S126" s="5"/>
      <c r="T126" s="5"/>
      <c r="U126" s="5"/>
    </row>
    <row r="127" spans="2:21">
      <c r="B127" s="41"/>
      <c r="C127" s="254"/>
      <c r="D127" s="254"/>
      <c r="E127" s="254"/>
      <c r="F127" s="254"/>
      <c r="G127" s="254"/>
      <c r="H127" s="254"/>
      <c r="I127" s="5"/>
      <c r="J127" s="254"/>
      <c r="K127" s="254"/>
      <c r="L127" s="254"/>
      <c r="M127" s="254"/>
      <c r="N127" s="254"/>
      <c r="O127" s="5"/>
      <c r="Q127" s="5"/>
      <c r="R127" s="5"/>
      <c r="S127" s="5"/>
      <c r="T127" s="5"/>
      <c r="U127" s="5"/>
    </row>
    <row r="128" spans="2:21">
      <c r="B128" s="41"/>
      <c r="C128" s="254"/>
      <c r="D128" s="254"/>
      <c r="E128" s="254"/>
      <c r="F128" s="254"/>
      <c r="G128" s="254"/>
      <c r="H128" s="254"/>
      <c r="I128" s="254"/>
      <c r="J128" s="18"/>
      <c r="K128" s="18"/>
      <c r="L128" s="18"/>
      <c r="M128" s="18"/>
      <c r="N128" s="18"/>
      <c r="O128" s="5"/>
      <c r="Q128" s="5"/>
      <c r="R128" s="5"/>
      <c r="S128" s="5"/>
      <c r="T128" s="5"/>
      <c r="U128" s="5"/>
    </row>
    <row r="129" spans="2:27">
      <c r="B129" s="5"/>
      <c r="C129" s="5"/>
      <c r="D129" s="18"/>
      <c r="E129" s="18"/>
      <c r="F129" s="18"/>
      <c r="G129" s="18"/>
      <c r="H129" s="18"/>
      <c r="I129" s="18"/>
      <c r="J129" s="5"/>
      <c r="K129" s="5"/>
      <c r="L129" s="5"/>
      <c r="M129" s="5"/>
      <c r="N129" s="5"/>
      <c r="O129" s="5"/>
      <c r="Q129" s="5"/>
      <c r="R129" s="5"/>
      <c r="S129" s="5"/>
      <c r="T129" s="5"/>
      <c r="U129" s="5"/>
    </row>
    <row r="130" spans="2:27">
      <c r="B130" s="5"/>
      <c r="C130" s="5"/>
      <c r="D130" s="5"/>
      <c r="E130" s="5"/>
      <c r="F130" s="5"/>
      <c r="G130" s="5"/>
      <c r="H130" s="5"/>
      <c r="I130" s="5"/>
      <c r="J130" s="254"/>
      <c r="K130" s="254"/>
      <c r="L130" s="254"/>
      <c r="M130" s="254"/>
      <c r="N130" s="254"/>
      <c r="O130" s="5"/>
      <c r="Q130" s="5"/>
      <c r="R130" s="5"/>
      <c r="S130" s="5"/>
      <c r="T130" s="5"/>
      <c r="U130" s="5"/>
    </row>
    <row r="131" spans="2:27">
      <c r="B131" s="41"/>
      <c r="C131" s="254"/>
      <c r="D131" s="254"/>
      <c r="E131" s="254"/>
      <c r="F131" s="254"/>
      <c r="G131" s="254"/>
      <c r="H131" s="254"/>
      <c r="I131" s="5"/>
      <c r="J131" s="18"/>
      <c r="K131" s="18"/>
      <c r="L131" s="18"/>
      <c r="M131" s="18"/>
      <c r="N131" s="18"/>
      <c r="O131" s="5"/>
      <c r="Q131" s="5"/>
      <c r="R131" s="5"/>
      <c r="S131" s="5"/>
      <c r="T131" s="5"/>
      <c r="U131" s="5"/>
    </row>
    <row r="132" spans="2:27">
      <c r="B132" s="5"/>
      <c r="C132" s="259"/>
      <c r="D132" s="18"/>
      <c r="E132" s="18"/>
      <c r="F132" s="18"/>
      <c r="G132" s="18"/>
      <c r="H132" s="18"/>
      <c r="I132" s="17"/>
      <c r="J132" s="5"/>
      <c r="K132" s="5"/>
      <c r="L132" s="5"/>
      <c r="M132" s="5"/>
      <c r="N132" s="5"/>
      <c r="O132" s="5"/>
      <c r="Q132" s="5"/>
      <c r="R132" s="5"/>
      <c r="S132" s="5"/>
      <c r="T132" s="5"/>
      <c r="U132" s="5"/>
    </row>
    <row r="133" spans="2:27">
      <c r="B133" s="5"/>
      <c r="C133" s="5"/>
      <c r="D133" s="5"/>
      <c r="E133" s="5"/>
      <c r="F133" s="5"/>
      <c r="G133" s="5"/>
      <c r="H133" s="5"/>
      <c r="I133" s="17"/>
      <c r="J133" s="5"/>
      <c r="K133" s="5"/>
      <c r="L133" s="5"/>
      <c r="M133" s="5"/>
      <c r="N133" s="5"/>
      <c r="O133" s="5"/>
      <c r="Q133" s="5"/>
      <c r="R133" s="5"/>
      <c r="S133" s="5"/>
      <c r="T133" s="5"/>
      <c r="U133" s="5"/>
    </row>
    <row r="134" spans="2:27">
      <c r="B134" s="41"/>
      <c r="C134" s="5"/>
      <c r="D134" s="5"/>
      <c r="E134" s="5"/>
      <c r="F134" s="5"/>
      <c r="G134" s="5"/>
      <c r="H134" s="5"/>
      <c r="I134" s="17"/>
      <c r="J134" s="17"/>
      <c r="K134" s="17"/>
      <c r="L134" s="17"/>
      <c r="M134" s="17"/>
      <c r="N134" s="17"/>
      <c r="O134" s="5"/>
      <c r="Q134" s="41"/>
      <c r="R134" s="5"/>
      <c r="S134" s="5"/>
      <c r="T134" s="5"/>
      <c r="U134" s="5"/>
    </row>
    <row r="135" spans="2:27">
      <c r="B135" s="5"/>
      <c r="C135" s="17"/>
      <c r="D135" s="17"/>
      <c r="E135" s="17"/>
      <c r="F135" s="17"/>
      <c r="G135" s="17"/>
      <c r="H135" s="17"/>
      <c r="I135" s="17"/>
      <c r="J135" s="17"/>
      <c r="K135" s="17"/>
      <c r="L135" s="17"/>
      <c r="M135" s="17"/>
      <c r="N135" s="17"/>
      <c r="O135" s="5"/>
      <c r="Q135" s="5"/>
      <c r="R135" s="5"/>
      <c r="S135" s="5"/>
      <c r="T135" s="5"/>
      <c r="U135" s="5"/>
      <c r="X135" s="304"/>
    </row>
    <row r="136" spans="2:27">
      <c r="B136" s="5"/>
      <c r="C136" s="17"/>
      <c r="D136" s="17"/>
      <c r="E136" s="17"/>
      <c r="F136" s="17"/>
      <c r="G136" s="17"/>
      <c r="H136" s="17"/>
      <c r="I136" s="17"/>
      <c r="J136" s="17"/>
      <c r="K136" s="17"/>
      <c r="L136" s="17"/>
      <c r="M136" s="17"/>
      <c r="N136" s="17"/>
      <c r="O136" s="5"/>
      <c r="Q136" s="5"/>
      <c r="R136" s="5"/>
      <c r="S136" s="5"/>
      <c r="T136" s="5"/>
      <c r="U136" s="5"/>
      <c r="X136" s="10"/>
      <c r="Y136" s="304"/>
      <c r="Z136" s="304"/>
      <c r="AA136" s="304"/>
    </row>
    <row r="137" spans="2:27">
      <c r="B137" s="5"/>
      <c r="C137" s="5"/>
      <c r="D137" s="17"/>
      <c r="E137" s="17"/>
      <c r="F137" s="17"/>
      <c r="G137" s="17"/>
      <c r="H137" s="17"/>
      <c r="I137" s="17"/>
      <c r="J137" s="17"/>
      <c r="K137" s="17"/>
      <c r="L137" s="17"/>
      <c r="M137" s="17"/>
      <c r="N137" s="17"/>
      <c r="O137" s="5"/>
      <c r="Q137" s="5"/>
      <c r="R137" s="5"/>
      <c r="S137" s="5"/>
      <c r="T137" s="5"/>
      <c r="U137" s="5"/>
      <c r="Y137" s="10"/>
      <c r="Z137" s="10"/>
      <c r="AA137" s="10"/>
    </row>
    <row r="138" spans="2:27">
      <c r="B138" s="5"/>
      <c r="C138" s="5"/>
      <c r="D138" s="17"/>
      <c r="E138" s="17"/>
      <c r="F138" s="17"/>
      <c r="G138" s="17"/>
      <c r="H138" s="17"/>
      <c r="I138" s="5"/>
      <c r="J138" s="17"/>
      <c r="K138" s="17"/>
      <c r="L138" s="17"/>
      <c r="M138" s="17"/>
      <c r="N138" s="17"/>
      <c r="O138" s="5"/>
      <c r="Q138" s="5"/>
      <c r="R138" s="5"/>
      <c r="S138" s="5"/>
      <c r="T138" s="5"/>
      <c r="U138" s="5"/>
    </row>
    <row r="139" spans="2:27">
      <c r="B139" s="5"/>
      <c r="C139" s="5"/>
      <c r="D139" s="17"/>
      <c r="E139" s="17"/>
      <c r="F139" s="17"/>
      <c r="G139" s="17"/>
      <c r="H139" s="17"/>
      <c r="I139" s="5"/>
      <c r="J139" s="17"/>
      <c r="K139" s="17"/>
      <c r="L139" s="17"/>
      <c r="M139" s="17"/>
      <c r="N139" s="17"/>
      <c r="O139" s="5"/>
      <c r="Q139" s="5"/>
      <c r="R139" s="5"/>
      <c r="S139" s="5"/>
      <c r="T139" s="5"/>
      <c r="U139" s="5"/>
    </row>
    <row r="140" spans="2:27">
      <c r="B140" s="5"/>
      <c r="C140" s="17"/>
      <c r="D140" s="17"/>
      <c r="E140" s="17"/>
      <c r="F140" s="17"/>
      <c r="G140" s="17"/>
      <c r="H140" s="17"/>
      <c r="I140" s="5"/>
      <c r="J140" s="5"/>
      <c r="K140" s="5"/>
      <c r="L140" s="5"/>
      <c r="M140" s="5"/>
      <c r="N140" s="5"/>
      <c r="O140" s="5"/>
      <c r="Q140" s="5"/>
      <c r="R140" s="5"/>
      <c r="S140" s="5"/>
      <c r="T140" s="5"/>
      <c r="U140" s="5"/>
    </row>
    <row r="141" spans="2:27">
      <c r="B141" s="5"/>
      <c r="C141" s="5"/>
      <c r="D141" s="5"/>
      <c r="E141" s="5"/>
      <c r="F141" s="5"/>
      <c r="G141" s="5"/>
      <c r="H141" s="5"/>
      <c r="I141" s="5"/>
      <c r="J141" s="5"/>
      <c r="K141" s="5"/>
      <c r="L141" s="5"/>
      <c r="M141" s="5"/>
      <c r="N141" s="5"/>
      <c r="O141" s="5"/>
      <c r="Q141" s="5"/>
      <c r="R141" s="5"/>
      <c r="S141" s="5"/>
      <c r="T141" s="5"/>
      <c r="U141" s="5"/>
    </row>
    <row r="142" spans="2:27">
      <c r="B142" s="5"/>
      <c r="C142" s="5"/>
      <c r="D142" s="5"/>
      <c r="E142" s="5"/>
      <c r="F142" s="5"/>
      <c r="G142" s="5"/>
      <c r="H142" s="5"/>
      <c r="I142" s="5"/>
      <c r="J142" s="5"/>
      <c r="K142" s="5"/>
      <c r="L142" s="5"/>
      <c r="M142" s="5"/>
      <c r="N142" s="5"/>
      <c r="O142" s="5"/>
      <c r="Q142" s="5"/>
      <c r="R142" s="5"/>
      <c r="S142" s="5"/>
      <c r="T142" s="5"/>
      <c r="U142" s="5"/>
    </row>
    <row r="143" spans="2:27">
      <c r="B143" s="5"/>
      <c r="C143" s="5"/>
      <c r="D143" s="5"/>
      <c r="E143" s="5"/>
      <c r="F143" s="5"/>
      <c r="G143" s="5"/>
      <c r="H143" s="5"/>
      <c r="I143" s="5"/>
      <c r="J143" s="5"/>
      <c r="K143" s="5"/>
      <c r="L143" s="5"/>
      <c r="M143" s="5"/>
      <c r="N143" s="5"/>
      <c r="O143" s="5"/>
      <c r="Q143" s="5"/>
      <c r="R143" s="5"/>
      <c r="S143" s="5"/>
      <c r="T143" s="5"/>
      <c r="U143" s="5"/>
    </row>
    <row r="144" spans="2:27">
      <c r="B144" s="5"/>
      <c r="C144" s="5"/>
      <c r="D144" s="5"/>
      <c r="E144" s="5"/>
      <c r="F144" s="5"/>
      <c r="G144" s="5"/>
      <c r="H144" s="5"/>
      <c r="I144" s="5"/>
      <c r="J144" s="5"/>
      <c r="K144" s="5"/>
      <c r="L144" s="5"/>
      <c r="M144" s="5"/>
      <c r="N144" s="5"/>
      <c r="O144" s="5"/>
      <c r="Q144" s="5"/>
      <c r="R144" s="5"/>
      <c r="S144" s="5"/>
      <c r="T144" s="5"/>
      <c r="U144" s="5"/>
    </row>
    <row r="145" spans="2:21">
      <c r="B145" s="5"/>
      <c r="C145" s="5"/>
      <c r="D145" s="5"/>
      <c r="E145" s="5"/>
      <c r="F145" s="5"/>
      <c r="G145" s="5"/>
      <c r="H145" s="5"/>
      <c r="I145" s="5"/>
      <c r="J145" s="5"/>
      <c r="K145" s="5"/>
      <c r="L145" s="5"/>
      <c r="M145" s="5"/>
      <c r="N145" s="5"/>
      <c r="O145" s="5"/>
      <c r="Q145" s="5"/>
      <c r="R145" s="5"/>
      <c r="S145" s="5"/>
      <c r="T145" s="5"/>
      <c r="U145" s="5"/>
    </row>
    <row r="146" spans="2:21">
      <c r="B146" s="5"/>
      <c r="C146" s="5"/>
      <c r="D146" s="5"/>
      <c r="E146" s="5"/>
      <c r="F146" s="5"/>
      <c r="G146" s="5"/>
      <c r="H146" s="5"/>
      <c r="I146" s="5"/>
      <c r="J146" s="5"/>
      <c r="K146" s="5"/>
      <c r="L146" s="5"/>
      <c r="M146" s="5"/>
      <c r="N146" s="5"/>
      <c r="O146" s="5"/>
      <c r="Q146" s="5"/>
      <c r="R146" s="5"/>
      <c r="S146" s="5"/>
      <c r="T146" s="5"/>
      <c r="U146" s="5"/>
    </row>
    <row r="147" spans="2:21">
      <c r="B147" s="5"/>
      <c r="C147" s="5"/>
      <c r="D147" s="5"/>
      <c r="E147" s="5"/>
      <c r="F147" s="5"/>
      <c r="G147" s="5"/>
      <c r="H147" s="5"/>
      <c r="I147" s="5"/>
      <c r="J147" s="5"/>
      <c r="K147" s="5"/>
      <c r="L147" s="5"/>
      <c r="M147" s="5"/>
      <c r="N147" s="5"/>
      <c r="O147" s="5"/>
      <c r="Q147" s="5"/>
      <c r="R147" s="5"/>
      <c r="S147" s="5"/>
      <c r="T147" s="5"/>
      <c r="U147" s="5"/>
    </row>
    <row r="148" spans="2:21">
      <c r="B148" s="5"/>
      <c r="C148" s="5"/>
      <c r="D148" s="5"/>
      <c r="E148" s="5"/>
      <c r="F148" s="5"/>
      <c r="G148" s="5"/>
      <c r="H148" s="5"/>
      <c r="J148" s="5"/>
      <c r="K148" s="5"/>
      <c r="L148" s="5"/>
      <c r="M148" s="5"/>
      <c r="N148" s="5"/>
      <c r="O148" s="5"/>
      <c r="Q148" s="5"/>
      <c r="R148" s="5"/>
      <c r="S148" s="5"/>
      <c r="T148" s="5"/>
      <c r="U148" s="5"/>
    </row>
    <row r="149" spans="2:21">
      <c r="B149" s="5"/>
      <c r="C149" s="5"/>
      <c r="D149" s="5"/>
      <c r="E149" s="5"/>
      <c r="F149" s="5"/>
      <c r="G149" s="5"/>
      <c r="H149" s="5"/>
      <c r="J149" s="5"/>
      <c r="K149" s="5"/>
      <c r="L149" s="5"/>
      <c r="M149" s="5"/>
      <c r="N149" s="5"/>
      <c r="O149" s="5"/>
      <c r="Q149" s="5"/>
      <c r="R149" s="5"/>
      <c r="S149" s="5"/>
      <c r="T149" s="5"/>
      <c r="U149" s="5"/>
    </row>
    <row r="150" spans="2:21">
      <c r="B150" s="5"/>
      <c r="C150" s="5"/>
      <c r="D150" s="5"/>
      <c r="E150" s="5"/>
      <c r="F150" s="5"/>
      <c r="G150" s="5"/>
      <c r="H150" s="5"/>
      <c r="Q150" s="5"/>
      <c r="R150" s="5"/>
      <c r="S150" s="5"/>
      <c r="T150" s="5"/>
      <c r="U150" s="5"/>
    </row>
    <row r="151" spans="2:21">
      <c r="Q151" s="5"/>
      <c r="R151" s="5"/>
      <c r="S151" s="5"/>
      <c r="T151" s="5"/>
      <c r="U151" s="5"/>
    </row>
    <row r="152" spans="2:21">
      <c r="Q152" s="5"/>
      <c r="R152" s="5"/>
      <c r="S152" s="5"/>
      <c r="T152" s="5"/>
      <c r="U152" s="5"/>
    </row>
    <row r="153" spans="2:21">
      <c r="C153" s="263"/>
      <c r="Q153" s="5"/>
      <c r="R153" s="5"/>
      <c r="S153" s="5"/>
      <c r="T153" s="5"/>
      <c r="U153" s="5"/>
    </row>
    <row r="154" spans="2:21">
      <c r="Q154" s="5"/>
      <c r="R154" s="5"/>
      <c r="S154" s="5"/>
      <c r="T154" s="5"/>
      <c r="U154" s="5"/>
    </row>
    <row r="155" spans="2:21">
      <c r="Q155" s="5"/>
      <c r="R155" s="5"/>
      <c r="S155" s="5"/>
      <c r="T155" s="5"/>
      <c r="U155" s="5"/>
    </row>
    <row r="156" spans="2:21">
      <c r="Q156" s="5"/>
      <c r="R156" s="5"/>
      <c r="S156" s="5"/>
      <c r="T156" s="5"/>
      <c r="U156" s="5"/>
    </row>
    <row r="157" spans="2:21">
      <c r="Q157" s="5"/>
      <c r="R157" s="5"/>
      <c r="S157" s="5"/>
      <c r="T157" s="5"/>
      <c r="U157" s="5"/>
    </row>
    <row r="158" spans="2:21">
      <c r="Q158" s="5"/>
      <c r="R158" s="5"/>
      <c r="S158" s="5"/>
      <c r="T158" s="5"/>
      <c r="U158" s="5"/>
    </row>
    <row r="159" spans="2:21">
      <c r="Q159" s="5"/>
      <c r="R159" s="5"/>
      <c r="S159" s="5"/>
      <c r="T159" s="5"/>
      <c r="U159" s="5"/>
    </row>
    <row r="160" spans="2:21">
      <c r="Q160" s="5"/>
      <c r="R160" s="5"/>
      <c r="S160" s="5"/>
      <c r="T160" s="5"/>
      <c r="U160" s="5"/>
    </row>
    <row r="161" spans="17:21">
      <c r="Q161" s="5"/>
      <c r="R161" s="5"/>
      <c r="S161" s="5"/>
      <c r="T161" s="5"/>
      <c r="U161" s="5"/>
    </row>
    <row r="162" spans="17:21">
      <c r="Q162" s="5"/>
      <c r="R162" s="5"/>
      <c r="S162" s="5"/>
      <c r="T162" s="5"/>
      <c r="U162" s="5"/>
    </row>
    <row r="163" spans="17:21">
      <c r="Q163" s="5"/>
      <c r="R163" s="5"/>
      <c r="S163" s="5"/>
      <c r="T163" s="5"/>
      <c r="U163" s="5"/>
    </row>
    <row r="164" spans="17:21">
      <c r="Q164" s="5"/>
      <c r="R164" s="5"/>
      <c r="S164" s="5"/>
      <c r="T164" s="5"/>
      <c r="U164" s="5"/>
    </row>
  </sheetData>
  <phoneticPr fontId="7" type="noConversion"/>
  <pageMargins left="0.74803149606299213" right="0.74803149606299213" top="0.98425196850393704" bottom="0.98425196850393704" header="0.51181102362204722" footer="0.51181102362204722"/>
  <pageSetup scale="69" orientation="landscape" r:id="rId1"/>
  <headerFooter alignWithMargins="0"/>
  <drawing r:id="rId2"/>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200-000000000000}">
  <sheetPr codeName="Sheet107">
    <pageSetUpPr fitToPage="1"/>
  </sheetPr>
  <dimension ref="B1:X449"/>
  <sheetViews>
    <sheetView showGridLines="0" zoomScale="80" zoomScaleNormal="80" workbookViewId="0"/>
  </sheetViews>
  <sheetFormatPr defaultColWidth="9.109375" defaultRowHeight="12"/>
  <cols>
    <col min="1" max="1" width="2.33203125" style="367" customWidth="1"/>
    <col min="2" max="6" width="10" style="367" customWidth="1"/>
    <col min="7" max="7" width="2.33203125" style="367" customWidth="1"/>
    <col min="8" max="8" width="10" style="367" customWidth="1"/>
    <col min="9" max="9" width="2.109375" style="367" customWidth="1"/>
    <col min="10" max="10" width="10" style="367" customWidth="1"/>
    <col min="11" max="11" width="2.109375" style="367" customWidth="1"/>
    <col min="12" max="12" width="10" style="367" customWidth="1"/>
    <col min="13" max="13" width="2.109375" style="367" customWidth="1"/>
    <col min="14" max="14" width="10" style="367" customWidth="1"/>
    <col min="15" max="15" width="2.109375" style="367" customWidth="1"/>
    <col min="16" max="16" width="10" style="367" customWidth="1"/>
    <col min="17" max="17" width="2.109375" style="367" customWidth="1"/>
    <col min="18" max="18" width="10" style="367" customWidth="1"/>
    <col min="19" max="19" width="2.109375" style="367" customWidth="1"/>
    <col min="20" max="20" width="9.88671875" style="367" customWidth="1"/>
    <col min="21" max="21" width="2.109375" style="367" customWidth="1"/>
    <col min="22" max="22" width="10" style="367" customWidth="1"/>
    <col min="23" max="23" width="2.109375" style="367" customWidth="1"/>
    <col min="24" max="24" width="10" style="367" customWidth="1"/>
    <col min="25" max="16384" width="9.109375" style="367"/>
  </cols>
  <sheetData>
    <row r="1" spans="2:24" s="472" customFormat="1">
      <c r="E1" s="150"/>
    </row>
    <row r="2" spans="2:24" s="472" customFormat="1">
      <c r="E2" s="150"/>
    </row>
    <row r="3" spans="2:24" s="472" customFormat="1"/>
    <row r="4" spans="2:24" s="477" customFormat="1" ht="21">
      <c r="B4" s="129" t="s">
        <v>1457</v>
      </c>
      <c r="C4" s="129"/>
    </row>
    <row r="5" spans="2:24" s="472" customFormat="1">
      <c r="D5" s="132"/>
      <c r="E5" s="132"/>
      <c r="F5" s="132"/>
      <c r="G5" s="132"/>
      <c r="H5" s="132"/>
      <c r="I5" s="132"/>
      <c r="L5" s="473"/>
      <c r="M5" s="473"/>
      <c r="N5" s="473"/>
      <c r="O5" s="473"/>
      <c r="P5" s="473"/>
      <c r="Q5" s="473"/>
      <c r="R5" s="473"/>
      <c r="S5" s="473"/>
      <c r="T5" s="473"/>
      <c r="U5" s="473"/>
      <c r="V5" s="473"/>
      <c r="W5" s="473"/>
      <c r="X5" s="473"/>
    </row>
    <row r="6" spans="2:24">
      <c r="B6" s="456"/>
      <c r="C6" s="456"/>
      <c r="D6" s="456"/>
      <c r="E6" s="456"/>
      <c r="F6" s="456"/>
      <c r="G6" s="456"/>
      <c r="H6" s="456"/>
      <c r="I6" s="456"/>
      <c r="L6" s="440"/>
      <c r="M6" s="440"/>
      <c r="N6" s="440"/>
      <c r="O6" s="440"/>
      <c r="P6" s="440"/>
      <c r="Q6" s="440"/>
      <c r="R6" s="440"/>
      <c r="S6" s="440"/>
      <c r="T6" s="440"/>
      <c r="U6" s="440"/>
      <c r="V6" s="440"/>
      <c r="W6" s="440"/>
      <c r="X6" s="440"/>
    </row>
    <row r="7" spans="2:24" ht="12.6" thickBot="1">
      <c r="B7" s="306" t="s">
        <v>13</v>
      </c>
      <c r="C7" s="306"/>
      <c r="D7" s="368"/>
      <c r="E7" s="457"/>
      <c r="F7" s="457"/>
      <c r="G7" s="457"/>
      <c r="H7" s="457"/>
      <c r="I7" s="457"/>
      <c r="J7" s="368"/>
      <c r="K7" s="368"/>
      <c r="L7" s="368"/>
      <c r="M7" s="368"/>
      <c r="N7" s="368"/>
      <c r="O7" s="368"/>
      <c r="P7" s="368"/>
      <c r="Q7" s="368"/>
      <c r="R7" s="368"/>
      <c r="S7" s="368"/>
      <c r="T7" s="368"/>
      <c r="U7" s="368"/>
      <c r="V7" s="368"/>
      <c r="W7" s="368"/>
      <c r="X7" s="368"/>
    </row>
    <row r="8" spans="2:24" ht="12.6" thickTop="1">
      <c r="B8" s="345"/>
      <c r="C8" s="345"/>
      <c r="E8" s="345"/>
      <c r="F8" s="345"/>
      <c r="G8" s="345"/>
      <c r="H8" s="345"/>
      <c r="I8" s="345"/>
    </row>
    <row r="9" spans="2:24">
      <c r="D9" s="345"/>
      <c r="E9" s="382" t="s">
        <v>81</v>
      </c>
      <c r="F9" s="458" t="s">
        <v>82</v>
      </c>
      <c r="G9" s="458"/>
      <c r="H9" s="458" t="s">
        <v>83</v>
      </c>
      <c r="I9" s="458"/>
      <c r="J9" s="458" t="s">
        <v>84</v>
      </c>
      <c r="K9" s="458"/>
      <c r="L9" s="458" t="s">
        <v>1044</v>
      </c>
      <c r="M9" s="458"/>
      <c r="N9" s="459" t="s">
        <v>128</v>
      </c>
      <c r="O9" s="459"/>
      <c r="P9" s="458" t="s">
        <v>129</v>
      </c>
      <c r="Q9" s="458"/>
      <c r="R9" s="458" t="s">
        <v>695</v>
      </c>
      <c r="S9" s="458"/>
      <c r="T9" s="458" t="s">
        <v>130</v>
      </c>
      <c r="U9" s="458"/>
      <c r="V9" s="458" t="s">
        <v>131</v>
      </c>
      <c r="W9" s="458"/>
      <c r="X9" s="458" t="s">
        <v>132</v>
      </c>
    </row>
    <row r="10" spans="2:24">
      <c r="B10" s="345"/>
      <c r="C10" s="345"/>
      <c r="E10" s="382"/>
      <c r="F10" s="458"/>
      <c r="G10" s="458"/>
      <c r="H10" s="458"/>
      <c r="I10" s="458"/>
      <c r="J10" s="458"/>
      <c r="K10" s="458"/>
      <c r="L10" s="458"/>
      <c r="M10" s="458"/>
      <c r="N10" s="459"/>
      <c r="O10" s="459"/>
      <c r="P10" s="458"/>
      <c r="Q10" s="458"/>
      <c r="R10" s="458"/>
      <c r="S10" s="458"/>
      <c r="T10" s="458"/>
      <c r="U10" s="458"/>
      <c r="V10" s="458"/>
      <c r="W10" s="458"/>
      <c r="X10" s="458"/>
    </row>
    <row r="11" spans="2:24">
      <c r="B11" s="370" t="s">
        <v>323</v>
      </c>
      <c r="C11" s="370"/>
      <c r="E11" s="367" t="str">
        <f t="shared" ref="E11:E17" si="0">"DCF, "&amp;TEXT(H11,"0.0")&amp;"x 19E EBITDA"</f>
        <v>DCF, 9.0x 19E EBITDA</v>
      </c>
      <c r="F11" s="484">
        <v>2027.0602597671832</v>
      </c>
      <c r="G11" s="178" t="s">
        <v>134</v>
      </c>
      <c r="H11" s="499">
        <f t="shared" ref="H11:H17" si="1">J11/F11</f>
        <v>8.9792189958612934</v>
      </c>
      <c r="I11" s="178" t="s">
        <v>135</v>
      </c>
      <c r="J11" s="484">
        <v>18201.417990257018</v>
      </c>
      <c r="K11" s="178" t="s">
        <v>136</v>
      </c>
      <c r="L11" s="216"/>
      <c r="M11" s="178" t="s">
        <v>135</v>
      </c>
      <c r="N11" s="178">
        <f t="shared" ref="N11:N14" si="2">J11-L11</f>
        <v>18201.417990257018</v>
      </c>
      <c r="O11" s="178" t="s">
        <v>134</v>
      </c>
      <c r="P11" s="490">
        <v>1</v>
      </c>
      <c r="Q11" s="393" t="s">
        <v>135</v>
      </c>
      <c r="R11" s="216">
        <f t="shared" ref="R11:R14" si="3">P11*N11</f>
        <v>18201.417990257018</v>
      </c>
      <c r="S11" s="216"/>
      <c r="T11" s="216">
        <f t="shared" ref="T11:T14" si="4">N11-R11</f>
        <v>0</v>
      </c>
      <c r="U11" s="216"/>
      <c r="V11" s="394">
        <f>N11/$J$32</f>
        <v>0.51274831680629429</v>
      </c>
      <c r="W11" s="370"/>
      <c r="X11" s="455">
        <f t="shared" ref="X11:X16" si="5">$J$37*V11</f>
        <v>2.0536941711729946</v>
      </c>
    </row>
    <row r="12" spans="2:24">
      <c r="B12" s="370" t="s">
        <v>358</v>
      </c>
      <c r="C12" s="370"/>
      <c r="D12" s="370"/>
      <c r="E12" s="367" t="str">
        <f t="shared" si="0"/>
        <v>DCF, 5.9x 19E EBITDA</v>
      </c>
      <c r="F12" s="484">
        <v>3282.3190498285367</v>
      </c>
      <c r="G12" s="178" t="s">
        <v>134</v>
      </c>
      <c r="H12" s="499">
        <f t="shared" si="1"/>
        <v>5.8784993694771623</v>
      </c>
      <c r="I12" s="178" t="s">
        <v>135</v>
      </c>
      <c r="J12" s="484">
        <v>19295.110464839931</v>
      </c>
      <c r="K12" s="178" t="s">
        <v>136</v>
      </c>
      <c r="L12" s="216"/>
      <c r="M12" s="178" t="s">
        <v>135</v>
      </c>
      <c r="N12" s="178">
        <f t="shared" si="2"/>
        <v>19295.110464839931</v>
      </c>
      <c r="O12" s="178" t="s">
        <v>134</v>
      </c>
      <c r="P12" s="490">
        <v>0.66359999999999997</v>
      </c>
      <c r="Q12" s="393" t="s">
        <v>135</v>
      </c>
      <c r="R12" s="216">
        <f t="shared" si="3"/>
        <v>12804.235304467777</v>
      </c>
      <c r="S12" s="216"/>
      <c r="T12" s="216">
        <f t="shared" si="4"/>
        <v>6490.8751603721539</v>
      </c>
      <c r="U12" s="216"/>
      <c r="V12" s="394">
        <f t="shared" ref="V12:V19" si="6">N12/$J$32</f>
        <v>0.54355849740575546</v>
      </c>
      <c r="W12" s="370"/>
      <c r="X12" s="455">
        <f t="shared" si="5"/>
        <v>2.177097186328683</v>
      </c>
    </row>
    <row r="13" spans="2:24">
      <c r="B13" s="370" t="s">
        <v>112</v>
      </c>
      <c r="C13" s="370"/>
      <c r="E13" s="367" t="str">
        <f t="shared" si="0"/>
        <v>DCF, 7.3x 19E EBITDA</v>
      </c>
      <c r="F13" s="484">
        <v>1115.6014750908043</v>
      </c>
      <c r="G13" s="178" t="s">
        <v>134</v>
      </c>
      <c r="H13" s="499">
        <f t="shared" si="1"/>
        <v>7.3076482202803081</v>
      </c>
      <c r="I13" s="178" t="s">
        <v>135</v>
      </c>
      <c r="J13" s="484">
        <v>8152.4231339894031</v>
      </c>
      <c r="K13" s="178" t="s">
        <v>136</v>
      </c>
      <c r="L13" s="216"/>
      <c r="M13" s="178" t="s">
        <v>135</v>
      </c>
      <c r="N13" s="178">
        <f t="shared" si="2"/>
        <v>8152.4231339894031</v>
      </c>
      <c r="O13" s="178" t="s">
        <v>134</v>
      </c>
      <c r="P13" s="490">
        <v>0.83299999999999996</v>
      </c>
      <c r="Q13" s="393" t="s">
        <v>135</v>
      </c>
      <c r="R13" s="216">
        <f t="shared" si="3"/>
        <v>6790.9684706131729</v>
      </c>
      <c r="S13" s="216"/>
      <c r="T13" s="216">
        <f t="shared" si="4"/>
        <v>1361.4546633762302</v>
      </c>
      <c r="U13" s="216"/>
      <c r="V13" s="394">
        <f t="shared" si="6"/>
        <v>0.22966019691890691</v>
      </c>
      <c r="W13" s="370"/>
      <c r="X13" s="455">
        <f t="shared" si="5"/>
        <v>0.91985052374337017</v>
      </c>
    </row>
    <row r="14" spans="2:24">
      <c r="B14" s="370" t="s">
        <v>96</v>
      </c>
      <c r="C14" s="370"/>
      <c r="E14" s="367" t="str">
        <f t="shared" si="0"/>
        <v>DCF, 3.7x 19E EBITDA</v>
      </c>
      <c r="F14" s="484">
        <v>1472.4180763678473</v>
      </c>
      <c r="G14" s="178" t="s">
        <v>134</v>
      </c>
      <c r="H14" s="499">
        <f t="shared" si="1"/>
        <v>3.6912467188860862</v>
      </c>
      <c r="I14" s="178" t="s">
        <v>135</v>
      </c>
      <c r="J14" s="484">
        <v>5435.0583932213794</v>
      </c>
      <c r="K14" s="178" t="s">
        <v>136</v>
      </c>
      <c r="L14" s="216"/>
      <c r="M14" s="178" t="s">
        <v>135</v>
      </c>
      <c r="N14" s="178">
        <f t="shared" si="2"/>
        <v>5435.0583932213794</v>
      </c>
      <c r="O14" s="178" t="s">
        <v>134</v>
      </c>
      <c r="P14" s="490">
        <v>0.68700000000000006</v>
      </c>
      <c r="Q14" s="393" t="s">
        <v>135</v>
      </c>
      <c r="R14" s="216">
        <f t="shared" si="3"/>
        <v>3733.885116143088</v>
      </c>
      <c r="S14" s="216"/>
      <c r="T14" s="216">
        <f t="shared" si="4"/>
        <v>1701.1732770782914</v>
      </c>
      <c r="U14" s="216"/>
      <c r="V14" s="394">
        <f t="shared" si="6"/>
        <v>0.15310988651323384</v>
      </c>
      <c r="W14" s="370"/>
      <c r="X14" s="455">
        <f t="shared" si="5"/>
        <v>0.61324605303380508</v>
      </c>
    </row>
    <row r="15" spans="2:24">
      <c r="B15" s="370" t="s">
        <v>958</v>
      </c>
      <c r="E15" s="367" t="str">
        <f t="shared" si="0"/>
        <v>DCF, 2.8x 19E EBITDA</v>
      </c>
      <c r="F15" s="484">
        <v>1296.7941929067417</v>
      </c>
      <c r="G15" s="178" t="s">
        <v>134</v>
      </c>
      <c r="H15" s="499">
        <f t="shared" si="1"/>
        <v>2.8003034520415309</v>
      </c>
      <c r="I15" s="178" t="s">
        <v>135</v>
      </c>
      <c r="J15" s="484">
        <v>3631.4172549841596</v>
      </c>
      <c r="K15" s="178" t="s">
        <v>136</v>
      </c>
      <c r="L15" s="216"/>
      <c r="M15" s="178" t="s">
        <v>135</v>
      </c>
      <c r="N15" s="178">
        <f t="shared" ref="N15" si="7">J15-L15</f>
        <v>3631.4172549841596</v>
      </c>
      <c r="O15" s="178" t="s">
        <v>134</v>
      </c>
      <c r="P15" s="490">
        <v>0.8</v>
      </c>
      <c r="Q15" s="393" t="s">
        <v>135</v>
      </c>
      <c r="R15" s="216">
        <f t="shared" ref="R15" si="8">P15*N15</f>
        <v>2905.1338039873281</v>
      </c>
      <c r="S15" s="216"/>
      <c r="T15" s="216">
        <f t="shared" ref="T15" si="9">N15-R15</f>
        <v>726.28345099683156</v>
      </c>
      <c r="U15" s="216"/>
      <c r="V15" s="394">
        <f t="shared" si="6"/>
        <v>0.1022998914761019</v>
      </c>
      <c r="W15" s="370"/>
      <c r="X15" s="455">
        <f t="shared" si="5"/>
        <v>0.40973843101949969</v>
      </c>
    </row>
    <row r="16" spans="2:24">
      <c r="B16" s="370" t="s">
        <v>324</v>
      </c>
      <c r="C16" s="370"/>
      <c r="E16" s="367" t="str">
        <f t="shared" si="0"/>
        <v>DCF, 3.1x 19E EBITDA</v>
      </c>
      <c r="F16" s="484">
        <v>546.76521376066478</v>
      </c>
      <c r="G16" s="178" t="s">
        <v>134</v>
      </c>
      <c r="H16" s="499">
        <f t="shared" si="1"/>
        <v>3.112363954917861</v>
      </c>
      <c r="I16" s="178" t="s">
        <v>135</v>
      </c>
      <c r="J16" s="484">
        <v>1701.7323431116522</v>
      </c>
      <c r="K16" s="178" t="s">
        <v>136</v>
      </c>
      <c r="L16" s="216"/>
      <c r="M16" s="178" t="s">
        <v>135</v>
      </c>
      <c r="N16" s="178">
        <f>J16-L16</f>
        <v>1701.7323431116522</v>
      </c>
      <c r="O16" s="178" t="s">
        <v>134</v>
      </c>
      <c r="P16" s="490">
        <v>0.82479999999999998</v>
      </c>
      <c r="Q16" s="393" t="s">
        <v>135</v>
      </c>
      <c r="R16" s="216">
        <f>P16*N16</f>
        <v>1403.5888365984906</v>
      </c>
      <c r="S16" s="216"/>
      <c r="T16" s="216">
        <f>N16-R16</f>
        <v>298.14350651316158</v>
      </c>
      <c r="U16" s="216"/>
      <c r="V16" s="394">
        <f t="shared" si="6"/>
        <v>4.7939143810246061E-2</v>
      </c>
      <c r="W16" s="370"/>
      <c r="X16" s="455">
        <f t="shared" si="5"/>
        <v>0.19200909488566795</v>
      </c>
    </row>
    <row r="17" spans="2:24">
      <c r="B17" s="370" t="s">
        <v>1078</v>
      </c>
      <c r="C17" s="370"/>
      <c r="E17" s="367" t="str">
        <f t="shared" si="0"/>
        <v>DCF, 40.5x 19E EBITDA</v>
      </c>
      <c r="F17" s="484">
        <v>389.207244743194</v>
      </c>
      <c r="G17" s="178"/>
      <c r="H17" s="499">
        <f t="shared" si="1"/>
        <v>40.522349955903515</v>
      </c>
      <c r="I17" s="178"/>
      <c r="J17" s="484">
        <v>15771.592176856695</v>
      </c>
      <c r="K17" s="178"/>
      <c r="L17" s="216"/>
      <c r="M17" s="178"/>
      <c r="N17" s="178">
        <f>J17-L17</f>
        <v>15771.592176856695</v>
      </c>
      <c r="O17" s="178"/>
      <c r="P17" s="490">
        <v>1.6E-2</v>
      </c>
      <c r="Q17" s="393" t="s">
        <v>135</v>
      </c>
      <c r="R17" s="216">
        <f>P17*N17</f>
        <v>252.34547482970711</v>
      </c>
      <c r="S17" s="216"/>
      <c r="T17" s="216">
        <f>N17-R17</f>
        <v>15519.246702026989</v>
      </c>
      <c r="U17" s="216"/>
      <c r="V17" s="394">
        <f t="shared" si="6"/>
        <v>0.44429820502816753</v>
      </c>
      <c r="W17" s="370"/>
      <c r="X17" s="455"/>
    </row>
    <row r="18" spans="2:24">
      <c r="B18" s="370" t="s">
        <v>141</v>
      </c>
      <c r="C18" s="370"/>
      <c r="F18" s="216"/>
      <c r="H18" s="499"/>
      <c r="J18" s="484">
        <v>12000</v>
      </c>
      <c r="K18" s="178" t="s">
        <v>136</v>
      </c>
      <c r="L18" s="216"/>
      <c r="M18" s="178" t="s">
        <v>135</v>
      </c>
      <c r="N18" s="178">
        <f>J18-L18</f>
        <v>12000</v>
      </c>
      <c r="O18" s="178" t="s">
        <v>134</v>
      </c>
      <c r="P18" s="490">
        <v>1</v>
      </c>
      <c r="Q18" s="393" t="s">
        <v>135</v>
      </c>
      <c r="R18" s="216">
        <f>P18*N18</f>
        <v>12000</v>
      </c>
      <c r="S18" s="216"/>
      <c r="T18" s="216">
        <f>N18-R18</f>
        <v>0</v>
      </c>
      <c r="U18" s="216"/>
      <c r="V18" s="394">
        <f t="shared" si="6"/>
        <v>0.33804947531940327</v>
      </c>
      <c r="W18" s="370"/>
      <c r="X18" s="455">
        <f>$J$37*V18</f>
        <v>1.353978578332069</v>
      </c>
    </row>
    <row r="19" spans="2:24">
      <c r="B19" s="345" t="s">
        <v>138</v>
      </c>
      <c r="C19" s="370"/>
      <c r="F19" s="210"/>
      <c r="G19" s="196"/>
      <c r="H19" s="372"/>
      <c r="I19" s="376"/>
      <c r="J19" s="398">
        <f>SUM(J11:J18)</f>
        <v>84188.751757260237</v>
      </c>
      <c r="K19" s="375"/>
      <c r="L19" s="398">
        <f>-J28</f>
        <v>23035.81246180641</v>
      </c>
      <c r="M19" s="196"/>
      <c r="N19" s="398">
        <f>SUM(N11:N18)</f>
        <v>84188.751757260237</v>
      </c>
      <c r="P19" s="377"/>
      <c r="Q19" s="378"/>
      <c r="R19" s="398">
        <f>SUM(R11:R18)</f>
        <v>58091.574996896583</v>
      </c>
      <c r="S19" s="370"/>
      <c r="T19" s="398">
        <f>SUM(T11:T18)</f>
        <v>26097.176760363658</v>
      </c>
      <c r="U19" s="370"/>
      <c r="V19" s="436">
        <f t="shared" si="6"/>
        <v>2.3716636132781095</v>
      </c>
      <c r="W19" s="370"/>
      <c r="X19" s="454">
        <f>$J$37*V19</f>
        <v>9.4991472013205573</v>
      </c>
    </row>
    <row r="21" spans="2:24">
      <c r="B21" s="370"/>
      <c r="C21" s="370"/>
      <c r="F21" s="210"/>
      <c r="G21" s="196"/>
      <c r="H21" s="372"/>
      <c r="I21" s="376"/>
      <c r="J21" s="196"/>
      <c r="K21" s="375"/>
      <c r="L21" s="370"/>
      <c r="M21" s="196"/>
      <c r="N21" s="210"/>
      <c r="P21" s="377"/>
      <c r="Q21" s="378"/>
      <c r="R21" s="210"/>
    </row>
    <row r="22" spans="2:24">
      <c r="B22" s="370" t="s">
        <v>139</v>
      </c>
      <c r="C22" s="370"/>
      <c r="F22" s="216"/>
      <c r="G22" s="178"/>
      <c r="H22" s="373"/>
      <c r="I22" s="403"/>
      <c r="J22" s="414"/>
      <c r="K22" s="414"/>
      <c r="L22" s="178"/>
      <c r="M22" s="178"/>
      <c r="N22" s="370"/>
      <c r="P22" s="493"/>
      <c r="Q22" s="494"/>
      <c r="R22" s="370"/>
    </row>
    <row r="23" spans="2:24">
      <c r="B23" s="370" t="s">
        <v>959</v>
      </c>
      <c r="C23" s="370"/>
      <c r="E23" s="367" t="str">
        <f>"DCF, "&amp;TEXT(H23,"0.0")&amp;"x 19E EBITDA"</f>
        <v>DCF, 0.0x 19E EBITDA</v>
      </c>
      <c r="F23" s="216"/>
      <c r="G23" s="178"/>
      <c r="H23" s="373"/>
      <c r="I23" s="178" t="s">
        <v>135</v>
      </c>
      <c r="J23" s="484"/>
      <c r="K23" s="178" t="s">
        <v>136</v>
      </c>
      <c r="L23" s="484"/>
      <c r="M23" s="178" t="s">
        <v>135</v>
      </c>
      <c r="N23" s="178">
        <f>(J23-L23)</f>
        <v>0</v>
      </c>
      <c r="O23" s="178" t="s">
        <v>134</v>
      </c>
      <c r="P23" s="490"/>
      <c r="Q23" s="393" t="s">
        <v>135</v>
      </c>
      <c r="R23" s="216">
        <f>P23*N23</f>
        <v>0</v>
      </c>
    </row>
    <row r="24" spans="2:24">
      <c r="B24" s="370" t="s">
        <v>233</v>
      </c>
      <c r="C24" s="370"/>
      <c r="E24" s="367" t="str">
        <f>"DCF, "&amp;TEXT(H24,"0.0")&amp;"x 19E EBITDA"</f>
        <v>DCF, 4.9x 19E EBITDA</v>
      </c>
      <c r="F24" s="208">
        <v>6335.6762797222818</v>
      </c>
      <c r="G24" s="500" t="s">
        <v>134</v>
      </c>
      <c r="H24" s="499">
        <v>4.9040997767279331</v>
      </c>
      <c r="I24" s="178" t="s">
        <v>135</v>
      </c>
      <c r="J24" s="484"/>
      <c r="K24" s="178" t="s">
        <v>136</v>
      </c>
      <c r="L24" s="484"/>
      <c r="M24" s="178" t="s">
        <v>135</v>
      </c>
      <c r="N24" s="178">
        <f>(J24-L24)</f>
        <v>0</v>
      </c>
      <c r="O24" s="178" t="s">
        <v>134</v>
      </c>
      <c r="P24" s="490"/>
      <c r="Q24" s="393" t="s">
        <v>135</v>
      </c>
      <c r="R24" s="385">
        <f>P24*N24</f>
        <v>0</v>
      </c>
    </row>
    <row r="25" spans="2:24">
      <c r="B25" s="345" t="s">
        <v>138</v>
      </c>
      <c r="C25" s="370"/>
      <c r="R25" s="210">
        <f>R23+R24</f>
        <v>0</v>
      </c>
    </row>
    <row r="26" spans="2:24">
      <c r="D26" s="345"/>
      <c r="E26" s="381"/>
      <c r="F26" s="381"/>
      <c r="G26" s="381"/>
      <c r="H26" s="381"/>
      <c r="I26" s="381"/>
      <c r="J26" s="381"/>
      <c r="K26" s="381"/>
      <c r="Q26" s="440"/>
      <c r="R26" s="441"/>
    </row>
    <row r="27" spans="2:24" ht="12.6" thickBot="1">
      <c r="B27" s="382" t="s">
        <v>142</v>
      </c>
      <c r="D27" s="345"/>
      <c r="E27" s="381"/>
      <c r="H27" s="381"/>
      <c r="I27" s="381"/>
      <c r="J27" s="374">
        <f>J19</f>
        <v>84188.751757260237</v>
      </c>
      <c r="T27" s="460" t="s">
        <v>549</v>
      </c>
      <c r="U27" s="368"/>
      <c r="V27" s="368"/>
      <c r="W27" s="368"/>
      <c r="X27" s="368"/>
    </row>
    <row r="28" spans="2:24" ht="12.6" thickTop="1">
      <c r="B28" s="383" t="s">
        <v>1503</v>
      </c>
      <c r="D28" s="424"/>
      <c r="J28" s="484">
        <f>-AXI!D12</f>
        <v>-23035.81246180641</v>
      </c>
      <c r="T28" s="134"/>
    </row>
    <row r="29" spans="2:24">
      <c r="B29" s="383" t="s">
        <v>660</v>
      </c>
      <c r="D29" s="386"/>
      <c r="E29" s="381"/>
      <c r="G29" s="381"/>
      <c r="H29" s="381"/>
      <c r="I29" s="381"/>
      <c r="J29" s="484">
        <v>442</v>
      </c>
      <c r="K29" s="381"/>
    </row>
    <row r="30" spans="2:24">
      <c r="B30" s="384" t="s">
        <v>375</v>
      </c>
      <c r="J30" s="216">
        <f>-T19</f>
        <v>-26097.176760363658</v>
      </c>
    </row>
    <row r="31" spans="2:24">
      <c r="B31" s="384" t="s">
        <v>377</v>
      </c>
      <c r="J31" s="385">
        <f>R25</f>
        <v>0</v>
      </c>
      <c r="K31" s="381"/>
    </row>
    <row r="32" spans="2:24">
      <c r="B32" s="382" t="s">
        <v>495</v>
      </c>
      <c r="D32" s="345"/>
      <c r="E32" s="381"/>
      <c r="F32" s="381"/>
      <c r="G32" s="381"/>
      <c r="H32" s="381"/>
      <c r="I32" s="381"/>
      <c r="J32" s="210">
        <f>SUM(J27:J31)</f>
        <v>35497.762535090165</v>
      </c>
      <c r="K32" s="381"/>
    </row>
    <row r="33" spans="2:24">
      <c r="B33" s="384" t="s">
        <v>496</v>
      </c>
      <c r="D33" s="370"/>
      <c r="J33" s="484">
        <f>AXI!D10</f>
        <v>9183.7790000000005</v>
      </c>
      <c r="K33" s="381"/>
    </row>
    <row r="34" spans="2:24">
      <c r="B34" s="382" t="s">
        <v>497</v>
      </c>
      <c r="D34" s="370"/>
      <c r="J34" s="471">
        <f>J32/J33</f>
        <v>3.8652675042692297</v>
      </c>
      <c r="K34" s="381"/>
    </row>
    <row r="35" spans="2:24">
      <c r="B35" s="384" t="s">
        <v>1043</v>
      </c>
      <c r="D35" s="370"/>
      <c r="J35" s="485">
        <v>0.14000000000000001</v>
      </c>
      <c r="K35" s="381"/>
    </row>
    <row r="36" spans="2:24" ht="12.6" thickBot="1">
      <c r="B36" s="384" t="s">
        <v>1079</v>
      </c>
      <c r="D36" s="370"/>
      <c r="J36" s="485">
        <v>0</v>
      </c>
      <c r="K36" s="381"/>
    </row>
    <row r="37" spans="2:24" ht="12.6" thickBot="1">
      <c r="B37" s="382" t="s">
        <v>62</v>
      </c>
      <c r="D37" s="345"/>
      <c r="E37" s="381"/>
      <c r="H37" s="381"/>
      <c r="I37" s="381"/>
      <c r="J37" s="467">
        <f>J34+J35+J36</f>
        <v>4.0052675042692298</v>
      </c>
    </row>
    <row r="38" spans="2:24">
      <c r="B38" s="384" t="s">
        <v>498</v>
      </c>
      <c r="D38" s="370"/>
      <c r="J38" s="455">
        <f>Prices!C81</f>
        <v>2.87</v>
      </c>
    </row>
    <row r="39" spans="2:24">
      <c r="B39" s="382" t="s">
        <v>97</v>
      </c>
      <c r="D39" s="345"/>
      <c r="E39" s="381"/>
      <c r="H39" s="381"/>
      <c r="I39" s="381"/>
      <c r="J39" s="387">
        <f>J37/J38-1</f>
        <v>0.3955635903377106</v>
      </c>
      <c r="K39" s="381"/>
    </row>
    <row r="40" spans="2:24">
      <c r="D40" s="345"/>
      <c r="E40" s="345"/>
      <c r="H40" s="381"/>
      <c r="I40" s="381"/>
    </row>
    <row r="41" spans="2:24">
      <c r="K41" s="381"/>
    </row>
    <row r="42" spans="2:24">
      <c r="D42" s="345"/>
      <c r="E42" s="345"/>
      <c r="F42" s="345"/>
      <c r="G42" s="345"/>
      <c r="H42" s="345"/>
      <c r="I42" s="345"/>
    </row>
    <row r="43" spans="2:24">
      <c r="B43" s="367" t="s">
        <v>325</v>
      </c>
      <c r="D43" s="386">
        <f>Prices!C159</f>
        <v>4.7115</v>
      </c>
      <c r="E43" s="465"/>
      <c r="F43" s="345"/>
      <c r="G43" s="345"/>
      <c r="H43" s="345"/>
      <c r="I43" s="345"/>
    </row>
    <row r="44" spans="2:24">
      <c r="B44" s="367" t="s">
        <v>326</v>
      </c>
      <c r="D44" s="386">
        <f>Prices!C152/Prices!C159</f>
        <v>17.637164385015389</v>
      </c>
      <c r="E44" s="345"/>
      <c r="F44" s="345"/>
      <c r="G44" s="345"/>
      <c r="H44" s="345"/>
      <c r="I44" s="345"/>
      <c r="K44" s="381"/>
    </row>
    <row r="45" spans="2:24">
      <c r="D45" s="386"/>
      <c r="E45" s="465"/>
      <c r="F45" s="345"/>
      <c r="G45" s="345"/>
      <c r="H45" s="345"/>
      <c r="I45" s="345"/>
    </row>
    <row r="46" spans="2:24">
      <c r="D46" s="386"/>
      <c r="E46" s="345"/>
      <c r="F46" s="345"/>
      <c r="G46" s="345"/>
      <c r="H46" s="345"/>
      <c r="I46" s="345"/>
    </row>
    <row r="47" spans="2:24" ht="12.6" thickBot="1">
      <c r="T47" s="460" t="s">
        <v>549</v>
      </c>
      <c r="U47" s="368"/>
      <c r="V47" s="368"/>
      <c r="W47" s="368"/>
      <c r="X47" s="368"/>
    </row>
    <row r="48" spans="2:24" ht="12.6" thickTop="1">
      <c r="D48" s="345"/>
      <c r="E48" s="345"/>
      <c r="F48" s="345"/>
      <c r="G48" s="345"/>
      <c r="H48" s="345"/>
      <c r="I48" s="345"/>
      <c r="S48" s="440"/>
      <c r="T48" s="370" t="str">
        <f t="shared" ref="T48:T53" si="10">B11</f>
        <v>Malaysia</v>
      </c>
      <c r="X48" s="394">
        <f t="shared" ref="X48:X53" si="11">(J11)/($J$19+$R$25)</f>
        <v>0.21619774150752116</v>
      </c>
    </row>
    <row r="49" spans="4:24">
      <c r="D49" s="345"/>
      <c r="E49" s="381"/>
      <c r="F49" s="381"/>
      <c r="G49" s="381"/>
      <c r="H49" s="381"/>
      <c r="I49" s="381"/>
      <c r="T49" s="370" t="str">
        <f t="shared" si="10"/>
        <v>XL Axiata</v>
      </c>
      <c r="X49" s="394">
        <f t="shared" si="11"/>
        <v>0.22918869875245498</v>
      </c>
    </row>
    <row r="50" spans="4:24">
      <c r="D50" s="345"/>
      <c r="E50" s="381"/>
      <c r="F50" s="381"/>
      <c r="G50" s="381"/>
      <c r="H50" s="381"/>
      <c r="I50" s="381"/>
      <c r="T50" s="370" t="str">
        <f t="shared" si="10"/>
        <v>Sri Lanka</v>
      </c>
      <c r="X50" s="394">
        <f t="shared" si="11"/>
        <v>9.6835063637659383E-2</v>
      </c>
    </row>
    <row r="51" spans="4:24">
      <c r="D51" s="370"/>
      <c r="E51" s="381"/>
      <c r="F51" s="381"/>
      <c r="G51" s="381"/>
      <c r="H51" s="381"/>
      <c r="I51" s="381"/>
      <c r="T51" s="370" t="str">
        <f t="shared" si="10"/>
        <v>Bangladesh</v>
      </c>
      <c r="X51" s="394">
        <f t="shared" si="11"/>
        <v>6.4558011370594678E-2</v>
      </c>
    </row>
    <row r="52" spans="4:24">
      <c r="D52" s="370"/>
      <c r="E52" s="381"/>
      <c r="F52" s="381"/>
      <c r="G52" s="381"/>
      <c r="H52" s="381"/>
      <c r="I52" s="381"/>
      <c r="T52" s="370" t="str">
        <f t="shared" si="10"/>
        <v>Nepal</v>
      </c>
      <c r="X52" s="394">
        <f t="shared" si="11"/>
        <v>4.313423324596323E-2</v>
      </c>
    </row>
    <row r="53" spans="4:24">
      <c r="D53" s="370"/>
      <c r="T53" s="370" t="str">
        <f t="shared" si="10"/>
        <v>Cambodia</v>
      </c>
      <c r="X53" s="394">
        <f t="shared" si="11"/>
        <v>2.0213298185228157E-2</v>
      </c>
    </row>
    <row r="54" spans="4:24">
      <c r="D54" s="345"/>
      <c r="E54" s="381"/>
      <c r="F54" s="381"/>
      <c r="G54" s="381"/>
      <c r="H54" s="381"/>
      <c r="I54" s="381"/>
      <c r="T54" s="370" t="str">
        <f>B18</f>
        <v>Other</v>
      </c>
      <c r="X54" s="394">
        <f>(J18)/($J$19+$R$25)</f>
        <v>0.14253685616576622</v>
      </c>
    </row>
    <row r="55" spans="4:24">
      <c r="D55" s="370"/>
      <c r="E55" s="381"/>
      <c r="F55" s="381"/>
      <c r="G55" s="381"/>
      <c r="H55" s="381"/>
      <c r="I55" s="381"/>
      <c r="S55" s="249"/>
      <c r="T55" s="370" t="str">
        <f>B23</f>
        <v>Mobileone (Singapore)</v>
      </c>
      <c r="X55" s="394">
        <f>(J23/(R25+J19))</f>
        <v>0</v>
      </c>
    </row>
    <row r="56" spans="4:24">
      <c r="D56" s="370"/>
      <c r="E56" s="381"/>
      <c r="F56" s="381"/>
      <c r="G56" s="381"/>
      <c r="H56" s="381"/>
      <c r="I56" s="381"/>
      <c r="L56" s="249"/>
      <c r="M56" s="249"/>
      <c r="N56" s="249"/>
      <c r="O56" s="249"/>
      <c r="P56" s="249"/>
      <c r="Q56" s="249"/>
      <c r="R56" s="249"/>
      <c r="S56" s="388"/>
      <c r="T56" s="370" t="str">
        <f>B24</f>
        <v>IDEA Cellular</v>
      </c>
      <c r="X56" s="394">
        <f>(J24/(R25+J19))</f>
        <v>0</v>
      </c>
    </row>
    <row r="57" spans="4:24">
      <c r="D57" s="370"/>
      <c r="N57" s="388"/>
      <c r="O57" s="388"/>
      <c r="P57" s="388"/>
      <c r="Q57" s="388"/>
      <c r="R57" s="388"/>
      <c r="V57" s="392"/>
    </row>
    <row r="58" spans="4:24">
      <c r="D58" s="370"/>
    </row>
    <row r="59" spans="4:24">
      <c r="D59" s="370"/>
      <c r="J59" s="381"/>
      <c r="S59" s="249"/>
      <c r="T59" s="249"/>
      <c r="U59" s="249"/>
      <c r="V59" s="249"/>
      <c r="W59" s="249"/>
      <c r="X59" s="249"/>
    </row>
    <row r="60" spans="4:24">
      <c r="D60" s="370"/>
      <c r="J60" s="381"/>
      <c r="L60" s="249"/>
      <c r="M60" s="249"/>
      <c r="N60" s="249"/>
      <c r="O60" s="249"/>
      <c r="P60" s="249"/>
      <c r="Q60" s="249"/>
      <c r="R60" s="249"/>
      <c r="S60" s="388"/>
      <c r="T60" s="388"/>
      <c r="U60" s="388"/>
      <c r="V60" s="388"/>
      <c r="W60" s="388"/>
      <c r="X60" s="388"/>
    </row>
    <row r="61" spans="4:24">
      <c r="D61" s="370"/>
      <c r="N61" s="388"/>
      <c r="O61" s="388"/>
      <c r="P61" s="388"/>
      <c r="Q61" s="388"/>
      <c r="R61" s="388"/>
    </row>
    <row r="62" spans="4:24">
      <c r="D62" s="370"/>
      <c r="J62" s="381"/>
      <c r="S62" s="249"/>
      <c r="T62" s="249"/>
      <c r="U62" s="249"/>
      <c r="V62" s="249"/>
      <c r="W62" s="249"/>
      <c r="X62" s="249"/>
    </row>
    <row r="63" spans="4:24">
      <c r="D63" s="370"/>
      <c r="J63" s="381"/>
      <c r="L63" s="249"/>
      <c r="M63" s="249"/>
      <c r="N63" s="249"/>
      <c r="O63" s="249"/>
      <c r="P63" s="249"/>
      <c r="Q63" s="249"/>
      <c r="R63" s="249"/>
      <c r="S63" s="388"/>
      <c r="T63" s="388"/>
      <c r="U63" s="388"/>
      <c r="V63" s="388"/>
      <c r="W63" s="388"/>
      <c r="X63" s="388"/>
    </row>
    <row r="64" spans="4:24">
      <c r="D64" s="370"/>
      <c r="J64" s="381"/>
      <c r="K64" s="381"/>
      <c r="N64" s="388"/>
      <c r="O64" s="388"/>
      <c r="P64" s="388"/>
      <c r="Q64" s="388"/>
      <c r="R64" s="388"/>
    </row>
    <row r="65" spans="4:24">
      <c r="D65" s="370"/>
      <c r="K65" s="381"/>
      <c r="S65" s="249"/>
      <c r="T65" s="249"/>
      <c r="U65" s="249"/>
      <c r="V65" s="249"/>
      <c r="W65" s="249"/>
      <c r="X65" s="249"/>
    </row>
    <row r="66" spans="4:24">
      <c r="D66" s="345"/>
      <c r="E66" s="381"/>
      <c r="F66" s="381"/>
      <c r="G66" s="381"/>
      <c r="H66" s="381"/>
      <c r="I66" s="381"/>
      <c r="L66" s="249"/>
      <c r="M66" s="249"/>
      <c r="N66" s="249"/>
      <c r="O66" s="249"/>
      <c r="P66" s="249"/>
      <c r="Q66" s="249"/>
      <c r="R66" s="249"/>
      <c r="S66" s="388"/>
      <c r="T66" s="388"/>
      <c r="U66" s="388"/>
      <c r="V66" s="388"/>
      <c r="W66" s="388"/>
      <c r="X66" s="388"/>
    </row>
    <row r="67" spans="4:24">
      <c r="D67" s="370"/>
      <c r="J67" s="381"/>
      <c r="K67" s="381"/>
      <c r="N67" s="388"/>
      <c r="O67" s="388"/>
      <c r="P67" s="388"/>
      <c r="Q67" s="388"/>
      <c r="R67" s="388"/>
    </row>
    <row r="68" spans="4:24">
      <c r="D68" s="370"/>
      <c r="J68" s="381"/>
      <c r="K68" s="381"/>
      <c r="S68" s="249"/>
      <c r="T68" s="249"/>
      <c r="U68" s="249"/>
      <c r="V68" s="249"/>
      <c r="W68" s="249"/>
      <c r="X68" s="249"/>
    </row>
    <row r="69" spans="4:24">
      <c r="D69" s="345"/>
      <c r="E69" s="381"/>
      <c r="F69" s="381"/>
      <c r="G69" s="381"/>
      <c r="H69" s="381"/>
      <c r="I69" s="381"/>
      <c r="K69" s="381"/>
      <c r="L69" s="249"/>
      <c r="M69" s="249"/>
      <c r="N69" s="249"/>
      <c r="O69" s="249"/>
      <c r="P69" s="249"/>
      <c r="Q69" s="249"/>
      <c r="R69" s="249"/>
      <c r="S69" s="388"/>
      <c r="T69" s="388"/>
      <c r="U69" s="388"/>
      <c r="V69" s="388"/>
      <c r="W69" s="388"/>
      <c r="X69" s="388"/>
    </row>
    <row r="70" spans="4:24">
      <c r="D70" s="370"/>
      <c r="N70" s="388"/>
      <c r="O70" s="388"/>
      <c r="P70" s="388"/>
      <c r="Q70" s="388"/>
      <c r="R70" s="388"/>
      <c r="S70" s="389"/>
      <c r="T70" s="389"/>
      <c r="U70" s="389"/>
      <c r="V70" s="389"/>
      <c r="W70" s="389"/>
      <c r="X70" s="389"/>
    </row>
    <row r="71" spans="4:24">
      <c r="D71" s="345"/>
      <c r="E71" s="381"/>
      <c r="F71" s="381"/>
      <c r="G71" s="381"/>
      <c r="H71" s="381"/>
      <c r="I71" s="381"/>
      <c r="L71" s="389"/>
      <c r="M71" s="389"/>
      <c r="N71" s="389"/>
      <c r="O71" s="389"/>
      <c r="P71" s="389"/>
      <c r="Q71" s="389"/>
      <c r="R71" s="389"/>
      <c r="S71" s="388"/>
      <c r="T71" s="388"/>
      <c r="U71" s="388"/>
      <c r="V71" s="388"/>
      <c r="W71" s="388"/>
      <c r="X71" s="388"/>
    </row>
    <row r="72" spans="4:24">
      <c r="D72" s="370"/>
      <c r="E72" s="381"/>
      <c r="F72" s="381"/>
      <c r="G72" s="381"/>
      <c r="H72" s="381"/>
      <c r="I72" s="381"/>
      <c r="K72" s="381"/>
      <c r="N72" s="388"/>
      <c r="O72" s="388"/>
      <c r="P72" s="388"/>
      <c r="Q72" s="388"/>
      <c r="R72" s="388"/>
    </row>
    <row r="73" spans="4:24">
      <c r="D73" s="370"/>
      <c r="K73" s="381"/>
      <c r="S73" s="249"/>
      <c r="T73" s="249"/>
      <c r="U73" s="249"/>
      <c r="V73" s="249"/>
      <c r="W73" s="249"/>
      <c r="X73" s="249"/>
    </row>
    <row r="74" spans="4:24">
      <c r="D74" s="370"/>
      <c r="L74" s="249"/>
      <c r="M74" s="249"/>
      <c r="N74" s="249"/>
      <c r="O74" s="249"/>
      <c r="P74" s="249"/>
      <c r="Q74" s="249"/>
      <c r="R74" s="249"/>
      <c r="S74" s="390"/>
      <c r="T74" s="390"/>
      <c r="U74" s="390"/>
      <c r="V74" s="390"/>
      <c r="W74" s="390"/>
      <c r="X74" s="390"/>
    </row>
    <row r="75" spans="4:24">
      <c r="D75" s="345"/>
      <c r="E75" s="381"/>
      <c r="F75" s="381"/>
      <c r="G75" s="381"/>
      <c r="H75" s="381"/>
      <c r="I75" s="381"/>
      <c r="N75" s="388"/>
      <c r="O75" s="388"/>
      <c r="P75" s="390"/>
      <c r="Q75" s="390"/>
      <c r="R75" s="390"/>
      <c r="S75" s="249"/>
      <c r="T75" s="249"/>
      <c r="U75" s="249"/>
      <c r="V75" s="249"/>
      <c r="W75" s="249"/>
      <c r="X75" s="249"/>
    </row>
    <row r="76" spans="4:24">
      <c r="D76" s="370"/>
      <c r="E76" s="381"/>
      <c r="F76" s="381"/>
      <c r="G76" s="381"/>
      <c r="H76" s="381"/>
      <c r="I76" s="381"/>
      <c r="L76" s="249"/>
      <c r="M76" s="249"/>
      <c r="N76" s="249"/>
      <c r="O76" s="249"/>
      <c r="P76" s="249"/>
      <c r="Q76" s="249"/>
      <c r="R76" s="249"/>
      <c r="S76" s="388"/>
      <c r="T76" s="388"/>
      <c r="U76" s="388"/>
      <c r="V76" s="388"/>
      <c r="W76" s="388"/>
      <c r="X76" s="388"/>
    </row>
    <row r="77" spans="4:24">
      <c r="D77" s="370"/>
      <c r="N77" s="388"/>
      <c r="O77" s="388"/>
      <c r="P77" s="388"/>
      <c r="Q77" s="388"/>
      <c r="R77" s="388"/>
      <c r="S77" s="248"/>
      <c r="T77" s="248"/>
      <c r="U77" s="248"/>
      <c r="V77" s="248"/>
      <c r="W77" s="248"/>
      <c r="X77" s="248"/>
    </row>
    <row r="78" spans="4:24">
      <c r="D78" s="345"/>
      <c r="E78" s="381"/>
      <c r="F78" s="381"/>
      <c r="G78" s="381"/>
      <c r="H78" s="381"/>
      <c r="I78" s="381"/>
      <c r="L78" s="248"/>
      <c r="M78" s="248"/>
      <c r="N78" s="248"/>
      <c r="O78" s="248"/>
      <c r="P78" s="248"/>
      <c r="Q78" s="248"/>
      <c r="R78" s="248"/>
    </row>
    <row r="79" spans="4:24">
      <c r="D79" s="370"/>
      <c r="J79" s="381"/>
      <c r="S79" s="247"/>
      <c r="T79" s="247"/>
      <c r="U79" s="247"/>
      <c r="V79" s="247"/>
      <c r="W79" s="247"/>
      <c r="X79" s="247"/>
    </row>
    <row r="80" spans="4:24">
      <c r="D80" s="370"/>
      <c r="J80" s="381"/>
      <c r="L80" s="247"/>
      <c r="M80" s="247"/>
      <c r="N80" s="247"/>
      <c r="O80" s="247"/>
      <c r="P80" s="247"/>
      <c r="Q80" s="247"/>
      <c r="R80" s="247"/>
      <c r="S80" s="388"/>
      <c r="T80" s="388"/>
      <c r="U80" s="388"/>
      <c r="V80" s="388"/>
      <c r="W80" s="388"/>
      <c r="X80" s="388"/>
    </row>
    <row r="81" spans="4:24">
      <c r="D81" s="345"/>
      <c r="E81" s="381"/>
      <c r="F81" s="381"/>
      <c r="G81" s="381"/>
      <c r="H81" s="381"/>
      <c r="I81" s="381"/>
      <c r="N81" s="388"/>
      <c r="O81" s="388"/>
      <c r="P81" s="388"/>
      <c r="Q81" s="388"/>
      <c r="R81" s="388"/>
    </row>
    <row r="82" spans="4:24">
      <c r="D82" s="370"/>
      <c r="S82" s="389"/>
      <c r="T82" s="389"/>
      <c r="U82" s="389"/>
      <c r="V82" s="389"/>
      <c r="W82" s="389"/>
      <c r="X82" s="389"/>
    </row>
    <row r="83" spans="4:24">
      <c r="D83" s="370"/>
      <c r="J83" s="381"/>
      <c r="L83" s="389"/>
      <c r="M83" s="389"/>
      <c r="N83" s="389"/>
      <c r="O83" s="389"/>
      <c r="P83" s="389"/>
      <c r="Q83" s="389"/>
      <c r="R83" s="389"/>
      <c r="S83" s="388"/>
      <c r="T83" s="388"/>
      <c r="U83" s="388"/>
      <c r="V83" s="388"/>
      <c r="W83" s="388"/>
      <c r="X83" s="388"/>
    </row>
    <row r="84" spans="4:24">
      <c r="D84" s="370"/>
      <c r="J84" s="381"/>
      <c r="K84" s="381"/>
      <c r="N84" s="388"/>
      <c r="O84" s="388"/>
      <c r="P84" s="388"/>
      <c r="Q84" s="388"/>
      <c r="R84" s="388"/>
    </row>
    <row r="85" spans="4:24">
      <c r="D85" s="345"/>
      <c r="E85" s="381"/>
      <c r="F85" s="381"/>
      <c r="G85" s="381"/>
      <c r="H85" s="381"/>
      <c r="I85" s="381"/>
      <c r="K85" s="381"/>
      <c r="S85" s="391"/>
      <c r="T85" s="391"/>
      <c r="U85" s="391"/>
      <c r="V85" s="391"/>
      <c r="W85" s="391"/>
      <c r="X85" s="391"/>
    </row>
    <row r="86" spans="4:24">
      <c r="D86" s="370"/>
      <c r="L86" s="391"/>
      <c r="M86" s="391"/>
      <c r="N86" s="391"/>
      <c r="O86" s="391"/>
      <c r="P86" s="391"/>
      <c r="Q86" s="391"/>
      <c r="R86" s="391"/>
      <c r="S86" s="388"/>
      <c r="T86" s="388"/>
      <c r="U86" s="388"/>
      <c r="V86" s="388"/>
      <c r="W86" s="388"/>
      <c r="X86" s="388"/>
    </row>
    <row r="87" spans="4:24">
      <c r="D87" s="370"/>
      <c r="E87" s="345"/>
      <c r="F87" s="345"/>
      <c r="G87" s="345"/>
      <c r="H87" s="345"/>
      <c r="I87" s="345"/>
      <c r="J87" s="381"/>
      <c r="N87" s="388"/>
      <c r="O87" s="388"/>
      <c r="P87" s="388"/>
      <c r="Q87" s="388"/>
      <c r="R87" s="388"/>
      <c r="S87" s="248"/>
      <c r="T87" s="248"/>
      <c r="U87" s="248"/>
      <c r="V87" s="248"/>
      <c r="W87" s="248"/>
      <c r="X87" s="248"/>
    </row>
    <row r="88" spans="4:24">
      <c r="D88" s="370"/>
      <c r="E88" s="345"/>
      <c r="F88" s="345"/>
      <c r="G88" s="345"/>
      <c r="H88" s="345"/>
      <c r="I88" s="345"/>
      <c r="K88" s="381"/>
      <c r="N88" s="248"/>
      <c r="O88" s="248"/>
      <c r="P88" s="248"/>
      <c r="Q88" s="248"/>
      <c r="R88" s="248"/>
    </row>
    <row r="89" spans="4:24">
      <c r="D89" s="370"/>
      <c r="K89" s="381"/>
      <c r="S89" s="247"/>
      <c r="T89" s="247"/>
      <c r="U89" s="247"/>
      <c r="V89" s="247"/>
      <c r="W89" s="247"/>
      <c r="X89" s="247"/>
    </row>
    <row r="90" spans="4:24">
      <c r="D90" s="370"/>
      <c r="L90" s="247"/>
      <c r="M90" s="247"/>
      <c r="N90" s="247"/>
      <c r="O90" s="247"/>
      <c r="P90" s="247"/>
      <c r="Q90" s="247"/>
      <c r="R90" s="247"/>
      <c r="S90" s="388"/>
      <c r="T90" s="388"/>
      <c r="U90" s="388"/>
      <c r="V90" s="388"/>
      <c r="W90" s="388"/>
      <c r="X90" s="388"/>
    </row>
    <row r="91" spans="4:24">
      <c r="D91" s="370"/>
      <c r="N91" s="388"/>
      <c r="O91" s="388"/>
      <c r="P91" s="388"/>
      <c r="Q91" s="388"/>
      <c r="R91" s="388"/>
      <c r="S91" s="274"/>
      <c r="T91" s="274"/>
      <c r="U91" s="274"/>
      <c r="V91" s="274"/>
      <c r="W91" s="274"/>
      <c r="X91" s="274"/>
    </row>
    <row r="92" spans="4:24">
      <c r="D92" s="345"/>
      <c r="E92" s="381"/>
      <c r="F92" s="381"/>
      <c r="G92" s="381"/>
      <c r="H92" s="381"/>
      <c r="I92" s="381"/>
      <c r="K92" s="381"/>
      <c r="L92" s="274"/>
      <c r="M92" s="274"/>
      <c r="N92" s="274"/>
      <c r="O92" s="274"/>
      <c r="P92" s="274"/>
      <c r="Q92" s="274"/>
      <c r="R92" s="274"/>
    </row>
    <row r="93" spans="4:24">
      <c r="D93" s="345"/>
      <c r="E93" s="381"/>
      <c r="F93" s="381"/>
      <c r="G93" s="381"/>
      <c r="H93" s="381"/>
      <c r="I93" s="381"/>
      <c r="S93" s="389"/>
      <c r="T93" s="389"/>
      <c r="U93" s="389"/>
      <c r="V93" s="389"/>
      <c r="W93" s="389"/>
      <c r="X93" s="389"/>
    </row>
    <row r="94" spans="4:24">
      <c r="D94" s="370"/>
      <c r="E94" s="381"/>
      <c r="F94" s="381"/>
      <c r="G94" s="381"/>
      <c r="H94" s="381"/>
      <c r="I94" s="381"/>
      <c r="L94" s="389"/>
      <c r="M94" s="389"/>
      <c r="N94" s="389"/>
      <c r="O94" s="389"/>
      <c r="P94" s="389"/>
      <c r="Q94" s="389"/>
      <c r="R94" s="389"/>
      <c r="S94" s="388"/>
      <c r="T94" s="388"/>
      <c r="U94" s="388"/>
      <c r="V94" s="388"/>
      <c r="W94" s="388"/>
      <c r="X94" s="388"/>
    </row>
    <row r="95" spans="4:24">
      <c r="D95" s="370"/>
      <c r="E95" s="381"/>
      <c r="F95" s="381"/>
      <c r="G95" s="381"/>
      <c r="H95" s="381"/>
      <c r="I95" s="381"/>
      <c r="N95" s="388"/>
      <c r="O95" s="388"/>
      <c r="P95" s="388"/>
      <c r="Q95" s="388"/>
      <c r="R95" s="388"/>
    </row>
    <row r="96" spans="4:24">
      <c r="D96" s="370"/>
    </row>
    <row r="97" spans="4:24">
      <c r="D97" s="345"/>
      <c r="E97" s="381"/>
      <c r="F97" s="381"/>
      <c r="G97" s="381"/>
      <c r="H97" s="381"/>
      <c r="I97" s="381"/>
      <c r="S97" s="249"/>
      <c r="T97" s="249"/>
      <c r="U97" s="249"/>
      <c r="V97" s="249"/>
      <c r="W97" s="249"/>
      <c r="X97" s="249"/>
    </row>
    <row r="98" spans="4:24">
      <c r="D98" s="370"/>
      <c r="E98" s="381"/>
      <c r="F98" s="381"/>
      <c r="G98" s="381"/>
      <c r="H98" s="381"/>
      <c r="I98" s="381"/>
      <c r="L98" s="249"/>
      <c r="M98" s="249"/>
      <c r="N98" s="249"/>
      <c r="O98" s="249"/>
      <c r="P98" s="249"/>
      <c r="Q98" s="249"/>
      <c r="R98" s="249"/>
      <c r="S98" s="388"/>
      <c r="T98" s="388"/>
      <c r="U98" s="388"/>
      <c r="V98" s="388"/>
      <c r="W98" s="388"/>
      <c r="X98" s="388"/>
    </row>
    <row r="99" spans="4:24">
      <c r="D99" s="370"/>
      <c r="E99" s="381"/>
      <c r="F99" s="381"/>
      <c r="G99" s="381"/>
      <c r="H99" s="381"/>
      <c r="I99" s="381"/>
      <c r="N99" s="388"/>
      <c r="O99" s="388"/>
      <c r="P99" s="388"/>
      <c r="Q99" s="388"/>
      <c r="R99" s="388"/>
    </row>
    <row r="100" spans="4:24">
      <c r="D100" s="370"/>
      <c r="S100" s="249"/>
      <c r="T100" s="249"/>
      <c r="U100" s="249"/>
      <c r="V100" s="249"/>
      <c r="W100" s="249"/>
      <c r="X100" s="249"/>
    </row>
    <row r="101" spans="4:24">
      <c r="D101" s="370"/>
      <c r="L101" s="249"/>
      <c r="M101" s="249"/>
      <c r="N101" s="249"/>
      <c r="O101" s="249"/>
      <c r="P101" s="249"/>
      <c r="Q101" s="249"/>
      <c r="R101" s="249"/>
      <c r="S101" s="390"/>
      <c r="T101" s="390"/>
      <c r="U101" s="390"/>
      <c r="V101" s="390"/>
      <c r="W101" s="390"/>
      <c r="X101" s="390"/>
    </row>
    <row r="102" spans="4:24">
      <c r="D102" s="370"/>
      <c r="J102" s="381"/>
      <c r="N102" s="388"/>
      <c r="O102" s="388"/>
      <c r="P102" s="390"/>
      <c r="Q102" s="390"/>
      <c r="R102" s="390"/>
    </row>
    <row r="103" spans="4:24">
      <c r="D103" s="370"/>
      <c r="J103" s="381"/>
      <c r="S103" s="389"/>
      <c r="T103" s="389"/>
      <c r="U103" s="389"/>
      <c r="V103" s="389"/>
      <c r="W103" s="389"/>
      <c r="X103" s="389"/>
    </row>
    <row r="104" spans="4:24">
      <c r="D104" s="370"/>
      <c r="L104" s="389"/>
      <c r="M104" s="389"/>
      <c r="N104" s="389"/>
      <c r="O104" s="389"/>
      <c r="P104" s="389"/>
      <c r="Q104" s="389"/>
      <c r="R104" s="389"/>
      <c r="S104" s="392"/>
      <c r="T104" s="392"/>
      <c r="U104" s="392"/>
      <c r="V104" s="392"/>
      <c r="W104" s="392"/>
      <c r="X104" s="392"/>
    </row>
    <row r="105" spans="4:24">
      <c r="D105" s="370"/>
      <c r="J105" s="381"/>
      <c r="N105" s="392"/>
      <c r="O105" s="392"/>
      <c r="P105" s="392"/>
      <c r="Q105" s="392"/>
      <c r="R105" s="392"/>
      <c r="S105" s="392"/>
      <c r="T105" s="392"/>
      <c r="U105" s="392"/>
      <c r="V105" s="392"/>
      <c r="W105" s="392"/>
      <c r="X105" s="392"/>
    </row>
    <row r="106" spans="4:24">
      <c r="D106" s="370"/>
      <c r="J106" s="381"/>
      <c r="L106" s="392"/>
      <c r="M106" s="392"/>
      <c r="N106" s="392"/>
      <c r="O106" s="392"/>
      <c r="P106" s="392"/>
      <c r="Q106" s="392"/>
      <c r="R106" s="392"/>
    </row>
    <row r="107" spans="4:24">
      <c r="D107" s="370"/>
      <c r="J107" s="381"/>
      <c r="K107" s="381"/>
      <c r="S107" s="388"/>
      <c r="T107" s="388"/>
      <c r="U107" s="388"/>
      <c r="V107" s="388"/>
      <c r="W107" s="388"/>
      <c r="X107" s="388"/>
    </row>
    <row r="108" spans="4:24">
      <c r="D108" s="370"/>
      <c r="K108" s="381"/>
      <c r="L108" s="388"/>
      <c r="M108" s="388"/>
      <c r="N108" s="388"/>
      <c r="O108" s="388"/>
      <c r="P108" s="388"/>
      <c r="Q108" s="388"/>
      <c r="R108" s="388"/>
      <c r="S108" s="389"/>
      <c r="T108" s="389"/>
      <c r="U108" s="389"/>
      <c r="V108" s="389"/>
      <c r="W108" s="389"/>
      <c r="X108" s="389"/>
    </row>
    <row r="109" spans="4:24">
      <c r="D109" s="345"/>
      <c r="E109" s="381"/>
      <c r="F109" s="381"/>
      <c r="G109" s="381"/>
      <c r="H109" s="381"/>
      <c r="I109" s="381"/>
      <c r="L109" s="389"/>
      <c r="M109" s="389"/>
      <c r="N109" s="389"/>
      <c r="O109" s="389"/>
      <c r="P109" s="389"/>
      <c r="Q109" s="389"/>
      <c r="R109" s="389"/>
      <c r="S109" s="392"/>
      <c r="T109" s="392"/>
      <c r="U109" s="392"/>
      <c r="V109" s="392"/>
      <c r="W109" s="392"/>
      <c r="X109" s="392"/>
    </row>
    <row r="110" spans="4:24">
      <c r="D110" s="370"/>
      <c r="J110" s="381"/>
      <c r="K110" s="381"/>
      <c r="R110" s="392"/>
    </row>
    <row r="111" spans="4:24">
      <c r="D111" s="370"/>
      <c r="J111" s="381"/>
      <c r="K111" s="381"/>
      <c r="S111" s="389"/>
      <c r="T111" s="389"/>
      <c r="U111" s="389"/>
      <c r="V111" s="389"/>
      <c r="W111" s="389"/>
      <c r="X111" s="389"/>
    </row>
    <row r="112" spans="4:24">
      <c r="D112" s="345"/>
      <c r="E112" s="381"/>
      <c r="F112" s="381"/>
      <c r="G112" s="381"/>
      <c r="H112" s="381"/>
      <c r="I112" s="381"/>
      <c r="K112" s="381"/>
      <c r="L112" s="389"/>
      <c r="M112" s="389"/>
      <c r="N112" s="389"/>
      <c r="O112" s="389"/>
      <c r="P112" s="389"/>
      <c r="Q112" s="389"/>
      <c r="R112" s="389"/>
      <c r="S112" s="392"/>
      <c r="T112" s="392"/>
      <c r="U112" s="392"/>
      <c r="V112" s="392"/>
      <c r="W112" s="392"/>
      <c r="X112" s="392"/>
    </row>
    <row r="113" spans="4:18">
      <c r="D113" s="370"/>
      <c r="N113" s="392"/>
      <c r="O113" s="392"/>
      <c r="P113" s="392"/>
      <c r="Q113" s="392"/>
      <c r="R113" s="392"/>
    </row>
    <row r="114" spans="4:18">
      <c r="D114" s="345"/>
      <c r="E114" s="381"/>
      <c r="F114" s="381"/>
      <c r="G114" s="381"/>
      <c r="H114" s="381"/>
      <c r="I114" s="381"/>
    </row>
    <row r="115" spans="4:18">
      <c r="D115" s="370"/>
      <c r="E115" s="381"/>
      <c r="F115" s="381"/>
      <c r="G115" s="381"/>
      <c r="H115" s="381"/>
      <c r="I115" s="381"/>
      <c r="K115" s="381"/>
    </row>
    <row r="116" spans="4:18">
      <c r="D116" s="370"/>
      <c r="K116" s="381"/>
    </row>
    <row r="117" spans="4:18">
      <c r="D117" s="370"/>
    </row>
    <row r="118" spans="4:18">
      <c r="D118" s="345"/>
      <c r="E118" s="381"/>
      <c r="F118" s="381"/>
      <c r="G118" s="381"/>
      <c r="H118" s="381"/>
      <c r="I118" s="381"/>
    </row>
    <row r="119" spans="4:18">
      <c r="D119" s="370"/>
      <c r="E119" s="381"/>
      <c r="F119" s="381"/>
      <c r="G119" s="381"/>
      <c r="H119" s="381"/>
      <c r="I119" s="381"/>
    </row>
    <row r="120" spans="4:18">
      <c r="D120" s="370"/>
    </row>
    <row r="121" spans="4:18">
      <c r="D121" s="345"/>
      <c r="E121" s="381"/>
      <c r="F121" s="381"/>
      <c r="G121" s="381"/>
      <c r="H121" s="381"/>
      <c r="I121" s="381"/>
    </row>
    <row r="122" spans="4:18">
      <c r="D122" s="370"/>
      <c r="J122" s="381"/>
    </row>
    <row r="123" spans="4:18">
      <c r="D123" s="370"/>
      <c r="J123" s="381"/>
    </row>
    <row r="124" spans="4:18">
      <c r="D124" s="345"/>
      <c r="E124" s="381"/>
      <c r="F124" s="381"/>
      <c r="G124" s="381"/>
      <c r="H124" s="381"/>
      <c r="I124" s="381"/>
    </row>
    <row r="125" spans="4:18">
      <c r="D125" s="370"/>
    </row>
    <row r="126" spans="4:18">
      <c r="D126" s="370"/>
      <c r="J126" s="381"/>
    </row>
    <row r="127" spans="4:18">
      <c r="D127" s="370"/>
      <c r="J127" s="381"/>
      <c r="K127" s="381"/>
    </row>
    <row r="128" spans="4:18">
      <c r="D128" s="345"/>
      <c r="E128" s="381"/>
      <c r="F128" s="381"/>
      <c r="G128" s="381"/>
      <c r="H128" s="381"/>
      <c r="I128" s="381"/>
      <c r="K128" s="381"/>
    </row>
    <row r="129" spans="4:11">
      <c r="D129" s="370"/>
    </row>
    <row r="130" spans="4:11">
      <c r="D130" s="370"/>
      <c r="E130" s="345"/>
      <c r="F130" s="345"/>
      <c r="G130" s="345"/>
      <c r="H130" s="345"/>
      <c r="I130" s="345"/>
      <c r="J130" s="381"/>
    </row>
    <row r="131" spans="4:11">
      <c r="D131" s="370"/>
      <c r="E131" s="345"/>
      <c r="F131" s="345"/>
      <c r="G131" s="345"/>
      <c r="H131" s="345"/>
      <c r="I131" s="345"/>
      <c r="K131" s="381"/>
    </row>
    <row r="132" spans="4:11">
      <c r="D132" s="370"/>
      <c r="K132" s="381"/>
    </row>
    <row r="133" spans="4:11">
      <c r="D133" s="370"/>
    </row>
    <row r="135" spans="4:11">
      <c r="D135" s="345"/>
      <c r="E135" s="381"/>
      <c r="F135" s="381"/>
      <c r="G135" s="381"/>
      <c r="H135" s="381"/>
      <c r="I135" s="381"/>
      <c r="K135" s="381"/>
    </row>
    <row r="136" spans="4:11">
      <c r="D136" s="345"/>
      <c r="E136" s="381"/>
      <c r="F136" s="381"/>
      <c r="G136" s="381"/>
      <c r="H136" s="381"/>
      <c r="I136" s="381"/>
    </row>
    <row r="137" spans="4:11">
      <c r="D137" s="370"/>
      <c r="E137" s="381"/>
      <c r="F137" s="381"/>
      <c r="G137" s="381"/>
      <c r="H137" s="381"/>
      <c r="I137" s="381"/>
    </row>
    <row r="138" spans="4:11">
      <c r="D138" s="370"/>
      <c r="E138" s="381"/>
      <c r="F138" s="381"/>
      <c r="G138" s="381"/>
      <c r="H138" s="381"/>
      <c r="I138" s="381"/>
    </row>
    <row r="139" spans="4:11">
      <c r="D139" s="370"/>
    </row>
    <row r="140" spans="4:11">
      <c r="D140" s="345"/>
      <c r="E140" s="381"/>
      <c r="F140" s="381"/>
      <c r="G140" s="381"/>
      <c r="H140" s="381"/>
      <c r="I140" s="381"/>
    </row>
    <row r="141" spans="4:11">
      <c r="D141" s="370"/>
      <c r="E141" s="381"/>
      <c r="F141" s="381"/>
      <c r="G141" s="381"/>
      <c r="H141" s="381"/>
      <c r="I141" s="381"/>
    </row>
    <row r="142" spans="4:11">
      <c r="D142" s="370"/>
      <c r="E142" s="381"/>
      <c r="F142" s="381"/>
      <c r="G142" s="381"/>
      <c r="H142" s="381"/>
      <c r="I142" s="381"/>
    </row>
    <row r="143" spans="4:11">
      <c r="D143" s="370"/>
    </row>
    <row r="144" spans="4:11">
      <c r="D144" s="370"/>
    </row>
    <row r="145" spans="4:11">
      <c r="D145" s="370"/>
      <c r="J145" s="381"/>
    </row>
    <row r="146" spans="4:11">
      <c r="D146" s="370"/>
      <c r="J146" s="381"/>
    </row>
    <row r="147" spans="4:11">
      <c r="D147" s="370"/>
    </row>
    <row r="148" spans="4:11">
      <c r="D148" s="370"/>
      <c r="J148" s="381"/>
    </row>
    <row r="149" spans="4:11">
      <c r="D149" s="370"/>
      <c r="J149" s="381"/>
    </row>
    <row r="150" spans="4:11">
      <c r="D150" s="370"/>
      <c r="J150" s="381"/>
      <c r="K150" s="381"/>
    </row>
    <row r="151" spans="4:11">
      <c r="D151" s="370"/>
      <c r="K151" s="381"/>
    </row>
    <row r="152" spans="4:11">
      <c r="D152" s="345"/>
      <c r="E152" s="381"/>
      <c r="F152" s="381"/>
      <c r="G152" s="381"/>
      <c r="H152" s="381"/>
      <c r="I152" s="381"/>
    </row>
    <row r="153" spans="4:11">
      <c r="D153" s="370"/>
      <c r="J153" s="381"/>
      <c r="K153" s="381"/>
    </row>
    <row r="154" spans="4:11">
      <c r="D154" s="370"/>
      <c r="J154" s="381"/>
      <c r="K154" s="381"/>
    </row>
    <row r="155" spans="4:11">
      <c r="D155" s="345"/>
      <c r="E155" s="381"/>
      <c r="F155" s="381"/>
      <c r="G155" s="381"/>
      <c r="H155" s="381"/>
      <c r="I155" s="381"/>
      <c r="K155" s="381"/>
    </row>
    <row r="156" spans="4:11">
      <c r="D156" s="370"/>
    </row>
    <row r="157" spans="4:11">
      <c r="D157" s="345"/>
      <c r="E157" s="381"/>
      <c r="F157" s="381"/>
      <c r="G157" s="381"/>
      <c r="H157" s="381"/>
      <c r="I157" s="381"/>
    </row>
    <row r="158" spans="4:11">
      <c r="D158" s="370"/>
      <c r="E158" s="381"/>
      <c r="F158" s="381"/>
      <c r="G158" s="381"/>
      <c r="H158" s="381"/>
      <c r="I158" s="381"/>
      <c r="K158" s="381"/>
    </row>
    <row r="159" spans="4:11">
      <c r="D159" s="370"/>
      <c r="K159" s="381"/>
    </row>
    <row r="160" spans="4:11">
      <c r="D160" s="370"/>
    </row>
    <row r="161" spans="4:11">
      <c r="D161" s="345"/>
      <c r="E161" s="381"/>
      <c r="F161" s="381"/>
      <c r="G161" s="381"/>
      <c r="H161" s="381"/>
      <c r="I161" s="381"/>
    </row>
    <row r="162" spans="4:11">
      <c r="D162" s="370"/>
      <c r="E162" s="381"/>
      <c r="F162" s="381"/>
      <c r="G162" s="381"/>
      <c r="H162" s="381"/>
      <c r="I162" s="381"/>
    </row>
    <row r="163" spans="4:11">
      <c r="D163" s="370"/>
    </row>
    <row r="164" spans="4:11">
      <c r="D164" s="345"/>
      <c r="E164" s="381"/>
      <c r="F164" s="381"/>
      <c r="G164" s="381"/>
      <c r="H164" s="381"/>
      <c r="I164" s="381"/>
    </row>
    <row r="165" spans="4:11">
      <c r="D165" s="370"/>
      <c r="J165" s="381"/>
    </row>
    <row r="166" spans="4:11">
      <c r="D166" s="370"/>
      <c r="J166" s="381"/>
    </row>
    <row r="167" spans="4:11">
      <c r="D167" s="345"/>
      <c r="E167" s="381"/>
      <c r="F167" s="381"/>
      <c r="G167" s="381"/>
      <c r="H167" s="381"/>
      <c r="I167" s="381"/>
    </row>
    <row r="168" spans="4:11">
      <c r="D168" s="370"/>
    </row>
    <row r="169" spans="4:11">
      <c r="D169" s="370"/>
      <c r="J169" s="381"/>
    </row>
    <row r="170" spans="4:11">
      <c r="D170" s="370"/>
      <c r="J170" s="381"/>
      <c r="K170" s="381"/>
    </row>
    <row r="171" spans="4:11">
      <c r="D171" s="345"/>
      <c r="E171" s="381"/>
      <c r="F171" s="381"/>
      <c r="G171" s="381"/>
      <c r="H171" s="381"/>
      <c r="I171" s="381"/>
      <c r="K171" s="381"/>
    </row>
    <row r="172" spans="4:11">
      <c r="D172" s="370"/>
    </row>
    <row r="173" spans="4:11">
      <c r="D173" s="370"/>
      <c r="E173" s="345"/>
      <c r="F173" s="345"/>
      <c r="G173" s="345"/>
      <c r="H173" s="345"/>
      <c r="I173" s="345"/>
      <c r="J173" s="381"/>
    </row>
    <row r="174" spans="4:11">
      <c r="D174" s="370"/>
      <c r="E174" s="345"/>
      <c r="F174" s="345"/>
      <c r="G174" s="345"/>
      <c r="H174" s="345"/>
      <c r="I174" s="345"/>
      <c r="K174" s="381"/>
    </row>
    <row r="175" spans="4:11">
      <c r="D175" s="370"/>
      <c r="K175" s="381"/>
    </row>
    <row r="176" spans="4:11">
      <c r="D176" s="370"/>
    </row>
    <row r="177" spans="4:11">
      <c r="D177" s="370"/>
    </row>
    <row r="178" spans="4:11">
      <c r="D178" s="345"/>
      <c r="E178" s="381"/>
      <c r="F178" s="381"/>
      <c r="G178" s="381"/>
      <c r="H178" s="381"/>
      <c r="I178" s="381"/>
      <c r="K178" s="381"/>
    </row>
    <row r="179" spans="4:11">
      <c r="D179" s="345"/>
      <c r="E179" s="381"/>
      <c r="F179" s="381"/>
      <c r="G179" s="381"/>
      <c r="H179" s="381"/>
      <c r="I179" s="381"/>
    </row>
    <row r="180" spans="4:11">
      <c r="D180" s="370"/>
      <c r="E180" s="381"/>
      <c r="F180" s="381"/>
      <c r="G180" s="381"/>
      <c r="H180" s="381"/>
      <c r="I180" s="381"/>
    </row>
    <row r="181" spans="4:11">
      <c r="D181" s="370"/>
      <c r="E181" s="381"/>
      <c r="F181" s="381"/>
      <c r="G181" s="381"/>
      <c r="H181" s="381"/>
      <c r="I181" s="381"/>
    </row>
    <row r="182" spans="4:11">
      <c r="D182" s="370"/>
    </row>
    <row r="183" spans="4:11">
      <c r="D183" s="345"/>
      <c r="E183" s="381"/>
      <c r="F183" s="381"/>
      <c r="G183" s="381"/>
      <c r="H183" s="381"/>
      <c r="I183" s="381"/>
    </row>
    <row r="184" spans="4:11">
      <c r="D184" s="370"/>
      <c r="E184" s="381"/>
      <c r="F184" s="381"/>
      <c r="G184" s="381"/>
      <c r="H184" s="381"/>
      <c r="I184" s="381"/>
    </row>
    <row r="185" spans="4:11">
      <c r="D185" s="370"/>
      <c r="E185" s="381"/>
      <c r="F185" s="381"/>
      <c r="G185" s="381"/>
      <c r="H185" s="381"/>
      <c r="I185" s="381"/>
    </row>
    <row r="186" spans="4:11">
      <c r="D186" s="370"/>
    </row>
    <row r="187" spans="4:11">
      <c r="D187" s="370"/>
    </row>
    <row r="188" spans="4:11">
      <c r="D188" s="370"/>
      <c r="J188" s="381"/>
    </row>
    <row r="189" spans="4:11">
      <c r="D189" s="370"/>
      <c r="J189" s="381"/>
    </row>
    <row r="190" spans="4:11">
      <c r="D190" s="370"/>
    </row>
    <row r="191" spans="4:11">
      <c r="D191" s="370"/>
      <c r="J191" s="381"/>
    </row>
    <row r="192" spans="4:11">
      <c r="D192" s="370"/>
      <c r="J192" s="381"/>
    </row>
    <row r="193" spans="4:11">
      <c r="D193" s="370"/>
      <c r="J193" s="381"/>
      <c r="K193" s="381"/>
    </row>
    <row r="194" spans="4:11">
      <c r="D194" s="370"/>
      <c r="K194" s="381"/>
    </row>
    <row r="195" spans="4:11">
      <c r="D195" s="345"/>
      <c r="E195" s="381"/>
      <c r="F195" s="381"/>
      <c r="G195" s="381"/>
      <c r="H195" s="381"/>
      <c r="I195" s="381"/>
    </row>
    <row r="196" spans="4:11">
      <c r="D196" s="370"/>
      <c r="J196" s="381"/>
      <c r="K196" s="381"/>
    </row>
    <row r="197" spans="4:11">
      <c r="D197" s="370"/>
      <c r="J197" s="381"/>
      <c r="K197" s="381"/>
    </row>
    <row r="198" spans="4:11">
      <c r="D198" s="345"/>
      <c r="E198" s="381"/>
      <c r="F198" s="381"/>
      <c r="G198" s="381"/>
      <c r="H198" s="381"/>
      <c r="I198" s="381"/>
      <c r="K198" s="381"/>
    </row>
    <row r="199" spans="4:11">
      <c r="D199" s="370"/>
    </row>
    <row r="200" spans="4:11">
      <c r="D200" s="345"/>
      <c r="E200" s="381"/>
      <c r="F200" s="381"/>
      <c r="G200" s="381"/>
      <c r="H200" s="381"/>
      <c r="I200" s="381"/>
    </row>
    <row r="201" spans="4:11">
      <c r="D201" s="370"/>
      <c r="E201" s="381"/>
      <c r="F201" s="381"/>
      <c r="G201" s="381"/>
      <c r="H201" s="381"/>
      <c r="I201" s="381"/>
      <c r="K201" s="381"/>
    </row>
    <row r="202" spans="4:11">
      <c r="D202" s="370"/>
      <c r="K202" s="381"/>
    </row>
    <row r="203" spans="4:11">
      <c r="D203" s="370"/>
    </row>
    <row r="204" spans="4:11">
      <c r="D204" s="345"/>
      <c r="E204" s="381"/>
      <c r="F204" s="381"/>
      <c r="G204" s="381"/>
      <c r="H204" s="381"/>
      <c r="I204" s="381"/>
    </row>
    <row r="205" spans="4:11">
      <c r="D205" s="370"/>
      <c r="E205" s="381"/>
      <c r="F205" s="381"/>
      <c r="G205" s="381"/>
      <c r="H205" s="381"/>
      <c r="I205" s="381"/>
    </row>
    <row r="206" spans="4:11">
      <c r="D206" s="370"/>
    </row>
    <row r="207" spans="4:11">
      <c r="D207" s="345"/>
      <c r="E207" s="381"/>
      <c r="F207" s="381"/>
      <c r="G207" s="381"/>
      <c r="H207" s="381"/>
      <c r="I207" s="381"/>
    </row>
    <row r="208" spans="4:11">
      <c r="D208" s="370"/>
      <c r="J208" s="381"/>
    </row>
    <row r="209" spans="4:11">
      <c r="D209" s="370"/>
      <c r="J209" s="381"/>
    </row>
    <row r="210" spans="4:11">
      <c r="D210" s="345"/>
      <c r="E210" s="381"/>
      <c r="F210" s="381"/>
      <c r="G210" s="381"/>
      <c r="H210" s="381"/>
      <c r="I210" s="381"/>
    </row>
    <row r="211" spans="4:11">
      <c r="D211" s="370"/>
    </row>
    <row r="212" spans="4:11">
      <c r="D212" s="370"/>
      <c r="J212" s="381"/>
    </row>
    <row r="213" spans="4:11">
      <c r="D213" s="370"/>
      <c r="J213" s="381"/>
      <c r="K213" s="381"/>
    </row>
    <row r="214" spans="4:11">
      <c r="D214" s="345"/>
      <c r="E214" s="381"/>
      <c r="F214" s="381"/>
      <c r="G214" s="381"/>
      <c r="H214" s="381"/>
      <c r="I214" s="381"/>
      <c r="K214" s="381"/>
    </row>
    <row r="215" spans="4:11">
      <c r="D215" s="370"/>
    </row>
    <row r="216" spans="4:11">
      <c r="D216" s="370"/>
      <c r="E216" s="345"/>
      <c r="F216" s="345"/>
      <c r="G216" s="345"/>
      <c r="H216" s="345"/>
      <c r="I216" s="345"/>
      <c r="J216" s="381"/>
    </row>
    <row r="217" spans="4:11">
      <c r="D217" s="370"/>
      <c r="E217" s="345"/>
      <c r="F217" s="345"/>
      <c r="G217" s="345"/>
      <c r="H217" s="345"/>
      <c r="I217" s="345"/>
      <c r="K217" s="381"/>
    </row>
    <row r="218" spans="4:11">
      <c r="D218" s="370"/>
      <c r="K218" s="381"/>
    </row>
    <row r="219" spans="4:11">
      <c r="D219" s="370"/>
    </row>
    <row r="220" spans="4:11">
      <c r="D220" s="370"/>
    </row>
    <row r="221" spans="4:11">
      <c r="D221" s="345"/>
      <c r="E221" s="381"/>
      <c r="F221" s="381"/>
      <c r="G221" s="381"/>
      <c r="H221" s="381"/>
      <c r="I221" s="381"/>
      <c r="K221" s="381"/>
    </row>
    <row r="222" spans="4:11">
      <c r="D222" s="345"/>
      <c r="E222" s="381"/>
      <c r="F222" s="381"/>
      <c r="G222" s="381"/>
      <c r="H222" s="381"/>
      <c r="I222" s="381"/>
    </row>
    <row r="223" spans="4:11">
      <c r="D223" s="370"/>
      <c r="E223" s="381"/>
      <c r="F223" s="381"/>
      <c r="G223" s="381"/>
      <c r="H223" s="381"/>
      <c r="I223" s="381"/>
    </row>
    <row r="224" spans="4:11">
      <c r="D224" s="370"/>
      <c r="E224" s="381"/>
      <c r="F224" s="381"/>
      <c r="G224" s="381"/>
      <c r="H224" s="381"/>
      <c r="I224" s="381"/>
    </row>
    <row r="225" spans="4:11">
      <c r="D225" s="370"/>
    </row>
    <row r="226" spans="4:11">
      <c r="D226" s="345"/>
      <c r="E226" s="381"/>
      <c r="F226" s="381"/>
      <c r="G226" s="381"/>
      <c r="H226" s="381"/>
      <c r="I226" s="381"/>
    </row>
    <row r="227" spans="4:11">
      <c r="D227" s="370"/>
      <c r="E227" s="381"/>
      <c r="F227" s="381"/>
      <c r="G227" s="381"/>
      <c r="H227" s="381"/>
      <c r="I227" s="381"/>
    </row>
    <row r="228" spans="4:11">
      <c r="D228" s="370"/>
      <c r="E228" s="381"/>
      <c r="F228" s="381"/>
      <c r="G228" s="381"/>
      <c r="H228" s="381"/>
      <c r="I228" s="381"/>
    </row>
    <row r="229" spans="4:11">
      <c r="D229" s="370"/>
    </row>
    <row r="230" spans="4:11">
      <c r="D230" s="370"/>
    </row>
    <row r="231" spans="4:11">
      <c r="D231" s="370"/>
      <c r="J231" s="381"/>
    </row>
    <row r="232" spans="4:11">
      <c r="D232" s="370"/>
      <c r="J232" s="381"/>
    </row>
    <row r="233" spans="4:11">
      <c r="D233" s="370"/>
    </row>
    <row r="234" spans="4:11">
      <c r="D234" s="370"/>
      <c r="J234" s="381"/>
    </row>
    <row r="235" spans="4:11">
      <c r="D235" s="370"/>
      <c r="J235" s="381"/>
    </row>
    <row r="236" spans="4:11">
      <c r="D236" s="370"/>
      <c r="J236" s="381"/>
      <c r="K236" s="381"/>
    </row>
    <row r="237" spans="4:11">
      <c r="D237" s="370"/>
      <c r="K237" s="381"/>
    </row>
    <row r="238" spans="4:11">
      <c r="D238" s="345"/>
      <c r="E238" s="381"/>
      <c r="F238" s="381"/>
      <c r="G238" s="381"/>
      <c r="H238" s="381"/>
      <c r="I238" s="381"/>
    </row>
    <row r="239" spans="4:11">
      <c r="D239" s="370"/>
      <c r="J239" s="381"/>
      <c r="K239" s="381"/>
    </row>
    <row r="240" spans="4:11">
      <c r="D240" s="370"/>
      <c r="J240" s="381"/>
      <c r="K240" s="381"/>
    </row>
    <row r="241" spans="4:11">
      <c r="D241" s="345"/>
      <c r="E241" s="381"/>
      <c r="F241" s="381"/>
      <c r="G241" s="381"/>
      <c r="H241" s="381"/>
      <c r="I241" s="381"/>
      <c r="K241" s="381"/>
    </row>
    <row r="242" spans="4:11">
      <c r="D242" s="370"/>
    </row>
    <row r="243" spans="4:11">
      <c r="D243" s="345"/>
      <c r="E243" s="381"/>
      <c r="F243" s="381"/>
      <c r="G243" s="381"/>
      <c r="H243" s="381"/>
      <c r="I243" s="381"/>
    </row>
    <row r="244" spans="4:11">
      <c r="D244" s="370"/>
      <c r="E244" s="381"/>
      <c r="F244" s="381"/>
      <c r="G244" s="381"/>
      <c r="H244" s="381"/>
      <c r="I244" s="381"/>
      <c r="K244" s="381"/>
    </row>
    <row r="245" spans="4:11">
      <c r="D245" s="370"/>
      <c r="K245" s="381"/>
    </row>
    <row r="246" spans="4:11">
      <c r="D246" s="370"/>
    </row>
    <row r="247" spans="4:11">
      <c r="D247" s="345"/>
      <c r="E247" s="381"/>
      <c r="F247" s="381"/>
      <c r="G247" s="381"/>
      <c r="H247" s="381"/>
      <c r="I247" s="381"/>
    </row>
    <row r="248" spans="4:11">
      <c r="D248" s="370"/>
      <c r="E248" s="381"/>
      <c r="F248" s="381"/>
      <c r="G248" s="381"/>
      <c r="H248" s="381"/>
      <c r="I248" s="381"/>
    </row>
    <row r="249" spans="4:11">
      <c r="D249" s="370"/>
    </row>
    <row r="250" spans="4:11">
      <c r="D250" s="345"/>
      <c r="E250" s="381"/>
      <c r="F250" s="381"/>
      <c r="G250" s="381"/>
      <c r="H250" s="381"/>
      <c r="I250" s="381"/>
    </row>
    <row r="251" spans="4:11">
      <c r="D251" s="370"/>
      <c r="J251" s="381"/>
    </row>
    <row r="252" spans="4:11">
      <c r="D252" s="370"/>
      <c r="J252" s="381"/>
    </row>
    <row r="253" spans="4:11">
      <c r="D253" s="345"/>
      <c r="E253" s="381"/>
      <c r="F253" s="381"/>
      <c r="G253" s="381"/>
      <c r="H253" s="381"/>
      <c r="I253" s="381"/>
    </row>
    <row r="254" spans="4:11">
      <c r="D254" s="370"/>
    </row>
    <row r="255" spans="4:11">
      <c r="D255" s="370"/>
      <c r="J255" s="381"/>
    </row>
    <row r="256" spans="4:11">
      <c r="D256" s="370"/>
      <c r="J256" s="381"/>
      <c r="K256" s="381"/>
    </row>
    <row r="257" spans="4:11">
      <c r="D257" s="345"/>
      <c r="E257" s="381"/>
      <c r="F257" s="381"/>
      <c r="G257" s="381"/>
      <c r="H257" s="381"/>
      <c r="I257" s="381"/>
      <c r="K257" s="381"/>
    </row>
    <row r="258" spans="4:11">
      <c r="D258" s="370"/>
    </row>
    <row r="259" spans="4:11">
      <c r="D259" s="370"/>
      <c r="E259" s="345"/>
      <c r="F259" s="345"/>
      <c r="G259" s="345"/>
      <c r="H259" s="345"/>
      <c r="I259" s="345"/>
      <c r="J259" s="381"/>
    </row>
    <row r="260" spans="4:11">
      <c r="D260" s="370"/>
      <c r="E260" s="345"/>
      <c r="F260" s="345"/>
      <c r="G260" s="345"/>
      <c r="H260" s="345"/>
      <c r="I260" s="345"/>
      <c r="K260" s="381"/>
    </row>
    <row r="261" spans="4:11">
      <c r="D261" s="370"/>
      <c r="K261" s="381"/>
    </row>
    <row r="262" spans="4:11">
      <c r="D262" s="370"/>
    </row>
    <row r="263" spans="4:11">
      <c r="D263" s="370"/>
    </row>
    <row r="264" spans="4:11">
      <c r="D264" s="370"/>
      <c r="K264" s="381"/>
    </row>
    <row r="265" spans="4:11">
      <c r="D265" s="370"/>
    </row>
    <row r="266" spans="4:11">
      <c r="D266" s="370"/>
    </row>
    <row r="267" spans="4:11">
      <c r="D267" s="370"/>
    </row>
    <row r="268" spans="4:11">
      <c r="D268" s="370"/>
    </row>
    <row r="269" spans="4:11">
      <c r="D269" s="370"/>
    </row>
    <row r="270" spans="4:11">
      <c r="D270" s="370"/>
    </row>
    <row r="271" spans="4:11">
      <c r="D271" s="370"/>
    </row>
    <row r="272" spans="4:11">
      <c r="D272" s="370"/>
    </row>
    <row r="273" spans="4:4">
      <c r="D273" s="370"/>
    </row>
    <row r="274" spans="4:4">
      <c r="D274" s="370"/>
    </row>
    <row r="275" spans="4:4">
      <c r="D275" s="370"/>
    </row>
    <row r="276" spans="4:4">
      <c r="D276" s="370"/>
    </row>
    <row r="277" spans="4:4">
      <c r="D277" s="370"/>
    </row>
    <row r="278" spans="4:4">
      <c r="D278" s="370"/>
    </row>
    <row r="279" spans="4:4">
      <c r="D279" s="370"/>
    </row>
    <row r="280" spans="4:4">
      <c r="D280" s="370"/>
    </row>
    <row r="281" spans="4:4">
      <c r="D281" s="370"/>
    </row>
    <row r="282" spans="4:4">
      <c r="D282" s="370"/>
    </row>
    <row r="283" spans="4:4">
      <c r="D283" s="370"/>
    </row>
    <row r="284" spans="4:4">
      <c r="D284" s="370"/>
    </row>
    <row r="285" spans="4:4">
      <c r="D285" s="370"/>
    </row>
    <row r="286" spans="4:4">
      <c r="D286" s="370"/>
    </row>
    <row r="287" spans="4:4">
      <c r="D287" s="370"/>
    </row>
    <row r="288" spans="4:4">
      <c r="D288" s="370"/>
    </row>
    <row r="289" spans="4:4">
      <c r="D289" s="370"/>
    </row>
    <row r="290" spans="4:4">
      <c r="D290" s="370"/>
    </row>
    <row r="291" spans="4:4">
      <c r="D291" s="370"/>
    </row>
    <row r="292" spans="4:4">
      <c r="D292" s="370"/>
    </row>
    <row r="293" spans="4:4">
      <c r="D293" s="370"/>
    </row>
    <row r="294" spans="4:4">
      <c r="D294" s="370"/>
    </row>
    <row r="295" spans="4:4">
      <c r="D295" s="370"/>
    </row>
    <row r="296" spans="4:4">
      <c r="D296" s="370"/>
    </row>
    <row r="297" spans="4:4">
      <c r="D297" s="370"/>
    </row>
    <row r="298" spans="4:4">
      <c r="D298" s="370"/>
    </row>
    <row r="299" spans="4:4">
      <c r="D299" s="370"/>
    </row>
    <row r="300" spans="4:4">
      <c r="D300" s="370"/>
    </row>
    <row r="301" spans="4:4">
      <c r="D301" s="370"/>
    </row>
    <row r="302" spans="4:4">
      <c r="D302" s="370"/>
    </row>
    <row r="303" spans="4:4">
      <c r="D303" s="370"/>
    </row>
    <row r="304" spans="4:4">
      <c r="D304" s="370"/>
    </row>
    <row r="305" spans="4:4">
      <c r="D305" s="370"/>
    </row>
    <row r="306" spans="4:4">
      <c r="D306" s="370"/>
    </row>
    <row r="307" spans="4:4">
      <c r="D307" s="370"/>
    </row>
    <row r="308" spans="4:4">
      <c r="D308" s="370"/>
    </row>
    <row r="309" spans="4:4">
      <c r="D309" s="370"/>
    </row>
    <row r="310" spans="4:4">
      <c r="D310" s="370"/>
    </row>
    <row r="311" spans="4:4">
      <c r="D311" s="370"/>
    </row>
    <row r="312" spans="4:4">
      <c r="D312" s="370"/>
    </row>
    <row r="313" spans="4:4">
      <c r="D313" s="370"/>
    </row>
    <row r="314" spans="4:4">
      <c r="D314" s="370"/>
    </row>
    <row r="315" spans="4:4">
      <c r="D315" s="370"/>
    </row>
    <row r="316" spans="4:4">
      <c r="D316" s="370"/>
    </row>
    <row r="317" spans="4:4">
      <c r="D317" s="370"/>
    </row>
    <row r="318" spans="4:4">
      <c r="D318" s="370"/>
    </row>
    <row r="319" spans="4:4">
      <c r="D319" s="370"/>
    </row>
    <row r="320" spans="4:4">
      <c r="D320" s="370"/>
    </row>
    <row r="321" spans="4:4">
      <c r="D321" s="370"/>
    </row>
    <row r="322" spans="4:4">
      <c r="D322" s="370"/>
    </row>
    <row r="323" spans="4:4">
      <c r="D323" s="370"/>
    </row>
    <row r="324" spans="4:4">
      <c r="D324" s="370"/>
    </row>
    <row r="325" spans="4:4">
      <c r="D325" s="370"/>
    </row>
    <row r="326" spans="4:4">
      <c r="D326" s="370"/>
    </row>
    <row r="327" spans="4:4">
      <c r="D327" s="370"/>
    </row>
    <row r="328" spans="4:4">
      <c r="D328" s="370"/>
    </row>
    <row r="329" spans="4:4">
      <c r="D329" s="370"/>
    </row>
    <row r="330" spans="4:4">
      <c r="D330" s="370"/>
    </row>
    <row r="331" spans="4:4">
      <c r="D331" s="370"/>
    </row>
    <row r="332" spans="4:4">
      <c r="D332" s="370"/>
    </row>
    <row r="333" spans="4:4">
      <c r="D333" s="370"/>
    </row>
    <row r="334" spans="4:4">
      <c r="D334" s="370"/>
    </row>
    <row r="335" spans="4:4">
      <c r="D335" s="370"/>
    </row>
    <row r="336" spans="4:4">
      <c r="D336" s="370"/>
    </row>
    <row r="337" spans="4:4">
      <c r="D337" s="370"/>
    </row>
    <row r="338" spans="4:4">
      <c r="D338" s="370"/>
    </row>
    <row r="339" spans="4:4">
      <c r="D339" s="370"/>
    </row>
    <row r="340" spans="4:4">
      <c r="D340" s="370"/>
    </row>
    <row r="341" spans="4:4">
      <c r="D341" s="370"/>
    </row>
    <row r="342" spans="4:4">
      <c r="D342" s="370"/>
    </row>
    <row r="343" spans="4:4">
      <c r="D343" s="370"/>
    </row>
    <row r="344" spans="4:4">
      <c r="D344" s="370"/>
    </row>
    <row r="345" spans="4:4">
      <c r="D345" s="370"/>
    </row>
    <row r="346" spans="4:4">
      <c r="D346" s="370"/>
    </row>
    <row r="347" spans="4:4">
      <c r="D347" s="370"/>
    </row>
    <row r="348" spans="4:4">
      <c r="D348" s="370"/>
    </row>
    <row r="349" spans="4:4">
      <c r="D349" s="370"/>
    </row>
    <row r="350" spans="4:4">
      <c r="D350" s="370"/>
    </row>
    <row r="351" spans="4:4">
      <c r="D351" s="370"/>
    </row>
    <row r="352" spans="4:4">
      <c r="D352" s="370"/>
    </row>
    <row r="353" spans="4:4">
      <c r="D353" s="370"/>
    </row>
    <row r="354" spans="4:4">
      <c r="D354" s="370"/>
    </row>
    <row r="355" spans="4:4">
      <c r="D355" s="370"/>
    </row>
    <row r="356" spans="4:4">
      <c r="D356" s="370"/>
    </row>
    <row r="357" spans="4:4">
      <c r="D357" s="370"/>
    </row>
    <row r="358" spans="4:4">
      <c r="D358" s="370"/>
    </row>
    <row r="359" spans="4:4">
      <c r="D359" s="370"/>
    </row>
    <row r="360" spans="4:4">
      <c r="D360" s="370"/>
    </row>
    <row r="361" spans="4:4">
      <c r="D361" s="370"/>
    </row>
    <row r="362" spans="4:4">
      <c r="D362" s="370"/>
    </row>
    <row r="363" spans="4:4">
      <c r="D363" s="370"/>
    </row>
    <row r="364" spans="4:4">
      <c r="D364" s="370"/>
    </row>
    <row r="365" spans="4:4">
      <c r="D365" s="370"/>
    </row>
    <row r="366" spans="4:4">
      <c r="D366" s="370"/>
    </row>
    <row r="367" spans="4:4">
      <c r="D367" s="370"/>
    </row>
    <row r="368" spans="4:4">
      <c r="D368" s="370"/>
    </row>
    <row r="369" spans="4:4">
      <c r="D369" s="370"/>
    </row>
    <row r="370" spans="4:4">
      <c r="D370" s="370"/>
    </row>
    <row r="371" spans="4:4">
      <c r="D371" s="370"/>
    </row>
    <row r="372" spans="4:4">
      <c r="D372" s="370"/>
    </row>
    <row r="373" spans="4:4">
      <c r="D373" s="370"/>
    </row>
    <row r="374" spans="4:4">
      <c r="D374" s="370"/>
    </row>
    <row r="375" spans="4:4">
      <c r="D375" s="370"/>
    </row>
    <row r="376" spans="4:4">
      <c r="D376" s="370"/>
    </row>
    <row r="377" spans="4:4">
      <c r="D377" s="370"/>
    </row>
    <row r="378" spans="4:4">
      <c r="D378" s="370"/>
    </row>
    <row r="379" spans="4:4">
      <c r="D379" s="370"/>
    </row>
    <row r="380" spans="4:4">
      <c r="D380" s="370"/>
    </row>
    <row r="381" spans="4:4">
      <c r="D381" s="370"/>
    </row>
    <row r="382" spans="4:4">
      <c r="D382" s="370"/>
    </row>
    <row r="383" spans="4:4">
      <c r="D383" s="370"/>
    </row>
    <row r="384" spans="4:4">
      <c r="D384" s="370"/>
    </row>
    <row r="385" spans="4:4">
      <c r="D385" s="370"/>
    </row>
    <row r="386" spans="4:4">
      <c r="D386" s="370"/>
    </row>
    <row r="387" spans="4:4">
      <c r="D387" s="370"/>
    </row>
    <row r="388" spans="4:4">
      <c r="D388" s="370"/>
    </row>
    <row r="389" spans="4:4">
      <c r="D389" s="370"/>
    </row>
    <row r="390" spans="4:4">
      <c r="D390" s="370"/>
    </row>
    <row r="391" spans="4:4">
      <c r="D391" s="370"/>
    </row>
    <row r="392" spans="4:4">
      <c r="D392" s="370"/>
    </row>
    <row r="393" spans="4:4">
      <c r="D393" s="370"/>
    </row>
    <row r="394" spans="4:4">
      <c r="D394" s="370"/>
    </row>
    <row r="395" spans="4:4">
      <c r="D395" s="370"/>
    </row>
    <row r="396" spans="4:4">
      <c r="D396" s="370"/>
    </row>
    <row r="397" spans="4:4">
      <c r="D397" s="370"/>
    </row>
    <row r="398" spans="4:4">
      <c r="D398" s="370"/>
    </row>
    <row r="399" spans="4:4">
      <c r="D399" s="370"/>
    </row>
    <row r="400" spans="4:4">
      <c r="D400" s="370"/>
    </row>
    <row r="401" spans="4:4">
      <c r="D401" s="370"/>
    </row>
    <row r="402" spans="4:4">
      <c r="D402" s="370"/>
    </row>
    <row r="403" spans="4:4">
      <c r="D403" s="370"/>
    </row>
    <row r="404" spans="4:4">
      <c r="D404" s="370"/>
    </row>
    <row r="405" spans="4:4">
      <c r="D405" s="370"/>
    </row>
    <row r="406" spans="4:4">
      <c r="D406" s="370"/>
    </row>
    <row r="407" spans="4:4">
      <c r="D407" s="370"/>
    </row>
    <row r="408" spans="4:4">
      <c r="D408" s="370"/>
    </row>
    <row r="409" spans="4:4">
      <c r="D409" s="370"/>
    </row>
    <row r="410" spans="4:4">
      <c r="D410" s="370"/>
    </row>
    <row r="411" spans="4:4">
      <c r="D411" s="370"/>
    </row>
    <row r="412" spans="4:4">
      <c r="D412" s="370"/>
    </row>
    <row r="413" spans="4:4">
      <c r="D413" s="370"/>
    </row>
    <row r="414" spans="4:4">
      <c r="D414" s="370"/>
    </row>
    <row r="415" spans="4:4">
      <c r="D415" s="370"/>
    </row>
    <row r="416" spans="4:4">
      <c r="D416" s="370"/>
    </row>
    <row r="417" spans="4:4">
      <c r="D417" s="370"/>
    </row>
    <row r="418" spans="4:4">
      <c r="D418" s="370"/>
    </row>
    <row r="419" spans="4:4">
      <c r="D419" s="370"/>
    </row>
    <row r="420" spans="4:4">
      <c r="D420" s="370"/>
    </row>
    <row r="421" spans="4:4">
      <c r="D421" s="370"/>
    </row>
    <row r="422" spans="4:4">
      <c r="D422" s="370"/>
    </row>
    <row r="423" spans="4:4">
      <c r="D423" s="370"/>
    </row>
    <row r="424" spans="4:4">
      <c r="D424" s="370"/>
    </row>
    <row r="425" spans="4:4">
      <c r="D425" s="370"/>
    </row>
    <row r="426" spans="4:4">
      <c r="D426" s="370"/>
    </row>
    <row r="427" spans="4:4">
      <c r="D427" s="370"/>
    </row>
    <row r="428" spans="4:4">
      <c r="D428" s="370"/>
    </row>
    <row r="429" spans="4:4">
      <c r="D429" s="370"/>
    </row>
    <row r="430" spans="4:4">
      <c r="D430" s="370"/>
    </row>
    <row r="431" spans="4:4">
      <c r="D431" s="370"/>
    </row>
    <row r="432" spans="4:4">
      <c r="D432" s="370"/>
    </row>
    <row r="433" spans="4:4">
      <c r="D433" s="370"/>
    </row>
    <row r="434" spans="4:4">
      <c r="D434" s="370"/>
    </row>
    <row r="435" spans="4:4">
      <c r="D435" s="370"/>
    </row>
    <row r="436" spans="4:4">
      <c r="D436" s="370"/>
    </row>
    <row r="437" spans="4:4">
      <c r="D437" s="370"/>
    </row>
    <row r="438" spans="4:4">
      <c r="D438" s="370"/>
    </row>
    <row r="439" spans="4:4">
      <c r="D439" s="370"/>
    </row>
    <row r="440" spans="4:4">
      <c r="D440" s="370"/>
    </row>
    <row r="441" spans="4:4">
      <c r="D441" s="370"/>
    </row>
    <row r="442" spans="4:4">
      <c r="D442" s="370"/>
    </row>
    <row r="443" spans="4:4">
      <c r="D443" s="370"/>
    </row>
    <row r="444" spans="4:4">
      <c r="D444" s="370"/>
    </row>
    <row r="445" spans="4:4">
      <c r="D445" s="370"/>
    </row>
    <row r="446" spans="4:4">
      <c r="D446" s="370"/>
    </row>
    <row r="447" spans="4:4">
      <c r="D447" s="370"/>
    </row>
    <row r="448" spans="4:4">
      <c r="D448" s="370"/>
    </row>
    <row r="449" spans="4:4">
      <c r="D449" s="370"/>
    </row>
  </sheetData>
  <phoneticPr fontId="26" type="noConversion"/>
  <pageMargins left="0.75" right="0.75" top="1" bottom="1" header="0.5" footer="0.5"/>
  <pageSetup scale="46" orientation="landscape" r:id="rId1"/>
  <headerFooter alignWithMargins="0"/>
  <drawing r:id="rId2"/>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300-000000000000}">
  <sheetPr codeName="Sheet101">
    <pageSetUpPr fitToPage="1"/>
  </sheetPr>
  <dimension ref="B1:Z451"/>
  <sheetViews>
    <sheetView showGridLines="0" zoomScale="80" zoomScaleNormal="80" workbookViewId="0"/>
  </sheetViews>
  <sheetFormatPr defaultColWidth="9.109375" defaultRowHeight="12"/>
  <cols>
    <col min="1" max="1" width="2.33203125" style="367" customWidth="1"/>
    <col min="2" max="6" width="10" style="367" customWidth="1"/>
    <col min="7" max="7" width="2.33203125" style="367" customWidth="1"/>
    <col min="8" max="8" width="10" style="367" customWidth="1"/>
    <col min="9" max="9" width="2.109375" style="367" customWidth="1"/>
    <col min="10" max="10" width="11.6640625" style="367" bestFit="1" customWidth="1"/>
    <col min="11" max="11" width="2.109375" style="367" customWidth="1"/>
    <col min="12" max="12" width="18.44140625" style="367" bestFit="1" customWidth="1"/>
    <col min="13" max="13" width="2.109375" style="367" customWidth="1"/>
    <col min="14" max="14" width="13.44140625" style="367" bestFit="1" customWidth="1"/>
    <col min="15" max="15" width="2.109375" style="367" customWidth="1"/>
    <col min="16" max="16" width="12" style="367" bestFit="1" customWidth="1"/>
    <col min="17" max="17" width="2.33203125" style="367" bestFit="1" customWidth="1"/>
    <col min="18" max="18" width="14.109375" style="367" bestFit="1" customWidth="1"/>
    <col min="19" max="19" width="2.109375" style="367" customWidth="1"/>
    <col min="20" max="20" width="9.88671875" style="367" customWidth="1"/>
    <col min="21" max="21" width="2.109375" style="367" customWidth="1"/>
    <col min="22" max="22" width="10" style="367" customWidth="1"/>
    <col min="23" max="23" width="2.109375" style="367" customWidth="1"/>
    <col min="24" max="25" width="10" style="367" customWidth="1"/>
    <col min="26" max="16384" width="9.109375" style="367"/>
  </cols>
  <sheetData>
    <row r="1" spans="2:26" s="472" customFormat="1">
      <c r="E1" s="150"/>
    </row>
    <row r="2" spans="2:26" s="472" customFormat="1">
      <c r="E2" s="150"/>
    </row>
    <row r="3" spans="2:26" s="472" customFormat="1"/>
    <row r="4" spans="2:26" s="477" customFormat="1" ht="21">
      <c r="B4" s="129" t="s">
        <v>1458</v>
      </c>
      <c r="C4" s="129"/>
    </row>
    <row r="5" spans="2:26" s="472" customFormat="1">
      <c r="D5" s="132"/>
      <c r="E5" s="132"/>
      <c r="F5" s="132"/>
      <c r="G5" s="132"/>
      <c r="H5" s="132"/>
      <c r="I5" s="132"/>
      <c r="L5" s="473"/>
      <c r="M5" s="473"/>
      <c r="N5" s="473"/>
      <c r="O5" s="473"/>
      <c r="P5" s="473"/>
      <c r="Q5" s="473"/>
      <c r="R5" s="473"/>
      <c r="S5" s="473"/>
      <c r="T5" s="473"/>
      <c r="U5" s="473"/>
      <c r="V5" s="473"/>
      <c r="W5" s="473"/>
      <c r="X5" s="473"/>
    </row>
    <row r="6" spans="2:26">
      <c r="B6" s="456"/>
      <c r="C6" s="456"/>
      <c r="D6" s="456"/>
      <c r="E6" s="456"/>
      <c r="F6" s="456"/>
      <c r="G6" s="456"/>
      <c r="H6" s="456"/>
      <c r="I6" s="456"/>
      <c r="L6" s="440"/>
      <c r="M6" s="440"/>
      <c r="N6" s="440"/>
      <c r="O6" s="440"/>
      <c r="P6" s="440"/>
      <c r="Q6" s="440"/>
      <c r="R6" s="440"/>
      <c r="S6" s="440"/>
      <c r="T6" s="440"/>
      <c r="U6" s="440"/>
      <c r="V6" s="440"/>
      <c r="W6" s="440"/>
      <c r="X6" s="440"/>
    </row>
    <row r="7" spans="2:26" ht="12.6" thickBot="1">
      <c r="B7" s="306" t="s">
        <v>86</v>
      </c>
      <c r="C7" s="306"/>
      <c r="D7" s="368"/>
      <c r="E7" s="457"/>
      <c r="F7" s="457"/>
      <c r="G7" s="457"/>
      <c r="H7" s="457"/>
      <c r="I7" s="457"/>
      <c r="J7" s="368"/>
      <c r="K7" s="368"/>
      <c r="L7" s="368"/>
      <c r="M7" s="368"/>
      <c r="N7" s="368"/>
      <c r="O7" s="368"/>
      <c r="P7" s="368"/>
      <c r="Q7" s="368"/>
      <c r="R7" s="368"/>
      <c r="S7" s="368"/>
      <c r="T7" s="368"/>
      <c r="U7" s="368"/>
      <c r="V7" s="368"/>
      <c r="W7" s="368"/>
      <c r="X7" s="368"/>
    </row>
    <row r="8" spans="2:26" ht="12.6" thickTop="1">
      <c r="B8" s="345"/>
      <c r="C8" s="345"/>
      <c r="E8" s="345"/>
      <c r="F8" s="345"/>
      <c r="G8" s="345"/>
      <c r="H8" s="345"/>
      <c r="I8" s="345"/>
    </row>
    <row r="9" spans="2:26">
      <c r="D9" s="345"/>
      <c r="E9" s="382" t="s">
        <v>81</v>
      </c>
      <c r="F9" s="458" t="s">
        <v>82</v>
      </c>
      <c r="G9" s="458"/>
      <c r="H9" s="458" t="s">
        <v>83</v>
      </c>
      <c r="I9" s="458"/>
      <c r="J9" s="458" t="s">
        <v>84</v>
      </c>
      <c r="K9" s="458"/>
      <c r="L9" s="458" t="s">
        <v>1041</v>
      </c>
      <c r="M9" s="458"/>
      <c r="N9" s="459" t="s">
        <v>128</v>
      </c>
      <c r="O9" s="459"/>
      <c r="P9" s="458" t="s">
        <v>129</v>
      </c>
      <c r="Q9" s="458"/>
      <c r="R9" s="458" t="s">
        <v>696</v>
      </c>
      <c r="S9" s="458"/>
      <c r="T9" s="458" t="s">
        <v>130</v>
      </c>
      <c r="U9" s="458"/>
      <c r="V9" s="458" t="s">
        <v>131</v>
      </c>
      <c r="W9" s="458"/>
      <c r="X9" s="458" t="s">
        <v>132</v>
      </c>
      <c r="Y9" s="458"/>
      <c r="Z9" s="458"/>
    </row>
    <row r="10" spans="2:26">
      <c r="B10" s="345"/>
      <c r="C10" s="345"/>
      <c r="E10" s="382"/>
      <c r="F10" s="458"/>
      <c r="G10" s="458"/>
      <c r="H10" s="458"/>
      <c r="I10" s="458"/>
      <c r="J10" s="458"/>
      <c r="K10" s="458"/>
      <c r="L10" s="458"/>
      <c r="M10" s="458"/>
      <c r="N10" s="459"/>
      <c r="O10" s="459"/>
      <c r="P10" s="458"/>
      <c r="Q10" s="458"/>
      <c r="R10" s="458"/>
      <c r="S10" s="458"/>
      <c r="T10" s="458"/>
      <c r="U10" s="458"/>
      <c r="V10" s="458"/>
      <c r="W10" s="458"/>
      <c r="X10" s="458"/>
    </row>
    <row r="11" spans="2:26">
      <c r="B11" s="370" t="s">
        <v>751</v>
      </c>
      <c r="C11" s="370"/>
      <c r="E11" s="367" t="str">
        <f t="shared" ref="E11:E17" si="0">"DCF, "&amp;TEXT(H11,"0.0")&amp;"x FY19E EBITDA"</f>
        <v>DCF, 17.2x FY19E EBITDA</v>
      </c>
      <c r="F11" s="484">
        <v>177309.6987465912</v>
      </c>
      <c r="G11" s="178" t="s">
        <v>134</v>
      </c>
      <c r="H11" s="499">
        <f t="shared" ref="H11:H12" si="1">J11/F11</f>
        <v>17.17914183691121</v>
      </c>
      <c r="I11" s="178" t="s">
        <v>135</v>
      </c>
      <c r="J11" s="484">
        <v>3046028.4638276882</v>
      </c>
      <c r="K11" s="178" t="s">
        <v>136</v>
      </c>
      <c r="L11" s="484"/>
      <c r="M11" s="178" t="s">
        <v>135</v>
      </c>
      <c r="N11" s="178">
        <f t="shared" ref="N11:N17" si="2">J11-L11</f>
        <v>3046028.4638276882</v>
      </c>
      <c r="O11" s="178" t="s">
        <v>134</v>
      </c>
      <c r="P11" s="490">
        <v>1</v>
      </c>
      <c r="Q11" s="393" t="s">
        <v>135</v>
      </c>
      <c r="R11" s="216">
        <f t="shared" ref="R11:R17" si="3">P11*N11</f>
        <v>3046028.4638276882</v>
      </c>
      <c r="S11" s="216"/>
      <c r="T11" s="216">
        <f t="shared" ref="T11:T17" si="4">N11-R11</f>
        <v>0</v>
      </c>
      <c r="U11" s="216"/>
      <c r="V11" s="394">
        <f t="shared" ref="V11:V18" si="5">N11/$J$28</f>
        <v>1.1819644862586134</v>
      </c>
      <c r="W11" s="370"/>
      <c r="X11" s="373">
        <f t="shared" ref="X11:X18" si="6">$J$33*V11</f>
        <v>506.08948938721676</v>
      </c>
    </row>
    <row r="12" spans="2:26">
      <c r="B12" s="370" t="s">
        <v>752</v>
      </c>
      <c r="C12" s="370"/>
      <c r="E12" s="367" t="str">
        <f t="shared" si="0"/>
        <v>DCF, -3.8x FY19E EBITDA</v>
      </c>
      <c r="F12" s="484">
        <v>464.72110806427628</v>
      </c>
      <c r="G12" s="178" t="s">
        <v>134</v>
      </c>
      <c r="H12" s="499">
        <f t="shared" si="1"/>
        <v>-3.8374656063842294</v>
      </c>
      <c r="I12" s="178" t="s">
        <v>135</v>
      </c>
      <c r="J12" s="484">
        <v>-1783.3512687574289</v>
      </c>
      <c r="K12" s="178" t="s">
        <v>136</v>
      </c>
      <c r="L12" s="484"/>
      <c r="M12" s="178" t="s">
        <v>135</v>
      </c>
      <c r="N12" s="178">
        <f t="shared" si="2"/>
        <v>-1783.3512687574289</v>
      </c>
      <c r="O12" s="178" t="s">
        <v>134</v>
      </c>
      <c r="P12" s="490">
        <v>1</v>
      </c>
      <c r="Q12" s="393" t="s">
        <v>135</v>
      </c>
      <c r="R12" s="216">
        <f t="shared" si="3"/>
        <v>-1783.3512687574289</v>
      </c>
      <c r="S12" s="216"/>
      <c r="T12" s="216">
        <f t="shared" si="4"/>
        <v>0</v>
      </c>
      <c r="U12" s="216"/>
      <c r="V12" s="394">
        <f t="shared" si="5"/>
        <v>-6.9200202533457379E-4</v>
      </c>
      <c r="W12" s="370"/>
      <c r="X12" s="373">
        <f t="shared" si="6"/>
        <v>-0.29629904766856707</v>
      </c>
    </row>
    <row r="13" spans="2:26">
      <c r="B13" s="370" t="s">
        <v>661</v>
      </c>
      <c r="C13" s="370"/>
      <c r="E13" s="367" t="str">
        <f t="shared" si="0"/>
        <v>DCF, 11.2x FY19E EBITDA</v>
      </c>
      <c r="F13" s="484">
        <v>22013.288620825904</v>
      </c>
      <c r="G13" s="178" t="s">
        <v>134</v>
      </c>
      <c r="H13" s="499">
        <f>J13/F13</f>
        <v>11.160086350667859</v>
      </c>
      <c r="I13" s="178" t="s">
        <v>135</v>
      </c>
      <c r="J13" s="484">
        <v>245670.20187059126</v>
      </c>
      <c r="K13" s="178" t="s">
        <v>136</v>
      </c>
      <c r="L13" s="487"/>
      <c r="M13" s="178" t="s">
        <v>135</v>
      </c>
      <c r="N13" s="178">
        <f t="shared" si="2"/>
        <v>245670.20187059126</v>
      </c>
      <c r="O13" s="178" t="s">
        <v>134</v>
      </c>
      <c r="P13" s="490">
        <v>0.8</v>
      </c>
      <c r="Q13" s="393" t="s">
        <v>135</v>
      </c>
      <c r="R13" s="216">
        <f t="shared" si="3"/>
        <v>196536.16149647301</v>
      </c>
      <c r="S13" s="216"/>
      <c r="T13" s="216">
        <f t="shared" si="4"/>
        <v>49134.040374118253</v>
      </c>
      <c r="U13" s="216"/>
      <c r="V13" s="394">
        <f t="shared" si="5"/>
        <v>9.5328542523905144E-2</v>
      </c>
      <c r="W13" s="370"/>
      <c r="X13" s="373">
        <f t="shared" si="6"/>
        <v>40.817447538262833</v>
      </c>
    </row>
    <row r="14" spans="2:26">
      <c r="B14" s="370" t="s">
        <v>1080</v>
      </c>
      <c r="C14" s="370"/>
      <c r="E14" s="367" t="str">
        <f t="shared" si="0"/>
        <v>DCF, 18.4x FY19E EBITDA</v>
      </c>
      <c r="F14" s="484">
        <v>4998.2192452455847</v>
      </c>
      <c r="G14" s="178" t="s">
        <v>134</v>
      </c>
      <c r="H14" s="499">
        <f t="shared" ref="H14:H17" si="7">J14/F14</f>
        <v>18.36061746426784</v>
      </c>
      <c r="I14" s="178" t="s">
        <v>135</v>
      </c>
      <c r="J14" s="484">
        <v>91770.391564495701</v>
      </c>
      <c r="K14" s="178" t="s">
        <v>136</v>
      </c>
      <c r="L14" s="484"/>
      <c r="M14" s="178" t="s">
        <v>135</v>
      </c>
      <c r="N14" s="178">
        <f t="shared" si="2"/>
        <v>91770.391564495701</v>
      </c>
      <c r="O14" s="178" t="s">
        <v>134</v>
      </c>
      <c r="P14" s="490">
        <v>1</v>
      </c>
      <c r="Q14" s="393" t="s">
        <v>135</v>
      </c>
      <c r="R14" s="216">
        <f t="shared" si="3"/>
        <v>91770.391564495701</v>
      </c>
      <c r="S14" s="216"/>
      <c r="T14" s="216">
        <f t="shared" si="4"/>
        <v>0</v>
      </c>
      <c r="U14" s="216"/>
      <c r="V14" s="394">
        <f t="shared" si="5"/>
        <v>3.561008868018805E-2</v>
      </c>
      <c r="W14" s="370"/>
      <c r="X14" s="373">
        <f t="shared" si="6"/>
        <v>15.247405321149975</v>
      </c>
    </row>
    <row r="15" spans="2:26">
      <c r="B15" s="370" t="s">
        <v>569</v>
      </c>
      <c r="C15" s="370"/>
      <c r="E15" s="367" t="str">
        <f t="shared" si="0"/>
        <v>DCF, 14.0x FY19E EBITDA</v>
      </c>
      <c r="F15" s="484">
        <v>41852.580201459088</v>
      </c>
      <c r="G15" s="178" t="s">
        <v>134</v>
      </c>
      <c r="H15" s="499">
        <f t="shared" si="7"/>
        <v>13.973242544290823</v>
      </c>
      <c r="I15" s="178" t="s">
        <v>135</v>
      </c>
      <c r="J15" s="484">
        <v>584816.2542593719</v>
      </c>
      <c r="K15" s="178" t="s">
        <v>136</v>
      </c>
      <c r="L15" s="484"/>
      <c r="M15" s="178" t="s">
        <v>135</v>
      </c>
      <c r="N15" s="178">
        <f t="shared" si="2"/>
        <v>584816.2542593719</v>
      </c>
      <c r="O15" s="178" t="s">
        <v>134</v>
      </c>
      <c r="P15" s="490">
        <v>1</v>
      </c>
      <c r="Q15" s="393" t="s">
        <v>135</v>
      </c>
      <c r="R15" s="216">
        <f t="shared" si="3"/>
        <v>584816.2542593719</v>
      </c>
      <c r="S15" s="216"/>
      <c r="T15" s="216">
        <f t="shared" si="4"/>
        <v>0</v>
      </c>
      <c r="U15" s="216"/>
      <c r="V15" s="394">
        <f t="shared" si="5"/>
        <v>0.22692895083874295</v>
      </c>
      <c r="W15" s="370"/>
      <c r="X15" s="373">
        <f t="shared" si="6"/>
        <v>97.165657845347397</v>
      </c>
    </row>
    <row r="16" spans="2:26">
      <c r="B16" s="370" t="s">
        <v>45</v>
      </c>
      <c r="C16" s="370"/>
      <c r="E16" s="367" t="str">
        <f t="shared" si="0"/>
        <v>DCF, 27.0x FY19E EBITDA</v>
      </c>
      <c r="F16" s="484">
        <v>32784.01873389</v>
      </c>
      <c r="G16" s="178" t="s">
        <v>134</v>
      </c>
      <c r="H16" s="499">
        <f t="shared" si="7"/>
        <v>26.994860123269273</v>
      </c>
      <c r="I16" s="178" t="s">
        <v>135</v>
      </c>
      <c r="J16" s="484">
        <v>885000</v>
      </c>
      <c r="K16" s="178" t="s">
        <v>136</v>
      </c>
      <c r="L16" s="484"/>
      <c r="M16" s="178" t="s">
        <v>135</v>
      </c>
      <c r="N16" s="178">
        <f t="shared" si="2"/>
        <v>885000</v>
      </c>
      <c r="O16" s="178" t="s">
        <v>134</v>
      </c>
      <c r="P16" s="490">
        <v>0.372</v>
      </c>
      <c r="Q16" s="393" t="s">
        <v>135</v>
      </c>
      <c r="R16" s="216">
        <f t="shared" si="3"/>
        <v>329220</v>
      </c>
      <c r="S16" s="216"/>
      <c r="T16" s="216">
        <f t="shared" si="4"/>
        <v>555780</v>
      </c>
      <c r="U16" s="216"/>
      <c r="V16" s="394">
        <f t="shared" si="5"/>
        <v>0.34341063544245548</v>
      </c>
      <c r="W16" s="370"/>
      <c r="X16" s="373">
        <f t="shared" si="6"/>
        <v>147.04038502150507</v>
      </c>
    </row>
    <row r="17" spans="2:24">
      <c r="B17" s="370" t="s">
        <v>430</v>
      </c>
      <c r="C17" s="370"/>
      <c r="E17" s="367" t="str">
        <f t="shared" si="0"/>
        <v>DCF, 24.7x FY19E EBITDA</v>
      </c>
      <c r="F17" s="484">
        <v>24205.991842561514</v>
      </c>
      <c r="G17" s="178" t="s">
        <v>134</v>
      </c>
      <c r="H17" s="499">
        <f t="shared" si="7"/>
        <v>24.725283057711955</v>
      </c>
      <c r="I17" s="178"/>
      <c r="J17" s="484">
        <v>598500</v>
      </c>
      <c r="K17" s="178" t="s">
        <v>136</v>
      </c>
      <c r="L17" s="484"/>
      <c r="M17" s="178" t="s">
        <v>135</v>
      </c>
      <c r="N17" s="178">
        <f t="shared" si="2"/>
        <v>598500</v>
      </c>
      <c r="O17" s="178" t="s">
        <v>134</v>
      </c>
      <c r="P17" s="490">
        <v>0.56999999999999995</v>
      </c>
      <c r="Q17" s="393" t="s">
        <v>135</v>
      </c>
      <c r="R17" s="216">
        <f t="shared" si="3"/>
        <v>341144.99999999994</v>
      </c>
      <c r="S17" s="216"/>
      <c r="T17" s="216">
        <f t="shared" si="4"/>
        <v>257355.00000000006</v>
      </c>
      <c r="U17" s="216"/>
      <c r="V17" s="394">
        <f t="shared" si="5"/>
        <v>0.2322387178670165</v>
      </c>
      <c r="W17" s="370"/>
      <c r="X17" s="373">
        <f t="shared" si="6"/>
        <v>99.439175633187318</v>
      </c>
    </row>
    <row r="18" spans="2:24">
      <c r="B18" s="370" t="s">
        <v>896</v>
      </c>
      <c r="J18" s="484">
        <v>43512</v>
      </c>
      <c r="K18" s="178" t="s">
        <v>136</v>
      </c>
      <c r="L18" s="484"/>
      <c r="M18" s="178" t="s">
        <v>135</v>
      </c>
      <c r="N18" s="178">
        <f t="shared" ref="N18" si="8">J18-L18</f>
        <v>43512</v>
      </c>
      <c r="O18" s="178" t="s">
        <v>134</v>
      </c>
      <c r="P18" s="490">
        <v>0.25</v>
      </c>
      <c r="Q18" s="393" t="s">
        <v>135</v>
      </c>
      <c r="R18" s="216">
        <f t="shared" ref="R18" si="9">P18*N18</f>
        <v>10878</v>
      </c>
      <c r="S18" s="216"/>
      <c r="T18" s="216">
        <f t="shared" ref="T18" si="10">N18-R18</f>
        <v>32634</v>
      </c>
      <c r="U18" s="216"/>
      <c r="V18" s="394">
        <f t="shared" si="5"/>
        <v>1.6884162225279234E-2</v>
      </c>
      <c r="W18" s="370"/>
      <c r="X18" s="373">
        <f t="shared" si="6"/>
        <v>7.2294025232268115</v>
      </c>
    </row>
    <row r="19" spans="2:24">
      <c r="B19" s="370" t="s">
        <v>214</v>
      </c>
      <c r="C19" s="370"/>
      <c r="I19" s="178"/>
      <c r="J19" s="484">
        <v>-67437.253277208642</v>
      </c>
      <c r="K19" s="178" t="s">
        <v>136</v>
      </c>
      <c r="L19" s="498"/>
      <c r="M19" s="178" t="s">
        <v>135</v>
      </c>
      <c r="N19" s="385">
        <f>J19-L19</f>
        <v>-67437.253277208642</v>
      </c>
      <c r="O19" s="178" t="s">
        <v>134</v>
      </c>
      <c r="P19" s="490">
        <v>1</v>
      </c>
      <c r="Q19" s="393" t="s">
        <v>135</v>
      </c>
      <c r="R19" s="385">
        <f>P19*N19</f>
        <v>-67437.253277208642</v>
      </c>
      <c r="S19" s="216"/>
      <c r="T19" s="385">
        <f>N19-R19</f>
        <v>0</v>
      </c>
      <c r="U19" s="216"/>
      <c r="V19" s="395">
        <f>N19/$J$29</f>
        <v>-11.15218344256799</v>
      </c>
      <c r="W19" s="370"/>
      <c r="X19" s="396">
        <f>$J$34*V19</f>
        <v>-15485.92192834991</v>
      </c>
    </row>
    <row r="20" spans="2:24">
      <c r="B20" s="345" t="s">
        <v>138</v>
      </c>
      <c r="C20" s="370"/>
      <c r="F20" s="210"/>
      <c r="G20" s="196"/>
      <c r="H20" s="372"/>
      <c r="I20" s="376"/>
      <c r="J20" s="210">
        <f>SUM(J11:J19)</f>
        <v>5426076.7069761809</v>
      </c>
      <c r="K20" s="375"/>
      <c r="L20" s="210">
        <f>-J24</f>
        <v>2046461</v>
      </c>
      <c r="M20" s="196"/>
      <c r="N20" s="210">
        <f>SUM(N11:N19)</f>
        <v>5426076.7069761809</v>
      </c>
      <c r="P20" s="377"/>
      <c r="Q20" s="378"/>
      <c r="R20" s="210">
        <f>SUM(R11:R19)</f>
        <v>4531173.666602063</v>
      </c>
      <c r="S20" s="370"/>
      <c r="T20" s="210">
        <f>SUM(T11:T19)</f>
        <v>894903.04037411837</v>
      </c>
      <c r="U20" s="370"/>
      <c r="V20" s="387">
        <f>N20/$J$28</f>
        <v>2.1055055931098265</v>
      </c>
      <c r="W20" s="370"/>
      <c r="X20" s="372">
        <f>$J$33*V20</f>
        <v>901.52814480225754</v>
      </c>
    </row>
    <row r="21" spans="2:24">
      <c r="B21" s="345"/>
      <c r="C21" s="345"/>
      <c r="F21" s="210"/>
      <c r="G21" s="196"/>
      <c r="H21" s="372"/>
      <c r="I21" s="376"/>
      <c r="J21" s="375"/>
      <c r="K21" s="375"/>
      <c r="L21" s="196"/>
      <c r="M21" s="196"/>
      <c r="N21" s="370"/>
      <c r="P21" s="377"/>
      <c r="Q21" s="378"/>
      <c r="R21" s="370"/>
    </row>
    <row r="22" spans="2:24">
      <c r="B22" s="345"/>
      <c r="C22" s="345"/>
      <c r="I22" s="376"/>
      <c r="J22" s="375"/>
      <c r="K22" s="375"/>
      <c r="L22" s="196"/>
      <c r="M22" s="196"/>
    </row>
    <row r="23" spans="2:24" ht="12.6" thickBot="1">
      <c r="B23" s="382" t="s">
        <v>142</v>
      </c>
      <c r="D23" s="345"/>
      <c r="E23" s="381"/>
      <c r="I23" s="381"/>
      <c r="J23" s="374">
        <f>J20</f>
        <v>5426076.7069761809</v>
      </c>
      <c r="T23" s="460" t="s">
        <v>549</v>
      </c>
      <c r="U23" s="368"/>
      <c r="V23" s="368"/>
      <c r="W23" s="368"/>
      <c r="X23" s="368"/>
    </row>
    <row r="24" spans="2:24" ht="12.6" thickTop="1">
      <c r="B24" s="383" t="s">
        <v>1081</v>
      </c>
      <c r="J24" s="216">
        <f>-BHART!D12</f>
        <v>-2046461</v>
      </c>
    </row>
    <row r="25" spans="2:24">
      <c r="B25" s="384" t="s">
        <v>375</v>
      </c>
      <c r="J25" s="216">
        <f>-T20</f>
        <v>-894903.04037411837</v>
      </c>
    </row>
    <row r="26" spans="2:24">
      <c r="B26" s="384" t="s">
        <v>377</v>
      </c>
      <c r="D26" s="370"/>
      <c r="J26" s="385">
        <v>0</v>
      </c>
      <c r="K26" s="381"/>
    </row>
    <row r="27" spans="2:24">
      <c r="B27" s="384" t="s">
        <v>1082</v>
      </c>
      <c r="D27" s="370"/>
      <c r="J27" s="484">
        <v>92377</v>
      </c>
      <c r="K27" s="381"/>
      <c r="P27" s="345"/>
      <c r="Q27" s="387"/>
      <c r="R27" s="370"/>
    </row>
    <row r="28" spans="2:24">
      <c r="B28" s="382" t="s">
        <v>495</v>
      </c>
      <c r="D28" s="345"/>
      <c r="E28" s="381"/>
      <c r="F28" s="381"/>
      <c r="G28" s="381"/>
      <c r="H28" s="381"/>
      <c r="I28" s="381"/>
      <c r="J28" s="210">
        <f>SUM(J23:J27)</f>
        <v>2577089.6666020625</v>
      </c>
      <c r="R28" s="370"/>
    </row>
    <row r="29" spans="2:24" ht="12.6" thickBot="1">
      <c r="B29" s="384" t="s">
        <v>496</v>
      </c>
      <c r="D29" s="370"/>
      <c r="J29" s="216">
        <f>BHART!D10</f>
        <v>6047</v>
      </c>
      <c r="K29" s="381"/>
      <c r="R29" s="370"/>
    </row>
    <row r="30" spans="2:24" ht="12.6" thickBot="1">
      <c r="B30" s="382" t="s">
        <v>497</v>
      </c>
      <c r="D30" s="370"/>
      <c r="J30" s="462">
        <f>J28/J29</f>
        <v>426.17656136961511</v>
      </c>
      <c r="K30" s="381"/>
      <c r="R30" s="370"/>
    </row>
    <row r="31" spans="2:24">
      <c r="B31" s="384" t="s">
        <v>1083</v>
      </c>
      <c r="J31" s="486">
        <v>2</v>
      </c>
      <c r="K31" s="381"/>
      <c r="R31" s="370"/>
    </row>
    <row r="32" spans="2:24" ht="12.6" thickBot="1">
      <c r="B32" s="384" t="s">
        <v>999</v>
      </c>
      <c r="J32" s="486"/>
      <c r="K32" s="381"/>
    </row>
    <row r="33" spans="2:24" ht="12.6" thickBot="1">
      <c r="B33" s="382" t="s">
        <v>62</v>
      </c>
      <c r="D33" s="345"/>
      <c r="E33" s="381"/>
      <c r="H33" s="381"/>
      <c r="I33" s="381"/>
      <c r="J33" s="462">
        <f>J30+J31+J32</f>
        <v>428.17656136961511</v>
      </c>
      <c r="K33" s="381"/>
    </row>
    <row r="34" spans="2:24">
      <c r="B34" s="384" t="s">
        <v>498</v>
      </c>
      <c r="D34" s="370"/>
      <c r="J34" s="400">
        <f>Prices!C82</f>
        <v>1388.6</v>
      </c>
    </row>
    <row r="35" spans="2:24">
      <c r="B35" s="382" t="s">
        <v>97</v>
      </c>
      <c r="D35" s="345"/>
      <c r="E35" s="381"/>
      <c r="F35" s="381"/>
      <c r="G35" s="381"/>
      <c r="H35" s="381"/>
      <c r="I35" s="381"/>
      <c r="J35" s="387">
        <f>J33/J34-1</f>
        <v>-0.69164873875153743</v>
      </c>
      <c r="K35" s="381"/>
    </row>
    <row r="36" spans="2:24">
      <c r="K36" s="381"/>
      <c r="L36" s="380"/>
    </row>
    <row r="39" spans="2:24">
      <c r="D39" s="345"/>
      <c r="E39" s="381"/>
      <c r="H39" s="381"/>
      <c r="I39" s="381"/>
    </row>
    <row r="40" spans="2:24">
      <c r="D40" s="345"/>
      <c r="E40" s="381"/>
      <c r="F40" s="381"/>
      <c r="G40" s="381"/>
      <c r="H40" s="381"/>
      <c r="I40" s="381"/>
      <c r="J40" s="381"/>
    </row>
    <row r="41" spans="2:24" ht="12.6" thickBot="1">
      <c r="D41" s="386"/>
      <c r="E41" s="345"/>
      <c r="H41" s="381"/>
      <c r="I41" s="381"/>
      <c r="K41" s="381"/>
      <c r="T41" s="460" t="s">
        <v>549</v>
      </c>
      <c r="U41" s="368"/>
      <c r="V41" s="368"/>
      <c r="W41" s="368"/>
      <c r="X41" s="368"/>
    </row>
    <row r="42" spans="2:24" ht="12.6" thickTop="1">
      <c r="D42" s="345"/>
      <c r="E42" s="345"/>
      <c r="F42" s="345"/>
      <c r="G42" s="345"/>
      <c r="H42" s="345"/>
      <c r="I42" s="345"/>
      <c r="T42" s="370" t="str">
        <f t="shared" ref="T42:T50" si="11">B11</f>
        <v>Indian Mobile</v>
      </c>
      <c r="X42" s="394">
        <f t="shared" ref="X42:X50" si="12">(R11)/($R$20)</f>
        <v>0.67223829584795225</v>
      </c>
    </row>
    <row r="43" spans="2:24">
      <c r="D43" s="345"/>
      <c r="E43" s="345"/>
      <c r="F43" s="345"/>
      <c r="G43" s="345"/>
      <c r="H43" s="345"/>
      <c r="I43" s="345"/>
      <c r="T43" s="370" t="str">
        <f t="shared" si="11"/>
        <v>South Asian Mobile</v>
      </c>
      <c r="X43" s="394">
        <f t="shared" si="12"/>
        <v>-3.9357380669427484E-4</v>
      </c>
    </row>
    <row r="44" spans="2:24">
      <c r="D44" s="345"/>
      <c r="E44" s="345"/>
      <c r="F44" s="345"/>
      <c r="G44" s="345"/>
      <c r="H44" s="345"/>
      <c r="I44" s="345"/>
      <c r="T44" s="370" t="str">
        <f t="shared" si="11"/>
        <v>Digital TV</v>
      </c>
      <c r="X44" s="394">
        <f t="shared" si="12"/>
        <v>4.3374228391439236E-2</v>
      </c>
    </row>
    <row r="45" spans="2:24">
      <c r="D45" s="345"/>
      <c r="E45" s="345"/>
      <c r="F45" s="345"/>
      <c r="G45" s="345"/>
      <c r="H45" s="345"/>
      <c r="I45" s="345"/>
      <c r="T45" s="370" t="str">
        <f t="shared" si="11"/>
        <v>Home services</v>
      </c>
      <c r="X45" s="394">
        <f t="shared" si="12"/>
        <v>2.0253117253242362E-2</v>
      </c>
    </row>
    <row r="46" spans="2:24">
      <c r="D46" s="345"/>
      <c r="E46" s="345"/>
      <c r="F46" s="345"/>
      <c r="G46" s="345"/>
      <c r="H46" s="345"/>
      <c r="I46" s="345"/>
      <c r="T46" s="370" t="str">
        <f t="shared" si="11"/>
        <v>Enterprise</v>
      </c>
      <c r="X46" s="394">
        <f t="shared" si="12"/>
        <v>0.12906507172079479</v>
      </c>
    </row>
    <row r="47" spans="2:24">
      <c r="D47" s="345"/>
      <c r="E47" s="345"/>
      <c r="F47" s="345"/>
      <c r="G47" s="345"/>
      <c r="H47" s="345"/>
      <c r="I47" s="345"/>
      <c r="T47" s="370" t="str">
        <f t="shared" si="11"/>
        <v>Infratel</v>
      </c>
      <c r="X47" s="394">
        <f t="shared" si="12"/>
        <v>7.2656672249528403E-2</v>
      </c>
    </row>
    <row r="48" spans="2:24">
      <c r="D48" s="345"/>
      <c r="E48" s="345"/>
      <c r="F48" s="345"/>
      <c r="G48" s="345"/>
      <c r="H48" s="345"/>
      <c r="I48" s="345"/>
      <c r="T48" s="370" t="str">
        <f t="shared" si="11"/>
        <v>Africa</v>
      </c>
      <c r="X48" s="394">
        <f t="shared" si="12"/>
        <v>7.5288440722208139E-2</v>
      </c>
    </row>
    <row r="49" spans="4:24">
      <c r="D49" s="345"/>
      <c r="E49" s="345"/>
      <c r="F49" s="345"/>
      <c r="G49" s="345"/>
      <c r="H49" s="345"/>
      <c r="I49" s="345"/>
      <c r="P49" s="249"/>
      <c r="Q49" s="249"/>
      <c r="R49" s="249"/>
      <c r="T49" s="370" t="str">
        <f t="shared" si="11"/>
        <v>Bangladesh (ROBI)</v>
      </c>
      <c r="X49" s="394">
        <f t="shared" si="12"/>
        <v>2.4007025111790598E-3</v>
      </c>
    </row>
    <row r="50" spans="4:24">
      <c r="D50" s="345"/>
      <c r="E50" s="345"/>
      <c r="F50" s="345"/>
      <c r="G50" s="345"/>
      <c r="H50" s="345"/>
      <c r="I50" s="345"/>
      <c r="P50" s="388"/>
      <c r="Q50" s="388"/>
      <c r="R50" s="388"/>
      <c r="T50" s="370" t="str">
        <f t="shared" si="11"/>
        <v>Overhead</v>
      </c>
      <c r="X50" s="394">
        <f t="shared" si="12"/>
        <v>-1.4882954889650033E-2</v>
      </c>
    </row>
    <row r="51" spans="4:24">
      <c r="D51" s="345"/>
      <c r="E51" s="381"/>
      <c r="F51" s="381"/>
      <c r="G51" s="381"/>
      <c r="H51" s="381"/>
      <c r="I51" s="381"/>
      <c r="T51" s="345"/>
      <c r="U51" s="387"/>
    </row>
    <row r="52" spans="4:24">
      <c r="D52" s="345"/>
      <c r="E52" s="381"/>
      <c r="F52" s="381"/>
      <c r="G52" s="381"/>
      <c r="H52" s="381"/>
      <c r="I52" s="381"/>
    </row>
    <row r="53" spans="4:24">
      <c r="D53" s="370"/>
      <c r="E53" s="381"/>
      <c r="F53" s="381"/>
      <c r="G53" s="381"/>
      <c r="H53" s="381"/>
      <c r="I53" s="381"/>
      <c r="M53" s="249"/>
      <c r="N53" s="249"/>
      <c r="O53" s="249"/>
      <c r="P53" s="249"/>
      <c r="Q53" s="249"/>
      <c r="R53" s="249"/>
    </row>
    <row r="54" spans="4:24">
      <c r="D54" s="370"/>
      <c r="E54" s="381"/>
      <c r="F54" s="381"/>
      <c r="G54" s="381"/>
      <c r="H54" s="381"/>
      <c r="I54" s="381"/>
      <c r="L54" s="249"/>
      <c r="N54" s="388"/>
      <c r="O54" s="388"/>
      <c r="P54" s="388"/>
      <c r="Q54" s="388"/>
      <c r="R54" s="388"/>
    </row>
    <row r="55" spans="4:24">
      <c r="D55" s="370"/>
      <c r="S55" s="249"/>
      <c r="T55" s="249"/>
      <c r="U55" s="249"/>
      <c r="V55" s="249"/>
      <c r="W55" s="249"/>
      <c r="X55" s="249"/>
    </row>
    <row r="56" spans="4:24">
      <c r="D56" s="345"/>
      <c r="E56" s="381"/>
      <c r="F56" s="381"/>
      <c r="G56" s="381"/>
      <c r="H56" s="381"/>
      <c r="I56" s="381"/>
      <c r="P56" s="249"/>
      <c r="Q56" s="249"/>
      <c r="R56" s="249"/>
      <c r="S56" s="388"/>
      <c r="T56" s="388"/>
      <c r="U56" s="388"/>
      <c r="V56" s="388"/>
      <c r="W56" s="388"/>
      <c r="X56" s="388"/>
    </row>
    <row r="57" spans="4:24">
      <c r="D57" s="370"/>
      <c r="E57" s="381"/>
      <c r="F57" s="381"/>
      <c r="G57" s="381"/>
      <c r="H57" s="381"/>
      <c r="I57" s="381"/>
      <c r="M57" s="249"/>
      <c r="N57" s="249"/>
      <c r="O57" s="249"/>
      <c r="P57" s="388"/>
      <c r="Q57" s="388"/>
      <c r="R57" s="388"/>
    </row>
    <row r="58" spans="4:24">
      <c r="D58" s="370"/>
      <c r="E58" s="381"/>
      <c r="F58" s="381"/>
      <c r="G58" s="381"/>
      <c r="H58" s="381"/>
      <c r="I58" s="381"/>
      <c r="L58" s="249"/>
      <c r="N58" s="388"/>
      <c r="O58" s="388"/>
    </row>
    <row r="59" spans="4:24">
      <c r="D59" s="370"/>
      <c r="P59" s="249"/>
      <c r="Q59" s="249"/>
      <c r="R59" s="249"/>
      <c r="S59" s="249"/>
      <c r="T59" s="249"/>
      <c r="U59" s="249"/>
      <c r="V59" s="249"/>
      <c r="W59" s="249"/>
      <c r="X59" s="249"/>
    </row>
    <row r="60" spans="4:24">
      <c r="D60" s="370"/>
      <c r="M60" s="249"/>
      <c r="N60" s="249"/>
      <c r="O60" s="249"/>
      <c r="P60" s="388"/>
      <c r="Q60" s="388"/>
      <c r="R60" s="388"/>
      <c r="S60" s="388"/>
      <c r="T60" s="388"/>
      <c r="U60" s="388"/>
      <c r="V60" s="388"/>
      <c r="W60" s="388"/>
      <c r="X60" s="388"/>
    </row>
    <row r="61" spans="4:24">
      <c r="D61" s="370"/>
      <c r="J61" s="381"/>
      <c r="L61" s="249"/>
      <c r="N61" s="388"/>
      <c r="O61" s="388"/>
    </row>
    <row r="62" spans="4:24">
      <c r="D62" s="370"/>
      <c r="J62" s="381"/>
      <c r="K62" s="381"/>
      <c r="P62" s="249"/>
      <c r="Q62" s="249"/>
      <c r="R62" s="249"/>
      <c r="S62" s="249"/>
      <c r="T62" s="249"/>
      <c r="U62" s="249"/>
      <c r="V62" s="249"/>
      <c r="W62" s="249"/>
      <c r="X62" s="249"/>
    </row>
    <row r="63" spans="4:24">
      <c r="D63" s="370"/>
      <c r="K63" s="381"/>
      <c r="M63" s="249"/>
      <c r="N63" s="249"/>
      <c r="O63" s="249"/>
      <c r="P63" s="388"/>
      <c r="Q63" s="388"/>
      <c r="R63" s="388"/>
      <c r="S63" s="388"/>
      <c r="T63" s="388"/>
      <c r="U63" s="388"/>
      <c r="V63" s="388"/>
      <c r="W63" s="388"/>
      <c r="X63" s="388"/>
    </row>
    <row r="64" spans="4:24">
      <c r="D64" s="370"/>
      <c r="J64" s="381"/>
      <c r="L64" s="249"/>
      <c r="N64" s="388"/>
      <c r="O64" s="388"/>
      <c r="P64" s="389"/>
      <c r="Q64" s="389"/>
      <c r="R64" s="389"/>
    </row>
    <row r="65" spans="4:24">
      <c r="D65" s="370"/>
      <c r="J65" s="381"/>
      <c r="K65" s="381"/>
      <c r="P65" s="388"/>
      <c r="Q65" s="388"/>
      <c r="R65" s="388"/>
      <c r="S65" s="249"/>
      <c r="T65" s="249"/>
      <c r="U65" s="249"/>
      <c r="V65" s="249"/>
      <c r="W65" s="249"/>
      <c r="X65" s="249"/>
    </row>
    <row r="66" spans="4:24">
      <c r="D66" s="370"/>
      <c r="J66" s="381"/>
      <c r="K66" s="381"/>
      <c r="M66" s="249"/>
      <c r="N66" s="249"/>
      <c r="O66" s="249"/>
      <c r="S66" s="388"/>
      <c r="T66" s="388"/>
      <c r="U66" s="388"/>
      <c r="V66" s="388"/>
      <c r="W66" s="388"/>
      <c r="X66" s="388"/>
    </row>
    <row r="67" spans="4:24">
      <c r="D67" s="370"/>
      <c r="K67" s="381"/>
      <c r="L67" s="249"/>
      <c r="N67" s="388"/>
      <c r="O67" s="388"/>
      <c r="P67" s="249"/>
      <c r="Q67" s="249"/>
      <c r="R67" s="249"/>
    </row>
    <row r="68" spans="4:24">
      <c r="D68" s="345"/>
      <c r="E68" s="381"/>
      <c r="F68" s="381"/>
      <c r="G68" s="381"/>
      <c r="H68" s="381"/>
      <c r="I68" s="381"/>
      <c r="M68" s="389"/>
      <c r="N68" s="389"/>
      <c r="O68" s="389"/>
      <c r="P68" s="390"/>
      <c r="Q68" s="390"/>
      <c r="R68" s="390"/>
      <c r="S68" s="249"/>
      <c r="T68" s="249"/>
      <c r="U68" s="249"/>
      <c r="V68" s="249"/>
      <c r="W68" s="249"/>
      <c r="X68" s="249"/>
    </row>
    <row r="69" spans="4:24">
      <c r="D69" s="370"/>
      <c r="J69" s="381"/>
      <c r="L69" s="389"/>
      <c r="N69" s="388"/>
      <c r="O69" s="388"/>
      <c r="P69" s="249"/>
      <c r="Q69" s="249"/>
      <c r="R69" s="249"/>
      <c r="S69" s="388"/>
      <c r="T69" s="388"/>
      <c r="U69" s="388"/>
      <c r="V69" s="388"/>
      <c r="W69" s="388"/>
      <c r="X69" s="388"/>
    </row>
    <row r="70" spans="4:24">
      <c r="D70" s="370"/>
      <c r="J70" s="381"/>
      <c r="K70" s="381"/>
      <c r="P70" s="388"/>
      <c r="Q70" s="388"/>
      <c r="R70" s="388"/>
      <c r="S70" s="389"/>
      <c r="T70" s="389"/>
      <c r="U70" s="389"/>
      <c r="V70" s="389"/>
      <c r="W70" s="389"/>
      <c r="X70" s="389"/>
    </row>
    <row r="71" spans="4:24">
      <c r="D71" s="345"/>
      <c r="E71" s="381"/>
      <c r="F71" s="381"/>
      <c r="G71" s="381"/>
      <c r="H71" s="381"/>
      <c r="I71" s="381"/>
      <c r="K71" s="381"/>
      <c r="M71" s="249"/>
      <c r="N71" s="249"/>
      <c r="O71" s="249"/>
      <c r="P71" s="248"/>
      <c r="Q71" s="248"/>
      <c r="R71" s="248"/>
      <c r="S71" s="388"/>
      <c r="T71" s="388"/>
      <c r="U71" s="388"/>
      <c r="V71" s="388"/>
      <c r="W71" s="388"/>
      <c r="X71" s="388"/>
    </row>
    <row r="72" spans="4:24">
      <c r="D72" s="370"/>
      <c r="L72" s="249"/>
      <c r="N72" s="388"/>
      <c r="O72" s="388"/>
    </row>
    <row r="73" spans="4:24">
      <c r="D73" s="345"/>
      <c r="E73" s="381"/>
      <c r="F73" s="381"/>
      <c r="G73" s="381"/>
      <c r="H73" s="381"/>
      <c r="I73" s="381"/>
      <c r="M73" s="249"/>
      <c r="N73" s="249"/>
      <c r="O73" s="249"/>
      <c r="P73" s="247"/>
      <c r="Q73" s="247"/>
      <c r="R73" s="247"/>
      <c r="S73" s="249"/>
      <c r="T73" s="249"/>
      <c r="U73" s="249"/>
      <c r="V73" s="249"/>
      <c r="W73" s="249"/>
      <c r="X73" s="249"/>
    </row>
    <row r="74" spans="4:24">
      <c r="D74" s="370"/>
      <c r="E74" s="381"/>
      <c r="F74" s="381"/>
      <c r="G74" s="381"/>
      <c r="H74" s="381"/>
      <c r="I74" s="381"/>
      <c r="L74" s="249"/>
      <c r="N74" s="388"/>
      <c r="O74" s="388"/>
      <c r="P74" s="388"/>
      <c r="Q74" s="388"/>
      <c r="R74" s="388"/>
      <c r="S74" s="390"/>
      <c r="T74" s="390"/>
      <c r="U74" s="390"/>
      <c r="V74" s="390"/>
      <c r="W74" s="390"/>
      <c r="X74" s="390"/>
    </row>
    <row r="75" spans="4:24">
      <c r="D75" s="370"/>
      <c r="M75" s="248"/>
      <c r="N75" s="248"/>
      <c r="O75" s="248"/>
      <c r="S75" s="249"/>
      <c r="T75" s="249"/>
      <c r="U75" s="249"/>
      <c r="V75" s="249"/>
      <c r="W75" s="249"/>
      <c r="X75" s="249"/>
    </row>
    <row r="76" spans="4:24">
      <c r="D76" s="370"/>
      <c r="L76" s="248"/>
      <c r="P76" s="389"/>
      <c r="Q76" s="389"/>
      <c r="R76" s="389"/>
      <c r="S76" s="388"/>
      <c r="T76" s="388"/>
      <c r="U76" s="388"/>
      <c r="V76" s="388"/>
      <c r="W76" s="388"/>
      <c r="X76" s="388"/>
    </row>
    <row r="77" spans="4:24">
      <c r="D77" s="345"/>
      <c r="E77" s="381"/>
      <c r="F77" s="381"/>
      <c r="G77" s="381"/>
      <c r="H77" s="381"/>
      <c r="I77" s="381"/>
      <c r="M77" s="247"/>
      <c r="N77" s="247"/>
      <c r="O77" s="247"/>
      <c r="P77" s="388"/>
      <c r="Q77" s="388"/>
      <c r="R77" s="388"/>
      <c r="S77" s="248"/>
      <c r="T77" s="248"/>
      <c r="U77" s="248"/>
      <c r="V77" s="248"/>
      <c r="W77" s="248"/>
      <c r="X77" s="248"/>
    </row>
    <row r="78" spans="4:24">
      <c r="D78" s="370"/>
      <c r="E78" s="381"/>
      <c r="F78" s="381"/>
      <c r="G78" s="381"/>
      <c r="H78" s="381"/>
      <c r="I78" s="381"/>
      <c r="L78" s="247"/>
      <c r="N78" s="388"/>
      <c r="O78" s="388"/>
    </row>
    <row r="79" spans="4:24">
      <c r="D79" s="370"/>
      <c r="P79" s="391"/>
      <c r="Q79" s="391"/>
      <c r="R79" s="391"/>
      <c r="S79" s="247"/>
      <c r="T79" s="247"/>
      <c r="U79" s="247"/>
      <c r="V79" s="247"/>
      <c r="W79" s="247"/>
      <c r="X79" s="247"/>
    </row>
    <row r="80" spans="4:24">
      <c r="D80" s="345"/>
      <c r="E80" s="381"/>
      <c r="F80" s="381"/>
      <c r="G80" s="381"/>
      <c r="H80" s="381"/>
      <c r="I80" s="381"/>
      <c r="M80" s="389"/>
      <c r="N80" s="389"/>
      <c r="O80" s="389"/>
      <c r="P80" s="388"/>
      <c r="Q80" s="388"/>
      <c r="R80" s="388"/>
      <c r="S80" s="388"/>
      <c r="T80" s="388"/>
      <c r="U80" s="388"/>
      <c r="V80" s="388"/>
      <c r="W80" s="388"/>
      <c r="X80" s="388"/>
    </row>
    <row r="81" spans="4:24">
      <c r="D81" s="370"/>
      <c r="J81" s="381"/>
      <c r="L81" s="389"/>
      <c r="N81" s="388"/>
      <c r="O81" s="388"/>
      <c r="P81" s="248"/>
      <c r="Q81" s="248"/>
      <c r="R81" s="248"/>
    </row>
    <row r="82" spans="4:24">
      <c r="D82" s="370"/>
      <c r="J82" s="381"/>
      <c r="K82" s="381"/>
      <c r="S82" s="389"/>
      <c r="T82" s="389"/>
      <c r="U82" s="389"/>
      <c r="V82" s="389"/>
      <c r="W82" s="389"/>
      <c r="X82" s="389"/>
    </row>
    <row r="83" spans="4:24">
      <c r="D83" s="345"/>
      <c r="E83" s="381"/>
      <c r="F83" s="381"/>
      <c r="G83" s="381"/>
      <c r="H83" s="381"/>
      <c r="I83" s="381"/>
      <c r="K83" s="381"/>
      <c r="M83" s="391"/>
      <c r="N83" s="391"/>
      <c r="O83" s="391"/>
      <c r="P83" s="247"/>
      <c r="Q83" s="247"/>
      <c r="R83" s="247"/>
      <c r="S83" s="388"/>
      <c r="T83" s="388"/>
      <c r="U83" s="388"/>
      <c r="V83" s="388"/>
      <c r="W83" s="388"/>
      <c r="X83" s="388"/>
    </row>
    <row r="84" spans="4:24">
      <c r="D84" s="370"/>
      <c r="L84" s="391"/>
      <c r="N84" s="388"/>
      <c r="O84" s="388"/>
      <c r="P84" s="388"/>
      <c r="Q84" s="388"/>
      <c r="R84" s="388"/>
    </row>
    <row r="85" spans="4:24">
      <c r="D85" s="370"/>
      <c r="J85" s="381"/>
      <c r="N85" s="248"/>
      <c r="O85" s="248"/>
      <c r="P85" s="274"/>
      <c r="Q85" s="274"/>
      <c r="R85" s="274"/>
      <c r="S85" s="391"/>
      <c r="T85" s="391"/>
      <c r="U85" s="391"/>
      <c r="V85" s="391"/>
      <c r="W85" s="391"/>
      <c r="X85" s="391"/>
    </row>
    <row r="86" spans="4:24">
      <c r="D86" s="370"/>
      <c r="J86" s="381"/>
      <c r="K86" s="381"/>
      <c r="S86" s="388"/>
      <c r="T86" s="388"/>
      <c r="U86" s="388"/>
      <c r="V86" s="388"/>
      <c r="W86" s="388"/>
      <c r="X86" s="388"/>
    </row>
    <row r="87" spans="4:24">
      <c r="D87" s="345"/>
      <c r="E87" s="381"/>
      <c r="F87" s="381"/>
      <c r="G87" s="381"/>
      <c r="H87" s="381"/>
      <c r="I87" s="381"/>
      <c r="K87" s="381"/>
      <c r="M87" s="247"/>
      <c r="N87" s="247"/>
      <c r="O87" s="247"/>
      <c r="P87" s="389"/>
      <c r="Q87" s="389"/>
      <c r="R87" s="389"/>
      <c r="S87" s="248"/>
      <c r="T87" s="248"/>
      <c r="U87" s="248"/>
      <c r="V87" s="248"/>
      <c r="W87" s="248"/>
      <c r="X87" s="248"/>
    </row>
    <row r="88" spans="4:24">
      <c r="D88" s="370"/>
      <c r="L88" s="247"/>
      <c r="N88" s="388"/>
      <c r="O88" s="388"/>
      <c r="P88" s="388"/>
      <c r="Q88" s="388"/>
      <c r="R88" s="388"/>
    </row>
    <row r="89" spans="4:24">
      <c r="D89" s="370"/>
      <c r="E89" s="345"/>
      <c r="F89" s="345"/>
      <c r="G89" s="345"/>
      <c r="H89" s="345"/>
      <c r="I89" s="345"/>
      <c r="J89" s="381"/>
      <c r="M89" s="274"/>
      <c r="N89" s="274"/>
      <c r="O89" s="274"/>
      <c r="S89" s="247"/>
      <c r="T89" s="247"/>
      <c r="U89" s="247"/>
      <c r="V89" s="247"/>
      <c r="W89" s="247"/>
      <c r="X89" s="247"/>
    </row>
    <row r="90" spans="4:24">
      <c r="D90" s="370"/>
      <c r="E90" s="345"/>
      <c r="F90" s="345"/>
      <c r="G90" s="345"/>
      <c r="H90" s="345"/>
      <c r="I90" s="345"/>
      <c r="K90" s="381"/>
      <c r="L90" s="274"/>
      <c r="S90" s="388"/>
      <c r="T90" s="388"/>
      <c r="U90" s="388"/>
      <c r="V90" s="388"/>
      <c r="W90" s="388"/>
      <c r="X90" s="388"/>
    </row>
    <row r="91" spans="4:24">
      <c r="D91" s="370"/>
      <c r="M91" s="389"/>
      <c r="N91" s="389"/>
      <c r="O91" s="389"/>
      <c r="P91" s="249"/>
      <c r="Q91" s="249"/>
      <c r="R91" s="249"/>
      <c r="S91" s="274"/>
      <c r="T91" s="274"/>
      <c r="U91" s="274"/>
      <c r="V91" s="274"/>
      <c r="W91" s="274"/>
      <c r="X91" s="274"/>
    </row>
    <row r="92" spans="4:24">
      <c r="D92" s="370"/>
      <c r="L92" s="389"/>
      <c r="N92" s="388"/>
      <c r="O92" s="388"/>
      <c r="P92" s="388"/>
      <c r="Q92" s="388"/>
      <c r="R92" s="388"/>
    </row>
    <row r="93" spans="4:24">
      <c r="D93" s="370"/>
      <c r="S93" s="389"/>
      <c r="T93" s="389"/>
      <c r="U93" s="389"/>
      <c r="V93" s="389"/>
      <c r="W93" s="389"/>
      <c r="X93" s="389"/>
    </row>
    <row r="94" spans="4:24">
      <c r="D94" s="345"/>
      <c r="E94" s="381"/>
      <c r="F94" s="381"/>
      <c r="G94" s="381"/>
      <c r="H94" s="381"/>
      <c r="I94" s="381"/>
      <c r="P94" s="249"/>
      <c r="Q94" s="249"/>
      <c r="R94" s="249"/>
      <c r="S94" s="388"/>
      <c r="T94" s="388"/>
      <c r="U94" s="388"/>
      <c r="V94" s="388"/>
      <c r="W94" s="388"/>
      <c r="X94" s="388"/>
    </row>
    <row r="95" spans="4:24">
      <c r="D95" s="345"/>
      <c r="E95" s="381"/>
      <c r="F95" s="381"/>
      <c r="G95" s="381"/>
      <c r="H95" s="381"/>
      <c r="I95" s="381"/>
      <c r="M95" s="249"/>
      <c r="N95" s="249"/>
      <c r="O95" s="249"/>
      <c r="P95" s="390"/>
      <c r="Q95" s="390"/>
      <c r="R95" s="390"/>
    </row>
    <row r="96" spans="4:24">
      <c r="D96" s="370"/>
      <c r="E96" s="381"/>
      <c r="F96" s="381"/>
      <c r="G96" s="381"/>
      <c r="H96" s="381"/>
      <c r="I96" s="381"/>
      <c r="L96" s="249"/>
      <c r="N96" s="388"/>
      <c r="O96" s="388"/>
    </row>
    <row r="97" spans="4:24">
      <c r="D97" s="370"/>
      <c r="E97" s="381"/>
      <c r="F97" s="381"/>
      <c r="G97" s="381"/>
      <c r="H97" s="381"/>
      <c r="I97" s="381"/>
      <c r="P97" s="389"/>
      <c r="Q97" s="389"/>
      <c r="R97" s="389"/>
      <c r="S97" s="249"/>
      <c r="T97" s="249"/>
      <c r="U97" s="249"/>
      <c r="V97" s="249"/>
      <c r="W97" s="249"/>
      <c r="X97" s="249"/>
    </row>
    <row r="98" spans="4:24">
      <c r="D98" s="370"/>
      <c r="M98" s="249"/>
      <c r="N98" s="249"/>
      <c r="O98" s="249"/>
      <c r="P98" s="392"/>
      <c r="Q98" s="392"/>
      <c r="R98" s="392"/>
      <c r="S98" s="388"/>
      <c r="T98" s="388"/>
      <c r="U98" s="388"/>
      <c r="V98" s="388"/>
      <c r="W98" s="388"/>
      <c r="X98" s="388"/>
    </row>
    <row r="99" spans="4:24">
      <c r="D99" s="345"/>
      <c r="E99" s="381"/>
      <c r="F99" s="381"/>
      <c r="G99" s="381"/>
      <c r="H99" s="381"/>
      <c r="I99" s="381"/>
      <c r="L99" s="249"/>
      <c r="N99" s="388"/>
      <c r="O99" s="388"/>
      <c r="P99" s="392"/>
      <c r="Q99" s="392"/>
      <c r="R99" s="392"/>
    </row>
    <row r="100" spans="4:24">
      <c r="D100" s="370"/>
      <c r="E100" s="381"/>
      <c r="F100" s="381"/>
      <c r="G100" s="381"/>
      <c r="H100" s="381"/>
      <c r="I100" s="381"/>
      <c r="S100" s="249"/>
      <c r="T100" s="249"/>
      <c r="U100" s="249"/>
      <c r="V100" s="249"/>
      <c r="W100" s="249"/>
      <c r="X100" s="249"/>
    </row>
    <row r="101" spans="4:24">
      <c r="D101" s="370"/>
      <c r="E101" s="381"/>
      <c r="F101" s="381"/>
      <c r="G101" s="381"/>
      <c r="H101" s="381"/>
      <c r="I101" s="381"/>
      <c r="M101" s="389"/>
      <c r="N101" s="389"/>
      <c r="O101" s="389"/>
      <c r="P101" s="388"/>
      <c r="Q101" s="388"/>
      <c r="R101" s="388"/>
      <c r="S101" s="390"/>
      <c r="T101" s="390"/>
      <c r="U101" s="390"/>
      <c r="V101" s="390"/>
      <c r="W101" s="390"/>
      <c r="X101" s="390"/>
    </row>
    <row r="102" spans="4:24">
      <c r="D102" s="370"/>
      <c r="L102" s="389"/>
      <c r="N102" s="392"/>
      <c r="O102" s="392"/>
      <c r="P102" s="389"/>
      <c r="Q102" s="389"/>
      <c r="R102" s="389"/>
    </row>
    <row r="103" spans="4:24">
      <c r="D103" s="370"/>
      <c r="M103" s="392"/>
      <c r="N103" s="392"/>
      <c r="O103" s="392"/>
      <c r="R103" s="392"/>
      <c r="S103" s="389"/>
      <c r="T103" s="389"/>
      <c r="U103" s="389"/>
      <c r="V103" s="389"/>
      <c r="W103" s="389"/>
      <c r="X103" s="389"/>
    </row>
    <row r="104" spans="4:24">
      <c r="D104" s="370"/>
      <c r="J104" s="381"/>
      <c r="L104" s="392"/>
      <c r="S104" s="392"/>
      <c r="T104" s="392"/>
      <c r="U104" s="392"/>
      <c r="V104" s="392"/>
      <c r="W104" s="392"/>
      <c r="X104" s="392"/>
    </row>
    <row r="105" spans="4:24">
      <c r="D105" s="370"/>
      <c r="J105" s="381"/>
      <c r="K105" s="381"/>
      <c r="M105" s="388"/>
      <c r="N105" s="388"/>
      <c r="O105" s="388"/>
      <c r="P105" s="389"/>
      <c r="Q105" s="389"/>
      <c r="R105" s="389"/>
      <c r="S105" s="392"/>
      <c r="T105" s="392"/>
      <c r="U105" s="392"/>
      <c r="V105" s="392"/>
      <c r="W105" s="392"/>
      <c r="X105" s="392"/>
    </row>
    <row r="106" spans="4:24">
      <c r="D106" s="370"/>
      <c r="K106" s="381"/>
      <c r="L106" s="388"/>
      <c r="M106" s="389"/>
      <c r="N106" s="389"/>
      <c r="O106" s="389"/>
      <c r="P106" s="392"/>
      <c r="Q106" s="392"/>
      <c r="R106" s="392"/>
    </row>
    <row r="107" spans="4:24">
      <c r="D107" s="370"/>
      <c r="J107" s="381"/>
      <c r="L107" s="389"/>
      <c r="S107" s="388"/>
      <c r="T107" s="388"/>
      <c r="U107" s="388"/>
      <c r="V107" s="388"/>
      <c r="W107" s="388"/>
      <c r="X107" s="388"/>
    </row>
    <row r="108" spans="4:24">
      <c r="D108" s="370"/>
      <c r="J108" s="381"/>
      <c r="K108" s="381"/>
      <c r="S108" s="389"/>
      <c r="T108" s="389"/>
      <c r="U108" s="389"/>
      <c r="V108" s="389"/>
      <c r="W108" s="389"/>
      <c r="X108" s="389"/>
    </row>
    <row r="109" spans="4:24">
      <c r="D109" s="370"/>
      <c r="J109" s="381"/>
      <c r="K109" s="381"/>
      <c r="M109" s="389"/>
      <c r="N109" s="389"/>
      <c r="O109" s="389"/>
      <c r="S109" s="392"/>
      <c r="T109" s="392"/>
      <c r="U109" s="392"/>
      <c r="V109" s="392"/>
      <c r="W109" s="392"/>
      <c r="X109" s="392"/>
    </row>
    <row r="110" spans="4:24">
      <c r="D110" s="370"/>
      <c r="K110" s="381"/>
      <c r="L110" s="389"/>
      <c r="N110" s="392"/>
      <c r="O110" s="392"/>
    </row>
    <row r="111" spans="4:24">
      <c r="D111" s="345"/>
      <c r="E111" s="381"/>
      <c r="F111" s="381"/>
      <c r="G111" s="381"/>
      <c r="H111" s="381"/>
      <c r="I111" s="381"/>
      <c r="S111" s="389"/>
      <c r="T111" s="389"/>
      <c r="U111" s="389"/>
      <c r="V111" s="389"/>
      <c r="W111" s="389"/>
      <c r="X111" s="389"/>
    </row>
    <row r="112" spans="4:24">
      <c r="D112" s="370"/>
      <c r="J112" s="381"/>
      <c r="S112" s="392"/>
      <c r="T112" s="392"/>
      <c r="U112" s="392"/>
      <c r="V112" s="392"/>
      <c r="W112" s="392"/>
      <c r="X112" s="392"/>
    </row>
    <row r="113" spans="4:11">
      <c r="D113" s="370"/>
      <c r="J113" s="381"/>
      <c r="K113" s="381"/>
    </row>
    <row r="114" spans="4:11">
      <c r="D114" s="345"/>
      <c r="E114" s="381"/>
      <c r="F114" s="381"/>
      <c r="G114" s="381"/>
      <c r="H114" s="381"/>
      <c r="I114" s="381"/>
      <c r="K114" s="381"/>
    </row>
    <row r="115" spans="4:11">
      <c r="D115" s="370"/>
    </row>
    <row r="116" spans="4:11">
      <c r="D116" s="345"/>
      <c r="E116" s="381"/>
      <c r="F116" s="381"/>
      <c r="G116" s="381"/>
      <c r="H116" s="381"/>
      <c r="I116" s="381"/>
    </row>
    <row r="117" spans="4:11">
      <c r="D117" s="370"/>
      <c r="E117" s="381"/>
      <c r="F117" s="381"/>
      <c r="G117" s="381"/>
      <c r="H117" s="381"/>
      <c r="I117" s="381"/>
    </row>
    <row r="118" spans="4:11">
      <c r="D118" s="370"/>
    </row>
    <row r="119" spans="4:11">
      <c r="D119" s="370"/>
    </row>
    <row r="120" spans="4:11">
      <c r="D120" s="345"/>
      <c r="E120" s="381"/>
      <c r="F120" s="381"/>
      <c r="G120" s="381"/>
      <c r="H120" s="381"/>
      <c r="I120" s="381"/>
    </row>
    <row r="121" spans="4:11">
      <c r="D121" s="370"/>
      <c r="E121" s="381"/>
      <c r="F121" s="381"/>
      <c r="G121" s="381"/>
      <c r="H121" s="381"/>
      <c r="I121" s="381"/>
    </row>
    <row r="122" spans="4:11">
      <c r="D122" s="370"/>
    </row>
    <row r="123" spans="4:11">
      <c r="D123" s="345"/>
      <c r="E123" s="381"/>
      <c r="F123" s="381"/>
      <c r="G123" s="381"/>
      <c r="H123" s="381"/>
      <c r="I123" s="381"/>
    </row>
    <row r="124" spans="4:11">
      <c r="D124" s="370"/>
      <c r="J124" s="381"/>
    </row>
    <row r="125" spans="4:11">
      <c r="D125" s="370"/>
      <c r="J125" s="381"/>
      <c r="K125" s="381"/>
    </row>
    <row r="126" spans="4:11">
      <c r="D126" s="345"/>
      <c r="E126" s="381"/>
      <c r="F126" s="381"/>
      <c r="G126" s="381"/>
      <c r="H126" s="381"/>
      <c r="I126" s="381"/>
      <c r="K126" s="381"/>
    </row>
    <row r="127" spans="4:11">
      <c r="D127" s="370"/>
    </row>
    <row r="128" spans="4:11">
      <c r="D128" s="370"/>
      <c r="J128" s="381"/>
    </row>
    <row r="129" spans="4:11">
      <c r="D129" s="370"/>
      <c r="J129" s="381"/>
      <c r="K129" s="381"/>
    </row>
    <row r="130" spans="4:11">
      <c r="D130" s="345"/>
      <c r="E130" s="381"/>
      <c r="F130" s="381"/>
      <c r="G130" s="381"/>
      <c r="H130" s="381"/>
      <c r="I130" s="381"/>
      <c r="K130" s="381"/>
    </row>
    <row r="131" spans="4:11">
      <c r="D131" s="370"/>
    </row>
    <row r="132" spans="4:11">
      <c r="D132" s="370"/>
      <c r="E132" s="345"/>
      <c r="F132" s="345"/>
      <c r="G132" s="345"/>
      <c r="H132" s="345"/>
      <c r="I132" s="345"/>
      <c r="J132" s="381"/>
    </row>
    <row r="133" spans="4:11">
      <c r="D133" s="370"/>
      <c r="E133" s="345"/>
      <c r="F133" s="345"/>
      <c r="G133" s="345"/>
      <c r="H133" s="345"/>
      <c r="I133" s="345"/>
      <c r="K133" s="381"/>
    </row>
    <row r="134" spans="4:11">
      <c r="D134" s="370"/>
    </row>
    <row r="135" spans="4:11">
      <c r="D135" s="370"/>
    </row>
    <row r="137" spans="4:11">
      <c r="D137" s="345"/>
      <c r="E137" s="381"/>
      <c r="F137" s="381"/>
      <c r="G137" s="381"/>
      <c r="H137" s="381"/>
      <c r="I137" s="381"/>
    </row>
    <row r="138" spans="4:11">
      <c r="D138" s="345"/>
      <c r="E138" s="381"/>
      <c r="F138" s="381"/>
      <c r="G138" s="381"/>
      <c r="H138" s="381"/>
      <c r="I138" s="381"/>
    </row>
    <row r="139" spans="4:11">
      <c r="D139" s="370"/>
      <c r="E139" s="381"/>
      <c r="F139" s="381"/>
      <c r="G139" s="381"/>
      <c r="H139" s="381"/>
      <c r="I139" s="381"/>
    </row>
    <row r="140" spans="4:11">
      <c r="D140" s="370"/>
      <c r="E140" s="381"/>
      <c r="F140" s="381"/>
      <c r="G140" s="381"/>
      <c r="H140" s="381"/>
      <c r="I140" s="381"/>
    </row>
    <row r="141" spans="4:11">
      <c r="D141" s="370"/>
    </row>
    <row r="142" spans="4:11">
      <c r="D142" s="345"/>
      <c r="E142" s="381"/>
      <c r="F142" s="381"/>
      <c r="G142" s="381"/>
      <c r="H142" s="381"/>
      <c r="I142" s="381"/>
    </row>
    <row r="143" spans="4:11">
      <c r="D143" s="370"/>
      <c r="E143" s="381"/>
      <c r="F143" s="381"/>
      <c r="G143" s="381"/>
      <c r="H143" s="381"/>
      <c r="I143" s="381"/>
    </row>
    <row r="144" spans="4:11">
      <c r="D144" s="370"/>
      <c r="E144" s="381"/>
      <c r="F144" s="381"/>
      <c r="G144" s="381"/>
      <c r="H144" s="381"/>
      <c r="I144" s="381"/>
    </row>
    <row r="145" spans="4:11">
      <c r="D145" s="370"/>
    </row>
    <row r="146" spans="4:11">
      <c r="D146" s="370"/>
    </row>
    <row r="147" spans="4:11">
      <c r="D147" s="370"/>
      <c r="J147" s="381"/>
    </row>
    <row r="148" spans="4:11">
      <c r="D148" s="370"/>
      <c r="J148" s="381"/>
      <c r="K148" s="381"/>
    </row>
    <row r="149" spans="4:11">
      <c r="D149" s="370"/>
      <c r="K149" s="381"/>
    </row>
    <row r="150" spans="4:11">
      <c r="D150" s="370"/>
      <c r="J150" s="381"/>
    </row>
    <row r="151" spans="4:11">
      <c r="D151" s="370"/>
      <c r="J151" s="381"/>
      <c r="K151" s="381"/>
    </row>
    <row r="152" spans="4:11">
      <c r="D152" s="370"/>
      <c r="J152" s="381"/>
      <c r="K152" s="381"/>
    </row>
    <row r="153" spans="4:11">
      <c r="D153" s="370"/>
      <c r="K153" s="381"/>
    </row>
    <row r="154" spans="4:11">
      <c r="D154" s="345"/>
      <c r="E154" s="381"/>
      <c r="F154" s="381"/>
      <c r="G154" s="381"/>
      <c r="H154" s="381"/>
      <c r="I154" s="381"/>
    </row>
    <row r="155" spans="4:11">
      <c r="D155" s="370"/>
      <c r="J155" s="381"/>
    </row>
    <row r="156" spans="4:11">
      <c r="D156" s="370"/>
      <c r="J156" s="381"/>
      <c r="K156" s="381"/>
    </row>
    <row r="157" spans="4:11">
      <c r="D157" s="345"/>
      <c r="E157" s="381"/>
      <c r="F157" s="381"/>
      <c r="G157" s="381"/>
      <c r="H157" s="381"/>
      <c r="I157" s="381"/>
      <c r="K157" s="381"/>
    </row>
    <row r="158" spans="4:11">
      <c r="D158" s="370"/>
    </row>
    <row r="159" spans="4:11">
      <c r="D159" s="345"/>
      <c r="E159" s="381"/>
      <c r="F159" s="381"/>
      <c r="G159" s="381"/>
      <c r="H159" s="381"/>
      <c r="I159" s="381"/>
    </row>
    <row r="160" spans="4:11">
      <c r="D160" s="370"/>
      <c r="E160" s="381"/>
      <c r="F160" s="381"/>
      <c r="G160" s="381"/>
      <c r="H160" s="381"/>
      <c r="I160" s="381"/>
    </row>
    <row r="161" spans="4:11">
      <c r="D161" s="370"/>
    </row>
    <row r="162" spans="4:11">
      <c r="D162" s="370"/>
    </row>
    <row r="163" spans="4:11">
      <c r="D163" s="345"/>
      <c r="E163" s="381"/>
      <c r="F163" s="381"/>
      <c r="G163" s="381"/>
      <c r="H163" s="381"/>
      <c r="I163" s="381"/>
    </row>
    <row r="164" spans="4:11">
      <c r="D164" s="370"/>
      <c r="E164" s="381"/>
      <c r="F164" s="381"/>
      <c r="G164" s="381"/>
      <c r="H164" s="381"/>
      <c r="I164" s="381"/>
    </row>
    <row r="165" spans="4:11">
      <c r="D165" s="370"/>
    </row>
    <row r="166" spans="4:11">
      <c r="D166" s="345"/>
      <c r="E166" s="381"/>
      <c r="F166" s="381"/>
      <c r="G166" s="381"/>
      <c r="H166" s="381"/>
      <c r="I166" s="381"/>
    </row>
    <row r="167" spans="4:11">
      <c r="D167" s="370"/>
      <c r="J167" s="381"/>
    </row>
    <row r="168" spans="4:11">
      <c r="D168" s="370"/>
      <c r="J168" s="381"/>
      <c r="K168" s="381"/>
    </row>
    <row r="169" spans="4:11">
      <c r="D169" s="345"/>
      <c r="E169" s="381"/>
      <c r="F169" s="381"/>
      <c r="G169" s="381"/>
      <c r="H169" s="381"/>
      <c r="I169" s="381"/>
      <c r="K169" s="381"/>
    </row>
    <row r="170" spans="4:11">
      <c r="D170" s="370"/>
    </row>
    <row r="171" spans="4:11">
      <c r="D171" s="370"/>
      <c r="J171" s="381"/>
    </row>
    <row r="172" spans="4:11">
      <c r="D172" s="370"/>
      <c r="J172" s="381"/>
      <c r="K172" s="381"/>
    </row>
    <row r="173" spans="4:11">
      <c r="D173" s="345"/>
      <c r="E173" s="381"/>
      <c r="F173" s="381"/>
      <c r="G173" s="381"/>
      <c r="H173" s="381"/>
      <c r="I173" s="381"/>
      <c r="K173" s="381"/>
    </row>
    <row r="174" spans="4:11">
      <c r="D174" s="370"/>
    </row>
    <row r="175" spans="4:11">
      <c r="D175" s="370"/>
      <c r="E175" s="345"/>
      <c r="F175" s="345"/>
      <c r="G175" s="345"/>
      <c r="H175" s="345"/>
      <c r="I175" s="345"/>
      <c r="J175" s="381"/>
    </row>
    <row r="176" spans="4:11">
      <c r="D176" s="370"/>
      <c r="E176" s="345"/>
      <c r="F176" s="345"/>
      <c r="G176" s="345"/>
      <c r="H176" s="345"/>
      <c r="I176" s="345"/>
      <c r="K176" s="381"/>
    </row>
    <row r="177" spans="4:11">
      <c r="D177" s="370"/>
    </row>
    <row r="178" spans="4:11">
      <c r="D178" s="370"/>
    </row>
    <row r="179" spans="4:11">
      <c r="D179" s="370"/>
    </row>
    <row r="180" spans="4:11">
      <c r="D180" s="345"/>
      <c r="E180" s="381"/>
      <c r="F180" s="381"/>
      <c r="G180" s="381"/>
      <c r="H180" s="381"/>
      <c r="I180" s="381"/>
    </row>
    <row r="181" spans="4:11">
      <c r="D181" s="345"/>
      <c r="E181" s="381"/>
      <c r="F181" s="381"/>
      <c r="G181" s="381"/>
      <c r="H181" s="381"/>
      <c r="I181" s="381"/>
    </row>
    <row r="182" spans="4:11">
      <c r="D182" s="370"/>
      <c r="E182" s="381"/>
      <c r="F182" s="381"/>
      <c r="G182" s="381"/>
      <c r="H182" s="381"/>
      <c r="I182" s="381"/>
    </row>
    <row r="183" spans="4:11">
      <c r="D183" s="370"/>
      <c r="E183" s="381"/>
      <c r="F183" s="381"/>
      <c r="G183" s="381"/>
      <c r="H183" s="381"/>
      <c r="I183" s="381"/>
    </row>
    <row r="184" spans="4:11">
      <c r="D184" s="370"/>
    </row>
    <row r="185" spans="4:11">
      <c r="D185" s="345"/>
      <c r="E185" s="381"/>
      <c r="F185" s="381"/>
      <c r="G185" s="381"/>
      <c r="H185" s="381"/>
      <c r="I185" s="381"/>
    </row>
    <row r="186" spans="4:11">
      <c r="D186" s="370"/>
      <c r="E186" s="381"/>
      <c r="F186" s="381"/>
      <c r="G186" s="381"/>
      <c r="H186" s="381"/>
      <c r="I186" s="381"/>
    </row>
    <row r="187" spans="4:11">
      <c r="D187" s="370"/>
      <c r="E187" s="381"/>
      <c r="F187" s="381"/>
      <c r="G187" s="381"/>
      <c r="H187" s="381"/>
      <c r="I187" s="381"/>
    </row>
    <row r="188" spans="4:11">
      <c r="D188" s="370"/>
    </row>
    <row r="189" spans="4:11">
      <c r="D189" s="370"/>
    </row>
    <row r="190" spans="4:11">
      <c r="D190" s="370"/>
      <c r="J190" s="381"/>
    </row>
    <row r="191" spans="4:11">
      <c r="D191" s="370"/>
      <c r="J191" s="381"/>
      <c r="K191" s="381"/>
    </row>
    <row r="192" spans="4:11">
      <c r="D192" s="370"/>
      <c r="K192" s="381"/>
    </row>
    <row r="193" spans="4:11">
      <c r="D193" s="370"/>
      <c r="J193" s="381"/>
    </row>
    <row r="194" spans="4:11">
      <c r="D194" s="370"/>
      <c r="J194" s="381"/>
      <c r="K194" s="381"/>
    </row>
    <row r="195" spans="4:11">
      <c r="D195" s="370"/>
      <c r="J195" s="381"/>
      <c r="K195" s="381"/>
    </row>
    <row r="196" spans="4:11">
      <c r="D196" s="370"/>
      <c r="K196" s="381"/>
    </row>
    <row r="197" spans="4:11">
      <c r="D197" s="345"/>
      <c r="E197" s="381"/>
      <c r="F197" s="381"/>
      <c r="G197" s="381"/>
      <c r="H197" s="381"/>
      <c r="I197" s="381"/>
    </row>
    <row r="198" spans="4:11">
      <c r="D198" s="370"/>
      <c r="J198" s="381"/>
    </row>
    <row r="199" spans="4:11">
      <c r="D199" s="370"/>
      <c r="J199" s="381"/>
      <c r="K199" s="381"/>
    </row>
    <row r="200" spans="4:11">
      <c r="D200" s="345"/>
      <c r="E200" s="381"/>
      <c r="F200" s="381"/>
      <c r="G200" s="381"/>
      <c r="H200" s="381"/>
      <c r="I200" s="381"/>
      <c r="K200" s="381"/>
    </row>
    <row r="201" spans="4:11">
      <c r="D201" s="370"/>
    </row>
    <row r="202" spans="4:11">
      <c r="D202" s="345"/>
      <c r="E202" s="381"/>
      <c r="F202" s="381"/>
      <c r="G202" s="381"/>
      <c r="H202" s="381"/>
      <c r="I202" s="381"/>
    </row>
    <row r="203" spans="4:11">
      <c r="D203" s="370"/>
      <c r="E203" s="381"/>
      <c r="F203" s="381"/>
      <c r="G203" s="381"/>
      <c r="H203" s="381"/>
      <c r="I203" s="381"/>
    </row>
    <row r="204" spans="4:11">
      <c r="D204" s="370"/>
    </row>
    <row r="205" spans="4:11">
      <c r="D205" s="370"/>
    </row>
    <row r="206" spans="4:11">
      <c r="D206" s="345"/>
      <c r="E206" s="381"/>
      <c r="F206" s="381"/>
      <c r="G206" s="381"/>
      <c r="H206" s="381"/>
      <c r="I206" s="381"/>
    </row>
    <row r="207" spans="4:11">
      <c r="D207" s="370"/>
      <c r="E207" s="381"/>
      <c r="F207" s="381"/>
      <c r="G207" s="381"/>
      <c r="H207" s="381"/>
      <c r="I207" s="381"/>
    </row>
    <row r="208" spans="4:11">
      <c r="D208" s="370"/>
    </row>
    <row r="209" spans="4:11">
      <c r="D209" s="345"/>
      <c r="E209" s="381"/>
      <c r="F209" s="381"/>
      <c r="G209" s="381"/>
      <c r="H209" s="381"/>
      <c r="I209" s="381"/>
    </row>
    <row r="210" spans="4:11">
      <c r="D210" s="370"/>
      <c r="J210" s="381"/>
    </row>
    <row r="211" spans="4:11">
      <c r="D211" s="370"/>
      <c r="J211" s="381"/>
      <c r="K211" s="381"/>
    </row>
    <row r="212" spans="4:11">
      <c r="D212" s="345"/>
      <c r="E212" s="381"/>
      <c r="F212" s="381"/>
      <c r="G212" s="381"/>
      <c r="H212" s="381"/>
      <c r="I212" s="381"/>
      <c r="K212" s="381"/>
    </row>
    <row r="213" spans="4:11">
      <c r="D213" s="370"/>
    </row>
    <row r="214" spans="4:11">
      <c r="D214" s="370"/>
      <c r="J214" s="381"/>
    </row>
    <row r="215" spans="4:11">
      <c r="D215" s="370"/>
      <c r="J215" s="381"/>
      <c r="K215" s="381"/>
    </row>
    <row r="216" spans="4:11">
      <c r="D216" s="345"/>
      <c r="E216" s="381"/>
      <c r="F216" s="381"/>
      <c r="G216" s="381"/>
      <c r="H216" s="381"/>
      <c r="I216" s="381"/>
      <c r="K216" s="381"/>
    </row>
    <row r="217" spans="4:11">
      <c r="D217" s="370"/>
    </row>
    <row r="218" spans="4:11">
      <c r="D218" s="370"/>
      <c r="E218" s="345"/>
      <c r="F218" s="345"/>
      <c r="G218" s="345"/>
      <c r="H218" s="345"/>
      <c r="I218" s="345"/>
      <c r="J218" s="381"/>
    </row>
    <row r="219" spans="4:11">
      <c r="D219" s="370"/>
      <c r="E219" s="345"/>
      <c r="F219" s="345"/>
      <c r="G219" s="345"/>
      <c r="H219" s="345"/>
      <c r="I219" s="345"/>
      <c r="K219" s="381"/>
    </row>
    <row r="220" spans="4:11">
      <c r="D220" s="370"/>
    </row>
    <row r="221" spans="4:11">
      <c r="D221" s="370"/>
    </row>
    <row r="222" spans="4:11">
      <c r="D222" s="370"/>
    </row>
    <row r="223" spans="4:11">
      <c r="D223" s="345"/>
      <c r="E223" s="381"/>
      <c r="F223" s="381"/>
      <c r="G223" s="381"/>
      <c r="H223" s="381"/>
      <c r="I223" s="381"/>
    </row>
    <row r="224" spans="4:11">
      <c r="D224" s="345"/>
      <c r="E224" s="381"/>
      <c r="F224" s="381"/>
      <c r="G224" s="381"/>
      <c r="H224" s="381"/>
      <c r="I224" s="381"/>
    </row>
    <row r="225" spans="4:11">
      <c r="D225" s="370"/>
      <c r="E225" s="381"/>
      <c r="F225" s="381"/>
      <c r="G225" s="381"/>
      <c r="H225" s="381"/>
      <c r="I225" s="381"/>
    </row>
    <row r="226" spans="4:11">
      <c r="D226" s="370"/>
      <c r="E226" s="381"/>
      <c r="F226" s="381"/>
      <c r="G226" s="381"/>
      <c r="H226" s="381"/>
      <c r="I226" s="381"/>
    </row>
    <row r="227" spans="4:11">
      <c r="D227" s="370"/>
    </row>
    <row r="228" spans="4:11">
      <c r="D228" s="345"/>
      <c r="E228" s="381"/>
      <c r="F228" s="381"/>
      <c r="G228" s="381"/>
      <c r="H228" s="381"/>
      <c r="I228" s="381"/>
    </row>
    <row r="229" spans="4:11">
      <c r="D229" s="370"/>
      <c r="E229" s="381"/>
      <c r="F229" s="381"/>
      <c r="G229" s="381"/>
      <c r="H229" s="381"/>
      <c r="I229" s="381"/>
    </row>
    <row r="230" spans="4:11">
      <c r="D230" s="370"/>
      <c r="E230" s="381"/>
      <c r="F230" s="381"/>
      <c r="G230" s="381"/>
      <c r="H230" s="381"/>
      <c r="I230" s="381"/>
    </row>
    <row r="231" spans="4:11">
      <c r="D231" s="370"/>
    </row>
    <row r="232" spans="4:11">
      <c r="D232" s="370"/>
    </row>
    <row r="233" spans="4:11">
      <c r="D233" s="370"/>
      <c r="J233" s="381"/>
    </row>
    <row r="234" spans="4:11">
      <c r="D234" s="370"/>
      <c r="J234" s="381"/>
      <c r="K234" s="381"/>
    </row>
    <row r="235" spans="4:11">
      <c r="D235" s="370"/>
      <c r="K235" s="381"/>
    </row>
    <row r="236" spans="4:11">
      <c r="D236" s="370"/>
      <c r="J236" s="381"/>
    </row>
    <row r="237" spans="4:11">
      <c r="D237" s="370"/>
      <c r="J237" s="381"/>
      <c r="K237" s="381"/>
    </row>
    <row r="238" spans="4:11">
      <c r="D238" s="370"/>
      <c r="J238" s="381"/>
      <c r="K238" s="381"/>
    </row>
    <row r="239" spans="4:11">
      <c r="D239" s="370"/>
      <c r="K239" s="381"/>
    </row>
    <row r="240" spans="4:11">
      <c r="D240" s="345"/>
      <c r="E240" s="381"/>
      <c r="F240" s="381"/>
      <c r="G240" s="381"/>
      <c r="H240" s="381"/>
      <c r="I240" s="381"/>
    </row>
    <row r="241" spans="4:11">
      <c r="D241" s="370"/>
      <c r="J241" s="381"/>
    </row>
    <row r="242" spans="4:11">
      <c r="D242" s="370"/>
      <c r="J242" s="381"/>
      <c r="K242" s="381"/>
    </row>
    <row r="243" spans="4:11">
      <c r="D243" s="345"/>
      <c r="E243" s="381"/>
      <c r="F243" s="381"/>
      <c r="G243" s="381"/>
      <c r="H243" s="381"/>
      <c r="I243" s="381"/>
      <c r="K243" s="381"/>
    </row>
    <row r="244" spans="4:11">
      <c r="D244" s="370"/>
    </row>
    <row r="245" spans="4:11">
      <c r="D245" s="345"/>
      <c r="E245" s="381"/>
      <c r="F245" s="381"/>
      <c r="G245" s="381"/>
      <c r="H245" s="381"/>
      <c r="I245" s="381"/>
    </row>
    <row r="246" spans="4:11">
      <c r="D246" s="370"/>
      <c r="E246" s="381"/>
      <c r="F246" s="381"/>
      <c r="G246" s="381"/>
      <c r="H246" s="381"/>
      <c r="I246" s="381"/>
    </row>
    <row r="247" spans="4:11">
      <c r="D247" s="370"/>
    </row>
    <row r="248" spans="4:11">
      <c r="D248" s="370"/>
    </row>
    <row r="249" spans="4:11">
      <c r="D249" s="345"/>
      <c r="E249" s="381"/>
      <c r="F249" s="381"/>
      <c r="G249" s="381"/>
      <c r="H249" s="381"/>
      <c r="I249" s="381"/>
    </row>
    <row r="250" spans="4:11">
      <c r="D250" s="370"/>
      <c r="E250" s="381"/>
      <c r="F250" s="381"/>
      <c r="G250" s="381"/>
      <c r="H250" s="381"/>
      <c r="I250" s="381"/>
    </row>
    <row r="251" spans="4:11">
      <c r="D251" s="370"/>
    </row>
    <row r="252" spans="4:11">
      <c r="D252" s="345"/>
      <c r="E252" s="381"/>
      <c r="F252" s="381"/>
      <c r="G252" s="381"/>
      <c r="H252" s="381"/>
      <c r="I252" s="381"/>
    </row>
    <row r="253" spans="4:11">
      <c r="D253" s="370"/>
      <c r="J253" s="381"/>
    </row>
    <row r="254" spans="4:11">
      <c r="D254" s="370"/>
      <c r="J254" s="381"/>
      <c r="K254" s="381"/>
    </row>
    <row r="255" spans="4:11">
      <c r="D255" s="345"/>
      <c r="E255" s="381"/>
      <c r="F255" s="381"/>
      <c r="G255" s="381"/>
      <c r="H255" s="381"/>
      <c r="I255" s="381"/>
      <c r="K255" s="381"/>
    </row>
    <row r="256" spans="4:11">
      <c r="D256" s="370"/>
    </row>
    <row r="257" spans="4:11">
      <c r="D257" s="370"/>
      <c r="J257" s="381"/>
    </row>
    <row r="258" spans="4:11">
      <c r="D258" s="370"/>
      <c r="J258" s="381"/>
      <c r="K258" s="381"/>
    </row>
    <row r="259" spans="4:11">
      <c r="D259" s="345"/>
      <c r="E259" s="381"/>
      <c r="F259" s="381"/>
      <c r="G259" s="381"/>
      <c r="H259" s="381"/>
      <c r="I259" s="381"/>
      <c r="K259" s="381"/>
    </row>
    <row r="260" spans="4:11">
      <c r="D260" s="370"/>
    </row>
    <row r="261" spans="4:11">
      <c r="D261" s="370"/>
      <c r="E261" s="345"/>
      <c r="F261" s="345"/>
      <c r="G261" s="345"/>
      <c r="H261" s="345"/>
      <c r="I261" s="345"/>
      <c r="J261" s="381"/>
    </row>
    <row r="262" spans="4:11">
      <c r="D262" s="370"/>
      <c r="E262" s="345"/>
      <c r="F262" s="345"/>
      <c r="G262" s="345"/>
      <c r="H262" s="345"/>
      <c r="I262" s="345"/>
      <c r="K262" s="381"/>
    </row>
    <row r="263" spans="4:11">
      <c r="D263" s="370"/>
    </row>
    <row r="264" spans="4:11">
      <c r="D264" s="370"/>
    </row>
    <row r="265" spans="4:11">
      <c r="D265" s="370"/>
    </row>
    <row r="266" spans="4:11">
      <c r="D266" s="370"/>
    </row>
    <row r="267" spans="4:11">
      <c r="D267" s="370"/>
    </row>
    <row r="268" spans="4:11">
      <c r="D268" s="370"/>
    </row>
    <row r="269" spans="4:11">
      <c r="D269" s="370"/>
    </row>
    <row r="270" spans="4:11">
      <c r="D270" s="370"/>
    </row>
    <row r="271" spans="4:11">
      <c r="D271" s="370"/>
    </row>
    <row r="272" spans="4:11">
      <c r="D272" s="370"/>
    </row>
    <row r="273" spans="4:4">
      <c r="D273" s="370"/>
    </row>
    <row r="274" spans="4:4">
      <c r="D274" s="370"/>
    </row>
    <row r="275" spans="4:4">
      <c r="D275" s="370"/>
    </row>
    <row r="276" spans="4:4">
      <c r="D276" s="370"/>
    </row>
    <row r="277" spans="4:4">
      <c r="D277" s="370"/>
    </row>
    <row r="278" spans="4:4">
      <c r="D278" s="370"/>
    </row>
    <row r="279" spans="4:4">
      <c r="D279" s="370"/>
    </row>
    <row r="280" spans="4:4">
      <c r="D280" s="370"/>
    </row>
    <row r="281" spans="4:4">
      <c r="D281" s="370"/>
    </row>
    <row r="282" spans="4:4">
      <c r="D282" s="370"/>
    </row>
    <row r="283" spans="4:4">
      <c r="D283" s="370"/>
    </row>
    <row r="284" spans="4:4">
      <c r="D284" s="370"/>
    </row>
    <row r="285" spans="4:4">
      <c r="D285" s="370"/>
    </row>
    <row r="286" spans="4:4">
      <c r="D286" s="370"/>
    </row>
    <row r="287" spans="4:4">
      <c r="D287" s="370"/>
    </row>
    <row r="288" spans="4:4">
      <c r="D288" s="370"/>
    </row>
    <row r="289" spans="4:4">
      <c r="D289" s="370"/>
    </row>
    <row r="290" spans="4:4">
      <c r="D290" s="370"/>
    </row>
    <row r="291" spans="4:4">
      <c r="D291" s="370"/>
    </row>
    <row r="292" spans="4:4">
      <c r="D292" s="370"/>
    </row>
    <row r="293" spans="4:4">
      <c r="D293" s="370"/>
    </row>
    <row r="294" spans="4:4">
      <c r="D294" s="370"/>
    </row>
    <row r="295" spans="4:4">
      <c r="D295" s="370"/>
    </row>
    <row r="296" spans="4:4">
      <c r="D296" s="370"/>
    </row>
    <row r="297" spans="4:4">
      <c r="D297" s="370"/>
    </row>
    <row r="298" spans="4:4">
      <c r="D298" s="370"/>
    </row>
    <row r="299" spans="4:4">
      <c r="D299" s="370"/>
    </row>
    <row r="300" spans="4:4">
      <c r="D300" s="370"/>
    </row>
    <row r="301" spans="4:4">
      <c r="D301" s="370"/>
    </row>
    <row r="302" spans="4:4">
      <c r="D302" s="370"/>
    </row>
    <row r="303" spans="4:4">
      <c r="D303" s="370"/>
    </row>
    <row r="304" spans="4:4">
      <c r="D304" s="370"/>
    </row>
    <row r="305" spans="4:4">
      <c r="D305" s="370"/>
    </row>
    <row r="306" spans="4:4">
      <c r="D306" s="370"/>
    </row>
    <row r="307" spans="4:4">
      <c r="D307" s="370"/>
    </row>
    <row r="308" spans="4:4">
      <c r="D308" s="370"/>
    </row>
    <row r="309" spans="4:4">
      <c r="D309" s="370"/>
    </row>
    <row r="310" spans="4:4">
      <c r="D310" s="370"/>
    </row>
    <row r="311" spans="4:4">
      <c r="D311" s="370"/>
    </row>
    <row r="312" spans="4:4">
      <c r="D312" s="370"/>
    </row>
    <row r="313" spans="4:4">
      <c r="D313" s="370"/>
    </row>
    <row r="314" spans="4:4">
      <c r="D314" s="370"/>
    </row>
    <row r="315" spans="4:4">
      <c r="D315" s="370"/>
    </row>
    <row r="316" spans="4:4">
      <c r="D316" s="370"/>
    </row>
    <row r="317" spans="4:4">
      <c r="D317" s="370"/>
    </row>
    <row r="318" spans="4:4">
      <c r="D318" s="370"/>
    </row>
    <row r="319" spans="4:4">
      <c r="D319" s="370"/>
    </row>
    <row r="320" spans="4:4">
      <c r="D320" s="370"/>
    </row>
    <row r="321" spans="4:4">
      <c r="D321" s="370"/>
    </row>
    <row r="322" spans="4:4">
      <c r="D322" s="370"/>
    </row>
    <row r="323" spans="4:4">
      <c r="D323" s="370"/>
    </row>
    <row r="324" spans="4:4">
      <c r="D324" s="370"/>
    </row>
    <row r="325" spans="4:4">
      <c r="D325" s="370"/>
    </row>
    <row r="326" spans="4:4">
      <c r="D326" s="370"/>
    </row>
    <row r="327" spans="4:4">
      <c r="D327" s="370"/>
    </row>
    <row r="328" spans="4:4">
      <c r="D328" s="370"/>
    </row>
    <row r="329" spans="4:4">
      <c r="D329" s="370"/>
    </row>
    <row r="330" spans="4:4">
      <c r="D330" s="370"/>
    </row>
    <row r="331" spans="4:4">
      <c r="D331" s="370"/>
    </row>
    <row r="332" spans="4:4">
      <c r="D332" s="370"/>
    </row>
    <row r="333" spans="4:4">
      <c r="D333" s="370"/>
    </row>
    <row r="334" spans="4:4">
      <c r="D334" s="370"/>
    </row>
    <row r="335" spans="4:4">
      <c r="D335" s="370"/>
    </row>
    <row r="336" spans="4:4">
      <c r="D336" s="370"/>
    </row>
    <row r="337" spans="4:4">
      <c r="D337" s="370"/>
    </row>
    <row r="338" spans="4:4">
      <c r="D338" s="370"/>
    </row>
    <row r="339" spans="4:4">
      <c r="D339" s="370"/>
    </row>
    <row r="340" spans="4:4">
      <c r="D340" s="370"/>
    </row>
    <row r="341" spans="4:4">
      <c r="D341" s="370"/>
    </row>
    <row r="342" spans="4:4">
      <c r="D342" s="370"/>
    </row>
    <row r="343" spans="4:4">
      <c r="D343" s="370"/>
    </row>
    <row r="344" spans="4:4">
      <c r="D344" s="370"/>
    </row>
    <row r="345" spans="4:4">
      <c r="D345" s="370"/>
    </row>
    <row r="346" spans="4:4">
      <c r="D346" s="370"/>
    </row>
    <row r="347" spans="4:4">
      <c r="D347" s="370"/>
    </row>
    <row r="348" spans="4:4">
      <c r="D348" s="370"/>
    </row>
    <row r="349" spans="4:4">
      <c r="D349" s="370"/>
    </row>
    <row r="350" spans="4:4">
      <c r="D350" s="370"/>
    </row>
    <row r="351" spans="4:4">
      <c r="D351" s="370"/>
    </row>
    <row r="352" spans="4:4">
      <c r="D352" s="370"/>
    </row>
    <row r="353" spans="4:4">
      <c r="D353" s="370"/>
    </row>
    <row r="354" spans="4:4">
      <c r="D354" s="370"/>
    </row>
    <row r="355" spans="4:4">
      <c r="D355" s="370"/>
    </row>
    <row r="356" spans="4:4">
      <c r="D356" s="370"/>
    </row>
    <row r="357" spans="4:4">
      <c r="D357" s="370"/>
    </row>
    <row r="358" spans="4:4">
      <c r="D358" s="370"/>
    </row>
    <row r="359" spans="4:4">
      <c r="D359" s="370"/>
    </row>
    <row r="360" spans="4:4">
      <c r="D360" s="370"/>
    </row>
    <row r="361" spans="4:4">
      <c r="D361" s="370"/>
    </row>
    <row r="362" spans="4:4">
      <c r="D362" s="370"/>
    </row>
    <row r="363" spans="4:4">
      <c r="D363" s="370"/>
    </row>
    <row r="364" spans="4:4">
      <c r="D364" s="370"/>
    </row>
    <row r="365" spans="4:4">
      <c r="D365" s="370"/>
    </row>
    <row r="366" spans="4:4">
      <c r="D366" s="370"/>
    </row>
    <row r="367" spans="4:4">
      <c r="D367" s="370"/>
    </row>
    <row r="368" spans="4:4">
      <c r="D368" s="370"/>
    </row>
    <row r="369" spans="4:4">
      <c r="D369" s="370"/>
    </row>
    <row r="370" spans="4:4">
      <c r="D370" s="370"/>
    </row>
    <row r="371" spans="4:4">
      <c r="D371" s="370"/>
    </row>
    <row r="372" spans="4:4">
      <c r="D372" s="370"/>
    </row>
    <row r="373" spans="4:4">
      <c r="D373" s="370"/>
    </row>
    <row r="374" spans="4:4">
      <c r="D374" s="370"/>
    </row>
    <row r="375" spans="4:4">
      <c r="D375" s="370"/>
    </row>
    <row r="376" spans="4:4">
      <c r="D376" s="370"/>
    </row>
    <row r="377" spans="4:4">
      <c r="D377" s="370"/>
    </row>
    <row r="378" spans="4:4">
      <c r="D378" s="370"/>
    </row>
    <row r="379" spans="4:4">
      <c r="D379" s="370"/>
    </row>
    <row r="380" spans="4:4">
      <c r="D380" s="370"/>
    </row>
    <row r="381" spans="4:4">
      <c r="D381" s="370"/>
    </row>
    <row r="382" spans="4:4">
      <c r="D382" s="370"/>
    </row>
    <row r="383" spans="4:4">
      <c r="D383" s="370"/>
    </row>
    <row r="384" spans="4:4">
      <c r="D384" s="370"/>
    </row>
    <row r="385" spans="4:4">
      <c r="D385" s="370"/>
    </row>
    <row r="386" spans="4:4">
      <c r="D386" s="370"/>
    </row>
    <row r="387" spans="4:4">
      <c r="D387" s="370"/>
    </row>
    <row r="388" spans="4:4">
      <c r="D388" s="370"/>
    </row>
    <row r="389" spans="4:4">
      <c r="D389" s="370"/>
    </row>
    <row r="390" spans="4:4">
      <c r="D390" s="370"/>
    </row>
    <row r="391" spans="4:4">
      <c r="D391" s="370"/>
    </row>
    <row r="392" spans="4:4">
      <c r="D392" s="370"/>
    </row>
    <row r="393" spans="4:4">
      <c r="D393" s="370"/>
    </row>
    <row r="394" spans="4:4">
      <c r="D394" s="370"/>
    </row>
    <row r="395" spans="4:4">
      <c r="D395" s="370"/>
    </row>
    <row r="396" spans="4:4">
      <c r="D396" s="370"/>
    </row>
    <row r="397" spans="4:4">
      <c r="D397" s="370"/>
    </row>
    <row r="398" spans="4:4">
      <c r="D398" s="370"/>
    </row>
    <row r="399" spans="4:4">
      <c r="D399" s="370"/>
    </row>
    <row r="400" spans="4:4">
      <c r="D400" s="370"/>
    </row>
    <row r="401" spans="4:4">
      <c r="D401" s="370"/>
    </row>
    <row r="402" spans="4:4">
      <c r="D402" s="370"/>
    </row>
    <row r="403" spans="4:4">
      <c r="D403" s="370"/>
    </row>
    <row r="404" spans="4:4">
      <c r="D404" s="370"/>
    </row>
    <row r="405" spans="4:4">
      <c r="D405" s="370"/>
    </row>
    <row r="406" spans="4:4">
      <c r="D406" s="370"/>
    </row>
    <row r="407" spans="4:4">
      <c r="D407" s="370"/>
    </row>
    <row r="408" spans="4:4">
      <c r="D408" s="370"/>
    </row>
    <row r="409" spans="4:4">
      <c r="D409" s="370"/>
    </row>
    <row r="410" spans="4:4">
      <c r="D410" s="370"/>
    </row>
    <row r="411" spans="4:4">
      <c r="D411" s="370"/>
    </row>
    <row r="412" spans="4:4">
      <c r="D412" s="370"/>
    </row>
    <row r="413" spans="4:4">
      <c r="D413" s="370"/>
    </row>
    <row r="414" spans="4:4">
      <c r="D414" s="370"/>
    </row>
    <row r="415" spans="4:4">
      <c r="D415" s="370"/>
    </row>
    <row r="416" spans="4:4">
      <c r="D416" s="370"/>
    </row>
    <row r="417" spans="4:4">
      <c r="D417" s="370"/>
    </row>
    <row r="418" spans="4:4">
      <c r="D418" s="370"/>
    </row>
    <row r="419" spans="4:4">
      <c r="D419" s="370"/>
    </row>
    <row r="420" spans="4:4">
      <c r="D420" s="370"/>
    </row>
    <row r="421" spans="4:4">
      <c r="D421" s="370"/>
    </row>
    <row r="422" spans="4:4">
      <c r="D422" s="370"/>
    </row>
    <row r="423" spans="4:4">
      <c r="D423" s="370"/>
    </row>
    <row r="424" spans="4:4">
      <c r="D424" s="370"/>
    </row>
    <row r="425" spans="4:4">
      <c r="D425" s="370"/>
    </row>
    <row r="426" spans="4:4">
      <c r="D426" s="370"/>
    </row>
    <row r="427" spans="4:4">
      <c r="D427" s="370"/>
    </row>
    <row r="428" spans="4:4">
      <c r="D428" s="370"/>
    </row>
    <row r="429" spans="4:4">
      <c r="D429" s="370"/>
    </row>
    <row r="430" spans="4:4">
      <c r="D430" s="370"/>
    </row>
    <row r="431" spans="4:4">
      <c r="D431" s="370"/>
    </row>
    <row r="432" spans="4:4">
      <c r="D432" s="370"/>
    </row>
    <row r="433" spans="4:4">
      <c r="D433" s="370"/>
    </row>
    <row r="434" spans="4:4">
      <c r="D434" s="370"/>
    </row>
    <row r="435" spans="4:4">
      <c r="D435" s="370"/>
    </row>
    <row r="436" spans="4:4">
      <c r="D436" s="370"/>
    </row>
    <row r="437" spans="4:4">
      <c r="D437" s="370"/>
    </row>
    <row r="438" spans="4:4">
      <c r="D438" s="370"/>
    </row>
    <row r="439" spans="4:4">
      <c r="D439" s="370"/>
    </row>
    <row r="440" spans="4:4">
      <c r="D440" s="370"/>
    </row>
    <row r="441" spans="4:4">
      <c r="D441" s="370"/>
    </row>
    <row r="442" spans="4:4">
      <c r="D442" s="370"/>
    </row>
    <row r="443" spans="4:4">
      <c r="D443" s="370"/>
    </row>
    <row r="444" spans="4:4">
      <c r="D444" s="370"/>
    </row>
    <row r="445" spans="4:4">
      <c r="D445" s="370"/>
    </row>
    <row r="446" spans="4:4">
      <c r="D446" s="370"/>
    </row>
    <row r="447" spans="4:4">
      <c r="D447" s="370"/>
    </row>
    <row r="448" spans="4:4">
      <c r="D448" s="370"/>
    </row>
    <row r="449" spans="4:4">
      <c r="D449" s="370"/>
    </row>
    <row r="450" spans="4:4">
      <c r="D450" s="370"/>
    </row>
    <row r="451" spans="4:4">
      <c r="D451" s="370"/>
    </row>
  </sheetData>
  <phoneticPr fontId="26" type="noConversion"/>
  <pageMargins left="0.75" right="0.75" top="1" bottom="1" header="0.5" footer="0.5"/>
  <pageSetup scale="47" orientation="landscape" r:id="rId1"/>
  <headerFooter alignWithMargins="0"/>
  <drawing r:id="rId2"/>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500-000000000000}">
  <sheetPr codeName="Sheet39">
    <pageSetUpPr fitToPage="1"/>
  </sheetPr>
  <dimension ref="A1:AA462"/>
  <sheetViews>
    <sheetView showGridLines="0" zoomScale="80" zoomScaleNormal="80" workbookViewId="0"/>
  </sheetViews>
  <sheetFormatPr defaultColWidth="9.109375" defaultRowHeight="12"/>
  <cols>
    <col min="1" max="1" width="2.33203125" style="367" customWidth="1"/>
    <col min="2" max="6" width="10" style="367" customWidth="1"/>
    <col min="7" max="7" width="2.33203125" style="367" customWidth="1"/>
    <col min="8" max="8" width="10" style="367" customWidth="1"/>
    <col min="9" max="9" width="2.109375" style="367" customWidth="1"/>
    <col min="10" max="10" width="10" style="367" customWidth="1"/>
    <col min="11" max="11" width="2.109375" style="367" customWidth="1"/>
    <col min="12" max="12" width="10" style="367" customWidth="1"/>
    <col min="13" max="13" width="2.109375" style="367" customWidth="1"/>
    <col min="14" max="14" width="10" style="367" customWidth="1"/>
    <col min="15" max="15" width="2.109375" style="367" customWidth="1"/>
    <col min="16" max="16" width="10" style="367" customWidth="1"/>
    <col min="17" max="17" width="2.109375" style="367" customWidth="1"/>
    <col min="18" max="18" width="10" style="367" customWidth="1"/>
    <col min="19" max="19" width="2.109375" style="367" customWidth="1"/>
    <col min="20" max="20" width="9.88671875" style="367" customWidth="1"/>
    <col min="21" max="21" width="2.109375" style="367" customWidth="1"/>
    <col min="22" max="22" width="10" style="367" customWidth="1"/>
    <col min="23" max="23" width="2.109375" style="367" customWidth="1"/>
    <col min="24" max="26" width="10" style="367" customWidth="1"/>
    <col min="27" max="16384" width="9.109375" style="367"/>
  </cols>
  <sheetData>
    <row r="1" spans="2:27" s="472" customFormat="1">
      <c r="E1" s="150"/>
    </row>
    <row r="2" spans="2:27" s="472" customFormat="1">
      <c r="E2" s="150"/>
    </row>
    <row r="3" spans="2:27" s="472" customFormat="1"/>
    <row r="4" spans="2:27" s="477" customFormat="1" ht="21">
      <c r="B4" s="129" t="s">
        <v>1459</v>
      </c>
      <c r="C4" s="129"/>
    </row>
    <row r="5" spans="2:27" s="472" customFormat="1">
      <c r="D5" s="132"/>
      <c r="E5" s="132"/>
      <c r="F5" s="132"/>
      <c r="G5" s="132"/>
      <c r="H5" s="132"/>
      <c r="I5" s="132"/>
      <c r="L5" s="473"/>
      <c r="M5" s="473"/>
      <c r="N5" s="473"/>
      <c r="O5" s="473"/>
      <c r="P5" s="473"/>
      <c r="Q5" s="473"/>
      <c r="R5" s="473"/>
      <c r="S5" s="473"/>
      <c r="T5" s="473"/>
      <c r="U5" s="473"/>
      <c r="V5" s="473"/>
      <c r="W5" s="473"/>
      <c r="X5" s="473"/>
    </row>
    <row r="6" spans="2:27">
      <c r="B6" s="456"/>
      <c r="C6" s="456"/>
      <c r="D6" s="456"/>
      <c r="E6" s="456"/>
      <c r="F6" s="456"/>
      <c r="G6" s="456"/>
      <c r="H6" s="456"/>
      <c r="I6" s="456"/>
      <c r="L6" s="440"/>
      <c r="M6" s="440"/>
      <c r="N6" s="440"/>
      <c r="O6" s="440"/>
      <c r="P6" s="440"/>
      <c r="Q6" s="440"/>
      <c r="R6" s="440"/>
      <c r="S6" s="440"/>
      <c r="T6" s="440"/>
      <c r="U6" s="440"/>
      <c r="V6" s="440"/>
      <c r="W6" s="440"/>
      <c r="X6" s="440"/>
    </row>
    <row r="7" spans="2:27" ht="12.6" thickBot="1">
      <c r="B7" s="306" t="s">
        <v>551</v>
      </c>
      <c r="C7" s="306"/>
      <c r="D7" s="368"/>
      <c r="E7" s="457"/>
      <c r="F7" s="457"/>
      <c r="G7" s="457"/>
      <c r="H7" s="457"/>
      <c r="I7" s="457"/>
      <c r="J7" s="368"/>
      <c r="K7" s="368"/>
      <c r="L7" s="368"/>
      <c r="M7" s="368"/>
      <c r="N7" s="368"/>
      <c r="O7" s="368"/>
      <c r="P7" s="368"/>
      <c r="Q7" s="368"/>
      <c r="R7" s="368"/>
      <c r="S7" s="368"/>
      <c r="T7" s="368"/>
      <c r="U7" s="368"/>
      <c r="V7" s="368"/>
      <c r="W7" s="368"/>
      <c r="X7" s="368"/>
    </row>
    <row r="8" spans="2:27" ht="12.6" thickTop="1">
      <c r="B8" s="345"/>
      <c r="C8" s="345"/>
      <c r="E8" s="345"/>
      <c r="F8" s="345"/>
      <c r="G8" s="345"/>
      <c r="H8" s="345"/>
      <c r="I8" s="345"/>
    </row>
    <row r="9" spans="2:27">
      <c r="D9" s="345"/>
      <c r="E9" s="382" t="s">
        <v>81</v>
      </c>
      <c r="F9" s="458" t="s">
        <v>82</v>
      </c>
      <c r="G9" s="458"/>
      <c r="H9" s="458" t="s">
        <v>83</v>
      </c>
      <c r="I9" s="458"/>
      <c r="J9" s="458" t="s">
        <v>84</v>
      </c>
      <c r="K9" s="458"/>
      <c r="L9" s="458" t="s">
        <v>85</v>
      </c>
      <c r="M9" s="458"/>
      <c r="N9" s="458" t="s">
        <v>128</v>
      </c>
      <c r="O9" s="458"/>
      <c r="P9" s="458" t="s">
        <v>129</v>
      </c>
      <c r="Q9" s="458"/>
      <c r="R9" s="458" t="s">
        <v>552</v>
      </c>
      <c r="S9" s="458"/>
      <c r="T9" s="458" t="s">
        <v>130</v>
      </c>
      <c r="U9" s="458"/>
      <c r="V9" s="458" t="s">
        <v>131</v>
      </c>
      <c r="W9" s="458"/>
      <c r="X9" s="458" t="s">
        <v>121</v>
      </c>
      <c r="Y9" s="458"/>
      <c r="Z9" s="458"/>
      <c r="AA9" s="458"/>
    </row>
    <row r="10" spans="2:27">
      <c r="D10" s="345"/>
      <c r="E10" s="382"/>
      <c r="F10" s="458"/>
      <c r="G10" s="458"/>
      <c r="H10" s="458"/>
      <c r="I10" s="458"/>
      <c r="J10" s="458"/>
      <c r="K10" s="458"/>
      <c r="L10" s="458"/>
      <c r="M10" s="458"/>
      <c r="N10" s="458"/>
      <c r="O10" s="458"/>
      <c r="P10" s="458"/>
      <c r="Q10" s="458"/>
      <c r="R10" s="458"/>
      <c r="S10" s="458"/>
      <c r="T10" s="458"/>
      <c r="U10" s="458"/>
      <c r="V10" s="458"/>
      <c r="W10" s="458"/>
      <c r="X10" s="458"/>
    </row>
    <row r="11" spans="2:27">
      <c r="B11" s="370" t="s">
        <v>449</v>
      </c>
      <c r="C11" s="370"/>
      <c r="E11" s="367" t="str">
        <f>"DCF, "&amp;TEXT(H11,"0.0")&amp;"x 21E OpFCF"</f>
        <v>DCF, 6.9x 21E OpFCF</v>
      </c>
      <c r="F11" s="484">
        <v>10067.333229133012</v>
      </c>
      <c r="G11" s="178" t="s">
        <v>134</v>
      </c>
      <c r="H11" s="487">
        <v>6.8697017455442593</v>
      </c>
      <c r="I11" s="178" t="s">
        <v>135</v>
      </c>
      <c r="J11" s="216">
        <f>F11*H11</f>
        <v>69159.57665715077</v>
      </c>
      <c r="K11" s="178" t="s">
        <v>136</v>
      </c>
      <c r="L11" s="484"/>
      <c r="M11" s="178" t="s">
        <v>135</v>
      </c>
      <c r="N11" s="216">
        <f>J11-L11</f>
        <v>69159.57665715077</v>
      </c>
      <c r="O11" s="178" t="s">
        <v>134</v>
      </c>
      <c r="P11" s="490">
        <v>1</v>
      </c>
      <c r="Q11" s="393" t="s">
        <v>135</v>
      </c>
      <c r="R11" s="216">
        <f>P11*N11</f>
        <v>69159.57665715077</v>
      </c>
      <c r="S11" s="216"/>
      <c r="T11" s="216">
        <f>N11-R11</f>
        <v>0</v>
      </c>
      <c r="U11" s="216"/>
      <c r="V11" s="394">
        <f>N11/$J$45</f>
        <v>0.45953516848907228</v>
      </c>
      <c r="W11" s="370"/>
      <c r="X11" s="373">
        <f>$J$49*V11</f>
        <v>13.869476648088508</v>
      </c>
    </row>
    <row r="12" spans="2:27">
      <c r="B12" s="370"/>
      <c r="C12" s="370"/>
      <c r="F12" s="216"/>
      <c r="G12" s="178"/>
      <c r="H12" s="373"/>
      <c r="I12" s="178"/>
      <c r="J12" s="216"/>
      <c r="K12" s="178"/>
      <c r="L12" s="216"/>
      <c r="M12" s="178"/>
      <c r="N12" s="216"/>
      <c r="O12" s="178"/>
      <c r="P12" s="215"/>
      <c r="Q12" s="393"/>
      <c r="R12" s="216"/>
      <c r="S12" s="216"/>
      <c r="T12" s="216"/>
      <c r="U12" s="216"/>
      <c r="V12" s="450"/>
      <c r="W12" s="370"/>
      <c r="X12" s="373"/>
    </row>
    <row r="13" spans="2:27">
      <c r="B13" s="370" t="s">
        <v>459</v>
      </c>
      <c r="C13" s="370"/>
      <c r="E13" s="367" t="s">
        <v>1145</v>
      </c>
      <c r="F13" s="484">
        <v>440</v>
      </c>
      <c r="G13" s="178" t="s">
        <v>134</v>
      </c>
      <c r="H13" s="488">
        <v>24</v>
      </c>
      <c r="I13" s="178" t="s">
        <v>135</v>
      </c>
      <c r="J13" s="216">
        <f>F13*H13+L13</f>
        <v>11028.5</v>
      </c>
      <c r="K13" s="178" t="s">
        <v>136</v>
      </c>
      <c r="L13" s="484">
        <v>468.50000000000006</v>
      </c>
      <c r="M13" s="178" t="s">
        <v>135</v>
      </c>
      <c r="N13" s="216">
        <f>J13-L13</f>
        <v>10560</v>
      </c>
      <c r="O13" s="178" t="s">
        <v>134</v>
      </c>
      <c r="P13" s="490">
        <v>0.5</v>
      </c>
      <c r="Q13" s="393" t="s">
        <v>135</v>
      </c>
      <c r="R13" s="216">
        <f>P13*N13</f>
        <v>5280</v>
      </c>
      <c r="S13" s="216"/>
      <c r="T13" s="216">
        <f t="shared" ref="T13:T20" si="0">N13-R13</f>
        <v>5280</v>
      </c>
      <c r="U13" s="216"/>
      <c r="V13" s="394">
        <f t="shared" ref="V13:V20" si="1">N13/$J$45</f>
        <v>7.0166585942264562E-2</v>
      </c>
      <c r="W13" s="370"/>
      <c r="X13" s="373">
        <f t="shared" ref="X13:X20" si="2">$J$49*V13</f>
        <v>2.1177352506056906</v>
      </c>
    </row>
    <row r="14" spans="2:27">
      <c r="B14" s="370" t="s">
        <v>453</v>
      </c>
      <c r="C14" s="370"/>
      <c r="E14" s="367" t="str">
        <f t="shared" ref="E14:E20" si="3">"DCF, "&amp;TEXT(H14,"0.0")&amp;"x 21E OpFCF"</f>
        <v>DCF, 20.1x 21E OpFCF</v>
      </c>
      <c r="F14" s="484">
        <v>194.06850394224881</v>
      </c>
      <c r="G14" s="178" t="s">
        <v>134</v>
      </c>
      <c r="H14" s="487">
        <v>20.082952261702907</v>
      </c>
      <c r="I14" s="178" t="s">
        <v>135</v>
      </c>
      <c r="J14" s="216">
        <f t="shared" ref="J14:J19" si="4">F14*H14</f>
        <v>3897.4685001722851</v>
      </c>
      <c r="K14" s="178" t="s">
        <v>136</v>
      </c>
      <c r="L14" s="484">
        <v>254.33805760779023</v>
      </c>
      <c r="M14" s="178" t="s">
        <v>135</v>
      </c>
      <c r="N14" s="216">
        <f>J14-L14</f>
        <v>3643.1304425644948</v>
      </c>
      <c r="O14" s="178" t="s">
        <v>134</v>
      </c>
      <c r="P14" s="490">
        <v>0.59299999999999997</v>
      </c>
      <c r="Q14" s="393" t="s">
        <v>135</v>
      </c>
      <c r="R14" s="216">
        <f>P14*N14</f>
        <v>2160.3763524407454</v>
      </c>
      <c r="S14" s="216"/>
      <c r="T14" s="216">
        <f t="shared" si="0"/>
        <v>1482.7540901237494</v>
      </c>
      <c r="U14" s="216"/>
      <c r="V14" s="394">
        <f t="shared" si="1"/>
        <v>2.4207009971314579E-2</v>
      </c>
      <c r="W14" s="370"/>
      <c r="X14" s="373">
        <f t="shared" si="2"/>
        <v>0.7306047121944641</v>
      </c>
    </row>
    <row r="15" spans="2:27">
      <c r="B15" s="370" t="s">
        <v>226</v>
      </c>
      <c r="E15" s="367" t="str">
        <f t="shared" si="3"/>
        <v>DCF, 15.5x 21E OpFCF</v>
      </c>
      <c r="F15" s="484">
        <v>98.913113379359743</v>
      </c>
      <c r="G15" s="178" t="s">
        <v>134</v>
      </c>
      <c r="H15" s="487">
        <v>15.488874758921598</v>
      </c>
      <c r="I15" s="178" t="s">
        <v>135</v>
      </c>
      <c r="J15" s="216">
        <f t="shared" si="4"/>
        <v>1532.0528251479154</v>
      </c>
      <c r="K15" s="178" t="s">
        <v>136</v>
      </c>
      <c r="L15" s="484"/>
      <c r="M15" s="178" t="s">
        <v>135</v>
      </c>
      <c r="N15" s="216">
        <f>J15-L15</f>
        <v>1532.0528251479154</v>
      </c>
      <c r="O15" s="178" t="s">
        <v>134</v>
      </c>
      <c r="P15" s="490">
        <v>1</v>
      </c>
      <c r="Q15" s="393" t="s">
        <v>135</v>
      </c>
      <c r="R15" s="216">
        <f>P15*N15</f>
        <v>1532.0528251479154</v>
      </c>
      <c r="S15" s="216"/>
      <c r="T15" s="216">
        <f t="shared" si="0"/>
        <v>0</v>
      </c>
      <c r="U15" s="216"/>
      <c r="V15" s="394">
        <f t="shared" si="1"/>
        <v>1.0179821612105153E-2</v>
      </c>
      <c r="W15" s="370"/>
      <c r="X15" s="373">
        <f t="shared" si="2"/>
        <v>0.30724263954600156</v>
      </c>
    </row>
    <row r="16" spans="2:27">
      <c r="B16" s="370" t="s">
        <v>539</v>
      </c>
      <c r="E16" s="367" t="str">
        <f t="shared" si="3"/>
        <v>DCF, 13.5x 21E OpFCF</v>
      </c>
      <c r="F16" s="484">
        <v>336.1638227107847</v>
      </c>
      <c r="G16" s="178" t="s">
        <v>134</v>
      </c>
      <c r="H16" s="487">
        <v>13.451051763790753</v>
      </c>
      <c r="I16" s="178" t="s">
        <v>135</v>
      </c>
      <c r="J16" s="216">
        <f t="shared" si="4"/>
        <v>4521.7569803965425</v>
      </c>
      <c r="K16" s="178" t="s">
        <v>136</v>
      </c>
      <c r="L16" s="484"/>
      <c r="M16" s="178" t="s">
        <v>135</v>
      </c>
      <c r="N16" s="178">
        <f t="shared" ref="N16:N17" si="5">J16-L16</f>
        <v>4521.7569803965425</v>
      </c>
      <c r="O16" s="178" t="s">
        <v>134</v>
      </c>
      <c r="P16" s="490">
        <v>1</v>
      </c>
      <c r="Q16" s="393" t="s">
        <v>135</v>
      </c>
      <c r="R16" s="216">
        <f>P16*N16</f>
        <v>4521.7569803965425</v>
      </c>
      <c r="S16" s="216"/>
      <c r="T16" s="216">
        <f t="shared" si="0"/>
        <v>0</v>
      </c>
      <c r="U16" s="216"/>
      <c r="V16" s="394">
        <f t="shared" si="1"/>
        <v>3.004509941051408E-2</v>
      </c>
      <c r="W16" s="370"/>
      <c r="X16" s="373">
        <f t="shared" si="2"/>
        <v>0.90680721136913844</v>
      </c>
    </row>
    <row r="17" spans="2:24">
      <c r="B17" s="370" t="s">
        <v>540</v>
      </c>
      <c r="E17" s="367" t="str">
        <f t="shared" si="3"/>
        <v>DCF, 13.2x 21E OpFCF</v>
      </c>
      <c r="F17" s="484">
        <v>180.86919538677657</v>
      </c>
      <c r="G17" s="178" t="s">
        <v>134</v>
      </c>
      <c r="H17" s="487">
        <v>13.233724862969654</v>
      </c>
      <c r="I17" s="178" t="s">
        <v>135</v>
      </c>
      <c r="J17" s="216">
        <f t="shared" si="4"/>
        <v>2393.5731679353012</v>
      </c>
      <c r="K17" s="178" t="s">
        <v>136</v>
      </c>
      <c r="L17" s="484"/>
      <c r="M17" s="178" t="s">
        <v>135</v>
      </c>
      <c r="N17" s="216">
        <f t="shared" si="5"/>
        <v>2393.5731679353012</v>
      </c>
      <c r="O17" s="178" t="s">
        <v>134</v>
      </c>
      <c r="P17" s="490">
        <v>0.51</v>
      </c>
      <c r="Q17" s="393" t="s">
        <v>135</v>
      </c>
      <c r="R17" s="216">
        <f t="shared" ref="R17:R20" si="6">P17*N17</f>
        <v>1220.7223156470036</v>
      </c>
      <c r="S17" s="216"/>
      <c r="T17" s="216">
        <f t="shared" si="0"/>
        <v>1172.8508522882976</v>
      </c>
      <c r="U17" s="216"/>
      <c r="V17" s="394">
        <f t="shared" si="1"/>
        <v>1.5904247859567306E-2</v>
      </c>
      <c r="W17" s="370"/>
      <c r="X17" s="373">
        <f t="shared" si="2"/>
        <v>0.48001460915156452</v>
      </c>
    </row>
    <row r="18" spans="2:24">
      <c r="B18" s="370" t="s">
        <v>521</v>
      </c>
      <c r="E18" s="367" t="str">
        <f t="shared" si="3"/>
        <v>DCF, 13.7x 21E OpFCF</v>
      </c>
      <c r="F18" s="484">
        <v>197.47661944906861</v>
      </c>
      <c r="G18" s="178" t="s">
        <v>134</v>
      </c>
      <c r="H18" s="487">
        <v>13.655609931656713</v>
      </c>
      <c r="I18" s="178" t="s">
        <v>135</v>
      </c>
      <c r="J18" s="216">
        <f t="shared" si="4"/>
        <v>2696.6636858186944</v>
      </c>
      <c r="K18" s="178" t="s">
        <v>136</v>
      </c>
      <c r="L18" s="484"/>
      <c r="M18" s="178" t="s">
        <v>135</v>
      </c>
      <c r="N18" s="216">
        <f>J18-L18</f>
        <v>2696.6636858186944</v>
      </c>
      <c r="O18" s="178" t="s">
        <v>134</v>
      </c>
      <c r="P18" s="490">
        <v>0.51</v>
      </c>
      <c r="Q18" s="393" t="s">
        <v>135</v>
      </c>
      <c r="R18" s="216">
        <f t="shared" si="6"/>
        <v>1375.2984797675342</v>
      </c>
      <c r="S18" s="216"/>
      <c r="T18" s="216">
        <f t="shared" si="0"/>
        <v>1321.3652060511602</v>
      </c>
      <c r="U18" s="216"/>
      <c r="V18" s="394">
        <f t="shared" si="1"/>
        <v>1.7918151919354294E-2</v>
      </c>
      <c r="W18" s="370"/>
      <c r="X18" s="373">
        <f t="shared" si="2"/>
        <v>0.54079732447788997</v>
      </c>
    </row>
    <row r="19" spans="2:24">
      <c r="B19" s="370" t="s">
        <v>436</v>
      </c>
      <c r="E19" s="367" t="str">
        <f t="shared" si="3"/>
        <v>DCF, 15.0x 21E OpFCF</v>
      </c>
      <c r="F19" s="484">
        <v>304.44310235081588</v>
      </c>
      <c r="G19" s="178" t="s">
        <v>134</v>
      </c>
      <c r="H19" s="487">
        <v>15.026755919430371</v>
      </c>
      <c r="I19" s="178" t="s">
        <v>135</v>
      </c>
      <c r="J19" s="216">
        <f t="shared" si="4"/>
        <v>4574.7921903798688</v>
      </c>
      <c r="K19" s="178" t="s">
        <v>136</v>
      </c>
      <c r="L19" s="484"/>
      <c r="M19" s="178" t="s">
        <v>135</v>
      </c>
      <c r="N19" s="216">
        <f>J19-L19</f>
        <v>4574.7921903798688</v>
      </c>
      <c r="O19" s="178" t="s">
        <v>134</v>
      </c>
      <c r="P19" s="490">
        <v>1</v>
      </c>
      <c r="Q19" s="393" t="s">
        <v>135</v>
      </c>
      <c r="R19" s="216">
        <f t="shared" si="6"/>
        <v>4574.7921903798688</v>
      </c>
      <c r="S19" s="216"/>
      <c r="T19" s="216">
        <f t="shared" si="0"/>
        <v>0</v>
      </c>
      <c r="U19" s="216"/>
      <c r="V19" s="394">
        <f t="shared" si="1"/>
        <v>3.0397495207792596E-2</v>
      </c>
      <c r="W19" s="370"/>
      <c r="X19" s="373">
        <f t="shared" si="2"/>
        <v>0.91744305736392684</v>
      </c>
    </row>
    <row r="20" spans="2:24">
      <c r="B20" s="370" t="s">
        <v>141</v>
      </c>
      <c r="E20" s="367" t="str">
        <f t="shared" si="3"/>
        <v>DCF, 4.2x 21E OpFCF</v>
      </c>
      <c r="F20" s="484">
        <v>60</v>
      </c>
      <c r="G20" s="178" t="s">
        <v>134</v>
      </c>
      <c r="H20" s="487">
        <v>4.2328042328042352</v>
      </c>
      <c r="I20" s="178" t="s">
        <v>135</v>
      </c>
      <c r="J20" s="216">
        <f>F20*H20</f>
        <v>253.96825396825412</v>
      </c>
      <c r="K20" s="178" t="s">
        <v>136</v>
      </c>
      <c r="L20" s="484"/>
      <c r="M20" s="178" t="s">
        <v>135</v>
      </c>
      <c r="N20" s="216">
        <f>J20-L20</f>
        <v>253.96825396825412</v>
      </c>
      <c r="O20" s="178" t="s">
        <v>134</v>
      </c>
      <c r="P20" s="490">
        <v>0.39019999999999999</v>
      </c>
      <c r="Q20" s="393" t="s">
        <v>135</v>
      </c>
      <c r="R20" s="216">
        <f t="shared" si="6"/>
        <v>99.098412698412758</v>
      </c>
      <c r="S20" s="216"/>
      <c r="T20" s="216">
        <f t="shared" si="0"/>
        <v>154.86984126984134</v>
      </c>
      <c r="U20" s="216"/>
      <c r="V20" s="394">
        <f t="shared" si="1"/>
        <v>1.6875080794195431E-3</v>
      </c>
      <c r="W20" s="370"/>
      <c r="X20" s="373">
        <f t="shared" si="2"/>
        <v>5.0931583708650599E-2</v>
      </c>
    </row>
    <row r="21" spans="2:24">
      <c r="B21" s="370" t="s">
        <v>108</v>
      </c>
      <c r="F21" s="216"/>
      <c r="G21" s="178"/>
      <c r="H21" s="373"/>
      <c r="I21" s="178"/>
      <c r="J21" s="495">
        <f>J13+J14+J15+J16+J17+J18+J19+J20</f>
        <v>30898.77560381886</v>
      </c>
      <c r="K21" s="178"/>
      <c r="L21" s="216"/>
      <c r="M21" s="178"/>
      <c r="N21" s="495">
        <f>N13+N14+N15+N16+N17+N18+N19+N20</f>
        <v>30175.937546211069</v>
      </c>
      <c r="O21" s="178"/>
      <c r="P21" s="215"/>
      <c r="Q21" s="393"/>
      <c r="R21" s="495">
        <f>R13+R14+R15+R16+R17+R18+R19+R20</f>
        <v>20764.097556478024</v>
      </c>
      <c r="S21" s="370"/>
      <c r="T21" s="495">
        <f>SUM(T13:T20)</f>
        <v>9411.8399897330492</v>
      </c>
      <c r="U21" s="370"/>
      <c r="V21" s="394"/>
      <c r="W21" s="370"/>
      <c r="X21" s="373"/>
    </row>
    <row r="22" spans="2:24">
      <c r="B22" s="370"/>
      <c r="F22" s="216"/>
      <c r="G22" s="178"/>
      <c r="H22" s="373"/>
      <c r="I22" s="178"/>
      <c r="J22" s="216"/>
      <c r="K22" s="178"/>
      <c r="L22" s="216"/>
      <c r="M22" s="178"/>
      <c r="N22" s="216"/>
      <c r="O22" s="178"/>
      <c r="P22" s="215"/>
      <c r="Q22" s="393"/>
      <c r="R22" s="216"/>
      <c r="S22" s="370"/>
      <c r="T22" s="216"/>
      <c r="U22" s="370"/>
      <c r="V22" s="394"/>
      <c r="W22" s="370"/>
      <c r="X22" s="373"/>
    </row>
    <row r="23" spans="2:24">
      <c r="B23" s="370" t="s">
        <v>693</v>
      </c>
      <c r="E23" s="367" t="s">
        <v>1145</v>
      </c>
      <c r="F23" s="484">
        <v>1204.4198399051115</v>
      </c>
      <c r="G23" s="178" t="s">
        <v>134</v>
      </c>
      <c r="H23" s="489">
        <v>181</v>
      </c>
      <c r="I23" s="178" t="s">
        <v>135</v>
      </c>
      <c r="J23" s="484">
        <v>279620.45250681887</v>
      </c>
      <c r="K23" s="178" t="s">
        <v>136</v>
      </c>
      <c r="L23" s="484">
        <v>76786.718405704349</v>
      </c>
      <c r="M23" s="178" t="s">
        <v>135</v>
      </c>
      <c r="N23" s="216">
        <f>J23-L23</f>
        <v>202833.7341011145</v>
      </c>
      <c r="O23" s="178" t="s">
        <v>134</v>
      </c>
      <c r="P23" s="490">
        <v>0.5228224262119886</v>
      </c>
      <c r="Q23" s="393" t="s">
        <v>135</v>
      </c>
      <c r="R23" s="216">
        <f t="shared" ref="R23:R26" si="7">P23*N23</f>
        <v>106046.02498038205</v>
      </c>
      <c r="S23" s="370"/>
      <c r="T23" s="216">
        <f>N23-R23</f>
        <v>96787.709120732456</v>
      </c>
      <c r="V23" s="394">
        <f>N23/$J$45</f>
        <v>1.3477415374807091</v>
      </c>
      <c r="X23" s="373">
        <f>$J$49*V23</f>
        <v>40.676908022529517</v>
      </c>
    </row>
    <row r="24" spans="2:24">
      <c r="B24" s="370" t="s">
        <v>1527</v>
      </c>
      <c r="E24" s="367" t="str">
        <f t="shared" ref="E24" si="8">"DCF, "&amp;TEXT(H24,"0.0")&amp;"x 21E OpFCF"</f>
        <v>DCF, 11.8x 21E OpFCF</v>
      </c>
      <c r="F24" s="484">
        <v>74.989999999999981</v>
      </c>
      <c r="G24" s="178" t="s">
        <v>134</v>
      </c>
      <c r="H24" s="487">
        <v>11.823430425644059</v>
      </c>
      <c r="I24" s="178" t="s">
        <v>135</v>
      </c>
      <c r="J24" s="216">
        <f>F24*H24</f>
        <v>886.63904761904769</v>
      </c>
      <c r="K24" s="178" t="s">
        <v>136</v>
      </c>
      <c r="L24" s="484"/>
      <c r="M24" s="178" t="s">
        <v>135</v>
      </c>
      <c r="N24" s="216">
        <f>J24-L24</f>
        <v>886.63904761904769</v>
      </c>
      <c r="O24" s="178" t="s">
        <v>134</v>
      </c>
      <c r="P24" s="490">
        <v>1</v>
      </c>
      <c r="Q24" s="393" t="s">
        <v>135</v>
      </c>
      <c r="R24" s="216">
        <f t="shared" si="7"/>
        <v>886.63904761904769</v>
      </c>
      <c r="T24" s="216">
        <f t="shared" ref="T24:T25" si="9">N24-R24</f>
        <v>0</v>
      </c>
      <c r="V24" s="394">
        <f>N24/$J$45</f>
        <v>5.8913290657698399E-3</v>
      </c>
      <c r="X24" s="373">
        <f>$J$49*V24</f>
        <v>0.17780935281309798</v>
      </c>
    </row>
    <row r="25" spans="2:24">
      <c r="B25" s="370" t="s">
        <v>1144</v>
      </c>
      <c r="E25" s="367" t="str">
        <f t="shared" ref="E25:E26" si="10">"DCF, "&amp;TEXT(H25,"0.0")&amp;"x 21E OpFCF"</f>
        <v>DCF, 8.7x 21E OpFCF</v>
      </c>
      <c r="F25" s="484">
        <v>-1448.93</v>
      </c>
      <c r="G25" s="178" t="s">
        <v>134</v>
      </c>
      <c r="H25" s="487">
        <v>8.705474585170359</v>
      </c>
      <c r="I25" s="178" t="s">
        <v>135</v>
      </c>
      <c r="J25" s="216">
        <f>F25*H25</f>
        <v>-12613.623290690888</v>
      </c>
      <c r="K25" s="178" t="s">
        <v>136</v>
      </c>
      <c r="L25" s="484"/>
      <c r="M25" s="178" t="s">
        <v>135</v>
      </c>
      <c r="N25" s="216">
        <f>J25-L25</f>
        <v>-12613.623290690888</v>
      </c>
      <c r="O25" s="178" t="s">
        <v>134</v>
      </c>
      <c r="P25" s="490">
        <v>1</v>
      </c>
      <c r="Q25" s="393" t="s">
        <v>135</v>
      </c>
      <c r="R25" s="216">
        <f t="shared" si="7"/>
        <v>-12613.623290690888</v>
      </c>
      <c r="T25" s="216">
        <f t="shared" si="9"/>
        <v>0</v>
      </c>
      <c r="V25" s="394">
        <f>N25/$J$45</f>
        <v>-8.3812015404319332E-2</v>
      </c>
      <c r="X25" s="373">
        <f>$J$49*V25</f>
        <v>-2.5295752538406293</v>
      </c>
    </row>
    <row r="26" spans="2:24">
      <c r="B26" s="370" t="s">
        <v>989</v>
      </c>
      <c r="E26" s="367" t="str">
        <f t="shared" si="10"/>
        <v>DCF, 58.3x 21E OpFCF</v>
      </c>
      <c r="F26" s="484">
        <v>-6</v>
      </c>
      <c r="G26" s="178" t="s">
        <v>134</v>
      </c>
      <c r="H26" s="487">
        <v>58.333333333333336</v>
      </c>
      <c r="I26" s="178" t="s">
        <v>135</v>
      </c>
      <c r="J26" s="216">
        <f>F26*H26</f>
        <v>-350</v>
      </c>
      <c r="K26" s="178" t="s">
        <v>136</v>
      </c>
      <c r="L26" s="484"/>
      <c r="M26" s="178" t="s">
        <v>135</v>
      </c>
      <c r="N26" s="216">
        <f t="shared" ref="N26" si="11">J26-L26</f>
        <v>-350</v>
      </c>
      <c r="O26" s="178" t="s">
        <v>134</v>
      </c>
      <c r="P26" s="490">
        <v>1</v>
      </c>
      <c r="Q26" s="393" t="s">
        <v>135</v>
      </c>
      <c r="R26" s="216">
        <f t="shared" si="7"/>
        <v>-350</v>
      </c>
      <c r="T26" s="216">
        <f>N26-R26</f>
        <v>0</v>
      </c>
      <c r="U26" s="370"/>
      <c r="V26" s="394">
        <f>N26/$J$45</f>
        <v>-2.3255970719500566E-3</v>
      </c>
      <c r="W26" s="370"/>
      <c r="X26" s="373">
        <f>$J$49*V26</f>
        <v>-7.0190088798484068E-2</v>
      </c>
    </row>
    <row r="27" spans="2:24">
      <c r="B27" s="345" t="s">
        <v>138</v>
      </c>
      <c r="C27" s="370"/>
      <c r="F27" s="210"/>
      <c r="G27" s="196"/>
      <c r="H27" s="372"/>
      <c r="I27" s="376"/>
      <c r="J27" s="210">
        <f>SUM(J11,J21,J23:J26)</f>
        <v>367601.82052471669</v>
      </c>
      <c r="K27" s="375"/>
      <c r="L27" s="210"/>
      <c r="M27" s="196"/>
      <c r="N27" s="210">
        <f>SUM(N11,N21,N23:N26)</f>
        <v>290092.26406140457</v>
      </c>
      <c r="P27" s="451"/>
      <c r="Q27" s="378"/>
      <c r="R27" s="210">
        <f>SUM(R11,R21,R23:R26)</f>
        <v>183892.714950939</v>
      </c>
      <c r="S27" s="370"/>
      <c r="T27" s="210">
        <f>SUM(T11,T21,T23:T26)</f>
        <v>106199.54911046551</v>
      </c>
      <c r="U27" s="370"/>
      <c r="V27" s="387">
        <f>N27/$J$45</f>
        <v>1.9275363425616143</v>
      </c>
      <c r="W27" s="370"/>
      <c r="X27" s="372">
        <f>$J$49*V27</f>
        <v>58.176005069209346</v>
      </c>
    </row>
    <row r="28" spans="2:24">
      <c r="B28" s="370"/>
      <c r="C28" s="370"/>
      <c r="F28" s="210"/>
      <c r="G28" s="196"/>
      <c r="H28" s="372"/>
      <c r="I28" s="376"/>
      <c r="J28" s="196"/>
      <c r="K28" s="375"/>
      <c r="L28" s="370"/>
      <c r="M28" s="196"/>
      <c r="N28" s="210"/>
      <c r="P28" s="377"/>
      <c r="Q28" s="378"/>
      <c r="R28" s="210"/>
      <c r="S28" s="370"/>
    </row>
    <row r="29" spans="2:24">
      <c r="B29" s="345"/>
      <c r="C29" s="345"/>
      <c r="F29" s="210"/>
      <c r="G29" s="196"/>
      <c r="H29" s="372"/>
      <c r="I29" s="376"/>
      <c r="J29" s="399"/>
      <c r="K29" s="375"/>
      <c r="L29" s="196"/>
      <c r="M29" s="196"/>
      <c r="N29" s="370"/>
      <c r="P29" s="377"/>
      <c r="Q29" s="378"/>
      <c r="R29" s="370"/>
      <c r="T29" s="196"/>
    </row>
    <row r="30" spans="2:24">
      <c r="B30" s="370" t="s">
        <v>1528</v>
      </c>
      <c r="C30" s="370"/>
      <c r="F30" s="216"/>
      <c r="G30" s="178"/>
      <c r="H30" s="178"/>
      <c r="I30" s="178"/>
      <c r="J30" s="484">
        <v>15991.720384734157</v>
      </c>
      <c r="K30" s="178" t="s">
        <v>136</v>
      </c>
      <c r="L30" s="178">
        <v>4100</v>
      </c>
      <c r="M30" s="178" t="s">
        <v>135</v>
      </c>
      <c r="N30" s="216">
        <f t="shared" ref="N30:N31" si="12">J30-L30</f>
        <v>11891.720384734157</v>
      </c>
      <c r="O30" s="178" t="s">
        <v>134</v>
      </c>
      <c r="P30" s="490">
        <v>0.49</v>
      </c>
      <c r="Q30" s="393" t="s">
        <v>135</v>
      </c>
      <c r="R30" s="484">
        <v>5826.9429885197369</v>
      </c>
      <c r="T30" s="496"/>
    </row>
    <row r="31" spans="2:24">
      <c r="B31" s="370" t="s">
        <v>1433</v>
      </c>
      <c r="C31" s="370"/>
      <c r="F31" s="216"/>
      <c r="G31" s="178"/>
      <c r="H31" s="178"/>
      <c r="I31" s="178"/>
      <c r="J31" s="484">
        <v>2431.0870751137068</v>
      </c>
      <c r="K31" s="178" t="s">
        <v>136</v>
      </c>
      <c r="L31" s="178">
        <v>265.65874999999994</v>
      </c>
      <c r="M31" s="178" t="s">
        <v>135</v>
      </c>
      <c r="N31" s="216">
        <f t="shared" si="12"/>
        <v>2165.4283251137067</v>
      </c>
      <c r="O31" s="178" t="s">
        <v>134</v>
      </c>
      <c r="P31" s="490">
        <v>0.5</v>
      </c>
      <c r="Q31" s="393" t="s">
        <v>135</v>
      </c>
      <c r="R31" s="484">
        <v>1082.7141625568534</v>
      </c>
      <c r="T31" s="496"/>
    </row>
    <row r="32" spans="2:24">
      <c r="B32" s="345" t="s">
        <v>1095</v>
      </c>
      <c r="C32" s="370"/>
      <c r="R32" s="210">
        <f>SUM(R30:R31)</f>
        <v>6909.6571510765898</v>
      </c>
    </row>
    <row r="36" spans="2:18">
      <c r="D36" s="345"/>
      <c r="E36" s="381"/>
      <c r="F36" s="381"/>
      <c r="G36" s="381"/>
      <c r="H36" s="381"/>
      <c r="I36" s="381"/>
      <c r="J36" s="381"/>
      <c r="K36" s="381"/>
      <c r="R36" s="370"/>
    </row>
    <row r="37" spans="2:18">
      <c r="B37" s="382" t="s">
        <v>142</v>
      </c>
      <c r="D37" s="345"/>
      <c r="E37" s="381"/>
      <c r="J37" s="374">
        <f>J27</f>
        <v>367601.82052471669</v>
      </c>
    </row>
    <row r="38" spans="2:18">
      <c r="B38" s="383" t="s">
        <v>1529</v>
      </c>
      <c r="C38" s="384"/>
      <c r="H38" s="380"/>
      <c r="J38" s="216">
        <v>-102809.33034494455</v>
      </c>
    </row>
    <row r="39" spans="2:18">
      <c r="B39" s="383" t="s">
        <v>1146</v>
      </c>
      <c r="C39" s="383"/>
      <c r="J39" s="484">
        <v>-7249.4497529572509</v>
      </c>
    </row>
    <row r="40" spans="2:18">
      <c r="B40" s="383" t="s">
        <v>974</v>
      </c>
      <c r="C40" s="383"/>
      <c r="J40" s="484">
        <v>-2829</v>
      </c>
    </row>
    <row r="41" spans="2:18">
      <c r="B41" s="383" t="s">
        <v>1147</v>
      </c>
      <c r="C41" s="383"/>
      <c r="J41" s="484">
        <v>-6184.9082041494794</v>
      </c>
    </row>
    <row r="42" spans="2:18">
      <c r="B42" s="383" t="s">
        <v>657</v>
      </c>
      <c r="C42" s="383"/>
      <c r="J42" s="484">
        <v>1259.7452323143029</v>
      </c>
    </row>
    <row r="43" spans="2:18">
      <c r="B43" s="384" t="s">
        <v>872</v>
      </c>
      <c r="J43" s="216">
        <f>-T27</f>
        <v>-106199.54911046551</v>
      </c>
    </row>
    <row r="44" spans="2:18">
      <c r="B44" s="384" t="s">
        <v>1042</v>
      </c>
      <c r="D44" s="345"/>
      <c r="E44" s="381"/>
      <c r="F44" s="381"/>
      <c r="G44" s="381"/>
      <c r="J44" s="385">
        <f>R32</f>
        <v>6909.6571510765898</v>
      </c>
    </row>
    <row r="45" spans="2:18">
      <c r="B45" s="382" t="s">
        <v>495</v>
      </c>
      <c r="D45" s="370"/>
      <c r="J45" s="210">
        <f>SUM(J37:J44)</f>
        <v>150498.98549559081</v>
      </c>
    </row>
    <row r="46" spans="2:18" ht="12.6" thickBot="1">
      <c r="B46" s="384" t="s">
        <v>496</v>
      </c>
      <c r="D46" s="370"/>
      <c r="J46" s="216">
        <f>DT!D10</f>
        <v>4986.4589999999998</v>
      </c>
    </row>
    <row r="47" spans="2:18" ht="12.6" thickBot="1">
      <c r="B47" s="382" t="s">
        <v>497</v>
      </c>
      <c r="J47" s="461">
        <f>J45/J46</f>
        <v>30.181534731477953</v>
      </c>
    </row>
    <row r="48" spans="2:18" ht="12.6" thickBot="1">
      <c r="B48" s="384" t="s">
        <v>748</v>
      </c>
      <c r="D48" s="345"/>
      <c r="E48" s="381"/>
      <c r="F48" s="381"/>
      <c r="G48" s="381"/>
      <c r="H48" s="381"/>
      <c r="I48" s="381"/>
      <c r="J48" s="486">
        <v>0</v>
      </c>
    </row>
    <row r="49" spans="1:18" ht="12.6" thickBot="1">
      <c r="B49" s="382" t="s">
        <v>62</v>
      </c>
      <c r="J49" s="469">
        <f>SUM(J47:J48)</f>
        <v>30.181534731477953</v>
      </c>
    </row>
    <row r="50" spans="1:18">
      <c r="B50" s="384" t="s">
        <v>498</v>
      </c>
      <c r="J50" s="452">
        <f>Prices!C9</f>
        <v>21.76</v>
      </c>
      <c r="K50" s="384"/>
      <c r="L50" s="384"/>
    </row>
    <row r="51" spans="1:18">
      <c r="B51" s="384" t="s">
        <v>97</v>
      </c>
      <c r="J51" s="453">
        <f>J49/J50-1</f>
        <v>0.38701905935100878</v>
      </c>
      <c r="K51" s="384"/>
      <c r="L51" s="384"/>
    </row>
    <row r="54" spans="1:18">
      <c r="B54" s="367" t="s">
        <v>376</v>
      </c>
      <c r="D54" s="386">
        <f>Prices!$C$155</f>
        <v>1.0846</v>
      </c>
    </row>
    <row r="55" spans="1:18">
      <c r="A55" s="381"/>
      <c r="B55" s="367" t="s">
        <v>807</v>
      </c>
      <c r="D55" s="386">
        <f>Prices!F153</f>
        <v>0.85143464428000004</v>
      </c>
      <c r="E55" s="381"/>
      <c r="F55" s="381"/>
      <c r="G55" s="381"/>
      <c r="H55" s="381"/>
      <c r="I55" s="381"/>
      <c r="J55" s="381"/>
      <c r="K55" s="381"/>
    </row>
    <row r="57" spans="1:18">
      <c r="A57" s="470"/>
      <c r="B57" s="470"/>
      <c r="C57" s="470"/>
      <c r="D57" s="470"/>
      <c r="E57" s="470"/>
      <c r="F57" s="470"/>
      <c r="G57" s="470"/>
      <c r="H57" s="470"/>
      <c r="I57" s="470"/>
      <c r="J57" s="470"/>
      <c r="K57" s="470"/>
    </row>
    <row r="58" spans="1:18">
      <c r="A58" s="470"/>
      <c r="B58" s="470"/>
      <c r="C58" s="470"/>
      <c r="D58" s="470"/>
      <c r="E58" s="470"/>
      <c r="F58" s="470"/>
      <c r="G58" s="470"/>
      <c r="H58" s="470"/>
      <c r="I58" s="470"/>
      <c r="J58" s="470"/>
      <c r="K58" s="470"/>
    </row>
    <row r="59" spans="1:18">
      <c r="A59" s="470"/>
      <c r="B59" s="470"/>
      <c r="C59" s="470"/>
      <c r="D59" s="470"/>
      <c r="E59" s="470"/>
      <c r="F59" s="470"/>
      <c r="G59" s="470"/>
      <c r="H59" s="470"/>
      <c r="I59" s="470"/>
      <c r="J59" s="470"/>
      <c r="K59" s="470"/>
    </row>
    <row r="60" spans="1:18">
      <c r="A60" s="470"/>
      <c r="B60" s="470"/>
      <c r="C60" s="470"/>
      <c r="D60" s="470"/>
      <c r="E60" s="470"/>
      <c r="F60" s="470"/>
      <c r="G60" s="470"/>
      <c r="H60" s="470"/>
      <c r="I60" s="470"/>
      <c r="J60" s="470"/>
      <c r="K60" s="470"/>
    </row>
    <row r="61" spans="1:18">
      <c r="D61" s="345"/>
      <c r="E61" s="381"/>
      <c r="F61" s="381"/>
      <c r="G61" s="381"/>
      <c r="H61" s="381"/>
      <c r="I61" s="381"/>
    </row>
    <row r="63" spans="1:18">
      <c r="D63" s="370"/>
      <c r="E63" s="381"/>
      <c r="F63" s="381"/>
      <c r="G63" s="381"/>
      <c r="H63" s="381"/>
      <c r="I63" s="381"/>
      <c r="P63" s="249"/>
    </row>
    <row r="64" spans="1:18">
      <c r="D64" s="370"/>
      <c r="E64" s="381"/>
      <c r="F64" s="381"/>
      <c r="G64" s="381"/>
      <c r="H64" s="381"/>
      <c r="I64" s="381"/>
      <c r="P64" s="388"/>
      <c r="Q64" s="249"/>
      <c r="R64" s="249"/>
    </row>
    <row r="65" spans="4:24">
      <c r="D65" s="370"/>
      <c r="Q65" s="388"/>
      <c r="R65" s="388"/>
    </row>
    <row r="66" spans="4:24">
      <c r="D66" s="345"/>
      <c r="E66" s="381"/>
      <c r="F66" s="381"/>
      <c r="G66" s="381"/>
      <c r="H66" s="381"/>
      <c r="I66" s="381"/>
    </row>
    <row r="67" spans="4:24">
      <c r="D67" s="370"/>
      <c r="E67" s="381"/>
      <c r="F67" s="381"/>
      <c r="G67" s="381"/>
      <c r="H67" s="381"/>
      <c r="I67" s="381"/>
      <c r="L67" s="249"/>
      <c r="M67" s="249"/>
      <c r="N67" s="249"/>
      <c r="O67" s="249"/>
      <c r="P67" s="249"/>
    </row>
    <row r="68" spans="4:24">
      <c r="D68" s="370"/>
      <c r="E68" s="381"/>
      <c r="F68" s="381"/>
      <c r="G68" s="381"/>
      <c r="H68" s="381"/>
      <c r="I68" s="381"/>
      <c r="N68" s="388"/>
      <c r="O68" s="388"/>
      <c r="P68" s="388"/>
      <c r="Q68" s="249"/>
      <c r="R68" s="249"/>
    </row>
    <row r="69" spans="4:24">
      <c r="Q69" s="388"/>
      <c r="R69" s="388"/>
    </row>
    <row r="70" spans="4:24">
      <c r="D70" s="370"/>
      <c r="S70" s="249"/>
      <c r="T70" s="249"/>
      <c r="U70" s="249"/>
      <c r="V70" s="249"/>
      <c r="W70" s="249"/>
      <c r="X70" s="249"/>
    </row>
    <row r="71" spans="4:24">
      <c r="D71" s="370"/>
      <c r="P71" s="249"/>
      <c r="Q71" s="249"/>
      <c r="R71" s="249"/>
      <c r="S71" s="388"/>
      <c r="T71" s="388"/>
      <c r="U71" s="388"/>
      <c r="V71" s="388"/>
      <c r="W71" s="388"/>
      <c r="X71" s="388"/>
    </row>
    <row r="72" spans="4:24">
      <c r="D72" s="370"/>
      <c r="J72" s="381"/>
      <c r="L72" s="249"/>
      <c r="M72" s="249"/>
      <c r="N72" s="249"/>
      <c r="O72" s="249"/>
      <c r="P72" s="388"/>
      <c r="Q72" s="388"/>
      <c r="R72" s="388"/>
    </row>
    <row r="73" spans="4:24">
      <c r="D73" s="370"/>
      <c r="J73" s="381"/>
      <c r="N73" s="388"/>
      <c r="O73" s="388"/>
    </row>
    <row r="74" spans="4:24">
      <c r="D74" s="370"/>
      <c r="P74" s="249"/>
      <c r="Q74" s="249"/>
      <c r="R74" s="249"/>
      <c r="S74" s="249"/>
      <c r="T74" s="249"/>
      <c r="U74" s="249"/>
      <c r="V74" s="249"/>
      <c r="W74" s="249"/>
      <c r="X74" s="249"/>
    </row>
    <row r="75" spans="4:24">
      <c r="D75" s="370"/>
      <c r="J75" s="381"/>
      <c r="L75" s="249"/>
      <c r="M75" s="249"/>
      <c r="N75" s="249"/>
      <c r="O75" s="249"/>
      <c r="P75" s="388"/>
      <c r="Q75" s="388"/>
      <c r="R75" s="388"/>
      <c r="S75" s="388"/>
      <c r="T75" s="388"/>
      <c r="U75" s="388"/>
      <c r="V75" s="388"/>
      <c r="W75" s="388"/>
      <c r="X75" s="388"/>
    </row>
    <row r="76" spans="4:24">
      <c r="D76" s="370"/>
      <c r="J76" s="381"/>
      <c r="K76" s="381"/>
      <c r="N76" s="388"/>
      <c r="O76" s="388"/>
    </row>
    <row r="77" spans="4:24">
      <c r="D77" s="370"/>
      <c r="J77" s="381"/>
      <c r="K77" s="381"/>
      <c r="P77" s="249"/>
      <c r="Q77" s="249"/>
      <c r="R77" s="249"/>
      <c r="S77" s="249"/>
      <c r="T77" s="249"/>
      <c r="U77" s="249"/>
      <c r="V77" s="249"/>
      <c r="W77" s="249"/>
      <c r="X77" s="249"/>
    </row>
    <row r="78" spans="4:24">
      <c r="D78" s="370"/>
      <c r="L78" s="249"/>
      <c r="M78" s="249"/>
      <c r="N78" s="249"/>
      <c r="O78" s="249"/>
      <c r="P78" s="388"/>
      <c r="Q78" s="388"/>
      <c r="R78" s="388"/>
      <c r="S78" s="388"/>
      <c r="T78" s="388"/>
      <c r="U78" s="388"/>
      <c r="V78" s="388"/>
      <c r="W78" s="388"/>
      <c r="X78" s="388"/>
    </row>
    <row r="79" spans="4:24">
      <c r="D79" s="345"/>
      <c r="E79" s="381"/>
      <c r="F79" s="381"/>
      <c r="G79" s="381"/>
      <c r="H79" s="381"/>
      <c r="I79" s="381"/>
      <c r="K79" s="381"/>
      <c r="N79" s="388"/>
      <c r="O79" s="388"/>
      <c r="P79" s="389"/>
      <c r="Q79" s="389"/>
      <c r="R79" s="389"/>
    </row>
    <row r="80" spans="4:24">
      <c r="D80" s="370"/>
      <c r="J80" s="381"/>
      <c r="K80" s="381"/>
      <c r="P80" s="388"/>
      <c r="Q80" s="388"/>
      <c r="R80" s="388"/>
      <c r="S80" s="249"/>
      <c r="T80" s="249"/>
      <c r="U80" s="249"/>
      <c r="V80" s="249"/>
      <c r="W80" s="249"/>
      <c r="X80" s="249"/>
    </row>
    <row r="81" spans="4:24">
      <c r="D81" s="370"/>
      <c r="J81" s="381"/>
      <c r="K81" s="381"/>
      <c r="L81" s="249"/>
      <c r="M81" s="249"/>
      <c r="N81" s="249"/>
      <c r="O81" s="249"/>
      <c r="S81" s="388"/>
      <c r="T81" s="388"/>
      <c r="U81" s="388"/>
      <c r="V81" s="388"/>
      <c r="W81" s="388"/>
      <c r="X81" s="388"/>
    </row>
    <row r="82" spans="4:24">
      <c r="D82" s="345"/>
      <c r="E82" s="381"/>
      <c r="F82" s="381"/>
      <c r="G82" s="381"/>
      <c r="H82" s="381"/>
      <c r="I82" s="381"/>
      <c r="N82" s="388"/>
      <c r="O82" s="388"/>
      <c r="P82" s="249"/>
      <c r="Q82" s="249"/>
      <c r="R82" s="249"/>
    </row>
    <row r="83" spans="4:24">
      <c r="D83" s="370"/>
      <c r="L83" s="389"/>
      <c r="M83" s="389"/>
      <c r="N83" s="389"/>
      <c r="O83" s="389"/>
      <c r="P83" s="390"/>
      <c r="Q83" s="390"/>
      <c r="R83" s="390"/>
      <c r="S83" s="249"/>
      <c r="T83" s="249"/>
      <c r="U83" s="249"/>
      <c r="V83" s="249"/>
      <c r="W83" s="249"/>
      <c r="X83" s="249"/>
    </row>
    <row r="84" spans="4:24">
      <c r="D84" s="345"/>
      <c r="E84" s="381"/>
      <c r="F84" s="381"/>
      <c r="G84" s="381"/>
      <c r="H84" s="381"/>
      <c r="I84" s="381"/>
      <c r="K84" s="381"/>
      <c r="N84" s="388"/>
      <c r="O84" s="388"/>
      <c r="P84" s="249"/>
      <c r="Q84" s="249"/>
      <c r="R84" s="249"/>
      <c r="S84" s="388"/>
      <c r="T84" s="388"/>
      <c r="U84" s="388"/>
      <c r="V84" s="388"/>
      <c r="W84" s="388"/>
      <c r="X84" s="388"/>
    </row>
    <row r="85" spans="4:24">
      <c r="D85" s="370"/>
      <c r="E85" s="381"/>
      <c r="F85" s="381"/>
      <c r="G85" s="381"/>
      <c r="H85" s="381"/>
      <c r="I85" s="381"/>
      <c r="K85" s="381"/>
      <c r="P85" s="388"/>
      <c r="Q85" s="388"/>
      <c r="R85" s="388"/>
      <c r="S85" s="389"/>
      <c r="T85" s="389"/>
      <c r="U85" s="389"/>
      <c r="V85" s="389"/>
      <c r="W85" s="389"/>
      <c r="X85" s="389"/>
    </row>
    <row r="86" spans="4:24">
      <c r="D86" s="370"/>
      <c r="L86" s="249"/>
      <c r="M86" s="249"/>
      <c r="N86" s="249"/>
      <c r="O86" s="249"/>
      <c r="P86" s="248"/>
      <c r="Q86" s="248"/>
      <c r="R86" s="248"/>
      <c r="S86" s="388"/>
      <c r="T86" s="388"/>
      <c r="U86" s="388"/>
      <c r="V86" s="388"/>
      <c r="W86" s="388"/>
      <c r="X86" s="388"/>
    </row>
    <row r="87" spans="4:24">
      <c r="D87" s="370"/>
      <c r="N87" s="388"/>
      <c r="O87" s="388"/>
    </row>
    <row r="88" spans="4:24">
      <c r="D88" s="345"/>
      <c r="E88" s="381"/>
      <c r="F88" s="381"/>
      <c r="G88" s="381"/>
      <c r="H88" s="381"/>
      <c r="I88" s="381"/>
      <c r="L88" s="249"/>
      <c r="M88" s="249"/>
      <c r="N88" s="249"/>
      <c r="O88" s="249"/>
      <c r="P88" s="247"/>
      <c r="Q88" s="247"/>
      <c r="R88" s="247"/>
      <c r="S88" s="249"/>
      <c r="T88" s="249"/>
      <c r="U88" s="249"/>
      <c r="V88" s="249"/>
      <c r="W88" s="249"/>
      <c r="X88" s="249"/>
    </row>
    <row r="89" spans="4:24">
      <c r="D89" s="370"/>
      <c r="E89" s="381"/>
      <c r="F89" s="381"/>
      <c r="G89" s="381"/>
      <c r="H89" s="381"/>
      <c r="I89" s="381"/>
      <c r="N89" s="388"/>
      <c r="O89" s="388"/>
      <c r="P89" s="388"/>
      <c r="Q89" s="388"/>
      <c r="R89" s="388"/>
      <c r="S89" s="390"/>
      <c r="T89" s="390"/>
      <c r="U89" s="390"/>
      <c r="V89" s="390"/>
      <c r="W89" s="390"/>
      <c r="X89" s="390"/>
    </row>
    <row r="90" spans="4:24">
      <c r="D90" s="370"/>
      <c r="L90" s="248"/>
      <c r="M90" s="248"/>
      <c r="N90" s="248"/>
      <c r="O90" s="248"/>
      <c r="S90" s="249"/>
      <c r="T90" s="249"/>
      <c r="U90" s="249"/>
      <c r="V90" s="249"/>
      <c r="W90" s="249"/>
      <c r="X90" s="249"/>
    </row>
    <row r="91" spans="4:24">
      <c r="D91" s="345"/>
      <c r="E91" s="381"/>
      <c r="F91" s="381"/>
      <c r="G91" s="381"/>
      <c r="H91" s="381"/>
      <c r="I91" s="381"/>
      <c r="P91" s="389"/>
      <c r="Q91" s="389"/>
      <c r="R91" s="389"/>
      <c r="S91" s="388"/>
      <c r="T91" s="388"/>
      <c r="U91" s="388"/>
      <c r="V91" s="388"/>
      <c r="W91" s="388"/>
      <c r="X91" s="388"/>
    </row>
    <row r="92" spans="4:24">
      <c r="D92" s="370"/>
      <c r="J92" s="381"/>
      <c r="L92" s="247"/>
      <c r="M92" s="247"/>
      <c r="N92" s="247"/>
      <c r="O92" s="247"/>
      <c r="P92" s="388"/>
      <c r="Q92" s="388"/>
      <c r="R92" s="388"/>
      <c r="S92" s="248"/>
      <c r="T92" s="248"/>
      <c r="U92" s="248"/>
      <c r="V92" s="248"/>
      <c r="W92" s="248"/>
      <c r="X92" s="248"/>
    </row>
    <row r="93" spans="4:24">
      <c r="D93" s="370"/>
      <c r="J93" s="381"/>
      <c r="N93" s="388"/>
      <c r="O93" s="388"/>
    </row>
    <row r="94" spans="4:24">
      <c r="D94" s="345"/>
      <c r="E94" s="381"/>
      <c r="F94" s="381"/>
      <c r="G94" s="381"/>
      <c r="H94" s="381"/>
      <c r="I94" s="381"/>
      <c r="P94" s="391"/>
      <c r="Q94" s="391"/>
      <c r="R94" s="391"/>
      <c r="S94" s="247"/>
      <c r="T94" s="247"/>
      <c r="U94" s="247"/>
      <c r="V94" s="247"/>
      <c r="W94" s="247"/>
      <c r="X94" s="247"/>
    </row>
    <row r="95" spans="4:24">
      <c r="D95" s="370"/>
      <c r="L95" s="389"/>
      <c r="M95" s="389"/>
      <c r="N95" s="389"/>
      <c r="O95" s="389"/>
      <c r="P95" s="388"/>
      <c r="Q95" s="388"/>
      <c r="R95" s="388"/>
      <c r="S95" s="388"/>
      <c r="T95" s="388"/>
      <c r="U95" s="388"/>
      <c r="V95" s="388"/>
      <c r="W95" s="388"/>
      <c r="X95" s="388"/>
    </row>
    <row r="96" spans="4:24">
      <c r="D96" s="370"/>
      <c r="J96" s="381"/>
      <c r="K96" s="381"/>
      <c r="N96" s="388"/>
      <c r="O96" s="388"/>
      <c r="P96" s="248"/>
      <c r="Q96" s="248"/>
      <c r="R96" s="248"/>
    </row>
    <row r="97" spans="4:24">
      <c r="D97" s="370"/>
      <c r="J97" s="381"/>
      <c r="K97" s="381"/>
      <c r="S97" s="389"/>
      <c r="T97" s="389"/>
      <c r="U97" s="389"/>
      <c r="V97" s="389"/>
      <c r="W97" s="389"/>
      <c r="X97" s="389"/>
    </row>
    <row r="98" spans="4:24">
      <c r="D98" s="345"/>
      <c r="E98" s="381"/>
      <c r="F98" s="381"/>
      <c r="G98" s="381"/>
      <c r="H98" s="381"/>
      <c r="I98" s="381"/>
      <c r="L98" s="391"/>
      <c r="M98" s="391"/>
      <c r="N98" s="391"/>
      <c r="O98" s="391"/>
      <c r="P98" s="247"/>
      <c r="Q98" s="247"/>
      <c r="R98" s="247"/>
      <c r="S98" s="388"/>
      <c r="T98" s="388"/>
      <c r="U98" s="388"/>
      <c r="V98" s="388"/>
      <c r="W98" s="388"/>
      <c r="X98" s="388"/>
    </row>
    <row r="99" spans="4:24">
      <c r="D99" s="370"/>
      <c r="N99" s="388"/>
      <c r="O99" s="388"/>
      <c r="P99" s="388"/>
      <c r="Q99" s="388"/>
      <c r="R99" s="388"/>
    </row>
    <row r="100" spans="4:24">
      <c r="D100" s="370"/>
      <c r="E100" s="345"/>
      <c r="F100" s="345"/>
      <c r="G100" s="345"/>
      <c r="H100" s="345"/>
      <c r="I100" s="345"/>
      <c r="J100" s="381"/>
      <c r="K100" s="381"/>
      <c r="N100" s="248"/>
      <c r="O100" s="248"/>
      <c r="P100" s="274"/>
      <c r="Q100" s="274"/>
      <c r="R100" s="274"/>
      <c r="S100" s="391"/>
      <c r="T100" s="391"/>
      <c r="U100" s="391"/>
      <c r="V100" s="391"/>
      <c r="W100" s="391"/>
      <c r="X100" s="391"/>
    </row>
    <row r="101" spans="4:24">
      <c r="D101" s="370"/>
      <c r="E101" s="345"/>
      <c r="F101" s="345"/>
      <c r="G101" s="345"/>
      <c r="H101" s="345"/>
      <c r="I101" s="345"/>
      <c r="K101" s="381"/>
      <c r="S101" s="388"/>
      <c r="T101" s="388"/>
      <c r="U101" s="388"/>
      <c r="V101" s="388"/>
      <c r="W101" s="388"/>
      <c r="X101" s="388"/>
    </row>
    <row r="102" spans="4:24">
      <c r="D102" s="370"/>
      <c r="L102" s="247"/>
      <c r="M102" s="247"/>
      <c r="N102" s="247"/>
      <c r="O102" s="247"/>
      <c r="P102" s="389"/>
      <c r="Q102" s="389"/>
      <c r="R102" s="389"/>
      <c r="S102" s="248"/>
      <c r="T102" s="248"/>
      <c r="U102" s="248"/>
      <c r="V102" s="248"/>
      <c r="W102" s="248"/>
      <c r="X102" s="248"/>
    </row>
    <row r="103" spans="4:24">
      <c r="D103" s="370"/>
      <c r="N103" s="388"/>
      <c r="O103" s="388"/>
      <c r="P103" s="388"/>
      <c r="Q103" s="388"/>
      <c r="R103" s="388"/>
    </row>
    <row r="104" spans="4:24">
      <c r="D104" s="370"/>
      <c r="K104" s="381"/>
      <c r="L104" s="274"/>
      <c r="M104" s="274"/>
      <c r="N104" s="274"/>
      <c r="O104" s="274"/>
      <c r="S104" s="247"/>
      <c r="T104" s="247"/>
      <c r="U104" s="247"/>
      <c r="V104" s="247"/>
      <c r="W104" s="247"/>
      <c r="X104" s="247"/>
    </row>
    <row r="105" spans="4:24">
      <c r="D105" s="345"/>
      <c r="E105" s="381"/>
      <c r="F105" s="381"/>
      <c r="G105" s="381"/>
      <c r="H105" s="381"/>
      <c r="I105" s="381"/>
      <c r="S105" s="388"/>
      <c r="T105" s="388"/>
      <c r="U105" s="388"/>
      <c r="V105" s="388"/>
      <c r="W105" s="388"/>
      <c r="X105" s="388"/>
    </row>
    <row r="106" spans="4:24">
      <c r="D106" s="345"/>
      <c r="E106" s="381"/>
      <c r="F106" s="381"/>
      <c r="G106" s="381"/>
      <c r="H106" s="381"/>
      <c r="I106" s="381"/>
      <c r="L106" s="389"/>
      <c r="M106" s="389"/>
      <c r="N106" s="389"/>
      <c r="O106" s="389"/>
      <c r="P106" s="249"/>
      <c r="Q106" s="249"/>
      <c r="R106" s="249"/>
      <c r="S106" s="274"/>
      <c r="T106" s="274"/>
      <c r="U106" s="274"/>
      <c r="V106" s="274"/>
      <c r="W106" s="274"/>
      <c r="X106" s="274"/>
    </row>
    <row r="107" spans="4:24">
      <c r="D107" s="370"/>
      <c r="E107" s="381"/>
      <c r="F107" s="381"/>
      <c r="G107" s="381"/>
      <c r="H107" s="381"/>
      <c r="I107" s="381"/>
      <c r="N107" s="388"/>
      <c r="O107" s="388"/>
      <c r="P107" s="388"/>
      <c r="Q107" s="388"/>
      <c r="R107" s="388"/>
    </row>
    <row r="108" spans="4:24">
      <c r="D108" s="370"/>
      <c r="E108" s="381"/>
      <c r="F108" s="381"/>
      <c r="G108" s="381"/>
      <c r="H108" s="381"/>
      <c r="I108" s="381"/>
      <c r="S108" s="389"/>
      <c r="T108" s="389"/>
      <c r="U108" s="389"/>
      <c r="V108" s="389"/>
      <c r="W108" s="389"/>
      <c r="X108" s="389"/>
    </row>
    <row r="109" spans="4:24">
      <c r="D109" s="370"/>
      <c r="P109" s="249"/>
      <c r="Q109" s="249"/>
      <c r="R109" s="249"/>
      <c r="S109" s="388"/>
      <c r="T109" s="388"/>
      <c r="U109" s="388"/>
      <c r="V109" s="388"/>
      <c r="W109" s="388"/>
      <c r="X109" s="388"/>
    </row>
    <row r="110" spans="4:24">
      <c r="D110" s="345"/>
      <c r="E110" s="381"/>
      <c r="F110" s="381"/>
      <c r="G110" s="381"/>
      <c r="H110" s="381"/>
      <c r="I110" s="381"/>
      <c r="L110" s="249"/>
      <c r="M110" s="249"/>
      <c r="N110" s="249"/>
      <c r="O110" s="249"/>
      <c r="P110" s="390"/>
      <c r="Q110" s="390"/>
      <c r="R110" s="390"/>
    </row>
    <row r="111" spans="4:24">
      <c r="D111" s="370"/>
      <c r="E111" s="381"/>
      <c r="F111" s="381"/>
      <c r="G111" s="381"/>
      <c r="H111" s="381"/>
      <c r="I111" s="381"/>
      <c r="N111" s="388"/>
      <c r="O111" s="388"/>
    </row>
    <row r="112" spans="4:24">
      <c r="D112" s="370"/>
      <c r="E112" s="381"/>
      <c r="F112" s="381"/>
      <c r="G112" s="381"/>
      <c r="H112" s="381"/>
      <c r="I112" s="381"/>
      <c r="P112" s="389"/>
      <c r="Q112" s="389"/>
      <c r="R112" s="389"/>
      <c r="S112" s="249"/>
      <c r="T112" s="249"/>
      <c r="U112" s="249"/>
      <c r="V112" s="249"/>
      <c r="W112" s="249"/>
      <c r="X112" s="249"/>
    </row>
    <row r="113" spans="4:24">
      <c r="D113" s="370"/>
      <c r="L113" s="249"/>
      <c r="M113" s="249"/>
      <c r="N113" s="249"/>
      <c r="O113" s="249"/>
      <c r="P113" s="392"/>
      <c r="Q113" s="392"/>
      <c r="R113" s="392"/>
      <c r="S113" s="388"/>
      <c r="T113" s="388"/>
      <c r="U113" s="388"/>
      <c r="V113" s="388"/>
      <c r="W113" s="388"/>
      <c r="X113" s="388"/>
    </row>
    <row r="114" spans="4:24">
      <c r="D114" s="370"/>
      <c r="N114" s="388"/>
      <c r="O114" s="388"/>
      <c r="P114" s="392"/>
      <c r="Q114" s="392"/>
      <c r="R114" s="392"/>
    </row>
    <row r="115" spans="4:24">
      <c r="D115" s="370"/>
      <c r="J115" s="381"/>
      <c r="S115" s="249"/>
      <c r="T115" s="249"/>
      <c r="U115" s="249"/>
      <c r="V115" s="249"/>
      <c r="W115" s="249"/>
      <c r="X115" s="249"/>
    </row>
    <row r="116" spans="4:24">
      <c r="D116" s="370"/>
      <c r="J116" s="381"/>
      <c r="L116" s="389"/>
      <c r="M116" s="389"/>
      <c r="N116" s="389"/>
      <c r="O116" s="389"/>
      <c r="P116" s="388"/>
      <c r="Q116" s="388"/>
      <c r="R116" s="388"/>
      <c r="S116" s="390"/>
      <c r="T116" s="390"/>
      <c r="U116" s="390"/>
      <c r="V116" s="390"/>
      <c r="W116" s="390"/>
      <c r="X116" s="390"/>
    </row>
    <row r="117" spans="4:24">
      <c r="D117" s="370"/>
      <c r="N117" s="392"/>
      <c r="O117" s="392"/>
      <c r="P117" s="389"/>
      <c r="Q117" s="389"/>
      <c r="R117" s="389"/>
    </row>
    <row r="118" spans="4:24">
      <c r="D118" s="370"/>
      <c r="J118" s="381"/>
      <c r="L118" s="392"/>
      <c r="M118" s="392"/>
      <c r="N118" s="392"/>
      <c r="O118" s="392"/>
      <c r="R118" s="392"/>
      <c r="S118" s="389"/>
      <c r="T118" s="389"/>
      <c r="U118" s="389"/>
      <c r="V118" s="389"/>
      <c r="W118" s="389"/>
      <c r="X118" s="389"/>
    </row>
    <row r="119" spans="4:24">
      <c r="D119" s="370"/>
      <c r="J119" s="381"/>
      <c r="K119" s="381"/>
      <c r="S119" s="392"/>
      <c r="T119" s="392"/>
      <c r="U119" s="392"/>
      <c r="V119" s="392"/>
      <c r="W119" s="392"/>
      <c r="X119" s="392"/>
    </row>
    <row r="120" spans="4:24">
      <c r="D120" s="370"/>
      <c r="J120" s="381"/>
      <c r="K120" s="381"/>
      <c r="L120" s="388"/>
      <c r="M120" s="388"/>
      <c r="N120" s="388"/>
      <c r="O120" s="388"/>
      <c r="P120" s="389"/>
      <c r="Q120" s="389"/>
      <c r="R120" s="389"/>
      <c r="S120" s="392"/>
      <c r="T120" s="392"/>
      <c r="U120" s="392"/>
      <c r="V120" s="392"/>
      <c r="W120" s="392"/>
      <c r="X120" s="392"/>
    </row>
    <row r="121" spans="4:24">
      <c r="D121" s="370"/>
      <c r="L121" s="389"/>
      <c r="M121" s="389"/>
      <c r="N121" s="389"/>
      <c r="O121" s="389"/>
      <c r="P121" s="392"/>
      <c r="Q121" s="392"/>
      <c r="R121" s="392"/>
    </row>
    <row r="122" spans="4:24">
      <c r="D122" s="345"/>
      <c r="E122" s="381"/>
      <c r="F122" s="381"/>
      <c r="G122" s="381"/>
      <c r="H122" s="381"/>
      <c r="I122" s="381"/>
      <c r="K122" s="381"/>
      <c r="S122" s="388"/>
      <c r="T122" s="388"/>
      <c r="U122" s="388"/>
      <c r="V122" s="388"/>
      <c r="W122" s="388"/>
      <c r="X122" s="388"/>
    </row>
    <row r="123" spans="4:24">
      <c r="D123" s="370"/>
      <c r="J123" s="381"/>
      <c r="K123" s="381"/>
      <c r="S123" s="389"/>
      <c r="T123" s="389"/>
      <c r="U123" s="389"/>
      <c r="V123" s="389"/>
      <c r="W123" s="389"/>
      <c r="X123" s="389"/>
    </row>
    <row r="124" spans="4:24">
      <c r="D124" s="370"/>
      <c r="J124" s="381"/>
      <c r="K124" s="381"/>
      <c r="L124" s="389"/>
      <c r="M124" s="389"/>
      <c r="N124" s="389"/>
      <c r="O124" s="389"/>
      <c r="S124" s="392"/>
      <c r="T124" s="392"/>
      <c r="U124" s="392"/>
      <c r="V124" s="392"/>
      <c r="W124" s="392"/>
      <c r="X124" s="392"/>
    </row>
    <row r="125" spans="4:24">
      <c r="D125" s="345"/>
      <c r="E125" s="381"/>
      <c r="F125" s="381"/>
      <c r="G125" s="381"/>
      <c r="H125" s="381"/>
      <c r="I125" s="381"/>
      <c r="N125" s="392"/>
      <c r="O125" s="392"/>
    </row>
    <row r="126" spans="4:24">
      <c r="D126" s="370"/>
      <c r="S126" s="389"/>
      <c r="T126" s="389"/>
      <c r="U126" s="389"/>
      <c r="V126" s="389"/>
      <c r="W126" s="389"/>
      <c r="X126" s="389"/>
    </row>
    <row r="127" spans="4:24">
      <c r="D127" s="345"/>
      <c r="E127" s="381"/>
      <c r="F127" s="381"/>
      <c r="G127" s="381"/>
      <c r="H127" s="381"/>
      <c r="I127" s="381"/>
      <c r="K127" s="381"/>
      <c r="S127" s="392"/>
      <c r="T127" s="392"/>
      <c r="U127" s="392"/>
      <c r="V127" s="392"/>
      <c r="W127" s="392"/>
      <c r="X127" s="392"/>
    </row>
    <row r="128" spans="4:24">
      <c r="D128" s="370"/>
      <c r="E128" s="381"/>
      <c r="F128" s="381"/>
      <c r="G128" s="381"/>
      <c r="H128" s="381"/>
      <c r="I128" s="381"/>
      <c r="K128" s="381"/>
    </row>
    <row r="129" spans="4:11">
      <c r="D129" s="370"/>
    </row>
    <row r="130" spans="4:11">
      <c r="D130" s="370"/>
    </row>
    <row r="131" spans="4:11">
      <c r="D131" s="345"/>
      <c r="E131" s="381"/>
      <c r="F131" s="381"/>
      <c r="G131" s="381"/>
      <c r="H131" s="381"/>
      <c r="I131" s="381"/>
    </row>
    <row r="132" spans="4:11">
      <c r="D132" s="370"/>
      <c r="E132" s="381"/>
      <c r="F132" s="381"/>
      <c r="G132" s="381"/>
      <c r="H132" s="381"/>
      <c r="I132" s="381"/>
    </row>
    <row r="133" spans="4:11">
      <c r="D133" s="370"/>
    </row>
    <row r="134" spans="4:11">
      <c r="D134" s="345"/>
      <c r="E134" s="381"/>
      <c r="F134" s="381"/>
      <c r="G134" s="381"/>
      <c r="H134" s="381"/>
      <c r="I134" s="381"/>
    </row>
    <row r="135" spans="4:11">
      <c r="D135" s="370"/>
      <c r="J135" s="381"/>
    </row>
    <row r="136" spans="4:11">
      <c r="D136" s="370"/>
      <c r="J136" s="381"/>
    </row>
    <row r="137" spans="4:11">
      <c r="D137" s="345"/>
      <c r="E137" s="381"/>
      <c r="F137" s="381"/>
      <c r="G137" s="381"/>
      <c r="H137" s="381"/>
      <c r="I137" s="381"/>
    </row>
    <row r="138" spans="4:11">
      <c r="D138" s="370"/>
    </row>
    <row r="139" spans="4:11">
      <c r="D139" s="370"/>
      <c r="J139" s="381"/>
      <c r="K139" s="381"/>
    </row>
    <row r="140" spans="4:11">
      <c r="D140" s="370"/>
      <c r="J140" s="381"/>
      <c r="K140" s="381"/>
    </row>
    <row r="141" spans="4:11">
      <c r="D141" s="345"/>
      <c r="E141" s="381"/>
      <c r="F141" s="381"/>
      <c r="G141" s="381"/>
      <c r="H141" s="381"/>
      <c r="I141" s="381"/>
    </row>
    <row r="142" spans="4:11">
      <c r="D142" s="370"/>
    </row>
    <row r="143" spans="4:11">
      <c r="D143" s="370"/>
      <c r="E143" s="345"/>
      <c r="F143" s="345"/>
      <c r="G143" s="345"/>
      <c r="H143" s="345"/>
      <c r="I143" s="345"/>
      <c r="J143" s="381"/>
      <c r="K143" s="381"/>
    </row>
    <row r="144" spans="4:11">
      <c r="D144" s="370"/>
      <c r="E144" s="345"/>
      <c r="F144" s="345"/>
      <c r="G144" s="345"/>
      <c r="H144" s="345"/>
      <c r="I144" s="345"/>
      <c r="K144" s="381"/>
    </row>
    <row r="145" spans="4:11">
      <c r="D145" s="370"/>
    </row>
    <row r="146" spans="4:11">
      <c r="D146" s="370"/>
    </row>
    <row r="147" spans="4:11">
      <c r="K147" s="381"/>
    </row>
    <row r="148" spans="4:11">
      <c r="D148" s="345"/>
      <c r="E148" s="381"/>
      <c r="F148" s="381"/>
      <c r="G148" s="381"/>
      <c r="H148" s="381"/>
      <c r="I148" s="381"/>
    </row>
    <row r="149" spans="4:11">
      <c r="D149" s="345"/>
      <c r="E149" s="381"/>
      <c r="F149" s="381"/>
      <c r="G149" s="381"/>
      <c r="H149" s="381"/>
      <c r="I149" s="381"/>
    </row>
    <row r="150" spans="4:11">
      <c r="D150" s="370"/>
      <c r="E150" s="381"/>
      <c r="F150" s="381"/>
      <c r="G150" s="381"/>
      <c r="H150" s="381"/>
      <c r="I150" s="381"/>
    </row>
    <row r="151" spans="4:11">
      <c r="D151" s="370"/>
      <c r="E151" s="381"/>
      <c r="F151" s="381"/>
      <c r="G151" s="381"/>
      <c r="H151" s="381"/>
      <c r="I151" s="381"/>
    </row>
    <row r="152" spans="4:11">
      <c r="D152" s="370"/>
    </row>
    <row r="153" spans="4:11">
      <c r="D153" s="345"/>
      <c r="E153" s="381"/>
      <c r="F153" s="381"/>
      <c r="G153" s="381"/>
      <c r="H153" s="381"/>
      <c r="I153" s="381"/>
    </row>
    <row r="154" spans="4:11">
      <c r="D154" s="370"/>
      <c r="E154" s="381"/>
      <c r="F154" s="381"/>
      <c r="G154" s="381"/>
      <c r="H154" s="381"/>
      <c r="I154" s="381"/>
    </row>
    <row r="155" spans="4:11">
      <c r="D155" s="370"/>
      <c r="E155" s="381"/>
      <c r="F155" s="381"/>
      <c r="G155" s="381"/>
      <c r="H155" s="381"/>
      <c r="I155" s="381"/>
    </row>
    <row r="156" spans="4:11">
      <c r="D156" s="370"/>
    </row>
    <row r="157" spans="4:11">
      <c r="D157" s="370"/>
    </row>
    <row r="158" spans="4:11">
      <c r="D158" s="370"/>
      <c r="J158" s="381"/>
    </row>
    <row r="159" spans="4:11">
      <c r="D159" s="370"/>
      <c r="J159" s="381"/>
    </row>
    <row r="160" spans="4:11">
      <c r="D160" s="370"/>
    </row>
    <row r="161" spans="4:11">
      <c r="D161" s="370"/>
      <c r="J161" s="381"/>
    </row>
    <row r="162" spans="4:11">
      <c r="D162" s="370"/>
      <c r="J162" s="381"/>
      <c r="K162" s="381"/>
    </row>
    <row r="163" spans="4:11">
      <c r="D163" s="370"/>
      <c r="J163" s="381"/>
      <c r="K163" s="381"/>
    </row>
    <row r="164" spans="4:11">
      <c r="D164" s="370"/>
    </row>
    <row r="165" spans="4:11">
      <c r="D165" s="345"/>
      <c r="E165" s="381"/>
      <c r="F165" s="381"/>
      <c r="G165" s="381"/>
      <c r="H165" s="381"/>
      <c r="I165" s="381"/>
      <c r="K165" s="381"/>
    </row>
    <row r="166" spans="4:11">
      <c r="D166" s="370"/>
      <c r="J166" s="381"/>
      <c r="K166" s="381"/>
    </row>
    <row r="167" spans="4:11">
      <c r="D167" s="370"/>
      <c r="J167" s="381"/>
      <c r="K167" s="381"/>
    </row>
    <row r="168" spans="4:11">
      <c r="D168" s="345"/>
      <c r="E168" s="381"/>
      <c r="F168" s="381"/>
      <c r="G168" s="381"/>
      <c r="H168" s="381"/>
      <c r="I168" s="381"/>
    </row>
    <row r="169" spans="4:11">
      <c r="D169" s="370"/>
    </row>
    <row r="170" spans="4:11">
      <c r="D170" s="345"/>
      <c r="E170" s="381"/>
      <c r="F170" s="381"/>
      <c r="G170" s="381"/>
      <c r="H170" s="381"/>
      <c r="I170" s="381"/>
      <c r="K170" s="381"/>
    </row>
    <row r="171" spans="4:11">
      <c r="D171" s="370"/>
      <c r="E171" s="381"/>
      <c r="F171" s="381"/>
      <c r="G171" s="381"/>
      <c r="H171" s="381"/>
      <c r="I171" s="381"/>
      <c r="K171" s="381"/>
    </row>
    <row r="172" spans="4:11">
      <c r="D172" s="370"/>
    </row>
    <row r="173" spans="4:11">
      <c r="D173" s="370"/>
    </row>
    <row r="174" spans="4:11">
      <c r="D174" s="345"/>
      <c r="E174" s="381"/>
      <c r="F174" s="381"/>
      <c r="G174" s="381"/>
      <c r="H174" s="381"/>
      <c r="I174" s="381"/>
    </row>
    <row r="175" spans="4:11">
      <c r="D175" s="370"/>
      <c r="E175" s="381"/>
      <c r="F175" s="381"/>
      <c r="G175" s="381"/>
      <c r="H175" s="381"/>
      <c r="I175" s="381"/>
    </row>
    <row r="176" spans="4:11">
      <c r="D176" s="370"/>
    </row>
    <row r="177" spans="4:11">
      <c r="D177" s="345"/>
      <c r="E177" s="381"/>
      <c r="F177" s="381"/>
      <c r="G177" s="381"/>
      <c r="H177" s="381"/>
      <c r="I177" s="381"/>
    </row>
    <row r="178" spans="4:11">
      <c r="D178" s="370"/>
      <c r="J178" s="381"/>
    </row>
    <row r="179" spans="4:11">
      <c r="D179" s="370"/>
      <c r="J179" s="381"/>
    </row>
    <row r="180" spans="4:11">
      <c r="D180" s="345"/>
      <c r="E180" s="381"/>
      <c r="F180" s="381"/>
      <c r="G180" s="381"/>
      <c r="H180" s="381"/>
      <c r="I180" s="381"/>
    </row>
    <row r="181" spans="4:11">
      <c r="D181" s="370"/>
    </row>
    <row r="182" spans="4:11">
      <c r="D182" s="370"/>
      <c r="J182" s="381"/>
      <c r="K182" s="381"/>
    </row>
    <row r="183" spans="4:11">
      <c r="D183" s="370"/>
      <c r="J183" s="381"/>
      <c r="K183" s="381"/>
    </row>
    <row r="184" spans="4:11">
      <c r="D184" s="345"/>
      <c r="E184" s="381"/>
      <c r="F184" s="381"/>
      <c r="G184" s="381"/>
      <c r="H184" s="381"/>
      <c r="I184" s="381"/>
    </row>
    <row r="185" spans="4:11">
      <c r="D185" s="370"/>
    </row>
    <row r="186" spans="4:11">
      <c r="D186" s="370"/>
      <c r="E186" s="345"/>
      <c r="F186" s="345"/>
      <c r="G186" s="345"/>
      <c r="H186" s="345"/>
      <c r="I186" s="345"/>
      <c r="J186" s="381"/>
      <c r="K186" s="381"/>
    </row>
    <row r="187" spans="4:11">
      <c r="D187" s="370"/>
      <c r="E187" s="345"/>
      <c r="F187" s="345"/>
      <c r="G187" s="345"/>
      <c r="H187" s="345"/>
      <c r="I187" s="345"/>
      <c r="K187" s="381"/>
    </row>
    <row r="188" spans="4:11">
      <c r="D188" s="370"/>
    </row>
    <row r="189" spans="4:11">
      <c r="D189" s="370"/>
    </row>
    <row r="190" spans="4:11">
      <c r="D190" s="370"/>
      <c r="K190" s="381"/>
    </row>
    <row r="191" spans="4:11">
      <c r="D191" s="345"/>
      <c r="E191" s="381"/>
      <c r="F191" s="381"/>
      <c r="G191" s="381"/>
      <c r="H191" s="381"/>
      <c r="I191" s="381"/>
    </row>
    <row r="192" spans="4:11">
      <c r="D192" s="345"/>
      <c r="E192" s="381"/>
      <c r="F192" s="381"/>
      <c r="G192" s="381"/>
      <c r="H192" s="381"/>
      <c r="I192" s="381"/>
    </row>
    <row r="193" spans="4:11">
      <c r="D193" s="370"/>
      <c r="E193" s="381"/>
      <c r="F193" s="381"/>
      <c r="G193" s="381"/>
      <c r="H193" s="381"/>
      <c r="I193" s="381"/>
    </row>
    <row r="194" spans="4:11">
      <c r="D194" s="370"/>
      <c r="E194" s="381"/>
      <c r="F194" s="381"/>
      <c r="G194" s="381"/>
      <c r="H194" s="381"/>
      <c r="I194" s="381"/>
    </row>
    <row r="195" spans="4:11">
      <c r="D195" s="370"/>
    </row>
    <row r="196" spans="4:11">
      <c r="D196" s="345"/>
      <c r="E196" s="381"/>
      <c r="F196" s="381"/>
      <c r="G196" s="381"/>
      <c r="H196" s="381"/>
      <c r="I196" s="381"/>
    </row>
    <row r="197" spans="4:11">
      <c r="D197" s="370"/>
      <c r="E197" s="381"/>
      <c r="F197" s="381"/>
      <c r="G197" s="381"/>
      <c r="H197" s="381"/>
      <c r="I197" s="381"/>
    </row>
    <row r="198" spans="4:11">
      <c r="D198" s="370"/>
      <c r="E198" s="381"/>
      <c r="F198" s="381"/>
      <c r="G198" s="381"/>
      <c r="H198" s="381"/>
      <c r="I198" s="381"/>
    </row>
    <row r="199" spans="4:11">
      <c r="D199" s="370"/>
    </row>
    <row r="200" spans="4:11">
      <c r="D200" s="370"/>
    </row>
    <row r="201" spans="4:11">
      <c r="D201" s="370"/>
      <c r="J201" s="381"/>
    </row>
    <row r="202" spans="4:11">
      <c r="D202" s="370"/>
      <c r="J202" s="381"/>
    </row>
    <row r="203" spans="4:11">
      <c r="D203" s="370"/>
    </row>
    <row r="204" spans="4:11">
      <c r="D204" s="370"/>
      <c r="J204" s="381"/>
    </row>
    <row r="205" spans="4:11">
      <c r="D205" s="370"/>
      <c r="J205" s="381"/>
      <c r="K205" s="381"/>
    </row>
    <row r="206" spans="4:11">
      <c r="D206" s="370"/>
      <c r="J206" s="381"/>
      <c r="K206" s="381"/>
    </row>
    <row r="207" spans="4:11">
      <c r="D207" s="370"/>
    </row>
    <row r="208" spans="4:11">
      <c r="D208" s="345"/>
      <c r="E208" s="381"/>
      <c r="F208" s="381"/>
      <c r="G208" s="381"/>
      <c r="H208" s="381"/>
      <c r="I208" s="381"/>
      <c r="K208" s="381"/>
    </row>
    <row r="209" spans="4:11">
      <c r="D209" s="370"/>
      <c r="J209" s="381"/>
      <c r="K209" s="381"/>
    </row>
    <row r="210" spans="4:11">
      <c r="D210" s="370"/>
      <c r="J210" s="381"/>
      <c r="K210" s="381"/>
    </row>
    <row r="211" spans="4:11">
      <c r="D211" s="345"/>
      <c r="E211" s="381"/>
      <c r="F211" s="381"/>
      <c r="G211" s="381"/>
      <c r="H211" s="381"/>
      <c r="I211" s="381"/>
    </row>
    <row r="212" spans="4:11">
      <c r="D212" s="370"/>
    </row>
    <row r="213" spans="4:11">
      <c r="D213" s="345"/>
      <c r="E213" s="381"/>
      <c r="F213" s="381"/>
      <c r="G213" s="381"/>
      <c r="H213" s="381"/>
      <c r="I213" s="381"/>
      <c r="K213" s="381"/>
    </row>
    <row r="214" spans="4:11">
      <c r="D214" s="370"/>
      <c r="E214" s="381"/>
      <c r="F214" s="381"/>
      <c r="G214" s="381"/>
      <c r="H214" s="381"/>
      <c r="I214" s="381"/>
      <c r="K214" s="381"/>
    </row>
    <row r="215" spans="4:11">
      <c r="D215" s="370"/>
    </row>
    <row r="216" spans="4:11">
      <c r="D216" s="370"/>
    </row>
    <row r="217" spans="4:11">
      <c r="D217" s="345"/>
      <c r="E217" s="381"/>
      <c r="F217" s="381"/>
      <c r="G217" s="381"/>
      <c r="H217" s="381"/>
      <c r="I217" s="381"/>
    </row>
    <row r="218" spans="4:11">
      <c r="D218" s="370"/>
      <c r="E218" s="381"/>
      <c r="F218" s="381"/>
      <c r="G218" s="381"/>
      <c r="H218" s="381"/>
      <c r="I218" s="381"/>
    </row>
    <row r="219" spans="4:11">
      <c r="D219" s="370"/>
    </row>
    <row r="220" spans="4:11">
      <c r="D220" s="345"/>
      <c r="E220" s="381"/>
      <c r="F220" s="381"/>
      <c r="G220" s="381"/>
      <c r="H220" s="381"/>
      <c r="I220" s="381"/>
    </row>
    <row r="221" spans="4:11">
      <c r="D221" s="370"/>
      <c r="J221" s="381"/>
    </row>
    <row r="222" spans="4:11">
      <c r="D222" s="370"/>
      <c r="J222" s="381"/>
    </row>
    <row r="223" spans="4:11">
      <c r="D223" s="345"/>
      <c r="E223" s="381"/>
      <c r="F223" s="381"/>
      <c r="G223" s="381"/>
      <c r="H223" s="381"/>
      <c r="I223" s="381"/>
    </row>
    <row r="224" spans="4:11">
      <c r="D224" s="370"/>
    </row>
    <row r="225" spans="4:11">
      <c r="D225" s="370"/>
      <c r="J225" s="381"/>
      <c r="K225" s="381"/>
    </row>
    <row r="226" spans="4:11">
      <c r="D226" s="370"/>
      <c r="J226" s="381"/>
      <c r="K226" s="381"/>
    </row>
    <row r="227" spans="4:11">
      <c r="D227" s="345"/>
      <c r="E227" s="381"/>
      <c r="F227" s="381"/>
      <c r="G227" s="381"/>
      <c r="H227" s="381"/>
      <c r="I227" s="381"/>
    </row>
    <row r="228" spans="4:11">
      <c r="D228" s="370"/>
    </row>
    <row r="229" spans="4:11">
      <c r="D229" s="370"/>
      <c r="E229" s="345"/>
      <c r="F229" s="345"/>
      <c r="G229" s="345"/>
      <c r="H229" s="345"/>
      <c r="I229" s="345"/>
      <c r="J229" s="381"/>
      <c r="K229" s="381"/>
    </row>
    <row r="230" spans="4:11">
      <c r="D230" s="370"/>
      <c r="E230" s="345"/>
      <c r="F230" s="345"/>
      <c r="G230" s="345"/>
      <c r="H230" s="345"/>
      <c r="I230" s="345"/>
      <c r="K230" s="381"/>
    </row>
    <row r="231" spans="4:11">
      <c r="D231" s="370"/>
    </row>
    <row r="232" spans="4:11">
      <c r="D232" s="370"/>
    </row>
    <row r="233" spans="4:11">
      <c r="D233" s="370"/>
      <c r="K233" s="381"/>
    </row>
    <row r="234" spans="4:11">
      <c r="D234" s="345"/>
      <c r="E234" s="381"/>
      <c r="F234" s="381"/>
      <c r="G234" s="381"/>
      <c r="H234" s="381"/>
      <c r="I234" s="381"/>
    </row>
    <row r="235" spans="4:11">
      <c r="D235" s="345"/>
      <c r="E235" s="381"/>
      <c r="F235" s="381"/>
      <c r="G235" s="381"/>
      <c r="H235" s="381"/>
      <c r="I235" s="381"/>
    </row>
    <row r="236" spans="4:11">
      <c r="D236" s="370"/>
      <c r="E236" s="381"/>
      <c r="F236" s="381"/>
      <c r="G236" s="381"/>
      <c r="H236" s="381"/>
      <c r="I236" s="381"/>
    </row>
    <row r="237" spans="4:11">
      <c r="D237" s="370"/>
      <c r="E237" s="381"/>
      <c r="F237" s="381"/>
      <c r="G237" s="381"/>
      <c r="H237" s="381"/>
      <c r="I237" s="381"/>
    </row>
    <row r="238" spans="4:11">
      <c r="D238" s="370"/>
    </row>
    <row r="239" spans="4:11">
      <c r="D239" s="345"/>
      <c r="E239" s="381"/>
      <c r="F239" s="381"/>
      <c r="G239" s="381"/>
      <c r="H239" s="381"/>
      <c r="I239" s="381"/>
    </row>
    <row r="240" spans="4:11">
      <c r="D240" s="370"/>
      <c r="E240" s="381"/>
      <c r="F240" s="381"/>
      <c r="G240" s="381"/>
      <c r="H240" s="381"/>
      <c r="I240" s="381"/>
    </row>
    <row r="241" spans="4:11">
      <c r="D241" s="370"/>
      <c r="E241" s="381"/>
      <c r="F241" s="381"/>
      <c r="G241" s="381"/>
      <c r="H241" s="381"/>
      <c r="I241" s="381"/>
    </row>
    <row r="242" spans="4:11">
      <c r="D242" s="370"/>
    </row>
    <row r="243" spans="4:11">
      <c r="D243" s="370"/>
    </row>
    <row r="244" spans="4:11">
      <c r="D244" s="370"/>
      <c r="J244" s="381"/>
    </row>
    <row r="245" spans="4:11">
      <c r="D245" s="370"/>
      <c r="J245" s="381"/>
    </row>
    <row r="246" spans="4:11">
      <c r="D246" s="370"/>
    </row>
    <row r="247" spans="4:11">
      <c r="D247" s="370"/>
      <c r="J247" s="381"/>
    </row>
    <row r="248" spans="4:11">
      <c r="D248" s="370"/>
      <c r="J248" s="381"/>
      <c r="K248" s="381"/>
    </row>
    <row r="249" spans="4:11">
      <c r="D249" s="370"/>
      <c r="J249" s="381"/>
      <c r="K249" s="381"/>
    </row>
    <row r="250" spans="4:11">
      <c r="D250" s="370"/>
    </row>
    <row r="251" spans="4:11">
      <c r="D251" s="345"/>
      <c r="E251" s="381"/>
      <c r="F251" s="381"/>
      <c r="G251" s="381"/>
      <c r="H251" s="381"/>
      <c r="I251" s="381"/>
      <c r="K251" s="381"/>
    </row>
    <row r="252" spans="4:11">
      <c r="D252" s="370"/>
      <c r="J252" s="381"/>
      <c r="K252" s="381"/>
    </row>
    <row r="253" spans="4:11">
      <c r="D253" s="370"/>
      <c r="J253" s="381"/>
      <c r="K253" s="381"/>
    </row>
    <row r="254" spans="4:11">
      <c r="D254" s="345"/>
      <c r="E254" s="381"/>
      <c r="F254" s="381"/>
      <c r="G254" s="381"/>
      <c r="H254" s="381"/>
      <c r="I254" s="381"/>
    </row>
    <row r="255" spans="4:11">
      <c r="D255" s="370"/>
    </row>
    <row r="256" spans="4:11">
      <c r="D256" s="345"/>
      <c r="E256" s="381"/>
      <c r="F256" s="381"/>
      <c r="G256" s="381"/>
      <c r="H256" s="381"/>
      <c r="I256" s="381"/>
      <c r="K256" s="381"/>
    </row>
    <row r="257" spans="4:11">
      <c r="D257" s="370"/>
      <c r="E257" s="381"/>
      <c r="F257" s="381"/>
      <c r="G257" s="381"/>
      <c r="H257" s="381"/>
      <c r="I257" s="381"/>
      <c r="K257" s="381"/>
    </row>
    <row r="258" spans="4:11">
      <c r="D258" s="370"/>
    </row>
    <row r="259" spans="4:11">
      <c r="D259" s="370"/>
    </row>
    <row r="260" spans="4:11">
      <c r="D260" s="345"/>
      <c r="E260" s="381"/>
      <c r="F260" s="381"/>
      <c r="G260" s="381"/>
      <c r="H260" s="381"/>
      <c r="I260" s="381"/>
    </row>
    <row r="261" spans="4:11">
      <c r="D261" s="370"/>
      <c r="E261" s="381"/>
      <c r="F261" s="381"/>
      <c r="G261" s="381"/>
      <c r="H261" s="381"/>
      <c r="I261" s="381"/>
    </row>
    <row r="262" spans="4:11">
      <c r="D262" s="370"/>
    </row>
    <row r="263" spans="4:11">
      <c r="D263" s="345"/>
      <c r="E263" s="381"/>
      <c r="F263" s="381"/>
      <c r="G263" s="381"/>
      <c r="H263" s="381"/>
      <c r="I263" s="381"/>
    </row>
    <row r="264" spans="4:11">
      <c r="D264" s="370"/>
      <c r="J264" s="381"/>
    </row>
    <row r="265" spans="4:11">
      <c r="D265" s="370"/>
      <c r="J265" s="381"/>
    </row>
    <row r="266" spans="4:11">
      <c r="D266" s="345"/>
      <c r="E266" s="381"/>
      <c r="F266" s="381"/>
      <c r="G266" s="381"/>
      <c r="H266" s="381"/>
      <c r="I266" s="381"/>
    </row>
    <row r="267" spans="4:11">
      <c r="D267" s="370"/>
    </row>
    <row r="268" spans="4:11">
      <c r="D268" s="370"/>
      <c r="J268" s="381"/>
      <c r="K268" s="381"/>
    </row>
    <row r="269" spans="4:11">
      <c r="D269" s="370"/>
      <c r="J269" s="381"/>
      <c r="K269" s="381"/>
    </row>
    <row r="270" spans="4:11">
      <c r="D270" s="345"/>
      <c r="E270" s="381"/>
      <c r="F270" s="381"/>
      <c r="G270" s="381"/>
      <c r="H270" s="381"/>
      <c r="I270" s="381"/>
    </row>
    <row r="271" spans="4:11">
      <c r="D271" s="370"/>
    </row>
    <row r="272" spans="4:11">
      <c r="D272" s="370"/>
      <c r="E272" s="345"/>
      <c r="F272" s="345"/>
      <c r="G272" s="345"/>
      <c r="H272" s="345"/>
      <c r="I272" s="345"/>
      <c r="J272" s="381"/>
      <c r="K272" s="381"/>
    </row>
    <row r="273" spans="4:11">
      <c r="D273" s="370"/>
      <c r="E273" s="345"/>
      <c r="F273" s="345"/>
      <c r="G273" s="345"/>
      <c r="H273" s="345"/>
      <c r="I273" s="345"/>
      <c r="K273" s="381"/>
    </row>
    <row r="274" spans="4:11">
      <c r="D274" s="370"/>
    </row>
    <row r="275" spans="4:11">
      <c r="D275" s="370"/>
    </row>
    <row r="276" spans="4:11">
      <c r="D276" s="370"/>
      <c r="K276" s="381"/>
    </row>
    <row r="277" spans="4:11">
      <c r="D277" s="370"/>
    </row>
    <row r="278" spans="4:11">
      <c r="D278" s="370"/>
    </row>
    <row r="279" spans="4:11">
      <c r="D279" s="370"/>
    </row>
    <row r="280" spans="4:11">
      <c r="D280" s="370"/>
    </row>
    <row r="281" spans="4:11">
      <c r="D281" s="370"/>
    </row>
    <row r="282" spans="4:11">
      <c r="D282" s="370"/>
    </row>
    <row r="283" spans="4:11">
      <c r="D283" s="370"/>
    </row>
    <row r="284" spans="4:11">
      <c r="D284" s="370"/>
    </row>
    <row r="285" spans="4:11">
      <c r="D285" s="370"/>
    </row>
    <row r="286" spans="4:11">
      <c r="D286" s="370"/>
    </row>
    <row r="287" spans="4:11">
      <c r="D287" s="370"/>
    </row>
    <row r="288" spans="4:11">
      <c r="D288" s="370"/>
    </row>
    <row r="289" spans="4:4">
      <c r="D289" s="370"/>
    </row>
    <row r="290" spans="4:4">
      <c r="D290" s="370"/>
    </row>
    <row r="291" spans="4:4">
      <c r="D291" s="370"/>
    </row>
    <row r="292" spans="4:4">
      <c r="D292" s="370"/>
    </row>
    <row r="293" spans="4:4">
      <c r="D293" s="370"/>
    </row>
    <row r="294" spans="4:4">
      <c r="D294" s="370"/>
    </row>
    <row r="295" spans="4:4">
      <c r="D295" s="370"/>
    </row>
    <row r="296" spans="4:4">
      <c r="D296" s="370"/>
    </row>
    <row r="297" spans="4:4">
      <c r="D297" s="370"/>
    </row>
    <row r="298" spans="4:4">
      <c r="D298" s="370"/>
    </row>
    <row r="299" spans="4:4">
      <c r="D299" s="370"/>
    </row>
    <row r="300" spans="4:4">
      <c r="D300" s="370"/>
    </row>
    <row r="301" spans="4:4">
      <c r="D301" s="370"/>
    </row>
    <row r="302" spans="4:4">
      <c r="D302" s="370"/>
    </row>
    <row r="303" spans="4:4">
      <c r="D303" s="370"/>
    </row>
    <row r="304" spans="4:4">
      <c r="D304" s="370"/>
    </row>
    <row r="305" spans="4:4">
      <c r="D305" s="370"/>
    </row>
    <row r="306" spans="4:4">
      <c r="D306" s="370"/>
    </row>
    <row r="307" spans="4:4">
      <c r="D307" s="370"/>
    </row>
    <row r="308" spans="4:4">
      <c r="D308" s="370"/>
    </row>
    <row r="309" spans="4:4">
      <c r="D309" s="370"/>
    </row>
    <row r="310" spans="4:4">
      <c r="D310" s="370"/>
    </row>
    <row r="311" spans="4:4">
      <c r="D311" s="370"/>
    </row>
    <row r="312" spans="4:4">
      <c r="D312" s="370"/>
    </row>
    <row r="313" spans="4:4">
      <c r="D313" s="370"/>
    </row>
    <row r="314" spans="4:4">
      <c r="D314" s="370"/>
    </row>
    <row r="315" spans="4:4">
      <c r="D315" s="370"/>
    </row>
    <row r="316" spans="4:4">
      <c r="D316" s="370"/>
    </row>
    <row r="317" spans="4:4">
      <c r="D317" s="370"/>
    </row>
    <row r="318" spans="4:4">
      <c r="D318" s="370"/>
    </row>
    <row r="319" spans="4:4">
      <c r="D319" s="370"/>
    </row>
    <row r="320" spans="4:4">
      <c r="D320" s="370"/>
    </row>
    <row r="321" spans="4:4">
      <c r="D321" s="370"/>
    </row>
    <row r="322" spans="4:4">
      <c r="D322" s="370"/>
    </row>
    <row r="323" spans="4:4">
      <c r="D323" s="370"/>
    </row>
    <row r="324" spans="4:4">
      <c r="D324" s="370"/>
    </row>
    <row r="325" spans="4:4">
      <c r="D325" s="370"/>
    </row>
    <row r="326" spans="4:4">
      <c r="D326" s="370"/>
    </row>
    <row r="327" spans="4:4">
      <c r="D327" s="370"/>
    </row>
    <row r="328" spans="4:4">
      <c r="D328" s="370"/>
    </row>
    <row r="329" spans="4:4">
      <c r="D329" s="370"/>
    </row>
    <row r="330" spans="4:4">
      <c r="D330" s="370"/>
    </row>
    <row r="331" spans="4:4">
      <c r="D331" s="370"/>
    </row>
    <row r="332" spans="4:4">
      <c r="D332" s="370"/>
    </row>
    <row r="333" spans="4:4">
      <c r="D333" s="370"/>
    </row>
    <row r="334" spans="4:4">
      <c r="D334" s="370"/>
    </row>
    <row r="335" spans="4:4">
      <c r="D335" s="370"/>
    </row>
    <row r="336" spans="4:4">
      <c r="D336" s="370"/>
    </row>
    <row r="337" spans="4:4">
      <c r="D337" s="370"/>
    </row>
    <row r="338" spans="4:4">
      <c r="D338" s="370"/>
    </row>
    <row r="339" spans="4:4">
      <c r="D339" s="370"/>
    </row>
    <row r="340" spans="4:4">
      <c r="D340" s="370"/>
    </row>
    <row r="341" spans="4:4">
      <c r="D341" s="370"/>
    </row>
    <row r="342" spans="4:4">
      <c r="D342" s="370"/>
    </row>
    <row r="343" spans="4:4">
      <c r="D343" s="370"/>
    </row>
    <row r="344" spans="4:4">
      <c r="D344" s="370"/>
    </row>
    <row r="345" spans="4:4">
      <c r="D345" s="370"/>
    </row>
    <row r="346" spans="4:4">
      <c r="D346" s="370"/>
    </row>
    <row r="347" spans="4:4">
      <c r="D347" s="370"/>
    </row>
    <row r="348" spans="4:4">
      <c r="D348" s="370"/>
    </row>
    <row r="349" spans="4:4">
      <c r="D349" s="370"/>
    </row>
    <row r="350" spans="4:4">
      <c r="D350" s="370"/>
    </row>
    <row r="351" spans="4:4">
      <c r="D351" s="370"/>
    </row>
    <row r="352" spans="4:4">
      <c r="D352" s="370"/>
    </row>
    <row r="353" spans="4:4">
      <c r="D353" s="370"/>
    </row>
    <row r="354" spans="4:4">
      <c r="D354" s="370"/>
    </row>
    <row r="355" spans="4:4">
      <c r="D355" s="370"/>
    </row>
    <row r="356" spans="4:4">
      <c r="D356" s="370"/>
    </row>
    <row r="357" spans="4:4">
      <c r="D357" s="370"/>
    </row>
    <row r="358" spans="4:4">
      <c r="D358" s="370"/>
    </row>
    <row r="359" spans="4:4">
      <c r="D359" s="370"/>
    </row>
    <row r="360" spans="4:4">
      <c r="D360" s="370"/>
    </row>
    <row r="361" spans="4:4">
      <c r="D361" s="370"/>
    </row>
    <row r="362" spans="4:4">
      <c r="D362" s="370"/>
    </row>
    <row r="363" spans="4:4">
      <c r="D363" s="370"/>
    </row>
    <row r="364" spans="4:4">
      <c r="D364" s="370"/>
    </row>
    <row r="365" spans="4:4">
      <c r="D365" s="370"/>
    </row>
    <row r="366" spans="4:4">
      <c r="D366" s="370"/>
    </row>
    <row r="367" spans="4:4">
      <c r="D367" s="370"/>
    </row>
    <row r="368" spans="4:4">
      <c r="D368" s="370"/>
    </row>
    <row r="369" spans="4:4">
      <c r="D369" s="370"/>
    </row>
    <row r="370" spans="4:4">
      <c r="D370" s="370"/>
    </row>
    <row r="371" spans="4:4">
      <c r="D371" s="370"/>
    </row>
    <row r="372" spans="4:4">
      <c r="D372" s="370"/>
    </row>
    <row r="373" spans="4:4">
      <c r="D373" s="370"/>
    </row>
    <row r="374" spans="4:4">
      <c r="D374" s="370"/>
    </row>
    <row r="375" spans="4:4">
      <c r="D375" s="370"/>
    </row>
    <row r="376" spans="4:4">
      <c r="D376" s="370"/>
    </row>
    <row r="377" spans="4:4">
      <c r="D377" s="370"/>
    </row>
    <row r="378" spans="4:4">
      <c r="D378" s="370"/>
    </row>
    <row r="379" spans="4:4">
      <c r="D379" s="370"/>
    </row>
    <row r="380" spans="4:4">
      <c r="D380" s="370"/>
    </row>
    <row r="381" spans="4:4">
      <c r="D381" s="370"/>
    </row>
    <row r="382" spans="4:4">
      <c r="D382" s="370"/>
    </row>
    <row r="383" spans="4:4">
      <c r="D383" s="370"/>
    </row>
    <row r="384" spans="4:4">
      <c r="D384" s="370"/>
    </row>
    <row r="385" spans="4:4">
      <c r="D385" s="370"/>
    </row>
    <row r="386" spans="4:4">
      <c r="D386" s="370"/>
    </row>
    <row r="387" spans="4:4">
      <c r="D387" s="370"/>
    </row>
    <row r="388" spans="4:4">
      <c r="D388" s="370"/>
    </row>
    <row r="389" spans="4:4">
      <c r="D389" s="370"/>
    </row>
    <row r="390" spans="4:4">
      <c r="D390" s="370"/>
    </row>
    <row r="391" spans="4:4">
      <c r="D391" s="370"/>
    </row>
    <row r="392" spans="4:4">
      <c r="D392" s="370"/>
    </row>
    <row r="393" spans="4:4">
      <c r="D393" s="370"/>
    </row>
    <row r="394" spans="4:4">
      <c r="D394" s="370"/>
    </row>
    <row r="395" spans="4:4">
      <c r="D395" s="370"/>
    </row>
    <row r="396" spans="4:4">
      <c r="D396" s="370"/>
    </row>
    <row r="397" spans="4:4">
      <c r="D397" s="370"/>
    </row>
    <row r="398" spans="4:4">
      <c r="D398" s="370"/>
    </row>
    <row r="399" spans="4:4">
      <c r="D399" s="370"/>
    </row>
    <row r="400" spans="4:4">
      <c r="D400" s="370"/>
    </row>
    <row r="401" spans="4:4">
      <c r="D401" s="370"/>
    </row>
    <row r="402" spans="4:4">
      <c r="D402" s="370"/>
    </row>
    <row r="403" spans="4:4">
      <c r="D403" s="370"/>
    </row>
    <row r="404" spans="4:4">
      <c r="D404" s="370"/>
    </row>
    <row r="405" spans="4:4">
      <c r="D405" s="370"/>
    </row>
    <row r="406" spans="4:4">
      <c r="D406" s="370"/>
    </row>
    <row r="407" spans="4:4">
      <c r="D407" s="370"/>
    </row>
    <row r="408" spans="4:4">
      <c r="D408" s="370"/>
    </row>
    <row r="409" spans="4:4">
      <c r="D409" s="370"/>
    </row>
    <row r="410" spans="4:4">
      <c r="D410" s="370"/>
    </row>
    <row r="411" spans="4:4">
      <c r="D411" s="370"/>
    </row>
    <row r="412" spans="4:4">
      <c r="D412" s="370"/>
    </row>
    <row r="413" spans="4:4">
      <c r="D413" s="370"/>
    </row>
    <row r="414" spans="4:4">
      <c r="D414" s="370"/>
    </row>
    <row r="415" spans="4:4">
      <c r="D415" s="370"/>
    </row>
    <row r="416" spans="4:4">
      <c r="D416" s="370"/>
    </row>
    <row r="417" spans="4:4">
      <c r="D417" s="370"/>
    </row>
    <row r="418" spans="4:4">
      <c r="D418" s="370"/>
    </row>
    <row r="419" spans="4:4">
      <c r="D419" s="370"/>
    </row>
    <row r="420" spans="4:4">
      <c r="D420" s="370"/>
    </row>
    <row r="421" spans="4:4">
      <c r="D421" s="370"/>
    </row>
    <row r="422" spans="4:4">
      <c r="D422" s="370"/>
    </row>
    <row r="423" spans="4:4">
      <c r="D423" s="370"/>
    </row>
    <row r="424" spans="4:4">
      <c r="D424" s="370"/>
    </row>
    <row r="425" spans="4:4">
      <c r="D425" s="370"/>
    </row>
    <row r="426" spans="4:4">
      <c r="D426" s="370"/>
    </row>
    <row r="427" spans="4:4">
      <c r="D427" s="370"/>
    </row>
    <row r="428" spans="4:4">
      <c r="D428" s="370"/>
    </row>
    <row r="429" spans="4:4">
      <c r="D429" s="370"/>
    </row>
    <row r="430" spans="4:4">
      <c r="D430" s="370"/>
    </row>
    <row r="431" spans="4:4">
      <c r="D431" s="370"/>
    </row>
    <row r="432" spans="4:4">
      <c r="D432" s="370"/>
    </row>
    <row r="433" spans="4:4">
      <c r="D433" s="370"/>
    </row>
    <row r="434" spans="4:4">
      <c r="D434" s="370"/>
    </row>
    <row r="435" spans="4:4">
      <c r="D435" s="370"/>
    </row>
    <row r="436" spans="4:4">
      <c r="D436" s="370"/>
    </row>
    <row r="437" spans="4:4">
      <c r="D437" s="370"/>
    </row>
    <row r="438" spans="4:4">
      <c r="D438" s="370"/>
    </row>
    <row r="439" spans="4:4">
      <c r="D439" s="370"/>
    </row>
    <row r="440" spans="4:4">
      <c r="D440" s="370"/>
    </row>
    <row r="441" spans="4:4">
      <c r="D441" s="370"/>
    </row>
    <row r="442" spans="4:4">
      <c r="D442" s="370"/>
    </row>
    <row r="443" spans="4:4">
      <c r="D443" s="370"/>
    </row>
    <row r="444" spans="4:4">
      <c r="D444" s="370"/>
    </row>
    <row r="445" spans="4:4">
      <c r="D445" s="370"/>
    </row>
    <row r="446" spans="4:4">
      <c r="D446" s="370"/>
    </row>
    <row r="447" spans="4:4">
      <c r="D447" s="370"/>
    </row>
    <row r="448" spans="4:4">
      <c r="D448" s="370"/>
    </row>
    <row r="449" spans="4:4">
      <c r="D449" s="370"/>
    </row>
    <row r="450" spans="4:4">
      <c r="D450" s="370"/>
    </row>
    <row r="451" spans="4:4">
      <c r="D451" s="370"/>
    </row>
    <row r="452" spans="4:4">
      <c r="D452" s="370"/>
    </row>
    <row r="453" spans="4:4">
      <c r="D453" s="370"/>
    </row>
    <row r="454" spans="4:4">
      <c r="D454" s="370"/>
    </row>
    <row r="455" spans="4:4">
      <c r="D455" s="370"/>
    </row>
    <row r="456" spans="4:4">
      <c r="D456" s="370"/>
    </row>
    <row r="457" spans="4:4">
      <c r="D457" s="370"/>
    </row>
    <row r="458" spans="4:4">
      <c r="D458" s="370"/>
    </row>
    <row r="459" spans="4:4">
      <c r="D459" s="370"/>
    </row>
    <row r="460" spans="4:4">
      <c r="D460" s="370"/>
    </row>
    <row r="461" spans="4:4">
      <c r="D461" s="370"/>
    </row>
    <row r="462" spans="4:4">
      <c r="D462" s="370"/>
    </row>
  </sheetData>
  <phoneticPr fontId="26" type="noConversion"/>
  <pageMargins left="0.75" right="0.75" top="1" bottom="1" header="0.5" footer="0.5"/>
  <pageSetup scale="45" orientation="landscape" r:id="rId1"/>
  <headerFooter alignWithMargins="0"/>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600-000000000000}">
  <sheetPr codeName="Sheet51">
    <pageSetUpPr fitToPage="1"/>
  </sheetPr>
  <dimension ref="B1:X444"/>
  <sheetViews>
    <sheetView showGridLines="0" zoomScale="80" zoomScaleNormal="80" workbookViewId="0"/>
  </sheetViews>
  <sheetFormatPr defaultColWidth="9.109375" defaultRowHeight="12"/>
  <cols>
    <col min="1" max="1" width="2.33203125" style="367" customWidth="1"/>
    <col min="2" max="4" width="10" style="367" customWidth="1"/>
    <col min="5" max="5" width="21.33203125" style="367" customWidth="1"/>
    <col min="6" max="6" width="10" style="367" customWidth="1"/>
    <col min="7" max="7" width="2.33203125" style="367" customWidth="1"/>
    <col min="8" max="8" width="10" style="367" customWidth="1"/>
    <col min="9" max="9" width="2.109375" style="367" customWidth="1"/>
    <col min="10" max="10" width="10" style="367" customWidth="1"/>
    <col min="11" max="11" width="2.109375" style="367" customWidth="1"/>
    <col min="12" max="12" width="10" style="367" customWidth="1"/>
    <col min="13" max="13" width="2.109375" style="367" customWidth="1"/>
    <col min="14" max="14" width="10" style="367" customWidth="1"/>
    <col min="15" max="15" width="2.109375" style="367" customWidth="1"/>
    <col min="16" max="16" width="10" style="367" customWidth="1"/>
    <col min="17" max="17" width="2.109375" style="367" customWidth="1"/>
    <col min="18" max="18" width="10" style="367" customWidth="1"/>
    <col min="19" max="19" width="2.109375" style="367" customWidth="1"/>
    <col min="20" max="20" width="9.88671875" style="367" customWidth="1"/>
    <col min="21" max="21" width="2.109375" style="367" customWidth="1"/>
    <col min="22" max="22" width="10" style="367" customWidth="1"/>
    <col min="23" max="23" width="2.109375" style="367" customWidth="1"/>
    <col min="24" max="24" width="10" style="367" customWidth="1"/>
    <col min="25" max="16384" width="9.109375" style="367"/>
  </cols>
  <sheetData>
    <row r="1" spans="2:24" s="472" customFormat="1">
      <c r="E1" s="150"/>
    </row>
    <row r="2" spans="2:24" s="472" customFormat="1">
      <c r="E2" s="150"/>
    </row>
    <row r="3" spans="2:24" s="472" customFormat="1"/>
    <row r="4" spans="2:24" s="477" customFormat="1" ht="21">
      <c r="B4" s="129" t="s">
        <v>1460</v>
      </c>
      <c r="C4" s="129"/>
    </row>
    <row r="5" spans="2:24" s="472" customFormat="1">
      <c r="D5" s="132"/>
      <c r="E5" s="132"/>
      <c r="F5" s="132"/>
      <c r="G5" s="132"/>
      <c r="H5" s="132"/>
      <c r="I5" s="132"/>
      <c r="L5" s="473"/>
      <c r="M5" s="473"/>
      <c r="N5" s="473"/>
      <c r="O5" s="473"/>
      <c r="P5" s="473"/>
      <c r="Q5" s="473"/>
      <c r="R5" s="473"/>
      <c r="S5" s="473"/>
      <c r="T5" s="473"/>
      <c r="U5" s="473"/>
      <c r="V5" s="473"/>
      <c r="W5" s="473"/>
      <c r="X5" s="473"/>
    </row>
    <row r="6" spans="2:24">
      <c r="B6" s="456"/>
      <c r="C6" s="456"/>
      <c r="D6" s="456"/>
      <c r="E6" s="456"/>
      <c r="F6" s="456"/>
      <c r="G6" s="456"/>
      <c r="H6" s="456"/>
      <c r="I6" s="456"/>
      <c r="L6" s="440"/>
      <c r="M6" s="440"/>
      <c r="N6" s="440"/>
      <c r="O6" s="440"/>
      <c r="P6" s="440"/>
      <c r="Q6" s="440"/>
      <c r="R6" s="440"/>
      <c r="S6" s="440"/>
      <c r="T6" s="440"/>
      <c r="U6" s="440"/>
      <c r="V6" s="440"/>
      <c r="W6" s="440"/>
      <c r="X6" s="440"/>
    </row>
    <row r="7" spans="2:24" ht="12.6" thickBot="1">
      <c r="B7" s="306" t="s">
        <v>353</v>
      </c>
      <c r="C7" s="306"/>
      <c r="D7" s="368"/>
      <c r="E7" s="457"/>
      <c r="F7" s="457"/>
      <c r="G7" s="457"/>
      <c r="H7" s="457"/>
      <c r="I7" s="457"/>
      <c r="J7" s="368"/>
      <c r="K7" s="368"/>
      <c r="L7" s="368"/>
      <c r="M7" s="368"/>
      <c r="N7" s="368"/>
      <c r="O7" s="368"/>
      <c r="P7" s="368"/>
      <c r="Q7" s="368"/>
      <c r="R7" s="368"/>
      <c r="S7" s="368"/>
      <c r="T7" s="368"/>
      <c r="U7" s="368"/>
      <c r="V7" s="368"/>
      <c r="W7" s="368"/>
      <c r="X7" s="368"/>
    </row>
    <row r="8" spans="2:24" ht="12.6" thickTop="1">
      <c r="B8" s="345"/>
      <c r="C8" s="345"/>
      <c r="E8" s="345"/>
      <c r="F8" s="345"/>
      <c r="G8" s="345"/>
      <c r="H8" s="345"/>
      <c r="I8" s="345"/>
    </row>
    <row r="9" spans="2:24">
      <c r="D9" s="345"/>
      <c r="E9" s="382" t="s">
        <v>81</v>
      </c>
      <c r="F9" s="458" t="s">
        <v>82</v>
      </c>
      <c r="G9" s="458"/>
      <c r="H9" s="458" t="s">
        <v>83</v>
      </c>
      <c r="I9" s="458"/>
      <c r="J9" s="458" t="s">
        <v>84</v>
      </c>
      <c r="K9" s="458"/>
      <c r="L9" s="458" t="s">
        <v>85</v>
      </c>
      <c r="M9" s="458"/>
      <c r="N9" s="458" t="s">
        <v>128</v>
      </c>
      <c r="O9" s="458"/>
      <c r="P9" s="458" t="s">
        <v>129</v>
      </c>
      <c r="Q9" s="458"/>
      <c r="R9" s="458" t="s">
        <v>125</v>
      </c>
      <c r="S9" s="458"/>
      <c r="T9" s="458" t="s">
        <v>130</v>
      </c>
      <c r="U9" s="458"/>
      <c r="V9" s="458" t="s">
        <v>131</v>
      </c>
      <c r="W9" s="458"/>
      <c r="X9" s="458" t="s">
        <v>132</v>
      </c>
    </row>
    <row r="10" spans="2:24">
      <c r="B10" s="345"/>
      <c r="C10" s="345"/>
      <c r="E10" s="382"/>
      <c r="F10" s="458"/>
      <c r="G10" s="458"/>
      <c r="H10" s="458"/>
      <c r="I10" s="458"/>
      <c r="J10" s="458"/>
      <c r="K10" s="458"/>
      <c r="L10" s="458"/>
      <c r="M10" s="458"/>
      <c r="N10" s="459"/>
      <c r="O10" s="459"/>
      <c r="P10" s="458"/>
      <c r="Q10" s="458"/>
      <c r="R10" s="458"/>
      <c r="S10" s="458"/>
      <c r="T10" s="458"/>
      <c r="U10" s="458"/>
      <c r="V10" s="458"/>
      <c r="W10" s="458"/>
      <c r="X10" s="458"/>
    </row>
    <row r="11" spans="2:24">
      <c r="B11" s="370" t="s">
        <v>0</v>
      </c>
      <c r="C11" s="370"/>
      <c r="E11" s="367" t="str">
        <f>"DCF, "&amp;TEXT(H11,"0.0")&amp;"x 21E OpFCF"</f>
        <v>DCF, 25.3x 21E OpFCF</v>
      </c>
      <c r="F11" s="484">
        <v>279.50340586099321</v>
      </c>
      <c r="G11" s="178" t="s">
        <v>134</v>
      </c>
      <c r="H11" s="487">
        <v>25.307893489318392</v>
      </c>
      <c r="I11" s="178" t="s">
        <v>135</v>
      </c>
      <c r="J11" s="216">
        <f>(H11*F11)</f>
        <v>7073.6424254317462</v>
      </c>
      <c r="K11" s="178" t="s">
        <v>136</v>
      </c>
      <c r="L11" s="216">
        <v>0</v>
      </c>
      <c r="M11" s="178" t="s">
        <v>135</v>
      </c>
      <c r="N11" s="216">
        <f>J11-L11</f>
        <v>7073.6424254317462</v>
      </c>
      <c r="O11" s="178" t="s">
        <v>134</v>
      </c>
      <c r="P11" s="490">
        <v>1</v>
      </c>
      <c r="Q11" s="393" t="s">
        <v>135</v>
      </c>
      <c r="R11" s="216">
        <f>P11*N11</f>
        <v>7073.6424254317462</v>
      </c>
      <c r="S11" s="216"/>
      <c r="T11" s="216">
        <f>N11-R11</f>
        <v>0</v>
      </c>
      <c r="U11" s="216"/>
      <c r="V11" s="394">
        <f>N11/$J$26</f>
        <v>0.82611327781091204</v>
      </c>
      <c r="W11" s="370"/>
      <c r="X11" s="373">
        <f>$J$30*V11</f>
        <v>44.192035944121464</v>
      </c>
    </row>
    <row r="12" spans="2:24">
      <c r="B12" s="370" t="s">
        <v>977</v>
      </c>
      <c r="C12" s="370"/>
      <c r="E12" s="367" t="str">
        <f>"DCF, "&amp;TEXT(H12,"0.0")&amp;"x 21E OpFCF"</f>
        <v>DCF, 18.0x 21E OpFCF</v>
      </c>
      <c r="F12" s="484">
        <v>136.69659413900681</v>
      </c>
      <c r="G12" s="178" t="s">
        <v>134</v>
      </c>
      <c r="H12" s="487">
        <v>17.954293923346313</v>
      </c>
      <c r="I12" s="178" t="s">
        <v>135</v>
      </c>
      <c r="J12" s="385">
        <f>(H12*F12)</f>
        <v>2454.2908294921072</v>
      </c>
      <c r="K12" s="178" t="s">
        <v>136</v>
      </c>
      <c r="L12" s="216">
        <v>0</v>
      </c>
      <c r="M12" s="178" t="s">
        <v>135</v>
      </c>
      <c r="N12" s="216">
        <f>J12-L12</f>
        <v>2454.2908294921072</v>
      </c>
      <c r="O12" s="178" t="s">
        <v>134</v>
      </c>
      <c r="P12" s="490">
        <v>1</v>
      </c>
      <c r="Q12" s="393" t="s">
        <v>135</v>
      </c>
      <c r="R12" s="216">
        <f>P12*N12</f>
        <v>2454.2908294921072</v>
      </c>
      <c r="S12" s="216"/>
      <c r="T12" s="216">
        <f>N12-R12</f>
        <v>0</v>
      </c>
      <c r="U12" s="216"/>
      <c r="V12" s="397">
        <f>N12/$J$26</f>
        <v>0.28663058151815402</v>
      </c>
      <c r="W12" s="370"/>
      <c r="X12" s="373">
        <f>$J$30*V12</f>
        <v>15.332992824785444</v>
      </c>
    </row>
    <row r="13" spans="2:24">
      <c r="B13" s="345" t="s">
        <v>1098</v>
      </c>
      <c r="J13" s="210">
        <f>J12+J11</f>
        <v>9527.9332549238534</v>
      </c>
      <c r="U13" s="210"/>
      <c r="V13" s="387"/>
      <c r="W13" s="370"/>
      <c r="X13" s="372"/>
    </row>
    <row r="14" spans="2:24">
      <c r="B14" s="345"/>
      <c r="C14" s="345"/>
      <c r="U14" s="210"/>
      <c r="V14" s="387"/>
      <c r="W14" s="370"/>
      <c r="X14" s="372"/>
    </row>
    <row r="15" spans="2:24">
      <c r="B15" s="370" t="s">
        <v>1102</v>
      </c>
      <c r="C15" s="370"/>
      <c r="E15" s="367" t="str">
        <f>"DCF, "&amp;TEXT(H15,"0.0")&amp;"x 21E OpFCF"</f>
        <v>DCF, 20.9x 21E OpFCF</v>
      </c>
      <c r="F15" s="484">
        <v>42.3</v>
      </c>
      <c r="G15" s="178" t="s">
        <v>134</v>
      </c>
      <c r="H15" s="487">
        <v>20.917387792726657</v>
      </c>
      <c r="I15" s="178" t="s">
        <v>135</v>
      </c>
      <c r="J15" s="216">
        <f>(H15*F15)</f>
        <v>884.8055036323376</v>
      </c>
      <c r="L15" s="379"/>
      <c r="N15" s="379"/>
      <c r="R15" s="379"/>
      <c r="V15" s="379"/>
      <c r="X15" s="379"/>
    </row>
    <row r="16" spans="2:24">
      <c r="B16" s="345" t="s">
        <v>138</v>
      </c>
      <c r="C16" s="370"/>
      <c r="F16" s="210"/>
      <c r="G16" s="196"/>
      <c r="H16" s="372"/>
      <c r="I16" s="376"/>
      <c r="J16" s="210">
        <f>J15+J13</f>
        <v>10412.738758556192</v>
      </c>
      <c r="K16" s="375"/>
      <c r="L16" s="210">
        <f>-J20</f>
        <v>1285.8112828063831</v>
      </c>
      <c r="M16" s="196"/>
      <c r="N16" s="210">
        <f>SUM(N11:N14)</f>
        <v>9527.9332549238534</v>
      </c>
      <c r="P16" s="377"/>
      <c r="Q16" s="378"/>
      <c r="R16" s="210">
        <f>SUM(R11:R14)</f>
        <v>9527.9332549238534</v>
      </c>
      <c r="S16" s="370"/>
      <c r="T16" s="210">
        <f>SUM(T11:T15)</f>
        <v>0</v>
      </c>
      <c r="U16" s="370"/>
      <c r="V16" s="387">
        <f>N16/$J$26</f>
        <v>1.1127438593290662</v>
      </c>
      <c r="W16" s="370"/>
      <c r="X16" s="372">
        <f>$J$30*V16</f>
        <v>59.525028768906914</v>
      </c>
    </row>
    <row r="17" spans="2:24">
      <c r="B17" s="345"/>
      <c r="C17" s="345"/>
      <c r="K17" s="375"/>
      <c r="L17" s="196"/>
      <c r="M17" s="196"/>
      <c r="N17" s="370"/>
      <c r="P17" s="377"/>
      <c r="Q17" s="378"/>
      <c r="R17" s="370"/>
      <c r="T17" s="196"/>
    </row>
    <row r="19" spans="2:24" ht="12.6" thickBot="1">
      <c r="B19" s="382" t="s">
        <v>142</v>
      </c>
      <c r="D19" s="345"/>
      <c r="E19" s="381"/>
      <c r="H19" s="381"/>
      <c r="I19" s="381"/>
      <c r="J19" s="374">
        <f>J16</f>
        <v>10412.738758556192</v>
      </c>
      <c r="T19" s="460" t="s">
        <v>549</v>
      </c>
      <c r="U19" s="368"/>
      <c r="V19" s="368"/>
      <c r="W19" s="368"/>
      <c r="X19" s="368"/>
    </row>
    <row r="20" spans="2:24" ht="12.6" thickTop="1">
      <c r="B20" s="384" t="s">
        <v>1377</v>
      </c>
      <c r="D20" s="424"/>
      <c r="J20" s="216">
        <f>-ELISA!D12</f>
        <v>-1285.8112828063831</v>
      </c>
    </row>
    <row r="21" spans="2:24">
      <c r="B21" s="384" t="s">
        <v>1127</v>
      </c>
      <c r="F21" s="381"/>
      <c r="G21" s="381"/>
      <c r="I21" s="381"/>
      <c r="J21" s="484">
        <v>-271.45235671296814</v>
      </c>
      <c r="K21" s="381"/>
    </row>
    <row r="22" spans="2:24">
      <c r="B22" s="384" t="s">
        <v>1128</v>
      </c>
      <c r="J22" s="484">
        <v>-330.00698230875508</v>
      </c>
    </row>
    <row r="23" spans="2:24">
      <c r="B23" s="384" t="s">
        <v>1031</v>
      </c>
      <c r="J23" s="484">
        <v>37.089342284886605</v>
      </c>
    </row>
    <row r="24" spans="2:24">
      <c r="B24" s="384" t="s">
        <v>375</v>
      </c>
      <c r="J24" s="216">
        <f>-T16</f>
        <v>0</v>
      </c>
      <c r="K24" s="381"/>
    </row>
    <row r="25" spans="2:24">
      <c r="B25" s="384" t="s">
        <v>377</v>
      </c>
      <c r="J25" s="484">
        <v>0</v>
      </c>
      <c r="K25" s="381"/>
    </row>
    <row r="26" spans="2:24">
      <c r="B26" s="382" t="s">
        <v>495</v>
      </c>
      <c r="D26" s="345"/>
      <c r="E26" s="381"/>
      <c r="F26" s="381"/>
      <c r="G26" s="381"/>
      <c r="H26" s="381"/>
      <c r="I26" s="381"/>
      <c r="J26" s="210">
        <f>SUM(J19:J25)</f>
        <v>8562.5574790129722</v>
      </c>
      <c r="K26" s="381"/>
    </row>
    <row r="27" spans="2:24" ht="12.6" thickBot="1">
      <c r="B27" s="384" t="s">
        <v>496</v>
      </c>
      <c r="D27" s="370"/>
      <c r="J27" s="216">
        <f>ELISA!E10</f>
        <v>160.066</v>
      </c>
      <c r="K27" s="381"/>
    </row>
    <row r="28" spans="2:24" ht="12.6" thickBot="1">
      <c r="B28" s="382" t="s">
        <v>497</v>
      </c>
      <c r="D28" s="370"/>
      <c r="J28" s="461">
        <f>J26/J27</f>
        <v>53.493918002654979</v>
      </c>
      <c r="K28" s="381"/>
    </row>
    <row r="29" spans="2:24" ht="12.6" thickBot="1">
      <c r="B29" s="384" t="s">
        <v>697</v>
      </c>
      <c r="D29" s="370"/>
      <c r="J29" s="485">
        <v>0</v>
      </c>
      <c r="K29" s="381"/>
    </row>
    <row r="30" spans="2:24" ht="12.6" thickBot="1">
      <c r="B30" s="382" t="s">
        <v>62</v>
      </c>
      <c r="D30" s="370"/>
      <c r="J30" s="461">
        <f>J28+J29</f>
        <v>53.493918002654979</v>
      </c>
      <c r="K30" s="381"/>
      <c r="L30" s="380"/>
    </row>
    <row r="31" spans="2:24">
      <c r="B31" s="384" t="s">
        <v>498</v>
      </c>
      <c r="D31" s="370"/>
      <c r="J31" s="373">
        <f>Prices!C23</f>
        <v>41.62</v>
      </c>
    </row>
    <row r="32" spans="2:24">
      <c r="B32" s="382" t="s">
        <v>97</v>
      </c>
      <c r="D32" s="345"/>
      <c r="E32" s="381"/>
      <c r="F32" s="381"/>
      <c r="G32" s="381"/>
      <c r="H32" s="381"/>
      <c r="I32" s="381"/>
      <c r="J32" s="387">
        <f>J30/J31-1</f>
        <v>0.28529356085187363</v>
      </c>
      <c r="K32" s="381"/>
    </row>
    <row r="33" spans="4:24">
      <c r="K33" s="381"/>
    </row>
    <row r="34" spans="4:24">
      <c r="D34" s="386"/>
      <c r="E34" s="381"/>
      <c r="F34" s="381"/>
      <c r="G34" s="381"/>
      <c r="H34" s="381"/>
      <c r="I34" s="381"/>
      <c r="J34" s="381"/>
      <c r="K34" s="381"/>
    </row>
    <row r="35" spans="4:24">
      <c r="D35" s="376"/>
      <c r="E35" s="345"/>
      <c r="H35" s="381"/>
      <c r="I35" s="381"/>
      <c r="K35" s="381"/>
    </row>
    <row r="36" spans="4:24">
      <c r="K36" s="381"/>
    </row>
    <row r="37" spans="4:24">
      <c r="D37" s="345"/>
      <c r="E37" s="345"/>
      <c r="F37" s="345"/>
      <c r="G37" s="345"/>
      <c r="H37" s="345"/>
      <c r="I37" s="345"/>
    </row>
    <row r="38" spans="4:24" ht="12.6" thickBot="1">
      <c r="D38" s="345"/>
      <c r="E38" s="345"/>
      <c r="F38" s="345"/>
      <c r="G38" s="345"/>
      <c r="H38" s="345"/>
      <c r="I38" s="345"/>
      <c r="T38" s="460" t="s">
        <v>549</v>
      </c>
      <c r="U38" s="368"/>
      <c r="V38" s="368"/>
      <c r="W38" s="368"/>
      <c r="X38" s="368"/>
    </row>
    <row r="39" spans="4:24" ht="12.6" thickTop="1">
      <c r="D39" s="345"/>
      <c r="E39" s="345"/>
      <c r="F39" s="345"/>
      <c r="G39" s="345"/>
      <c r="H39" s="345"/>
      <c r="I39" s="345"/>
      <c r="T39" s="370" t="s">
        <v>0</v>
      </c>
      <c r="X39" s="394">
        <f>(R11)/($R$16)</f>
        <v>0.74241099682097622</v>
      </c>
    </row>
    <row r="40" spans="4:24">
      <c r="D40" s="345"/>
      <c r="E40" s="345"/>
      <c r="F40" s="345"/>
      <c r="G40" s="345"/>
      <c r="H40" s="345"/>
      <c r="I40" s="345"/>
      <c r="T40" s="370" t="s">
        <v>1</v>
      </c>
      <c r="X40" s="394">
        <f>J15/($R$16)</f>
        <v>9.2864368374441231E-2</v>
      </c>
    </row>
    <row r="41" spans="4:24">
      <c r="D41" s="345"/>
      <c r="E41" s="345"/>
      <c r="F41" s="345"/>
      <c r="G41" s="345"/>
      <c r="H41" s="345"/>
      <c r="I41" s="345"/>
      <c r="T41" s="370" t="s">
        <v>2</v>
      </c>
      <c r="X41" s="394">
        <f>(R12)/($R$16)</f>
        <v>0.25758900317902383</v>
      </c>
    </row>
    <row r="42" spans="4:24">
      <c r="D42" s="345"/>
      <c r="E42" s="345"/>
      <c r="F42" s="345"/>
      <c r="G42" s="345"/>
      <c r="H42" s="345"/>
      <c r="I42" s="345"/>
    </row>
    <row r="43" spans="4:24">
      <c r="D43" s="345"/>
      <c r="E43" s="345"/>
      <c r="F43" s="345"/>
      <c r="G43" s="345"/>
      <c r="H43" s="345"/>
      <c r="I43" s="345"/>
    </row>
    <row r="44" spans="4:24">
      <c r="D44" s="345"/>
      <c r="E44" s="381"/>
      <c r="F44" s="381"/>
      <c r="G44" s="381"/>
      <c r="H44" s="381"/>
      <c r="I44" s="381"/>
      <c r="T44" s="249"/>
    </row>
    <row r="45" spans="4:24">
      <c r="D45" s="345"/>
      <c r="E45" s="381"/>
      <c r="F45" s="381"/>
      <c r="G45" s="381"/>
      <c r="H45" s="381"/>
      <c r="I45" s="381"/>
      <c r="T45" s="388"/>
    </row>
    <row r="46" spans="4:24">
      <c r="D46" s="370"/>
      <c r="E46" s="381"/>
      <c r="F46" s="381"/>
      <c r="G46" s="381"/>
      <c r="H46" s="381"/>
      <c r="I46" s="381"/>
    </row>
    <row r="47" spans="4:24">
      <c r="D47" s="370"/>
      <c r="E47" s="381"/>
      <c r="F47" s="381"/>
      <c r="G47" s="381"/>
      <c r="H47" s="381"/>
      <c r="I47" s="381"/>
      <c r="Q47" s="249"/>
    </row>
    <row r="48" spans="4:24">
      <c r="D48" s="370"/>
      <c r="M48" s="249"/>
      <c r="Q48" s="388"/>
      <c r="T48" s="249"/>
    </row>
    <row r="49" spans="4:24">
      <c r="D49" s="345"/>
      <c r="E49" s="381"/>
      <c r="F49" s="381"/>
      <c r="G49" s="381"/>
      <c r="H49" s="381"/>
      <c r="I49" s="381"/>
      <c r="L49" s="249"/>
      <c r="N49" s="249"/>
      <c r="O49" s="249"/>
      <c r="P49" s="249"/>
      <c r="T49" s="388"/>
    </row>
    <row r="50" spans="4:24">
      <c r="D50" s="370"/>
      <c r="E50" s="381"/>
      <c r="F50" s="381"/>
      <c r="G50" s="381"/>
      <c r="H50" s="381"/>
      <c r="I50" s="381"/>
      <c r="N50" s="388"/>
      <c r="O50" s="388"/>
      <c r="P50" s="388"/>
    </row>
    <row r="51" spans="4:24">
      <c r="D51" s="370"/>
      <c r="E51" s="381"/>
      <c r="F51" s="381"/>
      <c r="G51" s="381"/>
      <c r="H51" s="381"/>
      <c r="I51" s="381"/>
      <c r="Q51" s="249"/>
    </row>
    <row r="52" spans="4:24">
      <c r="D52" s="370"/>
      <c r="M52" s="249"/>
      <c r="Q52" s="388"/>
    </row>
    <row r="53" spans="4:24">
      <c r="D53" s="370"/>
      <c r="L53" s="249"/>
      <c r="N53" s="249"/>
      <c r="O53" s="249"/>
      <c r="P53" s="249"/>
    </row>
    <row r="54" spans="4:24">
      <c r="D54" s="370"/>
      <c r="J54" s="381"/>
      <c r="N54" s="388"/>
      <c r="O54" s="388"/>
      <c r="P54" s="388"/>
      <c r="Q54" s="249"/>
      <c r="R54" s="249"/>
    </row>
    <row r="55" spans="4:24">
      <c r="D55" s="370"/>
      <c r="J55" s="381"/>
      <c r="M55" s="249"/>
      <c r="Q55" s="388"/>
      <c r="R55" s="388"/>
    </row>
    <row r="56" spans="4:24">
      <c r="D56" s="370"/>
      <c r="L56" s="249"/>
      <c r="N56" s="249"/>
      <c r="O56" s="249"/>
      <c r="P56" s="249"/>
    </row>
    <row r="57" spans="4:24">
      <c r="D57" s="370"/>
      <c r="J57" s="381"/>
      <c r="K57" s="381"/>
      <c r="N57" s="388"/>
      <c r="O57" s="388"/>
      <c r="P57" s="388"/>
      <c r="Q57" s="249"/>
      <c r="R57" s="249"/>
      <c r="S57" s="249"/>
      <c r="T57" s="249"/>
      <c r="U57" s="249"/>
      <c r="V57" s="249"/>
      <c r="W57" s="249"/>
      <c r="X57" s="249"/>
    </row>
    <row r="58" spans="4:24">
      <c r="D58" s="370"/>
      <c r="J58" s="381"/>
      <c r="K58" s="381"/>
      <c r="M58" s="249"/>
      <c r="Q58" s="388"/>
      <c r="R58" s="388"/>
      <c r="S58" s="388"/>
      <c r="T58" s="388"/>
      <c r="U58" s="388"/>
      <c r="V58" s="388"/>
      <c r="W58" s="388"/>
      <c r="X58" s="388"/>
    </row>
    <row r="59" spans="4:24">
      <c r="D59" s="370"/>
      <c r="J59" s="381"/>
      <c r="L59" s="249"/>
      <c r="N59" s="249"/>
      <c r="O59" s="249"/>
      <c r="P59" s="249"/>
    </row>
    <row r="60" spans="4:24">
      <c r="D60" s="370"/>
      <c r="K60" s="381"/>
      <c r="N60" s="388"/>
      <c r="O60" s="388"/>
      <c r="P60" s="388"/>
      <c r="Q60" s="249"/>
      <c r="R60" s="249"/>
    </row>
    <row r="61" spans="4:24">
      <c r="D61" s="345"/>
      <c r="E61" s="381"/>
      <c r="F61" s="381"/>
      <c r="G61" s="381"/>
      <c r="H61" s="381"/>
      <c r="I61" s="381"/>
      <c r="K61" s="381"/>
      <c r="M61" s="249"/>
      <c r="Q61" s="388"/>
      <c r="R61" s="388"/>
      <c r="S61" s="249"/>
      <c r="T61" s="249"/>
      <c r="U61" s="249"/>
      <c r="V61" s="249"/>
      <c r="W61" s="249"/>
      <c r="X61" s="249"/>
    </row>
    <row r="62" spans="4:24">
      <c r="D62" s="370"/>
      <c r="J62" s="381"/>
      <c r="K62" s="381"/>
      <c r="L62" s="249"/>
      <c r="N62" s="249"/>
      <c r="O62" s="249"/>
      <c r="P62" s="249"/>
      <c r="Q62" s="389"/>
      <c r="R62" s="389"/>
      <c r="S62" s="388"/>
      <c r="T62" s="388"/>
      <c r="U62" s="388"/>
      <c r="V62" s="388"/>
      <c r="W62" s="388"/>
      <c r="X62" s="388"/>
    </row>
    <row r="63" spans="4:24">
      <c r="D63" s="370"/>
      <c r="J63" s="381"/>
      <c r="M63" s="389"/>
      <c r="N63" s="388"/>
      <c r="O63" s="388"/>
      <c r="P63" s="388"/>
      <c r="Q63" s="388"/>
      <c r="R63" s="388"/>
    </row>
    <row r="64" spans="4:24">
      <c r="D64" s="345"/>
      <c r="E64" s="381"/>
      <c r="F64" s="381"/>
      <c r="G64" s="381"/>
      <c r="H64" s="381"/>
      <c r="I64" s="381"/>
      <c r="L64" s="389"/>
      <c r="N64" s="389"/>
      <c r="O64" s="389"/>
      <c r="P64" s="389"/>
      <c r="S64" s="249"/>
      <c r="T64" s="249"/>
      <c r="U64" s="249"/>
      <c r="V64" s="249"/>
      <c r="W64" s="249"/>
      <c r="X64" s="249"/>
    </row>
    <row r="65" spans="4:24">
      <c r="D65" s="370"/>
      <c r="K65" s="381"/>
      <c r="N65" s="388"/>
      <c r="O65" s="388"/>
      <c r="P65" s="388"/>
      <c r="Q65" s="249"/>
      <c r="R65" s="249"/>
      <c r="S65" s="388"/>
      <c r="T65" s="388"/>
      <c r="U65" s="388"/>
      <c r="V65" s="388"/>
      <c r="W65" s="388"/>
      <c r="X65" s="388"/>
    </row>
    <row r="66" spans="4:24">
      <c r="D66" s="345"/>
      <c r="E66" s="381"/>
      <c r="F66" s="381"/>
      <c r="G66" s="381"/>
      <c r="H66" s="381"/>
      <c r="I66" s="381"/>
      <c r="K66" s="381"/>
      <c r="M66" s="249"/>
      <c r="Q66" s="390"/>
      <c r="R66" s="390"/>
    </row>
    <row r="67" spans="4:24">
      <c r="D67" s="370"/>
      <c r="E67" s="381"/>
      <c r="F67" s="381"/>
      <c r="G67" s="381"/>
      <c r="H67" s="381"/>
      <c r="I67" s="381"/>
      <c r="L67" s="249"/>
      <c r="N67" s="249"/>
      <c r="O67" s="249"/>
      <c r="P67" s="249"/>
      <c r="Q67" s="249"/>
      <c r="R67" s="249"/>
      <c r="S67" s="249"/>
      <c r="T67" s="249"/>
      <c r="U67" s="249"/>
      <c r="V67" s="249"/>
      <c r="W67" s="249"/>
      <c r="X67" s="249"/>
    </row>
    <row r="68" spans="4:24">
      <c r="D68" s="370"/>
      <c r="M68" s="249"/>
      <c r="N68" s="388"/>
      <c r="O68" s="388"/>
      <c r="P68" s="390"/>
      <c r="Q68" s="388"/>
      <c r="R68" s="388"/>
      <c r="S68" s="388"/>
      <c r="T68" s="388"/>
      <c r="U68" s="388"/>
      <c r="V68" s="388"/>
      <c r="W68" s="388"/>
      <c r="X68" s="388"/>
    </row>
    <row r="69" spans="4:24">
      <c r="D69" s="370"/>
      <c r="L69" s="249"/>
      <c r="N69" s="249"/>
      <c r="O69" s="249"/>
      <c r="P69" s="249"/>
      <c r="Q69" s="248"/>
      <c r="R69" s="248"/>
    </row>
    <row r="70" spans="4:24">
      <c r="D70" s="345"/>
      <c r="E70" s="381"/>
      <c r="F70" s="381"/>
      <c r="G70" s="381"/>
      <c r="H70" s="381"/>
      <c r="I70" s="381"/>
      <c r="M70" s="248"/>
      <c r="N70" s="388"/>
      <c r="O70" s="388"/>
      <c r="P70" s="388"/>
      <c r="S70" s="249"/>
      <c r="T70" s="249"/>
      <c r="U70" s="249"/>
      <c r="V70" s="249"/>
      <c r="W70" s="249"/>
      <c r="X70" s="249"/>
    </row>
    <row r="71" spans="4:24">
      <c r="D71" s="370"/>
      <c r="E71" s="381"/>
      <c r="F71" s="381"/>
      <c r="G71" s="381"/>
      <c r="H71" s="381"/>
      <c r="I71" s="381"/>
      <c r="L71" s="248"/>
      <c r="N71" s="248"/>
      <c r="O71" s="248"/>
      <c r="P71" s="248"/>
      <c r="Q71" s="247"/>
      <c r="R71" s="247"/>
      <c r="S71" s="388"/>
      <c r="T71" s="388"/>
      <c r="U71" s="388"/>
      <c r="V71" s="388"/>
      <c r="W71" s="388"/>
      <c r="X71" s="388"/>
    </row>
    <row r="72" spans="4:24">
      <c r="D72" s="370"/>
      <c r="M72" s="247"/>
      <c r="Q72" s="388"/>
      <c r="R72" s="388"/>
      <c r="S72" s="389"/>
      <c r="T72" s="389"/>
      <c r="U72" s="389"/>
      <c r="V72" s="389"/>
      <c r="W72" s="389"/>
      <c r="X72" s="389"/>
    </row>
    <row r="73" spans="4:24">
      <c r="D73" s="345"/>
      <c r="E73" s="381"/>
      <c r="F73" s="381"/>
      <c r="G73" s="381"/>
      <c r="H73" s="381"/>
      <c r="I73" s="381"/>
      <c r="L73" s="247"/>
      <c r="N73" s="247"/>
      <c r="O73" s="247"/>
      <c r="P73" s="247"/>
      <c r="S73" s="388"/>
      <c r="T73" s="388"/>
      <c r="U73" s="388"/>
      <c r="V73" s="388"/>
      <c r="W73" s="388"/>
      <c r="X73" s="388"/>
    </row>
    <row r="74" spans="4:24">
      <c r="D74" s="370"/>
      <c r="J74" s="381"/>
      <c r="N74" s="388"/>
      <c r="O74" s="388"/>
      <c r="P74" s="388"/>
      <c r="Q74" s="389"/>
      <c r="R74" s="389"/>
    </row>
    <row r="75" spans="4:24">
      <c r="D75" s="370"/>
      <c r="J75" s="381"/>
      <c r="M75" s="389"/>
      <c r="Q75" s="388"/>
      <c r="R75" s="388"/>
      <c r="S75" s="249"/>
      <c r="T75" s="249"/>
      <c r="U75" s="249"/>
      <c r="V75" s="249"/>
      <c r="W75" s="249"/>
      <c r="X75" s="249"/>
    </row>
    <row r="76" spans="4:24">
      <c r="D76" s="345"/>
      <c r="E76" s="381"/>
      <c r="F76" s="381"/>
      <c r="G76" s="381"/>
      <c r="H76" s="381"/>
      <c r="I76" s="381"/>
      <c r="L76" s="389"/>
      <c r="N76" s="389"/>
      <c r="O76" s="389"/>
      <c r="P76" s="389"/>
      <c r="S76" s="390"/>
      <c r="T76" s="390"/>
      <c r="U76" s="390"/>
      <c r="V76" s="390"/>
      <c r="W76" s="390"/>
      <c r="X76" s="390"/>
    </row>
    <row r="77" spans="4:24">
      <c r="D77" s="370"/>
      <c r="K77" s="381"/>
      <c r="N77" s="388"/>
      <c r="O77" s="388"/>
      <c r="P77" s="388"/>
      <c r="Q77" s="391"/>
      <c r="R77" s="391"/>
      <c r="S77" s="249"/>
      <c r="T77" s="249"/>
      <c r="U77" s="249"/>
      <c r="V77" s="249"/>
      <c r="W77" s="249"/>
      <c r="X77" s="249"/>
    </row>
    <row r="78" spans="4:24">
      <c r="D78" s="370"/>
      <c r="J78" s="381"/>
      <c r="K78" s="381"/>
      <c r="M78" s="391"/>
      <c r="Q78" s="388"/>
      <c r="R78" s="388"/>
      <c r="S78" s="388"/>
      <c r="T78" s="388"/>
      <c r="U78" s="388"/>
      <c r="V78" s="388"/>
      <c r="W78" s="388"/>
      <c r="X78" s="388"/>
    </row>
    <row r="79" spans="4:24">
      <c r="D79" s="370"/>
      <c r="J79" s="381"/>
      <c r="L79" s="391"/>
      <c r="N79" s="391"/>
      <c r="O79" s="391"/>
      <c r="P79" s="391"/>
      <c r="Q79" s="248"/>
      <c r="R79" s="248"/>
      <c r="S79" s="248"/>
      <c r="T79" s="248"/>
      <c r="U79" s="248"/>
      <c r="V79" s="248"/>
      <c r="W79" s="248"/>
      <c r="X79" s="248"/>
    </row>
    <row r="80" spans="4:24">
      <c r="D80" s="370"/>
      <c r="F80" s="381"/>
      <c r="G80" s="381"/>
      <c r="H80" s="381"/>
      <c r="I80" s="381"/>
      <c r="N80" s="388"/>
      <c r="O80" s="388"/>
      <c r="P80" s="388"/>
    </row>
    <row r="81" spans="4:24">
      <c r="D81" s="370"/>
      <c r="K81" s="381"/>
      <c r="N81" s="248"/>
      <c r="O81" s="248"/>
      <c r="P81" s="248"/>
      <c r="Q81" s="247"/>
      <c r="R81" s="247"/>
      <c r="S81" s="247"/>
      <c r="T81" s="247"/>
      <c r="U81" s="247"/>
      <c r="V81" s="247"/>
      <c r="W81" s="247"/>
      <c r="X81" s="247"/>
    </row>
    <row r="82" spans="4:24">
      <c r="D82" s="370"/>
      <c r="F82" s="345"/>
      <c r="G82" s="345"/>
      <c r="H82" s="345"/>
      <c r="I82" s="345"/>
      <c r="J82" s="381"/>
      <c r="K82" s="381"/>
      <c r="M82" s="247"/>
      <c r="Q82" s="388"/>
      <c r="R82" s="388"/>
      <c r="S82" s="388"/>
      <c r="T82" s="388"/>
      <c r="U82" s="388"/>
      <c r="V82" s="388"/>
      <c r="W82" s="388"/>
      <c r="X82" s="388"/>
    </row>
    <row r="83" spans="4:24">
      <c r="D83" s="370"/>
      <c r="E83" s="345"/>
      <c r="F83" s="345"/>
      <c r="G83" s="345"/>
      <c r="H83" s="345"/>
      <c r="I83" s="345"/>
      <c r="L83" s="247"/>
      <c r="N83" s="247"/>
      <c r="O83" s="247"/>
      <c r="P83" s="247"/>
      <c r="Q83" s="274"/>
      <c r="R83" s="274"/>
    </row>
    <row r="84" spans="4:24">
      <c r="D84" s="370"/>
      <c r="M84" s="274"/>
      <c r="N84" s="388"/>
      <c r="O84" s="388"/>
      <c r="P84" s="388"/>
      <c r="S84" s="389"/>
      <c r="T84" s="389"/>
      <c r="U84" s="389"/>
      <c r="V84" s="389"/>
      <c r="W84" s="389"/>
      <c r="X84" s="389"/>
    </row>
    <row r="85" spans="4:24">
      <c r="D85" s="370"/>
      <c r="K85" s="381"/>
      <c r="L85" s="274"/>
      <c r="N85" s="274"/>
      <c r="O85" s="274"/>
      <c r="P85" s="274"/>
      <c r="Q85" s="389"/>
      <c r="R85" s="389"/>
      <c r="S85" s="388"/>
      <c r="T85" s="388"/>
      <c r="U85" s="388"/>
      <c r="V85" s="388"/>
      <c r="W85" s="388"/>
      <c r="X85" s="388"/>
    </row>
    <row r="86" spans="4:24">
      <c r="D86" s="370"/>
      <c r="M86" s="389"/>
      <c r="Q86" s="388"/>
      <c r="R86" s="388"/>
    </row>
    <row r="87" spans="4:24">
      <c r="D87" s="345"/>
      <c r="E87" s="381"/>
      <c r="F87" s="381"/>
      <c r="G87" s="381"/>
      <c r="H87" s="381"/>
      <c r="I87" s="381"/>
      <c r="L87" s="389"/>
      <c r="N87" s="389"/>
      <c r="O87" s="389"/>
      <c r="P87" s="389"/>
      <c r="S87" s="391"/>
      <c r="T87" s="391"/>
      <c r="U87" s="391"/>
      <c r="V87" s="391"/>
      <c r="W87" s="391"/>
      <c r="X87" s="391"/>
    </row>
    <row r="88" spans="4:24">
      <c r="D88" s="345"/>
      <c r="E88" s="381"/>
      <c r="F88" s="381"/>
      <c r="G88" s="381"/>
      <c r="H88" s="381"/>
      <c r="I88" s="381"/>
      <c r="N88" s="388"/>
      <c r="O88" s="388"/>
      <c r="P88" s="388"/>
      <c r="S88" s="388"/>
      <c r="T88" s="388"/>
      <c r="U88" s="388"/>
      <c r="V88" s="388"/>
      <c r="W88" s="388"/>
      <c r="X88" s="388"/>
    </row>
    <row r="89" spans="4:24">
      <c r="D89" s="370"/>
      <c r="E89" s="381"/>
      <c r="F89" s="381"/>
      <c r="G89" s="381"/>
      <c r="H89" s="381"/>
      <c r="I89" s="381"/>
      <c r="Q89" s="249"/>
      <c r="R89" s="249"/>
      <c r="S89" s="248"/>
      <c r="T89" s="248"/>
      <c r="U89" s="248"/>
      <c r="V89" s="248"/>
      <c r="W89" s="248"/>
      <c r="X89" s="248"/>
    </row>
    <row r="90" spans="4:24">
      <c r="D90" s="370"/>
      <c r="E90" s="381"/>
      <c r="F90" s="381"/>
      <c r="G90" s="381"/>
      <c r="H90" s="381"/>
      <c r="I90" s="381"/>
      <c r="M90" s="249"/>
      <c r="Q90" s="388"/>
      <c r="R90" s="388"/>
    </row>
    <row r="91" spans="4:24">
      <c r="D91" s="370"/>
      <c r="L91" s="249"/>
      <c r="N91" s="249"/>
      <c r="O91" s="249"/>
      <c r="P91" s="249"/>
      <c r="S91" s="247"/>
      <c r="T91" s="247"/>
      <c r="U91" s="247"/>
      <c r="V91" s="247"/>
      <c r="W91" s="247"/>
      <c r="X91" s="247"/>
    </row>
    <row r="92" spans="4:24">
      <c r="D92" s="345"/>
      <c r="E92" s="381"/>
      <c r="F92" s="381"/>
      <c r="G92" s="381"/>
      <c r="H92" s="381"/>
      <c r="I92" s="381"/>
      <c r="N92" s="388"/>
      <c r="O92" s="388"/>
      <c r="P92" s="388"/>
      <c r="Q92" s="249"/>
      <c r="R92" s="249"/>
      <c r="S92" s="388"/>
      <c r="T92" s="388"/>
      <c r="U92" s="388"/>
      <c r="V92" s="388"/>
      <c r="W92" s="388"/>
      <c r="X92" s="388"/>
    </row>
    <row r="93" spans="4:24">
      <c r="D93" s="370"/>
      <c r="E93" s="381"/>
      <c r="F93" s="381"/>
      <c r="G93" s="381"/>
      <c r="H93" s="381"/>
      <c r="I93" s="381"/>
      <c r="M93" s="249"/>
      <c r="Q93" s="390"/>
      <c r="R93" s="390"/>
      <c r="S93" s="274"/>
      <c r="T93" s="274"/>
      <c r="U93" s="274"/>
      <c r="V93" s="274"/>
      <c r="W93" s="274"/>
      <c r="X93" s="274"/>
    </row>
    <row r="94" spans="4:24">
      <c r="D94" s="370"/>
      <c r="E94" s="381"/>
      <c r="F94" s="381"/>
      <c r="G94" s="381"/>
      <c r="H94" s="381"/>
      <c r="I94" s="381"/>
      <c r="L94" s="249"/>
      <c r="N94" s="249"/>
      <c r="O94" s="249"/>
      <c r="P94" s="249"/>
    </row>
    <row r="95" spans="4:24">
      <c r="D95" s="370"/>
      <c r="N95" s="388"/>
      <c r="O95" s="388"/>
      <c r="P95" s="390"/>
      <c r="Q95" s="389"/>
      <c r="R95" s="389"/>
      <c r="S95" s="389"/>
      <c r="T95" s="389"/>
      <c r="U95" s="389"/>
      <c r="V95" s="389"/>
      <c r="W95" s="389"/>
      <c r="X95" s="389"/>
    </row>
    <row r="96" spans="4:24">
      <c r="D96" s="370"/>
      <c r="M96" s="389"/>
      <c r="Q96" s="392"/>
      <c r="R96" s="392"/>
      <c r="S96" s="388"/>
      <c r="T96" s="388"/>
      <c r="U96" s="388"/>
      <c r="V96" s="388"/>
      <c r="W96" s="388"/>
      <c r="X96" s="388"/>
    </row>
    <row r="97" spans="4:24">
      <c r="D97" s="370"/>
      <c r="J97" s="381"/>
      <c r="L97" s="389"/>
      <c r="N97" s="389"/>
      <c r="O97" s="389"/>
      <c r="P97" s="389"/>
      <c r="Q97" s="392"/>
      <c r="R97" s="392"/>
    </row>
    <row r="98" spans="4:24">
      <c r="D98" s="370"/>
      <c r="J98" s="381"/>
      <c r="M98" s="392"/>
      <c r="N98" s="392"/>
      <c r="O98" s="392"/>
      <c r="P98" s="392"/>
    </row>
    <row r="99" spans="4:24">
      <c r="D99" s="370"/>
      <c r="L99" s="392"/>
      <c r="N99" s="392"/>
      <c r="O99" s="392"/>
      <c r="P99" s="392"/>
      <c r="Q99" s="388"/>
      <c r="R99" s="388"/>
      <c r="S99" s="249"/>
      <c r="T99" s="249"/>
      <c r="U99" s="249"/>
      <c r="V99" s="249"/>
      <c r="W99" s="249"/>
      <c r="X99" s="249"/>
    </row>
    <row r="100" spans="4:24">
      <c r="D100" s="370"/>
      <c r="J100" s="381"/>
      <c r="K100" s="381"/>
      <c r="M100" s="388"/>
      <c r="Q100" s="389"/>
      <c r="R100" s="389"/>
      <c r="S100" s="388"/>
      <c r="T100" s="388"/>
      <c r="U100" s="388"/>
      <c r="V100" s="388"/>
      <c r="W100" s="388"/>
      <c r="X100" s="388"/>
    </row>
    <row r="101" spans="4:24">
      <c r="D101" s="370"/>
      <c r="J101" s="381"/>
      <c r="K101" s="381"/>
      <c r="L101" s="388"/>
      <c r="M101" s="389"/>
      <c r="N101" s="388"/>
      <c r="O101" s="388"/>
      <c r="P101" s="388"/>
      <c r="R101" s="392"/>
    </row>
    <row r="102" spans="4:24">
      <c r="D102" s="370"/>
      <c r="J102" s="381"/>
      <c r="L102" s="389"/>
      <c r="N102" s="389"/>
      <c r="O102" s="389"/>
      <c r="P102" s="389"/>
      <c r="S102" s="249"/>
      <c r="T102" s="249"/>
      <c r="U102" s="249"/>
      <c r="V102" s="249"/>
      <c r="W102" s="249"/>
      <c r="X102" s="249"/>
    </row>
    <row r="103" spans="4:24">
      <c r="D103" s="370"/>
      <c r="K103" s="381"/>
      <c r="Q103" s="389"/>
      <c r="R103" s="389"/>
      <c r="S103" s="390"/>
      <c r="T103" s="390"/>
      <c r="U103" s="390"/>
      <c r="V103" s="390"/>
      <c r="W103" s="390"/>
      <c r="X103" s="390"/>
    </row>
    <row r="104" spans="4:24">
      <c r="D104" s="345"/>
      <c r="E104" s="381"/>
      <c r="F104" s="381"/>
      <c r="G104" s="381"/>
      <c r="H104" s="381"/>
      <c r="I104" s="381"/>
      <c r="K104" s="381"/>
      <c r="M104" s="389"/>
      <c r="Q104" s="392"/>
      <c r="R104" s="392"/>
    </row>
    <row r="105" spans="4:24">
      <c r="D105" s="370"/>
      <c r="J105" s="381"/>
      <c r="K105" s="381"/>
      <c r="L105" s="389"/>
      <c r="N105" s="389"/>
      <c r="O105" s="389"/>
      <c r="P105" s="389"/>
      <c r="S105" s="389"/>
      <c r="T105" s="389"/>
      <c r="U105" s="389"/>
      <c r="V105" s="389"/>
      <c r="W105" s="389"/>
      <c r="X105" s="389"/>
    </row>
    <row r="106" spans="4:24">
      <c r="D106" s="370"/>
      <c r="J106" s="381"/>
      <c r="N106" s="392"/>
      <c r="O106" s="392"/>
      <c r="P106" s="392"/>
      <c r="S106" s="392"/>
      <c r="T106" s="392"/>
      <c r="U106" s="392"/>
      <c r="V106" s="392"/>
      <c r="W106" s="392"/>
      <c r="X106" s="392"/>
    </row>
    <row r="107" spans="4:24">
      <c r="D107" s="345"/>
      <c r="E107" s="381"/>
      <c r="F107" s="381"/>
      <c r="G107" s="381"/>
      <c r="H107" s="381"/>
      <c r="I107" s="381"/>
      <c r="S107" s="392"/>
      <c r="T107" s="392"/>
      <c r="U107" s="392"/>
      <c r="V107" s="392"/>
      <c r="W107" s="392"/>
      <c r="X107" s="392"/>
    </row>
    <row r="108" spans="4:24">
      <c r="D108" s="370"/>
      <c r="K108" s="381"/>
    </row>
    <row r="109" spans="4:24">
      <c r="D109" s="345"/>
      <c r="E109" s="381"/>
      <c r="F109" s="381"/>
      <c r="G109" s="381"/>
      <c r="H109" s="381"/>
      <c r="I109" s="381"/>
      <c r="K109" s="381"/>
      <c r="S109" s="388"/>
      <c r="T109" s="388"/>
      <c r="U109" s="388"/>
      <c r="V109" s="388"/>
      <c r="W109" s="388"/>
      <c r="X109" s="388"/>
    </row>
    <row r="110" spans="4:24">
      <c r="D110" s="370"/>
      <c r="E110" s="381"/>
      <c r="F110" s="381"/>
      <c r="G110" s="381"/>
      <c r="H110" s="381"/>
      <c r="I110" s="381"/>
      <c r="S110" s="389"/>
      <c r="T110" s="389"/>
      <c r="U110" s="389"/>
      <c r="V110" s="389"/>
      <c r="W110" s="389"/>
      <c r="X110" s="389"/>
    </row>
    <row r="111" spans="4:24">
      <c r="D111" s="370"/>
      <c r="S111" s="392"/>
      <c r="T111" s="392"/>
      <c r="U111" s="392"/>
      <c r="V111" s="392"/>
      <c r="W111" s="392"/>
      <c r="X111" s="392"/>
    </row>
    <row r="112" spans="4:24">
      <c r="D112" s="370"/>
    </row>
    <row r="113" spans="4:24">
      <c r="D113" s="345"/>
      <c r="E113" s="381"/>
      <c r="F113" s="381"/>
      <c r="G113" s="381"/>
      <c r="H113" s="381"/>
      <c r="I113" s="381"/>
      <c r="S113" s="389"/>
      <c r="T113" s="389"/>
      <c r="U113" s="389"/>
      <c r="V113" s="389"/>
      <c r="W113" s="389"/>
      <c r="X113" s="389"/>
    </row>
    <row r="114" spans="4:24">
      <c r="D114" s="370"/>
      <c r="E114" s="381"/>
      <c r="F114" s="381"/>
      <c r="G114" s="381"/>
      <c r="H114" s="381"/>
      <c r="I114" s="381"/>
      <c r="S114" s="392"/>
      <c r="T114" s="392"/>
      <c r="U114" s="392"/>
      <c r="V114" s="392"/>
      <c r="W114" s="392"/>
      <c r="X114" s="392"/>
    </row>
    <row r="115" spans="4:24">
      <c r="D115" s="370"/>
    </row>
    <row r="116" spans="4:24">
      <c r="D116" s="345"/>
      <c r="E116" s="381"/>
      <c r="F116" s="381"/>
      <c r="G116" s="381"/>
      <c r="H116" s="381"/>
      <c r="I116" s="381"/>
    </row>
    <row r="117" spans="4:24">
      <c r="D117" s="370"/>
      <c r="J117" s="381"/>
    </row>
    <row r="118" spans="4:24">
      <c r="D118" s="370"/>
      <c r="J118" s="381"/>
    </row>
    <row r="119" spans="4:24">
      <c r="D119" s="345"/>
      <c r="E119" s="381"/>
      <c r="F119" s="381"/>
      <c r="G119" s="381"/>
      <c r="H119" s="381"/>
      <c r="I119" s="381"/>
    </row>
    <row r="120" spans="4:24">
      <c r="D120" s="370"/>
      <c r="K120" s="381"/>
    </row>
    <row r="121" spans="4:24">
      <c r="D121" s="370"/>
      <c r="J121" s="381"/>
      <c r="K121" s="381"/>
    </row>
    <row r="122" spans="4:24">
      <c r="D122" s="370"/>
      <c r="J122" s="381"/>
    </row>
    <row r="123" spans="4:24">
      <c r="D123" s="345"/>
      <c r="E123" s="381"/>
      <c r="F123" s="381"/>
      <c r="G123" s="381"/>
      <c r="H123" s="381"/>
      <c r="I123" s="381"/>
    </row>
    <row r="124" spans="4:24">
      <c r="D124" s="370"/>
      <c r="K124" s="381"/>
    </row>
    <row r="125" spans="4:24">
      <c r="D125" s="370"/>
      <c r="E125" s="345"/>
      <c r="F125" s="345"/>
      <c r="G125" s="345"/>
      <c r="H125" s="345"/>
      <c r="I125" s="345"/>
      <c r="J125" s="381"/>
      <c r="K125" s="381"/>
    </row>
    <row r="126" spans="4:24">
      <c r="D126" s="370"/>
      <c r="E126" s="345"/>
      <c r="F126" s="345"/>
      <c r="G126" s="345"/>
      <c r="H126" s="345"/>
      <c r="I126" s="345"/>
    </row>
    <row r="127" spans="4:24">
      <c r="D127" s="370"/>
    </row>
    <row r="128" spans="4:24">
      <c r="D128" s="370"/>
      <c r="K128" s="381"/>
    </row>
    <row r="130" spans="4:11">
      <c r="D130" s="345"/>
      <c r="E130" s="381"/>
      <c r="F130" s="381"/>
      <c r="G130" s="381"/>
      <c r="H130" s="381"/>
      <c r="I130" s="381"/>
    </row>
    <row r="131" spans="4:11">
      <c r="D131" s="345"/>
      <c r="E131" s="381"/>
      <c r="F131" s="381"/>
      <c r="G131" s="381"/>
      <c r="H131" s="381"/>
      <c r="I131" s="381"/>
    </row>
    <row r="132" spans="4:11">
      <c r="D132" s="370"/>
      <c r="E132" s="381"/>
      <c r="F132" s="381"/>
      <c r="G132" s="381"/>
      <c r="H132" s="381"/>
      <c r="I132" s="381"/>
    </row>
    <row r="133" spans="4:11">
      <c r="D133" s="370"/>
      <c r="E133" s="381"/>
      <c r="F133" s="381"/>
      <c r="G133" s="381"/>
      <c r="H133" s="381"/>
      <c r="I133" s="381"/>
    </row>
    <row r="134" spans="4:11">
      <c r="D134" s="370"/>
    </row>
    <row r="135" spans="4:11">
      <c r="D135" s="345"/>
      <c r="E135" s="381"/>
      <c r="F135" s="381"/>
      <c r="G135" s="381"/>
      <c r="H135" s="381"/>
      <c r="I135" s="381"/>
    </row>
    <row r="136" spans="4:11">
      <c r="D136" s="370"/>
      <c r="E136" s="381"/>
      <c r="F136" s="381"/>
      <c r="G136" s="381"/>
      <c r="H136" s="381"/>
      <c r="I136" s="381"/>
    </row>
    <row r="137" spans="4:11">
      <c r="D137" s="370"/>
      <c r="E137" s="381"/>
      <c r="F137" s="381"/>
      <c r="G137" s="381"/>
      <c r="H137" s="381"/>
      <c r="I137" s="381"/>
    </row>
    <row r="138" spans="4:11">
      <c r="D138" s="370"/>
    </row>
    <row r="139" spans="4:11">
      <c r="D139" s="370"/>
    </row>
    <row r="140" spans="4:11">
      <c r="D140" s="370"/>
      <c r="J140" s="381"/>
    </row>
    <row r="141" spans="4:11">
      <c r="D141" s="370"/>
      <c r="J141" s="381"/>
    </row>
    <row r="142" spans="4:11">
      <c r="D142" s="370"/>
    </row>
    <row r="143" spans="4:11">
      <c r="D143" s="370"/>
      <c r="J143" s="381"/>
      <c r="K143" s="381"/>
    </row>
    <row r="144" spans="4:11">
      <c r="D144" s="370"/>
      <c r="J144" s="381"/>
      <c r="K144" s="381"/>
    </row>
    <row r="145" spans="4:11">
      <c r="D145" s="370"/>
      <c r="J145" s="381"/>
    </row>
    <row r="146" spans="4:11">
      <c r="D146" s="370"/>
      <c r="K146" s="381"/>
    </row>
    <row r="147" spans="4:11">
      <c r="D147" s="345"/>
      <c r="E147" s="381"/>
      <c r="F147" s="381"/>
      <c r="G147" s="381"/>
      <c r="H147" s="381"/>
      <c r="I147" s="381"/>
      <c r="K147" s="381"/>
    </row>
    <row r="148" spans="4:11">
      <c r="D148" s="370"/>
      <c r="J148" s="381"/>
      <c r="K148" s="381"/>
    </row>
    <row r="149" spans="4:11">
      <c r="D149" s="370"/>
      <c r="J149" s="381"/>
    </row>
    <row r="150" spans="4:11">
      <c r="D150" s="345"/>
      <c r="E150" s="381"/>
      <c r="F150" s="381"/>
      <c r="G150" s="381"/>
      <c r="H150" s="381"/>
      <c r="I150" s="381"/>
    </row>
    <row r="151" spans="4:11">
      <c r="D151" s="370"/>
      <c r="K151" s="381"/>
    </row>
    <row r="152" spans="4:11">
      <c r="D152" s="345"/>
      <c r="E152" s="381"/>
      <c r="F152" s="381"/>
      <c r="G152" s="381"/>
      <c r="H152" s="381"/>
      <c r="I152" s="381"/>
      <c r="K152" s="381"/>
    </row>
    <row r="153" spans="4:11">
      <c r="D153" s="370"/>
      <c r="E153" s="381"/>
      <c r="F153" s="381"/>
      <c r="G153" s="381"/>
      <c r="H153" s="381"/>
      <c r="I153" s="381"/>
    </row>
    <row r="154" spans="4:11">
      <c r="D154" s="370"/>
    </row>
    <row r="155" spans="4:11">
      <c r="D155" s="370"/>
    </row>
    <row r="156" spans="4:11">
      <c r="D156" s="345"/>
      <c r="E156" s="381"/>
      <c r="F156" s="381"/>
      <c r="G156" s="381"/>
      <c r="H156" s="381"/>
      <c r="I156" s="381"/>
    </row>
    <row r="157" spans="4:11">
      <c r="D157" s="370"/>
      <c r="E157" s="381"/>
      <c r="F157" s="381"/>
      <c r="G157" s="381"/>
      <c r="H157" s="381"/>
      <c r="I157" s="381"/>
    </row>
    <row r="158" spans="4:11">
      <c r="D158" s="370"/>
    </row>
    <row r="159" spans="4:11">
      <c r="D159" s="345"/>
      <c r="E159" s="381"/>
      <c r="F159" s="381"/>
      <c r="G159" s="381"/>
      <c r="H159" s="381"/>
      <c r="I159" s="381"/>
    </row>
    <row r="160" spans="4:11">
      <c r="D160" s="370"/>
      <c r="J160" s="381"/>
    </row>
    <row r="161" spans="4:11">
      <c r="D161" s="370"/>
      <c r="J161" s="381"/>
    </row>
    <row r="162" spans="4:11">
      <c r="D162" s="345"/>
      <c r="E162" s="381"/>
      <c r="F162" s="381"/>
      <c r="G162" s="381"/>
      <c r="H162" s="381"/>
      <c r="I162" s="381"/>
    </row>
    <row r="163" spans="4:11">
      <c r="D163" s="370"/>
      <c r="K163" s="381"/>
    </row>
    <row r="164" spans="4:11">
      <c r="D164" s="370"/>
      <c r="J164" s="381"/>
      <c r="K164" s="381"/>
    </row>
    <row r="165" spans="4:11">
      <c r="D165" s="370"/>
      <c r="J165" s="381"/>
    </row>
    <row r="166" spans="4:11">
      <c r="D166" s="345"/>
      <c r="E166" s="381"/>
      <c r="F166" s="381"/>
      <c r="G166" s="381"/>
      <c r="H166" s="381"/>
      <c r="I166" s="381"/>
    </row>
    <row r="167" spans="4:11">
      <c r="D167" s="370"/>
      <c r="K167" s="381"/>
    </row>
    <row r="168" spans="4:11">
      <c r="D168" s="370"/>
      <c r="E168" s="345"/>
      <c r="F168" s="345"/>
      <c r="G168" s="345"/>
      <c r="H168" s="345"/>
      <c r="I168" s="345"/>
      <c r="J168" s="381"/>
      <c r="K168" s="381"/>
    </row>
    <row r="169" spans="4:11">
      <c r="D169" s="370"/>
      <c r="E169" s="345"/>
      <c r="F169" s="345"/>
      <c r="G169" s="345"/>
      <c r="H169" s="345"/>
      <c r="I169" s="345"/>
    </row>
    <row r="170" spans="4:11">
      <c r="D170" s="370"/>
    </row>
    <row r="171" spans="4:11">
      <c r="D171" s="370"/>
      <c r="K171" s="381"/>
    </row>
    <row r="172" spans="4:11">
      <c r="D172" s="370"/>
    </row>
    <row r="173" spans="4:11">
      <c r="D173" s="345"/>
      <c r="E173" s="381"/>
      <c r="F173" s="381"/>
      <c r="G173" s="381"/>
      <c r="H173" s="381"/>
      <c r="I173" s="381"/>
    </row>
    <row r="174" spans="4:11">
      <c r="D174" s="345"/>
      <c r="E174" s="381"/>
      <c r="F174" s="381"/>
      <c r="G174" s="381"/>
      <c r="H174" s="381"/>
      <c r="I174" s="381"/>
    </row>
    <row r="175" spans="4:11">
      <c r="D175" s="370"/>
      <c r="E175" s="381"/>
      <c r="F175" s="381"/>
      <c r="G175" s="381"/>
      <c r="H175" s="381"/>
      <c r="I175" s="381"/>
    </row>
    <row r="176" spans="4:11">
      <c r="D176" s="370"/>
      <c r="E176" s="381"/>
      <c r="F176" s="381"/>
      <c r="G176" s="381"/>
      <c r="H176" s="381"/>
      <c r="I176" s="381"/>
    </row>
    <row r="177" spans="4:11">
      <c r="D177" s="370"/>
    </row>
    <row r="178" spans="4:11">
      <c r="D178" s="345"/>
      <c r="E178" s="381"/>
      <c r="F178" s="381"/>
      <c r="G178" s="381"/>
      <c r="H178" s="381"/>
      <c r="I178" s="381"/>
    </row>
    <row r="179" spans="4:11">
      <c r="D179" s="370"/>
      <c r="E179" s="381"/>
      <c r="F179" s="381"/>
      <c r="G179" s="381"/>
      <c r="H179" s="381"/>
      <c r="I179" s="381"/>
    </row>
    <row r="180" spans="4:11">
      <c r="D180" s="370"/>
      <c r="E180" s="381"/>
      <c r="F180" s="381"/>
      <c r="G180" s="381"/>
      <c r="H180" s="381"/>
      <c r="I180" s="381"/>
    </row>
    <row r="181" spans="4:11">
      <c r="D181" s="370"/>
    </row>
    <row r="182" spans="4:11">
      <c r="D182" s="370"/>
    </row>
    <row r="183" spans="4:11">
      <c r="D183" s="370"/>
      <c r="J183" s="381"/>
    </row>
    <row r="184" spans="4:11">
      <c r="D184" s="370"/>
      <c r="J184" s="381"/>
    </row>
    <row r="185" spans="4:11">
      <c r="D185" s="370"/>
    </row>
    <row r="186" spans="4:11">
      <c r="D186" s="370"/>
      <c r="J186" s="381"/>
      <c r="K186" s="381"/>
    </row>
    <row r="187" spans="4:11">
      <c r="D187" s="370"/>
      <c r="J187" s="381"/>
      <c r="K187" s="381"/>
    </row>
    <row r="188" spans="4:11">
      <c r="D188" s="370"/>
      <c r="J188" s="381"/>
    </row>
    <row r="189" spans="4:11">
      <c r="D189" s="370"/>
      <c r="K189" s="381"/>
    </row>
    <row r="190" spans="4:11">
      <c r="D190" s="345"/>
      <c r="E190" s="381"/>
      <c r="F190" s="381"/>
      <c r="G190" s="381"/>
      <c r="H190" s="381"/>
      <c r="I190" s="381"/>
      <c r="K190" s="381"/>
    </row>
    <row r="191" spans="4:11">
      <c r="D191" s="370"/>
      <c r="J191" s="381"/>
      <c r="K191" s="381"/>
    </row>
    <row r="192" spans="4:11">
      <c r="D192" s="370"/>
      <c r="J192" s="381"/>
    </row>
    <row r="193" spans="4:11">
      <c r="D193" s="345"/>
      <c r="E193" s="381"/>
      <c r="F193" s="381"/>
      <c r="G193" s="381"/>
      <c r="H193" s="381"/>
      <c r="I193" s="381"/>
    </row>
    <row r="194" spans="4:11">
      <c r="D194" s="370"/>
      <c r="K194" s="381"/>
    </row>
    <row r="195" spans="4:11">
      <c r="D195" s="345"/>
      <c r="E195" s="381"/>
      <c r="F195" s="381"/>
      <c r="G195" s="381"/>
      <c r="H195" s="381"/>
      <c r="I195" s="381"/>
      <c r="K195" s="381"/>
    </row>
    <row r="196" spans="4:11">
      <c r="D196" s="370"/>
      <c r="E196" s="381"/>
      <c r="F196" s="381"/>
      <c r="G196" s="381"/>
      <c r="H196" s="381"/>
      <c r="I196" s="381"/>
    </row>
    <row r="197" spans="4:11">
      <c r="D197" s="370"/>
    </row>
    <row r="198" spans="4:11">
      <c r="D198" s="370"/>
    </row>
    <row r="199" spans="4:11">
      <c r="D199" s="345"/>
      <c r="E199" s="381"/>
      <c r="F199" s="381"/>
      <c r="G199" s="381"/>
      <c r="H199" s="381"/>
      <c r="I199" s="381"/>
    </row>
    <row r="200" spans="4:11">
      <c r="D200" s="370"/>
      <c r="E200" s="381"/>
      <c r="F200" s="381"/>
      <c r="G200" s="381"/>
      <c r="H200" s="381"/>
      <c r="I200" s="381"/>
    </row>
    <row r="201" spans="4:11">
      <c r="D201" s="370"/>
    </row>
    <row r="202" spans="4:11">
      <c r="D202" s="345"/>
      <c r="E202" s="381"/>
      <c r="F202" s="381"/>
      <c r="G202" s="381"/>
      <c r="H202" s="381"/>
      <c r="I202" s="381"/>
    </row>
    <row r="203" spans="4:11">
      <c r="D203" s="370"/>
      <c r="J203" s="381"/>
    </row>
    <row r="204" spans="4:11">
      <c r="D204" s="370"/>
      <c r="J204" s="381"/>
    </row>
    <row r="205" spans="4:11">
      <c r="D205" s="345"/>
      <c r="E205" s="381"/>
      <c r="F205" s="381"/>
      <c r="G205" s="381"/>
      <c r="H205" s="381"/>
      <c r="I205" s="381"/>
    </row>
    <row r="206" spans="4:11">
      <c r="D206" s="370"/>
      <c r="K206" s="381"/>
    </row>
    <row r="207" spans="4:11">
      <c r="D207" s="370"/>
      <c r="J207" s="381"/>
      <c r="K207" s="381"/>
    </row>
    <row r="208" spans="4:11">
      <c r="D208" s="370"/>
      <c r="J208" s="381"/>
    </row>
    <row r="209" spans="4:11">
      <c r="D209" s="345"/>
      <c r="E209" s="381"/>
      <c r="F209" s="381"/>
      <c r="G209" s="381"/>
      <c r="H209" s="381"/>
      <c r="I209" s="381"/>
    </row>
    <row r="210" spans="4:11">
      <c r="D210" s="370"/>
      <c r="K210" s="381"/>
    </row>
    <row r="211" spans="4:11">
      <c r="D211" s="370"/>
      <c r="E211" s="345"/>
      <c r="F211" s="345"/>
      <c r="G211" s="345"/>
      <c r="H211" s="345"/>
      <c r="I211" s="345"/>
      <c r="J211" s="381"/>
      <c r="K211" s="381"/>
    </row>
    <row r="212" spans="4:11">
      <c r="D212" s="370"/>
      <c r="E212" s="345"/>
      <c r="F212" s="345"/>
      <c r="G212" s="345"/>
      <c r="H212" s="345"/>
      <c r="I212" s="345"/>
    </row>
    <row r="213" spans="4:11">
      <c r="D213" s="370"/>
    </row>
    <row r="214" spans="4:11">
      <c r="D214" s="370"/>
      <c r="K214" s="381"/>
    </row>
    <row r="215" spans="4:11">
      <c r="D215" s="370"/>
    </row>
    <row r="216" spans="4:11">
      <c r="D216" s="345"/>
      <c r="E216" s="381"/>
      <c r="F216" s="381"/>
      <c r="G216" s="381"/>
      <c r="H216" s="381"/>
      <c r="I216" s="381"/>
    </row>
    <row r="217" spans="4:11">
      <c r="D217" s="345"/>
      <c r="E217" s="381"/>
      <c r="F217" s="381"/>
      <c r="G217" s="381"/>
      <c r="H217" s="381"/>
      <c r="I217" s="381"/>
    </row>
    <row r="218" spans="4:11">
      <c r="D218" s="370"/>
      <c r="E218" s="381"/>
      <c r="F218" s="381"/>
      <c r="G218" s="381"/>
      <c r="H218" s="381"/>
      <c r="I218" s="381"/>
    </row>
    <row r="219" spans="4:11">
      <c r="D219" s="370"/>
      <c r="E219" s="381"/>
      <c r="F219" s="381"/>
      <c r="G219" s="381"/>
      <c r="H219" s="381"/>
      <c r="I219" s="381"/>
    </row>
    <row r="220" spans="4:11">
      <c r="D220" s="370"/>
    </row>
    <row r="221" spans="4:11">
      <c r="D221" s="345"/>
      <c r="E221" s="381"/>
      <c r="F221" s="381"/>
      <c r="G221" s="381"/>
      <c r="H221" s="381"/>
      <c r="I221" s="381"/>
    </row>
    <row r="222" spans="4:11">
      <c r="D222" s="370"/>
      <c r="E222" s="381"/>
      <c r="F222" s="381"/>
      <c r="G222" s="381"/>
      <c r="H222" s="381"/>
      <c r="I222" s="381"/>
    </row>
    <row r="223" spans="4:11">
      <c r="D223" s="370"/>
      <c r="E223" s="381"/>
      <c r="F223" s="381"/>
      <c r="G223" s="381"/>
      <c r="H223" s="381"/>
      <c r="I223" s="381"/>
    </row>
    <row r="224" spans="4:11">
      <c r="D224" s="370"/>
    </row>
    <row r="225" spans="4:11">
      <c r="D225" s="370"/>
    </row>
    <row r="226" spans="4:11">
      <c r="D226" s="370"/>
      <c r="J226" s="381"/>
    </row>
    <row r="227" spans="4:11">
      <c r="D227" s="370"/>
      <c r="J227" s="381"/>
    </row>
    <row r="228" spans="4:11">
      <c r="D228" s="370"/>
    </row>
    <row r="229" spans="4:11">
      <c r="D229" s="370"/>
      <c r="J229" s="381"/>
      <c r="K229" s="381"/>
    </row>
    <row r="230" spans="4:11">
      <c r="D230" s="370"/>
      <c r="J230" s="381"/>
      <c r="K230" s="381"/>
    </row>
    <row r="231" spans="4:11">
      <c r="D231" s="370"/>
      <c r="J231" s="381"/>
    </row>
    <row r="232" spans="4:11">
      <c r="D232" s="370"/>
      <c r="K232" s="381"/>
    </row>
    <row r="233" spans="4:11">
      <c r="D233" s="345"/>
      <c r="E233" s="381"/>
      <c r="F233" s="381"/>
      <c r="G233" s="381"/>
      <c r="H233" s="381"/>
      <c r="I233" s="381"/>
      <c r="K233" s="381"/>
    </row>
    <row r="234" spans="4:11">
      <c r="D234" s="370"/>
      <c r="J234" s="381"/>
      <c r="K234" s="381"/>
    </row>
    <row r="235" spans="4:11">
      <c r="D235" s="370"/>
      <c r="J235" s="381"/>
    </row>
    <row r="236" spans="4:11">
      <c r="D236" s="345"/>
      <c r="E236" s="381"/>
      <c r="F236" s="381"/>
      <c r="G236" s="381"/>
      <c r="H236" s="381"/>
      <c r="I236" s="381"/>
    </row>
    <row r="237" spans="4:11">
      <c r="D237" s="370"/>
      <c r="K237" s="381"/>
    </row>
    <row r="238" spans="4:11">
      <c r="D238" s="345"/>
      <c r="E238" s="381"/>
      <c r="F238" s="381"/>
      <c r="G238" s="381"/>
      <c r="H238" s="381"/>
      <c r="I238" s="381"/>
      <c r="K238" s="381"/>
    </row>
    <row r="239" spans="4:11">
      <c r="D239" s="370"/>
      <c r="E239" s="381"/>
      <c r="F239" s="381"/>
      <c r="G239" s="381"/>
      <c r="H239" s="381"/>
      <c r="I239" s="381"/>
    </row>
    <row r="240" spans="4:11">
      <c r="D240" s="370"/>
    </row>
    <row r="241" spans="4:11">
      <c r="D241" s="370"/>
    </row>
    <row r="242" spans="4:11">
      <c r="D242" s="345"/>
      <c r="E242" s="381"/>
      <c r="F242" s="381"/>
      <c r="G242" s="381"/>
      <c r="H242" s="381"/>
      <c r="I242" s="381"/>
    </row>
    <row r="243" spans="4:11">
      <c r="D243" s="370"/>
      <c r="E243" s="381"/>
      <c r="F243" s="381"/>
      <c r="G243" s="381"/>
      <c r="H243" s="381"/>
      <c r="I243" s="381"/>
    </row>
    <row r="244" spans="4:11">
      <c r="D244" s="370"/>
    </row>
    <row r="245" spans="4:11">
      <c r="D245" s="345"/>
      <c r="E245" s="381"/>
      <c r="F245" s="381"/>
      <c r="G245" s="381"/>
      <c r="H245" s="381"/>
      <c r="I245" s="381"/>
    </row>
    <row r="246" spans="4:11">
      <c r="D246" s="370"/>
      <c r="J246" s="381"/>
    </row>
    <row r="247" spans="4:11">
      <c r="D247" s="370"/>
      <c r="J247" s="381"/>
    </row>
    <row r="248" spans="4:11">
      <c r="D248" s="345"/>
      <c r="E248" s="381"/>
      <c r="F248" s="381"/>
      <c r="G248" s="381"/>
      <c r="H248" s="381"/>
      <c r="I248" s="381"/>
    </row>
    <row r="249" spans="4:11">
      <c r="D249" s="370"/>
      <c r="K249" s="381"/>
    </row>
    <row r="250" spans="4:11">
      <c r="D250" s="370"/>
      <c r="J250" s="381"/>
      <c r="K250" s="381"/>
    </row>
    <row r="251" spans="4:11">
      <c r="D251" s="370"/>
      <c r="J251" s="381"/>
    </row>
    <row r="252" spans="4:11">
      <c r="D252" s="345"/>
      <c r="E252" s="381"/>
      <c r="F252" s="381"/>
      <c r="G252" s="381"/>
      <c r="H252" s="381"/>
      <c r="I252" s="381"/>
    </row>
    <row r="253" spans="4:11">
      <c r="D253" s="370"/>
      <c r="K253" s="381"/>
    </row>
    <row r="254" spans="4:11">
      <c r="D254" s="370"/>
      <c r="E254" s="345"/>
      <c r="F254" s="345"/>
      <c r="G254" s="345"/>
      <c r="H254" s="345"/>
      <c r="I254" s="345"/>
      <c r="J254" s="381"/>
      <c r="K254" s="381"/>
    </row>
    <row r="255" spans="4:11">
      <c r="D255" s="370"/>
      <c r="E255" s="345"/>
      <c r="F255" s="345"/>
      <c r="G255" s="345"/>
      <c r="H255" s="345"/>
      <c r="I255" s="345"/>
    </row>
    <row r="256" spans="4:11">
      <c r="D256" s="370"/>
    </row>
    <row r="257" spans="4:11">
      <c r="D257" s="370"/>
      <c r="K257" s="381"/>
    </row>
    <row r="258" spans="4:11">
      <c r="D258" s="370"/>
    </row>
    <row r="259" spans="4:11">
      <c r="D259" s="370"/>
    </row>
    <row r="260" spans="4:11">
      <c r="D260" s="370"/>
    </row>
    <row r="261" spans="4:11">
      <c r="D261" s="370"/>
    </row>
    <row r="262" spans="4:11">
      <c r="D262" s="370"/>
    </row>
    <row r="263" spans="4:11">
      <c r="D263" s="370"/>
    </row>
    <row r="264" spans="4:11">
      <c r="D264" s="370"/>
    </row>
    <row r="265" spans="4:11">
      <c r="D265" s="370"/>
    </row>
    <row r="266" spans="4:11">
      <c r="D266" s="370"/>
    </row>
    <row r="267" spans="4:11">
      <c r="D267" s="370"/>
    </row>
    <row r="268" spans="4:11">
      <c r="D268" s="370"/>
    </row>
    <row r="269" spans="4:11">
      <c r="D269" s="370"/>
    </row>
    <row r="270" spans="4:11">
      <c r="D270" s="370"/>
    </row>
    <row r="271" spans="4:11">
      <c r="D271" s="370"/>
    </row>
    <row r="272" spans="4:11">
      <c r="D272" s="370"/>
    </row>
    <row r="273" spans="4:4">
      <c r="D273" s="370"/>
    </row>
    <row r="274" spans="4:4">
      <c r="D274" s="370"/>
    </row>
    <row r="275" spans="4:4">
      <c r="D275" s="370"/>
    </row>
    <row r="276" spans="4:4">
      <c r="D276" s="370"/>
    </row>
    <row r="277" spans="4:4">
      <c r="D277" s="370"/>
    </row>
    <row r="278" spans="4:4">
      <c r="D278" s="370"/>
    </row>
    <row r="279" spans="4:4">
      <c r="D279" s="370"/>
    </row>
    <row r="280" spans="4:4">
      <c r="D280" s="370"/>
    </row>
    <row r="281" spans="4:4">
      <c r="D281" s="370"/>
    </row>
    <row r="282" spans="4:4">
      <c r="D282" s="370"/>
    </row>
    <row r="283" spans="4:4">
      <c r="D283" s="370"/>
    </row>
    <row r="284" spans="4:4">
      <c r="D284" s="370"/>
    </row>
    <row r="285" spans="4:4">
      <c r="D285" s="370"/>
    </row>
    <row r="286" spans="4:4">
      <c r="D286" s="370"/>
    </row>
    <row r="287" spans="4:4">
      <c r="D287" s="370"/>
    </row>
    <row r="288" spans="4:4">
      <c r="D288" s="370"/>
    </row>
    <row r="289" spans="4:4">
      <c r="D289" s="370"/>
    </row>
    <row r="290" spans="4:4">
      <c r="D290" s="370"/>
    </row>
    <row r="291" spans="4:4">
      <c r="D291" s="370"/>
    </row>
    <row r="292" spans="4:4">
      <c r="D292" s="370"/>
    </row>
    <row r="293" spans="4:4">
      <c r="D293" s="370"/>
    </row>
    <row r="294" spans="4:4">
      <c r="D294" s="370"/>
    </row>
    <row r="295" spans="4:4">
      <c r="D295" s="370"/>
    </row>
    <row r="296" spans="4:4">
      <c r="D296" s="370"/>
    </row>
    <row r="297" spans="4:4">
      <c r="D297" s="370"/>
    </row>
    <row r="298" spans="4:4">
      <c r="D298" s="370"/>
    </row>
    <row r="299" spans="4:4">
      <c r="D299" s="370"/>
    </row>
    <row r="300" spans="4:4">
      <c r="D300" s="370"/>
    </row>
    <row r="301" spans="4:4">
      <c r="D301" s="370"/>
    </row>
    <row r="302" spans="4:4">
      <c r="D302" s="370"/>
    </row>
    <row r="303" spans="4:4">
      <c r="D303" s="370"/>
    </row>
    <row r="304" spans="4:4">
      <c r="D304" s="370"/>
    </row>
    <row r="305" spans="4:4">
      <c r="D305" s="370"/>
    </row>
    <row r="306" spans="4:4">
      <c r="D306" s="370"/>
    </row>
    <row r="307" spans="4:4">
      <c r="D307" s="370"/>
    </row>
    <row r="308" spans="4:4">
      <c r="D308" s="370"/>
    </row>
    <row r="309" spans="4:4">
      <c r="D309" s="370"/>
    </row>
    <row r="310" spans="4:4">
      <c r="D310" s="370"/>
    </row>
    <row r="311" spans="4:4">
      <c r="D311" s="370"/>
    </row>
    <row r="312" spans="4:4">
      <c r="D312" s="370"/>
    </row>
    <row r="313" spans="4:4">
      <c r="D313" s="370"/>
    </row>
    <row r="314" spans="4:4">
      <c r="D314" s="370"/>
    </row>
    <row r="315" spans="4:4">
      <c r="D315" s="370"/>
    </row>
    <row r="316" spans="4:4">
      <c r="D316" s="370"/>
    </row>
    <row r="317" spans="4:4">
      <c r="D317" s="370"/>
    </row>
    <row r="318" spans="4:4">
      <c r="D318" s="370"/>
    </row>
    <row r="319" spans="4:4">
      <c r="D319" s="370"/>
    </row>
    <row r="320" spans="4:4">
      <c r="D320" s="370"/>
    </row>
    <row r="321" spans="4:4">
      <c r="D321" s="370"/>
    </row>
    <row r="322" spans="4:4">
      <c r="D322" s="370"/>
    </row>
    <row r="323" spans="4:4">
      <c r="D323" s="370"/>
    </row>
    <row r="324" spans="4:4">
      <c r="D324" s="370"/>
    </row>
    <row r="325" spans="4:4">
      <c r="D325" s="370"/>
    </row>
    <row r="326" spans="4:4">
      <c r="D326" s="370"/>
    </row>
    <row r="327" spans="4:4">
      <c r="D327" s="370"/>
    </row>
    <row r="328" spans="4:4">
      <c r="D328" s="370"/>
    </row>
    <row r="329" spans="4:4">
      <c r="D329" s="370"/>
    </row>
    <row r="330" spans="4:4">
      <c r="D330" s="370"/>
    </row>
    <row r="331" spans="4:4">
      <c r="D331" s="370"/>
    </row>
    <row r="332" spans="4:4">
      <c r="D332" s="370"/>
    </row>
    <row r="333" spans="4:4">
      <c r="D333" s="370"/>
    </row>
    <row r="334" spans="4:4">
      <c r="D334" s="370"/>
    </row>
    <row r="335" spans="4:4">
      <c r="D335" s="370"/>
    </row>
    <row r="336" spans="4:4">
      <c r="D336" s="370"/>
    </row>
    <row r="337" spans="4:4">
      <c r="D337" s="370"/>
    </row>
    <row r="338" spans="4:4">
      <c r="D338" s="370"/>
    </row>
    <row r="339" spans="4:4">
      <c r="D339" s="370"/>
    </row>
    <row r="340" spans="4:4">
      <c r="D340" s="370"/>
    </row>
    <row r="341" spans="4:4">
      <c r="D341" s="370"/>
    </row>
    <row r="342" spans="4:4">
      <c r="D342" s="370"/>
    </row>
    <row r="343" spans="4:4">
      <c r="D343" s="370"/>
    </row>
    <row r="344" spans="4:4">
      <c r="D344" s="370"/>
    </row>
    <row r="345" spans="4:4">
      <c r="D345" s="370"/>
    </row>
    <row r="346" spans="4:4">
      <c r="D346" s="370"/>
    </row>
    <row r="347" spans="4:4">
      <c r="D347" s="370"/>
    </row>
    <row r="348" spans="4:4">
      <c r="D348" s="370"/>
    </row>
    <row r="349" spans="4:4">
      <c r="D349" s="370"/>
    </row>
    <row r="350" spans="4:4">
      <c r="D350" s="370"/>
    </row>
    <row r="351" spans="4:4">
      <c r="D351" s="370"/>
    </row>
    <row r="352" spans="4:4">
      <c r="D352" s="370"/>
    </row>
    <row r="353" spans="4:4">
      <c r="D353" s="370"/>
    </row>
    <row r="354" spans="4:4">
      <c r="D354" s="370"/>
    </row>
    <row r="355" spans="4:4">
      <c r="D355" s="370"/>
    </row>
    <row r="356" spans="4:4">
      <c r="D356" s="370"/>
    </row>
    <row r="357" spans="4:4">
      <c r="D357" s="370"/>
    </row>
    <row r="358" spans="4:4">
      <c r="D358" s="370"/>
    </row>
    <row r="359" spans="4:4">
      <c r="D359" s="370"/>
    </row>
    <row r="360" spans="4:4">
      <c r="D360" s="370"/>
    </row>
    <row r="361" spans="4:4">
      <c r="D361" s="370"/>
    </row>
    <row r="362" spans="4:4">
      <c r="D362" s="370"/>
    </row>
    <row r="363" spans="4:4">
      <c r="D363" s="370"/>
    </row>
    <row r="364" spans="4:4">
      <c r="D364" s="370"/>
    </row>
    <row r="365" spans="4:4">
      <c r="D365" s="370"/>
    </row>
    <row r="366" spans="4:4">
      <c r="D366" s="370"/>
    </row>
    <row r="367" spans="4:4">
      <c r="D367" s="370"/>
    </row>
    <row r="368" spans="4:4">
      <c r="D368" s="370"/>
    </row>
    <row r="369" spans="4:4">
      <c r="D369" s="370"/>
    </row>
    <row r="370" spans="4:4">
      <c r="D370" s="370"/>
    </row>
    <row r="371" spans="4:4">
      <c r="D371" s="370"/>
    </row>
    <row r="372" spans="4:4">
      <c r="D372" s="370"/>
    </row>
    <row r="373" spans="4:4">
      <c r="D373" s="370"/>
    </row>
    <row r="374" spans="4:4">
      <c r="D374" s="370"/>
    </row>
    <row r="375" spans="4:4">
      <c r="D375" s="370"/>
    </row>
    <row r="376" spans="4:4">
      <c r="D376" s="370"/>
    </row>
    <row r="377" spans="4:4">
      <c r="D377" s="370"/>
    </row>
    <row r="378" spans="4:4">
      <c r="D378" s="370"/>
    </row>
    <row r="379" spans="4:4">
      <c r="D379" s="370"/>
    </row>
    <row r="380" spans="4:4">
      <c r="D380" s="370"/>
    </row>
    <row r="381" spans="4:4">
      <c r="D381" s="370"/>
    </row>
    <row r="382" spans="4:4">
      <c r="D382" s="370"/>
    </row>
    <row r="383" spans="4:4">
      <c r="D383" s="370"/>
    </row>
    <row r="384" spans="4:4">
      <c r="D384" s="370"/>
    </row>
    <row r="385" spans="4:4">
      <c r="D385" s="370"/>
    </row>
    <row r="386" spans="4:4">
      <c r="D386" s="370"/>
    </row>
    <row r="387" spans="4:4">
      <c r="D387" s="370"/>
    </row>
    <row r="388" spans="4:4">
      <c r="D388" s="370"/>
    </row>
    <row r="389" spans="4:4">
      <c r="D389" s="370"/>
    </row>
    <row r="390" spans="4:4">
      <c r="D390" s="370"/>
    </row>
    <row r="391" spans="4:4">
      <c r="D391" s="370"/>
    </row>
    <row r="392" spans="4:4">
      <c r="D392" s="370"/>
    </row>
    <row r="393" spans="4:4">
      <c r="D393" s="370"/>
    </row>
    <row r="394" spans="4:4">
      <c r="D394" s="370"/>
    </row>
    <row r="395" spans="4:4">
      <c r="D395" s="370"/>
    </row>
    <row r="396" spans="4:4">
      <c r="D396" s="370"/>
    </row>
    <row r="397" spans="4:4">
      <c r="D397" s="370"/>
    </row>
    <row r="398" spans="4:4">
      <c r="D398" s="370"/>
    </row>
    <row r="399" spans="4:4">
      <c r="D399" s="370"/>
    </row>
    <row r="400" spans="4:4">
      <c r="D400" s="370"/>
    </row>
    <row r="401" spans="4:4">
      <c r="D401" s="370"/>
    </row>
    <row r="402" spans="4:4">
      <c r="D402" s="370"/>
    </row>
    <row r="403" spans="4:4">
      <c r="D403" s="370"/>
    </row>
    <row r="404" spans="4:4">
      <c r="D404" s="370"/>
    </row>
    <row r="405" spans="4:4">
      <c r="D405" s="370"/>
    </row>
    <row r="406" spans="4:4">
      <c r="D406" s="370"/>
    </row>
    <row r="407" spans="4:4">
      <c r="D407" s="370"/>
    </row>
    <row r="408" spans="4:4">
      <c r="D408" s="370"/>
    </row>
    <row r="409" spans="4:4">
      <c r="D409" s="370"/>
    </row>
    <row r="410" spans="4:4">
      <c r="D410" s="370"/>
    </row>
    <row r="411" spans="4:4">
      <c r="D411" s="370"/>
    </row>
    <row r="412" spans="4:4">
      <c r="D412" s="370"/>
    </row>
    <row r="413" spans="4:4">
      <c r="D413" s="370"/>
    </row>
    <row r="414" spans="4:4">
      <c r="D414" s="370"/>
    </row>
    <row r="415" spans="4:4">
      <c r="D415" s="370"/>
    </row>
    <row r="416" spans="4:4">
      <c r="D416" s="370"/>
    </row>
    <row r="417" spans="4:4">
      <c r="D417" s="370"/>
    </row>
    <row r="418" spans="4:4">
      <c r="D418" s="370"/>
    </row>
    <row r="419" spans="4:4">
      <c r="D419" s="370"/>
    </row>
    <row r="420" spans="4:4">
      <c r="D420" s="370"/>
    </row>
    <row r="421" spans="4:4">
      <c r="D421" s="370"/>
    </row>
    <row r="422" spans="4:4">
      <c r="D422" s="370"/>
    </row>
    <row r="423" spans="4:4">
      <c r="D423" s="370"/>
    </row>
    <row r="424" spans="4:4">
      <c r="D424" s="370"/>
    </row>
    <row r="425" spans="4:4">
      <c r="D425" s="370"/>
    </row>
    <row r="426" spans="4:4">
      <c r="D426" s="370"/>
    </row>
    <row r="427" spans="4:4">
      <c r="D427" s="370"/>
    </row>
    <row r="428" spans="4:4">
      <c r="D428" s="370"/>
    </row>
    <row r="429" spans="4:4">
      <c r="D429" s="370"/>
    </row>
    <row r="430" spans="4:4">
      <c r="D430" s="370"/>
    </row>
    <row r="431" spans="4:4">
      <c r="D431" s="370"/>
    </row>
    <row r="432" spans="4:4">
      <c r="D432" s="370"/>
    </row>
    <row r="433" spans="4:4">
      <c r="D433" s="370"/>
    </row>
    <row r="434" spans="4:4">
      <c r="D434" s="370"/>
    </row>
    <row r="435" spans="4:4">
      <c r="D435" s="370"/>
    </row>
    <row r="436" spans="4:4">
      <c r="D436" s="370"/>
    </row>
    <row r="437" spans="4:4">
      <c r="D437" s="370"/>
    </row>
    <row r="438" spans="4:4">
      <c r="D438" s="370"/>
    </row>
    <row r="439" spans="4:4">
      <c r="D439" s="370"/>
    </row>
    <row r="440" spans="4:4">
      <c r="D440" s="370"/>
    </row>
    <row r="441" spans="4:4">
      <c r="D441" s="370"/>
    </row>
    <row r="442" spans="4:4">
      <c r="D442" s="370"/>
    </row>
    <row r="443" spans="4:4">
      <c r="D443" s="370"/>
    </row>
    <row r="444" spans="4:4">
      <c r="D444" s="370"/>
    </row>
  </sheetData>
  <phoneticPr fontId="26" type="noConversion"/>
  <pageMargins left="0.75" right="0.75" top="1" bottom="1" header="0.5" footer="0.5"/>
  <pageSetup scale="47" orientation="landscape" r:id="rId1"/>
  <headerFooter alignWithMargins="0"/>
  <drawing r:id="rId2"/>
</worksheet>
</file>

<file path=xl/worksheets/sheet1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800-000000000000}">
  <sheetPr codeName="Sheet112">
    <pageSetUpPr fitToPage="1"/>
  </sheetPr>
  <dimension ref="B1:X444"/>
  <sheetViews>
    <sheetView showGridLines="0" zoomScale="80" zoomScaleNormal="80" workbookViewId="0"/>
  </sheetViews>
  <sheetFormatPr defaultColWidth="9.109375" defaultRowHeight="12"/>
  <cols>
    <col min="1" max="1" width="2.33203125" style="367" customWidth="1"/>
    <col min="2" max="6" width="10" style="367" customWidth="1"/>
    <col min="7" max="7" width="2.33203125" style="367" customWidth="1"/>
    <col min="8" max="8" width="10" style="367" customWidth="1"/>
    <col min="9" max="9" width="2.109375" style="367" customWidth="1"/>
    <col min="10" max="10" width="10" style="367" customWidth="1"/>
    <col min="11" max="11" width="2.109375" style="367" customWidth="1"/>
    <col min="12" max="12" width="10" style="367" customWidth="1"/>
    <col min="13" max="13" width="2.109375" style="367" customWidth="1"/>
    <col min="14" max="14" width="10" style="367" customWidth="1"/>
    <col min="15" max="15" width="2.109375" style="367" customWidth="1"/>
    <col min="16" max="16" width="10" style="367" customWidth="1"/>
    <col min="17" max="17" width="2.109375" style="367" customWidth="1"/>
    <col min="18" max="18" width="10" style="367" customWidth="1"/>
    <col min="19" max="19" width="2.109375" style="367" customWidth="1"/>
    <col min="20" max="20" width="9.88671875" style="367" customWidth="1"/>
    <col min="21" max="21" width="2.109375" style="367" customWidth="1"/>
    <col min="22" max="22" width="10" style="367" customWidth="1"/>
    <col min="23" max="23" width="2.109375" style="367" customWidth="1"/>
    <col min="24" max="24" width="10" style="367" customWidth="1"/>
    <col min="25" max="16384" width="9.109375" style="367"/>
  </cols>
  <sheetData>
    <row r="1" spans="2:24" s="472" customFormat="1">
      <c r="E1" s="150"/>
    </row>
    <row r="2" spans="2:24" s="472" customFormat="1">
      <c r="E2" s="150"/>
    </row>
    <row r="3" spans="2:24" s="472" customFormat="1"/>
    <row r="4" spans="2:24" s="477" customFormat="1" ht="21">
      <c r="B4" s="129" t="s">
        <v>1461</v>
      </c>
      <c r="C4" s="129"/>
    </row>
    <row r="5" spans="2:24" s="472" customFormat="1">
      <c r="D5" s="132"/>
      <c r="E5" s="132"/>
      <c r="F5" s="132"/>
      <c r="G5" s="132"/>
      <c r="H5" s="132"/>
      <c r="I5" s="132"/>
      <c r="L5" s="473"/>
      <c r="M5" s="473"/>
      <c r="N5" s="473"/>
      <c r="O5" s="473"/>
      <c r="P5" s="473"/>
      <c r="Q5" s="473"/>
      <c r="R5" s="473"/>
      <c r="S5" s="473"/>
      <c r="T5" s="473"/>
      <c r="U5" s="473"/>
      <c r="V5" s="473"/>
      <c r="W5" s="473"/>
      <c r="X5" s="473"/>
    </row>
    <row r="6" spans="2:24">
      <c r="B6" s="456"/>
      <c r="C6" s="456"/>
      <c r="D6" s="456"/>
      <c r="E6" s="456"/>
      <c r="F6" s="456"/>
      <c r="G6" s="456"/>
      <c r="H6" s="456"/>
      <c r="I6" s="456"/>
      <c r="L6" s="440"/>
      <c r="M6" s="440"/>
      <c r="N6" s="440"/>
      <c r="O6" s="440"/>
      <c r="P6" s="440"/>
      <c r="Q6" s="440"/>
      <c r="R6" s="440"/>
      <c r="S6" s="440"/>
      <c r="T6" s="440"/>
      <c r="U6" s="440"/>
      <c r="V6" s="440"/>
      <c r="W6" s="440"/>
      <c r="X6" s="440"/>
    </row>
    <row r="7" spans="2:24" ht="12.6" thickBot="1">
      <c r="B7" s="306" t="s">
        <v>69</v>
      </c>
      <c r="C7" s="306"/>
      <c r="D7" s="368"/>
      <c r="E7" s="457"/>
      <c r="F7" s="457"/>
      <c r="G7" s="457"/>
      <c r="H7" s="457"/>
      <c r="I7" s="457"/>
      <c r="J7" s="368"/>
      <c r="K7" s="368"/>
      <c r="L7" s="368"/>
      <c r="M7" s="368"/>
      <c r="N7" s="368"/>
      <c r="O7" s="368"/>
      <c r="P7" s="368"/>
      <c r="Q7" s="368"/>
      <c r="R7" s="368"/>
      <c r="S7" s="368"/>
      <c r="T7" s="368"/>
      <c r="U7" s="368"/>
      <c r="V7" s="368"/>
      <c r="W7" s="368"/>
      <c r="X7" s="368"/>
    </row>
    <row r="8" spans="2:24" ht="12.6" thickTop="1">
      <c r="B8" s="345"/>
      <c r="C8" s="345"/>
      <c r="E8" s="345"/>
      <c r="F8" s="345"/>
      <c r="G8" s="345"/>
      <c r="H8" s="345"/>
      <c r="I8" s="345"/>
    </row>
    <row r="9" spans="2:24">
      <c r="D9" s="345"/>
      <c r="E9" s="382" t="s">
        <v>81</v>
      </c>
      <c r="F9" s="458" t="s">
        <v>82</v>
      </c>
      <c r="G9" s="458"/>
      <c r="H9" s="458" t="s">
        <v>83</v>
      </c>
      <c r="I9" s="458"/>
      <c r="J9" s="458" t="s">
        <v>84</v>
      </c>
      <c r="K9" s="458"/>
      <c r="L9" s="458" t="s">
        <v>755</v>
      </c>
      <c r="M9" s="458"/>
      <c r="N9" s="459" t="s">
        <v>128</v>
      </c>
      <c r="O9" s="459"/>
      <c r="P9" s="458" t="s">
        <v>129</v>
      </c>
      <c r="Q9" s="458"/>
      <c r="R9" s="458" t="s">
        <v>799</v>
      </c>
      <c r="S9" s="458"/>
      <c r="T9" s="458" t="s">
        <v>130</v>
      </c>
      <c r="U9" s="458"/>
      <c r="V9" s="458" t="s">
        <v>131</v>
      </c>
      <c r="W9" s="458"/>
      <c r="X9" s="458" t="s">
        <v>132</v>
      </c>
    </row>
    <row r="10" spans="2:24">
      <c r="B10" s="345"/>
      <c r="C10" s="345"/>
      <c r="E10" s="382"/>
      <c r="F10" s="458"/>
      <c r="G10" s="458"/>
      <c r="H10" s="458"/>
      <c r="I10" s="458"/>
      <c r="J10" s="458"/>
      <c r="K10" s="458"/>
      <c r="L10" s="458"/>
      <c r="M10" s="458"/>
      <c r="N10" s="459"/>
      <c r="O10" s="459"/>
      <c r="P10" s="458"/>
      <c r="Q10" s="458"/>
      <c r="R10" s="458"/>
      <c r="S10" s="458"/>
      <c r="T10" s="458"/>
      <c r="U10" s="458"/>
      <c r="V10" s="458"/>
      <c r="W10" s="458"/>
      <c r="X10" s="458"/>
    </row>
    <row r="11" spans="2:24">
      <c r="B11" s="370" t="s">
        <v>140</v>
      </c>
      <c r="C11" s="370"/>
      <c r="E11" s="367" t="str">
        <f>"DCF, "&amp;TEXT(H11,"0.0")&amp;"x FY19E EBITDA"</f>
        <v>DCF, 6.6x FY19E EBITDA</v>
      </c>
      <c r="F11" s="484">
        <v>90068.372076608983</v>
      </c>
      <c r="G11" s="178" t="s">
        <v>134</v>
      </c>
      <c r="H11" s="487">
        <v>6.6317896243918719</v>
      </c>
      <c r="I11" s="178" t="s">
        <v>135</v>
      </c>
      <c r="J11" s="484">
        <f>F11*H11</f>
        <v>597314.49542352208</v>
      </c>
      <c r="K11" s="178" t="s">
        <v>136</v>
      </c>
      <c r="L11" s="484"/>
      <c r="M11" s="178" t="s">
        <v>135</v>
      </c>
      <c r="N11" s="178">
        <f>J11-L11</f>
        <v>597314.49542352208</v>
      </c>
      <c r="O11" s="178" t="s">
        <v>134</v>
      </c>
      <c r="P11" s="490">
        <v>1</v>
      </c>
      <c r="Q11" s="393" t="s">
        <v>135</v>
      </c>
      <c r="R11" s="216">
        <f>P11*N11-T11</f>
        <v>597314.49542352208</v>
      </c>
      <c r="S11" s="216"/>
      <c r="T11" s="208"/>
      <c r="U11" s="216"/>
      <c r="V11" s="394">
        <f>N11/$J$23</f>
        <v>-0.41873743936330904</v>
      </c>
      <c r="W11" s="370"/>
      <c r="X11" s="373">
        <f>$J$28*V11</f>
        <v>-60.716928707679813</v>
      </c>
    </row>
    <row r="12" spans="2:24">
      <c r="B12" s="370" t="s">
        <v>193</v>
      </c>
      <c r="C12" s="370"/>
      <c r="E12" s="367" t="str">
        <f>"DCF, "&amp;TEXT(H12,"0.0")&amp;"x FY19E EBITDA"</f>
        <v>DCF, 5.9x FY19E EBITDA</v>
      </c>
      <c r="F12" s="484">
        <v>77583.380569970599</v>
      </c>
      <c r="G12" s="178" t="s">
        <v>134</v>
      </c>
      <c r="H12" s="487">
        <v>5.8773210193748815</v>
      </c>
      <c r="I12" s="178" t="s">
        <v>135</v>
      </c>
      <c r="J12" s="484">
        <f>F12*H12</f>
        <v>455982.433378049</v>
      </c>
      <c r="K12" s="178" t="s">
        <v>136</v>
      </c>
      <c r="L12" s="484"/>
      <c r="M12" s="178" t="s">
        <v>135</v>
      </c>
      <c r="N12" s="497">
        <f>J12-L12</f>
        <v>455982.433378049</v>
      </c>
      <c r="O12" s="178" t="s">
        <v>134</v>
      </c>
      <c r="P12" s="490">
        <v>0.1115</v>
      </c>
      <c r="Q12" s="393" t="s">
        <v>135</v>
      </c>
      <c r="R12" s="385">
        <f>P12*N12</f>
        <v>50842.041321652461</v>
      </c>
      <c r="S12" s="216"/>
      <c r="T12" s="385">
        <f>N12-R12</f>
        <v>405140.39205639652</v>
      </c>
      <c r="U12" s="216"/>
      <c r="V12" s="395">
        <f>N12/$J$23</f>
        <v>-0.31965893680847685</v>
      </c>
      <c r="W12" s="370"/>
      <c r="X12" s="396">
        <f>$J$28*V12</f>
        <v>-46.350545837229141</v>
      </c>
    </row>
    <row r="13" spans="2:24">
      <c r="B13" s="345" t="s">
        <v>138</v>
      </c>
      <c r="C13" s="370"/>
      <c r="F13" s="210"/>
      <c r="G13" s="196"/>
      <c r="H13" s="372"/>
      <c r="I13" s="376"/>
      <c r="J13" s="210">
        <f>SUM(J11:J12)</f>
        <v>1053296.928801571</v>
      </c>
      <c r="K13" s="375"/>
      <c r="L13" s="210">
        <f>-J20</f>
        <v>2074622.0000000002</v>
      </c>
      <c r="M13" s="196"/>
      <c r="N13" s="210">
        <f>SUM(N11:N12)</f>
        <v>1053296.928801571</v>
      </c>
      <c r="P13" s="377"/>
      <c r="Q13" s="378"/>
      <c r="R13" s="210">
        <f>SUM(R11:R12)</f>
        <v>648156.53674517456</v>
      </c>
      <c r="S13" s="370"/>
      <c r="T13" s="210">
        <f>SUM(T11:T12)</f>
        <v>405140.39205639652</v>
      </c>
      <c r="U13" s="370"/>
      <c r="V13" s="387">
        <f>N13/$J$23</f>
        <v>-0.73839637617178588</v>
      </c>
      <c r="W13" s="370"/>
      <c r="X13" s="372">
        <f>$J$28*V13</f>
        <v>-107.06747454490895</v>
      </c>
    </row>
    <row r="14" spans="2:24">
      <c r="B14" s="370"/>
      <c r="C14" s="370"/>
      <c r="F14" s="210"/>
      <c r="G14" s="196"/>
      <c r="H14" s="372"/>
      <c r="I14" s="376"/>
      <c r="J14" s="196"/>
      <c r="K14" s="375"/>
      <c r="L14" s="370"/>
      <c r="M14" s="196"/>
      <c r="N14" s="210"/>
      <c r="P14" s="377"/>
      <c r="Q14" s="378"/>
      <c r="R14" s="210"/>
      <c r="T14" s="196"/>
    </row>
    <row r="15" spans="2:24">
      <c r="B15" s="370" t="s">
        <v>139</v>
      </c>
      <c r="C15" s="370"/>
      <c r="F15" s="216"/>
      <c r="G15" s="178"/>
      <c r="H15" s="373"/>
      <c r="I15" s="403"/>
      <c r="J15" s="414"/>
      <c r="K15" s="414"/>
      <c r="L15" s="178"/>
      <c r="M15" s="178"/>
      <c r="N15" s="370"/>
      <c r="P15" s="493"/>
      <c r="Q15" s="494"/>
      <c r="R15" s="448"/>
    </row>
    <row r="16" spans="2:24">
      <c r="B16" s="345" t="s">
        <v>138</v>
      </c>
      <c r="C16" s="370"/>
      <c r="R16" s="210">
        <v>0</v>
      </c>
    </row>
    <row r="17" spans="2:24">
      <c r="D17" s="345"/>
      <c r="E17" s="381"/>
      <c r="F17" s="381"/>
      <c r="G17" s="381"/>
      <c r="H17" s="381"/>
      <c r="I17" s="381"/>
      <c r="J17" s="381"/>
      <c r="K17" s="381"/>
      <c r="R17" s="370"/>
    </row>
    <row r="18" spans="2:24">
      <c r="D18" s="345"/>
      <c r="E18" s="381"/>
      <c r="F18" s="381"/>
      <c r="G18" s="381"/>
      <c r="H18" s="381"/>
      <c r="I18" s="381"/>
      <c r="J18" s="381"/>
      <c r="K18" s="381"/>
      <c r="R18" s="370"/>
    </row>
    <row r="19" spans="2:24" ht="12.6" thickBot="1">
      <c r="B19" s="382" t="s">
        <v>142</v>
      </c>
      <c r="D19" s="345"/>
      <c r="E19" s="381"/>
      <c r="I19" s="381"/>
      <c r="J19" s="374">
        <f>J13</f>
        <v>1053296.928801571</v>
      </c>
      <c r="T19" s="460" t="s">
        <v>549</v>
      </c>
      <c r="U19" s="368"/>
      <c r="V19" s="368"/>
      <c r="W19" s="368"/>
      <c r="X19" s="368"/>
    </row>
    <row r="20" spans="2:24" ht="12.6" thickTop="1">
      <c r="B20" s="383" t="s">
        <v>1007</v>
      </c>
      <c r="J20" s="216">
        <f>-IDEA!D12</f>
        <v>-2074622.0000000002</v>
      </c>
    </row>
    <row r="21" spans="2:24">
      <c r="B21" s="384" t="s">
        <v>443</v>
      </c>
      <c r="J21" s="216">
        <f>-T13</f>
        <v>-405140.39205639652</v>
      </c>
    </row>
    <row r="22" spans="2:24">
      <c r="B22" s="384" t="s">
        <v>377</v>
      </c>
      <c r="D22" s="370"/>
      <c r="J22" s="385">
        <f>R16</f>
        <v>0</v>
      </c>
      <c r="K22" s="381"/>
    </row>
    <row r="23" spans="2:24">
      <c r="B23" s="382" t="s">
        <v>495</v>
      </c>
      <c r="D23" s="345"/>
      <c r="E23" s="381"/>
      <c r="F23" s="381"/>
      <c r="G23" s="381"/>
      <c r="H23" s="381"/>
      <c r="I23" s="381"/>
      <c r="J23" s="210">
        <f>J19+J20+J21+J22</f>
        <v>-1426465.4632548257</v>
      </c>
    </row>
    <row r="24" spans="2:24" ht="12.6" thickBot="1">
      <c r="B24" s="384" t="s">
        <v>496</v>
      </c>
      <c r="D24" s="370"/>
      <c r="J24" s="216">
        <f>IDEA!D10</f>
        <v>50119.8</v>
      </c>
      <c r="K24" s="381"/>
    </row>
    <row r="25" spans="2:24" ht="12.6" thickBot="1">
      <c r="B25" s="382" t="s">
        <v>1000</v>
      </c>
      <c r="D25" s="370"/>
      <c r="J25" s="462">
        <f>J23/J24</f>
        <v>-28.46111643012992</v>
      </c>
      <c r="K25" s="381"/>
    </row>
    <row r="26" spans="2:24">
      <c r="B26" s="384" t="s">
        <v>697</v>
      </c>
      <c r="J26" s="486">
        <v>0.6</v>
      </c>
      <c r="K26" s="381"/>
    </row>
    <row r="27" spans="2:24" ht="12.6" thickBot="1">
      <c r="B27" s="384" t="s">
        <v>1001</v>
      </c>
      <c r="J27" s="486">
        <f>145-J26-J25</f>
        <v>172.86111643012993</v>
      </c>
      <c r="K27" s="381"/>
    </row>
    <row r="28" spans="2:24" ht="12.6" thickBot="1">
      <c r="B28" s="382" t="s">
        <v>62</v>
      </c>
      <c r="D28" s="345"/>
      <c r="E28" s="381"/>
      <c r="H28" s="381"/>
      <c r="I28" s="381"/>
      <c r="J28" s="462">
        <f>J25+J26+J27</f>
        <v>145</v>
      </c>
      <c r="K28" s="381"/>
    </row>
    <row r="29" spans="2:24">
      <c r="B29" s="384" t="s">
        <v>498</v>
      </c>
      <c r="D29" s="370"/>
      <c r="J29" s="400">
        <f>Prices!C86</f>
        <v>15.11</v>
      </c>
      <c r="L29" s="380"/>
    </row>
    <row r="30" spans="2:24">
      <c r="B30" s="382" t="s">
        <v>97</v>
      </c>
      <c r="D30" s="345"/>
      <c r="E30" s="381"/>
      <c r="F30" s="381"/>
      <c r="G30" s="381"/>
      <c r="H30" s="381"/>
      <c r="I30" s="381"/>
      <c r="J30" s="387">
        <f>J28/J29-1</f>
        <v>8.5962938451356727</v>
      </c>
      <c r="K30" s="381"/>
    </row>
    <row r="31" spans="2:24">
      <c r="K31" s="381"/>
    </row>
    <row r="32" spans="2:24">
      <c r="D32" s="345"/>
      <c r="E32" s="381"/>
      <c r="H32" s="381"/>
      <c r="I32" s="381"/>
    </row>
    <row r="33" spans="4:24">
      <c r="D33" s="345"/>
      <c r="E33" s="381"/>
      <c r="F33" s="381"/>
      <c r="G33" s="381"/>
      <c r="H33" s="381"/>
      <c r="I33" s="381"/>
      <c r="J33" s="381"/>
    </row>
    <row r="34" spans="4:24">
      <c r="D34" s="386"/>
      <c r="E34" s="345"/>
      <c r="H34" s="381"/>
      <c r="I34" s="381"/>
      <c r="K34" s="381"/>
    </row>
    <row r="35" spans="4:24" ht="12.6" thickBot="1">
      <c r="D35" s="345"/>
      <c r="E35" s="345"/>
      <c r="F35" s="345"/>
      <c r="G35" s="345"/>
      <c r="H35" s="345"/>
      <c r="I35" s="345"/>
      <c r="T35" s="460" t="s">
        <v>549</v>
      </c>
      <c r="U35" s="460"/>
      <c r="V35" s="460"/>
      <c r="W35" s="460"/>
      <c r="X35" s="460"/>
    </row>
    <row r="36" spans="4:24" ht="12.6" thickTop="1">
      <c r="D36" s="345"/>
      <c r="E36" s="345"/>
      <c r="F36" s="345"/>
      <c r="G36" s="345"/>
      <c r="H36" s="345"/>
      <c r="I36" s="345"/>
      <c r="T36" s="370" t="s">
        <v>140</v>
      </c>
      <c r="X36" s="394">
        <f>(J11)/($J$13)</f>
        <v>0.56709032286189187</v>
      </c>
    </row>
    <row r="37" spans="4:24">
      <c r="D37" s="345"/>
      <c r="E37" s="345"/>
      <c r="F37" s="345"/>
      <c r="G37" s="345"/>
      <c r="H37" s="345"/>
      <c r="I37" s="345"/>
      <c r="T37" s="370" t="s">
        <v>193</v>
      </c>
      <c r="X37" s="394">
        <f>J12/J13</f>
        <v>0.43290967713810813</v>
      </c>
    </row>
    <row r="38" spans="4:24">
      <c r="D38" s="345"/>
      <c r="E38" s="345"/>
      <c r="F38" s="345"/>
      <c r="G38" s="345"/>
      <c r="H38" s="345"/>
      <c r="I38" s="345"/>
    </row>
    <row r="39" spans="4:24">
      <c r="D39" s="345"/>
      <c r="E39" s="345"/>
      <c r="F39" s="345"/>
      <c r="G39" s="345"/>
      <c r="H39" s="345"/>
      <c r="I39" s="345"/>
    </row>
    <row r="40" spans="4:24">
      <c r="D40" s="345"/>
      <c r="E40" s="345"/>
      <c r="F40" s="345"/>
      <c r="G40" s="345"/>
      <c r="H40" s="345"/>
      <c r="I40" s="345"/>
    </row>
    <row r="41" spans="4:24">
      <c r="D41" s="345"/>
      <c r="E41" s="345"/>
      <c r="F41" s="345"/>
      <c r="G41" s="345"/>
      <c r="H41" s="345"/>
      <c r="I41" s="345"/>
    </row>
    <row r="42" spans="4:24">
      <c r="D42" s="345"/>
      <c r="E42" s="345"/>
      <c r="F42" s="345"/>
      <c r="G42" s="345"/>
      <c r="H42" s="345"/>
      <c r="I42" s="345"/>
    </row>
    <row r="43" spans="4:24">
      <c r="D43" s="345"/>
      <c r="E43" s="345"/>
      <c r="F43" s="345"/>
      <c r="G43" s="345"/>
      <c r="H43" s="345"/>
      <c r="I43" s="345"/>
      <c r="P43" s="249"/>
      <c r="Q43" s="249"/>
      <c r="R43" s="249"/>
    </row>
    <row r="44" spans="4:24">
      <c r="D44" s="345"/>
      <c r="E44" s="381"/>
      <c r="F44" s="381"/>
      <c r="G44" s="381"/>
      <c r="H44" s="381"/>
      <c r="I44" s="381"/>
      <c r="P44" s="388"/>
      <c r="Q44" s="388"/>
      <c r="R44" s="388"/>
    </row>
    <row r="45" spans="4:24">
      <c r="D45" s="345"/>
      <c r="E45" s="381"/>
      <c r="F45" s="381"/>
      <c r="G45" s="381"/>
      <c r="H45" s="381"/>
      <c r="I45" s="381"/>
    </row>
    <row r="46" spans="4:24">
      <c r="D46" s="370"/>
      <c r="E46" s="381"/>
      <c r="F46" s="381"/>
      <c r="G46" s="381"/>
      <c r="H46" s="381"/>
      <c r="I46" s="381"/>
    </row>
    <row r="47" spans="4:24">
      <c r="D47" s="370"/>
      <c r="E47" s="381"/>
      <c r="F47" s="381"/>
      <c r="G47" s="381"/>
      <c r="H47" s="381"/>
      <c r="I47" s="381"/>
      <c r="L47" s="249"/>
      <c r="M47" s="249"/>
      <c r="N47" s="249"/>
      <c r="O47" s="249"/>
      <c r="P47" s="249"/>
      <c r="Q47" s="249"/>
      <c r="R47" s="249"/>
    </row>
    <row r="48" spans="4:24">
      <c r="D48" s="370"/>
      <c r="N48" s="388"/>
      <c r="O48" s="388"/>
      <c r="P48" s="388"/>
      <c r="Q48" s="388"/>
      <c r="R48" s="388"/>
    </row>
    <row r="49" spans="4:24">
      <c r="D49" s="345"/>
      <c r="E49" s="381"/>
      <c r="F49" s="381"/>
      <c r="G49" s="381"/>
      <c r="H49" s="381"/>
      <c r="I49" s="381"/>
    </row>
    <row r="50" spans="4:24">
      <c r="D50" s="370"/>
      <c r="E50" s="381"/>
      <c r="F50" s="381"/>
      <c r="G50" s="381"/>
      <c r="H50" s="381"/>
      <c r="I50" s="381"/>
      <c r="P50" s="249"/>
      <c r="Q50" s="249"/>
      <c r="R50" s="249"/>
      <c r="S50" s="249"/>
    </row>
    <row r="51" spans="4:24">
      <c r="D51" s="370"/>
      <c r="E51" s="381"/>
      <c r="F51" s="381"/>
      <c r="G51" s="381"/>
      <c r="H51" s="381"/>
      <c r="I51" s="381"/>
      <c r="L51" s="249"/>
      <c r="M51" s="249"/>
      <c r="N51" s="249"/>
      <c r="O51" s="249"/>
      <c r="P51" s="388"/>
      <c r="Q51" s="388"/>
      <c r="R51" s="388"/>
      <c r="S51" s="388"/>
      <c r="T51" s="249"/>
      <c r="U51" s="249"/>
      <c r="V51" s="249"/>
      <c r="W51" s="249"/>
      <c r="X51" s="249"/>
    </row>
    <row r="52" spans="4:24">
      <c r="D52" s="370"/>
      <c r="N52" s="388"/>
      <c r="O52" s="388"/>
      <c r="T52" s="388"/>
      <c r="U52" s="388"/>
      <c r="V52" s="388"/>
      <c r="W52" s="388"/>
      <c r="X52" s="388"/>
    </row>
    <row r="53" spans="4:24">
      <c r="D53" s="370"/>
      <c r="P53" s="249"/>
      <c r="Q53" s="249"/>
      <c r="R53" s="249"/>
    </row>
    <row r="54" spans="4:24">
      <c r="D54" s="370"/>
      <c r="J54" s="381"/>
      <c r="L54" s="249"/>
      <c r="M54" s="249"/>
      <c r="N54" s="249"/>
      <c r="O54" s="249"/>
      <c r="P54" s="388"/>
      <c r="Q54" s="388"/>
      <c r="R54" s="388"/>
      <c r="S54" s="249"/>
      <c r="T54" s="249"/>
      <c r="U54" s="249"/>
      <c r="V54" s="249"/>
      <c r="W54" s="249"/>
      <c r="X54" s="249"/>
    </row>
    <row r="55" spans="4:24">
      <c r="D55" s="370"/>
      <c r="J55" s="381"/>
      <c r="K55" s="381"/>
      <c r="N55" s="388"/>
      <c r="O55" s="388"/>
      <c r="S55" s="388"/>
      <c r="T55" s="388"/>
      <c r="U55" s="388"/>
      <c r="V55" s="388"/>
      <c r="W55" s="388"/>
      <c r="X55" s="388"/>
    </row>
    <row r="56" spans="4:24">
      <c r="D56" s="370"/>
      <c r="K56" s="381"/>
      <c r="P56" s="249"/>
      <c r="Q56" s="249"/>
      <c r="R56" s="249"/>
    </row>
    <row r="57" spans="4:24">
      <c r="D57" s="370"/>
      <c r="J57" s="381"/>
      <c r="L57" s="249"/>
      <c r="M57" s="249"/>
      <c r="N57" s="249"/>
      <c r="O57" s="249"/>
      <c r="P57" s="388"/>
      <c r="Q57" s="388"/>
      <c r="R57" s="388"/>
      <c r="S57" s="249"/>
      <c r="T57" s="249"/>
      <c r="U57" s="249"/>
      <c r="V57" s="249"/>
      <c r="W57" s="249"/>
      <c r="X57" s="249"/>
    </row>
    <row r="58" spans="4:24">
      <c r="D58" s="370"/>
      <c r="J58" s="381"/>
      <c r="K58" s="381"/>
      <c r="N58" s="388"/>
      <c r="O58" s="388"/>
      <c r="P58" s="389"/>
      <c r="Q58" s="389"/>
      <c r="R58" s="389"/>
      <c r="S58" s="388"/>
      <c r="T58" s="388"/>
      <c r="U58" s="388"/>
      <c r="V58" s="388"/>
      <c r="W58" s="388"/>
      <c r="X58" s="388"/>
    </row>
    <row r="59" spans="4:24">
      <c r="D59" s="370"/>
      <c r="J59" s="381"/>
      <c r="K59" s="381"/>
      <c r="P59" s="388"/>
      <c r="Q59" s="388"/>
      <c r="R59" s="388"/>
    </row>
    <row r="60" spans="4:24">
      <c r="D60" s="370"/>
      <c r="K60" s="381"/>
      <c r="L60" s="249"/>
      <c r="M60" s="249"/>
      <c r="N60" s="249"/>
      <c r="O60" s="249"/>
      <c r="S60" s="249"/>
      <c r="T60" s="249"/>
      <c r="U60" s="249"/>
      <c r="V60" s="249"/>
      <c r="W60" s="249"/>
      <c r="X60" s="249"/>
    </row>
    <row r="61" spans="4:24">
      <c r="D61" s="345"/>
      <c r="E61" s="381"/>
      <c r="F61" s="381"/>
      <c r="G61" s="381"/>
      <c r="H61" s="381"/>
      <c r="I61" s="381"/>
      <c r="N61" s="388"/>
      <c r="O61" s="388"/>
      <c r="P61" s="249"/>
      <c r="Q61" s="249"/>
      <c r="R61" s="249"/>
      <c r="S61" s="388"/>
      <c r="T61" s="388"/>
      <c r="U61" s="388"/>
      <c r="V61" s="388"/>
      <c r="W61" s="388"/>
      <c r="X61" s="388"/>
    </row>
    <row r="62" spans="4:24">
      <c r="D62" s="370"/>
      <c r="J62" s="381"/>
      <c r="L62" s="389"/>
      <c r="M62" s="389"/>
      <c r="N62" s="389"/>
      <c r="O62" s="389"/>
      <c r="P62" s="390"/>
      <c r="Q62" s="390"/>
      <c r="R62" s="390"/>
    </row>
    <row r="63" spans="4:24">
      <c r="D63" s="370"/>
      <c r="J63" s="381"/>
      <c r="K63" s="381"/>
      <c r="N63" s="388"/>
      <c r="O63" s="388"/>
      <c r="P63" s="249"/>
      <c r="Q63" s="249"/>
      <c r="R63" s="249"/>
      <c r="S63" s="249"/>
      <c r="T63" s="249"/>
      <c r="U63" s="249"/>
      <c r="V63" s="249"/>
      <c r="W63" s="249"/>
      <c r="X63" s="249"/>
    </row>
    <row r="64" spans="4:24">
      <c r="D64" s="345"/>
      <c r="E64" s="381"/>
      <c r="F64" s="381"/>
      <c r="G64" s="381"/>
      <c r="H64" s="381"/>
      <c r="I64" s="381"/>
      <c r="K64" s="381"/>
      <c r="P64" s="388"/>
      <c r="Q64" s="388"/>
      <c r="R64" s="388"/>
      <c r="S64" s="388"/>
      <c r="T64" s="388"/>
      <c r="U64" s="388"/>
      <c r="V64" s="388"/>
      <c r="W64" s="388"/>
      <c r="X64" s="388"/>
    </row>
    <row r="65" spans="4:24">
      <c r="D65" s="370"/>
      <c r="L65" s="249"/>
      <c r="M65" s="249"/>
      <c r="N65" s="249"/>
      <c r="O65" s="249"/>
      <c r="P65" s="248"/>
      <c r="Q65" s="248"/>
      <c r="R65" s="248"/>
      <c r="S65" s="389"/>
      <c r="T65" s="389"/>
      <c r="U65" s="389"/>
      <c r="V65" s="389"/>
      <c r="W65" s="389"/>
      <c r="X65" s="389"/>
    </row>
    <row r="66" spans="4:24">
      <c r="D66" s="345"/>
      <c r="E66" s="381"/>
      <c r="F66" s="381"/>
      <c r="G66" s="381"/>
      <c r="H66" s="381"/>
      <c r="I66" s="381"/>
      <c r="N66" s="388"/>
      <c r="O66" s="388"/>
      <c r="S66" s="388"/>
      <c r="T66" s="388"/>
      <c r="U66" s="388"/>
      <c r="V66" s="388"/>
      <c r="W66" s="388"/>
      <c r="X66" s="388"/>
    </row>
    <row r="67" spans="4:24">
      <c r="D67" s="370"/>
      <c r="E67" s="381"/>
      <c r="F67" s="381"/>
      <c r="G67" s="381"/>
      <c r="H67" s="381"/>
      <c r="I67" s="381"/>
      <c r="L67" s="249"/>
      <c r="M67" s="249"/>
      <c r="N67" s="249"/>
      <c r="O67" s="249"/>
      <c r="P67" s="247"/>
      <c r="Q67" s="247"/>
      <c r="R67" s="247"/>
    </row>
    <row r="68" spans="4:24">
      <c r="D68" s="370"/>
      <c r="N68" s="388"/>
      <c r="O68" s="388"/>
      <c r="P68" s="388"/>
      <c r="Q68" s="388"/>
      <c r="R68" s="388"/>
      <c r="S68" s="249"/>
      <c r="T68" s="249"/>
      <c r="U68" s="249"/>
      <c r="V68" s="249"/>
      <c r="W68" s="249"/>
      <c r="X68" s="249"/>
    </row>
    <row r="69" spans="4:24">
      <c r="D69" s="370"/>
      <c r="L69" s="248"/>
      <c r="M69" s="248"/>
      <c r="N69" s="248"/>
      <c r="O69" s="248"/>
      <c r="S69" s="390"/>
      <c r="T69" s="390"/>
      <c r="U69" s="390"/>
      <c r="V69" s="390"/>
      <c r="W69" s="390"/>
      <c r="X69" s="390"/>
    </row>
    <row r="70" spans="4:24">
      <c r="D70" s="345"/>
      <c r="E70" s="381"/>
      <c r="F70" s="381"/>
      <c r="G70" s="381"/>
      <c r="H70" s="381"/>
      <c r="I70" s="381"/>
      <c r="P70" s="389"/>
      <c r="Q70" s="389"/>
      <c r="R70" s="389"/>
      <c r="S70" s="249"/>
      <c r="T70" s="249"/>
      <c r="U70" s="249"/>
      <c r="V70" s="249"/>
      <c r="W70" s="249"/>
      <c r="X70" s="249"/>
    </row>
    <row r="71" spans="4:24">
      <c r="D71" s="370"/>
      <c r="E71" s="381"/>
      <c r="F71" s="381"/>
      <c r="G71" s="381"/>
      <c r="H71" s="381"/>
      <c r="I71" s="381"/>
      <c r="L71" s="247"/>
      <c r="M71" s="247"/>
      <c r="N71" s="247"/>
      <c r="O71" s="247"/>
      <c r="P71" s="388"/>
      <c r="Q71" s="388"/>
      <c r="R71" s="388"/>
      <c r="S71" s="388"/>
      <c r="T71" s="388"/>
      <c r="U71" s="388"/>
      <c r="V71" s="388"/>
      <c r="W71" s="388"/>
      <c r="X71" s="388"/>
    </row>
    <row r="72" spans="4:24">
      <c r="D72" s="370"/>
      <c r="N72" s="388"/>
      <c r="O72" s="388"/>
      <c r="S72" s="248"/>
      <c r="T72" s="248"/>
      <c r="U72" s="248"/>
      <c r="V72" s="248"/>
      <c r="W72" s="248"/>
      <c r="X72" s="248"/>
    </row>
    <row r="73" spans="4:24">
      <c r="D73" s="345"/>
      <c r="E73" s="381"/>
      <c r="F73" s="381"/>
      <c r="G73" s="381"/>
      <c r="H73" s="381"/>
      <c r="I73" s="381"/>
      <c r="P73" s="391"/>
      <c r="Q73" s="391"/>
      <c r="R73" s="391"/>
    </row>
    <row r="74" spans="4:24">
      <c r="D74" s="370"/>
      <c r="J74" s="381"/>
      <c r="L74" s="389"/>
      <c r="M74" s="389"/>
      <c r="N74" s="389"/>
      <c r="O74" s="389"/>
      <c r="P74" s="388"/>
      <c r="Q74" s="388"/>
      <c r="R74" s="388"/>
      <c r="S74" s="247"/>
      <c r="T74" s="247"/>
      <c r="U74" s="247"/>
      <c r="V74" s="247"/>
      <c r="W74" s="247"/>
      <c r="X74" s="247"/>
    </row>
    <row r="75" spans="4:24">
      <c r="D75" s="370"/>
      <c r="J75" s="381"/>
      <c r="K75" s="381"/>
      <c r="N75" s="388"/>
      <c r="O75" s="388"/>
      <c r="P75" s="248"/>
      <c r="Q75" s="248"/>
      <c r="R75" s="248"/>
      <c r="S75" s="388"/>
      <c r="T75" s="388"/>
      <c r="U75" s="388"/>
      <c r="V75" s="388"/>
      <c r="W75" s="388"/>
      <c r="X75" s="388"/>
    </row>
    <row r="76" spans="4:24">
      <c r="D76" s="345"/>
      <c r="E76" s="381"/>
      <c r="F76" s="381"/>
      <c r="G76" s="381"/>
      <c r="H76" s="381"/>
      <c r="I76" s="381"/>
      <c r="K76" s="381"/>
    </row>
    <row r="77" spans="4:24">
      <c r="D77" s="370"/>
      <c r="L77" s="391"/>
      <c r="M77" s="391"/>
      <c r="N77" s="391"/>
      <c r="O77" s="391"/>
      <c r="P77" s="247"/>
      <c r="Q77" s="247"/>
      <c r="R77" s="247"/>
      <c r="S77" s="389"/>
      <c r="T77" s="389"/>
      <c r="U77" s="389"/>
      <c r="V77" s="389"/>
      <c r="W77" s="389"/>
      <c r="X77" s="389"/>
    </row>
    <row r="78" spans="4:24">
      <c r="D78" s="370"/>
      <c r="J78" s="381"/>
      <c r="N78" s="388"/>
      <c r="O78" s="388"/>
      <c r="P78" s="388"/>
      <c r="Q78" s="388"/>
      <c r="R78" s="388"/>
      <c r="S78" s="388"/>
      <c r="T78" s="388"/>
      <c r="U78" s="388"/>
      <c r="V78" s="388"/>
      <c r="W78" s="388"/>
      <c r="X78" s="388"/>
    </row>
    <row r="79" spans="4:24">
      <c r="D79" s="370"/>
      <c r="J79" s="381"/>
      <c r="K79" s="381"/>
      <c r="N79" s="248"/>
      <c r="O79" s="248"/>
      <c r="P79" s="274"/>
      <c r="Q79" s="274"/>
      <c r="R79" s="274"/>
    </row>
    <row r="80" spans="4:24">
      <c r="D80" s="345"/>
      <c r="E80" s="381"/>
      <c r="F80" s="381"/>
      <c r="G80" s="381"/>
      <c r="H80" s="381"/>
      <c r="I80" s="381"/>
      <c r="K80" s="381"/>
      <c r="S80" s="391"/>
      <c r="T80" s="391"/>
      <c r="U80" s="391"/>
      <c r="V80" s="391"/>
      <c r="W80" s="391"/>
      <c r="X80" s="391"/>
    </row>
    <row r="81" spans="4:24">
      <c r="D81" s="370"/>
      <c r="L81" s="247"/>
      <c r="M81" s="247"/>
      <c r="N81" s="247"/>
      <c r="O81" s="247"/>
      <c r="P81" s="389"/>
      <c r="Q81" s="389"/>
      <c r="R81" s="389"/>
      <c r="S81" s="388"/>
      <c r="T81" s="388"/>
      <c r="U81" s="388"/>
      <c r="V81" s="388"/>
      <c r="W81" s="388"/>
      <c r="X81" s="388"/>
    </row>
    <row r="82" spans="4:24">
      <c r="D82" s="370"/>
      <c r="E82" s="345"/>
      <c r="F82" s="345"/>
      <c r="G82" s="345"/>
      <c r="H82" s="345"/>
      <c r="I82" s="345"/>
      <c r="J82" s="381"/>
      <c r="N82" s="388"/>
      <c r="O82" s="388"/>
      <c r="P82" s="388"/>
      <c r="Q82" s="388"/>
      <c r="R82" s="388"/>
      <c r="S82" s="248"/>
      <c r="T82" s="248"/>
      <c r="U82" s="248"/>
      <c r="V82" s="248"/>
      <c r="W82" s="248"/>
      <c r="X82" s="248"/>
    </row>
    <row r="83" spans="4:24">
      <c r="D83" s="370"/>
      <c r="E83" s="345"/>
      <c r="F83" s="345"/>
      <c r="G83" s="345"/>
      <c r="H83" s="345"/>
      <c r="I83" s="345"/>
      <c r="K83" s="381"/>
      <c r="L83" s="274"/>
      <c r="M83" s="274"/>
      <c r="N83" s="274"/>
      <c r="O83" s="274"/>
    </row>
    <row r="84" spans="4:24">
      <c r="D84" s="370"/>
      <c r="S84" s="247"/>
      <c r="T84" s="247"/>
      <c r="U84" s="247"/>
      <c r="V84" s="247"/>
      <c r="W84" s="247"/>
      <c r="X84" s="247"/>
    </row>
    <row r="85" spans="4:24">
      <c r="D85" s="370"/>
      <c r="L85" s="389"/>
      <c r="M85" s="389"/>
      <c r="N85" s="389"/>
      <c r="O85" s="389"/>
      <c r="P85" s="249"/>
      <c r="Q85" s="249"/>
      <c r="R85" s="249"/>
      <c r="S85" s="388"/>
      <c r="T85" s="388"/>
      <c r="U85" s="388"/>
      <c r="V85" s="388"/>
      <c r="W85" s="388"/>
      <c r="X85" s="388"/>
    </row>
    <row r="86" spans="4:24">
      <c r="D86" s="370"/>
      <c r="N86" s="388"/>
      <c r="O86" s="388"/>
      <c r="P86" s="388"/>
      <c r="Q86" s="388"/>
      <c r="R86" s="388"/>
      <c r="S86" s="274"/>
      <c r="T86" s="274"/>
      <c r="U86" s="274"/>
      <c r="V86" s="274"/>
      <c r="W86" s="274"/>
      <c r="X86" s="274"/>
    </row>
    <row r="87" spans="4:24">
      <c r="D87" s="345"/>
      <c r="E87" s="381"/>
      <c r="F87" s="381"/>
      <c r="G87" s="381"/>
      <c r="H87" s="381"/>
      <c r="I87" s="381"/>
    </row>
    <row r="88" spans="4:24">
      <c r="D88" s="345"/>
      <c r="E88" s="381"/>
      <c r="F88" s="381"/>
      <c r="G88" s="381"/>
      <c r="H88" s="381"/>
      <c r="I88" s="381"/>
      <c r="P88" s="249"/>
      <c r="Q88" s="249"/>
      <c r="R88" s="249"/>
      <c r="S88" s="389"/>
      <c r="T88" s="389"/>
      <c r="U88" s="389"/>
      <c r="V88" s="389"/>
      <c r="W88" s="389"/>
      <c r="X88" s="389"/>
    </row>
    <row r="89" spans="4:24">
      <c r="D89" s="370"/>
      <c r="E89" s="381"/>
      <c r="F89" s="381"/>
      <c r="G89" s="381"/>
      <c r="H89" s="381"/>
      <c r="I89" s="381"/>
      <c r="L89" s="249"/>
      <c r="M89" s="249"/>
      <c r="N89" s="249"/>
      <c r="O89" s="249"/>
      <c r="P89" s="390"/>
      <c r="Q89" s="390"/>
      <c r="R89" s="390"/>
      <c r="S89" s="388"/>
      <c r="T89" s="388"/>
      <c r="U89" s="388"/>
      <c r="V89" s="388"/>
      <c r="W89" s="388"/>
      <c r="X89" s="388"/>
    </row>
    <row r="90" spans="4:24">
      <c r="D90" s="370"/>
      <c r="E90" s="381"/>
      <c r="F90" s="381"/>
      <c r="G90" s="381"/>
      <c r="H90" s="381"/>
      <c r="I90" s="381"/>
      <c r="N90" s="388"/>
      <c r="O90" s="388"/>
    </row>
    <row r="91" spans="4:24">
      <c r="D91" s="370"/>
      <c r="P91" s="389"/>
      <c r="Q91" s="389"/>
      <c r="R91" s="389"/>
    </row>
    <row r="92" spans="4:24">
      <c r="D92" s="345"/>
      <c r="E92" s="381"/>
      <c r="F92" s="381"/>
      <c r="G92" s="381"/>
      <c r="H92" s="381"/>
      <c r="I92" s="381"/>
      <c r="L92" s="249"/>
      <c r="M92" s="249"/>
      <c r="N92" s="249"/>
      <c r="O92" s="249"/>
      <c r="P92" s="392"/>
      <c r="Q92" s="392"/>
      <c r="R92" s="392"/>
      <c r="S92" s="249"/>
      <c r="T92" s="249"/>
      <c r="U92" s="249"/>
      <c r="V92" s="249"/>
      <c r="W92" s="249"/>
      <c r="X92" s="249"/>
    </row>
    <row r="93" spans="4:24">
      <c r="D93" s="370"/>
      <c r="E93" s="381"/>
      <c r="F93" s="381"/>
      <c r="G93" s="381"/>
      <c r="H93" s="381"/>
      <c r="I93" s="381"/>
      <c r="N93" s="388"/>
      <c r="O93" s="388"/>
      <c r="P93" s="392"/>
      <c r="Q93" s="392"/>
      <c r="R93" s="392"/>
      <c r="S93" s="388"/>
      <c r="T93" s="388"/>
      <c r="U93" s="388"/>
      <c r="V93" s="388"/>
      <c r="W93" s="388"/>
      <c r="X93" s="388"/>
    </row>
    <row r="94" spans="4:24">
      <c r="D94" s="370"/>
      <c r="E94" s="381"/>
      <c r="F94" s="381"/>
      <c r="G94" s="381"/>
      <c r="H94" s="381"/>
      <c r="I94" s="381"/>
    </row>
    <row r="95" spans="4:24">
      <c r="D95" s="370"/>
      <c r="L95" s="389"/>
      <c r="M95" s="389"/>
      <c r="N95" s="389"/>
      <c r="O95" s="389"/>
      <c r="P95" s="388"/>
      <c r="Q95" s="388"/>
      <c r="R95" s="388"/>
      <c r="S95" s="249"/>
      <c r="T95" s="249"/>
      <c r="U95" s="249"/>
      <c r="V95" s="249"/>
      <c r="W95" s="249"/>
      <c r="X95" s="249"/>
    </row>
    <row r="96" spans="4:24">
      <c r="D96" s="370"/>
      <c r="N96" s="392"/>
      <c r="O96" s="392"/>
      <c r="P96" s="389"/>
      <c r="Q96" s="389"/>
      <c r="R96" s="389"/>
      <c r="S96" s="390"/>
      <c r="T96" s="390"/>
      <c r="U96" s="390"/>
      <c r="V96" s="390"/>
      <c r="W96" s="390"/>
      <c r="X96" s="390"/>
    </row>
    <row r="97" spans="4:24">
      <c r="D97" s="370"/>
      <c r="J97" s="381"/>
      <c r="L97" s="392"/>
      <c r="M97" s="392"/>
      <c r="N97" s="392"/>
      <c r="O97" s="392"/>
      <c r="R97" s="392"/>
    </row>
    <row r="98" spans="4:24">
      <c r="D98" s="370"/>
      <c r="J98" s="381"/>
      <c r="K98" s="381"/>
      <c r="S98" s="389"/>
      <c r="T98" s="389"/>
      <c r="U98" s="389"/>
      <c r="V98" s="389"/>
      <c r="W98" s="389"/>
      <c r="X98" s="389"/>
    </row>
    <row r="99" spans="4:24">
      <c r="D99" s="370"/>
      <c r="K99" s="381"/>
      <c r="L99" s="388"/>
      <c r="M99" s="388"/>
      <c r="N99" s="388"/>
      <c r="O99" s="388"/>
      <c r="P99" s="389"/>
      <c r="Q99" s="389"/>
      <c r="R99" s="389"/>
      <c r="S99" s="392"/>
      <c r="T99" s="392"/>
      <c r="U99" s="392"/>
      <c r="V99" s="392"/>
      <c r="W99" s="392"/>
      <c r="X99" s="392"/>
    </row>
    <row r="100" spans="4:24">
      <c r="D100" s="370"/>
      <c r="J100" s="381"/>
      <c r="L100" s="389"/>
      <c r="M100" s="389"/>
      <c r="N100" s="389"/>
      <c r="O100" s="389"/>
      <c r="P100" s="392"/>
      <c r="Q100" s="392"/>
      <c r="R100" s="392"/>
      <c r="S100" s="392"/>
      <c r="T100" s="392"/>
      <c r="U100" s="392"/>
      <c r="V100" s="392"/>
      <c r="W100" s="392"/>
      <c r="X100" s="392"/>
    </row>
    <row r="101" spans="4:24">
      <c r="D101" s="370"/>
      <c r="J101" s="381"/>
      <c r="K101" s="381"/>
    </row>
    <row r="102" spans="4:24">
      <c r="D102" s="370"/>
      <c r="J102" s="381"/>
      <c r="K102" s="381"/>
      <c r="S102" s="388"/>
      <c r="T102" s="388"/>
      <c r="U102" s="388"/>
      <c r="V102" s="388"/>
      <c r="W102" s="388"/>
      <c r="X102" s="388"/>
    </row>
    <row r="103" spans="4:24">
      <c r="D103" s="370"/>
      <c r="K103" s="381"/>
      <c r="L103" s="389"/>
      <c r="M103" s="389"/>
      <c r="N103" s="389"/>
      <c r="O103" s="389"/>
      <c r="S103" s="389"/>
      <c r="T103" s="389"/>
      <c r="U103" s="389"/>
      <c r="V103" s="389"/>
      <c r="W103" s="389"/>
      <c r="X103" s="389"/>
    </row>
    <row r="104" spans="4:24">
      <c r="D104" s="345"/>
      <c r="E104" s="381"/>
      <c r="F104" s="381"/>
      <c r="G104" s="381"/>
      <c r="H104" s="381"/>
      <c r="I104" s="381"/>
      <c r="N104" s="392"/>
      <c r="O104" s="392"/>
      <c r="S104" s="392"/>
      <c r="T104" s="392"/>
      <c r="U104" s="392"/>
      <c r="V104" s="392"/>
      <c r="W104" s="392"/>
      <c r="X104" s="392"/>
    </row>
    <row r="105" spans="4:24">
      <c r="D105" s="370"/>
      <c r="J105" s="381"/>
    </row>
    <row r="106" spans="4:24">
      <c r="D106" s="370"/>
      <c r="J106" s="381"/>
      <c r="K106" s="381"/>
      <c r="S106" s="389"/>
      <c r="T106" s="389"/>
      <c r="U106" s="389"/>
      <c r="V106" s="389"/>
      <c r="W106" s="389"/>
      <c r="X106" s="389"/>
    </row>
    <row r="107" spans="4:24">
      <c r="D107" s="345"/>
      <c r="E107" s="381"/>
      <c r="F107" s="381"/>
      <c r="G107" s="381"/>
      <c r="H107" s="381"/>
      <c r="I107" s="381"/>
      <c r="K107" s="381"/>
      <c r="S107" s="392"/>
      <c r="T107" s="392"/>
      <c r="U107" s="392"/>
      <c r="V107" s="392"/>
      <c r="W107" s="392"/>
      <c r="X107" s="392"/>
    </row>
    <row r="108" spans="4:24">
      <c r="D108" s="370"/>
    </row>
    <row r="109" spans="4:24">
      <c r="D109" s="345"/>
      <c r="E109" s="381"/>
      <c r="F109" s="381"/>
      <c r="G109" s="381"/>
      <c r="H109" s="381"/>
      <c r="I109" s="381"/>
    </row>
    <row r="110" spans="4:24">
      <c r="D110" s="370"/>
      <c r="E110" s="381"/>
      <c r="F110" s="381"/>
      <c r="G110" s="381"/>
      <c r="H110" s="381"/>
      <c r="I110" s="381"/>
    </row>
    <row r="111" spans="4:24">
      <c r="D111" s="370"/>
    </row>
    <row r="112" spans="4:24">
      <c r="D112" s="370"/>
    </row>
    <row r="113" spans="4:11">
      <c r="D113" s="345"/>
      <c r="E113" s="381"/>
      <c r="F113" s="381"/>
      <c r="G113" s="381"/>
      <c r="H113" s="381"/>
      <c r="I113" s="381"/>
    </row>
    <row r="114" spans="4:11">
      <c r="D114" s="370"/>
      <c r="E114" s="381"/>
      <c r="F114" s="381"/>
      <c r="G114" s="381"/>
      <c r="H114" s="381"/>
      <c r="I114" s="381"/>
    </row>
    <row r="115" spans="4:11">
      <c r="D115" s="370"/>
    </row>
    <row r="116" spans="4:11">
      <c r="D116" s="345"/>
      <c r="E116" s="381"/>
      <c r="F116" s="381"/>
      <c r="G116" s="381"/>
      <c r="H116" s="381"/>
      <c r="I116" s="381"/>
    </row>
    <row r="117" spans="4:11">
      <c r="D117" s="370"/>
      <c r="J117" s="381"/>
    </row>
    <row r="118" spans="4:11">
      <c r="D118" s="370"/>
      <c r="J118" s="381"/>
      <c r="K118" s="381"/>
    </row>
    <row r="119" spans="4:11">
      <c r="D119" s="345"/>
      <c r="E119" s="381"/>
      <c r="F119" s="381"/>
      <c r="G119" s="381"/>
      <c r="H119" s="381"/>
      <c r="I119" s="381"/>
      <c r="K119" s="381"/>
    </row>
    <row r="120" spans="4:11">
      <c r="D120" s="370"/>
    </row>
    <row r="121" spans="4:11">
      <c r="D121" s="370"/>
      <c r="J121" s="381"/>
    </row>
    <row r="122" spans="4:11">
      <c r="D122" s="370"/>
      <c r="J122" s="381"/>
      <c r="K122" s="381"/>
    </row>
    <row r="123" spans="4:11">
      <c r="D123" s="345"/>
      <c r="E123" s="381"/>
      <c r="F123" s="381"/>
      <c r="G123" s="381"/>
      <c r="H123" s="381"/>
      <c r="I123" s="381"/>
      <c r="K123" s="381"/>
    </row>
    <row r="124" spans="4:11">
      <c r="D124" s="370"/>
    </row>
    <row r="125" spans="4:11">
      <c r="D125" s="370"/>
      <c r="E125" s="345"/>
      <c r="F125" s="345"/>
      <c r="G125" s="345"/>
      <c r="H125" s="345"/>
      <c r="I125" s="345"/>
      <c r="J125" s="381"/>
    </row>
    <row r="126" spans="4:11">
      <c r="D126" s="370"/>
      <c r="E126" s="345"/>
      <c r="F126" s="345"/>
      <c r="G126" s="345"/>
      <c r="H126" s="345"/>
      <c r="I126" s="345"/>
      <c r="K126" s="381"/>
    </row>
    <row r="127" spans="4:11">
      <c r="D127" s="370"/>
    </row>
    <row r="128" spans="4:11">
      <c r="D128" s="370"/>
    </row>
    <row r="130" spans="4:11">
      <c r="D130" s="345"/>
      <c r="E130" s="381"/>
      <c r="F130" s="381"/>
      <c r="G130" s="381"/>
      <c r="H130" s="381"/>
      <c r="I130" s="381"/>
    </row>
    <row r="131" spans="4:11">
      <c r="D131" s="345"/>
      <c r="E131" s="381"/>
      <c r="F131" s="381"/>
      <c r="G131" s="381"/>
      <c r="H131" s="381"/>
      <c r="I131" s="381"/>
    </row>
    <row r="132" spans="4:11">
      <c r="D132" s="370"/>
      <c r="E132" s="381"/>
      <c r="F132" s="381"/>
      <c r="G132" s="381"/>
      <c r="H132" s="381"/>
      <c r="I132" s="381"/>
    </row>
    <row r="133" spans="4:11">
      <c r="D133" s="370"/>
      <c r="E133" s="381"/>
      <c r="F133" s="381"/>
      <c r="G133" s="381"/>
      <c r="H133" s="381"/>
      <c r="I133" s="381"/>
    </row>
    <row r="134" spans="4:11">
      <c r="D134" s="370"/>
    </row>
    <row r="135" spans="4:11">
      <c r="D135" s="345"/>
      <c r="E135" s="381"/>
      <c r="F135" s="381"/>
      <c r="G135" s="381"/>
      <c r="H135" s="381"/>
      <c r="I135" s="381"/>
    </row>
    <row r="136" spans="4:11">
      <c r="D136" s="370"/>
      <c r="E136" s="381"/>
      <c r="F136" s="381"/>
      <c r="G136" s="381"/>
      <c r="H136" s="381"/>
      <c r="I136" s="381"/>
    </row>
    <row r="137" spans="4:11">
      <c r="D137" s="370"/>
      <c r="E137" s="381"/>
      <c r="F137" s="381"/>
      <c r="G137" s="381"/>
      <c r="H137" s="381"/>
      <c r="I137" s="381"/>
    </row>
    <row r="138" spans="4:11">
      <c r="D138" s="370"/>
    </row>
    <row r="139" spans="4:11">
      <c r="D139" s="370"/>
    </row>
    <row r="140" spans="4:11">
      <c r="D140" s="370"/>
      <c r="J140" s="381"/>
    </row>
    <row r="141" spans="4:11">
      <c r="D141" s="370"/>
      <c r="J141" s="381"/>
      <c r="K141" s="381"/>
    </row>
    <row r="142" spans="4:11">
      <c r="D142" s="370"/>
      <c r="K142" s="381"/>
    </row>
    <row r="143" spans="4:11">
      <c r="D143" s="370"/>
      <c r="J143" s="381"/>
    </row>
    <row r="144" spans="4:11">
      <c r="D144" s="370"/>
      <c r="J144" s="381"/>
      <c r="K144" s="381"/>
    </row>
    <row r="145" spans="4:11">
      <c r="D145" s="370"/>
      <c r="J145" s="381"/>
      <c r="K145" s="381"/>
    </row>
    <row r="146" spans="4:11">
      <c r="D146" s="370"/>
      <c r="K146" s="381"/>
    </row>
    <row r="147" spans="4:11">
      <c r="D147" s="345"/>
      <c r="E147" s="381"/>
      <c r="F147" s="381"/>
      <c r="G147" s="381"/>
      <c r="H147" s="381"/>
      <c r="I147" s="381"/>
    </row>
    <row r="148" spans="4:11">
      <c r="D148" s="370"/>
      <c r="J148" s="381"/>
    </row>
    <row r="149" spans="4:11">
      <c r="D149" s="370"/>
      <c r="J149" s="381"/>
      <c r="K149" s="381"/>
    </row>
    <row r="150" spans="4:11">
      <c r="D150" s="345"/>
      <c r="E150" s="381"/>
      <c r="F150" s="381"/>
      <c r="G150" s="381"/>
      <c r="H150" s="381"/>
      <c r="I150" s="381"/>
      <c r="K150" s="381"/>
    </row>
    <row r="151" spans="4:11">
      <c r="D151" s="370"/>
    </row>
    <row r="152" spans="4:11">
      <c r="D152" s="345"/>
      <c r="E152" s="381"/>
      <c r="F152" s="381"/>
      <c r="G152" s="381"/>
      <c r="H152" s="381"/>
      <c r="I152" s="381"/>
    </row>
    <row r="153" spans="4:11">
      <c r="D153" s="370"/>
      <c r="E153" s="381"/>
      <c r="F153" s="381"/>
      <c r="G153" s="381"/>
      <c r="H153" s="381"/>
      <c r="I153" s="381"/>
    </row>
    <row r="154" spans="4:11">
      <c r="D154" s="370"/>
    </row>
    <row r="155" spans="4:11">
      <c r="D155" s="370"/>
    </row>
    <row r="156" spans="4:11">
      <c r="D156" s="345"/>
      <c r="E156" s="381"/>
      <c r="F156" s="381"/>
      <c r="G156" s="381"/>
      <c r="H156" s="381"/>
      <c r="I156" s="381"/>
    </row>
    <row r="157" spans="4:11">
      <c r="D157" s="370"/>
      <c r="E157" s="381"/>
      <c r="F157" s="381"/>
      <c r="G157" s="381"/>
      <c r="H157" s="381"/>
      <c r="I157" s="381"/>
    </row>
    <row r="158" spans="4:11">
      <c r="D158" s="370"/>
    </row>
    <row r="159" spans="4:11">
      <c r="D159" s="345"/>
      <c r="E159" s="381"/>
      <c r="F159" s="381"/>
      <c r="G159" s="381"/>
      <c r="H159" s="381"/>
      <c r="I159" s="381"/>
    </row>
    <row r="160" spans="4:11">
      <c r="D160" s="370"/>
      <c r="J160" s="381"/>
    </row>
    <row r="161" spans="4:11">
      <c r="D161" s="370"/>
      <c r="J161" s="381"/>
      <c r="K161" s="381"/>
    </row>
    <row r="162" spans="4:11">
      <c r="D162" s="345"/>
      <c r="E162" s="381"/>
      <c r="F162" s="381"/>
      <c r="G162" s="381"/>
      <c r="H162" s="381"/>
      <c r="I162" s="381"/>
      <c r="K162" s="381"/>
    </row>
    <row r="163" spans="4:11">
      <c r="D163" s="370"/>
    </row>
    <row r="164" spans="4:11">
      <c r="D164" s="370"/>
      <c r="J164" s="381"/>
    </row>
    <row r="165" spans="4:11">
      <c r="D165" s="370"/>
      <c r="J165" s="381"/>
      <c r="K165" s="381"/>
    </row>
    <row r="166" spans="4:11">
      <c r="D166" s="345"/>
      <c r="E166" s="381"/>
      <c r="F166" s="381"/>
      <c r="G166" s="381"/>
      <c r="H166" s="381"/>
      <c r="I166" s="381"/>
      <c r="K166" s="381"/>
    </row>
    <row r="167" spans="4:11">
      <c r="D167" s="370"/>
    </row>
    <row r="168" spans="4:11">
      <c r="D168" s="370"/>
      <c r="E168" s="345"/>
      <c r="F168" s="345"/>
      <c r="G168" s="345"/>
      <c r="H168" s="345"/>
      <c r="I168" s="345"/>
      <c r="J168" s="381"/>
    </row>
    <row r="169" spans="4:11">
      <c r="D169" s="370"/>
      <c r="E169" s="345"/>
      <c r="F169" s="345"/>
      <c r="G169" s="345"/>
      <c r="H169" s="345"/>
      <c r="I169" s="345"/>
      <c r="K169" s="381"/>
    </row>
    <row r="170" spans="4:11">
      <c r="D170" s="370"/>
    </row>
    <row r="171" spans="4:11">
      <c r="D171" s="370"/>
    </row>
    <row r="172" spans="4:11">
      <c r="D172" s="370"/>
    </row>
    <row r="173" spans="4:11">
      <c r="D173" s="345"/>
      <c r="E173" s="381"/>
      <c r="F173" s="381"/>
      <c r="G173" s="381"/>
      <c r="H173" s="381"/>
      <c r="I173" s="381"/>
    </row>
    <row r="174" spans="4:11">
      <c r="D174" s="345"/>
      <c r="E174" s="381"/>
      <c r="F174" s="381"/>
      <c r="G174" s="381"/>
      <c r="H174" s="381"/>
      <c r="I174" s="381"/>
    </row>
    <row r="175" spans="4:11">
      <c r="D175" s="370"/>
      <c r="E175" s="381"/>
      <c r="F175" s="381"/>
      <c r="G175" s="381"/>
      <c r="H175" s="381"/>
      <c r="I175" s="381"/>
    </row>
    <row r="176" spans="4:11">
      <c r="D176" s="370"/>
      <c r="E176" s="381"/>
      <c r="F176" s="381"/>
      <c r="G176" s="381"/>
      <c r="H176" s="381"/>
      <c r="I176" s="381"/>
    </row>
    <row r="177" spans="4:11">
      <c r="D177" s="370"/>
    </row>
    <row r="178" spans="4:11">
      <c r="D178" s="345"/>
      <c r="E178" s="381"/>
      <c r="F178" s="381"/>
      <c r="G178" s="381"/>
      <c r="H178" s="381"/>
      <c r="I178" s="381"/>
    </row>
    <row r="179" spans="4:11">
      <c r="D179" s="370"/>
      <c r="E179" s="381"/>
      <c r="F179" s="381"/>
      <c r="G179" s="381"/>
      <c r="H179" s="381"/>
      <c r="I179" s="381"/>
    </row>
    <row r="180" spans="4:11">
      <c r="D180" s="370"/>
      <c r="E180" s="381"/>
      <c r="F180" s="381"/>
      <c r="G180" s="381"/>
      <c r="H180" s="381"/>
      <c r="I180" s="381"/>
    </row>
    <row r="181" spans="4:11">
      <c r="D181" s="370"/>
    </row>
    <row r="182" spans="4:11">
      <c r="D182" s="370"/>
    </row>
    <row r="183" spans="4:11">
      <c r="D183" s="370"/>
      <c r="J183" s="381"/>
    </row>
    <row r="184" spans="4:11">
      <c r="D184" s="370"/>
      <c r="J184" s="381"/>
      <c r="K184" s="381"/>
    </row>
    <row r="185" spans="4:11">
      <c r="D185" s="370"/>
      <c r="K185" s="381"/>
    </row>
    <row r="186" spans="4:11">
      <c r="D186" s="370"/>
      <c r="J186" s="381"/>
    </row>
    <row r="187" spans="4:11">
      <c r="D187" s="370"/>
      <c r="J187" s="381"/>
      <c r="K187" s="381"/>
    </row>
    <row r="188" spans="4:11">
      <c r="D188" s="370"/>
      <c r="J188" s="381"/>
      <c r="K188" s="381"/>
    </row>
    <row r="189" spans="4:11">
      <c r="D189" s="370"/>
      <c r="K189" s="381"/>
    </row>
    <row r="190" spans="4:11">
      <c r="D190" s="345"/>
      <c r="E190" s="381"/>
      <c r="F190" s="381"/>
      <c r="G190" s="381"/>
      <c r="H190" s="381"/>
      <c r="I190" s="381"/>
    </row>
    <row r="191" spans="4:11">
      <c r="D191" s="370"/>
      <c r="J191" s="381"/>
    </row>
    <row r="192" spans="4:11">
      <c r="D192" s="370"/>
      <c r="J192" s="381"/>
      <c r="K192" s="381"/>
    </row>
    <row r="193" spans="4:11">
      <c r="D193" s="345"/>
      <c r="E193" s="381"/>
      <c r="F193" s="381"/>
      <c r="G193" s="381"/>
      <c r="H193" s="381"/>
      <c r="I193" s="381"/>
      <c r="K193" s="381"/>
    </row>
    <row r="194" spans="4:11">
      <c r="D194" s="370"/>
    </row>
    <row r="195" spans="4:11">
      <c r="D195" s="345"/>
      <c r="E195" s="381"/>
      <c r="F195" s="381"/>
      <c r="G195" s="381"/>
      <c r="H195" s="381"/>
      <c r="I195" s="381"/>
    </row>
    <row r="196" spans="4:11">
      <c r="D196" s="370"/>
      <c r="E196" s="381"/>
      <c r="F196" s="381"/>
      <c r="G196" s="381"/>
      <c r="H196" s="381"/>
      <c r="I196" s="381"/>
    </row>
    <row r="197" spans="4:11">
      <c r="D197" s="370"/>
    </row>
    <row r="198" spans="4:11">
      <c r="D198" s="370"/>
    </row>
    <row r="199" spans="4:11">
      <c r="D199" s="345"/>
      <c r="E199" s="381"/>
      <c r="F199" s="381"/>
      <c r="G199" s="381"/>
      <c r="H199" s="381"/>
      <c r="I199" s="381"/>
    </row>
    <row r="200" spans="4:11">
      <c r="D200" s="370"/>
      <c r="E200" s="381"/>
      <c r="F200" s="381"/>
      <c r="G200" s="381"/>
      <c r="H200" s="381"/>
      <c r="I200" s="381"/>
    </row>
    <row r="201" spans="4:11">
      <c r="D201" s="370"/>
    </row>
    <row r="202" spans="4:11">
      <c r="D202" s="345"/>
      <c r="E202" s="381"/>
      <c r="F202" s="381"/>
      <c r="G202" s="381"/>
      <c r="H202" s="381"/>
      <c r="I202" s="381"/>
    </row>
    <row r="203" spans="4:11">
      <c r="D203" s="370"/>
      <c r="J203" s="381"/>
    </row>
    <row r="204" spans="4:11">
      <c r="D204" s="370"/>
      <c r="J204" s="381"/>
      <c r="K204" s="381"/>
    </row>
    <row r="205" spans="4:11">
      <c r="D205" s="345"/>
      <c r="E205" s="381"/>
      <c r="F205" s="381"/>
      <c r="G205" s="381"/>
      <c r="H205" s="381"/>
      <c r="I205" s="381"/>
      <c r="K205" s="381"/>
    </row>
    <row r="206" spans="4:11">
      <c r="D206" s="370"/>
    </row>
    <row r="207" spans="4:11">
      <c r="D207" s="370"/>
      <c r="J207" s="381"/>
    </row>
    <row r="208" spans="4:11">
      <c r="D208" s="370"/>
      <c r="J208" s="381"/>
      <c r="K208" s="381"/>
    </row>
    <row r="209" spans="4:11">
      <c r="D209" s="345"/>
      <c r="E209" s="381"/>
      <c r="F209" s="381"/>
      <c r="G209" s="381"/>
      <c r="H209" s="381"/>
      <c r="I209" s="381"/>
      <c r="K209" s="381"/>
    </row>
    <row r="210" spans="4:11">
      <c r="D210" s="370"/>
    </row>
    <row r="211" spans="4:11">
      <c r="D211" s="370"/>
      <c r="E211" s="345"/>
      <c r="F211" s="345"/>
      <c r="G211" s="345"/>
      <c r="H211" s="345"/>
      <c r="I211" s="345"/>
      <c r="J211" s="381"/>
    </row>
    <row r="212" spans="4:11">
      <c r="D212" s="370"/>
      <c r="E212" s="345"/>
      <c r="F212" s="345"/>
      <c r="G212" s="345"/>
      <c r="H212" s="345"/>
      <c r="I212" s="345"/>
      <c r="K212" s="381"/>
    </row>
    <row r="213" spans="4:11">
      <c r="D213" s="370"/>
    </row>
    <row r="214" spans="4:11">
      <c r="D214" s="370"/>
    </row>
    <row r="215" spans="4:11">
      <c r="D215" s="370"/>
    </row>
    <row r="216" spans="4:11">
      <c r="D216" s="345"/>
      <c r="E216" s="381"/>
      <c r="F216" s="381"/>
      <c r="G216" s="381"/>
      <c r="H216" s="381"/>
      <c r="I216" s="381"/>
    </row>
    <row r="217" spans="4:11">
      <c r="D217" s="345"/>
      <c r="E217" s="381"/>
      <c r="F217" s="381"/>
      <c r="G217" s="381"/>
      <c r="H217" s="381"/>
      <c r="I217" s="381"/>
    </row>
    <row r="218" spans="4:11">
      <c r="D218" s="370"/>
      <c r="E218" s="381"/>
      <c r="F218" s="381"/>
      <c r="G218" s="381"/>
      <c r="H218" s="381"/>
      <c r="I218" s="381"/>
    </row>
    <row r="219" spans="4:11">
      <c r="D219" s="370"/>
      <c r="E219" s="381"/>
      <c r="F219" s="381"/>
      <c r="G219" s="381"/>
      <c r="H219" s="381"/>
      <c r="I219" s="381"/>
    </row>
    <row r="220" spans="4:11">
      <c r="D220" s="370"/>
    </row>
    <row r="221" spans="4:11">
      <c r="D221" s="345"/>
      <c r="E221" s="381"/>
      <c r="F221" s="381"/>
      <c r="G221" s="381"/>
      <c r="H221" s="381"/>
      <c r="I221" s="381"/>
    </row>
    <row r="222" spans="4:11">
      <c r="D222" s="370"/>
      <c r="E222" s="381"/>
      <c r="F222" s="381"/>
      <c r="G222" s="381"/>
      <c r="H222" s="381"/>
      <c r="I222" s="381"/>
    </row>
    <row r="223" spans="4:11">
      <c r="D223" s="370"/>
      <c r="E223" s="381"/>
      <c r="F223" s="381"/>
      <c r="G223" s="381"/>
      <c r="H223" s="381"/>
      <c r="I223" s="381"/>
    </row>
    <row r="224" spans="4:11">
      <c r="D224" s="370"/>
    </row>
    <row r="225" spans="4:11">
      <c r="D225" s="370"/>
    </row>
    <row r="226" spans="4:11">
      <c r="D226" s="370"/>
      <c r="J226" s="381"/>
    </row>
    <row r="227" spans="4:11">
      <c r="D227" s="370"/>
      <c r="J227" s="381"/>
      <c r="K227" s="381"/>
    </row>
    <row r="228" spans="4:11">
      <c r="D228" s="370"/>
      <c r="K228" s="381"/>
    </row>
    <row r="229" spans="4:11">
      <c r="D229" s="370"/>
      <c r="J229" s="381"/>
    </row>
    <row r="230" spans="4:11">
      <c r="D230" s="370"/>
      <c r="J230" s="381"/>
      <c r="K230" s="381"/>
    </row>
    <row r="231" spans="4:11">
      <c r="D231" s="370"/>
      <c r="J231" s="381"/>
      <c r="K231" s="381"/>
    </row>
    <row r="232" spans="4:11">
      <c r="D232" s="370"/>
      <c r="K232" s="381"/>
    </row>
    <row r="233" spans="4:11">
      <c r="D233" s="345"/>
      <c r="E233" s="381"/>
      <c r="F233" s="381"/>
      <c r="G233" s="381"/>
      <c r="H233" s="381"/>
      <c r="I233" s="381"/>
    </row>
    <row r="234" spans="4:11">
      <c r="D234" s="370"/>
      <c r="J234" s="381"/>
    </row>
    <row r="235" spans="4:11">
      <c r="D235" s="370"/>
      <c r="J235" s="381"/>
      <c r="K235" s="381"/>
    </row>
    <row r="236" spans="4:11">
      <c r="D236" s="345"/>
      <c r="E236" s="381"/>
      <c r="F236" s="381"/>
      <c r="G236" s="381"/>
      <c r="H236" s="381"/>
      <c r="I236" s="381"/>
      <c r="K236" s="381"/>
    </row>
    <row r="237" spans="4:11">
      <c r="D237" s="370"/>
    </row>
    <row r="238" spans="4:11">
      <c r="D238" s="345"/>
      <c r="E238" s="381"/>
      <c r="F238" s="381"/>
      <c r="G238" s="381"/>
      <c r="H238" s="381"/>
      <c r="I238" s="381"/>
    </row>
    <row r="239" spans="4:11">
      <c r="D239" s="370"/>
      <c r="E239" s="381"/>
      <c r="F239" s="381"/>
      <c r="G239" s="381"/>
      <c r="H239" s="381"/>
      <c r="I239" s="381"/>
    </row>
    <row r="240" spans="4:11">
      <c r="D240" s="370"/>
    </row>
    <row r="241" spans="4:11">
      <c r="D241" s="370"/>
    </row>
    <row r="242" spans="4:11">
      <c r="D242" s="345"/>
      <c r="E242" s="381"/>
      <c r="F242" s="381"/>
      <c r="G242" s="381"/>
      <c r="H242" s="381"/>
      <c r="I242" s="381"/>
    </row>
    <row r="243" spans="4:11">
      <c r="D243" s="370"/>
      <c r="E243" s="381"/>
      <c r="F243" s="381"/>
      <c r="G243" s="381"/>
      <c r="H243" s="381"/>
      <c r="I243" s="381"/>
    </row>
    <row r="244" spans="4:11">
      <c r="D244" s="370"/>
    </row>
    <row r="245" spans="4:11">
      <c r="D245" s="345"/>
      <c r="E245" s="381"/>
      <c r="F245" s="381"/>
      <c r="G245" s="381"/>
      <c r="H245" s="381"/>
      <c r="I245" s="381"/>
    </row>
    <row r="246" spans="4:11">
      <c r="D246" s="370"/>
      <c r="J246" s="381"/>
    </row>
    <row r="247" spans="4:11">
      <c r="D247" s="370"/>
      <c r="J247" s="381"/>
      <c r="K247" s="381"/>
    </row>
    <row r="248" spans="4:11">
      <c r="D248" s="345"/>
      <c r="E248" s="381"/>
      <c r="F248" s="381"/>
      <c r="G248" s="381"/>
      <c r="H248" s="381"/>
      <c r="I248" s="381"/>
      <c r="K248" s="381"/>
    </row>
    <row r="249" spans="4:11">
      <c r="D249" s="370"/>
    </row>
    <row r="250" spans="4:11">
      <c r="D250" s="370"/>
      <c r="J250" s="381"/>
    </row>
    <row r="251" spans="4:11">
      <c r="D251" s="370"/>
      <c r="J251" s="381"/>
      <c r="K251" s="381"/>
    </row>
    <row r="252" spans="4:11">
      <c r="D252" s="345"/>
      <c r="E252" s="381"/>
      <c r="F252" s="381"/>
      <c r="G252" s="381"/>
      <c r="H252" s="381"/>
      <c r="I252" s="381"/>
      <c r="K252" s="381"/>
    </row>
    <row r="253" spans="4:11">
      <c r="D253" s="370"/>
    </row>
    <row r="254" spans="4:11">
      <c r="D254" s="370"/>
      <c r="E254" s="345"/>
      <c r="F254" s="345"/>
      <c r="G254" s="345"/>
      <c r="H254" s="345"/>
      <c r="I254" s="345"/>
      <c r="J254" s="381"/>
    </row>
    <row r="255" spans="4:11">
      <c r="D255" s="370"/>
      <c r="E255" s="345"/>
      <c r="F255" s="345"/>
      <c r="G255" s="345"/>
      <c r="H255" s="345"/>
      <c r="I255" s="345"/>
      <c r="K255" s="381"/>
    </row>
    <row r="256" spans="4:11">
      <c r="D256" s="370"/>
    </row>
    <row r="257" spans="4:4">
      <c r="D257" s="370"/>
    </row>
    <row r="258" spans="4:4">
      <c r="D258" s="370"/>
    </row>
    <row r="259" spans="4:4">
      <c r="D259" s="370"/>
    </row>
    <row r="260" spans="4:4">
      <c r="D260" s="370"/>
    </row>
    <row r="261" spans="4:4">
      <c r="D261" s="370"/>
    </row>
    <row r="262" spans="4:4">
      <c r="D262" s="370"/>
    </row>
    <row r="263" spans="4:4">
      <c r="D263" s="370"/>
    </row>
    <row r="264" spans="4:4">
      <c r="D264" s="370"/>
    </row>
    <row r="265" spans="4:4">
      <c r="D265" s="370"/>
    </row>
    <row r="266" spans="4:4">
      <c r="D266" s="370"/>
    </row>
    <row r="267" spans="4:4">
      <c r="D267" s="370"/>
    </row>
    <row r="268" spans="4:4">
      <c r="D268" s="370"/>
    </row>
    <row r="269" spans="4:4">
      <c r="D269" s="370"/>
    </row>
    <row r="270" spans="4:4">
      <c r="D270" s="370"/>
    </row>
    <row r="271" spans="4:4">
      <c r="D271" s="370"/>
    </row>
    <row r="272" spans="4:4">
      <c r="D272" s="370"/>
    </row>
    <row r="273" spans="4:4">
      <c r="D273" s="370"/>
    </row>
    <row r="274" spans="4:4">
      <c r="D274" s="370"/>
    </row>
    <row r="275" spans="4:4">
      <c r="D275" s="370"/>
    </row>
    <row r="276" spans="4:4">
      <c r="D276" s="370"/>
    </row>
    <row r="277" spans="4:4">
      <c r="D277" s="370"/>
    </row>
    <row r="278" spans="4:4">
      <c r="D278" s="370"/>
    </row>
    <row r="279" spans="4:4">
      <c r="D279" s="370"/>
    </row>
    <row r="280" spans="4:4">
      <c r="D280" s="370"/>
    </row>
    <row r="281" spans="4:4">
      <c r="D281" s="370"/>
    </row>
    <row r="282" spans="4:4">
      <c r="D282" s="370"/>
    </row>
    <row r="283" spans="4:4">
      <c r="D283" s="370"/>
    </row>
    <row r="284" spans="4:4">
      <c r="D284" s="370"/>
    </row>
    <row r="285" spans="4:4">
      <c r="D285" s="370"/>
    </row>
    <row r="286" spans="4:4">
      <c r="D286" s="370"/>
    </row>
    <row r="287" spans="4:4">
      <c r="D287" s="370"/>
    </row>
    <row r="288" spans="4:4">
      <c r="D288" s="370"/>
    </row>
    <row r="289" spans="4:4">
      <c r="D289" s="370"/>
    </row>
    <row r="290" spans="4:4">
      <c r="D290" s="370"/>
    </row>
    <row r="291" spans="4:4">
      <c r="D291" s="370"/>
    </row>
    <row r="292" spans="4:4">
      <c r="D292" s="370"/>
    </row>
    <row r="293" spans="4:4">
      <c r="D293" s="370"/>
    </row>
    <row r="294" spans="4:4">
      <c r="D294" s="370"/>
    </row>
    <row r="295" spans="4:4">
      <c r="D295" s="370"/>
    </row>
    <row r="296" spans="4:4">
      <c r="D296" s="370"/>
    </row>
    <row r="297" spans="4:4">
      <c r="D297" s="370"/>
    </row>
    <row r="298" spans="4:4">
      <c r="D298" s="370"/>
    </row>
    <row r="299" spans="4:4">
      <c r="D299" s="370"/>
    </row>
    <row r="300" spans="4:4">
      <c r="D300" s="370"/>
    </row>
    <row r="301" spans="4:4">
      <c r="D301" s="370"/>
    </row>
    <row r="302" spans="4:4">
      <c r="D302" s="370"/>
    </row>
    <row r="303" spans="4:4">
      <c r="D303" s="370"/>
    </row>
    <row r="304" spans="4:4">
      <c r="D304" s="370"/>
    </row>
    <row r="305" spans="4:4">
      <c r="D305" s="370"/>
    </row>
    <row r="306" spans="4:4">
      <c r="D306" s="370"/>
    </row>
    <row r="307" spans="4:4">
      <c r="D307" s="370"/>
    </row>
    <row r="308" spans="4:4">
      <c r="D308" s="370"/>
    </row>
    <row r="309" spans="4:4">
      <c r="D309" s="370"/>
    </row>
    <row r="310" spans="4:4">
      <c r="D310" s="370"/>
    </row>
    <row r="311" spans="4:4">
      <c r="D311" s="370"/>
    </row>
    <row r="312" spans="4:4">
      <c r="D312" s="370"/>
    </row>
    <row r="313" spans="4:4">
      <c r="D313" s="370"/>
    </row>
    <row r="314" spans="4:4">
      <c r="D314" s="370"/>
    </row>
    <row r="315" spans="4:4">
      <c r="D315" s="370"/>
    </row>
    <row r="316" spans="4:4">
      <c r="D316" s="370"/>
    </row>
    <row r="317" spans="4:4">
      <c r="D317" s="370"/>
    </row>
    <row r="318" spans="4:4">
      <c r="D318" s="370"/>
    </row>
    <row r="319" spans="4:4">
      <c r="D319" s="370"/>
    </row>
    <row r="320" spans="4:4">
      <c r="D320" s="370"/>
    </row>
    <row r="321" spans="4:4">
      <c r="D321" s="370"/>
    </row>
    <row r="322" spans="4:4">
      <c r="D322" s="370"/>
    </row>
    <row r="323" spans="4:4">
      <c r="D323" s="370"/>
    </row>
    <row r="324" spans="4:4">
      <c r="D324" s="370"/>
    </row>
    <row r="325" spans="4:4">
      <c r="D325" s="370"/>
    </row>
    <row r="326" spans="4:4">
      <c r="D326" s="370"/>
    </row>
    <row r="327" spans="4:4">
      <c r="D327" s="370"/>
    </row>
    <row r="328" spans="4:4">
      <c r="D328" s="370"/>
    </row>
    <row r="329" spans="4:4">
      <c r="D329" s="370"/>
    </row>
    <row r="330" spans="4:4">
      <c r="D330" s="370"/>
    </row>
    <row r="331" spans="4:4">
      <c r="D331" s="370"/>
    </row>
    <row r="332" spans="4:4">
      <c r="D332" s="370"/>
    </row>
    <row r="333" spans="4:4">
      <c r="D333" s="370"/>
    </row>
    <row r="334" spans="4:4">
      <c r="D334" s="370"/>
    </row>
    <row r="335" spans="4:4">
      <c r="D335" s="370"/>
    </row>
    <row r="336" spans="4:4">
      <c r="D336" s="370"/>
    </row>
    <row r="337" spans="4:4">
      <c r="D337" s="370"/>
    </row>
    <row r="338" spans="4:4">
      <c r="D338" s="370"/>
    </row>
    <row r="339" spans="4:4">
      <c r="D339" s="370"/>
    </row>
    <row r="340" spans="4:4">
      <c r="D340" s="370"/>
    </row>
    <row r="341" spans="4:4">
      <c r="D341" s="370"/>
    </row>
    <row r="342" spans="4:4">
      <c r="D342" s="370"/>
    </row>
    <row r="343" spans="4:4">
      <c r="D343" s="370"/>
    </row>
    <row r="344" spans="4:4">
      <c r="D344" s="370"/>
    </row>
    <row r="345" spans="4:4">
      <c r="D345" s="370"/>
    </row>
    <row r="346" spans="4:4">
      <c r="D346" s="370"/>
    </row>
    <row r="347" spans="4:4">
      <c r="D347" s="370"/>
    </row>
    <row r="348" spans="4:4">
      <c r="D348" s="370"/>
    </row>
    <row r="349" spans="4:4">
      <c r="D349" s="370"/>
    </row>
    <row r="350" spans="4:4">
      <c r="D350" s="370"/>
    </row>
    <row r="351" spans="4:4">
      <c r="D351" s="370"/>
    </row>
    <row r="352" spans="4:4">
      <c r="D352" s="370"/>
    </row>
    <row r="353" spans="4:4">
      <c r="D353" s="370"/>
    </row>
    <row r="354" spans="4:4">
      <c r="D354" s="370"/>
    </row>
    <row r="355" spans="4:4">
      <c r="D355" s="370"/>
    </row>
    <row r="356" spans="4:4">
      <c r="D356" s="370"/>
    </row>
    <row r="357" spans="4:4">
      <c r="D357" s="370"/>
    </row>
    <row r="358" spans="4:4">
      <c r="D358" s="370"/>
    </row>
    <row r="359" spans="4:4">
      <c r="D359" s="370"/>
    </row>
    <row r="360" spans="4:4">
      <c r="D360" s="370"/>
    </row>
    <row r="361" spans="4:4">
      <c r="D361" s="370"/>
    </row>
    <row r="362" spans="4:4">
      <c r="D362" s="370"/>
    </row>
    <row r="363" spans="4:4">
      <c r="D363" s="370"/>
    </row>
    <row r="364" spans="4:4">
      <c r="D364" s="370"/>
    </row>
    <row r="365" spans="4:4">
      <c r="D365" s="370"/>
    </row>
    <row r="366" spans="4:4">
      <c r="D366" s="370"/>
    </row>
    <row r="367" spans="4:4">
      <c r="D367" s="370"/>
    </row>
    <row r="368" spans="4:4">
      <c r="D368" s="370"/>
    </row>
    <row r="369" spans="4:4">
      <c r="D369" s="370"/>
    </row>
    <row r="370" spans="4:4">
      <c r="D370" s="370"/>
    </row>
    <row r="371" spans="4:4">
      <c r="D371" s="370"/>
    </row>
    <row r="372" spans="4:4">
      <c r="D372" s="370"/>
    </row>
    <row r="373" spans="4:4">
      <c r="D373" s="370"/>
    </row>
    <row r="374" spans="4:4">
      <c r="D374" s="370"/>
    </row>
    <row r="375" spans="4:4">
      <c r="D375" s="370"/>
    </row>
    <row r="376" spans="4:4">
      <c r="D376" s="370"/>
    </row>
    <row r="377" spans="4:4">
      <c r="D377" s="370"/>
    </row>
    <row r="378" spans="4:4">
      <c r="D378" s="370"/>
    </row>
    <row r="379" spans="4:4">
      <c r="D379" s="370"/>
    </row>
    <row r="380" spans="4:4">
      <c r="D380" s="370"/>
    </row>
    <row r="381" spans="4:4">
      <c r="D381" s="370"/>
    </row>
    <row r="382" spans="4:4">
      <c r="D382" s="370"/>
    </row>
    <row r="383" spans="4:4">
      <c r="D383" s="370"/>
    </row>
    <row r="384" spans="4:4">
      <c r="D384" s="370"/>
    </row>
    <row r="385" spans="4:4">
      <c r="D385" s="370"/>
    </row>
    <row r="386" spans="4:4">
      <c r="D386" s="370"/>
    </row>
    <row r="387" spans="4:4">
      <c r="D387" s="370"/>
    </row>
    <row r="388" spans="4:4">
      <c r="D388" s="370"/>
    </row>
    <row r="389" spans="4:4">
      <c r="D389" s="370"/>
    </row>
    <row r="390" spans="4:4">
      <c r="D390" s="370"/>
    </row>
    <row r="391" spans="4:4">
      <c r="D391" s="370"/>
    </row>
    <row r="392" spans="4:4">
      <c r="D392" s="370"/>
    </row>
    <row r="393" spans="4:4">
      <c r="D393" s="370"/>
    </row>
    <row r="394" spans="4:4">
      <c r="D394" s="370"/>
    </row>
    <row r="395" spans="4:4">
      <c r="D395" s="370"/>
    </row>
    <row r="396" spans="4:4">
      <c r="D396" s="370"/>
    </row>
    <row r="397" spans="4:4">
      <c r="D397" s="370"/>
    </row>
    <row r="398" spans="4:4">
      <c r="D398" s="370"/>
    </row>
    <row r="399" spans="4:4">
      <c r="D399" s="370"/>
    </row>
    <row r="400" spans="4:4">
      <c r="D400" s="370"/>
    </row>
    <row r="401" spans="4:4">
      <c r="D401" s="370"/>
    </row>
    <row r="402" spans="4:4">
      <c r="D402" s="370"/>
    </row>
    <row r="403" spans="4:4">
      <c r="D403" s="370"/>
    </row>
    <row r="404" spans="4:4">
      <c r="D404" s="370"/>
    </row>
    <row r="405" spans="4:4">
      <c r="D405" s="370"/>
    </row>
    <row r="406" spans="4:4">
      <c r="D406" s="370"/>
    </row>
    <row r="407" spans="4:4">
      <c r="D407" s="370"/>
    </row>
    <row r="408" spans="4:4">
      <c r="D408" s="370"/>
    </row>
    <row r="409" spans="4:4">
      <c r="D409" s="370"/>
    </row>
    <row r="410" spans="4:4">
      <c r="D410" s="370"/>
    </row>
    <row r="411" spans="4:4">
      <c r="D411" s="370"/>
    </row>
    <row r="412" spans="4:4">
      <c r="D412" s="370"/>
    </row>
    <row r="413" spans="4:4">
      <c r="D413" s="370"/>
    </row>
    <row r="414" spans="4:4">
      <c r="D414" s="370"/>
    </row>
    <row r="415" spans="4:4">
      <c r="D415" s="370"/>
    </row>
    <row r="416" spans="4:4">
      <c r="D416" s="370"/>
    </row>
    <row r="417" spans="4:4">
      <c r="D417" s="370"/>
    </row>
    <row r="418" spans="4:4">
      <c r="D418" s="370"/>
    </row>
    <row r="419" spans="4:4">
      <c r="D419" s="370"/>
    </row>
    <row r="420" spans="4:4">
      <c r="D420" s="370"/>
    </row>
    <row r="421" spans="4:4">
      <c r="D421" s="370"/>
    </row>
    <row r="422" spans="4:4">
      <c r="D422" s="370"/>
    </row>
    <row r="423" spans="4:4">
      <c r="D423" s="370"/>
    </row>
    <row r="424" spans="4:4">
      <c r="D424" s="370"/>
    </row>
    <row r="425" spans="4:4">
      <c r="D425" s="370"/>
    </row>
    <row r="426" spans="4:4">
      <c r="D426" s="370"/>
    </row>
    <row r="427" spans="4:4">
      <c r="D427" s="370"/>
    </row>
    <row r="428" spans="4:4">
      <c r="D428" s="370"/>
    </row>
    <row r="429" spans="4:4">
      <c r="D429" s="370"/>
    </row>
    <row r="430" spans="4:4">
      <c r="D430" s="370"/>
    </row>
    <row r="431" spans="4:4">
      <c r="D431" s="370"/>
    </row>
    <row r="432" spans="4:4">
      <c r="D432" s="370"/>
    </row>
    <row r="433" spans="4:4">
      <c r="D433" s="370"/>
    </row>
    <row r="434" spans="4:4">
      <c r="D434" s="370"/>
    </row>
    <row r="435" spans="4:4">
      <c r="D435" s="370"/>
    </row>
    <row r="436" spans="4:4">
      <c r="D436" s="370"/>
    </row>
    <row r="437" spans="4:4">
      <c r="D437" s="370"/>
    </row>
    <row r="438" spans="4:4">
      <c r="D438" s="370"/>
    </row>
    <row r="439" spans="4:4">
      <c r="D439" s="370"/>
    </row>
    <row r="440" spans="4:4">
      <c r="D440" s="370"/>
    </row>
    <row r="441" spans="4:4">
      <c r="D441" s="370"/>
    </row>
    <row r="442" spans="4:4">
      <c r="D442" s="370"/>
    </row>
    <row r="443" spans="4:4">
      <c r="D443" s="370"/>
    </row>
    <row r="444" spans="4:4">
      <c r="D444" s="370"/>
    </row>
  </sheetData>
  <phoneticPr fontId="26" type="noConversion"/>
  <pageMargins left="0.75" right="0.75" top="1" bottom="1" header="0.5" footer="0.5"/>
  <pageSetup scale="47" orientation="landscape" r:id="rId1"/>
  <headerFooter alignWithMargins="0"/>
  <drawing r:id="rId2"/>
  <legacyDrawing r:id="rId3"/>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C00-000000000000}">
  <sheetPr codeName="Sheet40">
    <pageSetUpPr fitToPage="1"/>
  </sheetPr>
  <dimension ref="A1:X462"/>
  <sheetViews>
    <sheetView showGridLines="0" zoomScale="80" zoomScaleNormal="80" workbookViewId="0"/>
  </sheetViews>
  <sheetFormatPr defaultColWidth="9.109375" defaultRowHeight="12"/>
  <cols>
    <col min="1" max="1" width="2.33203125" style="367" customWidth="1"/>
    <col min="2" max="4" width="10" style="367" customWidth="1"/>
    <col min="5" max="5" width="20.44140625" style="367" customWidth="1"/>
    <col min="6" max="6" width="10" style="367" customWidth="1"/>
    <col min="7" max="7" width="2.33203125" style="367" customWidth="1"/>
    <col min="8" max="8" width="10" style="367" customWidth="1"/>
    <col min="9" max="9" width="2.109375" style="367" customWidth="1"/>
    <col min="10" max="10" width="10" style="367" customWidth="1"/>
    <col min="11" max="11" width="2.109375" style="367" customWidth="1"/>
    <col min="12" max="12" width="10" style="367" customWidth="1"/>
    <col min="13" max="13" width="2.109375" style="367" customWidth="1"/>
    <col min="14" max="14" width="10" style="367" customWidth="1"/>
    <col min="15" max="15" width="2.109375" style="367" customWidth="1"/>
    <col min="16" max="16" width="10" style="367" customWidth="1"/>
    <col min="17" max="17" width="2.109375" style="367" customWidth="1"/>
    <col min="18" max="18" width="10" style="367" customWidth="1"/>
    <col min="19" max="19" width="2.109375" style="367" customWidth="1"/>
    <col min="20" max="20" width="9.88671875" style="367" customWidth="1"/>
    <col min="21" max="21" width="2.109375" style="367" customWidth="1"/>
    <col min="22" max="22" width="10" style="367" customWidth="1"/>
    <col min="23" max="23" width="2.109375" style="367" customWidth="1"/>
    <col min="24" max="24" width="10" style="367" customWidth="1"/>
    <col min="25" max="16384" width="9.109375" style="367"/>
  </cols>
  <sheetData>
    <row r="1" spans="2:24" s="472" customFormat="1">
      <c r="E1" s="150"/>
    </row>
    <row r="2" spans="2:24" s="472" customFormat="1">
      <c r="E2" s="150"/>
    </row>
    <row r="3" spans="2:24" s="472" customFormat="1"/>
    <row r="4" spans="2:24" s="477" customFormat="1" ht="21">
      <c r="B4" s="129" t="s">
        <v>1462</v>
      </c>
      <c r="C4" s="129"/>
    </row>
    <row r="5" spans="2:24" s="472" customFormat="1">
      <c r="D5" s="132"/>
      <c r="E5" s="132"/>
      <c r="F5" s="132"/>
      <c r="G5" s="132"/>
      <c r="H5" s="132"/>
      <c r="I5" s="132"/>
      <c r="L5" s="473"/>
      <c r="M5" s="473"/>
      <c r="N5" s="473"/>
      <c r="O5" s="473"/>
      <c r="P5" s="473"/>
      <c r="Q5" s="473"/>
      <c r="R5" s="473"/>
      <c r="S5" s="473"/>
      <c r="T5" s="473"/>
      <c r="U5" s="473"/>
      <c r="V5" s="473"/>
      <c r="W5" s="473"/>
      <c r="X5" s="473"/>
    </row>
    <row r="6" spans="2:24">
      <c r="B6" s="456"/>
      <c r="C6" s="456"/>
      <c r="D6" s="456"/>
      <c r="E6" s="456"/>
      <c r="F6" s="456"/>
      <c r="G6" s="456"/>
      <c r="H6" s="456"/>
      <c r="I6" s="456"/>
      <c r="L6" s="440"/>
      <c r="M6" s="440"/>
      <c r="N6" s="440"/>
      <c r="O6" s="440"/>
      <c r="P6" s="440"/>
      <c r="Q6" s="440"/>
      <c r="R6" s="440"/>
      <c r="S6" s="440"/>
      <c r="T6" s="440"/>
      <c r="U6" s="440"/>
      <c r="V6" s="440"/>
      <c r="W6" s="440"/>
      <c r="X6" s="440"/>
    </row>
    <row r="7" spans="2:24" ht="12.6" thickBot="1">
      <c r="B7" s="306" t="s">
        <v>104</v>
      </c>
      <c r="C7" s="306"/>
      <c r="D7" s="368"/>
      <c r="E7" s="457"/>
      <c r="F7" s="457"/>
      <c r="G7" s="457"/>
      <c r="H7" s="457"/>
      <c r="I7" s="457"/>
      <c r="J7" s="368"/>
      <c r="K7" s="368"/>
      <c r="L7" s="368"/>
      <c r="M7" s="368"/>
      <c r="N7" s="368"/>
      <c r="O7" s="368"/>
      <c r="P7" s="368"/>
      <c r="Q7" s="368"/>
      <c r="R7" s="368"/>
      <c r="S7" s="368"/>
      <c r="T7" s="368"/>
      <c r="U7" s="368"/>
      <c r="V7" s="368"/>
      <c r="W7" s="368"/>
      <c r="X7" s="368"/>
    </row>
    <row r="8" spans="2:24" ht="12.6" thickTop="1">
      <c r="B8" s="345"/>
      <c r="C8" s="345"/>
      <c r="E8" s="345"/>
      <c r="F8" s="345"/>
      <c r="G8" s="345"/>
      <c r="H8" s="345"/>
      <c r="I8" s="345"/>
    </row>
    <row r="9" spans="2:24">
      <c r="D9" s="345"/>
      <c r="E9" s="382" t="s">
        <v>81</v>
      </c>
      <c r="F9" s="458" t="s">
        <v>82</v>
      </c>
      <c r="G9" s="458"/>
      <c r="H9" s="458" t="s">
        <v>83</v>
      </c>
      <c r="I9" s="458"/>
      <c r="J9" s="458" t="s">
        <v>84</v>
      </c>
      <c r="K9" s="458"/>
      <c r="L9" s="458" t="s">
        <v>85</v>
      </c>
      <c r="M9" s="458"/>
      <c r="N9" s="459" t="s">
        <v>128</v>
      </c>
      <c r="O9" s="459"/>
      <c r="P9" s="458" t="s">
        <v>129</v>
      </c>
      <c r="Q9" s="458"/>
      <c r="R9" s="458" t="s">
        <v>31</v>
      </c>
      <c r="S9" s="458"/>
      <c r="T9" s="458" t="s">
        <v>130</v>
      </c>
      <c r="U9" s="458"/>
      <c r="V9" s="458" t="s">
        <v>131</v>
      </c>
      <c r="W9" s="458"/>
      <c r="X9" s="458" t="s">
        <v>132</v>
      </c>
    </row>
    <row r="10" spans="2:24">
      <c r="B10" s="345"/>
      <c r="C10" s="345"/>
      <c r="E10" s="382"/>
      <c r="F10" s="458"/>
      <c r="G10" s="458"/>
      <c r="H10" s="458"/>
      <c r="I10" s="458"/>
      <c r="J10" s="458"/>
      <c r="K10" s="458"/>
      <c r="L10" s="458"/>
      <c r="M10" s="458"/>
      <c r="N10" s="459"/>
      <c r="O10" s="459"/>
      <c r="P10" s="458"/>
      <c r="Q10" s="458"/>
      <c r="R10" s="458"/>
      <c r="S10" s="458"/>
      <c r="T10" s="458"/>
      <c r="U10" s="458"/>
      <c r="V10" s="458"/>
      <c r="W10" s="458"/>
      <c r="X10" s="458"/>
    </row>
    <row r="11" spans="2:24">
      <c r="B11" s="370" t="s">
        <v>484</v>
      </c>
      <c r="C11" s="370"/>
      <c r="E11" s="367" t="str">
        <f>"DCF, "&amp;TEXT(H11,"0.0")&amp;"x 22A OpFCF"</f>
        <v>DCF, 13.6x 22A OpFCF</v>
      </c>
      <c r="F11" s="484">
        <v>1754.694</v>
      </c>
      <c r="G11" s="178" t="s">
        <v>134</v>
      </c>
      <c r="H11" s="487">
        <v>13.559524849771957</v>
      </c>
      <c r="I11" s="178" t="s">
        <v>135</v>
      </c>
      <c r="J11" s="216">
        <f>(H11*F11)</f>
        <v>23792.816896745753</v>
      </c>
      <c r="K11" s="178" t="s">
        <v>136</v>
      </c>
      <c r="L11" s="484"/>
      <c r="M11" s="178" t="s">
        <v>135</v>
      </c>
      <c r="N11" s="216">
        <f>J11-L11</f>
        <v>23792.816896745753</v>
      </c>
      <c r="O11" s="178" t="s">
        <v>134</v>
      </c>
      <c r="P11" s="490">
        <v>1</v>
      </c>
      <c r="Q11" s="393" t="s">
        <v>135</v>
      </c>
      <c r="R11" s="216">
        <f>P11*N11</f>
        <v>23792.816896745753</v>
      </c>
      <c r="S11" s="216"/>
      <c r="T11" s="216">
        <f>N11-R11</f>
        <v>0</v>
      </c>
      <c r="U11" s="216"/>
      <c r="V11" s="394">
        <f t="shared" ref="V11:V16" si="0">N11/$J$42</f>
        <v>1.6808412829693871</v>
      </c>
      <c r="W11" s="370"/>
      <c r="X11" s="373">
        <f t="shared" ref="X11:X16" si="1">$J$47*V11</f>
        <v>6.1754537878282099</v>
      </c>
    </row>
    <row r="12" spans="2:24">
      <c r="B12" s="370" t="s">
        <v>485</v>
      </c>
      <c r="C12" s="370"/>
      <c r="E12" s="367" t="str">
        <f t="shared" ref="E12:E15" si="2">"DCF, "&amp;TEXT(H12,"0.0")&amp;"x 22A OpFCF"</f>
        <v>DCF, 14.3x 22A OpFCF</v>
      </c>
      <c r="F12" s="484">
        <v>1004.0031999999999</v>
      </c>
      <c r="G12" s="178" t="s">
        <v>134</v>
      </c>
      <c r="H12" s="487">
        <v>14.262218758032105</v>
      </c>
      <c r="I12" s="178" t="s">
        <v>135</v>
      </c>
      <c r="J12" s="216">
        <f t="shared" ref="J12:J15" si="3">(H12*F12)</f>
        <v>14319.313272164258</v>
      </c>
      <c r="K12" s="178" t="s">
        <v>136</v>
      </c>
      <c r="L12" s="484"/>
      <c r="M12" s="178" t="s">
        <v>135</v>
      </c>
      <c r="N12" s="216">
        <f t="shared" ref="N12:N16" si="4">J12-L12</f>
        <v>14319.313272164258</v>
      </c>
      <c r="O12" s="178" t="s">
        <v>134</v>
      </c>
      <c r="P12" s="490">
        <v>1</v>
      </c>
      <c r="Q12" s="393" t="s">
        <v>135</v>
      </c>
      <c r="R12" s="216">
        <f t="shared" ref="R12:R15" si="5">P12*N12</f>
        <v>14319.313272164258</v>
      </c>
      <c r="S12" s="216"/>
      <c r="T12" s="216">
        <f t="shared" ref="T12:T16" si="6">N12-R12</f>
        <v>0</v>
      </c>
      <c r="U12" s="216"/>
      <c r="V12" s="394">
        <f t="shared" si="0"/>
        <v>1.0115865219354121</v>
      </c>
      <c r="W12" s="370"/>
      <c r="X12" s="373">
        <f t="shared" si="1"/>
        <v>3.7165947087913005</v>
      </c>
    </row>
    <row r="13" spans="2:24">
      <c r="B13" s="370" t="s">
        <v>101</v>
      </c>
      <c r="C13" s="370"/>
      <c r="E13" s="367" t="str">
        <f t="shared" si="2"/>
        <v>DCF, -1.5x 22A OpFCF</v>
      </c>
      <c r="F13" s="484">
        <v>-252.12</v>
      </c>
      <c r="G13" s="178" t="s">
        <v>134</v>
      </c>
      <c r="H13" s="487">
        <v>-1.4822780583414039</v>
      </c>
      <c r="I13" s="178" t="s">
        <v>135</v>
      </c>
      <c r="J13" s="216">
        <f t="shared" si="3"/>
        <v>373.71194406903476</v>
      </c>
      <c r="K13" s="178" t="s">
        <v>136</v>
      </c>
      <c r="L13" s="484"/>
      <c r="M13" s="178" t="s">
        <v>135</v>
      </c>
      <c r="N13" s="216">
        <f t="shared" si="4"/>
        <v>373.71194406903476</v>
      </c>
      <c r="O13" s="178" t="s">
        <v>134</v>
      </c>
      <c r="P13" s="490">
        <v>1</v>
      </c>
      <c r="Q13" s="393" t="s">
        <v>135</v>
      </c>
      <c r="R13" s="216">
        <f t="shared" si="5"/>
        <v>373.71194406903476</v>
      </c>
      <c r="S13" s="216"/>
      <c r="T13" s="216">
        <f t="shared" si="6"/>
        <v>0</v>
      </c>
      <c r="U13" s="216"/>
      <c r="V13" s="394">
        <f t="shared" si="0"/>
        <v>2.6400844685855379E-2</v>
      </c>
      <c r="W13" s="370"/>
      <c r="X13" s="373">
        <f t="shared" si="1"/>
        <v>9.6997377425848977E-2</v>
      </c>
    </row>
    <row r="14" spans="2:24">
      <c r="B14" s="370" t="s">
        <v>909</v>
      </c>
      <c r="E14" s="367" t="str">
        <f t="shared" si="2"/>
        <v>DCF, 11.5x 22A OpFCF</v>
      </c>
      <c r="F14" s="484">
        <v>-920.80584549489731</v>
      </c>
      <c r="G14" s="178" t="s">
        <v>134</v>
      </c>
      <c r="H14" s="487">
        <v>11.523763842400898</v>
      </c>
      <c r="I14" s="178" t="s">
        <v>135</v>
      </c>
      <c r="J14" s="216">
        <f t="shared" si="3"/>
        <v>-10611.149108185486</v>
      </c>
      <c r="K14" s="178"/>
      <c r="L14" s="484"/>
      <c r="M14" s="178" t="s">
        <v>135</v>
      </c>
      <c r="N14" s="216">
        <f t="shared" si="4"/>
        <v>-10611.149108185486</v>
      </c>
      <c r="O14" s="178" t="s">
        <v>134</v>
      </c>
      <c r="P14" s="490">
        <v>1</v>
      </c>
      <c r="Q14" s="393" t="s">
        <v>135</v>
      </c>
      <c r="R14" s="216">
        <f t="shared" si="5"/>
        <v>-10611.149108185486</v>
      </c>
      <c r="S14" s="216"/>
      <c r="T14" s="216">
        <f t="shared" si="6"/>
        <v>0</v>
      </c>
      <c r="U14" s="216"/>
      <c r="V14" s="394">
        <f t="shared" si="0"/>
        <v>-0.74962361784162757</v>
      </c>
      <c r="W14" s="370"/>
      <c r="X14" s="373">
        <f t="shared" si="1"/>
        <v>-2.7541363108761039</v>
      </c>
    </row>
    <row r="15" spans="2:24">
      <c r="B15" s="370" t="s">
        <v>141</v>
      </c>
      <c r="C15" s="370"/>
      <c r="E15" s="367" t="str">
        <f t="shared" si="2"/>
        <v>DCF, 16.8x 22A OpFCF</v>
      </c>
      <c r="F15" s="484">
        <v>-387.43614103810256</v>
      </c>
      <c r="G15" s="178" t="s">
        <v>134</v>
      </c>
      <c r="H15" s="487">
        <v>16.762771453398933</v>
      </c>
      <c r="I15" s="178" t="s">
        <v>135</v>
      </c>
      <c r="J15" s="216">
        <f t="shared" si="3"/>
        <v>-6494.5034850085485</v>
      </c>
      <c r="K15" s="178" t="s">
        <v>136</v>
      </c>
      <c r="L15" s="484"/>
      <c r="M15" s="178" t="s">
        <v>135</v>
      </c>
      <c r="N15" s="216">
        <f t="shared" si="4"/>
        <v>-6494.5034850085485</v>
      </c>
      <c r="O15" s="178" t="s">
        <v>134</v>
      </c>
      <c r="P15" s="490">
        <v>1</v>
      </c>
      <c r="Q15" s="393" t="s">
        <v>135</v>
      </c>
      <c r="R15" s="216">
        <f t="shared" si="5"/>
        <v>-6494.5034850085485</v>
      </c>
      <c r="T15" s="216">
        <f t="shared" si="6"/>
        <v>0</v>
      </c>
      <c r="V15" s="394">
        <f t="shared" si="0"/>
        <v>-0.45880357997812288</v>
      </c>
      <c r="X15" s="373">
        <f t="shared" si="1"/>
        <v>-1.6856560667284877</v>
      </c>
    </row>
    <row r="16" spans="2:24">
      <c r="B16" s="345" t="s">
        <v>16</v>
      </c>
      <c r="F16" s="210"/>
      <c r="G16" s="196"/>
      <c r="H16" s="372"/>
      <c r="I16" s="196"/>
      <c r="J16" s="398">
        <f>SUM(J11:J15)</f>
        <v>21380.18951978501</v>
      </c>
      <c r="K16" s="196"/>
      <c r="L16" s="398"/>
      <c r="M16" s="196"/>
      <c r="N16" s="398">
        <f t="shared" si="4"/>
        <v>21380.18951978501</v>
      </c>
      <c r="O16" s="196"/>
      <c r="P16" s="439"/>
      <c r="Q16" s="369"/>
      <c r="R16" s="398">
        <f>SUM(R11:R15)</f>
        <v>21380.18951978501</v>
      </c>
      <c r="S16" s="210"/>
      <c r="T16" s="398">
        <f t="shared" si="6"/>
        <v>0</v>
      </c>
      <c r="U16" s="210"/>
      <c r="V16" s="439">
        <f t="shared" si="0"/>
        <v>1.5104014517709039</v>
      </c>
      <c r="W16" s="370"/>
      <c r="X16" s="416">
        <f t="shared" si="1"/>
        <v>5.5492534964407669</v>
      </c>
    </row>
    <row r="17" spans="2:24">
      <c r="B17" s="370" t="s">
        <v>917</v>
      </c>
      <c r="C17" s="370"/>
      <c r="H17" s="214"/>
      <c r="J17" s="484">
        <v>14272.689679504432</v>
      </c>
      <c r="L17" s="216"/>
      <c r="P17" s="215"/>
      <c r="R17" s="216"/>
      <c r="S17" s="216"/>
      <c r="T17" s="216"/>
      <c r="U17" s="216"/>
      <c r="V17" s="215"/>
      <c r="W17" s="370"/>
      <c r="X17" s="373"/>
    </row>
    <row r="18" spans="2:24">
      <c r="B18" s="370" t="s">
        <v>918</v>
      </c>
      <c r="C18" s="370"/>
      <c r="G18" s="178"/>
      <c r="H18" s="373"/>
      <c r="I18" s="178"/>
      <c r="J18" s="484">
        <v>7269.8849779413231</v>
      </c>
      <c r="K18" s="178"/>
      <c r="L18" s="216"/>
      <c r="M18" s="178"/>
      <c r="N18" s="216"/>
      <c r="O18" s="178"/>
      <c r="P18" s="215"/>
      <c r="Q18" s="393"/>
      <c r="R18" s="216"/>
      <c r="S18" s="370"/>
      <c r="T18" s="216"/>
      <c r="U18" s="370"/>
      <c r="V18" s="450"/>
      <c r="W18" s="370"/>
      <c r="X18" s="373"/>
    </row>
    <row r="19" spans="2:24">
      <c r="B19" s="345"/>
      <c r="C19" s="345"/>
      <c r="F19" s="210"/>
      <c r="G19" s="196"/>
      <c r="H19" s="372"/>
      <c r="I19" s="196"/>
      <c r="J19" s="210"/>
      <c r="K19" s="196"/>
      <c r="L19" s="210"/>
      <c r="M19" s="196"/>
      <c r="N19" s="210"/>
      <c r="O19" s="196"/>
      <c r="P19" s="211"/>
      <c r="Q19" s="369"/>
      <c r="R19" s="210"/>
      <c r="S19" s="370"/>
      <c r="T19" s="210"/>
      <c r="U19" s="370"/>
      <c r="V19" s="438"/>
      <c r="W19" s="370"/>
      <c r="X19" s="372"/>
    </row>
    <row r="20" spans="2:24">
      <c r="B20" s="370" t="s">
        <v>182</v>
      </c>
      <c r="F20" s="208"/>
      <c r="G20" s="500"/>
      <c r="H20" s="499"/>
      <c r="I20" s="178"/>
      <c r="J20" s="495">
        <f>J19</f>
        <v>0</v>
      </c>
      <c r="K20" s="178"/>
      <c r="L20" s="216"/>
      <c r="M20" s="178"/>
      <c r="N20" s="501">
        <f>N19</f>
        <v>0</v>
      </c>
      <c r="O20" s="178"/>
      <c r="P20" s="178"/>
      <c r="Q20" s="393"/>
      <c r="R20" s="501">
        <f>R19</f>
        <v>0</v>
      </c>
      <c r="S20" s="216"/>
      <c r="T20" s="501">
        <v>0</v>
      </c>
      <c r="U20" s="216"/>
      <c r="V20" s="502">
        <f>N20/$J$42</f>
        <v>0</v>
      </c>
      <c r="W20" s="370"/>
      <c r="X20" s="503">
        <f>$J$47*V20</f>
        <v>0</v>
      </c>
    </row>
    <row r="21" spans="2:24">
      <c r="B21" s="370" t="s">
        <v>141</v>
      </c>
      <c r="C21" s="370"/>
      <c r="E21" s="367" t="str">
        <f t="shared" ref="E21" si="7">"DCF, "&amp;TEXT(H21,"0.0")&amp;"x 19E OpFCF"</f>
        <v>DCF, 0.0x 19E OpFCF</v>
      </c>
      <c r="F21" s="484">
        <v>0</v>
      </c>
      <c r="G21" s="178" t="s">
        <v>134</v>
      </c>
      <c r="H21" s="487">
        <v>0</v>
      </c>
      <c r="I21" s="178" t="s">
        <v>135</v>
      </c>
      <c r="J21" s="385">
        <f>F21*H21</f>
        <v>0</v>
      </c>
      <c r="K21" s="178" t="s">
        <v>136</v>
      </c>
      <c r="L21" s="498"/>
      <c r="M21" s="178" t="s">
        <v>135</v>
      </c>
      <c r="N21" s="385">
        <f>J21-L21</f>
        <v>0</v>
      </c>
      <c r="O21" s="178" t="s">
        <v>134</v>
      </c>
      <c r="P21" s="490">
        <v>1</v>
      </c>
      <c r="Q21" s="393" t="s">
        <v>135</v>
      </c>
      <c r="R21" s="385">
        <f>P21*N21</f>
        <v>0</v>
      </c>
      <c r="S21" s="216"/>
      <c r="T21" s="385">
        <f>N21-R21</f>
        <v>0</v>
      </c>
      <c r="U21" s="216"/>
      <c r="V21" s="395">
        <f>N21/$J$42</f>
        <v>0</v>
      </c>
      <c r="W21" s="370"/>
      <c r="X21" s="396">
        <f>$J$47*V21</f>
        <v>0</v>
      </c>
    </row>
    <row r="22" spans="2:24">
      <c r="B22" s="345" t="s">
        <v>138</v>
      </c>
      <c r="C22" s="370"/>
      <c r="F22" s="210"/>
      <c r="G22" s="196"/>
      <c r="H22" s="372"/>
      <c r="I22" s="376"/>
      <c r="J22" s="210">
        <f>J20+J16+J21</f>
        <v>21380.18951978501</v>
      </c>
      <c r="K22" s="375"/>
      <c r="L22" s="210">
        <f>-J32</f>
        <v>5438.0775518226619</v>
      </c>
      <c r="M22" s="196"/>
      <c r="N22" s="210">
        <f>N21+N16+N20</f>
        <v>21380.18951978501</v>
      </c>
      <c r="P22" s="377"/>
      <c r="Q22" s="378"/>
      <c r="R22" s="210">
        <f>R21+R16+R20</f>
        <v>21380.18951978501</v>
      </c>
      <c r="S22" s="370"/>
      <c r="T22" s="210">
        <f>T21+T18+T15</f>
        <v>0</v>
      </c>
      <c r="U22" s="370"/>
      <c r="V22" s="387">
        <f>N22/$J$42</f>
        <v>1.5104014517709039</v>
      </c>
      <c r="W22" s="370"/>
      <c r="X22" s="372">
        <f>$J$47*V22</f>
        <v>5.5492534964407669</v>
      </c>
    </row>
    <row r="23" spans="2:24">
      <c r="B23" s="370"/>
      <c r="C23" s="370"/>
      <c r="F23" s="210"/>
      <c r="G23" s="196"/>
      <c r="H23" s="372"/>
      <c r="I23" s="376"/>
      <c r="J23" s="196"/>
      <c r="K23" s="375"/>
      <c r="L23" s="370"/>
      <c r="M23" s="196"/>
      <c r="N23" s="210"/>
      <c r="P23" s="377"/>
      <c r="Q23" s="378"/>
      <c r="R23" s="210"/>
      <c r="T23" s="196"/>
    </row>
    <row r="25" spans="2:24">
      <c r="B25" s="370" t="s">
        <v>139</v>
      </c>
    </row>
    <row r="26" spans="2:24">
      <c r="B26" s="370" t="s">
        <v>753</v>
      </c>
      <c r="C26" s="370"/>
      <c r="E26" s="367" t="s">
        <v>729</v>
      </c>
      <c r="F26" s="484"/>
      <c r="G26" s="178" t="s">
        <v>134</v>
      </c>
      <c r="H26" s="487"/>
      <c r="I26" s="178" t="s">
        <v>135</v>
      </c>
      <c r="J26" s="216">
        <f>(H26*F26)</f>
        <v>0</v>
      </c>
      <c r="K26" s="178" t="s">
        <v>136</v>
      </c>
      <c r="L26" s="484"/>
      <c r="M26" s="178" t="s">
        <v>135</v>
      </c>
      <c r="N26" s="216">
        <f>J26-L26</f>
        <v>0</v>
      </c>
      <c r="O26" s="178" t="s">
        <v>134</v>
      </c>
      <c r="P26" s="490">
        <v>0</v>
      </c>
      <c r="Q26" s="393" t="s">
        <v>135</v>
      </c>
      <c r="R26" s="216">
        <f>P26*N26</f>
        <v>0</v>
      </c>
    </row>
    <row r="27" spans="2:24">
      <c r="B27" s="345"/>
      <c r="C27" s="345"/>
    </row>
    <row r="28" spans="2:24">
      <c r="B28" s="345" t="s">
        <v>730</v>
      </c>
      <c r="C28" s="345"/>
      <c r="E28" s="367" t="s">
        <v>731</v>
      </c>
      <c r="F28" s="196"/>
      <c r="G28" s="196"/>
      <c r="H28" s="376"/>
      <c r="I28" s="196"/>
      <c r="J28" s="375"/>
      <c r="K28" s="196"/>
      <c r="L28" s="196"/>
      <c r="M28" s="196"/>
      <c r="N28" s="480">
        <v>0</v>
      </c>
      <c r="O28" s="196" t="s">
        <v>134</v>
      </c>
      <c r="P28" s="483">
        <v>1</v>
      </c>
      <c r="Q28" s="369" t="s">
        <v>135</v>
      </c>
      <c r="R28" s="374">
        <f>P28*N28</f>
        <v>0</v>
      </c>
    </row>
    <row r="29" spans="2:24">
      <c r="B29" s="345" t="s">
        <v>138</v>
      </c>
      <c r="C29" s="370"/>
      <c r="R29" s="210">
        <f>SUM(R26:R28)</f>
        <v>0</v>
      </c>
    </row>
    <row r="31" spans="2:24" ht="12.6" thickBot="1">
      <c r="B31" s="382" t="s">
        <v>142</v>
      </c>
      <c r="D31" s="345"/>
      <c r="E31" s="381"/>
      <c r="H31" s="381"/>
      <c r="I31" s="381"/>
      <c r="J31" s="374">
        <f>J22</f>
        <v>21380.18951978501</v>
      </c>
      <c r="T31" s="460" t="s">
        <v>549</v>
      </c>
      <c r="U31" s="368"/>
      <c r="V31" s="368"/>
      <c r="W31" s="368"/>
      <c r="X31" s="368"/>
    </row>
    <row r="32" spans="2:24" ht="12.6" thickTop="1">
      <c r="B32" s="383" t="s">
        <v>1503</v>
      </c>
      <c r="D32" s="386"/>
      <c r="E32" s="381"/>
      <c r="G32" s="381"/>
      <c r="H32" s="381"/>
      <c r="I32" s="381"/>
      <c r="J32" s="216">
        <f>-KPN!D12</f>
        <v>-5438.0775518226619</v>
      </c>
    </row>
    <row r="33" spans="1:11">
      <c r="B33" s="384" t="s">
        <v>656</v>
      </c>
      <c r="D33" s="386"/>
      <c r="E33" s="381"/>
      <c r="G33" s="381"/>
      <c r="H33" s="381"/>
      <c r="I33" s="381"/>
      <c r="J33" s="484">
        <v>-1396.8758119416718</v>
      </c>
    </row>
    <row r="34" spans="1:11">
      <c r="B34" s="384" t="s">
        <v>1364</v>
      </c>
      <c r="D34" s="345"/>
      <c r="E34" s="381"/>
      <c r="G34" s="381"/>
      <c r="H34" s="381"/>
      <c r="I34" s="381"/>
      <c r="J34" s="484">
        <v>100.41425915224224</v>
      </c>
    </row>
    <row r="35" spans="1:11">
      <c r="B35" s="384" t="s">
        <v>1365</v>
      </c>
      <c r="D35" s="345"/>
      <c r="E35" s="381"/>
      <c r="G35" s="381"/>
      <c r="H35" s="381"/>
      <c r="I35" s="381"/>
      <c r="J35" s="484">
        <v>-528.50910067999985</v>
      </c>
    </row>
    <row r="36" spans="1:11">
      <c r="B36" s="384" t="s">
        <v>1005</v>
      </c>
      <c r="D36" s="345"/>
      <c r="E36" s="381"/>
      <c r="G36" s="381"/>
      <c r="H36" s="381"/>
      <c r="I36" s="381"/>
      <c r="J36" s="484">
        <v>-22.96080688939254</v>
      </c>
    </row>
    <row r="37" spans="1:11">
      <c r="B37" s="384" t="s">
        <v>1445</v>
      </c>
      <c r="D37" s="345"/>
      <c r="E37" s="381"/>
      <c r="G37" s="381"/>
      <c r="H37" s="381"/>
      <c r="I37" s="381"/>
      <c r="J37" s="484">
        <v>-103.67153180428373</v>
      </c>
    </row>
    <row r="38" spans="1:11">
      <c r="B38" s="384" t="s">
        <v>963</v>
      </c>
      <c r="D38" s="345"/>
      <c r="E38" s="381"/>
      <c r="G38" s="381"/>
      <c r="H38" s="381"/>
      <c r="I38" s="381"/>
      <c r="J38" s="484">
        <v>172.52342386295769</v>
      </c>
    </row>
    <row r="39" spans="1:11">
      <c r="A39" s="384"/>
      <c r="B39" s="384" t="s">
        <v>749</v>
      </c>
      <c r="D39" s="345"/>
      <c r="E39" s="381"/>
      <c r="G39" s="381"/>
      <c r="H39" s="381"/>
      <c r="I39" s="381"/>
      <c r="J39" s="484">
        <v>-7.7298509806356019</v>
      </c>
      <c r="K39" s="381"/>
    </row>
    <row r="40" spans="1:11">
      <c r="A40" s="384"/>
      <c r="B40" s="384" t="s">
        <v>375</v>
      </c>
      <c r="D40" s="345"/>
      <c r="E40" s="381"/>
      <c r="H40" s="381"/>
      <c r="I40" s="381"/>
      <c r="J40" s="216">
        <f>-T22</f>
        <v>0</v>
      </c>
      <c r="K40" s="381"/>
    </row>
    <row r="41" spans="1:11">
      <c r="A41" s="384"/>
      <c r="B41" s="384" t="s">
        <v>377</v>
      </c>
      <c r="J41" s="385">
        <f>R29</f>
        <v>0</v>
      </c>
    </row>
    <row r="42" spans="1:11">
      <c r="A42" s="384"/>
      <c r="B42" s="382" t="s">
        <v>495</v>
      </c>
      <c r="D42" s="345"/>
      <c r="E42" s="381"/>
      <c r="G42" s="381"/>
      <c r="H42" s="381"/>
      <c r="I42" s="381"/>
      <c r="J42" s="210">
        <f>SUM(J31:J41)</f>
        <v>14155.302548681564</v>
      </c>
      <c r="K42" s="381"/>
    </row>
    <row r="43" spans="1:11" ht="12.6" thickBot="1">
      <c r="A43" s="384"/>
      <c r="B43" s="384" t="s">
        <v>496</v>
      </c>
      <c r="D43" s="370"/>
      <c r="J43" s="216">
        <f>KPN!D10</f>
        <v>3949.5540488598131</v>
      </c>
      <c r="K43" s="381"/>
    </row>
    <row r="44" spans="1:11" ht="12.6" thickBot="1">
      <c r="A44" s="384"/>
      <c r="B44" s="382" t="s">
        <v>497</v>
      </c>
      <c r="D44" s="370"/>
      <c r="J44" s="461">
        <f>J42/J43</f>
        <v>3.5840255313806941</v>
      </c>
      <c r="K44" s="381"/>
    </row>
    <row r="45" spans="1:11">
      <c r="A45" s="384"/>
      <c r="B45" s="384" t="s">
        <v>748</v>
      </c>
      <c r="J45" s="485">
        <v>0.09</v>
      </c>
      <c r="K45" s="381"/>
    </row>
    <row r="46" spans="1:11" ht="12.6" thickBot="1">
      <c r="A46" s="384"/>
      <c r="B46" s="384" t="s">
        <v>969</v>
      </c>
      <c r="J46" s="485"/>
      <c r="K46" s="381"/>
    </row>
    <row r="47" spans="1:11" ht="12.6" thickBot="1">
      <c r="B47" s="382" t="s">
        <v>62</v>
      </c>
      <c r="D47" s="345"/>
      <c r="E47" s="381"/>
      <c r="F47" s="381"/>
      <c r="G47" s="381"/>
      <c r="H47" s="381"/>
      <c r="I47" s="381"/>
      <c r="J47" s="461">
        <f>J44+J45+J46</f>
        <v>3.674025531380694</v>
      </c>
      <c r="K47" s="381"/>
    </row>
    <row r="48" spans="1:11">
      <c r="B48" s="384" t="s">
        <v>498</v>
      </c>
      <c r="D48" s="370"/>
      <c r="J48" s="427">
        <f>Prices!C10</f>
        <v>3.444</v>
      </c>
    </row>
    <row r="49" spans="2:24">
      <c r="B49" s="382" t="s">
        <v>97</v>
      </c>
      <c r="D49" s="345"/>
      <c r="E49" s="381"/>
      <c r="H49" s="381"/>
      <c r="I49" s="381"/>
      <c r="J49" s="387">
        <f>J47/J48-1</f>
        <v>6.6790223978134167E-2</v>
      </c>
      <c r="K49" s="381"/>
    </row>
    <row r="50" spans="2:24">
      <c r="D50" s="345"/>
      <c r="E50" s="381"/>
      <c r="F50" s="381"/>
      <c r="G50" s="381"/>
      <c r="H50" s="381"/>
      <c r="I50" s="381"/>
      <c r="J50" s="381"/>
    </row>
    <row r="51" spans="2:24">
      <c r="D51" s="345"/>
      <c r="E51" s="381"/>
      <c r="F51" s="381"/>
      <c r="G51" s="381"/>
      <c r="H51" s="381"/>
      <c r="I51" s="381"/>
      <c r="J51" s="381"/>
      <c r="K51" s="381"/>
    </row>
    <row r="52" spans="2:24">
      <c r="B52" s="367" t="s">
        <v>376</v>
      </c>
      <c r="D52" s="386">
        <f>Prices!F155</f>
        <v>0.9219988936013277</v>
      </c>
      <c r="E52" s="381"/>
      <c r="F52" s="381"/>
      <c r="G52" s="381"/>
      <c r="H52" s="381"/>
      <c r="I52" s="381"/>
      <c r="J52" s="381"/>
    </row>
    <row r="55" spans="2:24">
      <c r="D55" s="345"/>
      <c r="E55" s="345"/>
      <c r="F55" s="345"/>
      <c r="G55" s="345"/>
      <c r="H55" s="345"/>
      <c r="I55" s="345"/>
      <c r="K55" s="381"/>
    </row>
    <row r="56" spans="2:24">
      <c r="D56" s="345"/>
      <c r="E56" s="345"/>
      <c r="F56" s="345"/>
      <c r="G56" s="345"/>
      <c r="H56" s="345"/>
      <c r="I56" s="345"/>
      <c r="K56" s="381"/>
    </row>
    <row r="57" spans="2:24" ht="12.6" thickBot="1">
      <c r="D57" s="345"/>
      <c r="E57" s="345"/>
      <c r="F57" s="345"/>
      <c r="G57" s="345"/>
      <c r="H57" s="345"/>
      <c r="I57" s="345"/>
      <c r="T57" s="460" t="s">
        <v>549</v>
      </c>
      <c r="U57" s="368"/>
      <c r="V57" s="368"/>
      <c r="W57" s="368"/>
      <c r="X57" s="368"/>
    </row>
    <row r="58" spans="2:24" ht="12.6" thickTop="1">
      <c r="D58" s="345"/>
      <c r="E58" s="345"/>
      <c r="F58" s="345"/>
      <c r="G58" s="345"/>
      <c r="H58" s="345"/>
      <c r="I58" s="345"/>
      <c r="T58" s="345" t="s">
        <v>692</v>
      </c>
      <c r="X58" s="387">
        <f>(J20+J18+R26)/(R29+J22)</f>
        <v>0.3400290241213178</v>
      </c>
    </row>
    <row r="59" spans="2:24">
      <c r="D59" s="345"/>
      <c r="E59" s="345"/>
      <c r="F59" s="345"/>
      <c r="G59" s="345"/>
      <c r="H59" s="345"/>
      <c r="I59" s="345"/>
      <c r="T59" s="345" t="s">
        <v>133</v>
      </c>
      <c r="X59" s="387">
        <f>J17/(R29+J22)</f>
        <v>0.66756609740510631</v>
      </c>
    </row>
    <row r="60" spans="2:24">
      <c r="D60" s="345"/>
      <c r="E60" s="345"/>
      <c r="F60" s="345"/>
      <c r="G60" s="345"/>
      <c r="H60" s="345"/>
      <c r="I60" s="345"/>
      <c r="T60" s="345" t="s">
        <v>141</v>
      </c>
      <c r="X60" s="387">
        <f>1-X59-X58</f>
        <v>-7.595121526424109E-3</v>
      </c>
    </row>
    <row r="61" spans="2:24">
      <c r="D61" s="345"/>
      <c r="E61" s="345"/>
      <c r="F61" s="345"/>
      <c r="G61" s="345"/>
      <c r="H61" s="345"/>
      <c r="I61" s="345"/>
    </row>
    <row r="62" spans="2:24">
      <c r="D62" s="345"/>
      <c r="E62" s="381"/>
      <c r="F62" s="381"/>
      <c r="G62" s="381"/>
      <c r="H62" s="381"/>
      <c r="I62" s="381"/>
    </row>
    <row r="63" spans="2:24">
      <c r="D63" s="345"/>
      <c r="E63" s="381"/>
      <c r="F63" s="381"/>
      <c r="G63" s="381"/>
      <c r="H63" s="381"/>
      <c r="I63" s="381"/>
    </row>
    <row r="64" spans="2:24">
      <c r="D64" s="370"/>
      <c r="E64" s="381"/>
      <c r="F64" s="381"/>
      <c r="G64" s="381"/>
      <c r="H64" s="381"/>
      <c r="I64" s="381"/>
    </row>
    <row r="65" spans="4:24">
      <c r="D65" s="370"/>
      <c r="E65" s="381"/>
      <c r="F65" s="381"/>
      <c r="G65" s="381"/>
      <c r="H65" s="381"/>
      <c r="I65" s="381"/>
    </row>
    <row r="66" spans="4:24">
      <c r="D66" s="370"/>
    </row>
    <row r="67" spans="4:24">
      <c r="D67" s="345"/>
      <c r="E67" s="381"/>
      <c r="F67" s="381"/>
      <c r="G67" s="381"/>
      <c r="H67" s="381"/>
      <c r="I67" s="381"/>
      <c r="Q67" s="249"/>
      <c r="R67" s="249"/>
    </row>
    <row r="68" spans="4:24">
      <c r="D68" s="370"/>
      <c r="E68" s="381"/>
      <c r="F68" s="381"/>
      <c r="G68" s="381"/>
      <c r="H68" s="381"/>
      <c r="I68" s="381"/>
      <c r="Q68" s="388"/>
      <c r="R68" s="388"/>
    </row>
    <row r="69" spans="4:24">
      <c r="D69" s="370"/>
      <c r="E69" s="381"/>
      <c r="F69" s="381"/>
      <c r="G69" s="381"/>
      <c r="H69" s="381"/>
      <c r="I69" s="381"/>
      <c r="L69" s="249"/>
      <c r="M69" s="249"/>
      <c r="N69" s="249"/>
      <c r="O69" s="249"/>
      <c r="P69" s="249"/>
    </row>
    <row r="70" spans="4:24">
      <c r="D70" s="370"/>
      <c r="N70" s="388"/>
      <c r="O70" s="388"/>
      <c r="P70" s="388"/>
    </row>
    <row r="71" spans="4:24">
      <c r="D71" s="370"/>
      <c r="Q71" s="249"/>
      <c r="R71" s="249"/>
    </row>
    <row r="72" spans="4:24">
      <c r="D72" s="370"/>
      <c r="J72" s="381"/>
      <c r="Q72" s="388"/>
      <c r="R72" s="388"/>
    </row>
    <row r="73" spans="4:24">
      <c r="D73" s="370"/>
      <c r="J73" s="381"/>
      <c r="L73" s="249"/>
      <c r="M73" s="249"/>
      <c r="N73" s="249"/>
      <c r="O73" s="249"/>
      <c r="P73" s="249"/>
    </row>
    <row r="74" spans="4:24">
      <c r="D74" s="370"/>
      <c r="N74" s="388"/>
      <c r="O74" s="388"/>
      <c r="P74" s="388"/>
      <c r="Q74" s="249"/>
      <c r="R74" s="249"/>
      <c r="S74" s="249"/>
      <c r="T74" s="249"/>
      <c r="U74" s="249"/>
      <c r="V74" s="249"/>
      <c r="W74" s="249"/>
      <c r="X74" s="249"/>
    </row>
    <row r="75" spans="4:24">
      <c r="D75" s="370"/>
      <c r="J75" s="381"/>
      <c r="Q75" s="388"/>
      <c r="R75" s="388"/>
      <c r="S75" s="388"/>
      <c r="T75" s="388"/>
      <c r="U75" s="388"/>
      <c r="V75" s="388"/>
      <c r="W75" s="388"/>
      <c r="X75" s="388"/>
    </row>
    <row r="76" spans="4:24">
      <c r="D76" s="370"/>
      <c r="J76" s="381"/>
      <c r="L76" s="249"/>
      <c r="M76" s="249"/>
      <c r="N76" s="249"/>
      <c r="O76" s="249"/>
      <c r="P76" s="249"/>
    </row>
    <row r="77" spans="4:24">
      <c r="D77" s="370"/>
      <c r="J77" s="381"/>
      <c r="K77" s="381"/>
      <c r="N77" s="388"/>
      <c r="O77" s="388"/>
      <c r="P77" s="388"/>
      <c r="Q77" s="249"/>
      <c r="R77" s="249"/>
    </row>
    <row r="78" spans="4:24">
      <c r="D78" s="370"/>
      <c r="K78" s="381"/>
      <c r="Q78" s="388"/>
      <c r="R78" s="388"/>
      <c r="S78" s="249"/>
      <c r="T78" s="249"/>
      <c r="U78" s="249"/>
      <c r="V78" s="249"/>
      <c r="W78" s="249"/>
      <c r="X78" s="249"/>
    </row>
    <row r="79" spans="4:24">
      <c r="D79" s="345"/>
      <c r="E79" s="381"/>
      <c r="F79" s="381"/>
      <c r="G79" s="381"/>
      <c r="H79" s="381"/>
      <c r="I79" s="381"/>
      <c r="L79" s="249"/>
      <c r="M79" s="249"/>
      <c r="N79" s="249"/>
      <c r="O79" s="249"/>
      <c r="P79" s="249"/>
      <c r="S79" s="388"/>
      <c r="T79" s="388"/>
      <c r="U79" s="388"/>
      <c r="V79" s="388"/>
      <c r="W79" s="388"/>
      <c r="X79" s="388"/>
    </row>
    <row r="80" spans="4:24">
      <c r="D80" s="370"/>
      <c r="J80" s="381"/>
      <c r="K80" s="381"/>
      <c r="N80" s="388"/>
      <c r="O80" s="388"/>
      <c r="P80" s="388"/>
      <c r="Q80" s="249"/>
      <c r="R80" s="249"/>
    </row>
    <row r="81" spans="4:24">
      <c r="D81" s="370"/>
      <c r="J81" s="381"/>
      <c r="K81" s="381"/>
      <c r="Q81" s="388"/>
      <c r="R81" s="388"/>
      <c r="S81" s="249"/>
      <c r="T81" s="249"/>
      <c r="U81" s="249"/>
      <c r="V81" s="249"/>
      <c r="W81" s="249"/>
      <c r="X81" s="249"/>
    </row>
    <row r="82" spans="4:24">
      <c r="D82" s="345"/>
      <c r="E82" s="381"/>
      <c r="F82" s="381"/>
      <c r="G82" s="381"/>
      <c r="H82" s="381"/>
      <c r="I82" s="381"/>
      <c r="K82" s="381"/>
      <c r="L82" s="249"/>
      <c r="M82" s="249"/>
      <c r="N82" s="249"/>
      <c r="O82" s="249"/>
      <c r="P82" s="249"/>
      <c r="Q82" s="389"/>
      <c r="R82" s="389"/>
      <c r="S82" s="388"/>
      <c r="T82" s="388"/>
      <c r="U82" s="388"/>
      <c r="V82" s="388"/>
      <c r="W82" s="388"/>
      <c r="X82" s="388"/>
    </row>
    <row r="83" spans="4:24">
      <c r="D83" s="370"/>
      <c r="N83" s="388"/>
      <c r="O83" s="388"/>
      <c r="P83" s="388"/>
      <c r="Q83" s="388"/>
      <c r="R83" s="388"/>
    </row>
    <row r="84" spans="4:24">
      <c r="D84" s="345"/>
      <c r="E84" s="381"/>
      <c r="F84" s="381"/>
      <c r="G84" s="381"/>
      <c r="H84" s="381"/>
      <c r="I84" s="381"/>
      <c r="L84" s="389"/>
      <c r="M84" s="389"/>
      <c r="N84" s="389"/>
      <c r="O84" s="389"/>
      <c r="P84" s="389"/>
      <c r="S84" s="249"/>
      <c r="T84" s="249"/>
      <c r="U84" s="249"/>
      <c r="V84" s="249"/>
      <c r="W84" s="249"/>
      <c r="X84" s="249"/>
    </row>
    <row r="85" spans="4:24">
      <c r="D85" s="370"/>
      <c r="E85" s="381"/>
      <c r="F85" s="381"/>
      <c r="G85" s="381"/>
      <c r="H85" s="381"/>
      <c r="I85" s="381"/>
      <c r="K85" s="381"/>
      <c r="N85" s="388"/>
      <c r="O85" s="388"/>
      <c r="P85" s="388"/>
      <c r="Q85" s="249"/>
      <c r="R85" s="249"/>
      <c r="S85" s="388"/>
      <c r="T85" s="388"/>
      <c r="U85" s="388"/>
      <c r="V85" s="388"/>
      <c r="W85" s="388"/>
      <c r="X85" s="388"/>
    </row>
    <row r="86" spans="4:24">
      <c r="D86" s="370"/>
      <c r="K86" s="381"/>
      <c r="Q86" s="390"/>
      <c r="R86" s="390"/>
    </row>
    <row r="87" spans="4:24">
      <c r="D87" s="370"/>
      <c r="L87" s="249"/>
      <c r="M87" s="249"/>
      <c r="N87" s="249"/>
      <c r="O87" s="249"/>
      <c r="P87" s="249"/>
      <c r="Q87" s="249"/>
      <c r="R87" s="249"/>
      <c r="S87" s="249"/>
      <c r="T87" s="249"/>
      <c r="U87" s="249"/>
      <c r="V87" s="249"/>
      <c r="W87" s="249"/>
      <c r="X87" s="249"/>
    </row>
    <row r="88" spans="4:24">
      <c r="D88" s="345"/>
      <c r="E88" s="381"/>
      <c r="F88" s="381"/>
      <c r="G88" s="381"/>
      <c r="H88" s="381"/>
      <c r="I88" s="381"/>
      <c r="N88" s="388"/>
      <c r="O88" s="388"/>
      <c r="P88" s="390"/>
      <c r="Q88" s="388"/>
      <c r="R88" s="388"/>
      <c r="S88" s="388"/>
      <c r="T88" s="388"/>
      <c r="U88" s="388"/>
      <c r="V88" s="388"/>
      <c r="W88" s="388"/>
      <c r="X88" s="388"/>
    </row>
    <row r="89" spans="4:24">
      <c r="D89" s="370"/>
      <c r="E89" s="381"/>
      <c r="F89" s="381"/>
      <c r="G89" s="381"/>
      <c r="H89" s="381"/>
      <c r="I89" s="381"/>
      <c r="L89" s="249"/>
      <c r="M89" s="249"/>
      <c r="N89" s="249"/>
      <c r="O89" s="249"/>
      <c r="P89" s="249"/>
      <c r="Q89" s="248"/>
      <c r="R89" s="248"/>
      <c r="S89" s="389"/>
      <c r="T89" s="389"/>
      <c r="U89" s="389"/>
      <c r="V89" s="389"/>
      <c r="W89" s="389"/>
      <c r="X89" s="389"/>
    </row>
    <row r="90" spans="4:24">
      <c r="D90" s="370"/>
      <c r="N90" s="388"/>
      <c r="O90" s="388"/>
      <c r="P90" s="388"/>
      <c r="S90" s="388"/>
      <c r="T90" s="388"/>
      <c r="U90" s="388"/>
      <c r="V90" s="388"/>
      <c r="W90" s="388"/>
      <c r="X90" s="388"/>
    </row>
    <row r="91" spans="4:24">
      <c r="D91" s="345"/>
      <c r="E91" s="381"/>
      <c r="F91" s="381"/>
      <c r="G91" s="381"/>
      <c r="H91" s="381"/>
      <c r="I91" s="381"/>
      <c r="L91" s="248"/>
      <c r="M91" s="248"/>
      <c r="N91" s="248"/>
      <c r="O91" s="248"/>
      <c r="P91" s="248"/>
      <c r="Q91" s="247"/>
      <c r="R91" s="247"/>
    </row>
    <row r="92" spans="4:24">
      <c r="D92" s="370"/>
      <c r="J92" s="381"/>
      <c r="Q92" s="388"/>
      <c r="R92" s="388"/>
      <c r="S92" s="249"/>
      <c r="T92" s="249"/>
      <c r="U92" s="249"/>
      <c r="V92" s="249"/>
      <c r="W92" s="249"/>
      <c r="X92" s="249"/>
    </row>
    <row r="93" spans="4:24">
      <c r="D93" s="370"/>
      <c r="J93" s="381"/>
      <c r="L93" s="247"/>
      <c r="M93" s="247"/>
      <c r="N93" s="247"/>
      <c r="O93" s="247"/>
      <c r="P93" s="247"/>
      <c r="S93" s="390"/>
      <c r="T93" s="390"/>
      <c r="U93" s="390"/>
      <c r="V93" s="390"/>
      <c r="W93" s="390"/>
      <c r="X93" s="390"/>
    </row>
    <row r="94" spans="4:24">
      <c r="D94" s="345"/>
      <c r="E94" s="381"/>
      <c r="F94" s="381"/>
      <c r="G94" s="381"/>
      <c r="H94" s="381"/>
      <c r="I94" s="381"/>
      <c r="N94" s="388"/>
      <c r="O94" s="388"/>
      <c r="P94" s="388"/>
      <c r="Q94" s="389"/>
      <c r="R94" s="389"/>
      <c r="S94" s="249"/>
      <c r="T94" s="249"/>
      <c r="U94" s="249"/>
      <c r="V94" s="249"/>
      <c r="W94" s="249"/>
      <c r="X94" s="249"/>
    </row>
    <row r="95" spans="4:24">
      <c r="D95" s="370"/>
      <c r="Q95" s="388"/>
      <c r="R95" s="388"/>
      <c r="S95" s="388"/>
      <c r="T95" s="388"/>
      <c r="U95" s="388"/>
      <c r="V95" s="388"/>
      <c r="W95" s="388"/>
      <c r="X95" s="388"/>
    </row>
    <row r="96" spans="4:24">
      <c r="D96" s="370"/>
      <c r="J96" s="381"/>
      <c r="L96" s="389"/>
      <c r="M96" s="389"/>
      <c r="N96" s="389"/>
      <c r="O96" s="389"/>
      <c r="P96" s="389"/>
      <c r="S96" s="248"/>
      <c r="T96" s="248"/>
      <c r="U96" s="248"/>
      <c r="V96" s="248"/>
      <c r="W96" s="248"/>
      <c r="X96" s="248"/>
    </row>
    <row r="97" spans="4:24">
      <c r="D97" s="370"/>
      <c r="J97" s="381"/>
      <c r="K97" s="381"/>
      <c r="N97" s="388"/>
      <c r="O97" s="388"/>
      <c r="P97" s="388"/>
      <c r="Q97" s="391"/>
      <c r="R97" s="391"/>
    </row>
    <row r="98" spans="4:24">
      <c r="D98" s="345"/>
      <c r="E98" s="381"/>
      <c r="F98" s="381"/>
      <c r="G98" s="381"/>
      <c r="H98" s="381"/>
      <c r="I98" s="381"/>
      <c r="K98" s="381"/>
      <c r="Q98" s="388"/>
      <c r="R98" s="388"/>
      <c r="S98" s="247"/>
      <c r="T98" s="247"/>
      <c r="U98" s="247"/>
      <c r="V98" s="247"/>
      <c r="W98" s="247"/>
      <c r="X98" s="247"/>
    </row>
    <row r="99" spans="4:24">
      <c r="D99" s="370"/>
      <c r="L99" s="391"/>
      <c r="M99" s="391"/>
      <c r="N99" s="391"/>
      <c r="O99" s="391"/>
      <c r="P99" s="391"/>
      <c r="Q99" s="248"/>
      <c r="R99" s="248"/>
      <c r="S99" s="388"/>
      <c r="T99" s="388"/>
      <c r="U99" s="388"/>
      <c r="V99" s="388"/>
      <c r="W99" s="388"/>
      <c r="X99" s="388"/>
    </row>
    <row r="100" spans="4:24">
      <c r="D100" s="370"/>
      <c r="E100" s="345"/>
      <c r="F100" s="345"/>
      <c r="G100" s="345"/>
      <c r="H100" s="345"/>
      <c r="I100" s="345"/>
      <c r="J100" s="381"/>
      <c r="N100" s="388"/>
      <c r="O100" s="388"/>
      <c r="P100" s="388"/>
    </row>
    <row r="101" spans="4:24">
      <c r="D101" s="370"/>
      <c r="E101" s="345"/>
      <c r="F101" s="345"/>
      <c r="G101" s="345"/>
      <c r="H101" s="345"/>
      <c r="I101" s="345"/>
      <c r="K101" s="381"/>
      <c r="N101" s="248"/>
      <c r="O101" s="248"/>
      <c r="P101" s="248"/>
      <c r="Q101" s="247"/>
      <c r="R101" s="247"/>
      <c r="S101" s="389"/>
      <c r="T101" s="389"/>
      <c r="U101" s="389"/>
      <c r="V101" s="389"/>
      <c r="W101" s="389"/>
      <c r="X101" s="389"/>
    </row>
    <row r="102" spans="4:24">
      <c r="D102" s="370"/>
      <c r="K102" s="381"/>
      <c r="Q102" s="388"/>
      <c r="R102" s="388"/>
      <c r="S102" s="388"/>
      <c r="T102" s="388"/>
      <c r="U102" s="388"/>
      <c r="V102" s="388"/>
      <c r="W102" s="388"/>
      <c r="X102" s="388"/>
    </row>
    <row r="103" spans="4:24">
      <c r="D103" s="370"/>
      <c r="L103" s="247"/>
      <c r="M103" s="247"/>
      <c r="N103" s="247"/>
      <c r="O103" s="247"/>
      <c r="P103" s="247"/>
      <c r="Q103" s="274"/>
      <c r="R103" s="274"/>
    </row>
    <row r="104" spans="4:24">
      <c r="D104" s="370"/>
      <c r="N104" s="388"/>
      <c r="O104" s="388"/>
      <c r="P104" s="388"/>
      <c r="S104" s="391"/>
      <c r="T104" s="391"/>
      <c r="U104" s="391"/>
      <c r="V104" s="391"/>
      <c r="W104" s="391"/>
      <c r="X104" s="391"/>
    </row>
    <row r="105" spans="4:24">
      <c r="D105" s="345"/>
      <c r="E105" s="381"/>
      <c r="F105" s="381"/>
      <c r="G105" s="381"/>
      <c r="H105" s="381"/>
      <c r="I105" s="381"/>
      <c r="K105" s="381"/>
      <c r="L105" s="274"/>
      <c r="M105" s="274"/>
      <c r="N105" s="274"/>
      <c r="O105" s="274"/>
      <c r="P105" s="274"/>
      <c r="Q105" s="389"/>
      <c r="R105" s="389"/>
      <c r="S105" s="388"/>
      <c r="T105" s="388"/>
      <c r="U105" s="388"/>
      <c r="V105" s="388"/>
      <c r="W105" s="388"/>
      <c r="X105" s="388"/>
    </row>
    <row r="106" spans="4:24">
      <c r="D106" s="345"/>
      <c r="E106" s="381"/>
      <c r="F106" s="381"/>
      <c r="G106" s="381"/>
      <c r="H106" s="381"/>
      <c r="I106" s="381"/>
      <c r="Q106" s="388"/>
      <c r="R106" s="388"/>
      <c r="S106" s="248"/>
      <c r="T106" s="248"/>
      <c r="U106" s="248"/>
      <c r="V106" s="248"/>
      <c r="W106" s="248"/>
      <c r="X106" s="248"/>
    </row>
    <row r="107" spans="4:24">
      <c r="D107" s="370"/>
      <c r="E107" s="381"/>
      <c r="F107" s="381"/>
      <c r="G107" s="381"/>
      <c r="H107" s="381"/>
      <c r="I107" s="381"/>
      <c r="L107" s="389"/>
      <c r="M107" s="389"/>
      <c r="N107" s="389"/>
      <c r="O107" s="389"/>
      <c r="P107" s="389"/>
    </row>
    <row r="108" spans="4:24">
      <c r="D108" s="370"/>
      <c r="E108" s="381"/>
      <c r="F108" s="381"/>
      <c r="G108" s="381"/>
      <c r="H108" s="381"/>
      <c r="I108" s="381"/>
      <c r="N108" s="388"/>
      <c r="O108" s="388"/>
      <c r="P108" s="388"/>
      <c r="S108" s="247"/>
      <c r="T108" s="247"/>
      <c r="U108" s="247"/>
      <c r="V108" s="247"/>
      <c r="W108" s="247"/>
      <c r="X108" s="247"/>
    </row>
    <row r="109" spans="4:24">
      <c r="D109" s="370"/>
      <c r="Q109" s="249"/>
      <c r="R109" s="249"/>
      <c r="S109" s="388"/>
      <c r="T109" s="388"/>
      <c r="U109" s="388"/>
      <c r="V109" s="388"/>
      <c r="W109" s="388"/>
      <c r="X109" s="388"/>
    </row>
    <row r="110" spans="4:24">
      <c r="D110" s="345"/>
      <c r="E110" s="381"/>
      <c r="F110" s="381"/>
      <c r="G110" s="381"/>
      <c r="H110" s="381"/>
      <c r="I110" s="381"/>
      <c r="Q110" s="388"/>
      <c r="R110" s="388"/>
      <c r="S110" s="274"/>
      <c r="T110" s="274"/>
      <c r="U110" s="274"/>
      <c r="V110" s="274"/>
      <c r="W110" s="274"/>
      <c r="X110" s="274"/>
    </row>
    <row r="111" spans="4:24">
      <c r="D111" s="370"/>
      <c r="E111" s="381"/>
      <c r="F111" s="381"/>
      <c r="G111" s="381"/>
      <c r="H111" s="381"/>
      <c r="I111" s="381"/>
      <c r="L111" s="249"/>
      <c r="M111" s="249"/>
      <c r="N111" s="249"/>
      <c r="O111" s="249"/>
      <c r="P111" s="249"/>
    </row>
    <row r="112" spans="4:24">
      <c r="D112" s="370"/>
      <c r="E112" s="381"/>
      <c r="F112" s="381"/>
      <c r="G112" s="381"/>
      <c r="H112" s="381"/>
      <c r="I112" s="381"/>
      <c r="N112" s="388"/>
      <c r="O112" s="388"/>
      <c r="P112" s="388"/>
      <c r="Q112" s="249"/>
      <c r="R112" s="249"/>
      <c r="S112" s="389"/>
      <c r="T112" s="389"/>
      <c r="U112" s="389"/>
      <c r="V112" s="389"/>
      <c r="W112" s="389"/>
      <c r="X112" s="389"/>
    </row>
    <row r="113" spans="4:24">
      <c r="D113" s="370"/>
      <c r="Q113" s="390"/>
      <c r="R113" s="390"/>
      <c r="S113" s="388"/>
      <c r="T113" s="388"/>
      <c r="U113" s="388"/>
      <c r="V113" s="388"/>
      <c r="W113" s="388"/>
      <c r="X113" s="388"/>
    </row>
    <row r="114" spans="4:24">
      <c r="D114" s="370"/>
      <c r="L114" s="249"/>
      <c r="M114" s="249"/>
      <c r="N114" s="249"/>
      <c r="O114" s="249"/>
      <c r="P114" s="249"/>
    </row>
    <row r="115" spans="4:24">
      <c r="D115" s="370"/>
      <c r="J115" s="381"/>
      <c r="N115" s="388"/>
      <c r="O115" s="388"/>
      <c r="P115" s="390"/>
      <c r="Q115" s="389"/>
      <c r="R115" s="389"/>
    </row>
    <row r="116" spans="4:24">
      <c r="D116" s="370"/>
      <c r="J116" s="381"/>
      <c r="Q116" s="392"/>
      <c r="R116" s="392"/>
      <c r="S116" s="249"/>
      <c r="T116" s="249"/>
      <c r="U116" s="249"/>
      <c r="V116" s="249"/>
      <c r="W116" s="249"/>
      <c r="X116" s="249"/>
    </row>
    <row r="117" spans="4:24">
      <c r="D117" s="370"/>
      <c r="L117" s="389"/>
      <c r="M117" s="389"/>
      <c r="N117" s="389"/>
      <c r="O117" s="389"/>
      <c r="P117" s="389"/>
      <c r="Q117" s="392"/>
      <c r="R117" s="392"/>
      <c r="S117" s="388"/>
      <c r="T117" s="388"/>
      <c r="U117" s="388"/>
      <c r="V117" s="388"/>
      <c r="W117" s="388"/>
      <c r="X117" s="388"/>
    </row>
    <row r="118" spans="4:24">
      <c r="D118" s="370"/>
      <c r="J118" s="381"/>
      <c r="N118" s="392"/>
      <c r="O118" s="392"/>
      <c r="P118" s="392"/>
    </row>
    <row r="119" spans="4:24">
      <c r="D119" s="370"/>
      <c r="J119" s="381"/>
      <c r="L119" s="392"/>
      <c r="M119" s="392"/>
      <c r="N119" s="392"/>
      <c r="O119" s="392"/>
      <c r="P119" s="392"/>
      <c r="Q119" s="388"/>
      <c r="R119" s="388"/>
      <c r="S119" s="249"/>
      <c r="T119" s="249"/>
      <c r="U119" s="249"/>
      <c r="V119" s="249"/>
      <c r="W119" s="249"/>
      <c r="X119" s="249"/>
    </row>
    <row r="120" spans="4:24">
      <c r="D120" s="370"/>
      <c r="J120" s="381"/>
      <c r="K120" s="381"/>
      <c r="Q120" s="389"/>
      <c r="R120" s="389"/>
      <c r="S120" s="390"/>
      <c r="T120" s="390"/>
      <c r="U120" s="390"/>
      <c r="V120" s="390"/>
      <c r="W120" s="390"/>
      <c r="X120" s="390"/>
    </row>
    <row r="121" spans="4:24">
      <c r="D121" s="370"/>
      <c r="K121" s="381"/>
      <c r="L121" s="388"/>
      <c r="M121" s="388"/>
      <c r="N121" s="388"/>
      <c r="O121" s="388"/>
      <c r="P121" s="388"/>
      <c r="R121" s="392"/>
    </row>
    <row r="122" spans="4:24">
      <c r="D122" s="345"/>
      <c r="E122" s="381"/>
      <c r="F122" s="381"/>
      <c r="G122" s="381"/>
      <c r="H122" s="381"/>
      <c r="I122" s="381"/>
      <c r="L122" s="389"/>
      <c r="M122" s="389"/>
      <c r="N122" s="389"/>
      <c r="O122" s="389"/>
      <c r="P122" s="389"/>
      <c r="S122" s="389"/>
      <c r="T122" s="389"/>
      <c r="U122" s="389"/>
      <c r="V122" s="389"/>
      <c r="W122" s="389"/>
      <c r="X122" s="389"/>
    </row>
    <row r="123" spans="4:24">
      <c r="D123" s="370"/>
      <c r="J123" s="381"/>
      <c r="K123" s="381"/>
      <c r="Q123" s="389"/>
      <c r="R123" s="389"/>
      <c r="S123" s="392"/>
      <c r="T123" s="392"/>
      <c r="U123" s="392"/>
      <c r="V123" s="392"/>
      <c r="W123" s="392"/>
      <c r="X123" s="392"/>
    </row>
    <row r="124" spans="4:24">
      <c r="D124" s="370"/>
      <c r="J124" s="381"/>
      <c r="K124" s="381"/>
      <c r="Q124" s="392"/>
      <c r="R124" s="392"/>
      <c r="S124" s="392"/>
      <c r="T124" s="392"/>
      <c r="U124" s="392"/>
      <c r="V124" s="392"/>
      <c r="W124" s="392"/>
      <c r="X124" s="392"/>
    </row>
    <row r="125" spans="4:24">
      <c r="D125" s="345"/>
      <c r="E125" s="381"/>
      <c r="F125" s="381"/>
      <c r="G125" s="381"/>
      <c r="H125" s="381"/>
      <c r="I125" s="381"/>
      <c r="K125" s="381"/>
      <c r="L125" s="389"/>
      <c r="M125" s="389"/>
      <c r="N125" s="389"/>
      <c r="O125" s="389"/>
      <c r="P125" s="389"/>
    </row>
    <row r="126" spans="4:24">
      <c r="D126" s="370"/>
      <c r="N126" s="392"/>
      <c r="O126" s="392"/>
      <c r="P126" s="392"/>
      <c r="S126" s="388"/>
      <c r="T126" s="388"/>
      <c r="U126" s="388"/>
      <c r="V126" s="388"/>
      <c r="W126" s="388"/>
      <c r="X126" s="388"/>
    </row>
    <row r="127" spans="4:24">
      <c r="D127" s="345"/>
      <c r="E127" s="381"/>
      <c r="F127" s="381"/>
      <c r="G127" s="381"/>
      <c r="H127" s="381"/>
      <c r="I127" s="381"/>
      <c r="S127" s="389"/>
      <c r="T127" s="389"/>
      <c r="U127" s="389"/>
      <c r="V127" s="389"/>
      <c r="W127" s="389"/>
      <c r="X127" s="389"/>
    </row>
    <row r="128" spans="4:24">
      <c r="D128" s="370"/>
      <c r="E128" s="381"/>
      <c r="F128" s="381"/>
      <c r="G128" s="381"/>
      <c r="H128" s="381"/>
      <c r="I128" s="381"/>
      <c r="K128" s="381"/>
      <c r="S128" s="392"/>
      <c r="T128" s="392"/>
      <c r="U128" s="392"/>
      <c r="V128" s="392"/>
      <c r="W128" s="392"/>
      <c r="X128" s="392"/>
    </row>
    <row r="129" spans="4:24">
      <c r="D129" s="370"/>
      <c r="K129" s="381"/>
    </row>
    <row r="130" spans="4:24">
      <c r="D130" s="370"/>
      <c r="S130" s="389"/>
      <c r="T130" s="389"/>
      <c r="U130" s="389"/>
      <c r="V130" s="389"/>
      <c r="W130" s="389"/>
      <c r="X130" s="389"/>
    </row>
    <row r="131" spans="4:24">
      <c r="D131" s="345"/>
      <c r="E131" s="381"/>
      <c r="F131" s="381"/>
      <c r="G131" s="381"/>
      <c r="H131" s="381"/>
      <c r="I131" s="381"/>
      <c r="S131" s="392"/>
      <c r="T131" s="392"/>
      <c r="U131" s="392"/>
      <c r="V131" s="392"/>
      <c r="W131" s="392"/>
      <c r="X131" s="392"/>
    </row>
    <row r="132" spans="4:24">
      <c r="D132" s="370"/>
      <c r="E132" s="381"/>
      <c r="F132" s="381"/>
      <c r="G132" s="381"/>
      <c r="H132" s="381"/>
      <c r="I132" s="381"/>
    </row>
    <row r="133" spans="4:24">
      <c r="D133" s="370"/>
    </row>
    <row r="134" spans="4:24">
      <c r="D134" s="345"/>
      <c r="E134" s="381"/>
      <c r="F134" s="381"/>
      <c r="G134" s="381"/>
      <c r="H134" s="381"/>
      <c r="I134" s="381"/>
    </row>
    <row r="135" spans="4:24">
      <c r="D135" s="370"/>
      <c r="J135" s="381"/>
    </row>
    <row r="136" spans="4:24">
      <c r="D136" s="370"/>
      <c r="J136" s="381"/>
    </row>
    <row r="137" spans="4:24">
      <c r="D137" s="345"/>
      <c r="E137" s="381"/>
      <c r="F137" s="381"/>
      <c r="G137" s="381"/>
      <c r="H137" s="381"/>
      <c r="I137" s="381"/>
    </row>
    <row r="138" spans="4:24">
      <c r="D138" s="370"/>
    </row>
    <row r="139" spans="4:24">
      <c r="D139" s="370"/>
      <c r="J139" s="381"/>
    </row>
    <row r="140" spans="4:24">
      <c r="D140" s="370"/>
      <c r="J140" s="381"/>
      <c r="K140" s="381"/>
    </row>
    <row r="141" spans="4:24">
      <c r="D141" s="345"/>
      <c r="E141" s="381"/>
      <c r="F141" s="381"/>
      <c r="G141" s="381"/>
      <c r="H141" s="381"/>
      <c r="I141" s="381"/>
      <c r="K141" s="381"/>
    </row>
    <row r="142" spans="4:24">
      <c r="D142" s="370"/>
    </row>
    <row r="143" spans="4:24">
      <c r="D143" s="370"/>
      <c r="E143" s="345"/>
      <c r="F143" s="345"/>
      <c r="G143" s="345"/>
      <c r="H143" s="345"/>
      <c r="I143" s="345"/>
      <c r="J143" s="381"/>
    </row>
    <row r="144" spans="4:24">
      <c r="D144" s="370"/>
      <c r="E144" s="345"/>
      <c r="F144" s="345"/>
      <c r="G144" s="345"/>
      <c r="H144" s="345"/>
      <c r="I144" s="345"/>
      <c r="K144" s="381"/>
    </row>
    <row r="145" spans="4:11">
      <c r="D145" s="370"/>
      <c r="K145" s="381"/>
    </row>
    <row r="146" spans="4:11">
      <c r="D146" s="370"/>
    </row>
    <row r="148" spans="4:11">
      <c r="D148" s="345"/>
      <c r="E148" s="381"/>
      <c r="F148" s="381"/>
      <c r="G148" s="381"/>
      <c r="H148" s="381"/>
      <c r="I148" s="381"/>
      <c r="K148" s="381"/>
    </row>
    <row r="149" spans="4:11">
      <c r="D149" s="345"/>
      <c r="E149" s="381"/>
      <c r="F149" s="381"/>
      <c r="G149" s="381"/>
      <c r="H149" s="381"/>
      <c r="I149" s="381"/>
    </row>
    <row r="150" spans="4:11">
      <c r="D150" s="370"/>
      <c r="E150" s="381"/>
      <c r="F150" s="381"/>
      <c r="G150" s="381"/>
      <c r="H150" s="381"/>
      <c r="I150" s="381"/>
    </row>
    <row r="151" spans="4:11">
      <c r="D151" s="370"/>
      <c r="E151" s="381"/>
      <c r="F151" s="381"/>
      <c r="G151" s="381"/>
      <c r="H151" s="381"/>
      <c r="I151" s="381"/>
    </row>
    <row r="152" spans="4:11">
      <c r="D152" s="370"/>
    </row>
    <row r="153" spans="4:11">
      <c r="D153" s="345"/>
      <c r="E153" s="381"/>
      <c r="F153" s="381"/>
      <c r="G153" s="381"/>
      <c r="H153" s="381"/>
      <c r="I153" s="381"/>
    </row>
    <row r="154" spans="4:11">
      <c r="D154" s="370"/>
      <c r="E154" s="381"/>
      <c r="F154" s="381"/>
      <c r="G154" s="381"/>
      <c r="H154" s="381"/>
      <c r="I154" s="381"/>
    </row>
    <row r="155" spans="4:11">
      <c r="D155" s="370"/>
      <c r="E155" s="381"/>
      <c r="F155" s="381"/>
      <c r="G155" s="381"/>
      <c r="H155" s="381"/>
      <c r="I155" s="381"/>
    </row>
    <row r="156" spans="4:11">
      <c r="D156" s="370"/>
    </row>
    <row r="157" spans="4:11">
      <c r="D157" s="370"/>
    </row>
    <row r="158" spans="4:11">
      <c r="D158" s="370"/>
      <c r="J158" s="381"/>
    </row>
    <row r="159" spans="4:11">
      <c r="D159" s="370"/>
      <c r="J159" s="381"/>
    </row>
    <row r="160" spans="4:11">
      <c r="D160" s="370"/>
    </row>
    <row r="161" spans="4:11">
      <c r="D161" s="370"/>
      <c r="J161" s="381"/>
    </row>
    <row r="162" spans="4:11">
      <c r="D162" s="370"/>
      <c r="J162" s="381"/>
    </row>
    <row r="163" spans="4:11">
      <c r="D163" s="370"/>
      <c r="J163" s="381"/>
      <c r="K163" s="381"/>
    </row>
    <row r="164" spans="4:11">
      <c r="D164" s="370"/>
      <c r="K164" s="381"/>
    </row>
    <row r="165" spans="4:11">
      <c r="D165" s="345"/>
      <c r="E165" s="381"/>
      <c r="F165" s="381"/>
      <c r="G165" s="381"/>
      <c r="H165" s="381"/>
      <c r="I165" s="381"/>
    </row>
    <row r="166" spans="4:11">
      <c r="D166" s="370"/>
      <c r="J166" s="381"/>
      <c r="K166" s="381"/>
    </row>
    <row r="167" spans="4:11">
      <c r="D167" s="370"/>
      <c r="J167" s="381"/>
      <c r="K167" s="381"/>
    </row>
    <row r="168" spans="4:11">
      <c r="D168" s="345"/>
      <c r="E168" s="381"/>
      <c r="F168" s="381"/>
      <c r="G168" s="381"/>
      <c r="H168" s="381"/>
      <c r="I168" s="381"/>
      <c r="K168" s="381"/>
    </row>
    <row r="169" spans="4:11">
      <c r="D169" s="370"/>
    </row>
    <row r="170" spans="4:11">
      <c r="D170" s="345"/>
      <c r="E170" s="381"/>
      <c r="F170" s="381"/>
      <c r="G170" s="381"/>
      <c r="H170" s="381"/>
      <c r="I170" s="381"/>
    </row>
    <row r="171" spans="4:11">
      <c r="D171" s="370"/>
      <c r="E171" s="381"/>
      <c r="F171" s="381"/>
      <c r="G171" s="381"/>
      <c r="H171" s="381"/>
      <c r="I171" s="381"/>
      <c r="K171" s="381"/>
    </row>
    <row r="172" spans="4:11">
      <c r="D172" s="370"/>
      <c r="K172" s="381"/>
    </row>
    <row r="173" spans="4:11">
      <c r="D173" s="370"/>
    </row>
    <row r="174" spans="4:11">
      <c r="D174" s="345"/>
      <c r="E174" s="381"/>
      <c r="F174" s="381"/>
      <c r="G174" s="381"/>
      <c r="H174" s="381"/>
      <c r="I174" s="381"/>
    </row>
    <row r="175" spans="4:11">
      <c r="D175" s="370"/>
      <c r="E175" s="381"/>
      <c r="F175" s="381"/>
      <c r="G175" s="381"/>
      <c r="H175" s="381"/>
      <c r="I175" s="381"/>
    </row>
    <row r="176" spans="4:11">
      <c r="D176" s="370"/>
    </row>
    <row r="177" spans="4:11">
      <c r="D177" s="345"/>
      <c r="E177" s="381"/>
      <c r="F177" s="381"/>
      <c r="G177" s="381"/>
      <c r="H177" s="381"/>
      <c r="I177" s="381"/>
    </row>
    <row r="178" spans="4:11">
      <c r="D178" s="370"/>
      <c r="J178" s="381"/>
    </row>
    <row r="179" spans="4:11">
      <c r="D179" s="370"/>
      <c r="J179" s="381"/>
    </row>
    <row r="180" spans="4:11">
      <c r="D180" s="345"/>
      <c r="E180" s="381"/>
      <c r="F180" s="381"/>
      <c r="G180" s="381"/>
      <c r="H180" s="381"/>
      <c r="I180" s="381"/>
    </row>
    <row r="181" spans="4:11">
      <c r="D181" s="370"/>
    </row>
    <row r="182" spans="4:11">
      <c r="D182" s="370"/>
      <c r="J182" s="381"/>
    </row>
    <row r="183" spans="4:11">
      <c r="D183" s="370"/>
      <c r="J183" s="381"/>
      <c r="K183" s="381"/>
    </row>
    <row r="184" spans="4:11">
      <c r="D184" s="345"/>
      <c r="E184" s="381"/>
      <c r="F184" s="381"/>
      <c r="G184" s="381"/>
      <c r="H184" s="381"/>
      <c r="I184" s="381"/>
      <c r="K184" s="381"/>
    </row>
    <row r="185" spans="4:11">
      <c r="D185" s="370"/>
    </row>
    <row r="186" spans="4:11">
      <c r="D186" s="370"/>
      <c r="E186" s="345"/>
      <c r="F186" s="345"/>
      <c r="G186" s="345"/>
      <c r="H186" s="345"/>
      <c r="I186" s="345"/>
      <c r="J186" s="381"/>
    </row>
    <row r="187" spans="4:11">
      <c r="D187" s="370"/>
      <c r="E187" s="345"/>
      <c r="F187" s="345"/>
      <c r="G187" s="345"/>
      <c r="H187" s="345"/>
      <c r="I187" s="345"/>
      <c r="K187" s="381"/>
    </row>
    <row r="188" spans="4:11">
      <c r="D188" s="370"/>
      <c r="K188" s="381"/>
    </row>
    <row r="189" spans="4:11">
      <c r="D189" s="370"/>
    </row>
    <row r="190" spans="4:11">
      <c r="D190" s="370"/>
    </row>
    <row r="191" spans="4:11">
      <c r="D191" s="345"/>
      <c r="E191" s="381"/>
      <c r="F191" s="381"/>
      <c r="G191" s="381"/>
      <c r="H191" s="381"/>
      <c r="I191" s="381"/>
      <c r="K191" s="381"/>
    </row>
    <row r="192" spans="4:11">
      <c r="D192" s="345"/>
      <c r="E192" s="381"/>
      <c r="F192" s="381"/>
      <c r="G192" s="381"/>
      <c r="H192" s="381"/>
      <c r="I192" s="381"/>
    </row>
    <row r="193" spans="4:11">
      <c r="D193" s="370"/>
      <c r="E193" s="381"/>
      <c r="F193" s="381"/>
      <c r="G193" s="381"/>
      <c r="H193" s="381"/>
      <c r="I193" s="381"/>
    </row>
    <row r="194" spans="4:11">
      <c r="D194" s="370"/>
      <c r="E194" s="381"/>
      <c r="F194" s="381"/>
      <c r="G194" s="381"/>
      <c r="H194" s="381"/>
      <c r="I194" s="381"/>
    </row>
    <row r="195" spans="4:11">
      <c r="D195" s="370"/>
    </row>
    <row r="196" spans="4:11">
      <c r="D196" s="345"/>
      <c r="E196" s="381"/>
      <c r="F196" s="381"/>
      <c r="G196" s="381"/>
      <c r="H196" s="381"/>
      <c r="I196" s="381"/>
    </row>
    <row r="197" spans="4:11">
      <c r="D197" s="370"/>
      <c r="E197" s="381"/>
      <c r="F197" s="381"/>
      <c r="G197" s="381"/>
      <c r="H197" s="381"/>
      <c r="I197" s="381"/>
    </row>
    <row r="198" spans="4:11">
      <c r="D198" s="370"/>
      <c r="E198" s="381"/>
      <c r="F198" s="381"/>
      <c r="G198" s="381"/>
      <c r="H198" s="381"/>
      <c r="I198" s="381"/>
    </row>
    <row r="199" spans="4:11">
      <c r="D199" s="370"/>
    </row>
    <row r="200" spans="4:11">
      <c r="D200" s="370"/>
    </row>
    <row r="201" spans="4:11">
      <c r="D201" s="370"/>
      <c r="J201" s="381"/>
    </row>
    <row r="202" spans="4:11">
      <c r="D202" s="370"/>
      <c r="J202" s="381"/>
    </row>
    <row r="203" spans="4:11">
      <c r="D203" s="370"/>
    </row>
    <row r="204" spans="4:11">
      <c r="D204" s="370"/>
      <c r="J204" s="381"/>
    </row>
    <row r="205" spans="4:11">
      <c r="D205" s="370"/>
      <c r="J205" s="381"/>
    </row>
    <row r="206" spans="4:11">
      <c r="D206" s="370"/>
      <c r="J206" s="381"/>
      <c r="K206" s="381"/>
    </row>
    <row r="207" spans="4:11">
      <c r="D207" s="370"/>
      <c r="K207" s="381"/>
    </row>
    <row r="208" spans="4:11">
      <c r="D208" s="345"/>
      <c r="E208" s="381"/>
      <c r="F208" s="381"/>
      <c r="G208" s="381"/>
      <c r="H208" s="381"/>
      <c r="I208" s="381"/>
    </row>
    <row r="209" spans="4:11">
      <c r="D209" s="370"/>
      <c r="J209" s="381"/>
      <c r="K209" s="381"/>
    </row>
    <row r="210" spans="4:11">
      <c r="D210" s="370"/>
      <c r="J210" s="381"/>
      <c r="K210" s="381"/>
    </row>
    <row r="211" spans="4:11">
      <c r="D211" s="345"/>
      <c r="E211" s="381"/>
      <c r="F211" s="381"/>
      <c r="G211" s="381"/>
      <c r="H211" s="381"/>
      <c r="I211" s="381"/>
      <c r="K211" s="381"/>
    </row>
    <row r="212" spans="4:11">
      <c r="D212" s="370"/>
    </row>
    <row r="213" spans="4:11">
      <c r="D213" s="345"/>
      <c r="E213" s="381"/>
      <c r="F213" s="381"/>
      <c r="G213" s="381"/>
      <c r="H213" s="381"/>
      <c r="I213" s="381"/>
    </row>
    <row r="214" spans="4:11">
      <c r="D214" s="370"/>
      <c r="E214" s="381"/>
      <c r="F214" s="381"/>
      <c r="G214" s="381"/>
      <c r="H214" s="381"/>
      <c r="I214" s="381"/>
      <c r="K214" s="381"/>
    </row>
    <row r="215" spans="4:11">
      <c r="D215" s="370"/>
      <c r="K215" s="381"/>
    </row>
    <row r="216" spans="4:11">
      <c r="D216" s="370"/>
    </row>
    <row r="217" spans="4:11">
      <c r="D217" s="345"/>
      <c r="E217" s="381"/>
      <c r="F217" s="381"/>
      <c r="G217" s="381"/>
      <c r="H217" s="381"/>
      <c r="I217" s="381"/>
    </row>
    <row r="218" spans="4:11">
      <c r="D218" s="370"/>
      <c r="E218" s="381"/>
      <c r="F218" s="381"/>
      <c r="G218" s="381"/>
      <c r="H218" s="381"/>
      <c r="I218" s="381"/>
    </row>
    <row r="219" spans="4:11">
      <c r="D219" s="370"/>
    </row>
    <row r="220" spans="4:11">
      <c r="D220" s="345"/>
      <c r="E220" s="381"/>
      <c r="F220" s="381"/>
      <c r="G220" s="381"/>
      <c r="H220" s="381"/>
      <c r="I220" s="381"/>
    </row>
    <row r="221" spans="4:11">
      <c r="D221" s="370"/>
      <c r="J221" s="381"/>
    </row>
    <row r="222" spans="4:11">
      <c r="D222" s="370"/>
      <c r="J222" s="381"/>
    </row>
    <row r="223" spans="4:11">
      <c r="D223" s="345"/>
      <c r="E223" s="381"/>
      <c r="F223" s="381"/>
      <c r="G223" s="381"/>
      <c r="H223" s="381"/>
      <c r="I223" s="381"/>
    </row>
    <row r="224" spans="4:11">
      <c r="D224" s="370"/>
    </row>
    <row r="225" spans="4:11">
      <c r="D225" s="370"/>
      <c r="J225" s="381"/>
    </row>
    <row r="226" spans="4:11">
      <c r="D226" s="370"/>
      <c r="J226" s="381"/>
      <c r="K226" s="381"/>
    </row>
    <row r="227" spans="4:11">
      <c r="D227" s="345"/>
      <c r="E227" s="381"/>
      <c r="F227" s="381"/>
      <c r="G227" s="381"/>
      <c r="H227" s="381"/>
      <c r="I227" s="381"/>
      <c r="K227" s="381"/>
    </row>
    <row r="228" spans="4:11">
      <c r="D228" s="370"/>
    </row>
    <row r="229" spans="4:11">
      <c r="D229" s="370"/>
      <c r="E229" s="345"/>
      <c r="F229" s="345"/>
      <c r="G229" s="345"/>
      <c r="H229" s="345"/>
      <c r="I229" s="345"/>
      <c r="J229" s="381"/>
    </row>
    <row r="230" spans="4:11">
      <c r="D230" s="370"/>
      <c r="E230" s="345"/>
      <c r="F230" s="345"/>
      <c r="G230" s="345"/>
      <c r="H230" s="345"/>
      <c r="I230" s="345"/>
      <c r="K230" s="381"/>
    </row>
    <row r="231" spans="4:11">
      <c r="D231" s="370"/>
      <c r="K231" s="381"/>
    </row>
    <row r="232" spans="4:11">
      <c r="D232" s="370"/>
    </row>
    <row r="233" spans="4:11">
      <c r="D233" s="370"/>
    </row>
    <row r="234" spans="4:11">
      <c r="D234" s="345"/>
      <c r="E234" s="381"/>
      <c r="F234" s="381"/>
      <c r="G234" s="381"/>
      <c r="H234" s="381"/>
      <c r="I234" s="381"/>
      <c r="K234" s="381"/>
    </row>
    <row r="235" spans="4:11">
      <c r="D235" s="345"/>
      <c r="E235" s="381"/>
      <c r="F235" s="381"/>
      <c r="G235" s="381"/>
      <c r="H235" s="381"/>
      <c r="I235" s="381"/>
    </row>
    <row r="236" spans="4:11">
      <c r="D236" s="370"/>
      <c r="E236" s="381"/>
      <c r="F236" s="381"/>
      <c r="G236" s="381"/>
      <c r="H236" s="381"/>
      <c r="I236" s="381"/>
    </row>
    <row r="237" spans="4:11">
      <c r="D237" s="370"/>
      <c r="E237" s="381"/>
      <c r="F237" s="381"/>
      <c r="G237" s="381"/>
      <c r="H237" s="381"/>
      <c r="I237" s="381"/>
    </row>
    <row r="238" spans="4:11">
      <c r="D238" s="370"/>
    </row>
    <row r="239" spans="4:11">
      <c r="D239" s="345"/>
      <c r="E239" s="381"/>
      <c r="F239" s="381"/>
      <c r="G239" s="381"/>
      <c r="H239" s="381"/>
      <c r="I239" s="381"/>
    </row>
    <row r="240" spans="4:11">
      <c r="D240" s="370"/>
      <c r="E240" s="381"/>
      <c r="F240" s="381"/>
      <c r="G240" s="381"/>
      <c r="H240" s="381"/>
      <c r="I240" s="381"/>
    </row>
    <row r="241" spans="4:11">
      <c r="D241" s="370"/>
      <c r="E241" s="381"/>
      <c r="F241" s="381"/>
      <c r="G241" s="381"/>
      <c r="H241" s="381"/>
      <c r="I241" s="381"/>
    </row>
    <row r="242" spans="4:11">
      <c r="D242" s="370"/>
    </row>
    <row r="243" spans="4:11">
      <c r="D243" s="370"/>
    </row>
    <row r="244" spans="4:11">
      <c r="D244" s="370"/>
      <c r="J244" s="381"/>
    </row>
    <row r="245" spans="4:11">
      <c r="D245" s="370"/>
      <c r="J245" s="381"/>
    </row>
    <row r="246" spans="4:11">
      <c r="D246" s="370"/>
    </row>
    <row r="247" spans="4:11">
      <c r="D247" s="370"/>
      <c r="J247" s="381"/>
    </row>
    <row r="248" spans="4:11">
      <c r="D248" s="370"/>
      <c r="J248" s="381"/>
    </row>
    <row r="249" spans="4:11">
      <c r="D249" s="370"/>
      <c r="J249" s="381"/>
      <c r="K249" s="381"/>
    </row>
    <row r="250" spans="4:11">
      <c r="D250" s="370"/>
      <c r="K250" s="381"/>
    </row>
    <row r="251" spans="4:11">
      <c r="D251" s="345"/>
      <c r="E251" s="381"/>
      <c r="F251" s="381"/>
      <c r="G251" s="381"/>
      <c r="H251" s="381"/>
      <c r="I251" s="381"/>
    </row>
    <row r="252" spans="4:11">
      <c r="D252" s="370"/>
      <c r="J252" s="381"/>
      <c r="K252" s="381"/>
    </row>
    <row r="253" spans="4:11">
      <c r="D253" s="370"/>
      <c r="J253" s="381"/>
      <c r="K253" s="381"/>
    </row>
    <row r="254" spans="4:11">
      <c r="D254" s="345"/>
      <c r="E254" s="381"/>
      <c r="F254" s="381"/>
      <c r="G254" s="381"/>
      <c r="H254" s="381"/>
      <c r="I254" s="381"/>
      <c r="K254" s="381"/>
    </row>
    <row r="255" spans="4:11">
      <c r="D255" s="370"/>
    </row>
    <row r="256" spans="4:11">
      <c r="D256" s="345"/>
      <c r="E256" s="381"/>
      <c r="F256" s="381"/>
      <c r="G256" s="381"/>
      <c r="H256" s="381"/>
      <c r="I256" s="381"/>
    </row>
    <row r="257" spans="4:11">
      <c r="D257" s="370"/>
      <c r="E257" s="381"/>
      <c r="F257" s="381"/>
      <c r="G257" s="381"/>
      <c r="H257" s="381"/>
      <c r="I257" s="381"/>
      <c r="K257" s="381"/>
    </row>
    <row r="258" spans="4:11">
      <c r="D258" s="370"/>
      <c r="K258" s="381"/>
    </row>
    <row r="259" spans="4:11">
      <c r="D259" s="370"/>
    </row>
    <row r="260" spans="4:11">
      <c r="D260" s="345"/>
      <c r="E260" s="381"/>
      <c r="F260" s="381"/>
      <c r="G260" s="381"/>
      <c r="H260" s="381"/>
      <c r="I260" s="381"/>
    </row>
    <row r="261" spans="4:11">
      <c r="D261" s="370"/>
      <c r="E261" s="381"/>
      <c r="F261" s="381"/>
      <c r="G261" s="381"/>
      <c r="H261" s="381"/>
      <c r="I261" s="381"/>
    </row>
    <row r="262" spans="4:11">
      <c r="D262" s="370"/>
    </row>
    <row r="263" spans="4:11">
      <c r="D263" s="345"/>
      <c r="E263" s="381"/>
      <c r="F263" s="381"/>
      <c r="G263" s="381"/>
      <c r="H263" s="381"/>
      <c r="I263" s="381"/>
    </row>
    <row r="264" spans="4:11">
      <c r="D264" s="370"/>
      <c r="J264" s="381"/>
    </row>
    <row r="265" spans="4:11">
      <c r="D265" s="370"/>
      <c r="J265" s="381"/>
    </row>
    <row r="266" spans="4:11">
      <c r="D266" s="345"/>
      <c r="E266" s="381"/>
      <c r="F266" s="381"/>
      <c r="G266" s="381"/>
      <c r="H266" s="381"/>
      <c r="I266" s="381"/>
    </row>
    <row r="267" spans="4:11">
      <c r="D267" s="370"/>
    </row>
    <row r="268" spans="4:11">
      <c r="D268" s="370"/>
      <c r="J268" s="381"/>
    </row>
    <row r="269" spans="4:11">
      <c r="D269" s="370"/>
      <c r="J269" s="381"/>
      <c r="K269" s="381"/>
    </row>
    <row r="270" spans="4:11">
      <c r="D270" s="345"/>
      <c r="E270" s="381"/>
      <c r="F270" s="381"/>
      <c r="G270" s="381"/>
      <c r="H270" s="381"/>
      <c r="I270" s="381"/>
      <c r="K270" s="381"/>
    </row>
    <row r="271" spans="4:11">
      <c r="D271" s="370"/>
    </row>
    <row r="272" spans="4:11">
      <c r="D272" s="370"/>
      <c r="E272" s="345"/>
      <c r="F272" s="345"/>
      <c r="G272" s="345"/>
      <c r="H272" s="345"/>
      <c r="I272" s="345"/>
      <c r="J272" s="381"/>
    </row>
    <row r="273" spans="4:11">
      <c r="D273" s="370"/>
      <c r="E273" s="345"/>
      <c r="F273" s="345"/>
      <c r="G273" s="345"/>
      <c r="H273" s="345"/>
      <c r="I273" s="345"/>
      <c r="K273" s="381"/>
    </row>
    <row r="274" spans="4:11">
      <c r="D274" s="370"/>
      <c r="K274" s="381"/>
    </row>
    <row r="275" spans="4:11">
      <c r="D275" s="370"/>
    </row>
    <row r="276" spans="4:11">
      <c r="D276" s="370"/>
    </row>
    <row r="277" spans="4:11">
      <c r="D277" s="370"/>
      <c r="K277" s="381"/>
    </row>
    <row r="278" spans="4:11">
      <c r="D278" s="370"/>
    </row>
    <row r="279" spans="4:11">
      <c r="D279" s="370"/>
    </row>
    <row r="280" spans="4:11">
      <c r="D280" s="370"/>
    </row>
    <row r="281" spans="4:11">
      <c r="D281" s="370"/>
    </row>
    <row r="282" spans="4:11">
      <c r="D282" s="370"/>
    </row>
    <row r="283" spans="4:11">
      <c r="D283" s="370"/>
    </row>
    <row r="284" spans="4:11">
      <c r="D284" s="370"/>
    </row>
    <row r="285" spans="4:11">
      <c r="D285" s="370"/>
    </row>
    <row r="286" spans="4:11">
      <c r="D286" s="370"/>
    </row>
    <row r="287" spans="4:11">
      <c r="D287" s="370"/>
    </row>
    <row r="288" spans="4:11">
      <c r="D288" s="370"/>
    </row>
    <row r="289" spans="4:4">
      <c r="D289" s="370"/>
    </row>
    <row r="290" spans="4:4">
      <c r="D290" s="370"/>
    </row>
    <row r="291" spans="4:4">
      <c r="D291" s="370"/>
    </row>
    <row r="292" spans="4:4">
      <c r="D292" s="370"/>
    </row>
    <row r="293" spans="4:4">
      <c r="D293" s="370"/>
    </row>
    <row r="294" spans="4:4">
      <c r="D294" s="370"/>
    </row>
    <row r="295" spans="4:4">
      <c r="D295" s="370"/>
    </row>
    <row r="296" spans="4:4">
      <c r="D296" s="370"/>
    </row>
    <row r="297" spans="4:4">
      <c r="D297" s="370"/>
    </row>
    <row r="298" spans="4:4">
      <c r="D298" s="370"/>
    </row>
    <row r="299" spans="4:4">
      <c r="D299" s="370"/>
    </row>
    <row r="300" spans="4:4">
      <c r="D300" s="370"/>
    </row>
    <row r="301" spans="4:4">
      <c r="D301" s="370"/>
    </row>
    <row r="302" spans="4:4">
      <c r="D302" s="370"/>
    </row>
    <row r="303" spans="4:4">
      <c r="D303" s="370"/>
    </row>
    <row r="304" spans="4:4">
      <c r="D304" s="370"/>
    </row>
    <row r="305" spans="4:4">
      <c r="D305" s="370"/>
    </row>
    <row r="306" spans="4:4">
      <c r="D306" s="370"/>
    </row>
    <row r="307" spans="4:4">
      <c r="D307" s="370"/>
    </row>
    <row r="308" spans="4:4">
      <c r="D308" s="370"/>
    </row>
    <row r="309" spans="4:4">
      <c r="D309" s="370"/>
    </row>
    <row r="310" spans="4:4">
      <c r="D310" s="370"/>
    </row>
    <row r="311" spans="4:4">
      <c r="D311" s="370"/>
    </row>
    <row r="312" spans="4:4">
      <c r="D312" s="370"/>
    </row>
    <row r="313" spans="4:4">
      <c r="D313" s="370"/>
    </row>
    <row r="314" spans="4:4">
      <c r="D314" s="370"/>
    </row>
    <row r="315" spans="4:4">
      <c r="D315" s="370"/>
    </row>
    <row r="316" spans="4:4">
      <c r="D316" s="370"/>
    </row>
    <row r="317" spans="4:4">
      <c r="D317" s="370"/>
    </row>
    <row r="318" spans="4:4">
      <c r="D318" s="370"/>
    </row>
    <row r="319" spans="4:4">
      <c r="D319" s="370"/>
    </row>
    <row r="320" spans="4:4">
      <c r="D320" s="370"/>
    </row>
    <row r="321" spans="4:4">
      <c r="D321" s="370"/>
    </row>
    <row r="322" spans="4:4">
      <c r="D322" s="370"/>
    </row>
    <row r="323" spans="4:4">
      <c r="D323" s="370"/>
    </row>
    <row r="324" spans="4:4">
      <c r="D324" s="370"/>
    </row>
    <row r="325" spans="4:4">
      <c r="D325" s="370"/>
    </row>
    <row r="326" spans="4:4">
      <c r="D326" s="370"/>
    </row>
    <row r="327" spans="4:4">
      <c r="D327" s="370"/>
    </row>
    <row r="328" spans="4:4">
      <c r="D328" s="370"/>
    </row>
    <row r="329" spans="4:4">
      <c r="D329" s="370"/>
    </row>
    <row r="330" spans="4:4">
      <c r="D330" s="370"/>
    </row>
    <row r="331" spans="4:4">
      <c r="D331" s="370"/>
    </row>
    <row r="332" spans="4:4">
      <c r="D332" s="370"/>
    </row>
    <row r="333" spans="4:4">
      <c r="D333" s="370"/>
    </row>
    <row r="334" spans="4:4">
      <c r="D334" s="370"/>
    </row>
    <row r="335" spans="4:4">
      <c r="D335" s="370"/>
    </row>
    <row r="336" spans="4:4">
      <c r="D336" s="370"/>
    </row>
    <row r="337" spans="4:4">
      <c r="D337" s="370"/>
    </row>
    <row r="338" spans="4:4">
      <c r="D338" s="370"/>
    </row>
    <row r="339" spans="4:4">
      <c r="D339" s="370"/>
    </row>
    <row r="340" spans="4:4">
      <c r="D340" s="370"/>
    </row>
    <row r="341" spans="4:4">
      <c r="D341" s="370"/>
    </row>
    <row r="342" spans="4:4">
      <c r="D342" s="370"/>
    </row>
    <row r="343" spans="4:4">
      <c r="D343" s="370"/>
    </row>
    <row r="344" spans="4:4">
      <c r="D344" s="370"/>
    </row>
    <row r="345" spans="4:4">
      <c r="D345" s="370"/>
    </row>
    <row r="346" spans="4:4">
      <c r="D346" s="370"/>
    </row>
    <row r="347" spans="4:4">
      <c r="D347" s="370"/>
    </row>
    <row r="348" spans="4:4">
      <c r="D348" s="370"/>
    </row>
    <row r="349" spans="4:4">
      <c r="D349" s="370"/>
    </row>
    <row r="350" spans="4:4">
      <c r="D350" s="370"/>
    </row>
    <row r="351" spans="4:4">
      <c r="D351" s="370"/>
    </row>
    <row r="352" spans="4:4">
      <c r="D352" s="370"/>
    </row>
    <row r="353" spans="4:4">
      <c r="D353" s="370"/>
    </row>
    <row r="354" spans="4:4">
      <c r="D354" s="370"/>
    </row>
    <row r="355" spans="4:4">
      <c r="D355" s="370"/>
    </row>
    <row r="356" spans="4:4">
      <c r="D356" s="370"/>
    </row>
    <row r="357" spans="4:4">
      <c r="D357" s="370"/>
    </row>
    <row r="358" spans="4:4">
      <c r="D358" s="370"/>
    </row>
    <row r="359" spans="4:4">
      <c r="D359" s="370"/>
    </row>
    <row r="360" spans="4:4">
      <c r="D360" s="370"/>
    </row>
    <row r="361" spans="4:4">
      <c r="D361" s="370"/>
    </row>
    <row r="362" spans="4:4">
      <c r="D362" s="370"/>
    </row>
    <row r="363" spans="4:4">
      <c r="D363" s="370"/>
    </row>
    <row r="364" spans="4:4">
      <c r="D364" s="370"/>
    </row>
    <row r="365" spans="4:4">
      <c r="D365" s="370"/>
    </row>
    <row r="366" spans="4:4">
      <c r="D366" s="370"/>
    </row>
    <row r="367" spans="4:4">
      <c r="D367" s="370"/>
    </row>
    <row r="368" spans="4:4">
      <c r="D368" s="370"/>
    </row>
    <row r="369" spans="4:4">
      <c r="D369" s="370"/>
    </row>
    <row r="370" spans="4:4">
      <c r="D370" s="370"/>
    </row>
    <row r="371" spans="4:4">
      <c r="D371" s="370"/>
    </row>
    <row r="372" spans="4:4">
      <c r="D372" s="370"/>
    </row>
    <row r="373" spans="4:4">
      <c r="D373" s="370"/>
    </row>
    <row r="374" spans="4:4">
      <c r="D374" s="370"/>
    </row>
    <row r="375" spans="4:4">
      <c r="D375" s="370"/>
    </row>
    <row r="376" spans="4:4">
      <c r="D376" s="370"/>
    </row>
    <row r="377" spans="4:4">
      <c r="D377" s="370"/>
    </row>
    <row r="378" spans="4:4">
      <c r="D378" s="370"/>
    </row>
    <row r="379" spans="4:4">
      <c r="D379" s="370"/>
    </row>
    <row r="380" spans="4:4">
      <c r="D380" s="370"/>
    </row>
    <row r="381" spans="4:4">
      <c r="D381" s="370"/>
    </row>
    <row r="382" spans="4:4">
      <c r="D382" s="370"/>
    </row>
    <row r="383" spans="4:4">
      <c r="D383" s="370"/>
    </row>
    <row r="384" spans="4:4">
      <c r="D384" s="370"/>
    </row>
    <row r="385" spans="4:4">
      <c r="D385" s="370"/>
    </row>
    <row r="386" spans="4:4">
      <c r="D386" s="370"/>
    </row>
    <row r="387" spans="4:4">
      <c r="D387" s="370"/>
    </row>
    <row r="388" spans="4:4">
      <c r="D388" s="370"/>
    </row>
    <row r="389" spans="4:4">
      <c r="D389" s="370"/>
    </row>
    <row r="390" spans="4:4">
      <c r="D390" s="370"/>
    </row>
    <row r="391" spans="4:4">
      <c r="D391" s="370"/>
    </row>
    <row r="392" spans="4:4">
      <c r="D392" s="370"/>
    </row>
    <row r="393" spans="4:4">
      <c r="D393" s="370"/>
    </row>
    <row r="394" spans="4:4">
      <c r="D394" s="370"/>
    </row>
    <row r="395" spans="4:4">
      <c r="D395" s="370"/>
    </row>
    <row r="396" spans="4:4">
      <c r="D396" s="370"/>
    </row>
    <row r="397" spans="4:4">
      <c r="D397" s="370"/>
    </row>
    <row r="398" spans="4:4">
      <c r="D398" s="370"/>
    </row>
    <row r="399" spans="4:4">
      <c r="D399" s="370"/>
    </row>
    <row r="400" spans="4:4">
      <c r="D400" s="370"/>
    </row>
    <row r="401" spans="4:4">
      <c r="D401" s="370"/>
    </row>
    <row r="402" spans="4:4">
      <c r="D402" s="370"/>
    </row>
    <row r="403" spans="4:4">
      <c r="D403" s="370"/>
    </row>
    <row r="404" spans="4:4">
      <c r="D404" s="370"/>
    </row>
    <row r="405" spans="4:4">
      <c r="D405" s="370"/>
    </row>
    <row r="406" spans="4:4">
      <c r="D406" s="370"/>
    </row>
    <row r="407" spans="4:4">
      <c r="D407" s="370"/>
    </row>
    <row r="408" spans="4:4">
      <c r="D408" s="370"/>
    </row>
    <row r="409" spans="4:4">
      <c r="D409" s="370"/>
    </row>
    <row r="410" spans="4:4">
      <c r="D410" s="370"/>
    </row>
    <row r="411" spans="4:4">
      <c r="D411" s="370"/>
    </row>
    <row r="412" spans="4:4">
      <c r="D412" s="370"/>
    </row>
    <row r="413" spans="4:4">
      <c r="D413" s="370"/>
    </row>
    <row r="414" spans="4:4">
      <c r="D414" s="370"/>
    </row>
    <row r="415" spans="4:4">
      <c r="D415" s="370"/>
    </row>
    <row r="416" spans="4:4">
      <c r="D416" s="370"/>
    </row>
    <row r="417" spans="4:4">
      <c r="D417" s="370"/>
    </row>
    <row r="418" spans="4:4">
      <c r="D418" s="370"/>
    </row>
    <row r="419" spans="4:4">
      <c r="D419" s="370"/>
    </row>
    <row r="420" spans="4:4">
      <c r="D420" s="370"/>
    </row>
    <row r="421" spans="4:4">
      <c r="D421" s="370"/>
    </row>
    <row r="422" spans="4:4">
      <c r="D422" s="370"/>
    </row>
    <row r="423" spans="4:4">
      <c r="D423" s="370"/>
    </row>
    <row r="424" spans="4:4">
      <c r="D424" s="370"/>
    </row>
    <row r="425" spans="4:4">
      <c r="D425" s="370"/>
    </row>
    <row r="426" spans="4:4">
      <c r="D426" s="370"/>
    </row>
    <row r="427" spans="4:4">
      <c r="D427" s="370"/>
    </row>
    <row r="428" spans="4:4">
      <c r="D428" s="370"/>
    </row>
    <row r="429" spans="4:4">
      <c r="D429" s="370"/>
    </row>
    <row r="430" spans="4:4">
      <c r="D430" s="370"/>
    </row>
    <row r="431" spans="4:4">
      <c r="D431" s="370"/>
    </row>
    <row r="432" spans="4:4">
      <c r="D432" s="370"/>
    </row>
    <row r="433" spans="4:4">
      <c r="D433" s="370"/>
    </row>
    <row r="434" spans="4:4">
      <c r="D434" s="370"/>
    </row>
    <row r="435" spans="4:4">
      <c r="D435" s="370"/>
    </row>
    <row r="436" spans="4:4">
      <c r="D436" s="370"/>
    </row>
    <row r="437" spans="4:4">
      <c r="D437" s="370"/>
    </row>
    <row r="438" spans="4:4">
      <c r="D438" s="370"/>
    </row>
    <row r="439" spans="4:4">
      <c r="D439" s="370"/>
    </row>
    <row r="440" spans="4:4">
      <c r="D440" s="370"/>
    </row>
    <row r="441" spans="4:4">
      <c r="D441" s="370"/>
    </row>
    <row r="442" spans="4:4">
      <c r="D442" s="370"/>
    </row>
    <row r="443" spans="4:4">
      <c r="D443" s="370"/>
    </row>
    <row r="444" spans="4:4">
      <c r="D444" s="370"/>
    </row>
    <row r="445" spans="4:4">
      <c r="D445" s="370"/>
    </row>
    <row r="446" spans="4:4">
      <c r="D446" s="370"/>
    </row>
    <row r="447" spans="4:4">
      <c r="D447" s="370"/>
    </row>
    <row r="448" spans="4:4">
      <c r="D448" s="370"/>
    </row>
    <row r="449" spans="4:4">
      <c r="D449" s="370"/>
    </row>
    <row r="450" spans="4:4">
      <c r="D450" s="370"/>
    </row>
    <row r="451" spans="4:4">
      <c r="D451" s="370"/>
    </row>
    <row r="452" spans="4:4">
      <c r="D452" s="370"/>
    </row>
    <row r="453" spans="4:4">
      <c r="D453" s="370"/>
    </row>
    <row r="454" spans="4:4">
      <c r="D454" s="370"/>
    </row>
    <row r="455" spans="4:4">
      <c r="D455" s="370"/>
    </row>
    <row r="456" spans="4:4">
      <c r="D456" s="370"/>
    </row>
    <row r="457" spans="4:4">
      <c r="D457" s="370"/>
    </row>
    <row r="458" spans="4:4">
      <c r="D458" s="370"/>
    </row>
    <row r="459" spans="4:4">
      <c r="D459" s="370"/>
    </row>
    <row r="460" spans="4:4">
      <c r="D460" s="370"/>
    </row>
    <row r="461" spans="4:4">
      <c r="D461" s="370"/>
    </row>
    <row r="462" spans="4:4">
      <c r="D462" s="370"/>
    </row>
  </sheetData>
  <phoneticPr fontId="26" type="noConversion"/>
  <pageMargins left="0.75" right="0.75" top="1" bottom="1" header="0.5" footer="0.5"/>
  <pageSetup scale="45" orientation="landscape" r:id="rId1"/>
  <headerFooter alignWithMargins="0"/>
  <drawing r:id="rId2"/>
</worksheet>
</file>

<file path=xl/worksheets/sheet1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000-000000000000}">
  <sheetPr codeName="Sheet86">
    <pageSetUpPr fitToPage="1"/>
  </sheetPr>
  <dimension ref="B1:X447"/>
  <sheetViews>
    <sheetView showGridLines="0" zoomScale="80" zoomScaleNormal="80" workbookViewId="0"/>
  </sheetViews>
  <sheetFormatPr defaultColWidth="9.109375" defaultRowHeight="12"/>
  <cols>
    <col min="1" max="1" width="2.33203125" style="367" customWidth="1"/>
    <col min="2" max="6" width="10" style="367" customWidth="1"/>
    <col min="7" max="7" width="2.33203125" style="367" customWidth="1"/>
    <col min="8" max="8" width="10" style="367" customWidth="1"/>
    <col min="9" max="9" width="2.109375" style="367" customWidth="1"/>
    <col min="10" max="10" width="10" style="367" customWidth="1"/>
    <col min="11" max="11" width="2.109375" style="367" customWidth="1"/>
    <col min="12" max="12" width="10" style="367" customWidth="1"/>
    <col min="13" max="13" width="2.109375" style="367" customWidth="1"/>
    <col min="14" max="14" width="10" style="367" customWidth="1"/>
    <col min="15" max="15" width="2.109375" style="367" customWidth="1"/>
    <col min="16" max="16" width="10" style="367" customWidth="1"/>
    <col min="17" max="17" width="2.109375" style="367" customWidth="1"/>
    <col min="18" max="18" width="10" style="367" customWidth="1"/>
    <col min="19" max="19" width="2.109375" style="367" customWidth="1"/>
    <col min="20" max="20" width="9.88671875" style="367" customWidth="1"/>
    <col min="21" max="21" width="2.109375" style="367" customWidth="1"/>
    <col min="22" max="22" width="10" style="367" customWidth="1"/>
    <col min="23" max="23" width="2.109375" style="367" customWidth="1"/>
    <col min="24" max="24" width="10" style="367" customWidth="1"/>
    <col min="25" max="16384" width="9.109375" style="367"/>
  </cols>
  <sheetData>
    <row r="1" spans="2:24" s="472" customFormat="1">
      <c r="E1" s="150"/>
    </row>
    <row r="2" spans="2:24" s="472" customFormat="1">
      <c r="E2" s="150"/>
    </row>
    <row r="3" spans="2:24" s="472" customFormat="1"/>
    <row r="4" spans="2:24" s="477" customFormat="1" ht="21">
      <c r="B4" s="129" t="s">
        <v>1463</v>
      </c>
      <c r="C4" s="129"/>
    </row>
    <row r="5" spans="2:24" s="472" customFormat="1">
      <c r="D5" s="132"/>
      <c r="E5" s="132"/>
      <c r="F5" s="132"/>
      <c r="G5" s="132"/>
      <c r="H5" s="132"/>
      <c r="I5" s="132"/>
      <c r="L5" s="473"/>
      <c r="M5" s="473"/>
      <c r="N5" s="473"/>
      <c r="O5" s="473"/>
      <c r="P5" s="473"/>
      <c r="Q5" s="473"/>
      <c r="R5" s="473"/>
      <c r="S5" s="473"/>
      <c r="T5" s="473"/>
      <c r="U5" s="473"/>
      <c r="V5" s="473"/>
      <c r="W5" s="473"/>
      <c r="X5" s="473"/>
    </row>
    <row r="6" spans="2:24">
      <c r="B6" s="456"/>
      <c r="C6" s="456"/>
      <c r="D6" s="456"/>
      <c r="E6" s="456"/>
      <c r="F6" s="456"/>
      <c r="G6" s="456"/>
      <c r="H6" s="456"/>
      <c r="I6" s="456"/>
      <c r="L6" s="440"/>
      <c r="M6" s="440"/>
      <c r="N6" s="440"/>
      <c r="O6" s="440"/>
      <c r="P6" s="440"/>
      <c r="Q6" s="440"/>
      <c r="R6" s="440"/>
      <c r="S6" s="440"/>
      <c r="T6" s="440"/>
      <c r="U6" s="440"/>
      <c r="V6" s="440"/>
      <c r="W6" s="440"/>
      <c r="X6" s="440"/>
    </row>
    <row r="7" spans="2:24" ht="12.6" thickBot="1">
      <c r="B7" s="306" t="s">
        <v>404</v>
      </c>
      <c r="C7" s="306"/>
      <c r="D7" s="368"/>
      <c r="E7" s="457"/>
      <c r="F7" s="457"/>
      <c r="G7" s="457"/>
      <c r="H7" s="457"/>
      <c r="I7" s="457"/>
      <c r="J7" s="368"/>
      <c r="K7" s="368"/>
      <c r="L7" s="368"/>
      <c r="M7" s="368"/>
      <c r="N7" s="368"/>
      <c r="O7" s="368"/>
      <c r="P7" s="368"/>
      <c r="Q7" s="368"/>
      <c r="R7" s="368"/>
      <c r="S7" s="368"/>
      <c r="T7" s="368"/>
      <c r="U7" s="368"/>
      <c r="V7" s="368"/>
      <c r="W7" s="368"/>
      <c r="X7" s="368"/>
    </row>
    <row r="8" spans="2:24" ht="12.6" thickTop="1">
      <c r="B8" s="345"/>
      <c r="C8" s="345"/>
      <c r="E8" s="345"/>
      <c r="F8" s="345"/>
      <c r="G8" s="345"/>
      <c r="H8" s="345"/>
      <c r="I8" s="345"/>
    </row>
    <row r="9" spans="2:24">
      <c r="D9" s="345"/>
      <c r="E9" s="382" t="s">
        <v>81</v>
      </c>
      <c r="F9" s="458" t="s">
        <v>82</v>
      </c>
      <c r="G9" s="458"/>
      <c r="H9" s="458" t="s">
        <v>83</v>
      </c>
      <c r="I9" s="458"/>
      <c r="J9" s="458" t="s">
        <v>84</v>
      </c>
      <c r="K9" s="458"/>
      <c r="L9" s="458" t="s">
        <v>85</v>
      </c>
      <c r="M9" s="458"/>
      <c r="N9" s="458" t="s">
        <v>128</v>
      </c>
      <c r="O9" s="459"/>
      <c r="P9" s="458" t="s">
        <v>129</v>
      </c>
      <c r="Q9" s="458"/>
      <c r="R9" s="458" t="s">
        <v>431</v>
      </c>
      <c r="S9" s="458"/>
      <c r="T9" s="458" t="s">
        <v>130</v>
      </c>
      <c r="U9" s="458"/>
      <c r="V9" s="458" t="s">
        <v>131</v>
      </c>
      <c r="W9" s="458"/>
      <c r="X9" s="458" t="s">
        <v>132</v>
      </c>
    </row>
    <row r="10" spans="2:24">
      <c r="B10" s="345"/>
      <c r="C10" s="345"/>
      <c r="E10" s="382"/>
      <c r="F10" s="458"/>
      <c r="G10" s="458"/>
      <c r="H10" s="458"/>
      <c r="I10" s="458"/>
      <c r="J10" s="458"/>
      <c r="K10" s="458"/>
      <c r="L10" s="458"/>
      <c r="M10" s="458"/>
      <c r="N10" s="459"/>
      <c r="O10" s="459"/>
      <c r="P10" s="458"/>
      <c r="Q10" s="458"/>
      <c r="R10" s="458"/>
      <c r="S10" s="458"/>
      <c r="T10" s="458"/>
      <c r="U10" s="458"/>
      <c r="V10" s="458"/>
      <c r="W10" s="458"/>
      <c r="X10" s="458"/>
    </row>
    <row r="11" spans="2:24">
      <c r="B11" s="370" t="s">
        <v>454</v>
      </c>
      <c r="C11" s="370"/>
      <c r="E11" s="367" t="str">
        <f t="shared" ref="E11:E17" si="0">"DCF, "&amp;TEXT(H11,"0.0")&amp;"x 18E EBITDA"</f>
        <v>DCF, 5.9x 18E EBITDA</v>
      </c>
      <c r="F11" s="484">
        <v>15804.716904362995</v>
      </c>
      <c r="G11" s="178" t="s">
        <v>134</v>
      </c>
      <c r="H11" s="486">
        <v>5.8606297703744117</v>
      </c>
      <c r="I11" s="178" t="s">
        <v>135</v>
      </c>
      <c r="J11" s="216">
        <f>H11*F11</f>
        <v>92625.594402049479</v>
      </c>
      <c r="K11" s="178" t="s">
        <v>136</v>
      </c>
      <c r="L11" s="484"/>
      <c r="M11" s="178" t="s">
        <v>135</v>
      </c>
      <c r="N11" s="216">
        <f t="shared" ref="N11:N17" si="1">J11-L11</f>
        <v>92625.594402049479</v>
      </c>
      <c r="O11" s="178" t="s">
        <v>134</v>
      </c>
      <c r="P11" s="490">
        <v>1</v>
      </c>
      <c r="Q11" s="393" t="s">
        <v>135</v>
      </c>
      <c r="R11" s="216">
        <f t="shared" ref="R11:R17" si="2">P11*N11</f>
        <v>92625.594402049479</v>
      </c>
      <c r="S11" s="216"/>
      <c r="T11" s="216">
        <f>N11-R11</f>
        <v>0</v>
      </c>
      <c r="U11" s="216"/>
      <c r="V11" s="394">
        <f t="shared" ref="V11:V17" si="3">N11/$J$33</f>
        <v>0.69922657826865919</v>
      </c>
      <c r="W11" s="370"/>
      <c r="X11" s="373">
        <f t="shared" ref="X11:X17" si="4">$J$37*V11</f>
        <v>54.158399304893422</v>
      </c>
    </row>
    <row r="12" spans="2:24">
      <c r="B12" s="370" t="s">
        <v>432</v>
      </c>
      <c r="C12" s="370"/>
      <c r="E12" s="367" t="str">
        <f t="shared" si="0"/>
        <v>DCF, 5.4x 18E EBITDA</v>
      </c>
      <c r="F12" s="484">
        <v>12670.539019480544</v>
      </c>
      <c r="G12" s="178" t="s">
        <v>134</v>
      </c>
      <c r="H12" s="486">
        <v>5.4292838011539208</v>
      </c>
      <c r="I12" s="178" t="s">
        <v>135</v>
      </c>
      <c r="J12" s="216">
        <f>H12*F12</f>
        <v>68791.952250354399</v>
      </c>
      <c r="K12" s="178" t="s">
        <v>136</v>
      </c>
      <c r="L12" s="484"/>
      <c r="M12" s="178" t="s">
        <v>135</v>
      </c>
      <c r="N12" s="216">
        <f t="shared" si="1"/>
        <v>68791.952250354399</v>
      </c>
      <c r="O12" s="178" t="s">
        <v>134</v>
      </c>
      <c r="P12" s="490">
        <v>0.7883</v>
      </c>
      <c r="Q12" s="393" t="s">
        <v>135</v>
      </c>
      <c r="R12" s="216">
        <f t="shared" si="2"/>
        <v>54228.695958954377</v>
      </c>
      <c r="S12" s="216"/>
      <c r="T12" s="216">
        <f>N12-R12</f>
        <v>14563.256291400023</v>
      </c>
      <c r="U12" s="216"/>
      <c r="V12" s="394">
        <f t="shared" si="3"/>
        <v>0.51930745162777581</v>
      </c>
      <c r="W12" s="370"/>
      <c r="X12" s="373">
        <f t="shared" si="4"/>
        <v>40.222813607719409</v>
      </c>
    </row>
    <row r="13" spans="2:24">
      <c r="B13" s="370" t="s">
        <v>190</v>
      </c>
      <c r="C13" s="370"/>
      <c r="E13" s="367" t="str">
        <f t="shared" si="0"/>
        <v>DCF, 5.7x 18E EBITDA</v>
      </c>
      <c r="F13" s="484">
        <v>3709.2710422252185</v>
      </c>
      <c r="G13" s="178" t="s">
        <v>134</v>
      </c>
      <c r="H13" s="486">
        <v>5.6569454118415861</v>
      </c>
      <c r="I13" s="178" t="s">
        <v>135</v>
      </c>
      <c r="J13" s="216">
        <f>H13*F13</f>
        <v>20983.143803592808</v>
      </c>
      <c r="K13" s="178" t="s">
        <v>136</v>
      </c>
      <c r="L13" s="484"/>
      <c r="M13" s="178" t="s">
        <v>135</v>
      </c>
      <c r="N13" s="216">
        <f t="shared" si="1"/>
        <v>20983.143803592808</v>
      </c>
      <c r="O13" s="178" t="s">
        <v>134</v>
      </c>
      <c r="P13" s="490">
        <v>0.98</v>
      </c>
      <c r="Q13" s="393" t="s">
        <v>135</v>
      </c>
      <c r="R13" s="216">
        <f t="shared" si="2"/>
        <v>20563.480927520952</v>
      </c>
      <c r="S13" s="216"/>
      <c r="T13" s="216">
        <f>N13-R13</f>
        <v>419.66287607185586</v>
      </c>
      <c r="U13" s="216"/>
      <c r="V13" s="394">
        <f t="shared" si="3"/>
        <v>0.15840083875111713</v>
      </c>
      <c r="W13" s="370"/>
      <c r="X13" s="373">
        <f t="shared" si="4"/>
        <v>12.268892719373843</v>
      </c>
    </row>
    <row r="14" spans="2:24">
      <c r="B14" s="370" t="s">
        <v>455</v>
      </c>
      <c r="C14" s="370"/>
      <c r="E14" s="367" t="str">
        <f t="shared" si="0"/>
        <v>DCF, 5.2x 18E EBITDA</v>
      </c>
      <c r="F14" s="484">
        <v>13259.359535206489</v>
      </c>
      <c r="G14" s="178" t="s">
        <v>134</v>
      </c>
      <c r="H14" s="486">
        <v>5.2018719339676531</v>
      </c>
      <c r="I14" s="178" t="s">
        <v>135</v>
      </c>
      <c r="J14" s="216">
        <f>F14*H14</f>
        <v>68973.490228577022</v>
      </c>
      <c r="K14" s="178" t="s">
        <v>136</v>
      </c>
      <c r="L14" s="484"/>
      <c r="M14" s="178" t="s">
        <v>135</v>
      </c>
      <c r="N14" s="216">
        <f t="shared" si="1"/>
        <v>68973.490228577022</v>
      </c>
      <c r="O14" s="178" t="s">
        <v>134</v>
      </c>
      <c r="P14" s="490">
        <v>0.49</v>
      </c>
      <c r="Q14" s="393" t="s">
        <v>135</v>
      </c>
      <c r="R14" s="216">
        <f t="shared" si="2"/>
        <v>33797.010212002737</v>
      </c>
      <c r="S14" s="216"/>
      <c r="T14" s="216">
        <f>N14-R14</f>
        <v>35176.480016574285</v>
      </c>
      <c r="U14" s="216"/>
      <c r="V14" s="394">
        <f t="shared" si="3"/>
        <v>0.52067787391934506</v>
      </c>
      <c r="W14" s="370"/>
      <c r="X14" s="373">
        <f t="shared" si="4"/>
        <v>40.328959283512958</v>
      </c>
    </row>
    <row r="15" spans="2:24">
      <c r="B15" s="370" t="s">
        <v>189</v>
      </c>
      <c r="C15" s="370"/>
      <c r="E15" s="367" t="str">
        <f t="shared" si="0"/>
        <v>DCF, 9.3x 18E EBITDA</v>
      </c>
      <c r="F15" s="484">
        <v>748.17223387980562</v>
      </c>
      <c r="G15" s="178" t="s">
        <v>134</v>
      </c>
      <c r="H15" s="486">
        <v>9.2971441505860728</v>
      </c>
      <c r="I15" s="178" t="s">
        <v>135</v>
      </c>
      <c r="J15" s="216">
        <f>F15*H15*50%</f>
        <v>3477.932553923275</v>
      </c>
      <c r="K15" s="178" t="s">
        <v>136</v>
      </c>
      <c r="L15" s="484"/>
      <c r="M15" s="178" t="s">
        <v>135</v>
      </c>
      <c r="N15" s="216">
        <f t="shared" si="1"/>
        <v>3477.932553923275</v>
      </c>
      <c r="O15" s="178" t="s">
        <v>134</v>
      </c>
      <c r="P15" s="490">
        <v>0.75</v>
      </c>
      <c r="Q15" s="393" t="s">
        <v>135</v>
      </c>
      <c r="R15" s="216">
        <f t="shared" si="2"/>
        <v>2608.4494154424565</v>
      </c>
      <c r="S15" s="216"/>
      <c r="T15" s="216">
        <f>N15-R15</f>
        <v>869.48313848081852</v>
      </c>
      <c r="U15" s="216"/>
      <c r="V15" s="394">
        <f t="shared" si="3"/>
        <v>2.6254761384561134E-2</v>
      </c>
      <c r="W15" s="370"/>
      <c r="X15" s="373">
        <f t="shared" si="4"/>
        <v>2.0335552093007325</v>
      </c>
    </row>
    <row r="16" spans="2:24">
      <c r="B16" s="370" t="s">
        <v>670</v>
      </c>
      <c r="C16" s="370"/>
      <c r="E16" s="367" t="str">
        <f t="shared" si="0"/>
        <v>DCF, 5.5x 18E EBITDA</v>
      </c>
      <c r="F16" s="484">
        <v>6617.5809974314634</v>
      </c>
      <c r="G16" s="178" t="s">
        <v>134</v>
      </c>
      <c r="H16" s="486">
        <v>5.5220476771546352</v>
      </c>
      <c r="I16" s="178" t="s">
        <v>135</v>
      </c>
      <c r="J16" s="216">
        <f>(H16*F16)</f>
        <v>36542.597775249065</v>
      </c>
      <c r="K16" s="178" t="s">
        <v>136</v>
      </c>
      <c r="L16" s="484"/>
      <c r="M16" s="178" t="s">
        <v>135</v>
      </c>
      <c r="N16" s="216">
        <f t="shared" si="1"/>
        <v>36542.597775249065</v>
      </c>
      <c r="O16" s="178" t="s">
        <v>134</v>
      </c>
      <c r="P16" s="490">
        <v>0.77946578347199524</v>
      </c>
      <c r="Q16" s="393" t="s">
        <v>135</v>
      </c>
      <c r="R16" s="216">
        <f t="shared" si="2"/>
        <v>28483.704604986502</v>
      </c>
      <c r="S16" s="370"/>
      <c r="T16" s="216">
        <f>N16-R16+L16</f>
        <v>8058.8931702625632</v>
      </c>
      <c r="U16" s="370"/>
      <c r="V16" s="394">
        <f t="shared" si="3"/>
        <v>0.27585847916426387</v>
      </c>
      <c r="W16" s="370"/>
      <c r="X16" s="373">
        <f t="shared" si="4"/>
        <v>21.366541448140588</v>
      </c>
    </row>
    <row r="17" spans="2:24">
      <c r="B17" s="370" t="s">
        <v>671</v>
      </c>
      <c r="C17" s="370"/>
      <c r="E17" s="367" t="str">
        <f t="shared" si="0"/>
        <v>DCF, 1.4x 18E EBITDA</v>
      </c>
      <c r="F17" s="484">
        <v>4690.5586118949304</v>
      </c>
      <c r="G17" s="178" t="s">
        <v>134</v>
      </c>
      <c r="H17" s="486">
        <v>1.4375011843688219</v>
      </c>
      <c r="I17" s="178" t="s">
        <v>135</v>
      </c>
      <c r="J17" s="216">
        <f>(H17*F17)</f>
        <v>6742.6835599503402</v>
      </c>
      <c r="K17" s="178" t="s">
        <v>136</v>
      </c>
      <c r="L17" s="484"/>
      <c r="M17" s="178" t="s">
        <v>135</v>
      </c>
      <c r="N17" s="216">
        <f t="shared" si="1"/>
        <v>6742.6835599503402</v>
      </c>
      <c r="O17" s="178" t="s">
        <v>134</v>
      </c>
      <c r="P17" s="490">
        <v>0.80857170026626102</v>
      </c>
      <c r="Q17" s="393" t="s">
        <v>135</v>
      </c>
      <c r="R17" s="216">
        <f t="shared" si="2"/>
        <v>5451.9431104264122</v>
      </c>
      <c r="S17" s="370"/>
      <c r="T17" s="216">
        <f>N17-R17+L17</f>
        <v>1290.740449523928</v>
      </c>
      <c r="U17" s="370"/>
      <c r="V17" s="397">
        <f t="shared" si="3"/>
        <v>5.0900224548174118E-2</v>
      </c>
      <c r="W17" s="370"/>
      <c r="X17" s="373">
        <f t="shared" si="4"/>
        <v>3.9424626744230729</v>
      </c>
    </row>
    <row r="18" spans="2:24">
      <c r="B18" s="345" t="s">
        <v>138</v>
      </c>
      <c r="C18" s="370"/>
      <c r="F18" s="210"/>
      <c r="G18" s="196"/>
      <c r="H18" s="372"/>
      <c r="I18" s="376"/>
      <c r="J18" s="434">
        <f>SUM(J11:J17)</f>
        <v>298137.39457369637</v>
      </c>
      <c r="K18" s="375"/>
      <c r="L18" s="434">
        <f>-J22</f>
        <v>112651.23787776931</v>
      </c>
      <c r="M18" s="196"/>
      <c r="N18" s="434">
        <f>SUM(N11:N17)</f>
        <v>298137.39457369637</v>
      </c>
      <c r="P18" s="377"/>
      <c r="Q18" s="378"/>
      <c r="R18" s="434">
        <f>SUM(R11:R17)</f>
        <v>237758.87863138292</v>
      </c>
      <c r="S18" s="370"/>
      <c r="T18" s="434">
        <f>SUM(T11:T17)</f>
        <v>60378.515942313476</v>
      </c>
      <c r="U18" s="370"/>
      <c r="V18" s="449">
        <f>N18/$J$33</f>
        <v>2.2506262076638959</v>
      </c>
      <c r="W18" s="370"/>
      <c r="X18" s="435">
        <f>$J$37*V18</f>
        <v>174.32162424736399</v>
      </c>
    </row>
    <row r="19" spans="2:24">
      <c r="B19" s="345"/>
      <c r="C19" s="370"/>
      <c r="F19" s="210"/>
      <c r="G19" s="196"/>
      <c r="H19" s="372"/>
      <c r="I19" s="376"/>
      <c r="J19" s="210"/>
      <c r="K19" s="375"/>
      <c r="L19" s="210"/>
      <c r="M19" s="196"/>
      <c r="N19" s="210"/>
      <c r="P19" s="377"/>
      <c r="Q19" s="378"/>
      <c r="R19" s="210"/>
      <c r="S19" s="370"/>
      <c r="T19" s="210"/>
      <c r="U19" s="370"/>
      <c r="V19" s="387"/>
      <c r="W19" s="370"/>
      <c r="X19" s="372"/>
    </row>
    <row r="20" spans="2:24">
      <c r="B20" s="370"/>
      <c r="C20" s="370"/>
      <c r="F20" s="210"/>
      <c r="G20" s="196"/>
      <c r="H20" s="372"/>
      <c r="I20" s="376"/>
      <c r="J20" s="196"/>
      <c r="K20" s="375"/>
      <c r="L20" s="370"/>
      <c r="M20" s="196"/>
      <c r="N20" s="210"/>
      <c r="P20" s="377"/>
      <c r="Q20" s="378"/>
      <c r="R20" s="210"/>
      <c r="T20" s="196"/>
    </row>
    <row r="21" spans="2:24" ht="12.6" thickBot="1">
      <c r="B21" s="382" t="s">
        <v>142</v>
      </c>
      <c r="D21" s="345"/>
      <c r="E21" s="381"/>
      <c r="H21" s="381"/>
      <c r="I21" s="381"/>
      <c r="J21" s="374">
        <f>J18</f>
        <v>298137.39457369637</v>
      </c>
      <c r="T21" s="460" t="s">
        <v>549</v>
      </c>
      <c r="U21" s="368"/>
      <c r="V21" s="368"/>
      <c r="W21" s="368"/>
      <c r="X21" s="368"/>
    </row>
    <row r="22" spans="2:24" ht="12.6" thickTop="1">
      <c r="B22" s="383" t="s">
        <v>1504</v>
      </c>
      <c r="E22" s="381"/>
      <c r="G22" s="381"/>
      <c r="I22" s="381"/>
      <c r="J22" s="216">
        <f>-MTN!D12</f>
        <v>-112651.23787776931</v>
      </c>
    </row>
    <row r="23" spans="2:24">
      <c r="B23" s="384" t="s">
        <v>665</v>
      </c>
      <c r="I23" s="216"/>
      <c r="J23" s="484">
        <v>-16940</v>
      </c>
    </row>
    <row r="24" spans="2:24">
      <c r="B24" s="384" t="s">
        <v>666</v>
      </c>
      <c r="I24" s="216"/>
      <c r="J24" s="484">
        <v>1149</v>
      </c>
      <c r="K24" s="381"/>
    </row>
    <row r="25" spans="2:24">
      <c r="B25" s="383" t="s">
        <v>911</v>
      </c>
      <c r="I25" s="216"/>
      <c r="J25" s="484">
        <v>-3106</v>
      </c>
      <c r="K25" s="381"/>
      <c r="L25" s="380"/>
    </row>
    <row r="26" spans="2:24">
      <c r="B26" s="384" t="s">
        <v>962</v>
      </c>
      <c r="J26" s="484">
        <v>2629</v>
      </c>
    </row>
    <row r="27" spans="2:24">
      <c r="B27" s="383" t="s">
        <v>985</v>
      </c>
      <c r="J27" s="484">
        <v>6000</v>
      </c>
      <c r="K27" s="381"/>
    </row>
    <row r="28" spans="2:24">
      <c r="B28" s="383" t="s">
        <v>798</v>
      </c>
      <c r="J28" s="484">
        <v>17629</v>
      </c>
      <c r="K28" s="381"/>
    </row>
    <row r="29" spans="2:24">
      <c r="B29" s="383"/>
      <c r="J29" s="484"/>
      <c r="K29" s="381"/>
    </row>
    <row r="30" spans="2:24">
      <c r="B30" s="383"/>
      <c r="J30" s="484"/>
      <c r="K30" s="381"/>
    </row>
    <row r="31" spans="2:24">
      <c r="B31" s="384" t="s">
        <v>375</v>
      </c>
      <c r="J31" s="216">
        <f>-T18</f>
        <v>-60378.515942313476</v>
      </c>
    </row>
    <row r="32" spans="2:24">
      <c r="B32" s="384" t="s">
        <v>377</v>
      </c>
      <c r="J32" s="385">
        <v>0</v>
      </c>
      <c r="K32" s="381"/>
    </row>
    <row r="33" spans="2:24">
      <c r="B33" s="382" t="s">
        <v>495</v>
      </c>
      <c r="D33" s="345"/>
      <c r="E33" s="381"/>
      <c r="F33" s="381"/>
      <c r="G33" s="381"/>
      <c r="H33" s="381"/>
      <c r="I33" s="381"/>
      <c r="J33" s="210">
        <f>SUM(J21:J32)</f>
        <v>132468.64075361358</v>
      </c>
      <c r="K33" s="381"/>
    </row>
    <row r="34" spans="2:24" ht="12.6" thickBot="1">
      <c r="B34" s="384" t="s">
        <v>496</v>
      </c>
      <c r="D34" s="370"/>
      <c r="J34" s="484">
        <v>1841</v>
      </c>
      <c r="K34" s="381"/>
    </row>
    <row r="35" spans="2:24" ht="12.6" thickBot="1">
      <c r="B35" s="382" t="s">
        <v>497</v>
      </c>
      <c r="D35" s="370"/>
      <c r="J35" s="462">
        <f>J33/J34</f>
        <v>71.95472067007799</v>
      </c>
    </row>
    <row r="36" spans="2:24" ht="12.6" thickBot="1">
      <c r="B36" s="384" t="s">
        <v>127</v>
      </c>
      <c r="J36" s="486">
        <v>5.5</v>
      </c>
    </row>
    <row r="37" spans="2:24" ht="12.6" thickBot="1">
      <c r="B37" s="382" t="s">
        <v>62</v>
      </c>
      <c r="D37" s="370"/>
      <c r="J37" s="462">
        <f>J35+J36</f>
        <v>77.45472067007799</v>
      </c>
    </row>
    <row r="38" spans="2:24">
      <c r="B38" s="384" t="s">
        <v>498</v>
      </c>
      <c r="D38" s="370"/>
      <c r="J38" s="373">
        <f>Prices!C110/100</f>
        <v>86.08</v>
      </c>
    </row>
    <row r="39" spans="2:24">
      <c r="B39" s="382" t="s">
        <v>97</v>
      </c>
      <c r="D39" s="345"/>
      <c r="E39" s="381"/>
      <c r="F39" s="381"/>
      <c r="G39" s="381"/>
      <c r="H39" s="381"/>
      <c r="I39" s="381"/>
      <c r="J39" s="387">
        <f>J37/J38-1</f>
        <v>-0.1002007357100605</v>
      </c>
    </row>
    <row r="40" spans="2:24">
      <c r="D40" s="345"/>
      <c r="E40" s="345"/>
      <c r="F40" s="345"/>
      <c r="G40" s="345"/>
      <c r="H40" s="345"/>
      <c r="I40" s="345"/>
    </row>
    <row r="41" spans="2:24">
      <c r="D41" s="345"/>
      <c r="E41" s="345"/>
      <c r="F41" s="345"/>
      <c r="G41" s="345"/>
      <c r="H41" s="345"/>
      <c r="I41" s="345"/>
    </row>
    <row r="42" spans="2:24">
      <c r="D42" s="345"/>
      <c r="E42" s="345"/>
      <c r="F42" s="345"/>
      <c r="G42" s="345"/>
      <c r="H42" s="345"/>
      <c r="I42" s="345"/>
    </row>
    <row r="43" spans="2:24">
      <c r="D43" s="345"/>
      <c r="E43" s="345"/>
      <c r="F43" s="345"/>
      <c r="G43" s="345"/>
      <c r="H43" s="345"/>
      <c r="I43" s="345"/>
    </row>
    <row r="44" spans="2:24" ht="12.6" thickBot="1">
      <c r="D44" s="345"/>
      <c r="E44" s="345"/>
      <c r="F44" s="345"/>
      <c r="G44" s="345"/>
      <c r="H44" s="345"/>
      <c r="I44" s="345"/>
      <c r="Q44" s="249"/>
      <c r="R44" s="249"/>
      <c r="T44" s="460" t="s">
        <v>549</v>
      </c>
      <c r="U44" s="368"/>
      <c r="V44" s="368"/>
      <c r="W44" s="368"/>
      <c r="X44" s="368"/>
    </row>
    <row r="45" spans="2:24" ht="12.6" thickTop="1">
      <c r="D45" s="345"/>
      <c r="E45" s="345"/>
      <c r="F45" s="345"/>
      <c r="G45" s="345"/>
      <c r="H45" s="345"/>
      <c r="I45" s="345"/>
      <c r="Q45" s="388"/>
      <c r="R45" s="388"/>
      <c r="T45" s="370" t="s">
        <v>454</v>
      </c>
      <c r="X45" s="394">
        <f t="shared" ref="X45:X51" si="5">R11/R$18</f>
        <v>0.3895778569247651</v>
      </c>
    </row>
    <row r="46" spans="2:24">
      <c r="D46" s="345"/>
      <c r="E46" s="345"/>
      <c r="F46" s="345"/>
      <c r="G46" s="345"/>
      <c r="H46" s="345"/>
      <c r="I46" s="345"/>
      <c r="M46" s="249"/>
      <c r="N46" s="249"/>
      <c r="O46" s="249"/>
      <c r="P46" s="249"/>
      <c r="T46" s="370" t="s">
        <v>432</v>
      </c>
      <c r="X46" s="394">
        <f t="shared" si="5"/>
        <v>0.2280827377346003</v>
      </c>
    </row>
    <row r="47" spans="2:24">
      <c r="D47" s="345"/>
      <c r="E47" s="345"/>
      <c r="F47" s="345"/>
      <c r="G47" s="345"/>
      <c r="H47" s="345"/>
      <c r="I47" s="345"/>
      <c r="L47" s="249"/>
      <c r="N47" s="388"/>
      <c r="O47" s="388"/>
      <c r="P47" s="388"/>
      <c r="T47" s="370" t="s">
        <v>190</v>
      </c>
      <c r="X47" s="394">
        <f t="shared" si="5"/>
        <v>8.6488803471361425E-2</v>
      </c>
    </row>
    <row r="48" spans="2:24">
      <c r="D48" s="345"/>
      <c r="E48" s="381"/>
      <c r="F48" s="381"/>
      <c r="G48" s="381"/>
      <c r="H48" s="381"/>
      <c r="I48" s="381"/>
      <c r="Q48" s="249"/>
      <c r="R48" s="249"/>
      <c r="T48" s="370" t="s">
        <v>669</v>
      </c>
      <c r="X48" s="394">
        <f t="shared" si="5"/>
        <v>0.14214825711893186</v>
      </c>
    </row>
    <row r="49" spans="4:24">
      <c r="D49" s="345"/>
      <c r="E49" s="381"/>
      <c r="F49" s="381"/>
      <c r="G49" s="381"/>
      <c r="H49" s="381"/>
      <c r="I49" s="381"/>
      <c r="Q49" s="388"/>
      <c r="R49" s="388"/>
      <c r="T49" s="370" t="s">
        <v>189</v>
      </c>
      <c r="X49" s="394">
        <f t="shared" si="5"/>
        <v>1.0970986364242361E-2</v>
      </c>
    </row>
    <row r="50" spans="4:24">
      <c r="D50" s="370"/>
      <c r="E50" s="381"/>
      <c r="F50" s="381"/>
      <c r="G50" s="381"/>
      <c r="H50" s="381"/>
      <c r="I50" s="381"/>
      <c r="M50" s="249"/>
      <c r="N50" s="249"/>
      <c r="O50" s="249"/>
      <c r="P50" s="249"/>
      <c r="T50" s="370" t="s">
        <v>670</v>
      </c>
      <c r="X50" s="394">
        <f t="shared" si="5"/>
        <v>0.11980080310332858</v>
      </c>
    </row>
    <row r="51" spans="4:24">
      <c r="D51" s="370"/>
      <c r="E51" s="381"/>
      <c r="F51" s="381"/>
      <c r="G51" s="381"/>
      <c r="H51" s="381"/>
      <c r="I51" s="381"/>
      <c r="L51" s="249"/>
      <c r="N51" s="388"/>
      <c r="O51" s="388"/>
      <c r="P51" s="388"/>
      <c r="Q51" s="249"/>
      <c r="R51" s="249"/>
      <c r="T51" s="370" t="s">
        <v>671</v>
      </c>
      <c r="X51" s="394">
        <f t="shared" si="5"/>
        <v>2.2930555282770351E-2</v>
      </c>
    </row>
    <row r="52" spans="4:24">
      <c r="D52" s="345"/>
      <c r="E52" s="381"/>
      <c r="F52" s="381"/>
      <c r="G52" s="381"/>
      <c r="H52" s="381"/>
      <c r="I52" s="381"/>
      <c r="M52" s="249"/>
      <c r="N52" s="249"/>
      <c r="O52" s="249"/>
      <c r="P52" s="249"/>
      <c r="T52" s="345"/>
      <c r="U52" s="387"/>
    </row>
    <row r="53" spans="4:24">
      <c r="D53" s="370"/>
      <c r="E53" s="381"/>
      <c r="F53" s="381"/>
      <c r="G53" s="381"/>
      <c r="H53" s="381"/>
      <c r="I53" s="381"/>
      <c r="L53" s="249"/>
      <c r="N53" s="388"/>
      <c r="O53" s="388"/>
      <c r="P53" s="388"/>
      <c r="Q53" s="249"/>
      <c r="R53" s="249"/>
      <c r="S53" s="249"/>
    </row>
    <row r="54" spans="4:24">
      <c r="D54" s="370"/>
      <c r="E54" s="381"/>
      <c r="F54" s="381"/>
      <c r="G54" s="381"/>
      <c r="H54" s="381"/>
      <c r="I54" s="381"/>
      <c r="K54" s="381"/>
      <c r="Q54" s="388"/>
      <c r="R54" s="388"/>
      <c r="S54" s="388"/>
      <c r="T54" s="388"/>
      <c r="U54" s="388"/>
      <c r="V54" s="388"/>
      <c r="W54" s="388"/>
      <c r="X54" s="388"/>
    </row>
    <row r="55" spans="4:24">
      <c r="D55" s="370"/>
      <c r="K55" s="381"/>
      <c r="M55" s="249"/>
      <c r="N55" s="249"/>
      <c r="O55" s="249"/>
      <c r="P55" s="249"/>
    </row>
    <row r="56" spans="4:24">
      <c r="D56" s="370"/>
      <c r="L56" s="249"/>
      <c r="N56" s="388"/>
      <c r="O56" s="388"/>
      <c r="P56" s="388"/>
      <c r="Q56" s="249"/>
      <c r="R56" s="249"/>
    </row>
    <row r="57" spans="4:24">
      <c r="D57" s="370"/>
      <c r="J57" s="381"/>
      <c r="K57" s="381"/>
      <c r="Q57" s="388"/>
      <c r="R57" s="388"/>
      <c r="S57" s="249"/>
      <c r="T57" s="249"/>
      <c r="U57" s="249"/>
      <c r="V57" s="249"/>
      <c r="W57" s="249"/>
      <c r="X57" s="249"/>
    </row>
    <row r="58" spans="4:24">
      <c r="D58" s="370"/>
      <c r="J58" s="381"/>
      <c r="K58" s="381"/>
      <c r="M58" s="249"/>
      <c r="N58" s="249"/>
      <c r="O58" s="249"/>
      <c r="P58" s="249"/>
      <c r="Q58" s="389"/>
      <c r="R58" s="389"/>
      <c r="S58" s="388"/>
      <c r="T58" s="388"/>
      <c r="U58" s="388"/>
      <c r="V58" s="388"/>
      <c r="W58" s="388"/>
      <c r="X58" s="388"/>
    </row>
    <row r="59" spans="4:24">
      <c r="D59" s="370"/>
      <c r="K59" s="381"/>
      <c r="L59" s="249"/>
      <c r="N59" s="388"/>
      <c r="O59" s="388"/>
      <c r="P59" s="388"/>
      <c r="Q59" s="388"/>
      <c r="R59" s="388"/>
    </row>
    <row r="60" spans="4:24">
      <c r="D60" s="370"/>
      <c r="J60" s="381"/>
      <c r="M60" s="389"/>
      <c r="N60" s="389"/>
      <c r="O60" s="389"/>
      <c r="P60" s="389"/>
      <c r="S60" s="249"/>
      <c r="T60" s="249"/>
      <c r="U60" s="249"/>
      <c r="V60" s="249"/>
      <c r="W60" s="249"/>
      <c r="X60" s="249"/>
    </row>
    <row r="61" spans="4:24">
      <c r="D61" s="370"/>
      <c r="J61" s="381"/>
      <c r="L61" s="389"/>
      <c r="N61" s="388"/>
      <c r="O61" s="388"/>
      <c r="P61" s="388"/>
      <c r="Q61" s="249"/>
      <c r="R61" s="249"/>
      <c r="S61" s="388"/>
      <c r="T61" s="388"/>
      <c r="U61" s="388"/>
      <c r="V61" s="388"/>
      <c r="W61" s="388"/>
      <c r="X61" s="388"/>
    </row>
    <row r="62" spans="4:24">
      <c r="D62" s="370"/>
      <c r="J62" s="381"/>
      <c r="K62" s="381"/>
      <c r="Q62" s="390"/>
      <c r="R62" s="390"/>
    </row>
    <row r="63" spans="4:24">
      <c r="D63" s="370"/>
      <c r="K63" s="381"/>
      <c r="M63" s="249"/>
      <c r="N63" s="249"/>
      <c r="O63" s="249"/>
      <c r="P63" s="249"/>
      <c r="Q63" s="249"/>
      <c r="R63" s="249"/>
      <c r="S63" s="249"/>
      <c r="T63" s="249"/>
      <c r="U63" s="249"/>
      <c r="V63" s="249"/>
      <c r="W63" s="249"/>
      <c r="X63" s="249"/>
    </row>
    <row r="64" spans="4:24">
      <c r="D64" s="345"/>
      <c r="E64" s="381"/>
      <c r="F64" s="381"/>
      <c r="G64" s="381"/>
      <c r="H64" s="381"/>
      <c r="I64" s="381"/>
      <c r="L64" s="249"/>
      <c r="N64" s="388"/>
      <c r="O64" s="388"/>
      <c r="P64" s="390"/>
      <c r="Q64" s="388"/>
      <c r="R64" s="388"/>
      <c r="S64" s="388"/>
      <c r="T64" s="388"/>
      <c r="U64" s="388"/>
      <c r="V64" s="388"/>
      <c r="W64" s="388"/>
      <c r="X64" s="388"/>
    </row>
    <row r="65" spans="4:24">
      <c r="D65" s="370"/>
      <c r="J65" s="381"/>
      <c r="M65" s="249"/>
      <c r="N65" s="249"/>
      <c r="O65" s="249"/>
      <c r="P65" s="249"/>
      <c r="Q65" s="248"/>
      <c r="R65" s="248"/>
    </row>
    <row r="66" spans="4:24">
      <c r="D66" s="370"/>
      <c r="J66" s="381"/>
      <c r="L66" s="249"/>
      <c r="N66" s="388"/>
      <c r="O66" s="388"/>
      <c r="P66" s="388"/>
      <c r="S66" s="249"/>
      <c r="T66" s="249"/>
      <c r="U66" s="249"/>
      <c r="V66" s="249"/>
      <c r="W66" s="249"/>
      <c r="X66" s="249"/>
    </row>
    <row r="67" spans="4:24">
      <c r="D67" s="345"/>
      <c r="E67" s="381"/>
      <c r="F67" s="381"/>
      <c r="G67" s="381"/>
      <c r="H67" s="381"/>
      <c r="I67" s="381"/>
      <c r="M67" s="248"/>
      <c r="N67" s="248"/>
      <c r="O67" s="248"/>
      <c r="P67" s="248"/>
      <c r="Q67" s="247"/>
      <c r="R67" s="247"/>
      <c r="S67" s="388"/>
      <c r="T67" s="388"/>
      <c r="U67" s="388"/>
      <c r="V67" s="388"/>
      <c r="W67" s="388"/>
      <c r="X67" s="388"/>
    </row>
    <row r="68" spans="4:24">
      <c r="D68" s="370"/>
      <c r="L68" s="248"/>
      <c r="Q68" s="388"/>
      <c r="R68" s="388"/>
      <c r="S68" s="389"/>
      <c r="T68" s="389"/>
      <c r="U68" s="389"/>
      <c r="V68" s="389"/>
      <c r="W68" s="389"/>
      <c r="X68" s="389"/>
    </row>
    <row r="69" spans="4:24">
      <c r="D69" s="345"/>
      <c r="E69" s="381"/>
      <c r="F69" s="381"/>
      <c r="G69" s="381"/>
      <c r="H69" s="381"/>
      <c r="I69" s="381"/>
      <c r="M69" s="247"/>
      <c r="N69" s="247"/>
      <c r="O69" s="247"/>
      <c r="P69" s="247"/>
      <c r="S69" s="388"/>
      <c r="T69" s="388"/>
      <c r="U69" s="388"/>
      <c r="V69" s="388"/>
      <c r="W69" s="388"/>
      <c r="X69" s="388"/>
    </row>
    <row r="70" spans="4:24">
      <c r="D70" s="370"/>
      <c r="E70" s="381"/>
      <c r="F70" s="381"/>
      <c r="G70" s="381"/>
      <c r="H70" s="381"/>
      <c r="I70" s="381"/>
      <c r="L70" s="247"/>
      <c r="N70" s="388"/>
      <c r="O70" s="388"/>
      <c r="P70" s="388"/>
      <c r="Q70" s="389"/>
      <c r="R70" s="389"/>
    </row>
    <row r="71" spans="4:24">
      <c r="D71" s="370"/>
      <c r="Q71" s="388"/>
      <c r="R71" s="388"/>
      <c r="S71" s="249"/>
      <c r="T71" s="249"/>
      <c r="U71" s="249"/>
      <c r="V71" s="249"/>
      <c r="W71" s="249"/>
      <c r="X71" s="249"/>
    </row>
    <row r="72" spans="4:24">
      <c r="D72" s="370"/>
      <c r="M72" s="389"/>
      <c r="N72" s="389"/>
      <c r="O72" s="389"/>
      <c r="P72" s="389"/>
      <c r="S72" s="390"/>
      <c r="T72" s="390"/>
      <c r="U72" s="390"/>
      <c r="V72" s="390"/>
      <c r="W72" s="390"/>
      <c r="X72" s="390"/>
    </row>
    <row r="73" spans="4:24">
      <c r="D73" s="345"/>
      <c r="E73" s="381"/>
      <c r="F73" s="381"/>
      <c r="G73" s="381"/>
      <c r="H73" s="381"/>
      <c r="I73" s="381"/>
      <c r="L73" s="389"/>
      <c r="N73" s="388"/>
      <c r="O73" s="388"/>
      <c r="P73" s="388"/>
      <c r="Q73" s="391"/>
      <c r="R73" s="391"/>
      <c r="S73" s="249"/>
      <c r="T73" s="249"/>
      <c r="U73" s="249"/>
      <c r="V73" s="249"/>
      <c r="W73" s="249"/>
      <c r="X73" s="249"/>
    </row>
    <row r="74" spans="4:24">
      <c r="D74" s="370"/>
      <c r="E74" s="381"/>
      <c r="F74" s="381"/>
      <c r="G74" s="381"/>
      <c r="H74" s="381"/>
      <c r="I74" s="381"/>
      <c r="K74" s="381"/>
      <c r="Q74" s="388"/>
      <c r="R74" s="388"/>
      <c r="S74" s="388"/>
      <c r="T74" s="388"/>
      <c r="U74" s="388"/>
      <c r="V74" s="388"/>
      <c r="W74" s="388"/>
      <c r="X74" s="388"/>
    </row>
    <row r="75" spans="4:24">
      <c r="D75" s="370"/>
      <c r="K75" s="381"/>
      <c r="M75" s="391"/>
      <c r="N75" s="391"/>
      <c r="O75" s="391"/>
      <c r="P75" s="391"/>
      <c r="Q75" s="248"/>
      <c r="R75" s="248"/>
      <c r="S75" s="248"/>
      <c r="T75" s="248"/>
      <c r="U75" s="248"/>
      <c r="V75" s="248"/>
      <c r="W75" s="248"/>
      <c r="X75" s="248"/>
    </row>
    <row r="76" spans="4:24">
      <c r="D76" s="345"/>
      <c r="E76" s="381"/>
      <c r="F76" s="381"/>
      <c r="G76" s="381"/>
      <c r="H76" s="381"/>
      <c r="I76" s="381"/>
      <c r="L76" s="391"/>
      <c r="N76" s="388"/>
      <c r="O76" s="388"/>
      <c r="P76" s="388"/>
    </row>
    <row r="77" spans="4:24">
      <c r="D77" s="370"/>
      <c r="J77" s="381"/>
      <c r="N77" s="248"/>
      <c r="O77" s="248"/>
      <c r="P77" s="248"/>
      <c r="Q77" s="247"/>
      <c r="R77" s="247"/>
      <c r="S77" s="247"/>
      <c r="T77" s="247"/>
      <c r="U77" s="247"/>
      <c r="V77" s="247"/>
      <c r="W77" s="247"/>
      <c r="X77" s="247"/>
    </row>
    <row r="78" spans="4:24">
      <c r="D78" s="370"/>
      <c r="J78" s="381"/>
      <c r="K78" s="381"/>
      <c r="Q78" s="388"/>
      <c r="R78" s="388"/>
      <c r="S78" s="388"/>
      <c r="T78" s="388"/>
      <c r="U78" s="388"/>
      <c r="V78" s="388"/>
      <c r="W78" s="388"/>
      <c r="X78" s="388"/>
    </row>
    <row r="79" spans="4:24">
      <c r="D79" s="345"/>
      <c r="E79" s="381"/>
      <c r="F79" s="381"/>
      <c r="G79" s="381"/>
      <c r="H79" s="381"/>
      <c r="I79" s="381"/>
      <c r="K79" s="381"/>
      <c r="M79" s="247"/>
      <c r="N79" s="247"/>
      <c r="O79" s="247"/>
      <c r="P79" s="247"/>
      <c r="Q79" s="274"/>
      <c r="R79" s="274"/>
    </row>
    <row r="80" spans="4:24">
      <c r="D80" s="370"/>
      <c r="L80" s="247"/>
      <c r="N80" s="388"/>
      <c r="O80" s="388"/>
      <c r="P80" s="388"/>
      <c r="S80" s="389"/>
      <c r="T80" s="389"/>
      <c r="U80" s="389"/>
      <c r="V80" s="389"/>
      <c r="W80" s="389"/>
      <c r="X80" s="389"/>
    </row>
    <row r="81" spans="4:24">
      <c r="D81" s="370"/>
      <c r="J81" s="381"/>
      <c r="M81" s="274"/>
      <c r="N81" s="274"/>
      <c r="O81" s="274"/>
      <c r="P81" s="274"/>
      <c r="Q81" s="389"/>
      <c r="R81" s="389"/>
      <c r="S81" s="388"/>
      <c r="T81" s="388"/>
      <c r="U81" s="388"/>
      <c r="V81" s="388"/>
      <c r="W81" s="388"/>
      <c r="X81" s="388"/>
    </row>
    <row r="82" spans="4:24">
      <c r="D82" s="370"/>
      <c r="J82" s="381"/>
      <c r="K82" s="381"/>
      <c r="L82" s="274"/>
      <c r="Q82" s="388"/>
      <c r="R82" s="388"/>
    </row>
    <row r="83" spans="4:24">
      <c r="D83" s="345"/>
      <c r="E83" s="381"/>
      <c r="F83" s="381"/>
      <c r="G83" s="381"/>
      <c r="H83" s="381"/>
      <c r="I83" s="381"/>
      <c r="M83" s="389"/>
      <c r="N83" s="389"/>
      <c r="O83" s="389"/>
      <c r="P83" s="389"/>
      <c r="S83" s="391"/>
      <c r="T83" s="391"/>
      <c r="U83" s="391"/>
      <c r="V83" s="391"/>
      <c r="W83" s="391"/>
      <c r="X83" s="391"/>
    </row>
    <row r="84" spans="4:24">
      <c r="D84" s="370"/>
      <c r="L84" s="389"/>
      <c r="N84" s="388"/>
      <c r="O84" s="388"/>
      <c r="P84" s="388"/>
      <c r="S84" s="388"/>
      <c r="T84" s="388"/>
      <c r="U84" s="388"/>
      <c r="V84" s="388"/>
      <c r="W84" s="388"/>
      <c r="X84" s="388"/>
    </row>
    <row r="85" spans="4:24">
      <c r="D85" s="370"/>
      <c r="E85" s="345"/>
      <c r="F85" s="345"/>
      <c r="G85" s="345"/>
      <c r="H85" s="345"/>
      <c r="I85" s="345"/>
      <c r="J85" s="381"/>
      <c r="Q85" s="249"/>
      <c r="R85" s="249"/>
      <c r="S85" s="248"/>
      <c r="T85" s="248"/>
      <c r="U85" s="248"/>
      <c r="V85" s="248"/>
      <c r="W85" s="248"/>
      <c r="X85" s="248"/>
    </row>
    <row r="86" spans="4:24">
      <c r="D86" s="370"/>
      <c r="E86" s="345"/>
      <c r="F86" s="345"/>
      <c r="G86" s="345"/>
      <c r="H86" s="345"/>
      <c r="I86" s="345"/>
      <c r="Q86" s="388"/>
      <c r="R86" s="388"/>
    </row>
    <row r="87" spans="4:24">
      <c r="D87" s="370"/>
      <c r="M87" s="249"/>
      <c r="N87" s="249"/>
      <c r="O87" s="249"/>
      <c r="P87" s="249"/>
      <c r="S87" s="247"/>
      <c r="T87" s="247"/>
      <c r="U87" s="247"/>
      <c r="V87" s="247"/>
      <c r="W87" s="247"/>
      <c r="X87" s="247"/>
    </row>
    <row r="88" spans="4:24">
      <c r="D88" s="370"/>
      <c r="L88" s="249"/>
      <c r="N88" s="388"/>
      <c r="O88" s="388"/>
      <c r="P88" s="388"/>
      <c r="Q88" s="249"/>
      <c r="R88" s="249"/>
      <c r="S88" s="388"/>
      <c r="T88" s="388"/>
      <c r="U88" s="388"/>
      <c r="V88" s="388"/>
      <c r="W88" s="388"/>
      <c r="X88" s="388"/>
    </row>
    <row r="89" spans="4:24">
      <c r="D89" s="370"/>
      <c r="Q89" s="390"/>
      <c r="R89" s="390"/>
      <c r="S89" s="274"/>
      <c r="T89" s="274"/>
      <c r="U89" s="274"/>
      <c r="V89" s="274"/>
      <c r="W89" s="274"/>
      <c r="X89" s="274"/>
    </row>
    <row r="90" spans="4:24">
      <c r="D90" s="345"/>
      <c r="E90" s="381"/>
      <c r="F90" s="381"/>
      <c r="G90" s="381"/>
      <c r="H90" s="381"/>
      <c r="I90" s="381"/>
      <c r="M90" s="249"/>
      <c r="N90" s="249"/>
      <c r="O90" s="249"/>
      <c r="P90" s="249"/>
    </row>
    <row r="91" spans="4:24">
      <c r="D91" s="345"/>
      <c r="E91" s="381"/>
      <c r="F91" s="381"/>
      <c r="G91" s="381"/>
      <c r="H91" s="381"/>
      <c r="I91" s="381"/>
      <c r="L91" s="249"/>
      <c r="N91" s="388"/>
      <c r="O91" s="388"/>
      <c r="P91" s="390"/>
      <c r="Q91" s="389"/>
      <c r="R91" s="389"/>
      <c r="S91" s="389"/>
      <c r="T91" s="389"/>
      <c r="U91" s="389"/>
      <c r="V91" s="389"/>
      <c r="W91" s="389"/>
      <c r="X91" s="389"/>
    </row>
    <row r="92" spans="4:24">
      <c r="D92" s="370"/>
      <c r="E92" s="381"/>
      <c r="F92" s="381"/>
      <c r="G92" s="381"/>
      <c r="H92" s="381"/>
      <c r="I92" s="381"/>
      <c r="Q92" s="392"/>
      <c r="R92" s="392"/>
      <c r="S92" s="388"/>
      <c r="T92" s="388"/>
      <c r="U92" s="388"/>
      <c r="V92" s="388"/>
      <c r="W92" s="388"/>
      <c r="X92" s="388"/>
    </row>
    <row r="93" spans="4:24">
      <c r="D93" s="370"/>
      <c r="E93" s="381"/>
      <c r="F93" s="381"/>
      <c r="G93" s="381"/>
      <c r="H93" s="381"/>
      <c r="I93" s="381"/>
      <c r="M93" s="389"/>
      <c r="N93" s="389"/>
      <c r="O93" s="389"/>
      <c r="P93" s="389"/>
      <c r="Q93" s="392"/>
      <c r="R93" s="392"/>
    </row>
    <row r="94" spans="4:24">
      <c r="D94" s="370"/>
      <c r="L94" s="389"/>
      <c r="N94" s="392"/>
      <c r="O94" s="392"/>
      <c r="P94" s="392"/>
    </row>
    <row r="95" spans="4:24">
      <c r="D95" s="345"/>
      <c r="E95" s="381"/>
      <c r="F95" s="381"/>
      <c r="G95" s="381"/>
      <c r="H95" s="381"/>
      <c r="I95" s="381"/>
      <c r="M95" s="392"/>
      <c r="N95" s="392"/>
      <c r="O95" s="392"/>
      <c r="P95" s="392"/>
      <c r="Q95" s="388"/>
      <c r="R95" s="388"/>
      <c r="S95" s="249"/>
      <c r="T95" s="249"/>
      <c r="U95" s="249"/>
      <c r="V95" s="249"/>
      <c r="W95" s="249"/>
      <c r="X95" s="249"/>
    </row>
    <row r="96" spans="4:24">
      <c r="D96" s="370"/>
      <c r="E96" s="381"/>
      <c r="F96" s="381"/>
      <c r="G96" s="381"/>
      <c r="H96" s="381"/>
      <c r="I96" s="381"/>
      <c r="L96" s="392"/>
      <c r="Q96" s="389"/>
      <c r="R96" s="389"/>
      <c r="S96" s="388"/>
      <c r="T96" s="388"/>
      <c r="U96" s="388"/>
      <c r="V96" s="388"/>
      <c r="W96" s="388"/>
      <c r="X96" s="388"/>
    </row>
    <row r="97" spans="4:24">
      <c r="D97" s="370"/>
      <c r="E97" s="381"/>
      <c r="F97" s="381"/>
      <c r="G97" s="381"/>
      <c r="H97" s="381"/>
      <c r="I97" s="381"/>
      <c r="K97" s="381"/>
      <c r="M97" s="388"/>
      <c r="N97" s="388"/>
      <c r="O97" s="388"/>
      <c r="P97" s="388"/>
      <c r="R97" s="392"/>
    </row>
    <row r="98" spans="4:24">
      <c r="D98" s="370"/>
      <c r="K98" s="381"/>
      <c r="L98" s="388"/>
      <c r="M98" s="389"/>
      <c r="N98" s="389"/>
      <c r="O98" s="389"/>
      <c r="P98" s="389"/>
      <c r="S98" s="249"/>
      <c r="T98" s="249"/>
      <c r="U98" s="249"/>
      <c r="V98" s="249"/>
      <c r="W98" s="249"/>
      <c r="X98" s="249"/>
    </row>
    <row r="99" spans="4:24">
      <c r="D99" s="370"/>
      <c r="L99" s="389"/>
      <c r="Q99" s="389"/>
      <c r="R99" s="389"/>
      <c r="S99" s="390"/>
      <c r="T99" s="390"/>
      <c r="U99" s="390"/>
      <c r="V99" s="390"/>
      <c r="W99" s="390"/>
      <c r="X99" s="390"/>
    </row>
    <row r="100" spans="4:24">
      <c r="D100" s="370"/>
      <c r="J100" s="381"/>
      <c r="K100" s="381"/>
      <c r="Q100" s="392"/>
      <c r="R100" s="392"/>
    </row>
    <row r="101" spans="4:24">
      <c r="D101" s="370"/>
      <c r="J101" s="381"/>
      <c r="K101" s="381"/>
      <c r="M101" s="389"/>
      <c r="N101" s="389"/>
      <c r="O101" s="389"/>
      <c r="P101" s="389"/>
      <c r="S101" s="389"/>
      <c r="T101" s="389"/>
      <c r="U101" s="389"/>
      <c r="V101" s="389"/>
      <c r="W101" s="389"/>
      <c r="X101" s="389"/>
    </row>
    <row r="102" spans="4:24">
      <c r="D102" s="370"/>
      <c r="K102" s="381"/>
      <c r="L102" s="389"/>
      <c r="N102" s="392"/>
      <c r="O102" s="392"/>
      <c r="P102" s="392"/>
      <c r="S102" s="392"/>
      <c r="T102" s="392"/>
      <c r="U102" s="392"/>
      <c r="V102" s="392"/>
      <c r="W102" s="392"/>
      <c r="X102" s="392"/>
    </row>
    <row r="103" spans="4:24">
      <c r="D103" s="370"/>
      <c r="J103" s="381"/>
      <c r="S103" s="392"/>
      <c r="T103" s="392"/>
      <c r="U103" s="392"/>
      <c r="V103" s="392"/>
      <c r="W103" s="392"/>
      <c r="X103" s="392"/>
    </row>
    <row r="104" spans="4:24">
      <c r="D104" s="370"/>
      <c r="J104" s="381"/>
    </row>
    <row r="105" spans="4:24">
      <c r="D105" s="370"/>
      <c r="J105" s="381"/>
      <c r="K105" s="381"/>
      <c r="S105" s="388"/>
      <c r="T105" s="388"/>
      <c r="U105" s="388"/>
      <c r="V105" s="388"/>
      <c r="W105" s="388"/>
      <c r="X105" s="388"/>
    </row>
    <row r="106" spans="4:24">
      <c r="D106" s="370"/>
      <c r="K106" s="381"/>
      <c r="S106" s="389"/>
      <c r="T106" s="389"/>
      <c r="U106" s="389"/>
      <c r="V106" s="389"/>
      <c r="W106" s="389"/>
      <c r="X106" s="389"/>
    </row>
    <row r="107" spans="4:24">
      <c r="D107" s="345"/>
      <c r="E107" s="381"/>
      <c r="F107" s="381"/>
      <c r="G107" s="381"/>
      <c r="H107" s="381"/>
      <c r="I107" s="381"/>
      <c r="S107" s="392"/>
      <c r="T107" s="392"/>
      <c r="U107" s="392"/>
      <c r="V107" s="392"/>
      <c r="W107" s="392"/>
      <c r="X107" s="392"/>
    </row>
    <row r="108" spans="4:24">
      <c r="D108" s="370"/>
      <c r="J108" s="381"/>
    </row>
    <row r="109" spans="4:24">
      <c r="D109" s="370"/>
      <c r="J109" s="381"/>
      <c r="S109" s="389"/>
      <c r="T109" s="389"/>
      <c r="U109" s="389"/>
      <c r="V109" s="389"/>
      <c r="W109" s="389"/>
      <c r="X109" s="389"/>
    </row>
    <row r="110" spans="4:24">
      <c r="D110" s="345"/>
      <c r="E110" s="381"/>
      <c r="F110" s="381"/>
      <c r="G110" s="381"/>
      <c r="H110" s="381"/>
      <c r="I110" s="381"/>
      <c r="S110" s="392"/>
      <c r="T110" s="392"/>
      <c r="U110" s="392"/>
      <c r="V110" s="392"/>
      <c r="W110" s="392"/>
      <c r="X110" s="392"/>
    </row>
    <row r="111" spans="4:24">
      <c r="D111" s="370"/>
    </row>
    <row r="112" spans="4:24">
      <c r="D112" s="345"/>
      <c r="E112" s="381"/>
      <c r="F112" s="381"/>
      <c r="G112" s="381"/>
      <c r="H112" s="381"/>
      <c r="I112" s="381"/>
    </row>
    <row r="113" spans="4:11">
      <c r="D113" s="370"/>
      <c r="E113" s="381"/>
      <c r="F113" s="381"/>
      <c r="G113" s="381"/>
      <c r="H113" s="381"/>
      <c r="I113" s="381"/>
    </row>
    <row r="114" spans="4:11">
      <c r="D114" s="370"/>
    </row>
    <row r="115" spans="4:11">
      <c r="D115" s="370"/>
    </row>
    <row r="116" spans="4:11">
      <c r="D116" s="345"/>
      <c r="E116" s="381"/>
      <c r="F116" s="381"/>
      <c r="G116" s="381"/>
      <c r="H116" s="381"/>
      <c r="I116" s="381"/>
    </row>
    <row r="117" spans="4:11">
      <c r="D117" s="370"/>
      <c r="E117" s="381"/>
      <c r="F117" s="381"/>
      <c r="G117" s="381"/>
      <c r="H117" s="381"/>
      <c r="I117" s="381"/>
      <c r="K117" s="381"/>
    </row>
    <row r="118" spans="4:11">
      <c r="D118" s="370"/>
      <c r="K118" s="381"/>
    </row>
    <row r="119" spans="4:11">
      <c r="D119" s="345"/>
      <c r="E119" s="381"/>
      <c r="F119" s="381"/>
      <c r="G119" s="381"/>
      <c r="H119" s="381"/>
      <c r="I119" s="381"/>
    </row>
    <row r="120" spans="4:11">
      <c r="D120" s="370"/>
      <c r="J120" s="381"/>
    </row>
    <row r="121" spans="4:11">
      <c r="D121" s="370"/>
      <c r="J121" s="381"/>
      <c r="K121" s="381"/>
    </row>
    <row r="122" spans="4:11">
      <c r="D122" s="345"/>
      <c r="E122" s="381"/>
      <c r="F122" s="381"/>
      <c r="G122" s="381"/>
      <c r="H122" s="381"/>
      <c r="I122" s="381"/>
      <c r="K122" s="381"/>
    </row>
    <row r="123" spans="4:11">
      <c r="D123" s="370"/>
    </row>
    <row r="124" spans="4:11">
      <c r="D124" s="370"/>
      <c r="J124" s="381"/>
    </row>
    <row r="125" spans="4:11">
      <c r="D125" s="370"/>
      <c r="J125" s="381"/>
      <c r="K125" s="381"/>
    </row>
    <row r="126" spans="4:11">
      <c r="D126" s="345"/>
      <c r="E126" s="381"/>
      <c r="F126" s="381"/>
      <c r="G126" s="381"/>
      <c r="H126" s="381"/>
      <c r="I126" s="381"/>
    </row>
    <row r="127" spans="4:11">
      <c r="D127" s="370"/>
    </row>
    <row r="128" spans="4:11">
      <c r="D128" s="370"/>
      <c r="E128" s="345"/>
      <c r="F128" s="345"/>
      <c r="G128" s="345"/>
      <c r="H128" s="345"/>
      <c r="I128" s="345"/>
      <c r="J128" s="381"/>
    </row>
    <row r="129" spans="4:11">
      <c r="D129" s="370"/>
      <c r="E129" s="345"/>
      <c r="F129" s="345"/>
      <c r="G129" s="345"/>
      <c r="H129" s="345"/>
      <c r="I129" s="345"/>
    </row>
    <row r="130" spans="4:11">
      <c r="D130" s="370"/>
    </row>
    <row r="131" spans="4:11">
      <c r="D131" s="370"/>
    </row>
    <row r="133" spans="4:11">
      <c r="D133" s="345"/>
      <c r="E133" s="381"/>
      <c r="F133" s="381"/>
      <c r="G133" s="381"/>
      <c r="H133" s="381"/>
      <c r="I133" s="381"/>
    </row>
    <row r="134" spans="4:11">
      <c r="D134" s="345"/>
      <c r="E134" s="381"/>
      <c r="F134" s="381"/>
      <c r="G134" s="381"/>
      <c r="H134" s="381"/>
      <c r="I134" s="381"/>
    </row>
    <row r="135" spans="4:11">
      <c r="D135" s="370"/>
      <c r="E135" s="381"/>
      <c r="F135" s="381"/>
      <c r="G135" s="381"/>
      <c r="H135" s="381"/>
      <c r="I135" s="381"/>
    </row>
    <row r="136" spans="4:11">
      <c r="D136" s="370"/>
      <c r="E136" s="381"/>
      <c r="F136" s="381"/>
      <c r="G136" s="381"/>
      <c r="H136" s="381"/>
      <c r="I136" s="381"/>
    </row>
    <row r="137" spans="4:11">
      <c r="D137" s="370"/>
    </row>
    <row r="138" spans="4:11">
      <c r="D138" s="345"/>
      <c r="E138" s="381"/>
      <c r="F138" s="381"/>
      <c r="G138" s="381"/>
      <c r="H138" s="381"/>
      <c r="I138" s="381"/>
    </row>
    <row r="139" spans="4:11">
      <c r="D139" s="370"/>
      <c r="E139" s="381"/>
      <c r="F139" s="381"/>
      <c r="G139" s="381"/>
      <c r="H139" s="381"/>
      <c r="I139" s="381"/>
    </row>
    <row r="140" spans="4:11">
      <c r="D140" s="370"/>
      <c r="E140" s="381"/>
      <c r="F140" s="381"/>
      <c r="G140" s="381"/>
      <c r="H140" s="381"/>
      <c r="I140" s="381"/>
      <c r="K140" s="381"/>
    </row>
    <row r="141" spans="4:11">
      <c r="D141" s="370"/>
      <c r="K141" s="381"/>
    </row>
    <row r="142" spans="4:11">
      <c r="D142" s="370"/>
    </row>
    <row r="143" spans="4:11">
      <c r="D143" s="370"/>
      <c r="J143" s="381"/>
      <c r="K143" s="381"/>
    </row>
    <row r="144" spans="4:11">
      <c r="D144" s="370"/>
      <c r="J144" s="381"/>
      <c r="K144" s="381"/>
    </row>
    <row r="145" spans="4:11">
      <c r="D145" s="370"/>
      <c r="K145" s="381"/>
    </row>
    <row r="146" spans="4:11">
      <c r="D146" s="370"/>
      <c r="J146" s="381"/>
    </row>
    <row r="147" spans="4:11">
      <c r="D147" s="370"/>
      <c r="J147" s="381"/>
    </row>
    <row r="148" spans="4:11">
      <c r="D148" s="370"/>
      <c r="J148" s="381"/>
      <c r="K148" s="381"/>
    </row>
    <row r="149" spans="4:11">
      <c r="D149" s="370"/>
      <c r="K149" s="381"/>
    </row>
    <row r="150" spans="4:11">
      <c r="D150" s="345"/>
      <c r="E150" s="381"/>
      <c r="F150" s="381"/>
      <c r="G150" s="381"/>
      <c r="H150" s="381"/>
      <c r="I150" s="381"/>
    </row>
    <row r="151" spans="4:11">
      <c r="D151" s="370"/>
      <c r="J151" s="381"/>
    </row>
    <row r="152" spans="4:11">
      <c r="D152" s="370"/>
      <c r="J152" s="381"/>
    </row>
    <row r="153" spans="4:11">
      <c r="D153" s="345"/>
      <c r="E153" s="381"/>
      <c r="F153" s="381"/>
      <c r="G153" s="381"/>
      <c r="H153" s="381"/>
      <c r="I153" s="381"/>
    </row>
    <row r="154" spans="4:11">
      <c r="D154" s="370"/>
    </row>
    <row r="155" spans="4:11">
      <c r="D155" s="345"/>
      <c r="E155" s="381"/>
      <c r="F155" s="381"/>
      <c r="G155" s="381"/>
      <c r="H155" s="381"/>
      <c r="I155" s="381"/>
    </row>
    <row r="156" spans="4:11">
      <c r="D156" s="370"/>
      <c r="E156" s="381"/>
      <c r="F156" s="381"/>
      <c r="G156" s="381"/>
      <c r="H156" s="381"/>
      <c r="I156" s="381"/>
    </row>
    <row r="157" spans="4:11">
      <c r="D157" s="370"/>
    </row>
    <row r="158" spans="4:11">
      <c r="D158" s="370"/>
    </row>
    <row r="159" spans="4:11">
      <c r="D159" s="345"/>
      <c r="E159" s="381"/>
      <c r="F159" s="381"/>
      <c r="G159" s="381"/>
      <c r="H159" s="381"/>
      <c r="I159" s="381"/>
    </row>
    <row r="160" spans="4:11">
      <c r="D160" s="370"/>
      <c r="E160" s="381"/>
      <c r="F160" s="381"/>
      <c r="G160" s="381"/>
      <c r="H160" s="381"/>
      <c r="I160" s="381"/>
      <c r="K160" s="381"/>
    </row>
    <row r="161" spans="4:11">
      <c r="D161" s="370"/>
      <c r="K161" s="381"/>
    </row>
    <row r="162" spans="4:11">
      <c r="D162" s="345"/>
      <c r="E162" s="381"/>
      <c r="F162" s="381"/>
      <c r="G162" s="381"/>
      <c r="H162" s="381"/>
      <c r="I162" s="381"/>
    </row>
    <row r="163" spans="4:11">
      <c r="D163" s="370"/>
      <c r="J163" s="381"/>
    </row>
    <row r="164" spans="4:11">
      <c r="D164" s="370"/>
      <c r="J164" s="381"/>
      <c r="K164" s="381"/>
    </row>
    <row r="165" spans="4:11">
      <c r="D165" s="345"/>
      <c r="E165" s="381"/>
      <c r="F165" s="381"/>
      <c r="G165" s="381"/>
      <c r="H165" s="381"/>
      <c r="I165" s="381"/>
      <c r="K165" s="381"/>
    </row>
    <row r="166" spans="4:11">
      <c r="D166" s="370"/>
    </row>
    <row r="167" spans="4:11">
      <c r="D167" s="370"/>
      <c r="J167" s="381"/>
    </row>
    <row r="168" spans="4:11">
      <c r="D168" s="370"/>
      <c r="J168" s="381"/>
      <c r="K168" s="381"/>
    </row>
    <row r="169" spans="4:11">
      <c r="D169" s="345"/>
      <c r="E169" s="381"/>
      <c r="F169" s="381"/>
      <c r="G169" s="381"/>
      <c r="H169" s="381"/>
      <c r="I169" s="381"/>
    </row>
    <row r="170" spans="4:11">
      <c r="D170" s="370"/>
    </row>
    <row r="171" spans="4:11">
      <c r="D171" s="370"/>
      <c r="E171" s="345"/>
      <c r="F171" s="345"/>
      <c r="G171" s="345"/>
      <c r="H171" s="345"/>
      <c r="I171" s="345"/>
      <c r="J171" s="381"/>
    </row>
    <row r="172" spans="4:11">
      <c r="D172" s="370"/>
      <c r="E172" s="345"/>
      <c r="F172" s="345"/>
      <c r="G172" s="345"/>
      <c r="H172" s="345"/>
      <c r="I172" s="345"/>
    </row>
    <row r="173" spans="4:11">
      <c r="D173" s="370"/>
    </row>
    <row r="174" spans="4:11">
      <c r="D174" s="370"/>
    </row>
    <row r="175" spans="4:11">
      <c r="D175" s="370"/>
    </row>
    <row r="176" spans="4:11">
      <c r="D176" s="345"/>
      <c r="E176" s="381"/>
      <c r="F176" s="381"/>
      <c r="G176" s="381"/>
      <c r="H176" s="381"/>
      <c r="I176" s="381"/>
    </row>
    <row r="177" spans="4:11">
      <c r="D177" s="345"/>
      <c r="E177" s="381"/>
      <c r="F177" s="381"/>
      <c r="G177" s="381"/>
      <c r="H177" s="381"/>
      <c r="I177" s="381"/>
    </row>
    <row r="178" spans="4:11">
      <c r="D178" s="370"/>
      <c r="E178" s="381"/>
      <c r="F178" s="381"/>
      <c r="G178" s="381"/>
      <c r="H178" s="381"/>
      <c r="I178" s="381"/>
    </row>
    <row r="179" spans="4:11">
      <c r="D179" s="370"/>
      <c r="E179" s="381"/>
      <c r="F179" s="381"/>
      <c r="G179" s="381"/>
      <c r="H179" s="381"/>
      <c r="I179" s="381"/>
    </row>
    <row r="180" spans="4:11">
      <c r="D180" s="370"/>
    </row>
    <row r="181" spans="4:11">
      <c r="D181" s="345"/>
      <c r="E181" s="381"/>
      <c r="F181" s="381"/>
      <c r="G181" s="381"/>
      <c r="H181" s="381"/>
      <c r="I181" s="381"/>
    </row>
    <row r="182" spans="4:11">
      <c r="D182" s="370"/>
      <c r="E182" s="381"/>
      <c r="F182" s="381"/>
      <c r="G182" s="381"/>
      <c r="H182" s="381"/>
      <c r="I182" s="381"/>
    </row>
    <row r="183" spans="4:11">
      <c r="D183" s="370"/>
      <c r="E183" s="381"/>
      <c r="F183" s="381"/>
      <c r="G183" s="381"/>
      <c r="H183" s="381"/>
      <c r="I183" s="381"/>
      <c r="K183" s="381"/>
    </row>
    <row r="184" spans="4:11">
      <c r="D184" s="370"/>
      <c r="K184" s="381"/>
    </row>
    <row r="185" spans="4:11">
      <c r="D185" s="370"/>
    </row>
    <row r="186" spans="4:11">
      <c r="D186" s="370"/>
      <c r="J186" s="381"/>
      <c r="K186" s="381"/>
    </row>
    <row r="187" spans="4:11">
      <c r="D187" s="370"/>
      <c r="J187" s="381"/>
      <c r="K187" s="381"/>
    </row>
    <row r="188" spans="4:11">
      <c r="D188" s="370"/>
      <c r="K188" s="381"/>
    </row>
    <row r="189" spans="4:11">
      <c r="D189" s="370"/>
      <c r="J189" s="381"/>
    </row>
    <row r="190" spans="4:11">
      <c r="D190" s="370"/>
      <c r="J190" s="381"/>
    </row>
    <row r="191" spans="4:11">
      <c r="D191" s="370"/>
      <c r="J191" s="381"/>
      <c r="K191" s="381"/>
    </row>
    <row r="192" spans="4:11">
      <c r="D192" s="370"/>
      <c r="K192" s="381"/>
    </row>
    <row r="193" spans="4:11">
      <c r="D193" s="345"/>
      <c r="E193" s="381"/>
      <c r="F193" s="381"/>
      <c r="G193" s="381"/>
      <c r="H193" s="381"/>
      <c r="I193" s="381"/>
    </row>
    <row r="194" spans="4:11">
      <c r="D194" s="370"/>
      <c r="J194" s="381"/>
    </row>
    <row r="195" spans="4:11">
      <c r="D195" s="370"/>
      <c r="J195" s="381"/>
    </row>
    <row r="196" spans="4:11">
      <c r="D196" s="345"/>
      <c r="E196" s="381"/>
      <c r="F196" s="381"/>
      <c r="G196" s="381"/>
      <c r="H196" s="381"/>
      <c r="I196" s="381"/>
    </row>
    <row r="197" spans="4:11">
      <c r="D197" s="370"/>
    </row>
    <row r="198" spans="4:11">
      <c r="D198" s="345"/>
      <c r="E198" s="381"/>
      <c r="F198" s="381"/>
      <c r="G198" s="381"/>
      <c r="H198" s="381"/>
      <c r="I198" s="381"/>
    </row>
    <row r="199" spans="4:11">
      <c r="D199" s="370"/>
      <c r="E199" s="381"/>
      <c r="F199" s="381"/>
      <c r="G199" s="381"/>
      <c r="H199" s="381"/>
      <c r="I199" s="381"/>
    </row>
    <row r="200" spans="4:11">
      <c r="D200" s="370"/>
    </row>
    <row r="201" spans="4:11">
      <c r="D201" s="370"/>
    </row>
    <row r="202" spans="4:11">
      <c r="D202" s="345"/>
      <c r="E202" s="381"/>
      <c r="F202" s="381"/>
      <c r="G202" s="381"/>
      <c r="H202" s="381"/>
      <c r="I202" s="381"/>
    </row>
    <row r="203" spans="4:11">
      <c r="D203" s="370"/>
      <c r="E203" s="381"/>
      <c r="F203" s="381"/>
      <c r="G203" s="381"/>
      <c r="H203" s="381"/>
      <c r="I203" s="381"/>
      <c r="K203" s="381"/>
    </row>
    <row r="204" spans="4:11">
      <c r="D204" s="370"/>
      <c r="K204" s="381"/>
    </row>
    <row r="205" spans="4:11">
      <c r="D205" s="345"/>
      <c r="E205" s="381"/>
      <c r="F205" s="381"/>
      <c r="G205" s="381"/>
      <c r="H205" s="381"/>
      <c r="I205" s="381"/>
    </row>
    <row r="206" spans="4:11">
      <c r="D206" s="370"/>
      <c r="J206" s="381"/>
    </row>
    <row r="207" spans="4:11">
      <c r="D207" s="370"/>
      <c r="J207" s="381"/>
      <c r="K207" s="381"/>
    </row>
    <row r="208" spans="4:11">
      <c r="D208" s="345"/>
      <c r="E208" s="381"/>
      <c r="F208" s="381"/>
      <c r="G208" s="381"/>
      <c r="H208" s="381"/>
      <c r="I208" s="381"/>
      <c r="K208" s="381"/>
    </row>
    <row r="209" spans="4:11">
      <c r="D209" s="370"/>
    </row>
    <row r="210" spans="4:11">
      <c r="D210" s="370"/>
      <c r="J210" s="381"/>
    </row>
    <row r="211" spans="4:11">
      <c r="D211" s="370"/>
      <c r="J211" s="381"/>
      <c r="K211" s="381"/>
    </row>
    <row r="212" spans="4:11">
      <c r="D212" s="345"/>
      <c r="E212" s="381"/>
      <c r="F212" s="381"/>
      <c r="G212" s="381"/>
      <c r="H212" s="381"/>
      <c r="I212" s="381"/>
    </row>
    <row r="213" spans="4:11">
      <c r="D213" s="370"/>
    </row>
    <row r="214" spans="4:11">
      <c r="D214" s="370"/>
      <c r="E214" s="345"/>
      <c r="F214" s="345"/>
      <c r="G214" s="345"/>
      <c r="H214" s="345"/>
      <c r="I214" s="345"/>
      <c r="J214" s="381"/>
    </row>
    <row r="215" spans="4:11">
      <c r="D215" s="370"/>
      <c r="E215" s="345"/>
      <c r="F215" s="345"/>
      <c r="G215" s="345"/>
      <c r="H215" s="345"/>
      <c r="I215" s="345"/>
    </row>
    <row r="216" spans="4:11">
      <c r="D216" s="370"/>
    </row>
    <row r="217" spans="4:11">
      <c r="D217" s="370"/>
    </row>
    <row r="218" spans="4:11">
      <c r="D218" s="370"/>
    </row>
    <row r="219" spans="4:11">
      <c r="D219" s="345"/>
      <c r="E219" s="381"/>
      <c r="F219" s="381"/>
      <c r="G219" s="381"/>
      <c r="H219" s="381"/>
      <c r="I219" s="381"/>
    </row>
    <row r="220" spans="4:11">
      <c r="D220" s="345"/>
      <c r="E220" s="381"/>
      <c r="F220" s="381"/>
      <c r="G220" s="381"/>
      <c r="H220" s="381"/>
      <c r="I220" s="381"/>
    </row>
    <row r="221" spans="4:11">
      <c r="D221" s="370"/>
      <c r="E221" s="381"/>
      <c r="F221" s="381"/>
      <c r="G221" s="381"/>
      <c r="H221" s="381"/>
      <c r="I221" s="381"/>
    </row>
    <row r="222" spans="4:11">
      <c r="D222" s="370"/>
      <c r="E222" s="381"/>
      <c r="F222" s="381"/>
      <c r="G222" s="381"/>
      <c r="H222" s="381"/>
      <c r="I222" s="381"/>
    </row>
    <row r="223" spans="4:11">
      <c r="D223" s="370"/>
    </row>
    <row r="224" spans="4:11">
      <c r="D224" s="345"/>
      <c r="E224" s="381"/>
      <c r="F224" s="381"/>
      <c r="G224" s="381"/>
      <c r="H224" s="381"/>
      <c r="I224" s="381"/>
    </row>
    <row r="225" spans="4:11">
      <c r="D225" s="370"/>
      <c r="E225" s="381"/>
      <c r="F225" s="381"/>
      <c r="G225" s="381"/>
      <c r="H225" s="381"/>
      <c r="I225" s="381"/>
    </row>
    <row r="226" spans="4:11">
      <c r="D226" s="370"/>
      <c r="E226" s="381"/>
      <c r="F226" s="381"/>
      <c r="G226" s="381"/>
      <c r="H226" s="381"/>
      <c r="I226" s="381"/>
      <c r="K226" s="381"/>
    </row>
    <row r="227" spans="4:11">
      <c r="D227" s="370"/>
      <c r="K227" s="381"/>
    </row>
    <row r="228" spans="4:11">
      <c r="D228" s="370"/>
    </row>
    <row r="229" spans="4:11">
      <c r="D229" s="370"/>
      <c r="J229" s="381"/>
      <c r="K229" s="381"/>
    </row>
    <row r="230" spans="4:11">
      <c r="D230" s="370"/>
      <c r="J230" s="381"/>
      <c r="K230" s="381"/>
    </row>
    <row r="231" spans="4:11">
      <c r="D231" s="370"/>
      <c r="K231" s="381"/>
    </row>
    <row r="232" spans="4:11">
      <c r="D232" s="370"/>
      <c r="J232" s="381"/>
    </row>
    <row r="233" spans="4:11">
      <c r="D233" s="370"/>
      <c r="J233" s="381"/>
    </row>
    <row r="234" spans="4:11">
      <c r="D234" s="370"/>
      <c r="J234" s="381"/>
      <c r="K234" s="381"/>
    </row>
    <row r="235" spans="4:11">
      <c r="D235" s="370"/>
      <c r="K235" s="381"/>
    </row>
    <row r="236" spans="4:11">
      <c r="D236" s="345"/>
      <c r="E236" s="381"/>
      <c r="F236" s="381"/>
      <c r="G236" s="381"/>
      <c r="H236" s="381"/>
      <c r="I236" s="381"/>
    </row>
    <row r="237" spans="4:11">
      <c r="D237" s="370"/>
      <c r="J237" s="381"/>
    </row>
    <row r="238" spans="4:11">
      <c r="D238" s="370"/>
      <c r="J238" s="381"/>
    </row>
    <row r="239" spans="4:11">
      <c r="D239" s="345"/>
      <c r="E239" s="381"/>
      <c r="F239" s="381"/>
      <c r="G239" s="381"/>
      <c r="H239" s="381"/>
      <c r="I239" s="381"/>
    </row>
    <row r="240" spans="4:11">
      <c r="D240" s="370"/>
    </row>
    <row r="241" spans="4:11">
      <c r="D241" s="345"/>
      <c r="E241" s="381"/>
      <c r="F241" s="381"/>
      <c r="G241" s="381"/>
      <c r="H241" s="381"/>
      <c r="I241" s="381"/>
    </row>
    <row r="242" spans="4:11">
      <c r="D242" s="370"/>
      <c r="E242" s="381"/>
      <c r="F242" s="381"/>
      <c r="G242" s="381"/>
      <c r="H242" s="381"/>
      <c r="I242" s="381"/>
    </row>
    <row r="243" spans="4:11">
      <c r="D243" s="370"/>
    </row>
    <row r="244" spans="4:11">
      <c r="D244" s="370"/>
    </row>
    <row r="245" spans="4:11">
      <c r="D245" s="345"/>
      <c r="E245" s="381"/>
      <c r="F245" s="381"/>
      <c r="G245" s="381"/>
      <c r="H245" s="381"/>
      <c r="I245" s="381"/>
    </row>
    <row r="246" spans="4:11">
      <c r="D246" s="370"/>
      <c r="E246" s="381"/>
      <c r="F246" s="381"/>
      <c r="G246" s="381"/>
      <c r="H246" s="381"/>
      <c r="I246" s="381"/>
      <c r="K246" s="381"/>
    </row>
    <row r="247" spans="4:11">
      <c r="D247" s="370"/>
      <c r="K247" s="381"/>
    </row>
    <row r="248" spans="4:11">
      <c r="D248" s="345"/>
      <c r="E248" s="381"/>
      <c r="F248" s="381"/>
      <c r="G248" s="381"/>
      <c r="H248" s="381"/>
      <c r="I248" s="381"/>
    </row>
    <row r="249" spans="4:11">
      <c r="D249" s="370"/>
      <c r="J249" s="381"/>
    </row>
    <row r="250" spans="4:11">
      <c r="D250" s="370"/>
      <c r="J250" s="381"/>
      <c r="K250" s="381"/>
    </row>
    <row r="251" spans="4:11">
      <c r="D251" s="345"/>
      <c r="E251" s="381"/>
      <c r="F251" s="381"/>
      <c r="G251" s="381"/>
      <c r="H251" s="381"/>
      <c r="I251" s="381"/>
      <c r="K251" s="381"/>
    </row>
    <row r="252" spans="4:11">
      <c r="D252" s="370"/>
    </row>
    <row r="253" spans="4:11">
      <c r="D253" s="370"/>
      <c r="J253" s="381"/>
    </row>
    <row r="254" spans="4:11">
      <c r="D254" s="370"/>
      <c r="J254" s="381"/>
      <c r="K254" s="381"/>
    </row>
    <row r="255" spans="4:11">
      <c r="D255" s="345"/>
      <c r="E255" s="381"/>
      <c r="F255" s="381"/>
      <c r="G255" s="381"/>
      <c r="H255" s="381"/>
      <c r="I255" s="381"/>
    </row>
    <row r="256" spans="4:11">
      <c r="D256" s="370"/>
    </row>
    <row r="257" spans="4:10">
      <c r="D257" s="370"/>
      <c r="E257" s="345"/>
      <c r="F257" s="345"/>
      <c r="G257" s="345"/>
      <c r="H257" s="345"/>
      <c r="I257" s="345"/>
      <c r="J257" s="381"/>
    </row>
    <row r="258" spans="4:10">
      <c r="D258" s="370"/>
      <c r="E258" s="345"/>
      <c r="F258" s="345"/>
      <c r="G258" s="345"/>
      <c r="H258" s="345"/>
      <c r="I258" s="345"/>
    </row>
    <row r="259" spans="4:10">
      <c r="D259" s="370"/>
    </row>
    <row r="260" spans="4:10">
      <c r="D260" s="370"/>
    </row>
    <row r="261" spans="4:10">
      <c r="D261" s="370"/>
    </row>
    <row r="262" spans="4:10">
      <c r="D262" s="370"/>
    </row>
    <row r="263" spans="4:10">
      <c r="D263" s="370"/>
    </row>
    <row r="264" spans="4:10">
      <c r="D264" s="370"/>
    </row>
    <row r="265" spans="4:10">
      <c r="D265" s="370"/>
    </row>
    <row r="266" spans="4:10">
      <c r="D266" s="370"/>
    </row>
    <row r="267" spans="4:10">
      <c r="D267" s="370"/>
    </row>
    <row r="268" spans="4:10">
      <c r="D268" s="370"/>
    </row>
    <row r="269" spans="4:10">
      <c r="D269" s="370"/>
    </row>
    <row r="270" spans="4:10">
      <c r="D270" s="370"/>
    </row>
    <row r="271" spans="4:10">
      <c r="D271" s="370"/>
    </row>
    <row r="272" spans="4:10">
      <c r="D272" s="370"/>
    </row>
    <row r="273" spans="4:4">
      <c r="D273" s="370"/>
    </row>
    <row r="274" spans="4:4">
      <c r="D274" s="370"/>
    </row>
    <row r="275" spans="4:4">
      <c r="D275" s="370"/>
    </row>
    <row r="276" spans="4:4">
      <c r="D276" s="370"/>
    </row>
    <row r="277" spans="4:4">
      <c r="D277" s="370"/>
    </row>
    <row r="278" spans="4:4">
      <c r="D278" s="370"/>
    </row>
    <row r="279" spans="4:4">
      <c r="D279" s="370"/>
    </row>
    <row r="280" spans="4:4">
      <c r="D280" s="370"/>
    </row>
    <row r="281" spans="4:4">
      <c r="D281" s="370"/>
    </row>
    <row r="282" spans="4:4">
      <c r="D282" s="370"/>
    </row>
    <row r="283" spans="4:4">
      <c r="D283" s="370"/>
    </row>
    <row r="284" spans="4:4">
      <c r="D284" s="370"/>
    </row>
    <row r="285" spans="4:4">
      <c r="D285" s="370"/>
    </row>
    <row r="286" spans="4:4">
      <c r="D286" s="370"/>
    </row>
    <row r="287" spans="4:4">
      <c r="D287" s="370"/>
    </row>
    <row r="288" spans="4:4">
      <c r="D288" s="370"/>
    </row>
    <row r="289" spans="4:4">
      <c r="D289" s="370"/>
    </row>
    <row r="290" spans="4:4">
      <c r="D290" s="370"/>
    </row>
    <row r="291" spans="4:4">
      <c r="D291" s="370"/>
    </row>
    <row r="292" spans="4:4">
      <c r="D292" s="370"/>
    </row>
    <row r="293" spans="4:4">
      <c r="D293" s="370"/>
    </row>
    <row r="294" spans="4:4">
      <c r="D294" s="370"/>
    </row>
    <row r="295" spans="4:4">
      <c r="D295" s="370"/>
    </row>
    <row r="296" spans="4:4">
      <c r="D296" s="370"/>
    </row>
    <row r="297" spans="4:4">
      <c r="D297" s="370"/>
    </row>
    <row r="298" spans="4:4">
      <c r="D298" s="370"/>
    </row>
    <row r="299" spans="4:4">
      <c r="D299" s="370"/>
    </row>
    <row r="300" spans="4:4">
      <c r="D300" s="370"/>
    </row>
    <row r="301" spans="4:4">
      <c r="D301" s="370"/>
    </row>
    <row r="302" spans="4:4">
      <c r="D302" s="370"/>
    </row>
    <row r="303" spans="4:4">
      <c r="D303" s="370"/>
    </row>
    <row r="304" spans="4:4">
      <c r="D304" s="370"/>
    </row>
    <row r="305" spans="4:4">
      <c r="D305" s="370"/>
    </row>
    <row r="306" spans="4:4">
      <c r="D306" s="370"/>
    </row>
    <row r="307" spans="4:4">
      <c r="D307" s="370"/>
    </row>
    <row r="308" spans="4:4">
      <c r="D308" s="370"/>
    </row>
    <row r="309" spans="4:4">
      <c r="D309" s="370"/>
    </row>
    <row r="310" spans="4:4">
      <c r="D310" s="370"/>
    </row>
    <row r="311" spans="4:4">
      <c r="D311" s="370"/>
    </row>
    <row r="312" spans="4:4">
      <c r="D312" s="370"/>
    </row>
    <row r="313" spans="4:4">
      <c r="D313" s="370"/>
    </row>
    <row r="314" spans="4:4">
      <c r="D314" s="370"/>
    </row>
    <row r="315" spans="4:4">
      <c r="D315" s="370"/>
    </row>
    <row r="316" spans="4:4">
      <c r="D316" s="370"/>
    </row>
    <row r="317" spans="4:4">
      <c r="D317" s="370"/>
    </row>
    <row r="318" spans="4:4">
      <c r="D318" s="370"/>
    </row>
    <row r="319" spans="4:4">
      <c r="D319" s="370"/>
    </row>
    <row r="320" spans="4:4">
      <c r="D320" s="370"/>
    </row>
    <row r="321" spans="4:4">
      <c r="D321" s="370"/>
    </row>
    <row r="322" spans="4:4">
      <c r="D322" s="370"/>
    </row>
    <row r="323" spans="4:4">
      <c r="D323" s="370"/>
    </row>
    <row r="324" spans="4:4">
      <c r="D324" s="370"/>
    </row>
    <row r="325" spans="4:4">
      <c r="D325" s="370"/>
    </row>
    <row r="326" spans="4:4">
      <c r="D326" s="370"/>
    </row>
    <row r="327" spans="4:4">
      <c r="D327" s="370"/>
    </row>
    <row r="328" spans="4:4">
      <c r="D328" s="370"/>
    </row>
    <row r="329" spans="4:4">
      <c r="D329" s="370"/>
    </row>
    <row r="330" spans="4:4">
      <c r="D330" s="370"/>
    </row>
    <row r="331" spans="4:4">
      <c r="D331" s="370"/>
    </row>
    <row r="332" spans="4:4">
      <c r="D332" s="370"/>
    </row>
    <row r="333" spans="4:4">
      <c r="D333" s="370"/>
    </row>
    <row r="334" spans="4:4">
      <c r="D334" s="370"/>
    </row>
    <row r="335" spans="4:4">
      <c r="D335" s="370"/>
    </row>
    <row r="336" spans="4:4">
      <c r="D336" s="370"/>
    </row>
    <row r="337" spans="4:4">
      <c r="D337" s="370"/>
    </row>
    <row r="338" spans="4:4">
      <c r="D338" s="370"/>
    </row>
    <row r="339" spans="4:4">
      <c r="D339" s="370"/>
    </row>
    <row r="340" spans="4:4">
      <c r="D340" s="370"/>
    </row>
    <row r="341" spans="4:4">
      <c r="D341" s="370"/>
    </row>
    <row r="342" spans="4:4">
      <c r="D342" s="370"/>
    </row>
    <row r="343" spans="4:4">
      <c r="D343" s="370"/>
    </row>
    <row r="344" spans="4:4">
      <c r="D344" s="370"/>
    </row>
    <row r="345" spans="4:4">
      <c r="D345" s="370"/>
    </row>
    <row r="346" spans="4:4">
      <c r="D346" s="370"/>
    </row>
    <row r="347" spans="4:4">
      <c r="D347" s="370"/>
    </row>
    <row r="348" spans="4:4">
      <c r="D348" s="370"/>
    </row>
    <row r="349" spans="4:4">
      <c r="D349" s="370"/>
    </row>
    <row r="350" spans="4:4">
      <c r="D350" s="370"/>
    </row>
    <row r="351" spans="4:4">
      <c r="D351" s="370"/>
    </row>
    <row r="352" spans="4:4">
      <c r="D352" s="370"/>
    </row>
    <row r="353" spans="4:4">
      <c r="D353" s="370"/>
    </row>
    <row r="354" spans="4:4">
      <c r="D354" s="370"/>
    </row>
    <row r="355" spans="4:4">
      <c r="D355" s="370"/>
    </row>
    <row r="356" spans="4:4">
      <c r="D356" s="370"/>
    </row>
    <row r="357" spans="4:4">
      <c r="D357" s="370"/>
    </row>
    <row r="358" spans="4:4">
      <c r="D358" s="370"/>
    </row>
    <row r="359" spans="4:4">
      <c r="D359" s="370"/>
    </row>
    <row r="360" spans="4:4">
      <c r="D360" s="370"/>
    </row>
    <row r="361" spans="4:4">
      <c r="D361" s="370"/>
    </row>
    <row r="362" spans="4:4">
      <c r="D362" s="370"/>
    </row>
    <row r="363" spans="4:4">
      <c r="D363" s="370"/>
    </row>
    <row r="364" spans="4:4">
      <c r="D364" s="370"/>
    </row>
    <row r="365" spans="4:4">
      <c r="D365" s="370"/>
    </row>
    <row r="366" spans="4:4">
      <c r="D366" s="370"/>
    </row>
    <row r="367" spans="4:4">
      <c r="D367" s="370"/>
    </row>
    <row r="368" spans="4:4">
      <c r="D368" s="370"/>
    </row>
    <row r="369" spans="4:4">
      <c r="D369" s="370"/>
    </row>
    <row r="370" spans="4:4">
      <c r="D370" s="370"/>
    </row>
    <row r="371" spans="4:4">
      <c r="D371" s="370"/>
    </row>
    <row r="372" spans="4:4">
      <c r="D372" s="370"/>
    </row>
    <row r="373" spans="4:4">
      <c r="D373" s="370"/>
    </row>
    <row r="374" spans="4:4">
      <c r="D374" s="370"/>
    </row>
    <row r="375" spans="4:4">
      <c r="D375" s="370"/>
    </row>
    <row r="376" spans="4:4">
      <c r="D376" s="370"/>
    </row>
    <row r="377" spans="4:4">
      <c r="D377" s="370"/>
    </row>
    <row r="378" spans="4:4">
      <c r="D378" s="370"/>
    </row>
    <row r="379" spans="4:4">
      <c r="D379" s="370"/>
    </row>
    <row r="380" spans="4:4">
      <c r="D380" s="370"/>
    </row>
    <row r="381" spans="4:4">
      <c r="D381" s="370"/>
    </row>
    <row r="382" spans="4:4">
      <c r="D382" s="370"/>
    </row>
    <row r="383" spans="4:4">
      <c r="D383" s="370"/>
    </row>
    <row r="384" spans="4:4">
      <c r="D384" s="370"/>
    </row>
    <row r="385" spans="4:4">
      <c r="D385" s="370"/>
    </row>
    <row r="386" spans="4:4">
      <c r="D386" s="370"/>
    </row>
    <row r="387" spans="4:4">
      <c r="D387" s="370"/>
    </row>
    <row r="388" spans="4:4">
      <c r="D388" s="370"/>
    </row>
    <row r="389" spans="4:4">
      <c r="D389" s="370"/>
    </row>
    <row r="390" spans="4:4">
      <c r="D390" s="370"/>
    </row>
    <row r="391" spans="4:4">
      <c r="D391" s="370"/>
    </row>
    <row r="392" spans="4:4">
      <c r="D392" s="370"/>
    </row>
    <row r="393" spans="4:4">
      <c r="D393" s="370"/>
    </row>
    <row r="394" spans="4:4">
      <c r="D394" s="370"/>
    </row>
    <row r="395" spans="4:4">
      <c r="D395" s="370"/>
    </row>
    <row r="396" spans="4:4">
      <c r="D396" s="370"/>
    </row>
    <row r="397" spans="4:4">
      <c r="D397" s="370"/>
    </row>
    <row r="398" spans="4:4">
      <c r="D398" s="370"/>
    </row>
    <row r="399" spans="4:4">
      <c r="D399" s="370"/>
    </row>
    <row r="400" spans="4:4">
      <c r="D400" s="370"/>
    </row>
    <row r="401" spans="4:4">
      <c r="D401" s="370"/>
    </row>
    <row r="402" spans="4:4">
      <c r="D402" s="370"/>
    </row>
    <row r="403" spans="4:4">
      <c r="D403" s="370"/>
    </row>
    <row r="404" spans="4:4">
      <c r="D404" s="370"/>
    </row>
    <row r="405" spans="4:4">
      <c r="D405" s="370"/>
    </row>
    <row r="406" spans="4:4">
      <c r="D406" s="370"/>
    </row>
    <row r="407" spans="4:4">
      <c r="D407" s="370"/>
    </row>
    <row r="408" spans="4:4">
      <c r="D408" s="370"/>
    </row>
    <row r="409" spans="4:4">
      <c r="D409" s="370"/>
    </row>
    <row r="410" spans="4:4">
      <c r="D410" s="370"/>
    </row>
    <row r="411" spans="4:4">
      <c r="D411" s="370"/>
    </row>
    <row r="412" spans="4:4">
      <c r="D412" s="370"/>
    </row>
    <row r="413" spans="4:4">
      <c r="D413" s="370"/>
    </row>
    <row r="414" spans="4:4">
      <c r="D414" s="370"/>
    </row>
    <row r="415" spans="4:4">
      <c r="D415" s="370"/>
    </row>
    <row r="416" spans="4:4">
      <c r="D416" s="370"/>
    </row>
    <row r="417" spans="4:4">
      <c r="D417" s="370"/>
    </row>
    <row r="418" spans="4:4">
      <c r="D418" s="370"/>
    </row>
    <row r="419" spans="4:4">
      <c r="D419" s="370"/>
    </row>
    <row r="420" spans="4:4">
      <c r="D420" s="370"/>
    </row>
    <row r="421" spans="4:4">
      <c r="D421" s="370"/>
    </row>
    <row r="422" spans="4:4">
      <c r="D422" s="370"/>
    </row>
    <row r="423" spans="4:4">
      <c r="D423" s="370"/>
    </row>
    <row r="424" spans="4:4">
      <c r="D424" s="370"/>
    </row>
    <row r="425" spans="4:4">
      <c r="D425" s="370"/>
    </row>
    <row r="426" spans="4:4">
      <c r="D426" s="370"/>
    </row>
    <row r="427" spans="4:4">
      <c r="D427" s="370"/>
    </row>
    <row r="428" spans="4:4">
      <c r="D428" s="370"/>
    </row>
    <row r="429" spans="4:4">
      <c r="D429" s="370"/>
    </row>
    <row r="430" spans="4:4">
      <c r="D430" s="370"/>
    </row>
    <row r="431" spans="4:4">
      <c r="D431" s="370"/>
    </row>
    <row r="432" spans="4:4">
      <c r="D432" s="370"/>
    </row>
    <row r="433" spans="4:4">
      <c r="D433" s="370"/>
    </row>
    <row r="434" spans="4:4">
      <c r="D434" s="370"/>
    </row>
    <row r="435" spans="4:4">
      <c r="D435" s="370"/>
    </row>
    <row r="436" spans="4:4">
      <c r="D436" s="370"/>
    </row>
    <row r="437" spans="4:4">
      <c r="D437" s="370"/>
    </row>
    <row r="438" spans="4:4">
      <c r="D438" s="370"/>
    </row>
    <row r="439" spans="4:4">
      <c r="D439" s="370"/>
    </row>
    <row r="440" spans="4:4">
      <c r="D440" s="370"/>
    </row>
    <row r="441" spans="4:4">
      <c r="D441" s="370"/>
    </row>
    <row r="442" spans="4:4">
      <c r="D442" s="370"/>
    </row>
    <row r="443" spans="4:4">
      <c r="D443" s="370"/>
    </row>
    <row r="444" spans="4:4">
      <c r="D444" s="370"/>
    </row>
    <row r="445" spans="4:4">
      <c r="D445" s="370"/>
    </row>
    <row r="446" spans="4:4">
      <c r="D446" s="370"/>
    </row>
    <row r="447" spans="4:4">
      <c r="D447" s="370"/>
    </row>
  </sheetData>
  <phoneticPr fontId="26" type="noConversion"/>
  <pageMargins left="0.75" right="0.75" top="1" bottom="1" header="0.5" footer="0.5"/>
  <pageSetup scale="45" orientation="landscape" r:id="rId1"/>
  <headerFooter alignWithMargins="0"/>
  <drawing r:id="rId2"/>
  <legacyDrawing r:id="rId3"/>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400-000000000000}">
  <sheetPr codeName="Sheet74">
    <pageSetUpPr fitToPage="1"/>
  </sheetPr>
  <dimension ref="B1:X448"/>
  <sheetViews>
    <sheetView showGridLines="0" zoomScale="80" zoomScaleNormal="80" workbookViewId="0"/>
  </sheetViews>
  <sheetFormatPr defaultColWidth="9.109375" defaultRowHeight="12"/>
  <cols>
    <col min="1" max="1" width="2.33203125" style="367" customWidth="1"/>
    <col min="2" max="4" width="10" style="367" customWidth="1"/>
    <col min="5" max="5" width="23.88671875" style="367" customWidth="1"/>
    <col min="6" max="6" width="10" style="367" customWidth="1"/>
    <col min="7" max="7" width="2.33203125" style="367" customWidth="1"/>
    <col min="8" max="8" width="10" style="367" customWidth="1"/>
    <col min="9" max="9" width="2.109375" style="367" customWidth="1"/>
    <col min="10" max="10" width="10" style="367" customWidth="1"/>
    <col min="11" max="11" width="2.109375" style="367" customWidth="1"/>
    <col min="12" max="12" width="10" style="367" customWidth="1"/>
    <col min="13" max="13" width="2.109375" style="367" customWidth="1"/>
    <col min="14" max="14" width="10" style="367" customWidth="1"/>
    <col min="15" max="15" width="2.109375" style="367" customWidth="1"/>
    <col min="16" max="16" width="10" style="367" customWidth="1"/>
    <col min="17" max="17" width="2.109375" style="367" customWidth="1"/>
    <col min="18" max="18" width="10" style="367" customWidth="1"/>
    <col min="19" max="19" width="2.109375" style="367" customWidth="1"/>
    <col min="20" max="20" width="9.88671875" style="367" customWidth="1"/>
    <col min="21" max="21" width="2.109375" style="367" customWidth="1"/>
    <col min="22" max="22" width="10" style="367" customWidth="1"/>
    <col min="23" max="23" width="2.109375" style="367" customWidth="1"/>
    <col min="24" max="24" width="10" style="367" customWidth="1"/>
    <col min="25" max="16384" width="9.109375" style="367"/>
  </cols>
  <sheetData>
    <row r="1" spans="2:24" s="472" customFormat="1">
      <c r="E1" s="150"/>
    </row>
    <row r="2" spans="2:24" s="472" customFormat="1">
      <c r="E2" s="150"/>
    </row>
    <row r="3" spans="2:24" s="472" customFormat="1"/>
    <row r="4" spans="2:24" s="477" customFormat="1" ht="21">
      <c r="B4" s="129" t="s">
        <v>1464</v>
      </c>
      <c r="C4" s="129"/>
    </row>
    <row r="5" spans="2:24" s="472" customFormat="1">
      <c r="D5" s="132"/>
      <c r="E5" s="132"/>
      <c r="F5" s="132"/>
      <c r="G5" s="132"/>
      <c r="H5" s="132"/>
      <c r="I5" s="132"/>
      <c r="L5" s="473"/>
      <c r="M5" s="473"/>
      <c r="N5" s="473"/>
      <c r="O5" s="473"/>
      <c r="P5" s="473"/>
      <c r="Q5" s="473"/>
      <c r="R5" s="473"/>
      <c r="S5" s="473"/>
      <c r="T5" s="473"/>
      <c r="U5" s="473"/>
      <c r="V5" s="473"/>
      <c r="W5" s="473"/>
      <c r="X5" s="473"/>
    </row>
    <row r="6" spans="2:24">
      <c r="B6" s="456"/>
      <c r="C6" s="456"/>
      <c r="D6" s="456"/>
      <c r="E6" s="456"/>
      <c r="F6" s="456"/>
      <c r="G6" s="456"/>
      <c r="H6" s="456"/>
      <c r="I6" s="456"/>
      <c r="L6" s="440"/>
      <c r="M6" s="440"/>
      <c r="N6" s="440"/>
      <c r="O6" s="440"/>
      <c r="P6" s="440"/>
      <c r="Q6" s="440"/>
      <c r="R6" s="440"/>
      <c r="S6" s="440"/>
      <c r="T6" s="440"/>
      <c r="U6" s="440"/>
      <c r="V6" s="440"/>
      <c r="W6" s="440"/>
      <c r="X6" s="440"/>
    </row>
    <row r="7" spans="2:24" ht="12.6" thickBot="1">
      <c r="B7" s="306" t="s">
        <v>423</v>
      </c>
      <c r="C7" s="306"/>
      <c r="D7" s="368"/>
      <c r="E7" s="457"/>
      <c r="F7" s="457"/>
      <c r="G7" s="457"/>
      <c r="H7" s="457"/>
      <c r="I7" s="457"/>
      <c r="J7" s="368"/>
      <c r="K7" s="368"/>
      <c r="L7" s="368"/>
      <c r="M7" s="368"/>
      <c r="N7" s="368"/>
      <c r="O7" s="368"/>
      <c r="P7" s="368"/>
      <c r="Q7" s="368"/>
      <c r="R7" s="368"/>
      <c r="S7" s="368"/>
      <c r="T7" s="368"/>
      <c r="U7" s="368"/>
      <c r="V7" s="368"/>
      <c r="W7" s="368"/>
      <c r="X7" s="368"/>
    </row>
    <row r="8" spans="2:24" ht="12.6" thickTop="1">
      <c r="B8" s="345"/>
      <c r="C8" s="345"/>
      <c r="E8" s="345"/>
      <c r="F8" s="345"/>
      <c r="G8" s="345"/>
      <c r="H8" s="345"/>
      <c r="I8" s="345"/>
    </row>
    <row r="9" spans="2:24">
      <c r="D9" s="345"/>
      <c r="E9" s="382" t="s">
        <v>81</v>
      </c>
      <c r="F9" s="458" t="s">
        <v>82</v>
      </c>
      <c r="G9" s="458"/>
      <c r="H9" s="458" t="s">
        <v>83</v>
      </c>
      <c r="I9" s="458"/>
      <c r="J9" s="458" t="s">
        <v>84</v>
      </c>
      <c r="K9" s="458"/>
      <c r="L9" s="458" t="s">
        <v>85</v>
      </c>
      <c r="M9" s="458"/>
      <c r="N9" s="459" t="s">
        <v>128</v>
      </c>
      <c r="O9" s="459"/>
      <c r="P9" s="458" t="s">
        <v>129</v>
      </c>
      <c r="Q9" s="458"/>
      <c r="R9" s="458" t="s">
        <v>198</v>
      </c>
      <c r="S9" s="458"/>
      <c r="T9" s="458" t="s">
        <v>130</v>
      </c>
      <c r="U9" s="458"/>
      <c r="V9" s="458" t="s">
        <v>131</v>
      </c>
      <c r="W9" s="458"/>
      <c r="X9" s="458" t="s">
        <v>132</v>
      </c>
    </row>
    <row r="10" spans="2:24">
      <c r="B10" s="345"/>
      <c r="C10" s="345"/>
      <c r="E10" s="382"/>
      <c r="F10" s="458"/>
      <c r="G10" s="458"/>
      <c r="H10" s="458"/>
      <c r="I10" s="458"/>
      <c r="J10" s="458"/>
      <c r="K10" s="458"/>
      <c r="L10" s="458"/>
      <c r="M10" s="458"/>
      <c r="N10" s="459"/>
      <c r="O10" s="459"/>
      <c r="P10" s="458"/>
      <c r="Q10" s="458"/>
      <c r="R10" s="458"/>
      <c r="S10" s="458"/>
      <c r="T10" s="458"/>
      <c r="U10" s="458"/>
      <c r="V10" s="458"/>
      <c r="W10" s="458"/>
      <c r="X10" s="458"/>
    </row>
    <row r="11" spans="2:24">
      <c r="B11" s="370" t="s">
        <v>124</v>
      </c>
      <c r="C11" s="370"/>
      <c r="E11" s="367" t="str">
        <f>"DCF, "&amp;TEXT(H11,"0.0")&amp;"x 22E OpFCF"</f>
        <v>DCF, 17.1x 22E OpFCF</v>
      </c>
      <c r="F11" s="484">
        <v>145.20480000000003</v>
      </c>
      <c r="G11" s="178" t="s">
        <v>134</v>
      </c>
      <c r="H11" s="484">
        <v>17.103145420159127</v>
      </c>
      <c r="I11" s="178" t="s">
        <v>135</v>
      </c>
      <c r="J11" s="216">
        <f>H11*F11</f>
        <v>2483.4588101051227</v>
      </c>
      <c r="K11" s="178" t="s">
        <v>136</v>
      </c>
      <c r="L11" s="484">
        <v>-1442.2212072946757</v>
      </c>
      <c r="M11" s="178" t="s">
        <v>135</v>
      </c>
      <c r="N11" s="178">
        <f>J11-L11</f>
        <v>3925.6800173997981</v>
      </c>
      <c r="O11" s="178" t="s">
        <v>134</v>
      </c>
      <c r="P11" s="490">
        <v>1</v>
      </c>
      <c r="Q11" s="393" t="s">
        <v>135</v>
      </c>
      <c r="R11" s="216">
        <f>P11*N11</f>
        <v>3925.6800173997981</v>
      </c>
      <c r="S11" s="216"/>
      <c r="T11" s="216">
        <f>N11-R11</f>
        <v>0</v>
      </c>
      <c r="U11" s="216"/>
      <c r="V11" s="394">
        <f>N11/$J$26</f>
        <v>2.5013947910831509</v>
      </c>
      <c r="W11" s="370"/>
      <c r="X11" s="373">
        <f>$J$32*V11</f>
        <v>37.320810282960608</v>
      </c>
    </row>
    <row r="12" spans="2:24">
      <c r="B12" s="370" t="s">
        <v>1436</v>
      </c>
      <c r="C12" s="370"/>
      <c r="E12" s="367" t="str">
        <f>"DCF, "&amp;TEXT(H12,"0.0")&amp;"x 23E OpFCF"</f>
        <v>DCF, 83.0x 23E OpFCF</v>
      </c>
      <c r="F12" s="484">
        <v>13.111607142857125</v>
      </c>
      <c r="G12" s="178" t="s">
        <v>134</v>
      </c>
      <c r="H12" s="484">
        <v>82.958680806242427</v>
      </c>
      <c r="I12" s="178" t="s">
        <v>135</v>
      </c>
      <c r="J12" s="216">
        <f>H12*F12</f>
        <v>1087.7216318211324</v>
      </c>
      <c r="K12" s="178" t="s">
        <v>136</v>
      </c>
      <c r="L12" s="484">
        <v>290.70000000000005</v>
      </c>
      <c r="M12" s="178" t="s">
        <v>135</v>
      </c>
      <c r="N12" s="178">
        <f>J12-L12</f>
        <v>797.02163182113236</v>
      </c>
      <c r="O12" s="178" t="s">
        <v>134</v>
      </c>
      <c r="P12" s="490">
        <v>0.75</v>
      </c>
      <c r="Q12" s="393" t="s">
        <v>135</v>
      </c>
      <c r="R12" s="216">
        <f>P12*N12</f>
        <v>597.76622386584927</v>
      </c>
      <c r="S12" s="216"/>
      <c r="T12" s="216">
        <f>N12-R12</f>
        <v>199.25540795528309</v>
      </c>
      <c r="U12" s="216"/>
      <c r="V12" s="394">
        <f>N12/$J$26</f>
        <v>0.50785233370561156</v>
      </c>
      <c r="W12" s="370"/>
      <c r="X12" s="373">
        <f>$J$32*V12</f>
        <v>7.5771568188877243</v>
      </c>
    </row>
    <row r="13" spans="2:24">
      <c r="B13" s="370" t="s">
        <v>1022</v>
      </c>
      <c r="C13" s="370"/>
      <c r="E13" s="367" t="str">
        <f>"DCF, "&amp;TEXT(H13,"0.0")&amp;"x 22E OpFCF"</f>
        <v>DCF, 12.7x 22E OpFCF</v>
      </c>
      <c r="F13" s="484">
        <v>8.5551999999999992</v>
      </c>
      <c r="G13" s="178" t="s">
        <v>134</v>
      </c>
      <c r="H13" s="484">
        <v>12.740905041184252</v>
      </c>
      <c r="I13" s="178" t="s">
        <v>135</v>
      </c>
      <c r="J13" s="385">
        <f>H13*F13</f>
        <v>109.00099080833951</v>
      </c>
      <c r="K13" s="178" t="s">
        <v>136</v>
      </c>
      <c r="L13" s="498"/>
      <c r="M13" s="178" t="s">
        <v>135</v>
      </c>
      <c r="N13" s="497">
        <f>J13-L13</f>
        <v>109.00099080833951</v>
      </c>
      <c r="O13" s="178" t="s">
        <v>134</v>
      </c>
      <c r="P13" s="490">
        <v>1</v>
      </c>
      <c r="Q13" s="393" t="s">
        <v>135</v>
      </c>
      <c r="R13" s="385">
        <f>P13*N13</f>
        <v>109.00099080833951</v>
      </c>
      <c r="S13" s="216"/>
      <c r="T13" s="385">
        <f>N13-R13</f>
        <v>0</v>
      </c>
      <c r="U13" s="216"/>
      <c r="V13" s="395">
        <f>N13/$J$26</f>
        <v>6.9454084240792885E-2</v>
      </c>
      <c r="W13" s="370"/>
      <c r="X13" s="396">
        <f>$J$32*V13</f>
        <v>1.0362549368726299</v>
      </c>
    </row>
    <row r="14" spans="2:24">
      <c r="B14" s="345" t="s">
        <v>138</v>
      </c>
      <c r="C14" s="370"/>
      <c r="F14" s="210"/>
      <c r="G14" s="196"/>
      <c r="H14" s="372"/>
      <c r="I14" s="376"/>
      <c r="J14" s="210">
        <f>SUM(J11:J13)</f>
        <v>3680.1814327345946</v>
      </c>
      <c r="K14" s="375"/>
      <c r="L14" s="210">
        <f>SUM(L11:L13)</f>
        <v>-1151.5212072946756</v>
      </c>
      <c r="M14" s="196"/>
      <c r="N14" s="210">
        <f>SUM(N11:N13)</f>
        <v>4831.7026400292698</v>
      </c>
      <c r="P14" s="377"/>
      <c r="Q14" s="378"/>
      <c r="R14" s="210">
        <f>SUM(R11:R13)</f>
        <v>4632.4472320739869</v>
      </c>
      <c r="S14" s="370"/>
      <c r="T14" s="210">
        <f>SUM(T11:T13)</f>
        <v>199.25540795528309</v>
      </c>
      <c r="U14" s="370"/>
      <c r="V14" s="371">
        <f>N14/$J$26</f>
        <v>3.0787012090295551</v>
      </c>
      <c r="W14" s="370"/>
      <c r="X14" s="372">
        <f>$J$32*V14</f>
        <v>45.934222038720961</v>
      </c>
    </row>
    <row r="15" spans="2:24">
      <c r="B15" s="370"/>
      <c r="C15" s="370"/>
      <c r="F15" s="210"/>
      <c r="G15" s="196"/>
      <c r="H15" s="372"/>
      <c r="I15" s="376"/>
      <c r="J15" s="196"/>
      <c r="K15" s="375"/>
      <c r="L15" s="370"/>
      <c r="M15" s="196"/>
      <c r="N15" s="210"/>
      <c r="P15" s="377"/>
      <c r="Q15" s="378"/>
      <c r="R15" s="210"/>
      <c r="T15" s="196"/>
    </row>
    <row r="16" spans="2:24">
      <c r="B16" s="345" t="s">
        <v>139</v>
      </c>
      <c r="C16" s="345"/>
      <c r="K16" s="375"/>
      <c r="L16" s="196"/>
      <c r="M16" s="196"/>
      <c r="N16" s="370"/>
      <c r="P16" s="377"/>
      <c r="Q16" s="378"/>
      <c r="R16" s="448"/>
      <c r="T16" s="196"/>
    </row>
    <row r="17" spans="2:24">
      <c r="B17" s="345" t="s">
        <v>138</v>
      </c>
      <c r="C17" s="370"/>
      <c r="R17" s="210">
        <v>0</v>
      </c>
    </row>
    <row r="18" spans="2:24">
      <c r="D18" s="345"/>
      <c r="E18" s="381"/>
      <c r="F18" s="381"/>
      <c r="G18" s="381"/>
      <c r="H18" s="381"/>
      <c r="I18" s="381"/>
      <c r="J18" s="381"/>
      <c r="K18" s="381"/>
      <c r="R18" s="370"/>
    </row>
    <row r="19" spans="2:24" ht="12.6" thickBot="1">
      <c r="B19" s="382" t="s">
        <v>142</v>
      </c>
      <c r="D19" s="345"/>
      <c r="E19" s="381"/>
      <c r="H19" s="381"/>
      <c r="I19" s="381"/>
      <c r="J19" s="374">
        <f>J14</f>
        <v>3680.1814327345946</v>
      </c>
      <c r="T19" s="460" t="s">
        <v>549</v>
      </c>
      <c r="U19" s="368"/>
      <c r="V19" s="368"/>
      <c r="W19" s="368"/>
      <c r="X19" s="368"/>
    </row>
    <row r="20" spans="2:24" ht="12.6" thickTop="1">
      <c r="B20" s="383" t="s">
        <v>1377</v>
      </c>
      <c r="D20" s="424"/>
      <c r="J20" s="216">
        <f>-OBEL!D12</f>
        <v>-1486.097320940991</v>
      </c>
    </row>
    <row r="21" spans="2:24">
      <c r="B21" s="384" t="s">
        <v>1129</v>
      </c>
      <c r="D21" s="424"/>
      <c r="J21" s="484">
        <v>-409.5608125216819</v>
      </c>
    </row>
    <row r="22" spans="2:24">
      <c r="B22" s="384" t="s">
        <v>1130</v>
      </c>
      <c r="D22" s="424"/>
      <c r="J22" s="484">
        <v>-103.18527389474048</v>
      </c>
    </row>
    <row r="23" spans="2:24">
      <c r="B23" s="384" t="s">
        <v>413</v>
      </c>
      <c r="D23" s="424"/>
      <c r="J23" s="484">
        <v>87.313797487843232</v>
      </c>
    </row>
    <row r="24" spans="2:24">
      <c r="B24" s="384" t="s">
        <v>375</v>
      </c>
      <c r="J24" s="216">
        <f>-T14</f>
        <v>-199.25540795528309</v>
      </c>
      <c r="K24" s="381"/>
    </row>
    <row r="25" spans="2:24">
      <c r="B25" s="384" t="s">
        <v>377</v>
      </c>
      <c r="J25" s="385">
        <v>0</v>
      </c>
    </row>
    <row r="26" spans="2:24">
      <c r="B26" s="382" t="s">
        <v>495</v>
      </c>
      <c r="D26" s="345"/>
      <c r="E26" s="381"/>
      <c r="F26" s="381"/>
      <c r="G26" s="381"/>
      <c r="H26" s="381"/>
      <c r="I26" s="381"/>
      <c r="J26" s="210">
        <f>SUM(J19:J25)</f>
        <v>1569.3964149097412</v>
      </c>
      <c r="K26" s="381"/>
    </row>
    <row r="27" spans="2:24" ht="12.6" thickBot="1">
      <c r="B27" s="384" t="s">
        <v>496</v>
      </c>
      <c r="D27" s="370"/>
      <c r="J27" s="214">
        <f>OBEL!D10</f>
        <v>60.014414000000002</v>
      </c>
      <c r="K27" s="381"/>
    </row>
    <row r="28" spans="2:24" ht="12.6" thickBot="1">
      <c r="B28" s="382" t="s">
        <v>497</v>
      </c>
      <c r="D28" s="370"/>
      <c r="J28" s="461">
        <f>J26/J27</f>
        <v>26.150324735483398</v>
      </c>
      <c r="K28" s="381"/>
    </row>
    <row r="29" spans="2:24">
      <c r="B29" s="384" t="s">
        <v>697</v>
      </c>
      <c r="D29" s="370"/>
      <c r="J29" s="486">
        <v>0</v>
      </c>
      <c r="K29" s="381"/>
    </row>
    <row r="30" spans="2:24" ht="12.6" thickBot="1">
      <c r="B30" s="384" t="s">
        <v>1505</v>
      </c>
      <c r="D30" s="370"/>
      <c r="J30" s="486">
        <v>-13</v>
      </c>
      <c r="K30" s="381"/>
    </row>
    <row r="31" spans="2:24" ht="12.6" thickBot="1">
      <c r="B31" s="382" t="s">
        <v>62</v>
      </c>
      <c r="D31" s="370"/>
      <c r="J31" s="461">
        <f>J28+J29+J30</f>
        <v>13.150324735483398</v>
      </c>
      <c r="K31" s="381"/>
    </row>
    <row r="32" spans="2:24">
      <c r="B32" s="384" t="s">
        <v>498</v>
      </c>
      <c r="D32" s="370"/>
      <c r="J32" s="373">
        <f>Prices!C28</f>
        <v>14.92</v>
      </c>
      <c r="K32" s="381"/>
    </row>
    <row r="33" spans="2:24">
      <c r="B33" s="382" t="s">
        <v>97</v>
      </c>
      <c r="D33" s="345"/>
      <c r="E33" s="381"/>
      <c r="F33" s="381"/>
      <c r="G33" s="381"/>
      <c r="H33" s="381"/>
      <c r="I33" s="381"/>
      <c r="J33" s="387">
        <f>J31/J32-1</f>
        <v>-0.11861094266197059</v>
      </c>
      <c r="K33" s="381"/>
      <c r="L33" s="380"/>
    </row>
    <row r="34" spans="2:24">
      <c r="D34" s="345"/>
      <c r="E34" s="381"/>
      <c r="I34" s="381"/>
    </row>
    <row r="35" spans="2:24">
      <c r="D35" s="345"/>
      <c r="E35" s="381"/>
      <c r="G35" s="381"/>
      <c r="I35" s="381"/>
      <c r="J35" s="381"/>
      <c r="K35" s="381"/>
    </row>
    <row r="36" spans="2:24">
      <c r="K36" s="381"/>
    </row>
    <row r="37" spans="2:24">
      <c r="D37" s="386"/>
      <c r="E37" s="381"/>
      <c r="F37" s="381"/>
      <c r="G37" s="381"/>
      <c r="H37" s="381"/>
      <c r="I37" s="381"/>
      <c r="J37" s="381"/>
    </row>
    <row r="38" spans="2:24">
      <c r="D38" s="424"/>
    </row>
    <row r="39" spans="2:24" ht="12.6" thickBot="1">
      <c r="D39" s="403"/>
      <c r="E39" s="370"/>
      <c r="T39" s="460" t="s">
        <v>549</v>
      </c>
      <c r="U39" s="368"/>
      <c r="V39" s="368"/>
      <c r="W39" s="368"/>
      <c r="X39" s="368"/>
    </row>
    <row r="40" spans="2:24" ht="12.6" thickTop="1">
      <c r="K40" s="381"/>
      <c r="T40" s="370" t="str">
        <f>B11</f>
        <v>Belgium</v>
      </c>
      <c r="X40" s="394">
        <f>R11/R$14</f>
        <v>0.84743113536605508</v>
      </c>
    </row>
    <row r="41" spans="2:24">
      <c r="D41" s="345"/>
      <c r="E41" s="345"/>
      <c r="F41" s="345"/>
      <c r="G41" s="345"/>
      <c r="H41" s="345"/>
      <c r="I41" s="345"/>
      <c r="T41" s="370" t="str">
        <f>B13</f>
        <v>Vox group (Luxembourg)</v>
      </c>
      <c r="X41" s="394">
        <f>R13/R$14</f>
        <v>2.3529893671241846E-2</v>
      </c>
    </row>
    <row r="42" spans="2:24">
      <c r="D42" s="345"/>
      <c r="E42" s="345"/>
      <c r="F42" s="345"/>
      <c r="G42" s="345"/>
      <c r="H42" s="345"/>
      <c r="I42" s="345"/>
    </row>
    <row r="43" spans="2:24">
      <c r="D43" s="345"/>
      <c r="E43" s="345"/>
      <c r="F43" s="345"/>
      <c r="G43" s="345"/>
      <c r="H43" s="345"/>
      <c r="I43" s="345"/>
    </row>
    <row r="44" spans="2:24">
      <c r="D44" s="345"/>
      <c r="E44" s="345"/>
      <c r="F44" s="345"/>
      <c r="G44" s="345"/>
      <c r="H44" s="345"/>
      <c r="I44" s="345"/>
    </row>
    <row r="45" spans="2:24">
      <c r="D45" s="345"/>
      <c r="E45" s="345"/>
      <c r="F45" s="345"/>
      <c r="G45" s="345"/>
      <c r="H45" s="345"/>
      <c r="I45" s="345"/>
    </row>
    <row r="46" spans="2:24">
      <c r="D46" s="345"/>
      <c r="E46" s="345"/>
      <c r="F46" s="345"/>
      <c r="G46" s="345"/>
      <c r="H46" s="345"/>
      <c r="I46" s="345"/>
    </row>
    <row r="47" spans="2:24">
      <c r="D47" s="345"/>
      <c r="E47" s="345"/>
      <c r="F47" s="345"/>
      <c r="G47" s="345"/>
      <c r="H47" s="345"/>
      <c r="I47" s="345"/>
    </row>
    <row r="48" spans="2:24">
      <c r="D48" s="345"/>
      <c r="E48" s="381"/>
      <c r="F48" s="381"/>
      <c r="G48" s="381"/>
      <c r="H48" s="381"/>
      <c r="I48" s="381"/>
    </row>
    <row r="49" spans="4:24">
      <c r="D49" s="345"/>
      <c r="E49" s="381"/>
      <c r="F49" s="381"/>
      <c r="G49" s="381"/>
      <c r="H49" s="381"/>
      <c r="I49" s="381"/>
    </row>
    <row r="50" spans="4:24">
      <c r="D50" s="370"/>
      <c r="E50" s="381"/>
      <c r="F50" s="381"/>
      <c r="G50" s="381"/>
      <c r="H50" s="381"/>
      <c r="I50" s="381"/>
      <c r="Q50" s="249"/>
      <c r="R50" s="249"/>
    </row>
    <row r="51" spans="4:24">
      <c r="D51" s="370"/>
      <c r="E51" s="381"/>
      <c r="F51" s="381"/>
      <c r="G51" s="381"/>
      <c r="H51" s="381"/>
      <c r="I51" s="381"/>
      <c r="Q51" s="388"/>
      <c r="R51" s="388"/>
    </row>
    <row r="52" spans="4:24">
      <c r="D52" s="370"/>
      <c r="M52" s="249"/>
      <c r="N52" s="249"/>
      <c r="O52" s="249"/>
      <c r="P52" s="249"/>
    </row>
    <row r="53" spans="4:24">
      <c r="D53" s="345"/>
      <c r="E53" s="381"/>
      <c r="F53" s="381"/>
      <c r="G53" s="381"/>
      <c r="H53" s="381"/>
      <c r="I53" s="381"/>
      <c r="L53" s="249"/>
      <c r="N53" s="388"/>
      <c r="O53" s="388"/>
      <c r="P53" s="388"/>
    </row>
    <row r="54" spans="4:24">
      <c r="D54" s="370"/>
      <c r="E54" s="381"/>
      <c r="F54" s="381"/>
      <c r="G54" s="381"/>
      <c r="H54" s="381"/>
      <c r="I54" s="381"/>
      <c r="Q54" s="249"/>
      <c r="R54" s="249"/>
    </row>
    <row r="55" spans="4:24">
      <c r="D55" s="370"/>
      <c r="E55" s="381"/>
      <c r="F55" s="381"/>
      <c r="G55" s="381"/>
      <c r="H55" s="381"/>
      <c r="I55" s="381"/>
      <c r="Q55" s="388"/>
      <c r="R55" s="388"/>
    </row>
    <row r="56" spans="4:24">
      <c r="D56" s="370"/>
      <c r="M56" s="249"/>
      <c r="N56" s="249"/>
      <c r="O56" s="249"/>
      <c r="P56" s="249"/>
    </row>
    <row r="57" spans="4:24">
      <c r="D57" s="370"/>
      <c r="L57" s="249"/>
      <c r="N57" s="388"/>
      <c r="O57" s="388"/>
      <c r="P57" s="388"/>
      <c r="Q57" s="249"/>
      <c r="R57" s="249"/>
    </row>
    <row r="58" spans="4:24">
      <c r="D58" s="370"/>
      <c r="J58" s="381"/>
      <c r="Q58" s="388"/>
      <c r="R58" s="388"/>
    </row>
    <row r="59" spans="4:24">
      <c r="D59" s="370"/>
      <c r="J59" s="381"/>
      <c r="M59" s="249"/>
      <c r="N59" s="249"/>
      <c r="O59" s="249"/>
      <c r="P59" s="249"/>
    </row>
    <row r="60" spans="4:24">
      <c r="D60" s="370"/>
      <c r="L60" s="249"/>
      <c r="N60" s="388"/>
      <c r="O60" s="388"/>
      <c r="P60" s="388"/>
      <c r="Q60" s="249"/>
      <c r="R60" s="249"/>
      <c r="S60" s="249"/>
      <c r="T60" s="249"/>
      <c r="U60" s="249"/>
      <c r="V60" s="249"/>
      <c r="W60" s="249"/>
      <c r="X60" s="249"/>
    </row>
    <row r="61" spans="4:24">
      <c r="D61" s="370"/>
      <c r="J61" s="381"/>
      <c r="K61" s="381"/>
      <c r="Q61" s="388"/>
      <c r="R61" s="388"/>
      <c r="S61" s="388"/>
      <c r="T61" s="388"/>
      <c r="U61" s="388"/>
      <c r="V61" s="388"/>
      <c r="W61" s="388"/>
      <c r="X61" s="388"/>
    </row>
    <row r="62" spans="4:24">
      <c r="D62" s="370"/>
      <c r="J62" s="381"/>
      <c r="K62" s="381"/>
      <c r="M62" s="249"/>
      <c r="N62" s="249"/>
      <c r="O62" s="249"/>
      <c r="P62" s="249"/>
    </row>
    <row r="63" spans="4:24">
      <c r="D63" s="370"/>
      <c r="J63" s="381"/>
      <c r="L63" s="249"/>
      <c r="N63" s="388"/>
      <c r="O63" s="388"/>
      <c r="P63" s="388"/>
      <c r="Q63" s="249"/>
      <c r="R63" s="249"/>
    </row>
    <row r="64" spans="4:24">
      <c r="D64" s="370"/>
      <c r="K64" s="381"/>
      <c r="Q64" s="388"/>
      <c r="R64" s="388"/>
      <c r="S64" s="249"/>
      <c r="T64" s="249"/>
      <c r="U64" s="249"/>
      <c r="V64" s="249"/>
      <c r="W64" s="249"/>
      <c r="X64" s="249"/>
    </row>
    <row r="65" spans="4:24">
      <c r="D65" s="345"/>
      <c r="E65" s="381"/>
      <c r="F65" s="381"/>
      <c r="G65" s="381"/>
      <c r="H65" s="381"/>
      <c r="I65" s="381"/>
      <c r="K65" s="381"/>
      <c r="M65" s="249"/>
      <c r="N65" s="249"/>
      <c r="O65" s="249"/>
      <c r="P65" s="249"/>
      <c r="Q65" s="389"/>
      <c r="R65" s="389"/>
      <c r="S65" s="388"/>
      <c r="T65" s="388"/>
      <c r="U65" s="388"/>
      <c r="V65" s="388"/>
      <c r="W65" s="388"/>
      <c r="X65" s="388"/>
    </row>
    <row r="66" spans="4:24">
      <c r="D66" s="370"/>
      <c r="J66" s="381"/>
      <c r="K66" s="381"/>
      <c r="L66" s="249"/>
      <c r="N66" s="388"/>
      <c r="O66" s="388"/>
      <c r="P66" s="388"/>
      <c r="Q66" s="388"/>
      <c r="R66" s="388"/>
    </row>
    <row r="67" spans="4:24">
      <c r="D67" s="370"/>
      <c r="J67" s="381"/>
      <c r="M67" s="389"/>
      <c r="N67" s="389"/>
      <c r="O67" s="389"/>
      <c r="P67" s="389"/>
      <c r="S67" s="249"/>
      <c r="T67" s="249"/>
      <c r="U67" s="249"/>
      <c r="V67" s="249"/>
      <c r="W67" s="249"/>
      <c r="X67" s="249"/>
    </row>
    <row r="68" spans="4:24">
      <c r="D68" s="345"/>
      <c r="E68" s="381"/>
      <c r="F68" s="381"/>
      <c r="G68" s="381"/>
      <c r="H68" s="381"/>
      <c r="I68" s="381"/>
      <c r="L68" s="389"/>
      <c r="N68" s="388"/>
      <c r="O68" s="388"/>
      <c r="P68" s="388"/>
      <c r="Q68" s="249"/>
      <c r="R68" s="249"/>
      <c r="S68" s="388"/>
      <c r="T68" s="388"/>
      <c r="U68" s="388"/>
      <c r="V68" s="388"/>
      <c r="W68" s="388"/>
      <c r="X68" s="388"/>
    </row>
    <row r="69" spans="4:24">
      <c r="D69" s="370"/>
      <c r="K69" s="381"/>
      <c r="Q69" s="390"/>
      <c r="R69" s="390"/>
    </row>
    <row r="70" spans="4:24">
      <c r="D70" s="345"/>
      <c r="E70" s="381"/>
      <c r="F70" s="381"/>
      <c r="G70" s="381"/>
      <c r="H70" s="381"/>
      <c r="I70" s="381"/>
      <c r="K70" s="381"/>
      <c r="M70" s="249"/>
      <c r="N70" s="249"/>
      <c r="O70" s="249"/>
      <c r="P70" s="249"/>
      <c r="Q70" s="249"/>
      <c r="R70" s="249"/>
      <c r="S70" s="249"/>
      <c r="T70" s="249"/>
      <c r="U70" s="249"/>
      <c r="V70" s="249"/>
      <c r="W70" s="249"/>
      <c r="X70" s="249"/>
    </row>
    <row r="71" spans="4:24">
      <c r="D71" s="370"/>
      <c r="E71" s="381"/>
      <c r="F71" s="381"/>
      <c r="G71" s="381"/>
      <c r="H71" s="381"/>
      <c r="I71" s="381"/>
      <c r="L71" s="249"/>
      <c r="N71" s="388"/>
      <c r="O71" s="388"/>
      <c r="P71" s="390"/>
      <c r="Q71" s="388"/>
      <c r="R71" s="388"/>
      <c r="S71" s="388"/>
      <c r="T71" s="388"/>
      <c r="U71" s="388"/>
      <c r="V71" s="388"/>
      <c r="W71" s="388"/>
      <c r="X71" s="388"/>
    </row>
    <row r="72" spans="4:24">
      <c r="D72" s="370"/>
      <c r="M72" s="249"/>
      <c r="N72" s="249"/>
      <c r="O72" s="249"/>
      <c r="P72" s="249"/>
      <c r="Q72" s="248"/>
      <c r="R72" s="248"/>
    </row>
    <row r="73" spans="4:24">
      <c r="D73" s="370"/>
      <c r="L73" s="249"/>
      <c r="N73" s="388"/>
      <c r="O73" s="388"/>
      <c r="P73" s="388"/>
      <c r="S73" s="249"/>
      <c r="T73" s="249"/>
      <c r="U73" s="249"/>
      <c r="V73" s="249"/>
      <c r="W73" s="249"/>
      <c r="X73" s="249"/>
    </row>
    <row r="74" spans="4:24">
      <c r="D74" s="345"/>
      <c r="E74" s="381"/>
      <c r="F74" s="381"/>
      <c r="G74" s="381"/>
      <c r="H74" s="381"/>
      <c r="I74" s="381"/>
      <c r="M74" s="248"/>
      <c r="N74" s="248"/>
      <c r="O74" s="248"/>
      <c r="P74" s="248"/>
      <c r="Q74" s="247"/>
      <c r="R74" s="247"/>
      <c r="S74" s="388"/>
      <c r="T74" s="388"/>
      <c r="U74" s="388"/>
      <c r="V74" s="388"/>
      <c r="W74" s="388"/>
      <c r="X74" s="388"/>
    </row>
    <row r="75" spans="4:24">
      <c r="D75" s="370"/>
      <c r="E75" s="381"/>
      <c r="F75" s="381"/>
      <c r="G75" s="381"/>
      <c r="H75" s="381"/>
      <c r="I75" s="381"/>
      <c r="L75" s="248"/>
      <c r="Q75" s="388"/>
      <c r="R75" s="388"/>
      <c r="S75" s="389"/>
      <c r="T75" s="389"/>
      <c r="U75" s="389"/>
      <c r="V75" s="389"/>
      <c r="W75" s="389"/>
      <c r="X75" s="389"/>
    </row>
    <row r="76" spans="4:24">
      <c r="D76" s="370"/>
      <c r="M76" s="247"/>
      <c r="N76" s="247"/>
      <c r="O76" s="247"/>
      <c r="P76" s="247"/>
      <c r="S76" s="388"/>
      <c r="T76" s="388"/>
      <c r="U76" s="388"/>
      <c r="V76" s="388"/>
      <c r="W76" s="388"/>
      <c r="X76" s="388"/>
    </row>
    <row r="77" spans="4:24">
      <c r="D77" s="345"/>
      <c r="E77" s="381"/>
      <c r="F77" s="381"/>
      <c r="G77" s="381"/>
      <c r="H77" s="381"/>
      <c r="I77" s="381"/>
      <c r="L77" s="247"/>
      <c r="N77" s="388"/>
      <c r="O77" s="388"/>
      <c r="P77" s="388"/>
      <c r="Q77" s="389"/>
      <c r="R77" s="389"/>
    </row>
    <row r="78" spans="4:24">
      <c r="D78" s="370"/>
      <c r="J78" s="381"/>
      <c r="Q78" s="388"/>
      <c r="R78" s="388"/>
      <c r="S78" s="249"/>
      <c r="T78" s="249"/>
      <c r="U78" s="249"/>
      <c r="V78" s="249"/>
      <c r="W78" s="249"/>
      <c r="X78" s="249"/>
    </row>
    <row r="79" spans="4:24">
      <c r="D79" s="370"/>
      <c r="J79" s="381"/>
      <c r="M79" s="389"/>
      <c r="N79" s="389"/>
      <c r="O79" s="389"/>
      <c r="P79" s="389"/>
      <c r="S79" s="390"/>
      <c r="T79" s="390"/>
      <c r="U79" s="390"/>
      <c r="V79" s="390"/>
      <c r="W79" s="390"/>
      <c r="X79" s="390"/>
    </row>
    <row r="80" spans="4:24">
      <c r="D80" s="345"/>
      <c r="E80" s="381"/>
      <c r="F80" s="381"/>
      <c r="G80" s="381"/>
      <c r="H80" s="381"/>
      <c r="I80" s="381"/>
      <c r="L80" s="389"/>
      <c r="N80" s="388"/>
      <c r="O80" s="388"/>
      <c r="P80" s="388"/>
      <c r="Q80" s="391"/>
      <c r="R80" s="391"/>
      <c r="S80" s="249"/>
      <c r="T80" s="249"/>
      <c r="U80" s="249"/>
      <c r="V80" s="249"/>
      <c r="W80" s="249"/>
      <c r="X80" s="249"/>
    </row>
    <row r="81" spans="4:24">
      <c r="D81" s="370"/>
      <c r="K81" s="381"/>
      <c r="Q81" s="388"/>
      <c r="R81" s="388"/>
      <c r="S81" s="388"/>
      <c r="T81" s="388"/>
      <c r="U81" s="388"/>
      <c r="V81" s="388"/>
      <c r="W81" s="388"/>
      <c r="X81" s="388"/>
    </row>
    <row r="82" spans="4:24">
      <c r="D82" s="370"/>
      <c r="J82" s="381"/>
      <c r="K82" s="381"/>
      <c r="M82" s="391"/>
      <c r="N82" s="391"/>
      <c r="O82" s="391"/>
      <c r="P82" s="391"/>
      <c r="Q82" s="248"/>
      <c r="R82" s="248"/>
      <c r="S82" s="248"/>
      <c r="T82" s="248"/>
      <c r="U82" s="248"/>
      <c r="V82" s="248"/>
      <c r="W82" s="248"/>
      <c r="X82" s="248"/>
    </row>
    <row r="83" spans="4:24">
      <c r="D83" s="370"/>
      <c r="J83" s="381"/>
      <c r="L83" s="391"/>
      <c r="N83" s="388"/>
      <c r="O83" s="388"/>
      <c r="P83" s="388"/>
    </row>
    <row r="84" spans="4:24">
      <c r="D84" s="370"/>
      <c r="F84" s="381"/>
      <c r="G84" s="381"/>
      <c r="H84" s="381"/>
      <c r="I84" s="381"/>
      <c r="N84" s="248"/>
      <c r="O84" s="248"/>
      <c r="P84" s="248"/>
      <c r="Q84" s="247"/>
      <c r="R84" s="247"/>
      <c r="S84" s="247"/>
      <c r="T84" s="247"/>
      <c r="U84" s="247"/>
      <c r="V84" s="247"/>
      <c r="W84" s="247"/>
      <c r="X84" s="247"/>
    </row>
    <row r="85" spans="4:24">
      <c r="D85" s="370"/>
      <c r="K85" s="381"/>
      <c r="Q85" s="388"/>
      <c r="R85" s="388"/>
      <c r="S85" s="388"/>
      <c r="T85" s="388"/>
      <c r="U85" s="388"/>
      <c r="V85" s="388"/>
      <c r="W85" s="388"/>
      <c r="X85" s="388"/>
    </row>
    <row r="86" spans="4:24">
      <c r="D86" s="370"/>
      <c r="F86" s="345"/>
      <c r="G86" s="345"/>
      <c r="H86" s="345"/>
      <c r="I86" s="345"/>
      <c r="J86" s="381"/>
      <c r="K86" s="381"/>
      <c r="M86" s="247"/>
      <c r="N86" s="247"/>
      <c r="O86" s="247"/>
      <c r="P86" s="247"/>
      <c r="Q86" s="274"/>
      <c r="R86" s="274"/>
    </row>
    <row r="87" spans="4:24">
      <c r="D87" s="370"/>
      <c r="E87" s="345"/>
      <c r="F87" s="345"/>
      <c r="G87" s="345"/>
      <c r="H87" s="345"/>
      <c r="I87" s="345"/>
      <c r="L87" s="247"/>
      <c r="N87" s="388"/>
      <c r="O87" s="388"/>
      <c r="P87" s="388"/>
      <c r="S87" s="389"/>
      <c r="T87" s="389"/>
      <c r="U87" s="389"/>
      <c r="V87" s="389"/>
      <c r="W87" s="389"/>
      <c r="X87" s="389"/>
    </row>
    <row r="88" spans="4:24">
      <c r="D88" s="370"/>
      <c r="M88" s="274"/>
      <c r="N88" s="274"/>
      <c r="O88" s="274"/>
      <c r="P88" s="274"/>
      <c r="Q88" s="389"/>
      <c r="R88" s="389"/>
      <c r="S88" s="388"/>
      <c r="T88" s="388"/>
      <c r="U88" s="388"/>
      <c r="V88" s="388"/>
      <c r="W88" s="388"/>
      <c r="X88" s="388"/>
    </row>
    <row r="89" spans="4:24">
      <c r="D89" s="370"/>
      <c r="K89" s="381"/>
      <c r="L89" s="274"/>
      <c r="Q89" s="388"/>
      <c r="R89" s="388"/>
    </row>
    <row r="90" spans="4:24">
      <c r="D90" s="370"/>
      <c r="M90" s="389"/>
      <c r="N90" s="389"/>
      <c r="O90" s="389"/>
      <c r="P90" s="389"/>
      <c r="S90" s="391"/>
      <c r="T90" s="391"/>
      <c r="U90" s="391"/>
      <c r="V90" s="391"/>
      <c r="W90" s="391"/>
      <c r="X90" s="391"/>
    </row>
    <row r="91" spans="4:24">
      <c r="D91" s="345"/>
      <c r="E91" s="381"/>
      <c r="F91" s="381"/>
      <c r="G91" s="381"/>
      <c r="H91" s="381"/>
      <c r="I91" s="381"/>
      <c r="L91" s="389"/>
      <c r="N91" s="388"/>
      <c r="O91" s="388"/>
      <c r="P91" s="388"/>
      <c r="S91" s="388"/>
      <c r="T91" s="388"/>
      <c r="U91" s="388"/>
      <c r="V91" s="388"/>
      <c r="W91" s="388"/>
      <c r="X91" s="388"/>
    </row>
    <row r="92" spans="4:24">
      <c r="D92" s="345"/>
      <c r="E92" s="381"/>
      <c r="F92" s="381"/>
      <c r="G92" s="381"/>
      <c r="H92" s="381"/>
      <c r="I92" s="381"/>
      <c r="Q92" s="249"/>
      <c r="R92" s="249"/>
      <c r="S92" s="248"/>
      <c r="T92" s="248"/>
      <c r="U92" s="248"/>
      <c r="V92" s="248"/>
      <c r="W92" s="248"/>
      <c r="X92" s="248"/>
    </row>
    <row r="93" spans="4:24">
      <c r="D93" s="370"/>
      <c r="E93" s="381"/>
      <c r="F93" s="381"/>
      <c r="G93" s="381"/>
      <c r="H93" s="381"/>
      <c r="I93" s="381"/>
      <c r="Q93" s="388"/>
      <c r="R93" s="388"/>
    </row>
    <row r="94" spans="4:24">
      <c r="D94" s="370"/>
      <c r="E94" s="381"/>
      <c r="F94" s="381"/>
      <c r="G94" s="381"/>
      <c r="H94" s="381"/>
      <c r="I94" s="381"/>
      <c r="M94" s="249"/>
      <c r="N94" s="249"/>
      <c r="O94" s="249"/>
      <c r="P94" s="249"/>
      <c r="S94" s="247"/>
      <c r="T94" s="247"/>
      <c r="U94" s="247"/>
      <c r="V94" s="247"/>
      <c r="W94" s="247"/>
      <c r="X94" s="247"/>
    </row>
    <row r="95" spans="4:24">
      <c r="D95" s="370"/>
      <c r="L95" s="249"/>
      <c r="N95" s="388"/>
      <c r="O95" s="388"/>
      <c r="P95" s="388"/>
      <c r="Q95" s="249"/>
      <c r="R95" s="249"/>
      <c r="S95" s="388"/>
      <c r="T95" s="388"/>
      <c r="U95" s="388"/>
      <c r="V95" s="388"/>
      <c r="W95" s="388"/>
      <c r="X95" s="388"/>
    </row>
    <row r="96" spans="4:24">
      <c r="D96" s="345"/>
      <c r="E96" s="381"/>
      <c r="F96" s="381"/>
      <c r="G96" s="381"/>
      <c r="H96" s="381"/>
      <c r="I96" s="381"/>
      <c r="Q96" s="390"/>
      <c r="R96" s="390"/>
      <c r="S96" s="274"/>
      <c r="T96" s="274"/>
      <c r="U96" s="274"/>
      <c r="V96" s="274"/>
      <c r="W96" s="274"/>
      <c r="X96" s="274"/>
    </row>
    <row r="97" spans="4:24">
      <c r="D97" s="370"/>
      <c r="E97" s="381"/>
      <c r="F97" s="381"/>
      <c r="G97" s="381"/>
      <c r="H97" s="381"/>
      <c r="I97" s="381"/>
      <c r="M97" s="249"/>
      <c r="N97" s="249"/>
      <c r="O97" s="249"/>
      <c r="P97" s="249"/>
    </row>
    <row r="98" spans="4:24">
      <c r="D98" s="370"/>
      <c r="E98" s="381"/>
      <c r="F98" s="381"/>
      <c r="G98" s="381"/>
      <c r="H98" s="381"/>
      <c r="I98" s="381"/>
      <c r="L98" s="249"/>
      <c r="N98" s="388"/>
      <c r="O98" s="388"/>
      <c r="P98" s="390"/>
      <c r="Q98" s="389"/>
      <c r="R98" s="389"/>
      <c r="S98" s="389"/>
      <c r="T98" s="389"/>
      <c r="U98" s="389"/>
      <c r="V98" s="389"/>
      <c r="W98" s="389"/>
      <c r="X98" s="389"/>
    </row>
    <row r="99" spans="4:24">
      <c r="D99" s="370"/>
      <c r="Q99" s="392"/>
      <c r="R99" s="392"/>
      <c r="S99" s="388"/>
      <c r="T99" s="388"/>
      <c r="U99" s="388"/>
      <c r="V99" s="388"/>
      <c r="W99" s="388"/>
      <c r="X99" s="388"/>
    </row>
    <row r="100" spans="4:24">
      <c r="D100" s="370"/>
      <c r="M100" s="389"/>
      <c r="N100" s="389"/>
      <c r="O100" s="389"/>
      <c r="P100" s="389"/>
      <c r="Q100" s="392"/>
      <c r="R100" s="392"/>
    </row>
    <row r="101" spans="4:24">
      <c r="D101" s="370"/>
      <c r="J101" s="381"/>
      <c r="L101" s="389"/>
      <c r="N101" s="392"/>
      <c r="O101" s="392"/>
      <c r="P101" s="392"/>
    </row>
    <row r="102" spans="4:24">
      <c r="D102" s="370"/>
      <c r="J102" s="381"/>
      <c r="M102" s="392"/>
      <c r="N102" s="392"/>
      <c r="O102" s="392"/>
      <c r="P102" s="392"/>
      <c r="Q102" s="388"/>
      <c r="R102" s="388"/>
      <c r="S102" s="249"/>
      <c r="T102" s="249"/>
      <c r="U102" s="249"/>
      <c r="V102" s="249"/>
      <c r="W102" s="249"/>
      <c r="X102" s="249"/>
    </row>
    <row r="103" spans="4:24">
      <c r="D103" s="370"/>
      <c r="L103" s="392"/>
      <c r="Q103" s="389"/>
      <c r="R103" s="389"/>
      <c r="S103" s="388"/>
      <c r="T103" s="388"/>
      <c r="U103" s="388"/>
      <c r="V103" s="388"/>
      <c r="W103" s="388"/>
      <c r="X103" s="388"/>
    </row>
    <row r="104" spans="4:24">
      <c r="D104" s="370"/>
      <c r="J104" s="381"/>
      <c r="K104" s="381"/>
      <c r="M104" s="388"/>
      <c r="N104" s="388"/>
      <c r="O104" s="388"/>
      <c r="P104" s="388"/>
      <c r="R104" s="392"/>
    </row>
    <row r="105" spans="4:24">
      <c r="D105" s="370"/>
      <c r="J105" s="381"/>
      <c r="K105" s="381"/>
      <c r="L105" s="388"/>
      <c r="M105" s="389"/>
      <c r="N105" s="389"/>
      <c r="O105" s="389"/>
      <c r="P105" s="389"/>
      <c r="S105" s="249"/>
      <c r="T105" s="249"/>
      <c r="U105" s="249"/>
      <c r="V105" s="249"/>
      <c r="W105" s="249"/>
      <c r="X105" s="249"/>
    </row>
    <row r="106" spans="4:24">
      <c r="D106" s="370"/>
      <c r="J106" s="381"/>
      <c r="L106" s="389"/>
      <c r="Q106" s="389"/>
      <c r="R106" s="389"/>
      <c r="S106" s="390"/>
      <c r="T106" s="390"/>
      <c r="U106" s="390"/>
      <c r="V106" s="390"/>
      <c r="W106" s="390"/>
      <c r="X106" s="390"/>
    </row>
    <row r="107" spans="4:24">
      <c r="D107" s="370"/>
      <c r="K107" s="381"/>
      <c r="Q107" s="392"/>
      <c r="R107" s="392"/>
    </row>
    <row r="108" spans="4:24">
      <c r="D108" s="345"/>
      <c r="E108" s="381"/>
      <c r="F108" s="381"/>
      <c r="G108" s="381"/>
      <c r="H108" s="381"/>
      <c r="I108" s="381"/>
      <c r="K108" s="381"/>
      <c r="M108" s="389"/>
      <c r="N108" s="389"/>
      <c r="O108" s="389"/>
      <c r="P108" s="389"/>
      <c r="S108" s="389"/>
      <c r="T108" s="389"/>
      <c r="U108" s="389"/>
      <c r="V108" s="389"/>
      <c r="W108" s="389"/>
      <c r="X108" s="389"/>
    </row>
    <row r="109" spans="4:24">
      <c r="D109" s="370"/>
      <c r="J109" s="381"/>
      <c r="K109" s="381"/>
      <c r="L109" s="389"/>
      <c r="N109" s="392"/>
      <c r="O109" s="392"/>
      <c r="P109" s="392"/>
      <c r="S109" s="392"/>
      <c r="T109" s="392"/>
      <c r="U109" s="392"/>
      <c r="V109" s="392"/>
      <c r="W109" s="392"/>
      <c r="X109" s="392"/>
    </row>
    <row r="110" spans="4:24">
      <c r="D110" s="370"/>
      <c r="J110" s="381"/>
      <c r="S110" s="392"/>
      <c r="T110" s="392"/>
      <c r="U110" s="392"/>
      <c r="V110" s="392"/>
      <c r="W110" s="392"/>
      <c r="X110" s="392"/>
    </row>
    <row r="111" spans="4:24">
      <c r="D111" s="345"/>
      <c r="E111" s="381"/>
      <c r="F111" s="381"/>
      <c r="G111" s="381"/>
      <c r="H111" s="381"/>
      <c r="I111" s="381"/>
    </row>
    <row r="112" spans="4:24">
      <c r="D112" s="370"/>
      <c r="K112" s="381"/>
      <c r="S112" s="388"/>
      <c r="T112" s="388"/>
      <c r="U112" s="388"/>
      <c r="V112" s="388"/>
      <c r="W112" s="388"/>
      <c r="X112" s="388"/>
    </row>
    <row r="113" spans="4:24">
      <c r="D113" s="345"/>
      <c r="E113" s="381"/>
      <c r="F113" s="381"/>
      <c r="G113" s="381"/>
      <c r="H113" s="381"/>
      <c r="I113" s="381"/>
      <c r="K113" s="381"/>
      <c r="S113" s="389"/>
      <c r="T113" s="389"/>
      <c r="U113" s="389"/>
      <c r="V113" s="389"/>
      <c r="W113" s="389"/>
      <c r="X113" s="389"/>
    </row>
    <row r="114" spans="4:24">
      <c r="D114" s="370"/>
      <c r="E114" s="381"/>
      <c r="F114" s="381"/>
      <c r="G114" s="381"/>
      <c r="H114" s="381"/>
      <c r="I114" s="381"/>
      <c r="S114" s="392"/>
      <c r="T114" s="392"/>
      <c r="U114" s="392"/>
      <c r="V114" s="392"/>
      <c r="W114" s="392"/>
      <c r="X114" s="392"/>
    </row>
    <row r="115" spans="4:24">
      <c r="D115" s="370"/>
    </row>
    <row r="116" spans="4:24">
      <c r="D116" s="370"/>
      <c r="S116" s="389"/>
      <c r="T116" s="389"/>
      <c r="U116" s="389"/>
      <c r="V116" s="389"/>
      <c r="W116" s="389"/>
      <c r="X116" s="389"/>
    </row>
    <row r="117" spans="4:24">
      <c r="D117" s="345"/>
      <c r="E117" s="381"/>
      <c r="F117" s="381"/>
      <c r="G117" s="381"/>
      <c r="H117" s="381"/>
      <c r="I117" s="381"/>
      <c r="S117" s="392"/>
      <c r="T117" s="392"/>
      <c r="U117" s="392"/>
      <c r="V117" s="392"/>
      <c r="W117" s="392"/>
      <c r="X117" s="392"/>
    </row>
    <row r="118" spans="4:24">
      <c r="D118" s="370"/>
      <c r="E118" s="381"/>
      <c r="F118" s="381"/>
      <c r="G118" s="381"/>
      <c r="H118" s="381"/>
      <c r="I118" s="381"/>
    </row>
    <row r="119" spans="4:24">
      <c r="D119" s="370"/>
    </row>
    <row r="120" spans="4:24">
      <c r="D120" s="345"/>
      <c r="E120" s="381"/>
      <c r="F120" s="381"/>
      <c r="G120" s="381"/>
      <c r="H120" s="381"/>
      <c r="I120" s="381"/>
    </row>
    <row r="121" spans="4:24">
      <c r="D121" s="370"/>
      <c r="J121" s="381"/>
    </row>
    <row r="122" spans="4:24">
      <c r="D122" s="370"/>
      <c r="J122" s="381"/>
    </row>
    <row r="123" spans="4:24">
      <c r="D123" s="345"/>
      <c r="E123" s="381"/>
      <c r="F123" s="381"/>
      <c r="G123" s="381"/>
      <c r="H123" s="381"/>
      <c r="I123" s="381"/>
    </row>
    <row r="124" spans="4:24">
      <c r="D124" s="370"/>
      <c r="K124" s="381"/>
    </row>
    <row r="125" spans="4:24">
      <c r="D125" s="370"/>
      <c r="J125" s="381"/>
      <c r="K125" s="381"/>
    </row>
    <row r="126" spans="4:24">
      <c r="D126" s="370"/>
      <c r="J126" s="381"/>
    </row>
    <row r="127" spans="4:24">
      <c r="D127" s="345"/>
      <c r="E127" s="381"/>
      <c r="F127" s="381"/>
      <c r="G127" s="381"/>
      <c r="H127" s="381"/>
      <c r="I127" s="381"/>
    </row>
    <row r="128" spans="4:24">
      <c r="D128" s="370"/>
      <c r="K128" s="381"/>
    </row>
    <row r="129" spans="4:11">
      <c r="D129" s="370"/>
      <c r="E129" s="345"/>
      <c r="F129" s="345"/>
      <c r="G129" s="345"/>
      <c r="H129" s="345"/>
      <c r="I129" s="345"/>
      <c r="J129" s="381"/>
      <c r="K129" s="381"/>
    </row>
    <row r="130" spans="4:11">
      <c r="D130" s="370"/>
      <c r="E130" s="345"/>
      <c r="F130" s="345"/>
      <c r="G130" s="345"/>
      <c r="H130" s="345"/>
      <c r="I130" s="345"/>
    </row>
    <row r="131" spans="4:11">
      <c r="D131" s="370"/>
    </row>
    <row r="132" spans="4:11">
      <c r="D132" s="370"/>
      <c r="K132" s="381"/>
    </row>
    <row r="134" spans="4:11">
      <c r="D134" s="345"/>
      <c r="E134" s="381"/>
      <c r="F134" s="381"/>
      <c r="G134" s="381"/>
      <c r="H134" s="381"/>
      <c r="I134" s="381"/>
    </row>
    <row r="135" spans="4:11">
      <c r="D135" s="345"/>
      <c r="E135" s="381"/>
      <c r="F135" s="381"/>
      <c r="G135" s="381"/>
      <c r="H135" s="381"/>
      <c r="I135" s="381"/>
    </row>
    <row r="136" spans="4:11">
      <c r="D136" s="370"/>
      <c r="E136" s="381"/>
      <c r="F136" s="381"/>
      <c r="G136" s="381"/>
      <c r="H136" s="381"/>
      <c r="I136" s="381"/>
    </row>
    <row r="137" spans="4:11">
      <c r="D137" s="370"/>
      <c r="E137" s="381"/>
      <c r="F137" s="381"/>
      <c r="G137" s="381"/>
      <c r="H137" s="381"/>
      <c r="I137" s="381"/>
    </row>
    <row r="138" spans="4:11">
      <c r="D138" s="370"/>
    </row>
    <row r="139" spans="4:11">
      <c r="D139" s="345"/>
      <c r="E139" s="381"/>
      <c r="F139" s="381"/>
      <c r="G139" s="381"/>
      <c r="H139" s="381"/>
      <c r="I139" s="381"/>
    </row>
    <row r="140" spans="4:11">
      <c r="D140" s="370"/>
      <c r="E140" s="381"/>
      <c r="F140" s="381"/>
      <c r="G140" s="381"/>
      <c r="H140" s="381"/>
      <c r="I140" s="381"/>
    </row>
    <row r="141" spans="4:11">
      <c r="D141" s="370"/>
      <c r="E141" s="381"/>
      <c r="F141" s="381"/>
      <c r="G141" s="381"/>
      <c r="H141" s="381"/>
      <c r="I141" s="381"/>
    </row>
    <row r="142" spans="4:11">
      <c r="D142" s="370"/>
    </row>
    <row r="143" spans="4:11">
      <c r="D143" s="370"/>
    </row>
    <row r="144" spans="4:11">
      <c r="D144" s="370"/>
      <c r="J144" s="381"/>
    </row>
    <row r="145" spans="4:11">
      <c r="D145" s="370"/>
      <c r="J145" s="381"/>
    </row>
    <row r="146" spans="4:11">
      <c r="D146" s="370"/>
    </row>
    <row r="147" spans="4:11">
      <c r="D147" s="370"/>
      <c r="J147" s="381"/>
      <c r="K147" s="381"/>
    </row>
    <row r="148" spans="4:11">
      <c r="D148" s="370"/>
      <c r="J148" s="381"/>
      <c r="K148" s="381"/>
    </row>
    <row r="149" spans="4:11">
      <c r="D149" s="370"/>
      <c r="J149" s="381"/>
    </row>
    <row r="150" spans="4:11">
      <c r="D150" s="370"/>
      <c r="K150" s="381"/>
    </row>
    <row r="151" spans="4:11">
      <c r="D151" s="345"/>
      <c r="E151" s="381"/>
      <c r="F151" s="381"/>
      <c r="G151" s="381"/>
      <c r="H151" s="381"/>
      <c r="I151" s="381"/>
      <c r="K151" s="381"/>
    </row>
    <row r="152" spans="4:11">
      <c r="D152" s="370"/>
      <c r="J152" s="381"/>
      <c r="K152" s="381"/>
    </row>
    <row r="153" spans="4:11">
      <c r="D153" s="370"/>
      <c r="J153" s="381"/>
    </row>
    <row r="154" spans="4:11">
      <c r="D154" s="345"/>
      <c r="E154" s="381"/>
      <c r="F154" s="381"/>
      <c r="G154" s="381"/>
      <c r="H154" s="381"/>
      <c r="I154" s="381"/>
    </row>
    <row r="155" spans="4:11">
      <c r="D155" s="370"/>
      <c r="K155" s="381"/>
    </row>
    <row r="156" spans="4:11">
      <c r="D156" s="345"/>
      <c r="E156" s="381"/>
      <c r="F156" s="381"/>
      <c r="G156" s="381"/>
      <c r="H156" s="381"/>
      <c r="I156" s="381"/>
      <c r="K156" s="381"/>
    </row>
    <row r="157" spans="4:11">
      <c r="D157" s="370"/>
      <c r="E157" s="381"/>
      <c r="F157" s="381"/>
      <c r="G157" s="381"/>
      <c r="H157" s="381"/>
      <c r="I157" s="381"/>
    </row>
    <row r="158" spans="4:11">
      <c r="D158" s="370"/>
    </row>
    <row r="159" spans="4:11">
      <c r="D159" s="370"/>
    </row>
    <row r="160" spans="4:11">
      <c r="D160" s="345"/>
      <c r="E160" s="381"/>
      <c r="F160" s="381"/>
      <c r="G160" s="381"/>
      <c r="H160" s="381"/>
      <c r="I160" s="381"/>
    </row>
    <row r="161" spans="4:11">
      <c r="D161" s="370"/>
      <c r="E161" s="381"/>
      <c r="F161" s="381"/>
      <c r="G161" s="381"/>
      <c r="H161" s="381"/>
      <c r="I161" s="381"/>
    </row>
    <row r="162" spans="4:11">
      <c r="D162" s="370"/>
    </row>
    <row r="163" spans="4:11">
      <c r="D163" s="345"/>
      <c r="E163" s="381"/>
      <c r="F163" s="381"/>
      <c r="G163" s="381"/>
      <c r="H163" s="381"/>
      <c r="I163" s="381"/>
    </row>
    <row r="164" spans="4:11">
      <c r="D164" s="370"/>
      <c r="J164" s="381"/>
    </row>
    <row r="165" spans="4:11">
      <c r="D165" s="370"/>
      <c r="J165" s="381"/>
    </row>
    <row r="166" spans="4:11">
      <c r="D166" s="345"/>
      <c r="E166" s="381"/>
      <c r="F166" s="381"/>
      <c r="G166" s="381"/>
      <c r="H166" s="381"/>
      <c r="I166" s="381"/>
    </row>
    <row r="167" spans="4:11">
      <c r="D167" s="370"/>
      <c r="K167" s="381"/>
    </row>
    <row r="168" spans="4:11">
      <c r="D168" s="370"/>
      <c r="J168" s="381"/>
      <c r="K168" s="381"/>
    </row>
    <row r="169" spans="4:11">
      <c r="D169" s="370"/>
      <c r="J169" s="381"/>
    </row>
    <row r="170" spans="4:11">
      <c r="D170" s="345"/>
      <c r="E170" s="381"/>
      <c r="F170" s="381"/>
      <c r="G170" s="381"/>
      <c r="H170" s="381"/>
      <c r="I170" s="381"/>
    </row>
    <row r="171" spans="4:11">
      <c r="D171" s="370"/>
      <c r="K171" s="381"/>
    </row>
    <row r="172" spans="4:11">
      <c r="D172" s="370"/>
      <c r="E172" s="345"/>
      <c r="F172" s="345"/>
      <c r="G172" s="345"/>
      <c r="H172" s="345"/>
      <c r="I172" s="345"/>
      <c r="J172" s="381"/>
      <c r="K172" s="381"/>
    </row>
    <row r="173" spans="4:11">
      <c r="D173" s="370"/>
      <c r="E173" s="345"/>
      <c r="F173" s="345"/>
      <c r="G173" s="345"/>
      <c r="H173" s="345"/>
      <c r="I173" s="345"/>
    </row>
    <row r="174" spans="4:11">
      <c r="D174" s="370"/>
    </row>
    <row r="175" spans="4:11">
      <c r="D175" s="370"/>
      <c r="K175" s="381"/>
    </row>
    <row r="176" spans="4:11">
      <c r="D176" s="370"/>
    </row>
    <row r="177" spans="4:11">
      <c r="D177" s="345"/>
      <c r="E177" s="381"/>
      <c r="F177" s="381"/>
      <c r="G177" s="381"/>
      <c r="H177" s="381"/>
      <c r="I177" s="381"/>
    </row>
    <row r="178" spans="4:11">
      <c r="D178" s="345"/>
      <c r="E178" s="381"/>
      <c r="F178" s="381"/>
      <c r="G178" s="381"/>
      <c r="H178" s="381"/>
      <c r="I178" s="381"/>
    </row>
    <row r="179" spans="4:11">
      <c r="D179" s="370"/>
      <c r="E179" s="381"/>
      <c r="F179" s="381"/>
      <c r="G179" s="381"/>
      <c r="H179" s="381"/>
      <c r="I179" s="381"/>
    </row>
    <row r="180" spans="4:11">
      <c r="D180" s="370"/>
      <c r="E180" s="381"/>
      <c r="F180" s="381"/>
      <c r="G180" s="381"/>
      <c r="H180" s="381"/>
      <c r="I180" s="381"/>
    </row>
    <row r="181" spans="4:11">
      <c r="D181" s="370"/>
    </row>
    <row r="182" spans="4:11">
      <c r="D182" s="345"/>
      <c r="E182" s="381"/>
      <c r="F182" s="381"/>
      <c r="G182" s="381"/>
      <c r="H182" s="381"/>
      <c r="I182" s="381"/>
    </row>
    <row r="183" spans="4:11">
      <c r="D183" s="370"/>
      <c r="E183" s="381"/>
      <c r="F183" s="381"/>
      <c r="G183" s="381"/>
      <c r="H183" s="381"/>
      <c r="I183" s="381"/>
    </row>
    <row r="184" spans="4:11">
      <c r="D184" s="370"/>
      <c r="E184" s="381"/>
      <c r="F184" s="381"/>
      <c r="G184" s="381"/>
      <c r="H184" s="381"/>
      <c r="I184" s="381"/>
    </row>
    <row r="185" spans="4:11">
      <c r="D185" s="370"/>
    </row>
    <row r="186" spans="4:11">
      <c r="D186" s="370"/>
    </row>
    <row r="187" spans="4:11">
      <c r="D187" s="370"/>
      <c r="J187" s="381"/>
    </row>
    <row r="188" spans="4:11">
      <c r="D188" s="370"/>
      <c r="J188" s="381"/>
    </row>
    <row r="189" spans="4:11">
      <c r="D189" s="370"/>
    </row>
    <row r="190" spans="4:11">
      <c r="D190" s="370"/>
      <c r="J190" s="381"/>
      <c r="K190" s="381"/>
    </row>
    <row r="191" spans="4:11">
      <c r="D191" s="370"/>
      <c r="J191" s="381"/>
      <c r="K191" s="381"/>
    </row>
    <row r="192" spans="4:11">
      <c r="D192" s="370"/>
      <c r="J192" s="381"/>
    </row>
    <row r="193" spans="4:11">
      <c r="D193" s="370"/>
      <c r="K193" s="381"/>
    </row>
    <row r="194" spans="4:11">
      <c r="D194" s="345"/>
      <c r="E194" s="381"/>
      <c r="F194" s="381"/>
      <c r="G194" s="381"/>
      <c r="H194" s="381"/>
      <c r="I194" s="381"/>
      <c r="K194" s="381"/>
    </row>
    <row r="195" spans="4:11">
      <c r="D195" s="370"/>
      <c r="J195" s="381"/>
      <c r="K195" s="381"/>
    </row>
    <row r="196" spans="4:11">
      <c r="D196" s="370"/>
      <c r="J196" s="381"/>
    </row>
    <row r="197" spans="4:11">
      <c r="D197" s="345"/>
      <c r="E197" s="381"/>
      <c r="F197" s="381"/>
      <c r="G197" s="381"/>
      <c r="H197" s="381"/>
      <c r="I197" s="381"/>
    </row>
    <row r="198" spans="4:11">
      <c r="D198" s="370"/>
      <c r="K198" s="381"/>
    </row>
    <row r="199" spans="4:11">
      <c r="D199" s="345"/>
      <c r="E199" s="381"/>
      <c r="F199" s="381"/>
      <c r="G199" s="381"/>
      <c r="H199" s="381"/>
      <c r="I199" s="381"/>
      <c r="K199" s="381"/>
    </row>
    <row r="200" spans="4:11">
      <c r="D200" s="370"/>
      <c r="E200" s="381"/>
      <c r="F200" s="381"/>
      <c r="G200" s="381"/>
      <c r="H200" s="381"/>
      <c r="I200" s="381"/>
    </row>
    <row r="201" spans="4:11">
      <c r="D201" s="370"/>
    </row>
    <row r="202" spans="4:11">
      <c r="D202" s="370"/>
    </row>
    <row r="203" spans="4:11">
      <c r="D203" s="345"/>
      <c r="E203" s="381"/>
      <c r="F203" s="381"/>
      <c r="G203" s="381"/>
      <c r="H203" s="381"/>
      <c r="I203" s="381"/>
    </row>
    <row r="204" spans="4:11">
      <c r="D204" s="370"/>
      <c r="E204" s="381"/>
      <c r="F204" s="381"/>
      <c r="G204" s="381"/>
      <c r="H204" s="381"/>
      <c r="I204" s="381"/>
    </row>
    <row r="205" spans="4:11">
      <c r="D205" s="370"/>
    </row>
    <row r="206" spans="4:11">
      <c r="D206" s="345"/>
      <c r="E206" s="381"/>
      <c r="F206" s="381"/>
      <c r="G206" s="381"/>
      <c r="H206" s="381"/>
      <c r="I206" s="381"/>
    </row>
    <row r="207" spans="4:11">
      <c r="D207" s="370"/>
      <c r="J207" s="381"/>
    </row>
    <row r="208" spans="4:11">
      <c r="D208" s="370"/>
      <c r="J208" s="381"/>
    </row>
    <row r="209" spans="4:11">
      <c r="D209" s="345"/>
      <c r="E209" s="381"/>
      <c r="F209" s="381"/>
      <c r="G209" s="381"/>
      <c r="H209" s="381"/>
      <c r="I209" s="381"/>
    </row>
    <row r="210" spans="4:11">
      <c r="D210" s="370"/>
      <c r="K210" s="381"/>
    </row>
    <row r="211" spans="4:11">
      <c r="D211" s="370"/>
      <c r="J211" s="381"/>
      <c r="K211" s="381"/>
    </row>
    <row r="212" spans="4:11">
      <c r="D212" s="370"/>
      <c r="J212" s="381"/>
    </row>
    <row r="213" spans="4:11">
      <c r="D213" s="345"/>
      <c r="E213" s="381"/>
      <c r="F213" s="381"/>
      <c r="G213" s="381"/>
      <c r="H213" s="381"/>
      <c r="I213" s="381"/>
    </row>
    <row r="214" spans="4:11">
      <c r="D214" s="370"/>
      <c r="K214" s="381"/>
    </row>
    <row r="215" spans="4:11">
      <c r="D215" s="370"/>
      <c r="E215" s="345"/>
      <c r="F215" s="345"/>
      <c r="G215" s="345"/>
      <c r="H215" s="345"/>
      <c r="I215" s="345"/>
      <c r="J215" s="381"/>
      <c r="K215" s="381"/>
    </row>
    <row r="216" spans="4:11">
      <c r="D216" s="370"/>
      <c r="E216" s="345"/>
      <c r="F216" s="345"/>
      <c r="G216" s="345"/>
      <c r="H216" s="345"/>
      <c r="I216" s="345"/>
    </row>
    <row r="217" spans="4:11">
      <c r="D217" s="370"/>
    </row>
    <row r="218" spans="4:11">
      <c r="D218" s="370"/>
      <c r="K218" s="381"/>
    </row>
    <row r="219" spans="4:11">
      <c r="D219" s="370"/>
    </row>
    <row r="220" spans="4:11">
      <c r="D220" s="345"/>
      <c r="E220" s="381"/>
      <c r="F220" s="381"/>
      <c r="G220" s="381"/>
      <c r="H220" s="381"/>
      <c r="I220" s="381"/>
    </row>
    <row r="221" spans="4:11">
      <c r="D221" s="345"/>
      <c r="E221" s="381"/>
      <c r="F221" s="381"/>
      <c r="G221" s="381"/>
      <c r="H221" s="381"/>
      <c r="I221" s="381"/>
    </row>
    <row r="222" spans="4:11">
      <c r="D222" s="370"/>
      <c r="E222" s="381"/>
      <c r="F222" s="381"/>
      <c r="G222" s="381"/>
      <c r="H222" s="381"/>
      <c r="I222" s="381"/>
    </row>
    <row r="223" spans="4:11">
      <c r="D223" s="370"/>
      <c r="E223" s="381"/>
      <c r="F223" s="381"/>
      <c r="G223" s="381"/>
      <c r="H223" s="381"/>
      <c r="I223" s="381"/>
    </row>
    <row r="224" spans="4:11">
      <c r="D224" s="370"/>
    </row>
    <row r="225" spans="4:11">
      <c r="D225" s="345"/>
      <c r="E225" s="381"/>
      <c r="F225" s="381"/>
      <c r="G225" s="381"/>
      <c r="H225" s="381"/>
      <c r="I225" s="381"/>
    </row>
    <row r="226" spans="4:11">
      <c r="D226" s="370"/>
      <c r="E226" s="381"/>
      <c r="F226" s="381"/>
      <c r="G226" s="381"/>
      <c r="H226" s="381"/>
      <c r="I226" s="381"/>
    </row>
    <row r="227" spans="4:11">
      <c r="D227" s="370"/>
      <c r="E227" s="381"/>
      <c r="F227" s="381"/>
      <c r="G227" s="381"/>
      <c r="H227" s="381"/>
      <c r="I227" s="381"/>
    </row>
    <row r="228" spans="4:11">
      <c r="D228" s="370"/>
    </row>
    <row r="229" spans="4:11">
      <c r="D229" s="370"/>
    </row>
    <row r="230" spans="4:11">
      <c r="D230" s="370"/>
      <c r="J230" s="381"/>
    </row>
    <row r="231" spans="4:11">
      <c r="D231" s="370"/>
      <c r="J231" s="381"/>
    </row>
    <row r="232" spans="4:11">
      <c r="D232" s="370"/>
    </row>
    <row r="233" spans="4:11">
      <c r="D233" s="370"/>
      <c r="J233" s="381"/>
      <c r="K233" s="381"/>
    </row>
    <row r="234" spans="4:11">
      <c r="D234" s="370"/>
      <c r="J234" s="381"/>
      <c r="K234" s="381"/>
    </row>
    <row r="235" spans="4:11">
      <c r="D235" s="370"/>
      <c r="J235" s="381"/>
    </row>
    <row r="236" spans="4:11">
      <c r="D236" s="370"/>
      <c r="K236" s="381"/>
    </row>
    <row r="237" spans="4:11">
      <c r="D237" s="345"/>
      <c r="E237" s="381"/>
      <c r="F237" s="381"/>
      <c r="G237" s="381"/>
      <c r="H237" s="381"/>
      <c r="I237" s="381"/>
      <c r="K237" s="381"/>
    </row>
    <row r="238" spans="4:11">
      <c r="D238" s="370"/>
      <c r="J238" s="381"/>
      <c r="K238" s="381"/>
    </row>
    <row r="239" spans="4:11">
      <c r="D239" s="370"/>
      <c r="J239" s="381"/>
    </row>
    <row r="240" spans="4:11">
      <c r="D240" s="345"/>
      <c r="E240" s="381"/>
      <c r="F240" s="381"/>
      <c r="G240" s="381"/>
      <c r="H240" s="381"/>
      <c r="I240" s="381"/>
    </row>
    <row r="241" spans="4:11">
      <c r="D241" s="370"/>
      <c r="K241" s="381"/>
    </row>
    <row r="242" spans="4:11">
      <c r="D242" s="345"/>
      <c r="E242" s="381"/>
      <c r="F242" s="381"/>
      <c r="G242" s="381"/>
      <c r="H242" s="381"/>
      <c r="I242" s="381"/>
      <c r="K242" s="381"/>
    </row>
    <row r="243" spans="4:11">
      <c r="D243" s="370"/>
      <c r="E243" s="381"/>
      <c r="F243" s="381"/>
      <c r="G243" s="381"/>
      <c r="H243" s="381"/>
      <c r="I243" s="381"/>
    </row>
    <row r="244" spans="4:11">
      <c r="D244" s="370"/>
    </row>
    <row r="245" spans="4:11">
      <c r="D245" s="370"/>
    </row>
    <row r="246" spans="4:11">
      <c r="D246" s="345"/>
      <c r="E246" s="381"/>
      <c r="F246" s="381"/>
      <c r="G246" s="381"/>
      <c r="H246" s="381"/>
      <c r="I246" s="381"/>
    </row>
    <row r="247" spans="4:11">
      <c r="D247" s="370"/>
      <c r="E247" s="381"/>
      <c r="F247" s="381"/>
      <c r="G247" s="381"/>
      <c r="H247" s="381"/>
      <c r="I247" s="381"/>
    </row>
    <row r="248" spans="4:11">
      <c r="D248" s="370"/>
    </row>
    <row r="249" spans="4:11">
      <c r="D249" s="345"/>
      <c r="E249" s="381"/>
      <c r="F249" s="381"/>
      <c r="G249" s="381"/>
      <c r="H249" s="381"/>
      <c r="I249" s="381"/>
    </row>
    <row r="250" spans="4:11">
      <c r="D250" s="370"/>
      <c r="J250" s="381"/>
    </row>
    <row r="251" spans="4:11">
      <c r="D251" s="370"/>
      <c r="J251" s="381"/>
    </row>
    <row r="252" spans="4:11">
      <c r="D252" s="345"/>
      <c r="E252" s="381"/>
      <c r="F252" s="381"/>
      <c r="G252" s="381"/>
      <c r="H252" s="381"/>
      <c r="I252" s="381"/>
    </row>
    <row r="253" spans="4:11">
      <c r="D253" s="370"/>
      <c r="K253" s="381"/>
    </row>
    <row r="254" spans="4:11">
      <c r="D254" s="370"/>
      <c r="J254" s="381"/>
      <c r="K254" s="381"/>
    </row>
    <row r="255" spans="4:11">
      <c r="D255" s="370"/>
      <c r="J255" s="381"/>
    </row>
    <row r="256" spans="4:11">
      <c r="D256" s="345"/>
      <c r="E256" s="381"/>
      <c r="F256" s="381"/>
      <c r="G256" s="381"/>
      <c r="H256" s="381"/>
      <c r="I256" s="381"/>
    </row>
    <row r="257" spans="4:11">
      <c r="D257" s="370"/>
      <c r="K257" s="381"/>
    </row>
    <row r="258" spans="4:11">
      <c r="D258" s="370"/>
      <c r="E258" s="345"/>
      <c r="F258" s="345"/>
      <c r="G258" s="345"/>
      <c r="H258" s="345"/>
      <c r="I258" s="345"/>
      <c r="J258" s="381"/>
      <c r="K258" s="381"/>
    </row>
    <row r="259" spans="4:11">
      <c r="D259" s="370"/>
      <c r="E259" s="345"/>
      <c r="F259" s="345"/>
      <c r="G259" s="345"/>
      <c r="H259" s="345"/>
      <c r="I259" s="345"/>
    </row>
    <row r="260" spans="4:11">
      <c r="D260" s="370"/>
    </row>
    <row r="261" spans="4:11">
      <c r="D261" s="370"/>
      <c r="K261" s="381"/>
    </row>
    <row r="262" spans="4:11">
      <c r="D262" s="370"/>
    </row>
    <row r="263" spans="4:11">
      <c r="D263" s="370"/>
    </row>
    <row r="264" spans="4:11">
      <c r="D264" s="370"/>
    </row>
    <row r="265" spans="4:11">
      <c r="D265" s="370"/>
    </row>
    <row r="266" spans="4:11">
      <c r="D266" s="370"/>
    </row>
    <row r="267" spans="4:11">
      <c r="D267" s="370"/>
    </row>
    <row r="268" spans="4:11">
      <c r="D268" s="370"/>
    </row>
    <row r="269" spans="4:11">
      <c r="D269" s="370"/>
    </row>
    <row r="270" spans="4:11">
      <c r="D270" s="370"/>
    </row>
    <row r="271" spans="4:11">
      <c r="D271" s="370"/>
    </row>
    <row r="272" spans="4:11">
      <c r="D272" s="370"/>
    </row>
    <row r="273" spans="4:4">
      <c r="D273" s="370"/>
    </row>
    <row r="274" spans="4:4">
      <c r="D274" s="370"/>
    </row>
    <row r="275" spans="4:4">
      <c r="D275" s="370"/>
    </row>
    <row r="276" spans="4:4">
      <c r="D276" s="370"/>
    </row>
    <row r="277" spans="4:4">
      <c r="D277" s="370"/>
    </row>
    <row r="278" spans="4:4">
      <c r="D278" s="370"/>
    </row>
    <row r="279" spans="4:4">
      <c r="D279" s="370"/>
    </row>
    <row r="280" spans="4:4">
      <c r="D280" s="370"/>
    </row>
    <row r="281" spans="4:4">
      <c r="D281" s="370"/>
    </row>
    <row r="282" spans="4:4">
      <c r="D282" s="370"/>
    </row>
    <row r="283" spans="4:4">
      <c r="D283" s="370"/>
    </row>
    <row r="284" spans="4:4">
      <c r="D284" s="370"/>
    </row>
    <row r="285" spans="4:4">
      <c r="D285" s="370"/>
    </row>
    <row r="286" spans="4:4">
      <c r="D286" s="370"/>
    </row>
    <row r="287" spans="4:4">
      <c r="D287" s="370"/>
    </row>
    <row r="288" spans="4:4">
      <c r="D288" s="370"/>
    </row>
    <row r="289" spans="4:4">
      <c r="D289" s="370"/>
    </row>
    <row r="290" spans="4:4">
      <c r="D290" s="370"/>
    </row>
    <row r="291" spans="4:4">
      <c r="D291" s="370"/>
    </row>
    <row r="292" spans="4:4">
      <c r="D292" s="370"/>
    </row>
    <row r="293" spans="4:4">
      <c r="D293" s="370"/>
    </row>
    <row r="294" spans="4:4">
      <c r="D294" s="370"/>
    </row>
    <row r="295" spans="4:4">
      <c r="D295" s="370"/>
    </row>
    <row r="296" spans="4:4">
      <c r="D296" s="370"/>
    </row>
    <row r="297" spans="4:4">
      <c r="D297" s="370"/>
    </row>
    <row r="298" spans="4:4">
      <c r="D298" s="370"/>
    </row>
    <row r="299" spans="4:4">
      <c r="D299" s="370"/>
    </row>
    <row r="300" spans="4:4">
      <c r="D300" s="370"/>
    </row>
    <row r="301" spans="4:4">
      <c r="D301" s="370"/>
    </row>
    <row r="302" spans="4:4">
      <c r="D302" s="370"/>
    </row>
    <row r="303" spans="4:4">
      <c r="D303" s="370"/>
    </row>
    <row r="304" spans="4:4">
      <c r="D304" s="370"/>
    </row>
    <row r="305" spans="4:4">
      <c r="D305" s="370"/>
    </row>
    <row r="306" spans="4:4">
      <c r="D306" s="370"/>
    </row>
    <row r="307" spans="4:4">
      <c r="D307" s="370"/>
    </row>
    <row r="308" spans="4:4">
      <c r="D308" s="370"/>
    </row>
    <row r="309" spans="4:4">
      <c r="D309" s="370"/>
    </row>
    <row r="310" spans="4:4">
      <c r="D310" s="370"/>
    </row>
    <row r="311" spans="4:4">
      <c r="D311" s="370"/>
    </row>
    <row r="312" spans="4:4">
      <c r="D312" s="370"/>
    </row>
    <row r="313" spans="4:4">
      <c r="D313" s="370"/>
    </row>
    <row r="314" spans="4:4">
      <c r="D314" s="370"/>
    </row>
    <row r="315" spans="4:4">
      <c r="D315" s="370"/>
    </row>
    <row r="316" spans="4:4">
      <c r="D316" s="370"/>
    </row>
    <row r="317" spans="4:4">
      <c r="D317" s="370"/>
    </row>
    <row r="318" spans="4:4">
      <c r="D318" s="370"/>
    </row>
    <row r="319" spans="4:4">
      <c r="D319" s="370"/>
    </row>
    <row r="320" spans="4:4">
      <c r="D320" s="370"/>
    </row>
    <row r="321" spans="4:4">
      <c r="D321" s="370"/>
    </row>
    <row r="322" spans="4:4">
      <c r="D322" s="370"/>
    </row>
    <row r="323" spans="4:4">
      <c r="D323" s="370"/>
    </row>
    <row r="324" spans="4:4">
      <c r="D324" s="370"/>
    </row>
    <row r="325" spans="4:4">
      <c r="D325" s="370"/>
    </row>
    <row r="326" spans="4:4">
      <c r="D326" s="370"/>
    </row>
    <row r="327" spans="4:4">
      <c r="D327" s="370"/>
    </row>
    <row r="328" spans="4:4">
      <c r="D328" s="370"/>
    </row>
    <row r="329" spans="4:4">
      <c r="D329" s="370"/>
    </row>
    <row r="330" spans="4:4">
      <c r="D330" s="370"/>
    </row>
    <row r="331" spans="4:4">
      <c r="D331" s="370"/>
    </row>
    <row r="332" spans="4:4">
      <c r="D332" s="370"/>
    </row>
    <row r="333" spans="4:4">
      <c r="D333" s="370"/>
    </row>
    <row r="334" spans="4:4">
      <c r="D334" s="370"/>
    </row>
    <row r="335" spans="4:4">
      <c r="D335" s="370"/>
    </row>
    <row r="336" spans="4:4">
      <c r="D336" s="370"/>
    </row>
    <row r="337" spans="4:4">
      <c r="D337" s="370"/>
    </row>
    <row r="338" spans="4:4">
      <c r="D338" s="370"/>
    </row>
    <row r="339" spans="4:4">
      <c r="D339" s="370"/>
    </row>
    <row r="340" spans="4:4">
      <c r="D340" s="370"/>
    </row>
    <row r="341" spans="4:4">
      <c r="D341" s="370"/>
    </row>
    <row r="342" spans="4:4">
      <c r="D342" s="370"/>
    </row>
    <row r="343" spans="4:4">
      <c r="D343" s="370"/>
    </row>
    <row r="344" spans="4:4">
      <c r="D344" s="370"/>
    </row>
    <row r="345" spans="4:4">
      <c r="D345" s="370"/>
    </row>
    <row r="346" spans="4:4">
      <c r="D346" s="370"/>
    </row>
    <row r="347" spans="4:4">
      <c r="D347" s="370"/>
    </row>
    <row r="348" spans="4:4">
      <c r="D348" s="370"/>
    </row>
    <row r="349" spans="4:4">
      <c r="D349" s="370"/>
    </row>
    <row r="350" spans="4:4">
      <c r="D350" s="370"/>
    </row>
    <row r="351" spans="4:4">
      <c r="D351" s="370"/>
    </row>
    <row r="352" spans="4:4">
      <c r="D352" s="370"/>
    </row>
    <row r="353" spans="4:4">
      <c r="D353" s="370"/>
    </row>
    <row r="354" spans="4:4">
      <c r="D354" s="370"/>
    </row>
    <row r="355" spans="4:4">
      <c r="D355" s="370"/>
    </row>
    <row r="356" spans="4:4">
      <c r="D356" s="370"/>
    </row>
    <row r="357" spans="4:4">
      <c r="D357" s="370"/>
    </row>
    <row r="358" spans="4:4">
      <c r="D358" s="370"/>
    </row>
    <row r="359" spans="4:4">
      <c r="D359" s="370"/>
    </row>
    <row r="360" spans="4:4">
      <c r="D360" s="370"/>
    </row>
    <row r="361" spans="4:4">
      <c r="D361" s="370"/>
    </row>
    <row r="362" spans="4:4">
      <c r="D362" s="370"/>
    </row>
    <row r="363" spans="4:4">
      <c r="D363" s="370"/>
    </row>
    <row r="364" spans="4:4">
      <c r="D364" s="370"/>
    </row>
    <row r="365" spans="4:4">
      <c r="D365" s="370"/>
    </row>
    <row r="366" spans="4:4">
      <c r="D366" s="370"/>
    </row>
    <row r="367" spans="4:4">
      <c r="D367" s="370"/>
    </row>
    <row r="368" spans="4:4">
      <c r="D368" s="370"/>
    </row>
    <row r="369" spans="4:4">
      <c r="D369" s="370"/>
    </row>
    <row r="370" spans="4:4">
      <c r="D370" s="370"/>
    </row>
    <row r="371" spans="4:4">
      <c r="D371" s="370"/>
    </row>
    <row r="372" spans="4:4">
      <c r="D372" s="370"/>
    </row>
    <row r="373" spans="4:4">
      <c r="D373" s="370"/>
    </row>
    <row r="374" spans="4:4">
      <c r="D374" s="370"/>
    </row>
    <row r="375" spans="4:4">
      <c r="D375" s="370"/>
    </row>
    <row r="376" spans="4:4">
      <c r="D376" s="370"/>
    </row>
    <row r="377" spans="4:4">
      <c r="D377" s="370"/>
    </row>
    <row r="378" spans="4:4">
      <c r="D378" s="370"/>
    </row>
    <row r="379" spans="4:4">
      <c r="D379" s="370"/>
    </row>
    <row r="380" spans="4:4">
      <c r="D380" s="370"/>
    </row>
    <row r="381" spans="4:4">
      <c r="D381" s="370"/>
    </row>
    <row r="382" spans="4:4">
      <c r="D382" s="370"/>
    </row>
    <row r="383" spans="4:4">
      <c r="D383" s="370"/>
    </row>
    <row r="384" spans="4:4">
      <c r="D384" s="370"/>
    </row>
    <row r="385" spans="4:4">
      <c r="D385" s="370"/>
    </row>
    <row r="386" spans="4:4">
      <c r="D386" s="370"/>
    </row>
    <row r="387" spans="4:4">
      <c r="D387" s="370"/>
    </row>
    <row r="388" spans="4:4">
      <c r="D388" s="370"/>
    </row>
    <row r="389" spans="4:4">
      <c r="D389" s="370"/>
    </row>
    <row r="390" spans="4:4">
      <c r="D390" s="370"/>
    </row>
    <row r="391" spans="4:4">
      <c r="D391" s="370"/>
    </row>
    <row r="392" spans="4:4">
      <c r="D392" s="370"/>
    </row>
    <row r="393" spans="4:4">
      <c r="D393" s="370"/>
    </row>
    <row r="394" spans="4:4">
      <c r="D394" s="370"/>
    </row>
    <row r="395" spans="4:4">
      <c r="D395" s="370"/>
    </row>
    <row r="396" spans="4:4">
      <c r="D396" s="370"/>
    </row>
    <row r="397" spans="4:4">
      <c r="D397" s="370"/>
    </row>
    <row r="398" spans="4:4">
      <c r="D398" s="370"/>
    </row>
    <row r="399" spans="4:4">
      <c r="D399" s="370"/>
    </row>
    <row r="400" spans="4:4">
      <c r="D400" s="370"/>
    </row>
    <row r="401" spans="4:4">
      <c r="D401" s="370"/>
    </row>
    <row r="402" spans="4:4">
      <c r="D402" s="370"/>
    </row>
    <row r="403" spans="4:4">
      <c r="D403" s="370"/>
    </row>
    <row r="404" spans="4:4">
      <c r="D404" s="370"/>
    </row>
    <row r="405" spans="4:4">
      <c r="D405" s="370"/>
    </row>
    <row r="406" spans="4:4">
      <c r="D406" s="370"/>
    </row>
    <row r="407" spans="4:4">
      <c r="D407" s="370"/>
    </row>
    <row r="408" spans="4:4">
      <c r="D408" s="370"/>
    </row>
    <row r="409" spans="4:4">
      <c r="D409" s="370"/>
    </row>
    <row r="410" spans="4:4">
      <c r="D410" s="370"/>
    </row>
    <row r="411" spans="4:4">
      <c r="D411" s="370"/>
    </row>
    <row r="412" spans="4:4">
      <c r="D412" s="370"/>
    </row>
    <row r="413" spans="4:4">
      <c r="D413" s="370"/>
    </row>
    <row r="414" spans="4:4">
      <c r="D414" s="370"/>
    </row>
    <row r="415" spans="4:4">
      <c r="D415" s="370"/>
    </row>
    <row r="416" spans="4:4">
      <c r="D416" s="370"/>
    </row>
    <row r="417" spans="4:4">
      <c r="D417" s="370"/>
    </row>
    <row r="418" spans="4:4">
      <c r="D418" s="370"/>
    </row>
    <row r="419" spans="4:4">
      <c r="D419" s="370"/>
    </row>
    <row r="420" spans="4:4">
      <c r="D420" s="370"/>
    </row>
    <row r="421" spans="4:4">
      <c r="D421" s="370"/>
    </row>
    <row r="422" spans="4:4">
      <c r="D422" s="370"/>
    </row>
    <row r="423" spans="4:4">
      <c r="D423" s="370"/>
    </row>
    <row r="424" spans="4:4">
      <c r="D424" s="370"/>
    </row>
    <row r="425" spans="4:4">
      <c r="D425" s="370"/>
    </row>
    <row r="426" spans="4:4">
      <c r="D426" s="370"/>
    </row>
    <row r="427" spans="4:4">
      <c r="D427" s="370"/>
    </row>
    <row r="428" spans="4:4">
      <c r="D428" s="370"/>
    </row>
    <row r="429" spans="4:4">
      <c r="D429" s="370"/>
    </row>
    <row r="430" spans="4:4">
      <c r="D430" s="370"/>
    </row>
    <row r="431" spans="4:4">
      <c r="D431" s="370"/>
    </row>
    <row r="432" spans="4:4">
      <c r="D432" s="370"/>
    </row>
    <row r="433" spans="4:4">
      <c r="D433" s="370"/>
    </row>
    <row r="434" spans="4:4">
      <c r="D434" s="370"/>
    </row>
    <row r="435" spans="4:4">
      <c r="D435" s="370"/>
    </row>
    <row r="436" spans="4:4">
      <c r="D436" s="370"/>
    </row>
    <row r="437" spans="4:4">
      <c r="D437" s="370"/>
    </row>
    <row r="438" spans="4:4">
      <c r="D438" s="370"/>
    </row>
    <row r="439" spans="4:4">
      <c r="D439" s="370"/>
    </row>
    <row r="440" spans="4:4">
      <c r="D440" s="370"/>
    </row>
    <row r="441" spans="4:4">
      <c r="D441" s="370"/>
    </row>
    <row r="442" spans="4:4">
      <c r="D442" s="370"/>
    </row>
    <row r="443" spans="4:4">
      <c r="D443" s="370"/>
    </row>
    <row r="444" spans="4:4">
      <c r="D444" s="370"/>
    </row>
    <row r="445" spans="4:4">
      <c r="D445" s="370"/>
    </row>
    <row r="446" spans="4:4">
      <c r="D446" s="370"/>
    </row>
    <row r="447" spans="4:4">
      <c r="D447" s="370"/>
    </row>
    <row r="448" spans="4:4">
      <c r="D448" s="370"/>
    </row>
  </sheetData>
  <phoneticPr fontId="26" type="noConversion"/>
  <pageMargins left="0.75" right="0.75" top="1" bottom="1" header="0.5" footer="0.5"/>
  <pageSetup scale="47" orientation="landscape" r:id="rId1"/>
  <headerFooter alignWithMargins="0"/>
  <drawing r:id="rId2"/>
</worksheet>
</file>

<file path=xl/worksheets/sheet1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700-000000000000}">
  <sheetPr codeName="Sheet36">
    <pageSetUpPr fitToPage="1"/>
  </sheetPr>
  <dimension ref="B1:X476"/>
  <sheetViews>
    <sheetView showGridLines="0" zoomScale="80" zoomScaleNormal="80" workbookViewId="0">
      <selection activeCell="T25" sqref="T25"/>
    </sheetView>
  </sheetViews>
  <sheetFormatPr defaultColWidth="9.109375" defaultRowHeight="12"/>
  <cols>
    <col min="1" max="1" width="2.33203125" style="367" customWidth="1"/>
    <col min="2" max="4" width="10" style="367" customWidth="1"/>
    <col min="5" max="5" width="21.44140625" style="367" customWidth="1"/>
    <col min="6" max="6" width="10" style="367" customWidth="1"/>
    <col min="7" max="7" width="2.33203125" style="367" customWidth="1"/>
    <col min="8" max="8" width="10" style="367" customWidth="1"/>
    <col min="9" max="9" width="2.109375" style="367" customWidth="1"/>
    <col min="10" max="10" width="10" style="367" customWidth="1"/>
    <col min="11" max="11" width="2.109375" style="367" customWidth="1"/>
    <col min="12" max="12" width="10" style="367" customWidth="1"/>
    <col min="13" max="13" width="2.109375" style="367" customWidth="1"/>
    <col min="14" max="14" width="10" style="367" customWidth="1"/>
    <col min="15" max="15" width="2.109375" style="367" customWidth="1"/>
    <col min="16" max="16" width="10" style="367" customWidth="1"/>
    <col min="17" max="17" width="2.109375" style="367" customWidth="1"/>
    <col min="18" max="18" width="10" style="367" customWidth="1"/>
    <col min="19" max="19" width="2.109375" style="367" customWidth="1"/>
    <col min="20" max="20" width="9.88671875" style="367" customWidth="1"/>
    <col min="21" max="21" width="2.109375" style="367" customWidth="1"/>
    <col min="22" max="22" width="10" style="367" customWidth="1"/>
    <col min="23" max="23" width="2.109375" style="367" customWidth="1"/>
    <col min="24" max="24" width="10" style="367" customWidth="1"/>
    <col min="25" max="16384" width="9.109375" style="367"/>
  </cols>
  <sheetData>
    <row r="1" spans="2:24" s="472" customFormat="1">
      <c r="E1" s="150"/>
    </row>
    <row r="2" spans="2:24" s="472" customFormat="1">
      <c r="E2" s="150"/>
    </row>
    <row r="3" spans="2:24" s="472" customFormat="1"/>
    <row r="4" spans="2:24" s="477" customFormat="1" ht="21">
      <c r="B4" s="129" t="s">
        <v>1465</v>
      </c>
      <c r="C4" s="129"/>
    </row>
    <row r="5" spans="2:24" s="472" customFormat="1">
      <c r="D5" s="132"/>
      <c r="E5" s="132"/>
      <c r="F5" s="132"/>
      <c r="G5" s="132"/>
      <c r="H5" s="132"/>
      <c r="I5" s="132"/>
      <c r="L5" s="473"/>
      <c r="M5" s="473"/>
      <c r="N5" s="473"/>
      <c r="O5" s="473"/>
      <c r="P5" s="473"/>
      <c r="Q5" s="473"/>
      <c r="R5" s="473"/>
      <c r="S5" s="473"/>
      <c r="T5" s="473"/>
      <c r="U5" s="473"/>
      <c r="V5" s="473"/>
      <c r="W5" s="473"/>
      <c r="X5" s="473"/>
    </row>
    <row r="6" spans="2:24">
      <c r="B6" s="456"/>
      <c r="C6" s="456"/>
      <c r="D6" s="456"/>
      <c r="E6" s="456"/>
      <c r="F6" s="456"/>
      <c r="G6" s="456"/>
      <c r="H6" s="456"/>
      <c r="I6" s="456"/>
      <c r="L6" s="440"/>
      <c r="M6" s="440"/>
      <c r="N6" s="440"/>
      <c r="O6" s="440"/>
      <c r="P6" s="440"/>
      <c r="Q6" s="440"/>
      <c r="R6" s="440"/>
      <c r="S6" s="440"/>
      <c r="T6" s="440"/>
      <c r="U6" s="440"/>
      <c r="V6" s="440"/>
      <c r="W6" s="440"/>
      <c r="X6" s="440"/>
    </row>
    <row r="7" spans="2:24" ht="12.6" thickBot="1">
      <c r="B7" s="306" t="s">
        <v>723</v>
      </c>
      <c r="C7" s="306"/>
      <c r="D7" s="368"/>
      <c r="E7" s="457"/>
      <c r="F7" s="457"/>
      <c r="G7" s="457"/>
      <c r="H7" s="457"/>
      <c r="I7" s="457"/>
      <c r="J7" s="368"/>
      <c r="K7" s="368"/>
      <c r="L7" s="368"/>
      <c r="M7" s="368"/>
      <c r="N7" s="368"/>
      <c r="O7" s="368"/>
      <c r="P7" s="368"/>
      <c r="Q7" s="368"/>
      <c r="R7" s="368"/>
      <c r="S7" s="368"/>
      <c r="T7" s="368"/>
      <c r="U7" s="368"/>
      <c r="V7" s="368"/>
      <c r="W7" s="368"/>
      <c r="X7" s="368"/>
    </row>
    <row r="8" spans="2:24" ht="12.6" thickTop="1">
      <c r="B8" s="345"/>
      <c r="C8" s="345"/>
      <c r="E8" s="345"/>
      <c r="F8" s="345"/>
      <c r="G8" s="345"/>
      <c r="H8" s="345"/>
      <c r="I8" s="345"/>
    </row>
    <row r="9" spans="2:24">
      <c r="D9" s="345"/>
      <c r="E9" s="382" t="s">
        <v>81</v>
      </c>
      <c r="F9" s="458" t="s">
        <v>82</v>
      </c>
      <c r="G9" s="458"/>
      <c r="H9" s="458" t="s">
        <v>83</v>
      </c>
      <c r="I9" s="458"/>
      <c r="J9" s="458" t="s">
        <v>84</v>
      </c>
      <c r="K9" s="458"/>
      <c r="L9" s="458" t="s">
        <v>85</v>
      </c>
      <c r="M9" s="458"/>
      <c r="N9" s="459" t="s">
        <v>128</v>
      </c>
      <c r="O9" s="459"/>
      <c r="P9" s="458" t="s">
        <v>129</v>
      </c>
      <c r="Q9" s="458"/>
      <c r="R9" s="458" t="s">
        <v>724</v>
      </c>
      <c r="S9" s="458"/>
      <c r="T9" s="458" t="s">
        <v>130</v>
      </c>
      <c r="U9" s="458"/>
      <c r="V9" s="458" t="s">
        <v>131</v>
      </c>
      <c r="W9" s="458"/>
      <c r="X9" s="458" t="s">
        <v>132</v>
      </c>
    </row>
    <row r="10" spans="2:24">
      <c r="B10" s="345"/>
      <c r="C10" s="345"/>
      <c r="E10" s="382"/>
      <c r="F10" s="210"/>
      <c r="G10" s="196"/>
      <c r="H10" s="372"/>
      <c r="I10" s="196"/>
      <c r="J10" s="210"/>
      <c r="K10" s="458"/>
      <c r="L10" s="458"/>
      <c r="M10" s="458"/>
      <c r="N10" s="459"/>
      <c r="O10" s="459"/>
      <c r="P10" s="458"/>
      <c r="Q10" s="458"/>
      <c r="R10" s="458"/>
      <c r="S10" s="458"/>
      <c r="T10" s="458"/>
      <c r="U10" s="458"/>
      <c r="V10" s="458"/>
      <c r="W10" s="458"/>
      <c r="X10" s="458"/>
    </row>
    <row r="11" spans="2:24">
      <c r="B11" s="370" t="s">
        <v>150</v>
      </c>
      <c r="C11" s="370"/>
      <c r="F11" s="216"/>
      <c r="G11" s="178"/>
      <c r="H11" s="214"/>
      <c r="I11" s="178"/>
      <c r="J11" s="484">
        <v>23947.875925771397</v>
      </c>
      <c r="K11" s="178" t="s">
        <v>136</v>
      </c>
      <c r="L11" s="484"/>
      <c r="M11" s="178" t="s">
        <v>135</v>
      </c>
      <c r="N11" s="178">
        <f t="shared" ref="N11:N29" si="0">J11-L11</f>
        <v>23947.875925771397</v>
      </c>
      <c r="O11" s="178" t="s">
        <v>134</v>
      </c>
      <c r="P11" s="490">
        <v>1</v>
      </c>
      <c r="Q11" s="393" t="s">
        <v>135</v>
      </c>
      <c r="R11" s="216">
        <f>P11*N11</f>
        <v>23947.875925771397</v>
      </c>
      <c r="S11" s="216"/>
      <c r="T11" s="216">
        <f>N11-R11</f>
        <v>0</v>
      </c>
      <c r="U11" s="216"/>
      <c r="V11" s="394">
        <f>N11/$J$58</f>
        <v>0.64329646568536925</v>
      </c>
      <c r="W11" s="370"/>
      <c r="X11" s="373">
        <f>$J$63*V11</f>
        <v>9.1957582547548338</v>
      </c>
    </row>
    <row r="12" spans="2:24">
      <c r="B12" s="370" t="s">
        <v>151</v>
      </c>
      <c r="C12" s="370"/>
      <c r="F12" s="216"/>
      <c r="G12" s="178"/>
      <c r="H12" s="214"/>
      <c r="I12" s="178"/>
      <c r="J12" s="525">
        <v>19073.491159445592</v>
      </c>
      <c r="K12" s="178" t="s">
        <v>136</v>
      </c>
      <c r="L12" s="484"/>
      <c r="M12" s="178" t="s">
        <v>135</v>
      </c>
      <c r="N12" s="497">
        <f t="shared" si="0"/>
        <v>19073.491159445592</v>
      </c>
      <c r="O12" s="178" t="s">
        <v>134</v>
      </c>
      <c r="P12" s="490">
        <v>1</v>
      </c>
      <c r="Q12" s="393" t="s">
        <v>135</v>
      </c>
      <c r="R12" s="385">
        <f>P12*N12</f>
        <v>19073.491159445592</v>
      </c>
      <c r="S12" s="216"/>
      <c r="T12" s="385">
        <v>0</v>
      </c>
      <c r="U12" s="216"/>
      <c r="V12" s="395">
        <f>N12/$J$58</f>
        <v>0.51235898704269967</v>
      </c>
      <c r="W12" s="370"/>
      <c r="X12" s="396">
        <f>$J$63*V12</f>
        <v>7.324040525352582</v>
      </c>
    </row>
    <row r="13" spans="2:24" s="381" customFormat="1">
      <c r="B13" s="345" t="s">
        <v>152</v>
      </c>
      <c r="C13" s="345"/>
      <c r="E13" s="381" t="str">
        <f>"DCF, "&amp;TEXT(H13,"0.0")&amp;"x 22E OpFCF"</f>
        <v>DCF, 13.4x 22E OpFCF</v>
      </c>
      <c r="F13" s="480">
        <v>3216</v>
      </c>
      <c r="G13" s="196" t="s">
        <v>134</v>
      </c>
      <c r="H13" s="588">
        <v>13.377290760328666</v>
      </c>
      <c r="I13" s="196" t="s">
        <v>135</v>
      </c>
      <c r="J13" s="210">
        <f>F13*H13</f>
        <v>43021.367085216989</v>
      </c>
      <c r="K13" s="196"/>
      <c r="L13" s="210"/>
      <c r="M13" s="196"/>
      <c r="N13" s="196">
        <f>SUM(N11:N12)</f>
        <v>43021.367085216989</v>
      </c>
      <c r="O13" s="196"/>
      <c r="P13" s="211"/>
      <c r="Q13" s="369"/>
      <c r="R13" s="210">
        <f>SUM(R11:R12)</f>
        <v>43021.367085216989</v>
      </c>
      <c r="S13" s="210"/>
      <c r="T13" s="210">
        <f>N13-R13</f>
        <v>0</v>
      </c>
      <c r="U13" s="210"/>
      <c r="V13" s="387">
        <f>N13/$J$58</f>
        <v>1.1556554527280689</v>
      </c>
      <c r="W13" s="345"/>
      <c r="X13" s="372">
        <f>$J$63*V13</f>
        <v>16.519798780107415</v>
      </c>
    </row>
    <row r="14" spans="2:24">
      <c r="B14" s="370"/>
      <c r="C14" s="370"/>
      <c r="F14" s="216"/>
      <c r="G14" s="178"/>
      <c r="H14" s="216"/>
      <c r="I14" s="178"/>
      <c r="J14" s="216"/>
      <c r="K14" s="178"/>
      <c r="L14" s="216"/>
      <c r="M14" s="178"/>
      <c r="N14" s="178"/>
      <c r="O14" s="178"/>
      <c r="P14" s="215"/>
      <c r="Q14" s="393"/>
      <c r="R14" s="216"/>
      <c r="S14" s="216"/>
      <c r="T14" s="216"/>
      <c r="U14" s="216"/>
      <c r="V14" s="394"/>
      <c r="W14" s="370"/>
      <c r="X14" s="373"/>
    </row>
    <row r="15" spans="2:24">
      <c r="B15" s="370" t="s">
        <v>569</v>
      </c>
      <c r="C15" s="370"/>
      <c r="E15" s="367" t="str">
        <f>"DCF, "&amp;TEXT(H15,"0.0")&amp;"x 22E OpFCF"</f>
        <v>DCF, 11.7x 22E OpFCF</v>
      </c>
      <c r="F15" s="484">
        <v>472</v>
      </c>
      <c r="G15" s="178" t="s">
        <v>134</v>
      </c>
      <c r="H15" s="486">
        <v>11.7477373712782</v>
      </c>
      <c r="I15" s="178"/>
      <c r="J15" s="216">
        <f>F15*H15</f>
        <v>5544.9320392433101</v>
      </c>
      <c r="K15" s="178" t="s">
        <v>136</v>
      </c>
      <c r="L15" s="484"/>
      <c r="M15" s="178" t="s">
        <v>135</v>
      </c>
      <c r="N15" s="178">
        <f t="shared" si="0"/>
        <v>5544.9320392433101</v>
      </c>
      <c r="O15" s="178" t="s">
        <v>134</v>
      </c>
      <c r="P15" s="490">
        <v>1</v>
      </c>
      <c r="Q15" s="393" t="s">
        <v>135</v>
      </c>
      <c r="R15" s="216">
        <f>P15*N15</f>
        <v>5544.9320392433101</v>
      </c>
      <c r="S15" s="216"/>
      <c r="T15" s="216">
        <f>N15-R15</f>
        <v>0</v>
      </c>
      <c r="U15" s="216"/>
      <c r="V15" s="394">
        <f>N15/$J$58</f>
        <v>0.14894996092209331</v>
      </c>
      <c r="W15" s="370"/>
      <c r="X15" s="373">
        <f>$J$63*V15</f>
        <v>2.1292015513181162</v>
      </c>
    </row>
    <row r="16" spans="2:24">
      <c r="B16" s="370" t="s">
        <v>153</v>
      </c>
      <c r="C16" s="370"/>
      <c r="E16" s="367" t="str">
        <f>"DCF, "&amp;TEXT(H16,"0.0")&amp;"x 22E OpFCF"</f>
        <v>DCF, 7.0x 22E OpFCF</v>
      </c>
      <c r="F16" s="484">
        <v>-374</v>
      </c>
      <c r="G16" s="178" t="s">
        <v>134</v>
      </c>
      <c r="H16" s="486">
        <v>6.9852461195430617</v>
      </c>
      <c r="I16" s="178" t="s">
        <v>135</v>
      </c>
      <c r="J16" s="216">
        <f>F16*H16</f>
        <v>-2612.4820487091051</v>
      </c>
      <c r="K16" s="178" t="s">
        <v>136</v>
      </c>
      <c r="L16" s="484"/>
      <c r="M16" s="178" t="s">
        <v>135</v>
      </c>
      <c r="N16" s="497">
        <f t="shared" si="0"/>
        <v>-2612.4820487091051</v>
      </c>
      <c r="O16" s="178" t="s">
        <v>134</v>
      </c>
      <c r="P16" s="490">
        <v>1</v>
      </c>
      <c r="Q16" s="393" t="s">
        <v>135</v>
      </c>
      <c r="R16" s="385">
        <f>P16*N16</f>
        <v>-2612.4820487091051</v>
      </c>
      <c r="S16" s="216"/>
      <c r="T16" s="385">
        <f>N16-R16</f>
        <v>0</v>
      </c>
      <c r="U16" s="216"/>
      <c r="V16" s="395">
        <f>N16/$J$58</f>
        <v>-7.0177433431266006E-2</v>
      </c>
      <c r="W16" s="370"/>
      <c r="X16" s="396">
        <f>$J$63*V16</f>
        <v>-1.0031684412963959</v>
      </c>
    </row>
    <row r="17" spans="2:24" s="381" customFormat="1">
      <c r="B17" s="345" t="s">
        <v>154</v>
      </c>
      <c r="C17" s="345"/>
      <c r="F17" s="210"/>
      <c r="G17" s="196"/>
      <c r="H17" s="210"/>
      <c r="I17" s="196"/>
      <c r="J17" s="589">
        <f>SUM(J15:J16)+J13</f>
        <v>45953.817075751191</v>
      </c>
      <c r="K17" s="196"/>
      <c r="L17" s="210"/>
      <c r="M17" s="196"/>
      <c r="N17" s="210">
        <f>SUM(N15:N16)+N13</f>
        <v>45953.817075751191</v>
      </c>
      <c r="O17" s="196"/>
      <c r="P17" s="211"/>
      <c r="Q17" s="369"/>
      <c r="R17" s="210">
        <f>SUM(R15:R16)+R13</f>
        <v>45953.817075751191</v>
      </c>
      <c r="S17" s="345"/>
      <c r="T17" s="210">
        <f>SUM(T15:T16)+T13</f>
        <v>0</v>
      </c>
      <c r="U17" s="345"/>
      <c r="V17" s="211">
        <f>SUM(V15:V16)+V13</f>
        <v>1.2344279802188962</v>
      </c>
      <c r="W17" s="345"/>
      <c r="X17" s="210">
        <f>$J$63*V17</f>
        <v>17.645831890129138</v>
      </c>
    </row>
    <row r="18" spans="2:24" s="381" customFormat="1">
      <c r="B18" s="345" t="s">
        <v>1500</v>
      </c>
      <c r="C18" s="345"/>
      <c r="F18" s="210"/>
      <c r="G18" s="196"/>
      <c r="H18" s="210"/>
      <c r="I18" s="196"/>
      <c r="J18" s="484">
        <v>2675</v>
      </c>
      <c r="K18" s="196"/>
      <c r="L18" s="210"/>
      <c r="M18" s="196"/>
      <c r="N18" s="210">
        <f>J18</f>
        <v>2675</v>
      </c>
      <c r="O18" s="196"/>
      <c r="P18" s="490">
        <v>0.5</v>
      </c>
      <c r="Q18" s="369"/>
      <c r="R18" s="216">
        <f>P18*N18</f>
        <v>1337.5</v>
      </c>
      <c r="S18" s="216"/>
      <c r="T18" s="216">
        <f>N18-R18</f>
        <v>1337.5</v>
      </c>
      <c r="U18" s="216"/>
      <c r="V18" s="394">
        <f>N18/$J$58</f>
        <v>7.1856813148781701E-2</v>
      </c>
      <c r="W18" s="345"/>
      <c r="X18" s="210"/>
    </row>
    <row r="19" spans="2:24">
      <c r="B19" s="370"/>
      <c r="C19" s="370"/>
      <c r="F19" s="216"/>
      <c r="G19" s="178"/>
      <c r="H19" s="216"/>
      <c r="I19" s="178"/>
      <c r="J19" s="216"/>
      <c r="K19" s="178"/>
      <c r="L19" s="216"/>
      <c r="M19" s="178"/>
      <c r="N19" s="178"/>
      <c r="O19" s="178"/>
      <c r="P19" s="215"/>
      <c r="Q19" s="393"/>
      <c r="R19" s="216"/>
      <c r="S19" s="370"/>
      <c r="T19" s="216"/>
      <c r="U19" s="370"/>
      <c r="V19" s="394"/>
      <c r="W19" s="370"/>
      <c r="X19" s="373"/>
    </row>
    <row r="20" spans="2:24">
      <c r="B20" s="370" t="s">
        <v>155</v>
      </c>
      <c r="C20" s="370"/>
      <c r="F20" s="216"/>
      <c r="G20" s="178"/>
      <c r="H20" s="214"/>
      <c r="I20" s="178"/>
      <c r="J20" s="484">
        <v>3102.8718234114358</v>
      </c>
      <c r="K20" s="178" t="s">
        <v>136</v>
      </c>
      <c r="L20" s="484"/>
      <c r="M20" s="178" t="s">
        <v>135</v>
      </c>
      <c r="N20" s="178">
        <f t="shared" si="0"/>
        <v>3102.8718234114358</v>
      </c>
      <c r="O20" s="178" t="s">
        <v>134</v>
      </c>
      <c r="P20" s="490">
        <v>1</v>
      </c>
      <c r="Q20" s="393" t="s">
        <v>135</v>
      </c>
      <c r="R20" s="216">
        <f>P20*N20</f>
        <v>3102.8718234114358</v>
      </c>
      <c r="S20" s="370"/>
      <c r="T20" s="216">
        <f>N20-R20</f>
        <v>0</v>
      </c>
      <c r="U20" s="370"/>
      <c r="V20" s="394">
        <f>N20/$J$58</f>
        <v>8.3350460126914064E-2</v>
      </c>
      <c r="W20" s="370"/>
      <c r="X20" s="373">
        <f>$J$63*V20</f>
        <v>1.1914734848311104</v>
      </c>
    </row>
    <row r="21" spans="2:24">
      <c r="B21" s="370" t="s">
        <v>156</v>
      </c>
      <c r="C21" s="370"/>
      <c r="F21" s="216"/>
      <c r="G21" s="178"/>
      <c r="H21" s="214"/>
      <c r="I21" s="178"/>
      <c r="J21" s="498">
        <v>3966.9707879324405</v>
      </c>
      <c r="K21" s="178" t="s">
        <v>136</v>
      </c>
      <c r="L21" s="484"/>
      <c r="M21" s="178" t="s">
        <v>135</v>
      </c>
      <c r="N21" s="497">
        <f t="shared" si="0"/>
        <v>3966.9707879324405</v>
      </c>
      <c r="O21" s="178" t="s">
        <v>134</v>
      </c>
      <c r="P21" s="490">
        <v>1</v>
      </c>
      <c r="Q21" s="393" t="s">
        <v>135</v>
      </c>
      <c r="R21" s="385">
        <f>P21*N21</f>
        <v>3966.9707879324405</v>
      </c>
      <c r="S21" s="370"/>
      <c r="T21" s="385">
        <f>N21-R21</f>
        <v>0</v>
      </c>
      <c r="U21" s="370"/>
      <c r="V21" s="395">
        <f>N21/$J$58</f>
        <v>0.10656219763556513</v>
      </c>
      <c r="W21" s="370"/>
      <c r="X21" s="396">
        <f>$J$63*V21</f>
        <v>1.5232793289297111</v>
      </c>
    </row>
    <row r="22" spans="2:24" s="381" customFormat="1">
      <c r="B22" s="345" t="s">
        <v>241</v>
      </c>
      <c r="C22" s="345"/>
      <c r="E22" s="381" t="str">
        <f>"DCF, "&amp;TEXT(H22,"0.0")&amp;"x 22E OpFCF"</f>
        <v>DCF, 28.5x 22E OpFCF</v>
      </c>
      <c r="F22" s="480">
        <v>248</v>
      </c>
      <c r="G22" s="196" t="s">
        <v>134</v>
      </c>
      <c r="H22" s="588">
        <v>28.507429884451113</v>
      </c>
      <c r="I22" s="196" t="s">
        <v>135</v>
      </c>
      <c r="J22" s="210">
        <f>F22*H22</f>
        <v>7069.8426113438763</v>
      </c>
      <c r="K22" s="196"/>
      <c r="L22" s="210"/>
      <c r="M22" s="196"/>
      <c r="N22" s="210">
        <f>SUM(N20:N21)</f>
        <v>7069.8426113438763</v>
      </c>
      <c r="O22" s="196" t="s">
        <v>134</v>
      </c>
      <c r="P22" s="211"/>
      <c r="Q22" s="369" t="s">
        <v>135</v>
      </c>
      <c r="R22" s="210">
        <f>SUM(R20:R21)</f>
        <v>7069.8426113438763</v>
      </c>
      <c r="S22" s="345"/>
      <c r="T22" s="210">
        <f>SUM(T20:T21)</f>
        <v>0</v>
      </c>
      <c r="U22" s="345"/>
      <c r="V22" s="211">
        <f>SUM(V20:V21)</f>
        <v>0.18991265776247918</v>
      </c>
      <c r="W22" s="345"/>
      <c r="X22" s="590">
        <f>$J$63*V22</f>
        <v>2.7147528137608212</v>
      </c>
    </row>
    <row r="23" spans="2:24">
      <c r="B23" s="370"/>
      <c r="C23" s="370"/>
      <c r="F23" s="216"/>
      <c r="G23" s="178"/>
      <c r="H23" s="216"/>
      <c r="I23" s="178"/>
      <c r="J23" s="216"/>
      <c r="K23" s="178"/>
      <c r="L23" s="216"/>
      <c r="M23" s="178"/>
      <c r="N23" s="178"/>
      <c r="O23" s="178"/>
      <c r="P23" s="215"/>
      <c r="Q23" s="393"/>
      <c r="R23" s="216"/>
      <c r="S23" s="370"/>
      <c r="T23" s="216"/>
      <c r="U23" s="370"/>
      <c r="V23" s="394"/>
      <c r="W23" s="370"/>
      <c r="X23" s="373"/>
    </row>
    <row r="24" spans="2:24">
      <c r="B24" s="370" t="s">
        <v>1018</v>
      </c>
      <c r="C24" s="370"/>
      <c r="E24" s="367" t="str">
        <f>"DCF, "&amp;TEXT(H24,"0.0")&amp;"x 22E OpFCF"</f>
        <v>DCF, 20.5x 22E OpFCF</v>
      </c>
      <c r="F24" s="484">
        <v>290</v>
      </c>
      <c r="G24" s="178" t="s">
        <v>134</v>
      </c>
      <c r="H24" s="486">
        <v>20.469206713080499</v>
      </c>
      <c r="I24" s="178" t="s">
        <v>135</v>
      </c>
      <c r="J24" s="216">
        <f>F24*H24</f>
        <v>5936.0699467933446</v>
      </c>
      <c r="K24" s="178" t="s">
        <v>136</v>
      </c>
      <c r="L24" s="484">
        <v>1594</v>
      </c>
      <c r="M24" s="178" t="s">
        <v>135</v>
      </c>
      <c r="N24" s="178">
        <f t="shared" si="0"/>
        <v>4342.0699467933446</v>
      </c>
      <c r="O24" s="178" t="s">
        <v>134</v>
      </c>
      <c r="P24" s="490">
        <v>0.50700000000000001</v>
      </c>
      <c r="Q24" s="393" t="s">
        <v>135</v>
      </c>
      <c r="R24" s="216">
        <f>P24*N24</f>
        <v>2201.4294630242257</v>
      </c>
      <c r="S24" s="370"/>
      <c r="T24" s="216">
        <f>N24-R24</f>
        <v>2140.6404837691189</v>
      </c>
      <c r="U24" s="370"/>
      <c r="V24" s="394">
        <f>N24/$J$58</f>
        <v>0.11663824629744668</v>
      </c>
      <c r="W24" s="370"/>
      <c r="X24" s="373">
        <f>$J$63*V24</f>
        <v>1.6673138644826024</v>
      </c>
    </row>
    <row r="25" spans="2:24">
      <c r="B25" s="370" t="s">
        <v>916</v>
      </c>
      <c r="C25" s="370"/>
      <c r="E25" s="367" t="s">
        <v>46</v>
      </c>
      <c r="F25" s="486">
        <v>12</v>
      </c>
      <c r="G25" s="178" t="s">
        <v>134</v>
      </c>
      <c r="H25" s="486">
        <v>60.011776016629845</v>
      </c>
      <c r="I25" s="178"/>
      <c r="J25" s="216">
        <f>F25*H25 + L25</f>
        <v>2418.1413121995583</v>
      </c>
      <c r="K25" s="178" t="s">
        <v>136</v>
      </c>
      <c r="L25" s="484">
        <v>1698</v>
      </c>
      <c r="M25" s="178" t="s">
        <v>135</v>
      </c>
      <c r="N25" s="178">
        <f>J25-L25</f>
        <v>720.14131219955834</v>
      </c>
      <c r="O25" s="178" t="s">
        <v>134</v>
      </c>
      <c r="P25" s="490">
        <v>0.76970000000000005</v>
      </c>
      <c r="Q25" s="393" t="s">
        <v>135</v>
      </c>
      <c r="R25" s="216">
        <f>P25*N25</f>
        <v>554.29276800000014</v>
      </c>
      <c r="S25" s="370"/>
      <c r="T25" s="216">
        <f>N25-R25</f>
        <v>165.84854419955821</v>
      </c>
      <c r="U25" s="370"/>
      <c r="V25" s="394">
        <f>N25/$J$58</f>
        <v>1.9344695219230705E-2</v>
      </c>
      <c r="W25" s="370"/>
      <c r="X25" s="373">
        <f>$J$63*V25</f>
        <v>0.27652746476452922</v>
      </c>
    </row>
    <row r="26" spans="2:24">
      <c r="B26" s="370" t="s">
        <v>1019</v>
      </c>
      <c r="C26" s="370"/>
      <c r="E26" s="367" t="str">
        <f>"DCF, "&amp;TEXT(H26,"0.0")&amp;"x 22E OpFCF"</f>
        <v>DCF, 26.0x 22E OpFCF</v>
      </c>
      <c r="F26" s="484">
        <v>62.766625360262879</v>
      </c>
      <c r="G26" s="178" t="s">
        <v>134</v>
      </c>
      <c r="H26" s="486">
        <v>25.984454907553079</v>
      </c>
      <c r="I26" s="178" t="s">
        <v>135</v>
      </c>
      <c r="J26" s="216">
        <f>F26*H26</f>
        <v>1630.9565463730282</v>
      </c>
      <c r="K26" s="178" t="s">
        <v>136</v>
      </c>
      <c r="L26" s="484"/>
      <c r="M26" s="178" t="s">
        <v>135</v>
      </c>
      <c r="N26" s="497">
        <f>J26-L26</f>
        <v>1630.9565463730282</v>
      </c>
      <c r="O26" s="178" t="s">
        <v>134</v>
      </c>
      <c r="P26" s="490">
        <v>0.99099999999999999</v>
      </c>
      <c r="Q26" s="393" t="s">
        <v>135</v>
      </c>
      <c r="R26" s="385">
        <f>P26*N26</f>
        <v>1616.277937455671</v>
      </c>
      <c r="S26" s="370"/>
      <c r="T26" s="385">
        <f>N26-R26</f>
        <v>14.678608917357224</v>
      </c>
      <c r="U26" s="370"/>
      <c r="V26" s="395">
        <f>N26/$J$58</f>
        <v>4.3811341983741682E-2</v>
      </c>
      <c r="W26" s="370"/>
      <c r="X26" s="396">
        <f>$J$63*V26</f>
        <v>0.62627191534412074</v>
      </c>
    </row>
    <row r="27" spans="2:24" s="381" customFormat="1">
      <c r="B27" s="345" t="s">
        <v>108</v>
      </c>
      <c r="C27" s="345"/>
      <c r="F27" s="590"/>
      <c r="G27" s="196"/>
      <c r="H27" s="590"/>
      <c r="I27" s="196"/>
      <c r="J27" s="589">
        <f>J22+J24+J25+J26</f>
        <v>17055.010416709807</v>
      </c>
      <c r="K27" s="196"/>
      <c r="L27" s="210"/>
      <c r="M27" s="196"/>
      <c r="N27" s="196">
        <f>N22+N24+N25+N26</f>
        <v>13763.010416709807</v>
      </c>
      <c r="O27" s="196"/>
      <c r="P27" s="211"/>
      <c r="Q27" s="369"/>
      <c r="R27" s="196">
        <f>R22+R24+R25+R26</f>
        <v>11441.842779823772</v>
      </c>
      <c r="S27" s="210"/>
      <c r="T27" s="196">
        <f>T22+T24+T25+T26</f>
        <v>2321.1676368860344</v>
      </c>
      <c r="U27" s="345"/>
      <c r="V27" s="211"/>
      <c r="W27" s="345"/>
      <c r="X27" s="210"/>
    </row>
    <row r="28" spans="2:24">
      <c r="B28" s="370"/>
      <c r="C28" s="370"/>
      <c r="F28" s="214"/>
      <c r="G28" s="178"/>
      <c r="H28" s="214"/>
      <c r="I28" s="178"/>
      <c r="J28" s="216"/>
      <c r="K28" s="178"/>
      <c r="L28" s="216"/>
      <c r="M28" s="178"/>
      <c r="N28" s="178"/>
      <c r="O28" s="178"/>
      <c r="P28" s="215"/>
      <c r="Q28" s="393"/>
      <c r="R28" s="216"/>
      <c r="S28" s="370"/>
      <c r="T28" s="216"/>
      <c r="U28" s="370"/>
      <c r="V28" s="394"/>
      <c r="W28" s="370"/>
      <c r="X28" s="373"/>
    </row>
    <row r="29" spans="2:24" s="381" customFormat="1">
      <c r="B29" s="345" t="s">
        <v>1020</v>
      </c>
      <c r="C29" s="345"/>
      <c r="E29" s="381" t="str">
        <f>"DCF, "&amp;TEXT(H29,"0.0")&amp;"x 22E OpFCF"</f>
        <v>DCF, 11.4x 22E OpFCF</v>
      </c>
      <c r="F29" s="480">
        <v>1313</v>
      </c>
      <c r="G29" s="196" t="s">
        <v>134</v>
      </c>
      <c r="H29" s="588">
        <v>11.373559307867719</v>
      </c>
      <c r="I29" s="196" t="s">
        <v>135</v>
      </c>
      <c r="J29" s="589">
        <f>(H29*F29)</f>
        <v>14933.483371230315</v>
      </c>
      <c r="K29" s="196" t="s">
        <v>136</v>
      </c>
      <c r="L29" s="480"/>
      <c r="M29" s="196" t="s">
        <v>135</v>
      </c>
      <c r="N29" s="196">
        <f t="shared" si="0"/>
        <v>14933.483371230315</v>
      </c>
      <c r="O29" s="196" t="s">
        <v>134</v>
      </c>
      <c r="P29" s="483">
        <v>0.63794060072230896</v>
      </c>
      <c r="Q29" s="369" t="s">
        <v>135</v>
      </c>
      <c r="R29" s="210">
        <f>P29*N29</f>
        <v>9526.6753527192795</v>
      </c>
      <c r="S29" s="345"/>
      <c r="T29" s="210">
        <f>N29-R29</f>
        <v>5406.8080185110357</v>
      </c>
      <c r="U29" s="345"/>
      <c r="V29" s="371">
        <f>N29/$J$58</f>
        <v>0.40114860720259266</v>
      </c>
      <c r="W29" s="345"/>
      <c r="X29" s="372">
        <f>$J$63*V29</f>
        <v>5.7343166220204891</v>
      </c>
    </row>
    <row r="30" spans="2:24">
      <c r="B30" s="370"/>
      <c r="C30" s="370"/>
      <c r="F30" s="216"/>
      <c r="G30" s="178"/>
      <c r="H30" s="214"/>
      <c r="I30" s="178"/>
      <c r="J30" s="216"/>
      <c r="K30" s="178"/>
      <c r="L30" s="216"/>
      <c r="M30" s="178"/>
      <c r="N30" s="178"/>
      <c r="O30" s="178"/>
      <c r="P30" s="215"/>
      <c r="Q30" s="393"/>
      <c r="R30" s="216"/>
      <c r="S30" s="370"/>
      <c r="T30" s="216"/>
      <c r="U30" s="370"/>
      <c r="V30" s="215"/>
      <c r="W30" s="370"/>
      <c r="X30" s="373"/>
    </row>
    <row r="31" spans="2:24" s="381" customFormat="1">
      <c r="B31" s="345" t="s">
        <v>1446</v>
      </c>
      <c r="C31" s="345"/>
      <c r="E31" s="381" t="s">
        <v>1448</v>
      </c>
      <c r="F31" s="480">
        <v>371</v>
      </c>
      <c r="G31" s="196" t="s">
        <v>134</v>
      </c>
      <c r="H31" s="588">
        <v>24</v>
      </c>
      <c r="I31" s="196" t="s">
        <v>135</v>
      </c>
      <c r="J31" s="589">
        <f>(H31*F31)</f>
        <v>8904</v>
      </c>
      <c r="K31" s="196" t="s">
        <v>136</v>
      </c>
      <c r="L31" s="480"/>
      <c r="M31" s="196" t="s">
        <v>135</v>
      </c>
      <c r="N31" s="196">
        <f t="shared" ref="N31" si="1">J31-L31</f>
        <v>8904</v>
      </c>
      <c r="O31" s="196" t="s">
        <v>134</v>
      </c>
      <c r="P31" s="483">
        <v>0.63794060072230896</v>
      </c>
      <c r="Q31" s="369"/>
      <c r="R31" s="210"/>
      <c r="S31" s="345"/>
      <c r="T31" s="210"/>
      <c r="U31" s="345"/>
      <c r="V31" s="211"/>
      <c r="W31" s="345"/>
      <c r="X31" s="372"/>
    </row>
    <row r="32" spans="2:24">
      <c r="B32" s="370"/>
      <c r="C32" s="370"/>
      <c r="F32" s="216"/>
      <c r="G32" s="178"/>
      <c r="H32" s="214"/>
      <c r="I32" s="178"/>
      <c r="J32" s="216"/>
      <c r="K32" s="178"/>
      <c r="L32" s="216"/>
      <c r="M32" s="178"/>
      <c r="N32" s="178"/>
      <c r="O32" s="178"/>
      <c r="P32" s="215"/>
      <c r="Q32" s="393"/>
      <c r="R32" s="216"/>
      <c r="S32" s="370"/>
      <c r="T32" s="216"/>
      <c r="U32" s="370"/>
      <c r="V32" s="215"/>
      <c r="W32" s="370"/>
      <c r="X32" s="373"/>
    </row>
    <row r="33" spans="2:24" s="381" customFormat="1">
      <c r="B33" s="345" t="s">
        <v>1021</v>
      </c>
      <c r="C33" s="345"/>
      <c r="E33" s="381" t="s">
        <v>1447</v>
      </c>
      <c r="F33" s="196"/>
      <c r="G33" s="196"/>
      <c r="H33" s="196"/>
      <c r="I33" s="196"/>
      <c r="J33" s="591">
        <v>1429</v>
      </c>
      <c r="K33" s="196"/>
      <c r="L33" s="480"/>
      <c r="M33" s="196"/>
      <c r="N33" s="196"/>
      <c r="O33" s="196"/>
      <c r="P33" s="483">
        <v>1</v>
      </c>
      <c r="Q33" s="369"/>
      <c r="R33" s="210"/>
      <c r="S33" s="345"/>
      <c r="T33" s="210"/>
      <c r="U33" s="345"/>
      <c r="V33" s="371"/>
      <c r="W33" s="345"/>
      <c r="X33" s="372"/>
    </row>
    <row r="34" spans="2:24">
      <c r="B34" s="345"/>
      <c r="C34" s="345"/>
      <c r="F34" s="210"/>
      <c r="G34" s="196"/>
      <c r="H34" s="210"/>
      <c r="I34" s="196"/>
      <c r="J34" s="210"/>
      <c r="K34" s="196"/>
      <c r="L34" s="210"/>
      <c r="M34" s="196"/>
      <c r="N34" s="196"/>
      <c r="O34" s="196"/>
      <c r="P34" s="211"/>
      <c r="Q34" s="369"/>
      <c r="R34" s="210"/>
      <c r="S34" s="370"/>
      <c r="T34" s="210"/>
      <c r="U34" s="370"/>
      <c r="V34" s="211"/>
      <c r="W34" s="370"/>
      <c r="X34" s="372"/>
    </row>
    <row r="35" spans="2:24" ht="12.6" thickBot="1">
      <c r="B35" s="345" t="s">
        <v>138</v>
      </c>
      <c r="C35" s="345"/>
      <c r="J35" s="447">
        <f>J17+J27+J29+J33+J31</f>
        <v>88275.310863691324</v>
      </c>
      <c r="N35" s="447">
        <f>N17+N27+N29+N33</f>
        <v>74650.310863691324</v>
      </c>
      <c r="R35" s="447">
        <f>R17+R27+R29+R33</f>
        <v>66922.335208294244</v>
      </c>
      <c r="T35" s="447">
        <f>T17+T27+T29+T33</f>
        <v>7727.9756553970701</v>
      </c>
    </row>
    <row r="36" spans="2:24" ht="12.6" thickTop="1">
      <c r="B36" s="345"/>
      <c r="C36" s="370"/>
      <c r="F36" s="210"/>
      <c r="G36" s="196"/>
      <c r="H36" s="372"/>
      <c r="I36" s="376"/>
      <c r="J36" s="210"/>
      <c r="K36" s="375"/>
      <c r="L36" s="210"/>
      <c r="M36" s="196"/>
      <c r="N36" s="210"/>
      <c r="Q36" s="378"/>
      <c r="R36" s="210"/>
      <c r="S36" s="370"/>
      <c r="T36" s="210"/>
      <c r="U36" s="370"/>
      <c r="V36" s="438"/>
      <c r="W36" s="370"/>
      <c r="X36" s="372"/>
    </row>
    <row r="37" spans="2:24">
      <c r="B37" s="370"/>
      <c r="C37" s="370"/>
      <c r="F37" s="210"/>
      <c r="G37" s="196"/>
      <c r="H37" s="372"/>
      <c r="I37" s="376"/>
      <c r="J37" s="196"/>
      <c r="K37" s="375"/>
      <c r="L37" s="370"/>
      <c r="M37" s="196"/>
      <c r="N37" s="210"/>
      <c r="Q37" s="378"/>
      <c r="R37" s="210"/>
      <c r="T37" s="196"/>
    </row>
    <row r="38" spans="2:24">
      <c r="B38" s="345" t="s">
        <v>139</v>
      </c>
      <c r="C38" s="345"/>
      <c r="F38" s="210"/>
      <c r="G38" s="196"/>
      <c r="H38" s="372"/>
      <c r="I38" s="376"/>
      <c r="J38" s="375"/>
      <c r="K38" s="375"/>
      <c r="L38" s="196"/>
      <c r="M38" s="196"/>
      <c r="N38" s="370"/>
      <c r="Q38" s="378"/>
      <c r="R38" s="370"/>
    </row>
    <row r="39" spans="2:24">
      <c r="B39" s="370" t="s">
        <v>806</v>
      </c>
      <c r="C39" s="370"/>
      <c r="F39" s="484"/>
      <c r="G39" s="178" t="s">
        <v>134</v>
      </c>
      <c r="H39" s="486"/>
      <c r="I39" s="178" t="s">
        <v>135</v>
      </c>
      <c r="J39" s="216">
        <f>(F39*H39)/D69</f>
        <v>0</v>
      </c>
      <c r="K39" s="178" t="s">
        <v>136</v>
      </c>
      <c r="L39" s="484"/>
      <c r="M39" s="178" t="s">
        <v>135</v>
      </c>
      <c r="N39" s="178">
        <f>J39-L39</f>
        <v>0</v>
      </c>
      <c r="O39" s="178" t="s">
        <v>134</v>
      </c>
      <c r="P39" s="490">
        <v>0.04</v>
      </c>
      <c r="Q39" s="393" t="s">
        <v>135</v>
      </c>
      <c r="R39" s="216">
        <f t="shared" ref="R39" si="2">P39*N39</f>
        <v>0</v>
      </c>
    </row>
    <row r="40" spans="2:24">
      <c r="B40" s="370" t="s">
        <v>47</v>
      </c>
      <c r="C40" s="370"/>
      <c r="E40" s="367" t="s">
        <v>1371</v>
      </c>
      <c r="N40" s="484">
        <v>98</v>
      </c>
      <c r="O40" s="178" t="s">
        <v>134</v>
      </c>
      <c r="P40" s="490">
        <v>1</v>
      </c>
      <c r="R40" s="216">
        <f>P40*N40</f>
        <v>98</v>
      </c>
    </row>
    <row r="41" spans="2:24">
      <c r="B41" s="345" t="s">
        <v>138</v>
      </c>
      <c r="C41" s="345"/>
      <c r="R41" s="398">
        <f>SUM(R39:R40)</f>
        <v>98</v>
      </c>
    </row>
    <row r="42" spans="2:24">
      <c r="B42" s="345"/>
      <c r="C42" s="370"/>
      <c r="R42" s="210"/>
    </row>
    <row r="43" spans="2:24">
      <c r="D43" s="345"/>
      <c r="E43" s="381"/>
      <c r="F43" s="381"/>
      <c r="G43" s="381"/>
      <c r="H43" s="381"/>
      <c r="I43" s="381"/>
      <c r="J43" s="381"/>
      <c r="K43" s="381"/>
      <c r="R43" s="370"/>
    </row>
    <row r="44" spans="2:24" ht="12.6" thickBot="1">
      <c r="B44" s="382" t="s">
        <v>142</v>
      </c>
      <c r="D44" s="345"/>
      <c r="E44" s="381"/>
      <c r="H44" s="381"/>
      <c r="I44" s="381"/>
      <c r="J44" s="374">
        <f>J35</f>
        <v>88275.310863691324</v>
      </c>
      <c r="T44" s="460" t="s">
        <v>549</v>
      </c>
      <c r="U44" s="524"/>
      <c r="V44" s="524"/>
      <c r="W44" s="524"/>
      <c r="X44" s="524"/>
    </row>
    <row r="45" spans="2:24" ht="12.6" thickTop="1">
      <c r="B45" s="383" t="s">
        <v>1504</v>
      </c>
      <c r="D45" s="383"/>
      <c r="J45" s="216">
        <f>-ORA!D12</f>
        <v>-25298</v>
      </c>
      <c r="T45" s="134"/>
    </row>
    <row r="46" spans="2:24">
      <c r="B46" s="383" t="s">
        <v>1116</v>
      </c>
      <c r="J46" s="484">
        <v>-5662.40625</v>
      </c>
      <c r="K46" s="381"/>
    </row>
    <row r="47" spans="2:24">
      <c r="B47" s="384" t="s">
        <v>658</v>
      </c>
      <c r="J47" s="484">
        <v>-439</v>
      </c>
      <c r="K47" s="381"/>
    </row>
    <row r="48" spans="2:24">
      <c r="B48" s="384" t="s">
        <v>656</v>
      </c>
      <c r="D48" s="370"/>
      <c r="J48" s="484">
        <v>-8952.8897027964849</v>
      </c>
    </row>
    <row r="49" spans="2:11">
      <c r="B49" s="384" t="s">
        <v>1117</v>
      </c>
      <c r="D49" s="370"/>
      <c r="J49" s="484">
        <v>-270.05587092020795</v>
      </c>
    </row>
    <row r="50" spans="2:11">
      <c r="B50" s="384" t="s">
        <v>1429</v>
      </c>
      <c r="D50" s="370"/>
      <c r="J50" s="484">
        <v>-117.69704483456363</v>
      </c>
    </row>
    <row r="51" spans="2:11">
      <c r="B51" s="384" t="s">
        <v>1430</v>
      </c>
      <c r="D51" s="370"/>
      <c r="J51" s="484">
        <v>-386.87947211118296</v>
      </c>
      <c r="K51" s="367" t="s">
        <v>1432</v>
      </c>
    </row>
    <row r="52" spans="2:11">
      <c r="B52" s="384" t="s">
        <v>1431</v>
      </c>
      <c r="D52" s="370"/>
      <c r="J52" s="484">
        <v>-1968.953198462556</v>
      </c>
      <c r="K52" s="367" t="s">
        <v>1432</v>
      </c>
    </row>
    <row r="53" spans="2:11">
      <c r="B53" s="384" t="s">
        <v>1118</v>
      </c>
      <c r="D53" s="370"/>
      <c r="J53" s="484">
        <v>2098.3573008821372</v>
      </c>
      <c r="K53" s="381"/>
    </row>
    <row r="54" spans="2:11">
      <c r="B54" s="384" t="s">
        <v>659</v>
      </c>
      <c r="D54" s="370"/>
      <c r="J54" s="484">
        <v>-1771</v>
      </c>
      <c r="K54" s="381"/>
    </row>
    <row r="55" spans="2:11">
      <c r="B55" s="384" t="s">
        <v>750</v>
      </c>
      <c r="J55" s="484">
        <v>-650</v>
      </c>
    </row>
    <row r="56" spans="2:11">
      <c r="B56" s="384" t="s">
        <v>375</v>
      </c>
      <c r="J56" s="216">
        <f>-T35</f>
        <v>-7727.9756553970701</v>
      </c>
      <c r="K56" s="381"/>
    </row>
    <row r="57" spans="2:11">
      <c r="B57" s="384" t="s">
        <v>377</v>
      </c>
      <c r="J57" s="385">
        <f>R41</f>
        <v>98</v>
      </c>
      <c r="K57" s="381"/>
    </row>
    <row r="58" spans="2:11">
      <c r="B58" s="382" t="s">
        <v>495</v>
      </c>
      <c r="D58" s="345"/>
      <c r="E58" s="381"/>
      <c r="F58" s="381"/>
      <c r="G58" s="381"/>
      <c r="H58" s="381"/>
      <c r="I58" s="381"/>
      <c r="J58" s="210">
        <f>SUM(J44:J57)</f>
        <v>37226.810970051396</v>
      </c>
      <c r="K58" s="381"/>
    </row>
    <row r="59" spans="2:11" ht="12.6" thickBot="1">
      <c r="B59" s="384" t="s">
        <v>496</v>
      </c>
      <c r="D59" s="370"/>
      <c r="J59" s="216">
        <f>ORA!D10</f>
        <v>2660.056599</v>
      </c>
      <c r="K59" s="381"/>
    </row>
    <row r="60" spans="2:11" ht="12.6" thickBot="1">
      <c r="B60" s="382" t="s">
        <v>497</v>
      </c>
      <c r="D60" s="370"/>
      <c r="J60" s="461">
        <f>J58/J59</f>
        <v>13.994743940428238</v>
      </c>
      <c r="K60" s="381"/>
    </row>
    <row r="61" spans="2:11">
      <c r="B61" s="384" t="s">
        <v>748</v>
      </c>
      <c r="J61" s="485">
        <v>0.3</v>
      </c>
    </row>
    <row r="62" spans="2:11" ht="12.6" thickBot="1">
      <c r="B62" s="384" t="s">
        <v>812</v>
      </c>
      <c r="J62" s="485"/>
      <c r="K62" s="381"/>
    </row>
    <row r="63" spans="2:11" ht="12.6" thickBot="1">
      <c r="B63" s="382" t="s">
        <v>62</v>
      </c>
      <c r="D63" s="345"/>
      <c r="E63" s="381"/>
      <c r="H63" s="381"/>
      <c r="I63" s="381"/>
      <c r="J63" s="461">
        <f>J61+J60+J62</f>
        <v>14.294743940428239</v>
      </c>
      <c r="K63" s="381"/>
    </row>
    <row r="64" spans="2:11">
      <c r="B64" s="384" t="s">
        <v>498</v>
      </c>
      <c r="J64" s="373">
        <f>Prices!C11</f>
        <v>10.675000000000001</v>
      </c>
      <c r="K64" s="381"/>
    </row>
    <row r="65" spans="2:24">
      <c r="B65" s="382" t="s">
        <v>97</v>
      </c>
      <c r="E65" s="381"/>
      <c r="F65" s="381"/>
      <c r="G65" s="381"/>
      <c r="H65" s="381"/>
      <c r="I65" s="381"/>
      <c r="J65" s="387">
        <f>J63/J64-1</f>
        <v>0.33908608341248136</v>
      </c>
      <c r="K65" s="381"/>
      <c r="L65" s="381"/>
    </row>
    <row r="66" spans="2:24" ht="12.6" thickBot="1">
      <c r="E66" s="345"/>
      <c r="J66" s="381"/>
      <c r="K66" s="381"/>
      <c r="L66" s="381"/>
      <c r="T66" s="460" t="s">
        <v>549</v>
      </c>
      <c r="U66" s="368"/>
      <c r="V66" s="368"/>
      <c r="W66" s="368"/>
      <c r="X66" s="368"/>
    </row>
    <row r="67" spans="2:24" ht="12.6" thickTop="1">
      <c r="B67" s="367" t="s">
        <v>480</v>
      </c>
      <c r="D67" s="386">
        <f>Prices!F162</f>
        <v>4.2582480599999997</v>
      </c>
      <c r="E67" s="386"/>
      <c r="F67" s="345"/>
      <c r="G67" s="345"/>
      <c r="J67" s="381"/>
      <c r="N67" s="381"/>
      <c r="T67" s="370" t="s">
        <v>133</v>
      </c>
      <c r="X67" s="394">
        <f>J11/(J35+R41)</f>
        <v>0.27098538791546528</v>
      </c>
    </row>
    <row r="68" spans="2:24">
      <c r="B68" s="367" t="s">
        <v>48</v>
      </c>
      <c r="D68" s="386">
        <f>Prices!F171</f>
        <v>51.138889999999996</v>
      </c>
      <c r="E68" s="345"/>
      <c r="F68" s="345"/>
      <c r="G68" s="345"/>
      <c r="H68" s="345"/>
      <c r="I68" s="345"/>
      <c r="N68" s="381"/>
      <c r="T68" s="370" t="s">
        <v>555</v>
      </c>
      <c r="X68" s="394">
        <f>J12/(J35+R41)</f>
        <v>0.21582863619158624</v>
      </c>
    </row>
    <row r="69" spans="2:24">
      <c r="B69" s="367" t="s">
        <v>807</v>
      </c>
      <c r="D69" s="386">
        <f>Prices!F153</f>
        <v>0.85143464428000004</v>
      </c>
      <c r="E69" s="345"/>
      <c r="F69" s="345"/>
      <c r="G69" s="345"/>
      <c r="H69" s="345"/>
      <c r="I69" s="345"/>
      <c r="T69" s="370" t="s">
        <v>49</v>
      </c>
      <c r="X69" s="394">
        <f>SUM(J15:J16)/(J35+R41)</f>
        <v>3.3182529452328337E-2</v>
      </c>
    </row>
    <row r="70" spans="2:24">
      <c r="D70" s="345"/>
      <c r="E70" s="345"/>
      <c r="F70" s="345"/>
      <c r="G70" s="345"/>
      <c r="H70" s="345"/>
      <c r="I70" s="345"/>
      <c r="T70" s="370" t="s">
        <v>108</v>
      </c>
      <c r="X70" s="394">
        <f>(J27)/(R41+J35)</f>
        <v>0.19298824780952001</v>
      </c>
    </row>
    <row r="71" spans="2:24">
      <c r="D71" s="345"/>
      <c r="E71" s="345"/>
      <c r="F71" s="345"/>
      <c r="G71" s="345"/>
      <c r="H71" s="345"/>
      <c r="I71" s="345"/>
      <c r="T71" s="370" t="s">
        <v>1020</v>
      </c>
      <c r="X71" s="394">
        <f>J29/(J35+R41)</f>
        <v>0.16898182522847882</v>
      </c>
    </row>
    <row r="72" spans="2:24">
      <c r="D72" s="345"/>
      <c r="E72" s="345"/>
      <c r="F72" s="345"/>
      <c r="G72" s="345"/>
      <c r="H72" s="345"/>
      <c r="I72" s="345"/>
      <c r="T72" s="370" t="s">
        <v>141</v>
      </c>
      <c r="X72" s="394">
        <f>1-SUM(X67:X71)</f>
        <v>0.11803337340262121</v>
      </c>
    </row>
    <row r="73" spans="2:24">
      <c r="D73" s="345"/>
      <c r="E73" s="345"/>
      <c r="F73" s="345"/>
      <c r="G73" s="345"/>
      <c r="H73" s="345"/>
      <c r="I73" s="345"/>
    </row>
    <row r="74" spans="2:24">
      <c r="D74" s="345"/>
      <c r="E74" s="345"/>
      <c r="F74" s="345"/>
      <c r="G74" s="345"/>
      <c r="H74" s="345"/>
      <c r="I74" s="345"/>
    </row>
    <row r="75" spans="2:24">
      <c r="D75" s="345"/>
      <c r="E75" s="381"/>
      <c r="F75" s="381"/>
      <c r="G75" s="381"/>
      <c r="H75" s="381"/>
      <c r="I75" s="381"/>
    </row>
    <row r="76" spans="2:24">
      <c r="D76" s="345"/>
      <c r="E76" s="381"/>
      <c r="F76" s="381"/>
      <c r="G76" s="381"/>
      <c r="H76" s="381"/>
      <c r="I76" s="381"/>
    </row>
    <row r="77" spans="2:24">
      <c r="D77" s="370"/>
      <c r="E77" s="381"/>
      <c r="F77" s="381"/>
      <c r="G77" s="381"/>
      <c r="H77" s="381"/>
      <c r="I77" s="381"/>
      <c r="L77" s="249"/>
    </row>
    <row r="78" spans="2:24">
      <c r="D78" s="370"/>
      <c r="E78" s="381"/>
      <c r="F78" s="381"/>
      <c r="G78" s="381"/>
      <c r="H78" s="381"/>
      <c r="I78" s="381"/>
      <c r="M78" s="249"/>
    </row>
    <row r="79" spans="2:24">
      <c r="D79" s="370"/>
      <c r="N79" s="249"/>
      <c r="O79" s="249"/>
      <c r="P79" s="249"/>
    </row>
    <row r="80" spans="2:24">
      <c r="D80" s="345"/>
      <c r="E80" s="381"/>
      <c r="F80" s="381"/>
      <c r="G80" s="381"/>
      <c r="H80" s="381"/>
      <c r="I80" s="381"/>
      <c r="N80" s="388"/>
      <c r="O80" s="388"/>
      <c r="P80" s="388"/>
      <c r="Q80" s="249"/>
      <c r="R80" s="249"/>
    </row>
    <row r="81" spans="4:24">
      <c r="D81" s="370"/>
      <c r="E81" s="381"/>
      <c r="F81" s="381"/>
      <c r="G81" s="381"/>
      <c r="H81" s="381"/>
      <c r="I81" s="381"/>
      <c r="L81" s="249"/>
      <c r="Q81" s="388"/>
      <c r="R81" s="388"/>
    </row>
    <row r="82" spans="4:24">
      <c r="D82" s="370"/>
      <c r="E82" s="381"/>
      <c r="F82" s="381"/>
      <c r="G82" s="381"/>
      <c r="H82" s="381"/>
      <c r="I82" s="381"/>
      <c r="M82" s="249"/>
      <c r="T82" s="249"/>
      <c r="U82" s="249"/>
      <c r="V82" s="249"/>
      <c r="W82" s="249"/>
      <c r="X82" s="249"/>
    </row>
    <row r="83" spans="4:24">
      <c r="D83" s="370"/>
      <c r="N83" s="249"/>
      <c r="O83" s="249"/>
      <c r="P83" s="249"/>
      <c r="T83" s="388"/>
      <c r="U83" s="388"/>
      <c r="V83" s="388"/>
      <c r="W83" s="388"/>
      <c r="X83" s="388"/>
    </row>
    <row r="84" spans="4:24">
      <c r="D84" s="370"/>
      <c r="L84" s="249"/>
      <c r="N84" s="388"/>
      <c r="O84" s="388"/>
      <c r="P84" s="388"/>
      <c r="Q84" s="249"/>
      <c r="R84" s="249"/>
    </row>
    <row r="85" spans="4:24">
      <c r="D85" s="370"/>
      <c r="J85" s="381"/>
      <c r="K85" s="381"/>
      <c r="M85" s="249"/>
      <c r="Q85" s="388"/>
      <c r="R85" s="388"/>
      <c r="S85" s="249"/>
    </row>
    <row r="86" spans="4:24">
      <c r="D86" s="370"/>
      <c r="J86" s="381"/>
      <c r="K86" s="381"/>
      <c r="N86" s="249"/>
      <c r="O86" s="249"/>
      <c r="P86" s="249"/>
      <c r="S86" s="388"/>
      <c r="T86" s="249"/>
      <c r="U86" s="249"/>
      <c r="V86" s="249"/>
      <c r="W86" s="249"/>
      <c r="X86" s="249"/>
    </row>
    <row r="87" spans="4:24">
      <c r="D87" s="370"/>
      <c r="L87" s="249"/>
      <c r="N87" s="388"/>
      <c r="O87" s="388"/>
      <c r="P87" s="388"/>
      <c r="Q87" s="249"/>
      <c r="R87" s="249"/>
      <c r="T87" s="388"/>
      <c r="U87" s="388"/>
      <c r="V87" s="388"/>
      <c r="W87" s="388"/>
      <c r="X87" s="388"/>
    </row>
    <row r="88" spans="4:24">
      <c r="D88" s="370"/>
      <c r="J88" s="381"/>
      <c r="K88" s="381"/>
      <c r="M88" s="249"/>
      <c r="Q88" s="388"/>
      <c r="R88" s="388"/>
    </row>
    <row r="89" spans="4:24">
      <c r="D89" s="370"/>
      <c r="J89" s="381"/>
      <c r="K89" s="381"/>
      <c r="N89" s="249"/>
      <c r="O89" s="249"/>
      <c r="P89" s="249"/>
      <c r="S89" s="249"/>
      <c r="T89" s="249"/>
      <c r="U89" s="249"/>
      <c r="V89" s="249"/>
      <c r="W89" s="249"/>
      <c r="X89" s="249"/>
    </row>
    <row r="90" spans="4:24">
      <c r="D90" s="370"/>
      <c r="J90" s="381"/>
      <c r="K90" s="381"/>
      <c r="L90" s="249"/>
      <c r="N90" s="388"/>
      <c r="O90" s="388"/>
      <c r="P90" s="388"/>
      <c r="Q90" s="249"/>
      <c r="R90" s="249"/>
      <c r="S90" s="388"/>
      <c r="T90" s="388"/>
      <c r="U90" s="388"/>
      <c r="V90" s="388"/>
      <c r="W90" s="388"/>
      <c r="X90" s="388"/>
    </row>
    <row r="91" spans="4:24">
      <c r="D91" s="370"/>
      <c r="M91" s="249"/>
      <c r="Q91" s="388"/>
      <c r="R91" s="388"/>
    </row>
    <row r="92" spans="4:24">
      <c r="D92" s="345"/>
      <c r="E92" s="381"/>
      <c r="F92" s="381"/>
      <c r="G92" s="381"/>
      <c r="H92" s="381"/>
      <c r="I92" s="381"/>
      <c r="L92" s="389"/>
      <c r="N92" s="249"/>
      <c r="O92" s="249"/>
      <c r="P92" s="249"/>
      <c r="S92" s="249"/>
      <c r="T92" s="249"/>
      <c r="U92" s="249"/>
      <c r="V92" s="249"/>
      <c r="W92" s="249"/>
      <c r="X92" s="249"/>
    </row>
    <row r="93" spans="4:24">
      <c r="D93" s="370"/>
      <c r="J93" s="381"/>
      <c r="K93" s="381"/>
      <c r="M93" s="389"/>
      <c r="N93" s="388"/>
      <c r="O93" s="388"/>
      <c r="P93" s="388"/>
      <c r="Q93" s="249"/>
      <c r="R93" s="249"/>
      <c r="S93" s="388"/>
      <c r="T93" s="388"/>
      <c r="U93" s="388"/>
      <c r="V93" s="388"/>
      <c r="W93" s="388"/>
      <c r="X93" s="388"/>
    </row>
    <row r="94" spans="4:24">
      <c r="D94" s="370"/>
      <c r="J94" s="381"/>
      <c r="K94" s="381"/>
      <c r="N94" s="389"/>
      <c r="O94" s="389"/>
      <c r="P94" s="389"/>
      <c r="Q94" s="388"/>
      <c r="R94" s="388"/>
    </row>
    <row r="95" spans="4:24">
      <c r="D95" s="345"/>
      <c r="E95" s="381"/>
      <c r="F95" s="381"/>
      <c r="G95" s="381"/>
      <c r="H95" s="381"/>
      <c r="I95" s="381"/>
      <c r="L95" s="249"/>
      <c r="N95" s="388"/>
      <c r="O95" s="388"/>
      <c r="P95" s="388"/>
      <c r="Q95" s="389"/>
      <c r="R95" s="389"/>
      <c r="S95" s="249"/>
      <c r="T95" s="249"/>
      <c r="U95" s="249"/>
      <c r="V95" s="249"/>
      <c r="W95" s="249"/>
      <c r="X95" s="249"/>
    </row>
    <row r="96" spans="4:24">
      <c r="D96" s="370"/>
      <c r="M96" s="249"/>
      <c r="Q96" s="388"/>
      <c r="R96" s="388"/>
      <c r="S96" s="388"/>
      <c r="T96" s="388"/>
      <c r="U96" s="388"/>
      <c r="V96" s="388"/>
      <c r="W96" s="388"/>
      <c r="X96" s="388"/>
    </row>
    <row r="97" spans="4:24">
      <c r="D97" s="345"/>
      <c r="E97" s="381"/>
      <c r="F97" s="381"/>
      <c r="G97" s="381"/>
      <c r="H97" s="381"/>
      <c r="I97" s="381"/>
      <c r="L97" s="249"/>
      <c r="N97" s="249"/>
      <c r="O97" s="249"/>
      <c r="P97" s="249"/>
      <c r="T97" s="389"/>
      <c r="U97" s="389"/>
      <c r="V97" s="389"/>
      <c r="W97" s="389"/>
      <c r="X97" s="389"/>
    </row>
    <row r="98" spans="4:24">
      <c r="D98" s="370"/>
      <c r="E98" s="381"/>
      <c r="F98" s="381"/>
      <c r="G98" s="381"/>
      <c r="H98" s="381"/>
      <c r="I98" s="381"/>
      <c r="M98" s="249"/>
      <c r="N98" s="388"/>
      <c r="O98" s="388"/>
      <c r="P98" s="390"/>
      <c r="Q98" s="249"/>
      <c r="R98" s="249"/>
      <c r="S98" s="249"/>
      <c r="T98" s="388"/>
      <c r="U98" s="388"/>
      <c r="V98" s="388"/>
      <c r="W98" s="388"/>
      <c r="X98" s="388"/>
    </row>
    <row r="99" spans="4:24">
      <c r="D99" s="370"/>
      <c r="L99" s="248"/>
      <c r="N99" s="249"/>
      <c r="O99" s="249"/>
      <c r="P99" s="249"/>
      <c r="Q99" s="390"/>
      <c r="R99" s="390"/>
      <c r="S99" s="388"/>
    </row>
    <row r="100" spans="4:24">
      <c r="D100" s="370"/>
      <c r="M100" s="248"/>
      <c r="N100" s="388"/>
      <c r="O100" s="388"/>
      <c r="P100" s="388"/>
      <c r="Q100" s="249"/>
      <c r="R100" s="249"/>
      <c r="S100" s="389"/>
      <c r="T100" s="249"/>
      <c r="U100" s="249"/>
      <c r="V100" s="249"/>
      <c r="W100" s="249"/>
      <c r="X100" s="249"/>
    </row>
    <row r="101" spans="4:24">
      <c r="D101" s="345"/>
      <c r="E101" s="381"/>
      <c r="F101" s="381"/>
      <c r="G101" s="381"/>
      <c r="H101" s="381"/>
      <c r="I101" s="381"/>
      <c r="L101" s="247"/>
      <c r="N101" s="248"/>
      <c r="O101" s="248"/>
      <c r="P101" s="248"/>
      <c r="Q101" s="388"/>
      <c r="R101" s="388"/>
      <c r="S101" s="388"/>
      <c r="T101" s="390"/>
      <c r="U101" s="390"/>
      <c r="V101" s="390"/>
      <c r="W101" s="390"/>
      <c r="X101" s="390"/>
    </row>
    <row r="102" spans="4:24">
      <c r="D102" s="370"/>
      <c r="E102" s="381"/>
      <c r="F102" s="381"/>
      <c r="G102" s="381"/>
      <c r="H102" s="381"/>
      <c r="I102" s="381"/>
      <c r="M102" s="247"/>
      <c r="Q102" s="248"/>
      <c r="R102" s="248"/>
      <c r="T102" s="249"/>
      <c r="U102" s="249"/>
      <c r="V102" s="249"/>
      <c r="W102" s="249"/>
      <c r="X102" s="249"/>
    </row>
    <row r="103" spans="4:24">
      <c r="D103" s="370"/>
      <c r="N103" s="247"/>
      <c r="O103" s="247"/>
      <c r="P103" s="247"/>
      <c r="S103" s="249"/>
      <c r="T103" s="388"/>
      <c r="U103" s="388"/>
      <c r="V103" s="388"/>
      <c r="W103" s="388"/>
      <c r="X103" s="388"/>
    </row>
    <row r="104" spans="4:24">
      <c r="D104" s="345"/>
      <c r="E104" s="381"/>
      <c r="F104" s="381"/>
      <c r="G104" s="381"/>
      <c r="H104" s="381"/>
      <c r="I104" s="381"/>
      <c r="L104" s="389"/>
      <c r="N104" s="388"/>
      <c r="O104" s="388"/>
      <c r="P104" s="388"/>
      <c r="Q104" s="247"/>
      <c r="R104" s="247"/>
      <c r="S104" s="390"/>
      <c r="T104" s="248"/>
      <c r="U104" s="248"/>
      <c r="V104" s="248"/>
      <c r="W104" s="248"/>
      <c r="X104" s="248"/>
    </row>
    <row r="105" spans="4:24">
      <c r="D105" s="370"/>
      <c r="J105" s="381"/>
      <c r="K105" s="381"/>
      <c r="M105" s="389"/>
      <c r="Q105" s="388"/>
      <c r="R105" s="388"/>
      <c r="S105" s="249"/>
    </row>
    <row r="106" spans="4:24">
      <c r="D106" s="370"/>
      <c r="J106" s="381"/>
      <c r="K106" s="381"/>
      <c r="N106" s="389"/>
      <c r="O106" s="389"/>
      <c r="P106" s="389"/>
      <c r="S106" s="388"/>
      <c r="T106" s="247"/>
      <c r="U106" s="247"/>
      <c r="V106" s="247"/>
      <c r="W106" s="247"/>
      <c r="X106" s="247"/>
    </row>
    <row r="107" spans="4:24">
      <c r="D107" s="345"/>
      <c r="E107" s="381"/>
      <c r="F107" s="381"/>
      <c r="G107" s="381"/>
      <c r="H107" s="381"/>
      <c r="I107" s="381"/>
      <c r="L107" s="391"/>
      <c r="N107" s="388"/>
      <c r="O107" s="388"/>
      <c r="P107" s="388"/>
      <c r="Q107" s="389"/>
      <c r="R107" s="389"/>
      <c r="S107" s="248"/>
      <c r="T107" s="388"/>
      <c r="U107" s="388"/>
      <c r="V107" s="388"/>
      <c r="W107" s="388"/>
      <c r="X107" s="388"/>
    </row>
    <row r="108" spans="4:24">
      <c r="D108" s="370"/>
      <c r="M108" s="391"/>
      <c r="Q108" s="388"/>
      <c r="R108" s="388"/>
    </row>
    <row r="109" spans="4:24">
      <c r="D109" s="370"/>
      <c r="J109" s="381"/>
      <c r="K109" s="381"/>
      <c r="N109" s="391"/>
      <c r="O109" s="391"/>
      <c r="P109" s="391"/>
      <c r="S109" s="247"/>
      <c r="T109" s="389"/>
      <c r="U109" s="389"/>
      <c r="V109" s="389"/>
      <c r="W109" s="389"/>
      <c r="X109" s="389"/>
    </row>
    <row r="110" spans="4:24">
      <c r="D110" s="370"/>
      <c r="J110" s="381"/>
      <c r="K110" s="381"/>
      <c r="N110" s="388"/>
      <c r="O110" s="388"/>
      <c r="P110" s="388"/>
      <c r="Q110" s="391"/>
      <c r="R110" s="391"/>
      <c r="S110" s="388"/>
      <c r="T110" s="388"/>
      <c r="U110" s="388"/>
      <c r="V110" s="388"/>
      <c r="W110" s="388"/>
      <c r="X110" s="388"/>
    </row>
    <row r="111" spans="4:24">
      <c r="D111" s="345"/>
      <c r="E111" s="381"/>
      <c r="F111" s="381"/>
      <c r="G111" s="381"/>
      <c r="H111" s="381"/>
      <c r="I111" s="381"/>
      <c r="L111" s="247"/>
      <c r="N111" s="248"/>
      <c r="O111" s="248"/>
      <c r="P111" s="248"/>
      <c r="Q111" s="388"/>
      <c r="R111" s="388"/>
    </row>
    <row r="112" spans="4:24">
      <c r="D112" s="370"/>
      <c r="M112" s="247"/>
      <c r="Q112" s="248"/>
      <c r="R112" s="248"/>
      <c r="S112" s="389"/>
      <c r="T112" s="391"/>
      <c r="U112" s="391"/>
      <c r="V112" s="391"/>
      <c r="W112" s="391"/>
      <c r="X112" s="391"/>
    </row>
    <row r="113" spans="4:24">
      <c r="D113" s="370"/>
      <c r="E113" s="345"/>
      <c r="F113" s="345"/>
      <c r="G113" s="345"/>
      <c r="H113" s="345"/>
      <c r="I113" s="345"/>
      <c r="J113" s="381"/>
      <c r="K113" s="381"/>
      <c r="L113" s="274"/>
      <c r="N113" s="247"/>
      <c r="O113" s="247"/>
      <c r="P113" s="247"/>
      <c r="S113" s="388"/>
      <c r="T113" s="388"/>
      <c r="U113" s="388"/>
      <c r="V113" s="388"/>
      <c r="W113" s="388"/>
      <c r="X113" s="388"/>
    </row>
    <row r="114" spans="4:24">
      <c r="D114" s="370"/>
      <c r="E114" s="345"/>
      <c r="F114" s="345"/>
      <c r="G114" s="345"/>
      <c r="H114" s="345"/>
      <c r="I114" s="345"/>
      <c r="M114" s="274"/>
      <c r="N114" s="388"/>
      <c r="O114" s="388"/>
      <c r="P114" s="388"/>
      <c r="Q114" s="247"/>
      <c r="R114" s="247"/>
      <c r="T114" s="248"/>
      <c r="U114" s="248"/>
      <c r="V114" s="248"/>
      <c r="W114" s="248"/>
      <c r="X114" s="248"/>
    </row>
    <row r="115" spans="4:24">
      <c r="Q115" s="388"/>
      <c r="R115" s="388"/>
      <c r="S115" s="391"/>
    </row>
    <row r="116" spans="4:24">
      <c r="D116" s="370"/>
      <c r="L116" s="389"/>
      <c r="N116" s="274"/>
      <c r="O116" s="274"/>
      <c r="P116" s="274"/>
      <c r="Q116" s="274"/>
      <c r="R116" s="274"/>
      <c r="S116" s="388"/>
      <c r="T116" s="247"/>
      <c r="U116" s="247"/>
      <c r="V116" s="247"/>
      <c r="W116" s="247"/>
      <c r="X116" s="247"/>
    </row>
    <row r="117" spans="4:24">
      <c r="D117" s="370"/>
      <c r="M117" s="389"/>
      <c r="S117" s="248"/>
      <c r="T117" s="388"/>
      <c r="U117" s="388"/>
      <c r="V117" s="388"/>
      <c r="W117" s="388"/>
      <c r="X117" s="388"/>
    </row>
    <row r="118" spans="4:24">
      <c r="D118" s="370"/>
      <c r="N118" s="389"/>
      <c r="O118" s="389"/>
      <c r="P118" s="389"/>
      <c r="Q118" s="389"/>
      <c r="R118" s="389"/>
      <c r="T118" s="274"/>
      <c r="U118" s="274"/>
      <c r="V118" s="274"/>
      <c r="W118" s="274"/>
      <c r="X118" s="274"/>
    </row>
    <row r="119" spans="4:24">
      <c r="D119" s="345"/>
      <c r="E119" s="381"/>
      <c r="F119" s="381"/>
      <c r="G119" s="381"/>
      <c r="H119" s="381"/>
      <c r="I119" s="381"/>
      <c r="N119" s="388"/>
      <c r="O119" s="388"/>
      <c r="P119" s="388"/>
      <c r="Q119" s="388"/>
      <c r="R119" s="388"/>
      <c r="S119" s="247"/>
    </row>
    <row r="120" spans="4:24">
      <c r="D120" s="345"/>
      <c r="E120" s="381"/>
      <c r="F120" s="381"/>
      <c r="G120" s="381"/>
      <c r="H120" s="381"/>
      <c r="I120" s="381"/>
      <c r="L120" s="249"/>
      <c r="S120" s="388"/>
      <c r="T120" s="389"/>
      <c r="U120" s="389"/>
      <c r="V120" s="389"/>
      <c r="W120" s="389"/>
      <c r="X120" s="389"/>
    </row>
    <row r="121" spans="4:24">
      <c r="D121" s="370"/>
      <c r="E121" s="381"/>
      <c r="F121" s="381"/>
      <c r="G121" s="381"/>
      <c r="H121" s="381"/>
      <c r="I121" s="381"/>
      <c r="M121" s="249"/>
      <c r="S121" s="274"/>
      <c r="T121" s="388"/>
      <c r="U121" s="388"/>
      <c r="V121" s="388"/>
      <c r="W121" s="388"/>
      <c r="X121" s="388"/>
    </row>
    <row r="122" spans="4:24">
      <c r="D122" s="370"/>
      <c r="E122" s="381"/>
      <c r="F122" s="381"/>
      <c r="G122" s="381"/>
      <c r="H122" s="381"/>
      <c r="I122" s="381"/>
      <c r="N122" s="249"/>
      <c r="O122" s="249"/>
      <c r="P122" s="249"/>
      <c r="Q122" s="249"/>
      <c r="R122" s="249"/>
    </row>
    <row r="123" spans="4:24">
      <c r="D123" s="370"/>
      <c r="L123" s="249"/>
      <c r="N123" s="388"/>
      <c r="O123" s="388"/>
      <c r="P123" s="388"/>
      <c r="Q123" s="388"/>
      <c r="R123" s="388"/>
      <c r="S123" s="389"/>
    </row>
    <row r="124" spans="4:24">
      <c r="D124" s="345"/>
      <c r="E124" s="381"/>
      <c r="F124" s="381"/>
      <c r="G124" s="381"/>
      <c r="H124" s="381"/>
      <c r="I124" s="381"/>
      <c r="M124" s="249"/>
      <c r="S124" s="388"/>
      <c r="T124" s="249"/>
      <c r="U124" s="249"/>
      <c r="V124" s="249"/>
      <c r="W124" s="249"/>
      <c r="X124" s="249"/>
    </row>
    <row r="125" spans="4:24">
      <c r="D125" s="370"/>
      <c r="E125" s="381"/>
      <c r="F125" s="381"/>
      <c r="G125" s="381"/>
      <c r="H125" s="381"/>
      <c r="I125" s="381"/>
      <c r="N125" s="249"/>
      <c r="O125" s="249"/>
      <c r="P125" s="249"/>
      <c r="Q125" s="249"/>
      <c r="R125" s="249"/>
      <c r="T125" s="388"/>
      <c r="U125" s="388"/>
      <c r="V125" s="388"/>
      <c r="W125" s="388"/>
      <c r="X125" s="388"/>
    </row>
    <row r="126" spans="4:24">
      <c r="D126" s="370"/>
      <c r="E126" s="381"/>
      <c r="F126" s="381"/>
      <c r="G126" s="381"/>
      <c r="H126" s="381"/>
      <c r="I126" s="381"/>
      <c r="L126" s="389"/>
      <c r="N126" s="388"/>
      <c r="O126" s="388"/>
      <c r="P126" s="390"/>
      <c r="Q126" s="390"/>
      <c r="R126" s="390"/>
    </row>
    <row r="127" spans="4:24">
      <c r="D127" s="370"/>
      <c r="M127" s="389"/>
      <c r="S127" s="249"/>
      <c r="T127" s="249"/>
      <c r="U127" s="249"/>
      <c r="V127" s="249"/>
      <c r="W127" s="249"/>
      <c r="X127" s="249"/>
    </row>
    <row r="128" spans="4:24">
      <c r="D128" s="370"/>
      <c r="L128" s="392"/>
      <c r="N128" s="389"/>
      <c r="O128" s="389"/>
      <c r="P128" s="389"/>
      <c r="Q128" s="389"/>
      <c r="R128" s="389"/>
      <c r="S128" s="388"/>
      <c r="T128" s="390"/>
      <c r="U128" s="390"/>
      <c r="V128" s="390"/>
      <c r="W128" s="390"/>
      <c r="X128" s="390"/>
    </row>
    <row r="129" spans="4:24">
      <c r="D129" s="370"/>
      <c r="J129" s="381"/>
      <c r="K129" s="381"/>
      <c r="M129" s="392"/>
      <c r="N129" s="392"/>
      <c r="O129" s="392"/>
      <c r="P129" s="392"/>
      <c r="Q129" s="392"/>
      <c r="R129" s="392"/>
    </row>
    <row r="130" spans="4:24">
      <c r="D130" s="370"/>
      <c r="J130" s="381"/>
      <c r="K130" s="381"/>
      <c r="L130" s="388"/>
      <c r="N130" s="392"/>
      <c r="O130" s="392"/>
      <c r="P130" s="392"/>
      <c r="Q130" s="392"/>
      <c r="R130" s="392"/>
      <c r="S130" s="249"/>
      <c r="T130" s="389"/>
      <c r="U130" s="389"/>
      <c r="V130" s="389"/>
      <c r="W130" s="389"/>
      <c r="X130" s="389"/>
    </row>
    <row r="131" spans="4:24">
      <c r="D131" s="370"/>
      <c r="L131" s="389"/>
      <c r="M131" s="388"/>
      <c r="S131" s="390"/>
      <c r="T131" s="392"/>
      <c r="U131" s="392"/>
      <c r="V131" s="392"/>
      <c r="W131" s="392"/>
      <c r="X131" s="392"/>
    </row>
    <row r="132" spans="4:24">
      <c r="D132" s="370"/>
      <c r="J132" s="381"/>
      <c r="K132" s="381"/>
      <c r="M132" s="389"/>
      <c r="N132" s="388"/>
      <c r="O132" s="388"/>
      <c r="P132" s="388"/>
      <c r="Q132" s="388"/>
      <c r="R132" s="388"/>
      <c r="T132" s="392"/>
      <c r="U132" s="392"/>
      <c r="V132" s="392"/>
      <c r="W132" s="392"/>
      <c r="X132" s="392"/>
    </row>
    <row r="133" spans="4:24">
      <c r="D133" s="370"/>
      <c r="J133" s="381"/>
      <c r="K133" s="381"/>
      <c r="N133" s="389"/>
      <c r="O133" s="389"/>
      <c r="P133" s="389"/>
      <c r="Q133" s="389"/>
      <c r="R133" s="389"/>
      <c r="S133" s="389"/>
    </row>
    <row r="134" spans="4:24">
      <c r="D134" s="370"/>
      <c r="J134" s="381"/>
      <c r="K134" s="381"/>
      <c r="L134" s="389"/>
      <c r="R134" s="392"/>
      <c r="S134" s="392"/>
      <c r="T134" s="388"/>
      <c r="U134" s="388"/>
      <c r="V134" s="388"/>
      <c r="W134" s="388"/>
      <c r="X134" s="388"/>
    </row>
    <row r="135" spans="4:24">
      <c r="D135" s="370"/>
      <c r="M135" s="389"/>
      <c r="S135" s="392"/>
      <c r="T135" s="389"/>
      <c r="U135" s="389"/>
      <c r="V135" s="389"/>
      <c r="W135" s="389"/>
      <c r="X135" s="389"/>
    </row>
    <row r="136" spans="4:24">
      <c r="D136" s="345"/>
      <c r="E136" s="381"/>
      <c r="F136" s="381"/>
      <c r="G136" s="381"/>
      <c r="H136" s="381"/>
      <c r="I136" s="381"/>
      <c r="N136" s="389"/>
      <c r="O136" s="389"/>
      <c r="P136" s="389"/>
      <c r="Q136" s="389"/>
      <c r="R136" s="389"/>
      <c r="T136" s="392"/>
      <c r="U136" s="392"/>
      <c r="V136" s="392"/>
      <c r="W136" s="392"/>
      <c r="X136" s="392"/>
    </row>
    <row r="137" spans="4:24">
      <c r="D137" s="370"/>
      <c r="J137" s="381"/>
      <c r="K137" s="381"/>
      <c r="N137" s="392"/>
      <c r="O137" s="392"/>
      <c r="P137" s="392"/>
      <c r="Q137" s="392"/>
      <c r="R137" s="392"/>
      <c r="S137" s="388"/>
    </row>
    <row r="138" spans="4:24">
      <c r="D138" s="370"/>
      <c r="J138" s="381"/>
      <c r="K138" s="381"/>
      <c r="S138" s="389"/>
      <c r="T138" s="389"/>
      <c r="U138" s="389"/>
      <c r="V138" s="389"/>
      <c r="W138" s="389"/>
      <c r="X138" s="389"/>
    </row>
    <row r="139" spans="4:24">
      <c r="D139" s="345"/>
      <c r="E139" s="381"/>
      <c r="F139" s="381"/>
      <c r="G139" s="381"/>
      <c r="H139" s="381"/>
      <c r="I139" s="381"/>
      <c r="S139" s="392"/>
      <c r="T139" s="392"/>
      <c r="U139" s="392"/>
      <c r="V139" s="392"/>
      <c r="W139" s="392"/>
      <c r="X139" s="392"/>
    </row>
    <row r="140" spans="4:24">
      <c r="D140" s="370"/>
    </row>
    <row r="141" spans="4:24">
      <c r="D141" s="345"/>
      <c r="E141" s="381"/>
      <c r="F141" s="381"/>
      <c r="G141" s="381"/>
      <c r="H141" s="381"/>
      <c r="I141" s="381"/>
      <c r="S141" s="389"/>
    </row>
    <row r="142" spans="4:24">
      <c r="D142" s="370"/>
      <c r="E142" s="381"/>
      <c r="F142" s="381"/>
      <c r="G142" s="381"/>
      <c r="H142" s="381"/>
      <c r="I142" s="381"/>
      <c r="S142" s="392"/>
    </row>
    <row r="143" spans="4:24">
      <c r="D143" s="370"/>
    </row>
    <row r="144" spans="4:24">
      <c r="D144" s="370"/>
    </row>
    <row r="145" spans="4:11">
      <c r="D145" s="345"/>
      <c r="E145" s="381"/>
      <c r="F145" s="381"/>
      <c r="G145" s="381"/>
      <c r="H145" s="381"/>
      <c r="I145" s="381"/>
    </row>
    <row r="146" spans="4:11">
      <c r="D146" s="370"/>
      <c r="E146" s="381"/>
      <c r="F146" s="381"/>
      <c r="G146" s="381"/>
      <c r="H146" s="381"/>
      <c r="I146" s="381"/>
    </row>
    <row r="147" spans="4:11">
      <c r="D147" s="370"/>
    </row>
    <row r="148" spans="4:11">
      <c r="D148" s="345"/>
      <c r="E148" s="381"/>
      <c r="F148" s="381"/>
      <c r="G148" s="381"/>
      <c r="H148" s="381"/>
      <c r="I148" s="381"/>
    </row>
    <row r="149" spans="4:11">
      <c r="D149" s="370"/>
      <c r="J149" s="381"/>
      <c r="K149" s="381"/>
    </row>
    <row r="150" spans="4:11">
      <c r="D150" s="370"/>
      <c r="J150" s="381"/>
      <c r="K150" s="381"/>
    </row>
    <row r="151" spans="4:11">
      <c r="D151" s="345"/>
      <c r="E151" s="381"/>
      <c r="F151" s="381"/>
      <c r="G151" s="381"/>
      <c r="H151" s="381"/>
      <c r="I151" s="381"/>
    </row>
    <row r="152" spans="4:11">
      <c r="D152" s="370"/>
    </row>
    <row r="153" spans="4:11">
      <c r="D153" s="370"/>
      <c r="J153" s="381"/>
      <c r="K153" s="381"/>
    </row>
    <row r="154" spans="4:11">
      <c r="D154" s="370"/>
      <c r="J154" s="381"/>
      <c r="K154" s="381"/>
    </row>
    <row r="155" spans="4:11">
      <c r="D155" s="345"/>
      <c r="E155" s="381"/>
      <c r="F155" s="381"/>
      <c r="G155" s="381"/>
      <c r="H155" s="381"/>
      <c r="I155" s="381"/>
    </row>
    <row r="156" spans="4:11">
      <c r="D156" s="370"/>
    </row>
    <row r="157" spans="4:11">
      <c r="D157" s="370"/>
      <c r="E157" s="345"/>
      <c r="F157" s="345"/>
      <c r="G157" s="345"/>
      <c r="H157" s="345"/>
      <c r="I157" s="345"/>
      <c r="J157" s="381"/>
      <c r="K157" s="381"/>
    </row>
    <row r="158" spans="4:11">
      <c r="D158" s="370"/>
      <c r="E158" s="345"/>
      <c r="F158" s="345"/>
      <c r="G158" s="345"/>
      <c r="H158" s="345"/>
      <c r="I158" s="345"/>
    </row>
    <row r="159" spans="4:11">
      <c r="D159" s="370"/>
    </row>
    <row r="160" spans="4:11">
      <c r="D160" s="370"/>
    </row>
    <row r="162" spans="4:11">
      <c r="D162" s="345"/>
      <c r="E162" s="381"/>
      <c r="F162" s="381"/>
      <c r="G162" s="381"/>
      <c r="H162" s="381"/>
      <c r="I162" s="381"/>
    </row>
    <row r="163" spans="4:11">
      <c r="D163" s="345"/>
      <c r="E163" s="381"/>
      <c r="F163" s="381"/>
      <c r="G163" s="381"/>
      <c r="H163" s="381"/>
      <c r="I163" s="381"/>
    </row>
    <row r="164" spans="4:11">
      <c r="D164" s="370"/>
      <c r="E164" s="381"/>
      <c r="F164" s="381"/>
      <c r="G164" s="381"/>
      <c r="H164" s="381"/>
      <c r="I164" s="381"/>
    </row>
    <row r="165" spans="4:11">
      <c r="D165" s="370"/>
      <c r="E165" s="381"/>
      <c r="F165" s="381"/>
      <c r="G165" s="381"/>
      <c r="H165" s="381"/>
      <c r="I165" s="381"/>
    </row>
    <row r="166" spans="4:11">
      <c r="D166" s="370"/>
    </row>
    <row r="167" spans="4:11">
      <c r="D167" s="345"/>
      <c r="E167" s="381"/>
      <c r="F167" s="381"/>
      <c r="G167" s="381"/>
      <c r="H167" s="381"/>
      <c r="I167" s="381"/>
    </row>
    <row r="168" spans="4:11">
      <c r="D168" s="370"/>
      <c r="E168" s="381"/>
      <c r="F168" s="381"/>
      <c r="G168" s="381"/>
      <c r="H168" s="381"/>
      <c r="I168" s="381"/>
    </row>
    <row r="169" spans="4:11">
      <c r="D169" s="370"/>
      <c r="E169" s="381"/>
      <c r="F169" s="381"/>
      <c r="G169" s="381"/>
      <c r="H169" s="381"/>
      <c r="I169" s="381"/>
    </row>
    <row r="170" spans="4:11">
      <c r="D170" s="370"/>
    </row>
    <row r="171" spans="4:11">
      <c r="D171" s="370"/>
    </row>
    <row r="172" spans="4:11">
      <c r="D172" s="370"/>
      <c r="J172" s="381"/>
      <c r="K172" s="381"/>
    </row>
    <row r="173" spans="4:11">
      <c r="D173" s="370"/>
      <c r="J173" s="381"/>
      <c r="K173" s="381"/>
    </row>
    <row r="174" spans="4:11">
      <c r="D174" s="370"/>
    </row>
    <row r="175" spans="4:11">
      <c r="D175" s="370"/>
      <c r="J175" s="381"/>
      <c r="K175" s="381"/>
    </row>
    <row r="176" spans="4:11">
      <c r="D176" s="370"/>
      <c r="J176" s="381"/>
      <c r="K176" s="381"/>
    </row>
    <row r="177" spans="4:11">
      <c r="D177" s="370"/>
      <c r="J177" s="381"/>
      <c r="K177" s="381"/>
    </row>
    <row r="178" spans="4:11">
      <c r="D178" s="370"/>
    </row>
    <row r="179" spans="4:11">
      <c r="D179" s="345"/>
      <c r="E179" s="381"/>
      <c r="F179" s="381"/>
      <c r="G179" s="381"/>
      <c r="H179" s="381"/>
      <c r="I179" s="381"/>
    </row>
    <row r="180" spans="4:11">
      <c r="D180" s="370"/>
      <c r="J180" s="381"/>
      <c r="K180" s="381"/>
    </row>
    <row r="181" spans="4:11">
      <c r="D181" s="370"/>
      <c r="J181" s="381"/>
      <c r="K181" s="381"/>
    </row>
    <row r="182" spans="4:11">
      <c r="D182" s="345"/>
      <c r="E182" s="381"/>
      <c r="F182" s="381"/>
      <c r="G182" s="381"/>
      <c r="H182" s="381"/>
      <c r="I182" s="381"/>
    </row>
    <row r="183" spans="4:11">
      <c r="D183" s="370"/>
    </row>
    <row r="184" spans="4:11">
      <c r="D184" s="345"/>
      <c r="E184" s="381"/>
      <c r="F184" s="381"/>
      <c r="G184" s="381"/>
      <c r="H184" s="381"/>
      <c r="I184" s="381"/>
    </row>
    <row r="185" spans="4:11">
      <c r="D185" s="370"/>
      <c r="E185" s="381"/>
      <c r="F185" s="381"/>
      <c r="G185" s="381"/>
      <c r="H185" s="381"/>
      <c r="I185" s="381"/>
    </row>
    <row r="186" spans="4:11">
      <c r="D186" s="370"/>
    </row>
    <row r="187" spans="4:11">
      <c r="D187" s="370"/>
    </row>
    <row r="188" spans="4:11">
      <c r="D188" s="345"/>
      <c r="E188" s="381"/>
      <c r="F188" s="381"/>
      <c r="G188" s="381"/>
      <c r="H188" s="381"/>
      <c r="I188" s="381"/>
    </row>
    <row r="189" spans="4:11">
      <c r="D189" s="370"/>
      <c r="E189" s="381"/>
      <c r="F189" s="381"/>
      <c r="G189" s="381"/>
      <c r="H189" s="381"/>
      <c r="I189" s="381"/>
    </row>
    <row r="190" spans="4:11">
      <c r="D190" s="370"/>
    </row>
    <row r="191" spans="4:11">
      <c r="D191" s="345"/>
      <c r="E191" s="381"/>
      <c r="F191" s="381"/>
      <c r="G191" s="381"/>
      <c r="H191" s="381"/>
      <c r="I191" s="381"/>
    </row>
    <row r="192" spans="4:11">
      <c r="D192" s="370"/>
      <c r="J192" s="381"/>
      <c r="K192" s="381"/>
    </row>
    <row r="193" spans="4:11">
      <c r="D193" s="370"/>
      <c r="J193" s="381"/>
      <c r="K193" s="381"/>
    </row>
    <row r="194" spans="4:11">
      <c r="D194" s="345"/>
      <c r="E194" s="381"/>
      <c r="F194" s="381"/>
      <c r="G194" s="381"/>
      <c r="H194" s="381"/>
      <c r="I194" s="381"/>
    </row>
    <row r="195" spans="4:11">
      <c r="D195" s="370"/>
    </row>
    <row r="196" spans="4:11">
      <c r="D196" s="370"/>
      <c r="J196" s="381"/>
      <c r="K196" s="381"/>
    </row>
    <row r="197" spans="4:11">
      <c r="D197" s="370"/>
      <c r="J197" s="381"/>
      <c r="K197" s="381"/>
    </row>
    <row r="198" spans="4:11">
      <c r="D198" s="345"/>
      <c r="E198" s="381"/>
      <c r="F198" s="381"/>
      <c r="G198" s="381"/>
      <c r="H198" s="381"/>
      <c r="I198" s="381"/>
    </row>
    <row r="199" spans="4:11">
      <c r="D199" s="370"/>
    </row>
    <row r="200" spans="4:11">
      <c r="D200" s="370"/>
      <c r="E200" s="345"/>
      <c r="F200" s="345"/>
      <c r="G200" s="345"/>
      <c r="H200" s="345"/>
      <c r="I200" s="345"/>
      <c r="J200" s="381"/>
      <c r="K200" s="381"/>
    </row>
    <row r="201" spans="4:11">
      <c r="D201" s="370"/>
      <c r="E201" s="345"/>
      <c r="F201" s="345"/>
      <c r="G201" s="345"/>
      <c r="H201" s="345"/>
      <c r="I201" s="345"/>
    </row>
    <row r="202" spans="4:11">
      <c r="D202" s="370"/>
    </row>
    <row r="203" spans="4:11">
      <c r="D203" s="370"/>
    </row>
    <row r="204" spans="4:11">
      <c r="D204" s="370"/>
    </row>
    <row r="205" spans="4:11">
      <c r="D205" s="345"/>
      <c r="E205" s="381"/>
      <c r="F205" s="381"/>
      <c r="G205" s="381"/>
      <c r="H205" s="381"/>
      <c r="I205" s="381"/>
    </row>
    <row r="206" spans="4:11">
      <c r="D206" s="345"/>
      <c r="E206" s="381"/>
      <c r="F206" s="381"/>
      <c r="G206" s="381"/>
      <c r="H206" s="381"/>
      <c r="I206" s="381"/>
    </row>
    <row r="207" spans="4:11">
      <c r="D207" s="370"/>
      <c r="E207" s="381"/>
      <c r="F207" s="381"/>
      <c r="G207" s="381"/>
      <c r="H207" s="381"/>
      <c r="I207" s="381"/>
    </row>
    <row r="208" spans="4:11">
      <c r="D208" s="370"/>
      <c r="E208" s="381"/>
      <c r="F208" s="381"/>
      <c r="G208" s="381"/>
      <c r="H208" s="381"/>
      <c r="I208" s="381"/>
    </row>
    <row r="209" spans="4:11">
      <c r="D209" s="370"/>
    </row>
    <row r="210" spans="4:11">
      <c r="D210" s="345"/>
      <c r="E210" s="381"/>
      <c r="F210" s="381"/>
      <c r="G210" s="381"/>
      <c r="H210" s="381"/>
      <c r="I210" s="381"/>
    </row>
    <row r="211" spans="4:11">
      <c r="D211" s="370"/>
      <c r="E211" s="381"/>
      <c r="F211" s="381"/>
      <c r="G211" s="381"/>
      <c r="H211" s="381"/>
      <c r="I211" s="381"/>
    </row>
    <row r="212" spans="4:11">
      <c r="D212" s="370"/>
      <c r="E212" s="381"/>
      <c r="F212" s="381"/>
      <c r="G212" s="381"/>
      <c r="H212" s="381"/>
      <c r="I212" s="381"/>
    </row>
    <row r="213" spans="4:11">
      <c r="D213" s="370"/>
    </row>
    <row r="214" spans="4:11">
      <c r="D214" s="370"/>
    </row>
    <row r="215" spans="4:11">
      <c r="D215" s="370"/>
      <c r="J215" s="381"/>
      <c r="K215" s="381"/>
    </row>
    <row r="216" spans="4:11">
      <c r="D216" s="370"/>
      <c r="J216" s="381"/>
      <c r="K216" s="381"/>
    </row>
    <row r="217" spans="4:11">
      <c r="D217" s="370"/>
    </row>
    <row r="218" spans="4:11">
      <c r="D218" s="370"/>
      <c r="J218" s="381"/>
      <c r="K218" s="381"/>
    </row>
    <row r="219" spans="4:11">
      <c r="D219" s="370"/>
      <c r="J219" s="381"/>
      <c r="K219" s="381"/>
    </row>
    <row r="220" spans="4:11">
      <c r="D220" s="370"/>
      <c r="J220" s="381"/>
      <c r="K220" s="381"/>
    </row>
    <row r="221" spans="4:11">
      <c r="D221" s="370"/>
    </row>
    <row r="222" spans="4:11">
      <c r="D222" s="345"/>
      <c r="E222" s="381"/>
      <c r="F222" s="381"/>
      <c r="G222" s="381"/>
      <c r="H222" s="381"/>
      <c r="I222" s="381"/>
    </row>
    <row r="223" spans="4:11">
      <c r="D223" s="370"/>
      <c r="J223" s="381"/>
      <c r="K223" s="381"/>
    </row>
    <row r="224" spans="4:11">
      <c r="D224" s="370"/>
      <c r="J224" s="381"/>
      <c r="K224" s="381"/>
    </row>
    <row r="225" spans="4:11">
      <c r="D225" s="345"/>
      <c r="E225" s="381"/>
      <c r="F225" s="381"/>
      <c r="G225" s="381"/>
      <c r="H225" s="381"/>
      <c r="I225" s="381"/>
    </row>
    <row r="226" spans="4:11">
      <c r="D226" s="370"/>
    </row>
    <row r="227" spans="4:11">
      <c r="D227" s="345"/>
      <c r="E227" s="381"/>
      <c r="F227" s="381"/>
      <c r="G227" s="381"/>
      <c r="H227" s="381"/>
      <c r="I227" s="381"/>
    </row>
    <row r="228" spans="4:11">
      <c r="D228" s="370"/>
      <c r="E228" s="381"/>
      <c r="F228" s="381"/>
      <c r="G228" s="381"/>
      <c r="H228" s="381"/>
      <c r="I228" s="381"/>
    </row>
    <row r="229" spans="4:11">
      <c r="D229" s="370"/>
    </row>
    <row r="230" spans="4:11">
      <c r="D230" s="370"/>
    </row>
    <row r="231" spans="4:11">
      <c r="D231" s="345"/>
      <c r="E231" s="381"/>
      <c r="F231" s="381"/>
      <c r="G231" s="381"/>
      <c r="H231" s="381"/>
      <c r="I231" s="381"/>
    </row>
    <row r="232" spans="4:11">
      <c r="D232" s="370"/>
      <c r="E232" s="381"/>
      <c r="F232" s="381"/>
      <c r="G232" s="381"/>
      <c r="H232" s="381"/>
      <c r="I232" s="381"/>
    </row>
    <row r="233" spans="4:11">
      <c r="D233" s="370"/>
    </row>
    <row r="234" spans="4:11">
      <c r="D234" s="345"/>
      <c r="E234" s="381"/>
      <c r="F234" s="381"/>
      <c r="G234" s="381"/>
      <c r="H234" s="381"/>
      <c r="I234" s="381"/>
    </row>
    <row r="235" spans="4:11">
      <c r="D235" s="370"/>
      <c r="J235" s="381"/>
      <c r="K235" s="381"/>
    </row>
    <row r="236" spans="4:11">
      <c r="D236" s="370"/>
      <c r="J236" s="381"/>
      <c r="K236" s="381"/>
    </row>
    <row r="237" spans="4:11">
      <c r="D237" s="345"/>
      <c r="E237" s="381"/>
      <c r="F237" s="381"/>
      <c r="G237" s="381"/>
      <c r="H237" s="381"/>
      <c r="I237" s="381"/>
    </row>
    <row r="238" spans="4:11">
      <c r="D238" s="370"/>
    </row>
    <row r="239" spans="4:11">
      <c r="D239" s="370"/>
      <c r="J239" s="381"/>
      <c r="K239" s="381"/>
    </row>
    <row r="240" spans="4:11">
      <c r="D240" s="370"/>
      <c r="J240" s="381"/>
      <c r="K240" s="381"/>
    </row>
    <row r="241" spans="4:11">
      <c r="D241" s="345"/>
      <c r="E241" s="381"/>
      <c r="F241" s="381"/>
      <c r="G241" s="381"/>
      <c r="H241" s="381"/>
      <c r="I241" s="381"/>
    </row>
    <row r="242" spans="4:11">
      <c r="D242" s="370"/>
    </row>
    <row r="243" spans="4:11">
      <c r="D243" s="370"/>
      <c r="E243" s="345"/>
      <c r="F243" s="345"/>
      <c r="G243" s="345"/>
      <c r="H243" s="345"/>
      <c r="I243" s="345"/>
      <c r="J243" s="381"/>
      <c r="K243" s="381"/>
    </row>
    <row r="244" spans="4:11">
      <c r="D244" s="370"/>
      <c r="E244" s="345"/>
      <c r="F244" s="345"/>
      <c r="G244" s="345"/>
      <c r="H244" s="345"/>
      <c r="I244" s="345"/>
    </row>
    <row r="245" spans="4:11">
      <c r="D245" s="370"/>
    </row>
    <row r="246" spans="4:11">
      <c r="D246" s="370"/>
    </row>
    <row r="247" spans="4:11">
      <c r="D247" s="370"/>
    </row>
    <row r="248" spans="4:11">
      <c r="D248" s="345"/>
      <c r="E248" s="381"/>
      <c r="F248" s="381"/>
      <c r="G248" s="381"/>
      <c r="H248" s="381"/>
      <c r="I248" s="381"/>
    </row>
    <row r="249" spans="4:11">
      <c r="D249" s="345"/>
      <c r="E249" s="381"/>
      <c r="F249" s="381"/>
      <c r="G249" s="381"/>
      <c r="H249" s="381"/>
      <c r="I249" s="381"/>
    </row>
    <row r="250" spans="4:11">
      <c r="D250" s="370"/>
      <c r="E250" s="381"/>
      <c r="F250" s="381"/>
      <c r="G250" s="381"/>
      <c r="H250" s="381"/>
      <c r="I250" s="381"/>
    </row>
    <row r="251" spans="4:11">
      <c r="D251" s="370"/>
      <c r="E251" s="381"/>
      <c r="F251" s="381"/>
      <c r="G251" s="381"/>
      <c r="H251" s="381"/>
      <c r="I251" s="381"/>
    </row>
    <row r="252" spans="4:11">
      <c r="D252" s="370"/>
    </row>
    <row r="253" spans="4:11">
      <c r="D253" s="345"/>
      <c r="E253" s="381"/>
      <c r="F253" s="381"/>
      <c r="G253" s="381"/>
      <c r="H253" s="381"/>
      <c r="I253" s="381"/>
    </row>
    <row r="254" spans="4:11">
      <c r="D254" s="370"/>
      <c r="E254" s="381"/>
      <c r="F254" s="381"/>
      <c r="G254" s="381"/>
      <c r="H254" s="381"/>
      <c r="I254" s="381"/>
    </row>
    <row r="255" spans="4:11">
      <c r="D255" s="370"/>
      <c r="E255" s="381"/>
      <c r="F255" s="381"/>
      <c r="G255" s="381"/>
      <c r="H255" s="381"/>
      <c r="I255" s="381"/>
    </row>
    <row r="256" spans="4:11">
      <c r="D256" s="370"/>
    </row>
    <row r="257" spans="4:11">
      <c r="D257" s="370"/>
    </row>
    <row r="258" spans="4:11">
      <c r="D258" s="370"/>
      <c r="J258" s="381"/>
      <c r="K258" s="381"/>
    </row>
    <row r="259" spans="4:11">
      <c r="D259" s="370"/>
      <c r="J259" s="381"/>
      <c r="K259" s="381"/>
    </row>
    <row r="260" spans="4:11">
      <c r="D260" s="370"/>
    </row>
    <row r="261" spans="4:11">
      <c r="D261" s="370"/>
      <c r="J261" s="381"/>
      <c r="K261" s="381"/>
    </row>
    <row r="262" spans="4:11">
      <c r="D262" s="370"/>
      <c r="J262" s="381"/>
      <c r="K262" s="381"/>
    </row>
    <row r="263" spans="4:11">
      <c r="D263" s="370"/>
      <c r="J263" s="381"/>
      <c r="K263" s="381"/>
    </row>
    <row r="264" spans="4:11">
      <c r="D264" s="370"/>
    </row>
    <row r="265" spans="4:11">
      <c r="D265" s="345"/>
      <c r="E265" s="381"/>
      <c r="F265" s="381"/>
      <c r="G265" s="381"/>
      <c r="H265" s="381"/>
      <c r="I265" s="381"/>
    </row>
    <row r="266" spans="4:11">
      <c r="D266" s="370"/>
      <c r="J266" s="381"/>
      <c r="K266" s="381"/>
    </row>
    <row r="267" spans="4:11">
      <c r="D267" s="370"/>
      <c r="J267" s="381"/>
      <c r="K267" s="381"/>
    </row>
    <row r="268" spans="4:11">
      <c r="D268" s="345"/>
      <c r="E268" s="381"/>
      <c r="F268" s="381"/>
      <c r="G268" s="381"/>
      <c r="H268" s="381"/>
      <c r="I268" s="381"/>
    </row>
    <row r="269" spans="4:11">
      <c r="D269" s="370"/>
    </row>
    <row r="270" spans="4:11">
      <c r="D270" s="345"/>
      <c r="E270" s="381"/>
      <c r="F270" s="381"/>
      <c r="G270" s="381"/>
      <c r="H270" s="381"/>
      <c r="I270" s="381"/>
    </row>
    <row r="271" spans="4:11">
      <c r="D271" s="370"/>
      <c r="E271" s="381"/>
      <c r="F271" s="381"/>
      <c r="G271" s="381"/>
      <c r="H271" s="381"/>
      <c r="I271" s="381"/>
    </row>
    <row r="272" spans="4:11">
      <c r="D272" s="370"/>
    </row>
    <row r="273" spans="4:11">
      <c r="D273" s="370"/>
    </row>
    <row r="274" spans="4:11">
      <c r="D274" s="345"/>
      <c r="E274" s="381"/>
      <c r="F274" s="381"/>
      <c r="G274" s="381"/>
      <c r="H274" s="381"/>
      <c r="I274" s="381"/>
    </row>
    <row r="275" spans="4:11">
      <c r="D275" s="370"/>
      <c r="E275" s="381"/>
      <c r="F275" s="381"/>
      <c r="G275" s="381"/>
      <c r="H275" s="381"/>
      <c r="I275" s="381"/>
    </row>
    <row r="276" spans="4:11">
      <c r="D276" s="370"/>
    </row>
    <row r="277" spans="4:11">
      <c r="D277" s="345"/>
      <c r="E277" s="381"/>
      <c r="F277" s="381"/>
      <c r="G277" s="381"/>
      <c r="H277" s="381"/>
      <c r="I277" s="381"/>
    </row>
    <row r="278" spans="4:11">
      <c r="D278" s="370"/>
      <c r="J278" s="381"/>
      <c r="K278" s="381"/>
    </row>
    <row r="279" spans="4:11">
      <c r="D279" s="370"/>
      <c r="J279" s="381"/>
      <c r="K279" s="381"/>
    </row>
    <row r="280" spans="4:11">
      <c r="D280" s="345"/>
      <c r="E280" s="381"/>
      <c r="F280" s="381"/>
      <c r="G280" s="381"/>
      <c r="H280" s="381"/>
      <c r="I280" s="381"/>
    </row>
    <row r="281" spans="4:11">
      <c r="D281" s="370"/>
    </row>
    <row r="282" spans="4:11">
      <c r="D282" s="370"/>
      <c r="J282" s="381"/>
      <c r="K282" s="381"/>
    </row>
    <row r="283" spans="4:11">
      <c r="D283" s="370"/>
      <c r="J283" s="381"/>
      <c r="K283" s="381"/>
    </row>
    <row r="284" spans="4:11">
      <c r="D284" s="345"/>
      <c r="E284" s="381"/>
      <c r="F284" s="381"/>
      <c r="G284" s="381"/>
      <c r="H284" s="381"/>
      <c r="I284" s="381"/>
    </row>
    <row r="285" spans="4:11">
      <c r="D285" s="370"/>
    </row>
    <row r="286" spans="4:11">
      <c r="D286" s="370"/>
      <c r="E286" s="345"/>
      <c r="F286" s="345"/>
      <c r="G286" s="345"/>
      <c r="H286" s="345"/>
      <c r="I286" s="345"/>
      <c r="J286" s="381"/>
      <c r="K286" s="381"/>
    </row>
    <row r="287" spans="4:11">
      <c r="D287" s="370"/>
      <c r="E287" s="345"/>
      <c r="F287" s="345"/>
      <c r="G287" s="345"/>
      <c r="H287" s="345"/>
      <c r="I287" s="345"/>
    </row>
    <row r="288" spans="4:11">
      <c r="D288" s="370"/>
    </row>
    <row r="289" spans="4:4">
      <c r="D289" s="370"/>
    </row>
    <row r="290" spans="4:4">
      <c r="D290" s="370"/>
    </row>
    <row r="291" spans="4:4">
      <c r="D291" s="370"/>
    </row>
    <row r="292" spans="4:4">
      <c r="D292" s="370"/>
    </row>
    <row r="293" spans="4:4">
      <c r="D293" s="370"/>
    </row>
    <row r="294" spans="4:4">
      <c r="D294" s="370"/>
    </row>
    <row r="295" spans="4:4">
      <c r="D295" s="370"/>
    </row>
    <row r="296" spans="4:4">
      <c r="D296" s="370"/>
    </row>
    <row r="297" spans="4:4">
      <c r="D297" s="370"/>
    </row>
    <row r="298" spans="4:4">
      <c r="D298" s="370"/>
    </row>
    <row r="299" spans="4:4">
      <c r="D299" s="370"/>
    </row>
    <row r="300" spans="4:4">
      <c r="D300" s="370"/>
    </row>
    <row r="301" spans="4:4">
      <c r="D301" s="370"/>
    </row>
    <row r="302" spans="4:4">
      <c r="D302" s="370"/>
    </row>
    <row r="303" spans="4:4">
      <c r="D303" s="370"/>
    </row>
    <row r="304" spans="4:4">
      <c r="D304" s="370"/>
    </row>
    <row r="305" spans="4:4">
      <c r="D305" s="370"/>
    </row>
    <row r="306" spans="4:4">
      <c r="D306" s="370"/>
    </row>
    <row r="307" spans="4:4">
      <c r="D307" s="370"/>
    </row>
    <row r="308" spans="4:4">
      <c r="D308" s="370"/>
    </row>
    <row r="309" spans="4:4">
      <c r="D309" s="370"/>
    </row>
    <row r="310" spans="4:4">
      <c r="D310" s="370"/>
    </row>
    <row r="311" spans="4:4">
      <c r="D311" s="370"/>
    </row>
    <row r="312" spans="4:4">
      <c r="D312" s="370"/>
    </row>
    <row r="313" spans="4:4">
      <c r="D313" s="370"/>
    </row>
    <row r="314" spans="4:4">
      <c r="D314" s="370"/>
    </row>
    <row r="315" spans="4:4">
      <c r="D315" s="370"/>
    </row>
    <row r="316" spans="4:4">
      <c r="D316" s="370"/>
    </row>
    <row r="317" spans="4:4">
      <c r="D317" s="370"/>
    </row>
    <row r="318" spans="4:4">
      <c r="D318" s="370"/>
    </row>
    <row r="319" spans="4:4">
      <c r="D319" s="370"/>
    </row>
    <row r="320" spans="4:4">
      <c r="D320" s="370"/>
    </row>
    <row r="321" spans="4:4">
      <c r="D321" s="370"/>
    </row>
    <row r="322" spans="4:4">
      <c r="D322" s="370"/>
    </row>
    <row r="323" spans="4:4">
      <c r="D323" s="370"/>
    </row>
    <row r="324" spans="4:4">
      <c r="D324" s="370"/>
    </row>
    <row r="325" spans="4:4">
      <c r="D325" s="370"/>
    </row>
    <row r="326" spans="4:4">
      <c r="D326" s="370"/>
    </row>
    <row r="327" spans="4:4">
      <c r="D327" s="370"/>
    </row>
    <row r="328" spans="4:4">
      <c r="D328" s="370"/>
    </row>
    <row r="329" spans="4:4">
      <c r="D329" s="370"/>
    </row>
    <row r="330" spans="4:4">
      <c r="D330" s="370"/>
    </row>
    <row r="331" spans="4:4">
      <c r="D331" s="370"/>
    </row>
    <row r="332" spans="4:4">
      <c r="D332" s="370"/>
    </row>
    <row r="333" spans="4:4">
      <c r="D333" s="370"/>
    </row>
    <row r="334" spans="4:4">
      <c r="D334" s="370"/>
    </row>
    <row r="335" spans="4:4">
      <c r="D335" s="370"/>
    </row>
    <row r="336" spans="4:4">
      <c r="D336" s="370"/>
    </row>
    <row r="337" spans="4:4">
      <c r="D337" s="370"/>
    </row>
    <row r="338" spans="4:4">
      <c r="D338" s="370"/>
    </row>
    <row r="339" spans="4:4">
      <c r="D339" s="370"/>
    </row>
    <row r="340" spans="4:4">
      <c r="D340" s="370"/>
    </row>
    <row r="341" spans="4:4">
      <c r="D341" s="370"/>
    </row>
    <row r="342" spans="4:4">
      <c r="D342" s="370"/>
    </row>
    <row r="343" spans="4:4">
      <c r="D343" s="370"/>
    </row>
    <row r="344" spans="4:4">
      <c r="D344" s="370"/>
    </row>
    <row r="345" spans="4:4">
      <c r="D345" s="370"/>
    </row>
    <row r="346" spans="4:4">
      <c r="D346" s="370"/>
    </row>
    <row r="347" spans="4:4">
      <c r="D347" s="370"/>
    </row>
    <row r="348" spans="4:4">
      <c r="D348" s="370"/>
    </row>
    <row r="349" spans="4:4">
      <c r="D349" s="370"/>
    </row>
    <row r="350" spans="4:4">
      <c r="D350" s="370"/>
    </row>
    <row r="351" spans="4:4">
      <c r="D351" s="370"/>
    </row>
    <row r="352" spans="4:4">
      <c r="D352" s="370"/>
    </row>
    <row r="353" spans="4:4">
      <c r="D353" s="370"/>
    </row>
    <row r="354" spans="4:4">
      <c r="D354" s="370"/>
    </row>
    <row r="355" spans="4:4">
      <c r="D355" s="370"/>
    </row>
    <row r="356" spans="4:4">
      <c r="D356" s="370"/>
    </row>
    <row r="357" spans="4:4">
      <c r="D357" s="370"/>
    </row>
    <row r="358" spans="4:4">
      <c r="D358" s="370"/>
    </row>
    <row r="359" spans="4:4">
      <c r="D359" s="370"/>
    </row>
    <row r="360" spans="4:4">
      <c r="D360" s="370"/>
    </row>
    <row r="361" spans="4:4">
      <c r="D361" s="370"/>
    </row>
    <row r="362" spans="4:4">
      <c r="D362" s="370"/>
    </row>
    <row r="363" spans="4:4">
      <c r="D363" s="370"/>
    </row>
    <row r="364" spans="4:4">
      <c r="D364" s="370"/>
    </row>
    <row r="365" spans="4:4">
      <c r="D365" s="370"/>
    </row>
    <row r="366" spans="4:4">
      <c r="D366" s="370"/>
    </row>
    <row r="367" spans="4:4">
      <c r="D367" s="370"/>
    </row>
    <row r="368" spans="4:4">
      <c r="D368" s="370"/>
    </row>
    <row r="369" spans="4:4">
      <c r="D369" s="370"/>
    </row>
    <row r="370" spans="4:4">
      <c r="D370" s="370"/>
    </row>
    <row r="371" spans="4:4">
      <c r="D371" s="370"/>
    </row>
    <row r="372" spans="4:4">
      <c r="D372" s="370"/>
    </row>
    <row r="373" spans="4:4">
      <c r="D373" s="370"/>
    </row>
    <row r="374" spans="4:4">
      <c r="D374" s="370"/>
    </row>
    <row r="375" spans="4:4">
      <c r="D375" s="370"/>
    </row>
    <row r="376" spans="4:4">
      <c r="D376" s="370"/>
    </row>
    <row r="377" spans="4:4">
      <c r="D377" s="370"/>
    </row>
    <row r="378" spans="4:4">
      <c r="D378" s="370"/>
    </row>
    <row r="379" spans="4:4">
      <c r="D379" s="370"/>
    </row>
    <row r="380" spans="4:4">
      <c r="D380" s="370"/>
    </row>
    <row r="381" spans="4:4">
      <c r="D381" s="370"/>
    </row>
    <row r="382" spans="4:4">
      <c r="D382" s="370"/>
    </row>
    <row r="383" spans="4:4">
      <c r="D383" s="370"/>
    </row>
    <row r="384" spans="4:4">
      <c r="D384" s="370"/>
    </row>
    <row r="385" spans="4:4">
      <c r="D385" s="370"/>
    </row>
    <row r="386" spans="4:4">
      <c r="D386" s="370"/>
    </row>
    <row r="387" spans="4:4">
      <c r="D387" s="370"/>
    </row>
    <row r="388" spans="4:4">
      <c r="D388" s="370"/>
    </row>
    <row r="389" spans="4:4">
      <c r="D389" s="370"/>
    </row>
    <row r="390" spans="4:4">
      <c r="D390" s="370"/>
    </row>
    <row r="391" spans="4:4">
      <c r="D391" s="370"/>
    </row>
    <row r="392" spans="4:4">
      <c r="D392" s="370"/>
    </row>
    <row r="393" spans="4:4">
      <c r="D393" s="370"/>
    </row>
    <row r="394" spans="4:4">
      <c r="D394" s="370"/>
    </row>
    <row r="395" spans="4:4">
      <c r="D395" s="370"/>
    </row>
    <row r="396" spans="4:4">
      <c r="D396" s="370"/>
    </row>
    <row r="397" spans="4:4">
      <c r="D397" s="370"/>
    </row>
    <row r="398" spans="4:4">
      <c r="D398" s="370"/>
    </row>
    <row r="399" spans="4:4">
      <c r="D399" s="370"/>
    </row>
    <row r="400" spans="4:4">
      <c r="D400" s="370"/>
    </row>
    <row r="401" spans="4:4">
      <c r="D401" s="370"/>
    </row>
    <row r="402" spans="4:4">
      <c r="D402" s="370"/>
    </row>
    <row r="403" spans="4:4">
      <c r="D403" s="370"/>
    </row>
    <row r="404" spans="4:4">
      <c r="D404" s="370"/>
    </row>
    <row r="405" spans="4:4">
      <c r="D405" s="370"/>
    </row>
    <row r="406" spans="4:4">
      <c r="D406" s="370"/>
    </row>
    <row r="407" spans="4:4">
      <c r="D407" s="370"/>
    </row>
    <row r="408" spans="4:4">
      <c r="D408" s="370"/>
    </row>
    <row r="409" spans="4:4">
      <c r="D409" s="370"/>
    </row>
    <row r="410" spans="4:4">
      <c r="D410" s="370"/>
    </row>
    <row r="411" spans="4:4">
      <c r="D411" s="370"/>
    </row>
    <row r="412" spans="4:4">
      <c r="D412" s="370"/>
    </row>
    <row r="413" spans="4:4">
      <c r="D413" s="370"/>
    </row>
    <row r="414" spans="4:4">
      <c r="D414" s="370"/>
    </row>
    <row r="415" spans="4:4">
      <c r="D415" s="370"/>
    </row>
    <row r="416" spans="4:4">
      <c r="D416" s="370"/>
    </row>
    <row r="417" spans="4:4">
      <c r="D417" s="370"/>
    </row>
    <row r="418" spans="4:4">
      <c r="D418" s="370"/>
    </row>
    <row r="419" spans="4:4">
      <c r="D419" s="370"/>
    </row>
    <row r="420" spans="4:4">
      <c r="D420" s="370"/>
    </row>
    <row r="421" spans="4:4">
      <c r="D421" s="370"/>
    </row>
    <row r="422" spans="4:4">
      <c r="D422" s="370"/>
    </row>
    <row r="423" spans="4:4">
      <c r="D423" s="370"/>
    </row>
    <row r="424" spans="4:4">
      <c r="D424" s="370"/>
    </row>
    <row r="425" spans="4:4">
      <c r="D425" s="370"/>
    </row>
    <row r="426" spans="4:4">
      <c r="D426" s="370"/>
    </row>
    <row r="427" spans="4:4">
      <c r="D427" s="370"/>
    </row>
    <row r="428" spans="4:4">
      <c r="D428" s="370"/>
    </row>
    <row r="429" spans="4:4">
      <c r="D429" s="370"/>
    </row>
    <row r="430" spans="4:4">
      <c r="D430" s="370"/>
    </row>
    <row r="431" spans="4:4">
      <c r="D431" s="370"/>
    </row>
    <row r="432" spans="4:4">
      <c r="D432" s="370"/>
    </row>
    <row r="433" spans="4:4">
      <c r="D433" s="370"/>
    </row>
    <row r="434" spans="4:4">
      <c r="D434" s="370"/>
    </row>
    <row r="435" spans="4:4">
      <c r="D435" s="370"/>
    </row>
    <row r="436" spans="4:4">
      <c r="D436" s="370"/>
    </row>
    <row r="437" spans="4:4">
      <c r="D437" s="370"/>
    </row>
    <row r="438" spans="4:4">
      <c r="D438" s="370"/>
    </row>
    <row r="439" spans="4:4">
      <c r="D439" s="370"/>
    </row>
    <row r="440" spans="4:4">
      <c r="D440" s="370"/>
    </row>
    <row r="441" spans="4:4">
      <c r="D441" s="370"/>
    </row>
    <row r="442" spans="4:4">
      <c r="D442" s="370"/>
    </row>
    <row r="443" spans="4:4">
      <c r="D443" s="370"/>
    </row>
    <row r="444" spans="4:4">
      <c r="D444" s="370"/>
    </row>
    <row r="445" spans="4:4">
      <c r="D445" s="370"/>
    </row>
    <row r="446" spans="4:4">
      <c r="D446" s="370"/>
    </row>
    <row r="447" spans="4:4">
      <c r="D447" s="370"/>
    </row>
    <row r="448" spans="4:4">
      <c r="D448" s="370"/>
    </row>
    <row r="449" spans="4:4">
      <c r="D449" s="370"/>
    </row>
    <row r="450" spans="4:4">
      <c r="D450" s="370"/>
    </row>
    <row r="451" spans="4:4">
      <c r="D451" s="370"/>
    </row>
    <row r="452" spans="4:4">
      <c r="D452" s="370"/>
    </row>
    <row r="453" spans="4:4">
      <c r="D453" s="370"/>
    </row>
    <row r="454" spans="4:4">
      <c r="D454" s="370"/>
    </row>
    <row r="455" spans="4:4">
      <c r="D455" s="370"/>
    </row>
    <row r="456" spans="4:4">
      <c r="D456" s="370"/>
    </row>
    <row r="457" spans="4:4">
      <c r="D457" s="370"/>
    </row>
    <row r="458" spans="4:4">
      <c r="D458" s="370"/>
    </row>
    <row r="459" spans="4:4">
      <c r="D459" s="370"/>
    </row>
    <row r="460" spans="4:4">
      <c r="D460" s="370"/>
    </row>
    <row r="461" spans="4:4">
      <c r="D461" s="370"/>
    </row>
    <row r="462" spans="4:4">
      <c r="D462" s="370"/>
    </row>
    <row r="463" spans="4:4">
      <c r="D463" s="370"/>
    </row>
    <row r="464" spans="4:4">
      <c r="D464" s="370"/>
    </row>
    <row r="465" spans="4:4">
      <c r="D465" s="370"/>
    </row>
    <row r="466" spans="4:4">
      <c r="D466" s="370"/>
    </row>
    <row r="467" spans="4:4">
      <c r="D467" s="370"/>
    </row>
    <row r="468" spans="4:4">
      <c r="D468" s="370"/>
    </row>
    <row r="469" spans="4:4">
      <c r="D469" s="370"/>
    </row>
    <row r="470" spans="4:4">
      <c r="D470" s="370"/>
    </row>
    <row r="471" spans="4:4">
      <c r="D471" s="370"/>
    </row>
    <row r="472" spans="4:4">
      <c r="D472" s="370"/>
    </row>
    <row r="473" spans="4:4">
      <c r="D473" s="370"/>
    </row>
    <row r="474" spans="4:4">
      <c r="D474" s="370"/>
    </row>
    <row r="475" spans="4:4">
      <c r="D475" s="370"/>
    </row>
    <row r="476" spans="4:4">
      <c r="D476" s="370"/>
    </row>
  </sheetData>
  <phoneticPr fontId="26" type="noConversion"/>
  <pageMargins left="0.75" right="0.75" top="1" bottom="1" header="0.5" footer="0.5"/>
  <pageSetup scale="43" orientation="landscape" r:id="rId1"/>
  <headerFooter alignWithMargins="0"/>
  <drawing r:id="rId2"/>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64724B-03CA-47F1-840D-0A535D1CF2BB}">
  <sheetPr codeName="Sheet233">
    <pageSetUpPr fitToPage="1"/>
  </sheetPr>
  <dimension ref="B1:AR165"/>
  <sheetViews>
    <sheetView showGridLines="0" zoomScale="80" zoomScaleNormal="80" zoomScaleSheetLayoutView="80" workbookViewId="0"/>
  </sheetViews>
  <sheetFormatPr defaultColWidth="9.109375" defaultRowHeight="12"/>
  <cols>
    <col min="1" max="1" width="2.33203125" style="39" customWidth="1"/>
    <col min="2" max="2" width="26.5546875" style="39" customWidth="1"/>
    <col min="3" max="9" width="10" style="39" customWidth="1"/>
    <col min="10" max="10" width="26.6640625" style="39" customWidth="1"/>
    <col min="11" max="16" width="10" style="39" customWidth="1"/>
    <col min="17" max="19" width="8.6640625" style="39" customWidth="1"/>
    <col min="20" max="28" width="8.6640625" style="5" customWidth="1"/>
    <col min="29" max="44" width="9.109375" style="5"/>
    <col min="45" max="16384" width="9.109375" style="39"/>
  </cols>
  <sheetData>
    <row r="1" spans="2:44" s="312" customFormat="1">
      <c r="T1" s="149"/>
      <c r="U1" s="149"/>
      <c r="V1" s="149"/>
      <c r="W1" s="149"/>
      <c r="X1" s="149"/>
      <c r="Y1" s="149"/>
      <c r="Z1" s="149"/>
      <c r="AA1" s="149"/>
      <c r="AB1" s="149"/>
      <c r="AC1" s="149"/>
      <c r="AD1" s="149"/>
      <c r="AE1" s="149"/>
      <c r="AF1" s="149"/>
      <c r="AG1" s="149"/>
      <c r="AH1" s="149"/>
      <c r="AI1" s="149"/>
      <c r="AJ1" s="149"/>
      <c r="AK1" s="149"/>
      <c r="AL1" s="149"/>
      <c r="AM1" s="149"/>
      <c r="AN1" s="149"/>
      <c r="AO1" s="149"/>
      <c r="AP1" s="149"/>
      <c r="AQ1" s="149"/>
      <c r="AR1" s="149"/>
    </row>
    <row r="2" spans="2:44" s="149" customFormat="1"/>
    <row r="3" spans="2:44" s="149" customFormat="1">
      <c r="H3" s="153"/>
      <c r="P3" s="153"/>
    </row>
    <row r="4" spans="2:44" s="156" customFormat="1" ht="21">
      <c r="B4" s="129" t="s">
        <v>1615</v>
      </c>
      <c r="H4" s="222"/>
      <c r="P4" s="222"/>
    </row>
    <row r="5" spans="2:44" s="149" customFormat="1">
      <c r="C5" s="153"/>
      <c r="D5" s="153" t="str" cm="1">
        <f t="array" ref="D5:H5">headings</f>
        <v>2023E</v>
      </c>
      <c r="E5" s="153" t="str">
        <v>2024E</v>
      </c>
      <c r="F5" s="153" t="str">
        <v>2025E</v>
      </c>
      <c r="G5" s="153" t="str">
        <v>2026E</v>
      </c>
      <c r="H5" s="153" t="str">
        <v>23E-26E</v>
      </c>
      <c r="I5" s="153"/>
      <c r="J5" s="153"/>
      <c r="K5" s="153"/>
      <c r="L5" s="153" t="str" cm="1">
        <f t="array" ref="L5:P5">headings</f>
        <v>2023E</v>
      </c>
      <c r="M5" s="153" t="str">
        <v>2024E</v>
      </c>
      <c r="N5" s="153" t="str">
        <v>2025E</v>
      </c>
      <c r="O5" s="153" t="str">
        <v>2026E</v>
      </c>
      <c r="P5" s="153" t="str">
        <v>23E-26E</v>
      </c>
      <c r="Q5" s="162"/>
      <c r="R5" s="162"/>
      <c r="S5" s="162"/>
      <c r="T5" s="162"/>
      <c r="U5" s="162"/>
      <c r="V5" s="162"/>
      <c r="W5" s="162"/>
      <c r="X5" s="162"/>
      <c r="Y5" s="162"/>
    </row>
    <row r="6" spans="2:44">
      <c r="I6" s="5"/>
      <c r="J6" s="5"/>
      <c r="K6" s="5"/>
      <c r="L6" s="5"/>
      <c r="M6" s="5"/>
      <c r="N6" s="5"/>
      <c r="O6" s="49"/>
    </row>
    <row r="7" spans="2:44" ht="12.6" thickBot="1">
      <c r="B7" s="306" t="s">
        <v>271</v>
      </c>
      <c r="C7" s="265"/>
      <c r="D7" s="265" t="str">
        <f>D5</f>
        <v>2023E</v>
      </c>
      <c r="E7" s="265" t="str">
        <f t="shared" ref="E7:H7" si="0">E5</f>
        <v>2024E</v>
      </c>
      <c r="F7" s="265" t="str">
        <f t="shared" si="0"/>
        <v>2025E</v>
      </c>
      <c r="G7" s="265" t="str">
        <f t="shared" si="0"/>
        <v>2026E</v>
      </c>
      <c r="H7" s="265" t="str">
        <f t="shared" si="0"/>
        <v>23E-26E</v>
      </c>
      <c r="I7" s="49"/>
      <c r="J7" s="306" t="s">
        <v>157</v>
      </c>
      <c r="K7" s="306"/>
      <c r="L7" s="265" t="str">
        <f>L5</f>
        <v>2023E</v>
      </c>
      <c r="M7" s="265" t="str">
        <f t="shared" ref="M7:P7" si="1">M5</f>
        <v>2024E</v>
      </c>
      <c r="N7" s="265" t="str">
        <f t="shared" si="1"/>
        <v>2025E</v>
      </c>
      <c r="O7" s="265" t="str">
        <f t="shared" si="1"/>
        <v>2026E</v>
      </c>
      <c r="P7" s="265" t="str">
        <f t="shared" si="1"/>
        <v>23E-26E</v>
      </c>
    </row>
    <row r="8" spans="2:44" ht="12.6" thickTop="1">
      <c r="I8" s="5"/>
      <c r="J8" s="5"/>
      <c r="K8" s="5"/>
      <c r="L8" s="5"/>
      <c r="M8" s="5"/>
      <c r="N8" s="5"/>
      <c r="S8" s="88"/>
      <c r="T8" s="42"/>
      <c r="U8" s="42"/>
      <c r="V8" s="42"/>
      <c r="W8" s="42"/>
      <c r="X8" s="42"/>
      <c r="Y8" s="42"/>
      <c r="Z8" s="42"/>
      <c r="AA8" s="42"/>
    </row>
    <row r="9" spans="2:44">
      <c r="B9" s="41" t="s">
        <v>15</v>
      </c>
      <c r="C9" s="287">
        <f>Prices!C47</f>
        <v>25.58</v>
      </c>
      <c r="D9" s="535">
        <v>0</v>
      </c>
      <c r="E9" s="536">
        <v>0</v>
      </c>
      <c r="F9" s="536">
        <v>0</v>
      </c>
      <c r="G9" s="536">
        <v>0</v>
      </c>
      <c r="H9" s="249"/>
      <c r="I9" s="249"/>
      <c r="J9" s="5" t="s">
        <v>273</v>
      </c>
      <c r="L9" s="529">
        <f>'US OTHER'!D37</f>
        <v>1.9736708012823159</v>
      </c>
      <c r="M9" s="529">
        <f>'US OTHER'!E37</f>
        <v>1.9315843262416086</v>
      </c>
      <c r="N9" s="529">
        <f>'US OTHER'!F37</f>
        <v>1.8669914977413062</v>
      </c>
      <c r="O9" s="529">
        <f>'US OTHER'!G37</f>
        <v>1.7635061842615585</v>
      </c>
      <c r="P9" s="18">
        <f>'US OTHER'!H37</f>
        <v>6.8251004257615655E-3</v>
      </c>
      <c r="S9" s="88"/>
      <c r="T9" s="42"/>
      <c r="U9" s="42"/>
      <c r="V9" s="42"/>
      <c r="W9" s="42"/>
      <c r="X9" s="42"/>
      <c r="Y9" s="42"/>
      <c r="Z9" s="42"/>
      <c r="AA9" s="42"/>
    </row>
    <row r="10" spans="2:44">
      <c r="B10" s="5" t="s">
        <v>274</v>
      </c>
      <c r="C10" s="5"/>
      <c r="D10" s="531">
        <v>245.73255195069063</v>
      </c>
      <c r="E10" s="531">
        <v>245.02099999999999</v>
      </c>
      <c r="F10" s="531">
        <v>245.02099999999999</v>
      </c>
      <c r="G10" s="531">
        <v>245.02099999999999</v>
      </c>
      <c r="H10" s="247"/>
      <c r="I10" s="247"/>
      <c r="J10" s="5" t="s">
        <v>184</v>
      </c>
      <c r="L10" s="529">
        <f>'US OTHER'!D38</f>
        <v>6.1453559700889135</v>
      </c>
      <c r="M10" s="529">
        <f>'US OTHER'!E38</f>
        <v>5.9078404422634829</v>
      </c>
      <c r="N10" s="529">
        <f>'US OTHER'!F38</f>
        <v>5.5795545521746677</v>
      </c>
      <c r="O10" s="529">
        <f>'US OTHER'!G38</f>
        <v>5.1297067144515101</v>
      </c>
      <c r="P10" s="18">
        <f>'US OTHER'!H38</f>
        <v>2.9926645487549974E-2</v>
      </c>
      <c r="S10" s="88"/>
      <c r="T10" s="42"/>
      <c r="U10" s="42"/>
      <c r="V10" s="42"/>
      <c r="W10" s="288"/>
      <c r="X10" s="288"/>
      <c r="Y10" s="288"/>
      <c r="Z10" s="288"/>
      <c r="AA10" s="42"/>
    </row>
    <row r="11" spans="2:44">
      <c r="B11" s="41" t="s">
        <v>442</v>
      </c>
      <c r="C11" s="5"/>
      <c r="D11" s="532">
        <f>$C$9*D10</f>
        <v>6285.8386788986663</v>
      </c>
      <c r="E11" s="532">
        <f>$C$9*E10</f>
        <v>6267.6371799999988</v>
      </c>
      <c r="F11" s="532">
        <f>$C$9*F10</f>
        <v>6267.6371799999988</v>
      </c>
      <c r="G11" s="532">
        <f>$C$9*G10</f>
        <v>6267.6371799999988</v>
      </c>
      <c r="H11" s="249"/>
      <c r="I11" s="249"/>
      <c r="J11" s="5" t="s">
        <v>185</v>
      </c>
      <c r="L11" s="529">
        <f>'US OTHER'!D39</f>
        <v>11.521165626993916</v>
      </c>
      <c r="M11" s="529">
        <f>'US OTHER'!E39</f>
        <v>10.122351497758206</v>
      </c>
      <c r="N11" s="529">
        <f>'US OTHER'!F39</f>
        <v>9.1465239568917855</v>
      </c>
      <c r="O11" s="529">
        <f>'US OTHER'!G39</f>
        <v>7.6057283010476526</v>
      </c>
      <c r="P11" s="18">
        <f>'US OTHER'!H39</f>
        <v>0.11371310161076686</v>
      </c>
      <c r="S11" s="88"/>
      <c r="T11" s="42"/>
      <c r="U11" s="42"/>
      <c r="V11" s="42"/>
      <c r="W11" s="288"/>
      <c r="X11" s="288"/>
      <c r="Y11" s="288"/>
      <c r="Z11" s="288"/>
      <c r="AA11" s="42"/>
    </row>
    <row r="12" spans="2:44">
      <c r="B12" s="5" t="s">
        <v>24</v>
      </c>
      <c r="C12" s="249"/>
      <c r="D12" s="533">
        <v>9061</v>
      </c>
      <c r="E12" s="533">
        <v>9745.3625848544998</v>
      </c>
      <c r="F12" s="533">
        <v>10484.948429845428</v>
      </c>
      <c r="G12" s="533">
        <v>10750.025487732428</v>
      </c>
      <c r="H12" s="247"/>
      <c r="I12" s="247"/>
      <c r="J12" s="5" t="s">
        <v>466</v>
      </c>
      <c r="L12" s="529">
        <f>'US OTHER'!D40</f>
        <v>18.630373776917377</v>
      </c>
      <c r="M12" s="529">
        <f>'US OTHER'!E40</f>
        <v>15.14815669690881</v>
      </c>
      <c r="N12" s="529">
        <f>'US OTHER'!F40</f>
        <v>13.783300944127415</v>
      </c>
      <c r="O12" s="529">
        <f>'US OTHER'!G40</f>
        <v>11.406014250403096</v>
      </c>
      <c r="P12" s="18">
        <f>'US OTHER'!H40</f>
        <v>0.14204708718901382</v>
      </c>
      <c r="S12" s="88"/>
      <c r="T12" s="42"/>
      <c r="U12" s="42"/>
      <c r="V12" s="42"/>
      <c r="W12" s="288"/>
      <c r="X12" s="288"/>
      <c r="Y12" s="288"/>
      <c r="Z12" s="288"/>
      <c r="AA12" s="42"/>
    </row>
    <row r="13" spans="2:44">
      <c r="B13" s="5" t="s">
        <v>529</v>
      </c>
      <c r="C13" s="257"/>
      <c r="D13" s="533">
        <v>0</v>
      </c>
      <c r="E13" s="533">
        <v>0</v>
      </c>
      <c r="F13" s="533">
        <v>0</v>
      </c>
      <c r="G13" s="533">
        <v>0</v>
      </c>
      <c r="H13" s="247"/>
      <c r="I13" s="247"/>
      <c r="J13" s="5" t="s">
        <v>530</v>
      </c>
      <c r="L13" s="529">
        <f>'US OTHER'!D41</f>
        <v>1.1522825702126613</v>
      </c>
      <c r="M13" s="529">
        <f>'US OTHER'!E41</f>
        <v>1.11146801504834</v>
      </c>
      <c r="N13" s="529">
        <f>'US OTHER'!F41</f>
        <v>1.0801964530788128</v>
      </c>
      <c r="O13" s="529">
        <f>'US OTHER'!G41</f>
        <v>1.0526573924692084</v>
      </c>
      <c r="P13" s="18">
        <f>'US OTHER'!H41</f>
        <v>-5.8597350806643966E-4</v>
      </c>
      <c r="S13" s="88"/>
      <c r="T13" s="42"/>
      <c r="U13" s="42"/>
      <c r="V13" s="42"/>
      <c r="W13" s="42"/>
      <c r="X13" s="42"/>
      <c r="Y13" s="42"/>
      <c r="Z13" s="42"/>
      <c r="AA13" s="42"/>
    </row>
    <row r="14" spans="2:44">
      <c r="B14" s="5" t="s">
        <v>532</v>
      </c>
      <c r="C14" s="257"/>
      <c r="D14" s="533">
        <v>-1867</v>
      </c>
      <c r="E14" s="533">
        <v>-679.36258485449912</v>
      </c>
      <c r="F14" s="533">
        <v>-735.58584499092865</v>
      </c>
      <c r="G14" s="533">
        <v>-256.07705788700065</v>
      </c>
      <c r="H14" s="247"/>
      <c r="I14" s="247"/>
      <c r="J14" s="5" t="s">
        <v>593</v>
      </c>
      <c r="L14" s="529">
        <f>'US OTHER'!D42</f>
        <v>3.3822118406750996</v>
      </c>
      <c r="M14" s="529">
        <f>'US OTHER'!E42</f>
        <v>3.2615783050725393</v>
      </c>
      <c r="N14" s="529">
        <f>'US OTHER'!F42</f>
        <v>3.1662143476325193</v>
      </c>
      <c r="O14" s="529">
        <f>'US OTHER'!G42</f>
        <v>3.1303282941479575</v>
      </c>
      <c r="P14" s="18">
        <f>'US OTHER'!H42</f>
        <v>-4.9190074724069222E-3</v>
      </c>
      <c r="S14" s="88"/>
      <c r="T14" s="42"/>
      <c r="U14" s="42"/>
      <c r="V14" s="42"/>
      <c r="W14" s="42"/>
      <c r="X14" s="42"/>
      <c r="Y14" s="42"/>
      <c r="Z14" s="42"/>
      <c r="AA14" s="42"/>
    </row>
    <row r="15" spans="2:44">
      <c r="B15" s="5" t="s">
        <v>531</v>
      </c>
      <c r="C15" s="274"/>
      <c r="D15" s="533">
        <v>0</v>
      </c>
      <c r="E15" s="533">
        <v>0</v>
      </c>
      <c r="F15" s="533">
        <v>0</v>
      </c>
      <c r="G15" s="533">
        <v>0</v>
      </c>
      <c r="H15" s="247"/>
      <c r="I15" s="247"/>
      <c r="J15" s="5" t="s">
        <v>475</v>
      </c>
      <c r="L15" s="529">
        <f>'US OTHER'!D43</f>
        <v>5.2584697598751795</v>
      </c>
      <c r="M15" s="529">
        <f>'US OTHER'!E43</f>
        <v>4.360017500278734</v>
      </c>
      <c r="N15" s="529">
        <f>'US OTHER'!F43</f>
        <v>4.0012893476281652</v>
      </c>
      <c r="O15" s="529">
        <f>'US OTHER'!G43</f>
        <v>3.4158788512089493</v>
      </c>
      <c r="P15" s="18">
        <f>'US OTHER'!H43</f>
        <v>8.0117819415815195E-2</v>
      </c>
      <c r="S15" s="88"/>
      <c r="T15" s="42"/>
      <c r="U15" s="42"/>
      <c r="V15" s="42"/>
      <c r="W15" s="42"/>
      <c r="X15" s="42"/>
      <c r="Y15" s="42"/>
      <c r="Z15" s="42"/>
      <c r="AA15" s="42"/>
    </row>
    <row r="16" spans="2:44">
      <c r="B16" s="5" t="s">
        <v>534</v>
      </c>
      <c r="C16" s="257"/>
      <c r="D16" s="533">
        <v>0</v>
      </c>
      <c r="E16" s="533">
        <v>0</v>
      </c>
      <c r="F16" s="533">
        <v>0</v>
      </c>
      <c r="G16" s="533">
        <v>0</v>
      </c>
      <c r="H16" s="247"/>
      <c r="I16" s="247"/>
      <c r="J16" s="5" t="s">
        <v>533</v>
      </c>
      <c r="L16" s="529">
        <f>'US OTHER'!D44</f>
        <v>10.688801425562144</v>
      </c>
      <c r="M16" s="529">
        <f>'US OTHER'!E44</f>
        <v>9.0541039775975793</v>
      </c>
      <c r="N16" s="529">
        <f>'US OTHER'!F44</f>
        <v>7.9165392708689435</v>
      </c>
      <c r="O16" s="529">
        <f>'US OTHER'!G44</f>
        <v>6.6136995679588573</v>
      </c>
      <c r="P16" s="18">
        <f>'US OTHER'!H44</f>
        <v>0.10233723564171293</v>
      </c>
      <c r="S16" s="88"/>
      <c r="T16" s="42"/>
      <c r="U16" s="42"/>
      <c r="V16" s="42"/>
      <c r="W16" s="42"/>
      <c r="X16" s="42"/>
      <c r="Y16" s="42"/>
      <c r="Z16" s="42"/>
      <c r="AA16" s="42"/>
    </row>
    <row r="17" spans="2:27">
      <c r="B17" s="5" t="s">
        <v>6</v>
      </c>
      <c r="C17" s="257"/>
      <c r="D17" s="533">
        <v>0</v>
      </c>
      <c r="E17" s="533">
        <v>0</v>
      </c>
      <c r="F17" s="533">
        <v>0</v>
      </c>
      <c r="G17" s="533">
        <v>0</v>
      </c>
      <c r="H17" s="247"/>
      <c r="I17" s="247"/>
      <c r="J17" s="5" t="s">
        <v>580</v>
      </c>
      <c r="L17" s="18">
        <f>'US OTHER'!D45</f>
        <v>2.2052024532702785E-2</v>
      </c>
      <c r="M17" s="18">
        <f>'US OTHER'!E45</f>
        <v>2.4611250391623297E-2</v>
      </c>
      <c r="N17" s="18">
        <f>'US OTHER'!F45</f>
        <v>2.5733166701033407E-2</v>
      </c>
      <c r="O17" s="18">
        <f>'US OTHER'!G45</f>
        <v>2.7146152816565176E-2</v>
      </c>
      <c r="P17" s="18">
        <f>'US OTHER'!H45</f>
        <v>6.714297299340366E-3</v>
      </c>
      <c r="S17" s="88"/>
      <c r="T17" s="42"/>
      <c r="U17" s="42"/>
      <c r="V17" s="42"/>
      <c r="W17" s="42"/>
      <c r="X17" s="42"/>
      <c r="Y17" s="42"/>
      <c r="Z17" s="42"/>
      <c r="AA17" s="42"/>
    </row>
    <row r="18" spans="2:27" ht="12.6" thickBot="1">
      <c r="B18" s="41" t="s">
        <v>518</v>
      </c>
      <c r="C18" s="249"/>
      <c r="D18" s="534">
        <f>D11+D12+D13-D14+D15-D16-D17</f>
        <v>17213.838678898668</v>
      </c>
      <c r="E18" s="534">
        <f>E11+E12+E13-E14+E15-E16-E17</f>
        <v>16692.362349708997</v>
      </c>
      <c r="F18" s="534">
        <f>F11+F12+F13-F14+F15-F16-F17</f>
        <v>17488.171454836356</v>
      </c>
      <c r="G18" s="534">
        <f>G11+G12+G13-G14+G15-G16-G17</f>
        <v>17273.739725619427</v>
      </c>
      <c r="H18" s="276">
        <f>IF(D18=0,"nm",IF(G18=0,"nm",(G18/D18)^(1/3)-1))</f>
        <v>1.1585968755631892E-3</v>
      </c>
      <c r="I18" s="254"/>
      <c r="J18" s="5" t="s">
        <v>36</v>
      </c>
      <c r="L18" s="18">
        <f>'US OTHER'!D46</f>
        <v>7.7745880700654107E-2</v>
      </c>
      <c r="M18" s="18">
        <f>'US OTHER'!E46</f>
        <v>0.1341751769191605</v>
      </c>
      <c r="N18" s="18">
        <f>'US OTHER'!F46</f>
        <v>0.14644095604748741</v>
      </c>
      <c r="O18" s="18">
        <f>'US OTHER'!G46</f>
        <v>0.21850989486146546</v>
      </c>
      <c r="P18" s="18">
        <f>'US OTHER'!H46</f>
        <v>0.3256153847966301</v>
      </c>
      <c r="S18" s="88"/>
      <c r="T18" s="42"/>
      <c r="U18" s="42"/>
      <c r="V18" s="42"/>
      <c r="W18" s="42"/>
      <c r="X18" s="42"/>
      <c r="Y18" s="42"/>
      <c r="Z18" s="42"/>
      <c r="AA18" s="42"/>
    </row>
    <row r="19" spans="2:27" ht="12.6" thickTop="1">
      <c r="B19" s="41"/>
      <c r="C19" s="249"/>
      <c r="D19" s="229"/>
      <c r="E19" s="229"/>
      <c r="F19" s="229"/>
      <c r="G19" s="229"/>
      <c r="H19" s="276"/>
      <c r="I19" s="254"/>
      <c r="J19" s="5" t="s">
        <v>581</v>
      </c>
      <c r="L19" s="18">
        <f>'US OTHER'!D47</f>
        <v>0.19016939255418236</v>
      </c>
      <c r="M19" s="18">
        <f>'US OTHER'!E47</f>
        <v>0.2293568775666773</v>
      </c>
      <c r="N19" s="18">
        <f>'US OTHER'!F47</f>
        <v>0.24991944174014</v>
      </c>
      <c r="O19" s="18">
        <f>'US OTHER'!G47</f>
        <v>0.29275042926246625</v>
      </c>
      <c r="P19" s="18">
        <f>'US OTHER'!H47</f>
        <v>8.0117819415815195E-2</v>
      </c>
      <c r="S19" s="88"/>
      <c r="T19" s="42"/>
      <c r="U19" s="42"/>
      <c r="V19" s="42"/>
      <c r="W19" s="42"/>
      <c r="X19" s="42"/>
      <c r="Y19" s="42"/>
      <c r="Z19" s="42"/>
      <c r="AA19" s="42"/>
    </row>
    <row r="20" spans="2:27">
      <c r="H20" s="277"/>
      <c r="I20" s="17"/>
      <c r="J20" s="5" t="s">
        <v>604</v>
      </c>
      <c r="L20" s="552">
        <f>'US OTHER'!D48</f>
        <v>0.122956651873093</v>
      </c>
      <c r="M20" s="552">
        <f>'US OTHER'!E48</f>
        <v>0.11420338650121682</v>
      </c>
      <c r="N20" s="552">
        <f>'US OTHER'!F48</f>
        <v>0.10996826737203369</v>
      </c>
      <c r="O20" s="552">
        <f>'US OTHER'!G48</f>
        <v>9.9553686168744285E-2</v>
      </c>
      <c r="P20" s="18" t="str">
        <f>'US OTHER'!H48</f>
        <v>nm</v>
      </c>
      <c r="S20" s="88"/>
      <c r="T20" s="42"/>
      <c r="U20" s="42"/>
      <c r="V20" s="42"/>
      <c r="W20" s="42"/>
      <c r="X20" s="42"/>
      <c r="Y20" s="42"/>
      <c r="Z20" s="42"/>
      <c r="AA20" s="42"/>
    </row>
    <row r="21" spans="2:27" ht="12.6" thickBot="1">
      <c r="B21" s="306" t="s">
        <v>924</v>
      </c>
      <c r="C21" s="265"/>
      <c r="D21" s="265" t="str">
        <f>D5</f>
        <v>2023E</v>
      </c>
      <c r="E21" s="265" t="str">
        <f t="shared" ref="E21:H21" si="2">E5</f>
        <v>2024E</v>
      </c>
      <c r="F21" s="265" t="str">
        <f t="shared" si="2"/>
        <v>2025E</v>
      </c>
      <c r="G21" s="265" t="str">
        <f t="shared" si="2"/>
        <v>2026E</v>
      </c>
      <c r="H21" s="265" t="str">
        <f t="shared" si="2"/>
        <v>23E-26E</v>
      </c>
      <c r="I21" s="49"/>
      <c r="J21" s="41"/>
      <c r="L21" s="250"/>
      <c r="M21" s="250"/>
      <c r="N21" s="250"/>
      <c r="O21" s="250"/>
      <c r="P21" s="279"/>
      <c r="S21" s="88"/>
      <c r="T21" s="42"/>
      <c r="U21" s="42"/>
      <c r="V21" s="42"/>
      <c r="W21" s="42"/>
      <c r="X21" s="42"/>
      <c r="Y21" s="42"/>
      <c r="Z21" s="42"/>
      <c r="AA21" s="42"/>
    </row>
    <row r="22" spans="2:27" ht="12.6" thickTop="1">
      <c r="B22" s="5"/>
      <c r="C22" s="257"/>
      <c r="D22" s="17"/>
      <c r="E22" s="17"/>
      <c r="F22" s="17"/>
      <c r="G22" s="17"/>
      <c r="H22" s="17"/>
      <c r="I22" s="17"/>
      <c r="P22" s="277"/>
      <c r="S22" s="88"/>
      <c r="T22" s="42"/>
      <c r="U22" s="42"/>
      <c r="V22" s="42"/>
      <c r="W22" s="42"/>
      <c r="X22" s="42"/>
      <c r="Y22" s="42"/>
      <c r="Z22" s="42"/>
      <c r="AA22" s="42"/>
    </row>
    <row r="23" spans="2:27" ht="12.6" thickBot="1">
      <c r="B23" s="5" t="s">
        <v>584</v>
      </c>
      <c r="C23" s="548">
        <v>5787</v>
      </c>
      <c r="D23" s="533">
        <v>5751</v>
      </c>
      <c r="E23" s="533">
        <v>1436.9752833063353</v>
      </c>
      <c r="F23" s="533">
        <v>1441.2743602157193</v>
      </c>
      <c r="G23" s="533">
        <v>1430.5120501167883</v>
      </c>
      <c r="H23" s="279">
        <f t="shared" ref="H23:H33" si="3">IF(D23=0,"nm",IF(G23=0,"nm",(G23/D23)^(1/3)-1))</f>
        <v>-0.37109837392480916</v>
      </c>
      <c r="I23" s="247"/>
      <c r="J23" s="306" t="s">
        <v>9</v>
      </c>
      <c r="K23" s="306"/>
      <c r="L23" s="265" t="str">
        <f>D21</f>
        <v>2023E</v>
      </c>
      <c r="M23" s="265" t="str">
        <f t="shared" ref="M23:P23" si="4">E21</f>
        <v>2024E</v>
      </c>
      <c r="N23" s="265" t="str">
        <f t="shared" si="4"/>
        <v>2025E</v>
      </c>
      <c r="O23" s="265" t="str">
        <f t="shared" si="4"/>
        <v>2026E</v>
      </c>
      <c r="P23" s="265" t="str">
        <f t="shared" si="4"/>
        <v>23E-26E</v>
      </c>
      <c r="S23" s="88"/>
      <c r="T23" s="42"/>
      <c r="U23" s="42"/>
      <c r="V23" s="42"/>
      <c r="W23" s="42"/>
      <c r="X23" s="42"/>
      <c r="Y23" s="42"/>
      <c r="Z23" s="42"/>
      <c r="AA23" s="42"/>
    </row>
    <row r="24" spans="2:27" ht="12.6" thickTop="1">
      <c r="B24" s="5" t="s">
        <v>483</v>
      </c>
      <c r="C24" s="549">
        <v>2080</v>
      </c>
      <c r="D24" s="533">
        <v>2127</v>
      </c>
      <c r="E24" s="533">
        <v>544.24881132209634</v>
      </c>
      <c r="F24" s="533">
        <v>559.93778241783002</v>
      </c>
      <c r="G24" s="533">
        <v>553.50235378028378</v>
      </c>
      <c r="H24" s="279">
        <f t="shared" si="3"/>
        <v>-0.36156405961814375</v>
      </c>
      <c r="I24" s="249"/>
      <c r="J24" s="17"/>
      <c r="K24" s="17"/>
      <c r="L24" s="17"/>
      <c r="M24" s="17"/>
      <c r="N24" s="17"/>
      <c r="O24" s="248"/>
      <c r="S24" s="88"/>
      <c r="T24" s="42"/>
      <c r="U24" s="42"/>
      <c r="V24" s="42"/>
      <c r="W24" s="42" t="s">
        <v>1476</v>
      </c>
      <c r="X24" s="42" t="s">
        <v>264</v>
      </c>
      <c r="Y24" s="42"/>
      <c r="Z24" s="42"/>
      <c r="AA24" s="42"/>
    </row>
    <row r="25" spans="2:27">
      <c r="B25" s="5" t="s">
        <v>183</v>
      </c>
      <c r="C25" s="548">
        <v>-658</v>
      </c>
      <c r="D25" s="533">
        <v>-1084</v>
      </c>
      <c r="E25" s="533">
        <v>-540.7599758355118</v>
      </c>
      <c r="F25" s="533">
        <v>-409.1877017160748</v>
      </c>
      <c r="G25" s="533">
        <v>-66.046381866592469</v>
      </c>
      <c r="H25" s="279">
        <f t="shared" si="3"/>
        <v>-0.60650436754529502</v>
      </c>
      <c r="I25" s="248"/>
      <c r="J25" s="247" t="s">
        <v>10</v>
      </c>
      <c r="K25" s="247"/>
      <c r="L25" s="321">
        <v>0</v>
      </c>
      <c r="M25" s="321">
        <v>0</v>
      </c>
      <c r="N25" s="321">
        <v>0</v>
      </c>
      <c r="O25" s="321">
        <v>0</v>
      </c>
      <c r="P25" s="279" t="str">
        <f>IF(L25=0,"nm",IF(O25=0,"nm",(O25/L25)^(1/3)-1))</f>
        <v>nm</v>
      </c>
      <c r="S25" s="88"/>
      <c r="T25" s="42"/>
      <c r="U25" s="42"/>
      <c r="V25" s="147" t="s">
        <v>273</v>
      </c>
      <c r="W25" s="288">
        <f>D37/L9</f>
        <v>1.5165601668593207</v>
      </c>
      <c r="X25" s="288">
        <v>1</v>
      </c>
      <c r="Y25" s="42"/>
      <c r="Z25" s="42"/>
      <c r="AA25" s="42"/>
    </row>
    <row r="26" spans="2:27">
      <c r="B26" s="5" t="s">
        <v>586</v>
      </c>
      <c r="C26" s="548">
        <v>-1337</v>
      </c>
      <c r="D26" s="533">
        <v>-1867</v>
      </c>
      <c r="E26" s="533">
        <v>-679.36258485449912</v>
      </c>
      <c r="F26" s="533">
        <v>-735.58584499092865</v>
      </c>
      <c r="G26" s="533">
        <v>-256.07705788700065</v>
      </c>
      <c r="H26" s="279">
        <f t="shared" si="3"/>
        <v>-0.48428616241598488</v>
      </c>
      <c r="I26" s="249"/>
      <c r="J26" s="249" t="s">
        <v>11</v>
      </c>
      <c r="K26" s="249"/>
      <c r="L26" s="281">
        <f>D11+L25</f>
        <v>6285.8386788986663</v>
      </c>
      <c r="M26" s="281">
        <f>E11+M25</f>
        <v>6267.6371799999988</v>
      </c>
      <c r="N26" s="281">
        <f>F11+N25</f>
        <v>6267.6371799999988</v>
      </c>
      <c r="O26" s="281">
        <f>G11+O25</f>
        <v>6267.6371799999988</v>
      </c>
      <c r="P26" s="279">
        <f>IF(L26=0,"nm",IF(O26=0,"nm",(O26/L26)^(1/3)-1))</f>
        <v>-9.6614503644754102E-4</v>
      </c>
      <c r="Q26" s="5"/>
      <c r="S26" s="88"/>
      <c r="T26" s="42"/>
      <c r="U26" s="42"/>
      <c r="V26" s="147" t="s">
        <v>184</v>
      </c>
      <c r="W26" s="288">
        <f t="shared" ref="W26:W33" si="5">D38/L10</f>
        <v>1.3169315256117453</v>
      </c>
      <c r="X26" s="288">
        <v>1</v>
      </c>
      <c r="Y26" s="42"/>
      <c r="Z26" s="42"/>
      <c r="AA26" s="42"/>
    </row>
    <row r="27" spans="2:27">
      <c r="B27" s="5" t="s">
        <v>587</v>
      </c>
      <c r="C27" s="549">
        <v>12187</v>
      </c>
      <c r="D27" s="533">
        <v>14340</v>
      </c>
      <c r="E27" s="533">
        <v>14993.079765747409</v>
      </c>
      <c r="F27" s="533">
        <v>15513.727794133663</v>
      </c>
      <c r="G27" s="533">
        <v>15710.939588979678</v>
      </c>
      <c r="H27" s="279">
        <f t="shared" si="3"/>
        <v>3.090268112846406E-2</v>
      </c>
      <c r="I27" s="249"/>
      <c r="J27" s="248"/>
      <c r="K27" s="248"/>
      <c r="L27" s="248"/>
      <c r="M27" s="248"/>
      <c r="N27" s="248"/>
      <c r="O27" s="248"/>
      <c r="Q27" s="41"/>
      <c r="S27" s="88"/>
      <c r="T27" s="42"/>
      <c r="U27" s="42"/>
      <c r="V27" s="147" t="s">
        <v>185</v>
      </c>
      <c r="W27" s="288">
        <f t="shared" si="5"/>
        <v>-1.3783262470706439</v>
      </c>
      <c r="X27" s="288">
        <v>1</v>
      </c>
      <c r="Y27" s="42"/>
      <c r="Z27" s="42"/>
      <c r="AA27" s="42"/>
    </row>
    <row r="28" spans="2:27" ht="12.6" thickBot="1">
      <c r="B28" s="5" t="s">
        <v>592</v>
      </c>
      <c r="C28" s="548">
        <v>11850</v>
      </c>
      <c r="D28" s="533">
        <v>13933</v>
      </c>
      <c r="E28" s="533">
        <v>14608.203974431695</v>
      </c>
      <c r="F28" s="533">
        <v>15151.148104150579</v>
      </c>
      <c r="G28" s="533">
        <v>15366.314983067379</v>
      </c>
      <c r="H28" s="279">
        <f t="shared" si="3"/>
        <v>3.3177717934998796E-2</v>
      </c>
      <c r="I28" s="248"/>
      <c r="J28" s="306" t="s">
        <v>1362</v>
      </c>
      <c r="K28" s="306"/>
      <c r="L28" s="306"/>
      <c r="M28" s="306"/>
      <c r="N28" s="266"/>
      <c r="O28" s="266"/>
      <c r="P28" s="266"/>
      <c r="Q28" s="5"/>
      <c r="S28" s="88"/>
      <c r="T28" s="42"/>
      <c r="U28" s="42"/>
      <c r="V28" s="147" t="s">
        <v>466</v>
      </c>
      <c r="W28" s="288">
        <f t="shared" si="5"/>
        <v>-0.49489360571396035</v>
      </c>
      <c r="X28" s="288">
        <v>1</v>
      </c>
      <c r="Y28" s="42"/>
      <c r="Z28" s="42"/>
      <c r="AA28" s="42"/>
    </row>
    <row r="29" spans="2:27" ht="12.6" thickTop="1">
      <c r="B29" s="5" t="s">
        <v>588</v>
      </c>
      <c r="C29" s="548">
        <v>-1115</v>
      </c>
      <c r="D29" s="533">
        <v>-1767</v>
      </c>
      <c r="E29" s="533">
        <v>-741.57660048455762</v>
      </c>
      <c r="F29" s="533">
        <v>-609.83243371677713</v>
      </c>
      <c r="G29" s="533">
        <v>-269.03213112914437</v>
      </c>
      <c r="H29" s="279">
        <f t="shared" si="3"/>
        <v>-0.46602302081487634</v>
      </c>
      <c r="I29" s="252"/>
      <c r="J29" s="249"/>
      <c r="K29" s="249"/>
      <c r="L29" s="249"/>
      <c r="M29" s="249"/>
      <c r="N29" s="249"/>
      <c r="O29" s="251"/>
      <c r="Q29" s="5"/>
      <c r="S29" s="88"/>
      <c r="T29" s="42"/>
      <c r="U29" s="42"/>
      <c r="V29" s="147" t="s">
        <v>530</v>
      </c>
      <c r="W29" s="288">
        <f t="shared" si="5"/>
        <v>1.0417645735040248</v>
      </c>
      <c r="X29" s="288">
        <v>1</v>
      </c>
      <c r="Y29" s="42"/>
      <c r="Z29" s="42"/>
      <c r="AA29" s="42"/>
    </row>
    <row r="30" spans="2:27">
      <c r="B30" s="5" t="s">
        <v>589</v>
      </c>
      <c r="C30" s="549">
        <v>441</v>
      </c>
      <c r="D30" s="533">
        <v>29</v>
      </c>
      <c r="E30" s="533">
        <v>-66.372626052862529</v>
      </c>
      <c r="F30" s="533">
        <v>-66.88830399789299</v>
      </c>
      <c r="G30" s="533">
        <v>-53.865252212344274</v>
      </c>
      <c r="H30" s="279">
        <f t="shared" si="3"/>
        <v>-2.229240611320896</v>
      </c>
      <c r="I30" s="254"/>
      <c r="J30" s="248"/>
      <c r="K30" s="248"/>
      <c r="L30" s="248"/>
      <c r="M30" s="248"/>
      <c r="N30" s="248"/>
      <c r="O30" s="5"/>
      <c r="Q30" s="5"/>
      <c r="S30" s="88"/>
      <c r="T30" s="42"/>
      <c r="U30" s="42"/>
      <c r="V30" s="147" t="s">
        <v>593</v>
      </c>
      <c r="W30" s="288">
        <f t="shared" si="5"/>
        <v>0.36528537606249367</v>
      </c>
      <c r="X30" s="288">
        <v>1</v>
      </c>
      <c r="Y30" s="42"/>
      <c r="Z30" s="42"/>
      <c r="AA30" s="42"/>
    </row>
    <row r="31" spans="2:27">
      <c r="B31" s="5" t="s">
        <v>590</v>
      </c>
      <c r="C31" s="549">
        <v>0</v>
      </c>
      <c r="D31" s="533">
        <v>0</v>
      </c>
      <c r="E31" s="533">
        <v>0</v>
      </c>
      <c r="F31" s="533">
        <v>0</v>
      </c>
      <c r="G31" s="533">
        <v>0</v>
      </c>
      <c r="H31" s="279" t="str">
        <f t="shared" si="3"/>
        <v>nm</v>
      </c>
      <c r="I31" s="254"/>
      <c r="J31" s="252"/>
      <c r="K31" s="252"/>
      <c r="L31" s="252"/>
      <c r="M31" s="252"/>
      <c r="N31" s="252"/>
      <c r="O31" s="5"/>
      <c r="Q31" s="5"/>
      <c r="S31" s="88"/>
      <c r="T31" s="42"/>
      <c r="U31" s="42"/>
      <c r="V31" s="147" t="s">
        <v>475</v>
      </c>
      <c r="W31" s="288">
        <f t="shared" si="5"/>
        <v>-0.67649922086006986</v>
      </c>
      <c r="X31" s="288">
        <v>1</v>
      </c>
      <c r="Y31" s="42"/>
      <c r="Z31" s="42"/>
      <c r="AA31" s="42"/>
    </row>
    <row r="32" spans="2:27">
      <c r="B32" s="5" t="s">
        <v>606</v>
      </c>
      <c r="C32" s="550">
        <v>0</v>
      </c>
      <c r="D32" s="533">
        <v>0</v>
      </c>
      <c r="E32" s="533">
        <v>0</v>
      </c>
      <c r="F32" s="533">
        <v>0</v>
      </c>
      <c r="G32" s="533">
        <v>0</v>
      </c>
      <c r="H32" s="279" t="str">
        <f t="shared" si="3"/>
        <v>nm</v>
      </c>
      <c r="I32" s="254"/>
      <c r="J32" s="254"/>
      <c r="K32" s="254"/>
      <c r="L32" s="254"/>
      <c r="M32" s="254"/>
      <c r="N32" s="254"/>
      <c r="O32" s="251"/>
      <c r="Q32" s="5"/>
      <c r="S32" s="88"/>
      <c r="T32" s="42"/>
      <c r="U32" s="42"/>
      <c r="V32" s="147" t="s">
        <v>533</v>
      </c>
      <c r="W32" s="288">
        <f t="shared" si="5"/>
        <v>20.278518541348806</v>
      </c>
      <c r="X32" s="288">
        <v>1</v>
      </c>
      <c r="Y32" s="42"/>
      <c r="Z32" s="42"/>
      <c r="AA32" s="42"/>
    </row>
    <row r="33" spans="2:27">
      <c r="B33" s="5" t="s">
        <v>5</v>
      </c>
      <c r="C33" s="549">
        <v>-492</v>
      </c>
      <c r="D33" s="533">
        <v>-653</v>
      </c>
      <c r="E33" s="533">
        <v>-184.94083333333333</v>
      </c>
      <c r="F33" s="533">
        <v>-184.94083333333333</v>
      </c>
      <c r="G33" s="533">
        <v>-184.94083333333333</v>
      </c>
      <c r="H33" s="279">
        <f t="shared" si="3"/>
        <v>-0.34329063491305001</v>
      </c>
      <c r="I33" s="5"/>
      <c r="J33" s="254"/>
      <c r="K33" s="254"/>
      <c r="L33" s="254"/>
      <c r="M33" s="254"/>
      <c r="N33" s="254"/>
      <c r="O33" s="251"/>
      <c r="Q33" s="5"/>
      <c r="S33" s="88"/>
      <c r="T33" s="42"/>
      <c r="U33" s="42"/>
      <c r="V33" s="147" t="s">
        <v>580</v>
      </c>
      <c r="W33" s="288">
        <f t="shared" si="5"/>
        <v>0</v>
      </c>
      <c r="X33" s="288">
        <v>1</v>
      </c>
      <c r="Y33" s="42"/>
      <c r="Z33" s="42"/>
      <c r="AA33" s="42"/>
    </row>
    <row r="34" spans="2:27">
      <c r="H34" s="277"/>
      <c r="I34" s="49"/>
      <c r="J34" s="254"/>
      <c r="K34" s="254"/>
      <c r="L34" s="254"/>
      <c r="M34" s="254"/>
      <c r="N34" s="254"/>
      <c r="O34" s="251"/>
      <c r="Q34" s="5"/>
      <c r="S34" s="88"/>
      <c r="T34" s="42"/>
      <c r="U34" s="42"/>
      <c r="V34" s="147" t="s">
        <v>581</v>
      </c>
      <c r="W34" s="288">
        <f>D47/L19</f>
        <v>-1.4781983026213188</v>
      </c>
      <c r="X34" s="288">
        <v>1</v>
      </c>
      <c r="Y34" s="288"/>
      <c r="Z34" s="288"/>
      <c r="AA34" s="42"/>
    </row>
    <row r="35" spans="2:27" ht="12.6" thickBot="1">
      <c r="B35" s="306" t="s">
        <v>707</v>
      </c>
      <c r="C35" s="265"/>
      <c r="D35" s="265" t="str">
        <f>D5</f>
        <v>2023E</v>
      </c>
      <c r="E35" s="265" t="str">
        <f t="shared" ref="E35:H35" si="6">E5</f>
        <v>2024E</v>
      </c>
      <c r="F35" s="265" t="str">
        <f t="shared" si="6"/>
        <v>2025E</v>
      </c>
      <c r="G35" s="265" t="str">
        <f t="shared" si="6"/>
        <v>2026E</v>
      </c>
      <c r="H35" s="265" t="str">
        <f t="shared" si="6"/>
        <v>23E-26E</v>
      </c>
      <c r="I35" s="254"/>
      <c r="J35" s="5"/>
      <c r="K35" s="5"/>
      <c r="L35" s="5"/>
      <c r="M35" s="5"/>
      <c r="N35" s="5"/>
      <c r="O35" s="5"/>
      <c r="Q35" s="5"/>
      <c r="S35" s="88"/>
      <c r="T35" s="42"/>
      <c r="U35" s="42"/>
      <c r="V35" s="42"/>
      <c r="W35" s="288"/>
      <c r="X35" s="42"/>
      <c r="Y35" s="288"/>
      <c r="Z35" s="288"/>
      <c r="AA35" s="42"/>
    </row>
    <row r="36" spans="2:27" ht="12.6" thickTop="1">
      <c r="B36" s="41"/>
      <c r="C36" s="249"/>
      <c r="D36" s="254"/>
      <c r="E36" s="254"/>
      <c r="F36" s="254"/>
      <c r="G36" s="254"/>
      <c r="H36" s="254"/>
      <c r="I36" s="17"/>
      <c r="J36" s="49"/>
      <c r="K36" s="49"/>
      <c r="L36" s="49"/>
      <c r="M36" s="49"/>
      <c r="N36" s="49"/>
      <c r="O36" s="49"/>
      <c r="Q36" s="5"/>
      <c r="S36" s="88"/>
      <c r="T36" s="42"/>
      <c r="U36" s="42"/>
      <c r="V36" s="42"/>
      <c r="W36" s="42"/>
      <c r="X36" s="42"/>
      <c r="Y36" s="288"/>
      <c r="Z36" s="288"/>
      <c r="AA36" s="42"/>
    </row>
    <row r="37" spans="2:27">
      <c r="B37" s="5" t="s">
        <v>273</v>
      </c>
      <c r="C37" s="247"/>
      <c r="D37" s="529">
        <f t="shared" ref="D37:G41" si="7">D$18/D23</f>
        <v>2.9931905197180781</v>
      </c>
      <c r="E37" s="529">
        <f t="shared" si="7"/>
        <v>11.616318348428063</v>
      </c>
      <c r="F37" s="529">
        <f t="shared" si="7"/>
        <v>12.13382541004813</v>
      </c>
      <c r="G37" s="529">
        <f t="shared" si="7"/>
        <v>12.07521441305523</v>
      </c>
      <c r="H37" s="17">
        <f t="shared" ref="H37:H45" si="8">H23</f>
        <v>-0.37109837392480916</v>
      </c>
      <c r="I37" s="5"/>
      <c r="J37" s="259"/>
      <c r="K37" s="259"/>
      <c r="L37" s="259"/>
      <c r="M37" s="259"/>
      <c r="N37" s="259"/>
      <c r="O37" s="18"/>
      <c r="Q37" s="5"/>
      <c r="R37" s="5"/>
      <c r="S37" s="42"/>
      <c r="T37" s="42"/>
      <c r="U37" s="42"/>
      <c r="V37" s="42"/>
      <c r="W37" s="42"/>
      <c r="X37" s="42"/>
      <c r="Y37" s="42"/>
      <c r="Z37" s="42"/>
      <c r="AA37" s="42"/>
    </row>
    <row r="38" spans="2:27">
      <c r="B38" s="5" t="s">
        <v>184</v>
      </c>
      <c r="C38" s="247"/>
      <c r="D38" s="529">
        <f t="shared" si="7"/>
        <v>8.0930130131164404</v>
      </c>
      <c r="E38" s="529">
        <f t="shared" si="7"/>
        <v>30.670461749212997</v>
      </c>
      <c r="F38" s="529">
        <f t="shared" si="7"/>
        <v>31.232347599981285</v>
      </c>
      <c r="G38" s="529">
        <f t="shared" si="7"/>
        <v>31.208069139442802</v>
      </c>
      <c r="H38" s="17">
        <f t="shared" si="8"/>
        <v>-0.36156405961814375</v>
      </c>
      <c r="I38" s="259"/>
      <c r="J38" s="17"/>
      <c r="K38" s="17"/>
      <c r="L38" s="17"/>
      <c r="M38" s="17"/>
      <c r="N38" s="17"/>
      <c r="O38" s="5"/>
      <c r="Q38" s="5"/>
      <c r="R38" s="5"/>
      <c r="S38" s="42"/>
      <c r="T38" s="42"/>
      <c r="U38" s="42"/>
      <c r="V38" s="42"/>
      <c r="W38" s="42"/>
      <c r="X38" s="42"/>
      <c r="Y38" s="42"/>
      <c r="Z38" s="42"/>
      <c r="AA38" s="42"/>
    </row>
    <row r="39" spans="2:27">
      <c r="B39" s="5" t="s">
        <v>185</v>
      </c>
      <c r="C39" s="247"/>
      <c r="D39" s="529">
        <f t="shared" si="7"/>
        <v>-15.879924980533827</v>
      </c>
      <c r="E39" s="529">
        <f t="shared" si="7"/>
        <v>-30.868339181201669</v>
      </c>
      <c r="F39" s="529">
        <f t="shared" si="7"/>
        <v>-42.738751388405518</v>
      </c>
      <c r="G39" s="529">
        <f t="shared" si="7"/>
        <v>-261.53953081806617</v>
      </c>
      <c r="H39" s="17">
        <f t="shared" si="8"/>
        <v>-0.60650436754529502</v>
      </c>
      <c r="I39" s="17"/>
      <c r="J39" s="5"/>
      <c r="K39" s="5"/>
      <c r="L39" s="5"/>
      <c r="M39" s="5"/>
      <c r="N39" s="5"/>
      <c r="O39" s="5"/>
      <c r="Q39" s="5"/>
      <c r="R39" s="5"/>
      <c r="S39" s="42"/>
      <c r="T39" s="42"/>
      <c r="U39" s="42"/>
      <c r="V39" s="42"/>
      <c r="W39" s="42"/>
      <c r="X39" s="42"/>
      <c r="Y39" s="42"/>
      <c r="Z39" s="42"/>
      <c r="AA39" s="42"/>
    </row>
    <row r="40" spans="2:27">
      <c r="B40" s="5" t="s">
        <v>466</v>
      </c>
      <c r="C40" s="247"/>
      <c r="D40" s="529">
        <f t="shared" si="7"/>
        <v>-9.2200528542574549</v>
      </c>
      <c r="E40" s="529">
        <f t="shared" si="7"/>
        <v>-24.570623584288271</v>
      </c>
      <c r="F40" s="529">
        <f t="shared" si="7"/>
        <v>-23.774480672683449</v>
      </c>
      <c r="G40" s="529">
        <f t="shared" si="7"/>
        <v>-67.455241278357022</v>
      </c>
      <c r="H40" s="17">
        <f t="shared" si="8"/>
        <v>-0.48428616241598488</v>
      </c>
      <c r="I40" s="5"/>
      <c r="J40" s="259"/>
      <c r="K40" s="259"/>
      <c r="L40" s="259"/>
      <c r="M40" s="259"/>
      <c r="N40" s="259"/>
      <c r="O40" s="18"/>
      <c r="Q40" s="5"/>
      <c r="R40" s="5"/>
      <c r="S40" s="42"/>
      <c r="T40" s="42"/>
      <c r="U40" s="42"/>
      <c r="V40" s="42"/>
      <c r="W40" s="288"/>
      <c r="X40" s="288"/>
      <c r="Y40" s="42"/>
      <c r="Z40" s="42"/>
      <c r="AA40" s="42"/>
    </row>
    <row r="41" spans="2:27">
      <c r="B41" s="5" t="s">
        <v>530</v>
      </c>
      <c r="C41" s="247"/>
      <c r="D41" s="529">
        <f t="shared" si="7"/>
        <v>1.2004071603137147</v>
      </c>
      <c r="E41" s="529">
        <f t="shared" si="7"/>
        <v>1.1133377938696558</v>
      </c>
      <c r="F41" s="529">
        <f t="shared" si="7"/>
        <v>1.1272707428481055</v>
      </c>
      <c r="G41" s="529">
        <f t="shared" si="7"/>
        <v>1.0994720989020901</v>
      </c>
      <c r="H41" s="17">
        <f t="shared" si="8"/>
        <v>3.090268112846406E-2</v>
      </c>
      <c r="I41" s="247"/>
      <c r="J41" s="17"/>
      <c r="K41" s="17"/>
      <c r="L41" s="17"/>
      <c r="M41" s="17"/>
      <c r="N41" s="17"/>
      <c r="O41" s="5"/>
      <c r="Q41" s="5"/>
      <c r="R41" s="5"/>
      <c r="S41" s="42"/>
      <c r="T41" s="42"/>
      <c r="U41" s="42"/>
      <c r="V41" s="42"/>
      <c r="W41" s="288"/>
      <c r="X41" s="288"/>
      <c r="Y41" s="288"/>
      <c r="Z41" s="288"/>
      <c r="AA41" s="42"/>
    </row>
    <row r="42" spans="2:27">
      <c r="B42" s="5" t="s">
        <v>593</v>
      </c>
      <c r="C42" s="247"/>
      <c r="D42" s="529">
        <f>D18/D28</f>
        <v>1.2354725241440228</v>
      </c>
      <c r="E42" s="529">
        <f>E18/E28</f>
        <v>1.1426704048577869</v>
      </c>
      <c r="F42" s="529">
        <f>F18/F28</f>
        <v>1.1542472778050108</v>
      </c>
      <c r="G42" s="529">
        <f>G18/G28</f>
        <v>1.1241302644553297</v>
      </c>
      <c r="H42" s="17">
        <f t="shared" si="8"/>
        <v>3.3177717934998796E-2</v>
      </c>
      <c r="I42" s="248"/>
      <c r="J42" s="5"/>
      <c r="K42" s="5"/>
      <c r="L42" s="5"/>
      <c r="M42" s="5"/>
      <c r="N42" s="5"/>
      <c r="O42" s="5"/>
      <c r="Q42" s="5"/>
      <c r="R42" s="5"/>
      <c r="S42" s="42"/>
      <c r="T42" s="42"/>
      <c r="U42" s="42"/>
      <c r="V42" s="42"/>
      <c r="W42" s="288"/>
      <c r="X42" s="288"/>
      <c r="Y42" s="288"/>
      <c r="Z42" s="288"/>
      <c r="AA42" s="42"/>
    </row>
    <row r="43" spans="2:27">
      <c r="B43" s="5" t="s">
        <v>475</v>
      </c>
      <c r="C43" s="247"/>
      <c r="D43" s="529">
        <f>L26/D29</f>
        <v>-3.5573506954717975</v>
      </c>
      <c r="E43" s="529">
        <f>M26/E29</f>
        <v>-8.4517731221624679</v>
      </c>
      <c r="F43" s="529">
        <f>N26/F29</f>
        <v>-10.277638304345848</v>
      </c>
      <c r="G43" s="529">
        <f>O26/G29</f>
        <v>-23.296983723447234</v>
      </c>
      <c r="H43" s="17">
        <f t="shared" si="8"/>
        <v>-0.46602302081487634</v>
      </c>
      <c r="I43" s="247"/>
      <c r="J43" s="247"/>
      <c r="K43" s="247"/>
      <c r="L43" s="247"/>
      <c r="M43" s="247"/>
      <c r="N43" s="247"/>
      <c r="O43" s="18"/>
      <c r="Q43" s="5"/>
      <c r="R43" s="5"/>
      <c r="S43" s="42"/>
      <c r="T43" s="42"/>
      <c r="U43" s="42"/>
      <c r="V43" s="42"/>
      <c r="W43" s="288"/>
      <c r="X43" s="288"/>
      <c r="Y43" s="288"/>
      <c r="Z43" s="288"/>
      <c r="AA43" s="42"/>
    </row>
    <row r="44" spans="2:27">
      <c r="B44" s="5" t="s">
        <v>533</v>
      </c>
      <c r="C44" s="69"/>
      <c r="D44" s="529">
        <f>D11/D30</f>
        <v>216.75305789305747</v>
      </c>
      <c r="E44" s="529">
        <f>E11/E30</f>
        <v>-94.431056185845875</v>
      </c>
      <c r="F44" s="529">
        <f>F11/F30</f>
        <v>-93.703036336478675</v>
      </c>
      <c r="G44" s="529">
        <f>G11/G30</f>
        <v>-116.35770598997858</v>
      </c>
      <c r="H44" s="17">
        <f t="shared" si="8"/>
        <v>-2.229240611320896</v>
      </c>
      <c r="I44" s="247"/>
      <c r="J44" s="248"/>
      <c r="K44" s="248"/>
      <c r="L44" s="248"/>
      <c r="M44" s="248"/>
      <c r="N44" s="248"/>
      <c r="O44" s="248"/>
      <c r="Q44" s="5"/>
      <c r="R44" s="5"/>
      <c r="S44" s="42"/>
      <c r="T44" s="42"/>
      <c r="U44" s="42"/>
      <c r="V44" s="42"/>
      <c r="W44" s="325"/>
      <c r="X44" s="325"/>
      <c r="Y44" s="288"/>
      <c r="Z44" s="288"/>
      <c r="AA44" s="42"/>
    </row>
    <row r="45" spans="2:27">
      <c r="B45" s="5" t="s">
        <v>580</v>
      </c>
      <c r="C45" s="247"/>
      <c r="D45" s="248">
        <f>D31/D11</f>
        <v>0</v>
      </c>
      <c r="E45" s="248">
        <f>E31/E11</f>
        <v>0</v>
      </c>
      <c r="F45" s="248">
        <f>F31/F11</f>
        <v>0</v>
      </c>
      <c r="G45" s="248">
        <f>G31/G11</f>
        <v>0</v>
      </c>
      <c r="H45" s="17" t="str">
        <f t="shared" si="8"/>
        <v>nm</v>
      </c>
      <c r="I45" s="248"/>
      <c r="J45" s="247"/>
      <c r="K45" s="247"/>
      <c r="L45" s="247"/>
      <c r="M45" s="247"/>
      <c r="N45" s="247"/>
      <c r="O45" s="248"/>
      <c r="Q45" s="5"/>
      <c r="R45" s="5"/>
      <c r="S45" s="42"/>
      <c r="T45" s="42"/>
      <c r="U45" s="42"/>
      <c r="V45" s="42"/>
      <c r="W45" s="42"/>
      <c r="X45" s="42"/>
      <c r="Y45" s="325"/>
      <c r="Z45" s="325"/>
      <c r="AA45" s="42"/>
    </row>
    <row r="46" spans="2:27">
      <c r="B46" s="5" t="s">
        <v>605</v>
      </c>
      <c r="C46" s="247"/>
      <c r="D46" s="248">
        <f>(D31+D32)/D11</f>
        <v>0</v>
      </c>
      <c r="E46" s="248">
        <f>(E31+E32)/E11</f>
        <v>0</v>
      </c>
      <c r="F46" s="248">
        <f>(F31+F32)/F11</f>
        <v>0</v>
      </c>
      <c r="G46" s="248">
        <f>(G31+G32)/G11</f>
        <v>0</v>
      </c>
      <c r="H46" s="279" t="e">
        <f>((G31+G32)/(D31+D32))^(1/3)-1</f>
        <v>#DIV/0!</v>
      </c>
      <c r="I46" s="247"/>
      <c r="J46" s="247"/>
      <c r="K46" s="247"/>
      <c r="L46" s="247"/>
      <c r="M46" s="247"/>
      <c r="N46" s="247"/>
      <c r="O46" s="18"/>
      <c r="Q46" s="5"/>
      <c r="R46" s="5"/>
      <c r="S46" s="42"/>
      <c r="T46" s="42"/>
      <c r="U46" s="42"/>
      <c r="V46" s="42"/>
      <c r="W46" s="42"/>
      <c r="X46" s="42"/>
      <c r="Y46" s="42"/>
      <c r="Z46" s="42"/>
      <c r="AA46" s="326"/>
    </row>
    <row r="47" spans="2:27">
      <c r="B47" s="5" t="s">
        <v>581</v>
      </c>
      <c r="C47" s="5"/>
      <c r="D47" s="248">
        <f>1/D43</f>
        <v>-0.28110807328411963</v>
      </c>
      <c r="E47" s="248">
        <f>1/E43</f>
        <v>-0.11831836770177526</v>
      </c>
      <c r="F47" s="248">
        <f>1/F43</f>
        <v>-9.7298617677288271E-2</v>
      </c>
      <c r="G47" s="248">
        <f>1/G43</f>
        <v>-4.2924011617587673E-2</v>
      </c>
      <c r="H47" s="17">
        <f>H29</f>
        <v>-0.46602302081487634</v>
      </c>
      <c r="I47" s="17"/>
      <c r="J47" s="248"/>
      <c r="K47" s="248"/>
      <c r="L47" s="248"/>
      <c r="M47" s="248"/>
      <c r="N47" s="248"/>
      <c r="O47" s="248"/>
      <c r="Q47" s="5"/>
      <c r="R47" s="5"/>
      <c r="S47" s="42"/>
      <c r="T47" s="42"/>
      <c r="U47" s="42"/>
      <c r="V47" s="42"/>
      <c r="W47" s="42"/>
      <c r="X47" s="42"/>
      <c r="Y47" s="42"/>
      <c r="Z47" s="42"/>
      <c r="AA47" s="326"/>
    </row>
    <row r="48" spans="2:27">
      <c r="B48" s="5" t="s">
        <v>618</v>
      </c>
      <c r="C48" s="5"/>
      <c r="D48" s="305">
        <f>D31/D29</f>
        <v>0</v>
      </c>
      <c r="E48" s="305">
        <f>E31/E29</f>
        <v>0</v>
      </c>
      <c r="F48" s="305">
        <f>F31/F29</f>
        <v>0</v>
      </c>
      <c r="G48" s="305">
        <f>G31/G29</f>
        <v>0</v>
      </c>
      <c r="H48" s="279" t="s">
        <v>607</v>
      </c>
      <c r="I48" s="247"/>
      <c r="J48" s="247"/>
      <c r="K48" s="247"/>
      <c r="L48" s="247"/>
      <c r="M48" s="247"/>
      <c r="N48" s="247"/>
      <c r="O48" s="248"/>
      <c r="Q48" s="5"/>
      <c r="R48" s="5"/>
      <c r="S48" s="42"/>
      <c r="T48" s="42"/>
      <c r="U48" s="42"/>
      <c r="V48" s="42"/>
      <c r="W48" s="42"/>
      <c r="X48" s="42"/>
      <c r="Y48" s="42"/>
      <c r="Z48" s="42"/>
      <c r="AA48" s="326"/>
    </row>
    <row r="49" spans="2:27">
      <c r="B49" s="41"/>
      <c r="C49" s="17"/>
      <c r="D49" s="17"/>
      <c r="E49" s="17"/>
      <c r="F49" s="17"/>
      <c r="G49" s="17"/>
      <c r="H49" s="17"/>
      <c r="I49" s="254"/>
      <c r="J49" s="17"/>
      <c r="K49" s="17"/>
      <c r="L49" s="17"/>
      <c r="M49" s="17"/>
      <c r="N49" s="17"/>
      <c r="O49" s="248"/>
      <c r="Q49" s="5"/>
      <c r="R49" s="5"/>
      <c r="S49" s="42"/>
      <c r="T49" s="42"/>
      <c r="U49" s="42"/>
      <c r="V49" s="42"/>
      <c r="W49" s="42"/>
      <c r="X49" s="42"/>
      <c r="Y49" s="42"/>
      <c r="Z49" s="42"/>
      <c r="AA49" s="326"/>
    </row>
    <row r="50" spans="2:27">
      <c r="B50" s="5"/>
      <c r="C50" s="257"/>
      <c r="D50" s="257"/>
      <c r="E50" s="257"/>
      <c r="F50" s="5"/>
      <c r="G50" s="41"/>
      <c r="H50" s="249"/>
      <c r="I50" s="17"/>
      <c r="J50" s="249"/>
      <c r="K50" s="249"/>
      <c r="L50" s="249"/>
      <c r="M50" s="249"/>
      <c r="N50" s="249"/>
      <c r="O50" s="250"/>
      <c r="Q50" s="5"/>
      <c r="R50" s="5"/>
      <c r="S50" s="42"/>
      <c r="T50" s="42"/>
      <c r="U50" s="42"/>
      <c r="V50" s="42"/>
      <c r="W50" s="288"/>
      <c r="X50" s="288"/>
      <c r="Y50" s="42"/>
      <c r="Z50" s="42"/>
      <c r="AA50" s="326"/>
    </row>
    <row r="51" spans="2:27">
      <c r="B51" s="41"/>
      <c r="C51" s="249"/>
      <c r="D51" s="254"/>
      <c r="E51" s="254"/>
      <c r="F51" s="254"/>
      <c r="G51" s="254"/>
      <c r="H51" s="254"/>
      <c r="I51" s="259"/>
      <c r="J51" s="254"/>
      <c r="K51" s="254"/>
      <c r="L51" s="254"/>
      <c r="M51" s="254"/>
      <c r="N51" s="254"/>
      <c r="O51" s="251"/>
      <c r="Q51" s="5"/>
      <c r="R51" s="5"/>
      <c r="S51" s="42"/>
      <c r="T51" s="42"/>
      <c r="U51" s="42"/>
      <c r="V51" s="42"/>
      <c r="W51" s="288"/>
      <c r="X51" s="288"/>
      <c r="Y51" s="288"/>
      <c r="Z51" s="288"/>
      <c r="AA51" s="42"/>
    </row>
    <row r="52" spans="2:27">
      <c r="B52" s="5"/>
      <c r="C52" s="257"/>
      <c r="D52" s="17"/>
      <c r="E52" s="17"/>
      <c r="F52" s="17"/>
      <c r="G52" s="17"/>
      <c r="H52" s="17"/>
      <c r="I52" s="254"/>
      <c r="J52" s="17"/>
      <c r="K52" s="17"/>
      <c r="L52" s="17"/>
      <c r="M52" s="17"/>
      <c r="N52" s="17"/>
      <c r="O52" s="248"/>
      <c r="Q52" s="5"/>
      <c r="R52" s="5"/>
      <c r="S52" s="5"/>
      <c r="Y52" s="10"/>
      <c r="Z52" s="10"/>
    </row>
    <row r="53" spans="2:27">
      <c r="B53" s="5"/>
      <c r="C53" s="257"/>
      <c r="D53" s="257"/>
      <c r="E53" s="257"/>
      <c r="F53" s="5"/>
      <c r="G53" s="5"/>
      <c r="H53" s="259"/>
      <c r="I53" s="17"/>
      <c r="J53" s="259"/>
      <c r="K53" s="259"/>
      <c r="L53" s="259"/>
      <c r="M53" s="259"/>
      <c r="N53" s="259"/>
      <c r="O53" s="18"/>
      <c r="Q53" s="5"/>
      <c r="R53" s="5"/>
      <c r="S53" s="5"/>
    </row>
    <row r="54" spans="2:27">
      <c r="B54" s="41"/>
      <c r="C54" s="249"/>
      <c r="D54" s="254"/>
      <c r="E54" s="254"/>
      <c r="F54" s="254"/>
      <c r="G54" s="254"/>
      <c r="H54" s="254"/>
      <c r="I54" s="259"/>
      <c r="J54" s="254"/>
      <c r="K54" s="254"/>
      <c r="L54" s="254"/>
      <c r="M54" s="254"/>
      <c r="N54" s="254"/>
      <c r="O54" s="251"/>
      <c r="Q54" s="5"/>
      <c r="R54" s="5"/>
      <c r="S54" s="5"/>
    </row>
    <row r="55" spans="2:27">
      <c r="B55" s="5"/>
      <c r="C55" s="257"/>
      <c r="D55" s="17"/>
      <c r="E55" s="17"/>
      <c r="F55" s="17"/>
      <c r="G55" s="17"/>
      <c r="H55" s="17"/>
      <c r="I55" s="249"/>
      <c r="J55" s="17"/>
      <c r="K55" s="17"/>
      <c r="L55" s="17"/>
      <c r="M55" s="17"/>
      <c r="N55" s="17"/>
      <c r="O55" s="18"/>
      <c r="Q55" s="5"/>
      <c r="R55" s="5"/>
      <c r="S55" s="5"/>
    </row>
    <row r="56" spans="2:27">
      <c r="B56" s="5"/>
      <c r="C56" s="248"/>
      <c r="D56" s="248"/>
      <c r="E56" s="248"/>
      <c r="F56" s="5"/>
      <c r="G56" s="5"/>
      <c r="H56" s="259"/>
      <c r="I56" s="248"/>
      <c r="J56" s="259"/>
      <c r="K56" s="259"/>
      <c r="L56" s="259"/>
      <c r="M56" s="259"/>
      <c r="N56" s="259"/>
      <c r="O56" s="18"/>
      <c r="Q56" s="5"/>
      <c r="R56" s="5"/>
      <c r="S56" s="5"/>
    </row>
    <row r="57" spans="2:27">
      <c r="B57" s="41"/>
      <c r="C57" s="249"/>
      <c r="D57" s="249"/>
      <c r="E57" s="249"/>
      <c r="F57" s="249"/>
      <c r="G57" s="249"/>
      <c r="H57" s="249"/>
      <c r="I57" s="5"/>
      <c r="J57" s="249"/>
      <c r="K57" s="249"/>
      <c r="L57" s="249"/>
      <c r="M57" s="249"/>
      <c r="N57" s="249"/>
      <c r="O57" s="251"/>
      <c r="Q57" s="5"/>
      <c r="R57" s="5"/>
      <c r="S57" s="5"/>
    </row>
    <row r="58" spans="2:27">
      <c r="B58" s="5"/>
      <c r="C58" s="5"/>
      <c r="D58" s="248"/>
      <c r="E58" s="248"/>
      <c r="F58" s="248"/>
      <c r="G58" s="248"/>
      <c r="H58" s="248"/>
      <c r="I58" s="17"/>
      <c r="J58" s="248"/>
      <c r="K58" s="248"/>
      <c r="L58" s="248"/>
      <c r="M58" s="248"/>
      <c r="N58" s="248"/>
      <c r="O58" s="18"/>
      <c r="Q58" s="5"/>
      <c r="R58" s="5"/>
      <c r="S58" s="5"/>
    </row>
    <row r="59" spans="2:27">
      <c r="B59" s="5"/>
      <c r="C59" s="5"/>
      <c r="D59" s="5"/>
      <c r="E59" s="5"/>
      <c r="F59" s="5"/>
      <c r="G59" s="5"/>
      <c r="H59" s="5"/>
      <c r="I59" s="5"/>
      <c r="J59" s="5"/>
      <c r="K59" s="5"/>
      <c r="L59" s="5"/>
      <c r="M59" s="5"/>
      <c r="N59" s="5"/>
      <c r="O59" s="5"/>
      <c r="Q59" s="5"/>
      <c r="R59" s="5"/>
      <c r="S59" s="5"/>
    </row>
    <row r="60" spans="2:27">
      <c r="B60" s="41"/>
      <c r="C60" s="17"/>
      <c r="D60" s="17"/>
      <c r="E60" s="17"/>
      <c r="F60" s="17"/>
      <c r="G60" s="17"/>
      <c r="H60" s="17"/>
      <c r="I60" s="249"/>
      <c r="J60" s="17"/>
      <c r="K60" s="17"/>
      <c r="L60" s="17"/>
      <c r="M60" s="17"/>
      <c r="N60" s="17"/>
      <c r="O60" s="251"/>
      <c r="Q60" s="5"/>
      <c r="R60" s="5"/>
      <c r="S60" s="5"/>
    </row>
    <row r="61" spans="2:27">
      <c r="B61" s="5"/>
      <c r="C61" s="5"/>
      <c r="D61" s="5"/>
      <c r="E61" s="5"/>
      <c r="F61" s="5"/>
      <c r="G61" s="5"/>
      <c r="H61" s="5"/>
      <c r="I61" s="5"/>
      <c r="J61" s="5"/>
      <c r="K61" s="5"/>
      <c r="L61" s="5"/>
      <c r="M61" s="5"/>
      <c r="N61" s="5"/>
      <c r="O61" s="5"/>
      <c r="Q61" s="41"/>
      <c r="R61" s="5"/>
      <c r="S61" s="5"/>
    </row>
    <row r="62" spans="2:27">
      <c r="B62" s="41"/>
      <c r="C62" s="249"/>
      <c r="D62" s="249"/>
      <c r="E62" s="249"/>
      <c r="F62" s="249"/>
      <c r="G62" s="249"/>
      <c r="H62" s="249"/>
      <c r="I62" s="5"/>
      <c r="J62" s="249"/>
      <c r="K62" s="249"/>
      <c r="L62" s="249"/>
      <c r="M62" s="249"/>
      <c r="N62" s="249"/>
      <c r="O62" s="251"/>
      <c r="Q62" s="5"/>
      <c r="R62" s="5"/>
      <c r="S62" s="5"/>
    </row>
    <row r="63" spans="2:27">
      <c r="B63" s="5"/>
      <c r="C63" s="5"/>
      <c r="D63" s="5"/>
      <c r="E63" s="5"/>
      <c r="F63" s="5"/>
      <c r="G63" s="5"/>
      <c r="H63" s="5"/>
      <c r="I63" s="254"/>
      <c r="J63" s="5"/>
      <c r="K63" s="5"/>
      <c r="L63" s="5"/>
      <c r="M63" s="5"/>
      <c r="N63" s="5"/>
      <c r="O63" s="5"/>
      <c r="Q63" s="5"/>
      <c r="R63" s="5"/>
      <c r="S63" s="5"/>
    </row>
    <row r="64" spans="2:27">
      <c r="B64" s="5"/>
      <c r="C64" s="5"/>
      <c r="D64" s="5"/>
      <c r="E64" s="5"/>
      <c r="F64" s="5"/>
      <c r="G64" s="5"/>
      <c r="H64" s="5"/>
      <c r="I64" s="17"/>
      <c r="J64" s="5"/>
      <c r="K64" s="5"/>
      <c r="L64" s="5"/>
      <c r="M64" s="5"/>
      <c r="N64" s="5"/>
      <c r="O64" s="5"/>
      <c r="Q64" s="5"/>
      <c r="R64" s="5"/>
      <c r="S64" s="5"/>
    </row>
    <row r="65" spans="2:26">
      <c r="B65" s="41"/>
      <c r="C65" s="249"/>
      <c r="D65" s="254"/>
      <c r="E65" s="254"/>
      <c r="F65" s="254"/>
      <c r="G65" s="254"/>
      <c r="H65" s="254"/>
      <c r="I65" s="254"/>
      <c r="J65" s="254"/>
      <c r="K65" s="254"/>
      <c r="L65" s="254"/>
      <c r="M65" s="254"/>
      <c r="N65" s="254"/>
      <c r="O65" s="251"/>
      <c r="Q65" s="5"/>
      <c r="R65" s="5"/>
      <c r="S65" s="5"/>
    </row>
    <row r="66" spans="2:26">
      <c r="B66" s="5"/>
      <c r="C66" s="5"/>
      <c r="D66" s="17"/>
      <c r="E66" s="17"/>
      <c r="F66" s="17"/>
      <c r="G66" s="17"/>
      <c r="H66" s="17"/>
      <c r="I66" s="248"/>
      <c r="J66" s="17"/>
      <c r="K66" s="17"/>
      <c r="L66" s="17"/>
      <c r="M66" s="17"/>
      <c r="N66" s="17"/>
      <c r="O66" s="5"/>
      <c r="Q66" s="5"/>
      <c r="R66" s="5"/>
      <c r="S66" s="5"/>
    </row>
    <row r="67" spans="2:26">
      <c r="B67" s="41"/>
      <c r="C67" s="249"/>
      <c r="D67" s="254"/>
      <c r="E67" s="254"/>
      <c r="F67" s="254"/>
      <c r="G67" s="254"/>
      <c r="H67" s="254"/>
      <c r="I67" s="5"/>
      <c r="J67" s="254"/>
      <c r="K67" s="254"/>
      <c r="L67" s="254"/>
      <c r="M67" s="254"/>
      <c r="N67" s="254"/>
      <c r="O67" s="251"/>
      <c r="Q67" s="41"/>
      <c r="R67" s="5"/>
      <c r="S67" s="5"/>
    </row>
    <row r="68" spans="2:26">
      <c r="B68" s="5"/>
      <c r="C68" s="5"/>
      <c r="D68" s="248"/>
      <c r="E68" s="248"/>
      <c r="F68" s="248"/>
      <c r="G68" s="248"/>
      <c r="H68" s="248"/>
      <c r="I68" s="245"/>
      <c r="J68" s="248"/>
      <c r="K68" s="248"/>
      <c r="L68" s="248"/>
      <c r="M68" s="248"/>
      <c r="N68" s="248"/>
      <c r="O68" s="5"/>
      <c r="Q68" s="5"/>
      <c r="R68" s="5"/>
      <c r="S68" s="5"/>
    </row>
    <row r="69" spans="2:26">
      <c r="B69" s="41"/>
      <c r="C69" s="5"/>
      <c r="D69" s="5"/>
      <c r="E69" s="5"/>
      <c r="F69" s="5"/>
      <c r="G69" s="5"/>
      <c r="H69" s="5"/>
      <c r="I69" s="248"/>
      <c r="J69" s="5"/>
      <c r="K69" s="5"/>
      <c r="L69" s="5"/>
      <c r="M69" s="5"/>
      <c r="N69" s="5"/>
      <c r="O69" s="5"/>
      <c r="Q69" s="5"/>
      <c r="R69" s="5"/>
      <c r="S69" s="5"/>
    </row>
    <row r="70" spans="2:26">
      <c r="B70" s="41"/>
      <c r="C70" s="245"/>
      <c r="D70" s="245"/>
      <c r="E70" s="245"/>
      <c r="F70" s="245"/>
      <c r="G70" s="245"/>
      <c r="H70" s="245"/>
      <c r="I70" s="5"/>
      <c r="J70" s="245"/>
      <c r="K70" s="245"/>
      <c r="L70" s="245"/>
      <c r="M70" s="245"/>
      <c r="N70" s="245"/>
      <c r="O70" s="251"/>
      <c r="Q70" s="5"/>
      <c r="R70" s="5"/>
      <c r="S70" s="5"/>
      <c r="W70" s="76"/>
      <c r="X70" s="76"/>
    </row>
    <row r="71" spans="2:26">
      <c r="B71" s="5"/>
      <c r="C71" s="5"/>
      <c r="D71" s="248"/>
      <c r="E71" s="248"/>
      <c r="F71" s="248"/>
      <c r="G71" s="248"/>
      <c r="H71" s="248"/>
      <c r="I71" s="245"/>
      <c r="J71" s="248"/>
      <c r="K71" s="248"/>
      <c r="L71" s="248"/>
      <c r="M71" s="248"/>
      <c r="N71" s="248"/>
      <c r="O71" s="5"/>
      <c r="Q71" s="5"/>
      <c r="R71" s="5"/>
      <c r="S71" s="5"/>
      <c r="W71" s="76"/>
      <c r="X71" s="76"/>
      <c r="Y71" s="76"/>
      <c r="Z71" s="76"/>
    </row>
    <row r="72" spans="2:26">
      <c r="B72" s="41"/>
      <c r="C72" s="5"/>
      <c r="D72" s="5"/>
      <c r="E72" s="5"/>
      <c r="F72" s="5"/>
      <c r="G72" s="5"/>
      <c r="H72" s="5"/>
      <c r="I72" s="18"/>
      <c r="J72" s="5"/>
      <c r="K72" s="5"/>
      <c r="L72" s="5"/>
      <c r="M72" s="5"/>
      <c r="N72" s="5"/>
      <c r="O72" s="5"/>
      <c r="Q72" s="5"/>
      <c r="R72" s="5"/>
      <c r="S72" s="5"/>
      <c r="Y72" s="76"/>
      <c r="Z72" s="76"/>
    </row>
    <row r="73" spans="2:26">
      <c r="B73" s="41"/>
      <c r="C73" s="245"/>
      <c r="D73" s="245"/>
      <c r="E73" s="245"/>
      <c r="F73" s="245"/>
      <c r="G73" s="245"/>
      <c r="H73" s="245"/>
      <c r="I73" s="5"/>
      <c r="J73" s="245"/>
      <c r="K73" s="245"/>
      <c r="L73" s="245"/>
      <c r="M73" s="245"/>
      <c r="N73" s="245"/>
      <c r="O73" s="251"/>
      <c r="Q73" s="5"/>
      <c r="R73" s="5"/>
      <c r="S73" s="5"/>
    </row>
    <row r="74" spans="2:26">
      <c r="B74" s="5"/>
      <c r="C74" s="5"/>
      <c r="D74" s="18"/>
      <c r="E74" s="18"/>
      <c r="F74" s="18"/>
      <c r="G74" s="18"/>
      <c r="H74" s="18"/>
      <c r="I74" s="249"/>
      <c r="J74" s="18"/>
      <c r="K74" s="18"/>
      <c r="L74" s="18"/>
      <c r="M74" s="18"/>
      <c r="N74" s="18"/>
      <c r="O74" s="5"/>
      <c r="Q74" s="5"/>
      <c r="R74" s="5"/>
      <c r="S74" s="5"/>
    </row>
    <row r="75" spans="2:26">
      <c r="B75" s="41"/>
      <c r="C75" s="5"/>
      <c r="D75" s="5"/>
      <c r="E75" s="5"/>
      <c r="F75" s="5"/>
      <c r="G75" s="5"/>
      <c r="H75" s="5"/>
      <c r="I75" s="248"/>
      <c r="J75" s="5"/>
      <c r="K75" s="5"/>
      <c r="L75" s="5"/>
      <c r="M75" s="5"/>
      <c r="N75" s="5"/>
      <c r="O75" s="5"/>
      <c r="Q75" s="5"/>
      <c r="R75" s="5"/>
      <c r="S75" s="5"/>
    </row>
    <row r="76" spans="2:26">
      <c r="B76" s="41"/>
      <c r="C76" s="249"/>
      <c r="D76" s="249"/>
      <c r="E76" s="249"/>
      <c r="F76" s="249"/>
      <c r="G76" s="249"/>
      <c r="H76" s="249"/>
      <c r="I76" s="5"/>
      <c r="J76" s="249"/>
      <c r="K76" s="249"/>
      <c r="L76" s="249"/>
      <c r="M76" s="249"/>
      <c r="N76" s="249"/>
      <c r="O76" s="251"/>
      <c r="Q76" s="5"/>
      <c r="R76" s="5"/>
      <c r="S76" s="5"/>
    </row>
    <row r="77" spans="2:26">
      <c r="B77" s="5"/>
      <c r="C77" s="5"/>
      <c r="D77" s="248"/>
      <c r="E77" s="248"/>
      <c r="F77" s="248"/>
      <c r="G77" s="248"/>
      <c r="H77" s="248"/>
      <c r="I77" s="245"/>
      <c r="J77" s="248"/>
      <c r="K77" s="248"/>
      <c r="L77" s="248"/>
      <c r="M77" s="248"/>
      <c r="N77" s="248"/>
      <c r="O77" s="5"/>
      <c r="Q77" s="5"/>
      <c r="R77" s="5"/>
      <c r="S77" s="5"/>
    </row>
    <row r="78" spans="2:26">
      <c r="B78" s="41"/>
      <c r="C78" s="5"/>
      <c r="D78" s="5"/>
      <c r="E78" s="5"/>
      <c r="F78" s="5"/>
      <c r="G78" s="5"/>
      <c r="H78" s="5"/>
      <c r="I78" s="248"/>
      <c r="J78" s="5"/>
      <c r="K78" s="5"/>
      <c r="L78" s="5"/>
      <c r="M78" s="5"/>
      <c r="N78" s="5"/>
      <c r="O78" s="5"/>
      <c r="Q78" s="5"/>
      <c r="R78" s="5"/>
      <c r="S78" s="5"/>
    </row>
    <row r="79" spans="2:26">
      <c r="B79" s="41"/>
      <c r="C79" s="245"/>
      <c r="D79" s="245"/>
      <c r="E79" s="245"/>
      <c r="F79" s="245"/>
      <c r="G79" s="245"/>
      <c r="H79" s="245"/>
      <c r="I79" s="5"/>
      <c r="J79" s="245"/>
      <c r="K79" s="245"/>
      <c r="L79" s="245"/>
      <c r="M79" s="245"/>
      <c r="N79" s="245"/>
      <c r="O79" s="251"/>
      <c r="Q79" s="5"/>
      <c r="R79" s="5"/>
      <c r="S79" s="5"/>
    </row>
    <row r="80" spans="2:26">
      <c r="B80" s="5"/>
      <c r="C80" s="5"/>
      <c r="D80" s="248"/>
      <c r="E80" s="248"/>
      <c r="F80" s="248"/>
      <c r="G80" s="248"/>
      <c r="H80" s="248"/>
      <c r="I80" s="249"/>
      <c r="J80" s="248"/>
      <c r="K80" s="248"/>
      <c r="L80" s="248"/>
      <c r="M80" s="248"/>
      <c r="N80" s="248"/>
      <c r="O80" s="5"/>
      <c r="Q80" s="5"/>
      <c r="R80" s="5"/>
      <c r="S80" s="5"/>
    </row>
    <row r="81" spans="2:26">
      <c r="B81" s="41"/>
      <c r="C81" s="5"/>
      <c r="D81" s="5"/>
      <c r="E81" s="5"/>
      <c r="F81" s="5"/>
      <c r="G81" s="5"/>
      <c r="H81" s="5"/>
      <c r="I81" s="248"/>
      <c r="J81" s="5"/>
      <c r="K81" s="5"/>
      <c r="L81" s="5"/>
      <c r="M81" s="5"/>
      <c r="N81" s="5"/>
      <c r="O81" s="5"/>
      <c r="Q81" s="5"/>
      <c r="R81" s="5"/>
      <c r="S81" s="5"/>
    </row>
    <row r="82" spans="2:26">
      <c r="B82" s="41"/>
      <c r="C82" s="249"/>
      <c r="D82" s="249"/>
      <c r="E82" s="249"/>
      <c r="F82" s="249"/>
      <c r="G82" s="249"/>
      <c r="H82" s="249"/>
      <c r="I82" s="259"/>
      <c r="J82" s="249"/>
      <c r="K82" s="249"/>
      <c r="L82" s="249"/>
      <c r="M82" s="249"/>
      <c r="N82" s="249"/>
      <c r="O82" s="251"/>
      <c r="Q82" s="5"/>
      <c r="R82" s="5"/>
      <c r="S82" s="5"/>
    </row>
    <row r="83" spans="2:26">
      <c r="B83" s="5"/>
      <c r="C83" s="5"/>
      <c r="D83" s="248"/>
      <c r="E83" s="248"/>
      <c r="F83" s="248"/>
      <c r="G83" s="248"/>
      <c r="H83" s="248"/>
      <c r="I83" s="5"/>
      <c r="J83" s="248"/>
      <c r="K83" s="248"/>
      <c r="L83" s="248"/>
      <c r="M83" s="248"/>
      <c r="N83" s="248"/>
      <c r="O83" s="5"/>
      <c r="Q83" s="5"/>
      <c r="R83" s="5"/>
      <c r="S83" s="5"/>
    </row>
    <row r="84" spans="2:26">
      <c r="B84" s="5"/>
      <c r="C84" s="259"/>
      <c r="D84" s="259"/>
      <c r="E84" s="259"/>
      <c r="F84" s="259"/>
      <c r="G84" s="259"/>
      <c r="H84" s="259"/>
      <c r="I84" s="245"/>
      <c r="J84" s="259"/>
      <c r="K84" s="259"/>
      <c r="L84" s="259"/>
      <c r="M84" s="259"/>
      <c r="N84" s="259"/>
      <c r="O84" s="251"/>
      <c r="Q84" s="5"/>
      <c r="R84" s="5"/>
      <c r="S84" s="5"/>
    </row>
    <row r="85" spans="2:26">
      <c r="B85" s="41"/>
      <c r="C85" s="5"/>
      <c r="D85" s="5"/>
      <c r="E85" s="5"/>
      <c r="F85" s="5"/>
      <c r="G85" s="5"/>
      <c r="H85" s="5"/>
      <c r="I85" s="248"/>
      <c r="J85" s="5"/>
      <c r="K85" s="5"/>
      <c r="L85" s="5"/>
      <c r="M85" s="5"/>
      <c r="N85" s="5"/>
      <c r="O85" s="5"/>
      <c r="Q85" s="5"/>
      <c r="R85" s="5"/>
      <c r="S85" s="5"/>
    </row>
    <row r="86" spans="2:26">
      <c r="B86" s="41"/>
      <c r="C86" s="245"/>
      <c r="D86" s="245"/>
      <c r="E86" s="245"/>
      <c r="F86" s="245"/>
      <c r="G86" s="245"/>
      <c r="H86" s="245"/>
      <c r="I86" s="5"/>
      <c r="J86" s="245"/>
      <c r="K86" s="245"/>
      <c r="L86" s="245"/>
      <c r="M86" s="245"/>
      <c r="N86" s="245"/>
      <c r="O86" s="251"/>
      <c r="Q86" s="5"/>
      <c r="R86" s="5"/>
      <c r="S86" s="5"/>
    </row>
    <row r="87" spans="2:26">
      <c r="B87" s="5"/>
      <c r="C87" s="5"/>
      <c r="D87" s="248"/>
      <c r="E87" s="248"/>
      <c r="F87" s="248"/>
      <c r="G87" s="248"/>
      <c r="H87" s="248"/>
      <c r="I87" s="5"/>
      <c r="J87" s="248"/>
      <c r="K87" s="248"/>
      <c r="L87" s="248"/>
      <c r="M87" s="248"/>
      <c r="N87" s="248"/>
      <c r="O87" s="5"/>
      <c r="Q87" s="5"/>
      <c r="R87" s="5"/>
      <c r="S87" s="5"/>
    </row>
    <row r="88" spans="2:26">
      <c r="B88" s="41"/>
      <c r="C88" s="5"/>
      <c r="D88" s="5"/>
      <c r="E88" s="5"/>
      <c r="F88" s="5"/>
      <c r="G88" s="5"/>
      <c r="H88" s="5"/>
      <c r="I88" s="5"/>
      <c r="J88" s="5"/>
      <c r="K88" s="5"/>
      <c r="L88" s="5"/>
      <c r="M88" s="5"/>
      <c r="N88" s="5"/>
      <c r="O88" s="5"/>
      <c r="Q88" s="5"/>
      <c r="R88" s="5"/>
      <c r="S88" s="5"/>
    </row>
    <row r="89" spans="2:26">
      <c r="B89" s="41"/>
      <c r="C89" s="5"/>
      <c r="D89" s="5"/>
      <c r="E89" s="5"/>
      <c r="F89" s="5"/>
      <c r="G89" s="5"/>
      <c r="H89" s="5"/>
      <c r="I89" s="5"/>
      <c r="J89" s="5"/>
      <c r="K89" s="5"/>
      <c r="L89" s="5"/>
      <c r="M89" s="5"/>
      <c r="N89" s="5"/>
      <c r="O89" s="5"/>
      <c r="Q89" s="5"/>
      <c r="R89" s="5"/>
      <c r="S89" s="5"/>
    </row>
    <row r="90" spans="2:26">
      <c r="B90" s="41"/>
      <c r="C90" s="5"/>
      <c r="D90" s="5"/>
      <c r="E90" s="5"/>
      <c r="F90" s="5"/>
      <c r="G90" s="5"/>
      <c r="H90" s="5"/>
      <c r="I90" s="49"/>
      <c r="J90" s="5"/>
      <c r="K90" s="5"/>
      <c r="L90" s="5"/>
      <c r="M90" s="5"/>
      <c r="N90" s="5"/>
      <c r="O90" s="5"/>
      <c r="Q90" s="41"/>
      <c r="R90" s="5"/>
      <c r="S90" s="5"/>
    </row>
    <row r="91" spans="2:26">
      <c r="B91" s="5"/>
      <c r="C91" s="5"/>
      <c r="D91" s="5"/>
      <c r="E91" s="5"/>
      <c r="F91" s="5"/>
      <c r="G91" s="5"/>
      <c r="H91" s="5"/>
      <c r="I91" s="5"/>
      <c r="J91" s="5"/>
      <c r="K91" s="5"/>
      <c r="L91" s="5"/>
      <c r="M91" s="5"/>
      <c r="N91" s="5"/>
      <c r="O91" s="5"/>
      <c r="Q91" s="5"/>
      <c r="R91" s="5"/>
      <c r="S91" s="5"/>
    </row>
    <row r="92" spans="2:26">
      <c r="B92" s="41"/>
      <c r="C92" s="49"/>
      <c r="D92" s="49"/>
      <c r="E92" s="49"/>
      <c r="F92" s="49"/>
      <c r="G92" s="49"/>
      <c r="H92" s="49"/>
      <c r="I92" s="247"/>
      <c r="J92" s="49"/>
      <c r="K92" s="49"/>
      <c r="L92" s="49"/>
      <c r="M92" s="49"/>
      <c r="N92" s="49"/>
      <c r="O92" s="49"/>
      <c r="Q92" s="5"/>
      <c r="R92" s="5"/>
      <c r="S92" s="5"/>
      <c r="W92" s="21"/>
      <c r="X92" s="21"/>
    </row>
    <row r="93" spans="2:26">
      <c r="B93" s="5"/>
      <c r="C93" s="5"/>
      <c r="D93" s="5"/>
      <c r="E93" s="5"/>
      <c r="F93" s="5"/>
      <c r="G93" s="5"/>
      <c r="H93" s="5"/>
      <c r="I93" s="247"/>
      <c r="J93" s="5"/>
      <c r="K93" s="5"/>
      <c r="L93" s="5"/>
      <c r="M93" s="5"/>
      <c r="N93" s="5"/>
      <c r="O93" s="5"/>
      <c r="Q93" s="5"/>
      <c r="R93" s="5"/>
      <c r="S93" s="5"/>
      <c r="W93" s="21"/>
      <c r="X93" s="21"/>
      <c r="Y93" s="21"/>
      <c r="Z93" s="21"/>
    </row>
    <row r="94" spans="2:26">
      <c r="B94" s="5"/>
      <c r="C94" s="259"/>
      <c r="D94" s="247"/>
      <c r="E94" s="247"/>
      <c r="F94" s="247"/>
      <c r="G94" s="247"/>
      <c r="H94" s="247"/>
      <c r="I94" s="247"/>
      <c r="J94" s="247"/>
      <c r="K94" s="247"/>
      <c r="L94" s="247"/>
      <c r="M94" s="247"/>
      <c r="N94" s="247"/>
      <c r="O94" s="248"/>
      <c r="Q94" s="5"/>
      <c r="R94" s="5"/>
      <c r="S94" s="5"/>
      <c r="Y94" s="21"/>
      <c r="Z94" s="21"/>
    </row>
    <row r="95" spans="2:26">
      <c r="B95" s="5"/>
      <c r="C95" s="259"/>
      <c r="D95" s="247"/>
      <c r="E95" s="247"/>
      <c r="F95" s="247"/>
      <c r="G95" s="247"/>
      <c r="H95" s="247"/>
      <c r="I95" s="248"/>
      <c r="J95" s="247"/>
      <c r="K95" s="247"/>
      <c r="L95" s="247"/>
      <c r="M95" s="247"/>
      <c r="N95" s="247"/>
      <c r="O95" s="248"/>
      <c r="Q95" s="5"/>
      <c r="R95" s="5"/>
      <c r="S95" s="5"/>
    </row>
    <row r="96" spans="2:26">
      <c r="B96" s="5"/>
      <c r="C96" s="259"/>
      <c r="D96" s="247"/>
      <c r="E96" s="247"/>
      <c r="F96" s="247"/>
      <c r="G96" s="247"/>
      <c r="H96" s="247"/>
      <c r="I96" s="247"/>
      <c r="J96" s="247"/>
      <c r="K96" s="247"/>
      <c r="L96" s="247"/>
      <c r="M96" s="247"/>
      <c r="N96" s="247"/>
      <c r="O96" s="248"/>
      <c r="Q96" s="5"/>
      <c r="R96" s="5"/>
      <c r="S96" s="5"/>
    </row>
    <row r="97" spans="2:19">
      <c r="B97" s="5"/>
      <c r="C97" s="259"/>
      <c r="D97" s="248"/>
      <c r="E97" s="248"/>
      <c r="F97" s="248"/>
      <c r="G97" s="248"/>
      <c r="H97" s="248"/>
      <c r="I97" s="249"/>
      <c r="J97" s="248"/>
      <c r="K97" s="248"/>
      <c r="L97" s="248"/>
      <c r="M97" s="248"/>
      <c r="N97" s="248"/>
      <c r="O97" s="248"/>
      <c r="Q97" s="5"/>
      <c r="R97" s="5"/>
      <c r="S97" s="5"/>
    </row>
    <row r="98" spans="2:19">
      <c r="B98" s="5"/>
      <c r="C98" s="259"/>
      <c r="D98" s="247"/>
      <c r="E98" s="247"/>
      <c r="F98" s="247"/>
      <c r="G98" s="247"/>
      <c r="H98" s="247"/>
      <c r="I98" s="248"/>
      <c r="J98" s="247"/>
      <c r="K98" s="247"/>
      <c r="L98" s="247"/>
      <c r="M98" s="247"/>
      <c r="N98" s="247"/>
      <c r="O98" s="248"/>
      <c r="Q98" s="5"/>
      <c r="R98" s="5"/>
      <c r="S98" s="5"/>
    </row>
    <row r="99" spans="2:19">
      <c r="B99" s="41"/>
      <c r="C99" s="249"/>
      <c r="D99" s="249"/>
      <c r="E99" s="249"/>
      <c r="F99" s="249"/>
      <c r="G99" s="249"/>
      <c r="H99" s="249"/>
      <c r="I99" s="5"/>
      <c r="J99" s="249"/>
      <c r="K99" s="249"/>
      <c r="L99" s="249"/>
      <c r="M99" s="249"/>
      <c r="N99" s="249"/>
      <c r="O99" s="248"/>
      <c r="Q99" s="5"/>
      <c r="R99" s="5"/>
      <c r="S99" s="5"/>
    </row>
    <row r="100" spans="2:19">
      <c r="B100" s="41"/>
      <c r="C100" s="257"/>
      <c r="D100" s="248"/>
      <c r="E100" s="248"/>
      <c r="F100" s="248"/>
      <c r="G100" s="248"/>
      <c r="H100" s="248"/>
      <c r="I100" s="259"/>
      <c r="J100" s="248"/>
      <c r="K100" s="248"/>
      <c r="L100" s="248"/>
      <c r="M100" s="248"/>
      <c r="N100" s="248"/>
      <c r="O100" s="248"/>
      <c r="Q100" s="5"/>
      <c r="R100" s="5"/>
      <c r="S100" s="5"/>
    </row>
    <row r="101" spans="2:19" s="5" customFormat="1">
      <c r="B101" s="41"/>
      <c r="I101" s="259"/>
      <c r="O101" s="248"/>
      <c r="P101" s="39"/>
    </row>
    <row r="102" spans="2:19">
      <c r="B102" s="5"/>
      <c r="C102" s="259"/>
      <c r="D102" s="259"/>
      <c r="E102" s="259"/>
      <c r="F102" s="259"/>
      <c r="G102" s="259"/>
      <c r="H102" s="259"/>
      <c r="I102" s="247"/>
      <c r="J102" s="259"/>
      <c r="K102" s="259"/>
      <c r="L102" s="259"/>
      <c r="M102" s="259"/>
      <c r="N102" s="259"/>
      <c r="O102" s="5"/>
      <c r="Q102" s="5"/>
      <c r="R102" s="5"/>
      <c r="S102" s="5"/>
    </row>
    <row r="103" spans="2:19">
      <c r="B103" s="5"/>
      <c r="C103" s="259"/>
      <c r="D103" s="259"/>
      <c r="E103" s="259"/>
      <c r="F103" s="259"/>
      <c r="G103" s="259"/>
      <c r="H103" s="259"/>
      <c r="I103" s="5"/>
      <c r="J103" s="259"/>
      <c r="K103" s="259"/>
      <c r="L103" s="259"/>
      <c r="M103" s="259"/>
      <c r="N103" s="259"/>
      <c r="O103" s="5"/>
      <c r="P103" s="5"/>
      <c r="Q103" s="5"/>
      <c r="R103" s="5"/>
      <c r="S103" s="5"/>
    </row>
    <row r="104" spans="2:19">
      <c r="B104" s="5"/>
      <c r="C104" s="247"/>
      <c r="D104" s="247"/>
      <c r="E104" s="247"/>
      <c r="F104" s="247"/>
      <c r="G104" s="247"/>
      <c r="H104" s="247"/>
      <c r="I104" s="247"/>
      <c r="J104" s="247"/>
      <c r="K104" s="247"/>
      <c r="L104" s="247"/>
      <c r="M104" s="247"/>
      <c r="N104" s="247"/>
      <c r="O104" s="5"/>
      <c r="Q104" s="5"/>
      <c r="R104" s="5"/>
      <c r="S104" s="5"/>
    </row>
    <row r="105" spans="2:19" s="5" customFormat="1">
      <c r="P105" s="39"/>
    </row>
    <row r="106" spans="2:19" s="5" customFormat="1">
      <c r="C106" s="259"/>
      <c r="D106" s="247"/>
      <c r="E106" s="247"/>
      <c r="F106" s="247"/>
      <c r="G106" s="247"/>
      <c r="H106" s="247"/>
      <c r="I106" s="259"/>
      <c r="J106" s="247"/>
      <c r="K106" s="247"/>
      <c r="L106" s="247"/>
      <c r="M106" s="247"/>
      <c r="N106" s="247"/>
      <c r="P106" s="39"/>
    </row>
    <row r="107" spans="2:19">
      <c r="B107" s="5"/>
      <c r="C107" s="259"/>
      <c r="D107" s="5"/>
      <c r="E107" s="5"/>
      <c r="F107" s="5"/>
      <c r="G107" s="5"/>
      <c r="H107" s="5"/>
      <c r="I107" s="247"/>
      <c r="J107" s="5"/>
      <c r="K107" s="5"/>
      <c r="L107" s="5"/>
      <c r="M107" s="5"/>
      <c r="N107" s="5"/>
      <c r="O107" s="5"/>
      <c r="P107" s="5"/>
      <c r="Q107" s="5"/>
      <c r="R107" s="5"/>
      <c r="S107" s="5"/>
    </row>
    <row r="108" spans="2:19">
      <c r="B108" s="5"/>
      <c r="C108" s="259"/>
      <c r="D108" s="259"/>
      <c r="E108" s="259"/>
      <c r="F108" s="259"/>
      <c r="G108" s="259"/>
      <c r="H108" s="259"/>
      <c r="I108" s="249"/>
      <c r="J108" s="259"/>
      <c r="K108" s="259"/>
      <c r="L108" s="259"/>
      <c r="M108" s="259"/>
      <c r="N108" s="259"/>
      <c r="O108" s="5"/>
      <c r="P108" s="5"/>
      <c r="Q108" s="5"/>
      <c r="R108" s="5"/>
      <c r="S108" s="5"/>
    </row>
    <row r="109" spans="2:19">
      <c r="B109" s="5"/>
      <c r="C109" s="247"/>
      <c r="D109" s="247"/>
      <c r="E109" s="247"/>
      <c r="F109" s="247"/>
      <c r="G109" s="247"/>
      <c r="H109" s="247"/>
      <c r="I109" s="249"/>
      <c r="J109" s="247"/>
      <c r="K109" s="247"/>
      <c r="L109" s="247"/>
      <c r="M109" s="247"/>
      <c r="N109" s="247"/>
      <c r="O109" s="5"/>
      <c r="Q109" s="5"/>
      <c r="R109" s="5"/>
      <c r="S109" s="5"/>
    </row>
    <row r="110" spans="2:19">
      <c r="B110" s="41"/>
      <c r="C110" s="249"/>
      <c r="D110" s="249"/>
      <c r="E110" s="249"/>
      <c r="F110" s="249"/>
      <c r="G110" s="249"/>
      <c r="H110" s="249"/>
      <c r="I110" s="247"/>
      <c r="J110" s="249"/>
      <c r="K110" s="249"/>
      <c r="L110" s="249"/>
      <c r="M110" s="249"/>
      <c r="N110" s="249"/>
      <c r="O110" s="5"/>
      <c r="Q110" s="5"/>
      <c r="R110" s="5"/>
      <c r="S110" s="5"/>
    </row>
    <row r="111" spans="2:19">
      <c r="B111" s="5"/>
      <c r="C111" s="249"/>
      <c r="D111" s="249"/>
      <c r="E111" s="249"/>
      <c r="F111" s="249"/>
      <c r="G111" s="249"/>
      <c r="H111" s="249"/>
      <c r="I111" s="5"/>
      <c r="J111" s="249"/>
      <c r="K111" s="249"/>
      <c r="L111" s="249"/>
      <c r="M111" s="249"/>
      <c r="N111" s="249"/>
      <c r="O111" s="5"/>
      <c r="Q111" s="5"/>
      <c r="R111" s="5"/>
      <c r="S111" s="5"/>
    </row>
    <row r="112" spans="2:19">
      <c r="B112" s="5"/>
      <c r="C112" s="247"/>
      <c r="D112" s="247"/>
      <c r="E112" s="247"/>
      <c r="F112" s="247"/>
      <c r="G112" s="247"/>
      <c r="H112" s="247"/>
      <c r="I112" s="5"/>
      <c r="J112" s="247"/>
      <c r="K112" s="247"/>
      <c r="L112" s="247"/>
      <c r="M112" s="247"/>
      <c r="N112" s="247"/>
      <c r="O112" s="5"/>
      <c r="Q112" s="5"/>
      <c r="R112" s="5"/>
      <c r="S112" s="5"/>
    </row>
    <row r="113" spans="2:19">
      <c r="B113" s="5"/>
      <c r="C113" s="5"/>
      <c r="D113" s="5"/>
      <c r="E113" s="5"/>
      <c r="F113" s="5"/>
      <c r="G113" s="5"/>
      <c r="H113" s="5"/>
      <c r="I113" s="5"/>
      <c r="J113" s="5"/>
      <c r="K113" s="5"/>
      <c r="L113" s="5"/>
      <c r="M113" s="5"/>
      <c r="N113" s="5"/>
      <c r="O113" s="5"/>
      <c r="Q113" s="5"/>
      <c r="R113" s="5"/>
      <c r="S113" s="5"/>
    </row>
    <row r="114" spans="2:19">
      <c r="B114" s="5"/>
      <c r="C114" s="5"/>
      <c r="D114" s="5"/>
      <c r="E114" s="5"/>
      <c r="F114" s="5"/>
      <c r="G114" s="5"/>
      <c r="H114" s="5"/>
      <c r="I114" s="5"/>
      <c r="J114" s="5"/>
      <c r="K114" s="5"/>
      <c r="L114" s="5"/>
      <c r="M114" s="5"/>
      <c r="N114" s="5"/>
      <c r="O114" s="5"/>
      <c r="Q114" s="5"/>
      <c r="R114" s="5"/>
      <c r="S114" s="5"/>
    </row>
    <row r="115" spans="2:19">
      <c r="B115" s="5"/>
      <c r="C115" s="5"/>
      <c r="D115" s="5"/>
      <c r="E115" s="5"/>
      <c r="F115" s="5"/>
      <c r="G115" s="5"/>
      <c r="H115" s="5"/>
      <c r="I115" s="49"/>
      <c r="J115" s="5"/>
      <c r="K115" s="5"/>
      <c r="L115" s="5"/>
      <c r="M115" s="5"/>
      <c r="N115" s="5"/>
      <c r="O115" s="5"/>
      <c r="Q115" s="41"/>
      <c r="R115" s="5"/>
      <c r="S115" s="5"/>
    </row>
    <row r="116" spans="2:19">
      <c r="B116" s="5"/>
      <c r="C116" s="5"/>
      <c r="D116" s="5"/>
      <c r="E116" s="5"/>
      <c r="F116" s="5"/>
      <c r="G116" s="5"/>
      <c r="H116" s="5"/>
      <c r="I116" s="5"/>
      <c r="J116" s="5"/>
      <c r="K116" s="5"/>
      <c r="L116" s="5"/>
      <c r="M116" s="5"/>
      <c r="N116" s="5"/>
      <c r="O116" s="5"/>
      <c r="Q116" s="5"/>
      <c r="R116" s="5"/>
      <c r="S116" s="5"/>
    </row>
    <row r="117" spans="2:19">
      <c r="B117" s="41"/>
      <c r="C117" s="49"/>
      <c r="D117" s="49"/>
      <c r="E117" s="49"/>
      <c r="F117" s="49"/>
      <c r="G117" s="49"/>
      <c r="H117" s="49"/>
      <c r="I117" s="254"/>
      <c r="J117" s="49"/>
      <c r="K117" s="49"/>
      <c r="L117" s="49"/>
      <c r="M117" s="49"/>
      <c r="N117" s="49"/>
      <c r="O117" s="49"/>
      <c r="Q117" s="5"/>
      <c r="R117" s="5"/>
      <c r="S117" s="5"/>
    </row>
    <row r="118" spans="2:19">
      <c r="B118" s="5"/>
      <c r="C118" s="5"/>
      <c r="D118" s="5"/>
      <c r="E118" s="5"/>
      <c r="F118" s="5"/>
      <c r="G118" s="5"/>
      <c r="H118" s="5"/>
      <c r="I118" s="249"/>
      <c r="J118" s="5"/>
      <c r="K118" s="5"/>
      <c r="L118" s="5"/>
      <c r="M118" s="5"/>
      <c r="N118" s="5"/>
      <c r="O118" s="5"/>
      <c r="Q118" s="5"/>
      <c r="R118" s="5"/>
      <c r="S118" s="5"/>
    </row>
    <row r="119" spans="2:19">
      <c r="B119" s="41"/>
      <c r="C119" s="254"/>
      <c r="D119" s="254"/>
      <c r="E119" s="254"/>
      <c r="F119" s="254"/>
      <c r="G119" s="254"/>
      <c r="H119" s="254"/>
      <c r="I119" s="254"/>
      <c r="J119" s="254"/>
      <c r="K119" s="254"/>
      <c r="L119" s="254"/>
      <c r="M119" s="254"/>
      <c r="N119" s="254"/>
      <c r="O119" s="248"/>
      <c r="Q119" s="5"/>
      <c r="R119" s="5"/>
      <c r="S119" s="5"/>
    </row>
    <row r="120" spans="2:19">
      <c r="B120" s="41"/>
      <c r="C120" s="254"/>
      <c r="D120" s="249"/>
      <c r="E120" s="249"/>
      <c r="F120" s="249"/>
      <c r="G120" s="249"/>
      <c r="H120" s="249"/>
      <c r="I120" s="254"/>
      <c r="J120" s="249"/>
      <c r="K120" s="249"/>
      <c r="L120" s="249"/>
      <c r="M120" s="249"/>
      <c r="N120" s="249"/>
      <c r="O120" s="248"/>
      <c r="Q120" s="5"/>
      <c r="R120" s="5"/>
      <c r="S120" s="5"/>
    </row>
    <row r="121" spans="2:19">
      <c r="B121" s="41"/>
      <c r="C121" s="254"/>
      <c r="D121" s="254"/>
      <c r="E121" s="254"/>
      <c r="F121" s="254"/>
      <c r="G121" s="254"/>
      <c r="H121" s="254"/>
      <c r="I121" s="254"/>
      <c r="J121" s="254"/>
      <c r="K121" s="254"/>
      <c r="L121" s="254"/>
      <c r="M121" s="254"/>
      <c r="N121" s="254"/>
      <c r="O121" s="248"/>
      <c r="Q121" s="5"/>
      <c r="R121" s="5"/>
      <c r="S121" s="5"/>
    </row>
    <row r="122" spans="2:19">
      <c r="B122" s="41"/>
      <c r="C122" s="254"/>
      <c r="D122" s="254"/>
      <c r="E122" s="254"/>
      <c r="F122" s="254"/>
      <c r="G122" s="254"/>
      <c r="H122" s="254"/>
      <c r="I122" s="254"/>
      <c r="J122" s="254"/>
      <c r="K122" s="254"/>
      <c r="L122" s="254"/>
      <c r="M122" s="254"/>
      <c r="N122" s="254"/>
      <c r="O122" s="248"/>
      <c r="Q122" s="5"/>
      <c r="R122" s="5"/>
      <c r="S122" s="5"/>
    </row>
    <row r="123" spans="2:19">
      <c r="B123" s="41"/>
      <c r="C123" s="254"/>
      <c r="D123" s="254"/>
      <c r="E123" s="254"/>
      <c r="F123" s="254"/>
      <c r="G123" s="254"/>
      <c r="H123" s="254"/>
      <c r="I123" s="254"/>
      <c r="J123" s="254"/>
      <c r="K123" s="254"/>
      <c r="L123" s="254"/>
      <c r="M123" s="254"/>
      <c r="N123" s="254"/>
      <c r="O123" s="248"/>
      <c r="Q123" s="5"/>
      <c r="R123" s="5"/>
      <c r="S123" s="5"/>
    </row>
    <row r="124" spans="2:19">
      <c r="B124" s="41"/>
      <c r="C124" s="254"/>
      <c r="D124" s="254"/>
      <c r="E124" s="254"/>
      <c r="F124" s="254"/>
      <c r="G124" s="254"/>
      <c r="H124" s="254"/>
      <c r="I124" s="254"/>
      <c r="J124" s="254"/>
      <c r="K124" s="254"/>
      <c r="L124" s="254"/>
      <c r="M124" s="254"/>
      <c r="N124" s="254"/>
      <c r="O124" s="248"/>
      <c r="Q124" s="5"/>
      <c r="R124" s="5"/>
      <c r="S124" s="5"/>
    </row>
    <row r="125" spans="2:19">
      <c r="B125" s="41"/>
      <c r="C125" s="254"/>
      <c r="D125" s="254"/>
      <c r="E125" s="254"/>
      <c r="F125" s="254"/>
      <c r="G125" s="254"/>
      <c r="H125" s="254"/>
      <c r="I125" s="254"/>
      <c r="J125" s="254"/>
      <c r="K125" s="254"/>
      <c r="L125" s="254"/>
      <c r="M125" s="254"/>
      <c r="N125" s="254"/>
      <c r="O125" s="5"/>
      <c r="Q125" s="5"/>
      <c r="R125" s="5"/>
      <c r="S125" s="5"/>
    </row>
    <row r="126" spans="2:19">
      <c r="B126" s="41"/>
      <c r="C126" s="254"/>
      <c r="D126" s="254"/>
      <c r="E126" s="254"/>
      <c r="F126" s="254"/>
      <c r="G126" s="254"/>
      <c r="H126" s="254"/>
      <c r="I126" s="254"/>
      <c r="J126" s="254"/>
      <c r="K126" s="254"/>
      <c r="L126" s="254"/>
      <c r="M126" s="254"/>
      <c r="N126" s="254"/>
      <c r="O126" s="5"/>
      <c r="Q126" s="5"/>
      <c r="R126" s="5"/>
      <c r="S126" s="5"/>
    </row>
    <row r="127" spans="2:19">
      <c r="B127" s="41"/>
      <c r="C127" s="254"/>
      <c r="D127" s="254"/>
      <c r="E127" s="254"/>
      <c r="F127" s="254"/>
      <c r="G127" s="254"/>
      <c r="H127" s="254"/>
      <c r="I127" s="18"/>
      <c r="J127" s="254"/>
      <c r="K127" s="254"/>
      <c r="L127" s="254"/>
      <c r="M127" s="254"/>
      <c r="N127" s="254"/>
      <c r="O127" s="5"/>
      <c r="Q127" s="5"/>
      <c r="R127" s="5"/>
      <c r="S127" s="5"/>
    </row>
    <row r="128" spans="2:19">
      <c r="B128" s="41"/>
      <c r="C128" s="254"/>
      <c r="D128" s="254"/>
      <c r="E128" s="254"/>
      <c r="F128" s="254"/>
      <c r="G128" s="254"/>
      <c r="H128" s="254"/>
      <c r="I128" s="5"/>
      <c r="J128" s="254"/>
      <c r="K128" s="254"/>
      <c r="L128" s="254"/>
      <c r="M128" s="254"/>
      <c r="N128" s="254"/>
      <c r="O128" s="5"/>
      <c r="Q128" s="5"/>
      <c r="R128" s="5"/>
      <c r="S128" s="5"/>
    </row>
    <row r="129" spans="2:27">
      <c r="B129" s="5"/>
      <c r="C129" s="5"/>
      <c r="D129" s="18"/>
      <c r="E129" s="18"/>
      <c r="F129" s="18"/>
      <c r="G129" s="18"/>
      <c r="H129" s="18"/>
      <c r="I129" s="254"/>
      <c r="J129" s="18"/>
      <c r="K129" s="18"/>
      <c r="L129" s="18"/>
      <c r="M129" s="18"/>
      <c r="N129" s="18"/>
      <c r="O129" s="5"/>
      <c r="Q129" s="5"/>
      <c r="R129" s="5"/>
      <c r="S129" s="5"/>
    </row>
    <row r="130" spans="2:27">
      <c r="B130" s="5"/>
      <c r="C130" s="5"/>
      <c r="D130" s="5"/>
      <c r="E130" s="5"/>
      <c r="F130" s="5"/>
      <c r="G130" s="5"/>
      <c r="H130" s="5"/>
      <c r="I130" s="18"/>
      <c r="J130" s="5"/>
      <c r="K130" s="5"/>
      <c r="L130" s="5"/>
      <c r="M130" s="5"/>
      <c r="N130" s="5"/>
      <c r="O130" s="5"/>
      <c r="Q130" s="5"/>
      <c r="R130" s="5"/>
      <c r="S130" s="5"/>
    </row>
    <row r="131" spans="2:27">
      <c r="B131" s="41"/>
      <c r="C131" s="254"/>
      <c r="D131" s="254"/>
      <c r="E131" s="254"/>
      <c r="F131" s="254"/>
      <c r="G131" s="254"/>
      <c r="H131" s="254"/>
      <c r="I131" s="5"/>
      <c r="J131" s="254"/>
      <c r="K131" s="254"/>
      <c r="L131" s="254"/>
      <c r="M131" s="254"/>
      <c r="N131" s="254"/>
      <c r="O131" s="5"/>
      <c r="Q131" s="5"/>
      <c r="R131" s="5"/>
      <c r="S131" s="5"/>
    </row>
    <row r="132" spans="2:27">
      <c r="B132" s="5"/>
      <c r="C132" s="259"/>
      <c r="D132" s="18"/>
      <c r="E132" s="18"/>
      <c r="F132" s="18"/>
      <c r="G132" s="18"/>
      <c r="H132" s="18"/>
      <c r="I132" s="5"/>
      <c r="J132" s="18"/>
      <c r="K132" s="18"/>
      <c r="L132" s="18"/>
      <c r="M132" s="18"/>
      <c r="N132" s="18"/>
      <c r="O132" s="5"/>
      <c r="Q132" s="5"/>
      <c r="R132" s="5"/>
      <c r="S132" s="5"/>
    </row>
    <row r="133" spans="2:27">
      <c r="B133" s="5"/>
      <c r="C133" s="5"/>
      <c r="D133" s="5"/>
      <c r="E133" s="5"/>
      <c r="F133" s="5"/>
      <c r="G133" s="5"/>
      <c r="H133" s="5"/>
      <c r="I133" s="17"/>
      <c r="J133" s="5"/>
      <c r="K133" s="5"/>
      <c r="L133" s="5"/>
      <c r="M133" s="5"/>
      <c r="N133" s="5"/>
      <c r="O133" s="5"/>
      <c r="Q133" s="5"/>
      <c r="R133" s="5"/>
      <c r="S133" s="5"/>
    </row>
    <row r="134" spans="2:27">
      <c r="B134" s="41"/>
      <c r="C134" s="5"/>
      <c r="D134" s="5"/>
      <c r="E134" s="5"/>
      <c r="F134" s="5"/>
      <c r="G134" s="5"/>
      <c r="H134" s="5"/>
      <c r="I134" s="17"/>
      <c r="J134" s="5"/>
      <c r="K134" s="5"/>
      <c r="L134" s="5"/>
      <c r="M134" s="5"/>
      <c r="N134" s="5"/>
      <c r="O134" s="5"/>
      <c r="Q134" s="5"/>
      <c r="R134" s="5"/>
      <c r="S134" s="5"/>
    </row>
    <row r="135" spans="2:27">
      <c r="B135" s="5"/>
      <c r="C135" s="17"/>
      <c r="D135" s="17"/>
      <c r="E135" s="17"/>
      <c r="F135" s="17"/>
      <c r="G135" s="17"/>
      <c r="H135" s="17"/>
      <c r="I135" s="17"/>
      <c r="J135" s="17"/>
      <c r="K135" s="17"/>
      <c r="L135" s="17"/>
      <c r="M135" s="17"/>
      <c r="N135" s="17"/>
      <c r="O135" s="5"/>
      <c r="Q135" s="41"/>
      <c r="R135" s="5"/>
      <c r="S135" s="5"/>
    </row>
    <row r="136" spans="2:27">
      <c r="B136" s="5"/>
      <c r="C136" s="17"/>
      <c r="D136" s="17"/>
      <c r="E136" s="17"/>
      <c r="F136" s="17"/>
      <c r="G136" s="17"/>
      <c r="H136" s="17"/>
      <c r="I136" s="17"/>
      <c r="J136" s="17"/>
      <c r="K136" s="17"/>
      <c r="L136" s="17"/>
      <c r="M136" s="17"/>
      <c r="N136" s="17"/>
      <c r="O136" s="5"/>
      <c r="Q136" s="5"/>
      <c r="R136" s="5"/>
      <c r="S136" s="5"/>
      <c r="X136" s="304"/>
    </row>
    <row r="137" spans="2:27">
      <c r="B137" s="5"/>
      <c r="C137" s="5"/>
      <c r="D137" s="17"/>
      <c r="E137" s="17"/>
      <c r="F137" s="17"/>
      <c r="G137" s="17"/>
      <c r="H137" s="17"/>
      <c r="I137" s="17"/>
      <c r="J137" s="17"/>
      <c r="K137" s="17"/>
      <c r="L137" s="17"/>
      <c r="M137" s="17"/>
      <c r="N137" s="17"/>
      <c r="O137" s="5"/>
      <c r="Q137" s="5"/>
      <c r="R137" s="5"/>
      <c r="S137" s="5"/>
      <c r="X137" s="10"/>
      <c r="Y137" s="304"/>
      <c r="Z137" s="304"/>
      <c r="AA137" s="304"/>
    </row>
    <row r="138" spans="2:27">
      <c r="B138" s="5"/>
      <c r="C138" s="5"/>
      <c r="D138" s="17"/>
      <c r="E138" s="17"/>
      <c r="F138" s="17"/>
      <c r="G138" s="17"/>
      <c r="H138" s="17"/>
      <c r="I138" s="17"/>
      <c r="J138" s="17"/>
      <c r="K138" s="17"/>
      <c r="L138" s="17"/>
      <c r="M138" s="17"/>
      <c r="N138" s="17"/>
      <c r="O138" s="5"/>
      <c r="Q138" s="5"/>
      <c r="R138" s="5"/>
      <c r="S138" s="5"/>
      <c r="Y138" s="10"/>
      <c r="Z138" s="10"/>
      <c r="AA138" s="10"/>
    </row>
    <row r="139" spans="2:27">
      <c r="B139" s="5"/>
      <c r="C139" s="5"/>
      <c r="D139" s="17"/>
      <c r="E139" s="17"/>
      <c r="F139" s="17"/>
      <c r="G139" s="17"/>
      <c r="H139" s="17"/>
      <c r="I139" s="5"/>
      <c r="J139" s="17"/>
      <c r="K139" s="17"/>
      <c r="L139" s="17"/>
      <c r="M139" s="17"/>
      <c r="N139" s="17"/>
      <c r="O139" s="5"/>
      <c r="Q139" s="5"/>
      <c r="R139" s="5"/>
      <c r="S139" s="5"/>
    </row>
    <row r="140" spans="2:27">
      <c r="B140" s="5"/>
      <c r="C140" s="17"/>
      <c r="D140" s="17"/>
      <c r="E140" s="17"/>
      <c r="F140" s="17"/>
      <c r="G140" s="17"/>
      <c r="H140" s="17"/>
      <c r="I140" s="5"/>
      <c r="J140" s="17"/>
      <c r="K140" s="17"/>
      <c r="L140" s="17"/>
      <c r="M140" s="17"/>
      <c r="N140" s="17"/>
      <c r="O140" s="5"/>
      <c r="Q140" s="5"/>
      <c r="R140" s="5"/>
      <c r="S140" s="5"/>
    </row>
    <row r="141" spans="2:27">
      <c r="B141" s="5"/>
      <c r="C141" s="5"/>
      <c r="D141" s="5"/>
      <c r="E141" s="5"/>
      <c r="F141" s="5"/>
      <c r="G141" s="5"/>
      <c r="H141" s="5"/>
      <c r="I141" s="5"/>
      <c r="J141" s="5"/>
      <c r="K141" s="5"/>
      <c r="L141" s="5"/>
      <c r="M141" s="5"/>
      <c r="N141" s="5"/>
      <c r="O141" s="5"/>
      <c r="Q141" s="5"/>
      <c r="R141" s="5"/>
      <c r="S141" s="5"/>
    </row>
    <row r="142" spans="2:27">
      <c r="B142" s="5"/>
      <c r="C142" s="5"/>
      <c r="D142" s="5"/>
      <c r="E142" s="5"/>
      <c r="F142" s="5"/>
      <c r="G142" s="5"/>
      <c r="H142" s="5"/>
      <c r="I142" s="5"/>
      <c r="J142" s="5"/>
      <c r="K142" s="5"/>
      <c r="L142" s="5"/>
      <c r="M142" s="5"/>
      <c r="N142" s="5"/>
      <c r="O142" s="5"/>
      <c r="Q142" s="5"/>
      <c r="R142" s="5"/>
      <c r="S142" s="5"/>
    </row>
    <row r="143" spans="2:27">
      <c r="B143" s="5"/>
      <c r="C143" s="5"/>
      <c r="D143" s="5"/>
      <c r="E143" s="5"/>
      <c r="F143" s="5"/>
      <c r="G143" s="5"/>
      <c r="H143" s="5"/>
      <c r="I143" s="5"/>
      <c r="J143" s="5"/>
      <c r="K143" s="5"/>
      <c r="L143" s="5"/>
      <c r="M143" s="5"/>
      <c r="N143" s="5"/>
      <c r="O143" s="5"/>
      <c r="Q143" s="5"/>
      <c r="R143" s="5"/>
      <c r="S143" s="5"/>
    </row>
    <row r="144" spans="2:27">
      <c r="B144" s="5"/>
      <c r="C144" s="5"/>
      <c r="D144" s="5"/>
      <c r="E144" s="5"/>
      <c r="F144" s="5"/>
      <c r="G144" s="5"/>
      <c r="H144" s="5"/>
      <c r="I144" s="5"/>
      <c r="J144" s="5"/>
      <c r="K144" s="5"/>
      <c r="L144" s="5"/>
      <c r="M144" s="5"/>
      <c r="N144" s="5"/>
      <c r="O144" s="5"/>
      <c r="Q144" s="5"/>
      <c r="R144" s="5"/>
      <c r="S144" s="5"/>
    </row>
    <row r="145" spans="2:19">
      <c r="B145" s="5"/>
      <c r="C145" s="5"/>
      <c r="D145" s="5"/>
      <c r="E145" s="5"/>
      <c r="F145" s="5"/>
      <c r="G145" s="5"/>
      <c r="H145" s="5"/>
      <c r="I145" s="5"/>
      <c r="J145" s="5"/>
      <c r="K145" s="5"/>
      <c r="L145" s="5"/>
      <c r="M145" s="5"/>
      <c r="N145" s="5"/>
      <c r="O145" s="5"/>
      <c r="Q145" s="5"/>
      <c r="R145" s="5"/>
      <c r="S145" s="5"/>
    </row>
    <row r="146" spans="2:19">
      <c r="B146" s="5"/>
      <c r="C146" s="5"/>
      <c r="D146" s="5"/>
      <c r="E146" s="5"/>
      <c r="F146" s="5"/>
      <c r="G146" s="5"/>
      <c r="H146" s="5"/>
      <c r="I146" s="5"/>
      <c r="J146" s="5"/>
      <c r="K146" s="5"/>
      <c r="L146" s="5"/>
      <c r="M146" s="5"/>
      <c r="N146" s="5"/>
      <c r="O146" s="5"/>
      <c r="Q146" s="5"/>
      <c r="R146" s="5"/>
      <c r="S146" s="5"/>
    </row>
    <row r="147" spans="2:19">
      <c r="B147" s="5"/>
      <c r="C147" s="5"/>
      <c r="D147" s="5"/>
      <c r="E147" s="5"/>
      <c r="F147" s="5"/>
      <c r="G147" s="5"/>
      <c r="H147" s="5"/>
      <c r="I147" s="5"/>
      <c r="J147" s="5"/>
      <c r="K147" s="5"/>
      <c r="L147" s="5"/>
      <c r="M147" s="5"/>
      <c r="N147" s="5"/>
      <c r="O147" s="5"/>
      <c r="Q147" s="5"/>
      <c r="R147" s="5"/>
      <c r="S147" s="5"/>
    </row>
    <row r="148" spans="2:19">
      <c r="B148" s="5"/>
      <c r="C148" s="5"/>
      <c r="D148" s="5"/>
      <c r="E148" s="5"/>
      <c r="F148" s="5"/>
      <c r="G148" s="5"/>
      <c r="H148" s="5"/>
      <c r="I148" s="5"/>
      <c r="J148" s="5"/>
      <c r="K148" s="5"/>
      <c r="L148" s="5"/>
      <c r="M148" s="5"/>
      <c r="N148" s="5"/>
      <c r="O148" s="5"/>
      <c r="Q148" s="5"/>
      <c r="R148" s="5"/>
      <c r="S148" s="5"/>
    </row>
    <row r="149" spans="2:19">
      <c r="B149" s="5"/>
      <c r="C149" s="5"/>
      <c r="D149" s="5"/>
      <c r="E149" s="5"/>
      <c r="F149" s="5"/>
      <c r="G149" s="5"/>
      <c r="H149" s="5"/>
      <c r="J149" s="5"/>
      <c r="K149" s="5"/>
      <c r="L149" s="5"/>
      <c r="M149" s="5"/>
      <c r="N149" s="5"/>
      <c r="O149" s="5"/>
      <c r="Q149" s="5"/>
      <c r="R149" s="5"/>
      <c r="S149" s="5"/>
    </row>
    <row r="150" spans="2:19">
      <c r="B150" s="5"/>
      <c r="C150" s="5"/>
      <c r="D150" s="5"/>
      <c r="E150" s="5"/>
      <c r="F150" s="5"/>
      <c r="G150" s="5"/>
      <c r="H150" s="5"/>
      <c r="J150" s="5"/>
      <c r="K150" s="5"/>
      <c r="L150" s="5"/>
      <c r="M150" s="5"/>
      <c r="N150" s="5"/>
      <c r="O150" s="5"/>
      <c r="Q150" s="5"/>
      <c r="R150" s="5"/>
      <c r="S150" s="5"/>
    </row>
    <row r="151" spans="2:19">
      <c r="Q151" s="5"/>
      <c r="R151" s="5"/>
      <c r="S151" s="5"/>
    </row>
    <row r="152" spans="2:19">
      <c r="Q152" s="5"/>
      <c r="R152" s="5"/>
      <c r="S152" s="5"/>
    </row>
    <row r="153" spans="2:19">
      <c r="C153" s="263"/>
      <c r="Q153" s="5"/>
      <c r="R153" s="5"/>
      <c r="S153" s="5"/>
    </row>
    <row r="154" spans="2:19">
      <c r="Q154" s="5"/>
      <c r="R154" s="5"/>
      <c r="S154" s="5"/>
    </row>
    <row r="155" spans="2:19">
      <c r="Q155" s="5"/>
      <c r="R155" s="5"/>
      <c r="S155" s="5"/>
    </row>
    <row r="156" spans="2:19">
      <c r="Q156" s="5"/>
      <c r="R156" s="5"/>
      <c r="S156" s="5"/>
    </row>
    <row r="157" spans="2:19">
      <c r="Q157" s="5"/>
      <c r="R157" s="5"/>
      <c r="S157" s="5"/>
    </row>
    <row r="158" spans="2:19">
      <c r="Q158" s="5"/>
      <c r="R158" s="5"/>
      <c r="S158" s="5"/>
    </row>
    <row r="159" spans="2:19">
      <c r="Q159" s="5"/>
      <c r="R159" s="5"/>
      <c r="S159" s="5"/>
    </row>
    <row r="160" spans="2:19">
      <c r="Q160" s="5"/>
      <c r="R160" s="5"/>
      <c r="S160" s="5"/>
    </row>
    <row r="161" spans="17:19">
      <c r="Q161" s="5"/>
      <c r="R161" s="5"/>
      <c r="S161" s="5"/>
    </row>
    <row r="162" spans="17:19">
      <c r="Q162" s="5"/>
      <c r="R162" s="5"/>
      <c r="S162" s="5"/>
    </row>
    <row r="163" spans="17:19">
      <c r="Q163" s="5"/>
      <c r="R163" s="5"/>
      <c r="S163" s="5"/>
    </row>
    <row r="164" spans="17:19">
      <c r="Q164" s="5"/>
      <c r="R164" s="5"/>
      <c r="S164" s="5"/>
    </row>
    <row r="165" spans="17:19">
      <c r="Q165" s="5"/>
      <c r="R165" s="5"/>
      <c r="S165" s="5"/>
    </row>
  </sheetData>
  <pageMargins left="0.75" right="0.75" top="1" bottom="1" header="0.5" footer="0.5"/>
  <pageSetup scale="71" orientation="landscape" r:id="rId1"/>
  <headerFooter alignWithMargins="0"/>
  <drawing r:id="rId2"/>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500-000000000000}">
  <sheetPr codeName="Sheet41">
    <pageSetUpPr fitToPage="1"/>
  </sheetPr>
  <dimension ref="B1:Z451"/>
  <sheetViews>
    <sheetView showGridLines="0" zoomScale="80" zoomScaleNormal="80" workbookViewId="0"/>
  </sheetViews>
  <sheetFormatPr defaultColWidth="9.109375" defaultRowHeight="12"/>
  <cols>
    <col min="1" max="1" width="2.33203125" style="367" customWidth="1"/>
    <col min="2" max="4" width="10" style="367" customWidth="1"/>
    <col min="5" max="5" width="18.44140625" style="367" customWidth="1"/>
    <col min="6" max="6" width="10" style="367" customWidth="1"/>
    <col min="7" max="7" width="2.33203125" style="367" customWidth="1"/>
    <col min="8" max="8" width="10" style="367" customWidth="1"/>
    <col min="9" max="9" width="2.109375" style="367" customWidth="1"/>
    <col min="10" max="10" width="10" style="367" customWidth="1"/>
    <col min="11" max="11" width="2.109375" style="367" customWidth="1"/>
    <col min="12" max="12" width="10" style="367" customWidth="1"/>
    <col min="13" max="13" width="2.109375" style="367" customWidth="1"/>
    <col min="14" max="14" width="10" style="367" customWidth="1"/>
    <col min="15" max="15" width="2.109375" style="367" customWidth="1"/>
    <col min="16" max="16" width="10" style="367" customWidth="1"/>
    <col min="17" max="17" width="2.109375" style="367" customWidth="1"/>
    <col min="18" max="18" width="10" style="367" customWidth="1"/>
    <col min="19" max="19" width="2.109375" style="367" customWidth="1"/>
    <col min="20" max="20" width="9.88671875" style="367" customWidth="1"/>
    <col min="21" max="21" width="2.109375" style="367" customWidth="1"/>
    <col min="22" max="22" width="10" style="367" customWidth="1"/>
    <col min="23" max="23" width="2.109375" style="367" customWidth="1"/>
    <col min="24" max="25" width="10" style="367" customWidth="1"/>
    <col min="26" max="16384" width="9.109375" style="367"/>
  </cols>
  <sheetData>
    <row r="1" spans="2:26" s="472" customFormat="1">
      <c r="E1" s="150"/>
    </row>
    <row r="2" spans="2:26" s="472" customFormat="1">
      <c r="E2" s="150"/>
    </row>
    <row r="3" spans="2:26" s="472" customFormat="1"/>
    <row r="4" spans="2:26" s="477" customFormat="1" ht="21">
      <c r="B4" s="129" t="s">
        <v>1466</v>
      </c>
      <c r="C4" s="129"/>
    </row>
    <row r="5" spans="2:26" s="472" customFormat="1">
      <c r="D5" s="132"/>
      <c r="E5" s="132"/>
      <c r="F5" s="132"/>
      <c r="G5" s="132"/>
      <c r="H5" s="132"/>
      <c r="I5" s="132"/>
      <c r="L5" s="473"/>
      <c r="M5" s="473"/>
      <c r="N5" s="473"/>
      <c r="O5" s="473"/>
      <c r="P5" s="473"/>
      <c r="Q5" s="473"/>
      <c r="R5" s="473"/>
      <c r="S5" s="473"/>
      <c r="T5" s="473"/>
      <c r="U5" s="473"/>
      <c r="V5" s="473"/>
      <c r="W5" s="473"/>
      <c r="X5" s="473"/>
    </row>
    <row r="6" spans="2:26">
      <c r="B6" s="456"/>
      <c r="C6" s="456"/>
      <c r="D6" s="456"/>
      <c r="E6" s="456"/>
      <c r="F6" s="456"/>
      <c r="G6" s="456"/>
      <c r="H6" s="456"/>
      <c r="I6" s="456"/>
      <c r="L6" s="440"/>
      <c r="M6" s="440"/>
      <c r="N6" s="440"/>
      <c r="O6" s="440"/>
      <c r="P6" s="440"/>
      <c r="Q6" s="440"/>
      <c r="R6" s="440"/>
      <c r="S6" s="440"/>
      <c r="T6" s="440"/>
      <c r="U6" s="440"/>
      <c r="V6" s="440"/>
      <c r="W6" s="440"/>
      <c r="X6" s="440"/>
    </row>
    <row r="7" spans="2:26" ht="12.6" thickBot="1">
      <c r="B7" s="306" t="s">
        <v>390</v>
      </c>
      <c r="C7" s="306"/>
      <c r="D7" s="368"/>
      <c r="E7" s="457"/>
      <c r="F7" s="457"/>
      <c r="G7" s="457"/>
      <c r="H7" s="457"/>
      <c r="I7" s="457"/>
      <c r="J7" s="368"/>
      <c r="K7" s="368"/>
      <c r="L7" s="368"/>
      <c r="M7" s="368"/>
      <c r="N7" s="368"/>
      <c r="O7" s="368"/>
      <c r="P7" s="368"/>
      <c r="Q7" s="368"/>
      <c r="R7" s="368"/>
      <c r="S7" s="368"/>
      <c r="T7" s="368"/>
      <c r="U7" s="368"/>
      <c r="V7" s="368"/>
      <c r="W7" s="368"/>
      <c r="X7" s="368"/>
    </row>
    <row r="8" spans="2:26" ht="12.6" thickTop="1">
      <c r="B8" s="345"/>
      <c r="C8" s="345"/>
      <c r="E8" s="345"/>
      <c r="F8" s="345"/>
      <c r="G8" s="345"/>
      <c r="H8" s="345"/>
      <c r="I8" s="345"/>
    </row>
    <row r="9" spans="2:26">
      <c r="D9" s="345"/>
      <c r="E9" s="382" t="s">
        <v>81</v>
      </c>
      <c r="F9" s="458" t="s">
        <v>82</v>
      </c>
      <c r="G9" s="458"/>
      <c r="H9" s="458" t="s">
        <v>83</v>
      </c>
      <c r="I9" s="458"/>
      <c r="J9" s="458" t="s">
        <v>84</v>
      </c>
      <c r="K9" s="458"/>
      <c r="L9" s="458" t="s">
        <v>85</v>
      </c>
      <c r="M9" s="458"/>
      <c r="N9" s="459" t="s">
        <v>128</v>
      </c>
      <c r="O9" s="459"/>
      <c r="P9" s="458" t="s">
        <v>129</v>
      </c>
      <c r="Q9" s="458"/>
      <c r="R9" s="458" t="s">
        <v>391</v>
      </c>
      <c r="S9" s="458"/>
      <c r="T9" s="458" t="s">
        <v>130</v>
      </c>
      <c r="U9" s="458"/>
      <c r="V9" s="458" t="s">
        <v>131</v>
      </c>
      <c r="W9" s="458"/>
      <c r="X9" s="458" t="s">
        <v>132</v>
      </c>
      <c r="Y9" s="458"/>
      <c r="Z9" s="458"/>
    </row>
    <row r="10" spans="2:26">
      <c r="B10" s="345"/>
      <c r="C10" s="345"/>
      <c r="E10" s="382"/>
      <c r="F10" s="458"/>
      <c r="G10" s="458"/>
      <c r="H10" s="458"/>
      <c r="I10" s="458"/>
      <c r="J10" s="458"/>
      <c r="K10" s="458"/>
      <c r="L10" s="458"/>
      <c r="M10" s="458"/>
      <c r="N10" s="459"/>
      <c r="O10" s="459"/>
      <c r="P10" s="458"/>
      <c r="Q10" s="458"/>
      <c r="R10" s="458"/>
      <c r="S10" s="458"/>
      <c r="T10" s="458"/>
      <c r="U10" s="458"/>
      <c r="V10" s="458"/>
      <c r="W10" s="458"/>
      <c r="X10" s="458"/>
    </row>
    <row r="11" spans="2:26">
      <c r="B11" s="370" t="s">
        <v>1074</v>
      </c>
      <c r="C11" s="370"/>
      <c r="E11" s="367" t="str">
        <f>"DCF, "&amp;TEXT(H11,"0.0")&amp;"x 22E FCF"</f>
        <v>DCF, 21.3x 22E FCF</v>
      </c>
      <c r="F11" s="484">
        <v>231.98463999999964</v>
      </c>
      <c r="G11" s="178" t="s">
        <v>134</v>
      </c>
      <c r="H11" s="487">
        <v>21.250158838037926</v>
      </c>
      <c r="I11" s="178" t="s">
        <v>135</v>
      </c>
      <c r="J11" s="216">
        <f>H11*F11</f>
        <v>4929.7104479850386</v>
      </c>
      <c r="K11" s="178" t="s">
        <v>136</v>
      </c>
      <c r="L11" s="484"/>
      <c r="M11" s="178" t="s">
        <v>135</v>
      </c>
      <c r="N11" s="178">
        <f t="shared" ref="N11:N18" si="0">J11-L11</f>
        <v>4929.7104479850386</v>
      </c>
      <c r="O11" s="178" t="s">
        <v>134</v>
      </c>
      <c r="P11" s="490">
        <v>1</v>
      </c>
      <c r="Q11" s="393" t="s">
        <v>135</v>
      </c>
      <c r="R11" s="216">
        <f t="shared" ref="R11:R18" si="1">P11*N11</f>
        <v>4929.7104479850386</v>
      </c>
      <c r="S11" s="216"/>
      <c r="T11" s="216">
        <f t="shared" ref="T11:T18" si="2">N11-R11</f>
        <v>0</v>
      </c>
      <c r="U11" s="216"/>
      <c r="V11" s="394">
        <f>N11/$J$32</f>
        <v>0.55847207548953637</v>
      </c>
      <c r="W11" s="370"/>
      <c r="X11" s="373">
        <f>$J$38*V11</f>
        <v>12.226562693619538</v>
      </c>
    </row>
    <row r="12" spans="2:26">
      <c r="B12" s="370" t="s">
        <v>1076</v>
      </c>
      <c r="C12" s="370"/>
      <c r="E12" s="367" t="str">
        <f>"DCF, "&amp;TEXT(H12,"0.0")&amp;"x 22E FCF"</f>
        <v>DCF, 17.9x 22E FCF</v>
      </c>
      <c r="F12" s="498">
        <v>304.63535999999999</v>
      </c>
      <c r="G12" s="178" t="s">
        <v>134</v>
      </c>
      <c r="H12" s="526">
        <v>17.899560805963457</v>
      </c>
      <c r="I12" s="178" t="s">
        <v>135</v>
      </c>
      <c r="J12" s="385">
        <f>H12*F12</f>
        <v>5452.8391499665677</v>
      </c>
      <c r="K12" s="178" t="s">
        <v>136</v>
      </c>
      <c r="L12" s="484"/>
      <c r="M12" s="178" t="s">
        <v>135</v>
      </c>
      <c r="N12" s="178">
        <f t="shared" ref="N12" si="3">J12-L12</f>
        <v>5452.8391499665677</v>
      </c>
      <c r="O12" s="178" t="s">
        <v>134</v>
      </c>
      <c r="P12" s="490">
        <v>1</v>
      </c>
      <c r="Q12" s="393" t="s">
        <v>135</v>
      </c>
      <c r="R12" s="216">
        <f t="shared" ref="R12" si="4">P12*N12</f>
        <v>5452.8391499665677</v>
      </c>
      <c r="S12" s="216"/>
      <c r="T12" s="216">
        <f t="shared" ref="T12" si="5">N12-R12</f>
        <v>0</v>
      </c>
      <c r="U12" s="216"/>
      <c r="V12" s="394">
        <f>N12/$J$32</f>
        <v>0.61773575335183062</v>
      </c>
      <c r="W12" s="370"/>
      <c r="X12" s="373">
        <f>$J$38*V12</f>
        <v>13.524015341010481</v>
      </c>
    </row>
    <row r="13" spans="2:26">
      <c r="B13" s="345" t="s">
        <v>1119</v>
      </c>
      <c r="D13" s="381"/>
      <c r="E13" s="381" t="str">
        <f>"DCF, "&amp;TEXT(H13,"0.0")&amp;"x 22E FCF"</f>
        <v>DCF, 19.3x 22E FCF</v>
      </c>
      <c r="F13" s="399">
        <f>F12+F11</f>
        <v>536.61999999999966</v>
      </c>
      <c r="G13" s="381"/>
      <c r="H13" s="376">
        <f>J13/F13</f>
        <v>19.348048149438359</v>
      </c>
      <c r="I13" s="381"/>
      <c r="J13" s="210">
        <f>J12+J11</f>
        <v>10382.549597951605</v>
      </c>
    </row>
    <row r="14" spans="2:26">
      <c r="B14" s="370"/>
      <c r="C14" s="370"/>
      <c r="D14" s="370"/>
      <c r="E14" s="370"/>
      <c r="F14" s="370"/>
      <c r="G14" s="370"/>
      <c r="H14" s="370"/>
      <c r="I14" s="370"/>
      <c r="J14" s="370"/>
      <c r="K14" s="370"/>
      <c r="L14" s="370"/>
      <c r="M14" s="370"/>
      <c r="N14" s="370"/>
      <c r="O14" s="370"/>
      <c r="P14" s="370"/>
      <c r="Q14" s="370"/>
      <c r="R14" s="370"/>
      <c r="S14" s="216"/>
      <c r="T14" s="216"/>
      <c r="U14" s="216"/>
      <c r="V14" s="394"/>
      <c r="W14" s="370"/>
      <c r="X14" s="373"/>
    </row>
    <row r="15" spans="2:26">
      <c r="B15" s="370" t="s">
        <v>1075</v>
      </c>
      <c r="C15" s="370"/>
      <c r="E15" s="367" t="s">
        <v>1148</v>
      </c>
      <c r="F15" s="370"/>
      <c r="G15" s="370"/>
      <c r="H15" s="370"/>
      <c r="I15" s="370"/>
      <c r="J15" s="484">
        <v>180</v>
      </c>
      <c r="K15" s="178" t="s">
        <v>136</v>
      </c>
      <c r="L15" s="484"/>
      <c r="M15" s="178" t="s">
        <v>135</v>
      </c>
      <c r="N15" s="178">
        <f t="shared" ref="N15" si="6">J15-L15</f>
        <v>180</v>
      </c>
      <c r="O15" s="178" t="s">
        <v>134</v>
      </c>
      <c r="P15" s="490">
        <v>0.86199999999999999</v>
      </c>
      <c r="Q15" s="393" t="s">
        <v>135</v>
      </c>
      <c r="R15" s="216">
        <f t="shared" ref="R15" si="7">P15*N15</f>
        <v>155.16</v>
      </c>
      <c r="S15" s="216"/>
      <c r="T15" s="216">
        <f t="shared" ref="T15" si="8">N15-R15</f>
        <v>24.840000000000003</v>
      </c>
      <c r="U15" s="216"/>
      <c r="V15" s="394">
        <f>N15/$J$32</f>
        <v>2.0391658830429878E-2</v>
      </c>
      <c r="W15" s="370"/>
      <c r="X15" s="373">
        <f>$J$38*V15</f>
        <v>0.4464321602805415</v>
      </c>
    </row>
    <row r="16" spans="2:26">
      <c r="B16" s="370" t="s">
        <v>1120</v>
      </c>
      <c r="J16" s="216">
        <f>J15</f>
        <v>180</v>
      </c>
    </row>
    <row r="17" spans="2:24">
      <c r="B17" s="370"/>
      <c r="C17" s="370"/>
      <c r="D17" s="370"/>
      <c r="E17" s="370"/>
      <c r="F17" s="370"/>
      <c r="G17" s="370"/>
      <c r="H17" s="370"/>
      <c r="I17" s="370"/>
      <c r="J17" s="370"/>
      <c r="K17" s="370"/>
      <c r="L17" s="370"/>
      <c r="M17" s="370"/>
      <c r="N17" s="370"/>
      <c r="O17" s="370"/>
      <c r="P17" s="370"/>
      <c r="Q17" s="370"/>
      <c r="R17" s="370"/>
      <c r="S17" s="216"/>
      <c r="T17" s="216"/>
      <c r="U17" s="216"/>
      <c r="V17" s="394"/>
      <c r="W17" s="370"/>
      <c r="X17" s="373"/>
    </row>
    <row r="18" spans="2:24">
      <c r="B18" s="370" t="s">
        <v>1077</v>
      </c>
      <c r="E18" s="367" t="s">
        <v>1122</v>
      </c>
      <c r="F18" s="216"/>
      <c r="G18" s="178"/>
      <c r="H18" s="373"/>
      <c r="I18" s="178"/>
      <c r="J18" s="526">
        <v>0</v>
      </c>
      <c r="K18" s="178" t="s">
        <v>136</v>
      </c>
      <c r="L18" s="498"/>
      <c r="M18" s="178" t="s">
        <v>135</v>
      </c>
      <c r="N18" s="385">
        <f t="shared" si="0"/>
        <v>0</v>
      </c>
      <c r="O18" s="178" t="s">
        <v>134</v>
      </c>
      <c r="P18" s="490">
        <v>1</v>
      </c>
      <c r="Q18" s="393" t="s">
        <v>135</v>
      </c>
      <c r="R18" s="385">
        <f t="shared" si="1"/>
        <v>0</v>
      </c>
      <c r="S18" s="370"/>
      <c r="T18" s="385">
        <f t="shared" si="2"/>
        <v>0</v>
      </c>
      <c r="U18" s="370"/>
      <c r="V18" s="395">
        <f>N18/$J$32</f>
        <v>0</v>
      </c>
      <c r="W18" s="370"/>
      <c r="X18" s="396">
        <f>$J$38*V18</f>
        <v>0</v>
      </c>
    </row>
    <row r="19" spans="2:24">
      <c r="B19" s="345" t="s">
        <v>1121</v>
      </c>
      <c r="C19" s="370"/>
      <c r="F19" s="210"/>
      <c r="G19" s="196"/>
      <c r="H19" s="372"/>
      <c r="I19" s="376"/>
      <c r="J19" s="210">
        <f>J18+J16+J13</f>
        <v>10562.549597951605</v>
      </c>
      <c r="K19" s="375"/>
      <c r="L19" s="210">
        <f>-J24</f>
        <v>917.49999999999989</v>
      </c>
      <c r="M19" s="196"/>
      <c r="N19" s="210">
        <f>SUM(N14:N18)+N15</f>
        <v>360</v>
      </c>
      <c r="P19" s="377"/>
      <c r="Q19" s="378"/>
      <c r="R19" s="210">
        <f>SUM(R12:R18)+R15</f>
        <v>5763.1591499665674</v>
      </c>
      <c r="S19" s="370"/>
      <c r="T19" s="210">
        <f>SUM(T11:T18)</f>
        <v>24.840000000000003</v>
      </c>
      <c r="U19" s="370"/>
      <c r="V19" s="387">
        <f>N19/$J$32</f>
        <v>4.0783317660859755E-2</v>
      </c>
      <c r="W19" s="370"/>
      <c r="X19" s="372">
        <f>$J$38*V19</f>
        <v>0.892864320561083</v>
      </c>
    </row>
    <row r="20" spans="2:24">
      <c r="B20" s="370"/>
      <c r="C20" s="370"/>
      <c r="F20" s="210"/>
      <c r="G20" s="196"/>
      <c r="H20" s="372"/>
      <c r="I20" s="376"/>
      <c r="J20" s="196"/>
      <c r="K20" s="375"/>
      <c r="L20" s="370"/>
      <c r="M20" s="196"/>
      <c r="N20" s="210"/>
      <c r="P20" s="377"/>
      <c r="Q20" s="378"/>
      <c r="R20" s="210"/>
      <c r="T20" s="196"/>
    </row>
    <row r="21" spans="2:24">
      <c r="C21" s="345"/>
      <c r="F21" s="210"/>
      <c r="G21" s="196"/>
      <c r="H21" s="372"/>
      <c r="I21" s="376"/>
      <c r="J21" s="375"/>
      <c r="K21" s="375"/>
      <c r="L21" s="196"/>
      <c r="M21" s="196"/>
      <c r="N21" s="370"/>
      <c r="P21" s="377"/>
      <c r="Q21" s="378"/>
      <c r="R21" s="370"/>
    </row>
    <row r="22" spans="2:24" ht="12.6" thickBot="1">
      <c r="D22" s="345"/>
      <c r="E22" s="381"/>
      <c r="F22" s="381"/>
      <c r="G22" s="381"/>
      <c r="H22" s="381"/>
      <c r="I22" s="381"/>
      <c r="J22" s="381"/>
      <c r="K22" s="381"/>
      <c r="R22" s="370"/>
      <c r="T22" s="460" t="s">
        <v>549</v>
      </c>
      <c r="U22" s="368"/>
      <c r="V22" s="368"/>
      <c r="W22" s="368"/>
      <c r="X22" s="368"/>
    </row>
    <row r="23" spans="2:24" ht="12.6" thickTop="1">
      <c r="B23" s="382" t="s">
        <v>142</v>
      </c>
      <c r="D23" s="345"/>
      <c r="E23" s="381"/>
      <c r="H23" s="381"/>
      <c r="I23" s="381"/>
      <c r="J23" s="374">
        <f>J19</f>
        <v>10562.549597951605</v>
      </c>
      <c r="T23" s="134"/>
    </row>
    <row r="24" spans="2:24">
      <c r="B24" s="383" t="s">
        <v>1377</v>
      </c>
      <c r="F24" s="381"/>
      <c r="G24" s="381"/>
      <c r="I24" s="381"/>
      <c r="J24" s="216">
        <f>-OTE!D12</f>
        <v>-917.49999999999989</v>
      </c>
    </row>
    <row r="25" spans="2:24">
      <c r="B25" s="384" t="s">
        <v>1149</v>
      </c>
      <c r="J25" s="484">
        <v>0</v>
      </c>
      <c r="K25" s="381"/>
    </row>
    <row r="26" spans="2:24">
      <c r="B26" s="384" t="s">
        <v>378</v>
      </c>
      <c r="J26" s="484">
        <v>-53.164888104760877</v>
      </c>
      <c r="K26" s="381"/>
    </row>
    <row r="27" spans="2:24">
      <c r="B27" s="384" t="s">
        <v>975</v>
      </c>
      <c r="J27" s="484">
        <v>0</v>
      </c>
      <c r="K27" s="381"/>
    </row>
    <row r="28" spans="2:24">
      <c r="B28" s="384" t="s">
        <v>960</v>
      </c>
      <c r="J28" s="484">
        <v>279.23950413754267</v>
      </c>
      <c r="K28" s="381"/>
    </row>
    <row r="29" spans="2:24">
      <c r="B29" s="384" t="s">
        <v>1123</v>
      </c>
      <c r="J29" s="484">
        <v>-1019.1455541618099</v>
      </c>
      <c r="K29" s="381"/>
    </row>
    <row r="30" spans="2:24">
      <c r="B30" s="384" t="s">
        <v>375</v>
      </c>
      <c r="D30" s="386"/>
      <c r="E30" s="381"/>
      <c r="F30" s="381"/>
      <c r="G30" s="381"/>
      <c r="H30" s="381"/>
      <c r="I30" s="381"/>
      <c r="J30" s="216">
        <f>-T19</f>
        <v>-24.840000000000003</v>
      </c>
      <c r="K30" s="381"/>
    </row>
    <row r="31" spans="2:24">
      <c r="B31" s="384" t="s">
        <v>377</v>
      </c>
      <c r="D31" s="345"/>
      <c r="E31" s="381"/>
      <c r="H31" s="381"/>
      <c r="I31" s="381"/>
      <c r="J31" s="385">
        <v>0</v>
      </c>
      <c r="K31" s="381"/>
    </row>
    <row r="32" spans="2:24">
      <c r="B32" s="382" t="s">
        <v>495</v>
      </c>
      <c r="D32" s="345"/>
      <c r="E32" s="381"/>
      <c r="F32" s="381"/>
      <c r="G32" s="381"/>
      <c r="H32" s="381"/>
      <c r="I32" s="381"/>
      <c r="J32" s="210">
        <f>SUM(J23:J31)</f>
        <v>8827.1386598225763</v>
      </c>
      <c r="K32" s="381"/>
    </row>
    <row r="33" spans="2:24" ht="12.6" thickBot="1">
      <c r="B33" s="384" t="s">
        <v>496</v>
      </c>
      <c r="D33" s="370"/>
      <c r="J33" s="216">
        <f>OTE!E10</f>
        <v>403.19675868980084</v>
      </c>
      <c r="K33" s="381"/>
    </row>
    <row r="34" spans="2:24" ht="12.6" thickBot="1">
      <c r="B34" s="382" t="s">
        <v>497</v>
      </c>
      <c r="D34" s="370"/>
      <c r="J34" s="461">
        <f>J32/J33</f>
        <v>21.892881005558205</v>
      </c>
      <c r="K34" s="381"/>
    </row>
    <row r="35" spans="2:24">
      <c r="B35" s="384" t="s">
        <v>1124</v>
      </c>
      <c r="D35" s="370"/>
      <c r="J35" s="485">
        <v>0</v>
      </c>
      <c r="K35" s="381"/>
    </row>
    <row r="36" spans="2:24">
      <c r="B36" s="384" t="s">
        <v>1495</v>
      </c>
      <c r="D36" s="370"/>
      <c r="J36" s="485">
        <v>0</v>
      </c>
    </row>
    <row r="37" spans="2:24" ht="12.6" thickBot="1">
      <c r="B37" s="384" t="s">
        <v>1150</v>
      </c>
      <c r="D37" s="370"/>
      <c r="J37" s="485"/>
      <c r="K37" s="381"/>
    </row>
    <row r="38" spans="2:24" ht="12.6" thickBot="1">
      <c r="B38" s="382" t="s">
        <v>62</v>
      </c>
      <c r="D38" s="370"/>
      <c r="J38" s="461">
        <f>J34+J35+J36+J37</f>
        <v>21.892881005558205</v>
      </c>
      <c r="K38" s="381"/>
    </row>
    <row r="39" spans="2:24">
      <c r="B39" s="384" t="s">
        <v>498</v>
      </c>
      <c r="D39" s="370"/>
      <c r="J39" s="373">
        <f>Prices!C12</f>
        <v>13.75</v>
      </c>
    </row>
    <row r="40" spans="2:24">
      <c r="B40" s="382" t="s">
        <v>97</v>
      </c>
      <c r="D40" s="345"/>
      <c r="E40" s="381"/>
      <c r="F40" s="381"/>
      <c r="G40" s="381"/>
      <c r="H40" s="381"/>
      <c r="I40" s="381"/>
      <c r="J40" s="387">
        <f>J38/J39-1</f>
        <v>0.59220952767696033</v>
      </c>
      <c r="K40" s="381"/>
    </row>
    <row r="41" spans="2:24">
      <c r="D41" s="376"/>
      <c r="E41" s="345"/>
      <c r="H41" s="381"/>
      <c r="I41" s="381"/>
      <c r="K41" s="381"/>
    </row>
    <row r="42" spans="2:24">
      <c r="D42" s="345"/>
      <c r="E42" s="345"/>
      <c r="F42" s="345"/>
      <c r="G42" s="345"/>
      <c r="H42" s="345"/>
      <c r="I42" s="345"/>
      <c r="K42" s="381"/>
    </row>
    <row r="43" spans="2:24">
      <c r="D43" s="345"/>
      <c r="E43" s="345"/>
      <c r="F43" s="345"/>
      <c r="G43" s="345"/>
      <c r="H43" s="345"/>
      <c r="I43" s="345"/>
    </row>
    <row r="44" spans="2:24" ht="12.6" thickBot="1">
      <c r="D44" s="345"/>
      <c r="E44" s="345"/>
      <c r="F44" s="345"/>
      <c r="G44" s="345"/>
      <c r="H44" s="345"/>
      <c r="I44" s="345"/>
      <c r="T44" s="460" t="s">
        <v>549</v>
      </c>
      <c r="U44" s="368"/>
      <c r="V44" s="368"/>
      <c r="W44" s="368"/>
      <c r="X44" s="368"/>
    </row>
    <row r="45" spans="2:24" ht="12.6" thickTop="1">
      <c r="D45" s="370"/>
      <c r="E45" s="370"/>
      <c r="F45" s="370"/>
      <c r="G45" s="370"/>
      <c r="H45" s="370"/>
      <c r="I45" s="370"/>
      <c r="T45" s="370" t="s">
        <v>555</v>
      </c>
      <c r="X45" s="394">
        <f>R12/R19</f>
        <v>0.9461545322756183</v>
      </c>
    </row>
    <row r="46" spans="2:24">
      <c r="D46" s="370"/>
      <c r="E46" s="370"/>
      <c r="F46" s="370"/>
      <c r="G46" s="370"/>
      <c r="H46" s="370"/>
      <c r="I46" s="370"/>
      <c r="T46" s="370" t="s">
        <v>133</v>
      </c>
      <c r="X46" s="394">
        <f>R11/R19</f>
        <v>0.85538336174763385</v>
      </c>
    </row>
    <row r="47" spans="2:24">
      <c r="D47" s="370"/>
      <c r="E47" s="370"/>
      <c r="F47" s="370"/>
      <c r="G47" s="370"/>
      <c r="H47" s="370"/>
      <c r="I47" s="370"/>
      <c r="T47" s="370" t="s">
        <v>141</v>
      </c>
      <c r="X47" s="394">
        <f>1-X46-X45</f>
        <v>-0.80153789402325215</v>
      </c>
    </row>
    <row r="48" spans="2:24">
      <c r="D48" s="345"/>
      <c r="E48" s="345"/>
      <c r="F48" s="345"/>
      <c r="G48" s="345"/>
      <c r="H48" s="345"/>
      <c r="I48" s="345"/>
    </row>
    <row r="49" spans="4:18">
      <c r="D49" s="345"/>
      <c r="E49" s="345"/>
      <c r="F49" s="345"/>
      <c r="G49" s="345"/>
      <c r="H49" s="345"/>
      <c r="I49" s="345"/>
    </row>
    <row r="50" spans="4:18">
      <c r="D50" s="345"/>
      <c r="E50" s="345"/>
      <c r="F50" s="345"/>
      <c r="G50" s="345"/>
      <c r="H50" s="345"/>
      <c r="I50" s="345"/>
    </row>
    <row r="51" spans="4:18">
      <c r="D51" s="345"/>
      <c r="E51" s="381"/>
      <c r="F51" s="381"/>
      <c r="G51" s="381"/>
      <c r="H51" s="381"/>
      <c r="I51" s="381"/>
    </row>
    <row r="52" spans="4:18">
      <c r="D52" s="345"/>
      <c r="E52" s="381"/>
      <c r="F52" s="381"/>
      <c r="G52" s="381"/>
      <c r="H52" s="381"/>
      <c r="I52" s="381"/>
    </row>
    <row r="53" spans="4:18">
      <c r="D53" s="370"/>
      <c r="E53" s="381"/>
      <c r="F53" s="381"/>
      <c r="G53" s="381"/>
      <c r="H53" s="381"/>
      <c r="I53" s="381"/>
    </row>
    <row r="54" spans="4:18">
      <c r="D54" s="370"/>
      <c r="E54" s="381"/>
      <c r="F54" s="381"/>
      <c r="G54" s="381"/>
      <c r="H54" s="381"/>
      <c r="I54" s="381"/>
      <c r="Q54" s="249"/>
      <c r="R54" s="249"/>
    </row>
    <row r="55" spans="4:18">
      <c r="D55" s="370"/>
      <c r="M55" s="249"/>
      <c r="N55" s="249"/>
      <c r="O55" s="249"/>
      <c r="Q55" s="388"/>
      <c r="R55" s="388"/>
    </row>
    <row r="56" spans="4:18">
      <c r="D56" s="345"/>
      <c r="E56" s="381"/>
      <c r="F56" s="381"/>
      <c r="G56" s="381"/>
      <c r="H56" s="381"/>
      <c r="I56" s="381"/>
      <c r="L56" s="249"/>
      <c r="N56" s="388"/>
      <c r="O56" s="388"/>
      <c r="P56" s="249"/>
    </row>
    <row r="57" spans="4:18">
      <c r="D57" s="370"/>
      <c r="E57" s="381"/>
      <c r="F57" s="381"/>
      <c r="G57" s="381"/>
      <c r="H57" s="381"/>
      <c r="I57" s="381"/>
      <c r="P57" s="388"/>
    </row>
    <row r="58" spans="4:18">
      <c r="D58" s="370"/>
      <c r="E58" s="381"/>
      <c r="F58" s="381"/>
      <c r="G58" s="381"/>
      <c r="H58" s="381"/>
      <c r="I58" s="381"/>
      <c r="Q58" s="249"/>
      <c r="R58" s="249"/>
    </row>
    <row r="59" spans="4:18">
      <c r="D59" s="370"/>
      <c r="M59" s="249"/>
      <c r="N59" s="249"/>
      <c r="O59" s="249"/>
      <c r="Q59" s="388"/>
      <c r="R59" s="388"/>
    </row>
    <row r="60" spans="4:18">
      <c r="D60" s="370"/>
      <c r="L60" s="249"/>
      <c r="N60" s="388"/>
      <c r="O60" s="388"/>
      <c r="P60" s="249"/>
    </row>
    <row r="61" spans="4:18">
      <c r="D61" s="370"/>
      <c r="J61" s="381"/>
      <c r="P61" s="388"/>
      <c r="Q61" s="249"/>
      <c r="R61" s="249"/>
    </row>
    <row r="62" spans="4:18">
      <c r="D62" s="370"/>
      <c r="J62" s="381"/>
      <c r="M62" s="249"/>
      <c r="N62" s="249"/>
      <c r="O62" s="249"/>
      <c r="Q62" s="388"/>
      <c r="R62" s="388"/>
    </row>
    <row r="63" spans="4:18">
      <c r="D63" s="370"/>
      <c r="K63" s="381"/>
      <c r="L63" s="249"/>
      <c r="N63" s="388"/>
      <c r="O63" s="388"/>
      <c r="P63" s="249"/>
    </row>
    <row r="64" spans="4:18">
      <c r="D64" s="370"/>
      <c r="J64" s="381"/>
      <c r="K64" s="381"/>
      <c r="P64" s="388"/>
      <c r="Q64" s="249"/>
      <c r="R64" s="249"/>
    </row>
    <row r="65" spans="4:24">
      <c r="D65" s="370"/>
      <c r="J65" s="381"/>
      <c r="M65" s="249"/>
      <c r="N65" s="249"/>
      <c r="O65" s="249"/>
      <c r="Q65" s="388"/>
      <c r="R65" s="388"/>
    </row>
    <row r="66" spans="4:24">
      <c r="D66" s="370"/>
      <c r="J66" s="381"/>
      <c r="K66" s="381"/>
      <c r="L66" s="249"/>
      <c r="N66" s="388"/>
      <c r="O66" s="388"/>
      <c r="P66" s="249"/>
    </row>
    <row r="67" spans="4:24">
      <c r="D67" s="370"/>
      <c r="K67" s="381"/>
      <c r="P67" s="388"/>
      <c r="Q67" s="249"/>
      <c r="R67" s="249"/>
      <c r="S67" s="249"/>
      <c r="T67" s="249"/>
      <c r="U67" s="249"/>
      <c r="V67" s="249"/>
      <c r="W67" s="249"/>
      <c r="X67" s="249"/>
    </row>
    <row r="68" spans="4:24">
      <c r="D68" s="345"/>
      <c r="E68" s="381"/>
      <c r="F68" s="381"/>
      <c r="G68" s="381"/>
      <c r="H68" s="381"/>
      <c r="I68" s="381"/>
      <c r="K68" s="381"/>
      <c r="M68" s="249"/>
      <c r="N68" s="249"/>
      <c r="O68" s="249"/>
      <c r="Q68" s="388"/>
      <c r="R68" s="388"/>
      <c r="S68" s="388"/>
      <c r="T68" s="388"/>
      <c r="U68" s="388"/>
      <c r="V68" s="388"/>
      <c r="W68" s="388"/>
      <c r="X68" s="388"/>
    </row>
    <row r="69" spans="4:24">
      <c r="D69" s="370"/>
      <c r="J69" s="381"/>
      <c r="L69" s="249"/>
      <c r="N69" s="388"/>
      <c r="O69" s="388"/>
      <c r="P69" s="249"/>
      <c r="Q69" s="389"/>
      <c r="R69" s="389"/>
    </row>
    <row r="70" spans="4:24">
      <c r="D70" s="370"/>
      <c r="J70" s="381"/>
      <c r="M70" s="389"/>
      <c r="N70" s="389"/>
      <c r="O70" s="389"/>
      <c r="P70" s="388"/>
      <c r="Q70" s="388"/>
      <c r="R70" s="388"/>
    </row>
    <row r="71" spans="4:24">
      <c r="D71" s="345"/>
      <c r="E71" s="381"/>
      <c r="F71" s="381"/>
      <c r="G71" s="381"/>
      <c r="H71" s="381"/>
      <c r="I71" s="381"/>
      <c r="K71" s="381"/>
      <c r="L71" s="389"/>
      <c r="N71" s="388"/>
      <c r="O71" s="388"/>
      <c r="P71" s="389"/>
      <c r="S71" s="249"/>
      <c r="T71" s="249"/>
      <c r="U71" s="249"/>
      <c r="V71" s="249"/>
      <c r="W71" s="249"/>
      <c r="X71" s="249"/>
    </row>
    <row r="72" spans="4:24">
      <c r="D72" s="370"/>
      <c r="K72" s="381"/>
      <c r="P72" s="388"/>
      <c r="Q72" s="249"/>
      <c r="R72" s="249"/>
      <c r="S72" s="388"/>
      <c r="T72" s="388"/>
      <c r="U72" s="388"/>
      <c r="V72" s="388"/>
      <c r="W72" s="388"/>
      <c r="X72" s="388"/>
    </row>
    <row r="73" spans="4:24">
      <c r="D73" s="345"/>
      <c r="E73" s="381"/>
      <c r="F73" s="381"/>
      <c r="G73" s="381"/>
      <c r="H73" s="381"/>
      <c r="I73" s="381"/>
      <c r="M73" s="249"/>
      <c r="N73" s="249"/>
      <c r="O73" s="249"/>
      <c r="Q73" s="390"/>
      <c r="R73" s="390"/>
    </row>
    <row r="74" spans="4:24">
      <c r="D74" s="370"/>
      <c r="E74" s="381"/>
      <c r="F74" s="381"/>
      <c r="G74" s="381"/>
      <c r="H74" s="381"/>
      <c r="I74" s="381"/>
      <c r="L74" s="249"/>
      <c r="N74" s="388"/>
      <c r="O74" s="388"/>
      <c r="P74" s="249"/>
      <c r="Q74" s="249"/>
      <c r="R74" s="249"/>
      <c r="S74" s="249"/>
      <c r="T74" s="249"/>
      <c r="U74" s="249"/>
      <c r="V74" s="249"/>
      <c r="W74" s="249"/>
      <c r="X74" s="249"/>
    </row>
    <row r="75" spans="4:24">
      <c r="D75" s="370"/>
      <c r="M75" s="249"/>
      <c r="N75" s="249"/>
      <c r="O75" s="249"/>
      <c r="P75" s="390"/>
      <c r="Q75" s="388"/>
      <c r="R75" s="388"/>
      <c r="S75" s="388"/>
      <c r="T75" s="388"/>
      <c r="U75" s="388"/>
      <c r="V75" s="388"/>
      <c r="W75" s="388"/>
      <c r="X75" s="388"/>
    </row>
    <row r="76" spans="4:24">
      <c r="D76" s="370"/>
      <c r="L76" s="249"/>
      <c r="N76" s="388"/>
      <c r="O76" s="388"/>
      <c r="P76" s="249"/>
      <c r="Q76" s="248"/>
      <c r="R76" s="248"/>
    </row>
    <row r="77" spans="4:24">
      <c r="D77" s="345"/>
      <c r="E77" s="381"/>
      <c r="F77" s="381"/>
      <c r="G77" s="381"/>
      <c r="H77" s="381"/>
      <c r="I77" s="381"/>
      <c r="M77" s="248"/>
      <c r="N77" s="248"/>
      <c r="O77" s="248"/>
      <c r="P77" s="388"/>
      <c r="S77" s="249"/>
      <c r="T77" s="249"/>
      <c r="U77" s="249"/>
      <c r="V77" s="249"/>
      <c r="W77" s="249"/>
      <c r="X77" s="249"/>
    </row>
    <row r="78" spans="4:24">
      <c r="D78" s="370"/>
      <c r="E78" s="381"/>
      <c r="F78" s="381"/>
      <c r="G78" s="381"/>
      <c r="H78" s="381"/>
      <c r="I78" s="381"/>
      <c r="L78" s="248"/>
      <c r="P78" s="248"/>
      <c r="Q78" s="247"/>
      <c r="R78" s="247"/>
      <c r="S78" s="388"/>
      <c r="T78" s="388"/>
      <c r="U78" s="388"/>
      <c r="V78" s="388"/>
      <c r="W78" s="388"/>
      <c r="X78" s="388"/>
    </row>
    <row r="79" spans="4:24">
      <c r="D79" s="370"/>
      <c r="M79" s="247"/>
      <c r="N79" s="247"/>
      <c r="O79" s="247"/>
      <c r="Q79" s="388"/>
      <c r="R79" s="388"/>
    </row>
    <row r="80" spans="4:24">
      <c r="D80" s="345"/>
      <c r="E80" s="381"/>
      <c r="F80" s="381"/>
      <c r="G80" s="381"/>
      <c r="H80" s="381"/>
      <c r="I80" s="381"/>
      <c r="L80" s="247"/>
      <c r="N80" s="388"/>
      <c r="O80" s="388"/>
      <c r="P80" s="247"/>
      <c r="S80" s="249"/>
      <c r="T80" s="249"/>
      <c r="U80" s="249"/>
      <c r="V80" s="249"/>
      <c r="W80" s="249"/>
      <c r="X80" s="249"/>
    </row>
    <row r="81" spans="4:24">
      <c r="D81" s="370"/>
      <c r="J81" s="381"/>
      <c r="P81" s="388"/>
      <c r="Q81" s="389"/>
      <c r="R81" s="389"/>
      <c r="S81" s="388"/>
      <c r="T81" s="388"/>
      <c r="U81" s="388"/>
      <c r="V81" s="388"/>
      <c r="W81" s="388"/>
      <c r="X81" s="388"/>
    </row>
    <row r="82" spans="4:24">
      <c r="D82" s="370"/>
      <c r="J82" s="381"/>
      <c r="M82" s="389"/>
      <c r="N82" s="389"/>
      <c r="O82" s="389"/>
      <c r="Q82" s="388"/>
      <c r="R82" s="388"/>
      <c r="S82" s="389"/>
      <c r="T82" s="389"/>
      <c r="U82" s="389"/>
      <c r="V82" s="389"/>
      <c r="W82" s="389"/>
      <c r="X82" s="389"/>
    </row>
    <row r="83" spans="4:24">
      <c r="D83" s="345"/>
      <c r="E83" s="381"/>
      <c r="F83" s="381"/>
      <c r="G83" s="381"/>
      <c r="H83" s="381"/>
      <c r="I83" s="381"/>
      <c r="K83" s="381"/>
      <c r="L83" s="389"/>
      <c r="N83" s="388"/>
      <c r="O83" s="388"/>
      <c r="P83" s="389"/>
      <c r="S83" s="388"/>
      <c r="T83" s="388"/>
      <c r="U83" s="388"/>
      <c r="V83" s="388"/>
      <c r="W83" s="388"/>
      <c r="X83" s="388"/>
    </row>
    <row r="84" spans="4:24">
      <c r="D84" s="370"/>
      <c r="K84" s="381"/>
      <c r="P84" s="388"/>
      <c r="Q84" s="391"/>
      <c r="R84" s="391"/>
    </row>
    <row r="85" spans="4:24">
      <c r="D85" s="370"/>
      <c r="J85" s="381"/>
      <c r="M85" s="391"/>
      <c r="N85" s="391"/>
      <c r="O85" s="391"/>
      <c r="Q85" s="388"/>
      <c r="R85" s="388"/>
      <c r="S85" s="249"/>
      <c r="T85" s="249"/>
      <c r="U85" s="249"/>
      <c r="V85" s="249"/>
      <c r="W85" s="249"/>
      <c r="X85" s="249"/>
    </row>
    <row r="86" spans="4:24">
      <c r="D86" s="370"/>
      <c r="J86" s="381"/>
      <c r="L86" s="391"/>
      <c r="N86" s="388"/>
      <c r="O86" s="388"/>
      <c r="P86" s="391"/>
      <c r="Q86" s="248"/>
      <c r="R86" s="248"/>
      <c r="S86" s="390"/>
      <c r="T86" s="390"/>
      <c r="U86" s="390"/>
      <c r="V86" s="390"/>
      <c r="W86" s="390"/>
      <c r="X86" s="390"/>
    </row>
    <row r="87" spans="4:24">
      <c r="D87" s="345"/>
      <c r="E87" s="381"/>
      <c r="F87" s="381"/>
      <c r="G87" s="381"/>
      <c r="H87" s="381"/>
      <c r="I87" s="381"/>
      <c r="K87" s="381"/>
      <c r="N87" s="248"/>
      <c r="O87" s="248"/>
      <c r="P87" s="388"/>
      <c r="S87" s="249"/>
      <c r="T87" s="249"/>
      <c r="U87" s="249"/>
      <c r="V87" s="249"/>
      <c r="W87" s="249"/>
      <c r="X87" s="249"/>
    </row>
    <row r="88" spans="4:24">
      <c r="D88" s="370"/>
      <c r="K88" s="381"/>
      <c r="P88" s="248"/>
      <c r="Q88" s="247"/>
      <c r="R88" s="247"/>
      <c r="S88" s="388"/>
      <c r="T88" s="388"/>
      <c r="U88" s="388"/>
      <c r="V88" s="388"/>
      <c r="W88" s="388"/>
      <c r="X88" s="388"/>
    </row>
    <row r="89" spans="4:24">
      <c r="D89" s="370"/>
      <c r="E89" s="345"/>
      <c r="F89" s="345"/>
      <c r="G89" s="345"/>
      <c r="H89" s="345"/>
      <c r="I89" s="345"/>
      <c r="J89" s="381"/>
      <c r="M89" s="247"/>
      <c r="N89" s="247"/>
      <c r="O89" s="247"/>
      <c r="Q89" s="388"/>
      <c r="R89" s="388"/>
      <c r="S89" s="248"/>
      <c r="T89" s="248"/>
      <c r="U89" s="248"/>
      <c r="V89" s="248"/>
      <c r="W89" s="248"/>
      <c r="X89" s="248"/>
    </row>
    <row r="90" spans="4:24">
      <c r="D90" s="370"/>
      <c r="E90" s="345"/>
      <c r="F90" s="345"/>
      <c r="G90" s="345"/>
      <c r="H90" s="345"/>
      <c r="I90" s="345"/>
      <c r="L90" s="247"/>
      <c r="N90" s="388"/>
      <c r="O90" s="388"/>
      <c r="P90" s="247"/>
      <c r="Q90" s="274"/>
      <c r="R90" s="274"/>
    </row>
    <row r="91" spans="4:24">
      <c r="D91" s="370"/>
      <c r="K91" s="381"/>
      <c r="M91" s="274"/>
      <c r="N91" s="274"/>
      <c r="O91" s="274"/>
      <c r="P91" s="388"/>
      <c r="S91" s="247"/>
      <c r="T91" s="247"/>
      <c r="U91" s="247"/>
      <c r="V91" s="247"/>
      <c r="W91" s="247"/>
      <c r="X91" s="247"/>
    </row>
    <row r="92" spans="4:24">
      <c r="D92" s="370"/>
      <c r="L92" s="274"/>
      <c r="P92" s="274"/>
      <c r="Q92" s="389"/>
      <c r="R92" s="389"/>
      <c r="S92" s="388"/>
      <c r="T92" s="388"/>
      <c r="U92" s="388"/>
      <c r="V92" s="388"/>
      <c r="W92" s="388"/>
      <c r="X92" s="388"/>
    </row>
    <row r="93" spans="4:24">
      <c r="D93" s="370"/>
      <c r="M93" s="389"/>
      <c r="N93" s="389"/>
      <c r="O93" s="389"/>
      <c r="Q93" s="388"/>
      <c r="R93" s="388"/>
    </row>
    <row r="94" spans="4:24">
      <c r="D94" s="345"/>
      <c r="E94" s="381"/>
      <c r="F94" s="381"/>
      <c r="G94" s="381"/>
      <c r="H94" s="381"/>
      <c r="I94" s="381"/>
      <c r="L94" s="389"/>
      <c r="N94" s="388"/>
      <c r="O94" s="388"/>
      <c r="P94" s="389"/>
      <c r="S94" s="389"/>
      <c r="T94" s="389"/>
      <c r="U94" s="389"/>
      <c r="V94" s="389"/>
      <c r="W94" s="389"/>
      <c r="X94" s="389"/>
    </row>
    <row r="95" spans="4:24">
      <c r="D95" s="345"/>
      <c r="E95" s="381"/>
      <c r="F95" s="381"/>
      <c r="G95" s="381"/>
      <c r="H95" s="381"/>
      <c r="I95" s="381"/>
      <c r="P95" s="388"/>
      <c r="S95" s="388"/>
      <c r="T95" s="388"/>
      <c r="U95" s="388"/>
      <c r="V95" s="388"/>
      <c r="W95" s="388"/>
      <c r="X95" s="388"/>
    </row>
    <row r="96" spans="4:24">
      <c r="D96" s="370"/>
      <c r="E96" s="381"/>
      <c r="F96" s="381"/>
      <c r="G96" s="381"/>
      <c r="H96" s="381"/>
      <c r="I96" s="381"/>
      <c r="Q96" s="249"/>
      <c r="R96" s="249"/>
    </row>
    <row r="97" spans="4:24">
      <c r="D97" s="370"/>
      <c r="E97" s="381"/>
      <c r="F97" s="381"/>
      <c r="G97" s="381"/>
      <c r="H97" s="381"/>
      <c r="I97" s="381"/>
      <c r="M97" s="249"/>
      <c r="N97" s="249"/>
      <c r="O97" s="249"/>
      <c r="Q97" s="388"/>
      <c r="R97" s="388"/>
      <c r="S97" s="391"/>
      <c r="T97" s="391"/>
      <c r="U97" s="391"/>
      <c r="V97" s="391"/>
      <c r="W97" s="391"/>
      <c r="X97" s="391"/>
    </row>
    <row r="98" spans="4:24">
      <c r="D98" s="370"/>
      <c r="L98" s="249"/>
      <c r="N98" s="388"/>
      <c r="O98" s="388"/>
      <c r="P98" s="249"/>
      <c r="S98" s="388"/>
      <c r="T98" s="388"/>
      <c r="U98" s="388"/>
      <c r="V98" s="388"/>
      <c r="W98" s="388"/>
      <c r="X98" s="388"/>
    </row>
    <row r="99" spans="4:24">
      <c r="D99" s="345"/>
      <c r="E99" s="381"/>
      <c r="F99" s="381"/>
      <c r="G99" s="381"/>
      <c r="H99" s="381"/>
      <c r="I99" s="381"/>
      <c r="P99" s="388"/>
      <c r="Q99" s="249"/>
      <c r="R99" s="249"/>
      <c r="S99" s="248"/>
      <c r="T99" s="248"/>
      <c r="U99" s="248"/>
      <c r="V99" s="248"/>
      <c r="W99" s="248"/>
      <c r="X99" s="248"/>
    </row>
    <row r="100" spans="4:24">
      <c r="D100" s="370"/>
      <c r="E100" s="381"/>
      <c r="F100" s="381"/>
      <c r="G100" s="381"/>
      <c r="H100" s="381"/>
      <c r="I100" s="381"/>
      <c r="M100" s="249"/>
      <c r="N100" s="249"/>
      <c r="O100" s="249"/>
      <c r="Q100" s="390"/>
      <c r="R100" s="390"/>
    </row>
    <row r="101" spans="4:24">
      <c r="D101" s="370"/>
      <c r="E101" s="381"/>
      <c r="F101" s="381"/>
      <c r="G101" s="381"/>
      <c r="H101" s="381"/>
      <c r="I101" s="381"/>
      <c r="L101" s="249"/>
      <c r="N101" s="388"/>
      <c r="O101" s="388"/>
      <c r="P101" s="249"/>
      <c r="S101" s="247"/>
      <c r="T101" s="247"/>
      <c r="U101" s="247"/>
      <c r="V101" s="247"/>
      <c r="W101" s="247"/>
      <c r="X101" s="247"/>
    </row>
    <row r="102" spans="4:24">
      <c r="D102" s="370"/>
      <c r="P102" s="390"/>
      <c r="Q102" s="389"/>
      <c r="R102" s="389"/>
      <c r="S102" s="388"/>
      <c r="T102" s="388"/>
      <c r="U102" s="388"/>
      <c r="V102" s="388"/>
      <c r="W102" s="388"/>
      <c r="X102" s="388"/>
    </row>
    <row r="103" spans="4:24">
      <c r="D103" s="370"/>
      <c r="M103" s="389"/>
      <c r="N103" s="389"/>
      <c r="O103" s="389"/>
      <c r="Q103" s="392"/>
      <c r="R103" s="392"/>
      <c r="S103" s="274"/>
      <c r="T103" s="274"/>
      <c r="U103" s="274"/>
      <c r="V103" s="274"/>
      <c r="W103" s="274"/>
      <c r="X103" s="274"/>
    </row>
    <row r="104" spans="4:24">
      <c r="D104" s="370"/>
      <c r="J104" s="381"/>
      <c r="L104" s="389"/>
      <c r="N104" s="392"/>
      <c r="O104" s="392"/>
      <c r="P104" s="389"/>
      <c r="Q104" s="392"/>
      <c r="R104" s="392"/>
    </row>
    <row r="105" spans="4:24">
      <c r="D105" s="370"/>
      <c r="J105" s="381"/>
      <c r="M105" s="392"/>
      <c r="N105" s="392"/>
      <c r="O105" s="392"/>
      <c r="P105" s="392"/>
      <c r="S105" s="389"/>
      <c r="T105" s="389"/>
      <c r="U105" s="389"/>
      <c r="V105" s="389"/>
      <c r="W105" s="389"/>
      <c r="X105" s="389"/>
    </row>
    <row r="106" spans="4:24">
      <c r="D106" s="370"/>
      <c r="K106" s="381"/>
      <c r="L106" s="392"/>
      <c r="P106" s="392"/>
      <c r="Q106" s="388"/>
      <c r="R106" s="388"/>
      <c r="S106" s="388"/>
      <c r="T106" s="388"/>
      <c r="U106" s="388"/>
      <c r="V106" s="388"/>
      <c r="W106" s="388"/>
      <c r="X106" s="388"/>
    </row>
    <row r="107" spans="4:24">
      <c r="D107" s="370"/>
      <c r="J107" s="381"/>
      <c r="K107" s="381"/>
      <c r="M107" s="388"/>
      <c r="N107" s="388"/>
      <c r="O107" s="388"/>
      <c r="Q107" s="389"/>
      <c r="R107" s="389"/>
    </row>
    <row r="108" spans="4:24">
      <c r="D108" s="370"/>
      <c r="J108" s="381"/>
      <c r="L108" s="388"/>
      <c r="M108" s="389"/>
      <c r="N108" s="389"/>
      <c r="O108" s="389"/>
      <c r="P108" s="388"/>
      <c r="R108" s="392"/>
    </row>
    <row r="109" spans="4:24">
      <c r="D109" s="370"/>
      <c r="J109" s="381"/>
      <c r="K109" s="381"/>
      <c r="L109" s="389"/>
      <c r="P109" s="389"/>
      <c r="S109" s="249"/>
      <c r="T109" s="249"/>
      <c r="U109" s="249"/>
      <c r="V109" s="249"/>
      <c r="W109" s="249"/>
      <c r="X109" s="249"/>
    </row>
    <row r="110" spans="4:24">
      <c r="D110" s="370"/>
      <c r="K110" s="381"/>
      <c r="Q110" s="389"/>
      <c r="R110" s="389"/>
      <c r="S110" s="388"/>
      <c r="T110" s="388"/>
      <c r="U110" s="388"/>
      <c r="V110" s="388"/>
      <c r="W110" s="388"/>
      <c r="X110" s="388"/>
    </row>
    <row r="111" spans="4:24">
      <c r="D111" s="345"/>
      <c r="E111" s="381"/>
      <c r="F111" s="381"/>
      <c r="G111" s="381"/>
      <c r="H111" s="381"/>
      <c r="I111" s="381"/>
      <c r="K111" s="381"/>
      <c r="M111" s="389"/>
      <c r="N111" s="389"/>
      <c r="O111" s="389"/>
      <c r="Q111" s="392"/>
      <c r="R111" s="392"/>
    </row>
    <row r="112" spans="4:24">
      <c r="D112" s="370"/>
      <c r="J112" s="381"/>
      <c r="L112" s="389"/>
      <c r="N112" s="392"/>
      <c r="O112" s="392"/>
      <c r="P112" s="389"/>
      <c r="S112" s="249"/>
      <c r="T112" s="249"/>
      <c r="U112" s="249"/>
      <c r="V112" s="249"/>
      <c r="W112" s="249"/>
      <c r="X112" s="249"/>
    </row>
    <row r="113" spans="4:24">
      <c r="D113" s="370"/>
      <c r="J113" s="381"/>
      <c r="P113" s="392"/>
      <c r="S113" s="390"/>
      <c r="T113" s="390"/>
      <c r="U113" s="390"/>
      <c r="V113" s="390"/>
      <c r="W113" s="390"/>
      <c r="X113" s="390"/>
    </row>
    <row r="114" spans="4:24">
      <c r="D114" s="345"/>
      <c r="E114" s="381"/>
      <c r="F114" s="381"/>
      <c r="G114" s="381"/>
      <c r="H114" s="381"/>
      <c r="I114" s="381"/>
      <c r="K114" s="381"/>
    </row>
    <row r="115" spans="4:24">
      <c r="D115" s="370"/>
      <c r="K115" s="381"/>
      <c r="S115" s="389"/>
      <c r="T115" s="389"/>
      <c r="U115" s="389"/>
      <c r="V115" s="389"/>
      <c r="W115" s="389"/>
      <c r="X115" s="389"/>
    </row>
    <row r="116" spans="4:24">
      <c r="D116" s="345"/>
      <c r="E116" s="381"/>
      <c r="F116" s="381"/>
      <c r="G116" s="381"/>
      <c r="H116" s="381"/>
      <c r="I116" s="381"/>
      <c r="S116" s="392"/>
      <c r="T116" s="392"/>
      <c r="U116" s="392"/>
      <c r="V116" s="392"/>
      <c r="W116" s="392"/>
      <c r="X116" s="392"/>
    </row>
    <row r="117" spans="4:24">
      <c r="D117" s="370"/>
      <c r="E117" s="381"/>
      <c r="F117" s="381"/>
      <c r="G117" s="381"/>
      <c r="H117" s="381"/>
      <c r="I117" s="381"/>
      <c r="S117" s="392"/>
      <c r="T117" s="392"/>
      <c r="U117" s="392"/>
      <c r="V117" s="392"/>
      <c r="W117" s="392"/>
      <c r="X117" s="392"/>
    </row>
    <row r="118" spans="4:24">
      <c r="D118" s="370"/>
    </row>
    <row r="119" spans="4:24">
      <c r="D119" s="370"/>
      <c r="S119" s="388"/>
      <c r="T119" s="388"/>
      <c r="U119" s="388"/>
      <c r="V119" s="388"/>
      <c r="W119" s="388"/>
      <c r="X119" s="388"/>
    </row>
    <row r="120" spans="4:24">
      <c r="D120" s="345"/>
      <c r="E120" s="381"/>
      <c r="F120" s="381"/>
      <c r="G120" s="381"/>
      <c r="H120" s="381"/>
      <c r="I120" s="381"/>
      <c r="S120" s="389"/>
      <c r="T120" s="389"/>
      <c r="U120" s="389"/>
      <c r="V120" s="389"/>
      <c r="W120" s="389"/>
      <c r="X120" s="389"/>
    </row>
    <row r="121" spans="4:24">
      <c r="D121" s="370"/>
      <c r="E121" s="381"/>
      <c r="F121" s="381"/>
      <c r="G121" s="381"/>
      <c r="H121" s="381"/>
      <c r="I121" s="381"/>
      <c r="S121" s="392"/>
      <c r="T121" s="392"/>
      <c r="U121" s="392"/>
      <c r="V121" s="392"/>
      <c r="W121" s="392"/>
      <c r="X121" s="392"/>
    </row>
    <row r="122" spans="4:24">
      <c r="D122" s="370"/>
    </row>
    <row r="123" spans="4:24">
      <c r="D123" s="345"/>
      <c r="E123" s="381"/>
      <c r="F123" s="381"/>
      <c r="G123" s="381"/>
      <c r="H123" s="381"/>
      <c r="I123" s="381"/>
      <c r="S123" s="389"/>
      <c r="T123" s="389"/>
      <c r="U123" s="389"/>
      <c r="V123" s="389"/>
      <c r="W123" s="389"/>
      <c r="X123" s="389"/>
    </row>
    <row r="124" spans="4:24">
      <c r="D124" s="370"/>
      <c r="J124" s="381"/>
      <c r="S124" s="392"/>
      <c r="T124" s="392"/>
      <c r="U124" s="392"/>
      <c r="V124" s="392"/>
      <c r="W124" s="392"/>
      <c r="X124" s="392"/>
    </row>
    <row r="125" spans="4:24">
      <c r="D125" s="370"/>
      <c r="J125" s="381"/>
    </row>
    <row r="126" spans="4:24">
      <c r="D126" s="345"/>
      <c r="E126" s="381"/>
      <c r="F126" s="381"/>
      <c r="G126" s="381"/>
      <c r="H126" s="381"/>
      <c r="I126" s="381"/>
      <c r="K126" s="381"/>
    </row>
    <row r="127" spans="4:24">
      <c r="D127" s="370"/>
      <c r="K127" s="381"/>
    </row>
    <row r="128" spans="4:24">
      <c r="D128" s="370"/>
      <c r="J128" s="381"/>
    </row>
    <row r="129" spans="4:11">
      <c r="D129" s="370"/>
      <c r="J129" s="381"/>
    </row>
    <row r="130" spans="4:11">
      <c r="D130" s="345"/>
      <c r="E130" s="381"/>
      <c r="F130" s="381"/>
      <c r="G130" s="381"/>
      <c r="H130" s="381"/>
      <c r="I130" s="381"/>
      <c r="K130" s="381"/>
    </row>
    <row r="131" spans="4:11">
      <c r="D131" s="370"/>
      <c r="K131" s="381"/>
    </row>
    <row r="132" spans="4:11">
      <c r="D132" s="370"/>
      <c r="E132" s="345"/>
      <c r="F132" s="345"/>
      <c r="G132" s="345"/>
      <c r="H132" s="345"/>
      <c r="I132" s="345"/>
      <c r="J132" s="381"/>
    </row>
    <row r="133" spans="4:11">
      <c r="D133" s="370"/>
      <c r="E133" s="345"/>
      <c r="F133" s="345"/>
      <c r="G133" s="345"/>
      <c r="H133" s="345"/>
      <c r="I133" s="345"/>
    </row>
    <row r="134" spans="4:11">
      <c r="D134" s="370"/>
      <c r="K134" s="381"/>
    </row>
    <row r="135" spans="4:11">
      <c r="D135" s="370"/>
    </row>
    <row r="137" spans="4:11">
      <c r="D137" s="345"/>
      <c r="E137" s="381"/>
      <c r="F137" s="381"/>
      <c r="G137" s="381"/>
      <c r="H137" s="381"/>
      <c r="I137" s="381"/>
    </row>
    <row r="138" spans="4:11">
      <c r="D138" s="345"/>
      <c r="E138" s="381"/>
      <c r="F138" s="381"/>
      <c r="G138" s="381"/>
      <c r="H138" s="381"/>
      <c r="I138" s="381"/>
    </row>
    <row r="139" spans="4:11">
      <c r="D139" s="370"/>
      <c r="E139" s="381"/>
      <c r="F139" s="381"/>
      <c r="G139" s="381"/>
      <c r="H139" s="381"/>
      <c r="I139" s="381"/>
    </row>
    <row r="140" spans="4:11">
      <c r="D140" s="370"/>
      <c r="E140" s="381"/>
      <c r="F140" s="381"/>
      <c r="G140" s="381"/>
      <c r="H140" s="381"/>
      <c r="I140" s="381"/>
    </row>
    <row r="141" spans="4:11">
      <c r="D141" s="370"/>
    </row>
    <row r="142" spans="4:11">
      <c r="D142" s="345"/>
      <c r="E142" s="381"/>
      <c r="F142" s="381"/>
      <c r="G142" s="381"/>
      <c r="H142" s="381"/>
      <c r="I142" s="381"/>
    </row>
    <row r="143" spans="4:11">
      <c r="D143" s="370"/>
      <c r="E143" s="381"/>
      <c r="F143" s="381"/>
      <c r="G143" s="381"/>
      <c r="H143" s="381"/>
      <c r="I143" s="381"/>
    </row>
    <row r="144" spans="4:11">
      <c r="D144" s="370"/>
      <c r="E144" s="381"/>
      <c r="F144" s="381"/>
      <c r="G144" s="381"/>
      <c r="H144" s="381"/>
      <c r="I144" s="381"/>
    </row>
    <row r="145" spans="4:11">
      <c r="D145" s="370"/>
    </row>
    <row r="146" spans="4:11">
      <c r="D146" s="370"/>
    </row>
    <row r="147" spans="4:11">
      <c r="D147" s="370"/>
      <c r="J147" s="381"/>
    </row>
    <row r="148" spans="4:11">
      <c r="D148" s="370"/>
      <c r="J148" s="381"/>
    </row>
    <row r="149" spans="4:11">
      <c r="D149" s="370"/>
      <c r="K149" s="381"/>
    </row>
    <row r="150" spans="4:11">
      <c r="D150" s="370"/>
      <c r="J150" s="381"/>
      <c r="K150" s="381"/>
    </row>
    <row r="151" spans="4:11">
      <c r="D151" s="370"/>
      <c r="J151" s="381"/>
    </row>
    <row r="152" spans="4:11">
      <c r="D152" s="370"/>
      <c r="J152" s="381"/>
      <c r="K152" s="381"/>
    </row>
    <row r="153" spans="4:11">
      <c r="D153" s="370"/>
      <c r="K153" s="381"/>
    </row>
    <row r="154" spans="4:11">
      <c r="D154" s="345"/>
      <c r="E154" s="381"/>
      <c r="F154" s="381"/>
      <c r="G154" s="381"/>
      <c r="H154" s="381"/>
      <c r="I154" s="381"/>
      <c r="K154" s="381"/>
    </row>
    <row r="155" spans="4:11">
      <c r="D155" s="370"/>
      <c r="J155" s="381"/>
    </row>
    <row r="156" spans="4:11">
      <c r="D156" s="370"/>
      <c r="J156" s="381"/>
    </row>
    <row r="157" spans="4:11">
      <c r="D157" s="345"/>
      <c r="E157" s="381"/>
      <c r="F157" s="381"/>
      <c r="G157" s="381"/>
      <c r="H157" s="381"/>
      <c r="I157" s="381"/>
      <c r="K157" s="381"/>
    </row>
    <row r="158" spans="4:11">
      <c r="D158" s="370"/>
      <c r="K158" s="381"/>
    </row>
    <row r="159" spans="4:11">
      <c r="D159" s="345"/>
      <c r="E159" s="381"/>
      <c r="F159" s="381"/>
      <c r="G159" s="381"/>
      <c r="H159" s="381"/>
      <c r="I159" s="381"/>
    </row>
    <row r="160" spans="4:11">
      <c r="D160" s="370"/>
      <c r="E160" s="381"/>
      <c r="F160" s="381"/>
      <c r="G160" s="381"/>
      <c r="H160" s="381"/>
      <c r="I160" s="381"/>
    </row>
    <row r="161" spans="4:11">
      <c r="D161" s="370"/>
    </row>
    <row r="162" spans="4:11">
      <c r="D162" s="370"/>
    </row>
    <row r="163" spans="4:11">
      <c r="D163" s="345"/>
      <c r="E163" s="381"/>
      <c r="F163" s="381"/>
      <c r="G163" s="381"/>
      <c r="H163" s="381"/>
      <c r="I163" s="381"/>
    </row>
    <row r="164" spans="4:11">
      <c r="D164" s="370"/>
      <c r="E164" s="381"/>
      <c r="F164" s="381"/>
      <c r="G164" s="381"/>
      <c r="H164" s="381"/>
      <c r="I164" s="381"/>
    </row>
    <row r="165" spans="4:11">
      <c r="D165" s="370"/>
    </row>
    <row r="166" spans="4:11">
      <c r="D166" s="345"/>
      <c r="E166" s="381"/>
      <c r="F166" s="381"/>
      <c r="G166" s="381"/>
      <c r="H166" s="381"/>
      <c r="I166" s="381"/>
    </row>
    <row r="167" spans="4:11">
      <c r="D167" s="370"/>
      <c r="J167" s="381"/>
    </row>
    <row r="168" spans="4:11">
      <c r="D168" s="370"/>
      <c r="J168" s="381"/>
    </row>
    <row r="169" spans="4:11">
      <c r="D169" s="345"/>
      <c r="E169" s="381"/>
      <c r="F169" s="381"/>
      <c r="G169" s="381"/>
      <c r="H169" s="381"/>
      <c r="I169" s="381"/>
      <c r="K169" s="381"/>
    </row>
    <row r="170" spans="4:11">
      <c r="D170" s="370"/>
      <c r="K170" s="381"/>
    </row>
    <row r="171" spans="4:11">
      <c r="D171" s="370"/>
      <c r="J171" s="381"/>
    </row>
    <row r="172" spans="4:11">
      <c r="D172" s="370"/>
      <c r="J172" s="381"/>
    </row>
    <row r="173" spans="4:11">
      <c r="D173" s="345"/>
      <c r="E173" s="381"/>
      <c r="F173" s="381"/>
      <c r="G173" s="381"/>
      <c r="H173" s="381"/>
      <c r="I173" s="381"/>
      <c r="K173" s="381"/>
    </row>
    <row r="174" spans="4:11">
      <c r="D174" s="370"/>
      <c r="K174" s="381"/>
    </row>
    <row r="175" spans="4:11">
      <c r="D175" s="370"/>
      <c r="E175" s="345"/>
      <c r="F175" s="345"/>
      <c r="G175" s="345"/>
      <c r="H175" s="345"/>
      <c r="I175" s="345"/>
      <c r="J175" s="381"/>
    </row>
    <row r="176" spans="4:11">
      <c r="D176" s="370"/>
      <c r="E176" s="345"/>
      <c r="F176" s="345"/>
      <c r="G176" s="345"/>
      <c r="H176" s="345"/>
      <c r="I176" s="345"/>
    </row>
    <row r="177" spans="4:11">
      <c r="D177" s="370"/>
      <c r="K177" s="381"/>
    </row>
    <row r="178" spans="4:11">
      <c r="D178" s="370"/>
    </row>
    <row r="179" spans="4:11">
      <c r="D179" s="370"/>
    </row>
    <row r="180" spans="4:11">
      <c r="D180" s="345"/>
      <c r="E180" s="381"/>
      <c r="F180" s="381"/>
      <c r="G180" s="381"/>
      <c r="H180" s="381"/>
      <c r="I180" s="381"/>
    </row>
    <row r="181" spans="4:11">
      <c r="D181" s="345"/>
      <c r="E181" s="381"/>
      <c r="F181" s="381"/>
      <c r="G181" s="381"/>
      <c r="H181" s="381"/>
      <c r="I181" s="381"/>
    </row>
    <row r="182" spans="4:11">
      <c r="D182" s="370"/>
      <c r="E182" s="381"/>
      <c r="F182" s="381"/>
      <c r="G182" s="381"/>
      <c r="H182" s="381"/>
      <c r="I182" s="381"/>
    </row>
    <row r="183" spans="4:11">
      <c r="D183" s="370"/>
      <c r="E183" s="381"/>
      <c r="F183" s="381"/>
      <c r="G183" s="381"/>
      <c r="H183" s="381"/>
      <c r="I183" s="381"/>
    </row>
    <row r="184" spans="4:11">
      <c r="D184" s="370"/>
    </row>
    <row r="185" spans="4:11">
      <c r="D185" s="345"/>
      <c r="E185" s="381"/>
      <c r="F185" s="381"/>
      <c r="G185" s="381"/>
      <c r="H185" s="381"/>
      <c r="I185" s="381"/>
    </row>
    <row r="186" spans="4:11">
      <c r="D186" s="370"/>
      <c r="E186" s="381"/>
      <c r="F186" s="381"/>
      <c r="G186" s="381"/>
      <c r="H186" s="381"/>
      <c r="I186" s="381"/>
    </row>
    <row r="187" spans="4:11">
      <c r="D187" s="370"/>
      <c r="E187" s="381"/>
      <c r="F187" s="381"/>
      <c r="G187" s="381"/>
      <c r="H187" s="381"/>
      <c r="I187" s="381"/>
    </row>
    <row r="188" spans="4:11">
      <c r="D188" s="370"/>
    </row>
    <row r="189" spans="4:11">
      <c r="D189" s="370"/>
    </row>
    <row r="190" spans="4:11">
      <c r="D190" s="370"/>
      <c r="J190" s="381"/>
    </row>
    <row r="191" spans="4:11">
      <c r="D191" s="370"/>
      <c r="J191" s="381"/>
    </row>
    <row r="192" spans="4:11">
      <c r="D192" s="370"/>
      <c r="K192" s="381"/>
    </row>
    <row r="193" spans="4:11">
      <c r="D193" s="370"/>
      <c r="J193" s="381"/>
      <c r="K193" s="381"/>
    </row>
    <row r="194" spans="4:11">
      <c r="D194" s="370"/>
      <c r="J194" s="381"/>
    </row>
    <row r="195" spans="4:11">
      <c r="D195" s="370"/>
      <c r="J195" s="381"/>
      <c r="K195" s="381"/>
    </row>
    <row r="196" spans="4:11">
      <c r="D196" s="370"/>
      <c r="K196" s="381"/>
    </row>
    <row r="197" spans="4:11">
      <c r="D197" s="345"/>
      <c r="E197" s="381"/>
      <c r="F197" s="381"/>
      <c r="G197" s="381"/>
      <c r="H197" s="381"/>
      <c r="I197" s="381"/>
      <c r="K197" s="381"/>
    </row>
    <row r="198" spans="4:11">
      <c r="D198" s="370"/>
      <c r="J198" s="381"/>
    </row>
    <row r="199" spans="4:11">
      <c r="D199" s="370"/>
      <c r="J199" s="381"/>
    </row>
    <row r="200" spans="4:11">
      <c r="D200" s="345"/>
      <c r="E200" s="381"/>
      <c r="F200" s="381"/>
      <c r="G200" s="381"/>
      <c r="H200" s="381"/>
      <c r="I200" s="381"/>
      <c r="K200" s="381"/>
    </row>
    <row r="201" spans="4:11">
      <c r="D201" s="370"/>
      <c r="K201" s="381"/>
    </row>
    <row r="202" spans="4:11">
      <c r="D202" s="345"/>
      <c r="E202" s="381"/>
      <c r="F202" s="381"/>
      <c r="G202" s="381"/>
      <c r="H202" s="381"/>
      <c r="I202" s="381"/>
    </row>
    <row r="203" spans="4:11">
      <c r="D203" s="370"/>
      <c r="E203" s="381"/>
      <c r="F203" s="381"/>
      <c r="G203" s="381"/>
      <c r="H203" s="381"/>
      <c r="I203" s="381"/>
    </row>
    <row r="204" spans="4:11">
      <c r="D204" s="370"/>
    </row>
    <row r="205" spans="4:11">
      <c r="D205" s="370"/>
    </row>
    <row r="206" spans="4:11">
      <c r="D206" s="345"/>
      <c r="E206" s="381"/>
      <c r="F206" s="381"/>
      <c r="G206" s="381"/>
      <c r="H206" s="381"/>
      <c r="I206" s="381"/>
    </row>
    <row r="207" spans="4:11">
      <c r="D207" s="370"/>
      <c r="E207" s="381"/>
      <c r="F207" s="381"/>
      <c r="G207" s="381"/>
      <c r="H207" s="381"/>
      <c r="I207" s="381"/>
    </row>
    <row r="208" spans="4:11">
      <c r="D208" s="370"/>
    </row>
    <row r="209" spans="4:11">
      <c r="D209" s="345"/>
      <c r="E209" s="381"/>
      <c r="F209" s="381"/>
      <c r="G209" s="381"/>
      <c r="H209" s="381"/>
      <c r="I209" s="381"/>
    </row>
    <row r="210" spans="4:11">
      <c r="D210" s="370"/>
      <c r="J210" s="381"/>
    </row>
    <row r="211" spans="4:11">
      <c r="D211" s="370"/>
      <c r="J211" s="381"/>
    </row>
    <row r="212" spans="4:11">
      <c r="D212" s="345"/>
      <c r="E212" s="381"/>
      <c r="F212" s="381"/>
      <c r="G212" s="381"/>
      <c r="H212" s="381"/>
      <c r="I212" s="381"/>
      <c r="K212" s="381"/>
    </row>
    <row r="213" spans="4:11">
      <c r="D213" s="370"/>
      <c r="K213" s="381"/>
    </row>
    <row r="214" spans="4:11">
      <c r="D214" s="370"/>
      <c r="J214" s="381"/>
    </row>
    <row r="215" spans="4:11">
      <c r="D215" s="370"/>
      <c r="J215" s="381"/>
    </row>
    <row r="216" spans="4:11">
      <c r="D216" s="345"/>
      <c r="E216" s="381"/>
      <c r="F216" s="381"/>
      <c r="G216" s="381"/>
      <c r="H216" s="381"/>
      <c r="I216" s="381"/>
      <c r="K216" s="381"/>
    </row>
    <row r="217" spans="4:11">
      <c r="D217" s="370"/>
      <c r="K217" s="381"/>
    </row>
    <row r="218" spans="4:11">
      <c r="D218" s="370"/>
      <c r="E218" s="345"/>
      <c r="F218" s="345"/>
      <c r="G218" s="345"/>
      <c r="H218" s="345"/>
      <c r="I218" s="345"/>
      <c r="J218" s="381"/>
    </row>
    <row r="219" spans="4:11">
      <c r="D219" s="370"/>
      <c r="E219" s="345"/>
      <c r="F219" s="345"/>
      <c r="G219" s="345"/>
      <c r="H219" s="345"/>
      <c r="I219" s="345"/>
    </row>
    <row r="220" spans="4:11">
      <c r="D220" s="370"/>
      <c r="K220" s="381"/>
    </row>
    <row r="221" spans="4:11">
      <c r="D221" s="370"/>
    </row>
    <row r="222" spans="4:11">
      <c r="D222" s="370"/>
    </row>
    <row r="223" spans="4:11">
      <c r="D223" s="345"/>
      <c r="E223" s="381"/>
      <c r="F223" s="381"/>
      <c r="G223" s="381"/>
      <c r="H223" s="381"/>
      <c r="I223" s="381"/>
    </row>
    <row r="224" spans="4:11">
      <c r="D224" s="345"/>
      <c r="E224" s="381"/>
      <c r="F224" s="381"/>
      <c r="G224" s="381"/>
      <c r="H224" s="381"/>
      <c r="I224" s="381"/>
    </row>
    <row r="225" spans="4:11">
      <c r="D225" s="370"/>
      <c r="E225" s="381"/>
      <c r="F225" s="381"/>
      <c r="G225" s="381"/>
      <c r="H225" s="381"/>
      <c r="I225" s="381"/>
    </row>
    <row r="226" spans="4:11">
      <c r="D226" s="370"/>
      <c r="E226" s="381"/>
      <c r="F226" s="381"/>
      <c r="G226" s="381"/>
      <c r="H226" s="381"/>
      <c r="I226" s="381"/>
    </row>
    <row r="227" spans="4:11">
      <c r="D227" s="370"/>
    </row>
    <row r="228" spans="4:11">
      <c r="D228" s="345"/>
      <c r="E228" s="381"/>
      <c r="F228" s="381"/>
      <c r="G228" s="381"/>
      <c r="H228" s="381"/>
      <c r="I228" s="381"/>
    </row>
    <row r="229" spans="4:11">
      <c r="D229" s="370"/>
      <c r="E229" s="381"/>
      <c r="F229" s="381"/>
      <c r="G229" s="381"/>
      <c r="H229" s="381"/>
      <c r="I229" s="381"/>
    </row>
    <row r="230" spans="4:11">
      <c r="D230" s="370"/>
      <c r="E230" s="381"/>
      <c r="F230" s="381"/>
      <c r="G230" s="381"/>
      <c r="H230" s="381"/>
      <c r="I230" s="381"/>
    </row>
    <row r="231" spans="4:11">
      <c r="D231" s="370"/>
    </row>
    <row r="232" spans="4:11">
      <c r="D232" s="370"/>
    </row>
    <row r="233" spans="4:11">
      <c r="D233" s="370"/>
      <c r="J233" s="381"/>
    </row>
    <row r="234" spans="4:11">
      <c r="D234" s="370"/>
      <c r="J234" s="381"/>
    </row>
    <row r="235" spans="4:11">
      <c r="D235" s="370"/>
      <c r="K235" s="381"/>
    </row>
    <row r="236" spans="4:11">
      <c r="D236" s="370"/>
      <c r="J236" s="381"/>
      <c r="K236" s="381"/>
    </row>
    <row r="237" spans="4:11">
      <c r="D237" s="370"/>
      <c r="J237" s="381"/>
    </row>
    <row r="238" spans="4:11">
      <c r="D238" s="370"/>
      <c r="J238" s="381"/>
      <c r="K238" s="381"/>
    </row>
    <row r="239" spans="4:11">
      <c r="D239" s="370"/>
      <c r="K239" s="381"/>
    </row>
    <row r="240" spans="4:11">
      <c r="D240" s="345"/>
      <c r="E240" s="381"/>
      <c r="F240" s="381"/>
      <c r="G240" s="381"/>
      <c r="H240" s="381"/>
      <c r="I240" s="381"/>
      <c r="K240" s="381"/>
    </row>
    <row r="241" spans="4:11">
      <c r="D241" s="370"/>
      <c r="J241" s="381"/>
    </row>
    <row r="242" spans="4:11">
      <c r="D242" s="370"/>
      <c r="J242" s="381"/>
    </row>
    <row r="243" spans="4:11">
      <c r="D243" s="345"/>
      <c r="E243" s="381"/>
      <c r="F243" s="381"/>
      <c r="G243" s="381"/>
      <c r="H243" s="381"/>
      <c r="I243" s="381"/>
      <c r="K243" s="381"/>
    </row>
    <row r="244" spans="4:11">
      <c r="D244" s="370"/>
      <c r="K244" s="381"/>
    </row>
    <row r="245" spans="4:11">
      <c r="D245" s="345"/>
      <c r="E245" s="381"/>
      <c r="F245" s="381"/>
      <c r="G245" s="381"/>
      <c r="H245" s="381"/>
      <c r="I245" s="381"/>
    </row>
    <row r="246" spans="4:11">
      <c r="D246" s="370"/>
      <c r="E246" s="381"/>
      <c r="F246" s="381"/>
      <c r="G246" s="381"/>
      <c r="H246" s="381"/>
      <c r="I246" s="381"/>
    </row>
    <row r="247" spans="4:11">
      <c r="D247" s="370"/>
    </row>
    <row r="248" spans="4:11">
      <c r="D248" s="370"/>
    </row>
    <row r="249" spans="4:11">
      <c r="D249" s="345"/>
      <c r="E249" s="381"/>
      <c r="F249" s="381"/>
      <c r="G249" s="381"/>
      <c r="H249" s="381"/>
      <c r="I249" s="381"/>
    </row>
    <row r="250" spans="4:11">
      <c r="D250" s="370"/>
      <c r="E250" s="381"/>
      <c r="F250" s="381"/>
      <c r="G250" s="381"/>
      <c r="H250" s="381"/>
      <c r="I250" s="381"/>
    </row>
    <row r="251" spans="4:11">
      <c r="D251" s="370"/>
    </row>
    <row r="252" spans="4:11">
      <c r="D252" s="345"/>
      <c r="E252" s="381"/>
      <c r="F252" s="381"/>
      <c r="G252" s="381"/>
      <c r="H252" s="381"/>
      <c r="I252" s="381"/>
    </row>
    <row r="253" spans="4:11">
      <c r="D253" s="370"/>
      <c r="J253" s="381"/>
    </row>
    <row r="254" spans="4:11">
      <c r="D254" s="370"/>
      <c r="J254" s="381"/>
    </row>
    <row r="255" spans="4:11">
      <c r="D255" s="345"/>
      <c r="E255" s="381"/>
      <c r="F255" s="381"/>
      <c r="G255" s="381"/>
      <c r="H255" s="381"/>
      <c r="I255" s="381"/>
      <c r="K255" s="381"/>
    </row>
    <row r="256" spans="4:11">
      <c r="D256" s="370"/>
      <c r="K256" s="381"/>
    </row>
    <row r="257" spans="4:11">
      <c r="D257" s="370"/>
      <c r="J257" s="381"/>
    </row>
    <row r="258" spans="4:11">
      <c r="D258" s="370"/>
      <c r="J258" s="381"/>
    </row>
    <row r="259" spans="4:11">
      <c r="D259" s="345"/>
      <c r="E259" s="381"/>
      <c r="F259" s="381"/>
      <c r="G259" s="381"/>
      <c r="H259" s="381"/>
      <c r="I259" s="381"/>
      <c r="K259" s="381"/>
    </row>
    <row r="260" spans="4:11">
      <c r="D260" s="370"/>
      <c r="K260" s="381"/>
    </row>
    <row r="261" spans="4:11">
      <c r="D261" s="370"/>
      <c r="E261" s="345"/>
      <c r="F261" s="345"/>
      <c r="G261" s="345"/>
      <c r="H261" s="345"/>
      <c r="I261" s="345"/>
      <c r="J261" s="381"/>
    </row>
    <row r="262" spans="4:11">
      <c r="D262" s="370"/>
      <c r="E262" s="345"/>
      <c r="F262" s="345"/>
      <c r="G262" s="345"/>
      <c r="H262" s="345"/>
      <c r="I262" s="345"/>
    </row>
    <row r="263" spans="4:11">
      <c r="D263" s="370"/>
      <c r="K263" s="381"/>
    </row>
    <row r="264" spans="4:11">
      <c r="D264" s="370"/>
    </row>
    <row r="265" spans="4:11">
      <c r="D265" s="370"/>
    </row>
    <row r="266" spans="4:11">
      <c r="D266" s="370"/>
    </row>
    <row r="267" spans="4:11">
      <c r="D267" s="370"/>
    </row>
    <row r="268" spans="4:11">
      <c r="D268" s="370"/>
    </row>
    <row r="269" spans="4:11">
      <c r="D269" s="370"/>
    </row>
    <row r="270" spans="4:11">
      <c r="D270" s="370"/>
    </row>
    <row r="271" spans="4:11">
      <c r="D271" s="370"/>
    </row>
    <row r="272" spans="4:11">
      <c r="D272" s="370"/>
    </row>
    <row r="273" spans="4:4">
      <c r="D273" s="370"/>
    </row>
    <row r="274" spans="4:4">
      <c r="D274" s="370"/>
    </row>
    <row r="275" spans="4:4">
      <c r="D275" s="370"/>
    </row>
    <row r="276" spans="4:4">
      <c r="D276" s="370"/>
    </row>
    <row r="277" spans="4:4">
      <c r="D277" s="370"/>
    </row>
    <row r="278" spans="4:4">
      <c r="D278" s="370"/>
    </row>
    <row r="279" spans="4:4">
      <c r="D279" s="370"/>
    </row>
    <row r="280" spans="4:4">
      <c r="D280" s="370"/>
    </row>
    <row r="281" spans="4:4">
      <c r="D281" s="370"/>
    </row>
    <row r="282" spans="4:4">
      <c r="D282" s="370"/>
    </row>
    <row r="283" spans="4:4">
      <c r="D283" s="370"/>
    </row>
    <row r="284" spans="4:4">
      <c r="D284" s="370"/>
    </row>
    <row r="285" spans="4:4">
      <c r="D285" s="370"/>
    </row>
    <row r="286" spans="4:4">
      <c r="D286" s="370"/>
    </row>
    <row r="287" spans="4:4">
      <c r="D287" s="370"/>
    </row>
    <row r="288" spans="4:4">
      <c r="D288" s="370"/>
    </row>
    <row r="289" spans="4:4">
      <c r="D289" s="370"/>
    </row>
    <row r="290" spans="4:4">
      <c r="D290" s="370"/>
    </row>
    <row r="291" spans="4:4">
      <c r="D291" s="370"/>
    </row>
    <row r="292" spans="4:4">
      <c r="D292" s="370"/>
    </row>
    <row r="293" spans="4:4">
      <c r="D293" s="370"/>
    </row>
    <row r="294" spans="4:4">
      <c r="D294" s="370"/>
    </row>
    <row r="295" spans="4:4">
      <c r="D295" s="370"/>
    </row>
    <row r="296" spans="4:4">
      <c r="D296" s="370"/>
    </row>
    <row r="297" spans="4:4">
      <c r="D297" s="370"/>
    </row>
    <row r="298" spans="4:4">
      <c r="D298" s="370"/>
    </row>
    <row r="299" spans="4:4">
      <c r="D299" s="370"/>
    </row>
    <row r="300" spans="4:4">
      <c r="D300" s="370"/>
    </row>
    <row r="301" spans="4:4">
      <c r="D301" s="370"/>
    </row>
    <row r="302" spans="4:4">
      <c r="D302" s="370"/>
    </row>
    <row r="303" spans="4:4">
      <c r="D303" s="370"/>
    </row>
    <row r="304" spans="4:4">
      <c r="D304" s="370"/>
    </row>
    <row r="305" spans="4:4">
      <c r="D305" s="370"/>
    </row>
    <row r="306" spans="4:4">
      <c r="D306" s="370"/>
    </row>
    <row r="307" spans="4:4">
      <c r="D307" s="370"/>
    </row>
    <row r="308" spans="4:4">
      <c r="D308" s="370"/>
    </row>
    <row r="309" spans="4:4">
      <c r="D309" s="370"/>
    </row>
    <row r="310" spans="4:4">
      <c r="D310" s="370"/>
    </row>
    <row r="311" spans="4:4">
      <c r="D311" s="370"/>
    </row>
    <row r="312" spans="4:4">
      <c r="D312" s="370"/>
    </row>
    <row r="313" spans="4:4">
      <c r="D313" s="370"/>
    </row>
    <row r="314" spans="4:4">
      <c r="D314" s="370"/>
    </row>
    <row r="315" spans="4:4">
      <c r="D315" s="370"/>
    </row>
    <row r="316" spans="4:4">
      <c r="D316" s="370"/>
    </row>
    <row r="317" spans="4:4">
      <c r="D317" s="370"/>
    </row>
    <row r="318" spans="4:4">
      <c r="D318" s="370"/>
    </row>
    <row r="319" spans="4:4">
      <c r="D319" s="370"/>
    </row>
    <row r="320" spans="4:4">
      <c r="D320" s="370"/>
    </row>
    <row r="321" spans="4:4">
      <c r="D321" s="370"/>
    </row>
    <row r="322" spans="4:4">
      <c r="D322" s="370"/>
    </row>
    <row r="323" spans="4:4">
      <c r="D323" s="370"/>
    </row>
    <row r="324" spans="4:4">
      <c r="D324" s="370"/>
    </row>
    <row r="325" spans="4:4">
      <c r="D325" s="370"/>
    </row>
    <row r="326" spans="4:4">
      <c r="D326" s="370"/>
    </row>
    <row r="327" spans="4:4">
      <c r="D327" s="370"/>
    </row>
    <row r="328" spans="4:4">
      <c r="D328" s="370"/>
    </row>
    <row r="329" spans="4:4">
      <c r="D329" s="370"/>
    </row>
    <row r="330" spans="4:4">
      <c r="D330" s="370"/>
    </row>
    <row r="331" spans="4:4">
      <c r="D331" s="370"/>
    </row>
    <row r="332" spans="4:4">
      <c r="D332" s="370"/>
    </row>
    <row r="333" spans="4:4">
      <c r="D333" s="370"/>
    </row>
    <row r="334" spans="4:4">
      <c r="D334" s="370"/>
    </row>
    <row r="335" spans="4:4">
      <c r="D335" s="370"/>
    </row>
    <row r="336" spans="4:4">
      <c r="D336" s="370"/>
    </row>
    <row r="337" spans="4:4">
      <c r="D337" s="370"/>
    </row>
    <row r="338" spans="4:4">
      <c r="D338" s="370"/>
    </row>
    <row r="339" spans="4:4">
      <c r="D339" s="370"/>
    </row>
    <row r="340" spans="4:4">
      <c r="D340" s="370"/>
    </row>
    <row r="341" spans="4:4">
      <c r="D341" s="370"/>
    </row>
    <row r="342" spans="4:4">
      <c r="D342" s="370"/>
    </row>
    <row r="343" spans="4:4">
      <c r="D343" s="370"/>
    </row>
    <row r="344" spans="4:4">
      <c r="D344" s="370"/>
    </row>
    <row r="345" spans="4:4">
      <c r="D345" s="370"/>
    </row>
    <row r="346" spans="4:4">
      <c r="D346" s="370"/>
    </row>
    <row r="347" spans="4:4">
      <c r="D347" s="370"/>
    </row>
    <row r="348" spans="4:4">
      <c r="D348" s="370"/>
    </row>
    <row r="349" spans="4:4">
      <c r="D349" s="370"/>
    </row>
    <row r="350" spans="4:4">
      <c r="D350" s="370"/>
    </row>
    <row r="351" spans="4:4">
      <c r="D351" s="370"/>
    </row>
    <row r="352" spans="4:4">
      <c r="D352" s="370"/>
    </row>
    <row r="353" spans="4:4">
      <c r="D353" s="370"/>
    </row>
    <row r="354" spans="4:4">
      <c r="D354" s="370"/>
    </row>
    <row r="355" spans="4:4">
      <c r="D355" s="370"/>
    </row>
    <row r="356" spans="4:4">
      <c r="D356" s="370"/>
    </row>
    <row r="357" spans="4:4">
      <c r="D357" s="370"/>
    </row>
    <row r="358" spans="4:4">
      <c r="D358" s="370"/>
    </row>
    <row r="359" spans="4:4">
      <c r="D359" s="370"/>
    </row>
    <row r="360" spans="4:4">
      <c r="D360" s="370"/>
    </row>
    <row r="361" spans="4:4">
      <c r="D361" s="370"/>
    </row>
    <row r="362" spans="4:4">
      <c r="D362" s="370"/>
    </row>
    <row r="363" spans="4:4">
      <c r="D363" s="370"/>
    </row>
    <row r="364" spans="4:4">
      <c r="D364" s="370"/>
    </row>
    <row r="365" spans="4:4">
      <c r="D365" s="370"/>
    </row>
    <row r="366" spans="4:4">
      <c r="D366" s="370"/>
    </row>
    <row r="367" spans="4:4">
      <c r="D367" s="370"/>
    </row>
    <row r="368" spans="4:4">
      <c r="D368" s="370"/>
    </row>
    <row r="369" spans="4:4">
      <c r="D369" s="370"/>
    </row>
    <row r="370" spans="4:4">
      <c r="D370" s="370"/>
    </row>
    <row r="371" spans="4:4">
      <c r="D371" s="370"/>
    </row>
    <row r="372" spans="4:4">
      <c r="D372" s="370"/>
    </row>
    <row r="373" spans="4:4">
      <c r="D373" s="370"/>
    </row>
    <row r="374" spans="4:4">
      <c r="D374" s="370"/>
    </row>
    <row r="375" spans="4:4">
      <c r="D375" s="370"/>
    </row>
    <row r="376" spans="4:4">
      <c r="D376" s="370"/>
    </row>
    <row r="377" spans="4:4">
      <c r="D377" s="370"/>
    </row>
    <row r="378" spans="4:4">
      <c r="D378" s="370"/>
    </row>
    <row r="379" spans="4:4">
      <c r="D379" s="370"/>
    </row>
    <row r="380" spans="4:4">
      <c r="D380" s="370"/>
    </row>
    <row r="381" spans="4:4">
      <c r="D381" s="370"/>
    </row>
    <row r="382" spans="4:4">
      <c r="D382" s="370"/>
    </row>
    <row r="383" spans="4:4">
      <c r="D383" s="370"/>
    </row>
    <row r="384" spans="4:4">
      <c r="D384" s="370"/>
    </row>
    <row r="385" spans="4:4">
      <c r="D385" s="370"/>
    </row>
    <row r="386" spans="4:4">
      <c r="D386" s="370"/>
    </row>
    <row r="387" spans="4:4">
      <c r="D387" s="370"/>
    </row>
    <row r="388" spans="4:4">
      <c r="D388" s="370"/>
    </row>
    <row r="389" spans="4:4">
      <c r="D389" s="370"/>
    </row>
    <row r="390" spans="4:4">
      <c r="D390" s="370"/>
    </row>
    <row r="391" spans="4:4">
      <c r="D391" s="370"/>
    </row>
    <row r="392" spans="4:4">
      <c r="D392" s="370"/>
    </row>
    <row r="393" spans="4:4">
      <c r="D393" s="370"/>
    </row>
    <row r="394" spans="4:4">
      <c r="D394" s="370"/>
    </row>
    <row r="395" spans="4:4">
      <c r="D395" s="370"/>
    </row>
    <row r="396" spans="4:4">
      <c r="D396" s="370"/>
    </row>
    <row r="397" spans="4:4">
      <c r="D397" s="370"/>
    </row>
    <row r="398" spans="4:4">
      <c r="D398" s="370"/>
    </row>
    <row r="399" spans="4:4">
      <c r="D399" s="370"/>
    </row>
    <row r="400" spans="4:4">
      <c r="D400" s="370"/>
    </row>
    <row r="401" spans="4:4">
      <c r="D401" s="370"/>
    </row>
    <row r="402" spans="4:4">
      <c r="D402" s="370"/>
    </row>
    <row r="403" spans="4:4">
      <c r="D403" s="370"/>
    </row>
    <row r="404" spans="4:4">
      <c r="D404" s="370"/>
    </row>
    <row r="405" spans="4:4">
      <c r="D405" s="370"/>
    </row>
    <row r="406" spans="4:4">
      <c r="D406" s="370"/>
    </row>
    <row r="407" spans="4:4">
      <c r="D407" s="370"/>
    </row>
    <row r="408" spans="4:4">
      <c r="D408" s="370"/>
    </row>
    <row r="409" spans="4:4">
      <c r="D409" s="370"/>
    </row>
    <row r="410" spans="4:4">
      <c r="D410" s="370"/>
    </row>
    <row r="411" spans="4:4">
      <c r="D411" s="370"/>
    </row>
    <row r="412" spans="4:4">
      <c r="D412" s="370"/>
    </row>
    <row r="413" spans="4:4">
      <c r="D413" s="370"/>
    </row>
    <row r="414" spans="4:4">
      <c r="D414" s="370"/>
    </row>
    <row r="415" spans="4:4">
      <c r="D415" s="370"/>
    </row>
    <row r="416" spans="4:4">
      <c r="D416" s="370"/>
    </row>
    <row r="417" spans="4:4">
      <c r="D417" s="370"/>
    </row>
    <row r="418" spans="4:4">
      <c r="D418" s="370"/>
    </row>
    <row r="419" spans="4:4">
      <c r="D419" s="370"/>
    </row>
    <row r="420" spans="4:4">
      <c r="D420" s="370"/>
    </row>
    <row r="421" spans="4:4">
      <c r="D421" s="370"/>
    </row>
    <row r="422" spans="4:4">
      <c r="D422" s="370"/>
    </row>
    <row r="423" spans="4:4">
      <c r="D423" s="370"/>
    </row>
    <row r="424" spans="4:4">
      <c r="D424" s="370"/>
    </row>
    <row r="425" spans="4:4">
      <c r="D425" s="370"/>
    </row>
    <row r="426" spans="4:4">
      <c r="D426" s="370"/>
    </row>
    <row r="427" spans="4:4">
      <c r="D427" s="370"/>
    </row>
    <row r="428" spans="4:4">
      <c r="D428" s="370"/>
    </row>
    <row r="429" spans="4:4">
      <c r="D429" s="370"/>
    </row>
    <row r="430" spans="4:4">
      <c r="D430" s="370"/>
    </row>
    <row r="431" spans="4:4">
      <c r="D431" s="370"/>
    </row>
    <row r="432" spans="4:4">
      <c r="D432" s="370"/>
    </row>
    <row r="433" spans="4:4">
      <c r="D433" s="370"/>
    </row>
    <row r="434" spans="4:4">
      <c r="D434" s="370"/>
    </row>
    <row r="435" spans="4:4">
      <c r="D435" s="370"/>
    </row>
    <row r="436" spans="4:4">
      <c r="D436" s="370"/>
    </row>
    <row r="437" spans="4:4">
      <c r="D437" s="370"/>
    </row>
    <row r="438" spans="4:4">
      <c r="D438" s="370"/>
    </row>
    <row r="439" spans="4:4">
      <c r="D439" s="370"/>
    </row>
    <row r="440" spans="4:4">
      <c r="D440" s="370"/>
    </row>
    <row r="441" spans="4:4">
      <c r="D441" s="370"/>
    </row>
    <row r="442" spans="4:4">
      <c r="D442" s="370"/>
    </row>
    <row r="443" spans="4:4">
      <c r="D443" s="370"/>
    </row>
    <row r="444" spans="4:4">
      <c r="D444" s="370"/>
    </row>
    <row r="445" spans="4:4">
      <c r="D445" s="370"/>
    </row>
    <row r="446" spans="4:4">
      <c r="D446" s="370"/>
    </row>
    <row r="447" spans="4:4">
      <c r="D447" s="370"/>
    </row>
    <row r="448" spans="4:4">
      <c r="D448" s="370"/>
    </row>
    <row r="449" spans="4:4">
      <c r="D449" s="370"/>
    </row>
    <row r="450" spans="4:4">
      <c r="D450" s="370"/>
    </row>
    <row r="451" spans="4:4">
      <c r="D451" s="370"/>
    </row>
  </sheetData>
  <phoneticPr fontId="26" type="noConversion"/>
  <pageMargins left="0.75" right="0.75" top="1" bottom="1" header="0.5" footer="0.5"/>
  <pageSetup scale="45" orientation="landscape" r:id="rId1"/>
  <headerFooter alignWithMargins="0"/>
  <drawing r:id="rId2"/>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600-000000000000}">
  <sheetPr codeName="Sheet67">
    <pageSetUpPr fitToPage="1"/>
  </sheetPr>
  <dimension ref="B1:X460"/>
  <sheetViews>
    <sheetView showGridLines="0" zoomScale="70" zoomScaleNormal="70" workbookViewId="0">
      <selection activeCell="J35" sqref="J35"/>
    </sheetView>
  </sheetViews>
  <sheetFormatPr defaultColWidth="9.109375" defaultRowHeight="12"/>
  <cols>
    <col min="1" max="1" width="2.33203125" style="367" customWidth="1"/>
    <col min="2" max="4" width="10" style="367" customWidth="1"/>
    <col min="5" max="5" width="18.5546875" style="367" customWidth="1"/>
    <col min="6" max="6" width="10" style="367" customWidth="1"/>
    <col min="7" max="7" width="2.33203125" style="367" customWidth="1"/>
    <col min="8" max="8" width="10" style="367" customWidth="1"/>
    <col min="9" max="9" width="2.109375" style="367" customWidth="1"/>
    <col min="10" max="10" width="10" style="367" customWidth="1"/>
    <col min="11" max="11" width="2.109375" style="367" customWidth="1"/>
    <col min="12" max="12" width="10" style="367" customWidth="1"/>
    <col min="13" max="13" width="2.109375" style="367" customWidth="1"/>
    <col min="14" max="14" width="10" style="367" customWidth="1"/>
    <col min="15" max="15" width="2.109375" style="367" customWidth="1"/>
    <col min="16" max="16" width="10" style="367" customWidth="1"/>
    <col min="17" max="17" width="2.109375" style="367" customWidth="1"/>
    <col min="18" max="18" width="10" style="367" customWidth="1"/>
    <col min="19" max="19" width="2.109375" style="367" customWidth="1"/>
    <col min="20" max="20" width="9.88671875" style="367" customWidth="1"/>
    <col min="21" max="21" width="2.109375" style="367" customWidth="1"/>
    <col min="22" max="22" width="10" style="367" customWidth="1"/>
    <col min="23" max="23" width="2.109375" style="367" customWidth="1"/>
    <col min="24" max="24" width="10" style="367" customWidth="1"/>
    <col min="25" max="16384" width="9.109375" style="367"/>
  </cols>
  <sheetData>
    <row r="1" spans="2:24" s="472" customFormat="1">
      <c r="E1" s="150"/>
    </row>
    <row r="2" spans="2:24" s="472" customFormat="1">
      <c r="E2" s="150"/>
    </row>
    <row r="3" spans="2:24" s="472" customFormat="1"/>
    <row r="4" spans="2:24" s="477" customFormat="1" ht="21">
      <c r="B4" s="129" t="s">
        <v>1467</v>
      </c>
      <c r="C4" s="129"/>
    </row>
    <row r="5" spans="2:24" s="472" customFormat="1">
      <c r="D5" s="132"/>
      <c r="E5" s="132"/>
      <c r="F5" s="132"/>
      <c r="G5" s="132"/>
      <c r="H5" s="132"/>
      <c r="I5" s="132"/>
      <c r="L5" s="473"/>
      <c r="M5" s="473"/>
      <c r="N5" s="473"/>
      <c r="O5" s="473"/>
      <c r="P5" s="473"/>
      <c r="Q5" s="473"/>
      <c r="R5" s="473"/>
      <c r="S5" s="473"/>
      <c r="T5" s="473"/>
      <c r="U5" s="473"/>
      <c r="V5" s="473"/>
      <c r="W5" s="473"/>
      <c r="X5" s="473"/>
    </row>
    <row r="6" spans="2:24">
      <c r="B6" s="456"/>
      <c r="C6" s="456"/>
      <c r="D6" s="456"/>
      <c r="E6" s="456"/>
      <c r="F6" s="456"/>
      <c r="G6" s="456"/>
      <c r="H6" s="456"/>
      <c r="I6" s="456"/>
      <c r="L6" s="440"/>
      <c r="M6" s="440"/>
      <c r="N6" s="440"/>
      <c r="O6" s="440"/>
      <c r="P6" s="440"/>
      <c r="Q6" s="440"/>
      <c r="R6" s="440"/>
      <c r="S6" s="440"/>
      <c r="T6" s="440"/>
      <c r="U6" s="440"/>
      <c r="V6" s="440"/>
      <c r="W6" s="440"/>
      <c r="X6" s="440"/>
    </row>
    <row r="7" spans="2:24" ht="12.6" thickBot="1">
      <c r="B7" s="306" t="s">
        <v>817</v>
      </c>
      <c r="C7" s="306"/>
      <c r="D7" s="368"/>
      <c r="E7" s="457"/>
      <c r="F7" s="457"/>
      <c r="G7" s="457"/>
      <c r="H7" s="457"/>
      <c r="I7" s="457"/>
      <c r="J7" s="368"/>
      <c r="K7" s="368"/>
      <c r="L7" s="368"/>
      <c r="M7" s="368"/>
      <c r="N7" s="368"/>
      <c r="O7" s="368"/>
      <c r="P7" s="368"/>
      <c r="Q7" s="368"/>
      <c r="R7" s="368"/>
      <c r="S7" s="368"/>
      <c r="T7" s="368"/>
      <c r="U7" s="368"/>
      <c r="V7" s="368"/>
      <c r="W7" s="368"/>
      <c r="X7" s="368"/>
    </row>
    <row r="8" spans="2:24" ht="12.6" thickTop="1">
      <c r="B8" s="345"/>
      <c r="C8" s="345"/>
      <c r="E8" s="345"/>
      <c r="F8" s="345"/>
      <c r="G8" s="345"/>
      <c r="H8" s="345"/>
      <c r="I8" s="345"/>
    </row>
    <row r="9" spans="2:24">
      <c r="D9" s="345"/>
      <c r="E9" s="382" t="s">
        <v>81</v>
      </c>
      <c r="F9" s="458" t="s">
        <v>82</v>
      </c>
      <c r="G9" s="458"/>
      <c r="H9" s="458" t="s">
        <v>83</v>
      </c>
      <c r="I9" s="458"/>
      <c r="J9" s="458" t="s">
        <v>84</v>
      </c>
      <c r="K9" s="458"/>
      <c r="L9" s="458" t="s">
        <v>85</v>
      </c>
      <c r="M9" s="458"/>
      <c r="N9" s="459" t="s">
        <v>128</v>
      </c>
      <c r="O9" s="459"/>
      <c r="P9" s="458" t="s">
        <v>129</v>
      </c>
      <c r="Q9" s="458"/>
      <c r="R9" s="458" t="s">
        <v>23</v>
      </c>
      <c r="S9" s="458"/>
      <c r="T9" s="458" t="s">
        <v>130</v>
      </c>
      <c r="U9" s="458"/>
      <c r="V9" s="458" t="s">
        <v>131</v>
      </c>
      <c r="W9" s="458"/>
      <c r="X9" s="458" t="s">
        <v>132</v>
      </c>
    </row>
    <row r="10" spans="2:24">
      <c r="B10" s="345"/>
      <c r="C10" s="345"/>
      <c r="E10" s="382"/>
      <c r="F10" s="458"/>
      <c r="G10" s="458"/>
      <c r="H10" s="458"/>
      <c r="I10" s="458"/>
      <c r="J10" s="458"/>
      <c r="K10" s="458"/>
      <c r="L10" s="458"/>
      <c r="M10" s="458"/>
      <c r="N10" s="459"/>
      <c r="O10" s="459"/>
      <c r="P10" s="458"/>
      <c r="Q10" s="458"/>
      <c r="R10" s="458"/>
      <c r="S10" s="458"/>
      <c r="T10" s="458"/>
      <c r="U10" s="458"/>
      <c r="V10" s="458"/>
      <c r="W10" s="458"/>
      <c r="X10" s="458"/>
    </row>
    <row r="11" spans="2:24" s="381" customFormat="1">
      <c r="B11" s="370" t="s">
        <v>1509</v>
      </c>
      <c r="E11" s="367" t="str">
        <f>"DCF, "&amp;TEXT(H11,"0.0")&amp;"x 22E FCF"</f>
        <v>DCF, 18.8x 22E FCF</v>
      </c>
      <c r="F11" s="528">
        <v>287.79450797379263</v>
      </c>
      <c r="G11" s="504" t="s">
        <v>134</v>
      </c>
      <c r="H11" s="487">
        <v>18.784685911382105</v>
      </c>
      <c r="I11" s="504" t="s">
        <v>135</v>
      </c>
      <c r="J11" s="596">
        <f>(H11*F11)</f>
        <v>5406.1294393084472</v>
      </c>
      <c r="K11" s="196"/>
      <c r="L11" s="196"/>
      <c r="M11" s="196"/>
      <c r="N11" s="196"/>
      <c r="O11" s="196"/>
      <c r="P11" s="196"/>
      <c r="Q11" s="196"/>
      <c r="R11" s="210"/>
      <c r="S11" s="210"/>
      <c r="T11" s="210"/>
      <c r="U11" s="210"/>
      <c r="V11" s="387"/>
      <c r="W11" s="345"/>
      <c r="X11" s="372"/>
    </row>
    <row r="12" spans="2:24" s="381" customFormat="1">
      <c r="B12" s="370" t="s">
        <v>1378</v>
      </c>
      <c r="C12" s="345"/>
      <c r="E12" s="367" t="str">
        <f>"DCF, "&amp;TEXT(H12,"0.0")&amp;"x 22E FCF"</f>
        <v>DCF, 24.5x 22E FCF</v>
      </c>
      <c r="F12" s="528">
        <v>77.459238135365325</v>
      </c>
      <c r="G12" s="504" t="s">
        <v>134</v>
      </c>
      <c r="H12" s="487">
        <v>24.467924293289961</v>
      </c>
      <c r="I12" s="504" t="s">
        <v>135</v>
      </c>
      <c r="J12" s="597">
        <f>(H12*F12)</f>
        <v>1895.2667745120375</v>
      </c>
      <c r="K12" s="196"/>
      <c r="L12" s="196"/>
      <c r="M12" s="196"/>
      <c r="N12" s="374">
        <f>J12-L12</f>
        <v>1895.2667745120375</v>
      </c>
      <c r="O12" s="196" t="s">
        <v>134</v>
      </c>
      <c r="P12" s="483">
        <v>1</v>
      </c>
      <c r="Q12" s="369" t="s">
        <v>135</v>
      </c>
      <c r="R12" s="374">
        <f>P12*N12</f>
        <v>1895.2667745120375</v>
      </c>
      <c r="S12" s="210"/>
      <c r="T12" s="374">
        <f>N12-R12</f>
        <v>0</v>
      </c>
      <c r="U12" s="210"/>
      <c r="V12" s="586">
        <f>N12/$J$37</f>
        <v>0.8083332373090848</v>
      </c>
      <c r="W12" s="345"/>
      <c r="X12" s="587">
        <f>$J$42*V12</f>
        <v>6.2639714741537373</v>
      </c>
    </row>
    <row r="13" spans="2:24">
      <c r="B13" s="345" t="s">
        <v>138</v>
      </c>
      <c r="C13" s="370"/>
      <c r="F13" s="443"/>
      <c r="G13" s="442"/>
      <c r="H13" s="372"/>
      <c r="I13" s="376"/>
      <c r="J13" s="443">
        <f>J11+J12</f>
        <v>7301.3962138204843</v>
      </c>
      <c r="K13" s="196" t="s">
        <v>136</v>
      </c>
      <c r="L13" s="480">
        <f>-J26</f>
        <v>3391.0090868810476</v>
      </c>
      <c r="M13" s="196" t="s">
        <v>135</v>
      </c>
      <c r="N13" s="210">
        <f>J13-L13</f>
        <v>3910.3871269394367</v>
      </c>
      <c r="P13" s="377"/>
      <c r="Q13" s="378"/>
      <c r="R13" s="210">
        <f>SUM(R11:R12)</f>
        <v>1895.2667745120375</v>
      </c>
      <c r="S13" s="370"/>
      <c r="T13" s="210">
        <f>SUM(T11:T12)</f>
        <v>0</v>
      </c>
      <c r="U13" s="370"/>
      <c r="V13" s="387">
        <f>N13/$J$37</f>
        <v>1.6677841494185124</v>
      </c>
      <c r="W13" s="370"/>
      <c r="X13" s="372">
        <f>$J$42*V13</f>
        <v>12.924066282095342</v>
      </c>
    </row>
    <row r="14" spans="2:24">
      <c r="B14" s="345"/>
      <c r="C14" s="370"/>
      <c r="F14" s="443"/>
      <c r="G14" s="442"/>
      <c r="H14" s="372"/>
      <c r="I14" s="376"/>
      <c r="J14" s="443"/>
      <c r="K14" s="443"/>
      <c r="L14" s="443"/>
      <c r="M14" s="196"/>
      <c r="N14" s="210"/>
      <c r="P14" s="377"/>
      <c r="Q14" s="378"/>
      <c r="R14" s="210"/>
      <c r="S14" s="370"/>
      <c r="T14" s="210"/>
      <c r="U14" s="370"/>
      <c r="V14" s="387"/>
      <c r="W14" s="370"/>
      <c r="X14" s="372"/>
    </row>
    <row r="15" spans="2:24">
      <c r="B15" s="370" t="s">
        <v>1510</v>
      </c>
      <c r="C15" s="370"/>
      <c r="F15" s="210"/>
      <c r="G15" s="196"/>
      <c r="H15" s="372"/>
      <c r="I15" s="376"/>
      <c r="J15" s="196"/>
      <c r="K15" s="375"/>
      <c r="L15" s="401"/>
      <c r="M15" s="196"/>
      <c r="N15" s="528">
        <v>55.817544179782431</v>
      </c>
      <c r="O15" s="178" t="s">
        <v>134</v>
      </c>
      <c r="P15" s="490">
        <v>0.51</v>
      </c>
      <c r="Q15" s="393" t="s">
        <v>135</v>
      </c>
      <c r="R15" s="216">
        <f>P15*N15</f>
        <v>28.466947531689041</v>
      </c>
      <c r="T15" s="196"/>
    </row>
    <row r="16" spans="2:24">
      <c r="B16" s="370" t="s">
        <v>1511</v>
      </c>
      <c r="C16" s="370"/>
      <c r="F16" s="210"/>
      <c r="G16" s="196"/>
      <c r="H16" s="372"/>
      <c r="I16" s="376"/>
      <c r="J16" s="196"/>
      <c r="K16" s="375"/>
      <c r="L16" s="401"/>
      <c r="M16" s="196"/>
      <c r="N16" s="528">
        <v>47.112887207178403</v>
      </c>
      <c r="O16" s="178" t="s">
        <v>134</v>
      </c>
      <c r="P16" s="490">
        <v>0.51</v>
      </c>
      <c r="Q16" s="393" t="s">
        <v>135</v>
      </c>
      <c r="R16" s="216">
        <f>P16*N16</f>
        <v>24.027572475660985</v>
      </c>
      <c r="T16" s="196"/>
    </row>
    <row r="17" spans="2:24">
      <c r="B17" s="370" t="s">
        <v>1512</v>
      </c>
      <c r="C17" s="370"/>
      <c r="F17" s="210"/>
      <c r="G17" s="196"/>
      <c r="H17" s="372"/>
      <c r="I17" s="376"/>
      <c r="J17" s="196"/>
      <c r="K17" s="375"/>
      <c r="L17" s="401"/>
      <c r="M17" s="196"/>
      <c r="N17" s="528">
        <v>12.57917103937065</v>
      </c>
      <c r="O17" s="178" t="s">
        <v>134</v>
      </c>
      <c r="P17" s="490">
        <v>0.51</v>
      </c>
      <c r="Q17" s="393" t="s">
        <v>135</v>
      </c>
      <c r="R17" s="216">
        <f>P17*N17</f>
        <v>6.4153772300790317</v>
      </c>
      <c r="T17" s="196"/>
    </row>
    <row r="18" spans="2:24">
      <c r="B18" s="370" t="s">
        <v>1513</v>
      </c>
      <c r="C18" s="370"/>
      <c r="F18" s="210"/>
      <c r="G18" s="196"/>
      <c r="H18" s="372"/>
      <c r="I18" s="376"/>
      <c r="J18" s="196"/>
      <c r="K18" s="375"/>
      <c r="L18" s="401"/>
      <c r="M18" s="196"/>
      <c r="N18" s="498">
        <v>1005.7120463806142</v>
      </c>
      <c r="O18" s="178" t="s">
        <v>134</v>
      </c>
      <c r="P18" s="598">
        <v>0.51</v>
      </c>
      <c r="Q18" s="393" t="s">
        <v>135</v>
      </c>
      <c r="R18" s="385">
        <f>P18*N18</f>
        <v>512.91314365411324</v>
      </c>
      <c r="T18" s="599"/>
    </row>
    <row r="19" spans="2:24">
      <c r="B19" s="345" t="s">
        <v>1514</v>
      </c>
      <c r="C19" s="370"/>
      <c r="F19" s="216"/>
      <c r="G19" s="178"/>
      <c r="H19" s="373"/>
      <c r="I19" s="403"/>
      <c r="J19" s="178"/>
      <c r="K19" s="178"/>
      <c r="L19" s="178"/>
      <c r="M19" s="178"/>
      <c r="N19" s="585">
        <v>1121.2216488069457</v>
      </c>
      <c r="O19" s="196" t="s">
        <v>134</v>
      </c>
      <c r="P19" s="483">
        <v>0.51</v>
      </c>
      <c r="Q19" s="393" t="s">
        <v>135</v>
      </c>
      <c r="R19" s="210">
        <f>P19*N19</f>
        <v>571.82304089154229</v>
      </c>
      <c r="T19" s="196">
        <f>N19-R19</f>
        <v>549.39860791540343</v>
      </c>
    </row>
    <row r="20" spans="2:24">
      <c r="B20" s="370"/>
      <c r="C20" s="370"/>
      <c r="F20" s="216"/>
      <c r="G20" s="178"/>
      <c r="H20" s="373"/>
      <c r="I20" s="403"/>
      <c r="J20" s="178"/>
      <c r="K20" s="414"/>
      <c r="L20" s="208"/>
      <c r="M20" s="178"/>
      <c r="N20" s="216"/>
      <c r="P20" s="493"/>
      <c r="Q20" s="494"/>
      <c r="R20" s="216"/>
      <c r="T20" s="178"/>
    </row>
    <row r="21" spans="2:24">
      <c r="B21" s="370" t="s">
        <v>139</v>
      </c>
      <c r="C21" s="370"/>
      <c r="F21" s="216"/>
      <c r="G21" s="178"/>
      <c r="H21" s="373"/>
      <c r="I21" s="403"/>
      <c r="J21" s="414"/>
      <c r="K21" s="414"/>
      <c r="L21" s="178"/>
      <c r="M21" s="178"/>
      <c r="N21" s="370"/>
      <c r="P21" s="493"/>
      <c r="Q21" s="494"/>
      <c r="R21" s="370"/>
    </row>
    <row r="22" spans="2:24">
      <c r="B22" s="370" t="s">
        <v>22</v>
      </c>
      <c r="C22" s="370"/>
      <c r="E22" s="367" t="s">
        <v>137</v>
      </c>
      <c r="F22" s="484">
        <v>335.45370642857142</v>
      </c>
      <c r="G22" s="178" t="s">
        <v>134</v>
      </c>
      <c r="H22" s="214">
        <f>J43</f>
        <v>7.4</v>
      </c>
      <c r="I22" s="178" t="s">
        <v>135</v>
      </c>
      <c r="N22" s="216">
        <f>(F22*H22)</f>
        <v>2482.3574275714286</v>
      </c>
      <c r="O22" s="178" t="s">
        <v>134</v>
      </c>
      <c r="P22" s="490">
        <v>0</v>
      </c>
      <c r="Q22" s="393" t="s">
        <v>135</v>
      </c>
      <c r="R22" s="385">
        <f>P22*N22</f>
        <v>0</v>
      </c>
    </row>
    <row r="23" spans="2:24">
      <c r="B23" s="345" t="s">
        <v>138</v>
      </c>
      <c r="C23" s="370"/>
      <c r="R23" s="210">
        <f>R22</f>
        <v>0</v>
      </c>
    </row>
    <row r="24" spans="2:24">
      <c r="D24" s="345"/>
      <c r="E24" s="381"/>
      <c r="F24" s="381"/>
      <c r="G24" s="381"/>
      <c r="H24" s="381"/>
      <c r="I24" s="381"/>
      <c r="J24" s="381"/>
      <c r="K24" s="381"/>
    </row>
    <row r="25" spans="2:24" ht="12.6" thickBot="1">
      <c r="B25" s="382" t="s">
        <v>142</v>
      </c>
      <c r="D25" s="345"/>
      <c r="E25" s="381"/>
      <c r="H25" s="381"/>
      <c r="I25" s="381"/>
      <c r="J25" s="374">
        <f>J13</f>
        <v>7301.3962138204843</v>
      </c>
      <c r="L25" s="444"/>
      <c r="T25" s="460" t="s">
        <v>549</v>
      </c>
      <c r="U25" s="524"/>
      <c r="V25" s="524"/>
      <c r="W25" s="524"/>
      <c r="X25" s="524"/>
    </row>
    <row r="26" spans="2:24" ht="12.6" thickTop="1">
      <c r="B26" s="383" t="s">
        <v>1377</v>
      </c>
      <c r="D26" s="386"/>
      <c r="E26" s="381"/>
      <c r="G26" s="381"/>
      <c r="H26" s="381"/>
      <c r="I26" s="381"/>
      <c r="J26" s="216">
        <f>-PROX!D12</f>
        <v>-3391.0090868810476</v>
      </c>
      <c r="L26" s="444"/>
    </row>
    <row r="27" spans="2:24">
      <c r="B27" s="384" t="s">
        <v>1515</v>
      </c>
      <c r="D27" s="345"/>
      <c r="E27" s="381"/>
      <c r="G27" s="381"/>
      <c r="H27" s="381"/>
      <c r="I27" s="381"/>
      <c r="J27" s="484">
        <v>-453.063262636216</v>
      </c>
      <c r="L27" s="444"/>
    </row>
    <row r="28" spans="2:24">
      <c r="B28" s="384" t="s">
        <v>1516</v>
      </c>
      <c r="D28" s="345"/>
      <c r="E28" s="381"/>
      <c r="G28" s="381"/>
      <c r="H28" s="381"/>
      <c r="I28" s="381"/>
      <c r="J28" s="484">
        <v>-404.52863011084031</v>
      </c>
      <c r="L28" s="444"/>
    </row>
    <row r="29" spans="2:24">
      <c r="B29" s="384" t="s">
        <v>1366</v>
      </c>
      <c r="D29" s="345"/>
      <c r="E29" s="381"/>
      <c r="G29" s="381"/>
      <c r="H29" s="381"/>
      <c r="I29" s="381"/>
      <c r="J29" s="484">
        <v>113.13844587039446</v>
      </c>
      <c r="L29" s="444"/>
    </row>
    <row r="30" spans="2:24">
      <c r="B30" s="384" t="s">
        <v>413</v>
      </c>
      <c r="D30" s="345"/>
      <c r="E30" s="381"/>
      <c r="G30" s="381"/>
      <c r="H30" s="381"/>
      <c r="I30" s="381"/>
      <c r="J30" s="484">
        <v>163.71707598670352</v>
      </c>
      <c r="K30" s="381"/>
      <c r="L30" s="444"/>
    </row>
    <row r="31" spans="2:24">
      <c r="B31" s="384" t="s">
        <v>1517</v>
      </c>
      <c r="D31" s="345"/>
      <c r="E31" s="381"/>
      <c r="G31" s="381"/>
      <c r="H31" s="381"/>
      <c r="I31" s="381"/>
      <c r="J31" s="484">
        <v>-180</v>
      </c>
      <c r="K31" s="381"/>
      <c r="L31" s="444"/>
    </row>
    <row r="32" spans="2:24">
      <c r="B32" s="384" t="s">
        <v>1518</v>
      </c>
      <c r="D32" s="345"/>
      <c r="E32" s="381"/>
      <c r="H32" s="381"/>
      <c r="I32" s="381"/>
      <c r="J32" s="484">
        <v>0</v>
      </c>
      <c r="K32" s="367" t="s">
        <v>1521</v>
      </c>
      <c r="L32" s="444"/>
    </row>
    <row r="33" spans="2:24">
      <c r="B33" s="384" t="s">
        <v>1519</v>
      </c>
      <c r="D33" s="345"/>
      <c r="E33" s="381"/>
      <c r="H33" s="381"/>
      <c r="I33" s="381"/>
      <c r="J33" s="484">
        <v>0</v>
      </c>
      <c r="K33" s="381"/>
      <c r="L33" s="444"/>
    </row>
    <row r="34" spans="2:24">
      <c r="B34" s="384" t="s">
        <v>1520</v>
      </c>
      <c r="D34" s="345"/>
      <c r="E34" s="381"/>
      <c r="H34" s="381"/>
      <c r="I34" s="381"/>
      <c r="J34" s="484">
        <v>-255.59194237373913</v>
      </c>
      <c r="K34" s="367" t="s">
        <v>1522</v>
      </c>
      <c r="L34" s="444"/>
    </row>
    <row r="35" spans="2:24">
      <c r="B35" s="384" t="s">
        <v>1032</v>
      </c>
      <c r="J35" s="216">
        <f>-T19</f>
        <v>-549.39860791540343</v>
      </c>
      <c r="K35" s="381"/>
      <c r="L35" s="426"/>
    </row>
    <row r="36" spans="2:24">
      <c r="B36" s="384" t="s">
        <v>1065</v>
      </c>
      <c r="J36" s="445">
        <v>0</v>
      </c>
      <c r="K36" s="381"/>
      <c r="L36" s="426"/>
    </row>
    <row r="37" spans="2:24">
      <c r="B37" s="382" t="s">
        <v>495</v>
      </c>
      <c r="D37" s="345"/>
      <c r="E37" s="381"/>
      <c r="G37" s="381"/>
      <c r="H37" s="381"/>
      <c r="I37" s="381"/>
      <c r="J37" s="210">
        <f>SUM(J25:J36)</f>
        <v>2344.6602057603363</v>
      </c>
      <c r="K37" s="381"/>
      <c r="L37" s="426"/>
    </row>
    <row r="38" spans="2:24" ht="12.6" thickBot="1">
      <c r="B38" s="384" t="s">
        <v>496</v>
      </c>
      <c r="D38" s="370"/>
      <c r="J38" s="216">
        <f>PROX!D10</f>
        <v>323.435135</v>
      </c>
      <c r="K38" s="381"/>
      <c r="L38" s="426"/>
    </row>
    <row r="39" spans="2:24" ht="12.6" thickBot="1">
      <c r="B39" s="382" t="s">
        <v>497</v>
      </c>
      <c r="D39" s="370"/>
      <c r="J39" s="461">
        <f>J37/J38</f>
        <v>7.2492439813637946</v>
      </c>
      <c r="K39" s="381"/>
      <c r="L39" s="426"/>
    </row>
    <row r="40" spans="2:24">
      <c r="B40" s="384" t="s">
        <v>697</v>
      </c>
      <c r="D40" s="370"/>
      <c r="J40" s="485">
        <v>0.5</v>
      </c>
      <c r="K40" s="381"/>
      <c r="L40" s="426"/>
    </row>
    <row r="41" spans="2:24" ht="12.6" thickBot="1">
      <c r="B41" s="384" t="s">
        <v>1501</v>
      </c>
      <c r="D41" s="370"/>
      <c r="J41" s="485">
        <v>0</v>
      </c>
      <c r="K41" s="381"/>
      <c r="L41" s="426"/>
    </row>
    <row r="42" spans="2:24" ht="12.6" thickBot="1">
      <c r="B42" s="382" t="s">
        <v>62</v>
      </c>
      <c r="D42" s="370"/>
      <c r="J42" s="461">
        <f>J39+J40+J41</f>
        <v>7.7492439813637946</v>
      </c>
      <c r="L42" s="426"/>
    </row>
    <row r="43" spans="2:24">
      <c r="B43" s="384" t="s">
        <v>498</v>
      </c>
      <c r="D43" s="370"/>
      <c r="J43" s="373">
        <f>Prices!C13</f>
        <v>7.4</v>
      </c>
      <c r="K43" s="381"/>
      <c r="L43" s="426"/>
    </row>
    <row r="44" spans="2:24">
      <c r="B44" s="382" t="s">
        <v>97</v>
      </c>
      <c r="D44" s="345"/>
      <c r="E44" s="381"/>
      <c r="H44" s="381"/>
      <c r="I44" s="381"/>
      <c r="J44" s="387">
        <f>J42/J43-1</f>
        <v>4.719513261672903E-2</v>
      </c>
      <c r="K44" s="381"/>
    </row>
    <row r="45" spans="2:24" ht="12.6" thickBot="1">
      <c r="B45" s="384"/>
      <c r="D45" s="370"/>
      <c r="J45" s="427"/>
      <c r="T45" s="460" t="s">
        <v>549</v>
      </c>
      <c r="U45" s="368"/>
      <c r="V45" s="368"/>
      <c r="W45" s="368"/>
      <c r="X45" s="368"/>
    </row>
    <row r="46" spans="2:24" ht="12.6" thickTop="1">
      <c r="B46" s="382"/>
      <c r="D46" s="345"/>
      <c r="E46" s="381"/>
      <c r="F46" s="381"/>
      <c r="G46" s="381"/>
      <c r="H46" s="381"/>
      <c r="I46" s="381"/>
      <c r="J46" s="387"/>
      <c r="K46" s="381"/>
      <c r="T46" s="370" t="s">
        <v>1523</v>
      </c>
      <c r="X46" s="215">
        <f>J11/($J$25+$R$19)</f>
        <v>0.6866478964208883</v>
      </c>
    </row>
    <row r="47" spans="2:24">
      <c r="D47" s="345"/>
      <c r="E47" s="381"/>
      <c r="F47" s="381"/>
      <c r="G47" s="381"/>
      <c r="H47" s="381"/>
      <c r="I47" s="381"/>
      <c r="J47" s="381"/>
      <c r="K47" s="381"/>
      <c r="T47" s="370" t="s">
        <v>1524</v>
      </c>
      <c r="X47" s="215">
        <f>J12/($J$25+$R$19)</f>
        <v>0.24072323063754933</v>
      </c>
    </row>
    <row r="48" spans="2:24">
      <c r="D48" s="345"/>
      <c r="E48" s="381"/>
      <c r="F48" s="381"/>
      <c r="G48" s="381"/>
      <c r="H48" s="381"/>
      <c r="I48" s="381"/>
      <c r="J48" s="381"/>
      <c r="T48" s="370" t="s">
        <v>1369</v>
      </c>
      <c r="X48" s="215">
        <f>R19/($J$25+$R$19)</f>
        <v>7.2628872941562381E-2</v>
      </c>
    </row>
    <row r="49" spans="4:18">
      <c r="D49" s="345"/>
      <c r="E49" s="381"/>
      <c r="F49" s="381"/>
      <c r="G49" s="381"/>
      <c r="H49" s="381"/>
      <c r="I49" s="381"/>
      <c r="J49" s="381"/>
    </row>
    <row r="50" spans="4:18">
      <c r="E50" s="386"/>
      <c r="F50" s="381"/>
      <c r="G50" s="381"/>
      <c r="H50" s="381"/>
      <c r="I50" s="381"/>
      <c r="J50" s="381"/>
    </row>
    <row r="51" spans="4:18">
      <c r="E51" s="386"/>
      <c r="F51" s="381"/>
      <c r="G51" s="381"/>
      <c r="H51" s="381"/>
      <c r="I51" s="381"/>
      <c r="J51" s="381"/>
    </row>
    <row r="52" spans="4:18">
      <c r="D52" s="345"/>
      <c r="E52" s="345"/>
      <c r="F52" s="345"/>
      <c r="G52" s="345"/>
      <c r="H52" s="345"/>
      <c r="I52" s="345"/>
    </row>
    <row r="53" spans="4:18">
      <c r="D53" s="345"/>
      <c r="E53" s="345"/>
      <c r="F53" s="345"/>
      <c r="G53" s="345"/>
      <c r="H53" s="345"/>
      <c r="I53" s="345"/>
    </row>
    <row r="54" spans="4:18">
      <c r="D54" s="345"/>
      <c r="E54" s="345"/>
      <c r="F54" s="345"/>
      <c r="G54" s="345"/>
      <c r="H54" s="345"/>
      <c r="I54" s="345"/>
    </row>
    <row r="55" spans="4:18">
      <c r="D55" s="345"/>
      <c r="E55" s="345"/>
      <c r="F55" s="345"/>
      <c r="G55" s="345"/>
      <c r="H55" s="345"/>
      <c r="I55" s="345"/>
    </row>
    <row r="56" spans="4:18">
      <c r="D56" s="345"/>
      <c r="E56" s="345"/>
      <c r="F56" s="345"/>
      <c r="G56" s="345"/>
      <c r="H56" s="345"/>
      <c r="I56" s="345"/>
    </row>
    <row r="57" spans="4:18">
      <c r="D57" s="345"/>
      <c r="E57" s="345"/>
      <c r="F57" s="345"/>
      <c r="G57" s="345"/>
      <c r="H57" s="345"/>
      <c r="I57" s="345"/>
      <c r="Q57" s="249"/>
      <c r="R57" s="249"/>
    </row>
    <row r="58" spans="4:18">
      <c r="D58" s="345"/>
      <c r="E58" s="345"/>
      <c r="F58" s="345"/>
      <c r="G58" s="345"/>
      <c r="H58" s="345"/>
      <c r="I58" s="345"/>
      <c r="Q58" s="388"/>
      <c r="R58" s="388"/>
    </row>
    <row r="59" spans="4:18">
      <c r="D59" s="345"/>
      <c r="E59" s="345"/>
      <c r="F59" s="345"/>
      <c r="G59" s="345"/>
      <c r="H59" s="345"/>
      <c r="I59" s="345"/>
    </row>
    <row r="60" spans="4:18">
      <c r="D60" s="345"/>
      <c r="E60" s="381"/>
      <c r="F60" s="381"/>
      <c r="G60" s="381"/>
      <c r="H60" s="381"/>
      <c r="I60" s="381"/>
      <c r="L60" s="249"/>
      <c r="M60" s="249"/>
      <c r="N60" s="249"/>
      <c r="O60" s="249"/>
      <c r="P60" s="249"/>
    </row>
    <row r="61" spans="4:18">
      <c r="D61" s="345"/>
      <c r="E61" s="381"/>
      <c r="F61" s="381"/>
      <c r="G61" s="381"/>
      <c r="H61" s="381"/>
      <c r="I61" s="381"/>
      <c r="N61" s="388"/>
      <c r="O61" s="388"/>
      <c r="P61" s="388"/>
      <c r="Q61" s="249"/>
      <c r="R61" s="249"/>
    </row>
    <row r="62" spans="4:18">
      <c r="D62" s="370"/>
      <c r="E62" s="381"/>
      <c r="F62" s="381"/>
      <c r="G62" s="381"/>
      <c r="H62" s="381"/>
      <c r="I62" s="381"/>
      <c r="Q62" s="388"/>
      <c r="R62" s="388"/>
    </row>
    <row r="63" spans="4:18">
      <c r="D63" s="370"/>
      <c r="E63" s="381"/>
      <c r="F63" s="381"/>
      <c r="G63" s="381"/>
      <c r="H63" s="381"/>
      <c r="I63" s="381"/>
    </row>
    <row r="64" spans="4:18">
      <c r="D64" s="370"/>
      <c r="L64" s="249"/>
      <c r="M64" s="249"/>
      <c r="N64" s="249"/>
      <c r="O64" s="249"/>
      <c r="P64" s="249"/>
      <c r="Q64" s="249"/>
      <c r="R64" s="249"/>
    </row>
    <row r="65" spans="4:24">
      <c r="D65" s="345"/>
      <c r="E65" s="381"/>
      <c r="F65" s="381"/>
      <c r="G65" s="381"/>
      <c r="H65" s="381"/>
      <c r="I65" s="381"/>
      <c r="N65" s="388"/>
      <c r="O65" s="388"/>
      <c r="P65" s="388"/>
      <c r="Q65" s="388"/>
      <c r="R65" s="388"/>
    </row>
    <row r="66" spans="4:24">
      <c r="D66" s="370"/>
      <c r="E66" s="381"/>
      <c r="F66" s="381"/>
      <c r="G66" s="381"/>
      <c r="H66" s="381"/>
      <c r="I66" s="381"/>
    </row>
    <row r="67" spans="4:24">
      <c r="D67" s="370"/>
      <c r="E67" s="381"/>
      <c r="F67" s="381"/>
      <c r="G67" s="381"/>
      <c r="H67" s="381"/>
      <c r="I67" s="381"/>
      <c r="L67" s="249"/>
      <c r="M67" s="249"/>
      <c r="N67" s="249"/>
      <c r="O67" s="249"/>
      <c r="P67" s="249"/>
      <c r="Q67" s="249"/>
      <c r="R67" s="249"/>
      <c r="S67" s="249"/>
      <c r="T67" s="249"/>
      <c r="U67" s="249"/>
      <c r="V67" s="249"/>
      <c r="W67" s="249"/>
      <c r="X67" s="249"/>
    </row>
    <row r="68" spans="4:24">
      <c r="D68" s="370"/>
      <c r="K68" s="381"/>
      <c r="N68" s="388"/>
      <c r="O68" s="388"/>
      <c r="P68" s="388"/>
      <c r="Q68" s="388"/>
      <c r="R68" s="388"/>
      <c r="S68" s="388"/>
      <c r="T68" s="388"/>
      <c r="U68" s="388"/>
      <c r="V68" s="388"/>
      <c r="W68" s="388"/>
      <c r="X68" s="388"/>
    </row>
    <row r="69" spans="4:24">
      <c r="D69" s="370"/>
      <c r="K69" s="381"/>
    </row>
    <row r="70" spans="4:24">
      <c r="D70" s="370"/>
      <c r="J70" s="381"/>
      <c r="L70" s="249"/>
      <c r="M70" s="249"/>
      <c r="N70" s="249"/>
      <c r="O70" s="249"/>
      <c r="P70" s="249"/>
      <c r="Q70" s="249"/>
      <c r="R70" s="249"/>
    </row>
    <row r="71" spans="4:24">
      <c r="D71" s="370"/>
      <c r="J71" s="381"/>
      <c r="K71" s="381"/>
      <c r="N71" s="388"/>
      <c r="O71" s="388"/>
      <c r="P71" s="388"/>
      <c r="Q71" s="388"/>
      <c r="R71" s="388"/>
      <c r="S71" s="249"/>
      <c r="T71" s="249"/>
      <c r="U71" s="249"/>
      <c r="V71" s="249"/>
      <c r="W71" s="249"/>
      <c r="X71" s="249"/>
    </row>
    <row r="72" spans="4:24">
      <c r="D72" s="370"/>
      <c r="K72" s="381"/>
      <c r="Q72" s="389"/>
      <c r="R72" s="389"/>
      <c r="S72" s="388"/>
      <c r="T72" s="388"/>
      <c r="U72" s="388"/>
      <c r="V72" s="388"/>
      <c r="W72" s="388"/>
      <c r="X72" s="388"/>
    </row>
    <row r="73" spans="4:24">
      <c r="D73" s="370"/>
      <c r="J73" s="381"/>
      <c r="K73" s="381"/>
      <c r="L73" s="249"/>
      <c r="M73" s="249"/>
      <c r="N73" s="249"/>
      <c r="O73" s="249"/>
      <c r="P73" s="249"/>
      <c r="Q73" s="388"/>
      <c r="R73" s="388"/>
    </row>
    <row r="74" spans="4:24">
      <c r="D74" s="370"/>
      <c r="J74" s="381"/>
      <c r="N74" s="388"/>
      <c r="O74" s="388"/>
      <c r="P74" s="388"/>
      <c r="S74" s="249"/>
      <c r="T74" s="249"/>
      <c r="U74" s="249"/>
      <c r="V74" s="249"/>
      <c r="W74" s="249"/>
      <c r="X74" s="249"/>
    </row>
    <row r="75" spans="4:24">
      <c r="D75" s="370"/>
      <c r="J75" s="381"/>
      <c r="L75" s="389"/>
      <c r="M75" s="389"/>
      <c r="N75" s="389"/>
      <c r="O75" s="389"/>
      <c r="P75" s="389"/>
      <c r="Q75" s="249"/>
      <c r="R75" s="249"/>
      <c r="S75" s="388"/>
      <c r="T75" s="388"/>
      <c r="U75" s="388"/>
      <c r="V75" s="388"/>
      <c r="W75" s="388"/>
      <c r="X75" s="388"/>
    </row>
    <row r="76" spans="4:24">
      <c r="D76" s="370"/>
      <c r="K76" s="381"/>
      <c r="N76" s="388"/>
      <c r="O76" s="388"/>
      <c r="P76" s="388"/>
      <c r="Q76" s="390"/>
      <c r="R76" s="390"/>
    </row>
    <row r="77" spans="4:24">
      <c r="D77" s="345"/>
      <c r="E77" s="381"/>
      <c r="F77" s="381"/>
      <c r="G77" s="381"/>
      <c r="H77" s="381"/>
      <c r="I77" s="381"/>
      <c r="K77" s="381"/>
      <c r="Q77" s="249"/>
      <c r="R77" s="249"/>
      <c r="S77" s="249"/>
      <c r="T77" s="249"/>
      <c r="U77" s="249"/>
      <c r="V77" s="249"/>
      <c r="W77" s="249"/>
      <c r="X77" s="249"/>
    </row>
    <row r="78" spans="4:24">
      <c r="D78" s="370"/>
      <c r="J78" s="381"/>
      <c r="L78" s="249"/>
      <c r="M78" s="249"/>
      <c r="N78" s="249"/>
      <c r="O78" s="249"/>
      <c r="P78" s="249"/>
      <c r="Q78" s="388"/>
      <c r="R78" s="388"/>
      <c r="S78" s="388"/>
      <c r="T78" s="388"/>
      <c r="U78" s="388"/>
      <c r="V78" s="388"/>
      <c r="W78" s="388"/>
      <c r="X78" s="388"/>
    </row>
    <row r="79" spans="4:24">
      <c r="D79" s="370"/>
      <c r="J79" s="381"/>
      <c r="N79" s="388"/>
      <c r="O79" s="388"/>
      <c r="P79" s="390"/>
      <c r="Q79" s="248"/>
      <c r="R79" s="248"/>
    </row>
    <row r="80" spans="4:24">
      <c r="D80" s="345"/>
      <c r="E80" s="381"/>
      <c r="F80" s="381"/>
      <c r="G80" s="381"/>
      <c r="H80" s="381"/>
      <c r="I80" s="381"/>
      <c r="L80" s="249"/>
      <c r="M80" s="249"/>
      <c r="N80" s="249"/>
      <c r="O80" s="249"/>
      <c r="P80" s="249"/>
      <c r="S80" s="249"/>
      <c r="T80" s="249"/>
      <c r="U80" s="249"/>
      <c r="V80" s="249"/>
      <c r="W80" s="249"/>
      <c r="X80" s="249"/>
    </row>
    <row r="81" spans="4:24">
      <c r="D81" s="370"/>
      <c r="N81" s="388"/>
      <c r="O81" s="388"/>
      <c r="P81" s="388"/>
      <c r="Q81" s="247"/>
      <c r="R81" s="247"/>
      <c r="S81" s="388"/>
      <c r="T81" s="388"/>
      <c r="U81" s="388"/>
      <c r="V81" s="388"/>
      <c r="W81" s="388"/>
      <c r="X81" s="388"/>
    </row>
    <row r="82" spans="4:24">
      <c r="D82" s="345"/>
      <c r="E82" s="381"/>
      <c r="F82" s="381"/>
      <c r="G82" s="381"/>
      <c r="H82" s="381"/>
      <c r="I82" s="381"/>
      <c r="L82" s="248"/>
      <c r="M82" s="248"/>
      <c r="N82" s="248"/>
      <c r="O82" s="248"/>
      <c r="P82" s="248"/>
      <c r="Q82" s="388"/>
      <c r="R82" s="388"/>
      <c r="S82" s="389"/>
      <c r="T82" s="389"/>
      <c r="U82" s="389"/>
      <c r="V82" s="389"/>
      <c r="W82" s="389"/>
      <c r="X82" s="389"/>
    </row>
    <row r="83" spans="4:24">
      <c r="D83" s="370"/>
      <c r="E83" s="381"/>
      <c r="F83" s="381"/>
      <c r="G83" s="381"/>
      <c r="H83" s="381"/>
      <c r="I83" s="381"/>
      <c r="S83" s="388"/>
      <c r="T83" s="388"/>
      <c r="U83" s="388"/>
      <c r="V83" s="388"/>
      <c r="W83" s="388"/>
      <c r="X83" s="388"/>
    </row>
    <row r="84" spans="4:24">
      <c r="D84" s="370"/>
      <c r="L84" s="247"/>
      <c r="M84" s="247"/>
      <c r="N84" s="247"/>
      <c r="O84" s="247"/>
      <c r="P84" s="247"/>
      <c r="Q84" s="389"/>
      <c r="R84" s="389"/>
    </row>
    <row r="85" spans="4:24">
      <c r="D85" s="370"/>
      <c r="N85" s="388"/>
      <c r="O85" s="388"/>
      <c r="P85" s="388"/>
      <c r="Q85" s="388"/>
      <c r="R85" s="388"/>
      <c r="S85" s="249"/>
      <c r="T85" s="249"/>
      <c r="U85" s="249"/>
      <c r="V85" s="249"/>
      <c r="W85" s="249"/>
      <c r="X85" s="249"/>
    </row>
    <row r="86" spans="4:24">
      <c r="D86" s="345"/>
      <c r="E86" s="381"/>
      <c r="F86" s="381"/>
      <c r="G86" s="381"/>
      <c r="H86" s="381"/>
      <c r="I86" s="381"/>
      <c r="S86" s="390"/>
      <c r="T86" s="390"/>
      <c r="U86" s="390"/>
      <c r="V86" s="390"/>
      <c r="W86" s="390"/>
      <c r="X86" s="390"/>
    </row>
    <row r="87" spans="4:24">
      <c r="D87" s="370"/>
      <c r="E87" s="381"/>
      <c r="F87" s="381"/>
      <c r="G87" s="381"/>
      <c r="H87" s="381"/>
      <c r="I87" s="381"/>
      <c r="L87" s="389"/>
      <c r="M87" s="389"/>
      <c r="N87" s="389"/>
      <c r="O87" s="389"/>
      <c r="P87" s="389"/>
      <c r="Q87" s="391"/>
      <c r="R87" s="391"/>
      <c r="S87" s="249"/>
      <c r="T87" s="249"/>
      <c r="U87" s="249"/>
      <c r="V87" s="249"/>
      <c r="W87" s="249"/>
      <c r="X87" s="249"/>
    </row>
    <row r="88" spans="4:24">
      <c r="D88" s="370"/>
      <c r="K88" s="381"/>
      <c r="N88" s="388"/>
      <c r="O88" s="388"/>
      <c r="P88" s="388"/>
      <c r="Q88" s="388"/>
      <c r="R88" s="388"/>
      <c r="S88" s="388"/>
      <c r="T88" s="388"/>
      <c r="U88" s="388"/>
      <c r="V88" s="388"/>
      <c r="W88" s="388"/>
      <c r="X88" s="388"/>
    </row>
    <row r="89" spans="4:24">
      <c r="D89" s="345"/>
      <c r="E89" s="381"/>
      <c r="F89" s="381"/>
      <c r="G89" s="381"/>
      <c r="H89" s="381"/>
      <c r="I89" s="381"/>
      <c r="K89" s="381"/>
      <c r="Q89" s="248"/>
      <c r="R89" s="248"/>
      <c r="S89" s="248"/>
      <c r="T89" s="248"/>
      <c r="U89" s="248"/>
      <c r="V89" s="248"/>
      <c r="W89" s="248"/>
      <c r="X89" s="248"/>
    </row>
    <row r="90" spans="4:24">
      <c r="D90" s="370"/>
      <c r="J90" s="381"/>
      <c r="L90" s="391"/>
      <c r="M90" s="391"/>
      <c r="N90" s="391"/>
      <c r="O90" s="391"/>
      <c r="P90" s="391"/>
    </row>
    <row r="91" spans="4:24">
      <c r="D91" s="370"/>
      <c r="J91" s="381"/>
      <c r="N91" s="388"/>
      <c r="O91" s="388"/>
      <c r="P91" s="388"/>
      <c r="Q91" s="247"/>
      <c r="R91" s="247"/>
      <c r="S91" s="247"/>
      <c r="T91" s="247"/>
      <c r="U91" s="247"/>
      <c r="V91" s="247"/>
      <c r="W91" s="247"/>
      <c r="X91" s="247"/>
    </row>
    <row r="92" spans="4:24">
      <c r="D92" s="345"/>
      <c r="E92" s="381"/>
      <c r="F92" s="381"/>
      <c r="G92" s="381"/>
      <c r="H92" s="381"/>
      <c r="I92" s="381"/>
      <c r="K92" s="381"/>
      <c r="N92" s="248"/>
      <c r="O92" s="248"/>
      <c r="P92" s="248"/>
      <c r="Q92" s="388"/>
      <c r="R92" s="388"/>
      <c r="S92" s="388"/>
      <c r="T92" s="388"/>
      <c r="U92" s="388"/>
      <c r="V92" s="388"/>
      <c r="W92" s="388"/>
      <c r="X92" s="388"/>
    </row>
    <row r="93" spans="4:24">
      <c r="D93" s="370"/>
      <c r="K93" s="381"/>
      <c r="Q93" s="274"/>
      <c r="R93" s="274"/>
    </row>
    <row r="94" spans="4:24">
      <c r="D94" s="370"/>
      <c r="J94" s="381"/>
      <c r="L94" s="247"/>
      <c r="M94" s="247"/>
      <c r="N94" s="247"/>
      <c r="O94" s="247"/>
      <c r="P94" s="247"/>
      <c r="S94" s="389"/>
      <c r="T94" s="389"/>
      <c r="U94" s="389"/>
      <c r="V94" s="389"/>
      <c r="W94" s="389"/>
      <c r="X94" s="389"/>
    </row>
    <row r="95" spans="4:24">
      <c r="D95" s="370"/>
      <c r="J95" s="381"/>
      <c r="N95" s="388"/>
      <c r="O95" s="388"/>
      <c r="P95" s="388"/>
      <c r="Q95" s="389"/>
      <c r="R95" s="389"/>
      <c r="S95" s="388"/>
      <c r="T95" s="388"/>
      <c r="U95" s="388"/>
      <c r="V95" s="388"/>
      <c r="W95" s="388"/>
      <c r="X95" s="388"/>
    </row>
    <row r="96" spans="4:24">
      <c r="D96" s="345"/>
      <c r="E96" s="381"/>
      <c r="F96" s="381"/>
      <c r="G96" s="381"/>
      <c r="H96" s="381"/>
      <c r="I96" s="381"/>
      <c r="K96" s="381"/>
      <c r="L96" s="274"/>
      <c r="M96" s="274"/>
      <c r="N96" s="274"/>
      <c r="O96" s="274"/>
      <c r="P96" s="274"/>
      <c r="Q96" s="388"/>
      <c r="R96" s="388"/>
    </row>
    <row r="97" spans="4:24">
      <c r="D97" s="370"/>
      <c r="S97" s="391"/>
      <c r="T97" s="391"/>
      <c r="U97" s="391"/>
      <c r="V97" s="391"/>
      <c r="W97" s="391"/>
      <c r="X97" s="391"/>
    </row>
    <row r="98" spans="4:24">
      <c r="D98" s="370"/>
      <c r="E98" s="345"/>
      <c r="F98" s="345"/>
      <c r="G98" s="345"/>
      <c r="H98" s="345"/>
      <c r="I98" s="345"/>
      <c r="J98" s="381"/>
      <c r="L98" s="389"/>
      <c r="M98" s="389"/>
      <c r="N98" s="389"/>
      <c r="O98" s="389"/>
      <c r="P98" s="389"/>
      <c r="S98" s="388"/>
      <c r="T98" s="388"/>
      <c r="U98" s="388"/>
      <c r="V98" s="388"/>
      <c r="W98" s="388"/>
      <c r="X98" s="388"/>
    </row>
    <row r="99" spans="4:24">
      <c r="D99" s="370"/>
      <c r="E99" s="345"/>
      <c r="F99" s="345"/>
      <c r="G99" s="345"/>
      <c r="H99" s="345"/>
      <c r="I99" s="345"/>
      <c r="N99" s="388"/>
      <c r="O99" s="388"/>
      <c r="P99" s="388"/>
      <c r="Q99" s="249"/>
      <c r="R99" s="249"/>
      <c r="S99" s="248"/>
      <c r="T99" s="248"/>
      <c r="U99" s="248"/>
      <c r="V99" s="248"/>
      <c r="W99" s="248"/>
      <c r="X99" s="248"/>
    </row>
    <row r="100" spans="4:24">
      <c r="D100" s="370"/>
      <c r="Q100" s="388"/>
      <c r="R100" s="388"/>
    </row>
    <row r="101" spans="4:24">
      <c r="D101" s="370"/>
      <c r="S101" s="247"/>
      <c r="T101" s="247"/>
      <c r="U101" s="247"/>
      <c r="V101" s="247"/>
      <c r="W101" s="247"/>
      <c r="X101" s="247"/>
    </row>
    <row r="102" spans="4:24">
      <c r="D102" s="370"/>
      <c r="L102" s="249"/>
      <c r="M102" s="249"/>
      <c r="N102" s="249"/>
      <c r="O102" s="249"/>
      <c r="P102" s="249"/>
      <c r="Q102" s="249"/>
      <c r="R102" s="249"/>
      <c r="S102" s="388"/>
      <c r="T102" s="388"/>
      <c r="U102" s="388"/>
      <c r="V102" s="388"/>
      <c r="W102" s="388"/>
      <c r="X102" s="388"/>
    </row>
    <row r="103" spans="4:24">
      <c r="D103" s="345"/>
      <c r="E103" s="381"/>
      <c r="F103" s="381"/>
      <c r="G103" s="381"/>
      <c r="H103" s="381"/>
      <c r="I103" s="381"/>
      <c r="N103" s="388"/>
      <c r="O103" s="388"/>
      <c r="P103" s="388"/>
      <c r="Q103" s="390"/>
      <c r="R103" s="390"/>
      <c r="S103" s="274"/>
      <c r="T103" s="274"/>
      <c r="U103" s="274"/>
      <c r="V103" s="274"/>
      <c r="W103" s="274"/>
      <c r="X103" s="274"/>
    </row>
    <row r="104" spans="4:24">
      <c r="D104" s="345"/>
      <c r="E104" s="381"/>
      <c r="F104" s="381"/>
      <c r="G104" s="381"/>
      <c r="H104" s="381"/>
      <c r="I104" s="381"/>
    </row>
    <row r="105" spans="4:24">
      <c r="D105" s="370"/>
      <c r="E105" s="381"/>
      <c r="F105" s="381"/>
      <c r="G105" s="381"/>
      <c r="H105" s="381"/>
      <c r="I105" s="381"/>
      <c r="L105" s="249"/>
      <c r="M105" s="249"/>
      <c r="N105" s="249"/>
      <c r="O105" s="249"/>
      <c r="P105" s="249"/>
      <c r="Q105" s="389"/>
      <c r="R105" s="389"/>
      <c r="S105" s="389"/>
      <c r="T105" s="389"/>
      <c r="U105" s="389"/>
      <c r="V105" s="389"/>
      <c r="W105" s="389"/>
      <c r="X105" s="389"/>
    </row>
    <row r="106" spans="4:24">
      <c r="D106" s="370"/>
      <c r="E106" s="381"/>
      <c r="F106" s="381"/>
      <c r="G106" s="381"/>
      <c r="H106" s="381"/>
      <c r="I106" s="381"/>
      <c r="N106" s="388"/>
      <c r="O106" s="388"/>
      <c r="P106" s="390"/>
      <c r="Q106" s="392"/>
      <c r="R106" s="392"/>
      <c r="S106" s="388"/>
      <c r="T106" s="388"/>
      <c r="U106" s="388"/>
      <c r="V106" s="388"/>
      <c r="W106" s="388"/>
      <c r="X106" s="388"/>
    </row>
    <row r="107" spans="4:24">
      <c r="D107" s="370"/>
      <c r="Q107" s="392"/>
      <c r="R107" s="392"/>
    </row>
    <row r="108" spans="4:24">
      <c r="D108" s="345"/>
      <c r="E108" s="381"/>
      <c r="F108" s="381"/>
      <c r="G108" s="381"/>
      <c r="H108" s="381"/>
      <c r="I108" s="381"/>
      <c r="L108" s="389"/>
      <c r="M108" s="389"/>
      <c r="N108" s="389"/>
      <c r="O108" s="389"/>
      <c r="P108" s="389"/>
    </row>
    <row r="109" spans="4:24">
      <c r="D109" s="370"/>
      <c r="E109" s="381"/>
      <c r="F109" s="381"/>
      <c r="G109" s="381"/>
      <c r="H109" s="381"/>
      <c r="I109" s="381"/>
      <c r="N109" s="392"/>
      <c r="O109" s="392"/>
      <c r="P109" s="392"/>
      <c r="Q109" s="388"/>
      <c r="R109" s="388"/>
      <c r="S109" s="249"/>
      <c r="T109" s="249"/>
      <c r="U109" s="249"/>
      <c r="V109" s="249"/>
      <c r="W109" s="249"/>
      <c r="X109" s="249"/>
    </row>
    <row r="110" spans="4:24">
      <c r="D110" s="370"/>
      <c r="E110" s="381"/>
      <c r="F110" s="381"/>
      <c r="G110" s="381"/>
      <c r="H110" s="381"/>
      <c r="I110" s="381"/>
      <c r="L110" s="392"/>
      <c r="M110" s="392"/>
      <c r="N110" s="392"/>
      <c r="O110" s="392"/>
      <c r="P110" s="392"/>
      <c r="Q110" s="389"/>
      <c r="R110" s="389"/>
      <c r="S110" s="388"/>
      <c r="T110" s="388"/>
      <c r="U110" s="388"/>
      <c r="V110" s="388"/>
      <c r="W110" s="388"/>
      <c r="X110" s="388"/>
    </row>
    <row r="111" spans="4:24">
      <c r="D111" s="370"/>
      <c r="K111" s="381"/>
      <c r="R111" s="392"/>
    </row>
    <row r="112" spans="4:24">
      <c r="D112" s="370"/>
      <c r="K112" s="381"/>
      <c r="L112" s="388"/>
      <c r="M112" s="388"/>
      <c r="N112" s="388"/>
      <c r="O112" s="388"/>
      <c r="P112" s="388"/>
      <c r="S112" s="249"/>
      <c r="T112" s="249"/>
      <c r="U112" s="249"/>
      <c r="V112" s="249"/>
      <c r="W112" s="249"/>
      <c r="X112" s="249"/>
    </row>
    <row r="113" spans="4:24">
      <c r="D113" s="370"/>
      <c r="J113" s="381"/>
      <c r="L113" s="389"/>
      <c r="M113" s="389"/>
      <c r="N113" s="389"/>
      <c r="O113" s="389"/>
      <c r="P113" s="389"/>
      <c r="Q113" s="389"/>
      <c r="R113" s="389"/>
      <c r="S113" s="390"/>
      <c r="T113" s="390"/>
      <c r="U113" s="390"/>
      <c r="V113" s="390"/>
      <c r="W113" s="390"/>
      <c r="X113" s="390"/>
    </row>
    <row r="114" spans="4:24">
      <c r="D114" s="370"/>
      <c r="J114" s="381"/>
      <c r="K114" s="381"/>
      <c r="Q114" s="392"/>
      <c r="R114" s="392"/>
    </row>
    <row r="115" spans="4:24">
      <c r="D115" s="370"/>
      <c r="K115" s="381"/>
      <c r="S115" s="389"/>
      <c r="T115" s="389"/>
      <c r="U115" s="389"/>
      <c r="V115" s="389"/>
      <c r="W115" s="389"/>
      <c r="X115" s="389"/>
    </row>
    <row r="116" spans="4:24">
      <c r="D116" s="370"/>
      <c r="J116" s="381"/>
      <c r="K116" s="381"/>
      <c r="L116" s="389"/>
      <c r="M116" s="389"/>
      <c r="N116" s="389"/>
      <c r="O116" s="389"/>
      <c r="P116" s="389"/>
      <c r="S116" s="392"/>
      <c r="T116" s="392"/>
      <c r="U116" s="392"/>
      <c r="V116" s="392"/>
      <c r="W116" s="392"/>
      <c r="X116" s="392"/>
    </row>
    <row r="117" spans="4:24">
      <c r="D117" s="370"/>
      <c r="J117" s="381"/>
      <c r="N117" s="392"/>
      <c r="O117" s="392"/>
      <c r="P117" s="392"/>
      <c r="S117" s="392"/>
      <c r="T117" s="392"/>
      <c r="U117" s="392"/>
      <c r="V117" s="392"/>
      <c r="W117" s="392"/>
      <c r="X117" s="392"/>
    </row>
    <row r="118" spans="4:24">
      <c r="D118" s="370"/>
      <c r="J118" s="381"/>
    </row>
    <row r="119" spans="4:24">
      <c r="D119" s="370"/>
      <c r="K119" s="381"/>
      <c r="S119" s="388"/>
      <c r="T119" s="388"/>
      <c r="U119" s="388"/>
      <c r="V119" s="388"/>
      <c r="W119" s="388"/>
      <c r="X119" s="388"/>
    </row>
    <row r="120" spans="4:24">
      <c r="D120" s="345"/>
      <c r="E120" s="381"/>
      <c r="F120" s="381"/>
      <c r="G120" s="381"/>
      <c r="H120" s="381"/>
      <c r="I120" s="381"/>
      <c r="K120" s="381"/>
      <c r="S120" s="389"/>
      <c r="T120" s="389"/>
      <c r="U120" s="389"/>
      <c r="V120" s="389"/>
      <c r="W120" s="389"/>
      <c r="X120" s="389"/>
    </row>
    <row r="121" spans="4:24">
      <c r="D121" s="370"/>
      <c r="J121" s="381"/>
      <c r="S121" s="392"/>
      <c r="T121" s="392"/>
      <c r="U121" s="392"/>
      <c r="V121" s="392"/>
      <c r="W121" s="392"/>
      <c r="X121" s="392"/>
    </row>
    <row r="122" spans="4:24">
      <c r="D122" s="370"/>
      <c r="J122" s="381"/>
    </row>
    <row r="123" spans="4:24">
      <c r="D123" s="345"/>
      <c r="E123" s="381"/>
      <c r="F123" s="381"/>
      <c r="G123" s="381"/>
      <c r="H123" s="381"/>
      <c r="I123" s="381"/>
      <c r="S123" s="389"/>
      <c r="T123" s="389"/>
      <c r="U123" s="389"/>
      <c r="V123" s="389"/>
      <c r="W123" s="389"/>
      <c r="X123" s="389"/>
    </row>
    <row r="124" spans="4:24">
      <c r="D124" s="370"/>
      <c r="S124" s="392"/>
      <c r="T124" s="392"/>
      <c r="U124" s="392"/>
      <c r="V124" s="392"/>
      <c r="W124" s="392"/>
      <c r="X124" s="392"/>
    </row>
    <row r="125" spans="4:24">
      <c r="D125" s="345"/>
      <c r="E125" s="381"/>
      <c r="F125" s="381"/>
      <c r="G125" s="381"/>
      <c r="H125" s="381"/>
      <c r="I125" s="381"/>
    </row>
    <row r="126" spans="4:24">
      <c r="D126" s="370"/>
      <c r="E126" s="381"/>
      <c r="F126" s="381"/>
      <c r="G126" s="381"/>
      <c r="H126" s="381"/>
      <c r="I126" s="381"/>
    </row>
    <row r="127" spans="4:24">
      <c r="D127" s="370"/>
    </row>
    <row r="128" spans="4:24">
      <c r="D128" s="370"/>
    </row>
    <row r="129" spans="4:11">
      <c r="D129" s="345"/>
      <c r="E129" s="381"/>
      <c r="F129" s="381"/>
      <c r="G129" s="381"/>
      <c r="H129" s="381"/>
      <c r="I129" s="381"/>
    </row>
    <row r="130" spans="4:11">
      <c r="D130" s="370"/>
      <c r="E130" s="381"/>
      <c r="F130" s="381"/>
      <c r="G130" s="381"/>
      <c r="H130" s="381"/>
      <c r="I130" s="381"/>
    </row>
    <row r="131" spans="4:11">
      <c r="D131" s="370"/>
      <c r="K131" s="381"/>
    </row>
    <row r="132" spans="4:11">
      <c r="D132" s="345"/>
      <c r="E132" s="381"/>
      <c r="F132" s="381"/>
      <c r="G132" s="381"/>
      <c r="H132" s="381"/>
      <c r="I132" s="381"/>
      <c r="K132" s="381"/>
    </row>
    <row r="133" spans="4:11">
      <c r="D133" s="370"/>
      <c r="J133" s="381"/>
    </row>
    <row r="134" spans="4:11">
      <c r="D134" s="370"/>
      <c r="J134" s="381"/>
    </row>
    <row r="135" spans="4:11">
      <c r="D135" s="345"/>
      <c r="E135" s="381"/>
      <c r="F135" s="381"/>
      <c r="G135" s="381"/>
      <c r="H135" s="381"/>
      <c r="I135" s="381"/>
      <c r="K135" s="381"/>
    </row>
    <row r="136" spans="4:11">
      <c r="D136" s="370"/>
      <c r="K136" s="381"/>
    </row>
    <row r="137" spans="4:11">
      <c r="D137" s="370"/>
      <c r="J137" s="381"/>
    </row>
    <row r="138" spans="4:11">
      <c r="D138" s="370"/>
      <c r="J138" s="381"/>
    </row>
    <row r="139" spans="4:11">
      <c r="D139" s="345"/>
      <c r="E139" s="381"/>
      <c r="F139" s="381"/>
      <c r="G139" s="381"/>
      <c r="H139" s="381"/>
      <c r="I139" s="381"/>
      <c r="K139" s="381"/>
    </row>
    <row r="140" spans="4:11">
      <c r="D140" s="370"/>
    </row>
    <row r="141" spans="4:11">
      <c r="D141" s="370"/>
      <c r="E141" s="345"/>
      <c r="F141" s="345"/>
      <c r="G141" s="345"/>
      <c r="H141" s="345"/>
      <c r="I141" s="345"/>
      <c r="J141" s="381"/>
    </row>
    <row r="142" spans="4:11">
      <c r="D142" s="370"/>
      <c r="E142" s="345"/>
      <c r="F142" s="345"/>
      <c r="G142" s="345"/>
      <c r="H142" s="345"/>
      <c r="I142" s="345"/>
    </row>
    <row r="143" spans="4:11">
      <c r="D143" s="370"/>
    </row>
    <row r="144" spans="4:11">
      <c r="D144" s="370"/>
    </row>
    <row r="146" spans="4:11">
      <c r="D146" s="345"/>
      <c r="E146" s="381"/>
      <c r="F146" s="381"/>
      <c r="G146" s="381"/>
      <c r="H146" s="381"/>
      <c r="I146" s="381"/>
    </row>
    <row r="147" spans="4:11">
      <c r="D147" s="345"/>
      <c r="E147" s="381"/>
      <c r="F147" s="381"/>
      <c r="G147" s="381"/>
      <c r="H147" s="381"/>
      <c r="I147" s="381"/>
    </row>
    <row r="148" spans="4:11">
      <c r="D148" s="370"/>
      <c r="E148" s="381"/>
      <c r="F148" s="381"/>
      <c r="G148" s="381"/>
      <c r="H148" s="381"/>
      <c r="I148" s="381"/>
    </row>
    <row r="149" spans="4:11">
      <c r="D149" s="370"/>
      <c r="E149" s="381"/>
      <c r="F149" s="381"/>
      <c r="G149" s="381"/>
      <c r="H149" s="381"/>
      <c r="I149" s="381"/>
    </row>
    <row r="150" spans="4:11">
      <c r="D150" s="370"/>
    </row>
    <row r="151" spans="4:11">
      <c r="D151" s="345"/>
      <c r="E151" s="381"/>
      <c r="F151" s="381"/>
      <c r="G151" s="381"/>
      <c r="H151" s="381"/>
      <c r="I151" s="381"/>
    </row>
    <row r="152" spans="4:11">
      <c r="D152" s="370"/>
      <c r="E152" s="381"/>
      <c r="F152" s="381"/>
      <c r="G152" s="381"/>
      <c r="H152" s="381"/>
      <c r="I152" s="381"/>
    </row>
    <row r="153" spans="4:11">
      <c r="D153" s="370"/>
      <c r="E153" s="381"/>
      <c r="F153" s="381"/>
      <c r="G153" s="381"/>
      <c r="H153" s="381"/>
      <c r="I153" s="381"/>
    </row>
    <row r="154" spans="4:11">
      <c r="D154" s="370"/>
      <c r="K154" s="381"/>
    </row>
    <row r="155" spans="4:11">
      <c r="D155" s="370"/>
      <c r="K155" s="381"/>
    </row>
    <row r="156" spans="4:11">
      <c r="D156" s="370"/>
      <c r="J156" s="381"/>
    </row>
    <row r="157" spans="4:11">
      <c r="D157" s="370"/>
      <c r="J157" s="381"/>
      <c r="K157" s="381"/>
    </row>
    <row r="158" spans="4:11">
      <c r="D158" s="370"/>
      <c r="K158" s="381"/>
    </row>
    <row r="159" spans="4:11">
      <c r="D159" s="370"/>
      <c r="J159" s="381"/>
      <c r="K159" s="381"/>
    </row>
    <row r="160" spans="4:11">
      <c r="D160" s="370"/>
      <c r="J160" s="381"/>
    </row>
    <row r="161" spans="4:11">
      <c r="D161" s="370"/>
      <c r="J161" s="381"/>
    </row>
    <row r="162" spans="4:11">
      <c r="D162" s="370"/>
      <c r="K162" s="381"/>
    </row>
    <row r="163" spans="4:11">
      <c r="D163" s="345"/>
      <c r="E163" s="381"/>
      <c r="F163" s="381"/>
      <c r="G163" s="381"/>
      <c r="H163" s="381"/>
      <c r="I163" s="381"/>
      <c r="K163" s="381"/>
    </row>
    <row r="164" spans="4:11">
      <c r="D164" s="370"/>
      <c r="J164" s="381"/>
    </row>
    <row r="165" spans="4:11">
      <c r="D165" s="370"/>
      <c r="J165" s="381"/>
    </row>
    <row r="166" spans="4:11">
      <c r="D166" s="345"/>
      <c r="E166" s="381"/>
      <c r="F166" s="381"/>
      <c r="G166" s="381"/>
      <c r="H166" s="381"/>
      <c r="I166" s="381"/>
    </row>
    <row r="167" spans="4:11">
      <c r="D167" s="370"/>
    </row>
    <row r="168" spans="4:11">
      <c r="D168" s="345"/>
      <c r="E168" s="381"/>
      <c r="F168" s="381"/>
      <c r="G168" s="381"/>
      <c r="H168" s="381"/>
      <c r="I168" s="381"/>
    </row>
    <row r="169" spans="4:11">
      <c r="D169" s="370"/>
      <c r="E169" s="381"/>
      <c r="F169" s="381"/>
      <c r="G169" s="381"/>
      <c r="H169" s="381"/>
      <c r="I169" s="381"/>
    </row>
    <row r="170" spans="4:11">
      <c r="D170" s="370"/>
    </row>
    <row r="171" spans="4:11">
      <c r="D171" s="370"/>
    </row>
    <row r="172" spans="4:11">
      <c r="D172" s="345"/>
      <c r="E172" s="381"/>
      <c r="F172" s="381"/>
      <c r="G172" s="381"/>
      <c r="H172" s="381"/>
      <c r="I172" s="381"/>
    </row>
    <row r="173" spans="4:11">
      <c r="D173" s="370"/>
      <c r="E173" s="381"/>
      <c r="F173" s="381"/>
      <c r="G173" s="381"/>
      <c r="H173" s="381"/>
      <c r="I173" s="381"/>
    </row>
    <row r="174" spans="4:11">
      <c r="D174" s="370"/>
      <c r="K174" s="381"/>
    </row>
    <row r="175" spans="4:11">
      <c r="D175" s="345"/>
      <c r="E175" s="381"/>
      <c r="F175" s="381"/>
      <c r="G175" s="381"/>
      <c r="H175" s="381"/>
      <c r="I175" s="381"/>
      <c r="K175" s="381"/>
    </row>
    <row r="176" spans="4:11">
      <c r="D176" s="370"/>
      <c r="J176" s="381"/>
    </row>
    <row r="177" spans="4:11">
      <c r="D177" s="370"/>
      <c r="J177" s="381"/>
    </row>
    <row r="178" spans="4:11">
      <c r="D178" s="345"/>
      <c r="E178" s="381"/>
      <c r="F178" s="381"/>
      <c r="G178" s="381"/>
      <c r="H178" s="381"/>
      <c r="I178" s="381"/>
      <c r="K178" s="381"/>
    </row>
    <row r="179" spans="4:11">
      <c r="D179" s="370"/>
      <c r="K179" s="381"/>
    </row>
    <row r="180" spans="4:11">
      <c r="D180" s="370"/>
      <c r="J180" s="381"/>
    </row>
    <row r="181" spans="4:11">
      <c r="D181" s="370"/>
      <c r="J181" s="381"/>
    </row>
    <row r="182" spans="4:11">
      <c r="D182" s="345"/>
      <c r="E182" s="381"/>
      <c r="F182" s="381"/>
      <c r="G182" s="381"/>
      <c r="H182" s="381"/>
      <c r="I182" s="381"/>
      <c r="K182" s="381"/>
    </row>
    <row r="183" spans="4:11">
      <c r="D183" s="370"/>
    </row>
    <row r="184" spans="4:11">
      <c r="D184" s="370"/>
      <c r="E184" s="345"/>
      <c r="F184" s="345"/>
      <c r="G184" s="345"/>
      <c r="H184" s="345"/>
      <c r="I184" s="345"/>
      <c r="J184" s="381"/>
    </row>
    <row r="185" spans="4:11">
      <c r="D185" s="370"/>
      <c r="E185" s="345"/>
      <c r="F185" s="345"/>
      <c r="G185" s="345"/>
      <c r="H185" s="345"/>
      <c r="I185" s="345"/>
    </row>
    <row r="186" spans="4:11">
      <c r="D186" s="370"/>
    </row>
    <row r="187" spans="4:11">
      <c r="D187" s="370"/>
    </row>
    <row r="188" spans="4:11">
      <c r="D188" s="370"/>
    </row>
    <row r="189" spans="4:11">
      <c r="D189" s="345"/>
      <c r="E189" s="381"/>
      <c r="F189" s="381"/>
      <c r="G189" s="381"/>
      <c r="H189" s="381"/>
      <c r="I189" s="381"/>
    </row>
    <row r="190" spans="4:11">
      <c r="D190" s="345"/>
      <c r="E190" s="381"/>
      <c r="F190" s="381"/>
      <c r="G190" s="381"/>
      <c r="H190" s="381"/>
      <c r="I190" s="381"/>
    </row>
    <row r="191" spans="4:11">
      <c r="D191" s="370"/>
      <c r="E191" s="381"/>
      <c r="F191" s="381"/>
      <c r="G191" s="381"/>
      <c r="H191" s="381"/>
      <c r="I191" s="381"/>
    </row>
    <row r="192" spans="4:11">
      <c r="D192" s="370"/>
      <c r="E192" s="381"/>
      <c r="F192" s="381"/>
      <c r="G192" s="381"/>
      <c r="H192" s="381"/>
      <c r="I192" s="381"/>
    </row>
    <row r="193" spans="4:11">
      <c r="D193" s="370"/>
    </row>
    <row r="194" spans="4:11">
      <c r="D194" s="345"/>
      <c r="E194" s="381"/>
      <c r="F194" s="381"/>
      <c r="G194" s="381"/>
      <c r="H194" s="381"/>
      <c r="I194" s="381"/>
    </row>
    <row r="195" spans="4:11">
      <c r="D195" s="370"/>
      <c r="E195" s="381"/>
      <c r="F195" s="381"/>
      <c r="G195" s="381"/>
      <c r="H195" s="381"/>
      <c r="I195" s="381"/>
    </row>
    <row r="196" spans="4:11">
      <c r="D196" s="370"/>
      <c r="E196" s="381"/>
      <c r="F196" s="381"/>
      <c r="G196" s="381"/>
      <c r="H196" s="381"/>
      <c r="I196" s="381"/>
    </row>
    <row r="197" spans="4:11">
      <c r="D197" s="370"/>
      <c r="K197" s="381"/>
    </row>
    <row r="198" spans="4:11">
      <c r="D198" s="370"/>
      <c r="K198" s="381"/>
    </row>
    <row r="199" spans="4:11">
      <c r="D199" s="370"/>
      <c r="J199" s="381"/>
    </row>
    <row r="200" spans="4:11">
      <c r="D200" s="370"/>
      <c r="J200" s="381"/>
      <c r="K200" s="381"/>
    </row>
    <row r="201" spans="4:11">
      <c r="D201" s="370"/>
      <c r="K201" s="381"/>
    </row>
    <row r="202" spans="4:11">
      <c r="D202" s="370"/>
      <c r="J202" s="381"/>
      <c r="K202" s="381"/>
    </row>
    <row r="203" spans="4:11">
      <c r="D203" s="370"/>
      <c r="J203" s="381"/>
    </row>
    <row r="204" spans="4:11">
      <c r="D204" s="370"/>
      <c r="J204" s="381"/>
    </row>
    <row r="205" spans="4:11">
      <c r="D205" s="370"/>
      <c r="K205" s="381"/>
    </row>
    <row r="206" spans="4:11">
      <c r="D206" s="345"/>
      <c r="E206" s="381"/>
      <c r="F206" s="381"/>
      <c r="G206" s="381"/>
      <c r="H206" s="381"/>
      <c r="I206" s="381"/>
      <c r="K206" s="381"/>
    </row>
    <row r="207" spans="4:11">
      <c r="D207" s="370"/>
      <c r="J207" s="381"/>
    </row>
    <row r="208" spans="4:11">
      <c r="D208" s="370"/>
      <c r="J208" s="381"/>
    </row>
    <row r="209" spans="4:11">
      <c r="D209" s="345"/>
      <c r="E209" s="381"/>
      <c r="F209" s="381"/>
      <c r="G209" s="381"/>
      <c r="H209" s="381"/>
      <c r="I209" s="381"/>
    </row>
    <row r="210" spans="4:11">
      <c r="D210" s="370"/>
    </row>
    <row r="211" spans="4:11">
      <c r="D211" s="345"/>
      <c r="E211" s="381"/>
      <c r="F211" s="381"/>
      <c r="G211" s="381"/>
      <c r="H211" s="381"/>
      <c r="I211" s="381"/>
    </row>
    <row r="212" spans="4:11">
      <c r="D212" s="370"/>
      <c r="E212" s="381"/>
      <c r="F212" s="381"/>
      <c r="G212" s="381"/>
      <c r="H212" s="381"/>
      <c r="I212" s="381"/>
    </row>
    <row r="213" spans="4:11">
      <c r="D213" s="370"/>
    </row>
    <row r="214" spans="4:11">
      <c r="D214" s="370"/>
    </row>
    <row r="215" spans="4:11">
      <c r="D215" s="345"/>
      <c r="E215" s="381"/>
      <c r="F215" s="381"/>
      <c r="G215" s="381"/>
      <c r="H215" s="381"/>
      <c r="I215" s="381"/>
    </row>
    <row r="216" spans="4:11">
      <c r="D216" s="370"/>
      <c r="E216" s="381"/>
      <c r="F216" s="381"/>
      <c r="G216" s="381"/>
      <c r="H216" s="381"/>
      <c r="I216" s="381"/>
    </row>
    <row r="217" spans="4:11">
      <c r="D217" s="370"/>
      <c r="K217" s="381"/>
    </row>
    <row r="218" spans="4:11">
      <c r="D218" s="345"/>
      <c r="E218" s="381"/>
      <c r="F218" s="381"/>
      <c r="G218" s="381"/>
      <c r="H218" s="381"/>
      <c r="I218" s="381"/>
      <c r="K218" s="381"/>
    </row>
    <row r="219" spans="4:11">
      <c r="D219" s="370"/>
      <c r="J219" s="381"/>
    </row>
    <row r="220" spans="4:11">
      <c r="D220" s="370"/>
      <c r="J220" s="381"/>
    </row>
    <row r="221" spans="4:11">
      <c r="D221" s="345"/>
      <c r="E221" s="381"/>
      <c r="F221" s="381"/>
      <c r="G221" s="381"/>
      <c r="H221" s="381"/>
      <c r="I221" s="381"/>
      <c r="K221" s="381"/>
    </row>
    <row r="222" spans="4:11">
      <c r="D222" s="370"/>
      <c r="K222" s="381"/>
    </row>
    <row r="223" spans="4:11">
      <c r="D223" s="370"/>
      <c r="J223" s="381"/>
    </row>
    <row r="224" spans="4:11">
      <c r="D224" s="370"/>
      <c r="J224" s="381"/>
    </row>
    <row r="225" spans="4:11">
      <c r="D225" s="345"/>
      <c r="E225" s="381"/>
      <c r="F225" s="381"/>
      <c r="G225" s="381"/>
      <c r="H225" s="381"/>
      <c r="I225" s="381"/>
      <c r="K225" s="381"/>
    </row>
    <row r="226" spans="4:11">
      <c r="D226" s="370"/>
    </row>
    <row r="227" spans="4:11">
      <c r="D227" s="370"/>
      <c r="E227" s="345"/>
      <c r="F227" s="345"/>
      <c r="G227" s="345"/>
      <c r="H227" s="345"/>
      <c r="I227" s="345"/>
      <c r="J227" s="381"/>
    </row>
    <row r="228" spans="4:11">
      <c r="D228" s="370"/>
      <c r="E228" s="345"/>
      <c r="F228" s="345"/>
      <c r="G228" s="345"/>
      <c r="H228" s="345"/>
      <c r="I228" s="345"/>
    </row>
    <row r="229" spans="4:11">
      <c r="D229" s="370"/>
    </row>
    <row r="230" spans="4:11">
      <c r="D230" s="370"/>
    </row>
    <row r="231" spans="4:11">
      <c r="D231" s="370"/>
    </row>
    <row r="232" spans="4:11">
      <c r="D232" s="345"/>
      <c r="E232" s="381"/>
      <c r="F232" s="381"/>
      <c r="G232" s="381"/>
      <c r="H232" s="381"/>
      <c r="I232" s="381"/>
    </row>
    <row r="233" spans="4:11">
      <c r="D233" s="345"/>
      <c r="E233" s="381"/>
      <c r="F233" s="381"/>
      <c r="G233" s="381"/>
      <c r="H233" s="381"/>
      <c r="I233" s="381"/>
    </row>
    <row r="234" spans="4:11">
      <c r="D234" s="370"/>
      <c r="E234" s="381"/>
      <c r="F234" s="381"/>
      <c r="G234" s="381"/>
      <c r="H234" s="381"/>
      <c r="I234" s="381"/>
    </row>
    <row r="235" spans="4:11">
      <c r="D235" s="370"/>
      <c r="E235" s="381"/>
      <c r="F235" s="381"/>
      <c r="G235" s="381"/>
      <c r="H235" s="381"/>
      <c r="I235" s="381"/>
    </row>
    <row r="236" spans="4:11">
      <c r="D236" s="370"/>
    </row>
    <row r="237" spans="4:11">
      <c r="D237" s="345"/>
      <c r="E237" s="381"/>
      <c r="F237" s="381"/>
      <c r="G237" s="381"/>
      <c r="H237" s="381"/>
      <c r="I237" s="381"/>
    </row>
    <row r="238" spans="4:11">
      <c r="D238" s="370"/>
      <c r="E238" s="381"/>
      <c r="F238" s="381"/>
      <c r="G238" s="381"/>
      <c r="H238" s="381"/>
      <c r="I238" s="381"/>
    </row>
    <row r="239" spans="4:11">
      <c r="D239" s="370"/>
      <c r="E239" s="381"/>
      <c r="F239" s="381"/>
      <c r="G239" s="381"/>
      <c r="H239" s="381"/>
      <c r="I239" s="381"/>
    </row>
    <row r="240" spans="4:11">
      <c r="D240" s="370"/>
      <c r="K240" s="381"/>
    </row>
    <row r="241" spans="4:11">
      <c r="D241" s="370"/>
      <c r="K241" s="381"/>
    </row>
    <row r="242" spans="4:11">
      <c r="D242" s="370"/>
      <c r="J242" s="381"/>
    </row>
    <row r="243" spans="4:11">
      <c r="D243" s="370"/>
      <c r="J243" s="381"/>
      <c r="K243" s="381"/>
    </row>
    <row r="244" spans="4:11">
      <c r="D244" s="370"/>
      <c r="K244" s="381"/>
    </row>
    <row r="245" spans="4:11">
      <c r="D245" s="370"/>
      <c r="J245" s="381"/>
      <c r="K245" s="381"/>
    </row>
    <row r="246" spans="4:11">
      <c r="D246" s="370"/>
      <c r="J246" s="381"/>
    </row>
    <row r="247" spans="4:11">
      <c r="D247" s="370"/>
      <c r="J247" s="381"/>
    </row>
    <row r="248" spans="4:11">
      <c r="D248" s="370"/>
      <c r="K248" s="381"/>
    </row>
    <row r="249" spans="4:11">
      <c r="D249" s="345"/>
      <c r="E249" s="381"/>
      <c r="F249" s="381"/>
      <c r="G249" s="381"/>
      <c r="H249" s="381"/>
      <c r="I249" s="381"/>
      <c r="K249" s="381"/>
    </row>
    <row r="250" spans="4:11">
      <c r="D250" s="370"/>
      <c r="J250" s="381"/>
    </row>
    <row r="251" spans="4:11">
      <c r="D251" s="370"/>
      <c r="J251" s="381"/>
    </row>
    <row r="252" spans="4:11">
      <c r="D252" s="345"/>
      <c r="E252" s="381"/>
      <c r="F252" s="381"/>
      <c r="G252" s="381"/>
      <c r="H252" s="381"/>
      <c r="I252" s="381"/>
    </row>
    <row r="253" spans="4:11">
      <c r="D253" s="370"/>
    </row>
    <row r="254" spans="4:11">
      <c r="D254" s="345"/>
      <c r="E254" s="381"/>
      <c r="F254" s="381"/>
      <c r="G254" s="381"/>
      <c r="H254" s="381"/>
      <c r="I254" s="381"/>
    </row>
    <row r="255" spans="4:11">
      <c r="D255" s="370"/>
      <c r="E255" s="381"/>
      <c r="F255" s="381"/>
      <c r="G255" s="381"/>
      <c r="H255" s="381"/>
      <c r="I255" s="381"/>
    </row>
    <row r="256" spans="4:11">
      <c r="D256" s="370"/>
    </row>
    <row r="257" spans="4:11">
      <c r="D257" s="370"/>
    </row>
    <row r="258" spans="4:11">
      <c r="D258" s="345"/>
      <c r="E258" s="381"/>
      <c r="F258" s="381"/>
      <c r="G258" s="381"/>
      <c r="H258" s="381"/>
      <c r="I258" s="381"/>
    </row>
    <row r="259" spans="4:11">
      <c r="D259" s="370"/>
      <c r="E259" s="381"/>
      <c r="F259" s="381"/>
      <c r="G259" s="381"/>
      <c r="H259" s="381"/>
      <c r="I259" s="381"/>
    </row>
    <row r="260" spans="4:11">
      <c r="D260" s="370"/>
      <c r="K260" s="381"/>
    </row>
    <row r="261" spans="4:11">
      <c r="D261" s="345"/>
      <c r="E261" s="381"/>
      <c r="F261" s="381"/>
      <c r="G261" s="381"/>
      <c r="H261" s="381"/>
      <c r="I261" s="381"/>
      <c r="K261" s="381"/>
    </row>
    <row r="262" spans="4:11">
      <c r="D262" s="370"/>
      <c r="J262" s="381"/>
    </row>
    <row r="263" spans="4:11">
      <c r="D263" s="370"/>
      <c r="J263" s="381"/>
    </row>
    <row r="264" spans="4:11">
      <c r="D264" s="345"/>
      <c r="E264" s="381"/>
      <c r="F264" s="381"/>
      <c r="G264" s="381"/>
      <c r="H264" s="381"/>
      <c r="I264" s="381"/>
      <c r="K264" s="381"/>
    </row>
    <row r="265" spans="4:11">
      <c r="D265" s="370"/>
      <c r="K265" s="381"/>
    </row>
    <row r="266" spans="4:11">
      <c r="D266" s="370"/>
      <c r="J266" s="381"/>
    </row>
    <row r="267" spans="4:11">
      <c r="D267" s="370"/>
      <c r="J267" s="381"/>
    </row>
    <row r="268" spans="4:11">
      <c r="D268" s="345"/>
      <c r="E268" s="381"/>
      <c r="F268" s="381"/>
      <c r="G268" s="381"/>
      <c r="H268" s="381"/>
      <c r="I268" s="381"/>
      <c r="K268" s="381"/>
    </row>
    <row r="269" spans="4:11">
      <c r="D269" s="370"/>
    </row>
    <row r="270" spans="4:11">
      <c r="D270" s="370"/>
      <c r="E270" s="345"/>
      <c r="F270" s="345"/>
      <c r="G270" s="345"/>
      <c r="H270" s="345"/>
      <c r="I270" s="345"/>
      <c r="J270" s="381"/>
    </row>
    <row r="271" spans="4:11">
      <c r="D271" s="370"/>
      <c r="E271" s="345"/>
      <c r="F271" s="345"/>
      <c r="G271" s="345"/>
      <c r="H271" s="345"/>
      <c r="I271" s="345"/>
    </row>
    <row r="272" spans="4:11">
      <c r="D272" s="370"/>
    </row>
    <row r="273" spans="4:4">
      <c r="D273" s="370"/>
    </row>
    <row r="274" spans="4:4">
      <c r="D274" s="370"/>
    </row>
    <row r="275" spans="4:4">
      <c r="D275" s="370"/>
    </row>
    <row r="276" spans="4:4">
      <c r="D276" s="370"/>
    </row>
    <row r="277" spans="4:4">
      <c r="D277" s="370"/>
    </row>
    <row r="278" spans="4:4">
      <c r="D278" s="370"/>
    </row>
    <row r="279" spans="4:4">
      <c r="D279" s="370"/>
    </row>
    <row r="280" spans="4:4">
      <c r="D280" s="370"/>
    </row>
    <row r="281" spans="4:4">
      <c r="D281" s="370"/>
    </row>
    <row r="282" spans="4:4">
      <c r="D282" s="370"/>
    </row>
    <row r="283" spans="4:4">
      <c r="D283" s="370"/>
    </row>
    <row r="284" spans="4:4">
      <c r="D284" s="370"/>
    </row>
    <row r="285" spans="4:4">
      <c r="D285" s="370"/>
    </row>
    <row r="286" spans="4:4">
      <c r="D286" s="370"/>
    </row>
    <row r="287" spans="4:4">
      <c r="D287" s="370"/>
    </row>
    <row r="288" spans="4:4">
      <c r="D288" s="370"/>
    </row>
    <row r="289" spans="4:4">
      <c r="D289" s="370"/>
    </row>
    <row r="290" spans="4:4">
      <c r="D290" s="370"/>
    </row>
    <row r="291" spans="4:4">
      <c r="D291" s="370"/>
    </row>
    <row r="292" spans="4:4">
      <c r="D292" s="370"/>
    </row>
    <row r="293" spans="4:4">
      <c r="D293" s="370"/>
    </row>
    <row r="294" spans="4:4">
      <c r="D294" s="370"/>
    </row>
    <row r="295" spans="4:4">
      <c r="D295" s="370"/>
    </row>
    <row r="296" spans="4:4">
      <c r="D296" s="370"/>
    </row>
    <row r="297" spans="4:4">
      <c r="D297" s="370"/>
    </row>
    <row r="298" spans="4:4">
      <c r="D298" s="370"/>
    </row>
    <row r="299" spans="4:4">
      <c r="D299" s="370"/>
    </row>
    <row r="300" spans="4:4">
      <c r="D300" s="370"/>
    </row>
    <row r="301" spans="4:4">
      <c r="D301" s="370"/>
    </row>
    <row r="302" spans="4:4">
      <c r="D302" s="370"/>
    </row>
    <row r="303" spans="4:4">
      <c r="D303" s="370"/>
    </row>
    <row r="304" spans="4:4">
      <c r="D304" s="370"/>
    </row>
    <row r="305" spans="4:4">
      <c r="D305" s="370"/>
    </row>
    <row r="306" spans="4:4">
      <c r="D306" s="370"/>
    </row>
    <row r="307" spans="4:4">
      <c r="D307" s="370"/>
    </row>
    <row r="308" spans="4:4">
      <c r="D308" s="370"/>
    </row>
    <row r="309" spans="4:4">
      <c r="D309" s="370"/>
    </row>
    <row r="310" spans="4:4">
      <c r="D310" s="370"/>
    </row>
    <row r="311" spans="4:4">
      <c r="D311" s="370"/>
    </row>
    <row r="312" spans="4:4">
      <c r="D312" s="370"/>
    </row>
    <row r="313" spans="4:4">
      <c r="D313" s="370"/>
    </row>
    <row r="314" spans="4:4">
      <c r="D314" s="370"/>
    </row>
    <row r="315" spans="4:4">
      <c r="D315" s="370"/>
    </row>
    <row r="316" spans="4:4">
      <c r="D316" s="370"/>
    </row>
    <row r="317" spans="4:4">
      <c r="D317" s="370"/>
    </row>
    <row r="318" spans="4:4">
      <c r="D318" s="370"/>
    </row>
    <row r="319" spans="4:4">
      <c r="D319" s="370"/>
    </row>
    <row r="320" spans="4:4">
      <c r="D320" s="370"/>
    </row>
    <row r="321" spans="4:4">
      <c r="D321" s="370"/>
    </row>
    <row r="322" spans="4:4">
      <c r="D322" s="370"/>
    </row>
    <row r="323" spans="4:4">
      <c r="D323" s="370"/>
    </row>
    <row r="324" spans="4:4">
      <c r="D324" s="370"/>
    </row>
    <row r="325" spans="4:4">
      <c r="D325" s="370"/>
    </row>
    <row r="326" spans="4:4">
      <c r="D326" s="370"/>
    </row>
    <row r="327" spans="4:4">
      <c r="D327" s="370"/>
    </row>
    <row r="328" spans="4:4">
      <c r="D328" s="370"/>
    </row>
    <row r="329" spans="4:4">
      <c r="D329" s="370"/>
    </row>
    <row r="330" spans="4:4">
      <c r="D330" s="370"/>
    </row>
    <row r="331" spans="4:4">
      <c r="D331" s="370"/>
    </row>
    <row r="332" spans="4:4">
      <c r="D332" s="370"/>
    </row>
    <row r="333" spans="4:4">
      <c r="D333" s="370"/>
    </row>
    <row r="334" spans="4:4">
      <c r="D334" s="370"/>
    </row>
    <row r="335" spans="4:4">
      <c r="D335" s="370"/>
    </row>
    <row r="336" spans="4:4">
      <c r="D336" s="370"/>
    </row>
    <row r="337" spans="4:4">
      <c r="D337" s="370"/>
    </row>
    <row r="338" spans="4:4">
      <c r="D338" s="370"/>
    </row>
    <row r="339" spans="4:4">
      <c r="D339" s="370"/>
    </row>
    <row r="340" spans="4:4">
      <c r="D340" s="370"/>
    </row>
    <row r="341" spans="4:4">
      <c r="D341" s="370"/>
    </row>
    <row r="342" spans="4:4">
      <c r="D342" s="370"/>
    </row>
    <row r="343" spans="4:4">
      <c r="D343" s="370"/>
    </row>
    <row r="344" spans="4:4">
      <c r="D344" s="370"/>
    </row>
    <row r="345" spans="4:4">
      <c r="D345" s="370"/>
    </row>
    <row r="346" spans="4:4">
      <c r="D346" s="370"/>
    </row>
    <row r="347" spans="4:4">
      <c r="D347" s="370"/>
    </row>
    <row r="348" spans="4:4">
      <c r="D348" s="370"/>
    </row>
    <row r="349" spans="4:4">
      <c r="D349" s="370"/>
    </row>
    <row r="350" spans="4:4">
      <c r="D350" s="370"/>
    </row>
    <row r="351" spans="4:4">
      <c r="D351" s="370"/>
    </row>
    <row r="352" spans="4:4">
      <c r="D352" s="370"/>
    </row>
    <row r="353" spans="4:4">
      <c r="D353" s="370"/>
    </row>
    <row r="354" spans="4:4">
      <c r="D354" s="370"/>
    </row>
    <row r="355" spans="4:4">
      <c r="D355" s="370"/>
    </row>
    <row r="356" spans="4:4">
      <c r="D356" s="370"/>
    </row>
    <row r="357" spans="4:4">
      <c r="D357" s="370"/>
    </row>
    <row r="358" spans="4:4">
      <c r="D358" s="370"/>
    </row>
    <row r="359" spans="4:4">
      <c r="D359" s="370"/>
    </row>
    <row r="360" spans="4:4">
      <c r="D360" s="370"/>
    </row>
    <row r="361" spans="4:4">
      <c r="D361" s="370"/>
    </row>
    <row r="362" spans="4:4">
      <c r="D362" s="370"/>
    </row>
    <row r="363" spans="4:4">
      <c r="D363" s="370"/>
    </row>
    <row r="364" spans="4:4">
      <c r="D364" s="370"/>
    </row>
    <row r="365" spans="4:4">
      <c r="D365" s="370"/>
    </row>
    <row r="366" spans="4:4">
      <c r="D366" s="370"/>
    </row>
    <row r="367" spans="4:4">
      <c r="D367" s="370"/>
    </row>
    <row r="368" spans="4:4">
      <c r="D368" s="370"/>
    </row>
    <row r="369" spans="4:4">
      <c r="D369" s="370"/>
    </row>
    <row r="370" spans="4:4">
      <c r="D370" s="370"/>
    </row>
    <row r="371" spans="4:4">
      <c r="D371" s="370"/>
    </row>
    <row r="372" spans="4:4">
      <c r="D372" s="370"/>
    </row>
    <row r="373" spans="4:4">
      <c r="D373" s="370"/>
    </row>
    <row r="374" spans="4:4">
      <c r="D374" s="370"/>
    </row>
    <row r="375" spans="4:4">
      <c r="D375" s="370"/>
    </row>
    <row r="376" spans="4:4">
      <c r="D376" s="370"/>
    </row>
    <row r="377" spans="4:4">
      <c r="D377" s="370"/>
    </row>
    <row r="378" spans="4:4">
      <c r="D378" s="370"/>
    </row>
    <row r="379" spans="4:4">
      <c r="D379" s="370"/>
    </row>
    <row r="380" spans="4:4">
      <c r="D380" s="370"/>
    </row>
    <row r="381" spans="4:4">
      <c r="D381" s="370"/>
    </row>
    <row r="382" spans="4:4">
      <c r="D382" s="370"/>
    </row>
    <row r="383" spans="4:4">
      <c r="D383" s="370"/>
    </row>
    <row r="384" spans="4:4">
      <c r="D384" s="370"/>
    </row>
    <row r="385" spans="4:4">
      <c r="D385" s="370"/>
    </row>
    <row r="386" spans="4:4">
      <c r="D386" s="370"/>
    </row>
    <row r="387" spans="4:4">
      <c r="D387" s="370"/>
    </row>
    <row r="388" spans="4:4">
      <c r="D388" s="370"/>
    </row>
    <row r="389" spans="4:4">
      <c r="D389" s="370"/>
    </row>
    <row r="390" spans="4:4">
      <c r="D390" s="370"/>
    </row>
    <row r="391" spans="4:4">
      <c r="D391" s="370"/>
    </row>
    <row r="392" spans="4:4">
      <c r="D392" s="370"/>
    </row>
    <row r="393" spans="4:4">
      <c r="D393" s="370"/>
    </row>
    <row r="394" spans="4:4">
      <c r="D394" s="370"/>
    </row>
    <row r="395" spans="4:4">
      <c r="D395" s="370"/>
    </row>
    <row r="396" spans="4:4">
      <c r="D396" s="370"/>
    </row>
    <row r="397" spans="4:4">
      <c r="D397" s="370"/>
    </row>
    <row r="398" spans="4:4">
      <c r="D398" s="370"/>
    </row>
    <row r="399" spans="4:4">
      <c r="D399" s="370"/>
    </row>
    <row r="400" spans="4:4">
      <c r="D400" s="370"/>
    </row>
    <row r="401" spans="4:4">
      <c r="D401" s="370"/>
    </row>
    <row r="402" spans="4:4">
      <c r="D402" s="370"/>
    </row>
    <row r="403" spans="4:4">
      <c r="D403" s="370"/>
    </row>
    <row r="404" spans="4:4">
      <c r="D404" s="370"/>
    </row>
    <row r="405" spans="4:4">
      <c r="D405" s="370"/>
    </row>
    <row r="406" spans="4:4">
      <c r="D406" s="370"/>
    </row>
    <row r="407" spans="4:4">
      <c r="D407" s="370"/>
    </row>
    <row r="408" spans="4:4">
      <c r="D408" s="370"/>
    </row>
    <row r="409" spans="4:4">
      <c r="D409" s="370"/>
    </row>
    <row r="410" spans="4:4">
      <c r="D410" s="370"/>
    </row>
    <row r="411" spans="4:4">
      <c r="D411" s="370"/>
    </row>
    <row r="412" spans="4:4">
      <c r="D412" s="370"/>
    </row>
    <row r="413" spans="4:4">
      <c r="D413" s="370"/>
    </row>
    <row r="414" spans="4:4">
      <c r="D414" s="370"/>
    </row>
    <row r="415" spans="4:4">
      <c r="D415" s="370"/>
    </row>
    <row r="416" spans="4:4">
      <c r="D416" s="370"/>
    </row>
    <row r="417" spans="4:4">
      <c r="D417" s="370"/>
    </row>
    <row r="418" spans="4:4">
      <c r="D418" s="370"/>
    </row>
    <row r="419" spans="4:4">
      <c r="D419" s="370"/>
    </row>
    <row r="420" spans="4:4">
      <c r="D420" s="370"/>
    </row>
    <row r="421" spans="4:4">
      <c r="D421" s="370"/>
    </row>
    <row r="422" spans="4:4">
      <c r="D422" s="370"/>
    </row>
    <row r="423" spans="4:4">
      <c r="D423" s="370"/>
    </row>
    <row r="424" spans="4:4">
      <c r="D424" s="370"/>
    </row>
    <row r="425" spans="4:4">
      <c r="D425" s="370"/>
    </row>
    <row r="426" spans="4:4">
      <c r="D426" s="370"/>
    </row>
    <row r="427" spans="4:4">
      <c r="D427" s="370"/>
    </row>
    <row r="428" spans="4:4">
      <c r="D428" s="370"/>
    </row>
    <row r="429" spans="4:4">
      <c r="D429" s="370"/>
    </row>
    <row r="430" spans="4:4">
      <c r="D430" s="370"/>
    </row>
    <row r="431" spans="4:4">
      <c r="D431" s="370"/>
    </row>
    <row r="432" spans="4:4">
      <c r="D432" s="370"/>
    </row>
    <row r="433" spans="4:4">
      <c r="D433" s="370"/>
    </row>
    <row r="434" spans="4:4">
      <c r="D434" s="370"/>
    </row>
    <row r="435" spans="4:4">
      <c r="D435" s="370"/>
    </row>
    <row r="436" spans="4:4">
      <c r="D436" s="370"/>
    </row>
    <row r="437" spans="4:4">
      <c r="D437" s="370"/>
    </row>
    <row r="438" spans="4:4">
      <c r="D438" s="370"/>
    </row>
    <row r="439" spans="4:4">
      <c r="D439" s="370"/>
    </row>
    <row r="440" spans="4:4">
      <c r="D440" s="370"/>
    </row>
    <row r="441" spans="4:4">
      <c r="D441" s="370"/>
    </row>
    <row r="442" spans="4:4">
      <c r="D442" s="370"/>
    </row>
    <row r="443" spans="4:4">
      <c r="D443" s="370"/>
    </row>
    <row r="444" spans="4:4">
      <c r="D444" s="370"/>
    </row>
    <row r="445" spans="4:4">
      <c r="D445" s="370"/>
    </row>
    <row r="446" spans="4:4">
      <c r="D446" s="370"/>
    </row>
    <row r="447" spans="4:4">
      <c r="D447" s="370"/>
    </row>
    <row r="448" spans="4:4">
      <c r="D448" s="370"/>
    </row>
    <row r="449" spans="4:4">
      <c r="D449" s="370"/>
    </row>
    <row r="450" spans="4:4">
      <c r="D450" s="370"/>
    </row>
    <row r="451" spans="4:4">
      <c r="D451" s="370"/>
    </row>
    <row r="452" spans="4:4">
      <c r="D452" s="370"/>
    </row>
    <row r="453" spans="4:4">
      <c r="D453" s="370"/>
    </row>
    <row r="454" spans="4:4">
      <c r="D454" s="370"/>
    </row>
    <row r="455" spans="4:4">
      <c r="D455" s="370"/>
    </row>
    <row r="456" spans="4:4">
      <c r="D456" s="370"/>
    </row>
    <row r="457" spans="4:4">
      <c r="D457" s="370"/>
    </row>
    <row r="458" spans="4:4">
      <c r="D458" s="370"/>
    </row>
    <row r="459" spans="4:4">
      <c r="D459" s="370"/>
    </row>
    <row r="460" spans="4:4">
      <c r="D460" s="370"/>
    </row>
  </sheetData>
  <phoneticPr fontId="26" type="noConversion"/>
  <pageMargins left="0.75" right="0.75" top="1" bottom="1" header="0.5" footer="0.5"/>
  <pageSetup scale="44" orientation="landscape" r:id="rId1"/>
  <headerFooter alignWithMargins="0"/>
  <drawing r:id="rId2"/>
</worksheet>
</file>

<file path=xl/worksheets/sheet1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B00-000000000000}">
  <sheetPr codeName="Sheet43">
    <pageSetUpPr fitToPage="1"/>
  </sheetPr>
  <dimension ref="B1:X443"/>
  <sheetViews>
    <sheetView showGridLines="0" zoomScale="70" zoomScaleNormal="70" workbookViewId="0"/>
  </sheetViews>
  <sheetFormatPr defaultColWidth="9.109375" defaultRowHeight="12"/>
  <cols>
    <col min="1" max="1" width="2.33203125" style="367" customWidth="1"/>
    <col min="2" max="4" width="10" style="367" customWidth="1"/>
    <col min="5" max="5" width="21" style="367" customWidth="1"/>
    <col min="6" max="6" width="10" style="367" customWidth="1"/>
    <col min="7" max="7" width="2.33203125" style="367" customWidth="1"/>
    <col min="8" max="8" width="10" style="367" customWidth="1"/>
    <col min="9" max="9" width="2.109375" style="367" customWidth="1"/>
    <col min="10" max="10" width="10" style="367" customWidth="1"/>
    <col min="11" max="11" width="2.109375" style="367" customWidth="1"/>
    <col min="12" max="12" width="10" style="367" customWidth="1"/>
    <col min="13" max="13" width="2.109375" style="367" customWidth="1"/>
    <col min="14" max="14" width="10" style="367" customWidth="1"/>
    <col min="15" max="15" width="2.109375" style="367" customWidth="1"/>
    <col min="16" max="16" width="10" style="367" customWidth="1"/>
    <col min="17" max="17" width="2.109375" style="367" customWidth="1"/>
    <col min="18" max="18" width="10" style="367" customWidth="1"/>
    <col min="19" max="19" width="2.109375" style="367" customWidth="1"/>
    <col min="20" max="20" width="9.88671875" style="367" customWidth="1"/>
    <col min="21" max="21" width="2.109375" style="367" customWidth="1"/>
    <col min="22" max="22" width="10" style="367" customWidth="1"/>
    <col min="23" max="23" width="2.109375" style="367" customWidth="1"/>
    <col min="24" max="24" width="10" style="367" customWidth="1"/>
    <col min="25" max="16384" width="9.109375" style="367"/>
  </cols>
  <sheetData>
    <row r="1" spans="2:24" s="472" customFormat="1">
      <c r="E1" s="150"/>
    </row>
    <row r="2" spans="2:24" s="472" customFormat="1">
      <c r="E2" s="150"/>
    </row>
    <row r="3" spans="2:24" s="472" customFormat="1"/>
    <row r="4" spans="2:24" s="477" customFormat="1" ht="21">
      <c r="B4" s="129" t="s">
        <v>1468</v>
      </c>
      <c r="C4" s="129"/>
    </row>
    <row r="5" spans="2:24" s="472" customFormat="1">
      <c r="D5" s="132"/>
      <c r="E5" s="132"/>
      <c r="F5" s="132"/>
      <c r="G5" s="132"/>
      <c r="H5" s="132"/>
      <c r="I5" s="132"/>
      <c r="L5" s="473"/>
      <c r="M5" s="473"/>
      <c r="N5" s="473"/>
      <c r="O5" s="473"/>
      <c r="P5" s="473"/>
      <c r="Q5" s="473"/>
      <c r="R5" s="473"/>
      <c r="S5" s="473"/>
      <c r="T5" s="473"/>
      <c r="U5" s="473"/>
      <c r="V5" s="473"/>
      <c r="W5" s="473"/>
      <c r="X5" s="473"/>
    </row>
    <row r="6" spans="2:24">
      <c r="B6" s="456"/>
      <c r="C6" s="456"/>
      <c r="D6" s="456"/>
      <c r="E6" s="456"/>
      <c r="F6" s="456"/>
      <c r="G6" s="456"/>
      <c r="H6" s="456"/>
      <c r="I6" s="456"/>
      <c r="L6" s="440"/>
      <c r="M6" s="440"/>
      <c r="N6" s="440"/>
      <c r="O6" s="440"/>
      <c r="P6" s="440"/>
      <c r="Q6" s="440"/>
      <c r="R6" s="440"/>
      <c r="S6" s="440"/>
      <c r="T6" s="440"/>
      <c r="U6" s="440"/>
      <c r="V6" s="440"/>
      <c r="W6" s="440"/>
      <c r="X6" s="440"/>
    </row>
    <row r="7" spans="2:24" ht="12.6" thickBot="1">
      <c r="B7" s="306" t="s">
        <v>52</v>
      </c>
      <c r="C7" s="306"/>
      <c r="D7" s="368"/>
      <c r="E7" s="457"/>
      <c r="F7" s="457"/>
      <c r="G7" s="457"/>
      <c r="H7" s="457"/>
      <c r="I7" s="457"/>
      <c r="J7" s="368"/>
      <c r="K7" s="368"/>
      <c r="L7" s="368"/>
      <c r="M7" s="368"/>
      <c r="N7" s="368"/>
      <c r="O7" s="368"/>
      <c r="P7" s="368"/>
      <c r="Q7" s="368"/>
      <c r="R7" s="368"/>
      <c r="S7" s="368"/>
      <c r="T7" s="368"/>
      <c r="U7" s="368"/>
      <c r="V7" s="368"/>
      <c r="W7" s="368"/>
      <c r="X7" s="368"/>
    </row>
    <row r="8" spans="2:24" ht="12.6" thickTop="1">
      <c r="B8" s="345"/>
      <c r="C8" s="345"/>
      <c r="E8" s="345"/>
      <c r="F8" s="345"/>
      <c r="G8" s="345"/>
      <c r="H8" s="345"/>
      <c r="I8" s="345"/>
    </row>
    <row r="9" spans="2:24">
      <c r="D9" s="345"/>
      <c r="E9" s="382" t="s">
        <v>81</v>
      </c>
      <c r="F9" s="458" t="s">
        <v>82</v>
      </c>
      <c r="G9" s="458"/>
      <c r="H9" s="458" t="s">
        <v>83</v>
      </c>
      <c r="I9" s="458"/>
      <c r="J9" s="458" t="s">
        <v>84</v>
      </c>
      <c r="K9" s="458"/>
      <c r="L9" s="458" t="s">
        <v>85</v>
      </c>
      <c r="M9" s="458"/>
      <c r="N9" s="459" t="s">
        <v>128</v>
      </c>
      <c r="O9" s="459"/>
      <c r="P9" s="458" t="s">
        <v>129</v>
      </c>
      <c r="Q9" s="458"/>
      <c r="R9" s="458" t="s">
        <v>53</v>
      </c>
      <c r="S9" s="458"/>
      <c r="T9" s="458" t="s">
        <v>130</v>
      </c>
      <c r="U9" s="458"/>
      <c r="V9" s="458" t="s">
        <v>131</v>
      </c>
      <c r="W9" s="458"/>
      <c r="X9" s="458" t="s">
        <v>132</v>
      </c>
    </row>
    <row r="10" spans="2:24">
      <c r="B10" s="345"/>
      <c r="C10" s="345"/>
      <c r="E10" s="382"/>
      <c r="F10" s="458"/>
      <c r="G10" s="458"/>
      <c r="H10" s="458"/>
      <c r="I10" s="458"/>
      <c r="J10" s="458"/>
      <c r="K10" s="458"/>
      <c r="L10" s="458"/>
      <c r="M10" s="458"/>
      <c r="N10" s="459"/>
      <c r="O10" s="459"/>
      <c r="P10" s="458"/>
      <c r="Q10" s="458"/>
      <c r="R10" s="458"/>
      <c r="S10" s="458"/>
      <c r="T10" s="458"/>
      <c r="U10" s="458"/>
      <c r="V10" s="458"/>
      <c r="W10" s="458"/>
      <c r="X10" s="458"/>
    </row>
    <row r="11" spans="2:24">
      <c r="B11" s="370" t="s">
        <v>654</v>
      </c>
      <c r="C11" s="370"/>
      <c r="E11" s="367" t="str">
        <f>"DCF, "&amp;TEXT(H11,"0.0")&amp;"x 22E EBITDA"</f>
        <v>DCF, 10.6x 22E EBITDA</v>
      </c>
      <c r="F11" s="484">
        <v>3549</v>
      </c>
      <c r="G11" s="178" t="s">
        <v>134</v>
      </c>
      <c r="H11" s="486">
        <v>10.559897868024034</v>
      </c>
      <c r="I11" s="178" t="s">
        <v>135</v>
      </c>
      <c r="J11" s="216">
        <f>H11*F11</f>
        <v>37477.077533617296</v>
      </c>
      <c r="K11" s="178" t="s">
        <v>136</v>
      </c>
      <c r="L11" s="484"/>
      <c r="M11" s="178" t="s">
        <v>135</v>
      </c>
      <c r="N11" s="178">
        <f>J11-L11</f>
        <v>37477.077533617296</v>
      </c>
      <c r="O11" s="178" t="s">
        <v>134</v>
      </c>
      <c r="P11" s="490">
        <v>1</v>
      </c>
      <c r="Q11" s="393" t="s">
        <v>135</v>
      </c>
      <c r="R11" s="216">
        <f>P11*N11</f>
        <v>37477.077533617296</v>
      </c>
      <c r="S11" s="216"/>
      <c r="T11" s="216">
        <f>N11-R11</f>
        <v>0</v>
      </c>
      <c r="U11" s="216"/>
      <c r="V11" s="394">
        <f>N11/$J$23</f>
        <v>1.1353356449087926</v>
      </c>
      <c r="W11" s="370"/>
      <c r="X11" s="373">
        <f>$J$27*V11</f>
        <v>723.48173845325948</v>
      </c>
    </row>
    <row r="12" spans="2:24">
      <c r="B12" s="370" t="s">
        <v>450</v>
      </c>
      <c r="C12" s="370"/>
      <c r="E12" s="367" t="str">
        <f>"DCF, "&amp;TEXT(H12,"0.0")&amp;"x 22E EBITDA"</f>
        <v>DCF, 5.5x 22E EBITDA</v>
      </c>
      <c r="F12" s="484">
        <v>857</v>
      </c>
      <c r="G12" s="178" t="s">
        <v>134</v>
      </c>
      <c r="H12" s="486">
        <v>5.513316999789506</v>
      </c>
      <c r="I12" s="178" t="s">
        <v>135</v>
      </c>
      <c r="J12" s="385">
        <f>H12*F12</f>
        <v>4724.9126688196066</v>
      </c>
      <c r="K12" s="178" t="s">
        <v>136</v>
      </c>
      <c r="L12" s="484"/>
      <c r="M12" s="178" t="s">
        <v>135</v>
      </c>
      <c r="N12" s="385">
        <f>J12-L12</f>
        <v>4724.9126688196066</v>
      </c>
      <c r="O12" s="178" t="s">
        <v>134</v>
      </c>
      <c r="P12" s="490">
        <v>1</v>
      </c>
      <c r="Q12" s="393" t="s">
        <v>135</v>
      </c>
      <c r="R12" s="385">
        <f>P12*N12</f>
        <v>4724.9126688196066</v>
      </c>
      <c r="S12" s="216"/>
      <c r="T12" s="385">
        <f>N12-R12</f>
        <v>0</v>
      </c>
      <c r="U12" s="216"/>
      <c r="V12" s="395">
        <f>N12/$J$23</f>
        <v>0.1431371420885246</v>
      </c>
      <c r="W12" s="370"/>
      <c r="X12" s="396">
        <f>$J$27*V12</f>
        <v>91.212769421818223</v>
      </c>
    </row>
    <row r="13" spans="2:24">
      <c r="B13" s="345" t="s">
        <v>138</v>
      </c>
      <c r="C13" s="370"/>
      <c r="F13" s="210"/>
      <c r="G13" s="196"/>
      <c r="H13" s="372"/>
      <c r="I13" s="376"/>
      <c r="J13" s="210">
        <f>SUM(J11:J12)</f>
        <v>42201.9902024369</v>
      </c>
      <c r="K13" s="375"/>
      <c r="L13" s="210">
        <f>-J17</f>
        <v>5156</v>
      </c>
      <c r="M13" s="196"/>
      <c r="N13" s="210">
        <f>SUM(N11:N12)</f>
        <v>42201.9902024369</v>
      </c>
      <c r="P13" s="377"/>
      <c r="Q13" s="378"/>
      <c r="R13" s="210">
        <f>SUM(R11:R12)</f>
        <v>42201.9902024369</v>
      </c>
      <c r="S13" s="370"/>
      <c r="T13" s="210">
        <f>SUM(T11:T12)</f>
        <v>0</v>
      </c>
      <c r="U13" s="370"/>
      <c r="V13" s="387">
        <f>N13/$J$23</f>
        <v>1.2784727869973171</v>
      </c>
      <c r="W13" s="370"/>
      <c r="X13" s="372">
        <f>$J$27*V13</f>
        <v>814.69450787507765</v>
      </c>
    </row>
    <row r="15" spans="2:24">
      <c r="D15" s="345"/>
      <c r="E15" s="381"/>
      <c r="F15" s="381"/>
      <c r="G15" s="381"/>
      <c r="H15" s="381"/>
      <c r="I15" s="381"/>
      <c r="J15" s="381"/>
    </row>
    <row r="16" spans="2:24" ht="12.6" thickBot="1">
      <c r="B16" s="382" t="s">
        <v>142</v>
      </c>
      <c r="D16" s="345"/>
      <c r="E16" s="381"/>
      <c r="H16" s="381"/>
      <c r="I16" s="381"/>
      <c r="J16" s="374">
        <f>J13</f>
        <v>42201.9902024369</v>
      </c>
      <c r="K16" s="381"/>
      <c r="R16" s="370"/>
      <c r="T16" s="460" t="s">
        <v>549</v>
      </c>
      <c r="U16" s="368"/>
      <c r="V16" s="368"/>
      <c r="W16" s="368"/>
      <c r="X16" s="368"/>
    </row>
    <row r="17" spans="2:12" ht="12.6" thickTop="1">
      <c r="B17" s="383" t="s">
        <v>1504</v>
      </c>
      <c r="D17" s="424"/>
      <c r="J17" s="216">
        <f>-SWISS!D12</f>
        <v>-5156</v>
      </c>
    </row>
    <row r="18" spans="2:12">
      <c r="B18" s="384" t="s">
        <v>1114</v>
      </c>
      <c r="J18" s="484">
        <v>-2932.6028506821349</v>
      </c>
    </row>
    <row r="19" spans="2:12">
      <c r="B19" s="384" t="s">
        <v>1115</v>
      </c>
      <c r="J19" s="484">
        <v>-921.44748455428066</v>
      </c>
      <c r="K19" s="381"/>
    </row>
    <row r="20" spans="2:12">
      <c r="B20" s="384" t="s">
        <v>1379</v>
      </c>
      <c r="J20" s="484">
        <v>-182.25</v>
      </c>
      <c r="K20" s="381"/>
    </row>
    <row r="21" spans="2:12">
      <c r="B21" s="384" t="s">
        <v>375</v>
      </c>
      <c r="J21" s="216">
        <f>-T13</f>
        <v>0</v>
      </c>
      <c r="K21" s="381"/>
    </row>
    <row r="22" spans="2:12">
      <c r="B22" s="384" t="s">
        <v>377</v>
      </c>
      <c r="J22" s="385">
        <f>R15</f>
        <v>0</v>
      </c>
      <c r="K22" s="381"/>
    </row>
    <row r="23" spans="2:12">
      <c r="B23" s="382" t="s">
        <v>495</v>
      </c>
      <c r="D23" s="345"/>
      <c r="E23" s="381"/>
      <c r="F23" s="381"/>
      <c r="G23" s="381"/>
      <c r="H23" s="381"/>
      <c r="I23" s="381"/>
      <c r="J23" s="210">
        <f>J16+J17+J18+J21+J22+J19+J20</f>
        <v>33009.689867200483</v>
      </c>
    </row>
    <row r="24" spans="2:12" ht="12.6" thickBot="1">
      <c r="B24" s="384" t="s">
        <v>496</v>
      </c>
      <c r="D24" s="345"/>
      <c r="E24" s="381"/>
      <c r="F24" s="381"/>
      <c r="G24" s="381"/>
      <c r="H24" s="381"/>
      <c r="I24" s="381"/>
      <c r="J24" s="214">
        <f>SWISS!E10</f>
        <v>51.801000000000002</v>
      </c>
      <c r="K24" s="381"/>
    </row>
    <row r="25" spans="2:12" ht="12.6" thickBot="1">
      <c r="B25" s="382" t="s">
        <v>497</v>
      </c>
      <c r="D25" s="370"/>
      <c r="J25" s="462">
        <f>J23/J24</f>
        <v>637.24039820081623</v>
      </c>
      <c r="K25" s="381"/>
    </row>
    <row r="26" spans="2:12" ht="12.6" thickBot="1">
      <c r="B26" s="384" t="s">
        <v>697</v>
      </c>
      <c r="D26" s="370"/>
      <c r="J26" s="486">
        <v>0</v>
      </c>
      <c r="K26" s="381"/>
    </row>
    <row r="27" spans="2:12" ht="12.6" thickBot="1">
      <c r="B27" s="382" t="s">
        <v>62</v>
      </c>
      <c r="D27" s="370"/>
      <c r="J27" s="462">
        <f>J25+J26</f>
        <v>637.24039820081623</v>
      </c>
      <c r="K27" s="381"/>
    </row>
    <row r="28" spans="2:12">
      <c r="B28" s="384" t="s">
        <v>498</v>
      </c>
      <c r="D28" s="345"/>
      <c r="E28" s="381"/>
      <c r="F28" s="381"/>
      <c r="G28" s="381"/>
      <c r="H28" s="381"/>
      <c r="I28" s="381"/>
      <c r="J28" s="400">
        <f>Prices!C14</f>
        <v>492</v>
      </c>
      <c r="K28" s="381"/>
    </row>
    <row r="29" spans="2:12">
      <c r="B29" s="382" t="s">
        <v>97</v>
      </c>
      <c r="D29" s="345"/>
      <c r="E29" s="381"/>
      <c r="F29" s="381"/>
      <c r="G29" s="381"/>
      <c r="H29" s="381"/>
      <c r="I29" s="381"/>
      <c r="J29" s="387">
        <f>J27/J28-1</f>
        <v>0.29520406138377275</v>
      </c>
      <c r="K29" s="381"/>
    </row>
    <row r="30" spans="2:12">
      <c r="D30" s="345"/>
      <c r="E30" s="381"/>
      <c r="G30" s="381"/>
      <c r="I30" s="381"/>
      <c r="J30" s="381"/>
      <c r="K30" s="381"/>
      <c r="L30" s="380"/>
    </row>
    <row r="32" spans="2:12">
      <c r="E32" s="381"/>
      <c r="F32" s="381"/>
      <c r="G32" s="381"/>
      <c r="H32" s="381"/>
      <c r="I32" s="381"/>
      <c r="J32" s="381"/>
      <c r="K32" s="381"/>
    </row>
    <row r="33" spans="4:24">
      <c r="E33" s="381"/>
      <c r="F33" s="381"/>
      <c r="G33" s="381"/>
      <c r="H33" s="381"/>
      <c r="I33" s="381"/>
      <c r="J33" s="381"/>
      <c r="K33" s="381"/>
    </row>
    <row r="34" spans="4:24">
      <c r="E34" s="345"/>
      <c r="H34" s="381"/>
      <c r="I34" s="381"/>
    </row>
    <row r="35" spans="4:24" ht="12.6" thickBot="1">
      <c r="K35" s="381"/>
      <c r="T35" s="460" t="s">
        <v>549</v>
      </c>
      <c r="U35" s="368"/>
      <c r="V35" s="368"/>
      <c r="W35" s="368"/>
      <c r="X35" s="368"/>
    </row>
    <row r="36" spans="4:24" ht="12.6" thickTop="1">
      <c r="D36" s="345"/>
      <c r="E36" s="345"/>
      <c r="F36" s="345"/>
      <c r="G36" s="345"/>
      <c r="H36" s="345"/>
      <c r="I36" s="345"/>
      <c r="K36" s="381"/>
      <c r="T36" s="370" t="s">
        <v>654</v>
      </c>
      <c r="X36" s="394">
        <f>J11/(J13)</f>
        <v>0.88804052495735686</v>
      </c>
    </row>
    <row r="37" spans="4:24">
      <c r="D37" s="345"/>
      <c r="E37" s="345"/>
      <c r="F37" s="345"/>
      <c r="G37" s="345"/>
      <c r="H37" s="345"/>
      <c r="I37" s="345"/>
      <c r="K37" s="381"/>
      <c r="T37" s="370" t="s">
        <v>450</v>
      </c>
      <c r="X37" s="394">
        <f>J12/(J13)</f>
        <v>0.11195947504264318</v>
      </c>
    </row>
    <row r="38" spans="4:24">
      <c r="D38" s="345"/>
      <c r="E38" s="345"/>
      <c r="F38" s="345"/>
      <c r="G38" s="345"/>
      <c r="H38" s="345"/>
      <c r="I38" s="345"/>
    </row>
    <row r="39" spans="4:24">
      <c r="D39" s="345"/>
      <c r="E39" s="345"/>
      <c r="F39" s="345"/>
      <c r="G39" s="345"/>
      <c r="H39" s="345"/>
      <c r="I39" s="345"/>
    </row>
    <row r="40" spans="4:24">
      <c r="D40" s="345"/>
      <c r="E40" s="345"/>
      <c r="F40" s="345"/>
      <c r="G40" s="345"/>
      <c r="H40" s="345"/>
      <c r="I40" s="345"/>
    </row>
    <row r="41" spans="4:24">
      <c r="D41" s="345"/>
      <c r="E41" s="345"/>
      <c r="F41" s="345"/>
      <c r="G41" s="345"/>
      <c r="H41" s="345"/>
      <c r="I41" s="345"/>
    </row>
    <row r="42" spans="4:24">
      <c r="D42" s="345"/>
      <c r="E42" s="345"/>
      <c r="F42" s="345"/>
      <c r="G42" s="345"/>
      <c r="H42" s="345"/>
      <c r="I42" s="345"/>
    </row>
    <row r="43" spans="4:24">
      <c r="D43" s="345"/>
      <c r="E43" s="381"/>
      <c r="F43" s="381"/>
      <c r="G43" s="381"/>
      <c r="H43" s="381"/>
      <c r="I43" s="381"/>
    </row>
    <row r="44" spans="4:24">
      <c r="D44" s="345"/>
      <c r="E44" s="381"/>
      <c r="F44" s="381"/>
      <c r="G44" s="381"/>
      <c r="H44" s="381"/>
      <c r="I44" s="381"/>
    </row>
    <row r="45" spans="4:24">
      <c r="D45" s="370"/>
      <c r="E45" s="381"/>
      <c r="F45" s="381"/>
      <c r="G45" s="381"/>
      <c r="H45" s="381"/>
      <c r="I45" s="381"/>
    </row>
    <row r="46" spans="4:24">
      <c r="D46" s="370"/>
      <c r="E46" s="381"/>
      <c r="F46" s="381"/>
      <c r="G46" s="381"/>
      <c r="H46" s="381"/>
      <c r="I46" s="381"/>
    </row>
    <row r="47" spans="4:24">
      <c r="D47" s="370"/>
      <c r="Q47" s="249"/>
      <c r="R47" s="249"/>
    </row>
    <row r="48" spans="4:24">
      <c r="D48" s="345"/>
      <c r="E48" s="381"/>
      <c r="F48" s="381"/>
      <c r="G48" s="381"/>
      <c r="H48" s="381"/>
      <c r="I48" s="381"/>
      <c r="Q48" s="388"/>
      <c r="R48" s="388"/>
    </row>
    <row r="49" spans="4:24">
      <c r="D49" s="370"/>
      <c r="E49" s="381"/>
      <c r="F49" s="381"/>
      <c r="G49" s="381"/>
      <c r="H49" s="381"/>
      <c r="I49" s="381"/>
      <c r="M49" s="249"/>
      <c r="N49" s="249"/>
      <c r="O49" s="249"/>
      <c r="P49" s="249"/>
    </row>
    <row r="50" spans="4:24">
      <c r="D50" s="370"/>
      <c r="E50" s="381"/>
      <c r="F50" s="381"/>
      <c r="G50" s="381"/>
      <c r="H50" s="381"/>
      <c r="I50" s="381"/>
      <c r="L50" s="249"/>
      <c r="N50" s="388"/>
      <c r="O50" s="388"/>
      <c r="P50" s="388"/>
    </row>
    <row r="51" spans="4:24">
      <c r="D51" s="370"/>
      <c r="Q51" s="249"/>
      <c r="R51" s="249"/>
    </row>
    <row r="52" spans="4:24">
      <c r="D52" s="370"/>
      <c r="Q52" s="388"/>
      <c r="R52" s="388"/>
    </row>
    <row r="53" spans="4:24">
      <c r="D53" s="370"/>
      <c r="J53" s="381"/>
      <c r="M53" s="249"/>
      <c r="N53" s="249"/>
      <c r="O53" s="249"/>
      <c r="P53" s="249"/>
    </row>
    <row r="54" spans="4:24">
      <c r="D54" s="370"/>
      <c r="J54" s="381"/>
      <c r="L54" s="249"/>
      <c r="N54" s="388"/>
      <c r="O54" s="388"/>
      <c r="P54" s="388"/>
      <c r="Q54" s="249"/>
      <c r="R54" s="249"/>
    </row>
    <row r="55" spans="4:24">
      <c r="D55" s="370"/>
      <c r="Q55" s="388"/>
      <c r="R55" s="388"/>
    </row>
    <row r="56" spans="4:24">
      <c r="D56" s="370"/>
      <c r="J56" s="381"/>
      <c r="M56" s="249"/>
      <c r="N56" s="249"/>
      <c r="O56" s="249"/>
      <c r="P56" s="249"/>
    </row>
    <row r="57" spans="4:24">
      <c r="D57" s="370"/>
      <c r="J57" s="381"/>
      <c r="L57" s="249"/>
      <c r="N57" s="388"/>
      <c r="O57" s="388"/>
      <c r="P57" s="388"/>
      <c r="Q57" s="249"/>
      <c r="R57" s="249"/>
      <c r="S57" s="249"/>
      <c r="T57" s="249"/>
      <c r="U57" s="249"/>
      <c r="V57" s="249"/>
      <c r="W57" s="249"/>
      <c r="X57" s="249"/>
    </row>
    <row r="58" spans="4:24">
      <c r="D58" s="370"/>
      <c r="J58" s="381"/>
      <c r="K58" s="381"/>
      <c r="Q58" s="388"/>
      <c r="R58" s="388"/>
      <c r="S58" s="388"/>
      <c r="T58" s="388"/>
      <c r="U58" s="388"/>
      <c r="V58" s="388"/>
      <c r="W58" s="388"/>
      <c r="X58" s="388"/>
    </row>
    <row r="59" spans="4:24">
      <c r="D59" s="370"/>
      <c r="K59" s="381"/>
      <c r="M59" s="249"/>
      <c r="N59" s="249"/>
      <c r="O59" s="249"/>
      <c r="P59" s="249"/>
    </row>
    <row r="60" spans="4:24">
      <c r="D60" s="345"/>
      <c r="E60" s="381"/>
      <c r="F60" s="381"/>
      <c r="G60" s="381"/>
      <c r="H60" s="381"/>
      <c r="I60" s="381"/>
      <c r="L60" s="249"/>
      <c r="N60" s="388"/>
      <c r="O60" s="388"/>
      <c r="P60" s="388"/>
      <c r="Q60" s="249"/>
      <c r="R60" s="249"/>
    </row>
    <row r="61" spans="4:24">
      <c r="D61" s="370"/>
      <c r="J61" s="381"/>
      <c r="K61" s="381"/>
      <c r="Q61" s="388"/>
      <c r="R61" s="388"/>
      <c r="S61" s="249"/>
      <c r="T61" s="249"/>
      <c r="U61" s="249"/>
      <c r="V61" s="249"/>
      <c r="W61" s="249"/>
      <c r="X61" s="249"/>
    </row>
    <row r="62" spans="4:24">
      <c r="D62" s="370"/>
      <c r="J62" s="381"/>
      <c r="K62" s="381"/>
      <c r="M62" s="249"/>
      <c r="N62" s="249"/>
      <c r="O62" s="249"/>
      <c r="P62" s="249"/>
      <c r="Q62" s="389"/>
      <c r="R62" s="389"/>
      <c r="S62" s="388"/>
      <c r="T62" s="388"/>
      <c r="U62" s="388"/>
      <c r="V62" s="388"/>
      <c r="W62" s="388"/>
      <c r="X62" s="388"/>
    </row>
    <row r="63" spans="4:24">
      <c r="D63" s="345"/>
      <c r="E63" s="381"/>
      <c r="F63" s="381"/>
      <c r="G63" s="381"/>
      <c r="H63" s="381"/>
      <c r="I63" s="381"/>
      <c r="K63" s="381"/>
      <c r="L63" s="249"/>
      <c r="N63" s="388"/>
      <c r="O63" s="388"/>
      <c r="P63" s="388"/>
      <c r="Q63" s="388"/>
      <c r="R63" s="388"/>
    </row>
    <row r="64" spans="4:24">
      <c r="D64" s="370"/>
      <c r="M64" s="389"/>
      <c r="N64" s="389"/>
      <c r="O64" s="389"/>
      <c r="P64" s="389"/>
      <c r="S64" s="249"/>
      <c r="T64" s="249"/>
      <c r="U64" s="249"/>
      <c r="V64" s="249"/>
      <c r="W64" s="249"/>
      <c r="X64" s="249"/>
    </row>
    <row r="65" spans="4:24">
      <c r="D65" s="345"/>
      <c r="E65" s="381"/>
      <c r="F65" s="381"/>
      <c r="G65" s="381"/>
      <c r="H65" s="381"/>
      <c r="I65" s="381"/>
      <c r="L65" s="389"/>
      <c r="N65" s="388"/>
      <c r="O65" s="388"/>
      <c r="P65" s="388"/>
      <c r="Q65" s="249"/>
      <c r="R65" s="249"/>
      <c r="S65" s="388"/>
      <c r="T65" s="388"/>
      <c r="U65" s="388"/>
      <c r="V65" s="388"/>
      <c r="W65" s="388"/>
      <c r="X65" s="388"/>
    </row>
    <row r="66" spans="4:24">
      <c r="D66" s="370"/>
      <c r="E66" s="381"/>
      <c r="F66" s="381"/>
      <c r="G66" s="381"/>
      <c r="H66" s="381"/>
      <c r="I66" s="381"/>
      <c r="K66" s="381"/>
      <c r="Q66" s="390"/>
      <c r="R66" s="390"/>
    </row>
    <row r="67" spans="4:24">
      <c r="D67" s="370"/>
      <c r="K67" s="381"/>
      <c r="M67" s="249"/>
      <c r="N67" s="249"/>
      <c r="O67" s="249"/>
      <c r="P67" s="249"/>
      <c r="Q67" s="249"/>
      <c r="R67" s="249"/>
      <c r="S67" s="249"/>
      <c r="T67" s="249"/>
      <c r="U67" s="249"/>
      <c r="V67" s="249"/>
      <c r="W67" s="249"/>
      <c r="X67" s="249"/>
    </row>
    <row r="68" spans="4:24">
      <c r="D68" s="370"/>
      <c r="L68" s="249"/>
      <c r="N68" s="388"/>
      <c r="O68" s="388"/>
      <c r="P68" s="390"/>
      <c r="Q68" s="388"/>
      <c r="R68" s="388"/>
      <c r="S68" s="388"/>
      <c r="T68" s="388"/>
      <c r="U68" s="388"/>
      <c r="V68" s="388"/>
      <c r="W68" s="388"/>
      <c r="X68" s="388"/>
    </row>
    <row r="69" spans="4:24">
      <c r="D69" s="345"/>
      <c r="E69" s="381"/>
      <c r="F69" s="381"/>
      <c r="G69" s="381"/>
      <c r="H69" s="381"/>
      <c r="I69" s="381"/>
      <c r="M69" s="249"/>
      <c r="N69" s="249"/>
      <c r="O69" s="249"/>
      <c r="P69" s="249"/>
      <c r="Q69" s="248"/>
      <c r="R69" s="248"/>
    </row>
    <row r="70" spans="4:24">
      <c r="D70" s="370"/>
      <c r="E70" s="381"/>
      <c r="F70" s="381"/>
      <c r="G70" s="381"/>
      <c r="H70" s="381"/>
      <c r="I70" s="381"/>
      <c r="L70" s="249"/>
      <c r="N70" s="388"/>
      <c r="O70" s="388"/>
      <c r="P70" s="388"/>
      <c r="S70" s="249"/>
      <c r="T70" s="249"/>
      <c r="U70" s="249"/>
      <c r="V70" s="249"/>
      <c r="W70" s="249"/>
      <c r="X70" s="249"/>
    </row>
    <row r="71" spans="4:24">
      <c r="D71" s="370"/>
      <c r="M71" s="248"/>
      <c r="N71" s="248"/>
      <c r="O71" s="248"/>
      <c r="P71" s="248"/>
      <c r="Q71" s="247"/>
      <c r="R71" s="247"/>
      <c r="S71" s="388"/>
      <c r="T71" s="388"/>
      <c r="U71" s="388"/>
      <c r="V71" s="388"/>
      <c r="W71" s="388"/>
      <c r="X71" s="388"/>
    </row>
    <row r="72" spans="4:24">
      <c r="D72" s="345"/>
      <c r="E72" s="381"/>
      <c r="F72" s="381"/>
      <c r="G72" s="381"/>
      <c r="H72" s="381"/>
      <c r="I72" s="381"/>
      <c r="L72" s="248"/>
      <c r="Q72" s="388"/>
      <c r="R72" s="388"/>
      <c r="S72" s="389"/>
      <c r="T72" s="389"/>
      <c r="U72" s="389"/>
      <c r="V72" s="389"/>
      <c r="W72" s="389"/>
      <c r="X72" s="389"/>
    </row>
    <row r="73" spans="4:24">
      <c r="D73" s="370"/>
      <c r="J73" s="381"/>
      <c r="M73" s="247"/>
      <c r="N73" s="247"/>
      <c r="O73" s="247"/>
      <c r="P73" s="247"/>
      <c r="S73" s="388"/>
      <c r="T73" s="388"/>
      <c r="U73" s="388"/>
      <c r="V73" s="388"/>
      <c r="W73" s="388"/>
      <c r="X73" s="388"/>
    </row>
    <row r="74" spans="4:24">
      <c r="D74" s="370"/>
      <c r="J74" s="381"/>
      <c r="L74" s="247"/>
      <c r="N74" s="388"/>
      <c r="O74" s="388"/>
      <c r="P74" s="388"/>
      <c r="Q74" s="389"/>
      <c r="R74" s="389"/>
    </row>
    <row r="75" spans="4:24">
      <c r="D75" s="345"/>
      <c r="E75" s="381"/>
      <c r="F75" s="381"/>
      <c r="G75" s="381"/>
      <c r="H75" s="381"/>
      <c r="I75" s="381"/>
      <c r="Q75" s="388"/>
      <c r="R75" s="388"/>
      <c r="S75" s="249"/>
      <c r="T75" s="249"/>
      <c r="U75" s="249"/>
      <c r="V75" s="249"/>
      <c r="W75" s="249"/>
      <c r="X75" s="249"/>
    </row>
    <row r="76" spans="4:24">
      <c r="D76" s="370"/>
      <c r="M76" s="389"/>
      <c r="N76" s="389"/>
      <c r="O76" s="389"/>
      <c r="P76" s="389"/>
      <c r="S76" s="390"/>
      <c r="T76" s="390"/>
      <c r="U76" s="390"/>
      <c r="V76" s="390"/>
      <c r="W76" s="390"/>
      <c r="X76" s="390"/>
    </row>
    <row r="77" spans="4:24">
      <c r="D77" s="370"/>
      <c r="J77" s="381"/>
      <c r="L77" s="389"/>
      <c r="N77" s="388"/>
      <c r="O77" s="388"/>
      <c r="P77" s="388"/>
      <c r="Q77" s="391"/>
      <c r="R77" s="391"/>
      <c r="S77" s="249"/>
      <c r="T77" s="249"/>
      <c r="U77" s="249"/>
      <c r="V77" s="249"/>
      <c r="W77" s="249"/>
      <c r="X77" s="249"/>
    </row>
    <row r="78" spans="4:24">
      <c r="D78" s="370"/>
      <c r="J78" s="381"/>
      <c r="K78" s="381"/>
      <c r="Q78" s="388"/>
      <c r="R78" s="388"/>
      <c r="S78" s="388"/>
      <c r="T78" s="388"/>
      <c r="U78" s="388"/>
      <c r="V78" s="388"/>
      <c r="W78" s="388"/>
      <c r="X78" s="388"/>
    </row>
    <row r="79" spans="4:24">
      <c r="D79" s="345"/>
      <c r="E79" s="381"/>
      <c r="F79" s="381"/>
      <c r="G79" s="381"/>
      <c r="H79" s="381"/>
      <c r="I79" s="381"/>
      <c r="K79" s="381"/>
      <c r="M79" s="391"/>
      <c r="N79" s="391"/>
      <c r="O79" s="391"/>
      <c r="P79" s="391"/>
      <c r="Q79" s="248"/>
      <c r="R79" s="248"/>
      <c r="S79" s="248"/>
      <c r="T79" s="248"/>
      <c r="U79" s="248"/>
      <c r="V79" s="248"/>
      <c r="W79" s="248"/>
      <c r="X79" s="248"/>
    </row>
    <row r="80" spans="4:24">
      <c r="D80" s="370"/>
      <c r="L80" s="391"/>
      <c r="N80" s="388"/>
      <c r="O80" s="388"/>
      <c r="P80" s="388"/>
    </row>
    <row r="81" spans="4:24">
      <c r="D81" s="370"/>
      <c r="E81" s="345"/>
      <c r="F81" s="345"/>
      <c r="G81" s="345"/>
      <c r="H81" s="345"/>
      <c r="I81" s="345"/>
      <c r="J81" s="381"/>
      <c r="N81" s="248"/>
      <c r="O81" s="248"/>
      <c r="P81" s="248"/>
      <c r="Q81" s="247"/>
      <c r="R81" s="247"/>
      <c r="S81" s="247"/>
      <c r="T81" s="247"/>
      <c r="U81" s="247"/>
      <c r="V81" s="247"/>
      <c r="W81" s="247"/>
      <c r="X81" s="247"/>
    </row>
    <row r="82" spans="4:24">
      <c r="D82" s="370"/>
      <c r="E82" s="345"/>
      <c r="F82" s="345"/>
      <c r="G82" s="345"/>
      <c r="H82" s="345"/>
      <c r="I82" s="345"/>
      <c r="K82" s="381"/>
      <c r="Q82" s="388"/>
      <c r="R82" s="388"/>
      <c r="S82" s="388"/>
      <c r="T82" s="388"/>
      <c r="U82" s="388"/>
      <c r="V82" s="388"/>
      <c r="W82" s="388"/>
      <c r="X82" s="388"/>
    </row>
    <row r="83" spans="4:24">
      <c r="D83" s="370"/>
      <c r="K83" s="381"/>
      <c r="M83" s="247"/>
      <c r="N83" s="247"/>
      <c r="O83" s="247"/>
      <c r="P83" s="247"/>
      <c r="Q83" s="274"/>
      <c r="R83" s="274"/>
    </row>
    <row r="84" spans="4:24">
      <c r="D84" s="370"/>
      <c r="L84" s="247"/>
      <c r="N84" s="388"/>
      <c r="O84" s="388"/>
      <c r="P84" s="388"/>
      <c r="S84" s="389"/>
      <c r="T84" s="389"/>
      <c r="U84" s="389"/>
      <c r="V84" s="389"/>
      <c r="W84" s="389"/>
      <c r="X84" s="389"/>
    </row>
    <row r="85" spans="4:24">
      <c r="D85" s="370"/>
      <c r="M85" s="274"/>
      <c r="N85" s="274"/>
      <c r="O85" s="274"/>
      <c r="P85" s="274"/>
      <c r="Q85" s="389"/>
      <c r="R85" s="389"/>
      <c r="S85" s="388"/>
      <c r="T85" s="388"/>
      <c r="U85" s="388"/>
      <c r="V85" s="388"/>
      <c r="W85" s="388"/>
      <c r="X85" s="388"/>
    </row>
    <row r="86" spans="4:24">
      <c r="D86" s="345"/>
      <c r="E86" s="381"/>
      <c r="F86" s="381"/>
      <c r="G86" s="381"/>
      <c r="H86" s="381"/>
      <c r="I86" s="381"/>
      <c r="K86" s="381"/>
      <c r="L86" s="274"/>
      <c r="Q86" s="388"/>
      <c r="R86" s="388"/>
    </row>
    <row r="87" spans="4:24">
      <c r="D87" s="345"/>
      <c r="E87" s="381"/>
      <c r="F87" s="381"/>
      <c r="G87" s="381"/>
      <c r="H87" s="381"/>
      <c r="I87" s="381"/>
      <c r="M87" s="389"/>
      <c r="N87" s="389"/>
      <c r="O87" s="389"/>
      <c r="P87" s="389"/>
      <c r="S87" s="391"/>
      <c r="T87" s="391"/>
      <c r="U87" s="391"/>
      <c r="V87" s="391"/>
      <c r="W87" s="391"/>
      <c r="X87" s="391"/>
    </row>
    <row r="88" spans="4:24">
      <c r="D88" s="370"/>
      <c r="E88" s="381"/>
      <c r="F88" s="381"/>
      <c r="G88" s="381"/>
      <c r="H88" s="381"/>
      <c r="I88" s="381"/>
      <c r="L88" s="389"/>
      <c r="N88" s="388"/>
      <c r="O88" s="388"/>
      <c r="P88" s="388"/>
      <c r="S88" s="388"/>
      <c r="T88" s="388"/>
      <c r="U88" s="388"/>
      <c r="V88" s="388"/>
      <c r="W88" s="388"/>
      <c r="X88" s="388"/>
    </row>
    <row r="89" spans="4:24">
      <c r="D89" s="370"/>
      <c r="E89" s="381"/>
      <c r="F89" s="381"/>
      <c r="G89" s="381"/>
      <c r="H89" s="381"/>
      <c r="I89" s="381"/>
      <c r="Q89" s="249"/>
      <c r="R89" s="249"/>
      <c r="S89" s="248"/>
      <c r="T89" s="248"/>
      <c r="U89" s="248"/>
      <c r="V89" s="248"/>
      <c r="W89" s="248"/>
      <c r="X89" s="248"/>
    </row>
    <row r="90" spans="4:24">
      <c r="D90" s="370"/>
      <c r="Q90" s="388"/>
      <c r="R90" s="388"/>
    </row>
    <row r="91" spans="4:24">
      <c r="D91" s="345"/>
      <c r="E91" s="381"/>
      <c r="F91" s="381"/>
      <c r="G91" s="381"/>
      <c r="H91" s="381"/>
      <c r="I91" s="381"/>
      <c r="M91" s="249"/>
      <c r="N91" s="249"/>
      <c r="O91" s="249"/>
      <c r="P91" s="249"/>
      <c r="S91" s="247"/>
      <c r="T91" s="247"/>
      <c r="U91" s="247"/>
      <c r="V91" s="247"/>
      <c r="W91" s="247"/>
      <c r="X91" s="247"/>
    </row>
    <row r="92" spans="4:24">
      <c r="D92" s="370"/>
      <c r="E92" s="381"/>
      <c r="F92" s="381"/>
      <c r="G92" s="381"/>
      <c r="H92" s="381"/>
      <c r="I92" s="381"/>
      <c r="L92" s="249"/>
      <c r="N92" s="388"/>
      <c r="O92" s="388"/>
      <c r="P92" s="388"/>
      <c r="Q92" s="249"/>
      <c r="R92" s="249"/>
      <c r="S92" s="388"/>
      <c r="T92" s="388"/>
      <c r="U92" s="388"/>
      <c r="V92" s="388"/>
      <c r="W92" s="388"/>
      <c r="X92" s="388"/>
    </row>
    <row r="93" spans="4:24">
      <c r="D93" s="370"/>
      <c r="E93" s="381"/>
      <c r="F93" s="381"/>
      <c r="G93" s="381"/>
      <c r="H93" s="381"/>
      <c r="I93" s="381"/>
      <c r="Q93" s="390"/>
      <c r="R93" s="390"/>
      <c r="S93" s="274"/>
      <c r="T93" s="274"/>
      <c r="U93" s="274"/>
      <c r="V93" s="274"/>
      <c r="W93" s="274"/>
      <c r="X93" s="274"/>
    </row>
    <row r="94" spans="4:24">
      <c r="D94" s="370"/>
      <c r="M94" s="249"/>
      <c r="N94" s="249"/>
      <c r="O94" s="249"/>
      <c r="P94" s="249"/>
    </row>
    <row r="95" spans="4:24">
      <c r="D95" s="370"/>
      <c r="L95" s="249"/>
      <c r="N95" s="388"/>
      <c r="O95" s="388"/>
      <c r="P95" s="390"/>
      <c r="Q95" s="389"/>
      <c r="R95" s="389"/>
      <c r="S95" s="389"/>
      <c r="T95" s="389"/>
      <c r="U95" s="389"/>
      <c r="V95" s="389"/>
      <c r="W95" s="389"/>
      <c r="X95" s="389"/>
    </row>
    <row r="96" spans="4:24">
      <c r="D96" s="370"/>
      <c r="J96" s="381"/>
      <c r="Q96" s="392"/>
      <c r="R96" s="392"/>
      <c r="S96" s="388"/>
      <c r="T96" s="388"/>
      <c r="U96" s="388"/>
      <c r="V96" s="388"/>
      <c r="W96" s="388"/>
      <c r="X96" s="388"/>
    </row>
    <row r="97" spans="4:24">
      <c r="D97" s="370"/>
      <c r="J97" s="381"/>
      <c r="M97" s="389"/>
      <c r="N97" s="389"/>
      <c r="O97" s="389"/>
      <c r="P97" s="389"/>
      <c r="Q97" s="392"/>
      <c r="R97" s="392"/>
    </row>
    <row r="98" spans="4:24">
      <c r="D98" s="370"/>
      <c r="L98" s="389"/>
      <c r="N98" s="392"/>
      <c r="O98" s="392"/>
      <c r="P98" s="392"/>
    </row>
    <row r="99" spans="4:24">
      <c r="D99" s="370"/>
      <c r="J99" s="381"/>
      <c r="M99" s="392"/>
      <c r="N99" s="392"/>
      <c r="O99" s="392"/>
      <c r="P99" s="392"/>
      <c r="Q99" s="388"/>
      <c r="R99" s="388"/>
      <c r="S99" s="249"/>
      <c r="T99" s="249"/>
      <c r="U99" s="249"/>
      <c r="V99" s="249"/>
      <c r="W99" s="249"/>
      <c r="X99" s="249"/>
    </row>
    <row r="100" spans="4:24">
      <c r="D100" s="370"/>
      <c r="J100" s="381"/>
      <c r="L100" s="392"/>
      <c r="Q100" s="389"/>
      <c r="R100" s="389"/>
      <c r="S100" s="388"/>
      <c r="T100" s="388"/>
      <c r="U100" s="388"/>
      <c r="V100" s="388"/>
      <c r="W100" s="388"/>
      <c r="X100" s="388"/>
    </row>
    <row r="101" spans="4:24">
      <c r="D101" s="370"/>
      <c r="J101" s="381"/>
      <c r="K101" s="381"/>
      <c r="M101" s="388"/>
      <c r="N101" s="388"/>
      <c r="O101" s="388"/>
      <c r="P101" s="388"/>
      <c r="R101" s="392"/>
    </row>
    <row r="102" spans="4:24">
      <c r="D102" s="370"/>
      <c r="K102" s="381"/>
      <c r="L102" s="388"/>
      <c r="M102" s="389"/>
      <c r="N102" s="389"/>
      <c r="O102" s="389"/>
      <c r="P102" s="389"/>
      <c r="S102" s="249"/>
      <c r="T102" s="249"/>
      <c r="U102" s="249"/>
      <c r="V102" s="249"/>
      <c r="W102" s="249"/>
      <c r="X102" s="249"/>
    </row>
    <row r="103" spans="4:24">
      <c r="D103" s="345"/>
      <c r="E103" s="381"/>
      <c r="F103" s="381"/>
      <c r="G103" s="381"/>
      <c r="H103" s="381"/>
      <c r="I103" s="381"/>
      <c r="L103" s="389"/>
      <c r="Q103" s="389"/>
      <c r="R103" s="389"/>
      <c r="S103" s="390"/>
      <c r="T103" s="390"/>
      <c r="U103" s="390"/>
      <c r="V103" s="390"/>
      <c r="W103" s="390"/>
      <c r="X103" s="390"/>
    </row>
    <row r="104" spans="4:24">
      <c r="D104" s="370"/>
      <c r="J104" s="381"/>
      <c r="K104" s="381"/>
      <c r="Q104" s="392"/>
      <c r="R104" s="392"/>
    </row>
    <row r="105" spans="4:24">
      <c r="D105" s="370"/>
      <c r="J105" s="381"/>
      <c r="K105" s="381"/>
      <c r="M105" s="389"/>
      <c r="N105" s="389"/>
      <c r="O105" s="389"/>
      <c r="P105" s="389"/>
      <c r="S105" s="389"/>
      <c r="T105" s="389"/>
      <c r="U105" s="389"/>
      <c r="V105" s="389"/>
      <c r="W105" s="389"/>
      <c r="X105" s="389"/>
    </row>
    <row r="106" spans="4:24">
      <c r="D106" s="345"/>
      <c r="E106" s="381"/>
      <c r="F106" s="381"/>
      <c r="G106" s="381"/>
      <c r="H106" s="381"/>
      <c r="I106" s="381"/>
      <c r="K106" s="381"/>
      <c r="L106" s="389"/>
      <c r="N106" s="392"/>
      <c r="O106" s="392"/>
      <c r="P106" s="392"/>
      <c r="S106" s="392"/>
      <c r="T106" s="392"/>
      <c r="U106" s="392"/>
      <c r="V106" s="392"/>
      <c r="W106" s="392"/>
      <c r="X106" s="392"/>
    </row>
    <row r="107" spans="4:24">
      <c r="D107" s="370"/>
      <c r="S107" s="392"/>
      <c r="T107" s="392"/>
      <c r="U107" s="392"/>
      <c r="V107" s="392"/>
      <c r="W107" s="392"/>
      <c r="X107" s="392"/>
    </row>
    <row r="108" spans="4:24">
      <c r="D108" s="345"/>
      <c r="E108" s="381"/>
      <c r="F108" s="381"/>
      <c r="G108" s="381"/>
      <c r="H108" s="381"/>
      <c r="I108" s="381"/>
    </row>
    <row r="109" spans="4:24">
      <c r="D109" s="370"/>
      <c r="E109" s="381"/>
      <c r="F109" s="381"/>
      <c r="G109" s="381"/>
      <c r="H109" s="381"/>
      <c r="I109" s="381"/>
      <c r="K109" s="381"/>
      <c r="S109" s="388"/>
      <c r="T109" s="388"/>
      <c r="U109" s="388"/>
      <c r="V109" s="388"/>
      <c r="W109" s="388"/>
      <c r="X109" s="388"/>
    </row>
    <row r="110" spans="4:24">
      <c r="D110" s="370"/>
      <c r="K110" s="381"/>
      <c r="S110" s="389"/>
      <c r="T110" s="389"/>
      <c r="U110" s="389"/>
      <c r="V110" s="389"/>
      <c r="W110" s="389"/>
      <c r="X110" s="389"/>
    </row>
    <row r="111" spans="4:24">
      <c r="D111" s="370"/>
      <c r="S111" s="392"/>
      <c r="T111" s="392"/>
      <c r="U111" s="392"/>
      <c r="V111" s="392"/>
      <c r="W111" s="392"/>
      <c r="X111" s="392"/>
    </row>
    <row r="112" spans="4:24">
      <c r="D112" s="345"/>
      <c r="E112" s="381"/>
      <c r="F112" s="381"/>
      <c r="G112" s="381"/>
      <c r="H112" s="381"/>
      <c r="I112" s="381"/>
    </row>
    <row r="113" spans="4:24">
      <c r="D113" s="370"/>
      <c r="E113" s="381"/>
      <c r="F113" s="381"/>
      <c r="G113" s="381"/>
      <c r="H113" s="381"/>
      <c r="I113" s="381"/>
      <c r="S113" s="389"/>
      <c r="T113" s="389"/>
      <c r="U113" s="389"/>
      <c r="V113" s="389"/>
      <c r="W113" s="389"/>
      <c r="X113" s="389"/>
    </row>
    <row r="114" spans="4:24">
      <c r="D114" s="370"/>
      <c r="S114" s="392"/>
      <c r="T114" s="392"/>
      <c r="U114" s="392"/>
      <c r="V114" s="392"/>
      <c r="W114" s="392"/>
      <c r="X114" s="392"/>
    </row>
    <row r="115" spans="4:24">
      <c r="D115" s="345"/>
      <c r="E115" s="381"/>
      <c r="F115" s="381"/>
      <c r="G115" s="381"/>
      <c r="H115" s="381"/>
      <c r="I115" s="381"/>
    </row>
    <row r="116" spans="4:24">
      <c r="D116" s="370"/>
      <c r="J116" s="381"/>
    </row>
    <row r="117" spans="4:24">
      <c r="D117" s="370"/>
      <c r="J117" s="381"/>
    </row>
    <row r="118" spans="4:24">
      <c r="D118" s="345"/>
      <c r="E118" s="381"/>
      <c r="F118" s="381"/>
      <c r="G118" s="381"/>
      <c r="H118" s="381"/>
      <c r="I118" s="381"/>
    </row>
    <row r="119" spans="4:24">
      <c r="D119" s="370"/>
    </row>
    <row r="120" spans="4:24">
      <c r="D120" s="370"/>
      <c r="J120" s="381"/>
    </row>
    <row r="121" spans="4:24">
      <c r="D121" s="370"/>
      <c r="J121" s="381"/>
      <c r="K121" s="381"/>
    </row>
    <row r="122" spans="4:24">
      <c r="D122" s="345"/>
      <c r="E122" s="381"/>
      <c r="F122" s="381"/>
      <c r="G122" s="381"/>
      <c r="H122" s="381"/>
      <c r="I122" s="381"/>
      <c r="K122" s="381"/>
    </row>
    <row r="123" spans="4:24">
      <c r="D123" s="370"/>
    </row>
    <row r="124" spans="4:24">
      <c r="D124" s="370"/>
      <c r="E124" s="345"/>
      <c r="F124" s="345"/>
      <c r="G124" s="345"/>
      <c r="H124" s="345"/>
      <c r="I124" s="345"/>
      <c r="J124" s="381"/>
    </row>
    <row r="125" spans="4:24">
      <c r="D125" s="370"/>
      <c r="E125" s="345"/>
      <c r="F125" s="345"/>
      <c r="G125" s="345"/>
      <c r="H125" s="345"/>
      <c r="I125" s="345"/>
      <c r="K125" s="381"/>
    </row>
    <row r="126" spans="4:24">
      <c r="D126" s="370"/>
      <c r="K126" s="381"/>
    </row>
    <row r="127" spans="4:24">
      <c r="D127" s="370"/>
    </row>
    <row r="129" spans="4:11">
      <c r="D129" s="345"/>
      <c r="E129" s="381"/>
      <c r="F129" s="381"/>
      <c r="G129" s="381"/>
      <c r="H129" s="381"/>
      <c r="I129" s="381"/>
      <c r="K129" s="381"/>
    </row>
    <row r="130" spans="4:11">
      <c r="D130" s="345"/>
      <c r="E130" s="381"/>
      <c r="F130" s="381"/>
      <c r="G130" s="381"/>
      <c r="H130" s="381"/>
      <c r="I130" s="381"/>
    </row>
    <row r="131" spans="4:11">
      <c r="D131" s="370"/>
      <c r="E131" s="381"/>
      <c r="F131" s="381"/>
      <c r="G131" s="381"/>
      <c r="H131" s="381"/>
      <c r="I131" s="381"/>
    </row>
    <row r="132" spans="4:11">
      <c r="D132" s="370"/>
      <c r="E132" s="381"/>
      <c r="F132" s="381"/>
      <c r="G132" s="381"/>
      <c r="H132" s="381"/>
      <c r="I132" s="381"/>
    </row>
    <row r="133" spans="4:11">
      <c r="D133" s="370"/>
    </row>
    <row r="134" spans="4:11">
      <c r="D134" s="345"/>
      <c r="E134" s="381"/>
      <c r="F134" s="381"/>
      <c r="G134" s="381"/>
      <c r="H134" s="381"/>
      <c r="I134" s="381"/>
    </row>
    <row r="135" spans="4:11">
      <c r="D135" s="370"/>
      <c r="E135" s="381"/>
      <c r="F135" s="381"/>
      <c r="G135" s="381"/>
      <c r="H135" s="381"/>
      <c r="I135" s="381"/>
    </row>
    <row r="136" spans="4:11">
      <c r="D136" s="370"/>
      <c r="E136" s="381"/>
      <c r="F136" s="381"/>
      <c r="G136" s="381"/>
      <c r="H136" s="381"/>
      <c r="I136" s="381"/>
    </row>
    <row r="137" spans="4:11">
      <c r="D137" s="370"/>
    </row>
    <row r="138" spans="4:11">
      <c r="D138" s="370"/>
    </row>
    <row r="139" spans="4:11">
      <c r="D139" s="370"/>
      <c r="J139" s="381"/>
    </row>
    <row r="140" spans="4:11">
      <c r="D140" s="370"/>
      <c r="J140" s="381"/>
    </row>
    <row r="141" spans="4:11">
      <c r="D141" s="370"/>
    </row>
    <row r="142" spans="4:11">
      <c r="D142" s="370"/>
      <c r="J142" s="381"/>
    </row>
    <row r="143" spans="4:11">
      <c r="D143" s="370"/>
      <c r="J143" s="381"/>
    </row>
    <row r="144" spans="4:11">
      <c r="D144" s="370"/>
      <c r="J144" s="381"/>
      <c r="K144" s="381"/>
    </row>
    <row r="145" spans="4:11">
      <c r="D145" s="370"/>
      <c r="K145" s="381"/>
    </row>
    <row r="146" spans="4:11">
      <c r="D146" s="345"/>
      <c r="E146" s="381"/>
      <c r="F146" s="381"/>
      <c r="G146" s="381"/>
      <c r="H146" s="381"/>
      <c r="I146" s="381"/>
    </row>
    <row r="147" spans="4:11">
      <c r="D147" s="370"/>
      <c r="J147" s="381"/>
      <c r="K147" s="381"/>
    </row>
    <row r="148" spans="4:11">
      <c r="D148" s="370"/>
      <c r="J148" s="381"/>
      <c r="K148" s="381"/>
    </row>
    <row r="149" spans="4:11">
      <c r="D149" s="345"/>
      <c r="E149" s="381"/>
      <c r="F149" s="381"/>
      <c r="G149" s="381"/>
      <c r="H149" s="381"/>
      <c r="I149" s="381"/>
      <c r="K149" s="381"/>
    </row>
    <row r="150" spans="4:11">
      <c r="D150" s="370"/>
    </row>
    <row r="151" spans="4:11">
      <c r="D151" s="345"/>
      <c r="E151" s="381"/>
      <c r="F151" s="381"/>
      <c r="G151" s="381"/>
      <c r="H151" s="381"/>
      <c r="I151" s="381"/>
    </row>
    <row r="152" spans="4:11">
      <c r="D152" s="370"/>
      <c r="E152" s="381"/>
      <c r="F152" s="381"/>
      <c r="G152" s="381"/>
      <c r="H152" s="381"/>
      <c r="I152" s="381"/>
      <c r="K152" s="381"/>
    </row>
    <row r="153" spans="4:11">
      <c r="D153" s="370"/>
      <c r="K153" s="381"/>
    </row>
    <row r="154" spans="4:11">
      <c r="D154" s="370"/>
    </row>
    <row r="155" spans="4:11">
      <c r="D155" s="345"/>
      <c r="E155" s="381"/>
      <c r="F155" s="381"/>
      <c r="G155" s="381"/>
      <c r="H155" s="381"/>
      <c r="I155" s="381"/>
    </row>
    <row r="156" spans="4:11">
      <c r="D156" s="370"/>
      <c r="E156" s="381"/>
      <c r="F156" s="381"/>
      <c r="G156" s="381"/>
      <c r="H156" s="381"/>
      <c r="I156" s="381"/>
    </row>
    <row r="157" spans="4:11">
      <c r="D157" s="370"/>
    </row>
    <row r="158" spans="4:11">
      <c r="D158" s="345"/>
      <c r="E158" s="381"/>
      <c r="F158" s="381"/>
      <c r="G158" s="381"/>
      <c r="H158" s="381"/>
      <c r="I158" s="381"/>
    </row>
    <row r="159" spans="4:11">
      <c r="D159" s="370"/>
      <c r="J159" s="381"/>
    </row>
    <row r="160" spans="4:11">
      <c r="D160" s="370"/>
      <c r="J160" s="381"/>
    </row>
    <row r="161" spans="4:11">
      <c r="D161" s="345"/>
      <c r="E161" s="381"/>
      <c r="F161" s="381"/>
      <c r="G161" s="381"/>
      <c r="H161" s="381"/>
      <c r="I161" s="381"/>
    </row>
    <row r="162" spans="4:11">
      <c r="D162" s="370"/>
    </row>
    <row r="163" spans="4:11">
      <c r="D163" s="370"/>
      <c r="J163" s="381"/>
    </row>
    <row r="164" spans="4:11">
      <c r="D164" s="370"/>
      <c r="J164" s="381"/>
      <c r="K164" s="381"/>
    </row>
    <row r="165" spans="4:11">
      <c r="D165" s="345"/>
      <c r="E165" s="381"/>
      <c r="F165" s="381"/>
      <c r="G165" s="381"/>
      <c r="H165" s="381"/>
      <c r="I165" s="381"/>
      <c r="K165" s="381"/>
    </row>
    <row r="166" spans="4:11">
      <c r="D166" s="370"/>
    </row>
    <row r="167" spans="4:11">
      <c r="D167" s="370"/>
      <c r="E167" s="345"/>
      <c r="F167" s="345"/>
      <c r="G167" s="345"/>
      <c r="H167" s="345"/>
      <c r="I167" s="345"/>
      <c r="J167" s="381"/>
    </row>
    <row r="168" spans="4:11">
      <c r="D168" s="370"/>
      <c r="E168" s="345"/>
      <c r="F168" s="345"/>
      <c r="G168" s="345"/>
      <c r="H168" s="345"/>
      <c r="I168" s="345"/>
      <c r="K168" s="381"/>
    </row>
    <row r="169" spans="4:11">
      <c r="D169" s="370"/>
      <c r="K169" s="381"/>
    </row>
    <row r="170" spans="4:11">
      <c r="D170" s="370"/>
    </row>
    <row r="171" spans="4:11">
      <c r="D171" s="370"/>
    </row>
    <row r="172" spans="4:11">
      <c r="D172" s="345"/>
      <c r="E172" s="381"/>
      <c r="F172" s="381"/>
      <c r="G172" s="381"/>
      <c r="H172" s="381"/>
      <c r="I172" s="381"/>
      <c r="K172" s="381"/>
    </row>
    <row r="173" spans="4:11">
      <c r="D173" s="345"/>
      <c r="E173" s="381"/>
      <c r="F173" s="381"/>
      <c r="G173" s="381"/>
      <c r="H173" s="381"/>
      <c r="I173" s="381"/>
    </row>
    <row r="174" spans="4:11">
      <c r="D174" s="370"/>
      <c r="E174" s="381"/>
      <c r="F174" s="381"/>
      <c r="G174" s="381"/>
      <c r="H174" s="381"/>
      <c r="I174" s="381"/>
    </row>
    <row r="175" spans="4:11">
      <c r="D175" s="370"/>
      <c r="E175" s="381"/>
      <c r="F175" s="381"/>
      <c r="G175" s="381"/>
      <c r="H175" s="381"/>
      <c r="I175" s="381"/>
    </row>
    <row r="176" spans="4:11">
      <c r="D176" s="370"/>
    </row>
    <row r="177" spans="4:11">
      <c r="D177" s="345"/>
      <c r="E177" s="381"/>
      <c r="F177" s="381"/>
      <c r="G177" s="381"/>
      <c r="H177" s="381"/>
      <c r="I177" s="381"/>
    </row>
    <row r="178" spans="4:11">
      <c r="D178" s="370"/>
      <c r="E178" s="381"/>
      <c r="F178" s="381"/>
      <c r="G178" s="381"/>
      <c r="H178" s="381"/>
      <c r="I178" s="381"/>
    </row>
    <row r="179" spans="4:11">
      <c r="D179" s="370"/>
      <c r="E179" s="381"/>
      <c r="F179" s="381"/>
      <c r="G179" s="381"/>
      <c r="H179" s="381"/>
      <c r="I179" s="381"/>
    </row>
    <row r="180" spans="4:11">
      <c r="D180" s="370"/>
    </row>
    <row r="181" spans="4:11">
      <c r="D181" s="370"/>
    </row>
    <row r="182" spans="4:11">
      <c r="D182" s="370"/>
      <c r="J182" s="381"/>
    </row>
    <row r="183" spans="4:11">
      <c r="D183" s="370"/>
      <c r="J183" s="381"/>
    </row>
    <row r="184" spans="4:11">
      <c r="D184" s="370"/>
    </row>
    <row r="185" spans="4:11">
      <c r="D185" s="370"/>
      <c r="J185" s="381"/>
    </row>
    <row r="186" spans="4:11">
      <c r="D186" s="370"/>
      <c r="J186" s="381"/>
    </row>
    <row r="187" spans="4:11">
      <c r="D187" s="370"/>
      <c r="J187" s="381"/>
      <c r="K187" s="381"/>
    </row>
    <row r="188" spans="4:11">
      <c r="D188" s="370"/>
      <c r="K188" s="381"/>
    </row>
    <row r="189" spans="4:11">
      <c r="D189" s="345"/>
      <c r="E189" s="381"/>
      <c r="F189" s="381"/>
      <c r="G189" s="381"/>
      <c r="H189" s="381"/>
      <c r="I189" s="381"/>
    </row>
    <row r="190" spans="4:11">
      <c r="D190" s="370"/>
      <c r="J190" s="381"/>
      <c r="K190" s="381"/>
    </row>
    <row r="191" spans="4:11">
      <c r="D191" s="370"/>
      <c r="J191" s="381"/>
      <c r="K191" s="381"/>
    </row>
    <row r="192" spans="4:11">
      <c r="D192" s="345"/>
      <c r="E192" s="381"/>
      <c r="F192" s="381"/>
      <c r="G192" s="381"/>
      <c r="H192" s="381"/>
      <c r="I192" s="381"/>
      <c r="K192" s="381"/>
    </row>
    <row r="193" spans="4:11">
      <c r="D193" s="370"/>
    </row>
    <row r="194" spans="4:11">
      <c r="D194" s="345"/>
      <c r="E194" s="381"/>
      <c r="F194" s="381"/>
      <c r="G194" s="381"/>
      <c r="H194" s="381"/>
      <c r="I194" s="381"/>
    </row>
    <row r="195" spans="4:11">
      <c r="D195" s="370"/>
      <c r="E195" s="381"/>
      <c r="F195" s="381"/>
      <c r="G195" s="381"/>
      <c r="H195" s="381"/>
      <c r="I195" s="381"/>
      <c r="K195" s="381"/>
    </row>
    <row r="196" spans="4:11">
      <c r="D196" s="370"/>
      <c r="K196" s="381"/>
    </row>
    <row r="197" spans="4:11">
      <c r="D197" s="370"/>
    </row>
    <row r="198" spans="4:11">
      <c r="D198" s="345"/>
      <c r="E198" s="381"/>
      <c r="F198" s="381"/>
      <c r="G198" s="381"/>
      <c r="H198" s="381"/>
      <c r="I198" s="381"/>
    </row>
    <row r="199" spans="4:11">
      <c r="D199" s="370"/>
      <c r="E199" s="381"/>
      <c r="F199" s="381"/>
      <c r="G199" s="381"/>
      <c r="H199" s="381"/>
      <c r="I199" s="381"/>
    </row>
    <row r="200" spans="4:11">
      <c r="D200" s="370"/>
    </row>
    <row r="201" spans="4:11">
      <c r="D201" s="345"/>
      <c r="E201" s="381"/>
      <c r="F201" s="381"/>
      <c r="G201" s="381"/>
      <c r="H201" s="381"/>
      <c r="I201" s="381"/>
    </row>
    <row r="202" spans="4:11">
      <c r="D202" s="370"/>
      <c r="J202" s="381"/>
    </row>
    <row r="203" spans="4:11">
      <c r="D203" s="370"/>
      <c r="J203" s="381"/>
    </row>
    <row r="204" spans="4:11">
      <c r="D204" s="345"/>
      <c r="E204" s="381"/>
      <c r="F204" s="381"/>
      <c r="G204" s="381"/>
      <c r="H204" s="381"/>
      <c r="I204" s="381"/>
    </row>
    <row r="205" spans="4:11">
      <c r="D205" s="370"/>
    </row>
    <row r="206" spans="4:11">
      <c r="D206" s="370"/>
      <c r="J206" s="381"/>
    </row>
    <row r="207" spans="4:11">
      <c r="D207" s="370"/>
      <c r="J207" s="381"/>
      <c r="K207" s="381"/>
    </row>
    <row r="208" spans="4:11">
      <c r="D208" s="345"/>
      <c r="E208" s="381"/>
      <c r="F208" s="381"/>
      <c r="G208" s="381"/>
      <c r="H208" s="381"/>
      <c r="I208" s="381"/>
      <c r="K208" s="381"/>
    </row>
    <row r="209" spans="4:11">
      <c r="D209" s="370"/>
    </row>
    <row r="210" spans="4:11">
      <c r="D210" s="370"/>
      <c r="E210" s="345"/>
      <c r="F210" s="345"/>
      <c r="G210" s="345"/>
      <c r="H210" s="345"/>
      <c r="I210" s="345"/>
      <c r="J210" s="381"/>
    </row>
    <row r="211" spans="4:11">
      <c r="D211" s="370"/>
      <c r="E211" s="345"/>
      <c r="F211" s="345"/>
      <c r="G211" s="345"/>
      <c r="H211" s="345"/>
      <c r="I211" s="345"/>
      <c r="K211" s="381"/>
    </row>
    <row r="212" spans="4:11">
      <c r="D212" s="370"/>
      <c r="K212" s="381"/>
    </row>
    <row r="213" spans="4:11">
      <c r="D213" s="370"/>
    </row>
    <row r="214" spans="4:11">
      <c r="D214" s="370"/>
    </row>
    <row r="215" spans="4:11">
      <c r="D215" s="345"/>
      <c r="E215" s="381"/>
      <c r="F215" s="381"/>
      <c r="G215" s="381"/>
      <c r="H215" s="381"/>
      <c r="I215" s="381"/>
      <c r="K215" s="381"/>
    </row>
    <row r="216" spans="4:11">
      <c r="D216" s="345"/>
      <c r="E216" s="381"/>
      <c r="F216" s="381"/>
      <c r="G216" s="381"/>
      <c r="H216" s="381"/>
      <c r="I216" s="381"/>
    </row>
    <row r="217" spans="4:11">
      <c r="D217" s="370"/>
      <c r="E217" s="381"/>
      <c r="F217" s="381"/>
      <c r="G217" s="381"/>
      <c r="H217" s="381"/>
      <c r="I217" s="381"/>
    </row>
    <row r="218" spans="4:11">
      <c r="D218" s="370"/>
      <c r="E218" s="381"/>
      <c r="F218" s="381"/>
      <c r="G218" s="381"/>
      <c r="H218" s="381"/>
      <c r="I218" s="381"/>
    </row>
    <row r="219" spans="4:11">
      <c r="D219" s="370"/>
    </row>
    <row r="220" spans="4:11">
      <c r="D220" s="345"/>
      <c r="E220" s="381"/>
      <c r="F220" s="381"/>
      <c r="G220" s="381"/>
      <c r="H220" s="381"/>
      <c r="I220" s="381"/>
    </row>
    <row r="221" spans="4:11">
      <c r="D221" s="370"/>
      <c r="E221" s="381"/>
      <c r="F221" s="381"/>
      <c r="G221" s="381"/>
      <c r="H221" s="381"/>
      <c r="I221" s="381"/>
    </row>
    <row r="222" spans="4:11">
      <c r="D222" s="370"/>
      <c r="E222" s="381"/>
      <c r="F222" s="381"/>
      <c r="G222" s="381"/>
      <c r="H222" s="381"/>
      <c r="I222" s="381"/>
    </row>
    <row r="223" spans="4:11">
      <c r="D223" s="370"/>
    </row>
    <row r="224" spans="4:11">
      <c r="D224" s="370"/>
    </row>
    <row r="225" spans="4:11">
      <c r="D225" s="370"/>
      <c r="J225" s="381"/>
    </row>
    <row r="226" spans="4:11">
      <c r="D226" s="370"/>
      <c r="J226" s="381"/>
    </row>
    <row r="227" spans="4:11">
      <c r="D227" s="370"/>
    </row>
    <row r="228" spans="4:11">
      <c r="D228" s="370"/>
      <c r="J228" s="381"/>
    </row>
    <row r="229" spans="4:11">
      <c r="D229" s="370"/>
      <c r="J229" s="381"/>
    </row>
    <row r="230" spans="4:11">
      <c r="D230" s="370"/>
      <c r="J230" s="381"/>
      <c r="K230" s="381"/>
    </row>
    <row r="231" spans="4:11">
      <c r="D231" s="370"/>
      <c r="K231" s="381"/>
    </row>
    <row r="232" spans="4:11">
      <c r="D232" s="345"/>
      <c r="E232" s="381"/>
      <c r="F232" s="381"/>
      <c r="G232" s="381"/>
      <c r="H232" s="381"/>
      <c r="I232" s="381"/>
    </row>
    <row r="233" spans="4:11">
      <c r="D233" s="370"/>
      <c r="J233" s="381"/>
      <c r="K233" s="381"/>
    </row>
    <row r="234" spans="4:11">
      <c r="D234" s="370"/>
      <c r="J234" s="381"/>
      <c r="K234" s="381"/>
    </row>
    <row r="235" spans="4:11">
      <c r="D235" s="345"/>
      <c r="E235" s="381"/>
      <c r="F235" s="381"/>
      <c r="G235" s="381"/>
      <c r="H235" s="381"/>
      <c r="I235" s="381"/>
      <c r="K235" s="381"/>
    </row>
    <row r="236" spans="4:11">
      <c r="D236" s="370"/>
    </row>
    <row r="237" spans="4:11">
      <c r="D237" s="345"/>
      <c r="E237" s="381"/>
      <c r="F237" s="381"/>
      <c r="G237" s="381"/>
      <c r="H237" s="381"/>
      <c r="I237" s="381"/>
    </row>
    <row r="238" spans="4:11">
      <c r="D238" s="370"/>
      <c r="E238" s="381"/>
      <c r="F238" s="381"/>
      <c r="G238" s="381"/>
      <c r="H238" s="381"/>
      <c r="I238" s="381"/>
      <c r="K238" s="381"/>
    </row>
    <row r="239" spans="4:11">
      <c r="D239" s="370"/>
      <c r="K239" s="381"/>
    </row>
    <row r="240" spans="4:11">
      <c r="D240" s="370"/>
    </row>
    <row r="241" spans="4:11">
      <c r="D241" s="345"/>
      <c r="E241" s="381"/>
      <c r="F241" s="381"/>
      <c r="G241" s="381"/>
      <c r="H241" s="381"/>
      <c r="I241" s="381"/>
    </row>
    <row r="242" spans="4:11">
      <c r="D242" s="370"/>
      <c r="E242" s="381"/>
      <c r="F242" s="381"/>
      <c r="G242" s="381"/>
      <c r="H242" s="381"/>
      <c r="I242" s="381"/>
    </row>
    <row r="243" spans="4:11">
      <c r="D243" s="370"/>
    </row>
    <row r="244" spans="4:11">
      <c r="D244" s="345"/>
      <c r="E244" s="381"/>
      <c r="F244" s="381"/>
      <c r="G244" s="381"/>
      <c r="H244" s="381"/>
      <c r="I244" s="381"/>
    </row>
    <row r="245" spans="4:11">
      <c r="D245" s="370"/>
      <c r="J245" s="381"/>
    </row>
    <row r="246" spans="4:11">
      <c r="D246" s="370"/>
      <c r="J246" s="381"/>
    </row>
    <row r="247" spans="4:11">
      <c r="D247" s="345"/>
      <c r="E247" s="381"/>
      <c r="F247" s="381"/>
      <c r="G247" s="381"/>
      <c r="H247" s="381"/>
      <c r="I247" s="381"/>
    </row>
    <row r="248" spans="4:11">
      <c r="D248" s="370"/>
    </row>
    <row r="249" spans="4:11">
      <c r="D249" s="370"/>
      <c r="J249" s="381"/>
    </row>
    <row r="250" spans="4:11">
      <c r="D250" s="370"/>
      <c r="J250" s="381"/>
      <c r="K250" s="381"/>
    </row>
    <row r="251" spans="4:11">
      <c r="D251" s="345"/>
      <c r="E251" s="381"/>
      <c r="F251" s="381"/>
      <c r="G251" s="381"/>
      <c r="H251" s="381"/>
      <c r="I251" s="381"/>
      <c r="K251" s="381"/>
    </row>
    <row r="252" spans="4:11">
      <c r="D252" s="370"/>
    </row>
    <row r="253" spans="4:11">
      <c r="D253" s="370"/>
      <c r="E253" s="345"/>
      <c r="F253" s="345"/>
      <c r="G253" s="345"/>
      <c r="H253" s="345"/>
      <c r="I253" s="345"/>
      <c r="J253" s="381"/>
    </row>
    <row r="254" spans="4:11">
      <c r="D254" s="370"/>
      <c r="E254" s="345"/>
      <c r="F254" s="345"/>
      <c r="G254" s="345"/>
      <c r="H254" s="345"/>
      <c r="I254" s="345"/>
      <c r="K254" s="381"/>
    </row>
    <row r="255" spans="4:11">
      <c r="D255" s="370"/>
      <c r="K255" s="381"/>
    </row>
    <row r="256" spans="4:11">
      <c r="D256" s="370"/>
    </row>
    <row r="257" spans="4:11">
      <c r="D257" s="370"/>
    </row>
    <row r="258" spans="4:11">
      <c r="D258" s="370"/>
      <c r="K258" s="381"/>
    </row>
    <row r="259" spans="4:11">
      <c r="D259" s="370"/>
    </row>
    <row r="260" spans="4:11">
      <c r="D260" s="370"/>
    </row>
    <row r="261" spans="4:11">
      <c r="D261" s="370"/>
    </row>
    <row r="262" spans="4:11">
      <c r="D262" s="370"/>
    </row>
    <row r="263" spans="4:11">
      <c r="D263" s="370"/>
    </row>
    <row r="264" spans="4:11">
      <c r="D264" s="370"/>
    </row>
    <row r="265" spans="4:11">
      <c r="D265" s="370"/>
    </row>
    <row r="266" spans="4:11">
      <c r="D266" s="370"/>
    </row>
    <row r="267" spans="4:11">
      <c r="D267" s="370"/>
    </row>
    <row r="268" spans="4:11">
      <c r="D268" s="370"/>
    </row>
    <row r="269" spans="4:11">
      <c r="D269" s="370"/>
    </row>
    <row r="270" spans="4:11">
      <c r="D270" s="370"/>
    </row>
    <row r="271" spans="4:11">
      <c r="D271" s="370"/>
    </row>
    <row r="272" spans="4:11">
      <c r="D272" s="370"/>
    </row>
    <row r="273" spans="4:4">
      <c r="D273" s="370"/>
    </row>
    <row r="274" spans="4:4">
      <c r="D274" s="370"/>
    </row>
    <row r="275" spans="4:4">
      <c r="D275" s="370"/>
    </row>
    <row r="276" spans="4:4">
      <c r="D276" s="370"/>
    </row>
    <row r="277" spans="4:4">
      <c r="D277" s="370"/>
    </row>
    <row r="278" spans="4:4">
      <c r="D278" s="370"/>
    </row>
    <row r="279" spans="4:4">
      <c r="D279" s="370"/>
    </row>
    <row r="280" spans="4:4">
      <c r="D280" s="370"/>
    </row>
    <row r="281" spans="4:4">
      <c r="D281" s="370"/>
    </row>
    <row r="282" spans="4:4">
      <c r="D282" s="370"/>
    </row>
    <row r="283" spans="4:4">
      <c r="D283" s="370"/>
    </row>
    <row r="284" spans="4:4">
      <c r="D284" s="370"/>
    </row>
    <row r="285" spans="4:4">
      <c r="D285" s="370"/>
    </row>
    <row r="286" spans="4:4">
      <c r="D286" s="370"/>
    </row>
    <row r="287" spans="4:4">
      <c r="D287" s="370"/>
    </row>
    <row r="288" spans="4:4">
      <c r="D288" s="370"/>
    </row>
    <row r="289" spans="4:4">
      <c r="D289" s="370"/>
    </row>
    <row r="290" spans="4:4">
      <c r="D290" s="370"/>
    </row>
    <row r="291" spans="4:4">
      <c r="D291" s="370"/>
    </row>
    <row r="292" spans="4:4">
      <c r="D292" s="370"/>
    </row>
    <row r="293" spans="4:4">
      <c r="D293" s="370"/>
    </row>
    <row r="294" spans="4:4">
      <c r="D294" s="370"/>
    </row>
    <row r="295" spans="4:4">
      <c r="D295" s="370"/>
    </row>
    <row r="296" spans="4:4">
      <c r="D296" s="370"/>
    </row>
    <row r="297" spans="4:4">
      <c r="D297" s="370"/>
    </row>
    <row r="298" spans="4:4">
      <c r="D298" s="370"/>
    </row>
    <row r="299" spans="4:4">
      <c r="D299" s="370"/>
    </row>
    <row r="300" spans="4:4">
      <c r="D300" s="370"/>
    </row>
    <row r="301" spans="4:4">
      <c r="D301" s="370"/>
    </row>
    <row r="302" spans="4:4">
      <c r="D302" s="370"/>
    </row>
    <row r="303" spans="4:4">
      <c r="D303" s="370"/>
    </row>
    <row r="304" spans="4:4">
      <c r="D304" s="370"/>
    </row>
    <row r="305" spans="4:4">
      <c r="D305" s="370"/>
    </row>
    <row r="306" spans="4:4">
      <c r="D306" s="370"/>
    </row>
    <row r="307" spans="4:4">
      <c r="D307" s="370"/>
    </row>
    <row r="308" spans="4:4">
      <c r="D308" s="370"/>
    </row>
    <row r="309" spans="4:4">
      <c r="D309" s="370"/>
    </row>
    <row r="310" spans="4:4">
      <c r="D310" s="370"/>
    </row>
    <row r="311" spans="4:4">
      <c r="D311" s="370"/>
    </row>
    <row r="312" spans="4:4">
      <c r="D312" s="370"/>
    </row>
    <row r="313" spans="4:4">
      <c r="D313" s="370"/>
    </row>
    <row r="314" spans="4:4">
      <c r="D314" s="370"/>
    </row>
    <row r="315" spans="4:4">
      <c r="D315" s="370"/>
    </row>
    <row r="316" spans="4:4">
      <c r="D316" s="370"/>
    </row>
    <row r="317" spans="4:4">
      <c r="D317" s="370"/>
    </row>
    <row r="318" spans="4:4">
      <c r="D318" s="370"/>
    </row>
    <row r="319" spans="4:4">
      <c r="D319" s="370"/>
    </row>
    <row r="320" spans="4:4">
      <c r="D320" s="370"/>
    </row>
    <row r="321" spans="4:4">
      <c r="D321" s="370"/>
    </row>
    <row r="322" spans="4:4">
      <c r="D322" s="370"/>
    </row>
    <row r="323" spans="4:4">
      <c r="D323" s="370"/>
    </row>
    <row r="324" spans="4:4">
      <c r="D324" s="370"/>
    </row>
    <row r="325" spans="4:4">
      <c r="D325" s="370"/>
    </row>
    <row r="326" spans="4:4">
      <c r="D326" s="370"/>
    </row>
    <row r="327" spans="4:4">
      <c r="D327" s="370"/>
    </row>
    <row r="328" spans="4:4">
      <c r="D328" s="370"/>
    </row>
    <row r="329" spans="4:4">
      <c r="D329" s="370"/>
    </row>
    <row r="330" spans="4:4">
      <c r="D330" s="370"/>
    </row>
    <row r="331" spans="4:4">
      <c r="D331" s="370"/>
    </row>
    <row r="332" spans="4:4">
      <c r="D332" s="370"/>
    </row>
    <row r="333" spans="4:4">
      <c r="D333" s="370"/>
    </row>
    <row r="334" spans="4:4">
      <c r="D334" s="370"/>
    </row>
    <row r="335" spans="4:4">
      <c r="D335" s="370"/>
    </row>
    <row r="336" spans="4:4">
      <c r="D336" s="370"/>
    </row>
    <row r="337" spans="4:4">
      <c r="D337" s="370"/>
    </row>
    <row r="338" spans="4:4">
      <c r="D338" s="370"/>
    </row>
    <row r="339" spans="4:4">
      <c r="D339" s="370"/>
    </row>
    <row r="340" spans="4:4">
      <c r="D340" s="370"/>
    </row>
    <row r="341" spans="4:4">
      <c r="D341" s="370"/>
    </row>
    <row r="342" spans="4:4">
      <c r="D342" s="370"/>
    </row>
    <row r="343" spans="4:4">
      <c r="D343" s="370"/>
    </row>
    <row r="344" spans="4:4">
      <c r="D344" s="370"/>
    </row>
    <row r="345" spans="4:4">
      <c r="D345" s="370"/>
    </row>
    <row r="346" spans="4:4">
      <c r="D346" s="370"/>
    </row>
    <row r="347" spans="4:4">
      <c r="D347" s="370"/>
    </row>
    <row r="348" spans="4:4">
      <c r="D348" s="370"/>
    </row>
    <row r="349" spans="4:4">
      <c r="D349" s="370"/>
    </row>
    <row r="350" spans="4:4">
      <c r="D350" s="370"/>
    </row>
    <row r="351" spans="4:4">
      <c r="D351" s="370"/>
    </row>
    <row r="352" spans="4:4">
      <c r="D352" s="370"/>
    </row>
    <row r="353" spans="4:4">
      <c r="D353" s="370"/>
    </row>
    <row r="354" spans="4:4">
      <c r="D354" s="370"/>
    </row>
    <row r="355" spans="4:4">
      <c r="D355" s="370"/>
    </row>
    <row r="356" spans="4:4">
      <c r="D356" s="370"/>
    </row>
    <row r="357" spans="4:4">
      <c r="D357" s="370"/>
    </row>
    <row r="358" spans="4:4">
      <c r="D358" s="370"/>
    </row>
    <row r="359" spans="4:4">
      <c r="D359" s="370"/>
    </row>
    <row r="360" spans="4:4">
      <c r="D360" s="370"/>
    </row>
    <row r="361" spans="4:4">
      <c r="D361" s="370"/>
    </row>
    <row r="362" spans="4:4">
      <c r="D362" s="370"/>
    </row>
    <row r="363" spans="4:4">
      <c r="D363" s="370"/>
    </row>
    <row r="364" spans="4:4">
      <c r="D364" s="370"/>
    </row>
    <row r="365" spans="4:4">
      <c r="D365" s="370"/>
    </row>
    <row r="366" spans="4:4">
      <c r="D366" s="370"/>
    </row>
    <row r="367" spans="4:4">
      <c r="D367" s="370"/>
    </row>
    <row r="368" spans="4:4">
      <c r="D368" s="370"/>
    </row>
    <row r="369" spans="4:4">
      <c r="D369" s="370"/>
    </row>
    <row r="370" spans="4:4">
      <c r="D370" s="370"/>
    </row>
    <row r="371" spans="4:4">
      <c r="D371" s="370"/>
    </row>
    <row r="372" spans="4:4">
      <c r="D372" s="370"/>
    </row>
    <row r="373" spans="4:4">
      <c r="D373" s="370"/>
    </row>
    <row r="374" spans="4:4">
      <c r="D374" s="370"/>
    </row>
    <row r="375" spans="4:4">
      <c r="D375" s="370"/>
    </row>
    <row r="376" spans="4:4">
      <c r="D376" s="370"/>
    </row>
    <row r="377" spans="4:4">
      <c r="D377" s="370"/>
    </row>
    <row r="378" spans="4:4">
      <c r="D378" s="370"/>
    </row>
    <row r="379" spans="4:4">
      <c r="D379" s="370"/>
    </row>
    <row r="380" spans="4:4">
      <c r="D380" s="370"/>
    </row>
    <row r="381" spans="4:4">
      <c r="D381" s="370"/>
    </row>
    <row r="382" spans="4:4">
      <c r="D382" s="370"/>
    </row>
    <row r="383" spans="4:4">
      <c r="D383" s="370"/>
    </row>
    <row r="384" spans="4:4">
      <c r="D384" s="370"/>
    </row>
    <row r="385" spans="4:4">
      <c r="D385" s="370"/>
    </row>
    <row r="386" spans="4:4">
      <c r="D386" s="370"/>
    </row>
    <row r="387" spans="4:4">
      <c r="D387" s="370"/>
    </row>
    <row r="388" spans="4:4">
      <c r="D388" s="370"/>
    </row>
    <row r="389" spans="4:4">
      <c r="D389" s="370"/>
    </row>
    <row r="390" spans="4:4">
      <c r="D390" s="370"/>
    </row>
    <row r="391" spans="4:4">
      <c r="D391" s="370"/>
    </row>
    <row r="392" spans="4:4">
      <c r="D392" s="370"/>
    </row>
    <row r="393" spans="4:4">
      <c r="D393" s="370"/>
    </row>
    <row r="394" spans="4:4">
      <c r="D394" s="370"/>
    </row>
    <row r="395" spans="4:4">
      <c r="D395" s="370"/>
    </row>
    <row r="396" spans="4:4">
      <c r="D396" s="370"/>
    </row>
    <row r="397" spans="4:4">
      <c r="D397" s="370"/>
    </row>
    <row r="398" spans="4:4">
      <c r="D398" s="370"/>
    </row>
    <row r="399" spans="4:4">
      <c r="D399" s="370"/>
    </row>
    <row r="400" spans="4:4">
      <c r="D400" s="370"/>
    </row>
    <row r="401" spans="4:4">
      <c r="D401" s="370"/>
    </row>
    <row r="402" spans="4:4">
      <c r="D402" s="370"/>
    </row>
    <row r="403" spans="4:4">
      <c r="D403" s="370"/>
    </row>
    <row r="404" spans="4:4">
      <c r="D404" s="370"/>
    </row>
    <row r="405" spans="4:4">
      <c r="D405" s="370"/>
    </row>
    <row r="406" spans="4:4">
      <c r="D406" s="370"/>
    </row>
    <row r="407" spans="4:4">
      <c r="D407" s="370"/>
    </row>
    <row r="408" spans="4:4">
      <c r="D408" s="370"/>
    </row>
    <row r="409" spans="4:4">
      <c r="D409" s="370"/>
    </row>
    <row r="410" spans="4:4">
      <c r="D410" s="370"/>
    </row>
    <row r="411" spans="4:4">
      <c r="D411" s="370"/>
    </row>
    <row r="412" spans="4:4">
      <c r="D412" s="370"/>
    </row>
    <row r="413" spans="4:4">
      <c r="D413" s="370"/>
    </row>
    <row r="414" spans="4:4">
      <c r="D414" s="370"/>
    </row>
    <row r="415" spans="4:4">
      <c r="D415" s="370"/>
    </row>
    <row r="416" spans="4:4">
      <c r="D416" s="370"/>
    </row>
    <row r="417" spans="4:4">
      <c r="D417" s="370"/>
    </row>
    <row r="418" spans="4:4">
      <c r="D418" s="370"/>
    </row>
    <row r="419" spans="4:4">
      <c r="D419" s="370"/>
    </row>
    <row r="420" spans="4:4">
      <c r="D420" s="370"/>
    </row>
    <row r="421" spans="4:4">
      <c r="D421" s="370"/>
    </row>
    <row r="422" spans="4:4">
      <c r="D422" s="370"/>
    </row>
    <row r="423" spans="4:4">
      <c r="D423" s="370"/>
    </row>
    <row r="424" spans="4:4">
      <c r="D424" s="370"/>
    </row>
    <row r="425" spans="4:4">
      <c r="D425" s="370"/>
    </row>
    <row r="426" spans="4:4">
      <c r="D426" s="370"/>
    </row>
    <row r="427" spans="4:4">
      <c r="D427" s="370"/>
    </row>
    <row r="428" spans="4:4">
      <c r="D428" s="370"/>
    </row>
    <row r="429" spans="4:4">
      <c r="D429" s="370"/>
    </row>
    <row r="430" spans="4:4">
      <c r="D430" s="370"/>
    </row>
    <row r="431" spans="4:4">
      <c r="D431" s="370"/>
    </row>
    <row r="432" spans="4:4">
      <c r="D432" s="370"/>
    </row>
    <row r="433" spans="4:4">
      <c r="D433" s="370"/>
    </row>
    <row r="434" spans="4:4">
      <c r="D434" s="370"/>
    </row>
    <row r="435" spans="4:4">
      <c r="D435" s="370"/>
    </row>
    <row r="436" spans="4:4">
      <c r="D436" s="370"/>
    </row>
    <row r="437" spans="4:4">
      <c r="D437" s="370"/>
    </row>
    <row r="438" spans="4:4">
      <c r="D438" s="370"/>
    </row>
    <row r="439" spans="4:4">
      <c r="D439" s="370"/>
    </row>
    <row r="440" spans="4:4">
      <c r="D440" s="370"/>
    </row>
    <row r="441" spans="4:4">
      <c r="D441" s="370"/>
    </row>
    <row r="442" spans="4:4">
      <c r="D442" s="370"/>
    </row>
    <row r="443" spans="4:4">
      <c r="D443" s="370"/>
    </row>
  </sheetData>
  <phoneticPr fontId="26" type="noConversion"/>
  <pageMargins left="0.75" right="0.75" top="1" bottom="1" header="0.5" footer="0.5"/>
  <pageSetup scale="47" orientation="landscape" r:id="rId1"/>
  <headerFooter alignWithMargins="0"/>
  <drawing r:id="rId2"/>
  <legacyDrawing r:id="rId3"/>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C00-000000000000}">
  <sheetPr codeName="Sheet44">
    <pageSetUpPr fitToPage="1"/>
  </sheetPr>
  <dimension ref="A1:X460"/>
  <sheetViews>
    <sheetView showGridLines="0" zoomScale="80" zoomScaleNormal="80" workbookViewId="0"/>
  </sheetViews>
  <sheetFormatPr defaultColWidth="9.109375" defaultRowHeight="12"/>
  <cols>
    <col min="1" max="1" width="2.33203125" style="367" customWidth="1"/>
    <col min="2" max="4" width="10" style="367" customWidth="1"/>
    <col min="5" max="5" width="25.109375" style="367" customWidth="1"/>
    <col min="6" max="6" width="10" style="367" customWidth="1"/>
    <col min="7" max="7" width="2.33203125" style="367" customWidth="1"/>
    <col min="8" max="8" width="10" style="367" customWidth="1"/>
    <col min="9" max="9" width="2.109375" style="367" customWidth="1"/>
    <col min="10" max="10" width="10" style="367" customWidth="1"/>
    <col min="11" max="11" width="2.109375" style="367" customWidth="1"/>
    <col min="12" max="12" width="10" style="367" customWidth="1"/>
    <col min="13" max="13" width="2.109375" style="367" customWidth="1"/>
    <col min="14" max="14" width="10" style="367" customWidth="1"/>
    <col min="15" max="15" width="2.109375" style="367" customWidth="1"/>
    <col min="16" max="16" width="10" style="367" customWidth="1"/>
    <col min="17" max="17" width="2.109375" style="367" customWidth="1"/>
    <col min="18" max="18" width="10" style="367" customWidth="1"/>
    <col min="19" max="19" width="2.109375" style="367" customWidth="1"/>
    <col min="20" max="20" width="9.88671875" style="367" customWidth="1"/>
    <col min="21" max="21" width="2.109375" style="367" customWidth="1"/>
    <col min="22" max="22" width="10" style="367" customWidth="1"/>
    <col min="23" max="23" width="2.109375" style="367" customWidth="1"/>
    <col min="24" max="24" width="10" style="367" customWidth="1"/>
    <col min="25" max="16384" width="9.109375" style="367"/>
  </cols>
  <sheetData>
    <row r="1" spans="1:24" s="472" customFormat="1">
      <c r="E1" s="150"/>
    </row>
    <row r="2" spans="1:24" s="472" customFormat="1">
      <c r="E2" s="150"/>
      <c r="T2" s="476"/>
    </row>
    <row r="3" spans="1:24" s="472" customFormat="1"/>
    <row r="4" spans="1:24" s="477" customFormat="1" ht="21">
      <c r="B4" s="129" t="s">
        <v>1469</v>
      </c>
      <c r="C4" s="129"/>
    </row>
    <row r="5" spans="1:24" s="472" customFormat="1">
      <c r="D5" s="132"/>
      <c r="E5" s="132"/>
      <c r="F5" s="132"/>
      <c r="G5" s="132"/>
      <c r="H5" s="132"/>
      <c r="I5" s="132"/>
      <c r="L5" s="473"/>
      <c r="M5" s="473"/>
      <c r="N5" s="473"/>
      <c r="O5" s="473"/>
      <c r="P5" s="473"/>
      <c r="Q5" s="473"/>
      <c r="R5" s="473"/>
      <c r="S5" s="473"/>
      <c r="T5" s="473"/>
      <c r="U5" s="473"/>
      <c r="V5" s="473"/>
      <c r="W5" s="473"/>
      <c r="X5" s="473"/>
    </row>
    <row r="6" spans="1:24">
      <c r="B6" s="456"/>
      <c r="C6" s="456"/>
      <c r="D6" s="456"/>
      <c r="E6" s="456"/>
      <c r="F6" s="456"/>
      <c r="G6" s="456"/>
      <c r="H6" s="456"/>
      <c r="I6" s="456"/>
      <c r="L6" s="440"/>
      <c r="M6" s="440"/>
      <c r="N6" s="440"/>
      <c r="O6" s="440"/>
      <c r="P6" s="440"/>
      <c r="Q6" s="440"/>
      <c r="R6" s="440"/>
      <c r="S6" s="440"/>
      <c r="T6" s="440"/>
      <c r="U6" s="440"/>
      <c r="V6" s="440"/>
      <c r="W6" s="440"/>
      <c r="X6" s="440"/>
    </row>
    <row r="7" spans="1:24" ht="12.6" thickBot="1">
      <c r="B7" s="306" t="s">
        <v>352</v>
      </c>
      <c r="C7" s="306"/>
      <c r="D7" s="368"/>
      <c r="E7" s="457"/>
      <c r="F7" s="457"/>
      <c r="G7" s="457"/>
      <c r="H7" s="457"/>
      <c r="I7" s="457"/>
      <c r="J7" s="368"/>
      <c r="K7" s="368"/>
      <c r="L7" s="368"/>
      <c r="M7" s="368"/>
      <c r="N7" s="368"/>
      <c r="O7" s="368"/>
      <c r="P7" s="368"/>
      <c r="Q7" s="368"/>
      <c r="R7" s="368"/>
      <c r="S7" s="368"/>
      <c r="T7" s="368"/>
      <c r="U7" s="368"/>
      <c r="V7" s="368"/>
      <c r="W7" s="368"/>
      <c r="X7" s="368"/>
    </row>
    <row r="8" spans="1:24" ht="12.6" thickTop="1">
      <c r="B8" s="345"/>
      <c r="C8" s="345"/>
      <c r="E8" s="345"/>
      <c r="F8" s="345"/>
      <c r="G8" s="345"/>
      <c r="H8" s="345"/>
      <c r="I8" s="345"/>
    </row>
    <row r="9" spans="1:24">
      <c r="D9" s="345"/>
      <c r="E9" s="382" t="s">
        <v>81</v>
      </c>
      <c r="F9" s="458" t="s">
        <v>82</v>
      </c>
      <c r="G9" s="458"/>
      <c r="H9" s="458" t="s">
        <v>83</v>
      </c>
      <c r="I9" s="458"/>
      <c r="J9" s="458" t="s">
        <v>84</v>
      </c>
      <c r="K9" s="458"/>
      <c r="L9" s="458" t="s">
        <v>85</v>
      </c>
      <c r="M9" s="458"/>
      <c r="N9" s="458" t="s">
        <v>128</v>
      </c>
      <c r="O9" s="458"/>
      <c r="P9" s="458" t="s">
        <v>129</v>
      </c>
      <c r="Q9" s="458"/>
      <c r="R9" s="458" t="s">
        <v>652</v>
      </c>
      <c r="S9" s="458"/>
      <c r="T9" s="458" t="s">
        <v>130</v>
      </c>
      <c r="U9" s="458"/>
      <c r="V9" s="458" t="s">
        <v>131</v>
      </c>
      <c r="W9" s="458"/>
      <c r="X9" s="458" t="s">
        <v>121</v>
      </c>
    </row>
    <row r="10" spans="1:24">
      <c r="B10" s="345"/>
      <c r="C10" s="345"/>
      <c r="E10" s="382"/>
      <c r="F10" s="458"/>
      <c r="G10" s="458"/>
      <c r="H10" s="458"/>
      <c r="I10" s="458"/>
      <c r="J10" s="458"/>
      <c r="K10" s="458"/>
      <c r="L10" s="458"/>
      <c r="M10" s="458"/>
      <c r="N10" s="459"/>
      <c r="O10" s="459"/>
      <c r="P10" s="458"/>
      <c r="Q10" s="458"/>
      <c r="R10" s="458"/>
      <c r="S10" s="458"/>
      <c r="T10" s="458"/>
      <c r="U10" s="458"/>
      <c r="V10" s="458"/>
      <c r="W10" s="458"/>
      <c r="X10" s="458"/>
    </row>
    <row r="11" spans="1:24">
      <c r="A11" s="370"/>
      <c r="B11" s="505" t="s">
        <v>451</v>
      </c>
      <c r="E11" s="367" t="str">
        <f>"DCF, "&amp;TEXT(H11,"0.0")&amp;"x 22E FCF"</f>
        <v>DCF, 8.2x 22E FCF</v>
      </c>
      <c r="F11" s="484">
        <v>4066.3197791513066</v>
      </c>
      <c r="G11" s="178" t="s">
        <v>134</v>
      </c>
      <c r="H11" s="486">
        <v>8.1536785416497093</v>
      </c>
      <c r="I11" s="178" t="s">
        <v>135</v>
      </c>
      <c r="J11" s="484">
        <v>35054.132954545363</v>
      </c>
      <c r="K11" s="178" t="s">
        <v>136</v>
      </c>
      <c r="L11" s="484"/>
      <c r="M11" s="178" t="s">
        <v>135</v>
      </c>
      <c r="N11" s="216">
        <f t="shared" ref="N11:N16" si="0">J11-L11</f>
        <v>35054.132954545363</v>
      </c>
      <c r="O11" s="178" t="s">
        <v>134</v>
      </c>
      <c r="P11" s="490">
        <v>1</v>
      </c>
      <c r="Q11" s="393" t="s">
        <v>135</v>
      </c>
      <c r="R11" s="208">
        <f>P11*N11</f>
        <v>35054.132954545363</v>
      </c>
      <c r="S11" s="216"/>
      <c r="T11" s="216">
        <f t="shared" ref="T11:T16" si="1">N11-R11</f>
        <v>0</v>
      </c>
      <c r="U11" s="216"/>
      <c r="V11" s="397">
        <f t="shared" ref="V11:V18" si="2">N11/$J$44</f>
        <v>1.4714465418084706</v>
      </c>
      <c r="W11" s="370"/>
      <c r="X11" s="373">
        <f>$J$48*V11</f>
        <v>6.6574125936064981</v>
      </c>
    </row>
    <row r="12" spans="1:24">
      <c r="A12" s="370"/>
      <c r="B12" s="505" t="s">
        <v>449</v>
      </c>
      <c r="C12" s="370"/>
      <c r="E12" s="367" t="s">
        <v>1023</v>
      </c>
      <c r="F12" s="484">
        <v>2974.5549930000002</v>
      </c>
      <c r="G12" s="178" t="s">
        <v>134</v>
      </c>
      <c r="H12" s="486">
        <v>1.4</v>
      </c>
      <c r="I12" s="178" t="s">
        <v>135</v>
      </c>
      <c r="J12" s="484">
        <v>4610.9653187227605</v>
      </c>
      <c r="K12" s="178" t="s">
        <v>136</v>
      </c>
      <c r="L12" s="216">
        <f>J12-N12</f>
        <v>446.58832852276009</v>
      </c>
      <c r="M12" s="178" t="s">
        <v>135</v>
      </c>
      <c r="N12" s="484">
        <v>4164.3769902000004</v>
      </c>
      <c r="O12" s="178" t="s">
        <v>134</v>
      </c>
      <c r="P12" s="490">
        <v>1</v>
      </c>
      <c r="Q12" s="393" t="s">
        <v>135</v>
      </c>
      <c r="R12" s="216">
        <f>P12*N12</f>
        <v>4164.3769902000004</v>
      </c>
      <c r="S12" s="370"/>
      <c r="T12" s="216">
        <f t="shared" si="1"/>
        <v>0</v>
      </c>
      <c r="U12" s="370"/>
      <c r="V12" s="394">
        <f t="shared" si="2"/>
        <v>0.17480558223939763</v>
      </c>
      <c r="W12" s="370"/>
      <c r="X12" s="373">
        <f>$J$46*V12</f>
        <v>0.73844868496229976</v>
      </c>
    </row>
    <row r="13" spans="1:24">
      <c r="A13" s="370"/>
      <c r="B13" s="370" t="s">
        <v>572</v>
      </c>
      <c r="C13" s="370"/>
      <c r="E13" s="367" t="s">
        <v>1532</v>
      </c>
      <c r="F13" s="484">
        <v>1633.3532347692308</v>
      </c>
      <c r="G13" s="178" t="s">
        <v>134</v>
      </c>
      <c r="H13" s="486">
        <v>61</v>
      </c>
      <c r="I13" s="178" t="s">
        <v>135</v>
      </c>
      <c r="J13" s="484">
        <v>19991.431453486977</v>
      </c>
      <c r="K13" s="178" t="s">
        <v>136</v>
      </c>
      <c r="L13" s="216">
        <f>J13-N13</f>
        <v>1449.1493518795141</v>
      </c>
      <c r="M13" s="178" t="s">
        <v>135</v>
      </c>
      <c r="N13" s="484">
        <v>18542.282101607463</v>
      </c>
      <c r="O13" s="178" t="s">
        <v>134</v>
      </c>
      <c r="P13" s="490">
        <v>0.749</v>
      </c>
      <c r="Q13" s="393" t="s">
        <v>135</v>
      </c>
      <c r="R13" s="216">
        <f t="shared" ref="R13" si="3">P13*N13</f>
        <v>13888.169294103989</v>
      </c>
      <c r="S13" s="216"/>
      <c r="T13" s="216">
        <f t="shared" si="1"/>
        <v>4654.112807503474</v>
      </c>
      <c r="U13" s="216"/>
      <c r="V13" s="394">
        <f t="shared" si="2"/>
        <v>0.77833837485087676</v>
      </c>
      <c r="W13" s="370"/>
      <c r="X13" s="373">
        <f>$J$46*V13</f>
        <v>3.2880125565851843</v>
      </c>
    </row>
    <row r="14" spans="1:24">
      <c r="A14" s="370"/>
      <c r="B14" s="505" t="s">
        <v>1530</v>
      </c>
      <c r="C14" s="370"/>
      <c r="E14" s="367" t="str">
        <f>"DCF, "&amp;TEXT(H14,"0.0")&amp;"x 22E EBITDA"</f>
        <v>DCF, 4.3x 22E EBITDA</v>
      </c>
      <c r="F14" s="484">
        <v>1175.3755675110735</v>
      </c>
      <c r="G14" s="178" t="s">
        <v>134</v>
      </c>
      <c r="H14" s="486">
        <v>4.3222350171156076</v>
      </c>
      <c r="I14" s="178" t="s">
        <v>135</v>
      </c>
      <c r="J14" s="484">
        <v>5764.8611508747636</v>
      </c>
      <c r="K14" s="178" t="s">
        <v>136</v>
      </c>
      <c r="L14" s="484"/>
      <c r="M14" s="178" t="s">
        <v>135</v>
      </c>
      <c r="N14" s="216">
        <f t="shared" si="0"/>
        <v>5764.8611508747636</v>
      </c>
      <c r="O14" s="178" t="s">
        <v>134</v>
      </c>
      <c r="P14" s="490">
        <v>1</v>
      </c>
      <c r="Q14" s="393" t="s">
        <v>135</v>
      </c>
      <c r="R14" s="216">
        <f t="shared" ref="R14" si="4">P14*N14</f>
        <v>5764.8611508747636</v>
      </c>
      <c r="S14" s="216"/>
      <c r="T14" s="216">
        <f t="shared" si="1"/>
        <v>0</v>
      </c>
      <c r="U14" s="216"/>
      <c r="V14" s="394">
        <f t="shared" si="2"/>
        <v>0.24198815630271484</v>
      </c>
      <c r="W14" s="370"/>
      <c r="X14" s="373">
        <f>$J$46*V14</f>
        <v>1.0222547444363983</v>
      </c>
    </row>
    <row r="15" spans="1:24">
      <c r="A15" s="370"/>
      <c r="B15" s="370" t="s">
        <v>1024</v>
      </c>
      <c r="C15" s="370"/>
      <c r="E15" s="367" t="str">
        <f>"DCF, "&amp;TEXT(H15,"0.0")&amp;"x 22E FCF"</f>
        <v>DCF, 11.8x 22E FCF</v>
      </c>
      <c r="F15" s="484">
        <v>233.0627556</v>
      </c>
      <c r="G15" s="178" t="s">
        <v>134</v>
      </c>
      <c r="H15" s="486">
        <v>11.788514670149345</v>
      </c>
      <c r="I15" s="178" t="s">
        <v>135</v>
      </c>
      <c r="J15" s="484">
        <v>2747.4637134560317</v>
      </c>
      <c r="K15" s="178" t="s">
        <v>136</v>
      </c>
      <c r="L15" s="484">
        <v>201</v>
      </c>
      <c r="M15" s="178" t="s">
        <v>135</v>
      </c>
      <c r="N15" s="216">
        <f t="shared" si="0"/>
        <v>2546.4637134560317</v>
      </c>
      <c r="O15" s="178" t="s">
        <v>134</v>
      </c>
      <c r="P15" s="490">
        <v>0.7</v>
      </c>
      <c r="Q15" s="393" t="s">
        <v>135</v>
      </c>
      <c r="R15" s="216">
        <f>P15*N15</f>
        <v>1782.5245994192221</v>
      </c>
      <c r="S15" s="216"/>
      <c r="T15" s="216">
        <f t="shared" si="1"/>
        <v>763.93911403680954</v>
      </c>
      <c r="U15" s="216"/>
      <c r="V15" s="394">
        <f t="shared" si="2"/>
        <v>0.10689139651134272</v>
      </c>
      <c r="W15" s="370"/>
      <c r="X15" s="373">
        <f>$J$46*V15</f>
        <v>0.45155200524136757</v>
      </c>
    </row>
    <row r="16" spans="1:24">
      <c r="A16" s="370"/>
      <c r="B16" s="505" t="s">
        <v>1531</v>
      </c>
      <c r="C16" s="370"/>
      <c r="E16" s="367" t="str">
        <f>"DCF, "&amp;TEXT(H16,"0.0")&amp;"x 22E FCF"</f>
        <v>DCF, 5.1x 22E FCF</v>
      </c>
      <c r="F16" s="484">
        <v>-269.72213748000007</v>
      </c>
      <c r="G16" s="178" t="s">
        <v>134</v>
      </c>
      <c r="H16" s="486">
        <v>5.0680467725791392</v>
      </c>
      <c r="I16" s="178" t="s">
        <v>135</v>
      </c>
      <c r="J16" s="484">
        <v>-1366.9644083486612</v>
      </c>
      <c r="K16" s="178" t="s">
        <v>136</v>
      </c>
      <c r="L16" s="484"/>
      <c r="M16" s="178" t="s">
        <v>135</v>
      </c>
      <c r="N16" s="216">
        <f t="shared" si="0"/>
        <v>-1366.9644083486612</v>
      </c>
      <c r="O16" s="178" t="s">
        <v>134</v>
      </c>
      <c r="P16" s="490">
        <v>1</v>
      </c>
      <c r="Q16" s="393" t="s">
        <v>135</v>
      </c>
      <c r="R16" s="216">
        <f>P16*N16</f>
        <v>-1366.9644083486612</v>
      </c>
      <c r="S16" s="370"/>
      <c r="T16" s="208">
        <f t="shared" si="1"/>
        <v>0</v>
      </c>
      <c r="U16" s="370"/>
      <c r="V16" s="394">
        <f t="shared" si="2"/>
        <v>-5.7380253964578104E-2</v>
      </c>
      <c r="W16" s="370"/>
      <c r="X16" s="373">
        <f>$J$46*V16</f>
        <v>-0.24239713938263246</v>
      </c>
    </row>
    <row r="17" spans="1:24" s="381" customFormat="1">
      <c r="A17" s="345"/>
      <c r="B17" s="382" t="s">
        <v>1437</v>
      </c>
      <c r="C17" s="345"/>
      <c r="J17" s="398">
        <f>SUM(J11:J16)</f>
        <v>66801.890182737232</v>
      </c>
      <c r="N17" s="398">
        <f>SUM(N11:N16)</f>
        <v>64705.152502334953</v>
      </c>
      <c r="P17" s="196"/>
      <c r="R17" s="398">
        <f>SUM(R11:R16)</f>
        <v>59287.100580794671</v>
      </c>
      <c r="S17" s="210"/>
      <c r="T17" s="398">
        <f>SUM(T11:T16)</f>
        <v>5418.0519215402837</v>
      </c>
      <c r="U17" s="210"/>
      <c r="V17" s="436">
        <f t="shared" si="2"/>
        <v>2.7160897977482241</v>
      </c>
      <c r="W17" s="345"/>
      <c r="X17" s="416">
        <f>$J$48*V17</f>
        <v>12.28867642223104</v>
      </c>
    </row>
    <row r="18" spans="1:24" s="602" customFormat="1">
      <c r="A18" s="600"/>
      <c r="B18" s="601" t="s">
        <v>1502</v>
      </c>
      <c r="C18" s="600"/>
      <c r="J18" s="603">
        <v>2100</v>
      </c>
      <c r="N18" s="604">
        <f>J18</f>
        <v>2100</v>
      </c>
      <c r="P18" s="605">
        <v>0.55000000000000004</v>
      </c>
      <c r="R18" s="606">
        <f>P18*N18</f>
        <v>1155</v>
      </c>
      <c r="S18" s="604"/>
      <c r="T18" s="606">
        <f>N18-R18</f>
        <v>945</v>
      </c>
      <c r="U18" s="604"/>
      <c r="V18" s="607">
        <f t="shared" si="2"/>
        <v>8.8150454093519737E-2</v>
      </c>
      <c r="W18" s="600"/>
      <c r="X18" s="608">
        <f>$J$48*V18</f>
        <v>0.39882790610460184</v>
      </c>
    </row>
    <row r="19" spans="1:24">
      <c r="A19" s="370"/>
    </row>
    <row r="20" spans="1:24">
      <c r="A20" s="370"/>
    </row>
    <row r="21" spans="1:24">
      <c r="B21" s="370" t="s">
        <v>1533</v>
      </c>
      <c r="E21" s="367" t="str">
        <f>"DCF, "&amp;TEXT(H21,"0.0")&amp;"x 22E EBITDA"</f>
        <v>DCF, 7.7x 22E EBITDA</v>
      </c>
      <c r="F21" s="484">
        <v>4224.3464971622234</v>
      </c>
      <c r="G21" s="178" t="s">
        <v>134</v>
      </c>
      <c r="H21" s="485">
        <v>7.6574600711195631</v>
      </c>
      <c r="I21" s="178" t="s">
        <v>135</v>
      </c>
      <c r="J21" s="484">
        <v>29016.222624801583</v>
      </c>
      <c r="K21" s="178" t="s">
        <v>136</v>
      </c>
      <c r="L21" s="484">
        <v>23327.41338297</v>
      </c>
      <c r="M21" s="178" t="s">
        <v>135</v>
      </c>
      <c r="N21" s="216">
        <f>J21-L21</f>
        <v>5688.8092418315828</v>
      </c>
      <c r="O21" s="178" t="s">
        <v>134</v>
      </c>
      <c r="P21" s="490">
        <v>0.5</v>
      </c>
      <c r="Q21" s="393" t="s">
        <v>135</v>
      </c>
      <c r="R21" s="216">
        <f t="shared" ref="R21:R28" si="5">P21*N21</f>
        <v>2844.4046209157914</v>
      </c>
      <c r="S21" s="216"/>
      <c r="T21" s="216">
        <f t="shared" ref="T21" si="6">N21-R21</f>
        <v>2844.4046209157914</v>
      </c>
      <c r="U21" s="216"/>
      <c r="V21" s="394">
        <f>N21/$J$44</f>
        <v>0.23879577043755512</v>
      </c>
      <c r="W21" s="370"/>
      <c r="X21" s="373">
        <f>$J$46*V21</f>
        <v>1.0087688298916848</v>
      </c>
    </row>
    <row r="22" spans="1:24">
      <c r="B22" s="370" t="s">
        <v>1627</v>
      </c>
      <c r="E22" s="367" t="str">
        <f>"DCF, "&amp;TEXT(H22,"0.0")&amp;"x 22E EBITDA"</f>
        <v>DCF, 0.0x 22E EBITDA</v>
      </c>
      <c r="F22" s="484"/>
      <c r="G22" s="178"/>
      <c r="H22" s="485"/>
      <c r="I22" s="178"/>
      <c r="J22" s="484"/>
      <c r="K22" s="178"/>
      <c r="L22" s="484"/>
      <c r="M22" s="178"/>
      <c r="N22" s="216"/>
      <c r="O22" s="178"/>
      <c r="P22" s="490">
        <v>0.25</v>
      </c>
      <c r="Q22" s="393"/>
      <c r="R22" s="216"/>
      <c r="S22" s="216"/>
      <c r="T22" s="216"/>
      <c r="U22" s="216"/>
      <c r="V22" s="394"/>
      <c r="W22" s="370"/>
      <c r="X22" s="373"/>
    </row>
    <row r="23" spans="1:24">
      <c r="B23" s="370" t="s">
        <v>1438</v>
      </c>
      <c r="C23" s="370"/>
      <c r="E23" s="367" t="s">
        <v>1441</v>
      </c>
      <c r="J23" s="484">
        <v>800</v>
      </c>
      <c r="K23" s="178" t="s">
        <v>136</v>
      </c>
      <c r="L23" s="484">
        <v>173.91304347826087</v>
      </c>
      <c r="M23" s="178" t="s">
        <v>135</v>
      </c>
      <c r="N23" s="216">
        <f t="shared" ref="N23:N27" si="7">J23-L23</f>
        <v>626.08695652173913</v>
      </c>
      <c r="O23" s="178" t="s">
        <v>134</v>
      </c>
      <c r="P23" s="490">
        <v>0.4</v>
      </c>
      <c r="Q23" s="393" t="s">
        <v>135</v>
      </c>
      <c r="R23" s="216">
        <f t="shared" si="5"/>
        <v>250.43478260869566</v>
      </c>
      <c r="S23" s="370"/>
      <c r="T23" s="216">
        <f t="shared" ref="T23:T27" si="8">N23-R23</f>
        <v>375.6521739130435</v>
      </c>
      <c r="U23" s="216"/>
      <c r="V23" s="394">
        <f t="shared" ref="V23:V27" si="9">N23/$J$44</f>
        <v>2.6280880723533833E-2</v>
      </c>
      <c r="W23" s="370"/>
      <c r="X23" s="373">
        <f t="shared" ref="X23:X27" si="10">$J$46*V23</f>
        <v>0.11102095002530561</v>
      </c>
    </row>
    <row r="24" spans="1:24">
      <c r="A24" s="505"/>
      <c r="B24" s="370" t="s">
        <v>1439</v>
      </c>
      <c r="C24" s="370"/>
      <c r="E24" s="367" t="s">
        <v>1441</v>
      </c>
      <c r="J24" s="484">
        <v>475</v>
      </c>
      <c r="K24" s="178" t="s">
        <v>136</v>
      </c>
      <c r="L24" s="484">
        <v>-125</v>
      </c>
      <c r="M24" s="178" t="s">
        <v>135</v>
      </c>
      <c r="N24" s="216">
        <f t="shared" si="7"/>
        <v>600</v>
      </c>
      <c r="O24" s="178" t="s">
        <v>134</v>
      </c>
      <c r="P24" s="490">
        <v>0.25</v>
      </c>
      <c r="Q24" s="393" t="s">
        <v>135</v>
      </c>
      <c r="R24" s="216">
        <f t="shared" si="5"/>
        <v>150</v>
      </c>
      <c r="S24" s="216"/>
      <c r="T24" s="216">
        <f t="shared" si="8"/>
        <v>450</v>
      </c>
      <c r="U24" s="216"/>
      <c r="V24" s="394">
        <f t="shared" si="9"/>
        <v>2.5185844026719924E-2</v>
      </c>
      <c r="W24" s="370"/>
      <c r="X24" s="373">
        <f t="shared" si="10"/>
        <v>0.10639507710758454</v>
      </c>
    </row>
    <row r="25" spans="1:24">
      <c r="A25" s="505"/>
      <c r="B25" s="370" t="s">
        <v>1440</v>
      </c>
      <c r="E25" s="367" t="s">
        <v>1441</v>
      </c>
      <c r="J25" s="484">
        <v>400</v>
      </c>
      <c r="K25" s="178" t="s">
        <v>136</v>
      </c>
      <c r="L25" s="484">
        <v>80</v>
      </c>
      <c r="M25" s="178" t="s">
        <v>135</v>
      </c>
      <c r="N25" s="216">
        <f t="shared" si="7"/>
        <v>320</v>
      </c>
      <c r="O25" s="178" t="s">
        <v>134</v>
      </c>
      <c r="P25" s="490">
        <v>0.4</v>
      </c>
      <c r="Q25" s="393" t="s">
        <v>135</v>
      </c>
      <c r="R25" s="216">
        <f t="shared" si="5"/>
        <v>128</v>
      </c>
      <c r="T25" s="216">
        <f t="shared" si="8"/>
        <v>192</v>
      </c>
      <c r="U25" s="216"/>
      <c r="V25" s="394">
        <f t="shared" si="9"/>
        <v>1.3432450147583959E-2</v>
      </c>
      <c r="W25" s="370"/>
      <c r="X25" s="373">
        <f t="shared" si="10"/>
        <v>5.6744041124045089E-2</v>
      </c>
    </row>
    <row r="26" spans="1:24">
      <c r="A26" s="505"/>
      <c r="B26" s="370" t="s">
        <v>1494</v>
      </c>
      <c r="C26" s="370"/>
      <c r="E26" s="367" t="s">
        <v>115</v>
      </c>
      <c r="F26" s="484">
        <v>708</v>
      </c>
      <c r="G26" s="178" t="s">
        <v>134</v>
      </c>
      <c r="H26" s="485">
        <v>0.57999999999999996</v>
      </c>
      <c r="J26" s="484">
        <v>205.32</v>
      </c>
      <c r="K26" s="178" t="s">
        <v>136</v>
      </c>
      <c r="L26" s="484"/>
      <c r="M26" s="178" t="s">
        <v>135</v>
      </c>
      <c r="N26" s="216">
        <f t="shared" ref="N26" si="11">J26-L26</f>
        <v>205.32</v>
      </c>
      <c r="O26" s="178" t="s">
        <v>134</v>
      </c>
      <c r="P26" s="490">
        <v>1.9529999999999999E-2</v>
      </c>
      <c r="Q26" s="393" t="s">
        <v>135</v>
      </c>
      <c r="R26" s="216">
        <f t="shared" ref="R26" si="12">P26*N26</f>
        <v>4.0098995999999998</v>
      </c>
      <c r="S26" s="216"/>
      <c r="T26" s="216">
        <f t="shared" ref="T26" si="13">N26-R26</f>
        <v>201.31010039999998</v>
      </c>
      <c r="U26" s="216"/>
      <c r="V26" s="394">
        <f t="shared" ref="V26" si="14">N26/$J$44</f>
        <v>8.6185958259435581E-3</v>
      </c>
      <c r="W26" s="370"/>
      <c r="X26" s="373">
        <f t="shared" ref="X26" si="15">$J$46*V26</f>
        <v>3.6408395386215431E-2</v>
      </c>
    </row>
    <row r="27" spans="1:24">
      <c r="A27" s="505"/>
      <c r="B27" s="370" t="s">
        <v>528</v>
      </c>
      <c r="C27" s="370"/>
      <c r="E27" s="367" t="s">
        <v>115</v>
      </c>
      <c r="F27" s="484">
        <v>6668</v>
      </c>
      <c r="G27" s="178" t="s">
        <v>134</v>
      </c>
      <c r="H27" s="485">
        <v>4.5</v>
      </c>
      <c r="J27" s="484">
        <v>56011.200000000004</v>
      </c>
      <c r="K27" s="178" t="s">
        <v>136</v>
      </c>
      <c r="L27" s="484"/>
      <c r="M27" s="178" t="s">
        <v>135</v>
      </c>
      <c r="N27" s="216">
        <f t="shared" si="7"/>
        <v>56011.200000000004</v>
      </c>
      <c r="O27" s="178" t="s">
        <v>134</v>
      </c>
      <c r="P27" s="490">
        <v>7.0000000000000001E-3</v>
      </c>
      <c r="Q27" s="393" t="s">
        <v>135</v>
      </c>
      <c r="R27" s="216">
        <f t="shared" si="5"/>
        <v>392.07840000000004</v>
      </c>
      <c r="S27" s="216"/>
      <c r="T27" s="216">
        <f t="shared" si="8"/>
        <v>55619.121600000006</v>
      </c>
      <c r="U27" s="216"/>
      <c r="V27" s="394">
        <f t="shared" si="9"/>
        <v>2.3511489115823583</v>
      </c>
      <c r="W27" s="370"/>
      <c r="X27" s="373">
        <f t="shared" si="10"/>
        <v>9.9321932381472315</v>
      </c>
    </row>
    <row r="28" spans="1:24">
      <c r="A28" s="370"/>
      <c r="B28" s="370" t="s">
        <v>239</v>
      </c>
      <c r="C28" s="370"/>
      <c r="E28" s="367" t="s">
        <v>1003</v>
      </c>
      <c r="F28" s="484">
        <v>30598</v>
      </c>
      <c r="G28" s="178" t="s">
        <v>134</v>
      </c>
      <c r="H28" s="486">
        <v>5.0999999999999996</v>
      </c>
      <c r="J28" s="484">
        <v>19547.614080834421</v>
      </c>
      <c r="K28" s="178" t="s">
        <v>136</v>
      </c>
      <c r="L28" s="484"/>
      <c r="M28" s="178" t="s">
        <v>135</v>
      </c>
      <c r="N28" s="216">
        <f>J28-L28</f>
        <v>19547.614080834421</v>
      </c>
      <c r="O28" s="178" t="s">
        <v>134</v>
      </c>
      <c r="P28" s="490">
        <v>6.0000000000000001E-3</v>
      </c>
      <c r="Q28" s="393" t="s">
        <v>135</v>
      </c>
      <c r="R28" s="216">
        <f t="shared" si="5"/>
        <v>117.28568448500653</v>
      </c>
      <c r="S28" s="370"/>
      <c r="T28" s="216">
        <f>N28-R28</f>
        <v>19430.328396349414</v>
      </c>
      <c r="U28" s="370"/>
      <c r="V28" s="397">
        <f>N28/$J$44</f>
        <v>0.82053859889068315</v>
      </c>
      <c r="W28" s="370"/>
      <c r="X28" s="373">
        <f>$J$46*V28</f>
        <v>3.4662831789994728</v>
      </c>
    </row>
    <row r="29" spans="1:24" s="381" customFormat="1">
      <c r="A29" s="345"/>
      <c r="B29" s="382" t="s">
        <v>139</v>
      </c>
      <c r="C29" s="345"/>
      <c r="J29" s="398">
        <f>SUM(J21:J28)</f>
        <v>106455.356705636</v>
      </c>
      <c r="N29" s="398">
        <f>SUM(N21:N28)</f>
        <v>82999.030279187748</v>
      </c>
      <c r="P29" s="196"/>
      <c r="R29" s="398">
        <f>SUM(R21:R28)</f>
        <v>3886.2133876094936</v>
      </c>
      <c r="S29" s="210"/>
      <c r="T29" s="398">
        <f>SUM(T27:T28)</f>
        <v>75049.449996349416</v>
      </c>
      <c r="U29" s="210"/>
      <c r="V29" s="436">
        <f t="shared" ref="V29" si="16">N29/$J$44</f>
        <v>3.4840010516343778</v>
      </c>
      <c r="W29" s="345"/>
      <c r="X29" s="416">
        <f>$J$48*V29</f>
        <v>15.763014026171852</v>
      </c>
    </row>
    <row r="30" spans="1:24">
      <c r="A30" s="345"/>
      <c r="B30" s="465"/>
      <c r="C30" s="345"/>
      <c r="F30" s="210"/>
      <c r="G30" s="196"/>
      <c r="H30" s="437"/>
      <c r="I30" s="196"/>
      <c r="J30" s="210"/>
      <c r="K30" s="196"/>
      <c r="L30" s="210"/>
      <c r="M30" s="196"/>
      <c r="N30" s="210"/>
      <c r="O30" s="196"/>
      <c r="P30" s="211"/>
      <c r="Q30" s="369"/>
      <c r="R30" s="210"/>
      <c r="S30" s="370"/>
      <c r="T30" s="210"/>
      <c r="U30" s="370"/>
      <c r="V30" s="438"/>
      <c r="W30" s="370"/>
      <c r="X30" s="372"/>
    </row>
    <row r="31" spans="1:24">
      <c r="A31" s="345"/>
      <c r="B31" s="345" t="s">
        <v>138</v>
      </c>
      <c r="C31" s="370"/>
      <c r="F31" s="210"/>
      <c r="G31" s="196"/>
      <c r="H31" s="372"/>
      <c r="I31" s="376"/>
      <c r="J31" s="398">
        <f>J17</f>
        <v>66801.890182737232</v>
      </c>
      <c r="K31" s="375"/>
      <c r="L31" s="398">
        <f>-J35</f>
        <v>28000.882361854827</v>
      </c>
      <c r="M31" s="196"/>
      <c r="N31" s="398">
        <f>J31-L31</f>
        <v>38801.007820882405</v>
      </c>
      <c r="P31" s="377"/>
      <c r="Q31" s="378"/>
      <c r="R31" s="398">
        <f>SUM(R17,R24,R29)</f>
        <v>63323.313968404167</v>
      </c>
      <c r="S31" s="370"/>
      <c r="T31" s="398">
        <f>T17+T18</f>
        <v>6363.0519215402837</v>
      </c>
      <c r="U31" s="370"/>
      <c r="V31" s="436">
        <f>N31/$J$44</f>
        <v>1.628726885093807</v>
      </c>
      <c r="W31" s="370"/>
      <c r="X31" s="416">
        <f>$J$46*V31</f>
        <v>6.8803936982579579</v>
      </c>
    </row>
    <row r="32" spans="1:24">
      <c r="D32" s="345"/>
      <c r="E32" s="381"/>
      <c r="F32" s="381"/>
      <c r="G32" s="381"/>
      <c r="H32" s="381"/>
      <c r="I32" s="381"/>
      <c r="J32" s="381"/>
      <c r="K32" s="381"/>
      <c r="R32" s="370"/>
    </row>
    <row r="33" spans="2:24">
      <c r="D33" s="345"/>
      <c r="E33" s="381"/>
      <c r="F33" s="381"/>
      <c r="G33" s="381"/>
      <c r="H33" s="381"/>
      <c r="I33" s="381"/>
      <c r="J33" s="381"/>
      <c r="K33" s="381"/>
      <c r="R33" s="370"/>
    </row>
    <row r="34" spans="2:24" ht="12.6" thickBot="1">
      <c r="B34" s="382" t="s">
        <v>142</v>
      </c>
      <c r="D34" s="345"/>
      <c r="E34" s="381"/>
      <c r="H34" s="381"/>
      <c r="I34" s="381"/>
      <c r="J34" s="374">
        <f>J31</f>
        <v>66801.890182737232</v>
      </c>
      <c r="T34" s="460" t="s">
        <v>549</v>
      </c>
      <c r="U34" s="460"/>
      <c r="V34" s="368"/>
      <c r="W34" s="368"/>
      <c r="X34" s="368"/>
    </row>
    <row r="35" spans="2:24" ht="12.6" thickTop="1">
      <c r="B35" s="383" t="s">
        <v>1506</v>
      </c>
      <c r="J35" s="484">
        <v>-28000.882361854827</v>
      </c>
    </row>
    <row r="36" spans="2:24">
      <c r="B36" s="383" t="s">
        <v>872</v>
      </c>
      <c r="J36" s="216">
        <f>-T31</f>
        <v>-6363.0519215402837</v>
      </c>
      <c r="K36" s="381"/>
    </row>
    <row r="37" spans="2:24">
      <c r="B37" s="383" t="s">
        <v>538</v>
      </c>
      <c r="J37" s="216">
        <f>R29</f>
        <v>3886.2133876094936</v>
      </c>
      <c r="K37" s="381"/>
    </row>
    <row r="38" spans="2:24">
      <c r="B38" s="383" t="s">
        <v>1534</v>
      </c>
      <c r="J38" s="484">
        <v>-2203.9915508809231</v>
      </c>
      <c r="K38" s="381"/>
    </row>
    <row r="39" spans="2:24">
      <c r="B39" s="384" t="s">
        <v>1442</v>
      </c>
      <c r="J39" s="484">
        <v>-3160.1850046627014</v>
      </c>
      <c r="K39" s="381"/>
    </row>
    <row r="40" spans="2:24">
      <c r="B40" s="384" t="s">
        <v>1443</v>
      </c>
      <c r="J40" s="484"/>
      <c r="K40" s="381"/>
    </row>
    <row r="41" spans="2:24">
      <c r="B41" s="384" t="s">
        <v>1025</v>
      </c>
      <c r="J41" s="484">
        <v>-7550</v>
      </c>
      <c r="K41" s="381"/>
    </row>
    <row r="42" spans="2:24">
      <c r="B42" s="384" t="s">
        <v>1444</v>
      </c>
      <c r="J42" s="484"/>
      <c r="K42" s="381"/>
    </row>
    <row r="43" spans="2:24">
      <c r="B43" s="384" t="s">
        <v>1535</v>
      </c>
      <c r="J43" s="484">
        <v>412.91347588264546</v>
      </c>
      <c r="K43" s="381"/>
    </row>
    <row r="44" spans="2:24">
      <c r="B44" s="382" t="s">
        <v>495</v>
      </c>
      <c r="D44" s="345"/>
      <c r="E44" s="381"/>
      <c r="F44" s="381"/>
      <c r="G44" s="381"/>
      <c r="H44" s="381"/>
      <c r="I44" s="381"/>
      <c r="J44" s="398">
        <f>J34+J35+J36+J37+J38+J39+J40+J42+J43+J41</f>
        <v>23822.906207290642</v>
      </c>
      <c r="K44" s="381"/>
    </row>
    <row r="45" spans="2:24" ht="12.6" thickBot="1">
      <c r="B45" s="384" t="s">
        <v>496</v>
      </c>
      <c r="D45" s="370"/>
      <c r="J45" s="216">
        <f>(TEF!E10)</f>
        <v>5639.3586649999997</v>
      </c>
      <c r="K45" s="381"/>
    </row>
    <row r="46" spans="2:24" ht="12.6" thickBot="1">
      <c r="B46" s="382" t="s">
        <v>497</v>
      </c>
      <c r="D46" s="370"/>
      <c r="J46" s="461">
        <f>J44/J45</f>
        <v>4.2243999047524037</v>
      </c>
      <c r="K46" s="381"/>
      <c r="U46" s="345"/>
      <c r="X46" s="387"/>
    </row>
    <row r="47" spans="2:24" ht="12.6" thickBot="1">
      <c r="B47" s="384" t="s">
        <v>748</v>
      </c>
      <c r="J47" s="523">
        <v>0.3</v>
      </c>
      <c r="K47" s="381"/>
    </row>
    <row r="48" spans="2:24" ht="12.6" thickBot="1">
      <c r="B48" s="382" t="s">
        <v>62</v>
      </c>
      <c r="D48" s="345"/>
      <c r="E48" s="381"/>
      <c r="H48" s="381"/>
      <c r="I48" s="381"/>
      <c r="J48" s="461">
        <f>J46+J47</f>
        <v>4.5243999047524035</v>
      </c>
    </row>
    <row r="49" spans="2:24">
      <c r="B49" s="384" t="s">
        <v>498</v>
      </c>
      <c r="D49" s="370"/>
      <c r="J49" s="373">
        <f>Prices!C17</f>
        <v>4.1550000000000002</v>
      </c>
    </row>
    <row r="50" spans="2:24">
      <c r="B50" s="382" t="s">
        <v>97</v>
      </c>
      <c r="D50" s="345"/>
      <c r="E50" s="381"/>
      <c r="F50" s="381"/>
      <c r="G50" s="381"/>
      <c r="H50" s="381"/>
      <c r="I50" s="381"/>
      <c r="J50" s="387">
        <f>J48/J49-1</f>
        <v>8.8904910891071776E-2</v>
      </c>
      <c r="K50" s="381"/>
    </row>
    <row r="51" spans="2:24">
      <c r="B51" s="382"/>
      <c r="D51" s="345"/>
      <c r="E51" s="345"/>
      <c r="H51" s="381"/>
      <c r="I51" s="381"/>
    </row>
    <row r="52" spans="2:24">
      <c r="D52" s="345"/>
      <c r="E52" s="345"/>
      <c r="F52" s="345"/>
      <c r="G52" s="345"/>
      <c r="H52" s="345"/>
      <c r="I52" s="345"/>
    </row>
    <row r="53" spans="2:24">
      <c r="D53" s="345"/>
      <c r="E53" s="345"/>
      <c r="F53" s="345"/>
      <c r="G53" s="345"/>
      <c r="H53" s="345"/>
      <c r="I53" s="345"/>
    </row>
    <row r="54" spans="2:24">
      <c r="D54" s="345"/>
      <c r="E54" s="345"/>
      <c r="F54" s="345"/>
      <c r="G54" s="345"/>
      <c r="H54" s="345"/>
      <c r="I54" s="345"/>
    </row>
    <row r="55" spans="2:24" ht="12.6" thickBot="1">
      <c r="D55" s="345"/>
      <c r="E55" s="345"/>
      <c r="F55" s="345"/>
      <c r="G55" s="345"/>
      <c r="H55" s="345"/>
      <c r="I55" s="345"/>
      <c r="T55" s="460" t="s">
        <v>549</v>
      </c>
      <c r="U55" s="460"/>
      <c r="V55" s="368"/>
      <c r="W55" s="368"/>
      <c r="X55" s="368"/>
    </row>
    <row r="56" spans="2:24" ht="12.6" thickTop="1">
      <c r="D56" s="345"/>
      <c r="E56" s="345"/>
      <c r="F56" s="345"/>
      <c r="G56" s="345"/>
      <c r="H56" s="345"/>
      <c r="I56" s="345"/>
      <c r="T56" s="370" t="s">
        <v>108</v>
      </c>
      <c r="X56" s="527">
        <f>(N11+N12+N15+N16+R21)/(N17+R29)</f>
        <v>0.63043523495583131</v>
      </c>
    </row>
    <row r="57" spans="2:24">
      <c r="D57" s="345"/>
      <c r="E57" s="345"/>
      <c r="F57" s="345"/>
      <c r="G57" s="345"/>
      <c r="H57" s="345"/>
      <c r="I57" s="345"/>
      <c r="T57" s="370" t="s">
        <v>653</v>
      </c>
      <c r="X57" s="527">
        <f>1-X56</f>
        <v>0.36956476504416869</v>
      </c>
    </row>
    <row r="58" spans="2:24">
      <c r="D58" s="345"/>
      <c r="E58" s="345"/>
      <c r="F58" s="345"/>
      <c r="G58" s="345"/>
      <c r="H58" s="345"/>
      <c r="I58" s="345"/>
    </row>
    <row r="59" spans="2:24">
      <c r="D59" s="345"/>
      <c r="E59" s="345"/>
      <c r="F59" s="345"/>
      <c r="G59" s="345"/>
      <c r="H59" s="345"/>
      <c r="I59" s="345"/>
    </row>
    <row r="60" spans="2:24">
      <c r="D60" s="345"/>
      <c r="E60" s="381"/>
      <c r="F60" s="381"/>
      <c r="G60" s="381"/>
      <c r="H60" s="381"/>
      <c r="I60" s="381"/>
    </row>
    <row r="61" spans="2:24">
      <c r="D61" s="345"/>
      <c r="E61" s="381"/>
      <c r="F61" s="381"/>
      <c r="G61" s="381"/>
      <c r="H61" s="381"/>
      <c r="I61" s="381"/>
    </row>
    <row r="62" spans="2:24">
      <c r="D62" s="370"/>
      <c r="E62" s="381"/>
      <c r="F62" s="381"/>
      <c r="G62" s="381"/>
      <c r="H62" s="381"/>
      <c r="I62" s="381"/>
      <c r="L62" s="249"/>
      <c r="M62" s="249"/>
      <c r="N62" s="249"/>
      <c r="O62" s="249"/>
      <c r="P62" s="249"/>
      <c r="Q62" s="249"/>
    </row>
    <row r="63" spans="2:24">
      <c r="D63" s="370"/>
      <c r="E63" s="381"/>
      <c r="F63" s="381"/>
      <c r="G63" s="381"/>
      <c r="H63" s="381"/>
      <c r="I63" s="381"/>
      <c r="N63" s="388"/>
      <c r="O63" s="388"/>
      <c r="P63" s="388"/>
      <c r="Q63" s="388"/>
      <c r="R63" s="388"/>
      <c r="S63" s="388"/>
    </row>
    <row r="64" spans="2:24">
      <c r="D64" s="370"/>
      <c r="T64" s="249"/>
      <c r="U64" s="249"/>
      <c r="V64" s="249"/>
      <c r="W64" s="249"/>
      <c r="X64" s="249"/>
    </row>
    <row r="65" spans="4:24">
      <c r="D65" s="345"/>
      <c r="E65" s="381"/>
      <c r="F65" s="381"/>
      <c r="G65" s="381"/>
      <c r="H65" s="381"/>
      <c r="I65" s="381"/>
      <c r="T65" s="388"/>
      <c r="U65" s="388"/>
      <c r="V65" s="388"/>
      <c r="W65" s="388"/>
      <c r="X65" s="388"/>
    </row>
    <row r="66" spans="4:24">
      <c r="D66" s="370"/>
      <c r="E66" s="381"/>
      <c r="F66" s="381"/>
      <c r="G66" s="381"/>
      <c r="H66" s="381"/>
      <c r="I66" s="381"/>
      <c r="L66" s="249"/>
      <c r="M66" s="249"/>
      <c r="N66" s="249"/>
      <c r="O66" s="249"/>
      <c r="P66" s="249"/>
      <c r="Q66" s="249"/>
      <c r="R66" s="249"/>
      <c r="S66" s="249"/>
    </row>
    <row r="67" spans="4:24">
      <c r="D67" s="370"/>
      <c r="E67" s="381"/>
      <c r="F67" s="381"/>
      <c r="G67" s="381"/>
      <c r="H67" s="381"/>
      <c r="I67" s="381"/>
      <c r="N67" s="388"/>
      <c r="O67" s="388"/>
      <c r="P67" s="388"/>
      <c r="Q67" s="388"/>
      <c r="R67" s="388"/>
      <c r="S67" s="388"/>
    </row>
    <row r="68" spans="4:24">
      <c r="D68" s="370"/>
      <c r="T68" s="249"/>
      <c r="U68" s="249"/>
      <c r="V68" s="249"/>
      <c r="W68" s="249"/>
      <c r="X68" s="249"/>
    </row>
    <row r="69" spans="4:24">
      <c r="D69" s="370"/>
      <c r="L69" s="249"/>
      <c r="M69" s="249"/>
      <c r="N69" s="249"/>
      <c r="O69" s="249"/>
      <c r="P69" s="249"/>
      <c r="Q69" s="249"/>
      <c r="R69" s="249"/>
      <c r="S69" s="249"/>
      <c r="T69" s="388"/>
      <c r="U69" s="388"/>
      <c r="V69" s="388"/>
      <c r="W69" s="388"/>
      <c r="X69" s="388"/>
    </row>
    <row r="70" spans="4:24">
      <c r="D70" s="370"/>
      <c r="J70" s="381"/>
      <c r="K70" s="381"/>
      <c r="N70" s="388"/>
      <c r="O70" s="388"/>
      <c r="P70" s="388"/>
      <c r="Q70" s="388"/>
      <c r="R70" s="388"/>
      <c r="S70" s="388"/>
    </row>
    <row r="71" spans="4:24">
      <c r="D71" s="370"/>
      <c r="J71" s="381"/>
      <c r="K71" s="381"/>
      <c r="T71" s="249"/>
      <c r="U71" s="249"/>
      <c r="V71" s="249"/>
      <c r="W71" s="249"/>
      <c r="X71" s="249"/>
    </row>
    <row r="72" spans="4:24">
      <c r="D72" s="370"/>
      <c r="L72" s="249"/>
      <c r="M72" s="249"/>
      <c r="N72" s="249"/>
      <c r="O72" s="249"/>
      <c r="P72" s="249"/>
      <c r="Q72" s="249"/>
      <c r="R72" s="249"/>
      <c r="S72" s="249"/>
      <c r="T72" s="388"/>
      <c r="U72" s="388"/>
      <c r="V72" s="388"/>
      <c r="W72" s="388"/>
      <c r="X72" s="388"/>
    </row>
    <row r="73" spans="4:24">
      <c r="D73" s="370"/>
      <c r="J73" s="381"/>
      <c r="K73" s="381"/>
      <c r="N73" s="388"/>
      <c r="O73" s="388"/>
      <c r="P73" s="388"/>
      <c r="Q73" s="388"/>
      <c r="R73" s="388"/>
      <c r="S73" s="388"/>
    </row>
    <row r="74" spans="4:24">
      <c r="D74" s="370"/>
      <c r="J74" s="381"/>
      <c r="K74" s="381"/>
      <c r="T74" s="249"/>
      <c r="U74" s="249"/>
      <c r="V74" s="249"/>
      <c r="W74" s="249"/>
      <c r="X74" s="249"/>
    </row>
    <row r="75" spans="4:24">
      <c r="D75" s="370"/>
      <c r="J75" s="381"/>
      <c r="K75" s="381"/>
      <c r="L75" s="249"/>
      <c r="M75" s="249"/>
      <c r="N75" s="249"/>
      <c r="O75" s="249"/>
      <c r="P75" s="249"/>
      <c r="Q75" s="249"/>
      <c r="R75" s="249"/>
      <c r="S75" s="249"/>
      <c r="T75" s="388"/>
      <c r="U75" s="388"/>
      <c r="V75" s="388"/>
      <c r="W75" s="388"/>
      <c r="X75" s="388"/>
    </row>
    <row r="76" spans="4:24">
      <c r="D76" s="370"/>
      <c r="N76" s="388"/>
      <c r="O76" s="388"/>
      <c r="P76" s="388"/>
      <c r="Q76" s="388"/>
      <c r="R76" s="388"/>
      <c r="S76" s="388"/>
    </row>
    <row r="77" spans="4:24">
      <c r="D77" s="345"/>
      <c r="E77" s="381"/>
      <c r="F77" s="381"/>
      <c r="G77" s="381"/>
      <c r="H77" s="381"/>
      <c r="I77" s="381"/>
      <c r="L77" s="389"/>
      <c r="M77" s="389"/>
      <c r="N77" s="389"/>
      <c r="O77" s="389"/>
      <c r="P77" s="389"/>
      <c r="Q77" s="389"/>
      <c r="R77" s="389"/>
      <c r="S77" s="389"/>
      <c r="T77" s="249"/>
      <c r="U77" s="249"/>
      <c r="V77" s="249"/>
      <c r="W77" s="249"/>
      <c r="X77" s="249"/>
    </row>
    <row r="78" spans="4:24">
      <c r="D78" s="370"/>
      <c r="J78" s="381"/>
      <c r="K78" s="381"/>
      <c r="N78" s="388"/>
      <c r="O78" s="388"/>
      <c r="P78" s="388"/>
      <c r="Q78" s="388"/>
      <c r="R78" s="388"/>
      <c r="S78" s="388"/>
      <c r="T78" s="388"/>
      <c r="U78" s="388"/>
      <c r="V78" s="388"/>
      <c r="W78" s="388"/>
      <c r="X78" s="388"/>
    </row>
    <row r="79" spans="4:24">
      <c r="D79" s="370"/>
      <c r="J79" s="381"/>
      <c r="K79" s="381"/>
      <c r="T79" s="389"/>
      <c r="U79" s="389"/>
      <c r="V79" s="389"/>
      <c r="W79" s="389"/>
      <c r="X79" s="389"/>
    </row>
    <row r="80" spans="4:24">
      <c r="D80" s="345"/>
      <c r="E80" s="381"/>
      <c r="F80" s="381"/>
      <c r="G80" s="381"/>
      <c r="H80" s="381"/>
      <c r="I80" s="381"/>
      <c r="L80" s="249"/>
      <c r="M80" s="249"/>
      <c r="N80" s="249"/>
      <c r="O80" s="249"/>
      <c r="P80" s="249"/>
      <c r="Q80" s="249"/>
      <c r="R80" s="249"/>
      <c r="S80" s="249"/>
      <c r="T80" s="388"/>
      <c r="U80" s="388"/>
      <c r="V80" s="388"/>
      <c r="W80" s="388"/>
      <c r="X80" s="388"/>
    </row>
    <row r="81" spans="4:24">
      <c r="D81" s="370"/>
      <c r="N81" s="388"/>
      <c r="O81" s="388"/>
      <c r="P81" s="390"/>
      <c r="Q81" s="390"/>
      <c r="R81" s="390"/>
      <c r="S81" s="390"/>
    </row>
    <row r="82" spans="4:24">
      <c r="D82" s="345"/>
      <c r="E82" s="381"/>
      <c r="F82" s="381"/>
      <c r="G82" s="381"/>
      <c r="H82" s="381"/>
      <c r="I82" s="381"/>
      <c r="L82" s="249"/>
      <c r="M82" s="249"/>
      <c r="N82" s="249"/>
      <c r="O82" s="249"/>
      <c r="P82" s="249"/>
      <c r="Q82" s="249"/>
      <c r="R82" s="249"/>
      <c r="S82" s="249"/>
      <c r="T82" s="249"/>
      <c r="U82" s="249"/>
      <c r="V82" s="249"/>
      <c r="W82" s="249"/>
      <c r="X82" s="249"/>
    </row>
    <row r="83" spans="4:24">
      <c r="D83" s="370"/>
      <c r="E83" s="381"/>
      <c r="F83" s="381"/>
      <c r="G83" s="381"/>
      <c r="H83" s="381"/>
      <c r="I83" s="381"/>
      <c r="N83" s="388"/>
      <c r="O83" s="388"/>
      <c r="P83" s="388"/>
      <c r="Q83" s="388"/>
      <c r="R83" s="388"/>
      <c r="S83" s="388"/>
      <c r="T83" s="390"/>
      <c r="U83" s="390"/>
      <c r="V83" s="390"/>
      <c r="W83" s="390"/>
      <c r="X83" s="390"/>
    </row>
    <row r="84" spans="4:24">
      <c r="D84" s="370"/>
      <c r="L84" s="248"/>
      <c r="M84" s="248"/>
      <c r="N84" s="248"/>
      <c r="O84" s="248"/>
      <c r="P84" s="248"/>
      <c r="Q84" s="248"/>
      <c r="R84" s="248"/>
      <c r="S84" s="248"/>
      <c r="T84" s="249"/>
      <c r="U84" s="249"/>
      <c r="V84" s="249"/>
      <c r="W84" s="249"/>
      <c r="X84" s="249"/>
    </row>
    <row r="85" spans="4:24">
      <c r="D85" s="370"/>
      <c r="T85" s="388"/>
      <c r="U85" s="388"/>
      <c r="V85" s="388"/>
      <c r="W85" s="388"/>
      <c r="X85" s="388"/>
    </row>
    <row r="86" spans="4:24">
      <c r="D86" s="345"/>
      <c r="E86" s="381"/>
      <c r="F86" s="381"/>
      <c r="G86" s="381"/>
      <c r="H86" s="381"/>
      <c r="I86" s="381"/>
      <c r="L86" s="247"/>
      <c r="M86" s="247"/>
      <c r="N86" s="247"/>
      <c r="O86" s="247"/>
      <c r="P86" s="247"/>
      <c r="Q86" s="247"/>
      <c r="R86" s="247"/>
      <c r="S86" s="247"/>
      <c r="T86" s="248"/>
      <c r="U86" s="248"/>
      <c r="V86" s="248"/>
      <c r="W86" s="248"/>
      <c r="X86" s="248"/>
    </row>
    <row r="87" spans="4:24">
      <c r="D87" s="370"/>
      <c r="E87" s="381"/>
      <c r="F87" s="381"/>
      <c r="G87" s="381"/>
      <c r="H87" s="381"/>
      <c r="I87" s="381"/>
      <c r="N87" s="388"/>
      <c r="O87" s="388"/>
      <c r="P87" s="388"/>
      <c r="Q87" s="388"/>
      <c r="R87" s="388"/>
      <c r="S87" s="388"/>
    </row>
    <row r="88" spans="4:24">
      <c r="D88" s="370"/>
      <c r="T88" s="247"/>
      <c r="U88" s="247"/>
      <c r="V88" s="247"/>
      <c r="W88" s="247"/>
      <c r="X88" s="247"/>
    </row>
    <row r="89" spans="4:24">
      <c r="D89" s="345"/>
      <c r="E89" s="381"/>
      <c r="F89" s="381"/>
      <c r="G89" s="381"/>
      <c r="H89" s="381"/>
      <c r="I89" s="381"/>
      <c r="L89" s="389"/>
      <c r="M89" s="389"/>
      <c r="N89" s="389"/>
      <c r="O89" s="389"/>
      <c r="P89" s="389"/>
      <c r="Q89" s="389"/>
      <c r="R89" s="389"/>
      <c r="S89" s="389"/>
      <c r="T89" s="388"/>
      <c r="U89" s="388"/>
      <c r="V89" s="388"/>
      <c r="W89" s="388"/>
      <c r="X89" s="388"/>
    </row>
    <row r="90" spans="4:24">
      <c r="D90" s="370"/>
      <c r="J90" s="381"/>
      <c r="K90" s="381"/>
      <c r="N90" s="388"/>
      <c r="O90" s="388"/>
      <c r="P90" s="388"/>
      <c r="Q90" s="388"/>
      <c r="R90" s="388"/>
      <c r="S90" s="388"/>
    </row>
    <row r="91" spans="4:24">
      <c r="D91" s="370"/>
      <c r="J91" s="381"/>
      <c r="K91" s="381"/>
      <c r="T91" s="389"/>
      <c r="U91" s="389"/>
      <c r="V91" s="389"/>
      <c r="W91" s="389"/>
      <c r="X91" s="389"/>
    </row>
    <row r="92" spans="4:24">
      <c r="D92" s="345"/>
      <c r="E92" s="381"/>
      <c r="F92" s="381"/>
      <c r="G92" s="381"/>
      <c r="H92" s="381"/>
      <c r="I92" s="381"/>
      <c r="L92" s="391"/>
      <c r="M92" s="391"/>
      <c r="N92" s="391"/>
      <c r="O92" s="391"/>
      <c r="P92" s="391"/>
      <c r="Q92" s="391"/>
      <c r="R92" s="391"/>
      <c r="S92" s="391"/>
      <c r="T92" s="388"/>
      <c r="U92" s="388"/>
      <c r="V92" s="388"/>
      <c r="W92" s="388"/>
      <c r="X92" s="388"/>
    </row>
    <row r="93" spans="4:24">
      <c r="D93" s="370"/>
      <c r="N93" s="388"/>
      <c r="O93" s="388"/>
      <c r="P93" s="388"/>
      <c r="Q93" s="388"/>
      <c r="R93" s="388"/>
      <c r="S93" s="388"/>
    </row>
    <row r="94" spans="4:24">
      <c r="D94" s="370"/>
      <c r="J94" s="381"/>
      <c r="K94" s="381"/>
      <c r="N94" s="248"/>
      <c r="O94" s="248"/>
      <c r="P94" s="248"/>
      <c r="Q94" s="248"/>
      <c r="R94" s="248"/>
      <c r="S94" s="248"/>
      <c r="T94" s="391"/>
      <c r="U94" s="391"/>
      <c r="V94" s="391"/>
      <c r="W94" s="391"/>
      <c r="X94" s="391"/>
    </row>
    <row r="95" spans="4:24">
      <c r="D95" s="370"/>
      <c r="J95" s="381"/>
      <c r="K95" s="381"/>
      <c r="T95" s="388"/>
      <c r="U95" s="388"/>
      <c r="V95" s="388"/>
      <c r="W95" s="388"/>
      <c r="X95" s="388"/>
    </row>
    <row r="96" spans="4:24">
      <c r="D96" s="345"/>
      <c r="E96" s="381"/>
      <c r="F96" s="381"/>
      <c r="G96" s="381"/>
      <c r="H96" s="381"/>
      <c r="I96" s="381"/>
      <c r="L96" s="247"/>
      <c r="M96" s="247"/>
      <c r="N96" s="247"/>
      <c r="O96" s="247"/>
      <c r="P96" s="247"/>
      <c r="Q96" s="247"/>
      <c r="R96" s="247"/>
      <c r="S96" s="247"/>
      <c r="T96" s="248"/>
      <c r="U96" s="248"/>
      <c r="V96" s="248"/>
      <c r="W96" s="248"/>
      <c r="X96" s="248"/>
    </row>
    <row r="97" spans="4:24">
      <c r="D97" s="370"/>
      <c r="N97" s="388"/>
      <c r="O97" s="388"/>
      <c r="P97" s="388"/>
      <c r="Q97" s="388"/>
      <c r="R97" s="388"/>
      <c r="S97" s="388"/>
    </row>
    <row r="98" spans="4:24">
      <c r="D98" s="370"/>
      <c r="E98" s="345"/>
      <c r="F98" s="345"/>
      <c r="G98" s="345"/>
      <c r="H98" s="345"/>
      <c r="I98" s="345"/>
      <c r="J98" s="381"/>
      <c r="K98" s="381"/>
      <c r="L98" s="274"/>
      <c r="M98" s="274"/>
      <c r="N98" s="274"/>
      <c r="O98" s="274"/>
      <c r="P98" s="274"/>
      <c r="Q98" s="274"/>
      <c r="R98" s="274"/>
      <c r="S98" s="274"/>
      <c r="T98" s="247"/>
      <c r="U98" s="247"/>
      <c r="V98" s="247"/>
      <c r="W98" s="247"/>
      <c r="X98" s="247"/>
    </row>
    <row r="99" spans="4:24">
      <c r="D99" s="370"/>
      <c r="E99" s="345"/>
      <c r="F99" s="345"/>
      <c r="G99" s="345"/>
      <c r="H99" s="345"/>
      <c r="I99" s="345"/>
      <c r="T99" s="388"/>
      <c r="U99" s="388"/>
      <c r="V99" s="388"/>
      <c r="W99" s="388"/>
      <c r="X99" s="388"/>
    </row>
    <row r="100" spans="4:24">
      <c r="D100" s="370"/>
      <c r="L100" s="389"/>
      <c r="M100" s="389"/>
      <c r="N100" s="389"/>
      <c r="O100" s="389"/>
      <c r="P100" s="389"/>
      <c r="Q100" s="389"/>
      <c r="R100" s="389"/>
      <c r="S100" s="389"/>
      <c r="T100" s="274"/>
      <c r="U100" s="274"/>
      <c r="V100" s="274"/>
      <c r="W100" s="274"/>
      <c r="X100" s="274"/>
    </row>
    <row r="101" spans="4:24">
      <c r="D101" s="370"/>
      <c r="N101" s="388"/>
      <c r="O101" s="388"/>
      <c r="P101" s="388"/>
      <c r="Q101" s="388"/>
      <c r="R101" s="388"/>
      <c r="S101" s="388"/>
    </row>
    <row r="102" spans="4:24">
      <c r="D102" s="370"/>
      <c r="T102" s="389"/>
      <c r="U102" s="389"/>
      <c r="V102" s="389"/>
      <c r="W102" s="389"/>
      <c r="X102" s="389"/>
    </row>
    <row r="103" spans="4:24">
      <c r="D103" s="345"/>
      <c r="E103" s="381"/>
      <c r="F103" s="381"/>
      <c r="G103" s="381"/>
      <c r="H103" s="381"/>
      <c r="I103" s="381"/>
      <c r="T103" s="388"/>
      <c r="U103" s="388"/>
      <c r="V103" s="388"/>
      <c r="W103" s="388"/>
      <c r="X103" s="388"/>
    </row>
    <row r="104" spans="4:24">
      <c r="D104" s="345"/>
      <c r="E104" s="381"/>
      <c r="F104" s="381"/>
      <c r="G104" s="381"/>
      <c r="H104" s="381"/>
      <c r="I104" s="381"/>
      <c r="L104" s="249"/>
      <c r="M104" s="249"/>
      <c r="N104" s="249"/>
      <c r="O104" s="249"/>
      <c r="P104" s="249"/>
      <c r="Q104" s="249"/>
      <c r="R104" s="249"/>
      <c r="S104" s="249"/>
    </row>
    <row r="105" spans="4:24">
      <c r="D105" s="370"/>
      <c r="E105" s="381"/>
      <c r="F105" s="381"/>
      <c r="G105" s="381"/>
      <c r="H105" s="381"/>
      <c r="I105" s="381"/>
      <c r="N105" s="388"/>
      <c r="O105" s="388"/>
      <c r="P105" s="388"/>
      <c r="Q105" s="388"/>
      <c r="R105" s="388"/>
      <c r="S105" s="388"/>
    </row>
    <row r="106" spans="4:24">
      <c r="D106" s="370"/>
      <c r="E106" s="381"/>
      <c r="F106" s="381"/>
      <c r="G106" s="381"/>
      <c r="H106" s="381"/>
      <c r="I106" s="381"/>
      <c r="T106" s="249"/>
      <c r="U106" s="249"/>
      <c r="V106" s="249"/>
      <c r="W106" s="249"/>
      <c r="X106" s="249"/>
    </row>
    <row r="107" spans="4:24">
      <c r="D107" s="370"/>
      <c r="L107" s="249"/>
      <c r="M107" s="249"/>
      <c r="N107" s="249"/>
      <c r="O107" s="249"/>
      <c r="P107" s="249"/>
      <c r="Q107" s="249"/>
      <c r="R107" s="249"/>
      <c r="S107" s="249"/>
      <c r="T107" s="388"/>
      <c r="U107" s="388"/>
      <c r="V107" s="388"/>
      <c r="W107" s="388"/>
      <c r="X107" s="388"/>
    </row>
    <row r="108" spans="4:24">
      <c r="D108" s="345"/>
      <c r="E108" s="381"/>
      <c r="F108" s="381"/>
      <c r="G108" s="381"/>
      <c r="H108" s="381"/>
      <c r="I108" s="381"/>
      <c r="N108" s="388"/>
      <c r="O108" s="388"/>
      <c r="P108" s="390"/>
      <c r="Q108" s="390"/>
      <c r="R108" s="390"/>
      <c r="S108" s="390"/>
    </row>
    <row r="109" spans="4:24">
      <c r="D109" s="370"/>
      <c r="E109" s="381"/>
      <c r="F109" s="381"/>
      <c r="G109" s="381"/>
      <c r="H109" s="381"/>
      <c r="I109" s="381"/>
      <c r="T109" s="249"/>
      <c r="U109" s="249"/>
      <c r="V109" s="249"/>
      <c r="W109" s="249"/>
      <c r="X109" s="249"/>
    </row>
    <row r="110" spans="4:24">
      <c r="D110" s="370"/>
      <c r="E110" s="381"/>
      <c r="F110" s="381"/>
      <c r="G110" s="381"/>
      <c r="H110" s="381"/>
      <c r="I110" s="381"/>
      <c r="L110" s="389"/>
      <c r="M110" s="389"/>
      <c r="N110" s="389"/>
      <c r="O110" s="389"/>
      <c r="P110" s="389"/>
      <c r="Q110" s="389"/>
      <c r="R110" s="389"/>
      <c r="S110" s="389"/>
      <c r="T110" s="390"/>
      <c r="U110" s="390"/>
      <c r="V110" s="390"/>
      <c r="W110" s="390"/>
      <c r="X110" s="390"/>
    </row>
    <row r="111" spans="4:24">
      <c r="D111" s="370"/>
      <c r="N111" s="392"/>
      <c r="O111" s="392"/>
      <c r="P111" s="392"/>
      <c r="Q111" s="392"/>
      <c r="R111" s="392"/>
      <c r="S111" s="392"/>
    </row>
    <row r="112" spans="4:24">
      <c r="D112" s="370"/>
      <c r="L112" s="392"/>
      <c r="M112" s="392"/>
      <c r="N112" s="392"/>
      <c r="O112" s="392"/>
      <c r="P112" s="392"/>
      <c r="Q112" s="392"/>
      <c r="R112" s="392"/>
      <c r="S112" s="392"/>
      <c r="T112" s="389"/>
      <c r="U112" s="389"/>
      <c r="V112" s="389"/>
      <c r="W112" s="389"/>
      <c r="X112" s="389"/>
    </row>
    <row r="113" spans="4:24">
      <c r="D113" s="370"/>
      <c r="J113" s="381"/>
      <c r="K113" s="381"/>
      <c r="T113" s="392"/>
      <c r="U113" s="392"/>
      <c r="V113" s="392"/>
      <c r="W113" s="392"/>
      <c r="X113" s="392"/>
    </row>
    <row r="114" spans="4:24">
      <c r="D114" s="370"/>
      <c r="J114" s="381"/>
      <c r="K114" s="381"/>
      <c r="L114" s="388"/>
      <c r="M114" s="388"/>
      <c r="N114" s="388"/>
      <c r="O114" s="388"/>
      <c r="P114" s="388"/>
      <c r="Q114" s="388"/>
      <c r="R114" s="388"/>
      <c r="S114" s="388"/>
      <c r="T114" s="392"/>
      <c r="U114" s="392"/>
      <c r="V114" s="392"/>
      <c r="W114" s="392"/>
      <c r="X114" s="392"/>
    </row>
    <row r="115" spans="4:24">
      <c r="D115" s="370"/>
      <c r="L115" s="389"/>
      <c r="M115" s="389"/>
      <c r="N115" s="389"/>
      <c r="O115" s="389"/>
      <c r="P115" s="389"/>
      <c r="Q115" s="389"/>
      <c r="R115" s="389"/>
      <c r="S115" s="389"/>
    </row>
    <row r="116" spans="4:24">
      <c r="D116" s="370"/>
      <c r="J116" s="381"/>
      <c r="K116" s="381"/>
      <c r="R116" s="392"/>
      <c r="S116" s="392"/>
      <c r="T116" s="388"/>
      <c r="U116" s="388"/>
      <c r="V116" s="388"/>
      <c r="W116" s="388"/>
      <c r="X116" s="388"/>
    </row>
    <row r="117" spans="4:24">
      <c r="D117" s="370"/>
      <c r="J117" s="381"/>
      <c r="K117" s="381"/>
      <c r="T117" s="389"/>
      <c r="U117" s="389"/>
      <c r="V117" s="389"/>
      <c r="W117" s="389"/>
      <c r="X117" s="389"/>
    </row>
    <row r="118" spans="4:24">
      <c r="D118" s="370"/>
      <c r="J118" s="381"/>
      <c r="K118" s="381"/>
      <c r="L118" s="389"/>
      <c r="M118" s="389"/>
      <c r="N118" s="389"/>
      <c r="O118" s="389"/>
      <c r="P118" s="389"/>
      <c r="Q118" s="389"/>
      <c r="R118" s="389"/>
      <c r="S118" s="389"/>
      <c r="T118" s="392"/>
      <c r="U118" s="392"/>
      <c r="V118" s="392"/>
      <c r="W118" s="392"/>
      <c r="X118" s="392"/>
    </row>
    <row r="119" spans="4:24">
      <c r="D119" s="370"/>
      <c r="N119" s="392"/>
      <c r="O119" s="392"/>
      <c r="P119" s="392"/>
      <c r="Q119" s="392"/>
      <c r="R119" s="392"/>
      <c r="S119" s="392"/>
    </row>
    <row r="120" spans="4:24">
      <c r="D120" s="345"/>
      <c r="E120" s="381"/>
      <c r="F120" s="381"/>
      <c r="G120" s="381"/>
      <c r="H120" s="381"/>
      <c r="I120" s="381"/>
      <c r="T120" s="389"/>
      <c r="U120" s="389"/>
      <c r="V120" s="389"/>
      <c r="W120" s="389"/>
      <c r="X120" s="389"/>
    </row>
    <row r="121" spans="4:24">
      <c r="D121" s="370"/>
      <c r="J121" s="381"/>
      <c r="K121" s="381"/>
      <c r="T121" s="392"/>
      <c r="U121" s="392"/>
      <c r="V121" s="392"/>
      <c r="W121" s="392"/>
      <c r="X121" s="392"/>
    </row>
    <row r="122" spans="4:24">
      <c r="D122" s="370"/>
      <c r="J122" s="381"/>
      <c r="K122" s="381"/>
    </row>
    <row r="123" spans="4:24">
      <c r="D123" s="345"/>
      <c r="E123" s="381"/>
      <c r="F123" s="381"/>
      <c r="G123" s="381"/>
      <c r="H123" s="381"/>
      <c r="I123" s="381"/>
    </row>
    <row r="124" spans="4:24">
      <c r="D124" s="370"/>
    </row>
    <row r="125" spans="4:24">
      <c r="D125" s="345"/>
      <c r="E125" s="381"/>
      <c r="F125" s="381"/>
      <c r="G125" s="381"/>
      <c r="H125" s="381"/>
      <c r="I125" s="381"/>
    </row>
    <row r="126" spans="4:24">
      <c r="D126" s="370"/>
      <c r="E126" s="381"/>
      <c r="F126" s="381"/>
      <c r="G126" s="381"/>
      <c r="H126" s="381"/>
      <c r="I126" s="381"/>
    </row>
    <row r="127" spans="4:24">
      <c r="D127" s="370"/>
    </row>
    <row r="128" spans="4:24">
      <c r="D128" s="370"/>
    </row>
    <row r="129" spans="4:11">
      <c r="D129" s="345"/>
      <c r="E129" s="381"/>
      <c r="F129" s="381"/>
      <c r="G129" s="381"/>
      <c r="H129" s="381"/>
      <c r="I129" s="381"/>
    </row>
    <row r="130" spans="4:11">
      <c r="D130" s="370"/>
      <c r="E130" s="381"/>
      <c r="F130" s="381"/>
      <c r="G130" s="381"/>
      <c r="H130" s="381"/>
      <c r="I130" s="381"/>
    </row>
    <row r="131" spans="4:11">
      <c r="D131" s="370"/>
    </row>
    <row r="132" spans="4:11">
      <c r="D132" s="345"/>
      <c r="E132" s="381"/>
      <c r="F132" s="381"/>
      <c r="G132" s="381"/>
      <c r="H132" s="381"/>
      <c r="I132" s="381"/>
    </row>
    <row r="133" spans="4:11">
      <c r="D133" s="370"/>
      <c r="J133" s="381"/>
      <c r="K133" s="381"/>
    </row>
    <row r="134" spans="4:11">
      <c r="D134" s="370"/>
      <c r="J134" s="381"/>
      <c r="K134" s="381"/>
    </row>
    <row r="135" spans="4:11">
      <c r="D135" s="345"/>
      <c r="E135" s="381"/>
      <c r="F135" s="381"/>
      <c r="G135" s="381"/>
      <c r="H135" s="381"/>
      <c r="I135" s="381"/>
    </row>
    <row r="136" spans="4:11">
      <c r="D136" s="370"/>
    </row>
    <row r="137" spans="4:11">
      <c r="D137" s="370"/>
      <c r="J137" s="381"/>
      <c r="K137" s="381"/>
    </row>
    <row r="138" spans="4:11">
      <c r="D138" s="370"/>
      <c r="J138" s="381"/>
      <c r="K138" s="381"/>
    </row>
    <row r="139" spans="4:11">
      <c r="D139" s="345"/>
      <c r="E139" s="381"/>
      <c r="F139" s="381"/>
      <c r="G139" s="381"/>
      <c r="H139" s="381"/>
      <c r="I139" s="381"/>
    </row>
    <row r="140" spans="4:11">
      <c r="D140" s="370"/>
    </row>
    <row r="141" spans="4:11">
      <c r="D141" s="370"/>
      <c r="E141" s="345"/>
      <c r="F141" s="345"/>
      <c r="G141" s="345"/>
      <c r="H141" s="345"/>
      <c r="I141" s="345"/>
      <c r="J141" s="381"/>
      <c r="K141" s="381"/>
    </row>
    <row r="142" spans="4:11">
      <c r="D142" s="370"/>
      <c r="E142" s="345"/>
      <c r="F142" s="345"/>
      <c r="G142" s="345"/>
      <c r="H142" s="345"/>
      <c r="I142" s="345"/>
    </row>
    <row r="143" spans="4:11">
      <c r="D143" s="370"/>
    </row>
    <row r="144" spans="4:11">
      <c r="D144" s="370"/>
    </row>
    <row r="146" spans="4:11">
      <c r="D146" s="345"/>
      <c r="E146" s="381"/>
      <c r="F146" s="381"/>
      <c r="G146" s="381"/>
      <c r="H146" s="381"/>
      <c r="I146" s="381"/>
    </row>
    <row r="147" spans="4:11">
      <c r="D147" s="345"/>
      <c r="E147" s="381"/>
      <c r="F147" s="381"/>
      <c r="G147" s="381"/>
      <c r="H147" s="381"/>
      <c r="I147" s="381"/>
    </row>
    <row r="148" spans="4:11">
      <c r="D148" s="370"/>
      <c r="E148" s="381"/>
      <c r="F148" s="381"/>
      <c r="G148" s="381"/>
      <c r="H148" s="381"/>
      <c r="I148" s="381"/>
    </row>
    <row r="149" spans="4:11">
      <c r="D149" s="370"/>
      <c r="E149" s="381"/>
      <c r="F149" s="381"/>
      <c r="G149" s="381"/>
      <c r="H149" s="381"/>
      <c r="I149" s="381"/>
    </row>
    <row r="150" spans="4:11">
      <c r="D150" s="370"/>
    </row>
    <row r="151" spans="4:11">
      <c r="D151" s="345"/>
      <c r="E151" s="381"/>
      <c r="F151" s="381"/>
      <c r="G151" s="381"/>
      <c r="H151" s="381"/>
      <c r="I151" s="381"/>
    </row>
    <row r="152" spans="4:11">
      <c r="D152" s="370"/>
      <c r="E152" s="381"/>
      <c r="F152" s="381"/>
      <c r="G152" s="381"/>
      <c r="H152" s="381"/>
      <c r="I152" s="381"/>
    </row>
    <row r="153" spans="4:11">
      <c r="D153" s="370"/>
      <c r="E153" s="381"/>
      <c r="F153" s="381"/>
      <c r="G153" s="381"/>
      <c r="H153" s="381"/>
      <c r="I153" s="381"/>
    </row>
    <row r="154" spans="4:11">
      <c r="D154" s="370"/>
    </row>
    <row r="155" spans="4:11">
      <c r="D155" s="370"/>
    </row>
    <row r="156" spans="4:11">
      <c r="D156" s="370"/>
      <c r="J156" s="381"/>
      <c r="K156" s="381"/>
    </row>
    <row r="157" spans="4:11">
      <c r="D157" s="370"/>
      <c r="J157" s="381"/>
      <c r="K157" s="381"/>
    </row>
    <row r="158" spans="4:11">
      <c r="D158" s="370"/>
    </row>
    <row r="159" spans="4:11">
      <c r="D159" s="370"/>
      <c r="J159" s="381"/>
      <c r="K159" s="381"/>
    </row>
    <row r="160" spans="4:11">
      <c r="D160" s="370"/>
      <c r="J160" s="381"/>
      <c r="K160" s="381"/>
    </row>
    <row r="161" spans="4:11">
      <c r="D161" s="370"/>
      <c r="J161" s="381"/>
      <c r="K161" s="381"/>
    </row>
    <row r="162" spans="4:11">
      <c r="D162" s="370"/>
    </row>
    <row r="163" spans="4:11">
      <c r="D163" s="345"/>
      <c r="E163" s="381"/>
      <c r="F163" s="381"/>
      <c r="G163" s="381"/>
      <c r="H163" s="381"/>
      <c r="I163" s="381"/>
    </row>
    <row r="164" spans="4:11">
      <c r="D164" s="370"/>
      <c r="J164" s="381"/>
      <c r="K164" s="381"/>
    </row>
    <row r="165" spans="4:11">
      <c r="D165" s="370"/>
      <c r="J165" s="381"/>
      <c r="K165" s="381"/>
    </row>
    <row r="166" spans="4:11">
      <c r="D166" s="345"/>
      <c r="E166" s="381"/>
      <c r="F166" s="381"/>
      <c r="G166" s="381"/>
      <c r="H166" s="381"/>
      <c r="I166" s="381"/>
    </row>
    <row r="167" spans="4:11">
      <c r="D167" s="370"/>
    </row>
    <row r="168" spans="4:11">
      <c r="D168" s="345"/>
      <c r="E168" s="381"/>
      <c r="F168" s="381"/>
      <c r="G168" s="381"/>
      <c r="H168" s="381"/>
      <c r="I168" s="381"/>
    </row>
    <row r="169" spans="4:11">
      <c r="D169" s="370"/>
      <c r="E169" s="381"/>
      <c r="F169" s="381"/>
      <c r="G169" s="381"/>
      <c r="H169" s="381"/>
      <c r="I169" s="381"/>
    </row>
    <row r="170" spans="4:11">
      <c r="D170" s="370"/>
    </row>
    <row r="171" spans="4:11">
      <c r="D171" s="370"/>
    </row>
    <row r="172" spans="4:11">
      <c r="D172" s="345"/>
      <c r="E172" s="381"/>
      <c r="F172" s="381"/>
      <c r="G172" s="381"/>
      <c r="H172" s="381"/>
      <c r="I172" s="381"/>
    </row>
    <row r="173" spans="4:11">
      <c r="D173" s="370"/>
      <c r="E173" s="381"/>
      <c r="F173" s="381"/>
      <c r="G173" s="381"/>
      <c r="H173" s="381"/>
      <c r="I173" s="381"/>
    </row>
    <row r="174" spans="4:11">
      <c r="D174" s="370"/>
    </row>
    <row r="175" spans="4:11">
      <c r="D175" s="345"/>
      <c r="E175" s="381"/>
      <c r="F175" s="381"/>
      <c r="G175" s="381"/>
      <c r="H175" s="381"/>
      <c r="I175" s="381"/>
    </row>
    <row r="176" spans="4:11">
      <c r="D176" s="370"/>
      <c r="J176" s="381"/>
      <c r="K176" s="381"/>
    </row>
    <row r="177" spans="4:11">
      <c r="D177" s="370"/>
      <c r="J177" s="381"/>
      <c r="K177" s="381"/>
    </row>
    <row r="178" spans="4:11">
      <c r="D178" s="345"/>
      <c r="E178" s="381"/>
      <c r="F178" s="381"/>
      <c r="G178" s="381"/>
      <c r="H178" s="381"/>
      <c r="I178" s="381"/>
    </row>
    <row r="179" spans="4:11">
      <c r="D179" s="370"/>
    </row>
    <row r="180" spans="4:11">
      <c r="D180" s="370"/>
      <c r="J180" s="381"/>
      <c r="K180" s="381"/>
    </row>
    <row r="181" spans="4:11">
      <c r="D181" s="370"/>
      <c r="J181" s="381"/>
      <c r="K181" s="381"/>
    </row>
    <row r="182" spans="4:11">
      <c r="D182" s="345"/>
      <c r="E182" s="381"/>
      <c r="F182" s="381"/>
      <c r="G182" s="381"/>
      <c r="H182" s="381"/>
      <c r="I182" s="381"/>
    </row>
    <row r="183" spans="4:11">
      <c r="D183" s="370"/>
    </row>
    <row r="184" spans="4:11">
      <c r="D184" s="370"/>
      <c r="E184" s="345"/>
      <c r="F184" s="345"/>
      <c r="G184" s="345"/>
      <c r="H184" s="345"/>
      <c r="I184" s="345"/>
      <c r="J184" s="381"/>
      <c r="K184" s="381"/>
    </row>
    <row r="185" spans="4:11">
      <c r="D185" s="370"/>
      <c r="E185" s="345"/>
      <c r="F185" s="345"/>
      <c r="G185" s="345"/>
      <c r="H185" s="345"/>
      <c r="I185" s="345"/>
    </row>
    <row r="186" spans="4:11">
      <c r="D186" s="370"/>
    </row>
    <row r="187" spans="4:11">
      <c r="D187" s="370"/>
    </row>
    <row r="188" spans="4:11">
      <c r="D188" s="370"/>
    </row>
    <row r="189" spans="4:11">
      <c r="D189" s="345"/>
      <c r="E189" s="381"/>
      <c r="F189" s="381"/>
      <c r="G189" s="381"/>
      <c r="H189" s="381"/>
      <c r="I189" s="381"/>
    </row>
    <row r="190" spans="4:11">
      <c r="D190" s="345"/>
      <c r="E190" s="381"/>
      <c r="F190" s="381"/>
      <c r="G190" s="381"/>
      <c r="H190" s="381"/>
      <c r="I190" s="381"/>
    </row>
    <row r="191" spans="4:11">
      <c r="D191" s="370"/>
      <c r="E191" s="381"/>
      <c r="F191" s="381"/>
      <c r="G191" s="381"/>
      <c r="H191" s="381"/>
      <c r="I191" s="381"/>
    </row>
    <row r="192" spans="4:11">
      <c r="D192" s="370"/>
      <c r="E192" s="381"/>
      <c r="F192" s="381"/>
      <c r="G192" s="381"/>
      <c r="H192" s="381"/>
      <c r="I192" s="381"/>
    </row>
    <row r="193" spans="4:11">
      <c r="D193" s="370"/>
    </row>
    <row r="194" spans="4:11">
      <c r="D194" s="345"/>
      <c r="E194" s="381"/>
      <c r="F194" s="381"/>
      <c r="G194" s="381"/>
      <c r="H194" s="381"/>
      <c r="I194" s="381"/>
    </row>
    <row r="195" spans="4:11">
      <c r="D195" s="370"/>
      <c r="E195" s="381"/>
      <c r="F195" s="381"/>
      <c r="G195" s="381"/>
      <c r="H195" s="381"/>
      <c r="I195" s="381"/>
    </row>
    <row r="196" spans="4:11">
      <c r="D196" s="370"/>
      <c r="E196" s="381"/>
      <c r="F196" s="381"/>
      <c r="G196" s="381"/>
      <c r="H196" s="381"/>
      <c r="I196" s="381"/>
    </row>
    <row r="197" spans="4:11">
      <c r="D197" s="370"/>
    </row>
    <row r="198" spans="4:11">
      <c r="D198" s="370"/>
    </row>
    <row r="199" spans="4:11">
      <c r="D199" s="370"/>
      <c r="J199" s="381"/>
      <c r="K199" s="381"/>
    </row>
    <row r="200" spans="4:11">
      <c r="D200" s="370"/>
      <c r="J200" s="381"/>
      <c r="K200" s="381"/>
    </row>
    <row r="201" spans="4:11">
      <c r="D201" s="370"/>
    </row>
    <row r="202" spans="4:11">
      <c r="D202" s="370"/>
      <c r="J202" s="381"/>
      <c r="K202" s="381"/>
    </row>
    <row r="203" spans="4:11">
      <c r="D203" s="370"/>
      <c r="J203" s="381"/>
      <c r="K203" s="381"/>
    </row>
    <row r="204" spans="4:11">
      <c r="D204" s="370"/>
      <c r="J204" s="381"/>
      <c r="K204" s="381"/>
    </row>
    <row r="205" spans="4:11">
      <c r="D205" s="370"/>
    </row>
    <row r="206" spans="4:11">
      <c r="D206" s="345"/>
      <c r="E206" s="381"/>
      <c r="F206" s="381"/>
      <c r="G206" s="381"/>
      <c r="H206" s="381"/>
      <c r="I206" s="381"/>
    </row>
    <row r="207" spans="4:11">
      <c r="D207" s="370"/>
      <c r="J207" s="381"/>
      <c r="K207" s="381"/>
    </row>
    <row r="208" spans="4:11">
      <c r="D208" s="370"/>
      <c r="J208" s="381"/>
      <c r="K208" s="381"/>
    </row>
    <row r="209" spans="4:11">
      <c r="D209" s="345"/>
      <c r="E209" s="381"/>
      <c r="F209" s="381"/>
      <c r="G209" s="381"/>
      <c r="H209" s="381"/>
      <c r="I209" s="381"/>
    </row>
    <row r="210" spans="4:11">
      <c r="D210" s="370"/>
    </row>
    <row r="211" spans="4:11">
      <c r="D211" s="345"/>
      <c r="E211" s="381"/>
      <c r="F211" s="381"/>
      <c r="G211" s="381"/>
      <c r="H211" s="381"/>
      <c r="I211" s="381"/>
    </row>
    <row r="212" spans="4:11">
      <c r="D212" s="370"/>
      <c r="E212" s="381"/>
      <c r="F212" s="381"/>
      <c r="G212" s="381"/>
      <c r="H212" s="381"/>
      <c r="I212" s="381"/>
    </row>
    <row r="213" spans="4:11">
      <c r="D213" s="370"/>
    </row>
    <row r="214" spans="4:11">
      <c r="D214" s="370"/>
    </row>
    <row r="215" spans="4:11">
      <c r="D215" s="345"/>
      <c r="E215" s="381"/>
      <c r="F215" s="381"/>
      <c r="G215" s="381"/>
      <c r="H215" s="381"/>
      <c r="I215" s="381"/>
    </row>
    <row r="216" spans="4:11">
      <c r="D216" s="370"/>
      <c r="E216" s="381"/>
      <c r="F216" s="381"/>
      <c r="G216" s="381"/>
      <c r="H216" s="381"/>
      <c r="I216" s="381"/>
    </row>
    <row r="217" spans="4:11">
      <c r="D217" s="370"/>
    </row>
    <row r="218" spans="4:11">
      <c r="D218" s="345"/>
      <c r="E218" s="381"/>
      <c r="F218" s="381"/>
      <c r="G218" s="381"/>
      <c r="H218" s="381"/>
      <c r="I218" s="381"/>
    </row>
    <row r="219" spans="4:11">
      <c r="D219" s="370"/>
      <c r="J219" s="381"/>
      <c r="K219" s="381"/>
    </row>
    <row r="220" spans="4:11">
      <c r="D220" s="370"/>
      <c r="J220" s="381"/>
      <c r="K220" s="381"/>
    </row>
    <row r="221" spans="4:11">
      <c r="D221" s="345"/>
      <c r="E221" s="381"/>
      <c r="F221" s="381"/>
      <c r="G221" s="381"/>
      <c r="H221" s="381"/>
      <c r="I221" s="381"/>
    </row>
    <row r="222" spans="4:11">
      <c r="D222" s="370"/>
    </row>
    <row r="223" spans="4:11">
      <c r="D223" s="370"/>
      <c r="J223" s="381"/>
      <c r="K223" s="381"/>
    </row>
    <row r="224" spans="4:11">
      <c r="D224" s="370"/>
      <c r="J224" s="381"/>
      <c r="K224" s="381"/>
    </row>
    <row r="225" spans="4:11">
      <c r="D225" s="345"/>
      <c r="E225" s="381"/>
      <c r="F225" s="381"/>
      <c r="G225" s="381"/>
      <c r="H225" s="381"/>
      <c r="I225" s="381"/>
    </row>
    <row r="226" spans="4:11">
      <c r="D226" s="370"/>
    </row>
    <row r="227" spans="4:11">
      <c r="D227" s="370"/>
      <c r="E227" s="345"/>
      <c r="F227" s="345"/>
      <c r="G227" s="345"/>
      <c r="H227" s="345"/>
      <c r="I227" s="345"/>
      <c r="J227" s="381"/>
      <c r="K227" s="381"/>
    </row>
    <row r="228" spans="4:11">
      <c r="D228" s="370"/>
      <c r="E228" s="345"/>
      <c r="F228" s="345"/>
      <c r="G228" s="345"/>
      <c r="H228" s="345"/>
      <c r="I228" s="345"/>
    </row>
    <row r="229" spans="4:11">
      <c r="D229" s="370"/>
    </row>
    <row r="230" spans="4:11">
      <c r="D230" s="370"/>
    </row>
    <row r="231" spans="4:11">
      <c r="D231" s="370"/>
    </row>
    <row r="232" spans="4:11">
      <c r="D232" s="345"/>
      <c r="E232" s="381"/>
      <c r="F232" s="381"/>
      <c r="G232" s="381"/>
      <c r="H232" s="381"/>
      <c r="I232" s="381"/>
    </row>
    <row r="233" spans="4:11">
      <c r="D233" s="345"/>
      <c r="E233" s="381"/>
      <c r="F233" s="381"/>
      <c r="G233" s="381"/>
      <c r="H233" s="381"/>
      <c r="I233" s="381"/>
    </row>
    <row r="234" spans="4:11">
      <c r="D234" s="370"/>
      <c r="E234" s="381"/>
      <c r="F234" s="381"/>
      <c r="G234" s="381"/>
      <c r="H234" s="381"/>
      <c r="I234" s="381"/>
    </row>
    <row r="235" spans="4:11">
      <c r="D235" s="370"/>
      <c r="E235" s="381"/>
      <c r="F235" s="381"/>
      <c r="G235" s="381"/>
      <c r="H235" s="381"/>
      <c r="I235" s="381"/>
    </row>
    <row r="236" spans="4:11">
      <c r="D236" s="370"/>
    </row>
    <row r="237" spans="4:11">
      <c r="D237" s="345"/>
      <c r="E237" s="381"/>
      <c r="F237" s="381"/>
      <c r="G237" s="381"/>
      <c r="H237" s="381"/>
      <c r="I237" s="381"/>
    </row>
    <row r="238" spans="4:11">
      <c r="D238" s="370"/>
      <c r="E238" s="381"/>
      <c r="F238" s="381"/>
      <c r="G238" s="381"/>
      <c r="H238" s="381"/>
      <c r="I238" s="381"/>
    </row>
    <row r="239" spans="4:11">
      <c r="D239" s="370"/>
      <c r="E239" s="381"/>
      <c r="F239" s="381"/>
      <c r="G239" s="381"/>
      <c r="H239" s="381"/>
      <c r="I239" s="381"/>
    </row>
    <row r="240" spans="4:11">
      <c r="D240" s="370"/>
    </row>
    <row r="241" spans="4:11">
      <c r="D241" s="370"/>
    </row>
    <row r="242" spans="4:11">
      <c r="D242" s="370"/>
      <c r="J242" s="381"/>
      <c r="K242" s="381"/>
    </row>
    <row r="243" spans="4:11">
      <c r="D243" s="370"/>
      <c r="J243" s="381"/>
      <c r="K243" s="381"/>
    </row>
    <row r="244" spans="4:11">
      <c r="D244" s="370"/>
    </row>
    <row r="245" spans="4:11">
      <c r="D245" s="370"/>
      <c r="J245" s="381"/>
      <c r="K245" s="381"/>
    </row>
    <row r="246" spans="4:11">
      <c r="D246" s="370"/>
      <c r="J246" s="381"/>
      <c r="K246" s="381"/>
    </row>
    <row r="247" spans="4:11">
      <c r="D247" s="370"/>
      <c r="J247" s="381"/>
      <c r="K247" s="381"/>
    </row>
    <row r="248" spans="4:11">
      <c r="D248" s="370"/>
    </row>
    <row r="249" spans="4:11">
      <c r="D249" s="345"/>
      <c r="E249" s="381"/>
      <c r="F249" s="381"/>
      <c r="G249" s="381"/>
      <c r="H249" s="381"/>
      <c r="I249" s="381"/>
    </row>
    <row r="250" spans="4:11">
      <c r="D250" s="370"/>
      <c r="J250" s="381"/>
      <c r="K250" s="381"/>
    </row>
    <row r="251" spans="4:11">
      <c r="D251" s="370"/>
      <c r="J251" s="381"/>
      <c r="K251" s="381"/>
    </row>
    <row r="252" spans="4:11">
      <c r="D252" s="345"/>
      <c r="E252" s="381"/>
      <c r="F252" s="381"/>
      <c r="G252" s="381"/>
      <c r="H252" s="381"/>
      <c r="I252" s="381"/>
    </row>
    <row r="253" spans="4:11">
      <c r="D253" s="370"/>
    </row>
    <row r="254" spans="4:11">
      <c r="D254" s="345"/>
      <c r="E254" s="381"/>
      <c r="F254" s="381"/>
      <c r="G254" s="381"/>
      <c r="H254" s="381"/>
      <c r="I254" s="381"/>
    </row>
    <row r="255" spans="4:11">
      <c r="D255" s="370"/>
      <c r="E255" s="381"/>
      <c r="F255" s="381"/>
      <c r="G255" s="381"/>
      <c r="H255" s="381"/>
      <c r="I255" s="381"/>
    </row>
    <row r="256" spans="4:11">
      <c r="D256" s="370"/>
    </row>
    <row r="257" spans="4:11">
      <c r="D257" s="370"/>
    </row>
    <row r="258" spans="4:11">
      <c r="D258" s="345"/>
      <c r="E258" s="381"/>
      <c r="F258" s="381"/>
      <c r="G258" s="381"/>
      <c r="H258" s="381"/>
      <c r="I258" s="381"/>
    </row>
    <row r="259" spans="4:11">
      <c r="D259" s="370"/>
      <c r="E259" s="381"/>
      <c r="F259" s="381"/>
      <c r="G259" s="381"/>
      <c r="H259" s="381"/>
      <c r="I259" s="381"/>
    </row>
    <row r="260" spans="4:11">
      <c r="D260" s="370"/>
    </row>
    <row r="261" spans="4:11">
      <c r="D261" s="345"/>
      <c r="E261" s="381"/>
      <c r="F261" s="381"/>
      <c r="G261" s="381"/>
      <c r="H261" s="381"/>
      <c r="I261" s="381"/>
    </row>
    <row r="262" spans="4:11">
      <c r="D262" s="370"/>
      <c r="J262" s="381"/>
      <c r="K262" s="381"/>
    </row>
    <row r="263" spans="4:11">
      <c r="D263" s="370"/>
      <c r="J263" s="381"/>
      <c r="K263" s="381"/>
    </row>
    <row r="264" spans="4:11">
      <c r="D264" s="345"/>
      <c r="E264" s="381"/>
      <c r="F264" s="381"/>
      <c r="G264" s="381"/>
      <c r="H264" s="381"/>
      <c r="I264" s="381"/>
    </row>
    <row r="265" spans="4:11">
      <c r="D265" s="370"/>
    </row>
    <row r="266" spans="4:11">
      <c r="D266" s="370"/>
      <c r="J266" s="381"/>
      <c r="K266" s="381"/>
    </row>
    <row r="267" spans="4:11">
      <c r="D267" s="370"/>
      <c r="J267" s="381"/>
      <c r="K267" s="381"/>
    </row>
    <row r="268" spans="4:11">
      <c r="D268" s="345"/>
      <c r="E268" s="381"/>
      <c r="F268" s="381"/>
      <c r="G268" s="381"/>
      <c r="H268" s="381"/>
      <c r="I268" s="381"/>
    </row>
    <row r="269" spans="4:11">
      <c r="D269" s="370"/>
    </row>
    <row r="270" spans="4:11">
      <c r="D270" s="370"/>
      <c r="E270" s="345"/>
      <c r="F270" s="345"/>
      <c r="G270" s="345"/>
      <c r="H270" s="345"/>
      <c r="I270" s="345"/>
      <c r="J270" s="381"/>
      <c r="K270" s="381"/>
    </row>
    <row r="271" spans="4:11">
      <c r="D271" s="370"/>
      <c r="E271" s="345"/>
      <c r="F271" s="345"/>
      <c r="G271" s="345"/>
      <c r="H271" s="345"/>
      <c r="I271" s="345"/>
    </row>
    <row r="272" spans="4:11">
      <c r="D272" s="370"/>
    </row>
    <row r="273" spans="4:4">
      <c r="D273" s="370"/>
    </row>
    <row r="274" spans="4:4">
      <c r="D274" s="370"/>
    </row>
    <row r="275" spans="4:4">
      <c r="D275" s="370"/>
    </row>
    <row r="276" spans="4:4">
      <c r="D276" s="370"/>
    </row>
    <row r="277" spans="4:4">
      <c r="D277" s="370"/>
    </row>
    <row r="278" spans="4:4">
      <c r="D278" s="370"/>
    </row>
    <row r="279" spans="4:4">
      <c r="D279" s="370"/>
    </row>
    <row r="280" spans="4:4">
      <c r="D280" s="370"/>
    </row>
    <row r="281" spans="4:4">
      <c r="D281" s="370"/>
    </row>
    <row r="282" spans="4:4">
      <c r="D282" s="370"/>
    </row>
    <row r="283" spans="4:4">
      <c r="D283" s="370"/>
    </row>
    <row r="284" spans="4:4">
      <c r="D284" s="370"/>
    </row>
    <row r="285" spans="4:4">
      <c r="D285" s="370"/>
    </row>
    <row r="286" spans="4:4">
      <c r="D286" s="370"/>
    </row>
    <row r="287" spans="4:4">
      <c r="D287" s="370"/>
    </row>
    <row r="288" spans="4:4">
      <c r="D288" s="370"/>
    </row>
    <row r="289" spans="4:4">
      <c r="D289" s="370"/>
    </row>
    <row r="290" spans="4:4">
      <c r="D290" s="370"/>
    </row>
    <row r="291" spans="4:4">
      <c r="D291" s="370"/>
    </row>
    <row r="292" spans="4:4">
      <c r="D292" s="370"/>
    </row>
    <row r="293" spans="4:4">
      <c r="D293" s="370"/>
    </row>
    <row r="294" spans="4:4">
      <c r="D294" s="370"/>
    </row>
    <row r="295" spans="4:4">
      <c r="D295" s="370"/>
    </row>
    <row r="296" spans="4:4">
      <c r="D296" s="370"/>
    </row>
    <row r="297" spans="4:4">
      <c r="D297" s="370"/>
    </row>
    <row r="298" spans="4:4">
      <c r="D298" s="370"/>
    </row>
    <row r="299" spans="4:4">
      <c r="D299" s="370"/>
    </row>
    <row r="300" spans="4:4">
      <c r="D300" s="370"/>
    </row>
    <row r="301" spans="4:4">
      <c r="D301" s="370"/>
    </row>
    <row r="302" spans="4:4">
      <c r="D302" s="370"/>
    </row>
    <row r="303" spans="4:4">
      <c r="D303" s="370"/>
    </row>
    <row r="304" spans="4:4">
      <c r="D304" s="370"/>
    </row>
    <row r="305" spans="4:4">
      <c r="D305" s="370"/>
    </row>
    <row r="306" spans="4:4">
      <c r="D306" s="370"/>
    </row>
    <row r="307" spans="4:4">
      <c r="D307" s="370"/>
    </row>
    <row r="308" spans="4:4">
      <c r="D308" s="370"/>
    </row>
    <row r="309" spans="4:4">
      <c r="D309" s="370"/>
    </row>
    <row r="310" spans="4:4">
      <c r="D310" s="370"/>
    </row>
    <row r="311" spans="4:4">
      <c r="D311" s="370"/>
    </row>
    <row r="312" spans="4:4">
      <c r="D312" s="370"/>
    </row>
    <row r="313" spans="4:4">
      <c r="D313" s="370"/>
    </row>
    <row r="314" spans="4:4">
      <c r="D314" s="370"/>
    </row>
    <row r="315" spans="4:4">
      <c r="D315" s="370"/>
    </row>
    <row r="316" spans="4:4">
      <c r="D316" s="370"/>
    </row>
    <row r="317" spans="4:4">
      <c r="D317" s="370"/>
    </row>
    <row r="318" spans="4:4">
      <c r="D318" s="370"/>
    </row>
    <row r="319" spans="4:4">
      <c r="D319" s="370"/>
    </row>
    <row r="320" spans="4:4">
      <c r="D320" s="370"/>
    </row>
    <row r="321" spans="4:4">
      <c r="D321" s="370"/>
    </row>
    <row r="322" spans="4:4">
      <c r="D322" s="370"/>
    </row>
    <row r="323" spans="4:4">
      <c r="D323" s="370"/>
    </row>
    <row r="324" spans="4:4">
      <c r="D324" s="370"/>
    </row>
    <row r="325" spans="4:4">
      <c r="D325" s="370"/>
    </row>
    <row r="326" spans="4:4">
      <c r="D326" s="370"/>
    </row>
    <row r="327" spans="4:4">
      <c r="D327" s="370"/>
    </row>
    <row r="328" spans="4:4">
      <c r="D328" s="370"/>
    </row>
    <row r="329" spans="4:4">
      <c r="D329" s="370"/>
    </row>
    <row r="330" spans="4:4">
      <c r="D330" s="370"/>
    </row>
    <row r="331" spans="4:4">
      <c r="D331" s="370"/>
    </row>
    <row r="332" spans="4:4">
      <c r="D332" s="370"/>
    </row>
    <row r="333" spans="4:4">
      <c r="D333" s="370"/>
    </row>
    <row r="334" spans="4:4">
      <c r="D334" s="370"/>
    </row>
    <row r="335" spans="4:4">
      <c r="D335" s="370"/>
    </row>
    <row r="336" spans="4:4">
      <c r="D336" s="370"/>
    </row>
    <row r="337" spans="4:4">
      <c r="D337" s="370"/>
    </row>
    <row r="338" spans="4:4">
      <c r="D338" s="370"/>
    </row>
    <row r="339" spans="4:4">
      <c r="D339" s="370"/>
    </row>
    <row r="340" spans="4:4">
      <c r="D340" s="370"/>
    </row>
    <row r="341" spans="4:4">
      <c r="D341" s="370"/>
    </row>
    <row r="342" spans="4:4">
      <c r="D342" s="370"/>
    </row>
    <row r="343" spans="4:4">
      <c r="D343" s="370"/>
    </row>
    <row r="344" spans="4:4">
      <c r="D344" s="370"/>
    </row>
    <row r="345" spans="4:4">
      <c r="D345" s="370"/>
    </row>
    <row r="346" spans="4:4">
      <c r="D346" s="370"/>
    </row>
    <row r="347" spans="4:4">
      <c r="D347" s="370"/>
    </row>
    <row r="348" spans="4:4">
      <c r="D348" s="370"/>
    </row>
    <row r="349" spans="4:4">
      <c r="D349" s="370"/>
    </row>
    <row r="350" spans="4:4">
      <c r="D350" s="370"/>
    </row>
    <row r="351" spans="4:4">
      <c r="D351" s="370"/>
    </row>
    <row r="352" spans="4:4">
      <c r="D352" s="370"/>
    </row>
    <row r="353" spans="4:4">
      <c r="D353" s="370"/>
    </row>
    <row r="354" spans="4:4">
      <c r="D354" s="370"/>
    </row>
    <row r="355" spans="4:4">
      <c r="D355" s="370"/>
    </row>
    <row r="356" spans="4:4">
      <c r="D356" s="370"/>
    </row>
    <row r="357" spans="4:4">
      <c r="D357" s="370"/>
    </row>
    <row r="358" spans="4:4">
      <c r="D358" s="370"/>
    </row>
    <row r="359" spans="4:4">
      <c r="D359" s="370"/>
    </row>
    <row r="360" spans="4:4">
      <c r="D360" s="370"/>
    </row>
    <row r="361" spans="4:4">
      <c r="D361" s="370"/>
    </row>
    <row r="362" spans="4:4">
      <c r="D362" s="370"/>
    </row>
    <row r="363" spans="4:4">
      <c r="D363" s="370"/>
    </row>
    <row r="364" spans="4:4">
      <c r="D364" s="370"/>
    </row>
    <row r="365" spans="4:4">
      <c r="D365" s="370"/>
    </row>
    <row r="366" spans="4:4">
      <c r="D366" s="370"/>
    </row>
    <row r="367" spans="4:4">
      <c r="D367" s="370"/>
    </row>
    <row r="368" spans="4:4">
      <c r="D368" s="370"/>
    </row>
    <row r="369" spans="4:4">
      <c r="D369" s="370"/>
    </row>
    <row r="370" spans="4:4">
      <c r="D370" s="370"/>
    </row>
    <row r="371" spans="4:4">
      <c r="D371" s="370"/>
    </row>
    <row r="372" spans="4:4">
      <c r="D372" s="370"/>
    </row>
    <row r="373" spans="4:4">
      <c r="D373" s="370"/>
    </row>
    <row r="374" spans="4:4">
      <c r="D374" s="370"/>
    </row>
    <row r="375" spans="4:4">
      <c r="D375" s="370"/>
    </row>
    <row r="376" spans="4:4">
      <c r="D376" s="370"/>
    </row>
    <row r="377" spans="4:4">
      <c r="D377" s="370"/>
    </row>
    <row r="378" spans="4:4">
      <c r="D378" s="370"/>
    </row>
    <row r="379" spans="4:4">
      <c r="D379" s="370"/>
    </row>
    <row r="380" spans="4:4">
      <c r="D380" s="370"/>
    </row>
    <row r="381" spans="4:4">
      <c r="D381" s="370"/>
    </row>
    <row r="382" spans="4:4">
      <c r="D382" s="370"/>
    </row>
    <row r="383" spans="4:4">
      <c r="D383" s="370"/>
    </row>
    <row r="384" spans="4:4">
      <c r="D384" s="370"/>
    </row>
    <row r="385" spans="4:4">
      <c r="D385" s="370"/>
    </row>
    <row r="386" spans="4:4">
      <c r="D386" s="370"/>
    </row>
    <row r="387" spans="4:4">
      <c r="D387" s="370"/>
    </row>
    <row r="388" spans="4:4">
      <c r="D388" s="370"/>
    </row>
    <row r="389" spans="4:4">
      <c r="D389" s="370"/>
    </row>
    <row r="390" spans="4:4">
      <c r="D390" s="370"/>
    </row>
    <row r="391" spans="4:4">
      <c r="D391" s="370"/>
    </row>
    <row r="392" spans="4:4">
      <c r="D392" s="370"/>
    </row>
    <row r="393" spans="4:4">
      <c r="D393" s="370"/>
    </row>
    <row r="394" spans="4:4">
      <c r="D394" s="370"/>
    </row>
    <row r="395" spans="4:4">
      <c r="D395" s="370"/>
    </row>
    <row r="396" spans="4:4">
      <c r="D396" s="370"/>
    </row>
    <row r="397" spans="4:4">
      <c r="D397" s="370"/>
    </row>
    <row r="398" spans="4:4">
      <c r="D398" s="370"/>
    </row>
    <row r="399" spans="4:4">
      <c r="D399" s="370"/>
    </row>
    <row r="400" spans="4:4">
      <c r="D400" s="370"/>
    </row>
    <row r="401" spans="4:4">
      <c r="D401" s="370"/>
    </row>
    <row r="402" spans="4:4">
      <c r="D402" s="370"/>
    </row>
    <row r="403" spans="4:4">
      <c r="D403" s="370"/>
    </row>
    <row r="404" spans="4:4">
      <c r="D404" s="370"/>
    </row>
    <row r="405" spans="4:4">
      <c r="D405" s="370"/>
    </row>
    <row r="406" spans="4:4">
      <c r="D406" s="370"/>
    </row>
    <row r="407" spans="4:4">
      <c r="D407" s="370"/>
    </row>
    <row r="408" spans="4:4">
      <c r="D408" s="370"/>
    </row>
    <row r="409" spans="4:4">
      <c r="D409" s="370"/>
    </row>
    <row r="410" spans="4:4">
      <c r="D410" s="370"/>
    </row>
    <row r="411" spans="4:4">
      <c r="D411" s="370"/>
    </row>
    <row r="412" spans="4:4">
      <c r="D412" s="370"/>
    </row>
    <row r="413" spans="4:4">
      <c r="D413" s="370"/>
    </row>
    <row r="414" spans="4:4">
      <c r="D414" s="370"/>
    </row>
    <row r="415" spans="4:4">
      <c r="D415" s="370"/>
    </row>
    <row r="416" spans="4:4">
      <c r="D416" s="370"/>
    </row>
    <row r="417" spans="4:4">
      <c r="D417" s="370"/>
    </row>
    <row r="418" spans="4:4">
      <c r="D418" s="370"/>
    </row>
    <row r="419" spans="4:4">
      <c r="D419" s="370"/>
    </row>
    <row r="420" spans="4:4">
      <c r="D420" s="370"/>
    </row>
    <row r="421" spans="4:4">
      <c r="D421" s="370"/>
    </row>
    <row r="422" spans="4:4">
      <c r="D422" s="370"/>
    </row>
    <row r="423" spans="4:4">
      <c r="D423" s="370"/>
    </row>
    <row r="424" spans="4:4">
      <c r="D424" s="370"/>
    </row>
    <row r="425" spans="4:4">
      <c r="D425" s="370"/>
    </row>
    <row r="426" spans="4:4">
      <c r="D426" s="370"/>
    </row>
    <row r="427" spans="4:4">
      <c r="D427" s="370"/>
    </row>
    <row r="428" spans="4:4">
      <c r="D428" s="370"/>
    </row>
    <row r="429" spans="4:4">
      <c r="D429" s="370"/>
    </row>
    <row r="430" spans="4:4">
      <c r="D430" s="370"/>
    </row>
    <row r="431" spans="4:4">
      <c r="D431" s="370"/>
    </row>
    <row r="432" spans="4:4">
      <c r="D432" s="370"/>
    </row>
    <row r="433" spans="4:4">
      <c r="D433" s="370"/>
    </row>
    <row r="434" spans="4:4">
      <c r="D434" s="370"/>
    </row>
    <row r="435" spans="4:4">
      <c r="D435" s="370"/>
    </row>
    <row r="436" spans="4:4">
      <c r="D436" s="370"/>
    </row>
    <row r="437" spans="4:4">
      <c r="D437" s="370"/>
    </row>
    <row r="438" spans="4:4">
      <c r="D438" s="370"/>
    </row>
    <row r="439" spans="4:4">
      <c r="D439" s="370"/>
    </row>
    <row r="440" spans="4:4">
      <c r="D440" s="370"/>
    </row>
    <row r="441" spans="4:4">
      <c r="D441" s="370"/>
    </row>
    <row r="442" spans="4:4">
      <c r="D442" s="370"/>
    </row>
    <row r="443" spans="4:4">
      <c r="D443" s="370"/>
    </row>
    <row r="444" spans="4:4">
      <c r="D444" s="370"/>
    </row>
    <row r="445" spans="4:4">
      <c r="D445" s="370"/>
    </row>
    <row r="446" spans="4:4">
      <c r="D446" s="370"/>
    </row>
    <row r="447" spans="4:4">
      <c r="D447" s="370"/>
    </row>
    <row r="448" spans="4:4">
      <c r="D448" s="370"/>
    </row>
    <row r="449" spans="4:4">
      <c r="D449" s="370"/>
    </row>
    <row r="450" spans="4:4">
      <c r="D450" s="370"/>
    </row>
    <row r="451" spans="4:4">
      <c r="D451" s="370"/>
    </row>
    <row r="452" spans="4:4">
      <c r="D452" s="370"/>
    </row>
    <row r="453" spans="4:4">
      <c r="D453" s="370"/>
    </row>
    <row r="454" spans="4:4">
      <c r="D454" s="370"/>
    </row>
    <row r="455" spans="4:4">
      <c r="D455" s="370"/>
    </row>
    <row r="456" spans="4:4">
      <c r="D456" s="370"/>
    </row>
    <row r="457" spans="4:4">
      <c r="D457" s="370"/>
    </row>
    <row r="458" spans="4:4">
      <c r="D458" s="370"/>
    </row>
    <row r="459" spans="4:4">
      <c r="D459" s="370"/>
    </row>
    <row r="460" spans="4:4">
      <c r="D460" s="370"/>
    </row>
  </sheetData>
  <phoneticPr fontId="26" type="noConversion"/>
  <pageMargins left="0.75" right="0.75" top="1" bottom="1" header="0.5" footer="0.5"/>
  <pageSetup scale="46" orientation="landscape" r:id="rId1"/>
  <headerFooter alignWithMargins="0"/>
  <drawing r:id="rId2"/>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F00-000000000000}">
  <sheetPr codeName="Sheet70">
    <pageSetUpPr fitToPage="1"/>
  </sheetPr>
  <dimension ref="B1:X444"/>
  <sheetViews>
    <sheetView showGridLines="0" zoomScale="80" zoomScaleNormal="80" workbookViewId="0">
      <selection activeCell="J22" sqref="J22"/>
    </sheetView>
  </sheetViews>
  <sheetFormatPr defaultColWidth="9.109375" defaultRowHeight="12"/>
  <cols>
    <col min="1" max="1" width="2.33203125" style="367" customWidth="1"/>
    <col min="2" max="4" width="10" style="367" customWidth="1"/>
    <col min="5" max="5" width="22.6640625" style="367" customWidth="1"/>
    <col min="6" max="6" width="10" style="367" customWidth="1"/>
    <col min="7" max="7" width="2.33203125" style="367" customWidth="1"/>
    <col min="8" max="8" width="10" style="367" customWidth="1"/>
    <col min="9" max="9" width="2.109375" style="367" customWidth="1"/>
    <col min="10" max="10" width="10" style="367" customWidth="1"/>
    <col min="11" max="11" width="2.109375" style="367" customWidth="1"/>
    <col min="12" max="12" width="10" style="367" customWidth="1"/>
    <col min="13" max="13" width="2.109375" style="367" customWidth="1"/>
    <col min="14" max="14" width="10" style="367" customWidth="1"/>
    <col min="15" max="15" width="2.109375" style="367" customWidth="1"/>
    <col min="16" max="16" width="10" style="367" customWidth="1"/>
    <col min="17" max="17" width="2.109375" style="367" customWidth="1"/>
    <col min="18" max="18" width="10" style="367" customWidth="1"/>
    <col min="19" max="19" width="2.109375" style="367" customWidth="1"/>
    <col min="20" max="20" width="9.88671875" style="367" customWidth="1"/>
    <col min="21" max="21" width="2.109375" style="367" customWidth="1"/>
    <col min="22" max="22" width="10" style="367" customWidth="1"/>
    <col min="23" max="23" width="2.109375" style="367" customWidth="1"/>
    <col min="24" max="24" width="10" style="367" customWidth="1"/>
    <col min="25" max="16384" width="9.109375" style="367"/>
  </cols>
  <sheetData>
    <row r="1" spans="2:24" s="472" customFormat="1">
      <c r="E1" s="150"/>
    </row>
    <row r="2" spans="2:24" s="472" customFormat="1">
      <c r="E2" s="150"/>
    </row>
    <row r="3" spans="2:24" s="472" customFormat="1"/>
    <row r="4" spans="2:24" s="477" customFormat="1" ht="21">
      <c r="B4" s="129" t="s">
        <v>1470</v>
      </c>
      <c r="C4" s="129"/>
    </row>
    <row r="5" spans="2:24" s="472" customFormat="1">
      <c r="D5" s="132"/>
      <c r="E5" s="132"/>
      <c r="F5" s="132"/>
      <c r="G5" s="132"/>
      <c r="H5" s="132"/>
      <c r="I5" s="132"/>
      <c r="L5" s="473"/>
      <c r="M5" s="473"/>
      <c r="N5" s="473"/>
      <c r="O5" s="473"/>
      <c r="P5" s="473"/>
      <c r="Q5" s="473"/>
      <c r="R5" s="473"/>
      <c r="S5" s="473"/>
      <c r="T5" s="473"/>
      <c r="U5" s="473"/>
      <c r="V5" s="473"/>
      <c r="W5" s="473"/>
      <c r="X5" s="473"/>
    </row>
    <row r="6" spans="2:24">
      <c r="D6" s="456"/>
      <c r="E6" s="456"/>
      <c r="F6" s="456"/>
      <c r="G6" s="456"/>
      <c r="H6" s="456"/>
      <c r="I6" s="456"/>
      <c r="L6" s="440"/>
      <c r="M6" s="440"/>
      <c r="N6" s="440"/>
      <c r="O6" s="440"/>
      <c r="P6" s="440"/>
      <c r="Q6" s="440"/>
      <c r="R6" s="440"/>
      <c r="S6" s="440"/>
      <c r="T6" s="440"/>
      <c r="U6" s="440"/>
      <c r="V6" s="440"/>
      <c r="W6" s="440"/>
      <c r="X6" s="440"/>
    </row>
    <row r="7" spans="2:24" ht="12.6" thickBot="1">
      <c r="B7" s="306" t="s">
        <v>399</v>
      </c>
      <c r="C7" s="306"/>
      <c r="D7" s="368"/>
      <c r="E7" s="457"/>
      <c r="F7" s="457"/>
      <c r="G7" s="457"/>
      <c r="H7" s="457"/>
      <c r="I7" s="457"/>
      <c r="J7" s="368"/>
      <c r="K7" s="368"/>
      <c r="L7" s="368"/>
      <c r="M7" s="368"/>
      <c r="N7" s="368"/>
      <c r="O7" s="368"/>
      <c r="P7" s="368"/>
      <c r="Q7" s="368"/>
      <c r="R7" s="368"/>
      <c r="S7" s="368"/>
      <c r="T7" s="368"/>
      <c r="U7" s="368"/>
      <c r="V7" s="368"/>
      <c r="W7" s="368"/>
      <c r="X7" s="368"/>
    </row>
    <row r="8" spans="2:24" ht="12.6" thickTop="1"/>
    <row r="9" spans="2:24">
      <c r="D9" s="345"/>
      <c r="E9" s="382" t="s">
        <v>81</v>
      </c>
      <c r="F9" s="458" t="s">
        <v>82</v>
      </c>
      <c r="G9" s="458"/>
      <c r="H9" s="458" t="s">
        <v>83</v>
      </c>
      <c r="I9" s="458"/>
      <c r="J9" s="458" t="s">
        <v>84</v>
      </c>
      <c r="K9" s="458"/>
      <c r="L9" s="458" t="s">
        <v>85</v>
      </c>
      <c r="M9" s="458"/>
      <c r="N9" s="459" t="s">
        <v>128</v>
      </c>
      <c r="O9" s="459"/>
      <c r="P9" s="458" t="s">
        <v>129</v>
      </c>
      <c r="Q9" s="458"/>
      <c r="R9" s="458" t="s">
        <v>12</v>
      </c>
      <c r="S9" s="458"/>
      <c r="T9" s="458" t="s">
        <v>130</v>
      </c>
      <c r="U9" s="458"/>
      <c r="V9" s="458" t="s">
        <v>131</v>
      </c>
      <c r="W9" s="458"/>
      <c r="X9" s="458" t="s">
        <v>121</v>
      </c>
    </row>
    <row r="10" spans="2:24">
      <c r="D10" s="345"/>
      <c r="E10" s="382"/>
      <c r="F10" s="458"/>
      <c r="G10" s="458"/>
      <c r="H10" s="458"/>
      <c r="I10" s="458"/>
      <c r="J10" s="458"/>
      <c r="K10" s="458"/>
      <c r="L10" s="458"/>
      <c r="M10" s="458"/>
      <c r="N10" s="459"/>
      <c r="O10" s="459"/>
      <c r="P10" s="458"/>
      <c r="Q10" s="458"/>
      <c r="R10" s="458"/>
      <c r="S10" s="458"/>
      <c r="T10" s="458"/>
      <c r="U10" s="458"/>
      <c r="V10" s="458"/>
      <c r="W10" s="458"/>
      <c r="X10" s="458"/>
    </row>
    <row r="11" spans="2:24">
      <c r="B11" s="370" t="s">
        <v>227</v>
      </c>
      <c r="C11" s="370"/>
      <c r="E11" s="367" t="str">
        <f>"DCF, "&amp;TEXT(H11,"0.0")&amp;"x 22E EBITDA"</f>
        <v>DCF, 9.1x 22E EBITDA</v>
      </c>
      <c r="F11" s="484">
        <v>7756.2510000000002</v>
      </c>
      <c r="G11" s="178" t="s">
        <v>134</v>
      </c>
      <c r="H11" s="487">
        <v>9.0658469382156515</v>
      </c>
      <c r="I11" s="178" t="s">
        <v>135</v>
      </c>
      <c r="J11" s="216">
        <f>H11*F11</f>
        <v>70316.984380382084</v>
      </c>
      <c r="K11" s="178"/>
      <c r="L11" s="484"/>
      <c r="M11" s="178" t="s">
        <v>135</v>
      </c>
      <c r="N11" s="178">
        <f t="shared" ref="N11" si="0">J11-L11</f>
        <v>70316.984380382084</v>
      </c>
      <c r="O11" s="178" t="s">
        <v>134</v>
      </c>
      <c r="P11" s="490">
        <v>1</v>
      </c>
      <c r="Q11" s="393" t="s">
        <v>135</v>
      </c>
      <c r="R11" s="216">
        <f t="shared" ref="R11" si="1">P11*N11</f>
        <v>70316.984380382084</v>
      </c>
      <c r="S11" s="216"/>
      <c r="T11" s="216">
        <f t="shared" ref="T11" si="2">N11-R11</f>
        <v>0</v>
      </c>
      <c r="U11" s="216"/>
      <c r="V11" s="397">
        <f>N11/$J$28</f>
        <v>0.95461222164157378</v>
      </c>
      <c r="W11" s="370"/>
      <c r="X11" s="373">
        <f>$J$33*V11</f>
        <v>105.46091835871579</v>
      </c>
    </row>
    <row r="12" spans="2:24">
      <c r="B12" s="370" t="s">
        <v>801</v>
      </c>
      <c r="C12" s="370"/>
      <c r="E12" s="367" t="str">
        <f t="shared" ref="E12:E14" si="3">"DCF, "&amp;TEXT(H12,"0.0")&amp;"x 22E EBITDA"</f>
        <v>DCF, 22.9x 22E EBITDA</v>
      </c>
      <c r="F12" s="484">
        <v>1112.298</v>
      </c>
      <c r="G12" s="178" t="s">
        <v>134</v>
      </c>
      <c r="H12" s="487">
        <v>22.872427332744344</v>
      </c>
      <c r="I12" s="178" t="s">
        <v>135</v>
      </c>
      <c r="J12" s="216">
        <f>H12*F12</f>
        <v>25440.955177356867</v>
      </c>
      <c r="K12" s="178"/>
      <c r="L12" s="484"/>
      <c r="M12" s="178" t="s">
        <v>135</v>
      </c>
      <c r="N12" s="178">
        <f t="shared" ref="N12" si="4">J12-L12</f>
        <v>25440.955177356867</v>
      </c>
      <c r="O12" s="178" t="s">
        <v>134</v>
      </c>
      <c r="P12" s="490">
        <v>1</v>
      </c>
      <c r="Q12" s="393" t="s">
        <v>135</v>
      </c>
      <c r="R12" s="216">
        <f t="shared" ref="R12" si="5">P12*N12</f>
        <v>25440.955177356867</v>
      </c>
      <c r="S12" s="216"/>
      <c r="T12" s="216">
        <f t="shared" ref="T12" si="6">N12-R12</f>
        <v>0</v>
      </c>
      <c r="U12" s="216"/>
      <c r="V12" s="397">
        <f>N12/$J$28</f>
        <v>0.3453823703696261</v>
      </c>
      <c r="W12" s="370"/>
      <c r="X12" s="373">
        <f>$J$33*V12</f>
        <v>38.156165549038036</v>
      </c>
    </row>
    <row r="13" spans="2:24">
      <c r="B13" s="370" t="s">
        <v>803</v>
      </c>
      <c r="C13" s="370"/>
      <c r="E13" s="367" t="str">
        <f t="shared" si="3"/>
        <v>DCF, 15.4x 22E EBITDA</v>
      </c>
      <c r="F13" s="484">
        <v>591.61500000000001</v>
      </c>
      <c r="G13" s="178" t="s">
        <v>134</v>
      </c>
      <c r="H13" s="487">
        <v>15.395784471375803</v>
      </c>
      <c r="I13" s="178" t="s">
        <v>135</v>
      </c>
      <c r="J13" s="216">
        <f>H13*F13</f>
        <v>9108.3770300329961</v>
      </c>
      <c r="K13" s="178"/>
      <c r="L13" s="484"/>
      <c r="M13" s="178" t="s">
        <v>135</v>
      </c>
      <c r="N13" s="178">
        <f t="shared" ref="N13" si="7">J13-L13</f>
        <v>9108.3770300329961</v>
      </c>
      <c r="O13" s="178" t="s">
        <v>134</v>
      </c>
      <c r="P13" s="490">
        <v>1</v>
      </c>
      <c r="Q13" s="393" t="s">
        <v>135</v>
      </c>
      <c r="R13" s="216">
        <f t="shared" ref="R13" si="8">P13*N13</f>
        <v>9108.3770300329961</v>
      </c>
      <c r="S13" s="216"/>
      <c r="T13" s="216">
        <f t="shared" ref="T13" si="9">N13-R13</f>
        <v>0</v>
      </c>
      <c r="U13" s="216"/>
      <c r="V13" s="397">
        <f>N13/$J$28</f>
        <v>0.1236538811896875</v>
      </c>
      <c r="W13" s="370"/>
      <c r="X13" s="373">
        <f>$J$33*V13</f>
        <v>13.660679774724612</v>
      </c>
    </row>
    <row r="14" spans="2:24">
      <c r="B14" s="370" t="s">
        <v>802</v>
      </c>
      <c r="C14" s="370"/>
      <c r="E14" s="367" t="str">
        <f t="shared" si="3"/>
        <v>DCF, 8.1x 22E EBITDA</v>
      </c>
      <c r="F14" s="484">
        <v>178.96799999999999</v>
      </c>
      <c r="G14" s="178" t="s">
        <v>134</v>
      </c>
      <c r="H14" s="487">
        <v>8.1218384737404374</v>
      </c>
      <c r="I14" s="178" t="s">
        <v>135</v>
      </c>
      <c r="J14" s="216">
        <f>H14*F14</f>
        <v>1453.5491879683784</v>
      </c>
      <c r="K14" s="178" t="s">
        <v>136</v>
      </c>
      <c r="L14" s="484"/>
      <c r="M14" s="178" t="s">
        <v>135</v>
      </c>
      <c r="N14" s="178">
        <f t="shared" ref="N14" si="10">J14-L14</f>
        <v>1453.5491879683784</v>
      </c>
      <c r="O14" s="178" t="s">
        <v>134</v>
      </c>
      <c r="P14" s="490">
        <v>1</v>
      </c>
      <c r="Q14" s="393" t="s">
        <v>135</v>
      </c>
      <c r="R14" s="216">
        <f t="shared" ref="R14" si="11">P14*N14</f>
        <v>1453.5491879683784</v>
      </c>
      <c r="S14" s="216"/>
      <c r="T14" s="216">
        <f t="shared" ref="T14" si="12">N14-R14</f>
        <v>0</v>
      </c>
      <c r="U14" s="216"/>
      <c r="V14" s="397">
        <f>N14/$J$28</f>
        <v>1.973315311825179E-2</v>
      </c>
      <c r="W14" s="370"/>
      <c r="X14" s="373">
        <f>$J$33*V14</f>
        <v>2.1800228436058795</v>
      </c>
    </row>
    <row r="15" spans="2:24">
      <c r="B15" s="345" t="s">
        <v>138</v>
      </c>
      <c r="C15" s="370"/>
      <c r="F15" s="210"/>
      <c r="G15" s="196"/>
      <c r="H15" s="372"/>
      <c r="I15" s="196"/>
      <c r="J15" s="398">
        <f>SUM(J11:J14)</f>
        <v>106319.86577574033</v>
      </c>
      <c r="K15" s="196"/>
      <c r="L15" s="210"/>
      <c r="M15" s="196"/>
      <c r="N15" s="398">
        <f>SUM(N11:N14)</f>
        <v>106319.86577574033</v>
      </c>
      <c r="O15" s="196"/>
      <c r="P15" s="211"/>
      <c r="Q15" s="369"/>
      <c r="R15" s="398">
        <f>SUM(R11:R14)</f>
        <v>106319.86577574033</v>
      </c>
      <c r="S15" s="210"/>
      <c r="T15" s="398">
        <f>SUM(T11:T14)</f>
        <v>0</v>
      </c>
      <c r="U15" s="210"/>
      <c r="V15" s="211"/>
      <c r="W15" s="370"/>
      <c r="X15" s="372"/>
    </row>
    <row r="16" spans="2:24">
      <c r="B16" s="370"/>
      <c r="C16" s="370"/>
      <c r="F16" s="210"/>
      <c r="G16" s="196"/>
      <c r="H16" s="372"/>
      <c r="J16" s="210"/>
      <c r="K16" s="196"/>
      <c r="L16" s="210"/>
      <c r="M16" s="196"/>
      <c r="N16" s="196"/>
      <c r="O16" s="196"/>
      <c r="P16" s="211"/>
      <c r="Q16" s="369"/>
      <c r="R16" s="210"/>
      <c r="S16" s="210"/>
      <c r="T16" s="210"/>
      <c r="U16" s="210"/>
      <c r="V16" s="211"/>
      <c r="W16" s="370"/>
      <c r="X16" s="372"/>
    </row>
    <row r="17" spans="2:24">
      <c r="B17" s="345" t="s">
        <v>139</v>
      </c>
      <c r="C17" s="345"/>
      <c r="F17" s="210"/>
      <c r="G17" s="196"/>
      <c r="H17" s="372"/>
      <c r="J17" s="210"/>
      <c r="K17" s="196"/>
      <c r="L17" s="210"/>
      <c r="M17" s="196"/>
      <c r="N17" s="196"/>
      <c r="O17" s="196"/>
      <c r="P17" s="211"/>
      <c r="Q17" s="369"/>
      <c r="R17" s="210"/>
      <c r="S17" s="210"/>
      <c r="T17" s="210"/>
      <c r="U17" s="210"/>
      <c r="V17" s="211"/>
      <c r="W17" s="370"/>
      <c r="X17" s="372"/>
    </row>
    <row r="18" spans="2:24">
      <c r="B18" s="345" t="s">
        <v>1125</v>
      </c>
      <c r="C18" s="345"/>
      <c r="E18" s="367" t="s">
        <v>1416</v>
      </c>
      <c r="Q18" s="369"/>
      <c r="R18" s="482">
        <v>0</v>
      </c>
      <c r="S18" s="210"/>
      <c r="T18" s="210"/>
      <c r="U18" s="216"/>
      <c r="V18" s="394"/>
      <c r="W18" s="370"/>
      <c r="X18" s="373"/>
    </row>
    <row r="19" spans="2:24">
      <c r="B19" s="345" t="s">
        <v>138</v>
      </c>
      <c r="C19" s="370"/>
      <c r="I19" s="196"/>
      <c r="J19" s="210"/>
      <c r="K19" s="196"/>
      <c r="L19" s="196"/>
      <c r="M19" s="196"/>
      <c r="N19" s="210"/>
      <c r="O19" s="196"/>
      <c r="P19" s="196"/>
      <c r="Q19" s="196"/>
      <c r="R19" s="210">
        <f>R18</f>
        <v>0</v>
      </c>
      <c r="S19" s="196"/>
      <c r="T19" s="210"/>
      <c r="U19" s="196"/>
      <c r="V19" s="378"/>
      <c r="W19" s="196"/>
      <c r="X19" s="432"/>
    </row>
    <row r="20" spans="2:24">
      <c r="B20" s="345"/>
      <c r="C20" s="370"/>
      <c r="I20" s="196"/>
      <c r="J20" s="210"/>
      <c r="K20" s="196"/>
      <c r="L20" s="196"/>
      <c r="M20" s="196"/>
      <c r="N20" s="210"/>
      <c r="O20" s="196"/>
      <c r="P20" s="196"/>
      <c r="Q20" s="196"/>
      <c r="R20" s="210"/>
      <c r="S20" s="196"/>
      <c r="T20" s="210"/>
      <c r="U20" s="196"/>
      <c r="V20" s="378"/>
      <c r="W20" s="196"/>
      <c r="X20" s="432"/>
    </row>
    <row r="21" spans="2:24" ht="12.6" thickBot="1">
      <c r="B21" s="382" t="s">
        <v>142</v>
      </c>
      <c r="D21" s="345"/>
      <c r="E21" s="381"/>
      <c r="H21" s="381"/>
      <c r="I21" s="381"/>
      <c r="J21" s="374">
        <f>J15</f>
        <v>106319.86577574033</v>
      </c>
      <c r="M21" s="196"/>
      <c r="N21" s="210"/>
      <c r="P21" s="377"/>
      <c r="Q21" s="378"/>
      <c r="R21" s="210"/>
      <c r="S21" s="370"/>
      <c r="T21" s="460" t="s">
        <v>549</v>
      </c>
      <c r="U21" s="368"/>
      <c r="V21" s="368"/>
      <c r="W21" s="368"/>
      <c r="X21" s="368"/>
    </row>
    <row r="22" spans="2:24" ht="12.6" thickTop="1">
      <c r="B22" s="383" t="s">
        <v>1377</v>
      </c>
      <c r="D22" s="383"/>
      <c r="J22" s="216">
        <f>-TELE2!D12</f>
        <v>-26481.480607944803</v>
      </c>
    </row>
    <row r="23" spans="2:24">
      <c r="B23" s="384" t="s">
        <v>1126</v>
      </c>
      <c r="D23" s="383"/>
      <c r="J23" s="484">
        <v>-6717.9273060184032</v>
      </c>
      <c r="M23" s="196"/>
    </row>
    <row r="24" spans="2:24">
      <c r="B24" s="384" t="s">
        <v>995</v>
      </c>
      <c r="D24" s="383"/>
      <c r="J24" s="484">
        <v>122.63849999999999</v>
      </c>
    </row>
    <row r="25" spans="2:24">
      <c r="B25" s="384" t="s">
        <v>996</v>
      </c>
      <c r="D25" s="383"/>
      <c r="J25" s="484">
        <v>417.16357022263082</v>
      </c>
    </row>
    <row r="26" spans="2:24">
      <c r="B26" s="384" t="s">
        <v>375</v>
      </c>
      <c r="J26" s="216">
        <f>-T15</f>
        <v>0</v>
      </c>
      <c r="K26" s="381"/>
    </row>
    <row r="27" spans="2:24">
      <c r="B27" s="384" t="s">
        <v>1004</v>
      </c>
      <c r="J27" s="216">
        <f>R18</f>
        <v>0</v>
      </c>
      <c r="K27" s="381"/>
    </row>
    <row r="28" spans="2:24">
      <c r="B28" s="382" t="s">
        <v>495</v>
      </c>
      <c r="D28" s="345"/>
      <c r="E28" s="381"/>
      <c r="F28" s="381"/>
      <c r="G28" s="381"/>
      <c r="H28" s="381"/>
      <c r="I28" s="381"/>
      <c r="J28" s="398">
        <f>SUM(J21:J27)</f>
        <v>73660.259931999753</v>
      </c>
      <c r="K28" s="381"/>
    </row>
    <row r="29" spans="2:24">
      <c r="B29" s="384" t="s">
        <v>496</v>
      </c>
      <c r="D29" s="370"/>
      <c r="J29" s="216">
        <f>TELE2!D10</f>
        <v>687.93055300000003</v>
      </c>
    </row>
    <row r="30" spans="2:24">
      <c r="B30" s="382" t="s">
        <v>497</v>
      </c>
      <c r="D30" s="370"/>
      <c r="J30" s="433">
        <f>J28/J29</f>
        <v>107.07513950466996</v>
      </c>
      <c r="K30" s="381"/>
    </row>
    <row r="31" spans="2:24">
      <c r="B31" s="384" t="s">
        <v>698</v>
      </c>
      <c r="D31" s="370"/>
      <c r="J31" s="486">
        <v>3.4</v>
      </c>
      <c r="K31" s="381"/>
    </row>
    <row r="32" spans="2:24" ht="12.6" thickBot="1">
      <c r="B32" s="384" t="s">
        <v>1151</v>
      </c>
      <c r="D32" s="370"/>
      <c r="J32" s="486">
        <v>0</v>
      </c>
      <c r="K32" s="381"/>
    </row>
    <row r="33" spans="2:24" ht="12.6" thickBot="1">
      <c r="B33" s="382" t="s">
        <v>62</v>
      </c>
      <c r="D33" s="345"/>
      <c r="E33" s="381"/>
      <c r="H33" s="381"/>
      <c r="I33" s="381"/>
      <c r="J33" s="462">
        <f>J30+J31+J32</f>
        <v>110.47513950466997</v>
      </c>
      <c r="K33" s="381"/>
    </row>
    <row r="34" spans="2:24">
      <c r="B34" s="384" t="s">
        <v>498</v>
      </c>
      <c r="D34" s="370"/>
      <c r="J34" s="373">
        <f>Prices!C30</f>
        <v>101.05</v>
      </c>
    </row>
    <row r="35" spans="2:24">
      <c r="B35" s="382" t="s">
        <v>97</v>
      </c>
      <c r="D35" s="345"/>
      <c r="E35" s="381"/>
      <c r="F35" s="381"/>
      <c r="G35" s="381"/>
      <c r="H35" s="381"/>
      <c r="I35" s="381"/>
      <c r="J35" s="387">
        <f>J33/J34-1</f>
        <v>9.3272038640969557E-2</v>
      </c>
      <c r="K35" s="381"/>
    </row>
    <row r="37" spans="2:24">
      <c r="D37" s="345"/>
      <c r="E37" s="345"/>
      <c r="J37" s="381"/>
      <c r="K37" s="381"/>
    </row>
    <row r="38" spans="2:24">
      <c r="J38" s="376"/>
    </row>
    <row r="39" spans="2:24">
      <c r="D39" s="345"/>
      <c r="E39" s="345"/>
      <c r="F39" s="345"/>
      <c r="G39" s="345"/>
      <c r="J39" s="376"/>
      <c r="K39" s="381"/>
    </row>
    <row r="40" spans="2:24">
      <c r="D40" s="386"/>
      <c r="E40" s="345"/>
      <c r="F40" s="345"/>
      <c r="G40" s="345"/>
      <c r="H40" s="345"/>
      <c r="I40" s="345"/>
      <c r="J40" s="425"/>
      <c r="K40" s="381"/>
      <c r="L40" s="381"/>
    </row>
    <row r="41" spans="2:24">
      <c r="D41" s="386"/>
      <c r="E41" s="345"/>
      <c r="F41" s="345"/>
      <c r="G41" s="345"/>
      <c r="H41" s="345"/>
      <c r="I41" s="345"/>
      <c r="K41" s="381"/>
      <c r="L41" s="381"/>
    </row>
    <row r="44" spans="2:24" ht="12.6" thickBot="1">
      <c r="T44" s="460" t="s">
        <v>549</v>
      </c>
      <c r="U44" s="368"/>
      <c r="V44" s="368"/>
      <c r="W44" s="368"/>
      <c r="X44" s="368"/>
    </row>
    <row r="45" spans="2:24" ht="12.6" thickTop="1">
      <c r="T45" s="370" t="str">
        <f>B11</f>
        <v>Sweden</v>
      </c>
      <c r="X45" s="394">
        <f>(J11)/$J$21</f>
        <v>0.66137201986975003</v>
      </c>
    </row>
    <row r="46" spans="2:24">
      <c r="N46" s="381"/>
      <c r="T46" s="370" t="str">
        <f>B12</f>
        <v>Lithuania</v>
      </c>
      <c r="X46" s="394">
        <f>(J12)/$J$21</f>
        <v>0.23928693844496829</v>
      </c>
    </row>
    <row r="47" spans="2:24">
      <c r="D47" s="345"/>
      <c r="E47" s="345"/>
      <c r="F47" s="345"/>
      <c r="G47" s="345"/>
      <c r="H47" s="345"/>
      <c r="I47" s="345"/>
      <c r="N47" s="381"/>
      <c r="T47" s="370" t="str">
        <f>B13</f>
        <v>Latvia</v>
      </c>
      <c r="X47" s="394">
        <f>(J13)/$J$21</f>
        <v>8.566956855687935E-2</v>
      </c>
    </row>
    <row r="48" spans="2:24">
      <c r="D48" s="370"/>
      <c r="E48" s="381"/>
      <c r="F48" s="381"/>
      <c r="G48" s="381"/>
      <c r="H48" s="381"/>
      <c r="I48" s="381"/>
      <c r="T48" s="370" t="str">
        <f>B14</f>
        <v>Estonia</v>
      </c>
      <c r="W48" s="247"/>
      <c r="X48" s="394">
        <f>(J14)/$J$21</f>
        <v>1.3671473128402349E-2</v>
      </c>
    </row>
    <row r="49" spans="4:24">
      <c r="D49" s="370"/>
      <c r="E49" s="381"/>
      <c r="F49" s="381"/>
      <c r="G49" s="381"/>
      <c r="H49" s="381"/>
      <c r="I49" s="381"/>
      <c r="U49" s="247"/>
    </row>
    <row r="50" spans="4:24">
      <c r="D50" s="370"/>
      <c r="L50" s="249"/>
      <c r="Q50" s="249"/>
      <c r="T50" s="249"/>
      <c r="U50" s="388"/>
      <c r="W50" s="249"/>
      <c r="X50" s="249"/>
    </row>
    <row r="51" spans="4:24">
      <c r="D51" s="345"/>
      <c r="E51" s="381"/>
      <c r="F51" s="381"/>
      <c r="G51" s="381"/>
      <c r="H51" s="381"/>
      <c r="I51" s="381"/>
      <c r="M51" s="249"/>
      <c r="N51" s="249"/>
      <c r="O51" s="249"/>
      <c r="P51" s="249"/>
      <c r="Q51" s="388"/>
    </row>
    <row r="52" spans="4:24">
      <c r="D52" s="370"/>
      <c r="E52" s="381"/>
      <c r="F52" s="381"/>
      <c r="G52" s="381"/>
      <c r="H52" s="381"/>
      <c r="I52" s="381"/>
      <c r="N52" s="388"/>
      <c r="O52" s="388"/>
      <c r="P52" s="388"/>
    </row>
    <row r="53" spans="4:24">
      <c r="D53" s="370"/>
      <c r="E53" s="381"/>
      <c r="F53" s="381"/>
      <c r="G53" s="381"/>
      <c r="H53" s="381"/>
      <c r="I53" s="381"/>
      <c r="X53" s="249"/>
    </row>
    <row r="54" spans="4:24">
      <c r="D54" s="370"/>
      <c r="J54" s="381"/>
      <c r="N54" s="388"/>
      <c r="O54" s="388"/>
      <c r="P54" s="388"/>
    </row>
    <row r="55" spans="4:24">
      <c r="D55" s="370"/>
      <c r="J55" s="381"/>
      <c r="L55" s="249"/>
      <c r="Q55" s="249"/>
      <c r="X55" s="249"/>
    </row>
    <row r="56" spans="4:24">
      <c r="D56" s="370"/>
      <c r="K56" s="381"/>
      <c r="M56" s="249"/>
      <c r="N56" s="249"/>
      <c r="O56" s="249"/>
      <c r="P56" s="249"/>
      <c r="Q56" s="388"/>
      <c r="R56" s="388"/>
      <c r="T56" s="388"/>
      <c r="U56" s="388"/>
      <c r="V56" s="388"/>
      <c r="W56" s="388"/>
      <c r="X56" s="388"/>
    </row>
    <row r="57" spans="4:24">
      <c r="D57" s="370"/>
      <c r="J57" s="381"/>
      <c r="K57" s="381"/>
      <c r="N57" s="388"/>
      <c r="O57" s="388"/>
      <c r="P57" s="388"/>
      <c r="S57" s="249"/>
    </row>
    <row r="58" spans="4:24">
      <c r="D58" s="370"/>
      <c r="J58" s="381"/>
      <c r="L58" s="249"/>
      <c r="Q58" s="249"/>
      <c r="R58" s="249"/>
      <c r="S58" s="388"/>
      <c r="T58" s="249"/>
      <c r="U58" s="249"/>
      <c r="V58" s="249"/>
      <c r="W58" s="249"/>
      <c r="X58" s="249"/>
    </row>
    <row r="59" spans="4:24">
      <c r="D59" s="370"/>
      <c r="J59" s="381"/>
      <c r="K59" s="381"/>
      <c r="M59" s="249"/>
      <c r="N59" s="249"/>
      <c r="O59" s="249"/>
      <c r="P59" s="249"/>
      <c r="Q59" s="388"/>
      <c r="R59" s="388"/>
      <c r="T59" s="388"/>
      <c r="U59" s="388"/>
      <c r="V59" s="388"/>
      <c r="W59" s="388"/>
      <c r="X59" s="388"/>
    </row>
    <row r="60" spans="4:24">
      <c r="D60" s="370"/>
      <c r="K60" s="381"/>
      <c r="N60" s="388"/>
      <c r="O60" s="388"/>
      <c r="P60" s="388"/>
      <c r="S60" s="249"/>
    </row>
    <row r="61" spans="4:24">
      <c r="D61" s="345"/>
      <c r="E61" s="381"/>
      <c r="F61" s="381"/>
      <c r="G61" s="381"/>
      <c r="H61" s="381"/>
      <c r="I61" s="381"/>
      <c r="K61" s="381"/>
      <c r="L61" s="249"/>
      <c r="Q61" s="249"/>
      <c r="R61" s="249"/>
      <c r="S61" s="388"/>
      <c r="T61" s="249"/>
      <c r="U61" s="249"/>
      <c r="V61" s="249"/>
      <c r="W61" s="249"/>
      <c r="X61" s="249"/>
    </row>
    <row r="62" spans="4:24">
      <c r="D62" s="370"/>
      <c r="J62" s="381"/>
      <c r="M62" s="249"/>
      <c r="N62" s="249"/>
      <c r="O62" s="249"/>
      <c r="P62" s="249"/>
      <c r="Q62" s="388"/>
      <c r="R62" s="388"/>
      <c r="T62" s="388"/>
      <c r="U62" s="388"/>
      <c r="V62" s="388"/>
      <c r="W62" s="388"/>
      <c r="X62" s="388"/>
    </row>
    <row r="63" spans="4:24">
      <c r="D63" s="370"/>
      <c r="J63" s="381"/>
      <c r="L63" s="389"/>
      <c r="N63" s="388"/>
      <c r="O63" s="388"/>
      <c r="P63" s="388"/>
      <c r="Q63" s="389"/>
      <c r="R63" s="389"/>
      <c r="S63" s="249"/>
    </row>
    <row r="64" spans="4:24">
      <c r="D64" s="345"/>
      <c r="E64" s="381"/>
      <c r="F64" s="381"/>
      <c r="G64" s="381"/>
      <c r="H64" s="381"/>
      <c r="I64" s="381"/>
      <c r="K64" s="381"/>
      <c r="M64" s="389"/>
      <c r="N64" s="389"/>
      <c r="O64" s="389"/>
      <c r="P64" s="389"/>
      <c r="Q64" s="388"/>
      <c r="R64" s="388"/>
      <c r="S64" s="388"/>
      <c r="T64" s="249"/>
      <c r="U64" s="249"/>
      <c r="V64" s="249"/>
      <c r="W64" s="249"/>
      <c r="X64" s="249"/>
    </row>
    <row r="65" spans="4:24">
      <c r="D65" s="370"/>
      <c r="K65" s="381"/>
      <c r="N65" s="388"/>
      <c r="O65" s="388"/>
      <c r="P65" s="388"/>
      <c r="S65" s="389"/>
      <c r="T65" s="388"/>
      <c r="U65" s="388"/>
      <c r="V65" s="388"/>
      <c r="W65" s="388"/>
      <c r="X65" s="388"/>
    </row>
    <row r="66" spans="4:24">
      <c r="D66" s="345"/>
      <c r="E66" s="381"/>
      <c r="F66" s="381"/>
      <c r="G66" s="381"/>
      <c r="H66" s="381"/>
      <c r="I66" s="381"/>
      <c r="L66" s="249"/>
      <c r="Q66" s="249"/>
      <c r="R66" s="249"/>
      <c r="S66" s="388"/>
      <c r="T66" s="389"/>
      <c r="U66" s="389"/>
      <c r="V66" s="389"/>
      <c r="W66" s="389"/>
      <c r="X66" s="389"/>
    </row>
    <row r="67" spans="4:24">
      <c r="D67" s="370"/>
      <c r="E67" s="381"/>
      <c r="F67" s="381"/>
      <c r="G67" s="381"/>
      <c r="H67" s="381"/>
      <c r="I67" s="381"/>
      <c r="M67" s="249"/>
      <c r="N67" s="249"/>
      <c r="O67" s="249"/>
      <c r="P67" s="249"/>
      <c r="Q67" s="390"/>
      <c r="R67" s="390"/>
      <c r="T67" s="388"/>
      <c r="U67" s="388"/>
      <c r="V67" s="388"/>
      <c r="W67" s="388"/>
      <c r="X67" s="388"/>
    </row>
    <row r="68" spans="4:24">
      <c r="D68" s="370"/>
      <c r="L68" s="249"/>
      <c r="N68" s="388"/>
      <c r="O68" s="388"/>
      <c r="P68" s="390"/>
      <c r="Q68" s="249"/>
      <c r="R68" s="249"/>
      <c r="S68" s="249"/>
    </row>
    <row r="69" spans="4:24">
      <c r="D69" s="370"/>
      <c r="M69" s="249"/>
      <c r="N69" s="249"/>
      <c r="O69" s="249"/>
      <c r="P69" s="249"/>
      <c r="Q69" s="388"/>
      <c r="R69" s="388"/>
      <c r="S69" s="390"/>
      <c r="T69" s="249"/>
      <c r="U69" s="249"/>
      <c r="V69" s="249"/>
      <c r="W69" s="249"/>
      <c r="X69" s="249"/>
    </row>
    <row r="70" spans="4:24">
      <c r="D70" s="345"/>
      <c r="E70" s="381"/>
      <c r="F70" s="381"/>
      <c r="G70" s="381"/>
      <c r="H70" s="381"/>
      <c r="I70" s="381"/>
      <c r="L70" s="248"/>
      <c r="N70" s="388"/>
      <c r="O70" s="388"/>
      <c r="P70" s="388"/>
      <c r="Q70" s="248"/>
      <c r="R70" s="248"/>
      <c r="S70" s="249"/>
      <c r="T70" s="390"/>
      <c r="U70" s="390"/>
      <c r="V70" s="390"/>
      <c r="W70" s="390"/>
      <c r="X70" s="390"/>
    </row>
    <row r="71" spans="4:24">
      <c r="D71" s="370"/>
      <c r="E71" s="381"/>
      <c r="F71" s="381"/>
      <c r="G71" s="381"/>
      <c r="H71" s="381"/>
      <c r="I71" s="381"/>
      <c r="M71" s="248"/>
      <c r="N71" s="248"/>
      <c r="O71" s="248"/>
      <c r="P71" s="248"/>
      <c r="S71" s="388"/>
      <c r="T71" s="249"/>
      <c r="U71" s="249"/>
      <c r="V71" s="249"/>
      <c r="W71" s="249"/>
      <c r="X71" s="249"/>
    </row>
    <row r="72" spans="4:24">
      <c r="D72" s="370"/>
      <c r="L72" s="247"/>
      <c r="Q72" s="247"/>
      <c r="R72" s="247"/>
      <c r="S72" s="248"/>
      <c r="T72" s="388"/>
      <c r="U72" s="388"/>
      <c r="V72" s="388"/>
      <c r="W72" s="388"/>
      <c r="X72" s="388"/>
    </row>
    <row r="73" spans="4:24">
      <c r="D73" s="345"/>
      <c r="E73" s="381"/>
      <c r="F73" s="381"/>
      <c r="G73" s="381"/>
      <c r="H73" s="381"/>
      <c r="I73" s="381"/>
      <c r="M73" s="247"/>
      <c r="N73" s="247"/>
      <c r="O73" s="247"/>
      <c r="P73" s="247"/>
      <c r="Q73" s="388"/>
      <c r="R73" s="388"/>
      <c r="T73" s="248"/>
      <c r="U73" s="248"/>
      <c r="V73" s="248"/>
      <c r="W73" s="248"/>
      <c r="X73" s="248"/>
    </row>
    <row r="74" spans="4:24">
      <c r="D74" s="370"/>
      <c r="J74" s="381"/>
      <c r="N74" s="388"/>
      <c r="O74" s="388"/>
      <c r="P74" s="388"/>
      <c r="S74" s="247"/>
    </row>
    <row r="75" spans="4:24">
      <c r="D75" s="370"/>
      <c r="J75" s="381"/>
      <c r="L75" s="389"/>
      <c r="Q75" s="389"/>
      <c r="R75" s="389"/>
      <c r="S75" s="388"/>
      <c r="T75" s="247"/>
      <c r="U75" s="247"/>
      <c r="V75" s="247"/>
      <c r="W75" s="247"/>
      <c r="X75" s="247"/>
    </row>
    <row r="76" spans="4:24">
      <c r="D76" s="345"/>
      <c r="E76" s="381"/>
      <c r="F76" s="381"/>
      <c r="G76" s="381"/>
      <c r="H76" s="381"/>
      <c r="I76" s="381"/>
      <c r="K76" s="381"/>
      <c r="M76" s="389"/>
      <c r="N76" s="389"/>
      <c r="O76" s="389"/>
      <c r="P76" s="389"/>
      <c r="Q76" s="388"/>
      <c r="R76" s="388"/>
      <c r="T76" s="388"/>
      <c r="U76" s="388"/>
      <c r="V76" s="388"/>
      <c r="W76" s="388"/>
      <c r="X76" s="388"/>
    </row>
    <row r="77" spans="4:24">
      <c r="D77" s="370"/>
      <c r="K77" s="381"/>
      <c r="N77" s="388"/>
      <c r="O77" s="388"/>
      <c r="P77" s="388"/>
      <c r="S77" s="389"/>
    </row>
    <row r="78" spans="4:24">
      <c r="D78" s="370"/>
      <c r="J78" s="381"/>
      <c r="L78" s="391"/>
      <c r="Q78" s="391"/>
      <c r="R78" s="391"/>
      <c r="S78" s="388"/>
      <c r="T78" s="389"/>
      <c r="U78" s="389"/>
      <c r="V78" s="389"/>
      <c r="W78" s="389"/>
      <c r="X78" s="389"/>
    </row>
    <row r="79" spans="4:24">
      <c r="D79" s="370"/>
      <c r="J79" s="381"/>
      <c r="M79" s="391"/>
      <c r="N79" s="391"/>
      <c r="O79" s="391"/>
      <c r="P79" s="391"/>
      <c r="Q79" s="388"/>
      <c r="R79" s="388"/>
      <c r="T79" s="388"/>
      <c r="U79" s="388"/>
      <c r="V79" s="388"/>
      <c r="W79" s="388"/>
      <c r="X79" s="388"/>
    </row>
    <row r="80" spans="4:24">
      <c r="D80" s="345"/>
      <c r="E80" s="381"/>
      <c r="F80" s="381"/>
      <c r="G80" s="381"/>
      <c r="H80" s="381"/>
      <c r="I80" s="381"/>
      <c r="K80" s="381"/>
      <c r="N80" s="388"/>
      <c r="O80" s="388"/>
      <c r="P80" s="388"/>
      <c r="Q80" s="248"/>
      <c r="R80" s="248"/>
      <c r="S80" s="391"/>
    </row>
    <row r="81" spans="4:24">
      <c r="D81" s="370"/>
      <c r="K81" s="381"/>
      <c r="N81" s="248"/>
      <c r="O81" s="248"/>
      <c r="P81" s="248"/>
      <c r="S81" s="388"/>
      <c r="T81" s="391"/>
      <c r="U81" s="391"/>
      <c r="V81" s="391"/>
      <c r="W81" s="391"/>
      <c r="X81" s="391"/>
    </row>
    <row r="82" spans="4:24">
      <c r="D82" s="370"/>
      <c r="E82" s="345"/>
      <c r="F82" s="345"/>
      <c r="G82" s="345"/>
      <c r="H82" s="345"/>
      <c r="I82" s="345"/>
      <c r="J82" s="381"/>
      <c r="L82" s="247"/>
      <c r="Q82" s="247"/>
      <c r="R82" s="247"/>
      <c r="S82" s="248"/>
      <c r="T82" s="388"/>
      <c r="U82" s="388"/>
      <c r="V82" s="388"/>
      <c r="W82" s="388"/>
      <c r="X82" s="388"/>
    </row>
    <row r="83" spans="4:24">
      <c r="D83" s="370"/>
      <c r="E83" s="345"/>
      <c r="F83" s="345"/>
      <c r="G83" s="345"/>
      <c r="H83" s="345"/>
      <c r="I83" s="345"/>
      <c r="M83" s="247"/>
      <c r="N83" s="247"/>
      <c r="O83" s="247"/>
      <c r="P83" s="247"/>
      <c r="Q83" s="388"/>
      <c r="R83" s="388"/>
      <c r="T83" s="248"/>
      <c r="U83" s="248"/>
      <c r="V83" s="248"/>
      <c r="W83" s="248"/>
      <c r="X83" s="248"/>
    </row>
    <row r="84" spans="4:24">
      <c r="D84" s="370"/>
      <c r="K84" s="381"/>
      <c r="L84" s="274"/>
      <c r="N84" s="388"/>
      <c r="O84" s="388"/>
      <c r="P84" s="388"/>
      <c r="Q84" s="274"/>
      <c r="R84" s="274"/>
      <c r="S84" s="247"/>
    </row>
    <row r="85" spans="4:24">
      <c r="D85" s="370"/>
      <c r="M85" s="274"/>
      <c r="N85" s="274"/>
      <c r="O85" s="274"/>
      <c r="P85" s="274"/>
      <c r="S85" s="388"/>
      <c r="T85" s="247"/>
      <c r="U85" s="247"/>
      <c r="V85" s="247"/>
      <c r="W85" s="247"/>
      <c r="X85" s="247"/>
    </row>
    <row r="86" spans="4:24">
      <c r="D86" s="370"/>
      <c r="L86" s="389"/>
      <c r="Q86" s="389"/>
      <c r="R86" s="389"/>
      <c r="S86" s="274"/>
      <c r="T86" s="388"/>
      <c r="U86" s="388"/>
      <c r="V86" s="388"/>
      <c r="W86" s="388"/>
      <c r="X86" s="388"/>
    </row>
    <row r="87" spans="4:24">
      <c r="D87" s="345"/>
      <c r="E87" s="381"/>
      <c r="F87" s="381"/>
      <c r="G87" s="381"/>
      <c r="H87" s="381"/>
      <c r="I87" s="381"/>
      <c r="M87" s="389"/>
      <c r="N87" s="389"/>
      <c r="O87" s="389"/>
      <c r="P87" s="389"/>
      <c r="Q87" s="388"/>
      <c r="R87" s="388"/>
      <c r="T87" s="274"/>
      <c r="U87" s="274"/>
      <c r="V87" s="274"/>
      <c r="W87" s="274"/>
      <c r="X87" s="274"/>
    </row>
    <row r="88" spans="4:24">
      <c r="D88" s="345"/>
      <c r="E88" s="381"/>
      <c r="F88" s="381"/>
      <c r="G88" s="381"/>
      <c r="H88" s="381"/>
      <c r="I88" s="381"/>
      <c r="N88" s="388"/>
      <c r="O88" s="388"/>
      <c r="P88" s="388"/>
      <c r="S88" s="389"/>
    </row>
    <row r="89" spans="4:24">
      <c r="D89" s="370"/>
      <c r="E89" s="381"/>
      <c r="F89" s="381"/>
      <c r="G89" s="381"/>
      <c r="H89" s="381"/>
      <c r="I89" s="381"/>
      <c r="S89" s="388"/>
      <c r="T89" s="389"/>
      <c r="U89" s="389"/>
      <c r="V89" s="389"/>
      <c r="W89" s="389"/>
      <c r="X89" s="389"/>
    </row>
    <row r="90" spans="4:24">
      <c r="D90" s="370"/>
      <c r="E90" s="381"/>
      <c r="F90" s="381"/>
      <c r="G90" s="381"/>
      <c r="H90" s="381"/>
      <c r="I90" s="381"/>
      <c r="L90" s="249"/>
      <c r="Q90" s="249"/>
      <c r="R90" s="249"/>
      <c r="T90" s="388"/>
      <c r="U90" s="388"/>
      <c r="V90" s="388"/>
      <c r="W90" s="388"/>
      <c r="X90" s="388"/>
    </row>
    <row r="91" spans="4:24">
      <c r="D91" s="370"/>
      <c r="M91" s="249"/>
      <c r="N91" s="249"/>
      <c r="O91" s="249"/>
      <c r="P91" s="249"/>
      <c r="Q91" s="388"/>
      <c r="R91" s="388"/>
    </row>
    <row r="92" spans="4:24">
      <c r="D92" s="345"/>
      <c r="E92" s="381"/>
      <c r="F92" s="381"/>
      <c r="G92" s="381"/>
      <c r="H92" s="381"/>
      <c r="I92" s="381"/>
      <c r="N92" s="388"/>
      <c r="O92" s="388"/>
      <c r="P92" s="388"/>
      <c r="S92" s="249"/>
    </row>
    <row r="93" spans="4:24">
      <c r="D93" s="370"/>
      <c r="E93" s="381"/>
      <c r="F93" s="381"/>
      <c r="G93" s="381"/>
      <c r="H93" s="381"/>
      <c r="I93" s="381"/>
      <c r="L93" s="249"/>
      <c r="Q93" s="249"/>
      <c r="R93" s="249"/>
      <c r="S93" s="388"/>
      <c r="T93" s="249"/>
      <c r="U93" s="249"/>
      <c r="V93" s="249"/>
      <c r="W93" s="249"/>
      <c r="X93" s="249"/>
    </row>
    <row r="94" spans="4:24">
      <c r="D94" s="370"/>
      <c r="E94" s="381"/>
      <c r="F94" s="381"/>
      <c r="G94" s="381"/>
      <c r="H94" s="381"/>
      <c r="I94" s="381"/>
      <c r="M94" s="249"/>
      <c r="N94" s="249"/>
      <c r="O94" s="249"/>
      <c r="P94" s="249"/>
      <c r="Q94" s="390"/>
      <c r="R94" s="390"/>
      <c r="T94" s="388"/>
      <c r="U94" s="388"/>
      <c r="V94" s="388"/>
      <c r="W94" s="388"/>
      <c r="X94" s="388"/>
    </row>
    <row r="95" spans="4:24">
      <c r="D95" s="370"/>
      <c r="N95" s="388"/>
      <c r="O95" s="388"/>
      <c r="P95" s="390"/>
      <c r="S95" s="249"/>
    </row>
    <row r="96" spans="4:24">
      <c r="D96" s="370"/>
      <c r="L96" s="389"/>
      <c r="Q96" s="389"/>
      <c r="R96" s="389"/>
      <c r="S96" s="390"/>
      <c r="T96" s="249"/>
      <c r="U96" s="249"/>
      <c r="V96" s="249"/>
      <c r="W96" s="249"/>
      <c r="X96" s="249"/>
    </row>
    <row r="97" spans="4:24">
      <c r="D97" s="370"/>
      <c r="J97" s="381"/>
      <c r="M97" s="389"/>
      <c r="N97" s="389"/>
      <c r="O97" s="389"/>
      <c r="P97" s="389"/>
      <c r="Q97" s="392"/>
      <c r="R97" s="392"/>
      <c r="T97" s="390"/>
      <c r="U97" s="390"/>
      <c r="V97" s="390"/>
      <c r="W97" s="390"/>
      <c r="X97" s="390"/>
    </row>
    <row r="98" spans="4:24">
      <c r="D98" s="370"/>
      <c r="J98" s="381"/>
      <c r="L98" s="392"/>
      <c r="N98" s="392"/>
      <c r="O98" s="392"/>
      <c r="P98" s="392"/>
      <c r="Q98" s="392"/>
      <c r="R98" s="392"/>
      <c r="S98" s="389"/>
    </row>
    <row r="99" spans="4:24">
      <c r="D99" s="370"/>
      <c r="K99" s="381"/>
      <c r="M99" s="392"/>
      <c r="N99" s="392"/>
      <c r="O99" s="392"/>
      <c r="P99" s="392"/>
      <c r="S99" s="392"/>
      <c r="T99" s="389"/>
      <c r="U99" s="389"/>
      <c r="V99" s="389"/>
      <c r="W99" s="389"/>
      <c r="X99" s="389"/>
    </row>
    <row r="100" spans="4:24">
      <c r="D100" s="370"/>
      <c r="J100" s="381"/>
      <c r="K100" s="381"/>
      <c r="L100" s="388"/>
      <c r="Q100" s="388"/>
      <c r="R100" s="388"/>
      <c r="S100" s="392"/>
      <c r="T100" s="392"/>
      <c r="U100" s="392"/>
      <c r="V100" s="392"/>
      <c r="W100" s="392"/>
      <c r="X100" s="392"/>
    </row>
    <row r="101" spans="4:24">
      <c r="D101" s="370"/>
      <c r="J101" s="381"/>
      <c r="L101" s="389"/>
      <c r="M101" s="388"/>
      <c r="N101" s="388"/>
      <c r="O101" s="388"/>
      <c r="P101" s="388"/>
      <c r="Q101" s="389"/>
      <c r="R101" s="389"/>
      <c r="T101" s="392"/>
      <c r="U101" s="392"/>
      <c r="V101" s="392"/>
      <c r="W101" s="392"/>
      <c r="X101" s="392"/>
    </row>
    <row r="102" spans="4:24">
      <c r="D102" s="370"/>
      <c r="J102" s="381"/>
      <c r="K102" s="381"/>
      <c r="M102" s="389"/>
      <c r="N102" s="389"/>
      <c r="O102" s="389"/>
      <c r="P102" s="389"/>
      <c r="R102" s="392"/>
      <c r="S102" s="388"/>
    </row>
    <row r="103" spans="4:24">
      <c r="D103" s="370"/>
      <c r="K103" s="381"/>
      <c r="S103" s="389"/>
      <c r="T103" s="388"/>
      <c r="U103" s="388"/>
      <c r="V103" s="388"/>
      <c r="W103" s="388"/>
      <c r="X103" s="388"/>
    </row>
    <row r="104" spans="4:24">
      <c r="D104" s="345"/>
      <c r="E104" s="381"/>
      <c r="F104" s="381"/>
      <c r="G104" s="381"/>
      <c r="H104" s="381"/>
      <c r="I104" s="381"/>
      <c r="K104" s="381"/>
      <c r="L104" s="389"/>
      <c r="Q104" s="389"/>
      <c r="R104" s="389"/>
      <c r="S104" s="392"/>
      <c r="T104" s="389"/>
      <c r="U104" s="389"/>
      <c r="V104" s="389"/>
      <c r="W104" s="389"/>
      <c r="X104" s="389"/>
    </row>
    <row r="105" spans="4:24">
      <c r="D105" s="370"/>
      <c r="J105" s="381"/>
      <c r="M105" s="389"/>
      <c r="N105" s="389"/>
      <c r="O105" s="389"/>
      <c r="P105" s="389"/>
      <c r="Q105" s="392"/>
      <c r="R105" s="392"/>
      <c r="T105" s="392"/>
      <c r="U105" s="392"/>
      <c r="V105" s="392"/>
      <c r="W105" s="392"/>
      <c r="X105" s="392"/>
    </row>
    <row r="106" spans="4:24">
      <c r="D106" s="370"/>
      <c r="J106" s="381"/>
      <c r="N106" s="392"/>
      <c r="O106" s="392"/>
      <c r="P106" s="392"/>
      <c r="S106" s="389"/>
    </row>
    <row r="107" spans="4:24">
      <c r="D107" s="345"/>
      <c r="E107" s="381"/>
      <c r="F107" s="381"/>
      <c r="G107" s="381"/>
      <c r="H107" s="381"/>
      <c r="I107" s="381"/>
      <c r="K107" s="381"/>
      <c r="S107" s="392"/>
      <c r="T107" s="389"/>
      <c r="U107" s="389"/>
      <c r="V107" s="389"/>
      <c r="W107" s="389"/>
      <c r="X107" s="389"/>
    </row>
    <row r="108" spans="4:24">
      <c r="D108" s="370"/>
      <c r="K108" s="381"/>
      <c r="T108" s="392"/>
      <c r="U108" s="392"/>
      <c r="V108" s="392"/>
      <c r="W108" s="392"/>
      <c r="X108" s="392"/>
    </row>
    <row r="109" spans="4:24">
      <c r="D109" s="345"/>
      <c r="E109" s="381"/>
      <c r="F109" s="381"/>
      <c r="G109" s="381"/>
      <c r="H109" s="381"/>
      <c r="I109" s="381"/>
    </row>
    <row r="110" spans="4:24">
      <c r="D110" s="370"/>
      <c r="E110" s="381"/>
      <c r="F110" s="381"/>
      <c r="G110" s="381"/>
      <c r="H110" s="381"/>
      <c r="I110" s="381"/>
    </row>
    <row r="111" spans="4:24">
      <c r="D111" s="370"/>
    </row>
    <row r="112" spans="4:24">
      <c r="D112" s="370"/>
    </row>
    <row r="113" spans="4:11">
      <c r="D113" s="345"/>
      <c r="E113" s="381"/>
      <c r="F113" s="381"/>
      <c r="G113" s="381"/>
      <c r="H113" s="381"/>
      <c r="I113" s="381"/>
    </row>
    <row r="114" spans="4:11">
      <c r="D114" s="370"/>
      <c r="E114" s="381"/>
      <c r="F114" s="381"/>
      <c r="G114" s="381"/>
      <c r="H114" s="381"/>
      <c r="I114" s="381"/>
    </row>
    <row r="115" spans="4:11">
      <c r="D115" s="370"/>
    </row>
    <row r="116" spans="4:11">
      <c r="D116" s="345"/>
      <c r="E116" s="381"/>
      <c r="F116" s="381"/>
      <c r="G116" s="381"/>
      <c r="H116" s="381"/>
      <c r="I116" s="381"/>
    </row>
    <row r="117" spans="4:11">
      <c r="D117" s="370"/>
      <c r="J117" s="381"/>
    </row>
    <row r="118" spans="4:11">
      <c r="D118" s="370"/>
      <c r="J118" s="381"/>
    </row>
    <row r="119" spans="4:11">
      <c r="D119" s="345"/>
      <c r="E119" s="381"/>
      <c r="F119" s="381"/>
      <c r="G119" s="381"/>
      <c r="H119" s="381"/>
      <c r="I119" s="381"/>
      <c r="K119" s="381"/>
    </row>
    <row r="120" spans="4:11">
      <c r="D120" s="370"/>
      <c r="K120" s="381"/>
    </row>
    <row r="121" spans="4:11">
      <c r="D121" s="370"/>
      <c r="J121" s="381"/>
    </row>
    <row r="122" spans="4:11">
      <c r="D122" s="370"/>
      <c r="J122" s="381"/>
    </row>
    <row r="123" spans="4:11">
      <c r="D123" s="345"/>
      <c r="E123" s="381"/>
      <c r="F123" s="381"/>
      <c r="G123" s="381"/>
      <c r="H123" s="381"/>
      <c r="I123" s="381"/>
      <c r="K123" s="381"/>
    </row>
    <row r="124" spans="4:11">
      <c r="D124" s="370"/>
      <c r="K124" s="381"/>
    </row>
    <row r="125" spans="4:11">
      <c r="D125" s="370"/>
      <c r="E125" s="345"/>
      <c r="F125" s="345"/>
      <c r="G125" s="345"/>
      <c r="H125" s="345"/>
      <c r="I125" s="345"/>
      <c r="J125" s="381"/>
    </row>
    <row r="126" spans="4:11">
      <c r="D126" s="370"/>
      <c r="E126" s="345"/>
      <c r="F126" s="345"/>
      <c r="G126" s="345"/>
      <c r="H126" s="345"/>
      <c r="I126" s="345"/>
    </row>
    <row r="127" spans="4:11">
      <c r="D127" s="370"/>
      <c r="K127" s="381"/>
    </row>
    <row r="128" spans="4:11">
      <c r="D128" s="370"/>
    </row>
    <row r="130" spans="4:11">
      <c r="D130" s="345"/>
      <c r="E130" s="381"/>
      <c r="F130" s="381"/>
      <c r="G130" s="381"/>
      <c r="H130" s="381"/>
      <c r="I130" s="381"/>
    </row>
    <row r="131" spans="4:11">
      <c r="D131" s="345"/>
      <c r="E131" s="381"/>
      <c r="F131" s="381"/>
      <c r="G131" s="381"/>
      <c r="H131" s="381"/>
      <c r="I131" s="381"/>
    </row>
    <row r="132" spans="4:11">
      <c r="D132" s="370"/>
      <c r="E132" s="381"/>
      <c r="F132" s="381"/>
      <c r="G132" s="381"/>
      <c r="H132" s="381"/>
      <c r="I132" s="381"/>
    </row>
    <row r="133" spans="4:11">
      <c r="D133" s="370"/>
      <c r="E133" s="381"/>
      <c r="F133" s="381"/>
      <c r="G133" s="381"/>
      <c r="H133" s="381"/>
      <c r="I133" s="381"/>
    </row>
    <row r="134" spans="4:11">
      <c r="D134" s="370"/>
    </row>
    <row r="135" spans="4:11">
      <c r="D135" s="345"/>
      <c r="E135" s="381"/>
      <c r="F135" s="381"/>
      <c r="G135" s="381"/>
      <c r="H135" s="381"/>
      <c r="I135" s="381"/>
    </row>
    <row r="136" spans="4:11">
      <c r="D136" s="370"/>
      <c r="E136" s="381"/>
      <c r="F136" s="381"/>
      <c r="G136" s="381"/>
      <c r="H136" s="381"/>
      <c r="I136" s="381"/>
    </row>
    <row r="137" spans="4:11">
      <c r="D137" s="370"/>
      <c r="E137" s="381"/>
      <c r="F137" s="381"/>
      <c r="G137" s="381"/>
      <c r="H137" s="381"/>
      <c r="I137" s="381"/>
    </row>
    <row r="138" spans="4:11">
      <c r="D138" s="370"/>
    </row>
    <row r="139" spans="4:11">
      <c r="D139" s="370"/>
    </row>
    <row r="140" spans="4:11">
      <c r="D140" s="370"/>
      <c r="J140" s="381"/>
    </row>
    <row r="141" spans="4:11">
      <c r="D141" s="370"/>
      <c r="J141" s="381"/>
    </row>
    <row r="142" spans="4:11">
      <c r="D142" s="370"/>
      <c r="K142" s="381"/>
    </row>
    <row r="143" spans="4:11">
      <c r="D143" s="370"/>
      <c r="J143" s="381"/>
      <c r="K143" s="381"/>
    </row>
    <row r="144" spans="4:11">
      <c r="D144" s="370"/>
      <c r="J144" s="381"/>
    </row>
    <row r="145" spans="4:11">
      <c r="D145" s="370"/>
      <c r="J145" s="381"/>
      <c r="K145" s="381"/>
    </row>
    <row r="146" spans="4:11">
      <c r="D146" s="370"/>
      <c r="K146" s="381"/>
    </row>
    <row r="147" spans="4:11">
      <c r="D147" s="345"/>
      <c r="E147" s="381"/>
      <c r="F147" s="381"/>
      <c r="G147" s="381"/>
      <c r="H147" s="381"/>
      <c r="I147" s="381"/>
      <c r="K147" s="381"/>
    </row>
    <row r="148" spans="4:11">
      <c r="D148" s="370"/>
      <c r="J148" s="381"/>
    </row>
    <row r="149" spans="4:11">
      <c r="D149" s="370"/>
      <c r="J149" s="381"/>
    </row>
    <row r="150" spans="4:11">
      <c r="D150" s="345"/>
      <c r="E150" s="381"/>
      <c r="F150" s="381"/>
      <c r="G150" s="381"/>
      <c r="H150" s="381"/>
      <c r="I150" s="381"/>
      <c r="K150" s="381"/>
    </row>
    <row r="151" spans="4:11">
      <c r="D151" s="370"/>
      <c r="K151" s="381"/>
    </row>
    <row r="152" spans="4:11">
      <c r="D152" s="345"/>
      <c r="E152" s="381"/>
      <c r="F152" s="381"/>
      <c r="G152" s="381"/>
      <c r="H152" s="381"/>
      <c r="I152" s="381"/>
    </row>
    <row r="153" spans="4:11">
      <c r="D153" s="370"/>
      <c r="E153" s="381"/>
      <c r="F153" s="381"/>
      <c r="G153" s="381"/>
      <c r="H153" s="381"/>
      <c r="I153" s="381"/>
    </row>
    <row r="154" spans="4:11">
      <c r="D154" s="370"/>
    </row>
    <row r="155" spans="4:11">
      <c r="D155" s="370"/>
    </row>
    <row r="156" spans="4:11">
      <c r="D156" s="345"/>
      <c r="E156" s="381"/>
      <c r="F156" s="381"/>
      <c r="G156" s="381"/>
      <c r="H156" s="381"/>
      <c r="I156" s="381"/>
    </row>
    <row r="157" spans="4:11">
      <c r="D157" s="370"/>
      <c r="E157" s="381"/>
      <c r="F157" s="381"/>
      <c r="G157" s="381"/>
      <c r="H157" s="381"/>
      <c r="I157" s="381"/>
    </row>
    <row r="158" spans="4:11">
      <c r="D158" s="370"/>
    </row>
    <row r="159" spans="4:11">
      <c r="D159" s="345"/>
      <c r="E159" s="381"/>
      <c r="F159" s="381"/>
      <c r="G159" s="381"/>
      <c r="H159" s="381"/>
      <c r="I159" s="381"/>
    </row>
    <row r="160" spans="4:11">
      <c r="D160" s="370"/>
      <c r="J160" s="381"/>
    </row>
    <row r="161" spans="4:11">
      <c r="D161" s="370"/>
      <c r="J161" s="381"/>
    </row>
    <row r="162" spans="4:11">
      <c r="D162" s="345"/>
      <c r="E162" s="381"/>
      <c r="F162" s="381"/>
      <c r="G162" s="381"/>
      <c r="H162" s="381"/>
      <c r="I162" s="381"/>
      <c r="K162" s="381"/>
    </row>
    <row r="163" spans="4:11">
      <c r="D163" s="370"/>
      <c r="K163" s="381"/>
    </row>
    <row r="164" spans="4:11">
      <c r="D164" s="370"/>
      <c r="J164" s="381"/>
    </row>
    <row r="165" spans="4:11">
      <c r="D165" s="370"/>
      <c r="J165" s="381"/>
    </row>
    <row r="166" spans="4:11">
      <c r="D166" s="345"/>
      <c r="E166" s="381"/>
      <c r="F166" s="381"/>
      <c r="G166" s="381"/>
      <c r="H166" s="381"/>
      <c r="I166" s="381"/>
      <c r="K166" s="381"/>
    </row>
    <row r="167" spans="4:11">
      <c r="D167" s="370"/>
      <c r="K167" s="381"/>
    </row>
    <row r="168" spans="4:11">
      <c r="D168" s="370"/>
      <c r="E168" s="345"/>
      <c r="F168" s="345"/>
      <c r="G168" s="345"/>
      <c r="H168" s="345"/>
      <c r="I168" s="345"/>
      <c r="J168" s="381"/>
    </row>
    <row r="169" spans="4:11">
      <c r="D169" s="370"/>
      <c r="E169" s="345"/>
      <c r="F169" s="345"/>
      <c r="G169" s="345"/>
      <c r="H169" s="345"/>
      <c r="I169" s="345"/>
    </row>
    <row r="170" spans="4:11">
      <c r="D170" s="370"/>
      <c r="K170" s="381"/>
    </row>
    <row r="171" spans="4:11">
      <c r="D171" s="370"/>
    </row>
    <row r="172" spans="4:11">
      <c r="D172" s="370"/>
    </row>
    <row r="173" spans="4:11">
      <c r="D173" s="345"/>
      <c r="E173" s="381"/>
      <c r="F173" s="381"/>
      <c r="G173" s="381"/>
      <c r="H173" s="381"/>
      <c r="I173" s="381"/>
    </row>
    <row r="174" spans="4:11">
      <c r="D174" s="345"/>
      <c r="E174" s="381"/>
      <c r="F174" s="381"/>
      <c r="G174" s="381"/>
      <c r="H174" s="381"/>
      <c r="I174" s="381"/>
    </row>
    <row r="175" spans="4:11">
      <c r="D175" s="370"/>
      <c r="E175" s="381"/>
      <c r="F175" s="381"/>
      <c r="G175" s="381"/>
      <c r="H175" s="381"/>
      <c r="I175" s="381"/>
    </row>
    <row r="176" spans="4:11">
      <c r="D176" s="370"/>
      <c r="E176" s="381"/>
      <c r="F176" s="381"/>
      <c r="G176" s="381"/>
      <c r="H176" s="381"/>
      <c r="I176" s="381"/>
    </row>
    <row r="177" spans="4:11">
      <c r="D177" s="370"/>
    </row>
    <row r="178" spans="4:11">
      <c r="D178" s="345"/>
      <c r="E178" s="381"/>
      <c r="F178" s="381"/>
      <c r="G178" s="381"/>
      <c r="H178" s="381"/>
      <c r="I178" s="381"/>
    </row>
    <row r="179" spans="4:11">
      <c r="D179" s="370"/>
      <c r="E179" s="381"/>
      <c r="F179" s="381"/>
      <c r="G179" s="381"/>
      <c r="H179" s="381"/>
      <c r="I179" s="381"/>
    </row>
    <row r="180" spans="4:11">
      <c r="D180" s="370"/>
      <c r="E180" s="381"/>
      <c r="F180" s="381"/>
      <c r="G180" s="381"/>
      <c r="H180" s="381"/>
      <c r="I180" s="381"/>
    </row>
    <row r="181" spans="4:11">
      <c r="D181" s="370"/>
    </row>
    <row r="182" spans="4:11">
      <c r="D182" s="370"/>
    </row>
    <row r="183" spans="4:11">
      <c r="D183" s="370"/>
      <c r="J183" s="381"/>
    </row>
    <row r="184" spans="4:11">
      <c r="D184" s="370"/>
      <c r="J184" s="381"/>
    </row>
    <row r="185" spans="4:11">
      <c r="D185" s="370"/>
      <c r="K185" s="381"/>
    </row>
    <row r="186" spans="4:11">
      <c r="D186" s="370"/>
      <c r="J186" s="381"/>
      <c r="K186" s="381"/>
    </row>
    <row r="187" spans="4:11">
      <c r="D187" s="370"/>
      <c r="J187" s="381"/>
    </row>
    <row r="188" spans="4:11">
      <c r="D188" s="370"/>
      <c r="J188" s="381"/>
      <c r="K188" s="381"/>
    </row>
    <row r="189" spans="4:11">
      <c r="D189" s="370"/>
      <c r="K189" s="381"/>
    </row>
    <row r="190" spans="4:11">
      <c r="D190" s="345"/>
      <c r="E190" s="381"/>
      <c r="F190" s="381"/>
      <c r="G190" s="381"/>
      <c r="H190" s="381"/>
      <c r="I190" s="381"/>
      <c r="K190" s="381"/>
    </row>
    <row r="191" spans="4:11">
      <c r="D191" s="370"/>
      <c r="J191" s="381"/>
    </row>
    <row r="192" spans="4:11">
      <c r="D192" s="370"/>
      <c r="J192" s="381"/>
    </row>
    <row r="193" spans="4:11">
      <c r="D193" s="345"/>
      <c r="E193" s="381"/>
      <c r="F193" s="381"/>
      <c r="G193" s="381"/>
      <c r="H193" s="381"/>
      <c r="I193" s="381"/>
      <c r="K193" s="381"/>
    </row>
    <row r="194" spans="4:11">
      <c r="D194" s="370"/>
      <c r="K194" s="381"/>
    </row>
    <row r="195" spans="4:11">
      <c r="D195" s="345"/>
      <c r="E195" s="381"/>
      <c r="F195" s="381"/>
      <c r="G195" s="381"/>
      <c r="H195" s="381"/>
      <c r="I195" s="381"/>
    </row>
    <row r="196" spans="4:11">
      <c r="D196" s="370"/>
      <c r="E196" s="381"/>
      <c r="F196" s="381"/>
      <c r="G196" s="381"/>
      <c r="H196" s="381"/>
      <c r="I196" s="381"/>
    </row>
    <row r="197" spans="4:11">
      <c r="D197" s="370"/>
    </row>
    <row r="198" spans="4:11">
      <c r="D198" s="370"/>
    </row>
    <row r="199" spans="4:11">
      <c r="D199" s="345"/>
      <c r="E199" s="381"/>
      <c r="F199" s="381"/>
      <c r="G199" s="381"/>
      <c r="H199" s="381"/>
      <c r="I199" s="381"/>
    </row>
    <row r="200" spans="4:11">
      <c r="D200" s="370"/>
      <c r="E200" s="381"/>
      <c r="F200" s="381"/>
      <c r="G200" s="381"/>
      <c r="H200" s="381"/>
      <c r="I200" s="381"/>
    </row>
    <row r="201" spans="4:11">
      <c r="D201" s="370"/>
    </row>
    <row r="202" spans="4:11">
      <c r="D202" s="345"/>
      <c r="E202" s="381"/>
      <c r="F202" s="381"/>
      <c r="G202" s="381"/>
      <c r="H202" s="381"/>
      <c r="I202" s="381"/>
    </row>
    <row r="203" spans="4:11">
      <c r="D203" s="370"/>
      <c r="J203" s="381"/>
    </row>
    <row r="204" spans="4:11">
      <c r="D204" s="370"/>
      <c r="J204" s="381"/>
    </row>
    <row r="205" spans="4:11">
      <c r="D205" s="345"/>
      <c r="E205" s="381"/>
      <c r="F205" s="381"/>
      <c r="G205" s="381"/>
      <c r="H205" s="381"/>
      <c r="I205" s="381"/>
      <c r="K205" s="381"/>
    </row>
    <row r="206" spans="4:11">
      <c r="D206" s="370"/>
      <c r="K206" s="381"/>
    </row>
    <row r="207" spans="4:11">
      <c r="D207" s="370"/>
      <c r="J207" s="381"/>
    </row>
    <row r="208" spans="4:11">
      <c r="D208" s="370"/>
      <c r="J208" s="381"/>
    </row>
    <row r="209" spans="4:11">
      <c r="D209" s="345"/>
      <c r="E209" s="381"/>
      <c r="F209" s="381"/>
      <c r="G209" s="381"/>
      <c r="H209" s="381"/>
      <c r="I209" s="381"/>
      <c r="K209" s="381"/>
    </row>
    <row r="210" spans="4:11">
      <c r="D210" s="370"/>
      <c r="K210" s="381"/>
    </row>
    <row r="211" spans="4:11">
      <c r="D211" s="370"/>
      <c r="E211" s="345"/>
      <c r="F211" s="345"/>
      <c r="G211" s="345"/>
      <c r="H211" s="345"/>
      <c r="I211" s="345"/>
      <c r="J211" s="381"/>
    </row>
    <row r="212" spans="4:11">
      <c r="D212" s="370"/>
      <c r="E212" s="345"/>
      <c r="F212" s="345"/>
      <c r="G212" s="345"/>
      <c r="H212" s="345"/>
      <c r="I212" s="345"/>
    </row>
    <row r="213" spans="4:11">
      <c r="D213" s="370"/>
      <c r="K213" s="381"/>
    </row>
    <row r="214" spans="4:11">
      <c r="D214" s="370"/>
    </row>
    <row r="215" spans="4:11">
      <c r="D215" s="370"/>
    </row>
    <row r="216" spans="4:11">
      <c r="D216" s="345"/>
      <c r="E216" s="381"/>
      <c r="F216" s="381"/>
      <c r="G216" s="381"/>
      <c r="H216" s="381"/>
      <c r="I216" s="381"/>
    </row>
    <row r="217" spans="4:11">
      <c r="D217" s="345"/>
      <c r="E217" s="381"/>
      <c r="F217" s="381"/>
      <c r="G217" s="381"/>
      <c r="H217" s="381"/>
      <c r="I217" s="381"/>
    </row>
    <row r="218" spans="4:11">
      <c r="D218" s="370"/>
      <c r="E218" s="381"/>
      <c r="F218" s="381"/>
      <c r="G218" s="381"/>
      <c r="H218" s="381"/>
      <c r="I218" s="381"/>
    </row>
    <row r="219" spans="4:11">
      <c r="D219" s="370"/>
      <c r="E219" s="381"/>
      <c r="F219" s="381"/>
      <c r="G219" s="381"/>
      <c r="H219" s="381"/>
      <c r="I219" s="381"/>
    </row>
    <row r="220" spans="4:11">
      <c r="D220" s="370"/>
    </row>
    <row r="221" spans="4:11">
      <c r="D221" s="345"/>
      <c r="E221" s="381"/>
      <c r="F221" s="381"/>
      <c r="G221" s="381"/>
      <c r="H221" s="381"/>
      <c r="I221" s="381"/>
    </row>
    <row r="222" spans="4:11">
      <c r="D222" s="370"/>
      <c r="E222" s="381"/>
      <c r="F222" s="381"/>
      <c r="G222" s="381"/>
      <c r="H222" s="381"/>
      <c r="I222" s="381"/>
    </row>
    <row r="223" spans="4:11">
      <c r="D223" s="370"/>
      <c r="E223" s="381"/>
      <c r="F223" s="381"/>
      <c r="G223" s="381"/>
      <c r="H223" s="381"/>
      <c r="I223" s="381"/>
    </row>
    <row r="224" spans="4:11">
      <c r="D224" s="370"/>
    </row>
    <row r="225" spans="4:11">
      <c r="D225" s="370"/>
    </row>
    <row r="226" spans="4:11">
      <c r="D226" s="370"/>
      <c r="J226" s="381"/>
    </row>
    <row r="227" spans="4:11">
      <c r="D227" s="370"/>
      <c r="J227" s="381"/>
    </row>
    <row r="228" spans="4:11">
      <c r="D228" s="370"/>
      <c r="K228" s="381"/>
    </row>
    <row r="229" spans="4:11">
      <c r="D229" s="370"/>
      <c r="J229" s="381"/>
      <c r="K229" s="381"/>
    </row>
    <row r="230" spans="4:11">
      <c r="D230" s="370"/>
      <c r="J230" s="381"/>
    </row>
    <row r="231" spans="4:11">
      <c r="D231" s="370"/>
      <c r="J231" s="381"/>
      <c r="K231" s="381"/>
    </row>
    <row r="232" spans="4:11">
      <c r="D232" s="370"/>
      <c r="K232" s="381"/>
    </row>
    <row r="233" spans="4:11">
      <c r="D233" s="345"/>
      <c r="E233" s="381"/>
      <c r="F233" s="381"/>
      <c r="G233" s="381"/>
      <c r="H233" s="381"/>
      <c r="I233" s="381"/>
      <c r="K233" s="381"/>
    </row>
    <row r="234" spans="4:11">
      <c r="D234" s="370"/>
      <c r="J234" s="381"/>
    </row>
    <row r="235" spans="4:11">
      <c r="D235" s="370"/>
      <c r="J235" s="381"/>
    </row>
    <row r="236" spans="4:11">
      <c r="D236" s="345"/>
      <c r="E236" s="381"/>
      <c r="F236" s="381"/>
      <c r="G236" s="381"/>
      <c r="H236" s="381"/>
      <c r="I236" s="381"/>
      <c r="K236" s="381"/>
    </row>
    <row r="237" spans="4:11">
      <c r="D237" s="370"/>
      <c r="K237" s="381"/>
    </row>
    <row r="238" spans="4:11">
      <c r="D238" s="345"/>
      <c r="E238" s="381"/>
      <c r="F238" s="381"/>
      <c r="G238" s="381"/>
      <c r="H238" s="381"/>
      <c r="I238" s="381"/>
    </row>
    <row r="239" spans="4:11">
      <c r="D239" s="370"/>
      <c r="E239" s="381"/>
      <c r="F239" s="381"/>
      <c r="G239" s="381"/>
      <c r="H239" s="381"/>
      <c r="I239" s="381"/>
    </row>
    <row r="240" spans="4:11">
      <c r="D240" s="370"/>
    </row>
    <row r="241" spans="4:11">
      <c r="D241" s="370"/>
    </row>
    <row r="242" spans="4:11">
      <c r="D242" s="345"/>
      <c r="E242" s="381"/>
      <c r="F242" s="381"/>
      <c r="G242" s="381"/>
      <c r="H242" s="381"/>
      <c r="I242" s="381"/>
    </row>
    <row r="243" spans="4:11">
      <c r="D243" s="370"/>
      <c r="E243" s="381"/>
      <c r="F243" s="381"/>
      <c r="G243" s="381"/>
      <c r="H243" s="381"/>
      <c r="I243" s="381"/>
    </row>
    <row r="244" spans="4:11">
      <c r="D244" s="370"/>
    </row>
    <row r="245" spans="4:11">
      <c r="D245" s="345"/>
      <c r="E245" s="381"/>
      <c r="F245" s="381"/>
      <c r="G245" s="381"/>
      <c r="H245" s="381"/>
      <c r="I245" s="381"/>
    </row>
    <row r="246" spans="4:11">
      <c r="D246" s="370"/>
      <c r="J246" s="381"/>
    </row>
    <row r="247" spans="4:11">
      <c r="D247" s="370"/>
      <c r="J247" s="381"/>
    </row>
    <row r="248" spans="4:11">
      <c r="D248" s="345"/>
      <c r="E248" s="381"/>
      <c r="F248" s="381"/>
      <c r="G248" s="381"/>
      <c r="H248" s="381"/>
      <c r="I248" s="381"/>
      <c r="K248" s="381"/>
    </row>
    <row r="249" spans="4:11">
      <c r="D249" s="370"/>
      <c r="K249" s="381"/>
    </row>
    <row r="250" spans="4:11">
      <c r="D250" s="370"/>
      <c r="J250" s="381"/>
    </row>
    <row r="251" spans="4:11">
      <c r="D251" s="370"/>
      <c r="J251" s="381"/>
    </row>
    <row r="252" spans="4:11">
      <c r="D252" s="345"/>
      <c r="E252" s="381"/>
      <c r="F252" s="381"/>
      <c r="G252" s="381"/>
      <c r="H252" s="381"/>
      <c r="I252" s="381"/>
      <c r="K252" s="381"/>
    </row>
    <row r="253" spans="4:11">
      <c r="D253" s="370"/>
      <c r="K253" s="381"/>
    </row>
    <row r="254" spans="4:11">
      <c r="D254" s="370"/>
      <c r="E254" s="345"/>
      <c r="F254" s="345"/>
      <c r="G254" s="345"/>
      <c r="H254" s="345"/>
      <c r="I254" s="345"/>
      <c r="J254" s="381"/>
    </row>
    <row r="255" spans="4:11">
      <c r="D255" s="370"/>
      <c r="E255" s="345"/>
      <c r="F255" s="345"/>
      <c r="G255" s="345"/>
      <c r="H255" s="345"/>
      <c r="I255" s="345"/>
    </row>
    <row r="256" spans="4:11">
      <c r="D256" s="370"/>
      <c r="K256" s="381"/>
    </row>
    <row r="257" spans="4:4">
      <c r="D257" s="370"/>
    </row>
    <row r="258" spans="4:4">
      <c r="D258" s="370"/>
    </row>
    <row r="259" spans="4:4">
      <c r="D259" s="370"/>
    </row>
    <row r="260" spans="4:4">
      <c r="D260" s="370"/>
    </row>
    <row r="261" spans="4:4">
      <c r="D261" s="370"/>
    </row>
    <row r="262" spans="4:4">
      <c r="D262" s="370"/>
    </row>
    <row r="263" spans="4:4">
      <c r="D263" s="370"/>
    </row>
    <row r="264" spans="4:4">
      <c r="D264" s="370"/>
    </row>
    <row r="265" spans="4:4">
      <c r="D265" s="370"/>
    </row>
    <row r="266" spans="4:4">
      <c r="D266" s="370"/>
    </row>
    <row r="267" spans="4:4">
      <c r="D267" s="370"/>
    </row>
    <row r="268" spans="4:4">
      <c r="D268" s="370"/>
    </row>
    <row r="269" spans="4:4">
      <c r="D269" s="370"/>
    </row>
    <row r="270" spans="4:4">
      <c r="D270" s="370"/>
    </row>
    <row r="271" spans="4:4">
      <c r="D271" s="370"/>
    </row>
    <row r="272" spans="4:4">
      <c r="D272" s="370"/>
    </row>
    <row r="273" spans="4:4">
      <c r="D273" s="370"/>
    </row>
    <row r="274" spans="4:4">
      <c r="D274" s="370"/>
    </row>
    <row r="275" spans="4:4">
      <c r="D275" s="370"/>
    </row>
    <row r="276" spans="4:4">
      <c r="D276" s="370"/>
    </row>
    <row r="277" spans="4:4">
      <c r="D277" s="370"/>
    </row>
    <row r="278" spans="4:4">
      <c r="D278" s="370"/>
    </row>
    <row r="279" spans="4:4">
      <c r="D279" s="370"/>
    </row>
    <row r="280" spans="4:4">
      <c r="D280" s="370"/>
    </row>
    <row r="281" spans="4:4">
      <c r="D281" s="370"/>
    </row>
    <row r="282" spans="4:4">
      <c r="D282" s="370"/>
    </row>
    <row r="283" spans="4:4">
      <c r="D283" s="370"/>
    </row>
    <row r="284" spans="4:4">
      <c r="D284" s="370"/>
    </row>
    <row r="285" spans="4:4">
      <c r="D285" s="370"/>
    </row>
    <row r="286" spans="4:4">
      <c r="D286" s="370"/>
    </row>
    <row r="287" spans="4:4">
      <c r="D287" s="370"/>
    </row>
    <row r="288" spans="4:4">
      <c r="D288" s="370"/>
    </row>
    <row r="289" spans="4:4">
      <c r="D289" s="370"/>
    </row>
    <row r="290" spans="4:4">
      <c r="D290" s="370"/>
    </row>
    <row r="291" spans="4:4">
      <c r="D291" s="370"/>
    </row>
    <row r="292" spans="4:4">
      <c r="D292" s="370"/>
    </row>
    <row r="293" spans="4:4">
      <c r="D293" s="370"/>
    </row>
    <row r="294" spans="4:4">
      <c r="D294" s="370"/>
    </row>
    <row r="295" spans="4:4">
      <c r="D295" s="370"/>
    </row>
    <row r="296" spans="4:4">
      <c r="D296" s="370"/>
    </row>
    <row r="297" spans="4:4">
      <c r="D297" s="370"/>
    </row>
    <row r="298" spans="4:4">
      <c r="D298" s="370"/>
    </row>
    <row r="299" spans="4:4">
      <c r="D299" s="370"/>
    </row>
    <row r="300" spans="4:4">
      <c r="D300" s="370"/>
    </row>
    <row r="301" spans="4:4">
      <c r="D301" s="370"/>
    </row>
    <row r="302" spans="4:4">
      <c r="D302" s="370"/>
    </row>
    <row r="303" spans="4:4">
      <c r="D303" s="370"/>
    </row>
    <row r="304" spans="4:4">
      <c r="D304" s="370"/>
    </row>
    <row r="305" spans="4:4">
      <c r="D305" s="370"/>
    </row>
    <row r="306" spans="4:4">
      <c r="D306" s="370"/>
    </row>
    <row r="307" spans="4:4">
      <c r="D307" s="370"/>
    </row>
    <row r="308" spans="4:4">
      <c r="D308" s="370"/>
    </row>
    <row r="309" spans="4:4">
      <c r="D309" s="370"/>
    </row>
    <row r="310" spans="4:4">
      <c r="D310" s="370"/>
    </row>
    <row r="311" spans="4:4">
      <c r="D311" s="370"/>
    </row>
    <row r="312" spans="4:4">
      <c r="D312" s="370"/>
    </row>
    <row r="313" spans="4:4">
      <c r="D313" s="370"/>
    </row>
    <row r="314" spans="4:4">
      <c r="D314" s="370"/>
    </row>
    <row r="315" spans="4:4">
      <c r="D315" s="370"/>
    </row>
    <row r="316" spans="4:4">
      <c r="D316" s="370"/>
    </row>
    <row r="317" spans="4:4">
      <c r="D317" s="370"/>
    </row>
    <row r="318" spans="4:4">
      <c r="D318" s="370"/>
    </row>
    <row r="319" spans="4:4">
      <c r="D319" s="370"/>
    </row>
    <row r="320" spans="4:4">
      <c r="D320" s="370"/>
    </row>
    <row r="321" spans="4:4">
      <c r="D321" s="370"/>
    </row>
    <row r="322" spans="4:4">
      <c r="D322" s="370"/>
    </row>
    <row r="323" spans="4:4">
      <c r="D323" s="370"/>
    </row>
    <row r="324" spans="4:4">
      <c r="D324" s="370"/>
    </row>
    <row r="325" spans="4:4">
      <c r="D325" s="370"/>
    </row>
    <row r="326" spans="4:4">
      <c r="D326" s="370"/>
    </row>
    <row r="327" spans="4:4">
      <c r="D327" s="370"/>
    </row>
    <row r="328" spans="4:4">
      <c r="D328" s="370"/>
    </row>
    <row r="329" spans="4:4">
      <c r="D329" s="370"/>
    </row>
    <row r="330" spans="4:4">
      <c r="D330" s="370"/>
    </row>
    <row r="331" spans="4:4">
      <c r="D331" s="370"/>
    </row>
    <row r="332" spans="4:4">
      <c r="D332" s="370"/>
    </row>
    <row r="333" spans="4:4">
      <c r="D333" s="370"/>
    </row>
    <row r="334" spans="4:4">
      <c r="D334" s="370"/>
    </row>
    <row r="335" spans="4:4">
      <c r="D335" s="370"/>
    </row>
    <row r="336" spans="4:4">
      <c r="D336" s="370"/>
    </row>
    <row r="337" spans="4:4">
      <c r="D337" s="370"/>
    </row>
    <row r="338" spans="4:4">
      <c r="D338" s="370"/>
    </row>
    <row r="339" spans="4:4">
      <c r="D339" s="370"/>
    </row>
    <row r="340" spans="4:4">
      <c r="D340" s="370"/>
    </row>
    <row r="341" spans="4:4">
      <c r="D341" s="370"/>
    </row>
    <row r="342" spans="4:4">
      <c r="D342" s="370"/>
    </row>
    <row r="343" spans="4:4">
      <c r="D343" s="370"/>
    </row>
    <row r="344" spans="4:4">
      <c r="D344" s="370"/>
    </row>
    <row r="345" spans="4:4">
      <c r="D345" s="370"/>
    </row>
    <row r="346" spans="4:4">
      <c r="D346" s="370"/>
    </row>
    <row r="347" spans="4:4">
      <c r="D347" s="370"/>
    </row>
    <row r="348" spans="4:4">
      <c r="D348" s="370"/>
    </row>
    <row r="349" spans="4:4">
      <c r="D349" s="370"/>
    </row>
    <row r="350" spans="4:4">
      <c r="D350" s="370"/>
    </row>
    <row r="351" spans="4:4">
      <c r="D351" s="370"/>
    </row>
    <row r="352" spans="4:4">
      <c r="D352" s="370"/>
    </row>
    <row r="353" spans="4:4">
      <c r="D353" s="370"/>
    </row>
    <row r="354" spans="4:4">
      <c r="D354" s="370"/>
    </row>
    <row r="355" spans="4:4">
      <c r="D355" s="370"/>
    </row>
    <row r="356" spans="4:4">
      <c r="D356" s="370"/>
    </row>
    <row r="357" spans="4:4">
      <c r="D357" s="370"/>
    </row>
    <row r="358" spans="4:4">
      <c r="D358" s="370"/>
    </row>
    <row r="359" spans="4:4">
      <c r="D359" s="370"/>
    </row>
    <row r="360" spans="4:4">
      <c r="D360" s="370"/>
    </row>
    <row r="361" spans="4:4">
      <c r="D361" s="370"/>
    </row>
    <row r="362" spans="4:4">
      <c r="D362" s="370"/>
    </row>
    <row r="363" spans="4:4">
      <c r="D363" s="370"/>
    </row>
    <row r="364" spans="4:4">
      <c r="D364" s="370"/>
    </row>
    <row r="365" spans="4:4">
      <c r="D365" s="370"/>
    </row>
    <row r="366" spans="4:4">
      <c r="D366" s="370"/>
    </row>
    <row r="367" spans="4:4">
      <c r="D367" s="370"/>
    </row>
    <row r="368" spans="4:4">
      <c r="D368" s="370"/>
    </row>
    <row r="369" spans="4:4">
      <c r="D369" s="370"/>
    </row>
    <row r="370" spans="4:4">
      <c r="D370" s="370"/>
    </row>
    <row r="371" spans="4:4">
      <c r="D371" s="370"/>
    </row>
    <row r="372" spans="4:4">
      <c r="D372" s="370"/>
    </row>
    <row r="373" spans="4:4">
      <c r="D373" s="370"/>
    </row>
    <row r="374" spans="4:4">
      <c r="D374" s="370"/>
    </row>
    <row r="375" spans="4:4">
      <c r="D375" s="370"/>
    </row>
    <row r="376" spans="4:4">
      <c r="D376" s="370"/>
    </row>
    <row r="377" spans="4:4">
      <c r="D377" s="370"/>
    </row>
    <row r="378" spans="4:4">
      <c r="D378" s="370"/>
    </row>
    <row r="379" spans="4:4">
      <c r="D379" s="370"/>
    </row>
    <row r="380" spans="4:4">
      <c r="D380" s="370"/>
    </row>
    <row r="381" spans="4:4">
      <c r="D381" s="370"/>
    </row>
    <row r="382" spans="4:4">
      <c r="D382" s="370"/>
    </row>
    <row r="383" spans="4:4">
      <c r="D383" s="370"/>
    </row>
    <row r="384" spans="4:4">
      <c r="D384" s="370"/>
    </row>
    <row r="385" spans="4:4">
      <c r="D385" s="370"/>
    </row>
    <row r="386" spans="4:4">
      <c r="D386" s="370"/>
    </row>
    <row r="387" spans="4:4">
      <c r="D387" s="370"/>
    </row>
    <row r="388" spans="4:4">
      <c r="D388" s="370"/>
    </row>
    <row r="389" spans="4:4">
      <c r="D389" s="370"/>
    </row>
    <row r="390" spans="4:4">
      <c r="D390" s="370"/>
    </row>
    <row r="391" spans="4:4">
      <c r="D391" s="370"/>
    </row>
    <row r="392" spans="4:4">
      <c r="D392" s="370"/>
    </row>
    <row r="393" spans="4:4">
      <c r="D393" s="370"/>
    </row>
    <row r="394" spans="4:4">
      <c r="D394" s="370"/>
    </row>
    <row r="395" spans="4:4">
      <c r="D395" s="370"/>
    </row>
    <row r="396" spans="4:4">
      <c r="D396" s="370"/>
    </row>
    <row r="397" spans="4:4">
      <c r="D397" s="370"/>
    </row>
    <row r="398" spans="4:4">
      <c r="D398" s="370"/>
    </row>
    <row r="399" spans="4:4">
      <c r="D399" s="370"/>
    </row>
    <row r="400" spans="4:4">
      <c r="D400" s="370"/>
    </row>
    <row r="401" spans="4:4">
      <c r="D401" s="370"/>
    </row>
    <row r="402" spans="4:4">
      <c r="D402" s="370"/>
    </row>
    <row r="403" spans="4:4">
      <c r="D403" s="370"/>
    </row>
    <row r="404" spans="4:4">
      <c r="D404" s="370"/>
    </row>
    <row r="405" spans="4:4">
      <c r="D405" s="370"/>
    </row>
    <row r="406" spans="4:4">
      <c r="D406" s="370"/>
    </row>
    <row r="407" spans="4:4">
      <c r="D407" s="370"/>
    </row>
    <row r="408" spans="4:4">
      <c r="D408" s="370"/>
    </row>
    <row r="409" spans="4:4">
      <c r="D409" s="370"/>
    </row>
    <row r="410" spans="4:4">
      <c r="D410" s="370"/>
    </row>
    <row r="411" spans="4:4">
      <c r="D411" s="370"/>
    </row>
    <row r="412" spans="4:4">
      <c r="D412" s="370"/>
    </row>
    <row r="413" spans="4:4">
      <c r="D413" s="370"/>
    </row>
    <row r="414" spans="4:4">
      <c r="D414" s="370"/>
    </row>
    <row r="415" spans="4:4">
      <c r="D415" s="370"/>
    </row>
    <row r="416" spans="4:4">
      <c r="D416" s="370"/>
    </row>
    <row r="417" spans="4:4">
      <c r="D417" s="370"/>
    </row>
    <row r="418" spans="4:4">
      <c r="D418" s="370"/>
    </row>
    <row r="419" spans="4:4">
      <c r="D419" s="370"/>
    </row>
    <row r="420" spans="4:4">
      <c r="D420" s="370"/>
    </row>
    <row r="421" spans="4:4">
      <c r="D421" s="370"/>
    </row>
    <row r="422" spans="4:4">
      <c r="D422" s="370"/>
    </row>
    <row r="423" spans="4:4">
      <c r="D423" s="370"/>
    </row>
    <row r="424" spans="4:4">
      <c r="D424" s="370"/>
    </row>
    <row r="425" spans="4:4">
      <c r="D425" s="370"/>
    </row>
    <row r="426" spans="4:4">
      <c r="D426" s="370"/>
    </row>
    <row r="427" spans="4:4">
      <c r="D427" s="370"/>
    </row>
    <row r="428" spans="4:4">
      <c r="D428" s="370"/>
    </row>
    <row r="429" spans="4:4">
      <c r="D429" s="370"/>
    </row>
    <row r="430" spans="4:4">
      <c r="D430" s="370"/>
    </row>
    <row r="431" spans="4:4">
      <c r="D431" s="370"/>
    </row>
    <row r="432" spans="4:4">
      <c r="D432" s="370"/>
    </row>
    <row r="433" spans="4:4">
      <c r="D433" s="370"/>
    </row>
    <row r="434" spans="4:4">
      <c r="D434" s="370"/>
    </row>
    <row r="435" spans="4:4">
      <c r="D435" s="370"/>
    </row>
    <row r="436" spans="4:4">
      <c r="D436" s="370"/>
    </row>
    <row r="437" spans="4:4">
      <c r="D437" s="370"/>
    </row>
    <row r="438" spans="4:4">
      <c r="D438" s="370"/>
    </row>
    <row r="439" spans="4:4">
      <c r="D439" s="370"/>
    </row>
    <row r="440" spans="4:4">
      <c r="D440" s="370"/>
    </row>
    <row r="441" spans="4:4">
      <c r="D441" s="370"/>
    </row>
    <row r="442" spans="4:4">
      <c r="D442" s="370"/>
    </row>
    <row r="443" spans="4:4">
      <c r="D443" s="370"/>
    </row>
    <row r="444" spans="4:4">
      <c r="D444" s="370"/>
    </row>
  </sheetData>
  <phoneticPr fontId="26" type="noConversion"/>
  <pageMargins left="0.75" right="0.75" top="1" bottom="1" header="0.5" footer="0.5"/>
  <pageSetup scale="46" orientation="landscape" r:id="rId1"/>
  <headerFooter alignWithMargins="0"/>
  <drawing r:id="rId2"/>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200-000000000000}">
  <sheetPr codeName="Sheet37">
    <pageSetUpPr fitToPage="1"/>
  </sheetPr>
  <dimension ref="B1:X449"/>
  <sheetViews>
    <sheetView showGridLines="0" zoomScale="80" zoomScaleNormal="80" workbookViewId="0"/>
  </sheetViews>
  <sheetFormatPr defaultColWidth="9.109375" defaultRowHeight="12"/>
  <cols>
    <col min="1" max="1" width="2.33203125" style="367" customWidth="1"/>
    <col min="2" max="6" width="10" style="367" customWidth="1"/>
    <col min="7" max="7" width="2.33203125" style="367" customWidth="1"/>
    <col min="8" max="8" width="10" style="367" customWidth="1"/>
    <col min="9" max="9" width="2.109375" style="367" customWidth="1"/>
    <col min="10" max="10" width="10" style="367" customWidth="1"/>
    <col min="11" max="11" width="2.109375" style="367" customWidth="1"/>
    <col min="12" max="12" width="10" style="367" customWidth="1"/>
    <col min="13" max="13" width="2.109375" style="367" customWidth="1"/>
    <col min="14" max="14" width="10" style="367" customWidth="1"/>
    <col min="15" max="15" width="2.109375" style="367" customWidth="1"/>
    <col min="16" max="16" width="10" style="367" customWidth="1"/>
    <col min="17" max="17" width="2.109375" style="367" customWidth="1"/>
    <col min="18" max="18" width="10" style="367" customWidth="1"/>
    <col min="19" max="19" width="2.109375" style="367" customWidth="1"/>
    <col min="20" max="20" width="9.88671875" style="367" customWidth="1"/>
    <col min="21" max="21" width="2.109375" style="367" customWidth="1"/>
    <col min="22" max="22" width="10" style="367" customWidth="1"/>
    <col min="23" max="23" width="2.109375" style="367" customWidth="1"/>
    <col min="24" max="24" width="10" style="367" customWidth="1"/>
    <col min="25" max="16384" width="9.109375" style="367"/>
  </cols>
  <sheetData>
    <row r="1" spans="2:24" s="472" customFormat="1">
      <c r="E1" s="150"/>
    </row>
    <row r="2" spans="2:24" s="472" customFormat="1">
      <c r="E2" s="150"/>
    </row>
    <row r="3" spans="2:24" s="472" customFormat="1"/>
    <row r="4" spans="2:24" s="477" customFormat="1" ht="21">
      <c r="B4" s="129" t="s">
        <v>1471</v>
      </c>
      <c r="C4" s="129"/>
    </row>
    <row r="5" spans="2:24" s="472" customFormat="1">
      <c r="D5" s="132"/>
      <c r="E5" s="132"/>
      <c r="F5" s="132"/>
      <c r="G5" s="132"/>
      <c r="H5" s="132"/>
      <c r="I5" s="132"/>
      <c r="L5" s="473"/>
      <c r="M5" s="473"/>
      <c r="N5" s="473"/>
      <c r="O5" s="473"/>
      <c r="P5" s="473"/>
      <c r="Q5" s="473"/>
      <c r="R5" s="473"/>
      <c r="S5" s="473"/>
      <c r="T5" s="473"/>
      <c r="U5" s="473"/>
      <c r="V5" s="473"/>
      <c r="W5" s="473"/>
      <c r="X5" s="473"/>
    </row>
    <row r="6" spans="2:24">
      <c r="B6" s="456"/>
      <c r="C6" s="456"/>
      <c r="D6" s="456"/>
      <c r="E6" s="456"/>
      <c r="F6" s="456"/>
      <c r="G6" s="456"/>
      <c r="H6" s="456"/>
      <c r="I6" s="456"/>
      <c r="L6" s="440"/>
      <c r="M6" s="440"/>
      <c r="N6" s="440"/>
      <c r="O6" s="440"/>
      <c r="P6" s="440"/>
      <c r="Q6" s="440"/>
      <c r="R6" s="440"/>
      <c r="S6" s="440"/>
      <c r="T6" s="440"/>
      <c r="U6" s="440"/>
      <c r="V6" s="440"/>
      <c r="W6" s="440"/>
      <c r="X6" s="440"/>
    </row>
    <row r="7" spans="2:24" ht="12.6" thickBot="1">
      <c r="B7" s="306" t="s">
        <v>98</v>
      </c>
      <c r="C7" s="306"/>
      <c r="D7" s="368"/>
      <c r="E7" s="457"/>
      <c r="F7" s="457"/>
      <c r="G7" s="457"/>
      <c r="H7" s="457"/>
      <c r="I7" s="457"/>
      <c r="J7" s="368"/>
      <c r="K7" s="368"/>
      <c r="L7" s="368"/>
      <c r="M7" s="368"/>
      <c r="N7" s="368"/>
      <c r="O7" s="368"/>
      <c r="P7" s="368"/>
      <c r="Q7" s="368"/>
      <c r="R7" s="368"/>
      <c r="S7" s="368"/>
      <c r="T7" s="368"/>
      <c r="U7" s="368"/>
      <c r="V7" s="368"/>
      <c r="W7" s="368"/>
      <c r="X7" s="368"/>
    </row>
    <row r="8" spans="2:24" ht="12.6" thickTop="1">
      <c r="B8" s="345"/>
      <c r="C8" s="345"/>
      <c r="E8" s="345"/>
      <c r="F8" s="345"/>
      <c r="G8" s="345"/>
      <c r="H8" s="345"/>
      <c r="I8" s="345"/>
    </row>
    <row r="9" spans="2:24">
      <c r="D9" s="345"/>
      <c r="E9" s="382" t="s">
        <v>81</v>
      </c>
      <c r="F9" s="458" t="s">
        <v>82</v>
      </c>
      <c r="G9" s="458"/>
      <c r="H9" s="458" t="s">
        <v>83</v>
      </c>
      <c r="I9" s="458"/>
      <c r="J9" s="458" t="s">
        <v>84</v>
      </c>
      <c r="K9" s="458"/>
      <c r="L9" s="458" t="s">
        <v>1138</v>
      </c>
      <c r="M9" s="458"/>
      <c r="N9" s="459" t="s">
        <v>128</v>
      </c>
      <c r="O9" s="459"/>
      <c r="P9" s="458" t="s">
        <v>129</v>
      </c>
      <c r="Q9" s="458"/>
      <c r="R9" s="458" t="s">
        <v>351</v>
      </c>
      <c r="S9" s="458"/>
      <c r="T9" s="458" t="s">
        <v>130</v>
      </c>
      <c r="U9" s="458"/>
      <c r="V9" s="458" t="s">
        <v>131</v>
      </c>
      <c r="W9" s="458"/>
      <c r="X9" s="458" t="s">
        <v>132</v>
      </c>
    </row>
    <row r="10" spans="2:24">
      <c r="B10" s="345"/>
      <c r="C10" s="345"/>
      <c r="E10" s="382"/>
      <c r="F10" s="458"/>
      <c r="G10" s="458"/>
      <c r="H10" s="458"/>
      <c r="I10" s="458"/>
      <c r="J10" s="458"/>
      <c r="K10" s="458"/>
      <c r="L10" s="458"/>
      <c r="M10" s="458"/>
      <c r="N10" s="459"/>
      <c r="O10" s="459"/>
      <c r="P10" s="458"/>
      <c r="Q10" s="458"/>
      <c r="R10" s="458"/>
      <c r="S10" s="458"/>
      <c r="T10" s="458"/>
      <c r="U10" s="458"/>
      <c r="V10" s="458"/>
      <c r="W10" s="458"/>
      <c r="X10" s="458"/>
    </row>
    <row r="11" spans="2:24">
      <c r="B11" s="370" t="s">
        <v>1136</v>
      </c>
      <c r="C11" s="370"/>
      <c r="E11" s="367" t="str">
        <f>"DCF, "&amp;TEXT(H11,"0.0")&amp;"x 19E FCF"</f>
        <v>DCF, 5.0x 19E FCF</v>
      </c>
      <c r="F11" s="216">
        <f>J11/H11</f>
        <v>2852.4920627239817</v>
      </c>
      <c r="G11" s="178" t="s">
        <v>134</v>
      </c>
      <c r="H11" s="487">
        <v>5.0322036025686119</v>
      </c>
      <c r="I11" s="178" t="s">
        <v>135</v>
      </c>
      <c r="J11" s="484">
        <v>14354.320834337992</v>
      </c>
      <c r="K11" s="178" t="s">
        <v>136</v>
      </c>
      <c r="L11" s="484">
        <v>17296.881952609405</v>
      </c>
      <c r="M11" s="178" t="s">
        <v>135</v>
      </c>
      <c r="N11" s="178">
        <f>J11-L11</f>
        <v>-2942.5611182714129</v>
      </c>
      <c r="O11" s="178" t="s">
        <v>134</v>
      </c>
      <c r="P11" s="490">
        <v>1</v>
      </c>
      <c r="Q11" s="393" t="s">
        <v>135</v>
      </c>
      <c r="R11" s="216">
        <f>P11*N11</f>
        <v>-2942.5611182714129</v>
      </c>
      <c r="S11" s="216"/>
      <c r="T11" s="216">
        <f>N11-R11</f>
        <v>0</v>
      </c>
      <c r="U11" s="216"/>
      <c r="V11" s="394">
        <f>N11/$J$27</f>
        <v>-0.69505084990461541</v>
      </c>
      <c r="W11" s="370"/>
      <c r="X11" s="427">
        <f>$J$35*V11</f>
        <v>-0.13741592039647466</v>
      </c>
    </row>
    <row r="12" spans="2:24">
      <c r="B12" s="370" t="s">
        <v>1137</v>
      </c>
      <c r="C12" s="370"/>
      <c r="E12" s="367" t="s">
        <v>1091</v>
      </c>
      <c r="F12" s="216"/>
      <c r="G12" s="178"/>
      <c r="H12" s="373"/>
      <c r="I12" s="178"/>
      <c r="J12" s="484">
        <v>7608.2228051597504</v>
      </c>
      <c r="K12" s="178" t="s">
        <v>136</v>
      </c>
      <c r="L12" s="484">
        <v>3000</v>
      </c>
      <c r="M12" s="178" t="s">
        <v>135</v>
      </c>
      <c r="N12" s="216">
        <f>J12-L12</f>
        <v>4608.2228051597504</v>
      </c>
      <c r="O12" s="178" t="s">
        <v>134</v>
      </c>
      <c r="P12" s="490">
        <v>0.57999999999999996</v>
      </c>
      <c r="Q12" s="393" t="s">
        <v>135</v>
      </c>
      <c r="R12" s="216">
        <f>P12*N12</f>
        <v>2672.7692269926551</v>
      </c>
      <c r="S12" s="216"/>
      <c r="T12" s="216">
        <f>N12-R12</f>
        <v>1935.4535781670952</v>
      </c>
      <c r="U12" s="216"/>
      <c r="V12" s="394">
        <f>N12/$J$27</f>
        <v>1.0884902805885186</v>
      </c>
      <c r="W12" s="370"/>
      <c r="X12" s="427">
        <f>$J$35*V12</f>
        <v>0.2152013680297134</v>
      </c>
    </row>
    <row r="13" spans="2:24">
      <c r="B13" s="370" t="s">
        <v>572</v>
      </c>
      <c r="C13" s="370"/>
      <c r="E13" s="367" t="s">
        <v>1003</v>
      </c>
      <c r="F13" s="216"/>
      <c r="G13" s="178"/>
      <c r="H13" s="373"/>
      <c r="I13" s="178"/>
      <c r="J13" s="484">
        <v>9215.5795381867192</v>
      </c>
      <c r="K13" s="178" t="s">
        <v>136</v>
      </c>
      <c r="L13" s="484">
        <v>314.04366405095931</v>
      </c>
      <c r="M13" s="178" t="s">
        <v>135</v>
      </c>
      <c r="N13" s="216">
        <f>J13-L13</f>
        <v>8901.5358741357595</v>
      </c>
      <c r="O13" s="178" t="s">
        <v>134</v>
      </c>
      <c r="P13" s="490">
        <v>0.66900000000000004</v>
      </c>
      <c r="Q13" s="393" t="s">
        <v>135</v>
      </c>
      <c r="R13" s="216">
        <f>P13*N13</f>
        <v>5955.127499796823</v>
      </c>
      <c r="S13" s="216"/>
      <c r="T13" s="216">
        <f>N13-R13</f>
        <v>2946.4083743389365</v>
      </c>
      <c r="U13" s="216"/>
      <c r="V13" s="394">
        <f>N13/$J$27</f>
        <v>2.1025969643780944</v>
      </c>
      <c r="W13" s="370"/>
      <c r="X13" s="427">
        <f>$J$35*V13</f>
        <v>0.41569663158098508</v>
      </c>
    </row>
    <row r="14" spans="2:24">
      <c r="B14" s="345" t="s">
        <v>138</v>
      </c>
      <c r="C14" s="370"/>
      <c r="F14" s="210"/>
      <c r="G14" s="196"/>
      <c r="H14" s="372"/>
      <c r="I14" s="376"/>
      <c r="J14" s="398">
        <f>SUM(J11:J13)</f>
        <v>31178.123177684465</v>
      </c>
      <c r="K14" s="375"/>
      <c r="L14" s="398">
        <f>-J18</f>
        <v>20610.925616660363</v>
      </c>
      <c r="M14" s="196"/>
      <c r="N14" s="398">
        <f>SUM(N11:N13)</f>
        <v>10567.197561024097</v>
      </c>
      <c r="P14" s="377"/>
      <c r="Q14" s="378"/>
      <c r="R14" s="398">
        <f>SUM(R11:R13)</f>
        <v>5685.3356085180658</v>
      </c>
      <c r="S14" s="370"/>
      <c r="T14" s="398">
        <f>SUM(T11:T13)</f>
        <v>4881.8619525060312</v>
      </c>
      <c r="U14" s="370"/>
      <c r="V14" s="387">
        <f>N14/$J$27</f>
        <v>2.4960363950619975</v>
      </c>
      <c r="W14" s="370"/>
      <c r="X14" s="428">
        <f>$J$35*V14</f>
        <v>0.49348207921422382</v>
      </c>
    </row>
    <row r="16" spans="2:24">
      <c r="B16" s="345" t="s">
        <v>138</v>
      </c>
      <c r="C16" s="370"/>
    </row>
    <row r="17" spans="2:24">
      <c r="B17" s="382" t="s">
        <v>142</v>
      </c>
      <c r="D17" s="345"/>
      <c r="E17" s="381"/>
      <c r="H17" s="381"/>
      <c r="I17" s="381"/>
      <c r="J17" s="429">
        <f>J14</f>
        <v>31178.123177684465</v>
      </c>
      <c r="R17" s="210"/>
    </row>
    <row r="18" spans="2:24" ht="12.6" thickBot="1">
      <c r="B18" s="383" t="s">
        <v>1536</v>
      </c>
      <c r="J18" s="491">
        <v>-20610.925616660363</v>
      </c>
      <c r="T18" s="460" t="s">
        <v>549</v>
      </c>
      <c r="U18" s="368"/>
      <c r="V18" s="368"/>
      <c r="W18" s="368"/>
      <c r="X18" s="368"/>
    </row>
    <row r="19" spans="2:24" ht="12.6" thickTop="1">
      <c r="B19" s="384" t="s">
        <v>1537</v>
      </c>
      <c r="J19" s="491">
        <v>-4881.8619525060312</v>
      </c>
    </row>
    <row r="20" spans="2:24">
      <c r="B20" s="384" t="s">
        <v>1139</v>
      </c>
      <c r="J20" s="491">
        <v>353.70240000000001</v>
      </c>
      <c r="K20" s="381"/>
    </row>
    <row r="21" spans="2:24">
      <c r="B21" s="384" t="s">
        <v>1140</v>
      </c>
      <c r="D21" s="424"/>
      <c r="J21" s="491">
        <v>-2117.9579466171026</v>
      </c>
      <c r="K21" s="381"/>
    </row>
    <row r="22" spans="2:24">
      <c r="B22" s="384" t="s">
        <v>1538</v>
      </c>
      <c r="D22" s="424"/>
      <c r="J22" s="491">
        <v>-550.12300000000005</v>
      </c>
      <c r="K22" s="381"/>
    </row>
    <row r="23" spans="2:24">
      <c r="B23" s="384" t="s">
        <v>1539</v>
      </c>
      <c r="D23" s="424"/>
      <c r="J23" s="491">
        <v>-480.18600000000004</v>
      </c>
      <c r="K23" s="381"/>
    </row>
    <row r="24" spans="2:24">
      <c r="B24" s="384" t="s">
        <v>1540</v>
      </c>
      <c r="D24" s="370"/>
      <c r="J24" s="491">
        <v>-395.10800000000006</v>
      </c>
    </row>
    <row r="25" spans="2:24">
      <c r="B25" s="384" t="s">
        <v>1541</v>
      </c>
      <c r="D25" s="370"/>
      <c r="J25" s="491">
        <v>1279.7594883173776</v>
      </c>
      <c r="K25" s="381"/>
    </row>
    <row r="26" spans="2:24">
      <c r="B26" s="384" t="s">
        <v>1542</v>
      </c>
      <c r="D26" s="370"/>
      <c r="J26" s="491">
        <v>458.16858728653142</v>
      </c>
      <c r="K26" s="381"/>
    </row>
    <row r="27" spans="2:24">
      <c r="B27" s="382" t="s">
        <v>495</v>
      </c>
      <c r="D27" s="345"/>
      <c r="E27" s="381"/>
      <c r="F27" s="381"/>
      <c r="G27" s="381"/>
      <c r="H27" s="381"/>
      <c r="I27" s="381"/>
      <c r="J27" s="430">
        <f>SUM(J17:J26)</f>
        <v>4233.5911375048781</v>
      </c>
    </row>
    <row r="28" spans="2:24">
      <c r="B28" s="384" t="s">
        <v>99</v>
      </c>
      <c r="D28" s="370"/>
      <c r="J28" s="491">
        <v>15213.524299999997</v>
      </c>
      <c r="K28" s="381"/>
    </row>
    <row r="29" spans="2:24">
      <c r="B29" s="384" t="s">
        <v>100</v>
      </c>
      <c r="D29" s="370"/>
      <c r="E29" s="384"/>
      <c r="J29" s="491">
        <v>6027.7916990000003</v>
      </c>
      <c r="K29" s="381"/>
    </row>
    <row r="30" spans="2:24" ht="12.6" thickBot="1">
      <c r="B30" s="384" t="s">
        <v>244</v>
      </c>
      <c r="D30" s="345"/>
      <c r="E30" s="381"/>
      <c r="F30" s="381"/>
      <c r="G30" s="381"/>
      <c r="H30" s="381"/>
      <c r="I30" s="381"/>
      <c r="J30" s="492">
        <v>1.0285714285714287</v>
      </c>
      <c r="K30" s="381"/>
    </row>
    <row r="31" spans="2:24" ht="12.6" thickBot="1">
      <c r="B31" s="382" t="s">
        <v>242</v>
      </c>
      <c r="D31" s="345"/>
      <c r="E31" s="381"/>
      <c r="H31" s="381"/>
      <c r="I31" s="381"/>
      <c r="J31" s="466">
        <f>J$27/(J$28+J$29*J$30)</f>
        <v>0.19770628352635319</v>
      </c>
      <c r="K31" s="381"/>
    </row>
    <row r="32" spans="2:24" ht="12.6" thickBot="1">
      <c r="B32" s="382" t="s">
        <v>243</v>
      </c>
      <c r="D32" s="345"/>
      <c r="E32" s="381"/>
      <c r="H32" s="381"/>
      <c r="I32" s="381"/>
      <c r="J32" s="466">
        <f>J30*J31</f>
        <v>0.20335503448424902</v>
      </c>
      <c r="K32" s="381"/>
    </row>
    <row r="33" spans="2:24">
      <c r="B33" s="384" t="s">
        <v>1093</v>
      </c>
      <c r="J33" s="485">
        <v>0</v>
      </c>
      <c r="K33" s="381"/>
    </row>
    <row r="34" spans="2:24" ht="12.6" thickBot="1">
      <c r="B34" s="384" t="s">
        <v>1094</v>
      </c>
      <c r="J34" s="485">
        <v>0</v>
      </c>
      <c r="K34" s="381"/>
    </row>
    <row r="35" spans="2:24" ht="12.6" thickBot="1">
      <c r="B35" s="382" t="s">
        <v>212</v>
      </c>
      <c r="D35" s="345"/>
      <c r="E35" s="381"/>
      <c r="H35" s="381"/>
      <c r="I35" s="381"/>
      <c r="J35" s="466">
        <f>J31+J33</f>
        <v>0.19770628352635319</v>
      </c>
      <c r="K35" s="381"/>
    </row>
    <row r="36" spans="2:24" ht="12.6" thickBot="1">
      <c r="B36" s="382" t="s">
        <v>213</v>
      </c>
      <c r="D36" s="345"/>
      <c r="E36" s="381"/>
      <c r="H36" s="381"/>
      <c r="I36" s="381"/>
      <c r="J36" s="466">
        <f>J32+J34</f>
        <v>0.20335503448424902</v>
      </c>
      <c r="K36" s="381"/>
    </row>
    <row r="37" spans="2:24">
      <c r="B37" s="384" t="s">
        <v>245</v>
      </c>
      <c r="D37" s="370"/>
      <c r="J37" s="427">
        <f>Prices!C15</f>
        <v>0.24629999999999999</v>
      </c>
    </row>
    <row r="38" spans="2:24">
      <c r="B38" s="384" t="s">
        <v>246</v>
      </c>
      <c r="D38" s="370"/>
      <c r="J38" s="427">
        <f>Prices!C16</f>
        <v>0.27050000000000002</v>
      </c>
    </row>
    <row r="39" spans="2:24">
      <c r="B39" s="382" t="s">
        <v>3</v>
      </c>
      <c r="D39" s="345"/>
      <c r="E39" s="381"/>
      <c r="F39" s="381"/>
      <c r="G39" s="381"/>
      <c r="H39" s="381"/>
      <c r="I39" s="381"/>
      <c r="J39" s="387">
        <f>J35/J37-1</f>
        <v>-0.19729482936925213</v>
      </c>
    </row>
    <row r="40" spans="2:24" ht="12.6" thickBot="1">
      <c r="B40" s="382" t="s">
        <v>4</v>
      </c>
      <c r="D40" s="345"/>
      <c r="E40" s="381"/>
      <c r="F40" s="381"/>
      <c r="G40" s="381"/>
      <c r="H40" s="381"/>
      <c r="I40" s="381"/>
      <c r="J40" s="387">
        <f>J36/J38-1</f>
        <v>-0.24822538083456924</v>
      </c>
      <c r="K40" s="381"/>
      <c r="T40" s="460" t="s">
        <v>549</v>
      </c>
      <c r="U40" s="460"/>
      <c r="V40" s="460"/>
      <c r="W40" s="460"/>
      <c r="X40" s="460"/>
    </row>
    <row r="41" spans="2:24" ht="12.6" thickTop="1">
      <c r="T41" s="370" t="str">
        <f>B11</f>
        <v>Italy (ex. FiberCop)</v>
      </c>
      <c r="X41" s="394">
        <f>(R11)/($R$14)</f>
        <v>-0.51757034604302243</v>
      </c>
    </row>
    <row r="42" spans="2:24">
      <c r="B42" s="370"/>
      <c r="D42" s="345"/>
      <c r="E42" s="345"/>
      <c r="H42" s="381"/>
      <c r="I42" s="381"/>
      <c r="K42" s="381"/>
      <c r="T42" s="370" t="str">
        <f t="shared" ref="T42:T44" si="0">B12</f>
        <v>FiberCop</v>
      </c>
      <c r="X42" s="394">
        <f t="shared" ref="X42:X44" si="1">(R12)/($R$14)</f>
        <v>0.47011635038539734</v>
      </c>
    </row>
    <row r="43" spans="2:24">
      <c r="D43" s="345"/>
      <c r="E43" s="345"/>
      <c r="F43" s="345"/>
      <c r="G43" s="345"/>
      <c r="H43" s="345"/>
      <c r="I43" s="345"/>
      <c r="K43" s="381"/>
      <c r="T43" s="370" t="str">
        <f t="shared" si="0"/>
        <v>Brazil</v>
      </c>
      <c r="X43" s="394">
        <f t="shared" si="1"/>
        <v>1.047453995657625</v>
      </c>
    </row>
    <row r="44" spans="2:24">
      <c r="D44" s="345"/>
      <c r="E44" s="345"/>
      <c r="F44" s="345"/>
      <c r="G44" s="345"/>
      <c r="H44" s="345"/>
      <c r="I44" s="345"/>
      <c r="T44" s="370" t="str">
        <f t="shared" si="0"/>
        <v>Total</v>
      </c>
      <c r="X44" s="394">
        <f t="shared" si="1"/>
        <v>1</v>
      </c>
    </row>
    <row r="45" spans="2:24">
      <c r="B45" s="367" t="s">
        <v>481</v>
      </c>
      <c r="D45" s="431">
        <f>Prices!F165</f>
        <v>975.97730999999999</v>
      </c>
      <c r="E45" s="345"/>
      <c r="F45" s="345"/>
      <c r="G45" s="345"/>
      <c r="H45" s="345"/>
      <c r="I45" s="345"/>
    </row>
    <row r="46" spans="2:24">
      <c r="B46" s="367" t="s">
        <v>651</v>
      </c>
      <c r="D46" s="386">
        <f>Prices!F160</f>
        <v>5.5873169000000003</v>
      </c>
      <c r="E46" s="345"/>
      <c r="F46" s="345"/>
      <c r="G46" s="345"/>
      <c r="H46" s="345"/>
      <c r="I46" s="345"/>
    </row>
    <row r="47" spans="2:24">
      <c r="B47" s="367" t="s">
        <v>488</v>
      </c>
      <c r="D47" s="386">
        <f>Prices!F182</f>
        <v>966.10517233999997</v>
      </c>
      <c r="E47" s="345"/>
      <c r="F47" s="345"/>
      <c r="G47" s="345"/>
      <c r="H47" s="345"/>
      <c r="I47" s="345"/>
    </row>
    <row r="49" spans="4:24">
      <c r="D49" s="345"/>
      <c r="E49" s="345"/>
      <c r="F49" s="345"/>
      <c r="G49" s="345"/>
      <c r="H49" s="345"/>
      <c r="I49" s="345"/>
    </row>
    <row r="50" spans="4:24">
      <c r="D50" s="345"/>
      <c r="E50" s="381"/>
      <c r="F50" s="381"/>
      <c r="G50" s="381"/>
      <c r="H50" s="381"/>
      <c r="I50" s="381"/>
    </row>
    <row r="51" spans="4:24">
      <c r="D51" s="370"/>
      <c r="E51" s="381"/>
      <c r="F51" s="381"/>
      <c r="G51" s="381"/>
      <c r="H51" s="381"/>
      <c r="I51" s="381"/>
      <c r="S51" s="249"/>
    </row>
    <row r="52" spans="4:24">
      <c r="D52" s="370"/>
      <c r="E52" s="381"/>
      <c r="F52" s="381"/>
      <c r="G52" s="381"/>
      <c r="H52" s="381"/>
      <c r="I52" s="381"/>
      <c r="S52" s="388"/>
    </row>
    <row r="53" spans="4:24">
      <c r="D53" s="370"/>
      <c r="L53" s="249"/>
      <c r="M53" s="249"/>
      <c r="N53" s="249"/>
      <c r="O53" s="249"/>
      <c r="P53" s="249"/>
      <c r="Q53" s="249"/>
      <c r="R53" s="249"/>
    </row>
    <row r="54" spans="4:24">
      <c r="D54" s="345"/>
      <c r="E54" s="381"/>
      <c r="F54" s="381"/>
      <c r="G54" s="381"/>
      <c r="H54" s="381"/>
      <c r="I54" s="381"/>
      <c r="N54" s="388"/>
      <c r="O54" s="388"/>
      <c r="P54" s="388"/>
      <c r="Q54" s="388"/>
      <c r="R54" s="388"/>
      <c r="T54" s="249"/>
      <c r="U54" s="249"/>
      <c r="V54" s="249"/>
      <c r="W54" s="249"/>
      <c r="X54" s="249"/>
    </row>
    <row r="55" spans="4:24">
      <c r="D55" s="370"/>
      <c r="E55" s="381"/>
      <c r="F55" s="381"/>
      <c r="G55" s="381"/>
      <c r="H55" s="381"/>
      <c r="I55" s="381"/>
      <c r="S55" s="249"/>
      <c r="T55" s="388"/>
      <c r="U55" s="388"/>
      <c r="V55" s="388"/>
      <c r="W55" s="388"/>
      <c r="X55" s="388"/>
    </row>
    <row r="56" spans="4:24">
      <c r="D56" s="370"/>
      <c r="E56" s="381"/>
      <c r="F56" s="381"/>
      <c r="G56" s="381"/>
      <c r="H56" s="381"/>
      <c r="I56" s="381"/>
      <c r="S56" s="388"/>
    </row>
    <row r="57" spans="4:24">
      <c r="D57" s="370"/>
      <c r="L57" s="249"/>
      <c r="M57" s="249"/>
      <c r="N57" s="249"/>
      <c r="O57" s="249"/>
      <c r="P57" s="249"/>
      <c r="Q57" s="249"/>
      <c r="R57" s="249"/>
    </row>
    <row r="58" spans="4:24">
      <c r="D58" s="370"/>
      <c r="N58" s="388"/>
      <c r="O58" s="388"/>
      <c r="P58" s="388"/>
      <c r="Q58" s="388"/>
      <c r="R58" s="388"/>
      <c r="S58" s="249"/>
      <c r="T58" s="249"/>
      <c r="U58" s="249"/>
      <c r="V58" s="249"/>
      <c r="W58" s="249"/>
      <c r="X58" s="249"/>
    </row>
    <row r="59" spans="4:24">
      <c r="D59" s="370"/>
      <c r="J59" s="381"/>
      <c r="S59" s="388"/>
      <c r="T59" s="388"/>
      <c r="U59" s="388"/>
      <c r="V59" s="388"/>
      <c r="W59" s="388"/>
      <c r="X59" s="388"/>
    </row>
    <row r="60" spans="4:24">
      <c r="D60" s="370"/>
      <c r="J60" s="381"/>
      <c r="K60" s="381"/>
      <c r="L60" s="249"/>
      <c r="M60" s="249"/>
      <c r="N60" s="249"/>
      <c r="O60" s="249"/>
      <c r="P60" s="249"/>
      <c r="Q60" s="249"/>
      <c r="R60" s="249"/>
    </row>
    <row r="61" spans="4:24">
      <c r="D61" s="370"/>
      <c r="K61" s="381"/>
      <c r="N61" s="388"/>
      <c r="O61" s="388"/>
      <c r="P61" s="388"/>
      <c r="Q61" s="388"/>
      <c r="R61" s="388"/>
      <c r="S61" s="249"/>
      <c r="T61" s="249"/>
      <c r="U61" s="249"/>
      <c r="V61" s="249"/>
      <c r="W61" s="249"/>
      <c r="X61" s="249"/>
    </row>
    <row r="62" spans="4:24">
      <c r="D62" s="370"/>
      <c r="J62" s="381"/>
      <c r="S62" s="388"/>
      <c r="T62" s="388"/>
      <c r="U62" s="388"/>
      <c r="V62" s="388"/>
      <c r="W62" s="388"/>
      <c r="X62" s="388"/>
    </row>
    <row r="63" spans="4:24">
      <c r="D63" s="370"/>
      <c r="J63" s="381"/>
      <c r="K63" s="381"/>
      <c r="L63" s="249"/>
      <c r="M63" s="249"/>
      <c r="N63" s="249"/>
      <c r="O63" s="249"/>
      <c r="P63" s="249"/>
      <c r="Q63" s="249"/>
      <c r="R63" s="249"/>
    </row>
    <row r="64" spans="4:24">
      <c r="D64" s="370"/>
      <c r="J64" s="381"/>
      <c r="K64" s="381"/>
      <c r="N64" s="388"/>
      <c r="O64" s="388"/>
      <c r="P64" s="388"/>
      <c r="Q64" s="388"/>
      <c r="R64" s="388"/>
      <c r="S64" s="249"/>
      <c r="T64" s="249"/>
      <c r="U64" s="249"/>
      <c r="V64" s="249"/>
      <c r="W64" s="249"/>
      <c r="X64" s="249"/>
    </row>
    <row r="65" spans="4:24">
      <c r="D65" s="370"/>
      <c r="K65" s="381"/>
      <c r="S65" s="388"/>
      <c r="T65" s="388"/>
      <c r="U65" s="388"/>
      <c r="V65" s="388"/>
      <c r="W65" s="388"/>
      <c r="X65" s="388"/>
    </row>
    <row r="66" spans="4:24">
      <c r="D66" s="345"/>
      <c r="E66" s="381"/>
      <c r="F66" s="381"/>
      <c r="G66" s="381"/>
      <c r="H66" s="381"/>
      <c r="I66" s="381"/>
      <c r="L66" s="249"/>
      <c r="M66" s="249"/>
      <c r="N66" s="249"/>
      <c r="O66" s="249"/>
      <c r="P66" s="249"/>
      <c r="Q66" s="249"/>
      <c r="R66" s="249"/>
      <c r="S66" s="389"/>
    </row>
    <row r="67" spans="4:24">
      <c r="D67" s="370"/>
      <c r="J67" s="381"/>
      <c r="N67" s="388"/>
      <c r="O67" s="388"/>
      <c r="P67" s="388"/>
      <c r="Q67" s="388"/>
      <c r="R67" s="388"/>
      <c r="S67" s="388"/>
      <c r="T67" s="249"/>
      <c r="U67" s="249"/>
      <c r="V67" s="249"/>
      <c r="W67" s="249"/>
      <c r="X67" s="249"/>
    </row>
    <row r="68" spans="4:24">
      <c r="D68" s="370"/>
      <c r="J68" s="381"/>
      <c r="K68" s="381"/>
      <c r="L68" s="389"/>
      <c r="M68" s="389"/>
      <c r="N68" s="389"/>
      <c r="O68" s="389"/>
      <c r="P68" s="389"/>
      <c r="Q68" s="389"/>
      <c r="R68" s="389"/>
      <c r="T68" s="388"/>
      <c r="U68" s="388"/>
      <c r="V68" s="388"/>
      <c r="W68" s="388"/>
      <c r="X68" s="388"/>
    </row>
    <row r="69" spans="4:24">
      <c r="D69" s="345"/>
      <c r="E69" s="381"/>
      <c r="F69" s="381"/>
      <c r="G69" s="381"/>
      <c r="H69" s="381"/>
      <c r="I69" s="381"/>
      <c r="K69" s="381"/>
      <c r="N69" s="388"/>
      <c r="O69" s="388"/>
      <c r="P69" s="388"/>
      <c r="Q69" s="388"/>
      <c r="R69" s="388"/>
      <c r="S69" s="249"/>
      <c r="T69" s="389"/>
      <c r="U69" s="389"/>
      <c r="V69" s="389"/>
      <c r="W69" s="389"/>
      <c r="X69" s="389"/>
    </row>
    <row r="70" spans="4:24">
      <c r="D70" s="370"/>
      <c r="S70" s="390"/>
      <c r="T70" s="388"/>
      <c r="U70" s="388"/>
      <c r="V70" s="388"/>
      <c r="W70" s="388"/>
      <c r="X70" s="388"/>
    </row>
    <row r="71" spans="4:24">
      <c r="D71" s="345"/>
      <c r="E71" s="381"/>
      <c r="F71" s="381"/>
      <c r="G71" s="381"/>
      <c r="H71" s="381"/>
      <c r="I71" s="381"/>
      <c r="L71" s="249"/>
      <c r="M71" s="249"/>
      <c r="N71" s="249"/>
      <c r="O71" s="249"/>
      <c r="P71" s="249"/>
      <c r="Q71" s="249"/>
      <c r="R71" s="249"/>
      <c r="S71" s="249"/>
    </row>
    <row r="72" spans="4:24">
      <c r="D72" s="370"/>
      <c r="E72" s="381"/>
      <c r="F72" s="381"/>
      <c r="G72" s="381"/>
      <c r="H72" s="381"/>
      <c r="I72" s="381"/>
      <c r="N72" s="388"/>
      <c r="O72" s="388"/>
      <c r="P72" s="390"/>
      <c r="Q72" s="390"/>
      <c r="R72" s="390"/>
      <c r="S72" s="388"/>
      <c r="T72" s="249"/>
      <c r="U72" s="249"/>
      <c r="V72" s="249"/>
      <c r="W72" s="249"/>
      <c r="X72" s="249"/>
    </row>
    <row r="73" spans="4:24">
      <c r="D73" s="370"/>
      <c r="L73" s="249"/>
      <c r="M73" s="249"/>
      <c r="N73" s="249"/>
      <c r="O73" s="249"/>
      <c r="P73" s="249"/>
      <c r="Q73" s="249"/>
      <c r="R73" s="249"/>
      <c r="S73" s="248"/>
      <c r="T73" s="390"/>
      <c r="U73" s="390"/>
      <c r="V73" s="390"/>
      <c r="W73" s="390"/>
      <c r="X73" s="390"/>
    </row>
    <row r="74" spans="4:24">
      <c r="D74" s="370"/>
      <c r="N74" s="388"/>
      <c r="O74" s="388"/>
      <c r="P74" s="388"/>
      <c r="Q74" s="388"/>
      <c r="R74" s="388"/>
      <c r="T74" s="249"/>
      <c r="U74" s="249"/>
      <c r="V74" s="249"/>
      <c r="W74" s="249"/>
      <c r="X74" s="249"/>
    </row>
    <row r="75" spans="4:24">
      <c r="D75" s="345"/>
      <c r="E75" s="381"/>
      <c r="F75" s="381"/>
      <c r="G75" s="381"/>
      <c r="H75" s="381"/>
      <c r="I75" s="381"/>
      <c r="L75" s="248"/>
      <c r="M75" s="248"/>
      <c r="N75" s="248"/>
      <c r="O75" s="248"/>
      <c r="P75" s="248"/>
      <c r="Q75" s="248"/>
      <c r="R75" s="248"/>
      <c r="S75" s="247"/>
      <c r="T75" s="388"/>
      <c r="U75" s="388"/>
      <c r="V75" s="388"/>
      <c r="W75" s="388"/>
      <c r="X75" s="388"/>
    </row>
    <row r="76" spans="4:24">
      <c r="D76" s="370"/>
      <c r="E76" s="381"/>
      <c r="F76" s="381"/>
      <c r="G76" s="381"/>
      <c r="H76" s="381"/>
      <c r="I76" s="381"/>
      <c r="S76" s="388"/>
      <c r="T76" s="248"/>
      <c r="U76" s="248"/>
      <c r="V76" s="248"/>
      <c r="W76" s="248"/>
      <c r="X76" s="248"/>
    </row>
    <row r="77" spans="4:24">
      <c r="D77" s="370"/>
      <c r="L77" s="247"/>
      <c r="M77" s="247"/>
      <c r="N77" s="247"/>
      <c r="O77" s="247"/>
      <c r="P77" s="247"/>
      <c r="Q77" s="247"/>
      <c r="R77" s="247"/>
    </row>
    <row r="78" spans="4:24">
      <c r="D78" s="345"/>
      <c r="E78" s="381"/>
      <c r="F78" s="381"/>
      <c r="G78" s="381"/>
      <c r="H78" s="381"/>
      <c r="I78" s="381"/>
      <c r="N78" s="388"/>
      <c r="O78" s="388"/>
      <c r="P78" s="388"/>
      <c r="Q78" s="388"/>
      <c r="R78" s="388"/>
      <c r="S78" s="389"/>
      <c r="T78" s="247"/>
      <c r="U78" s="247"/>
      <c r="V78" s="247"/>
      <c r="W78" s="247"/>
      <c r="X78" s="247"/>
    </row>
    <row r="79" spans="4:24">
      <c r="D79" s="370"/>
      <c r="J79" s="381"/>
      <c r="S79" s="388"/>
      <c r="T79" s="388"/>
      <c r="U79" s="388"/>
      <c r="V79" s="388"/>
      <c r="W79" s="388"/>
      <c r="X79" s="388"/>
    </row>
    <row r="80" spans="4:24">
      <c r="D80" s="370"/>
      <c r="J80" s="381"/>
      <c r="K80" s="381"/>
      <c r="L80" s="389"/>
      <c r="M80" s="389"/>
      <c r="N80" s="389"/>
      <c r="O80" s="389"/>
      <c r="P80" s="389"/>
      <c r="Q80" s="389"/>
      <c r="R80" s="389"/>
    </row>
    <row r="81" spans="4:24">
      <c r="D81" s="345"/>
      <c r="E81" s="381"/>
      <c r="F81" s="381"/>
      <c r="G81" s="381"/>
      <c r="H81" s="381"/>
      <c r="I81" s="381"/>
      <c r="K81" s="381"/>
      <c r="N81" s="388"/>
      <c r="O81" s="388"/>
      <c r="P81" s="388"/>
      <c r="Q81" s="388"/>
      <c r="R81" s="388"/>
      <c r="S81" s="391"/>
      <c r="T81" s="389"/>
      <c r="U81" s="389"/>
      <c r="V81" s="389"/>
      <c r="W81" s="389"/>
      <c r="X81" s="389"/>
    </row>
    <row r="82" spans="4:24">
      <c r="D82" s="370"/>
      <c r="S82" s="388"/>
      <c r="T82" s="388"/>
      <c r="U82" s="388"/>
      <c r="V82" s="388"/>
      <c r="W82" s="388"/>
      <c r="X82" s="388"/>
    </row>
    <row r="83" spans="4:24">
      <c r="D83" s="370"/>
      <c r="J83" s="381"/>
      <c r="L83" s="391"/>
      <c r="M83" s="391"/>
      <c r="N83" s="391"/>
      <c r="O83" s="391"/>
      <c r="P83" s="391"/>
      <c r="Q83" s="391"/>
      <c r="R83" s="391"/>
      <c r="S83" s="248"/>
    </row>
    <row r="84" spans="4:24">
      <c r="D84" s="370"/>
      <c r="J84" s="381"/>
      <c r="K84" s="381"/>
      <c r="N84" s="388"/>
      <c r="O84" s="388"/>
      <c r="P84" s="388"/>
      <c r="Q84" s="388"/>
      <c r="R84" s="388"/>
      <c r="T84" s="391"/>
      <c r="U84" s="391"/>
      <c r="V84" s="391"/>
      <c r="W84" s="391"/>
      <c r="X84" s="391"/>
    </row>
    <row r="85" spans="4:24">
      <c r="D85" s="345"/>
      <c r="E85" s="381"/>
      <c r="F85" s="381"/>
      <c r="G85" s="381"/>
      <c r="H85" s="381"/>
      <c r="I85" s="381"/>
      <c r="K85" s="381"/>
      <c r="N85" s="248"/>
      <c r="O85" s="248"/>
      <c r="P85" s="248"/>
      <c r="Q85" s="248"/>
      <c r="R85" s="248"/>
      <c r="S85" s="247"/>
      <c r="T85" s="388"/>
      <c r="U85" s="388"/>
      <c r="V85" s="388"/>
      <c r="W85" s="388"/>
      <c r="X85" s="388"/>
    </row>
    <row r="86" spans="4:24">
      <c r="D86" s="370"/>
      <c r="S86" s="388"/>
      <c r="T86" s="248"/>
      <c r="U86" s="248"/>
      <c r="V86" s="248"/>
      <c r="W86" s="248"/>
      <c r="X86" s="248"/>
    </row>
    <row r="87" spans="4:24">
      <c r="D87" s="370"/>
      <c r="E87" s="345"/>
      <c r="F87" s="345"/>
      <c r="G87" s="345"/>
      <c r="H87" s="345"/>
      <c r="I87" s="345"/>
      <c r="J87" s="381"/>
      <c r="L87" s="247"/>
      <c r="M87" s="247"/>
      <c r="N87" s="247"/>
      <c r="O87" s="247"/>
      <c r="P87" s="247"/>
      <c r="Q87" s="247"/>
      <c r="R87" s="247"/>
      <c r="S87" s="274"/>
    </row>
    <row r="88" spans="4:24">
      <c r="D88" s="370"/>
      <c r="E88" s="345"/>
      <c r="F88" s="345"/>
      <c r="G88" s="345"/>
      <c r="H88" s="345"/>
      <c r="I88" s="345"/>
      <c r="K88" s="381"/>
      <c r="N88" s="388"/>
      <c r="O88" s="388"/>
      <c r="P88" s="388"/>
      <c r="Q88" s="388"/>
      <c r="R88" s="388"/>
      <c r="T88" s="247"/>
      <c r="U88" s="247"/>
      <c r="V88" s="247"/>
      <c r="W88" s="247"/>
      <c r="X88" s="247"/>
    </row>
    <row r="89" spans="4:24">
      <c r="D89" s="370"/>
      <c r="L89" s="274"/>
      <c r="M89" s="274"/>
      <c r="N89" s="274"/>
      <c r="O89" s="274"/>
      <c r="P89" s="274"/>
      <c r="Q89" s="274"/>
      <c r="R89" s="274"/>
      <c r="S89" s="389"/>
      <c r="T89" s="388"/>
      <c r="U89" s="388"/>
      <c r="V89" s="388"/>
      <c r="W89" s="388"/>
      <c r="X89" s="388"/>
    </row>
    <row r="90" spans="4:24">
      <c r="D90" s="370"/>
      <c r="S90" s="388"/>
      <c r="T90" s="274"/>
      <c r="U90" s="274"/>
      <c r="V90" s="274"/>
      <c r="W90" s="274"/>
      <c r="X90" s="274"/>
    </row>
    <row r="91" spans="4:24">
      <c r="D91" s="370"/>
      <c r="L91" s="389"/>
      <c r="M91" s="389"/>
      <c r="N91" s="389"/>
      <c r="O91" s="389"/>
      <c r="P91" s="389"/>
      <c r="Q91" s="389"/>
      <c r="R91" s="389"/>
    </row>
    <row r="92" spans="4:24">
      <c r="D92" s="345"/>
      <c r="E92" s="381"/>
      <c r="F92" s="381"/>
      <c r="G92" s="381"/>
      <c r="H92" s="381"/>
      <c r="I92" s="381"/>
      <c r="N92" s="388"/>
      <c r="O92" s="388"/>
      <c r="P92" s="388"/>
      <c r="Q92" s="388"/>
      <c r="R92" s="388"/>
      <c r="T92" s="389"/>
      <c r="U92" s="389"/>
      <c r="V92" s="389"/>
      <c r="W92" s="389"/>
      <c r="X92" s="389"/>
    </row>
    <row r="93" spans="4:24">
      <c r="D93" s="345"/>
      <c r="E93" s="381"/>
      <c r="F93" s="381"/>
      <c r="G93" s="381"/>
      <c r="H93" s="381"/>
      <c r="I93" s="381"/>
      <c r="S93" s="249"/>
      <c r="T93" s="388"/>
      <c r="U93" s="388"/>
      <c r="V93" s="388"/>
      <c r="W93" s="388"/>
      <c r="X93" s="388"/>
    </row>
    <row r="94" spans="4:24">
      <c r="D94" s="370"/>
      <c r="E94" s="381"/>
      <c r="F94" s="381"/>
      <c r="G94" s="381"/>
      <c r="H94" s="381"/>
      <c r="I94" s="381"/>
      <c r="S94" s="388"/>
    </row>
    <row r="95" spans="4:24">
      <c r="D95" s="370"/>
      <c r="E95" s="381"/>
      <c r="F95" s="381"/>
      <c r="G95" s="381"/>
      <c r="H95" s="381"/>
      <c r="I95" s="381"/>
      <c r="L95" s="249"/>
      <c r="M95" s="249"/>
      <c r="N95" s="249"/>
      <c r="O95" s="249"/>
      <c r="P95" s="249"/>
      <c r="Q95" s="249"/>
      <c r="R95" s="249"/>
    </row>
    <row r="96" spans="4:24">
      <c r="D96" s="370"/>
      <c r="N96" s="388"/>
      <c r="O96" s="388"/>
      <c r="P96" s="388"/>
      <c r="Q96" s="388"/>
      <c r="R96" s="388"/>
      <c r="S96" s="249"/>
      <c r="T96" s="249"/>
      <c r="U96" s="249"/>
      <c r="V96" s="249"/>
      <c r="W96" s="249"/>
      <c r="X96" s="249"/>
    </row>
    <row r="97" spans="4:24">
      <c r="D97" s="345"/>
      <c r="E97" s="381"/>
      <c r="F97" s="381"/>
      <c r="G97" s="381"/>
      <c r="H97" s="381"/>
      <c r="I97" s="381"/>
      <c r="S97" s="390"/>
      <c r="T97" s="388"/>
      <c r="U97" s="388"/>
      <c r="V97" s="388"/>
      <c r="W97" s="388"/>
      <c r="X97" s="388"/>
    </row>
    <row r="98" spans="4:24">
      <c r="D98" s="370"/>
      <c r="E98" s="381"/>
      <c r="F98" s="381"/>
      <c r="G98" s="381"/>
      <c r="H98" s="381"/>
      <c r="I98" s="381"/>
      <c r="L98" s="249"/>
      <c r="M98" s="249"/>
      <c r="N98" s="249"/>
      <c r="O98" s="249"/>
      <c r="P98" s="249"/>
      <c r="Q98" s="249"/>
      <c r="R98" s="249"/>
    </row>
    <row r="99" spans="4:24">
      <c r="D99" s="370"/>
      <c r="E99" s="381"/>
      <c r="F99" s="381"/>
      <c r="G99" s="381"/>
      <c r="H99" s="381"/>
      <c r="I99" s="381"/>
      <c r="N99" s="388"/>
      <c r="O99" s="388"/>
      <c r="P99" s="390"/>
      <c r="Q99" s="390"/>
      <c r="R99" s="390"/>
      <c r="S99" s="389"/>
      <c r="T99" s="249"/>
      <c r="U99" s="249"/>
      <c r="V99" s="249"/>
      <c r="W99" s="249"/>
      <c r="X99" s="249"/>
    </row>
    <row r="100" spans="4:24">
      <c r="D100" s="370"/>
      <c r="S100" s="392"/>
      <c r="T100" s="390"/>
      <c r="U100" s="390"/>
      <c r="V100" s="390"/>
      <c r="W100" s="390"/>
      <c r="X100" s="390"/>
    </row>
    <row r="101" spans="4:24">
      <c r="D101" s="370"/>
      <c r="L101" s="389"/>
      <c r="M101" s="389"/>
      <c r="N101" s="389"/>
      <c r="O101" s="389"/>
      <c r="P101" s="389"/>
      <c r="Q101" s="389"/>
      <c r="R101" s="389"/>
      <c r="S101" s="392"/>
    </row>
    <row r="102" spans="4:24">
      <c r="D102" s="370"/>
      <c r="J102" s="381"/>
      <c r="N102" s="392"/>
      <c r="O102" s="392"/>
      <c r="P102" s="392"/>
      <c r="Q102" s="392"/>
      <c r="R102" s="392"/>
      <c r="T102" s="389"/>
      <c r="U102" s="389"/>
      <c r="V102" s="389"/>
      <c r="W102" s="389"/>
      <c r="X102" s="389"/>
    </row>
    <row r="103" spans="4:24">
      <c r="D103" s="370"/>
      <c r="J103" s="381"/>
      <c r="K103" s="381"/>
      <c r="L103" s="392"/>
      <c r="M103" s="392"/>
      <c r="N103" s="392"/>
      <c r="O103" s="392"/>
      <c r="P103" s="392"/>
      <c r="Q103" s="392"/>
      <c r="R103" s="392"/>
      <c r="S103" s="388"/>
      <c r="T103" s="392"/>
      <c r="U103" s="392"/>
      <c r="V103" s="392"/>
      <c r="W103" s="392"/>
      <c r="X103" s="392"/>
    </row>
    <row r="104" spans="4:24">
      <c r="D104" s="370"/>
      <c r="K104" s="381"/>
      <c r="S104" s="389"/>
      <c r="T104" s="392"/>
      <c r="U104" s="392"/>
      <c r="V104" s="392"/>
      <c r="W104" s="392"/>
      <c r="X104" s="392"/>
    </row>
    <row r="105" spans="4:24">
      <c r="D105" s="370"/>
      <c r="J105" s="381"/>
      <c r="L105" s="388"/>
      <c r="M105" s="388"/>
      <c r="N105" s="388"/>
      <c r="O105" s="388"/>
      <c r="P105" s="388"/>
      <c r="Q105" s="388"/>
      <c r="R105" s="388"/>
      <c r="S105" s="392"/>
    </row>
    <row r="106" spans="4:24">
      <c r="D106" s="370"/>
      <c r="J106" s="381"/>
      <c r="K106" s="381"/>
      <c r="L106" s="389"/>
      <c r="M106" s="389"/>
      <c r="N106" s="389"/>
      <c r="O106" s="389"/>
      <c r="P106" s="389"/>
      <c r="Q106" s="389"/>
      <c r="R106" s="389"/>
      <c r="T106" s="388"/>
      <c r="U106" s="388"/>
      <c r="V106" s="388"/>
      <c r="W106" s="388"/>
      <c r="X106" s="388"/>
    </row>
    <row r="107" spans="4:24">
      <c r="D107" s="370"/>
      <c r="J107" s="381"/>
      <c r="K107" s="381"/>
      <c r="R107" s="392"/>
      <c r="S107" s="389"/>
      <c r="T107" s="389"/>
      <c r="U107" s="389"/>
      <c r="V107" s="389"/>
      <c r="W107" s="389"/>
      <c r="X107" s="389"/>
    </row>
    <row r="108" spans="4:24">
      <c r="D108" s="370"/>
      <c r="K108" s="381"/>
      <c r="S108" s="392"/>
      <c r="T108" s="392"/>
      <c r="U108" s="392"/>
      <c r="V108" s="392"/>
      <c r="W108" s="392"/>
      <c r="X108" s="392"/>
    </row>
    <row r="109" spans="4:24">
      <c r="D109" s="345"/>
      <c r="E109" s="381"/>
      <c r="F109" s="381"/>
      <c r="G109" s="381"/>
      <c r="H109" s="381"/>
      <c r="I109" s="381"/>
      <c r="L109" s="389"/>
      <c r="M109" s="389"/>
      <c r="N109" s="389"/>
      <c r="O109" s="389"/>
      <c r="P109" s="389"/>
      <c r="Q109" s="389"/>
      <c r="R109" s="389"/>
    </row>
    <row r="110" spans="4:24">
      <c r="D110" s="370"/>
      <c r="J110" s="381"/>
      <c r="N110" s="392"/>
      <c r="O110" s="392"/>
      <c r="P110" s="392"/>
      <c r="Q110" s="392"/>
      <c r="R110" s="392"/>
      <c r="T110" s="389"/>
      <c r="U110" s="389"/>
      <c r="V110" s="389"/>
      <c r="W110" s="389"/>
      <c r="X110" s="389"/>
    </row>
    <row r="111" spans="4:24">
      <c r="D111" s="370"/>
      <c r="J111" s="381"/>
      <c r="K111" s="381"/>
      <c r="T111" s="392"/>
      <c r="U111" s="392"/>
      <c r="V111" s="392"/>
      <c r="W111" s="392"/>
      <c r="X111" s="392"/>
    </row>
    <row r="112" spans="4:24">
      <c r="D112" s="345"/>
      <c r="E112" s="381"/>
      <c r="F112" s="381"/>
      <c r="G112" s="381"/>
      <c r="H112" s="381"/>
      <c r="I112" s="381"/>
      <c r="K112" s="381"/>
    </row>
    <row r="113" spans="4:11">
      <c r="D113" s="370"/>
    </row>
    <row r="114" spans="4:11">
      <c r="D114" s="345"/>
      <c r="E114" s="381"/>
      <c r="F114" s="381"/>
      <c r="G114" s="381"/>
      <c r="H114" s="381"/>
      <c r="I114" s="381"/>
    </row>
    <row r="115" spans="4:11">
      <c r="D115" s="370"/>
      <c r="E115" s="381"/>
      <c r="F115" s="381"/>
      <c r="G115" s="381"/>
      <c r="H115" s="381"/>
      <c r="I115" s="381"/>
    </row>
    <row r="116" spans="4:11">
      <c r="D116" s="370"/>
    </row>
    <row r="117" spans="4:11">
      <c r="D117" s="370"/>
    </row>
    <row r="118" spans="4:11">
      <c r="D118" s="345"/>
      <c r="E118" s="381"/>
      <c r="F118" s="381"/>
      <c r="G118" s="381"/>
      <c r="H118" s="381"/>
      <c r="I118" s="381"/>
    </row>
    <row r="119" spans="4:11">
      <c r="D119" s="370"/>
      <c r="E119" s="381"/>
      <c r="F119" s="381"/>
      <c r="G119" s="381"/>
      <c r="H119" s="381"/>
      <c r="I119" s="381"/>
    </row>
    <row r="120" spans="4:11">
      <c r="D120" s="370"/>
    </row>
    <row r="121" spans="4:11">
      <c r="D121" s="345"/>
      <c r="E121" s="381"/>
      <c r="F121" s="381"/>
      <c r="G121" s="381"/>
      <c r="H121" s="381"/>
      <c r="I121" s="381"/>
    </row>
    <row r="122" spans="4:11">
      <c r="D122" s="370"/>
      <c r="J122" s="381"/>
    </row>
    <row r="123" spans="4:11">
      <c r="D123" s="370"/>
      <c r="J123" s="381"/>
      <c r="K123" s="381"/>
    </row>
    <row r="124" spans="4:11">
      <c r="D124" s="345"/>
      <c r="E124" s="381"/>
      <c r="F124" s="381"/>
      <c r="G124" s="381"/>
      <c r="H124" s="381"/>
      <c r="I124" s="381"/>
      <c r="K124" s="381"/>
    </row>
    <row r="125" spans="4:11">
      <c r="D125" s="370"/>
    </row>
    <row r="126" spans="4:11">
      <c r="D126" s="370"/>
      <c r="J126" s="381"/>
    </row>
    <row r="127" spans="4:11">
      <c r="D127" s="370"/>
      <c r="J127" s="381"/>
      <c r="K127" s="381"/>
    </row>
    <row r="128" spans="4:11">
      <c r="D128" s="345"/>
      <c r="E128" s="381"/>
      <c r="F128" s="381"/>
      <c r="G128" s="381"/>
      <c r="H128" s="381"/>
      <c r="I128" s="381"/>
      <c r="K128" s="381"/>
    </row>
    <row r="129" spans="4:11">
      <c r="D129" s="370"/>
    </row>
    <row r="130" spans="4:11">
      <c r="D130" s="370"/>
      <c r="E130" s="345"/>
      <c r="F130" s="345"/>
      <c r="G130" s="345"/>
      <c r="H130" s="345"/>
      <c r="I130" s="345"/>
      <c r="J130" s="381"/>
    </row>
    <row r="131" spans="4:11">
      <c r="D131" s="370"/>
      <c r="E131" s="345"/>
      <c r="F131" s="345"/>
      <c r="G131" s="345"/>
      <c r="H131" s="345"/>
      <c r="I131" s="345"/>
      <c r="K131" s="381"/>
    </row>
    <row r="132" spans="4:11">
      <c r="D132" s="370"/>
    </row>
    <row r="133" spans="4:11">
      <c r="D133" s="370"/>
    </row>
    <row r="135" spans="4:11">
      <c r="D135" s="345"/>
      <c r="E135" s="381"/>
      <c r="F135" s="381"/>
      <c r="G135" s="381"/>
      <c r="H135" s="381"/>
      <c r="I135" s="381"/>
    </row>
    <row r="136" spans="4:11">
      <c r="D136" s="345"/>
      <c r="E136" s="381"/>
      <c r="F136" s="381"/>
      <c r="G136" s="381"/>
      <c r="H136" s="381"/>
      <c r="I136" s="381"/>
    </row>
    <row r="137" spans="4:11">
      <c r="D137" s="370"/>
      <c r="E137" s="381"/>
      <c r="F137" s="381"/>
      <c r="G137" s="381"/>
      <c r="H137" s="381"/>
      <c r="I137" s="381"/>
    </row>
    <row r="138" spans="4:11">
      <c r="D138" s="370"/>
      <c r="E138" s="381"/>
      <c r="F138" s="381"/>
      <c r="G138" s="381"/>
      <c r="H138" s="381"/>
      <c r="I138" s="381"/>
    </row>
    <row r="139" spans="4:11">
      <c r="D139" s="370"/>
    </row>
    <row r="140" spans="4:11">
      <c r="D140" s="345"/>
      <c r="E140" s="381"/>
      <c r="F140" s="381"/>
      <c r="G140" s="381"/>
      <c r="H140" s="381"/>
      <c r="I140" s="381"/>
    </row>
    <row r="141" spans="4:11">
      <c r="D141" s="370"/>
      <c r="E141" s="381"/>
      <c r="F141" s="381"/>
      <c r="G141" s="381"/>
      <c r="H141" s="381"/>
      <c r="I141" s="381"/>
    </row>
    <row r="142" spans="4:11">
      <c r="D142" s="370"/>
      <c r="E142" s="381"/>
      <c r="F142" s="381"/>
      <c r="G142" s="381"/>
      <c r="H142" s="381"/>
      <c r="I142" s="381"/>
    </row>
    <row r="143" spans="4:11">
      <c r="D143" s="370"/>
    </row>
    <row r="144" spans="4:11">
      <c r="D144" s="370"/>
    </row>
    <row r="145" spans="4:11">
      <c r="D145" s="370"/>
      <c r="J145" s="381"/>
    </row>
    <row r="146" spans="4:11">
      <c r="D146" s="370"/>
      <c r="J146" s="381"/>
      <c r="K146" s="381"/>
    </row>
    <row r="147" spans="4:11">
      <c r="D147" s="370"/>
      <c r="K147" s="381"/>
    </row>
    <row r="148" spans="4:11">
      <c r="D148" s="370"/>
      <c r="J148" s="381"/>
    </row>
    <row r="149" spans="4:11">
      <c r="D149" s="370"/>
      <c r="J149" s="381"/>
      <c r="K149" s="381"/>
    </row>
    <row r="150" spans="4:11">
      <c r="D150" s="370"/>
      <c r="J150" s="381"/>
      <c r="K150" s="381"/>
    </row>
    <row r="151" spans="4:11">
      <c r="D151" s="370"/>
      <c r="K151" s="381"/>
    </row>
    <row r="152" spans="4:11">
      <c r="D152" s="345"/>
      <c r="E152" s="381"/>
      <c r="F152" s="381"/>
      <c r="G152" s="381"/>
      <c r="H152" s="381"/>
      <c r="I152" s="381"/>
    </row>
    <row r="153" spans="4:11">
      <c r="D153" s="370"/>
      <c r="J153" s="381"/>
    </row>
    <row r="154" spans="4:11">
      <c r="D154" s="370"/>
      <c r="J154" s="381"/>
      <c r="K154" s="381"/>
    </row>
    <row r="155" spans="4:11">
      <c r="D155" s="345"/>
      <c r="E155" s="381"/>
      <c r="F155" s="381"/>
      <c r="G155" s="381"/>
      <c r="H155" s="381"/>
      <c r="I155" s="381"/>
      <c r="K155" s="381"/>
    </row>
    <row r="156" spans="4:11">
      <c r="D156" s="370"/>
    </row>
    <row r="157" spans="4:11">
      <c r="D157" s="345"/>
      <c r="E157" s="381"/>
      <c r="F157" s="381"/>
      <c r="G157" s="381"/>
      <c r="H157" s="381"/>
      <c r="I157" s="381"/>
    </row>
    <row r="158" spans="4:11">
      <c r="D158" s="370"/>
      <c r="E158" s="381"/>
      <c r="F158" s="381"/>
      <c r="G158" s="381"/>
      <c r="H158" s="381"/>
      <c r="I158" s="381"/>
    </row>
    <row r="159" spans="4:11">
      <c r="D159" s="370"/>
    </row>
    <row r="160" spans="4:11">
      <c r="D160" s="370"/>
    </row>
    <row r="161" spans="4:11">
      <c r="D161" s="345"/>
      <c r="E161" s="381"/>
      <c r="F161" s="381"/>
      <c r="G161" s="381"/>
      <c r="H161" s="381"/>
      <c r="I161" s="381"/>
    </row>
    <row r="162" spans="4:11">
      <c r="D162" s="370"/>
      <c r="E162" s="381"/>
      <c r="F162" s="381"/>
      <c r="G162" s="381"/>
      <c r="H162" s="381"/>
      <c r="I162" s="381"/>
    </row>
    <row r="163" spans="4:11">
      <c r="D163" s="370"/>
    </row>
    <row r="164" spans="4:11">
      <c r="D164" s="345"/>
      <c r="E164" s="381"/>
      <c r="F164" s="381"/>
      <c r="G164" s="381"/>
      <c r="H164" s="381"/>
      <c r="I164" s="381"/>
    </row>
    <row r="165" spans="4:11">
      <c r="D165" s="370"/>
      <c r="J165" s="381"/>
    </row>
    <row r="166" spans="4:11">
      <c r="D166" s="370"/>
      <c r="J166" s="381"/>
      <c r="K166" s="381"/>
    </row>
    <row r="167" spans="4:11">
      <c r="D167" s="345"/>
      <c r="E167" s="381"/>
      <c r="F167" s="381"/>
      <c r="G167" s="381"/>
      <c r="H167" s="381"/>
      <c r="I167" s="381"/>
      <c r="K167" s="381"/>
    </row>
    <row r="168" spans="4:11">
      <c r="D168" s="370"/>
    </row>
    <row r="169" spans="4:11">
      <c r="D169" s="370"/>
      <c r="J169" s="381"/>
    </row>
    <row r="170" spans="4:11">
      <c r="D170" s="370"/>
      <c r="J170" s="381"/>
      <c r="K170" s="381"/>
    </row>
    <row r="171" spans="4:11">
      <c r="D171" s="345"/>
      <c r="E171" s="381"/>
      <c r="F171" s="381"/>
      <c r="G171" s="381"/>
      <c r="H171" s="381"/>
      <c r="I171" s="381"/>
      <c r="K171" s="381"/>
    </row>
    <row r="172" spans="4:11">
      <c r="D172" s="370"/>
    </row>
    <row r="173" spans="4:11">
      <c r="D173" s="370"/>
      <c r="E173" s="345"/>
      <c r="F173" s="345"/>
      <c r="G173" s="345"/>
      <c r="H173" s="345"/>
      <c r="I173" s="345"/>
      <c r="J173" s="381"/>
    </row>
    <row r="174" spans="4:11">
      <c r="D174" s="370"/>
      <c r="E174" s="345"/>
      <c r="F174" s="345"/>
      <c r="G174" s="345"/>
      <c r="H174" s="345"/>
      <c r="I174" s="345"/>
      <c r="K174" s="381"/>
    </row>
    <row r="175" spans="4:11">
      <c r="D175" s="370"/>
    </row>
    <row r="176" spans="4:11">
      <c r="D176" s="370"/>
    </row>
    <row r="177" spans="4:11">
      <c r="D177" s="370"/>
    </row>
    <row r="178" spans="4:11">
      <c r="D178" s="345"/>
      <c r="E178" s="381"/>
      <c r="F178" s="381"/>
      <c r="G178" s="381"/>
      <c r="H178" s="381"/>
      <c r="I178" s="381"/>
    </row>
    <row r="179" spans="4:11">
      <c r="D179" s="345"/>
      <c r="E179" s="381"/>
      <c r="F179" s="381"/>
      <c r="G179" s="381"/>
      <c r="H179" s="381"/>
      <c r="I179" s="381"/>
    </row>
    <row r="180" spans="4:11">
      <c r="D180" s="370"/>
      <c r="E180" s="381"/>
      <c r="F180" s="381"/>
      <c r="G180" s="381"/>
      <c r="H180" s="381"/>
      <c r="I180" s="381"/>
    </row>
    <row r="181" spans="4:11">
      <c r="D181" s="370"/>
      <c r="E181" s="381"/>
      <c r="F181" s="381"/>
      <c r="G181" s="381"/>
      <c r="H181" s="381"/>
      <c r="I181" s="381"/>
    </row>
    <row r="182" spans="4:11">
      <c r="D182" s="370"/>
    </row>
    <row r="183" spans="4:11">
      <c r="D183" s="345"/>
      <c r="E183" s="381"/>
      <c r="F183" s="381"/>
      <c r="G183" s="381"/>
      <c r="H183" s="381"/>
      <c r="I183" s="381"/>
    </row>
    <row r="184" spans="4:11">
      <c r="D184" s="370"/>
      <c r="E184" s="381"/>
      <c r="F184" s="381"/>
      <c r="G184" s="381"/>
      <c r="H184" s="381"/>
      <c r="I184" s="381"/>
    </row>
    <row r="185" spans="4:11">
      <c r="D185" s="370"/>
      <c r="E185" s="381"/>
      <c r="F185" s="381"/>
      <c r="G185" s="381"/>
      <c r="H185" s="381"/>
      <c r="I185" s="381"/>
    </row>
    <row r="186" spans="4:11">
      <c r="D186" s="370"/>
    </row>
    <row r="187" spans="4:11">
      <c r="D187" s="370"/>
    </row>
    <row r="188" spans="4:11">
      <c r="D188" s="370"/>
      <c r="J188" s="381"/>
    </row>
    <row r="189" spans="4:11">
      <c r="D189" s="370"/>
      <c r="J189" s="381"/>
      <c r="K189" s="381"/>
    </row>
    <row r="190" spans="4:11">
      <c r="D190" s="370"/>
      <c r="K190" s="381"/>
    </row>
    <row r="191" spans="4:11">
      <c r="D191" s="370"/>
      <c r="J191" s="381"/>
    </row>
    <row r="192" spans="4:11">
      <c r="D192" s="370"/>
      <c r="J192" s="381"/>
      <c r="K192" s="381"/>
    </row>
    <row r="193" spans="4:11">
      <c r="D193" s="370"/>
      <c r="J193" s="381"/>
      <c r="K193" s="381"/>
    </row>
    <row r="194" spans="4:11">
      <c r="D194" s="370"/>
      <c r="K194" s="381"/>
    </row>
    <row r="195" spans="4:11">
      <c r="D195" s="345"/>
      <c r="E195" s="381"/>
      <c r="F195" s="381"/>
      <c r="G195" s="381"/>
      <c r="H195" s="381"/>
      <c r="I195" s="381"/>
    </row>
    <row r="196" spans="4:11">
      <c r="D196" s="370"/>
      <c r="J196" s="381"/>
    </row>
    <row r="197" spans="4:11">
      <c r="D197" s="370"/>
      <c r="J197" s="381"/>
      <c r="K197" s="381"/>
    </row>
    <row r="198" spans="4:11">
      <c r="D198" s="345"/>
      <c r="E198" s="381"/>
      <c r="F198" s="381"/>
      <c r="G198" s="381"/>
      <c r="H198" s="381"/>
      <c r="I198" s="381"/>
      <c r="K198" s="381"/>
    </row>
    <row r="199" spans="4:11">
      <c r="D199" s="370"/>
    </row>
    <row r="200" spans="4:11">
      <c r="D200" s="345"/>
      <c r="E200" s="381"/>
      <c r="F200" s="381"/>
      <c r="G200" s="381"/>
      <c r="H200" s="381"/>
      <c r="I200" s="381"/>
    </row>
    <row r="201" spans="4:11">
      <c r="D201" s="370"/>
      <c r="E201" s="381"/>
      <c r="F201" s="381"/>
      <c r="G201" s="381"/>
      <c r="H201" s="381"/>
      <c r="I201" s="381"/>
    </row>
    <row r="202" spans="4:11">
      <c r="D202" s="370"/>
    </row>
    <row r="203" spans="4:11">
      <c r="D203" s="370"/>
    </row>
    <row r="204" spans="4:11">
      <c r="D204" s="345"/>
      <c r="E204" s="381"/>
      <c r="F204" s="381"/>
      <c r="G204" s="381"/>
      <c r="H204" s="381"/>
      <c r="I204" s="381"/>
    </row>
    <row r="205" spans="4:11">
      <c r="D205" s="370"/>
      <c r="E205" s="381"/>
      <c r="F205" s="381"/>
      <c r="G205" s="381"/>
      <c r="H205" s="381"/>
      <c r="I205" s="381"/>
    </row>
    <row r="206" spans="4:11">
      <c r="D206" s="370"/>
    </row>
    <row r="207" spans="4:11">
      <c r="D207" s="345"/>
      <c r="E207" s="381"/>
      <c r="F207" s="381"/>
      <c r="G207" s="381"/>
      <c r="H207" s="381"/>
      <c r="I207" s="381"/>
    </row>
    <row r="208" spans="4:11">
      <c r="D208" s="370"/>
      <c r="J208" s="381"/>
    </row>
    <row r="209" spans="4:11">
      <c r="D209" s="370"/>
      <c r="J209" s="381"/>
      <c r="K209" s="381"/>
    </row>
    <row r="210" spans="4:11">
      <c r="D210" s="345"/>
      <c r="E210" s="381"/>
      <c r="F210" s="381"/>
      <c r="G210" s="381"/>
      <c r="H210" s="381"/>
      <c r="I210" s="381"/>
      <c r="K210" s="381"/>
    </row>
    <row r="211" spans="4:11">
      <c r="D211" s="370"/>
    </row>
    <row r="212" spans="4:11">
      <c r="D212" s="370"/>
      <c r="J212" s="381"/>
    </row>
    <row r="213" spans="4:11">
      <c r="D213" s="370"/>
      <c r="J213" s="381"/>
      <c r="K213" s="381"/>
    </row>
    <row r="214" spans="4:11">
      <c r="D214" s="345"/>
      <c r="E214" s="381"/>
      <c r="F214" s="381"/>
      <c r="G214" s="381"/>
      <c r="H214" s="381"/>
      <c r="I214" s="381"/>
      <c r="K214" s="381"/>
    </row>
    <row r="215" spans="4:11">
      <c r="D215" s="370"/>
    </row>
    <row r="216" spans="4:11">
      <c r="D216" s="370"/>
      <c r="E216" s="345"/>
      <c r="F216" s="345"/>
      <c r="G216" s="345"/>
      <c r="H216" s="345"/>
      <c r="I216" s="345"/>
      <c r="J216" s="381"/>
    </row>
    <row r="217" spans="4:11">
      <c r="D217" s="370"/>
      <c r="E217" s="345"/>
      <c r="F217" s="345"/>
      <c r="G217" s="345"/>
      <c r="H217" s="345"/>
      <c r="I217" s="345"/>
      <c r="K217" s="381"/>
    </row>
    <row r="218" spans="4:11">
      <c r="D218" s="370"/>
    </row>
    <row r="219" spans="4:11">
      <c r="D219" s="370"/>
    </row>
    <row r="220" spans="4:11">
      <c r="D220" s="370"/>
    </row>
    <row r="221" spans="4:11">
      <c r="D221" s="345"/>
      <c r="E221" s="381"/>
      <c r="F221" s="381"/>
      <c r="G221" s="381"/>
      <c r="H221" s="381"/>
      <c r="I221" s="381"/>
    </row>
    <row r="222" spans="4:11">
      <c r="D222" s="345"/>
      <c r="E222" s="381"/>
      <c r="F222" s="381"/>
      <c r="G222" s="381"/>
      <c r="H222" s="381"/>
      <c r="I222" s="381"/>
    </row>
    <row r="223" spans="4:11">
      <c r="D223" s="370"/>
      <c r="E223" s="381"/>
      <c r="F223" s="381"/>
      <c r="G223" s="381"/>
      <c r="H223" s="381"/>
      <c r="I223" s="381"/>
    </row>
    <row r="224" spans="4:11">
      <c r="D224" s="370"/>
      <c r="E224" s="381"/>
      <c r="F224" s="381"/>
      <c r="G224" s="381"/>
      <c r="H224" s="381"/>
      <c r="I224" s="381"/>
    </row>
    <row r="225" spans="4:11">
      <c r="D225" s="370"/>
    </row>
    <row r="226" spans="4:11">
      <c r="D226" s="345"/>
      <c r="E226" s="381"/>
      <c r="F226" s="381"/>
      <c r="G226" s="381"/>
      <c r="H226" s="381"/>
      <c r="I226" s="381"/>
    </row>
    <row r="227" spans="4:11">
      <c r="D227" s="370"/>
      <c r="E227" s="381"/>
      <c r="F227" s="381"/>
      <c r="G227" s="381"/>
      <c r="H227" s="381"/>
      <c r="I227" s="381"/>
    </row>
    <row r="228" spans="4:11">
      <c r="D228" s="370"/>
      <c r="E228" s="381"/>
      <c r="F228" s="381"/>
      <c r="G228" s="381"/>
      <c r="H228" s="381"/>
      <c r="I228" s="381"/>
    </row>
    <row r="229" spans="4:11">
      <c r="D229" s="370"/>
    </row>
    <row r="230" spans="4:11">
      <c r="D230" s="370"/>
    </row>
    <row r="231" spans="4:11">
      <c r="D231" s="370"/>
      <c r="J231" s="381"/>
    </row>
    <row r="232" spans="4:11">
      <c r="D232" s="370"/>
      <c r="J232" s="381"/>
      <c r="K232" s="381"/>
    </row>
    <row r="233" spans="4:11">
      <c r="D233" s="370"/>
      <c r="K233" s="381"/>
    </row>
    <row r="234" spans="4:11">
      <c r="D234" s="370"/>
      <c r="J234" s="381"/>
    </row>
    <row r="235" spans="4:11">
      <c r="D235" s="370"/>
      <c r="J235" s="381"/>
      <c r="K235" s="381"/>
    </row>
    <row r="236" spans="4:11">
      <c r="D236" s="370"/>
      <c r="J236" s="381"/>
      <c r="K236" s="381"/>
    </row>
    <row r="237" spans="4:11">
      <c r="D237" s="370"/>
      <c r="K237" s="381"/>
    </row>
    <row r="238" spans="4:11">
      <c r="D238" s="345"/>
      <c r="E238" s="381"/>
      <c r="F238" s="381"/>
      <c r="G238" s="381"/>
      <c r="H238" s="381"/>
      <c r="I238" s="381"/>
    </row>
    <row r="239" spans="4:11">
      <c r="D239" s="370"/>
      <c r="J239" s="381"/>
    </row>
    <row r="240" spans="4:11">
      <c r="D240" s="370"/>
      <c r="J240" s="381"/>
      <c r="K240" s="381"/>
    </row>
    <row r="241" spans="4:11">
      <c r="D241" s="345"/>
      <c r="E241" s="381"/>
      <c r="F241" s="381"/>
      <c r="G241" s="381"/>
      <c r="H241" s="381"/>
      <c r="I241" s="381"/>
      <c r="K241" s="381"/>
    </row>
    <row r="242" spans="4:11">
      <c r="D242" s="370"/>
    </row>
    <row r="243" spans="4:11">
      <c r="D243" s="345"/>
      <c r="E243" s="381"/>
      <c r="F243" s="381"/>
      <c r="G243" s="381"/>
      <c r="H243" s="381"/>
      <c r="I243" s="381"/>
    </row>
    <row r="244" spans="4:11">
      <c r="D244" s="370"/>
      <c r="E244" s="381"/>
      <c r="F244" s="381"/>
      <c r="G244" s="381"/>
      <c r="H244" s="381"/>
      <c r="I244" s="381"/>
    </row>
    <row r="245" spans="4:11">
      <c r="D245" s="370"/>
    </row>
    <row r="246" spans="4:11">
      <c r="D246" s="370"/>
    </row>
    <row r="247" spans="4:11">
      <c r="D247" s="345"/>
      <c r="E247" s="381"/>
      <c r="F247" s="381"/>
      <c r="G247" s="381"/>
      <c r="H247" s="381"/>
      <c r="I247" s="381"/>
    </row>
    <row r="248" spans="4:11">
      <c r="D248" s="370"/>
      <c r="E248" s="381"/>
      <c r="F248" s="381"/>
      <c r="G248" s="381"/>
      <c r="H248" s="381"/>
      <c r="I248" s="381"/>
    </row>
    <row r="249" spans="4:11">
      <c r="D249" s="370"/>
    </row>
    <row r="250" spans="4:11">
      <c r="D250" s="345"/>
      <c r="E250" s="381"/>
      <c r="F250" s="381"/>
      <c r="G250" s="381"/>
      <c r="H250" s="381"/>
      <c r="I250" s="381"/>
    </row>
    <row r="251" spans="4:11">
      <c r="D251" s="370"/>
      <c r="J251" s="381"/>
    </row>
    <row r="252" spans="4:11">
      <c r="D252" s="370"/>
      <c r="J252" s="381"/>
      <c r="K252" s="381"/>
    </row>
    <row r="253" spans="4:11">
      <c r="D253" s="345"/>
      <c r="E253" s="381"/>
      <c r="F253" s="381"/>
      <c r="G253" s="381"/>
      <c r="H253" s="381"/>
      <c r="I253" s="381"/>
      <c r="K253" s="381"/>
    </row>
    <row r="254" spans="4:11">
      <c r="D254" s="370"/>
    </row>
    <row r="255" spans="4:11">
      <c r="D255" s="370"/>
      <c r="J255" s="381"/>
    </row>
    <row r="256" spans="4:11">
      <c r="D256" s="370"/>
      <c r="J256" s="381"/>
      <c r="K256" s="381"/>
    </row>
    <row r="257" spans="4:11">
      <c r="D257" s="345"/>
      <c r="E257" s="381"/>
      <c r="F257" s="381"/>
      <c r="G257" s="381"/>
      <c r="H257" s="381"/>
      <c r="I257" s="381"/>
      <c r="K257" s="381"/>
    </row>
    <row r="258" spans="4:11">
      <c r="D258" s="370"/>
    </row>
    <row r="259" spans="4:11">
      <c r="D259" s="370"/>
      <c r="E259" s="345"/>
      <c r="F259" s="345"/>
      <c r="G259" s="345"/>
      <c r="H259" s="345"/>
      <c r="I259" s="345"/>
      <c r="J259" s="381"/>
    </row>
    <row r="260" spans="4:11">
      <c r="D260" s="370"/>
      <c r="E260" s="345"/>
      <c r="F260" s="345"/>
      <c r="G260" s="345"/>
      <c r="H260" s="345"/>
      <c r="I260" s="345"/>
      <c r="K260" s="381"/>
    </row>
    <row r="261" spans="4:11">
      <c r="D261" s="370"/>
    </row>
    <row r="262" spans="4:11">
      <c r="D262" s="370"/>
    </row>
    <row r="263" spans="4:11">
      <c r="D263" s="370"/>
    </row>
    <row r="264" spans="4:11">
      <c r="D264" s="370"/>
    </row>
    <row r="265" spans="4:11">
      <c r="D265" s="370"/>
    </row>
    <row r="266" spans="4:11">
      <c r="D266" s="370"/>
    </row>
    <row r="267" spans="4:11">
      <c r="D267" s="370"/>
    </row>
    <row r="268" spans="4:11">
      <c r="D268" s="370"/>
    </row>
    <row r="269" spans="4:11">
      <c r="D269" s="370"/>
    </row>
    <row r="270" spans="4:11">
      <c r="D270" s="370"/>
    </row>
    <row r="271" spans="4:11">
      <c r="D271" s="370"/>
    </row>
    <row r="272" spans="4:11">
      <c r="D272" s="370"/>
    </row>
    <row r="273" spans="4:4">
      <c r="D273" s="370"/>
    </row>
    <row r="274" spans="4:4">
      <c r="D274" s="370"/>
    </row>
    <row r="275" spans="4:4">
      <c r="D275" s="370"/>
    </row>
    <row r="276" spans="4:4">
      <c r="D276" s="370"/>
    </row>
    <row r="277" spans="4:4">
      <c r="D277" s="370"/>
    </row>
    <row r="278" spans="4:4">
      <c r="D278" s="370"/>
    </row>
    <row r="279" spans="4:4">
      <c r="D279" s="370"/>
    </row>
    <row r="280" spans="4:4">
      <c r="D280" s="370"/>
    </row>
    <row r="281" spans="4:4">
      <c r="D281" s="370"/>
    </row>
    <row r="282" spans="4:4">
      <c r="D282" s="370"/>
    </row>
    <row r="283" spans="4:4">
      <c r="D283" s="370"/>
    </row>
    <row r="284" spans="4:4">
      <c r="D284" s="370"/>
    </row>
    <row r="285" spans="4:4">
      <c r="D285" s="370"/>
    </row>
    <row r="286" spans="4:4">
      <c r="D286" s="370"/>
    </row>
    <row r="287" spans="4:4">
      <c r="D287" s="370"/>
    </row>
    <row r="288" spans="4:4">
      <c r="D288" s="370"/>
    </row>
    <row r="289" spans="4:4">
      <c r="D289" s="370"/>
    </row>
    <row r="290" spans="4:4">
      <c r="D290" s="370"/>
    </row>
    <row r="291" spans="4:4">
      <c r="D291" s="370"/>
    </row>
    <row r="292" spans="4:4">
      <c r="D292" s="370"/>
    </row>
    <row r="293" spans="4:4">
      <c r="D293" s="370"/>
    </row>
    <row r="294" spans="4:4">
      <c r="D294" s="370"/>
    </row>
    <row r="295" spans="4:4">
      <c r="D295" s="370"/>
    </row>
    <row r="296" spans="4:4">
      <c r="D296" s="370"/>
    </row>
    <row r="297" spans="4:4">
      <c r="D297" s="370"/>
    </row>
    <row r="298" spans="4:4">
      <c r="D298" s="370"/>
    </row>
    <row r="299" spans="4:4">
      <c r="D299" s="370"/>
    </row>
    <row r="300" spans="4:4">
      <c r="D300" s="370"/>
    </row>
    <row r="301" spans="4:4">
      <c r="D301" s="370"/>
    </row>
    <row r="302" spans="4:4">
      <c r="D302" s="370"/>
    </row>
    <row r="303" spans="4:4">
      <c r="D303" s="370"/>
    </row>
    <row r="304" spans="4:4">
      <c r="D304" s="370"/>
    </row>
    <row r="305" spans="4:4">
      <c r="D305" s="370"/>
    </row>
    <row r="306" spans="4:4">
      <c r="D306" s="370"/>
    </row>
    <row r="307" spans="4:4">
      <c r="D307" s="370"/>
    </row>
    <row r="308" spans="4:4">
      <c r="D308" s="370"/>
    </row>
    <row r="309" spans="4:4">
      <c r="D309" s="370"/>
    </row>
    <row r="310" spans="4:4">
      <c r="D310" s="370"/>
    </row>
    <row r="311" spans="4:4">
      <c r="D311" s="370"/>
    </row>
    <row r="312" spans="4:4">
      <c r="D312" s="370"/>
    </row>
    <row r="313" spans="4:4">
      <c r="D313" s="370"/>
    </row>
    <row r="314" spans="4:4">
      <c r="D314" s="370"/>
    </row>
    <row r="315" spans="4:4">
      <c r="D315" s="370"/>
    </row>
    <row r="316" spans="4:4">
      <c r="D316" s="370"/>
    </row>
    <row r="317" spans="4:4">
      <c r="D317" s="370"/>
    </row>
    <row r="318" spans="4:4">
      <c r="D318" s="370"/>
    </row>
    <row r="319" spans="4:4">
      <c r="D319" s="370"/>
    </row>
    <row r="320" spans="4:4">
      <c r="D320" s="370"/>
    </row>
    <row r="321" spans="4:4">
      <c r="D321" s="370"/>
    </row>
    <row r="322" spans="4:4">
      <c r="D322" s="370"/>
    </row>
    <row r="323" spans="4:4">
      <c r="D323" s="370"/>
    </row>
    <row r="324" spans="4:4">
      <c r="D324" s="370"/>
    </row>
    <row r="325" spans="4:4">
      <c r="D325" s="370"/>
    </row>
    <row r="326" spans="4:4">
      <c r="D326" s="370"/>
    </row>
    <row r="327" spans="4:4">
      <c r="D327" s="370"/>
    </row>
    <row r="328" spans="4:4">
      <c r="D328" s="370"/>
    </row>
    <row r="329" spans="4:4">
      <c r="D329" s="370"/>
    </row>
    <row r="330" spans="4:4">
      <c r="D330" s="370"/>
    </row>
    <row r="331" spans="4:4">
      <c r="D331" s="370"/>
    </row>
    <row r="332" spans="4:4">
      <c r="D332" s="370"/>
    </row>
    <row r="333" spans="4:4">
      <c r="D333" s="370"/>
    </row>
    <row r="334" spans="4:4">
      <c r="D334" s="370"/>
    </row>
    <row r="335" spans="4:4">
      <c r="D335" s="370"/>
    </row>
    <row r="336" spans="4:4">
      <c r="D336" s="370"/>
    </row>
    <row r="337" spans="4:4">
      <c r="D337" s="370"/>
    </row>
    <row r="338" spans="4:4">
      <c r="D338" s="370"/>
    </row>
    <row r="339" spans="4:4">
      <c r="D339" s="370"/>
    </row>
    <row r="340" spans="4:4">
      <c r="D340" s="370"/>
    </row>
    <row r="341" spans="4:4">
      <c r="D341" s="370"/>
    </row>
    <row r="342" spans="4:4">
      <c r="D342" s="370"/>
    </row>
    <row r="343" spans="4:4">
      <c r="D343" s="370"/>
    </row>
    <row r="344" spans="4:4">
      <c r="D344" s="370"/>
    </row>
    <row r="345" spans="4:4">
      <c r="D345" s="370"/>
    </row>
    <row r="346" spans="4:4">
      <c r="D346" s="370"/>
    </row>
    <row r="347" spans="4:4">
      <c r="D347" s="370"/>
    </row>
    <row r="348" spans="4:4">
      <c r="D348" s="370"/>
    </row>
    <row r="349" spans="4:4">
      <c r="D349" s="370"/>
    </row>
    <row r="350" spans="4:4">
      <c r="D350" s="370"/>
    </row>
    <row r="351" spans="4:4">
      <c r="D351" s="370"/>
    </row>
    <row r="352" spans="4:4">
      <c r="D352" s="370"/>
    </row>
    <row r="353" spans="4:4">
      <c r="D353" s="370"/>
    </row>
    <row r="354" spans="4:4">
      <c r="D354" s="370"/>
    </row>
    <row r="355" spans="4:4">
      <c r="D355" s="370"/>
    </row>
    <row r="356" spans="4:4">
      <c r="D356" s="370"/>
    </row>
    <row r="357" spans="4:4">
      <c r="D357" s="370"/>
    </row>
    <row r="358" spans="4:4">
      <c r="D358" s="370"/>
    </row>
    <row r="359" spans="4:4">
      <c r="D359" s="370"/>
    </row>
    <row r="360" spans="4:4">
      <c r="D360" s="370"/>
    </row>
    <row r="361" spans="4:4">
      <c r="D361" s="370"/>
    </row>
    <row r="362" spans="4:4">
      <c r="D362" s="370"/>
    </row>
    <row r="363" spans="4:4">
      <c r="D363" s="370"/>
    </row>
    <row r="364" spans="4:4">
      <c r="D364" s="370"/>
    </row>
    <row r="365" spans="4:4">
      <c r="D365" s="370"/>
    </row>
    <row r="366" spans="4:4">
      <c r="D366" s="370"/>
    </row>
    <row r="367" spans="4:4">
      <c r="D367" s="370"/>
    </row>
    <row r="368" spans="4:4">
      <c r="D368" s="370"/>
    </row>
    <row r="369" spans="4:4">
      <c r="D369" s="370"/>
    </row>
    <row r="370" spans="4:4">
      <c r="D370" s="370"/>
    </row>
    <row r="371" spans="4:4">
      <c r="D371" s="370"/>
    </row>
    <row r="372" spans="4:4">
      <c r="D372" s="370"/>
    </row>
    <row r="373" spans="4:4">
      <c r="D373" s="370"/>
    </row>
    <row r="374" spans="4:4">
      <c r="D374" s="370"/>
    </row>
    <row r="375" spans="4:4">
      <c r="D375" s="370"/>
    </row>
    <row r="376" spans="4:4">
      <c r="D376" s="370"/>
    </row>
    <row r="377" spans="4:4">
      <c r="D377" s="370"/>
    </row>
    <row r="378" spans="4:4">
      <c r="D378" s="370"/>
    </row>
    <row r="379" spans="4:4">
      <c r="D379" s="370"/>
    </row>
    <row r="380" spans="4:4">
      <c r="D380" s="370"/>
    </row>
    <row r="381" spans="4:4">
      <c r="D381" s="370"/>
    </row>
    <row r="382" spans="4:4">
      <c r="D382" s="370"/>
    </row>
    <row r="383" spans="4:4">
      <c r="D383" s="370"/>
    </row>
    <row r="384" spans="4:4">
      <c r="D384" s="370"/>
    </row>
    <row r="385" spans="4:4">
      <c r="D385" s="370"/>
    </row>
    <row r="386" spans="4:4">
      <c r="D386" s="370"/>
    </row>
    <row r="387" spans="4:4">
      <c r="D387" s="370"/>
    </row>
    <row r="388" spans="4:4">
      <c r="D388" s="370"/>
    </row>
    <row r="389" spans="4:4">
      <c r="D389" s="370"/>
    </row>
    <row r="390" spans="4:4">
      <c r="D390" s="370"/>
    </row>
    <row r="391" spans="4:4">
      <c r="D391" s="370"/>
    </row>
    <row r="392" spans="4:4">
      <c r="D392" s="370"/>
    </row>
    <row r="393" spans="4:4">
      <c r="D393" s="370"/>
    </row>
    <row r="394" spans="4:4">
      <c r="D394" s="370"/>
    </row>
    <row r="395" spans="4:4">
      <c r="D395" s="370"/>
    </row>
    <row r="396" spans="4:4">
      <c r="D396" s="370"/>
    </row>
    <row r="397" spans="4:4">
      <c r="D397" s="370"/>
    </row>
    <row r="398" spans="4:4">
      <c r="D398" s="370"/>
    </row>
    <row r="399" spans="4:4">
      <c r="D399" s="370"/>
    </row>
    <row r="400" spans="4:4">
      <c r="D400" s="370"/>
    </row>
    <row r="401" spans="4:4">
      <c r="D401" s="370"/>
    </row>
    <row r="402" spans="4:4">
      <c r="D402" s="370"/>
    </row>
    <row r="403" spans="4:4">
      <c r="D403" s="370"/>
    </row>
    <row r="404" spans="4:4">
      <c r="D404" s="370"/>
    </row>
    <row r="405" spans="4:4">
      <c r="D405" s="370"/>
    </row>
    <row r="406" spans="4:4">
      <c r="D406" s="370"/>
    </row>
    <row r="407" spans="4:4">
      <c r="D407" s="370"/>
    </row>
    <row r="408" spans="4:4">
      <c r="D408" s="370"/>
    </row>
    <row r="409" spans="4:4">
      <c r="D409" s="370"/>
    </row>
    <row r="410" spans="4:4">
      <c r="D410" s="370"/>
    </row>
    <row r="411" spans="4:4">
      <c r="D411" s="370"/>
    </row>
    <row r="412" spans="4:4">
      <c r="D412" s="370"/>
    </row>
    <row r="413" spans="4:4">
      <c r="D413" s="370"/>
    </row>
    <row r="414" spans="4:4">
      <c r="D414" s="370"/>
    </row>
    <row r="415" spans="4:4">
      <c r="D415" s="370"/>
    </row>
    <row r="416" spans="4:4">
      <c r="D416" s="370"/>
    </row>
    <row r="417" spans="4:4">
      <c r="D417" s="370"/>
    </row>
    <row r="418" spans="4:4">
      <c r="D418" s="370"/>
    </row>
    <row r="419" spans="4:4">
      <c r="D419" s="370"/>
    </row>
    <row r="420" spans="4:4">
      <c r="D420" s="370"/>
    </row>
    <row r="421" spans="4:4">
      <c r="D421" s="370"/>
    </row>
    <row r="422" spans="4:4">
      <c r="D422" s="370"/>
    </row>
    <row r="423" spans="4:4">
      <c r="D423" s="370"/>
    </row>
    <row r="424" spans="4:4">
      <c r="D424" s="370"/>
    </row>
    <row r="425" spans="4:4">
      <c r="D425" s="370"/>
    </row>
    <row r="426" spans="4:4">
      <c r="D426" s="370"/>
    </row>
    <row r="427" spans="4:4">
      <c r="D427" s="370"/>
    </row>
    <row r="428" spans="4:4">
      <c r="D428" s="370"/>
    </row>
    <row r="429" spans="4:4">
      <c r="D429" s="370"/>
    </row>
    <row r="430" spans="4:4">
      <c r="D430" s="370"/>
    </row>
    <row r="431" spans="4:4">
      <c r="D431" s="370"/>
    </row>
    <row r="432" spans="4:4">
      <c r="D432" s="370"/>
    </row>
    <row r="433" spans="4:4">
      <c r="D433" s="370"/>
    </row>
    <row r="434" spans="4:4">
      <c r="D434" s="370"/>
    </row>
    <row r="435" spans="4:4">
      <c r="D435" s="370"/>
    </row>
    <row r="436" spans="4:4">
      <c r="D436" s="370"/>
    </row>
    <row r="437" spans="4:4">
      <c r="D437" s="370"/>
    </row>
    <row r="438" spans="4:4">
      <c r="D438" s="370"/>
    </row>
    <row r="439" spans="4:4">
      <c r="D439" s="370"/>
    </row>
    <row r="440" spans="4:4">
      <c r="D440" s="370"/>
    </row>
    <row r="441" spans="4:4">
      <c r="D441" s="370"/>
    </row>
    <row r="442" spans="4:4">
      <c r="D442" s="370"/>
    </row>
    <row r="443" spans="4:4">
      <c r="D443" s="370"/>
    </row>
    <row r="444" spans="4:4">
      <c r="D444" s="370"/>
    </row>
    <row r="445" spans="4:4">
      <c r="D445" s="370"/>
    </row>
    <row r="446" spans="4:4">
      <c r="D446" s="370"/>
    </row>
    <row r="447" spans="4:4">
      <c r="D447" s="370"/>
    </row>
    <row r="448" spans="4:4">
      <c r="D448" s="370"/>
    </row>
    <row r="449" spans="4:4">
      <c r="D449" s="370"/>
    </row>
  </sheetData>
  <phoneticPr fontId="26" type="noConversion"/>
  <pageMargins left="0.75" right="0.75" top="1" bottom="1" header="0.5" footer="0.5"/>
  <pageSetup scale="46" orientation="landscape" r:id="rId1"/>
  <headerFooter alignWithMargins="0"/>
  <drawing r:id="rId2"/>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300-000000000000}">
  <sheetPr codeName="Sheet47">
    <pageSetUpPr fitToPage="1"/>
  </sheetPr>
  <dimension ref="B1:X474"/>
  <sheetViews>
    <sheetView showGridLines="0" topLeftCell="A21" zoomScale="80" zoomScaleNormal="80" workbookViewId="0">
      <selection activeCell="J46" sqref="J46"/>
    </sheetView>
  </sheetViews>
  <sheetFormatPr defaultColWidth="9.109375" defaultRowHeight="12"/>
  <cols>
    <col min="1" max="1" width="2.33203125" style="367" customWidth="1"/>
    <col min="2" max="4" width="10" style="367" customWidth="1"/>
    <col min="5" max="5" width="19" style="367" customWidth="1"/>
    <col min="6" max="6" width="10" style="367" customWidth="1"/>
    <col min="7" max="7" width="2.33203125" style="367" customWidth="1"/>
    <col min="8" max="8" width="10" style="367" customWidth="1"/>
    <col min="9" max="9" width="2.109375" style="367" customWidth="1"/>
    <col min="10" max="10" width="10" style="367" customWidth="1"/>
    <col min="11" max="11" width="2.109375" style="367" customWidth="1"/>
    <col min="12" max="12" width="10" style="367" customWidth="1"/>
    <col min="13" max="13" width="2.109375" style="367" customWidth="1"/>
    <col min="14" max="14" width="10" style="367" customWidth="1"/>
    <col min="15" max="15" width="2.109375" style="367" customWidth="1"/>
    <col min="16" max="16" width="10" style="367" customWidth="1"/>
    <col min="17" max="17" width="2.109375" style="367" customWidth="1"/>
    <col min="18" max="18" width="10" style="367" customWidth="1"/>
    <col min="19" max="19" width="2.109375" style="367" customWidth="1"/>
    <col min="20" max="20" width="9.88671875" style="367" customWidth="1"/>
    <col min="21" max="21" width="2.109375" style="367" customWidth="1"/>
    <col min="22" max="22" width="10" style="367" customWidth="1"/>
    <col min="23" max="23" width="2.109375" style="367" customWidth="1"/>
    <col min="24" max="24" width="10" style="367" customWidth="1"/>
    <col min="25" max="16384" width="9.109375" style="367"/>
  </cols>
  <sheetData>
    <row r="1" spans="2:24" s="472" customFormat="1">
      <c r="E1" s="150"/>
    </row>
    <row r="2" spans="2:24" s="472" customFormat="1">
      <c r="E2" s="150"/>
    </row>
    <row r="3" spans="2:24" s="472" customFormat="1"/>
    <row r="4" spans="2:24" s="477" customFormat="1" ht="21">
      <c r="B4" s="129" t="s">
        <v>1472</v>
      </c>
      <c r="C4" s="129"/>
    </row>
    <row r="5" spans="2:24" s="472" customFormat="1">
      <c r="D5" s="132"/>
      <c r="E5" s="132"/>
      <c r="F5" s="132"/>
      <c r="G5" s="132"/>
      <c r="H5" s="132"/>
      <c r="I5" s="132"/>
      <c r="L5" s="473"/>
      <c r="M5" s="473"/>
      <c r="N5" s="473"/>
      <c r="O5" s="473"/>
      <c r="P5" s="473"/>
      <c r="Q5" s="473"/>
      <c r="R5" s="473"/>
      <c r="S5" s="473"/>
      <c r="T5" s="473"/>
      <c r="U5" s="473"/>
      <c r="V5" s="473"/>
      <c r="W5" s="473"/>
      <c r="X5" s="473"/>
    </row>
    <row r="6" spans="2:24">
      <c r="B6" s="456"/>
      <c r="C6" s="456"/>
      <c r="D6" s="456"/>
      <c r="E6" s="456"/>
      <c r="F6" s="456"/>
      <c r="G6" s="456"/>
      <c r="H6" s="456"/>
      <c r="I6" s="456"/>
      <c r="L6" s="440"/>
      <c r="M6" s="440"/>
      <c r="N6" s="440"/>
      <c r="O6" s="440"/>
      <c r="P6" s="440"/>
      <c r="Q6" s="440"/>
      <c r="R6" s="440"/>
      <c r="S6" s="440"/>
      <c r="T6" s="440"/>
      <c r="U6" s="440"/>
      <c r="V6" s="440"/>
      <c r="W6" s="440"/>
      <c r="X6" s="440"/>
    </row>
    <row r="7" spans="2:24" ht="12.6" thickBot="1">
      <c r="B7" s="306" t="s">
        <v>216</v>
      </c>
      <c r="C7" s="306"/>
      <c r="D7" s="368"/>
      <c r="E7" s="457"/>
      <c r="F7" s="457"/>
      <c r="G7" s="457"/>
      <c r="H7" s="457"/>
      <c r="I7" s="457"/>
      <c r="J7" s="368"/>
      <c r="K7" s="368"/>
      <c r="L7" s="368"/>
      <c r="M7" s="368"/>
      <c r="N7" s="368"/>
      <c r="O7" s="368"/>
      <c r="P7" s="368"/>
      <c r="Q7" s="368"/>
      <c r="R7" s="368"/>
      <c r="S7" s="368"/>
      <c r="T7" s="368"/>
      <c r="U7" s="368"/>
      <c r="V7" s="368"/>
      <c r="W7" s="368"/>
      <c r="X7" s="368"/>
    </row>
    <row r="8" spans="2:24" ht="12.6" thickTop="1">
      <c r="B8" s="345"/>
      <c r="C8" s="345"/>
      <c r="E8" s="345"/>
      <c r="F8" s="345"/>
      <c r="G8" s="345"/>
      <c r="H8" s="345"/>
      <c r="I8" s="345"/>
    </row>
    <row r="9" spans="2:24">
      <c r="D9" s="345"/>
      <c r="E9" s="382" t="s">
        <v>81</v>
      </c>
      <c r="F9" s="458" t="s">
        <v>82</v>
      </c>
      <c r="G9" s="458"/>
      <c r="H9" s="458" t="s">
        <v>83</v>
      </c>
      <c r="I9" s="458"/>
      <c r="J9" s="458" t="s">
        <v>84</v>
      </c>
      <c r="K9" s="458"/>
      <c r="L9" s="458" t="s">
        <v>85</v>
      </c>
      <c r="M9" s="458"/>
      <c r="N9" s="459" t="s">
        <v>128</v>
      </c>
      <c r="O9" s="459"/>
      <c r="P9" s="458" t="s">
        <v>129</v>
      </c>
      <c r="Q9" s="458"/>
      <c r="R9" s="458" t="s">
        <v>217</v>
      </c>
      <c r="S9" s="458"/>
      <c r="T9" s="458" t="s">
        <v>130</v>
      </c>
      <c r="U9" s="458"/>
      <c r="V9" s="458" t="s">
        <v>131</v>
      </c>
      <c r="W9" s="458"/>
      <c r="X9" s="458" t="s">
        <v>132</v>
      </c>
    </row>
    <row r="10" spans="2:24">
      <c r="B10" s="370" t="s">
        <v>220</v>
      </c>
      <c r="C10" s="370"/>
      <c r="E10" s="367" t="str">
        <f>"DCF, "&amp;TEXT(H10,"0.0")&amp;"x 22E FCF"</f>
        <v>DCF, 18.4x 22E FCF</v>
      </c>
      <c r="F10" s="484">
        <v>3888.4871203513167</v>
      </c>
      <c r="G10" s="178" t="s">
        <v>134</v>
      </c>
      <c r="H10" s="487">
        <v>18.390163167104355</v>
      </c>
      <c r="I10" s="468" t="s">
        <v>135</v>
      </c>
      <c r="J10" s="516">
        <f>H10*F10</f>
        <v>71509.912616444461</v>
      </c>
      <c r="K10" s="468" t="s">
        <v>136</v>
      </c>
      <c r="L10" s="484"/>
      <c r="M10" s="468"/>
      <c r="N10" s="516">
        <f>J10-L10</f>
        <v>71509.912616444461</v>
      </c>
      <c r="O10" s="370" t="s">
        <v>134</v>
      </c>
      <c r="P10" s="490">
        <v>1</v>
      </c>
      <c r="Q10" s="468"/>
      <c r="R10" s="516">
        <f>N10*P10</f>
        <v>71509.912616444461</v>
      </c>
      <c r="S10" s="468"/>
      <c r="T10" s="516">
        <f>N10-R10</f>
        <v>0</v>
      </c>
      <c r="U10" s="468"/>
      <c r="V10" s="517">
        <f>N10/$J$55</f>
        <v>0.37765556642669973</v>
      </c>
      <c r="W10" s="468"/>
      <c r="X10" s="373">
        <f>V10*$J$59</f>
        <v>53.494153556667911</v>
      </c>
    </row>
    <row r="11" spans="2:24">
      <c r="B11" s="370" t="s">
        <v>218</v>
      </c>
      <c r="C11" s="370"/>
      <c r="E11" s="367" t="str">
        <f>"DCF, "&amp;TEXT(H11,"0.0")&amp;"x 22E FCF"</f>
        <v>DCF, 52.4x 22E FCF</v>
      </c>
      <c r="F11" s="484">
        <v>982.80000000000007</v>
      </c>
      <c r="G11" s="178" t="s">
        <v>134</v>
      </c>
      <c r="H11" s="487">
        <v>52.38012983272904</v>
      </c>
      <c r="I11" s="468" t="s">
        <v>135</v>
      </c>
      <c r="J11" s="518">
        <f t="shared" ref="J11:J23" si="0">H11*F11</f>
        <v>51479.191599606107</v>
      </c>
      <c r="K11" s="468" t="s">
        <v>136</v>
      </c>
      <c r="L11" s="484"/>
      <c r="M11" s="468"/>
      <c r="N11" s="516">
        <f t="shared" ref="N11:N23" si="1">J11-L11</f>
        <v>51479.191599606107</v>
      </c>
      <c r="O11" s="370" t="s">
        <v>134</v>
      </c>
      <c r="P11" s="490">
        <v>1</v>
      </c>
      <c r="Q11" s="468"/>
      <c r="R11" s="516">
        <f t="shared" ref="R11:R23" si="2">N11*P11</f>
        <v>51479.191599606107</v>
      </c>
      <c r="S11" s="468"/>
      <c r="T11" s="516">
        <f t="shared" ref="T11:T23" si="3">N11-R11</f>
        <v>0</v>
      </c>
      <c r="U11" s="468"/>
      <c r="V11" s="517">
        <f>N11/$J$55</f>
        <v>0.27187004642300583</v>
      </c>
      <c r="W11" s="468"/>
      <c r="X11" s="373">
        <f>V11*$J$59</f>
        <v>38.5098468120514</v>
      </c>
    </row>
    <row r="12" spans="2:24" s="381" customFormat="1">
      <c r="B12" s="345"/>
      <c r="C12" s="345" t="s">
        <v>1109</v>
      </c>
      <c r="J12" s="581">
        <f>J11+J10</f>
        <v>122989.10421605056</v>
      </c>
      <c r="K12" s="458"/>
      <c r="L12" s="458"/>
      <c r="M12" s="458"/>
      <c r="N12" s="581"/>
      <c r="O12" s="345"/>
      <c r="P12" s="211"/>
      <c r="Q12" s="458"/>
      <c r="R12" s="581"/>
      <c r="S12" s="458"/>
      <c r="T12" s="581"/>
      <c r="U12" s="458"/>
      <c r="V12" s="582"/>
      <c r="W12" s="458"/>
      <c r="X12" s="372"/>
    </row>
    <row r="13" spans="2:24" s="381" customFormat="1">
      <c r="B13" s="370" t="s">
        <v>1498</v>
      </c>
      <c r="C13" s="345"/>
      <c r="J13" s="484">
        <v>36100</v>
      </c>
      <c r="K13" s="458"/>
      <c r="L13" s="458"/>
      <c r="M13" s="458"/>
      <c r="N13" s="516">
        <f>J13</f>
        <v>36100</v>
      </c>
      <c r="O13" s="345"/>
      <c r="P13" s="490">
        <v>0.7</v>
      </c>
      <c r="Q13" s="458"/>
      <c r="R13" s="581"/>
      <c r="S13" s="458"/>
      <c r="T13" s="516">
        <f>(1-P13)*N13</f>
        <v>10830.000000000002</v>
      </c>
      <c r="U13" s="458"/>
      <c r="V13" s="582"/>
      <c r="W13" s="458"/>
      <c r="X13" s="372"/>
    </row>
    <row r="14" spans="2:24" s="381" customFormat="1">
      <c r="B14" s="370" t="s">
        <v>1499</v>
      </c>
      <c r="C14" s="345"/>
      <c r="J14" s="484">
        <v>16345.683196744227</v>
      </c>
      <c r="K14" s="458"/>
      <c r="L14" s="458"/>
      <c r="M14" s="458"/>
      <c r="N14" s="516">
        <f>J14</f>
        <v>16345.683196744227</v>
      </c>
      <c r="O14" s="345"/>
      <c r="P14" s="211"/>
      <c r="Q14" s="458"/>
      <c r="R14" s="581"/>
      <c r="S14" s="458"/>
      <c r="T14" s="581"/>
      <c r="U14" s="458"/>
      <c r="V14" s="582"/>
      <c r="W14" s="458"/>
      <c r="X14" s="372"/>
    </row>
    <row r="15" spans="2:24">
      <c r="B15" s="370"/>
      <c r="C15" s="370"/>
      <c r="J15" s="516"/>
      <c r="K15" s="516"/>
      <c r="L15" s="516"/>
      <c r="M15" s="516"/>
      <c r="N15" s="516"/>
      <c r="O15" s="370"/>
      <c r="P15" s="215"/>
      <c r="Q15" s="468"/>
      <c r="R15" s="516"/>
      <c r="S15" s="468"/>
      <c r="T15" s="516"/>
      <c r="U15" s="468"/>
      <c r="V15" s="517"/>
      <c r="W15" s="468"/>
      <c r="X15" s="373"/>
    </row>
    <row r="16" spans="2:24">
      <c r="B16" s="370" t="s">
        <v>1036</v>
      </c>
      <c r="C16" s="370"/>
      <c r="E16" s="367" t="str">
        <f>"DCF, "&amp;TEXT(H16,"0.0")&amp;"x 22E FCF"</f>
        <v>DCF, 22.2x 22E FCF</v>
      </c>
      <c r="F16" s="484">
        <v>1394.4449597160781</v>
      </c>
      <c r="G16" s="178" t="s">
        <v>134</v>
      </c>
      <c r="H16" s="487">
        <v>22.163811712999145</v>
      </c>
      <c r="I16" s="468" t="s">
        <v>135</v>
      </c>
      <c r="J16" s="516">
        <f t="shared" si="0"/>
        <v>30906.215531287831</v>
      </c>
      <c r="K16" s="468" t="s">
        <v>136</v>
      </c>
      <c r="L16" s="484"/>
      <c r="M16" s="468"/>
      <c r="N16" s="516">
        <f t="shared" si="1"/>
        <v>30906.215531287831</v>
      </c>
      <c r="O16" s="370" t="s">
        <v>134</v>
      </c>
      <c r="P16" s="490">
        <v>1</v>
      </c>
      <c r="Q16" s="468"/>
      <c r="R16" s="516">
        <f t="shared" si="2"/>
        <v>30906.215531287831</v>
      </c>
      <c r="S16" s="468"/>
      <c r="T16" s="516">
        <f t="shared" si="3"/>
        <v>0</v>
      </c>
      <c r="U16" s="468"/>
      <c r="V16" s="517">
        <f>N16/$J$55</f>
        <v>0.16322078863637279</v>
      </c>
      <c r="W16" s="468"/>
      <c r="X16" s="373">
        <f>V16*$J$59</f>
        <v>23.119897354006717</v>
      </c>
    </row>
    <row r="17" spans="2:24">
      <c r="B17" s="370" t="s">
        <v>219</v>
      </c>
      <c r="C17" s="370"/>
      <c r="E17" s="367" t="str">
        <f>"DCF, "&amp;TEXT(H17,"0.0")&amp;"x 22E FCF"</f>
        <v>DCF, 42.4x 22E FCF</v>
      </c>
      <c r="F17" s="484">
        <v>198.5</v>
      </c>
      <c r="G17" s="178" t="s">
        <v>134</v>
      </c>
      <c r="H17" s="487">
        <v>42.447839002170966</v>
      </c>
      <c r="I17" s="468" t="s">
        <v>135</v>
      </c>
      <c r="J17" s="518">
        <f t="shared" si="0"/>
        <v>8425.8960419309369</v>
      </c>
      <c r="K17" s="468" t="s">
        <v>136</v>
      </c>
      <c r="L17" s="484"/>
      <c r="M17" s="468"/>
      <c r="N17" s="516">
        <f t="shared" si="1"/>
        <v>8425.8960419309369</v>
      </c>
      <c r="O17" s="370" t="s">
        <v>134</v>
      </c>
      <c r="P17" s="490">
        <v>1</v>
      </c>
      <c r="Q17" s="468"/>
      <c r="R17" s="516">
        <f t="shared" si="2"/>
        <v>8425.8960419309369</v>
      </c>
      <c r="S17" s="468"/>
      <c r="T17" s="516">
        <f t="shared" si="3"/>
        <v>0</v>
      </c>
      <c r="U17" s="468"/>
      <c r="V17" s="517">
        <f>N17/$J$55</f>
        <v>4.4498537698340869E-2</v>
      </c>
      <c r="W17" s="468"/>
      <c r="X17" s="373">
        <f>V17*$J$59</f>
        <v>6.3031286185059932</v>
      </c>
    </row>
    <row r="18" spans="2:24" s="381" customFormat="1">
      <c r="B18" s="345"/>
      <c r="C18" s="345" t="s">
        <v>1097</v>
      </c>
      <c r="J18" s="581">
        <f>J17+J16</f>
        <v>39332.111573218768</v>
      </c>
      <c r="K18" s="458"/>
      <c r="L18" s="581"/>
      <c r="M18" s="458"/>
      <c r="N18" s="581"/>
      <c r="O18" s="345"/>
      <c r="P18" s="211"/>
      <c r="Q18" s="458"/>
      <c r="R18" s="581"/>
      <c r="S18" s="458"/>
      <c r="T18" s="581"/>
      <c r="U18" s="458"/>
      <c r="V18" s="582"/>
      <c r="W18" s="458"/>
      <c r="X18" s="372"/>
    </row>
    <row r="19" spans="2:24">
      <c r="B19" s="370"/>
      <c r="C19" s="370"/>
      <c r="J19" s="516"/>
      <c r="K19" s="516"/>
      <c r="L19" s="516"/>
      <c r="M19" s="516"/>
      <c r="N19" s="516"/>
      <c r="O19" s="370"/>
      <c r="P19" s="215"/>
      <c r="Q19" s="468"/>
      <c r="R19" s="516"/>
      <c r="S19" s="468"/>
      <c r="T19" s="516"/>
      <c r="U19" s="468"/>
      <c r="V19" s="517"/>
      <c r="W19" s="468"/>
      <c r="X19" s="373"/>
    </row>
    <row r="20" spans="2:24">
      <c r="B20" s="370" t="s">
        <v>1110</v>
      </c>
      <c r="C20" s="370"/>
      <c r="E20" s="367" t="str">
        <f>"DCF, "&amp;TEXT(H20,"0.0")&amp;"x 22E FCF"</f>
        <v>DCF, 24.6x 22E FCF</v>
      </c>
      <c r="F20" s="484">
        <v>1789.212418482464</v>
      </c>
      <c r="G20" s="178" t="s">
        <v>134</v>
      </c>
      <c r="H20" s="487">
        <v>24.584878257809446</v>
      </c>
      <c r="I20" s="468" t="s">
        <v>135</v>
      </c>
      <c r="J20" s="516">
        <f t="shared" ref="J20" si="4">H20*F20</f>
        <v>43987.569485752188</v>
      </c>
      <c r="K20" s="468" t="s">
        <v>136</v>
      </c>
      <c r="L20" s="484"/>
      <c r="M20" s="468"/>
      <c r="N20" s="516">
        <f t="shared" ref="N20" si="5">J20-L20</f>
        <v>43987.569485752188</v>
      </c>
      <c r="O20" s="370" t="s">
        <v>134</v>
      </c>
      <c r="P20" s="490">
        <v>1</v>
      </c>
      <c r="Q20" s="468"/>
      <c r="R20" s="516"/>
      <c r="S20" s="468"/>
      <c r="T20" s="516"/>
      <c r="U20" s="468"/>
      <c r="V20" s="517"/>
      <c r="W20" s="468"/>
      <c r="X20" s="373"/>
    </row>
    <row r="21" spans="2:24">
      <c r="B21" s="370"/>
      <c r="C21" s="370"/>
      <c r="J21" s="516"/>
      <c r="K21" s="516"/>
      <c r="L21" s="516"/>
      <c r="M21" s="516"/>
      <c r="N21" s="516"/>
      <c r="O21" s="370"/>
      <c r="P21" s="215"/>
      <c r="Q21" s="468"/>
      <c r="R21" s="516"/>
      <c r="S21" s="468"/>
      <c r="T21" s="516"/>
      <c r="U21" s="468"/>
      <c r="V21" s="517"/>
      <c r="W21" s="468"/>
      <c r="X21" s="373"/>
    </row>
    <row r="22" spans="2:24">
      <c r="B22" s="370" t="s">
        <v>964</v>
      </c>
      <c r="C22" s="370"/>
      <c r="E22" s="367" t="str">
        <f>"DCF, "&amp;TEXT(H22,"0.0")&amp;"x 22E FCF"</f>
        <v>DCF, 24.2x 22E FCF</v>
      </c>
      <c r="F22" s="484">
        <v>552.19048831621762</v>
      </c>
      <c r="G22" s="178" t="s">
        <v>134</v>
      </c>
      <c r="H22" s="487">
        <v>24.180599359303347</v>
      </c>
      <c r="I22" s="468" t="s">
        <v>135</v>
      </c>
      <c r="J22" s="516">
        <f t="shared" si="0"/>
        <v>13352.296967992534</v>
      </c>
      <c r="K22" s="468" t="s">
        <v>136</v>
      </c>
      <c r="L22" s="484"/>
      <c r="M22" s="468"/>
      <c r="N22" s="516">
        <f t="shared" si="1"/>
        <v>13352.296967992534</v>
      </c>
      <c r="O22" s="370" t="s">
        <v>134</v>
      </c>
      <c r="P22" s="490">
        <v>1</v>
      </c>
      <c r="Q22" s="468"/>
      <c r="R22" s="516">
        <f t="shared" si="2"/>
        <v>13352.296967992534</v>
      </c>
      <c r="S22" s="468"/>
      <c r="T22" s="516">
        <f t="shared" si="3"/>
        <v>0</v>
      </c>
      <c r="U22" s="468"/>
      <c r="V22" s="517">
        <f>N22/$J$55</f>
        <v>7.0515668248560176E-2</v>
      </c>
      <c r="W22" s="468"/>
      <c r="X22" s="373">
        <f>V22*$J$59</f>
        <v>9.9884029808724737</v>
      </c>
    </row>
    <row r="23" spans="2:24">
      <c r="B23" s="370" t="s">
        <v>107</v>
      </c>
      <c r="C23" s="370"/>
      <c r="E23" s="367" t="str">
        <f>"DCF, "&amp;TEXT(H23,"0.0")&amp;"x 22E FCF"</f>
        <v>DCF, 29.2x 22E FCF</v>
      </c>
      <c r="F23" s="484">
        <v>66.623173006259961</v>
      </c>
      <c r="G23" s="178" t="s">
        <v>134</v>
      </c>
      <c r="H23" s="487">
        <v>29.249149793382657</v>
      </c>
      <c r="I23" s="468" t="s">
        <v>135</v>
      </c>
      <c r="J23" s="518">
        <f t="shared" si="0"/>
        <v>1948.6711669705455</v>
      </c>
      <c r="K23" s="468" t="s">
        <v>136</v>
      </c>
      <c r="L23" s="484"/>
      <c r="M23" s="468"/>
      <c r="N23" s="516">
        <f t="shared" si="1"/>
        <v>1948.6711669705455</v>
      </c>
      <c r="O23" s="370" t="s">
        <v>134</v>
      </c>
      <c r="P23" s="490">
        <v>1</v>
      </c>
      <c r="Q23" s="468"/>
      <c r="R23" s="516">
        <f t="shared" si="2"/>
        <v>1948.6711669705455</v>
      </c>
      <c r="S23" s="468"/>
      <c r="T23" s="516">
        <f t="shared" si="3"/>
        <v>0</v>
      </c>
      <c r="U23" s="468"/>
      <c r="V23" s="517">
        <f>N23/$J$55</f>
        <v>1.0291251749794549E-2</v>
      </c>
      <c r="W23" s="468"/>
      <c r="X23" s="373">
        <f>V23*$J$59</f>
        <v>1.4577351701783781</v>
      </c>
    </row>
    <row r="24" spans="2:24" s="381" customFormat="1">
      <c r="B24" s="345"/>
      <c r="C24" s="345" t="s">
        <v>1100</v>
      </c>
      <c r="J24" s="581">
        <f>J23+J22</f>
        <v>15300.968134963079</v>
      </c>
      <c r="K24" s="458"/>
      <c r="L24" s="210"/>
      <c r="M24" s="458"/>
      <c r="N24" s="581"/>
      <c r="O24" s="345"/>
      <c r="P24" s="211"/>
      <c r="Q24" s="458"/>
      <c r="R24" s="581"/>
      <c r="S24" s="458"/>
      <c r="T24" s="581"/>
      <c r="U24" s="458"/>
      <c r="V24" s="582"/>
      <c r="W24" s="458"/>
      <c r="X24" s="372"/>
    </row>
    <row r="25" spans="2:24" s="381" customFormat="1">
      <c r="B25" s="583" t="s">
        <v>1066</v>
      </c>
      <c r="C25" s="345"/>
      <c r="F25" s="458"/>
      <c r="G25" s="458"/>
      <c r="H25" s="458"/>
      <c r="I25" s="458"/>
      <c r="J25" s="584">
        <f>J12+J18+J20+J24+J14</f>
        <v>237955.43660672882</v>
      </c>
      <c r="K25" s="458"/>
      <c r="L25" s="458"/>
      <c r="M25" s="458"/>
      <c r="N25" s="584">
        <f>SUM(N10:N23)-N13</f>
        <v>237955.43660672888</v>
      </c>
      <c r="O25" s="459"/>
      <c r="P25" s="458"/>
      <c r="Q25" s="458"/>
      <c r="R25" s="584">
        <f>SUM(R10:R23)</f>
        <v>177622.18392423241</v>
      </c>
      <c r="S25" s="458"/>
      <c r="T25" s="458"/>
      <c r="U25" s="458"/>
      <c r="V25" s="458"/>
      <c r="W25" s="458"/>
      <c r="X25" s="458"/>
    </row>
    <row r="26" spans="2:24">
      <c r="B26" s="370"/>
      <c r="C26" s="370"/>
      <c r="E26" s="384"/>
      <c r="F26" s="468"/>
      <c r="G26" s="468"/>
      <c r="H26" s="468"/>
      <c r="I26" s="468"/>
      <c r="J26" s="468"/>
      <c r="K26" s="468"/>
      <c r="L26" s="468"/>
      <c r="M26" s="468"/>
      <c r="N26" s="519"/>
      <c r="O26" s="519"/>
      <c r="P26" s="468"/>
      <c r="Q26" s="468"/>
      <c r="R26" s="468"/>
      <c r="S26" s="468"/>
      <c r="T26" s="468"/>
      <c r="U26" s="468"/>
      <c r="V26" s="468"/>
      <c r="W26" s="468"/>
      <c r="X26" s="468"/>
    </row>
    <row r="27" spans="2:24">
      <c r="B27" s="370" t="s">
        <v>1571</v>
      </c>
      <c r="C27" s="370"/>
      <c r="E27" s="367" t="str">
        <f>"DCF, "&amp;TEXT(H27,"0.0")&amp;"x 22E FCF"</f>
        <v>DCF, 17.5x 22E FCF</v>
      </c>
      <c r="F27" s="484">
        <v>848.84005533970424</v>
      </c>
      <c r="G27" s="178" t="s">
        <v>134</v>
      </c>
      <c r="H27" s="487">
        <v>17.46673227574674</v>
      </c>
      <c r="I27" s="178" t="s">
        <v>135</v>
      </c>
      <c r="J27" s="208">
        <f>F27*H27</f>
        <v>14826.46199154866</v>
      </c>
      <c r="K27" s="178" t="s">
        <v>136</v>
      </c>
      <c r="L27" s="484"/>
      <c r="M27" s="178"/>
      <c r="N27" s="216">
        <f>J27-L27</f>
        <v>14826.46199154866</v>
      </c>
      <c r="O27" s="520" t="s">
        <v>134</v>
      </c>
      <c r="P27" s="490">
        <v>1</v>
      </c>
      <c r="Q27" s="393"/>
      <c r="R27" s="521">
        <f>P27*N27</f>
        <v>14826.46199154866</v>
      </c>
      <c r="S27" s="370"/>
      <c r="T27" s="216">
        <v>0</v>
      </c>
      <c r="U27" s="370"/>
      <c r="V27" s="394">
        <f>R27/$J$55</f>
        <v>7.8300975300515566E-2</v>
      </c>
      <c r="W27" s="370"/>
      <c r="X27" s="373">
        <f>$J$59*V27</f>
        <v>11.091176110535702</v>
      </c>
    </row>
    <row r="28" spans="2:24">
      <c r="B28" s="370" t="s">
        <v>1572</v>
      </c>
      <c r="C28" s="370"/>
      <c r="E28" s="367" t="str">
        <f>"DCF, "&amp;TEXT(H28,"0.0")&amp;"x 22E FCF"</f>
        <v>DCF, 34.5x 22E FCF</v>
      </c>
      <c r="F28" s="484">
        <v>495.90308321012935</v>
      </c>
      <c r="G28" s="178" t="s">
        <v>134</v>
      </c>
      <c r="H28" s="487">
        <v>34.523584477285688</v>
      </c>
      <c r="I28" s="178" t="s">
        <v>135</v>
      </c>
      <c r="J28" s="208">
        <f>F28*H28</f>
        <v>17120.351985751335</v>
      </c>
      <c r="K28" s="178" t="s">
        <v>136</v>
      </c>
      <c r="L28" s="484"/>
      <c r="M28" s="178"/>
      <c r="N28" s="216">
        <f>J28-L28</f>
        <v>17120.351985751335</v>
      </c>
      <c r="O28" s="520" t="s">
        <v>134</v>
      </c>
      <c r="P28" s="490">
        <v>1</v>
      </c>
      <c r="Q28" s="393"/>
      <c r="R28" s="521">
        <f>P28*N28</f>
        <v>17120.351985751335</v>
      </c>
      <c r="S28" s="370"/>
      <c r="T28" s="216">
        <v>0</v>
      </c>
      <c r="U28" s="370"/>
      <c r="V28" s="394">
        <f>R28/$J$55</f>
        <v>9.0415384245855754E-2</v>
      </c>
      <c r="W28" s="370"/>
      <c r="X28" s="373">
        <f>$J$59*V28</f>
        <v>12.807157840930985</v>
      </c>
    </row>
    <row r="29" spans="2:24">
      <c r="B29" s="370" t="s">
        <v>1573</v>
      </c>
      <c r="C29" s="370"/>
      <c r="E29" s="367" t="str">
        <f>"DCF, "&amp;TEXT(H29,"0.0")&amp;"x 22E FCF"</f>
        <v>DCF, 18.6x 22E FCF</v>
      </c>
      <c r="F29" s="484">
        <v>-2480.9574090754904</v>
      </c>
      <c r="G29" s="178" t="s">
        <v>134</v>
      </c>
      <c r="H29" s="487">
        <v>18.630309156032361</v>
      </c>
      <c r="I29" s="178" t="s">
        <v>135</v>
      </c>
      <c r="J29" s="208">
        <f>F29*H29</f>
        <v>-46221.003534025433</v>
      </c>
      <c r="K29" s="178" t="s">
        <v>136</v>
      </c>
      <c r="L29" s="484"/>
      <c r="M29" s="178"/>
      <c r="N29" s="216">
        <f>J29-L29</f>
        <v>-46221.003534025433</v>
      </c>
      <c r="O29" s="520" t="s">
        <v>134</v>
      </c>
      <c r="P29" s="490">
        <v>1</v>
      </c>
      <c r="Q29" s="393"/>
      <c r="R29" s="521">
        <f>P29*N29</f>
        <v>-46221.003534025433</v>
      </c>
      <c r="S29" s="370"/>
      <c r="T29" s="216">
        <v>0</v>
      </c>
      <c r="U29" s="370"/>
      <c r="V29" s="394">
        <f>R29/$J$55</f>
        <v>-0.24410069362102338</v>
      </c>
      <c r="W29" s="370"/>
      <c r="X29" s="373">
        <f>$J$59*V29</f>
        <v>-34.576373681987363</v>
      </c>
    </row>
    <row r="30" spans="2:24" s="381" customFormat="1">
      <c r="B30" s="345" t="s">
        <v>1067</v>
      </c>
      <c r="C30" s="345"/>
      <c r="F30" s="210"/>
      <c r="G30" s="196"/>
      <c r="H30" s="372"/>
      <c r="I30" s="196"/>
      <c r="J30" s="398">
        <f>J29+J25+J28+J27</f>
        <v>223681.24705000338</v>
      </c>
      <c r="K30" s="196"/>
      <c r="L30" s="210"/>
      <c r="M30" s="196"/>
      <c r="N30" s="398">
        <f>N25+N29</f>
        <v>191734.43307270345</v>
      </c>
      <c r="O30" s="196"/>
      <c r="P30" s="211"/>
      <c r="Q30" s="369"/>
      <c r="R30" s="398">
        <f>R25+R29</f>
        <v>131401.18039020698</v>
      </c>
      <c r="S30" s="345"/>
      <c r="T30" s="210"/>
      <c r="U30" s="345"/>
      <c r="V30" s="387"/>
      <c r="W30" s="345"/>
      <c r="X30" s="372"/>
    </row>
    <row r="31" spans="2:24">
      <c r="B31" s="370"/>
      <c r="C31" s="370"/>
      <c r="F31" s="216"/>
      <c r="G31" s="178"/>
      <c r="H31" s="373"/>
      <c r="I31" s="178"/>
      <c r="J31" s="216"/>
      <c r="K31" s="178"/>
      <c r="L31" s="216"/>
      <c r="M31" s="178"/>
      <c r="N31" s="216"/>
      <c r="O31" s="178"/>
      <c r="P31" s="215"/>
      <c r="Q31" s="393"/>
      <c r="R31" s="216"/>
      <c r="S31" s="370"/>
      <c r="T31" s="216"/>
      <c r="U31" s="370"/>
      <c r="V31" s="394"/>
      <c r="W31" s="370"/>
      <c r="X31" s="373"/>
    </row>
    <row r="32" spans="2:24">
      <c r="B32" s="370" t="s">
        <v>1034</v>
      </c>
      <c r="C32" s="370"/>
      <c r="E32" s="367" t="s">
        <v>500</v>
      </c>
      <c r="F32" s="484">
        <v>1350.3000219999999</v>
      </c>
      <c r="G32" s="178" t="s">
        <v>134</v>
      </c>
      <c r="H32" s="487">
        <v>286</v>
      </c>
      <c r="I32" s="178" t="s">
        <v>135</v>
      </c>
      <c r="J32" s="216">
        <f>(F32*H32/D69)+L32</f>
        <v>36977.483932278708</v>
      </c>
      <c r="K32" s="178" t="s">
        <v>136</v>
      </c>
      <c r="L32" s="484">
        <v>2300</v>
      </c>
      <c r="M32" s="178"/>
      <c r="N32" s="216">
        <f>J32-L32</f>
        <v>34677.483932278708</v>
      </c>
      <c r="O32" s="178"/>
      <c r="P32" s="490">
        <v>0.55800000000000005</v>
      </c>
      <c r="Q32" s="393"/>
      <c r="R32" s="216">
        <f>P32*N32</f>
        <v>19350.03603421152</v>
      </c>
      <c r="S32" s="370"/>
      <c r="T32" s="216">
        <f>N32-R32</f>
        <v>15327.447898067188</v>
      </c>
      <c r="U32" s="370"/>
      <c r="V32" s="394">
        <f>N32/$J$55</f>
        <v>0.18313747503707475</v>
      </c>
      <c r="W32" s="370"/>
      <c r="X32" s="373">
        <f>V32*$J$59</f>
        <v>25.941056037671828</v>
      </c>
    </row>
    <row r="33" spans="2:24">
      <c r="B33" s="370" t="s">
        <v>541</v>
      </c>
      <c r="C33" s="370"/>
      <c r="E33" s="367" t="s">
        <v>1507</v>
      </c>
      <c r="F33" s="210"/>
      <c r="G33" s="210"/>
      <c r="H33" s="210"/>
      <c r="I33" s="210"/>
      <c r="J33" s="484">
        <v>10955</v>
      </c>
      <c r="K33" s="178" t="s">
        <v>136</v>
      </c>
      <c r="L33" s="484"/>
      <c r="M33" s="178"/>
      <c r="N33" s="216">
        <f t="shared" ref="N33" si="6">J33-L33</f>
        <v>10955</v>
      </c>
      <c r="O33" s="178"/>
      <c r="P33" s="490">
        <v>1</v>
      </c>
      <c r="Q33" s="393"/>
      <c r="R33" s="216">
        <f t="shared" ref="R33" si="7">P33*N33</f>
        <v>10955</v>
      </c>
      <c r="S33" s="370"/>
      <c r="T33" s="216">
        <f t="shared" ref="T33" si="8">N33-R33</f>
        <v>0</v>
      </c>
      <c r="U33" s="370"/>
      <c r="V33" s="394">
        <f>N33/$J$55</f>
        <v>5.7855150129956928E-2</v>
      </c>
      <c r="W33" s="370"/>
      <c r="X33" s="373">
        <f>V33*$J$59</f>
        <v>8.1950659813634488</v>
      </c>
    </row>
    <row r="34" spans="2:24" s="381" customFormat="1">
      <c r="B34" s="583" t="s">
        <v>1068</v>
      </c>
      <c r="F34" s="210"/>
      <c r="G34" s="196"/>
      <c r="H34" s="372"/>
      <c r="I34" s="372"/>
      <c r="J34" s="584">
        <f>J32+J33</f>
        <v>47932.483932278708</v>
      </c>
      <c r="K34" s="196"/>
      <c r="L34" s="210"/>
      <c r="M34" s="196"/>
      <c r="N34" s="584">
        <f>N32+N33</f>
        <v>45632.483932278708</v>
      </c>
      <c r="O34" s="196"/>
      <c r="P34" s="211"/>
      <c r="Q34" s="369"/>
      <c r="R34" s="584">
        <f>R32+R33</f>
        <v>30305.03603421152</v>
      </c>
      <c r="S34" s="345"/>
      <c r="T34" s="210"/>
      <c r="U34" s="345"/>
      <c r="V34" s="387"/>
      <c r="W34" s="345"/>
      <c r="X34" s="372"/>
    </row>
    <row r="35" spans="2:24">
      <c r="B35" s="370"/>
      <c r="C35" s="370"/>
      <c r="F35" s="216"/>
      <c r="G35" s="178"/>
      <c r="H35" s="373"/>
      <c r="I35" s="178"/>
      <c r="J35" s="216"/>
      <c r="K35" s="178"/>
      <c r="L35" s="216"/>
      <c r="M35" s="178"/>
      <c r="N35" s="216"/>
      <c r="O35" s="178"/>
      <c r="P35" s="215"/>
      <c r="Q35" s="393"/>
      <c r="R35" s="216"/>
      <c r="S35" s="370"/>
      <c r="T35" s="216"/>
      <c r="U35" s="370"/>
      <c r="V35" s="394"/>
      <c r="W35" s="370"/>
      <c r="X35" s="373"/>
    </row>
    <row r="36" spans="2:24">
      <c r="B36" s="345" t="s">
        <v>1069</v>
      </c>
      <c r="C36" s="370"/>
      <c r="F36" s="210"/>
      <c r="G36" s="196"/>
      <c r="H36" s="372"/>
      <c r="I36" s="376"/>
      <c r="J36" s="210">
        <f>J34+J30</f>
        <v>271613.73098228208</v>
      </c>
      <c r="K36" s="375"/>
      <c r="L36" s="210">
        <f>-J46</f>
        <v>82840.049726765414</v>
      </c>
      <c r="M36" s="196"/>
      <c r="N36" s="210">
        <f>N34+N30</f>
        <v>237366.91700498216</v>
      </c>
      <c r="P36" s="377"/>
      <c r="Q36" s="378"/>
      <c r="R36" s="210">
        <f>R34+R30</f>
        <v>161706.2164244185</v>
      </c>
      <c r="S36" s="370"/>
      <c r="T36" s="210">
        <f>SUM(T10:T35)</f>
        <v>26157.447898067192</v>
      </c>
      <c r="U36" s="370"/>
      <c r="V36" s="387">
        <f>N36/$J$55</f>
        <v>1.2535735845922655</v>
      </c>
      <c r="W36" s="370"/>
      <c r="X36" s="372">
        <f>$J$59*V36</f>
        <v>177.56618408476956</v>
      </c>
    </row>
    <row r="37" spans="2:24" ht="12.6" thickBot="1">
      <c r="B37" s="370"/>
      <c r="C37" s="370"/>
      <c r="F37" s="210"/>
      <c r="G37" s="196"/>
      <c r="H37" s="372"/>
      <c r="I37" s="376"/>
      <c r="J37" s="196"/>
      <c r="K37" s="375"/>
      <c r="L37" s="370"/>
      <c r="M37" s="196"/>
      <c r="N37" s="210"/>
      <c r="P37" s="377"/>
      <c r="Q37" s="378"/>
      <c r="R37" s="210"/>
      <c r="T37" s="196"/>
    </row>
    <row r="38" spans="2:24" ht="12.6" thickBot="1">
      <c r="B38" s="370" t="s">
        <v>139</v>
      </c>
      <c r="C38" s="370"/>
      <c r="F38" s="216"/>
      <c r="G38" s="178"/>
      <c r="H38" s="373"/>
      <c r="I38" s="403"/>
      <c r="L38" s="178"/>
      <c r="M38" s="178"/>
      <c r="N38" s="370"/>
      <c r="P38" s="493" t="s">
        <v>1413</v>
      </c>
      <c r="Q38" s="494"/>
      <c r="R38" s="522">
        <v>0</v>
      </c>
    </row>
    <row r="39" spans="2:24">
      <c r="B39" s="370" t="s">
        <v>1111</v>
      </c>
      <c r="C39" s="370"/>
      <c r="E39" s="367" t="str">
        <f>"DCF, "&amp;TEXT(H39,"0.0")&amp;"x 22E FCF"</f>
        <v>DCF, 36.5x 22E FCF</v>
      </c>
      <c r="F39" s="484">
        <v>441.29247645984105</v>
      </c>
      <c r="G39" s="178" t="s">
        <v>134</v>
      </c>
      <c r="H39" s="487">
        <v>36.520636155138313</v>
      </c>
      <c r="I39" s="178" t="s">
        <v>135</v>
      </c>
      <c r="J39" s="216">
        <f t="shared" ref="J39" si="9">F39*H39</f>
        <v>16116.281970789794</v>
      </c>
      <c r="K39" s="178" t="s">
        <v>136</v>
      </c>
      <c r="L39" s="484"/>
      <c r="M39" s="393" t="s">
        <v>135</v>
      </c>
      <c r="N39" s="208">
        <f>J39-L39</f>
        <v>16116.281970789794</v>
      </c>
      <c r="O39" s="178" t="s">
        <v>134</v>
      </c>
      <c r="P39" s="490">
        <v>0.5</v>
      </c>
      <c r="Q39" s="393" t="s">
        <v>135</v>
      </c>
      <c r="R39" s="216">
        <f>P39*N39*(1-$R$38)</f>
        <v>8058.1409853948971</v>
      </c>
    </row>
    <row r="40" spans="2:24">
      <c r="B40" s="370" t="s">
        <v>1035</v>
      </c>
      <c r="C40" s="370"/>
      <c r="E40" s="367" t="s">
        <v>500</v>
      </c>
      <c r="F40" s="484">
        <v>2367</v>
      </c>
      <c r="G40" s="178" t="s">
        <v>134</v>
      </c>
      <c r="H40" s="487">
        <v>50</v>
      </c>
      <c r="I40" s="178" t="s">
        <v>135</v>
      </c>
      <c r="J40" s="216">
        <f>(F40*H40*D66)+L40</f>
        <v>34096.317227749758</v>
      </c>
      <c r="K40" s="178" t="s">
        <v>136</v>
      </c>
      <c r="L40" s="484"/>
      <c r="M40" s="393" t="s">
        <v>135</v>
      </c>
      <c r="N40" s="208">
        <f t="shared" ref="N40:N42" si="10">J40-L40</f>
        <v>34096.317227749758</v>
      </c>
      <c r="O40" s="178" t="s">
        <v>134</v>
      </c>
      <c r="P40" s="490">
        <v>0.3</v>
      </c>
      <c r="Q40" s="393" t="s">
        <v>135</v>
      </c>
      <c r="R40" s="216">
        <f t="shared" ref="R40:R42" si="11">P40*N40*(1-$R$38)</f>
        <v>10228.895168324927</v>
      </c>
      <c r="S40" s="370"/>
      <c r="T40" s="216"/>
      <c r="U40" s="370"/>
      <c r="V40" s="394"/>
      <c r="W40" s="370"/>
      <c r="X40" s="373"/>
    </row>
    <row r="41" spans="2:24">
      <c r="B41" s="505" t="s">
        <v>1508</v>
      </c>
      <c r="C41" s="370"/>
      <c r="E41" s="367" t="s">
        <v>500</v>
      </c>
      <c r="F41" s="484">
        <v>33368</v>
      </c>
      <c r="G41" s="178" t="s">
        <v>134</v>
      </c>
      <c r="H41" s="487">
        <v>4.88</v>
      </c>
      <c r="I41" s="178" t="s">
        <v>135</v>
      </c>
      <c r="J41" s="216">
        <f>(F41*H41*D66)+L41</f>
        <v>46912.568286329551</v>
      </c>
      <c r="K41" s="178" t="s">
        <v>136</v>
      </c>
      <c r="L41" s="484"/>
      <c r="M41" s="393" t="s">
        <v>135</v>
      </c>
      <c r="N41" s="208">
        <f t="shared" si="10"/>
        <v>46912.568286329551</v>
      </c>
      <c r="O41" s="178" t="s">
        <v>134</v>
      </c>
      <c r="P41" s="490">
        <v>0.3</v>
      </c>
      <c r="Q41" s="393" t="s">
        <v>135</v>
      </c>
      <c r="R41" s="216">
        <f t="shared" si="11"/>
        <v>14073.770485898865</v>
      </c>
      <c r="S41" s="370"/>
      <c r="T41" s="216"/>
      <c r="U41" s="370"/>
      <c r="V41" s="394"/>
      <c r="W41" s="370"/>
      <c r="X41" s="373"/>
    </row>
    <row r="42" spans="2:24">
      <c r="B42" s="370" t="s">
        <v>1033</v>
      </c>
      <c r="C42" s="370"/>
      <c r="E42" s="367" t="s">
        <v>500</v>
      </c>
      <c r="F42" s="484">
        <v>11732.007987999999</v>
      </c>
      <c r="G42" s="178" t="s">
        <v>134</v>
      </c>
      <c r="H42" s="487">
        <v>4.18</v>
      </c>
      <c r="I42" s="178" t="s">
        <v>135</v>
      </c>
      <c r="J42" s="216">
        <f>(F42*H42*D64)+L42</f>
        <v>110006.20192469709</v>
      </c>
      <c r="K42" s="178" t="s">
        <v>136</v>
      </c>
      <c r="L42" s="484"/>
      <c r="M42" s="393" t="s">
        <v>135</v>
      </c>
      <c r="N42" s="208">
        <f t="shared" si="10"/>
        <v>110006.20192469709</v>
      </c>
      <c r="O42" s="178" t="s">
        <v>134</v>
      </c>
      <c r="P42" s="490">
        <v>0.33100000000000002</v>
      </c>
      <c r="Q42" s="393" t="s">
        <v>135</v>
      </c>
      <c r="R42" s="446">
        <f t="shared" si="11"/>
        <v>36412.052837074742</v>
      </c>
      <c r="S42" s="370"/>
      <c r="T42" s="216"/>
      <c r="U42" s="370"/>
      <c r="V42" s="394"/>
      <c r="W42" s="370"/>
      <c r="X42" s="373"/>
    </row>
    <row r="43" spans="2:24">
      <c r="B43" s="345" t="s">
        <v>138</v>
      </c>
      <c r="C43" s="370"/>
      <c r="R43" s="210">
        <f>R42+R40+R39+R41</f>
        <v>68772.85947669344</v>
      </c>
    </row>
    <row r="44" spans="2:24" ht="12.6" thickBot="1">
      <c r="D44" s="345"/>
      <c r="E44" s="381"/>
      <c r="F44" s="381"/>
      <c r="G44" s="381"/>
      <c r="H44" s="381"/>
      <c r="I44" s="381"/>
      <c r="J44" s="381"/>
      <c r="K44" s="381"/>
      <c r="R44" s="370"/>
      <c r="T44" s="460" t="s">
        <v>549</v>
      </c>
      <c r="U44" s="368"/>
      <c r="V44" s="368"/>
      <c r="W44" s="368"/>
      <c r="X44" s="368"/>
    </row>
    <row r="45" spans="2:24" ht="12.6" thickTop="1">
      <c r="B45" s="382" t="s">
        <v>142</v>
      </c>
      <c r="D45" s="345"/>
      <c r="E45" s="381"/>
      <c r="H45" s="381"/>
      <c r="I45" s="381"/>
      <c r="J45" s="374">
        <f>J36</f>
        <v>271613.73098228208</v>
      </c>
      <c r="L45" s="426"/>
      <c r="T45" s="134"/>
    </row>
    <row r="46" spans="2:24">
      <c r="B46" s="383" t="s">
        <v>1504</v>
      </c>
      <c r="D46" s="424"/>
      <c r="J46" s="216">
        <f>-TNOR!D12</f>
        <v>-82840.049726765414</v>
      </c>
      <c r="L46" s="426"/>
      <c r="T46" s="134"/>
    </row>
    <row r="47" spans="2:24">
      <c r="B47" s="384" t="s">
        <v>377</v>
      </c>
      <c r="D47" s="370"/>
      <c r="J47" s="216">
        <f>R43</f>
        <v>68772.85947669344</v>
      </c>
      <c r="K47" s="381"/>
      <c r="L47" s="426"/>
      <c r="T47" s="134"/>
    </row>
    <row r="48" spans="2:24">
      <c r="B48" s="384" t="s">
        <v>375</v>
      </c>
      <c r="J48" s="216">
        <f>-T36</f>
        <v>-26157.447898067192</v>
      </c>
      <c r="K48" s="381"/>
      <c r="L48" s="426"/>
      <c r="T48" s="134"/>
    </row>
    <row r="49" spans="2:24">
      <c r="B49" s="384" t="s">
        <v>1112</v>
      </c>
      <c r="J49" s="484">
        <v>-10427.295690102997</v>
      </c>
      <c r="K49" s="381"/>
      <c r="L49" s="426"/>
    </row>
    <row r="50" spans="2:24">
      <c r="B50" s="384" t="s">
        <v>1070</v>
      </c>
      <c r="J50" s="484">
        <v>-14875</v>
      </c>
      <c r="K50" s="381"/>
      <c r="L50" s="426"/>
    </row>
    <row r="51" spans="2:24">
      <c r="B51" s="384" t="s">
        <v>988</v>
      </c>
      <c r="D51" s="345"/>
      <c r="E51" s="381"/>
      <c r="F51" s="381"/>
      <c r="G51" s="381"/>
      <c r="H51" s="381"/>
      <c r="I51" s="381"/>
      <c r="J51" s="484">
        <v>1027.4035743467766</v>
      </c>
      <c r="L51" s="426"/>
    </row>
    <row r="52" spans="2:24">
      <c r="B52" s="384" t="s">
        <v>1006</v>
      </c>
      <c r="D52" s="370"/>
      <c r="J52" s="484">
        <v>0</v>
      </c>
      <c r="K52" s="381"/>
      <c r="L52" s="426"/>
    </row>
    <row r="53" spans="2:24">
      <c r="B53" s="384" t="s">
        <v>1113</v>
      </c>
      <c r="D53" s="370"/>
      <c r="J53" s="484">
        <v>0</v>
      </c>
      <c r="K53" s="381"/>
      <c r="L53" s="426"/>
    </row>
    <row r="54" spans="2:24">
      <c r="B54" s="384" t="s">
        <v>965</v>
      </c>
      <c r="D54" s="370"/>
      <c r="J54" s="498">
        <v>-17762</v>
      </c>
      <c r="K54" s="381"/>
    </row>
    <row r="55" spans="2:24">
      <c r="B55" s="384" t="s">
        <v>495</v>
      </c>
      <c r="J55" s="210">
        <f>SUM(J45:J54)</f>
        <v>189352.20071838668</v>
      </c>
      <c r="K55" s="381"/>
    </row>
    <row r="56" spans="2:24">
      <c r="B56" s="384" t="s">
        <v>496</v>
      </c>
      <c r="D56" s="370"/>
      <c r="J56" s="216">
        <f>TNOR!D10</f>
        <v>1386.7080329999999</v>
      </c>
      <c r="K56" s="381"/>
    </row>
    <row r="57" spans="2:24">
      <c r="B57" s="382" t="s">
        <v>494</v>
      </c>
      <c r="D57" s="370"/>
      <c r="J57" s="433">
        <f>J55/J56</f>
        <v>136.54799439557777</v>
      </c>
    </row>
    <row r="58" spans="2:24" ht="12.6" thickBot="1">
      <c r="B58" s="384" t="s">
        <v>1415</v>
      </c>
      <c r="D58" s="345"/>
      <c r="E58" s="381"/>
      <c r="F58" s="381"/>
      <c r="G58" s="381"/>
      <c r="H58" s="381"/>
      <c r="I58" s="381"/>
      <c r="J58" s="486">
        <v>5.0999999999999996</v>
      </c>
    </row>
    <row r="59" spans="2:24" ht="12.6" thickBot="1">
      <c r="B59" s="382" t="s">
        <v>62</v>
      </c>
      <c r="J59" s="462">
        <f>J58+J57</f>
        <v>141.64799439557777</v>
      </c>
      <c r="K59" s="381"/>
    </row>
    <row r="60" spans="2:24">
      <c r="B60" s="384" t="s">
        <v>498</v>
      </c>
      <c r="D60" s="345"/>
      <c r="E60" s="345"/>
      <c r="F60" s="345"/>
      <c r="G60" s="345"/>
      <c r="H60" s="345"/>
      <c r="I60" s="345"/>
      <c r="J60" s="373">
        <f>Prices!C18</f>
        <v>123.7</v>
      </c>
    </row>
    <row r="61" spans="2:24">
      <c r="B61" s="382" t="s">
        <v>97</v>
      </c>
      <c r="E61" s="465"/>
      <c r="F61" s="345"/>
      <c r="G61" s="345"/>
      <c r="H61" s="345"/>
      <c r="I61" s="345"/>
      <c r="J61" s="387">
        <f>J59/J60-1</f>
        <v>0.14509292154872888</v>
      </c>
      <c r="K61" s="381"/>
    </row>
    <row r="62" spans="2:24">
      <c r="E62" s="345"/>
      <c r="F62" s="345"/>
      <c r="G62" s="345"/>
      <c r="H62" s="345"/>
      <c r="I62" s="345"/>
    </row>
    <row r="63" spans="2:24" ht="12.6" thickBot="1">
      <c r="E63" s="386"/>
      <c r="F63" s="345"/>
      <c r="G63" s="345"/>
      <c r="H63" s="345"/>
      <c r="I63" s="345"/>
      <c r="T63" s="460" t="s">
        <v>549</v>
      </c>
      <c r="U63" s="368"/>
      <c r="V63" s="368"/>
      <c r="W63" s="368"/>
      <c r="X63" s="368"/>
    </row>
    <row r="64" spans="2:24" ht="12.6" thickTop="1">
      <c r="B64" s="367" t="s">
        <v>759</v>
      </c>
      <c r="D64" s="386">
        <f>Prices!C157/Prices!C159</f>
        <v>2.2432028016555234</v>
      </c>
      <c r="E64" s="345"/>
      <c r="F64" s="345"/>
      <c r="G64" s="345"/>
      <c r="H64" s="345"/>
      <c r="I64" s="345"/>
      <c r="K64" s="381"/>
      <c r="T64" s="370" t="s">
        <v>108</v>
      </c>
      <c r="X64" s="394">
        <f>R30/(R36+R43)</f>
        <v>0.57012195088193274</v>
      </c>
    </row>
    <row r="65" spans="2:24">
      <c r="B65" s="367" t="s">
        <v>760</v>
      </c>
      <c r="D65" s="386">
        <f>Prices!F157</f>
        <v>11.462974709999999</v>
      </c>
      <c r="E65" s="345"/>
      <c r="F65" s="345"/>
      <c r="G65" s="345"/>
      <c r="H65" s="345"/>
      <c r="I65" s="345"/>
      <c r="T65" s="370" t="s">
        <v>1414</v>
      </c>
      <c r="X65" s="394">
        <f>(R34+R40+R42)/(R36+R43)</f>
        <v>0.33385236268747104</v>
      </c>
    </row>
    <row r="66" spans="2:24">
      <c r="B66" s="367" t="s">
        <v>761</v>
      </c>
      <c r="D66" s="386">
        <f>Prices!C157/Prices!C163</f>
        <v>0.28809731497887414</v>
      </c>
      <c r="E66" s="345"/>
      <c r="T66" s="370" t="s">
        <v>141</v>
      </c>
      <c r="X66" s="394">
        <f>1-X65-X64</f>
        <v>9.602568643059628E-2</v>
      </c>
    </row>
    <row r="67" spans="2:24">
      <c r="B67" s="367" t="s">
        <v>763</v>
      </c>
      <c r="D67" s="386">
        <f>Prices!C157</f>
        <v>10.568849999999999</v>
      </c>
      <c r="E67" s="345"/>
      <c r="F67" s="345"/>
      <c r="G67" s="345"/>
      <c r="H67" s="345"/>
      <c r="I67" s="345"/>
    </row>
    <row r="68" spans="2:24">
      <c r="B68" s="367" t="s">
        <v>762</v>
      </c>
      <c r="D68" s="386">
        <f>Prices!C157/Prices!C164</f>
        <v>7.7317019642269278</v>
      </c>
      <c r="E68" s="345"/>
    </row>
    <row r="69" spans="2:24">
      <c r="B69" s="367" t="s">
        <v>800</v>
      </c>
      <c r="D69" s="386">
        <f>Prices!$C$184/Prices!$C$157</f>
        <v>11.136500186869906</v>
      </c>
      <c r="E69" s="345"/>
      <c r="F69" s="345"/>
      <c r="G69" s="345"/>
      <c r="H69" s="345"/>
      <c r="I69" s="345"/>
    </row>
    <row r="70" spans="2:24">
      <c r="D70" s="345"/>
      <c r="E70" s="381"/>
      <c r="F70" s="381"/>
      <c r="G70" s="381"/>
      <c r="H70" s="381"/>
      <c r="I70" s="381"/>
    </row>
    <row r="75" spans="2:24">
      <c r="D75" s="345"/>
      <c r="E75" s="381"/>
      <c r="F75" s="381"/>
      <c r="G75" s="381"/>
      <c r="H75" s="381"/>
      <c r="I75" s="381"/>
    </row>
    <row r="76" spans="2:24">
      <c r="D76" s="370"/>
      <c r="E76" s="381"/>
      <c r="F76" s="381"/>
      <c r="G76" s="381"/>
      <c r="H76" s="381"/>
      <c r="I76" s="381"/>
    </row>
    <row r="77" spans="2:24">
      <c r="D77" s="370"/>
      <c r="E77" s="381"/>
      <c r="F77" s="381"/>
      <c r="G77" s="381"/>
      <c r="H77" s="381"/>
      <c r="I77" s="381"/>
    </row>
    <row r="78" spans="2:24">
      <c r="D78" s="370"/>
    </row>
    <row r="79" spans="2:24">
      <c r="D79" s="345"/>
      <c r="E79" s="381"/>
      <c r="F79" s="381"/>
      <c r="G79" s="381"/>
      <c r="H79" s="381"/>
      <c r="I79" s="381"/>
    </row>
    <row r="80" spans="2:24">
      <c r="D80" s="370"/>
      <c r="E80" s="381"/>
      <c r="F80" s="381"/>
      <c r="G80" s="381"/>
      <c r="H80" s="381"/>
      <c r="I80" s="381"/>
    </row>
    <row r="81" spans="4:24">
      <c r="D81" s="370"/>
      <c r="E81" s="381"/>
      <c r="F81" s="381"/>
      <c r="G81" s="381"/>
      <c r="H81" s="381"/>
      <c r="I81" s="381"/>
      <c r="S81" s="249"/>
      <c r="T81" s="249"/>
      <c r="U81" s="249"/>
      <c r="V81" s="249"/>
      <c r="W81" s="249"/>
      <c r="X81" s="249"/>
    </row>
    <row r="82" spans="4:24">
      <c r="D82" s="370"/>
      <c r="L82" s="249"/>
      <c r="M82" s="249"/>
      <c r="N82" s="249"/>
      <c r="O82" s="249"/>
      <c r="P82" s="249"/>
      <c r="Q82" s="249"/>
      <c r="R82" s="249"/>
      <c r="S82" s="388"/>
      <c r="T82" s="388"/>
      <c r="U82" s="388"/>
      <c r="V82" s="388"/>
      <c r="W82" s="388"/>
      <c r="X82" s="388"/>
    </row>
    <row r="83" spans="4:24">
      <c r="D83" s="370"/>
      <c r="N83" s="388"/>
      <c r="O83" s="388"/>
      <c r="P83" s="388"/>
      <c r="Q83" s="388"/>
      <c r="R83" s="388"/>
    </row>
    <row r="84" spans="4:24">
      <c r="D84" s="370"/>
      <c r="J84" s="381"/>
    </row>
    <row r="85" spans="4:24">
      <c r="D85" s="370"/>
      <c r="J85" s="381"/>
      <c r="S85" s="249"/>
      <c r="T85" s="249"/>
      <c r="U85" s="249"/>
      <c r="V85" s="249"/>
      <c r="W85" s="249"/>
      <c r="X85" s="249"/>
    </row>
    <row r="86" spans="4:24">
      <c r="D86" s="370"/>
      <c r="L86" s="249"/>
      <c r="M86" s="249"/>
      <c r="N86" s="249"/>
      <c r="O86" s="249"/>
      <c r="P86" s="249"/>
      <c r="Q86" s="249"/>
      <c r="R86" s="249"/>
      <c r="S86" s="388"/>
      <c r="T86" s="388"/>
      <c r="U86" s="388"/>
      <c r="V86" s="388"/>
      <c r="W86" s="388"/>
      <c r="X86" s="388"/>
    </row>
    <row r="87" spans="4:24">
      <c r="D87" s="370"/>
      <c r="J87" s="381"/>
      <c r="N87" s="388"/>
      <c r="O87" s="388"/>
      <c r="P87" s="388"/>
      <c r="Q87" s="388"/>
      <c r="R87" s="388"/>
    </row>
    <row r="88" spans="4:24">
      <c r="D88" s="370"/>
      <c r="J88" s="381"/>
      <c r="S88" s="249"/>
      <c r="T88" s="249"/>
      <c r="U88" s="249"/>
      <c r="V88" s="249"/>
      <c r="W88" s="249"/>
      <c r="X88" s="249"/>
    </row>
    <row r="89" spans="4:24">
      <c r="D89" s="370"/>
      <c r="J89" s="381"/>
      <c r="L89" s="249"/>
      <c r="M89" s="249"/>
      <c r="N89" s="249"/>
      <c r="O89" s="249"/>
      <c r="P89" s="249"/>
      <c r="Q89" s="249"/>
      <c r="R89" s="249"/>
      <c r="S89" s="388"/>
      <c r="T89" s="388"/>
      <c r="U89" s="388"/>
      <c r="V89" s="388"/>
      <c r="W89" s="388"/>
      <c r="X89" s="388"/>
    </row>
    <row r="90" spans="4:24">
      <c r="D90" s="370"/>
      <c r="K90" s="381"/>
      <c r="N90" s="388"/>
      <c r="O90" s="388"/>
      <c r="P90" s="388"/>
      <c r="Q90" s="388"/>
      <c r="R90" s="388"/>
    </row>
    <row r="91" spans="4:24">
      <c r="D91" s="345"/>
      <c r="E91" s="381"/>
      <c r="F91" s="381"/>
      <c r="G91" s="381"/>
      <c r="H91" s="381"/>
      <c r="I91" s="381"/>
      <c r="K91" s="381"/>
      <c r="S91" s="249"/>
      <c r="T91" s="249"/>
      <c r="U91" s="249"/>
      <c r="V91" s="249"/>
      <c r="W91" s="249"/>
      <c r="X91" s="249"/>
    </row>
    <row r="92" spans="4:24">
      <c r="D92" s="370"/>
      <c r="J92" s="381"/>
      <c r="L92" s="249"/>
      <c r="M92" s="249"/>
      <c r="N92" s="249"/>
      <c r="O92" s="249"/>
      <c r="P92" s="249"/>
      <c r="Q92" s="249"/>
      <c r="R92" s="249"/>
      <c r="S92" s="388"/>
      <c r="T92" s="388"/>
      <c r="U92" s="388"/>
      <c r="V92" s="388"/>
      <c r="W92" s="388"/>
      <c r="X92" s="388"/>
    </row>
    <row r="93" spans="4:24">
      <c r="D93" s="370"/>
      <c r="J93" s="381"/>
      <c r="K93" s="381"/>
      <c r="N93" s="388"/>
      <c r="O93" s="388"/>
      <c r="P93" s="388"/>
      <c r="Q93" s="388"/>
      <c r="R93" s="388"/>
    </row>
    <row r="94" spans="4:24">
      <c r="D94" s="345"/>
      <c r="E94" s="381"/>
      <c r="F94" s="381"/>
      <c r="G94" s="381"/>
      <c r="H94" s="381"/>
      <c r="I94" s="381"/>
      <c r="K94" s="381"/>
      <c r="S94" s="249"/>
      <c r="T94" s="249"/>
      <c r="U94" s="249"/>
      <c r="V94" s="249"/>
      <c r="W94" s="249"/>
      <c r="X94" s="249"/>
    </row>
    <row r="95" spans="4:24">
      <c r="D95" s="370"/>
      <c r="K95" s="381"/>
      <c r="L95" s="249"/>
      <c r="M95" s="249"/>
      <c r="N95" s="249"/>
      <c r="O95" s="249"/>
      <c r="P95" s="249"/>
      <c r="Q95" s="249"/>
      <c r="R95" s="249"/>
      <c r="S95" s="388"/>
      <c r="T95" s="388"/>
      <c r="U95" s="388"/>
      <c r="V95" s="388"/>
      <c r="W95" s="388"/>
      <c r="X95" s="388"/>
    </row>
    <row r="96" spans="4:24">
      <c r="D96" s="345"/>
      <c r="E96" s="381"/>
      <c r="F96" s="381"/>
      <c r="G96" s="381"/>
      <c r="H96" s="381"/>
      <c r="I96" s="381"/>
      <c r="N96" s="388"/>
      <c r="O96" s="388"/>
      <c r="P96" s="388"/>
      <c r="Q96" s="388"/>
      <c r="R96" s="388"/>
      <c r="S96" s="389"/>
      <c r="T96" s="389"/>
      <c r="U96" s="389"/>
      <c r="V96" s="389"/>
      <c r="W96" s="389"/>
      <c r="X96" s="389"/>
    </row>
    <row r="97" spans="4:24">
      <c r="D97" s="370"/>
      <c r="E97" s="381"/>
      <c r="F97" s="381"/>
      <c r="G97" s="381"/>
      <c r="H97" s="381"/>
      <c r="I97" s="381"/>
      <c r="L97" s="389"/>
      <c r="M97" s="389"/>
      <c r="N97" s="389"/>
      <c r="O97" s="389"/>
      <c r="P97" s="389"/>
      <c r="Q97" s="389"/>
      <c r="R97" s="389"/>
      <c r="S97" s="388"/>
      <c r="T97" s="388"/>
      <c r="U97" s="388"/>
      <c r="V97" s="388"/>
      <c r="W97" s="388"/>
      <c r="X97" s="388"/>
    </row>
    <row r="98" spans="4:24">
      <c r="D98" s="370"/>
      <c r="K98" s="381"/>
      <c r="N98" s="388"/>
      <c r="O98" s="388"/>
      <c r="P98" s="388"/>
      <c r="Q98" s="388"/>
      <c r="R98" s="388"/>
    </row>
    <row r="99" spans="4:24">
      <c r="D99" s="370"/>
      <c r="K99" s="381"/>
      <c r="S99" s="249"/>
      <c r="T99" s="249"/>
      <c r="U99" s="249"/>
      <c r="V99" s="249"/>
      <c r="W99" s="249"/>
      <c r="X99" s="249"/>
    </row>
    <row r="100" spans="4:24">
      <c r="D100" s="345"/>
      <c r="E100" s="381"/>
      <c r="F100" s="381"/>
      <c r="G100" s="381"/>
      <c r="H100" s="381"/>
      <c r="I100" s="381"/>
      <c r="L100" s="249"/>
      <c r="M100" s="249"/>
      <c r="N100" s="249"/>
      <c r="O100" s="249"/>
      <c r="P100" s="249"/>
      <c r="Q100" s="249"/>
      <c r="R100" s="249"/>
      <c r="S100" s="390"/>
      <c r="T100" s="390"/>
      <c r="U100" s="390"/>
      <c r="V100" s="390"/>
      <c r="W100" s="390"/>
      <c r="X100" s="390"/>
    </row>
    <row r="101" spans="4:24">
      <c r="D101" s="370"/>
      <c r="E101" s="381"/>
      <c r="F101" s="381"/>
      <c r="G101" s="381"/>
      <c r="H101" s="381"/>
      <c r="I101" s="381"/>
      <c r="N101" s="388"/>
      <c r="O101" s="388"/>
      <c r="P101" s="390"/>
      <c r="Q101" s="390"/>
      <c r="R101" s="390"/>
      <c r="S101" s="249"/>
      <c r="T101" s="249"/>
      <c r="U101" s="249"/>
      <c r="V101" s="249"/>
      <c r="W101" s="249"/>
      <c r="X101" s="249"/>
    </row>
    <row r="102" spans="4:24">
      <c r="D102" s="370"/>
      <c r="L102" s="249"/>
      <c r="M102" s="249"/>
      <c r="N102" s="249"/>
      <c r="O102" s="249"/>
      <c r="P102" s="249"/>
      <c r="Q102" s="249"/>
      <c r="R102" s="249"/>
      <c r="S102" s="388"/>
      <c r="T102" s="388"/>
      <c r="U102" s="388"/>
      <c r="V102" s="388"/>
      <c r="W102" s="388"/>
      <c r="X102" s="388"/>
    </row>
    <row r="103" spans="4:24">
      <c r="D103" s="345"/>
      <c r="E103" s="381"/>
      <c r="F103" s="381"/>
      <c r="G103" s="381"/>
      <c r="H103" s="381"/>
      <c r="I103" s="381"/>
      <c r="N103" s="388"/>
      <c r="O103" s="388"/>
      <c r="P103" s="388"/>
      <c r="Q103" s="388"/>
      <c r="R103" s="388"/>
      <c r="S103" s="248"/>
      <c r="T103" s="248"/>
      <c r="U103" s="248"/>
      <c r="V103" s="248"/>
      <c r="W103" s="248"/>
      <c r="X103" s="248"/>
    </row>
    <row r="104" spans="4:24">
      <c r="D104" s="370"/>
      <c r="J104" s="381"/>
      <c r="L104" s="248"/>
      <c r="M104" s="248"/>
      <c r="N104" s="248"/>
      <c r="O104" s="248"/>
      <c r="P104" s="248"/>
      <c r="Q104" s="248"/>
      <c r="R104" s="248"/>
    </row>
    <row r="105" spans="4:24">
      <c r="D105" s="370"/>
      <c r="J105" s="381"/>
      <c r="S105" s="247"/>
      <c r="T105" s="247"/>
      <c r="U105" s="247"/>
      <c r="V105" s="247"/>
      <c r="W105" s="247"/>
      <c r="X105" s="247"/>
    </row>
    <row r="106" spans="4:24">
      <c r="D106" s="345"/>
      <c r="E106" s="381"/>
      <c r="F106" s="381"/>
      <c r="G106" s="381"/>
      <c r="H106" s="381"/>
      <c r="I106" s="381"/>
      <c r="L106" s="247"/>
      <c r="M106" s="247"/>
      <c r="N106" s="247"/>
      <c r="O106" s="247"/>
      <c r="P106" s="247"/>
      <c r="Q106" s="247"/>
      <c r="R106" s="247"/>
      <c r="S106" s="388"/>
      <c r="T106" s="388"/>
      <c r="U106" s="388"/>
      <c r="V106" s="388"/>
      <c r="W106" s="388"/>
      <c r="X106" s="388"/>
    </row>
    <row r="107" spans="4:24">
      <c r="D107" s="370"/>
      <c r="N107" s="388"/>
      <c r="O107" s="388"/>
      <c r="P107" s="388"/>
      <c r="Q107" s="388"/>
      <c r="R107" s="388"/>
    </row>
    <row r="108" spans="4:24">
      <c r="D108" s="370"/>
      <c r="J108" s="381"/>
      <c r="S108" s="389"/>
      <c r="T108" s="389"/>
      <c r="U108" s="389"/>
      <c r="V108" s="389"/>
      <c r="W108" s="389"/>
      <c r="X108" s="389"/>
    </row>
    <row r="109" spans="4:24">
      <c r="D109" s="370"/>
      <c r="J109" s="381"/>
      <c r="L109" s="389"/>
      <c r="M109" s="389"/>
      <c r="N109" s="389"/>
      <c r="O109" s="389"/>
      <c r="P109" s="389"/>
      <c r="Q109" s="389"/>
      <c r="R109" s="389"/>
      <c r="S109" s="388"/>
      <c r="T109" s="388"/>
      <c r="U109" s="388"/>
      <c r="V109" s="388"/>
      <c r="W109" s="388"/>
      <c r="X109" s="388"/>
    </row>
    <row r="110" spans="4:24">
      <c r="D110" s="345"/>
      <c r="E110" s="381"/>
      <c r="F110" s="381"/>
      <c r="G110" s="381"/>
      <c r="H110" s="381"/>
      <c r="I110" s="381"/>
      <c r="K110" s="381"/>
      <c r="N110" s="388"/>
      <c r="O110" s="388"/>
      <c r="P110" s="388"/>
      <c r="Q110" s="388"/>
      <c r="R110" s="388"/>
    </row>
    <row r="111" spans="4:24">
      <c r="D111" s="370"/>
      <c r="K111" s="381"/>
      <c r="S111" s="391"/>
      <c r="T111" s="391"/>
      <c r="U111" s="391"/>
      <c r="V111" s="391"/>
      <c r="W111" s="391"/>
      <c r="X111" s="391"/>
    </row>
    <row r="112" spans="4:24">
      <c r="D112" s="370"/>
      <c r="E112" s="345"/>
      <c r="F112" s="345"/>
      <c r="G112" s="345"/>
      <c r="H112" s="345"/>
      <c r="I112" s="345"/>
      <c r="J112" s="381"/>
      <c r="L112" s="391"/>
      <c r="M112" s="391"/>
      <c r="N112" s="391"/>
      <c r="O112" s="391"/>
      <c r="P112" s="391"/>
      <c r="Q112" s="391"/>
      <c r="R112" s="391"/>
      <c r="S112" s="388"/>
      <c r="T112" s="388"/>
      <c r="U112" s="388"/>
      <c r="V112" s="388"/>
      <c r="W112" s="388"/>
      <c r="X112" s="388"/>
    </row>
    <row r="113" spans="4:24">
      <c r="D113" s="370"/>
      <c r="E113" s="345"/>
      <c r="F113" s="345"/>
      <c r="G113" s="345"/>
      <c r="H113" s="345"/>
      <c r="I113" s="345"/>
      <c r="N113" s="388"/>
      <c r="O113" s="388"/>
      <c r="P113" s="388"/>
      <c r="Q113" s="388"/>
      <c r="R113" s="388"/>
      <c r="S113" s="248"/>
      <c r="T113" s="248"/>
      <c r="U113" s="248"/>
      <c r="V113" s="248"/>
      <c r="W113" s="248"/>
      <c r="X113" s="248"/>
    </row>
    <row r="114" spans="4:24">
      <c r="D114" s="370"/>
      <c r="K114" s="381"/>
      <c r="N114" s="248"/>
      <c r="O114" s="248"/>
      <c r="P114" s="248"/>
      <c r="Q114" s="248"/>
      <c r="R114" s="248"/>
    </row>
    <row r="115" spans="4:24">
      <c r="D115" s="370"/>
      <c r="K115" s="381"/>
      <c r="S115" s="247"/>
      <c r="T115" s="247"/>
      <c r="U115" s="247"/>
      <c r="V115" s="247"/>
      <c r="W115" s="247"/>
      <c r="X115" s="247"/>
    </row>
    <row r="116" spans="4:24">
      <c r="D116" s="370"/>
      <c r="L116" s="247"/>
      <c r="M116" s="247"/>
      <c r="N116" s="247"/>
      <c r="O116" s="247"/>
      <c r="P116" s="247"/>
      <c r="Q116" s="247"/>
      <c r="R116" s="247"/>
      <c r="S116" s="388"/>
      <c r="T116" s="388"/>
      <c r="U116" s="388"/>
      <c r="V116" s="388"/>
      <c r="W116" s="388"/>
      <c r="X116" s="388"/>
    </row>
    <row r="117" spans="4:24">
      <c r="D117" s="345"/>
      <c r="E117" s="381"/>
      <c r="F117" s="381"/>
      <c r="G117" s="381"/>
      <c r="H117" s="381"/>
      <c r="I117" s="381"/>
      <c r="N117" s="388"/>
      <c r="O117" s="388"/>
      <c r="P117" s="388"/>
      <c r="Q117" s="388"/>
      <c r="R117" s="388"/>
      <c r="S117" s="274"/>
      <c r="T117" s="274"/>
      <c r="U117" s="274"/>
      <c r="V117" s="274"/>
      <c r="W117" s="274"/>
      <c r="X117" s="274"/>
    </row>
    <row r="118" spans="4:24">
      <c r="D118" s="345"/>
      <c r="E118" s="381"/>
      <c r="F118" s="381"/>
      <c r="G118" s="381"/>
      <c r="H118" s="381"/>
      <c r="I118" s="381"/>
      <c r="K118" s="381"/>
      <c r="L118" s="274"/>
      <c r="M118" s="274"/>
      <c r="N118" s="274"/>
      <c r="O118" s="274"/>
      <c r="P118" s="274"/>
      <c r="Q118" s="274"/>
      <c r="R118" s="274"/>
    </row>
    <row r="119" spans="4:24">
      <c r="D119" s="370"/>
      <c r="E119" s="381"/>
      <c r="F119" s="381"/>
      <c r="G119" s="381"/>
      <c r="H119" s="381"/>
      <c r="I119" s="381"/>
      <c r="S119" s="389"/>
      <c r="T119" s="389"/>
      <c r="U119" s="389"/>
      <c r="V119" s="389"/>
      <c r="W119" s="389"/>
      <c r="X119" s="389"/>
    </row>
    <row r="120" spans="4:24">
      <c r="D120" s="370"/>
      <c r="E120" s="381"/>
      <c r="F120" s="381"/>
      <c r="G120" s="381"/>
      <c r="H120" s="381"/>
      <c r="I120" s="381"/>
      <c r="L120" s="389"/>
      <c r="M120" s="389"/>
      <c r="N120" s="389"/>
      <c r="O120" s="389"/>
      <c r="P120" s="389"/>
      <c r="Q120" s="389"/>
      <c r="R120" s="389"/>
      <c r="S120" s="388"/>
      <c r="T120" s="388"/>
      <c r="U120" s="388"/>
      <c r="V120" s="388"/>
      <c r="W120" s="388"/>
      <c r="X120" s="388"/>
    </row>
    <row r="121" spans="4:24">
      <c r="D121" s="370"/>
      <c r="N121" s="388"/>
      <c r="O121" s="388"/>
      <c r="P121" s="388"/>
      <c r="Q121" s="388"/>
      <c r="R121" s="388"/>
    </row>
    <row r="122" spans="4:24">
      <c r="D122" s="345"/>
      <c r="E122" s="381"/>
      <c r="F122" s="381"/>
      <c r="G122" s="381"/>
      <c r="H122" s="381"/>
      <c r="I122" s="381"/>
    </row>
    <row r="123" spans="4:24">
      <c r="D123" s="370"/>
      <c r="E123" s="381"/>
      <c r="F123" s="381"/>
      <c r="G123" s="381"/>
      <c r="H123" s="381"/>
      <c r="I123" s="381"/>
      <c r="S123" s="249"/>
      <c r="T123" s="249"/>
      <c r="U123" s="249"/>
      <c r="V123" s="249"/>
      <c r="W123" s="249"/>
      <c r="X123" s="249"/>
    </row>
    <row r="124" spans="4:24">
      <c r="D124" s="370"/>
      <c r="E124" s="381"/>
      <c r="F124" s="381"/>
      <c r="G124" s="381"/>
      <c r="H124" s="381"/>
      <c r="I124" s="381"/>
      <c r="L124" s="249"/>
      <c r="M124" s="249"/>
      <c r="N124" s="249"/>
      <c r="O124" s="249"/>
      <c r="P124" s="249"/>
      <c r="Q124" s="249"/>
      <c r="R124" s="249"/>
      <c r="S124" s="388"/>
      <c r="T124" s="388"/>
      <c r="U124" s="388"/>
      <c r="V124" s="388"/>
      <c r="W124" s="388"/>
      <c r="X124" s="388"/>
    </row>
    <row r="125" spans="4:24">
      <c r="D125" s="370"/>
      <c r="N125" s="388"/>
      <c r="O125" s="388"/>
      <c r="P125" s="388"/>
      <c r="Q125" s="388"/>
      <c r="R125" s="388"/>
    </row>
    <row r="126" spans="4:24">
      <c r="D126" s="370"/>
      <c r="S126" s="249"/>
      <c r="T126" s="249"/>
      <c r="U126" s="249"/>
      <c r="V126" s="249"/>
      <c r="W126" s="249"/>
      <c r="X126" s="249"/>
    </row>
    <row r="127" spans="4:24">
      <c r="D127" s="370"/>
      <c r="J127" s="381"/>
      <c r="L127" s="249"/>
      <c r="M127" s="249"/>
      <c r="N127" s="249"/>
      <c r="O127" s="249"/>
      <c r="P127" s="249"/>
      <c r="Q127" s="249"/>
      <c r="R127" s="249"/>
      <c r="S127" s="390"/>
      <c r="T127" s="390"/>
      <c r="U127" s="390"/>
      <c r="V127" s="390"/>
      <c r="W127" s="390"/>
      <c r="X127" s="390"/>
    </row>
    <row r="128" spans="4:24">
      <c r="D128" s="370"/>
      <c r="J128" s="381"/>
      <c r="N128" s="388"/>
      <c r="O128" s="388"/>
      <c r="P128" s="390"/>
      <c r="Q128" s="390"/>
      <c r="R128" s="390"/>
    </row>
    <row r="129" spans="4:24">
      <c r="D129" s="370"/>
      <c r="S129" s="389"/>
      <c r="T129" s="389"/>
      <c r="U129" s="389"/>
      <c r="V129" s="389"/>
      <c r="W129" s="389"/>
      <c r="X129" s="389"/>
    </row>
    <row r="130" spans="4:24">
      <c r="D130" s="370"/>
      <c r="J130" s="381"/>
      <c r="L130" s="389"/>
      <c r="M130" s="389"/>
      <c r="N130" s="389"/>
      <c r="O130" s="389"/>
      <c r="P130" s="389"/>
      <c r="Q130" s="389"/>
      <c r="R130" s="389"/>
      <c r="S130" s="392"/>
      <c r="T130" s="392"/>
      <c r="U130" s="392"/>
      <c r="V130" s="392"/>
      <c r="W130" s="392"/>
      <c r="X130" s="392"/>
    </row>
    <row r="131" spans="4:24">
      <c r="D131" s="370"/>
      <c r="J131" s="381"/>
      <c r="N131" s="392"/>
      <c r="O131" s="392"/>
      <c r="P131" s="392"/>
      <c r="Q131" s="392"/>
      <c r="R131" s="392"/>
      <c r="S131" s="392"/>
      <c r="T131" s="392"/>
      <c r="U131" s="392"/>
      <c r="V131" s="392"/>
      <c r="W131" s="392"/>
      <c r="X131" s="392"/>
    </row>
    <row r="132" spans="4:24">
      <c r="D132" s="370"/>
      <c r="J132" s="381"/>
      <c r="L132" s="392"/>
      <c r="M132" s="392"/>
      <c r="N132" s="392"/>
      <c r="O132" s="392"/>
      <c r="P132" s="392"/>
      <c r="Q132" s="392"/>
      <c r="R132" s="392"/>
    </row>
    <row r="133" spans="4:24">
      <c r="D133" s="370"/>
      <c r="K133" s="381"/>
      <c r="S133" s="388"/>
      <c r="T133" s="388"/>
      <c r="U133" s="388"/>
      <c r="V133" s="388"/>
      <c r="W133" s="388"/>
      <c r="X133" s="388"/>
    </row>
    <row r="134" spans="4:24">
      <c r="D134" s="345"/>
      <c r="E134" s="381"/>
      <c r="F134" s="381"/>
      <c r="G134" s="381"/>
      <c r="H134" s="381"/>
      <c r="I134" s="381"/>
      <c r="K134" s="381"/>
      <c r="L134" s="388"/>
      <c r="M134" s="388"/>
      <c r="N134" s="388"/>
      <c r="O134" s="388"/>
      <c r="P134" s="388"/>
      <c r="Q134" s="388"/>
      <c r="R134" s="388"/>
      <c r="S134" s="389"/>
      <c r="T134" s="389"/>
      <c r="U134" s="389"/>
      <c r="V134" s="389"/>
      <c r="W134" s="389"/>
      <c r="X134" s="389"/>
    </row>
    <row r="135" spans="4:24">
      <c r="D135" s="370"/>
      <c r="J135" s="381"/>
      <c r="L135" s="389"/>
      <c r="M135" s="389"/>
      <c r="N135" s="389"/>
      <c r="O135" s="389"/>
      <c r="P135" s="389"/>
      <c r="Q135" s="389"/>
      <c r="R135" s="389"/>
      <c r="S135" s="392"/>
      <c r="T135" s="392"/>
      <c r="U135" s="392"/>
      <c r="V135" s="392"/>
      <c r="W135" s="392"/>
      <c r="X135" s="392"/>
    </row>
    <row r="136" spans="4:24">
      <c r="D136" s="370"/>
      <c r="J136" s="381"/>
      <c r="K136" s="381"/>
      <c r="R136" s="392"/>
    </row>
    <row r="137" spans="4:24">
      <c r="D137" s="345"/>
      <c r="E137" s="381"/>
      <c r="F137" s="381"/>
      <c r="G137" s="381"/>
      <c r="H137" s="381"/>
      <c r="I137" s="381"/>
      <c r="K137" s="381"/>
      <c r="S137" s="389"/>
      <c r="T137" s="389"/>
      <c r="U137" s="389"/>
      <c r="V137" s="389"/>
      <c r="W137" s="389"/>
      <c r="X137" s="389"/>
    </row>
    <row r="138" spans="4:24">
      <c r="D138" s="370"/>
      <c r="K138" s="381"/>
      <c r="L138" s="389"/>
      <c r="M138" s="389"/>
      <c r="N138" s="389"/>
      <c r="O138" s="389"/>
      <c r="P138" s="389"/>
      <c r="Q138" s="389"/>
      <c r="R138" s="389"/>
      <c r="S138" s="392"/>
      <c r="T138" s="392"/>
      <c r="U138" s="392"/>
      <c r="V138" s="392"/>
      <c r="W138" s="392"/>
      <c r="X138" s="392"/>
    </row>
    <row r="139" spans="4:24">
      <c r="D139" s="345"/>
      <c r="E139" s="381"/>
      <c r="F139" s="381"/>
      <c r="G139" s="381"/>
      <c r="H139" s="381"/>
      <c r="I139" s="381"/>
      <c r="N139" s="392"/>
      <c r="O139" s="392"/>
      <c r="P139" s="392"/>
      <c r="Q139" s="392"/>
      <c r="R139" s="392"/>
    </row>
    <row r="140" spans="4:24">
      <c r="D140" s="370"/>
      <c r="E140" s="381"/>
      <c r="F140" s="381"/>
      <c r="G140" s="381"/>
      <c r="H140" s="381"/>
      <c r="I140" s="381"/>
    </row>
    <row r="141" spans="4:24">
      <c r="D141" s="370"/>
      <c r="K141" s="381"/>
    </row>
    <row r="142" spans="4:24">
      <c r="D142" s="370"/>
      <c r="K142" s="381"/>
    </row>
    <row r="143" spans="4:24">
      <c r="D143" s="345"/>
      <c r="E143" s="381"/>
      <c r="F143" s="381"/>
      <c r="G143" s="381"/>
      <c r="H143" s="381"/>
      <c r="I143" s="381"/>
    </row>
    <row r="144" spans="4:24">
      <c r="D144" s="370"/>
      <c r="E144" s="381"/>
      <c r="F144" s="381"/>
      <c r="G144" s="381"/>
      <c r="H144" s="381"/>
      <c r="I144" s="381"/>
    </row>
    <row r="145" spans="4:11">
      <c r="D145" s="370"/>
    </row>
    <row r="146" spans="4:11">
      <c r="D146" s="345"/>
      <c r="E146" s="381"/>
      <c r="F146" s="381"/>
      <c r="G146" s="381"/>
      <c r="H146" s="381"/>
      <c r="I146" s="381"/>
    </row>
    <row r="147" spans="4:11">
      <c r="D147" s="370"/>
      <c r="J147" s="381"/>
    </row>
    <row r="148" spans="4:11">
      <c r="D148" s="370"/>
      <c r="J148" s="381"/>
    </row>
    <row r="149" spans="4:11">
      <c r="D149" s="345"/>
      <c r="E149" s="381"/>
      <c r="F149" s="381"/>
      <c r="G149" s="381"/>
      <c r="H149" s="381"/>
      <c r="I149" s="381"/>
    </row>
    <row r="150" spans="4:11">
      <c r="D150" s="370"/>
    </row>
    <row r="151" spans="4:11">
      <c r="D151" s="370"/>
      <c r="J151" s="381"/>
    </row>
    <row r="152" spans="4:11">
      <c r="D152" s="370"/>
      <c r="J152" s="381"/>
    </row>
    <row r="153" spans="4:11">
      <c r="D153" s="345"/>
      <c r="E153" s="381"/>
      <c r="F153" s="381"/>
      <c r="G153" s="381"/>
      <c r="H153" s="381"/>
      <c r="I153" s="381"/>
      <c r="K153" s="381"/>
    </row>
    <row r="154" spans="4:11">
      <c r="D154" s="370"/>
      <c r="K154" s="381"/>
    </row>
    <row r="155" spans="4:11">
      <c r="D155" s="370"/>
      <c r="E155" s="345"/>
      <c r="F155" s="345"/>
      <c r="G155" s="345"/>
      <c r="H155" s="345"/>
      <c r="I155" s="345"/>
      <c r="J155" s="381"/>
    </row>
    <row r="156" spans="4:11">
      <c r="D156" s="370"/>
      <c r="E156" s="345"/>
      <c r="F156" s="345"/>
      <c r="G156" s="345"/>
      <c r="H156" s="345"/>
      <c r="I156" s="345"/>
    </row>
    <row r="157" spans="4:11">
      <c r="D157" s="370"/>
      <c r="K157" s="381"/>
    </row>
    <row r="158" spans="4:11">
      <c r="D158" s="370"/>
      <c r="K158" s="381"/>
    </row>
    <row r="160" spans="4:11">
      <c r="D160" s="345"/>
      <c r="E160" s="381"/>
      <c r="F160" s="381"/>
      <c r="G160" s="381"/>
      <c r="H160" s="381"/>
      <c r="I160" s="381"/>
    </row>
    <row r="161" spans="4:11">
      <c r="D161" s="345"/>
      <c r="E161" s="381"/>
      <c r="F161" s="381"/>
      <c r="G161" s="381"/>
      <c r="H161" s="381"/>
      <c r="I161" s="381"/>
      <c r="K161" s="381"/>
    </row>
    <row r="162" spans="4:11">
      <c r="D162" s="370"/>
      <c r="E162" s="381"/>
      <c r="F162" s="381"/>
      <c r="G162" s="381"/>
      <c r="H162" s="381"/>
      <c r="I162" s="381"/>
    </row>
    <row r="163" spans="4:11">
      <c r="D163" s="370"/>
      <c r="E163" s="381"/>
      <c r="F163" s="381"/>
      <c r="G163" s="381"/>
      <c r="H163" s="381"/>
      <c r="I163" s="381"/>
    </row>
    <row r="164" spans="4:11">
      <c r="D164" s="370"/>
    </row>
    <row r="165" spans="4:11">
      <c r="D165" s="345"/>
      <c r="E165" s="381"/>
      <c r="F165" s="381"/>
      <c r="G165" s="381"/>
      <c r="H165" s="381"/>
      <c r="I165" s="381"/>
    </row>
    <row r="166" spans="4:11">
      <c r="D166" s="370"/>
      <c r="E166" s="381"/>
      <c r="F166" s="381"/>
      <c r="G166" s="381"/>
      <c r="H166" s="381"/>
      <c r="I166" s="381"/>
    </row>
    <row r="167" spans="4:11">
      <c r="D167" s="370"/>
      <c r="E167" s="381"/>
      <c r="F167" s="381"/>
      <c r="G167" s="381"/>
      <c r="H167" s="381"/>
      <c r="I167" s="381"/>
    </row>
    <row r="168" spans="4:11">
      <c r="D168" s="370"/>
    </row>
    <row r="169" spans="4:11">
      <c r="D169" s="370"/>
    </row>
    <row r="170" spans="4:11">
      <c r="D170" s="370"/>
      <c r="J170" s="381"/>
    </row>
    <row r="171" spans="4:11">
      <c r="D171" s="370"/>
      <c r="J171" s="381"/>
    </row>
    <row r="172" spans="4:11">
      <c r="D172" s="370"/>
    </row>
    <row r="173" spans="4:11">
      <c r="D173" s="370"/>
      <c r="J173" s="381"/>
    </row>
    <row r="174" spans="4:11">
      <c r="D174" s="370"/>
      <c r="J174" s="381"/>
    </row>
    <row r="175" spans="4:11">
      <c r="D175" s="370"/>
      <c r="J175" s="381"/>
    </row>
    <row r="176" spans="4:11">
      <c r="D176" s="370"/>
      <c r="K176" s="381"/>
    </row>
    <row r="177" spans="4:11">
      <c r="D177" s="345"/>
      <c r="E177" s="381"/>
      <c r="F177" s="381"/>
      <c r="G177" s="381"/>
      <c r="H177" s="381"/>
      <c r="I177" s="381"/>
      <c r="K177" s="381"/>
    </row>
    <row r="178" spans="4:11">
      <c r="D178" s="370"/>
      <c r="J178" s="381"/>
    </row>
    <row r="179" spans="4:11">
      <c r="D179" s="370"/>
      <c r="J179" s="381"/>
      <c r="K179" s="381"/>
    </row>
    <row r="180" spans="4:11">
      <c r="D180" s="345"/>
      <c r="E180" s="381"/>
      <c r="F180" s="381"/>
      <c r="G180" s="381"/>
      <c r="H180" s="381"/>
      <c r="I180" s="381"/>
      <c r="K180" s="381"/>
    </row>
    <row r="181" spans="4:11">
      <c r="D181" s="370"/>
      <c r="K181" s="381"/>
    </row>
    <row r="182" spans="4:11">
      <c r="D182" s="345"/>
      <c r="E182" s="381"/>
      <c r="F182" s="381"/>
      <c r="G182" s="381"/>
      <c r="H182" s="381"/>
      <c r="I182" s="381"/>
    </row>
    <row r="183" spans="4:11">
      <c r="D183" s="370"/>
      <c r="E183" s="381"/>
      <c r="F183" s="381"/>
      <c r="G183" s="381"/>
      <c r="H183" s="381"/>
      <c r="I183" s="381"/>
    </row>
    <row r="184" spans="4:11">
      <c r="D184" s="370"/>
      <c r="K184" s="381"/>
    </row>
    <row r="185" spans="4:11">
      <c r="D185" s="370"/>
      <c r="K185" s="381"/>
    </row>
    <row r="186" spans="4:11">
      <c r="D186" s="345"/>
      <c r="E186" s="381"/>
      <c r="F186" s="381"/>
      <c r="G186" s="381"/>
      <c r="H186" s="381"/>
      <c r="I186" s="381"/>
    </row>
    <row r="187" spans="4:11">
      <c r="D187" s="370"/>
      <c r="E187" s="381"/>
      <c r="F187" s="381"/>
      <c r="G187" s="381"/>
      <c r="H187" s="381"/>
      <c r="I187" s="381"/>
    </row>
    <row r="188" spans="4:11">
      <c r="D188" s="370"/>
    </row>
    <row r="189" spans="4:11">
      <c r="D189" s="345"/>
      <c r="E189" s="381"/>
      <c r="F189" s="381"/>
      <c r="G189" s="381"/>
      <c r="H189" s="381"/>
      <c r="I189" s="381"/>
    </row>
    <row r="190" spans="4:11">
      <c r="D190" s="370"/>
      <c r="J190" s="381"/>
    </row>
    <row r="191" spans="4:11">
      <c r="D191" s="370"/>
      <c r="J191" s="381"/>
    </row>
    <row r="192" spans="4:11">
      <c r="D192" s="345"/>
      <c r="E192" s="381"/>
      <c r="F192" s="381"/>
      <c r="G192" s="381"/>
      <c r="H192" s="381"/>
      <c r="I192" s="381"/>
    </row>
    <row r="193" spans="4:11">
      <c r="D193" s="370"/>
    </row>
    <row r="194" spans="4:11">
      <c r="D194" s="370"/>
      <c r="J194" s="381"/>
    </row>
    <row r="195" spans="4:11">
      <c r="D195" s="370"/>
      <c r="J195" s="381"/>
    </row>
    <row r="196" spans="4:11">
      <c r="D196" s="345"/>
      <c r="E196" s="381"/>
      <c r="F196" s="381"/>
      <c r="G196" s="381"/>
      <c r="H196" s="381"/>
      <c r="I196" s="381"/>
      <c r="K196" s="381"/>
    </row>
    <row r="197" spans="4:11">
      <c r="D197" s="370"/>
      <c r="K197" s="381"/>
    </row>
    <row r="198" spans="4:11">
      <c r="D198" s="370"/>
      <c r="E198" s="345"/>
      <c r="F198" s="345"/>
      <c r="G198" s="345"/>
      <c r="H198" s="345"/>
      <c r="I198" s="345"/>
      <c r="J198" s="381"/>
    </row>
    <row r="199" spans="4:11">
      <c r="D199" s="370"/>
      <c r="E199" s="345"/>
      <c r="F199" s="345"/>
      <c r="G199" s="345"/>
      <c r="H199" s="345"/>
      <c r="I199" s="345"/>
    </row>
    <row r="200" spans="4:11">
      <c r="D200" s="370"/>
      <c r="K200" s="381"/>
    </row>
    <row r="201" spans="4:11">
      <c r="D201" s="370"/>
      <c r="K201" s="381"/>
    </row>
    <row r="202" spans="4:11">
      <c r="D202" s="370"/>
    </row>
    <row r="203" spans="4:11">
      <c r="D203" s="345"/>
      <c r="E203" s="381"/>
      <c r="F203" s="381"/>
      <c r="G203" s="381"/>
      <c r="H203" s="381"/>
      <c r="I203" s="381"/>
    </row>
    <row r="204" spans="4:11">
      <c r="D204" s="345"/>
      <c r="E204" s="381"/>
      <c r="F204" s="381"/>
      <c r="G204" s="381"/>
      <c r="H204" s="381"/>
      <c r="I204" s="381"/>
      <c r="K204" s="381"/>
    </row>
    <row r="205" spans="4:11">
      <c r="D205" s="370"/>
      <c r="E205" s="381"/>
      <c r="F205" s="381"/>
      <c r="G205" s="381"/>
      <c r="H205" s="381"/>
      <c r="I205" s="381"/>
    </row>
    <row r="206" spans="4:11">
      <c r="D206" s="370"/>
      <c r="E206" s="381"/>
      <c r="F206" s="381"/>
      <c r="G206" s="381"/>
      <c r="H206" s="381"/>
      <c r="I206" s="381"/>
    </row>
    <row r="207" spans="4:11">
      <c r="D207" s="370"/>
    </row>
    <row r="208" spans="4:11">
      <c r="D208" s="345"/>
      <c r="E208" s="381"/>
      <c r="F208" s="381"/>
      <c r="G208" s="381"/>
      <c r="H208" s="381"/>
      <c r="I208" s="381"/>
    </row>
    <row r="209" spans="4:11">
      <c r="D209" s="370"/>
      <c r="E209" s="381"/>
      <c r="F209" s="381"/>
      <c r="G209" s="381"/>
      <c r="H209" s="381"/>
      <c r="I209" s="381"/>
    </row>
    <row r="210" spans="4:11">
      <c r="D210" s="370"/>
      <c r="E210" s="381"/>
      <c r="F210" s="381"/>
      <c r="G210" s="381"/>
      <c r="H210" s="381"/>
      <c r="I210" s="381"/>
    </row>
    <row r="211" spans="4:11">
      <c r="D211" s="370"/>
    </row>
    <row r="212" spans="4:11">
      <c r="D212" s="370"/>
    </row>
    <row r="213" spans="4:11">
      <c r="D213" s="370"/>
      <c r="J213" s="381"/>
    </row>
    <row r="214" spans="4:11">
      <c r="D214" s="370"/>
      <c r="J214" s="381"/>
    </row>
    <row r="215" spans="4:11">
      <c r="D215" s="370"/>
    </row>
    <row r="216" spans="4:11">
      <c r="D216" s="370"/>
      <c r="J216" s="381"/>
    </row>
    <row r="217" spans="4:11">
      <c r="D217" s="370"/>
      <c r="J217" s="381"/>
    </row>
    <row r="218" spans="4:11">
      <c r="D218" s="370"/>
      <c r="J218" s="381"/>
    </row>
    <row r="219" spans="4:11">
      <c r="D219" s="370"/>
      <c r="K219" s="381"/>
    </row>
    <row r="220" spans="4:11">
      <c r="D220" s="345"/>
      <c r="E220" s="381"/>
      <c r="F220" s="381"/>
      <c r="G220" s="381"/>
      <c r="H220" s="381"/>
      <c r="I220" s="381"/>
      <c r="K220" s="381"/>
    </row>
    <row r="221" spans="4:11">
      <c r="D221" s="370"/>
      <c r="J221" s="381"/>
    </row>
    <row r="222" spans="4:11">
      <c r="D222" s="370"/>
      <c r="J222" s="381"/>
      <c r="K222" s="381"/>
    </row>
    <row r="223" spans="4:11">
      <c r="D223" s="345"/>
      <c r="E223" s="381"/>
      <c r="F223" s="381"/>
      <c r="G223" s="381"/>
      <c r="H223" s="381"/>
      <c r="I223" s="381"/>
      <c r="K223" s="381"/>
    </row>
    <row r="224" spans="4:11">
      <c r="D224" s="370"/>
      <c r="K224" s="381"/>
    </row>
    <row r="225" spans="4:11">
      <c r="D225" s="345"/>
      <c r="E225" s="381"/>
      <c r="F225" s="381"/>
      <c r="G225" s="381"/>
      <c r="H225" s="381"/>
      <c r="I225" s="381"/>
    </row>
    <row r="226" spans="4:11">
      <c r="D226" s="370"/>
      <c r="E226" s="381"/>
      <c r="F226" s="381"/>
      <c r="G226" s="381"/>
      <c r="H226" s="381"/>
      <c r="I226" s="381"/>
    </row>
    <row r="227" spans="4:11">
      <c r="D227" s="370"/>
      <c r="K227" s="381"/>
    </row>
    <row r="228" spans="4:11">
      <c r="D228" s="370"/>
      <c r="K228" s="381"/>
    </row>
    <row r="229" spans="4:11">
      <c r="D229" s="345"/>
      <c r="E229" s="381"/>
      <c r="F229" s="381"/>
      <c r="G229" s="381"/>
      <c r="H229" s="381"/>
      <c r="I229" s="381"/>
    </row>
    <row r="230" spans="4:11">
      <c r="D230" s="370"/>
      <c r="E230" s="381"/>
      <c r="F230" s="381"/>
      <c r="G230" s="381"/>
      <c r="H230" s="381"/>
      <c r="I230" s="381"/>
    </row>
    <row r="231" spans="4:11">
      <c r="D231" s="370"/>
    </row>
    <row r="232" spans="4:11">
      <c r="D232" s="345"/>
      <c r="E232" s="381"/>
      <c r="F232" s="381"/>
      <c r="G232" s="381"/>
      <c r="H232" s="381"/>
      <c r="I232" s="381"/>
    </row>
    <row r="233" spans="4:11">
      <c r="D233" s="370"/>
      <c r="J233" s="381"/>
    </row>
    <row r="234" spans="4:11">
      <c r="D234" s="370"/>
      <c r="J234" s="381"/>
    </row>
    <row r="235" spans="4:11">
      <c r="D235" s="345"/>
      <c r="E235" s="381"/>
      <c r="F235" s="381"/>
      <c r="G235" s="381"/>
      <c r="H235" s="381"/>
      <c r="I235" s="381"/>
    </row>
    <row r="236" spans="4:11">
      <c r="D236" s="370"/>
    </row>
    <row r="237" spans="4:11">
      <c r="D237" s="370"/>
      <c r="J237" s="381"/>
    </row>
    <row r="238" spans="4:11">
      <c r="D238" s="370"/>
      <c r="J238" s="381"/>
    </row>
    <row r="239" spans="4:11">
      <c r="D239" s="345"/>
      <c r="E239" s="381"/>
      <c r="F239" s="381"/>
      <c r="G239" s="381"/>
      <c r="H239" s="381"/>
      <c r="I239" s="381"/>
      <c r="K239" s="381"/>
    </row>
    <row r="240" spans="4:11">
      <c r="D240" s="370"/>
      <c r="K240" s="381"/>
    </row>
    <row r="241" spans="4:11">
      <c r="D241" s="370"/>
      <c r="E241" s="345"/>
      <c r="F241" s="345"/>
      <c r="G241" s="345"/>
      <c r="H241" s="345"/>
      <c r="I241" s="345"/>
      <c r="J241" s="381"/>
    </row>
    <row r="242" spans="4:11">
      <c r="D242" s="370"/>
      <c r="E242" s="345"/>
      <c r="F242" s="345"/>
      <c r="G242" s="345"/>
      <c r="H242" s="345"/>
      <c r="I242" s="345"/>
    </row>
    <row r="243" spans="4:11">
      <c r="D243" s="370"/>
      <c r="K243" s="381"/>
    </row>
    <row r="244" spans="4:11">
      <c r="D244" s="370"/>
      <c r="K244" s="381"/>
    </row>
    <row r="245" spans="4:11">
      <c r="D245" s="370"/>
    </row>
    <row r="246" spans="4:11">
      <c r="D246" s="345"/>
      <c r="E246" s="381"/>
      <c r="F246" s="381"/>
      <c r="G246" s="381"/>
      <c r="H246" s="381"/>
      <c r="I246" s="381"/>
    </row>
    <row r="247" spans="4:11">
      <c r="D247" s="345"/>
      <c r="E247" s="381"/>
      <c r="F247" s="381"/>
      <c r="G247" s="381"/>
      <c r="H247" s="381"/>
      <c r="I247" s="381"/>
      <c r="K247" s="381"/>
    </row>
    <row r="248" spans="4:11">
      <c r="D248" s="370"/>
      <c r="E248" s="381"/>
      <c r="F248" s="381"/>
      <c r="G248" s="381"/>
      <c r="H248" s="381"/>
      <c r="I248" s="381"/>
    </row>
    <row r="249" spans="4:11">
      <c r="D249" s="370"/>
      <c r="E249" s="381"/>
      <c r="F249" s="381"/>
      <c r="G249" s="381"/>
      <c r="H249" s="381"/>
      <c r="I249" s="381"/>
    </row>
    <row r="250" spans="4:11">
      <c r="D250" s="370"/>
    </row>
    <row r="251" spans="4:11">
      <c r="D251" s="345"/>
      <c r="E251" s="381"/>
      <c r="F251" s="381"/>
      <c r="G251" s="381"/>
      <c r="H251" s="381"/>
      <c r="I251" s="381"/>
    </row>
    <row r="252" spans="4:11">
      <c r="D252" s="370"/>
      <c r="E252" s="381"/>
      <c r="F252" s="381"/>
      <c r="G252" s="381"/>
      <c r="H252" s="381"/>
      <c r="I252" s="381"/>
    </row>
    <row r="253" spans="4:11">
      <c r="D253" s="370"/>
      <c r="E253" s="381"/>
      <c r="F253" s="381"/>
      <c r="G253" s="381"/>
      <c r="H253" s="381"/>
      <c r="I253" s="381"/>
    </row>
    <row r="254" spans="4:11">
      <c r="D254" s="370"/>
    </row>
    <row r="255" spans="4:11">
      <c r="D255" s="370"/>
    </row>
    <row r="256" spans="4:11">
      <c r="D256" s="370"/>
      <c r="J256" s="381"/>
    </row>
    <row r="257" spans="4:11">
      <c r="D257" s="370"/>
      <c r="J257" s="381"/>
    </row>
    <row r="258" spans="4:11">
      <c r="D258" s="370"/>
    </row>
    <row r="259" spans="4:11">
      <c r="D259" s="370"/>
      <c r="J259" s="381"/>
    </row>
    <row r="260" spans="4:11">
      <c r="D260" s="370"/>
      <c r="J260" s="381"/>
    </row>
    <row r="261" spans="4:11">
      <c r="D261" s="370"/>
      <c r="J261" s="381"/>
    </row>
    <row r="262" spans="4:11">
      <c r="D262" s="370"/>
      <c r="K262" s="381"/>
    </row>
    <row r="263" spans="4:11">
      <c r="D263" s="345"/>
      <c r="E263" s="381"/>
      <c r="F263" s="381"/>
      <c r="G263" s="381"/>
      <c r="H263" s="381"/>
      <c r="I263" s="381"/>
      <c r="K263" s="381"/>
    </row>
    <row r="264" spans="4:11">
      <c r="D264" s="370"/>
      <c r="J264" s="381"/>
    </row>
    <row r="265" spans="4:11">
      <c r="D265" s="370"/>
      <c r="J265" s="381"/>
      <c r="K265" s="381"/>
    </row>
    <row r="266" spans="4:11">
      <c r="D266" s="345"/>
      <c r="E266" s="381"/>
      <c r="F266" s="381"/>
      <c r="G266" s="381"/>
      <c r="H266" s="381"/>
      <c r="I266" s="381"/>
      <c r="K266" s="381"/>
    </row>
    <row r="267" spans="4:11">
      <c r="D267" s="370"/>
      <c r="K267" s="381"/>
    </row>
    <row r="268" spans="4:11">
      <c r="D268" s="345"/>
      <c r="E268" s="381"/>
      <c r="F268" s="381"/>
      <c r="G268" s="381"/>
      <c r="H268" s="381"/>
      <c r="I268" s="381"/>
    </row>
    <row r="269" spans="4:11">
      <c r="D269" s="370"/>
      <c r="E269" s="381"/>
      <c r="F269" s="381"/>
      <c r="G269" s="381"/>
      <c r="H269" s="381"/>
      <c r="I269" s="381"/>
    </row>
    <row r="270" spans="4:11">
      <c r="D270" s="370"/>
      <c r="K270" s="381"/>
    </row>
    <row r="271" spans="4:11">
      <c r="D271" s="370"/>
      <c r="K271" s="381"/>
    </row>
    <row r="272" spans="4:11">
      <c r="D272" s="345"/>
      <c r="E272" s="381"/>
      <c r="F272" s="381"/>
      <c r="G272" s="381"/>
      <c r="H272" s="381"/>
      <c r="I272" s="381"/>
    </row>
    <row r="273" spans="4:11">
      <c r="D273" s="370"/>
      <c r="E273" s="381"/>
      <c r="F273" s="381"/>
      <c r="G273" s="381"/>
      <c r="H273" s="381"/>
      <c r="I273" s="381"/>
    </row>
    <row r="274" spans="4:11">
      <c r="D274" s="370"/>
    </row>
    <row r="275" spans="4:11">
      <c r="D275" s="345"/>
      <c r="E275" s="381"/>
      <c r="F275" s="381"/>
      <c r="G275" s="381"/>
      <c r="H275" s="381"/>
      <c r="I275" s="381"/>
    </row>
    <row r="276" spans="4:11">
      <c r="D276" s="370"/>
      <c r="J276" s="381"/>
    </row>
    <row r="277" spans="4:11">
      <c r="D277" s="370"/>
      <c r="J277" s="381"/>
    </row>
    <row r="278" spans="4:11">
      <c r="D278" s="345"/>
      <c r="E278" s="381"/>
      <c r="F278" s="381"/>
      <c r="G278" s="381"/>
      <c r="H278" s="381"/>
      <c r="I278" s="381"/>
    </row>
    <row r="279" spans="4:11">
      <c r="D279" s="370"/>
    </row>
    <row r="280" spans="4:11">
      <c r="D280" s="370"/>
      <c r="J280" s="381"/>
    </row>
    <row r="281" spans="4:11">
      <c r="D281" s="370"/>
      <c r="J281" s="381"/>
    </row>
    <row r="282" spans="4:11">
      <c r="D282" s="345"/>
      <c r="E282" s="381"/>
      <c r="F282" s="381"/>
      <c r="G282" s="381"/>
      <c r="H282" s="381"/>
      <c r="I282" s="381"/>
      <c r="K282" s="381"/>
    </row>
    <row r="283" spans="4:11">
      <c r="D283" s="370"/>
      <c r="K283" s="381"/>
    </row>
    <row r="284" spans="4:11">
      <c r="D284" s="370"/>
      <c r="E284" s="345"/>
      <c r="F284" s="345"/>
      <c r="G284" s="345"/>
      <c r="H284" s="345"/>
      <c r="I284" s="345"/>
      <c r="J284" s="381"/>
    </row>
    <row r="285" spans="4:11">
      <c r="D285" s="370"/>
      <c r="E285" s="345"/>
      <c r="F285" s="345"/>
      <c r="G285" s="345"/>
      <c r="H285" s="345"/>
      <c r="I285" s="345"/>
    </row>
    <row r="286" spans="4:11">
      <c r="D286" s="370"/>
      <c r="K286" s="381"/>
    </row>
    <row r="287" spans="4:11">
      <c r="D287" s="370"/>
      <c r="K287" s="381"/>
    </row>
    <row r="288" spans="4:11">
      <c r="D288" s="370"/>
    </row>
    <row r="289" spans="4:11">
      <c r="D289" s="370"/>
    </row>
    <row r="290" spans="4:11">
      <c r="D290" s="370"/>
      <c r="K290" s="381"/>
    </row>
    <row r="291" spans="4:11">
      <c r="D291" s="370"/>
    </row>
    <row r="292" spans="4:11">
      <c r="D292" s="370"/>
    </row>
    <row r="293" spans="4:11">
      <c r="D293" s="370"/>
    </row>
    <row r="294" spans="4:11">
      <c r="D294" s="370"/>
    </row>
    <row r="295" spans="4:11">
      <c r="D295" s="370"/>
    </row>
    <row r="296" spans="4:11">
      <c r="D296" s="370"/>
    </row>
    <row r="297" spans="4:11">
      <c r="D297" s="370"/>
    </row>
    <row r="298" spans="4:11">
      <c r="D298" s="370"/>
    </row>
    <row r="299" spans="4:11">
      <c r="D299" s="370"/>
    </row>
    <row r="300" spans="4:11">
      <c r="D300" s="370"/>
    </row>
    <row r="301" spans="4:11">
      <c r="D301" s="370"/>
    </row>
    <row r="302" spans="4:11">
      <c r="D302" s="370"/>
    </row>
    <row r="303" spans="4:11">
      <c r="D303" s="370"/>
    </row>
    <row r="304" spans="4:11">
      <c r="D304" s="370"/>
    </row>
    <row r="305" spans="4:4">
      <c r="D305" s="370"/>
    </row>
    <row r="306" spans="4:4">
      <c r="D306" s="370"/>
    </row>
    <row r="307" spans="4:4">
      <c r="D307" s="370"/>
    </row>
    <row r="308" spans="4:4">
      <c r="D308" s="370"/>
    </row>
    <row r="309" spans="4:4">
      <c r="D309" s="370"/>
    </row>
    <row r="310" spans="4:4">
      <c r="D310" s="370"/>
    </row>
    <row r="311" spans="4:4">
      <c r="D311" s="370"/>
    </row>
    <row r="312" spans="4:4">
      <c r="D312" s="370"/>
    </row>
    <row r="313" spans="4:4">
      <c r="D313" s="370"/>
    </row>
    <row r="314" spans="4:4">
      <c r="D314" s="370"/>
    </row>
    <row r="315" spans="4:4">
      <c r="D315" s="370"/>
    </row>
    <row r="316" spans="4:4">
      <c r="D316" s="370"/>
    </row>
    <row r="317" spans="4:4">
      <c r="D317" s="370"/>
    </row>
    <row r="318" spans="4:4">
      <c r="D318" s="370"/>
    </row>
    <row r="319" spans="4:4">
      <c r="D319" s="370"/>
    </row>
    <row r="320" spans="4:4">
      <c r="D320" s="370"/>
    </row>
    <row r="321" spans="4:4">
      <c r="D321" s="370"/>
    </row>
    <row r="322" spans="4:4">
      <c r="D322" s="370"/>
    </row>
    <row r="323" spans="4:4">
      <c r="D323" s="370"/>
    </row>
    <row r="324" spans="4:4">
      <c r="D324" s="370"/>
    </row>
    <row r="325" spans="4:4">
      <c r="D325" s="370"/>
    </row>
    <row r="326" spans="4:4">
      <c r="D326" s="370"/>
    </row>
    <row r="327" spans="4:4">
      <c r="D327" s="370"/>
    </row>
    <row r="328" spans="4:4">
      <c r="D328" s="370"/>
    </row>
    <row r="329" spans="4:4">
      <c r="D329" s="370"/>
    </row>
    <row r="330" spans="4:4">
      <c r="D330" s="370"/>
    </row>
    <row r="331" spans="4:4">
      <c r="D331" s="370"/>
    </row>
    <row r="332" spans="4:4">
      <c r="D332" s="370"/>
    </row>
    <row r="333" spans="4:4">
      <c r="D333" s="370"/>
    </row>
    <row r="334" spans="4:4">
      <c r="D334" s="370"/>
    </row>
    <row r="335" spans="4:4">
      <c r="D335" s="370"/>
    </row>
    <row r="336" spans="4:4">
      <c r="D336" s="370"/>
    </row>
    <row r="337" spans="4:4">
      <c r="D337" s="370"/>
    </row>
    <row r="338" spans="4:4">
      <c r="D338" s="370"/>
    </row>
    <row r="339" spans="4:4">
      <c r="D339" s="370"/>
    </row>
    <row r="340" spans="4:4">
      <c r="D340" s="370"/>
    </row>
    <row r="341" spans="4:4">
      <c r="D341" s="370"/>
    </row>
    <row r="342" spans="4:4">
      <c r="D342" s="370"/>
    </row>
    <row r="343" spans="4:4">
      <c r="D343" s="370"/>
    </row>
    <row r="344" spans="4:4">
      <c r="D344" s="370"/>
    </row>
    <row r="345" spans="4:4">
      <c r="D345" s="370"/>
    </row>
    <row r="346" spans="4:4">
      <c r="D346" s="370"/>
    </row>
    <row r="347" spans="4:4">
      <c r="D347" s="370"/>
    </row>
    <row r="348" spans="4:4">
      <c r="D348" s="370"/>
    </row>
    <row r="349" spans="4:4">
      <c r="D349" s="370"/>
    </row>
    <row r="350" spans="4:4">
      <c r="D350" s="370"/>
    </row>
    <row r="351" spans="4:4">
      <c r="D351" s="370"/>
    </row>
    <row r="352" spans="4:4">
      <c r="D352" s="370"/>
    </row>
    <row r="353" spans="4:4">
      <c r="D353" s="370"/>
    </row>
    <row r="354" spans="4:4">
      <c r="D354" s="370"/>
    </row>
    <row r="355" spans="4:4">
      <c r="D355" s="370"/>
    </row>
    <row r="356" spans="4:4">
      <c r="D356" s="370"/>
    </row>
    <row r="357" spans="4:4">
      <c r="D357" s="370"/>
    </row>
    <row r="358" spans="4:4">
      <c r="D358" s="370"/>
    </row>
    <row r="359" spans="4:4">
      <c r="D359" s="370"/>
    </row>
    <row r="360" spans="4:4">
      <c r="D360" s="370"/>
    </row>
    <row r="361" spans="4:4">
      <c r="D361" s="370"/>
    </row>
    <row r="362" spans="4:4">
      <c r="D362" s="370"/>
    </row>
    <row r="363" spans="4:4">
      <c r="D363" s="370"/>
    </row>
    <row r="364" spans="4:4">
      <c r="D364" s="370"/>
    </row>
    <row r="365" spans="4:4">
      <c r="D365" s="370"/>
    </row>
    <row r="366" spans="4:4">
      <c r="D366" s="370"/>
    </row>
    <row r="367" spans="4:4">
      <c r="D367" s="370"/>
    </row>
    <row r="368" spans="4:4">
      <c r="D368" s="370"/>
    </row>
    <row r="369" spans="4:4">
      <c r="D369" s="370"/>
    </row>
    <row r="370" spans="4:4">
      <c r="D370" s="370"/>
    </row>
    <row r="371" spans="4:4">
      <c r="D371" s="370"/>
    </row>
    <row r="372" spans="4:4">
      <c r="D372" s="370"/>
    </row>
    <row r="373" spans="4:4">
      <c r="D373" s="370"/>
    </row>
    <row r="374" spans="4:4">
      <c r="D374" s="370"/>
    </row>
    <row r="375" spans="4:4">
      <c r="D375" s="370"/>
    </row>
    <row r="376" spans="4:4">
      <c r="D376" s="370"/>
    </row>
    <row r="377" spans="4:4">
      <c r="D377" s="370"/>
    </row>
    <row r="378" spans="4:4">
      <c r="D378" s="370"/>
    </row>
    <row r="379" spans="4:4">
      <c r="D379" s="370"/>
    </row>
    <row r="380" spans="4:4">
      <c r="D380" s="370"/>
    </row>
    <row r="381" spans="4:4">
      <c r="D381" s="370"/>
    </row>
    <row r="382" spans="4:4">
      <c r="D382" s="370"/>
    </row>
    <row r="383" spans="4:4">
      <c r="D383" s="370"/>
    </row>
    <row r="384" spans="4:4">
      <c r="D384" s="370"/>
    </row>
    <row r="385" spans="4:4">
      <c r="D385" s="370"/>
    </row>
    <row r="386" spans="4:4">
      <c r="D386" s="370"/>
    </row>
    <row r="387" spans="4:4">
      <c r="D387" s="370"/>
    </row>
    <row r="388" spans="4:4">
      <c r="D388" s="370"/>
    </row>
    <row r="389" spans="4:4">
      <c r="D389" s="370"/>
    </row>
    <row r="390" spans="4:4">
      <c r="D390" s="370"/>
    </row>
    <row r="391" spans="4:4">
      <c r="D391" s="370"/>
    </row>
    <row r="392" spans="4:4">
      <c r="D392" s="370"/>
    </row>
    <row r="393" spans="4:4">
      <c r="D393" s="370"/>
    </row>
    <row r="394" spans="4:4">
      <c r="D394" s="370"/>
    </row>
    <row r="395" spans="4:4">
      <c r="D395" s="370"/>
    </row>
    <row r="396" spans="4:4">
      <c r="D396" s="370"/>
    </row>
    <row r="397" spans="4:4">
      <c r="D397" s="370"/>
    </row>
    <row r="398" spans="4:4">
      <c r="D398" s="370"/>
    </row>
    <row r="399" spans="4:4">
      <c r="D399" s="370"/>
    </row>
    <row r="400" spans="4:4">
      <c r="D400" s="370"/>
    </row>
    <row r="401" spans="4:4">
      <c r="D401" s="370"/>
    </row>
    <row r="402" spans="4:4">
      <c r="D402" s="370"/>
    </row>
    <row r="403" spans="4:4">
      <c r="D403" s="370"/>
    </row>
    <row r="404" spans="4:4">
      <c r="D404" s="370"/>
    </row>
    <row r="405" spans="4:4">
      <c r="D405" s="370"/>
    </row>
    <row r="406" spans="4:4">
      <c r="D406" s="370"/>
    </row>
    <row r="407" spans="4:4">
      <c r="D407" s="370"/>
    </row>
    <row r="408" spans="4:4">
      <c r="D408" s="370"/>
    </row>
    <row r="409" spans="4:4">
      <c r="D409" s="370"/>
    </row>
    <row r="410" spans="4:4">
      <c r="D410" s="370"/>
    </row>
    <row r="411" spans="4:4">
      <c r="D411" s="370"/>
    </row>
    <row r="412" spans="4:4">
      <c r="D412" s="370"/>
    </row>
    <row r="413" spans="4:4">
      <c r="D413" s="370"/>
    </row>
    <row r="414" spans="4:4">
      <c r="D414" s="370"/>
    </row>
    <row r="415" spans="4:4">
      <c r="D415" s="370"/>
    </row>
    <row r="416" spans="4:4">
      <c r="D416" s="370"/>
    </row>
    <row r="417" spans="4:4">
      <c r="D417" s="370"/>
    </row>
    <row r="418" spans="4:4">
      <c r="D418" s="370"/>
    </row>
    <row r="419" spans="4:4">
      <c r="D419" s="370"/>
    </row>
    <row r="420" spans="4:4">
      <c r="D420" s="370"/>
    </row>
    <row r="421" spans="4:4">
      <c r="D421" s="370"/>
    </row>
    <row r="422" spans="4:4">
      <c r="D422" s="370"/>
    </row>
    <row r="423" spans="4:4">
      <c r="D423" s="370"/>
    </row>
    <row r="424" spans="4:4">
      <c r="D424" s="370"/>
    </row>
    <row r="425" spans="4:4">
      <c r="D425" s="370"/>
    </row>
    <row r="426" spans="4:4">
      <c r="D426" s="370"/>
    </row>
    <row r="427" spans="4:4">
      <c r="D427" s="370"/>
    </row>
    <row r="428" spans="4:4">
      <c r="D428" s="370"/>
    </row>
    <row r="429" spans="4:4">
      <c r="D429" s="370"/>
    </row>
    <row r="430" spans="4:4">
      <c r="D430" s="370"/>
    </row>
    <row r="431" spans="4:4">
      <c r="D431" s="370"/>
    </row>
    <row r="432" spans="4:4">
      <c r="D432" s="370"/>
    </row>
    <row r="433" spans="4:4">
      <c r="D433" s="370"/>
    </row>
    <row r="434" spans="4:4">
      <c r="D434" s="370"/>
    </row>
    <row r="435" spans="4:4">
      <c r="D435" s="370"/>
    </row>
    <row r="436" spans="4:4">
      <c r="D436" s="370"/>
    </row>
    <row r="437" spans="4:4">
      <c r="D437" s="370"/>
    </row>
    <row r="438" spans="4:4">
      <c r="D438" s="370"/>
    </row>
    <row r="439" spans="4:4">
      <c r="D439" s="370"/>
    </row>
    <row r="440" spans="4:4">
      <c r="D440" s="370"/>
    </row>
    <row r="441" spans="4:4">
      <c r="D441" s="370"/>
    </row>
    <row r="442" spans="4:4">
      <c r="D442" s="370"/>
    </row>
    <row r="443" spans="4:4">
      <c r="D443" s="370"/>
    </row>
    <row r="444" spans="4:4">
      <c r="D444" s="370"/>
    </row>
    <row r="445" spans="4:4">
      <c r="D445" s="370"/>
    </row>
    <row r="446" spans="4:4">
      <c r="D446" s="370"/>
    </row>
    <row r="447" spans="4:4">
      <c r="D447" s="370"/>
    </row>
    <row r="448" spans="4:4">
      <c r="D448" s="370"/>
    </row>
    <row r="449" spans="4:4">
      <c r="D449" s="370"/>
    </row>
    <row r="450" spans="4:4">
      <c r="D450" s="370"/>
    </row>
    <row r="451" spans="4:4">
      <c r="D451" s="370"/>
    </row>
    <row r="452" spans="4:4">
      <c r="D452" s="370"/>
    </row>
    <row r="453" spans="4:4">
      <c r="D453" s="370"/>
    </row>
    <row r="454" spans="4:4">
      <c r="D454" s="370"/>
    </row>
    <row r="455" spans="4:4">
      <c r="D455" s="370"/>
    </row>
    <row r="456" spans="4:4">
      <c r="D456" s="370"/>
    </row>
    <row r="457" spans="4:4">
      <c r="D457" s="370"/>
    </row>
    <row r="458" spans="4:4">
      <c r="D458" s="370"/>
    </row>
    <row r="459" spans="4:4">
      <c r="D459" s="370"/>
    </row>
    <row r="460" spans="4:4">
      <c r="D460" s="370"/>
    </row>
    <row r="461" spans="4:4">
      <c r="D461" s="370"/>
    </row>
    <row r="462" spans="4:4">
      <c r="D462" s="370"/>
    </row>
    <row r="463" spans="4:4">
      <c r="D463" s="370"/>
    </row>
    <row r="464" spans="4:4">
      <c r="D464" s="370"/>
    </row>
    <row r="465" spans="4:4">
      <c r="D465" s="370"/>
    </row>
    <row r="466" spans="4:4">
      <c r="D466" s="370"/>
    </row>
    <row r="467" spans="4:4">
      <c r="D467" s="370"/>
    </row>
    <row r="468" spans="4:4">
      <c r="D468" s="370"/>
    </row>
    <row r="469" spans="4:4">
      <c r="D469" s="370"/>
    </row>
    <row r="470" spans="4:4">
      <c r="D470" s="370"/>
    </row>
    <row r="471" spans="4:4">
      <c r="D471" s="370"/>
    </row>
    <row r="472" spans="4:4">
      <c r="D472" s="370"/>
    </row>
    <row r="473" spans="4:4">
      <c r="D473" s="370"/>
    </row>
    <row r="474" spans="4:4">
      <c r="D474" s="370"/>
    </row>
  </sheetData>
  <phoneticPr fontId="26" type="noConversion"/>
  <pageMargins left="0.75" right="0.75" top="1" bottom="1" header="0.5" footer="0.5"/>
  <pageSetup scale="46" orientation="landscape" r:id="rId1"/>
  <headerFooter alignWithMargins="0"/>
  <drawing r:id="rId2"/>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400-000000000000}">
  <sheetPr codeName="Sheet46">
    <pageSetUpPr fitToPage="1"/>
  </sheetPr>
  <dimension ref="B1:X484"/>
  <sheetViews>
    <sheetView showGridLines="0" topLeftCell="A18" zoomScale="80" zoomScaleNormal="80" zoomScaleSheetLayoutView="80" workbookViewId="0">
      <selection activeCell="J53" sqref="J53"/>
    </sheetView>
  </sheetViews>
  <sheetFormatPr defaultColWidth="9.109375" defaultRowHeight="12"/>
  <cols>
    <col min="1" max="1" width="2.33203125" style="367" customWidth="1"/>
    <col min="2" max="4" width="10" style="367" customWidth="1"/>
    <col min="5" max="5" width="17.6640625" style="367" customWidth="1"/>
    <col min="6" max="6" width="10" style="367" customWidth="1"/>
    <col min="7" max="7" width="2.33203125" style="367" customWidth="1"/>
    <col min="8" max="8" width="10" style="367" customWidth="1"/>
    <col min="9" max="9" width="2.109375" style="367" customWidth="1"/>
    <col min="10" max="10" width="10" style="367" customWidth="1"/>
    <col min="11" max="11" width="2.109375" style="367" customWidth="1"/>
    <col min="12" max="12" width="10" style="367" customWidth="1"/>
    <col min="13" max="13" width="2.109375" style="367" customWidth="1"/>
    <col min="14" max="14" width="10" style="367" customWidth="1"/>
    <col min="15" max="15" width="2.109375" style="367" customWidth="1"/>
    <col min="16" max="16" width="10" style="367" customWidth="1"/>
    <col min="17" max="17" width="2.109375" style="367" customWidth="1"/>
    <col min="18" max="18" width="10" style="367" customWidth="1"/>
    <col min="19" max="19" width="2.109375" style="367" customWidth="1"/>
    <col min="20" max="20" width="9.88671875" style="367" customWidth="1"/>
    <col min="21" max="21" width="2.109375" style="367" customWidth="1"/>
    <col min="22" max="22" width="10" style="367" customWidth="1"/>
    <col min="23" max="23" width="2.109375" style="367" customWidth="1"/>
    <col min="24" max="24" width="10" style="367" customWidth="1"/>
    <col min="25" max="16384" width="9.109375" style="367"/>
  </cols>
  <sheetData>
    <row r="1" spans="2:24" s="472" customFormat="1">
      <c r="E1" s="150"/>
    </row>
    <row r="2" spans="2:24" s="472" customFormat="1">
      <c r="E2" s="150"/>
    </row>
    <row r="3" spans="2:24" s="472" customFormat="1"/>
    <row r="4" spans="2:24" s="477" customFormat="1" ht="21">
      <c r="B4" s="129" t="s">
        <v>1473</v>
      </c>
      <c r="C4" s="129"/>
    </row>
    <row r="5" spans="2:24" s="472" customFormat="1">
      <c r="D5" s="132"/>
      <c r="E5" s="132"/>
      <c r="F5" s="132"/>
      <c r="G5" s="132"/>
      <c r="H5" s="132"/>
      <c r="I5" s="132"/>
      <c r="L5" s="473"/>
      <c r="M5" s="473"/>
      <c r="N5" s="473"/>
      <c r="O5" s="473"/>
      <c r="P5" s="473"/>
      <c r="Q5" s="473"/>
      <c r="R5" s="473"/>
      <c r="S5" s="473"/>
      <c r="T5" s="473"/>
      <c r="U5" s="473"/>
      <c r="V5" s="473"/>
      <c r="W5" s="473"/>
      <c r="X5" s="473"/>
    </row>
    <row r="6" spans="2:24">
      <c r="B6" s="456"/>
      <c r="C6" s="456"/>
      <c r="D6" s="456"/>
      <c r="E6" s="456"/>
      <c r="F6" s="456"/>
      <c r="G6" s="456"/>
      <c r="H6" s="456"/>
      <c r="I6" s="456"/>
      <c r="L6" s="440"/>
      <c r="M6" s="440"/>
      <c r="N6" s="440"/>
      <c r="O6" s="440"/>
      <c r="P6" s="440"/>
      <c r="Q6" s="440"/>
      <c r="R6" s="440"/>
      <c r="S6" s="440"/>
      <c r="T6" s="440"/>
      <c r="U6" s="440"/>
      <c r="V6" s="440"/>
      <c r="W6" s="440"/>
      <c r="X6" s="440"/>
    </row>
    <row r="7" spans="2:24" ht="12.6" thickBot="1">
      <c r="B7" s="306" t="s">
        <v>1037</v>
      </c>
      <c r="C7" s="306"/>
      <c r="D7" s="368"/>
      <c r="E7" s="457"/>
      <c r="F7" s="457"/>
      <c r="G7" s="457"/>
      <c r="H7" s="457"/>
      <c r="I7" s="457"/>
      <c r="J7" s="368"/>
      <c r="K7" s="368"/>
      <c r="L7" s="368"/>
      <c r="M7" s="368"/>
      <c r="N7" s="368"/>
      <c r="O7" s="368"/>
      <c r="P7" s="368"/>
      <c r="Q7" s="368"/>
      <c r="R7" s="368"/>
      <c r="S7" s="368"/>
      <c r="T7" s="368"/>
      <c r="U7" s="368"/>
      <c r="V7" s="368"/>
      <c r="W7" s="368"/>
      <c r="X7" s="368"/>
    </row>
    <row r="8" spans="2:24" ht="12.6" thickTop="1">
      <c r="B8" s="345"/>
      <c r="C8" s="345"/>
      <c r="E8" s="345"/>
      <c r="F8" s="345"/>
      <c r="G8" s="345"/>
      <c r="H8" s="345"/>
      <c r="I8" s="345"/>
    </row>
    <row r="9" spans="2:24">
      <c r="D9" s="345"/>
      <c r="E9" s="382" t="s">
        <v>81</v>
      </c>
      <c r="F9" s="458" t="s">
        <v>82</v>
      </c>
      <c r="G9" s="458"/>
      <c r="H9" s="458" t="s">
        <v>83</v>
      </c>
      <c r="I9" s="458"/>
      <c r="J9" s="458" t="s">
        <v>84</v>
      </c>
      <c r="K9" s="458"/>
      <c r="L9" s="458" t="s">
        <v>85</v>
      </c>
      <c r="M9" s="458"/>
      <c r="N9" s="459" t="s">
        <v>128</v>
      </c>
      <c r="O9" s="459"/>
      <c r="P9" s="458" t="s">
        <v>129</v>
      </c>
      <c r="Q9" s="458"/>
      <c r="R9" s="458" t="s">
        <v>298</v>
      </c>
      <c r="S9" s="458"/>
      <c r="T9" s="458" t="s">
        <v>130</v>
      </c>
      <c r="U9" s="458"/>
      <c r="V9" s="458" t="s">
        <v>131</v>
      </c>
      <c r="W9" s="458"/>
      <c r="X9" s="458" t="s">
        <v>121</v>
      </c>
    </row>
    <row r="10" spans="2:24">
      <c r="B10" s="345"/>
      <c r="C10" s="345"/>
      <c r="E10" s="382"/>
      <c r="F10" s="458"/>
      <c r="G10" s="458"/>
      <c r="H10" s="458"/>
      <c r="I10" s="458"/>
      <c r="J10" s="458"/>
      <c r="K10" s="458"/>
      <c r="L10" s="458"/>
      <c r="M10" s="458"/>
      <c r="N10" s="459"/>
      <c r="O10" s="459"/>
      <c r="P10" s="458"/>
      <c r="Q10" s="458"/>
      <c r="R10" s="458"/>
      <c r="S10" s="458"/>
      <c r="T10" s="458"/>
      <c r="U10" s="458"/>
      <c r="V10" s="458"/>
      <c r="W10" s="458"/>
      <c r="X10" s="458"/>
    </row>
    <row r="11" spans="2:24">
      <c r="B11" s="370" t="s">
        <v>103</v>
      </c>
      <c r="C11" s="370"/>
      <c r="E11" s="367" t="str">
        <f>"DCF, "&amp;TEXT(H11,"0.0")&amp;"x 22E FCF"</f>
        <v>DCF, 16.6x 22E FCF</v>
      </c>
      <c r="F11" s="484">
        <v>4868.8881930000025</v>
      </c>
      <c r="G11" s="178" t="s">
        <v>134</v>
      </c>
      <c r="H11" s="487">
        <v>16.579915196590239</v>
      </c>
      <c r="I11" s="178" t="s">
        <v>135</v>
      </c>
      <c r="J11" s="216">
        <f>H11*F11</f>
        <v>80725.753341619537</v>
      </c>
      <c r="K11" s="178" t="s">
        <v>136</v>
      </c>
      <c r="L11" s="484"/>
      <c r="M11" s="178" t="s">
        <v>135</v>
      </c>
      <c r="N11" s="216">
        <f>J11-L11</f>
        <v>80725.753341619537</v>
      </c>
      <c r="O11" s="178" t="s">
        <v>134</v>
      </c>
      <c r="P11" s="490">
        <v>1</v>
      </c>
      <c r="Q11" s="393" t="s">
        <v>135</v>
      </c>
      <c r="R11" s="216">
        <f>P11*N11</f>
        <v>80725.753341619537</v>
      </c>
      <c r="S11" s="216"/>
      <c r="T11" s="216">
        <f>N11-R11</f>
        <v>0</v>
      </c>
      <c r="U11" s="216"/>
      <c r="V11" s="394">
        <f>N11/$J$60</f>
        <v>0.46733385181726228</v>
      </c>
      <c r="W11" s="370"/>
      <c r="X11" s="373">
        <f>$J$64*V11</f>
        <v>20.997219333138432</v>
      </c>
    </row>
    <row r="12" spans="2:24">
      <c r="B12" s="370" t="s">
        <v>219</v>
      </c>
      <c r="C12" s="370"/>
      <c r="E12" s="367" t="str">
        <f>"DCF, "&amp;TEXT(H12,"0.0")&amp;"x 22E FCF"</f>
        <v>DCF, 21.8x 22E FCF</v>
      </c>
      <c r="F12" s="484">
        <v>3127.2489767999996</v>
      </c>
      <c r="G12" s="178" t="s">
        <v>134</v>
      </c>
      <c r="H12" s="487">
        <v>21.771987884704448</v>
      </c>
      <c r="I12" s="178" t="s">
        <v>135</v>
      </c>
      <c r="J12" s="385">
        <f>H12*F12</f>
        <v>68086.426835343969</v>
      </c>
      <c r="K12" s="178" t="s">
        <v>136</v>
      </c>
      <c r="L12" s="484"/>
      <c r="M12" s="178" t="s">
        <v>135</v>
      </c>
      <c r="N12" s="178">
        <f>J12-L12</f>
        <v>68086.426835343969</v>
      </c>
      <c r="O12" s="178" t="s">
        <v>134</v>
      </c>
      <c r="P12" s="490">
        <v>1</v>
      </c>
      <c r="Q12" s="393" t="s">
        <v>135</v>
      </c>
      <c r="R12" s="385">
        <f>P12*N12</f>
        <v>68086.426835343969</v>
      </c>
      <c r="S12" s="216"/>
      <c r="T12" s="216">
        <f t="shared" ref="T12" si="0">N12-R12</f>
        <v>0</v>
      </c>
      <c r="U12" s="216"/>
      <c r="V12" s="394">
        <f>N12/$J$60</f>
        <v>0.39416283889952419</v>
      </c>
      <c r="W12" s="370"/>
      <c r="X12" s="373">
        <f>$J$64*V12</f>
        <v>17.709659912635733</v>
      </c>
    </row>
    <row r="13" spans="2:24" s="381" customFormat="1">
      <c r="B13" s="345"/>
      <c r="C13" s="345" t="s">
        <v>1097</v>
      </c>
      <c r="I13" s="196"/>
      <c r="J13" s="210">
        <f>J12+J11</f>
        <v>148812.18017696351</v>
      </c>
      <c r="K13" s="196"/>
      <c r="M13" s="196"/>
      <c r="N13" s="196"/>
      <c r="O13" s="196"/>
      <c r="P13" s="196"/>
      <c r="Q13" s="369"/>
      <c r="R13" s="210">
        <f>R12+R11</f>
        <v>148812.18017696351</v>
      </c>
      <c r="S13" s="210"/>
      <c r="T13" s="210"/>
      <c r="U13" s="210"/>
      <c r="V13" s="387"/>
      <c r="W13" s="345"/>
      <c r="X13" s="372"/>
    </row>
    <row r="15" spans="2:24">
      <c r="B15" s="370" t="s">
        <v>1101</v>
      </c>
      <c r="C15" s="370"/>
      <c r="E15" s="367" t="str">
        <f>"DCF, "&amp;TEXT(H15,"0.0")&amp;"x 22E FCF"</f>
        <v>DCF, 18.9x 22E FCF</v>
      </c>
      <c r="F15" s="484">
        <v>1659.3908904816701</v>
      </c>
      <c r="G15" s="178" t="s">
        <v>134</v>
      </c>
      <c r="H15" s="487">
        <v>18.886165321586176</v>
      </c>
      <c r="I15" s="178" t="s">
        <v>135</v>
      </c>
      <c r="J15" s="216">
        <f>H15*F15</f>
        <v>31339.530690770924</v>
      </c>
      <c r="K15" s="178" t="s">
        <v>136</v>
      </c>
      <c r="L15" s="484"/>
      <c r="M15" s="178" t="s">
        <v>135</v>
      </c>
      <c r="N15" s="216">
        <f>J15-L15</f>
        <v>31339.530690770924</v>
      </c>
      <c r="O15" s="178" t="s">
        <v>134</v>
      </c>
      <c r="P15" s="490">
        <v>1</v>
      </c>
      <c r="Q15" s="393" t="s">
        <v>135</v>
      </c>
      <c r="R15" s="216">
        <f>P15*N15</f>
        <v>31339.530690770924</v>
      </c>
      <c r="S15" s="216"/>
      <c r="T15" s="216">
        <f>N15-R15</f>
        <v>0</v>
      </c>
      <c r="U15" s="216"/>
      <c r="V15" s="394">
        <f>N15/$J$60</f>
        <v>0.18142938263931041</v>
      </c>
      <c r="W15" s="370"/>
      <c r="X15" s="373">
        <f>$J$64*V15</f>
        <v>8.151586977788849</v>
      </c>
    </row>
    <row r="16" spans="2:24">
      <c r="B16" s="370" t="s">
        <v>977</v>
      </c>
      <c r="C16" s="370"/>
      <c r="E16" s="367" t="str">
        <f>"DCF, "&amp;TEXT(H16,"0.0")&amp;"x 22E FCF"</f>
        <v>DCF, 26.5x 22E FCF</v>
      </c>
      <c r="F16" s="484">
        <v>453.73151919229207</v>
      </c>
      <c r="G16" s="178" t="s">
        <v>134</v>
      </c>
      <c r="H16" s="487">
        <v>26.547080285657611</v>
      </c>
      <c r="I16" s="178" t="s">
        <v>135</v>
      </c>
      <c r="J16" s="385">
        <f>H16*F16</f>
        <v>12045.247068131175</v>
      </c>
      <c r="K16" s="178" t="s">
        <v>136</v>
      </c>
      <c r="L16" s="484"/>
      <c r="M16" s="178" t="s">
        <v>135</v>
      </c>
      <c r="N16" s="178">
        <f>J16-L16</f>
        <v>12045.247068131175</v>
      </c>
      <c r="O16" s="178" t="s">
        <v>134</v>
      </c>
      <c r="P16" s="490">
        <v>1</v>
      </c>
      <c r="Q16" s="393" t="s">
        <v>135</v>
      </c>
      <c r="R16" s="385">
        <f>P16*N16</f>
        <v>12045.247068131175</v>
      </c>
      <c r="S16" s="216"/>
      <c r="T16" s="216">
        <f>N16-R16</f>
        <v>0</v>
      </c>
      <c r="U16" s="216"/>
      <c r="V16" s="394">
        <f>N16/$J$60</f>
        <v>6.9731795312192174E-2</v>
      </c>
      <c r="W16" s="370"/>
      <c r="X16" s="373">
        <f>$J$64*V16</f>
        <v>3.1330360404453157</v>
      </c>
    </row>
    <row r="17" spans="2:24" s="381" customFormat="1">
      <c r="B17" s="345"/>
      <c r="C17" s="345" t="s">
        <v>1098</v>
      </c>
      <c r="I17" s="196"/>
      <c r="J17" s="210">
        <f>J16+J15</f>
        <v>43384.777758902099</v>
      </c>
      <c r="K17" s="196"/>
      <c r="M17" s="196"/>
      <c r="N17" s="210"/>
      <c r="O17" s="196"/>
      <c r="P17" s="196"/>
      <c r="Q17" s="369"/>
      <c r="R17" s="210">
        <f>R16+R15</f>
        <v>43384.777758902099</v>
      </c>
      <c r="S17" s="210"/>
      <c r="T17" s="210"/>
      <c r="U17" s="210"/>
      <c r="V17" s="387"/>
      <c r="W17" s="345"/>
      <c r="X17" s="372"/>
    </row>
    <row r="18" spans="2:24">
      <c r="B18" s="370"/>
      <c r="C18" s="370"/>
      <c r="K18" s="178"/>
      <c r="L18" s="178"/>
      <c r="M18" s="178"/>
      <c r="N18" s="216"/>
      <c r="Q18" s="393"/>
      <c r="R18" s="216"/>
      <c r="S18" s="216"/>
      <c r="T18" s="216"/>
      <c r="U18" s="216"/>
      <c r="V18" s="394"/>
      <c r="W18" s="370"/>
      <c r="X18" s="373"/>
    </row>
    <row r="19" spans="2:24">
      <c r="B19" s="370" t="s">
        <v>220</v>
      </c>
      <c r="C19" s="370"/>
      <c r="E19" s="367" t="str">
        <f>"DCF, "&amp;TEXT(H19,"0.0")&amp;"x 22E FCF"</f>
        <v>DCF, 18.8x 22E FCF</v>
      </c>
      <c r="F19" s="484">
        <v>2763.0195675583727</v>
      </c>
      <c r="G19" s="178" t="s">
        <v>134</v>
      </c>
      <c r="H19" s="487">
        <v>18.772257520025384</v>
      </c>
      <c r="I19" s="178" t="s">
        <v>135</v>
      </c>
      <c r="J19" s="216">
        <f>H19*F19</f>
        <v>51868.114855074949</v>
      </c>
      <c r="K19" s="178" t="s">
        <v>136</v>
      </c>
      <c r="L19" s="484"/>
      <c r="M19" s="178" t="s">
        <v>135</v>
      </c>
      <c r="N19" s="216">
        <f>J19-L19</f>
        <v>51868.114855074949</v>
      </c>
      <c r="O19" s="178" t="s">
        <v>134</v>
      </c>
      <c r="P19" s="490">
        <v>1</v>
      </c>
      <c r="Q19" s="393" t="s">
        <v>135</v>
      </c>
      <c r="R19" s="216">
        <f>P19*N19</f>
        <v>51868.114855074949</v>
      </c>
      <c r="S19" s="216"/>
      <c r="T19" s="216">
        <f>N19-R19</f>
        <v>0</v>
      </c>
      <c r="U19" s="216"/>
      <c r="V19" s="394">
        <f>N19/$J$60</f>
        <v>0.30027252640360474</v>
      </c>
      <c r="W19" s="370"/>
      <c r="X19" s="373">
        <f>$J$64*V19</f>
        <v>13.491186380132886</v>
      </c>
    </row>
    <row r="20" spans="2:24">
      <c r="B20" s="370" t="s">
        <v>218</v>
      </c>
      <c r="C20" s="370"/>
      <c r="E20" s="367" t="str">
        <f>"DCF, "&amp;TEXT(H20,"0.0")&amp;"x 22E FCF"</f>
        <v>DCF, -8.5x 22E FCF</v>
      </c>
      <c r="F20" s="484">
        <v>-258.89107124266303</v>
      </c>
      <c r="G20" s="178" t="s">
        <v>134</v>
      </c>
      <c r="H20" s="487">
        <v>-8.5206948144468573</v>
      </c>
      <c r="I20" s="178" t="s">
        <v>135</v>
      </c>
      <c r="J20" s="385">
        <f>H20*F20</f>
        <v>2205.9318082439509</v>
      </c>
      <c r="K20" s="178" t="s">
        <v>136</v>
      </c>
      <c r="L20" s="484"/>
      <c r="M20" s="178" t="s">
        <v>135</v>
      </c>
      <c r="N20" s="178">
        <f>J20-L20</f>
        <v>2205.9318082439509</v>
      </c>
      <c r="O20" s="178" t="s">
        <v>134</v>
      </c>
      <c r="P20" s="490">
        <v>1</v>
      </c>
      <c r="Q20" s="393" t="s">
        <v>135</v>
      </c>
      <c r="R20" s="385">
        <f>P20*N20</f>
        <v>2205.9318082439509</v>
      </c>
      <c r="S20" s="216"/>
      <c r="T20" s="216">
        <f>N20-R20</f>
        <v>0</v>
      </c>
      <c r="U20" s="216"/>
      <c r="V20" s="394">
        <f>N20/$J$60</f>
        <v>1.2770479879329444E-2</v>
      </c>
      <c r="W20" s="370"/>
      <c r="X20" s="373">
        <f>$J$64*V20</f>
        <v>0.57377518442760256</v>
      </c>
    </row>
    <row r="21" spans="2:24" s="381" customFormat="1">
      <c r="B21" s="345"/>
      <c r="C21" s="345" t="s">
        <v>1099</v>
      </c>
      <c r="I21" s="196"/>
      <c r="J21" s="210">
        <f>J20+J19</f>
        <v>54074.046663318899</v>
      </c>
      <c r="K21" s="196"/>
      <c r="M21" s="196"/>
      <c r="N21" s="210"/>
      <c r="O21" s="196"/>
      <c r="P21" s="196"/>
      <c r="Q21" s="369"/>
      <c r="R21" s="210">
        <f>R20+R19</f>
        <v>54074.046663318899</v>
      </c>
      <c r="S21" s="210"/>
      <c r="T21" s="210"/>
      <c r="U21" s="210"/>
      <c r="V21" s="387"/>
      <c r="W21" s="345"/>
      <c r="X21" s="372"/>
    </row>
    <row r="22" spans="2:24">
      <c r="B22" s="370"/>
      <c r="C22" s="370"/>
      <c r="K22" s="178"/>
      <c r="M22" s="178"/>
      <c r="N22" s="216"/>
      <c r="Q22" s="393"/>
      <c r="R22" s="216"/>
      <c r="S22" s="216"/>
      <c r="T22" s="216"/>
      <c r="U22" s="216"/>
      <c r="V22" s="394"/>
      <c r="W22" s="370"/>
      <c r="X22" s="373"/>
    </row>
    <row r="23" spans="2:24">
      <c r="B23" s="370" t="s">
        <v>964</v>
      </c>
      <c r="C23" s="370"/>
      <c r="E23" s="367" t="str">
        <f>"DCF, "&amp;TEXT(H23,"0.0")&amp;"x 22E FCF"</f>
        <v>DCF, 29.2x 22E FCF</v>
      </c>
      <c r="F23" s="484">
        <v>345.68937</v>
      </c>
      <c r="G23" s="178" t="s">
        <v>134</v>
      </c>
      <c r="H23" s="487">
        <v>29.19712819346914</v>
      </c>
      <c r="I23" s="178" t="s">
        <v>135</v>
      </c>
      <c r="J23" s="216">
        <f>H23*F23</f>
        <v>10093.136851009585</v>
      </c>
      <c r="K23" s="178" t="s">
        <v>136</v>
      </c>
      <c r="L23" s="484"/>
      <c r="M23" s="178" t="s">
        <v>135</v>
      </c>
      <c r="N23" s="216">
        <f>J23-L23</f>
        <v>10093.136851009585</v>
      </c>
      <c r="O23" s="178" t="s">
        <v>134</v>
      </c>
      <c r="P23" s="490">
        <v>1</v>
      </c>
      <c r="Q23" s="393" t="s">
        <v>135</v>
      </c>
      <c r="R23" s="216">
        <f>P23*N23</f>
        <v>10093.136851009585</v>
      </c>
      <c r="S23" s="216"/>
      <c r="T23" s="216">
        <f>N23-R23</f>
        <v>0</v>
      </c>
      <c r="U23" s="216"/>
      <c r="V23" s="394">
        <f>N23/$J$60</f>
        <v>5.8430727819163045E-2</v>
      </c>
      <c r="W23" s="370"/>
      <c r="X23" s="373">
        <f>$J$64*V23</f>
        <v>2.6252812695743208</v>
      </c>
    </row>
    <row r="24" spans="2:24">
      <c r="B24" s="370" t="s">
        <v>107</v>
      </c>
      <c r="C24" s="370"/>
      <c r="E24" s="367" t="str">
        <f>"DCF, "&amp;TEXT(H24,"0.0")&amp;"x 22E FCF"</f>
        <v>DCF, 17.1x 22E FCF</v>
      </c>
      <c r="F24" s="484">
        <v>69.323491412955846</v>
      </c>
      <c r="G24" s="178" t="s">
        <v>134</v>
      </c>
      <c r="H24" s="487">
        <v>17.058656022476523</v>
      </c>
      <c r="I24" s="178" t="s">
        <v>135</v>
      </c>
      <c r="J24" s="385">
        <f>H24*F24</f>
        <v>1182.5655942907188</v>
      </c>
      <c r="K24" s="178" t="s">
        <v>136</v>
      </c>
      <c r="L24" s="484"/>
      <c r="M24" s="178" t="s">
        <v>135</v>
      </c>
      <c r="N24" s="178">
        <f>J24-L24</f>
        <v>1182.5655942907188</v>
      </c>
      <c r="O24" s="178" t="s">
        <v>134</v>
      </c>
      <c r="P24" s="490">
        <v>1</v>
      </c>
      <c r="Q24" s="393" t="s">
        <v>135</v>
      </c>
      <c r="R24" s="385">
        <f>P24*N24</f>
        <v>1182.5655942907188</v>
      </c>
      <c r="S24" s="216"/>
      <c r="T24" s="216">
        <f>N24-R24</f>
        <v>0</v>
      </c>
      <c r="U24" s="216"/>
      <c r="V24" s="394">
        <f>N24/$J$60</f>
        <v>6.8460548378868067E-3</v>
      </c>
      <c r="W24" s="370"/>
      <c r="X24" s="373">
        <f>$J$64*V24</f>
        <v>0.30759191622611448</v>
      </c>
    </row>
    <row r="25" spans="2:24" s="381" customFormat="1">
      <c r="C25" s="345" t="s">
        <v>1100</v>
      </c>
      <c r="F25" s="381">
        <v>415.01286141295583</v>
      </c>
      <c r="H25" s="381">
        <v>22.890856846354666</v>
      </c>
      <c r="I25" s="196"/>
      <c r="J25" s="210">
        <f>J24+J23</f>
        <v>11275.702445300303</v>
      </c>
      <c r="K25" s="196"/>
      <c r="L25" s="210"/>
      <c r="M25" s="196"/>
      <c r="N25" s="196"/>
      <c r="O25" s="196"/>
      <c r="P25" s="196"/>
      <c r="Q25" s="196"/>
      <c r="R25" s="210">
        <f>R24+R23</f>
        <v>11275.702445300303</v>
      </c>
      <c r="S25" s="210"/>
      <c r="T25" s="210"/>
      <c r="U25" s="210"/>
      <c r="V25" s="387"/>
      <c r="W25" s="345"/>
      <c r="X25" s="372"/>
    </row>
    <row r="26" spans="2:24">
      <c r="P26" s="178"/>
    </row>
    <row r="27" spans="2:24">
      <c r="B27" s="370" t="s">
        <v>1</v>
      </c>
      <c r="C27" s="370"/>
      <c r="E27" s="367" t="str">
        <f>"DCF, "&amp;TEXT(H27,"0.0")&amp;"x 22E FCF"</f>
        <v>DCF, 24.5x 22E FCF</v>
      </c>
      <c r="F27" s="484">
        <v>443.82900799999999</v>
      </c>
      <c r="G27" s="178" t="s">
        <v>134</v>
      </c>
      <c r="H27" s="487">
        <v>24.516987026718741</v>
      </c>
      <c r="I27" s="178" t="s">
        <v>135</v>
      </c>
      <c r="J27" s="216">
        <f>H27*F27</f>
        <v>10881.350031217447</v>
      </c>
      <c r="K27" s="178" t="s">
        <v>136</v>
      </c>
      <c r="L27" s="484">
        <v>-167.08223988715275</v>
      </c>
      <c r="M27" s="178" t="s">
        <v>135</v>
      </c>
      <c r="N27" s="216">
        <f>J27-L27</f>
        <v>11048.432271104601</v>
      </c>
      <c r="O27" s="178" t="s">
        <v>134</v>
      </c>
      <c r="P27" s="490">
        <v>0.9758</v>
      </c>
      <c r="Q27" s="393" t="s">
        <v>135</v>
      </c>
      <c r="R27" s="216">
        <f>P27*N27</f>
        <v>10781.060210143869</v>
      </c>
      <c r="S27" s="216"/>
      <c r="T27" s="216">
        <f>N27-R27</f>
        <v>267.37206096073169</v>
      </c>
      <c r="U27" s="216"/>
      <c r="V27" s="394">
        <f>N27/$J$60</f>
        <v>6.3961080523424807E-2</v>
      </c>
      <c r="W27" s="370"/>
      <c r="X27" s="373">
        <f>$J$64*V27</f>
        <v>2.8737589440878413</v>
      </c>
    </row>
    <row r="28" spans="2:24">
      <c r="B28" s="370" t="s">
        <v>976</v>
      </c>
      <c r="C28" s="370"/>
      <c r="E28" s="367" t="str">
        <f>"DCF, "&amp;TEXT(H28,"0.0")&amp;"x 22E FCF"</f>
        <v>DCF, 22.4x 22E FCF</v>
      </c>
      <c r="F28" s="484">
        <v>320.85979200000003</v>
      </c>
      <c r="G28" s="178" t="s">
        <v>134</v>
      </c>
      <c r="H28" s="487">
        <v>22.391842065404923</v>
      </c>
      <c r="I28" s="178" t="s">
        <v>135</v>
      </c>
      <c r="J28" s="385">
        <f>H28*F28</f>
        <v>7184.6417876026744</v>
      </c>
      <c r="K28" s="178" t="s">
        <v>136</v>
      </c>
      <c r="L28" s="484">
        <f>L27</f>
        <v>-167.08223988715275</v>
      </c>
      <c r="M28" s="178" t="s">
        <v>910</v>
      </c>
      <c r="N28" s="178">
        <f>J28-L28</f>
        <v>7351.7240274898268</v>
      </c>
      <c r="O28" s="178" t="s">
        <v>134</v>
      </c>
      <c r="P28" s="490">
        <v>0.9758</v>
      </c>
      <c r="Q28" s="393" t="s">
        <v>135</v>
      </c>
      <c r="R28" s="385">
        <f>P28*N28</f>
        <v>7173.8123060245725</v>
      </c>
      <c r="S28" s="216"/>
      <c r="T28" s="216">
        <f>N28-R28</f>
        <v>177.91172146525423</v>
      </c>
      <c r="U28" s="216"/>
      <c r="V28" s="394">
        <f>N28/$J$60</f>
        <v>4.2560265653079993E-2</v>
      </c>
      <c r="W28" s="370"/>
      <c r="X28" s="373">
        <f>$J$64*V28</f>
        <v>1.9122244821755268</v>
      </c>
    </row>
    <row r="29" spans="2:24" s="381" customFormat="1">
      <c r="C29" s="345" t="s">
        <v>1102</v>
      </c>
      <c r="I29" s="196"/>
      <c r="J29" s="210">
        <f>J28+J27</f>
        <v>18065.991818820123</v>
      </c>
      <c r="K29" s="196"/>
      <c r="R29" s="210">
        <f>R28+R27</f>
        <v>17954.872516168442</v>
      </c>
    </row>
    <row r="31" spans="2:24">
      <c r="B31" s="370" t="s">
        <v>1106</v>
      </c>
      <c r="C31" s="370"/>
      <c r="E31" s="367" t="str">
        <f>"DCF, "&amp;TEXT(H31,"0.0")&amp;"x 22E FCF"</f>
        <v>DCF, 22.0x 22E FCF</v>
      </c>
      <c r="F31" s="484">
        <v>428.78556849999967</v>
      </c>
      <c r="G31" s="178" t="s">
        <v>134</v>
      </c>
      <c r="H31" s="487">
        <v>21.956682304744813</v>
      </c>
      <c r="I31" s="178" t="s">
        <v>135</v>
      </c>
      <c r="J31" s="216">
        <f>H31*F31</f>
        <v>9414.7085044138876</v>
      </c>
      <c r="K31" s="178" t="s">
        <v>136</v>
      </c>
      <c r="L31" s="484"/>
      <c r="M31" s="178" t="s">
        <v>135</v>
      </c>
      <c r="N31" s="216">
        <f>J31-L31</f>
        <v>9414.7085044138876</v>
      </c>
      <c r="O31" s="178" t="s">
        <v>134</v>
      </c>
      <c r="P31" s="490">
        <v>1</v>
      </c>
      <c r="Q31" s="393" t="s">
        <v>135</v>
      </c>
      <c r="R31" s="216">
        <f>P31*N31</f>
        <v>9414.7085044138876</v>
      </c>
      <c r="S31" s="216"/>
      <c r="T31" s="216">
        <f>N31-R31</f>
        <v>0</v>
      </c>
      <c r="U31" s="216"/>
      <c r="V31" s="394">
        <f>N31/$J$60</f>
        <v>5.4503201357379967E-2</v>
      </c>
      <c r="W31" s="370"/>
      <c r="X31" s="373">
        <f>$J$64*V31</f>
        <v>2.4488182673028507</v>
      </c>
    </row>
    <row r="32" spans="2:24">
      <c r="B32" s="370" t="s">
        <v>1107</v>
      </c>
      <c r="C32" s="370"/>
      <c r="E32" s="367" t="s">
        <v>115</v>
      </c>
      <c r="F32" s="484">
        <v>582.61300000000006</v>
      </c>
      <c r="G32" s="178" t="s">
        <v>134</v>
      </c>
      <c r="H32" s="487">
        <v>1.325</v>
      </c>
      <c r="I32" s="178" t="s">
        <v>135</v>
      </c>
      <c r="J32" s="385">
        <v>7160.6874585768755</v>
      </c>
      <c r="K32" s="178" t="s">
        <v>136</v>
      </c>
      <c r="L32" s="484">
        <v>-148</v>
      </c>
      <c r="M32" s="178" t="s">
        <v>135</v>
      </c>
      <c r="N32" s="178">
        <f>J32-L32</f>
        <v>7308.6874585768755</v>
      </c>
      <c r="O32" s="178" t="s">
        <v>134</v>
      </c>
      <c r="P32" s="490">
        <v>0.88149999999999995</v>
      </c>
      <c r="Q32" s="393" t="s">
        <v>135</v>
      </c>
      <c r="R32" s="385">
        <f>P32*N32</f>
        <v>6442.6079947355156</v>
      </c>
      <c r="S32" s="216"/>
      <c r="T32" s="216">
        <f>N32-R32</f>
        <v>866.07946384135994</v>
      </c>
      <c r="U32" s="216"/>
      <c r="V32" s="394">
        <f>N32/$J$60</f>
        <v>4.2311120309908329E-2</v>
      </c>
      <c r="W32" s="370"/>
      <c r="X32" s="373">
        <f>$J$64*V32</f>
        <v>1.9010304302230245</v>
      </c>
    </row>
    <row r="33" spans="2:24" s="381" customFormat="1">
      <c r="C33" s="345" t="s">
        <v>1103</v>
      </c>
      <c r="I33" s="196"/>
      <c r="J33" s="210">
        <f>J32+J31</f>
        <v>16575.395962990762</v>
      </c>
      <c r="K33" s="196"/>
      <c r="R33" s="210">
        <f>R32+R31</f>
        <v>15857.316499149403</v>
      </c>
    </row>
    <row r="35" spans="2:24" s="381" customFormat="1">
      <c r="B35" s="345" t="s">
        <v>228</v>
      </c>
      <c r="C35" s="345"/>
      <c r="E35" s="381" t="str">
        <f>"DCF, "&amp;TEXT(H35,"0.0")&amp;"x 22E FCF"</f>
        <v>DCF, 24.9x 22E FCF</v>
      </c>
      <c r="F35" s="480">
        <v>491.5150500000002</v>
      </c>
      <c r="G35" s="196" t="s">
        <v>134</v>
      </c>
      <c r="H35" s="481">
        <v>24.900329238908707</v>
      </c>
      <c r="I35" s="196" t="s">
        <v>135</v>
      </c>
      <c r="J35" s="210">
        <f>H35*F35</f>
        <v>12238.88657087868</v>
      </c>
      <c r="K35" s="196" t="s">
        <v>136</v>
      </c>
      <c r="L35" s="480"/>
      <c r="M35" s="196" t="s">
        <v>135</v>
      </c>
      <c r="N35" s="210">
        <f>J35-L35</f>
        <v>12238.88657087868</v>
      </c>
      <c r="O35" s="196" t="s">
        <v>134</v>
      </c>
      <c r="P35" s="483">
        <v>0.60299999999999998</v>
      </c>
      <c r="Q35" s="369" t="s">
        <v>135</v>
      </c>
      <c r="R35" s="210">
        <f>P35*N35</f>
        <v>7380.0486022398436</v>
      </c>
      <c r="S35" s="210"/>
      <c r="T35" s="210">
        <f>N35-R35</f>
        <v>4858.8379686388362</v>
      </c>
      <c r="U35" s="210"/>
      <c r="V35" s="387">
        <f>N35/$J$60</f>
        <v>7.0852804295533742E-2</v>
      </c>
      <c r="W35" s="345"/>
      <c r="X35" s="372">
        <f>$J$64*V35</f>
        <v>3.1834027566720815</v>
      </c>
    </row>
    <row r="36" spans="2:24">
      <c r="B36" s="370"/>
      <c r="F36" s="216"/>
      <c r="G36" s="178"/>
      <c r="H36" s="373"/>
      <c r="P36" s="178"/>
    </row>
    <row r="38" spans="2:24">
      <c r="B38" s="370" t="s">
        <v>1496</v>
      </c>
      <c r="C38" s="370"/>
      <c r="E38" s="367" t="s">
        <v>1441</v>
      </c>
      <c r="F38" s="484">
        <v>572.6810999999999</v>
      </c>
      <c r="G38" s="178" t="s">
        <v>134</v>
      </c>
      <c r="H38" s="486">
        <v>26.989288803140184</v>
      </c>
      <c r="I38" s="178" t="s">
        <v>135</v>
      </c>
      <c r="J38" s="216">
        <f>H38*F38</f>
        <v>15456.2556</v>
      </c>
      <c r="K38" s="178" t="s">
        <v>136</v>
      </c>
      <c r="L38" s="484"/>
      <c r="M38" s="178" t="s">
        <v>135</v>
      </c>
      <c r="N38" s="216">
        <f>J38-L38</f>
        <v>15456.2556</v>
      </c>
      <c r="O38" s="178" t="s">
        <v>134</v>
      </c>
      <c r="P38" s="490">
        <v>0.51</v>
      </c>
      <c r="Q38" s="393" t="s">
        <v>135</v>
      </c>
      <c r="R38" s="216">
        <f>P38*N38</f>
        <v>7882.6903560000001</v>
      </c>
      <c r="S38" s="216"/>
      <c r="T38" s="216">
        <f>IF(R38&lt;0,0,(N38-R38))</f>
        <v>7573.5652440000003</v>
      </c>
      <c r="U38" s="216"/>
      <c r="V38" s="394">
        <f>N38/$J$60</f>
        <v>8.9478650433306897E-2</v>
      </c>
      <c r="W38" s="370"/>
      <c r="X38" s="373">
        <f>$J$64*V38</f>
        <v>4.0202584115734457</v>
      </c>
    </row>
    <row r="39" spans="2:24">
      <c r="B39" s="370" t="s">
        <v>1497</v>
      </c>
      <c r="C39" s="370"/>
      <c r="E39" s="367" t="s">
        <v>1441</v>
      </c>
      <c r="F39" s="484">
        <v>398.01418439716315</v>
      </c>
      <c r="G39" s="178" t="s">
        <v>134</v>
      </c>
      <c r="H39" s="486">
        <v>28.201230599153416</v>
      </c>
      <c r="I39" s="178" t="s">
        <v>135</v>
      </c>
      <c r="J39" s="216">
        <f>H39*F39</f>
        <v>11224.489795918367</v>
      </c>
      <c r="K39" s="178" t="s">
        <v>136</v>
      </c>
      <c r="L39" s="484"/>
      <c r="M39" s="178" t="s">
        <v>135</v>
      </c>
      <c r="N39" s="216">
        <f>J39-L39</f>
        <v>11224.489795918367</v>
      </c>
      <c r="O39" s="178" t="s">
        <v>134</v>
      </c>
      <c r="P39" s="490">
        <v>0.51</v>
      </c>
      <c r="Q39" s="393" t="s">
        <v>135</v>
      </c>
      <c r="R39" s="216">
        <f>P39*N39</f>
        <v>5724.4897959183672</v>
      </c>
      <c r="S39" s="216"/>
      <c r="T39" s="216">
        <f>IF(R39&lt;0,0,(N39-R39))</f>
        <v>5500</v>
      </c>
      <c r="U39" s="216"/>
      <c r="V39" s="394">
        <f>N39/$J$60</f>
        <v>6.4980304721487636E-2</v>
      </c>
      <c r="W39" s="370"/>
      <c r="X39" s="373">
        <f>$J$64*V39</f>
        <v>2.9195524896509295</v>
      </c>
    </row>
    <row r="40" spans="2:24">
      <c r="B40" s="370" t="s">
        <v>1038</v>
      </c>
      <c r="C40" s="370"/>
      <c r="E40" s="367" t="str">
        <f>"DCF, "&amp;TEXT(H40,"0.0")&amp;"x 22E FCF"</f>
        <v>DCF, 12.0x 22E FCF</v>
      </c>
      <c r="F40" s="484">
        <v>-4507.9039290737364</v>
      </c>
      <c r="G40" s="178" t="s">
        <v>134</v>
      </c>
      <c r="H40" s="486">
        <v>12.02943917902703</v>
      </c>
      <c r="I40" s="178" t="s">
        <v>135</v>
      </c>
      <c r="J40" s="216">
        <f>H40*F40</f>
        <v>-54227.556139689492</v>
      </c>
      <c r="K40" s="178" t="s">
        <v>136</v>
      </c>
      <c r="L40" s="484"/>
      <c r="M40" s="178" t="s">
        <v>135</v>
      </c>
      <c r="N40" s="216">
        <f>J40-L40</f>
        <v>-54227.556139689492</v>
      </c>
      <c r="O40" s="178" t="s">
        <v>134</v>
      </c>
      <c r="P40" s="490">
        <v>1</v>
      </c>
      <c r="Q40" s="393" t="s">
        <v>135</v>
      </c>
      <c r="R40" s="216">
        <f>P40*N40</f>
        <v>-54227.556139689492</v>
      </c>
      <c r="S40" s="216"/>
      <c r="T40" s="216">
        <f>IF(R40&lt;0,0,(N40-R40))</f>
        <v>0</v>
      </c>
      <c r="U40" s="216"/>
      <c r="V40" s="394">
        <f>N40/$J$60</f>
        <v>-0.31393169634667539</v>
      </c>
      <c r="W40" s="370"/>
      <c r="X40" s="373">
        <f>$J$64*V40</f>
        <v>-14.104890236782699</v>
      </c>
    </row>
    <row r="41" spans="2:24">
      <c r="B41" s="370" t="s">
        <v>1104</v>
      </c>
      <c r="C41" s="370"/>
      <c r="E41" s="367" t="str">
        <f>"DCF, "&amp;TEXT(H41,"0.0")&amp;"x 22E FCF"</f>
        <v>DCF, 82.5x 22E FCF</v>
      </c>
      <c r="F41" s="484">
        <v>74.045999515019588</v>
      </c>
      <c r="G41" s="178" t="s">
        <v>134</v>
      </c>
      <c r="H41" s="486">
        <v>82.496052960523045</v>
      </c>
      <c r="I41" s="178" t="s">
        <v>135</v>
      </c>
      <c r="J41" s="385">
        <f>H41*F41</f>
        <v>6108.50269750592</v>
      </c>
      <c r="K41" s="178" t="s">
        <v>136</v>
      </c>
      <c r="L41" s="498"/>
      <c r="M41" s="178" t="s">
        <v>135</v>
      </c>
      <c r="N41" s="385">
        <f t="shared" ref="N41" si="1">J41-L41</f>
        <v>6108.50269750592</v>
      </c>
      <c r="O41" s="178" t="s">
        <v>134</v>
      </c>
      <c r="P41" s="490">
        <v>1</v>
      </c>
      <c r="Q41" s="393" t="s">
        <v>135</v>
      </c>
      <c r="R41" s="385">
        <f>P41*N41</f>
        <v>6108.50269750592</v>
      </c>
      <c r="S41" s="216"/>
      <c r="T41" s="385">
        <f>N41-R41</f>
        <v>0</v>
      </c>
      <c r="U41" s="216"/>
      <c r="V41" s="395">
        <f>N41/$J$60</f>
        <v>3.5363065394767697E-2</v>
      </c>
      <c r="W41" s="370"/>
      <c r="X41" s="396">
        <f>$J$64*V41</f>
        <v>1.5888556703065431</v>
      </c>
    </row>
    <row r="42" spans="2:24">
      <c r="B42" s="345" t="s">
        <v>138</v>
      </c>
      <c r="C42" s="370"/>
      <c r="F42" s="210"/>
      <c r="G42" s="196"/>
      <c r="H42" s="372"/>
      <c r="I42" s="376"/>
      <c r="J42" s="210">
        <f>J41+J40+J35+J33+J29+J25+J21+J17+J13+J38+J39</f>
        <v>282988.67335090914</v>
      </c>
      <c r="K42" s="375"/>
      <c r="L42" s="210">
        <f>-J52</f>
        <v>56562.9654300197</v>
      </c>
      <c r="M42" s="196"/>
      <c r="N42" s="210">
        <f>N41+N40+N35+N33+N29+N25+N21+N17+N13+N38</f>
        <v>-20423.911271304885</v>
      </c>
      <c r="P42" s="377"/>
      <c r="Q42" s="378"/>
      <c r="R42" s="210">
        <f>R41+R40+R35+R33+R29+R25+R21+R17+R13+R38+R39</f>
        <v>264227.07137177727</v>
      </c>
      <c r="S42" s="370"/>
      <c r="T42" s="210">
        <f>SUM(T11:T41)</f>
        <v>19243.766458906182</v>
      </c>
      <c r="U42" s="370"/>
      <c r="V42" s="387">
        <f>N42/$J$60</f>
        <v>-0.11823717622306701</v>
      </c>
      <c r="W42" s="370"/>
      <c r="X42" s="372">
        <f>$J$64*V42</f>
        <v>-5.3123733982306272</v>
      </c>
    </row>
    <row r="44" spans="2:24">
      <c r="C44" s="345"/>
      <c r="G44" s="196"/>
      <c r="I44" s="196"/>
      <c r="J44" s="210"/>
      <c r="K44" s="196"/>
      <c r="L44" s="210"/>
      <c r="M44" s="196"/>
      <c r="N44" s="196"/>
      <c r="O44" s="196"/>
      <c r="Q44" s="196"/>
      <c r="R44" s="196"/>
      <c r="S44" s="210"/>
    </row>
    <row r="45" spans="2:24">
      <c r="F45" s="210"/>
      <c r="H45" s="372"/>
      <c r="P45" s="196"/>
    </row>
    <row r="46" spans="2:24">
      <c r="B46" s="345" t="s">
        <v>139</v>
      </c>
      <c r="C46" s="345"/>
      <c r="F46" s="210"/>
      <c r="H46" s="372"/>
      <c r="I46" s="376"/>
      <c r="L46" s="196"/>
      <c r="M46" s="196"/>
      <c r="N46" s="370"/>
      <c r="P46" s="377"/>
      <c r="Q46" s="378"/>
      <c r="R46" s="370"/>
    </row>
    <row r="47" spans="2:24">
      <c r="B47" s="345" t="s">
        <v>120</v>
      </c>
      <c r="C47" s="345"/>
      <c r="E47" s="367" t="str">
        <f>"DCF, "&amp;TEXT(H47,"0.0")&amp;"x 22E FCF"</f>
        <v>DCF, 14.0x 22E FCF</v>
      </c>
      <c r="F47" s="480">
        <v>357.14285714285717</v>
      </c>
      <c r="G47" s="196" t="s">
        <v>134</v>
      </c>
      <c r="H47" s="481">
        <v>14</v>
      </c>
      <c r="I47" s="196" t="s">
        <v>135</v>
      </c>
      <c r="J47" s="210">
        <f>H47*F47</f>
        <v>5000</v>
      </c>
      <c r="K47" s="196" t="s">
        <v>136</v>
      </c>
      <c r="L47" s="480"/>
      <c r="M47" s="196" t="s">
        <v>135</v>
      </c>
      <c r="N47" s="210">
        <f>J47-L47</f>
        <v>5000</v>
      </c>
      <c r="O47" s="196" t="s">
        <v>134</v>
      </c>
      <c r="P47" s="483">
        <v>0.49</v>
      </c>
      <c r="Q47" s="369" t="s">
        <v>135</v>
      </c>
      <c r="R47" s="374">
        <f>P47*N47</f>
        <v>2450</v>
      </c>
    </row>
    <row r="48" spans="2:24">
      <c r="B48" s="345" t="s">
        <v>138</v>
      </c>
      <c r="C48" s="370"/>
      <c r="R48" s="210">
        <f>R47</f>
        <v>2450</v>
      </c>
    </row>
    <row r="51" spans="2:24" ht="12.6" thickBot="1">
      <c r="B51" s="382" t="s">
        <v>142</v>
      </c>
      <c r="D51" s="345"/>
      <c r="E51" s="381"/>
      <c r="H51" s="381"/>
      <c r="I51" s="381"/>
      <c r="J51" s="374">
        <f>J42</f>
        <v>282988.67335090914</v>
      </c>
      <c r="T51" s="460" t="s">
        <v>549</v>
      </c>
      <c r="U51" s="368"/>
      <c r="V51" s="368"/>
      <c r="W51" s="368"/>
      <c r="X51" s="368"/>
    </row>
    <row r="52" spans="2:24" ht="12.6" thickTop="1">
      <c r="B52" s="383" t="s">
        <v>1504</v>
      </c>
      <c r="D52" s="424"/>
      <c r="J52" s="216">
        <f>-TELIA!D12</f>
        <v>-56562.9654300197</v>
      </c>
      <c r="T52" s="134"/>
    </row>
    <row r="53" spans="2:24">
      <c r="B53" s="384" t="s">
        <v>1367</v>
      </c>
      <c r="D53" s="370"/>
      <c r="J53" s="484">
        <v>-9962</v>
      </c>
      <c r="T53" s="134"/>
    </row>
    <row r="54" spans="2:24">
      <c r="B54" s="384" t="s">
        <v>966</v>
      </c>
      <c r="D54" s="370"/>
      <c r="J54" s="484">
        <v>1703.4430357478188</v>
      </c>
      <c r="R54" s="370"/>
    </row>
    <row r="55" spans="2:24">
      <c r="B55" s="384" t="s">
        <v>1368</v>
      </c>
      <c r="D55" s="370"/>
      <c r="J55" s="484">
        <v>-8175.1238095238214</v>
      </c>
      <c r="R55" s="370"/>
    </row>
    <row r="56" spans="2:24">
      <c r="B56" s="384" t="s">
        <v>1105</v>
      </c>
      <c r="D56" s="370"/>
      <c r="J56" s="484">
        <v>-19895.186199407777</v>
      </c>
    </row>
    <row r="57" spans="2:24">
      <c r="B57" s="384" t="s">
        <v>967</v>
      </c>
      <c r="D57" s="370"/>
      <c r="J57" s="484">
        <v>-566.27609999999993</v>
      </c>
      <c r="K57" s="381"/>
    </row>
    <row r="58" spans="2:24">
      <c r="B58" s="384" t="s">
        <v>1065</v>
      </c>
      <c r="J58" s="216">
        <f>R48</f>
        <v>2450</v>
      </c>
    </row>
    <row r="59" spans="2:24">
      <c r="B59" s="384" t="s">
        <v>537</v>
      </c>
      <c r="J59" s="385">
        <f>-T42</f>
        <v>-19243.766458906182</v>
      </c>
      <c r="K59" s="381"/>
    </row>
    <row r="60" spans="2:24">
      <c r="B60" s="382" t="s">
        <v>495</v>
      </c>
      <c r="J60" s="210">
        <f>SUM(J51:J59)</f>
        <v>172736.79838879951</v>
      </c>
    </row>
    <row r="61" spans="2:24">
      <c r="B61" s="384" t="s">
        <v>496</v>
      </c>
      <c r="J61" s="385">
        <f>TELIA!E10</f>
        <v>3932.1092859999999</v>
      </c>
    </row>
    <row r="62" spans="2:24">
      <c r="B62" s="382" t="s">
        <v>497</v>
      </c>
      <c r="D62" s="345"/>
      <c r="E62" s="381"/>
      <c r="F62" s="381"/>
      <c r="G62" s="381"/>
      <c r="H62" s="381"/>
      <c r="I62" s="381"/>
      <c r="J62" s="207">
        <f>J60/J61</f>
        <v>43.929806072231209</v>
      </c>
    </row>
    <row r="63" spans="2:24" ht="12.6" thickBot="1">
      <c r="B63" s="384" t="s">
        <v>748</v>
      </c>
      <c r="D63" s="370"/>
      <c r="J63" s="486">
        <v>1</v>
      </c>
    </row>
    <row r="64" spans="2:24" ht="12.6" thickBot="1">
      <c r="B64" s="382" t="s">
        <v>62</v>
      </c>
      <c r="D64" s="370"/>
      <c r="J64" s="461">
        <f>J63+J62</f>
        <v>44.929806072231209</v>
      </c>
    </row>
    <row r="65" spans="2:24">
      <c r="B65" s="384" t="s">
        <v>498</v>
      </c>
      <c r="J65" s="214">
        <f>Prices!C19</f>
        <v>26.39</v>
      </c>
    </row>
    <row r="66" spans="2:24">
      <c r="B66" s="382" t="s">
        <v>97</v>
      </c>
      <c r="J66" s="425">
        <f>J64/J65-1</f>
        <v>0.70253149193752207</v>
      </c>
    </row>
    <row r="69" spans="2:24">
      <c r="B69" s="382"/>
      <c r="D69" s="345"/>
      <c r="E69" s="381"/>
      <c r="H69" s="381"/>
      <c r="I69" s="381"/>
      <c r="J69" s="381"/>
      <c r="K69" s="381"/>
    </row>
    <row r="71" spans="2:24" ht="12.6" thickBot="1">
      <c r="T71" s="460" t="s">
        <v>549</v>
      </c>
      <c r="U71" s="368"/>
      <c r="V71" s="368"/>
      <c r="W71" s="368"/>
      <c r="X71" s="368"/>
    </row>
    <row r="72" spans="2:24" ht="12.6" thickTop="1">
      <c r="T72" s="370" t="s">
        <v>140</v>
      </c>
      <c r="X72" s="394">
        <f>(R11+R15+R19+R23+R27+R31+R35)/(R42+R48)</f>
        <v>0.75597932742487883</v>
      </c>
    </row>
    <row r="73" spans="2:24">
      <c r="T73" s="370" t="s">
        <v>1108</v>
      </c>
      <c r="X73" s="394">
        <f>(R12+R16+R20+R24+R28+R32+R47)/(R42+R49)</f>
        <v>0.37689776104223582</v>
      </c>
    </row>
    <row r="74" spans="2:24">
      <c r="B74" s="384"/>
      <c r="D74" s="370"/>
      <c r="J74" s="373"/>
      <c r="T74" s="370" t="s">
        <v>141</v>
      </c>
      <c r="X74" s="394">
        <f>1-X73-X72</f>
        <v>-0.13287708846711466</v>
      </c>
    </row>
    <row r="75" spans="2:24">
      <c r="B75" s="382"/>
      <c r="D75" s="345"/>
      <c r="E75" s="381"/>
      <c r="F75" s="381"/>
      <c r="G75" s="381"/>
      <c r="H75" s="381"/>
      <c r="I75" s="381"/>
      <c r="J75" s="387" t="s">
        <v>694</v>
      </c>
      <c r="K75" s="381"/>
    </row>
    <row r="76" spans="2:24">
      <c r="D76" s="386"/>
      <c r="E76" s="345"/>
      <c r="F76" s="345"/>
      <c r="G76" s="345"/>
      <c r="H76" s="345"/>
      <c r="I76" s="345"/>
      <c r="T76" s="370" t="s">
        <v>813</v>
      </c>
      <c r="X76" s="394">
        <f>X72</f>
        <v>0.75597932742487883</v>
      </c>
    </row>
    <row r="77" spans="2:24">
      <c r="D77" s="386"/>
      <c r="E77" s="345"/>
      <c r="F77" s="345"/>
      <c r="G77" s="345"/>
      <c r="H77" s="345"/>
      <c r="I77" s="345"/>
      <c r="T77" s="370" t="s">
        <v>814</v>
      </c>
      <c r="X77" s="394">
        <f>X72-X76</f>
        <v>0</v>
      </c>
    </row>
    <row r="78" spans="2:24">
      <c r="B78" s="367" t="s">
        <v>655</v>
      </c>
      <c r="D78" s="386">
        <f>Prices!C158/Prices!C166</f>
        <v>3.3466228868747603</v>
      </c>
      <c r="E78" s="345"/>
      <c r="F78" s="345"/>
      <c r="G78" s="345"/>
      <c r="H78" s="345"/>
      <c r="I78" s="345"/>
      <c r="K78" s="381"/>
      <c r="T78" s="370" t="s">
        <v>815</v>
      </c>
      <c r="X78" s="394">
        <v>0</v>
      </c>
    </row>
    <row r="79" spans="2:24">
      <c r="B79" s="367" t="s">
        <v>805</v>
      </c>
      <c r="D79" s="386">
        <v>8.5808499999999999</v>
      </c>
    </row>
    <row r="91" spans="4:24">
      <c r="D91" s="370"/>
      <c r="E91" s="381"/>
      <c r="F91" s="381"/>
      <c r="G91" s="381"/>
      <c r="H91" s="381"/>
      <c r="I91" s="381"/>
      <c r="R91" s="249"/>
      <c r="S91" s="388"/>
      <c r="T91" s="388"/>
      <c r="U91" s="388"/>
      <c r="V91" s="388"/>
      <c r="W91" s="388"/>
      <c r="X91" s="388"/>
    </row>
    <row r="92" spans="4:24">
      <c r="D92" s="370"/>
      <c r="R92" s="388"/>
    </row>
    <row r="93" spans="4:24">
      <c r="D93" s="370"/>
      <c r="L93" s="249"/>
      <c r="M93" s="249"/>
      <c r="N93" s="249"/>
      <c r="O93" s="249"/>
      <c r="P93" s="249"/>
      <c r="Q93" s="249"/>
    </row>
    <row r="94" spans="4:24">
      <c r="D94" s="370"/>
      <c r="J94" s="381"/>
      <c r="N94" s="388"/>
      <c r="O94" s="388"/>
      <c r="P94" s="388"/>
      <c r="Q94" s="388"/>
      <c r="S94" s="249"/>
      <c r="T94" s="249"/>
      <c r="U94" s="249"/>
      <c r="V94" s="249"/>
      <c r="W94" s="249"/>
      <c r="X94" s="249"/>
    </row>
    <row r="95" spans="4:24">
      <c r="D95" s="370"/>
      <c r="J95" s="381"/>
      <c r="R95" s="249"/>
      <c r="S95" s="388"/>
      <c r="T95" s="388"/>
      <c r="U95" s="388"/>
      <c r="V95" s="388"/>
      <c r="W95" s="388"/>
      <c r="X95" s="388"/>
    </row>
    <row r="96" spans="4:24">
      <c r="D96" s="370"/>
      <c r="L96" s="249"/>
      <c r="M96" s="249"/>
      <c r="N96" s="249"/>
      <c r="O96" s="249"/>
      <c r="P96" s="249"/>
      <c r="Q96" s="249"/>
      <c r="R96" s="388"/>
    </row>
    <row r="97" spans="4:24">
      <c r="D97" s="370"/>
      <c r="J97" s="381"/>
      <c r="K97" s="381"/>
      <c r="N97" s="388"/>
      <c r="O97" s="388"/>
      <c r="P97" s="388"/>
      <c r="Q97" s="388"/>
      <c r="S97" s="249"/>
      <c r="T97" s="249"/>
      <c r="U97" s="249"/>
      <c r="V97" s="249"/>
      <c r="W97" s="249"/>
      <c r="X97" s="249"/>
    </row>
    <row r="98" spans="4:24">
      <c r="D98" s="370"/>
      <c r="J98" s="381"/>
      <c r="K98" s="381"/>
      <c r="R98" s="249"/>
      <c r="S98" s="388"/>
      <c r="T98" s="388"/>
      <c r="U98" s="388"/>
      <c r="V98" s="388"/>
      <c r="W98" s="388"/>
      <c r="X98" s="388"/>
    </row>
    <row r="99" spans="4:24">
      <c r="D99" s="370"/>
      <c r="J99" s="381"/>
      <c r="L99" s="249"/>
      <c r="M99" s="249"/>
      <c r="N99" s="249"/>
      <c r="O99" s="249"/>
      <c r="P99" s="249"/>
      <c r="Q99" s="249"/>
      <c r="R99" s="388"/>
    </row>
    <row r="100" spans="4:24">
      <c r="D100" s="370"/>
      <c r="K100" s="381"/>
      <c r="N100" s="388"/>
      <c r="O100" s="388"/>
      <c r="P100" s="388"/>
      <c r="Q100" s="388"/>
      <c r="S100" s="249"/>
      <c r="T100" s="249"/>
      <c r="U100" s="249"/>
      <c r="V100" s="249"/>
      <c r="W100" s="249"/>
      <c r="X100" s="249"/>
    </row>
    <row r="101" spans="4:24">
      <c r="D101" s="345"/>
      <c r="E101" s="381"/>
      <c r="F101" s="381"/>
      <c r="G101" s="381"/>
      <c r="H101" s="381"/>
      <c r="I101" s="381"/>
      <c r="K101" s="381"/>
      <c r="R101" s="249"/>
      <c r="S101" s="388"/>
      <c r="T101" s="388"/>
      <c r="U101" s="388"/>
      <c r="V101" s="388"/>
      <c r="W101" s="388"/>
      <c r="X101" s="388"/>
    </row>
    <row r="102" spans="4:24">
      <c r="D102" s="370"/>
      <c r="J102" s="381"/>
      <c r="K102" s="381"/>
      <c r="L102" s="249"/>
      <c r="M102" s="249"/>
      <c r="N102" s="249"/>
      <c r="O102" s="249"/>
      <c r="P102" s="249"/>
      <c r="Q102" s="249"/>
      <c r="R102" s="388"/>
    </row>
    <row r="103" spans="4:24">
      <c r="D103" s="370"/>
      <c r="J103" s="381"/>
      <c r="N103" s="388"/>
      <c r="O103" s="388"/>
      <c r="P103" s="388"/>
      <c r="Q103" s="388"/>
      <c r="S103" s="249"/>
      <c r="T103" s="249"/>
      <c r="U103" s="249"/>
      <c r="V103" s="249"/>
      <c r="W103" s="249"/>
      <c r="X103" s="249"/>
    </row>
    <row r="104" spans="4:24">
      <c r="D104" s="345"/>
      <c r="E104" s="381"/>
      <c r="F104" s="381"/>
      <c r="G104" s="381"/>
      <c r="H104" s="381"/>
      <c r="I104" s="381"/>
      <c r="L104" s="389"/>
      <c r="M104" s="389"/>
      <c r="N104" s="389"/>
      <c r="O104" s="389"/>
      <c r="P104" s="389"/>
      <c r="Q104" s="389"/>
      <c r="R104" s="249"/>
      <c r="S104" s="388"/>
      <c r="T104" s="388"/>
      <c r="U104" s="388"/>
      <c r="V104" s="388"/>
      <c r="W104" s="388"/>
      <c r="X104" s="388"/>
    </row>
    <row r="105" spans="4:24">
      <c r="D105" s="370"/>
      <c r="K105" s="381"/>
      <c r="N105" s="388"/>
      <c r="O105" s="388"/>
      <c r="P105" s="388"/>
      <c r="Q105" s="388"/>
      <c r="R105" s="388"/>
      <c r="S105" s="389"/>
      <c r="T105" s="389"/>
      <c r="U105" s="389"/>
      <c r="V105" s="389"/>
      <c r="W105" s="389"/>
      <c r="X105" s="389"/>
    </row>
    <row r="106" spans="4:24">
      <c r="D106" s="345"/>
      <c r="E106" s="381"/>
      <c r="F106" s="381"/>
      <c r="G106" s="381"/>
      <c r="H106" s="381"/>
      <c r="I106" s="381"/>
      <c r="K106" s="381"/>
      <c r="R106" s="389"/>
      <c r="S106" s="388"/>
      <c r="T106" s="388"/>
      <c r="U106" s="388"/>
      <c r="V106" s="388"/>
      <c r="W106" s="388"/>
      <c r="X106" s="388"/>
    </row>
    <row r="107" spans="4:24">
      <c r="D107" s="370"/>
      <c r="E107" s="381"/>
      <c r="F107" s="381"/>
      <c r="G107" s="381"/>
      <c r="H107" s="381"/>
      <c r="I107" s="381"/>
      <c r="L107" s="249"/>
      <c r="M107" s="249"/>
      <c r="N107" s="249"/>
      <c r="O107" s="249"/>
      <c r="P107" s="249"/>
      <c r="Q107" s="249"/>
      <c r="R107" s="388"/>
    </row>
    <row r="108" spans="4:24">
      <c r="D108" s="370"/>
      <c r="N108" s="388"/>
      <c r="O108" s="388"/>
      <c r="P108" s="390"/>
      <c r="Q108" s="390"/>
      <c r="S108" s="249"/>
      <c r="T108" s="249"/>
      <c r="U108" s="249"/>
      <c r="V108" s="249"/>
      <c r="W108" s="249"/>
      <c r="X108" s="249"/>
    </row>
    <row r="109" spans="4:24">
      <c r="D109" s="370"/>
      <c r="L109" s="249"/>
      <c r="M109" s="249"/>
      <c r="N109" s="249"/>
      <c r="O109" s="249"/>
      <c r="P109" s="249"/>
      <c r="Q109" s="249"/>
      <c r="R109" s="249"/>
      <c r="S109" s="390"/>
      <c r="T109" s="390"/>
      <c r="U109" s="390"/>
      <c r="V109" s="390"/>
      <c r="W109" s="390"/>
      <c r="X109" s="390"/>
    </row>
    <row r="110" spans="4:24">
      <c r="D110" s="345"/>
      <c r="E110" s="381"/>
      <c r="F110" s="381"/>
      <c r="G110" s="381"/>
      <c r="H110" s="381"/>
      <c r="I110" s="381"/>
      <c r="N110" s="388"/>
      <c r="O110" s="388"/>
      <c r="P110" s="388"/>
      <c r="Q110" s="388"/>
      <c r="R110" s="390"/>
      <c r="S110" s="249"/>
      <c r="T110" s="249"/>
      <c r="U110" s="249"/>
      <c r="V110" s="249"/>
      <c r="W110" s="249"/>
      <c r="X110" s="249"/>
    </row>
    <row r="111" spans="4:24">
      <c r="D111" s="370"/>
      <c r="E111" s="381"/>
      <c r="F111" s="381"/>
      <c r="G111" s="381"/>
      <c r="H111" s="381"/>
      <c r="I111" s="381"/>
      <c r="L111" s="248"/>
      <c r="M111" s="248"/>
      <c r="N111" s="248"/>
      <c r="O111" s="248"/>
      <c r="P111" s="248"/>
      <c r="Q111" s="248"/>
      <c r="R111" s="249"/>
      <c r="S111" s="388"/>
      <c r="T111" s="388"/>
      <c r="U111" s="388"/>
      <c r="V111" s="388"/>
      <c r="W111" s="388"/>
      <c r="X111" s="388"/>
    </row>
    <row r="112" spans="4:24">
      <c r="D112" s="370"/>
      <c r="R112" s="388"/>
      <c r="S112" s="248"/>
      <c r="T112" s="248"/>
      <c r="U112" s="248"/>
      <c r="V112" s="248"/>
      <c r="W112" s="248"/>
      <c r="X112" s="248"/>
    </row>
    <row r="113" spans="4:24">
      <c r="D113" s="345"/>
      <c r="E113" s="381"/>
      <c r="F113" s="381"/>
      <c r="G113" s="381"/>
      <c r="H113" s="381"/>
      <c r="I113" s="381"/>
      <c r="L113" s="247"/>
      <c r="M113" s="247"/>
      <c r="N113" s="247"/>
      <c r="O113" s="247"/>
      <c r="P113" s="247"/>
      <c r="Q113" s="247"/>
      <c r="R113" s="248"/>
    </row>
    <row r="114" spans="4:24">
      <c r="D114" s="370"/>
      <c r="J114" s="381"/>
      <c r="N114" s="388"/>
      <c r="O114" s="388"/>
      <c r="P114" s="388"/>
      <c r="Q114" s="388"/>
      <c r="S114" s="247"/>
      <c r="T114" s="247"/>
      <c r="U114" s="247"/>
      <c r="V114" s="247"/>
      <c r="W114" s="247"/>
      <c r="X114" s="247"/>
    </row>
    <row r="115" spans="4:24">
      <c r="D115" s="370"/>
      <c r="J115" s="381"/>
      <c r="R115" s="247"/>
      <c r="S115" s="388"/>
      <c r="T115" s="388"/>
      <c r="U115" s="388"/>
      <c r="V115" s="388"/>
      <c r="W115" s="388"/>
      <c r="X115" s="388"/>
    </row>
    <row r="116" spans="4:24">
      <c r="D116" s="345"/>
      <c r="E116" s="381"/>
      <c r="F116" s="381"/>
      <c r="G116" s="381"/>
      <c r="H116" s="381"/>
      <c r="I116" s="381"/>
      <c r="L116" s="389"/>
      <c r="M116" s="389"/>
      <c r="N116" s="389"/>
      <c r="O116" s="389"/>
      <c r="P116" s="389"/>
      <c r="Q116" s="389"/>
      <c r="R116" s="388"/>
    </row>
    <row r="117" spans="4:24">
      <c r="D117" s="370"/>
      <c r="K117" s="381"/>
      <c r="N117" s="388"/>
      <c r="O117" s="388"/>
      <c r="P117" s="388"/>
      <c r="Q117" s="388"/>
      <c r="S117" s="389"/>
      <c r="T117" s="389"/>
      <c r="U117" s="389"/>
      <c r="V117" s="389"/>
      <c r="W117" s="389"/>
      <c r="X117" s="389"/>
    </row>
    <row r="118" spans="4:24">
      <c r="D118" s="370"/>
      <c r="J118" s="381"/>
      <c r="K118" s="381"/>
      <c r="R118" s="389"/>
      <c r="S118" s="388"/>
      <c r="T118" s="388"/>
      <c r="U118" s="388"/>
      <c r="V118" s="388"/>
      <c r="W118" s="388"/>
      <c r="X118" s="388"/>
    </row>
    <row r="119" spans="4:24">
      <c r="D119" s="370"/>
      <c r="J119" s="381"/>
      <c r="L119" s="391"/>
      <c r="M119" s="391"/>
      <c r="N119" s="391"/>
      <c r="O119" s="391"/>
      <c r="P119" s="391"/>
      <c r="Q119" s="391"/>
      <c r="R119" s="388"/>
    </row>
    <row r="120" spans="4:24">
      <c r="D120" s="345"/>
      <c r="E120" s="381"/>
      <c r="F120" s="381"/>
      <c r="G120" s="381"/>
      <c r="H120" s="381"/>
      <c r="I120" s="381"/>
      <c r="N120" s="388"/>
      <c r="O120" s="388"/>
      <c r="P120" s="388"/>
      <c r="Q120" s="388"/>
      <c r="S120" s="391"/>
      <c r="T120" s="391"/>
      <c r="U120" s="391"/>
      <c r="V120" s="391"/>
      <c r="W120" s="391"/>
      <c r="X120" s="391"/>
    </row>
    <row r="121" spans="4:24">
      <c r="D121" s="370"/>
      <c r="K121" s="381"/>
      <c r="N121" s="248"/>
      <c r="O121" s="248"/>
      <c r="P121" s="248"/>
      <c r="Q121" s="248"/>
      <c r="R121" s="391"/>
      <c r="S121" s="388"/>
      <c r="T121" s="388"/>
      <c r="U121" s="388"/>
      <c r="V121" s="388"/>
      <c r="W121" s="388"/>
      <c r="X121" s="388"/>
    </row>
    <row r="122" spans="4:24">
      <c r="D122" s="370"/>
      <c r="E122" s="345"/>
      <c r="F122" s="345"/>
      <c r="G122" s="345"/>
      <c r="H122" s="345"/>
      <c r="I122" s="345"/>
      <c r="J122" s="381"/>
      <c r="K122" s="381"/>
      <c r="R122" s="388"/>
      <c r="S122" s="248"/>
      <c r="T122" s="248"/>
      <c r="U122" s="248"/>
      <c r="V122" s="248"/>
      <c r="W122" s="248"/>
      <c r="X122" s="248"/>
    </row>
    <row r="123" spans="4:24">
      <c r="D123" s="370"/>
      <c r="E123" s="345"/>
      <c r="F123" s="345"/>
      <c r="G123" s="345"/>
      <c r="H123" s="345"/>
      <c r="I123" s="345"/>
      <c r="L123" s="247"/>
      <c r="M123" s="247"/>
      <c r="N123" s="247"/>
      <c r="O123" s="247"/>
      <c r="P123" s="247"/>
      <c r="Q123" s="247"/>
      <c r="R123" s="248"/>
    </row>
    <row r="124" spans="4:24">
      <c r="D124" s="370"/>
      <c r="N124" s="388"/>
      <c r="O124" s="388"/>
      <c r="P124" s="388"/>
      <c r="Q124" s="388"/>
      <c r="S124" s="247"/>
      <c r="T124" s="247"/>
      <c r="U124" s="247"/>
      <c r="V124" s="247"/>
      <c r="W124" s="247"/>
      <c r="X124" s="247"/>
    </row>
    <row r="125" spans="4:24">
      <c r="D125" s="370"/>
      <c r="K125" s="381"/>
      <c r="L125" s="274"/>
      <c r="M125" s="274"/>
      <c r="N125" s="274"/>
      <c r="O125" s="274"/>
      <c r="P125" s="274"/>
      <c r="Q125" s="274"/>
      <c r="R125" s="247"/>
      <c r="S125" s="388"/>
      <c r="T125" s="388"/>
      <c r="U125" s="388"/>
      <c r="V125" s="388"/>
      <c r="W125" s="388"/>
      <c r="X125" s="388"/>
    </row>
    <row r="126" spans="4:24">
      <c r="D126" s="370"/>
      <c r="R126" s="388"/>
      <c r="S126" s="274"/>
      <c r="T126" s="274"/>
      <c r="U126" s="274"/>
      <c r="V126" s="274"/>
      <c r="W126" s="274"/>
      <c r="X126" s="274"/>
    </row>
    <row r="127" spans="4:24">
      <c r="D127" s="345"/>
      <c r="E127" s="381"/>
      <c r="F127" s="381"/>
      <c r="G127" s="381"/>
      <c r="H127" s="381"/>
      <c r="I127" s="381"/>
      <c r="L127" s="389"/>
      <c r="M127" s="389"/>
      <c r="N127" s="389"/>
      <c r="O127" s="389"/>
      <c r="P127" s="389"/>
      <c r="Q127" s="389"/>
      <c r="R127" s="274"/>
    </row>
    <row r="128" spans="4:24">
      <c r="D128" s="345"/>
      <c r="E128" s="381"/>
      <c r="F128" s="381"/>
      <c r="G128" s="381"/>
      <c r="H128" s="381"/>
      <c r="I128" s="381"/>
      <c r="N128" s="388"/>
      <c r="O128" s="388"/>
      <c r="P128" s="388"/>
      <c r="Q128" s="388"/>
      <c r="S128" s="389"/>
      <c r="T128" s="389"/>
      <c r="U128" s="389"/>
      <c r="V128" s="389"/>
      <c r="W128" s="389"/>
      <c r="X128" s="389"/>
    </row>
    <row r="129" spans="4:24">
      <c r="D129" s="370"/>
      <c r="E129" s="381"/>
      <c r="F129" s="381"/>
      <c r="G129" s="381"/>
      <c r="H129" s="381"/>
      <c r="I129" s="381"/>
      <c r="R129" s="389"/>
      <c r="S129" s="388"/>
      <c r="T129" s="388"/>
      <c r="U129" s="388"/>
      <c r="V129" s="388"/>
      <c r="W129" s="388"/>
      <c r="X129" s="388"/>
    </row>
    <row r="130" spans="4:24">
      <c r="D130" s="370"/>
      <c r="E130" s="381"/>
      <c r="F130" s="381"/>
      <c r="G130" s="381"/>
      <c r="H130" s="381"/>
      <c r="I130" s="381"/>
      <c r="R130" s="388"/>
    </row>
    <row r="131" spans="4:24">
      <c r="D131" s="370"/>
      <c r="L131" s="249"/>
      <c r="M131" s="249"/>
      <c r="N131" s="249"/>
      <c r="O131" s="249"/>
      <c r="P131" s="249"/>
      <c r="Q131" s="249"/>
    </row>
    <row r="132" spans="4:24">
      <c r="D132" s="345"/>
      <c r="E132" s="381"/>
      <c r="F132" s="381"/>
      <c r="G132" s="381"/>
      <c r="H132" s="381"/>
      <c r="I132" s="381"/>
      <c r="N132" s="388"/>
      <c r="O132" s="388"/>
      <c r="P132" s="388"/>
      <c r="Q132" s="388"/>
      <c r="S132" s="249"/>
      <c r="T132" s="249"/>
      <c r="U132" s="249"/>
      <c r="V132" s="249"/>
      <c r="W132" s="249"/>
      <c r="X132" s="249"/>
    </row>
    <row r="133" spans="4:24">
      <c r="D133" s="370"/>
      <c r="E133" s="381"/>
      <c r="F133" s="381"/>
      <c r="G133" s="381"/>
      <c r="H133" s="381"/>
      <c r="I133" s="381"/>
      <c r="R133" s="249"/>
      <c r="S133" s="388"/>
      <c r="T133" s="388"/>
      <c r="U133" s="388"/>
      <c r="V133" s="388"/>
      <c r="W133" s="388"/>
      <c r="X133" s="388"/>
    </row>
    <row r="134" spans="4:24">
      <c r="D134" s="370"/>
      <c r="E134" s="381"/>
      <c r="F134" s="381"/>
      <c r="G134" s="381"/>
      <c r="H134" s="381"/>
      <c r="I134" s="381"/>
      <c r="L134" s="249"/>
      <c r="M134" s="249"/>
      <c r="N134" s="249"/>
      <c r="O134" s="249"/>
      <c r="P134" s="249"/>
      <c r="Q134" s="249"/>
      <c r="R134" s="388"/>
    </row>
    <row r="135" spans="4:24">
      <c r="D135" s="370"/>
      <c r="N135" s="388"/>
      <c r="O135" s="388"/>
      <c r="P135" s="390"/>
      <c r="Q135" s="390"/>
      <c r="S135" s="249"/>
      <c r="T135" s="249"/>
      <c r="U135" s="249"/>
      <c r="V135" s="249"/>
      <c r="W135" s="249"/>
      <c r="X135" s="249"/>
    </row>
    <row r="136" spans="4:24">
      <c r="D136" s="370"/>
      <c r="R136" s="249"/>
      <c r="S136" s="390"/>
      <c r="T136" s="390"/>
      <c r="U136" s="390"/>
      <c r="V136" s="390"/>
      <c r="W136" s="390"/>
      <c r="X136" s="390"/>
    </row>
    <row r="137" spans="4:24">
      <c r="D137" s="370"/>
      <c r="J137" s="381"/>
      <c r="L137" s="389"/>
      <c r="M137" s="389"/>
      <c r="N137" s="389"/>
      <c r="O137" s="389"/>
      <c r="P137" s="389"/>
      <c r="Q137" s="389"/>
      <c r="R137" s="390"/>
    </row>
    <row r="138" spans="4:24">
      <c r="D138" s="370"/>
      <c r="J138" s="381"/>
      <c r="N138" s="392"/>
      <c r="O138" s="392"/>
      <c r="P138" s="392"/>
      <c r="Q138" s="392"/>
      <c r="S138" s="389"/>
      <c r="T138" s="389"/>
      <c r="U138" s="389"/>
      <c r="V138" s="389"/>
      <c r="W138" s="389"/>
      <c r="X138" s="389"/>
    </row>
    <row r="139" spans="4:24">
      <c r="D139" s="370"/>
      <c r="L139" s="392"/>
      <c r="M139" s="392"/>
      <c r="N139" s="392"/>
      <c r="O139" s="392"/>
      <c r="P139" s="392"/>
      <c r="Q139" s="392"/>
      <c r="R139" s="389"/>
      <c r="S139" s="392"/>
      <c r="T139" s="392"/>
      <c r="U139" s="392"/>
      <c r="V139" s="392"/>
      <c r="W139" s="392"/>
      <c r="X139" s="392"/>
    </row>
    <row r="140" spans="4:24">
      <c r="D140" s="370"/>
      <c r="J140" s="381"/>
      <c r="K140" s="381"/>
      <c r="R140" s="392"/>
      <c r="S140" s="392"/>
      <c r="T140" s="392"/>
      <c r="U140" s="392"/>
      <c r="V140" s="392"/>
      <c r="W140" s="392"/>
      <c r="X140" s="392"/>
    </row>
    <row r="141" spans="4:24">
      <c r="D141" s="370"/>
      <c r="J141" s="381"/>
      <c r="K141" s="381"/>
      <c r="L141" s="388"/>
      <c r="M141" s="388"/>
      <c r="N141" s="388"/>
      <c r="O141" s="388"/>
      <c r="P141" s="388"/>
      <c r="Q141" s="388"/>
      <c r="R141" s="392"/>
    </row>
    <row r="142" spans="4:24">
      <c r="D142" s="370"/>
      <c r="J142" s="381"/>
      <c r="L142" s="389"/>
      <c r="M142" s="389"/>
      <c r="N142" s="389"/>
      <c r="O142" s="389"/>
      <c r="P142" s="389"/>
      <c r="Q142" s="389"/>
      <c r="S142" s="388"/>
      <c r="T142" s="388"/>
      <c r="U142" s="388"/>
      <c r="V142" s="388"/>
      <c r="W142" s="388"/>
      <c r="X142" s="388"/>
    </row>
    <row r="143" spans="4:24">
      <c r="D143" s="370"/>
      <c r="K143" s="381"/>
      <c r="R143" s="388"/>
      <c r="S143" s="389"/>
      <c r="T143" s="389"/>
      <c r="U143" s="389"/>
      <c r="V143" s="389"/>
      <c r="W143" s="389"/>
      <c r="X143" s="389"/>
    </row>
    <row r="144" spans="4:24">
      <c r="D144" s="345"/>
      <c r="E144" s="381"/>
      <c r="F144" s="381"/>
      <c r="G144" s="381"/>
      <c r="H144" s="381"/>
      <c r="I144" s="381"/>
      <c r="K144" s="381"/>
      <c r="R144" s="389"/>
      <c r="S144" s="392"/>
      <c r="T144" s="392"/>
      <c r="U144" s="392"/>
      <c r="V144" s="392"/>
      <c r="W144" s="392"/>
      <c r="X144" s="392"/>
    </row>
    <row r="145" spans="4:24">
      <c r="D145" s="370"/>
      <c r="J145" s="381"/>
      <c r="K145" s="381"/>
      <c r="L145" s="389"/>
      <c r="M145" s="389"/>
      <c r="N145" s="389"/>
      <c r="O145" s="389"/>
      <c r="P145" s="389"/>
      <c r="Q145" s="389"/>
      <c r="R145" s="392"/>
    </row>
    <row r="146" spans="4:24">
      <c r="D146" s="370"/>
      <c r="J146" s="381"/>
      <c r="N146" s="392"/>
      <c r="O146" s="392"/>
      <c r="P146" s="392"/>
      <c r="Q146" s="392"/>
      <c r="S146" s="389"/>
      <c r="T146" s="389"/>
      <c r="U146" s="389"/>
      <c r="V146" s="389"/>
      <c r="W146" s="389"/>
      <c r="X146" s="389"/>
    </row>
    <row r="147" spans="4:24">
      <c r="D147" s="345"/>
      <c r="E147" s="381"/>
      <c r="F147" s="381"/>
      <c r="G147" s="381"/>
      <c r="H147" s="381"/>
      <c r="I147" s="381"/>
      <c r="R147" s="389"/>
      <c r="S147" s="392"/>
      <c r="T147" s="392"/>
      <c r="U147" s="392"/>
      <c r="V147" s="392"/>
      <c r="W147" s="392"/>
      <c r="X147" s="392"/>
    </row>
    <row r="148" spans="4:24">
      <c r="D148" s="370"/>
      <c r="K148" s="381"/>
      <c r="R148" s="392"/>
    </row>
    <row r="149" spans="4:24">
      <c r="D149" s="345"/>
      <c r="E149" s="381"/>
      <c r="F149" s="381"/>
      <c r="G149" s="381"/>
      <c r="H149" s="381"/>
      <c r="I149" s="381"/>
      <c r="K149" s="381"/>
    </row>
    <row r="150" spans="4:24">
      <c r="D150" s="370"/>
      <c r="E150" s="381"/>
      <c r="F150" s="381"/>
      <c r="G150" s="381"/>
      <c r="H150" s="381"/>
      <c r="I150" s="381"/>
    </row>
    <row r="151" spans="4:24">
      <c r="D151" s="370"/>
    </row>
    <row r="152" spans="4:24">
      <c r="D152" s="370"/>
    </row>
    <row r="153" spans="4:24">
      <c r="D153" s="345"/>
      <c r="E153" s="381"/>
      <c r="F153" s="381"/>
      <c r="G153" s="381"/>
      <c r="H153" s="381"/>
      <c r="I153" s="381"/>
    </row>
    <row r="154" spans="4:24">
      <c r="D154" s="370"/>
      <c r="E154" s="381"/>
      <c r="F154" s="381"/>
      <c r="G154" s="381"/>
      <c r="H154" s="381"/>
      <c r="I154" s="381"/>
    </row>
    <row r="155" spans="4:24">
      <c r="D155" s="370"/>
    </row>
    <row r="156" spans="4:24">
      <c r="D156" s="345"/>
      <c r="E156" s="381"/>
      <c r="F156" s="381"/>
      <c r="G156" s="381"/>
      <c r="H156" s="381"/>
      <c r="I156" s="381"/>
    </row>
    <row r="157" spans="4:24">
      <c r="D157" s="370"/>
      <c r="J157" s="381"/>
    </row>
    <row r="158" spans="4:24">
      <c r="D158" s="370"/>
      <c r="J158" s="381"/>
    </row>
    <row r="159" spans="4:24">
      <c r="D159" s="345"/>
      <c r="E159" s="381"/>
      <c r="F159" s="381"/>
      <c r="G159" s="381"/>
      <c r="H159" s="381"/>
      <c r="I159" s="381"/>
    </row>
    <row r="160" spans="4:24">
      <c r="D160" s="370"/>
      <c r="K160" s="381"/>
    </row>
    <row r="161" spans="4:11">
      <c r="D161" s="370"/>
      <c r="J161" s="381"/>
      <c r="K161" s="381"/>
    </row>
    <row r="162" spans="4:11">
      <c r="D162" s="370"/>
      <c r="J162" s="381"/>
    </row>
    <row r="163" spans="4:11">
      <c r="D163" s="345"/>
      <c r="E163" s="381"/>
      <c r="F163" s="381"/>
      <c r="G163" s="381"/>
      <c r="H163" s="381"/>
      <c r="I163" s="381"/>
    </row>
    <row r="164" spans="4:11">
      <c r="D164" s="370"/>
      <c r="K164" s="381"/>
    </row>
    <row r="165" spans="4:11">
      <c r="D165" s="370"/>
      <c r="E165" s="345"/>
      <c r="F165" s="345"/>
      <c r="G165" s="345"/>
      <c r="H165" s="345"/>
      <c r="I165" s="345"/>
      <c r="J165" s="381"/>
      <c r="K165" s="381"/>
    </row>
    <row r="166" spans="4:11">
      <c r="D166" s="370"/>
      <c r="E166" s="345"/>
      <c r="F166" s="345"/>
      <c r="G166" s="345"/>
      <c r="H166" s="345"/>
      <c r="I166" s="345"/>
    </row>
    <row r="167" spans="4:11">
      <c r="D167" s="370"/>
    </row>
    <row r="168" spans="4:11">
      <c r="D168" s="370"/>
      <c r="K168" s="381"/>
    </row>
    <row r="170" spans="4:11">
      <c r="D170" s="345"/>
      <c r="E170" s="381"/>
      <c r="F170" s="381"/>
      <c r="G170" s="381"/>
      <c r="H170" s="381"/>
      <c r="I170" s="381"/>
    </row>
    <row r="171" spans="4:11">
      <c r="D171" s="345"/>
      <c r="E171" s="381"/>
      <c r="F171" s="381"/>
      <c r="G171" s="381"/>
      <c r="H171" s="381"/>
      <c r="I171" s="381"/>
    </row>
    <row r="172" spans="4:11">
      <c r="D172" s="370"/>
      <c r="E172" s="381"/>
      <c r="F172" s="381"/>
      <c r="G172" s="381"/>
      <c r="H172" s="381"/>
      <c r="I172" s="381"/>
    </row>
    <row r="173" spans="4:11">
      <c r="D173" s="370"/>
      <c r="E173" s="381"/>
      <c r="F173" s="381"/>
      <c r="G173" s="381"/>
      <c r="H173" s="381"/>
      <c r="I173" s="381"/>
    </row>
    <row r="174" spans="4:11">
      <c r="D174" s="370"/>
    </row>
    <row r="175" spans="4:11">
      <c r="D175" s="345"/>
      <c r="E175" s="381"/>
      <c r="F175" s="381"/>
      <c r="G175" s="381"/>
      <c r="H175" s="381"/>
      <c r="I175" s="381"/>
    </row>
    <row r="176" spans="4:11">
      <c r="D176" s="370"/>
      <c r="E176" s="381"/>
      <c r="F176" s="381"/>
      <c r="G176" s="381"/>
      <c r="H176" s="381"/>
      <c r="I176" s="381"/>
    </row>
    <row r="177" spans="4:11">
      <c r="D177" s="370"/>
      <c r="E177" s="381"/>
      <c r="F177" s="381"/>
      <c r="G177" s="381"/>
      <c r="H177" s="381"/>
      <c r="I177" s="381"/>
    </row>
    <row r="178" spans="4:11">
      <c r="D178" s="370"/>
    </row>
    <row r="179" spans="4:11">
      <c r="D179" s="370"/>
    </row>
    <row r="180" spans="4:11">
      <c r="D180" s="370"/>
      <c r="J180" s="381"/>
    </row>
    <row r="181" spans="4:11">
      <c r="D181" s="370"/>
      <c r="J181" s="381"/>
    </row>
    <row r="182" spans="4:11">
      <c r="D182" s="370"/>
    </row>
    <row r="183" spans="4:11">
      <c r="D183" s="370"/>
      <c r="J183" s="381"/>
      <c r="K183" s="381"/>
    </row>
    <row r="184" spans="4:11">
      <c r="D184" s="370"/>
      <c r="J184" s="381"/>
      <c r="K184" s="381"/>
    </row>
    <row r="185" spans="4:11">
      <c r="D185" s="370"/>
      <c r="J185" s="381"/>
    </row>
    <row r="186" spans="4:11">
      <c r="D186" s="370"/>
      <c r="K186" s="381"/>
    </row>
    <row r="187" spans="4:11">
      <c r="D187" s="345"/>
      <c r="E187" s="381"/>
      <c r="F187" s="381"/>
      <c r="G187" s="381"/>
      <c r="H187" s="381"/>
      <c r="I187" s="381"/>
      <c r="K187" s="381"/>
    </row>
    <row r="188" spans="4:11">
      <c r="D188" s="370"/>
      <c r="J188" s="381"/>
      <c r="K188" s="381"/>
    </row>
    <row r="189" spans="4:11">
      <c r="D189" s="370"/>
      <c r="J189" s="381"/>
    </row>
    <row r="190" spans="4:11">
      <c r="D190" s="345"/>
      <c r="E190" s="381"/>
      <c r="F190" s="381"/>
      <c r="G190" s="381"/>
      <c r="H190" s="381"/>
      <c r="I190" s="381"/>
    </row>
    <row r="191" spans="4:11">
      <c r="D191" s="370"/>
      <c r="K191" s="381"/>
    </row>
    <row r="192" spans="4:11">
      <c r="D192" s="345"/>
      <c r="E192" s="381"/>
      <c r="F192" s="381"/>
      <c r="G192" s="381"/>
      <c r="H192" s="381"/>
      <c r="I192" s="381"/>
      <c r="K192" s="381"/>
    </row>
    <row r="193" spans="4:11">
      <c r="D193" s="370"/>
      <c r="E193" s="381"/>
      <c r="F193" s="381"/>
      <c r="G193" s="381"/>
      <c r="H193" s="381"/>
      <c r="I193" s="381"/>
    </row>
    <row r="194" spans="4:11">
      <c r="D194" s="370"/>
    </row>
    <row r="195" spans="4:11">
      <c r="D195" s="370"/>
    </row>
    <row r="196" spans="4:11">
      <c r="D196" s="345"/>
      <c r="E196" s="381"/>
      <c r="F196" s="381"/>
      <c r="G196" s="381"/>
      <c r="H196" s="381"/>
      <c r="I196" s="381"/>
    </row>
    <row r="197" spans="4:11">
      <c r="D197" s="370"/>
      <c r="E197" s="381"/>
      <c r="F197" s="381"/>
      <c r="G197" s="381"/>
      <c r="H197" s="381"/>
      <c r="I197" s="381"/>
    </row>
    <row r="198" spans="4:11">
      <c r="D198" s="370"/>
    </row>
    <row r="199" spans="4:11">
      <c r="D199" s="345"/>
      <c r="E199" s="381"/>
      <c r="F199" s="381"/>
      <c r="G199" s="381"/>
      <c r="H199" s="381"/>
      <c r="I199" s="381"/>
    </row>
    <row r="200" spans="4:11">
      <c r="D200" s="370"/>
      <c r="J200" s="381"/>
    </row>
    <row r="201" spans="4:11">
      <c r="D201" s="370"/>
      <c r="J201" s="381"/>
    </row>
    <row r="202" spans="4:11">
      <c r="D202" s="345"/>
      <c r="E202" s="381"/>
      <c r="F202" s="381"/>
      <c r="G202" s="381"/>
      <c r="H202" s="381"/>
      <c r="I202" s="381"/>
    </row>
    <row r="203" spans="4:11">
      <c r="D203" s="370"/>
      <c r="K203" s="381"/>
    </row>
    <row r="204" spans="4:11">
      <c r="D204" s="370"/>
      <c r="J204" s="381"/>
      <c r="K204" s="381"/>
    </row>
    <row r="205" spans="4:11">
      <c r="D205" s="370"/>
      <c r="J205" s="381"/>
    </row>
    <row r="206" spans="4:11">
      <c r="D206" s="345"/>
      <c r="E206" s="381"/>
      <c r="F206" s="381"/>
      <c r="G206" s="381"/>
      <c r="H206" s="381"/>
      <c r="I206" s="381"/>
    </row>
    <row r="207" spans="4:11">
      <c r="D207" s="370"/>
      <c r="K207" s="381"/>
    </row>
    <row r="208" spans="4:11">
      <c r="D208" s="370"/>
      <c r="E208" s="345"/>
      <c r="F208" s="345"/>
      <c r="G208" s="345"/>
      <c r="H208" s="345"/>
      <c r="I208" s="345"/>
      <c r="J208" s="381"/>
      <c r="K208" s="381"/>
    </row>
    <row r="209" spans="4:11">
      <c r="D209" s="370"/>
      <c r="E209" s="345"/>
      <c r="F209" s="345"/>
      <c r="G209" s="345"/>
      <c r="H209" s="345"/>
      <c r="I209" s="345"/>
    </row>
    <row r="210" spans="4:11">
      <c r="D210" s="370"/>
    </row>
    <row r="211" spans="4:11">
      <c r="D211" s="370"/>
      <c r="K211" s="381"/>
    </row>
    <row r="212" spans="4:11">
      <c r="D212" s="370"/>
    </row>
    <row r="213" spans="4:11">
      <c r="D213" s="345"/>
      <c r="E213" s="381"/>
      <c r="F213" s="381"/>
      <c r="G213" s="381"/>
      <c r="H213" s="381"/>
      <c r="I213" s="381"/>
    </row>
    <row r="214" spans="4:11">
      <c r="D214" s="345"/>
      <c r="E214" s="381"/>
      <c r="F214" s="381"/>
      <c r="G214" s="381"/>
      <c r="H214" s="381"/>
      <c r="I214" s="381"/>
    </row>
    <row r="215" spans="4:11">
      <c r="D215" s="370"/>
      <c r="E215" s="381"/>
      <c r="F215" s="381"/>
      <c r="G215" s="381"/>
      <c r="H215" s="381"/>
      <c r="I215" s="381"/>
    </row>
    <row r="216" spans="4:11">
      <c r="D216" s="370"/>
      <c r="E216" s="381"/>
      <c r="F216" s="381"/>
      <c r="G216" s="381"/>
      <c r="H216" s="381"/>
      <c r="I216" s="381"/>
    </row>
    <row r="217" spans="4:11">
      <c r="D217" s="370"/>
    </row>
    <row r="218" spans="4:11">
      <c r="D218" s="345"/>
      <c r="E218" s="381"/>
      <c r="F218" s="381"/>
      <c r="G218" s="381"/>
      <c r="H218" s="381"/>
      <c r="I218" s="381"/>
    </row>
    <row r="219" spans="4:11">
      <c r="D219" s="370"/>
      <c r="E219" s="381"/>
      <c r="F219" s="381"/>
      <c r="G219" s="381"/>
      <c r="H219" s="381"/>
      <c r="I219" s="381"/>
    </row>
    <row r="220" spans="4:11">
      <c r="D220" s="370"/>
      <c r="E220" s="381"/>
      <c r="F220" s="381"/>
      <c r="G220" s="381"/>
      <c r="H220" s="381"/>
      <c r="I220" s="381"/>
    </row>
    <row r="221" spans="4:11">
      <c r="D221" s="370"/>
    </row>
    <row r="222" spans="4:11">
      <c r="D222" s="370"/>
    </row>
    <row r="223" spans="4:11">
      <c r="D223" s="370"/>
      <c r="J223" s="381"/>
    </row>
    <row r="224" spans="4:11">
      <c r="D224" s="370"/>
      <c r="J224" s="381"/>
    </row>
    <row r="225" spans="4:11">
      <c r="D225" s="370"/>
    </row>
    <row r="226" spans="4:11">
      <c r="D226" s="370"/>
      <c r="J226" s="381"/>
      <c r="K226" s="381"/>
    </row>
    <row r="227" spans="4:11">
      <c r="D227" s="370"/>
      <c r="J227" s="381"/>
      <c r="K227" s="381"/>
    </row>
    <row r="228" spans="4:11">
      <c r="D228" s="370"/>
      <c r="J228" s="381"/>
    </row>
    <row r="229" spans="4:11">
      <c r="D229" s="370"/>
      <c r="K229" s="381"/>
    </row>
    <row r="230" spans="4:11">
      <c r="D230" s="345"/>
      <c r="E230" s="381"/>
      <c r="F230" s="381"/>
      <c r="G230" s="381"/>
      <c r="H230" s="381"/>
      <c r="I230" s="381"/>
      <c r="K230" s="381"/>
    </row>
    <row r="231" spans="4:11">
      <c r="D231" s="370"/>
      <c r="J231" s="381"/>
      <c r="K231" s="381"/>
    </row>
    <row r="232" spans="4:11">
      <c r="D232" s="370"/>
      <c r="J232" s="381"/>
    </row>
    <row r="233" spans="4:11">
      <c r="D233" s="345"/>
      <c r="E233" s="381"/>
      <c r="F233" s="381"/>
      <c r="G233" s="381"/>
      <c r="H233" s="381"/>
      <c r="I233" s="381"/>
    </row>
    <row r="234" spans="4:11">
      <c r="D234" s="370"/>
      <c r="K234" s="381"/>
    </row>
    <row r="235" spans="4:11">
      <c r="D235" s="345"/>
      <c r="E235" s="381"/>
      <c r="F235" s="381"/>
      <c r="G235" s="381"/>
      <c r="H235" s="381"/>
      <c r="I235" s="381"/>
      <c r="K235" s="381"/>
    </row>
    <row r="236" spans="4:11">
      <c r="D236" s="370"/>
      <c r="E236" s="381"/>
      <c r="F236" s="381"/>
      <c r="G236" s="381"/>
      <c r="H236" s="381"/>
      <c r="I236" s="381"/>
    </row>
    <row r="237" spans="4:11">
      <c r="D237" s="370"/>
    </row>
    <row r="238" spans="4:11">
      <c r="D238" s="370"/>
    </row>
    <row r="239" spans="4:11">
      <c r="D239" s="345"/>
      <c r="E239" s="381"/>
      <c r="F239" s="381"/>
      <c r="G239" s="381"/>
      <c r="H239" s="381"/>
      <c r="I239" s="381"/>
    </row>
    <row r="240" spans="4:11">
      <c r="D240" s="370"/>
      <c r="E240" s="381"/>
      <c r="F240" s="381"/>
      <c r="G240" s="381"/>
      <c r="H240" s="381"/>
      <c r="I240" s="381"/>
    </row>
    <row r="241" spans="4:11">
      <c r="D241" s="370"/>
    </row>
    <row r="242" spans="4:11">
      <c r="D242" s="345"/>
      <c r="E242" s="381"/>
      <c r="F242" s="381"/>
      <c r="G242" s="381"/>
      <c r="H242" s="381"/>
      <c r="I242" s="381"/>
    </row>
    <row r="243" spans="4:11">
      <c r="D243" s="370"/>
      <c r="J243" s="381"/>
    </row>
    <row r="244" spans="4:11">
      <c r="D244" s="370"/>
      <c r="J244" s="381"/>
    </row>
    <row r="245" spans="4:11">
      <c r="D245" s="345"/>
      <c r="E245" s="381"/>
      <c r="F245" s="381"/>
      <c r="G245" s="381"/>
      <c r="H245" s="381"/>
      <c r="I245" s="381"/>
    </row>
    <row r="246" spans="4:11">
      <c r="D246" s="370"/>
      <c r="K246" s="381"/>
    </row>
    <row r="247" spans="4:11">
      <c r="D247" s="370"/>
      <c r="J247" s="381"/>
      <c r="K247" s="381"/>
    </row>
    <row r="248" spans="4:11">
      <c r="D248" s="370"/>
      <c r="J248" s="381"/>
    </row>
    <row r="249" spans="4:11">
      <c r="D249" s="345"/>
      <c r="E249" s="381"/>
      <c r="F249" s="381"/>
      <c r="G249" s="381"/>
      <c r="H249" s="381"/>
      <c r="I249" s="381"/>
    </row>
    <row r="250" spans="4:11">
      <c r="D250" s="370"/>
      <c r="K250" s="381"/>
    </row>
    <row r="251" spans="4:11">
      <c r="D251" s="370"/>
      <c r="E251" s="345"/>
      <c r="F251" s="345"/>
      <c r="G251" s="345"/>
      <c r="H251" s="345"/>
      <c r="I251" s="345"/>
      <c r="J251" s="381"/>
      <c r="K251" s="381"/>
    </row>
    <row r="252" spans="4:11">
      <c r="D252" s="370"/>
      <c r="E252" s="345"/>
      <c r="F252" s="345"/>
      <c r="G252" s="345"/>
      <c r="H252" s="345"/>
      <c r="I252" s="345"/>
    </row>
    <row r="253" spans="4:11">
      <c r="D253" s="370"/>
    </row>
    <row r="254" spans="4:11">
      <c r="D254" s="370"/>
      <c r="K254" s="381"/>
    </row>
    <row r="255" spans="4:11">
      <c r="D255" s="370"/>
    </row>
    <row r="256" spans="4:11">
      <c r="D256" s="345"/>
      <c r="E256" s="381"/>
      <c r="F256" s="381"/>
      <c r="G256" s="381"/>
      <c r="H256" s="381"/>
      <c r="I256" s="381"/>
    </row>
    <row r="257" spans="4:11">
      <c r="D257" s="345"/>
      <c r="E257" s="381"/>
      <c r="F257" s="381"/>
      <c r="G257" s="381"/>
      <c r="H257" s="381"/>
      <c r="I257" s="381"/>
    </row>
    <row r="258" spans="4:11">
      <c r="D258" s="370"/>
      <c r="E258" s="381"/>
      <c r="F258" s="381"/>
      <c r="G258" s="381"/>
      <c r="H258" s="381"/>
      <c r="I258" s="381"/>
    </row>
    <row r="259" spans="4:11">
      <c r="D259" s="370"/>
      <c r="E259" s="381"/>
      <c r="F259" s="381"/>
      <c r="G259" s="381"/>
      <c r="H259" s="381"/>
      <c r="I259" s="381"/>
    </row>
    <row r="260" spans="4:11">
      <c r="D260" s="370"/>
    </row>
    <row r="261" spans="4:11">
      <c r="D261" s="345"/>
      <c r="E261" s="381"/>
      <c r="F261" s="381"/>
      <c r="G261" s="381"/>
      <c r="H261" s="381"/>
      <c r="I261" s="381"/>
    </row>
    <row r="262" spans="4:11">
      <c r="D262" s="370"/>
      <c r="E262" s="381"/>
      <c r="F262" s="381"/>
      <c r="G262" s="381"/>
      <c r="H262" s="381"/>
      <c r="I262" s="381"/>
    </row>
    <row r="263" spans="4:11">
      <c r="D263" s="370"/>
      <c r="E263" s="381"/>
      <c r="F263" s="381"/>
      <c r="G263" s="381"/>
      <c r="H263" s="381"/>
      <c r="I263" s="381"/>
    </row>
    <row r="264" spans="4:11">
      <c r="D264" s="370"/>
    </row>
    <row r="265" spans="4:11">
      <c r="D265" s="370"/>
    </row>
    <row r="266" spans="4:11">
      <c r="D266" s="370"/>
      <c r="J266" s="381"/>
    </row>
    <row r="267" spans="4:11">
      <c r="D267" s="370"/>
      <c r="J267" s="381"/>
    </row>
    <row r="268" spans="4:11">
      <c r="D268" s="370"/>
    </row>
    <row r="269" spans="4:11">
      <c r="D269" s="370"/>
      <c r="J269" s="381"/>
      <c r="K269" s="381"/>
    </row>
    <row r="270" spans="4:11">
      <c r="D270" s="370"/>
      <c r="J270" s="381"/>
      <c r="K270" s="381"/>
    </row>
    <row r="271" spans="4:11">
      <c r="D271" s="370"/>
      <c r="J271" s="381"/>
    </row>
    <row r="272" spans="4:11">
      <c r="D272" s="370"/>
      <c r="K272" s="381"/>
    </row>
    <row r="273" spans="4:11">
      <c r="D273" s="345"/>
      <c r="E273" s="381"/>
      <c r="F273" s="381"/>
      <c r="G273" s="381"/>
      <c r="H273" s="381"/>
      <c r="I273" s="381"/>
      <c r="K273" s="381"/>
    </row>
    <row r="274" spans="4:11">
      <c r="D274" s="370"/>
      <c r="J274" s="381"/>
      <c r="K274" s="381"/>
    </row>
    <row r="275" spans="4:11">
      <c r="D275" s="370"/>
      <c r="J275" s="381"/>
    </row>
    <row r="276" spans="4:11">
      <c r="D276" s="345"/>
      <c r="E276" s="381"/>
      <c r="F276" s="381"/>
      <c r="G276" s="381"/>
      <c r="H276" s="381"/>
      <c r="I276" s="381"/>
    </row>
    <row r="277" spans="4:11">
      <c r="D277" s="370"/>
      <c r="K277" s="381"/>
    </row>
    <row r="278" spans="4:11">
      <c r="D278" s="345"/>
      <c r="E278" s="381"/>
      <c r="F278" s="381"/>
      <c r="G278" s="381"/>
      <c r="H278" s="381"/>
      <c r="I278" s="381"/>
      <c r="K278" s="381"/>
    </row>
    <row r="279" spans="4:11">
      <c r="D279" s="370"/>
      <c r="E279" s="381"/>
      <c r="F279" s="381"/>
      <c r="G279" s="381"/>
      <c r="H279" s="381"/>
      <c r="I279" s="381"/>
    </row>
    <row r="280" spans="4:11">
      <c r="D280" s="370"/>
    </row>
    <row r="281" spans="4:11">
      <c r="D281" s="370"/>
    </row>
    <row r="282" spans="4:11">
      <c r="D282" s="345"/>
      <c r="E282" s="381"/>
      <c r="F282" s="381"/>
      <c r="G282" s="381"/>
      <c r="H282" s="381"/>
      <c r="I282" s="381"/>
    </row>
    <row r="283" spans="4:11">
      <c r="D283" s="370"/>
      <c r="E283" s="381"/>
      <c r="F283" s="381"/>
      <c r="G283" s="381"/>
      <c r="H283" s="381"/>
      <c r="I283" s="381"/>
    </row>
    <row r="284" spans="4:11">
      <c r="D284" s="370"/>
    </row>
    <row r="285" spans="4:11">
      <c r="D285" s="345"/>
      <c r="E285" s="381"/>
      <c r="F285" s="381"/>
      <c r="G285" s="381"/>
      <c r="H285" s="381"/>
      <c r="I285" s="381"/>
    </row>
    <row r="286" spans="4:11">
      <c r="D286" s="370"/>
      <c r="J286" s="381"/>
    </row>
    <row r="287" spans="4:11">
      <c r="D287" s="370"/>
      <c r="J287" s="381"/>
    </row>
    <row r="288" spans="4:11">
      <c r="D288" s="345"/>
      <c r="E288" s="381"/>
      <c r="F288" s="381"/>
      <c r="G288" s="381"/>
      <c r="H288" s="381"/>
      <c r="I288" s="381"/>
    </row>
    <row r="289" spans="4:11">
      <c r="D289" s="370"/>
      <c r="K289" s="381"/>
    </row>
    <row r="290" spans="4:11">
      <c r="D290" s="370"/>
      <c r="J290" s="381"/>
      <c r="K290" s="381"/>
    </row>
    <row r="291" spans="4:11">
      <c r="D291" s="370"/>
      <c r="J291" s="381"/>
    </row>
    <row r="292" spans="4:11">
      <c r="D292" s="345"/>
      <c r="E292" s="381"/>
      <c r="F292" s="381"/>
      <c r="G292" s="381"/>
      <c r="H292" s="381"/>
      <c r="I292" s="381"/>
    </row>
    <row r="293" spans="4:11">
      <c r="D293" s="370"/>
      <c r="K293" s="381"/>
    </row>
    <row r="294" spans="4:11">
      <c r="D294" s="370"/>
      <c r="E294" s="345"/>
      <c r="F294" s="345"/>
      <c r="G294" s="345"/>
      <c r="H294" s="345"/>
      <c r="I294" s="345"/>
      <c r="J294" s="381"/>
      <c r="K294" s="381"/>
    </row>
    <row r="295" spans="4:11">
      <c r="D295" s="370"/>
      <c r="E295" s="345"/>
      <c r="F295" s="345"/>
      <c r="G295" s="345"/>
      <c r="H295" s="345"/>
      <c r="I295" s="345"/>
    </row>
    <row r="296" spans="4:11">
      <c r="D296" s="370"/>
    </row>
    <row r="297" spans="4:11">
      <c r="D297" s="370"/>
      <c r="K297" s="381"/>
    </row>
    <row r="298" spans="4:11">
      <c r="D298" s="370"/>
    </row>
    <row r="299" spans="4:11">
      <c r="D299" s="370"/>
    </row>
    <row r="300" spans="4:11">
      <c r="D300" s="370"/>
    </row>
    <row r="301" spans="4:11">
      <c r="D301" s="370"/>
    </row>
    <row r="302" spans="4:11">
      <c r="D302" s="370"/>
    </row>
    <row r="303" spans="4:11">
      <c r="D303" s="370"/>
    </row>
    <row r="304" spans="4:11">
      <c r="D304" s="370"/>
    </row>
    <row r="305" spans="4:4">
      <c r="D305" s="370"/>
    </row>
    <row r="306" spans="4:4">
      <c r="D306" s="370"/>
    </row>
    <row r="307" spans="4:4">
      <c r="D307" s="370"/>
    </row>
    <row r="308" spans="4:4">
      <c r="D308" s="370"/>
    </row>
    <row r="309" spans="4:4">
      <c r="D309" s="370"/>
    </row>
    <row r="310" spans="4:4">
      <c r="D310" s="370"/>
    </row>
    <row r="311" spans="4:4">
      <c r="D311" s="370"/>
    </row>
    <row r="312" spans="4:4">
      <c r="D312" s="370"/>
    </row>
    <row r="313" spans="4:4">
      <c r="D313" s="370"/>
    </row>
    <row r="314" spans="4:4">
      <c r="D314" s="370"/>
    </row>
    <row r="315" spans="4:4">
      <c r="D315" s="370"/>
    </row>
    <row r="316" spans="4:4">
      <c r="D316" s="370"/>
    </row>
    <row r="317" spans="4:4">
      <c r="D317" s="370"/>
    </row>
    <row r="318" spans="4:4">
      <c r="D318" s="370"/>
    </row>
    <row r="319" spans="4:4">
      <c r="D319" s="370"/>
    </row>
    <row r="320" spans="4:4">
      <c r="D320" s="370"/>
    </row>
    <row r="321" spans="4:4">
      <c r="D321" s="370"/>
    </row>
    <row r="322" spans="4:4">
      <c r="D322" s="370"/>
    </row>
    <row r="323" spans="4:4">
      <c r="D323" s="370"/>
    </row>
    <row r="324" spans="4:4">
      <c r="D324" s="370"/>
    </row>
    <row r="325" spans="4:4">
      <c r="D325" s="370"/>
    </row>
    <row r="326" spans="4:4">
      <c r="D326" s="370"/>
    </row>
    <row r="327" spans="4:4">
      <c r="D327" s="370"/>
    </row>
    <row r="328" spans="4:4">
      <c r="D328" s="370"/>
    </row>
    <row r="329" spans="4:4">
      <c r="D329" s="370"/>
    </row>
    <row r="330" spans="4:4">
      <c r="D330" s="370"/>
    </row>
    <row r="331" spans="4:4">
      <c r="D331" s="370"/>
    </row>
    <row r="332" spans="4:4">
      <c r="D332" s="370"/>
    </row>
    <row r="333" spans="4:4">
      <c r="D333" s="370"/>
    </row>
    <row r="334" spans="4:4">
      <c r="D334" s="370"/>
    </row>
    <row r="335" spans="4:4">
      <c r="D335" s="370"/>
    </row>
    <row r="336" spans="4:4">
      <c r="D336" s="370"/>
    </row>
    <row r="337" spans="4:4">
      <c r="D337" s="370"/>
    </row>
    <row r="338" spans="4:4">
      <c r="D338" s="370"/>
    </row>
    <row r="339" spans="4:4">
      <c r="D339" s="370"/>
    </row>
    <row r="340" spans="4:4">
      <c r="D340" s="370"/>
    </row>
    <row r="341" spans="4:4">
      <c r="D341" s="370"/>
    </row>
    <row r="342" spans="4:4">
      <c r="D342" s="370"/>
    </row>
    <row r="343" spans="4:4">
      <c r="D343" s="370"/>
    </row>
    <row r="344" spans="4:4">
      <c r="D344" s="370"/>
    </row>
    <row r="345" spans="4:4">
      <c r="D345" s="370"/>
    </row>
    <row r="346" spans="4:4">
      <c r="D346" s="370"/>
    </row>
    <row r="347" spans="4:4">
      <c r="D347" s="370"/>
    </row>
    <row r="348" spans="4:4">
      <c r="D348" s="370"/>
    </row>
    <row r="349" spans="4:4">
      <c r="D349" s="370"/>
    </row>
    <row r="350" spans="4:4">
      <c r="D350" s="370"/>
    </row>
    <row r="351" spans="4:4">
      <c r="D351" s="370"/>
    </row>
    <row r="352" spans="4:4">
      <c r="D352" s="370"/>
    </row>
    <row r="353" spans="4:4">
      <c r="D353" s="370"/>
    </row>
    <row r="354" spans="4:4">
      <c r="D354" s="370"/>
    </row>
    <row r="355" spans="4:4">
      <c r="D355" s="370"/>
    </row>
    <row r="356" spans="4:4">
      <c r="D356" s="370"/>
    </row>
    <row r="357" spans="4:4">
      <c r="D357" s="370"/>
    </row>
    <row r="358" spans="4:4">
      <c r="D358" s="370"/>
    </row>
    <row r="359" spans="4:4">
      <c r="D359" s="370"/>
    </row>
    <row r="360" spans="4:4">
      <c r="D360" s="370"/>
    </row>
    <row r="361" spans="4:4">
      <c r="D361" s="370"/>
    </row>
    <row r="362" spans="4:4">
      <c r="D362" s="370"/>
    </row>
    <row r="363" spans="4:4">
      <c r="D363" s="370"/>
    </row>
    <row r="364" spans="4:4">
      <c r="D364" s="370"/>
    </row>
    <row r="365" spans="4:4">
      <c r="D365" s="370"/>
    </row>
    <row r="366" spans="4:4">
      <c r="D366" s="370"/>
    </row>
    <row r="367" spans="4:4">
      <c r="D367" s="370"/>
    </row>
    <row r="368" spans="4:4">
      <c r="D368" s="370"/>
    </row>
    <row r="369" spans="4:4">
      <c r="D369" s="370"/>
    </row>
    <row r="370" spans="4:4">
      <c r="D370" s="370"/>
    </row>
    <row r="371" spans="4:4">
      <c r="D371" s="370"/>
    </row>
    <row r="372" spans="4:4">
      <c r="D372" s="370"/>
    </row>
    <row r="373" spans="4:4">
      <c r="D373" s="370"/>
    </row>
    <row r="374" spans="4:4">
      <c r="D374" s="370"/>
    </row>
    <row r="375" spans="4:4">
      <c r="D375" s="370"/>
    </row>
    <row r="376" spans="4:4">
      <c r="D376" s="370"/>
    </row>
    <row r="377" spans="4:4">
      <c r="D377" s="370"/>
    </row>
    <row r="378" spans="4:4">
      <c r="D378" s="370"/>
    </row>
    <row r="379" spans="4:4">
      <c r="D379" s="370"/>
    </row>
    <row r="380" spans="4:4">
      <c r="D380" s="370"/>
    </row>
    <row r="381" spans="4:4">
      <c r="D381" s="370"/>
    </row>
    <row r="382" spans="4:4">
      <c r="D382" s="370"/>
    </row>
    <row r="383" spans="4:4">
      <c r="D383" s="370"/>
    </row>
    <row r="384" spans="4:4">
      <c r="D384" s="370"/>
    </row>
    <row r="385" spans="4:4">
      <c r="D385" s="370"/>
    </row>
    <row r="386" spans="4:4">
      <c r="D386" s="370"/>
    </row>
    <row r="387" spans="4:4">
      <c r="D387" s="370"/>
    </row>
    <row r="388" spans="4:4">
      <c r="D388" s="370"/>
    </row>
    <row r="389" spans="4:4">
      <c r="D389" s="370"/>
    </row>
    <row r="390" spans="4:4">
      <c r="D390" s="370"/>
    </row>
    <row r="391" spans="4:4">
      <c r="D391" s="370"/>
    </row>
    <row r="392" spans="4:4">
      <c r="D392" s="370"/>
    </row>
    <row r="393" spans="4:4">
      <c r="D393" s="370"/>
    </row>
    <row r="394" spans="4:4">
      <c r="D394" s="370"/>
    </row>
    <row r="395" spans="4:4">
      <c r="D395" s="370"/>
    </row>
    <row r="396" spans="4:4">
      <c r="D396" s="370"/>
    </row>
    <row r="397" spans="4:4">
      <c r="D397" s="370"/>
    </row>
    <row r="398" spans="4:4">
      <c r="D398" s="370"/>
    </row>
    <row r="399" spans="4:4">
      <c r="D399" s="370"/>
    </row>
    <row r="400" spans="4:4">
      <c r="D400" s="370"/>
    </row>
    <row r="401" spans="4:4">
      <c r="D401" s="370"/>
    </row>
    <row r="402" spans="4:4">
      <c r="D402" s="370"/>
    </row>
    <row r="403" spans="4:4">
      <c r="D403" s="370"/>
    </row>
    <row r="404" spans="4:4">
      <c r="D404" s="370"/>
    </row>
    <row r="405" spans="4:4">
      <c r="D405" s="370"/>
    </row>
    <row r="406" spans="4:4">
      <c r="D406" s="370"/>
    </row>
    <row r="407" spans="4:4">
      <c r="D407" s="370"/>
    </row>
    <row r="408" spans="4:4">
      <c r="D408" s="370"/>
    </row>
    <row r="409" spans="4:4">
      <c r="D409" s="370"/>
    </row>
    <row r="410" spans="4:4">
      <c r="D410" s="370"/>
    </row>
    <row r="411" spans="4:4">
      <c r="D411" s="370"/>
    </row>
    <row r="412" spans="4:4">
      <c r="D412" s="370"/>
    </row>
    <row r="413" spans="4:4">
      <c r="D413" s="370"/>
    </row>
    <row r="414" spans="4:4">
      <c r="D414" s="370"/>
    </row>
    <row r="415" spans="4:4">
      <c r="D415" s="370"/>
    </row>
    <row r="416" spans="4:4">
      <c r="D416" s="370"/>
    </row>
    <row r="417" spans="4:4">
      <c r="D417" s="370"/>
    </row>
    <row r="418" spans="4:4">
      <c r="D418" s="370"/>
    </row>
    <row r="419" spans="4:4">
      <c r="D419" s="370"/>
    </row>
    <row r="420" spans="4:4">
      <c r="D420" s="370"/>
    </row>
    <row r="421" spans="4:4">
      <c r="D421" s="370"/>
    </row>
    <row r="422" spans="4:4">
      <c r="D422" s="370"/>
    </row>
    <row r="423" spans="4:4">
      <c r="D423" s="370"/>
    </row>
    <row r="424" spans="4:4">
      <c r="D424" s="370"/>
    </row>
    <row r="425" spans="4:4">
      <c r="D425" s="370"/>
    </row>
    <row r="426" spans="4:4">
      <c r="D426" s="370"/>
    </row>
    <row r="427" spans="4:4">
      <c r="D427" s="370"/>
    </row>
    <row r="428" spans="4:4">
      <c r="D428" s="370"/>
    </row>
    <row r="429" spans="4:4">
      <c r="D429" s="370"/>
    </row>
    <row r="430" spans="4:4">
      <c r="D430" s="370"/>
    </row>
    <row r="431" spans="4:4">
      <c r="D431" s="370"/>
    </row>
    <row r="432" spans="4:4">
      <c r="D432" s="370"/>
    </row>
    <row r="433" spans="4:4">
      <c r="D433" s="370"/>
    </row>
    <row r="434" spans="4:4">
      <c r="D434" s="370"/>
    </row>
    <row r="435" spans="4:4">
      <c r="D435" s="370"/>
    </row>
    <row r="436" spans="4:4">
      <c r="D436" s="370"/>
    </row>
    <row r="437" spans="4:4">
      <c r="D437" s="370"/>
    </row>
    <row r="438" spans="4:4">
      <c r="D438" s="370"/>
    </row>
    <row r="439" spans="4:4">
      <c r="D439" s="370"/>
    </row>
    <row r="440" spans="4:4">
      <c r="D440" s="370"/>
    </row>
    <row r="441" spans="4:4">
      <c r="D441" s="370"/>
    </row>
    <row r="442" spans="4:4">
      <c r="D442" s="370"/>
    </row>
    <row r="443" spans="4:4">
      <c r="D443" s="370"/>
    </row>
    <row r="444" spans="4:4">
      <c r="D444" s="370"/>
    </row>
    <row r="445" spans="4:4">
      <c r="D445" s="370"/>
    </row>
    <row r="446" spans="4:4">
      <c r="D446" s="370"/>
    </row>
    <row r="447" spans="4:4">
      <c r="D447" s="370"/>
    </row>
    <row r="448" spans="4:4">
      <c r="D448" s="370"/>
    </row>
    <row r="449" spans="4:4">
      <c r="D449" s="370"/>
    </row>
    <row r="450" spans="4:4">
      <c r="D450" s="370"/>
    </row>
    <row r="451" spans="4:4">
      <c r="D451" s="370"/>
    </row>
    <row r="452" spans="4:4">
      <c r="D452" s="370"/>
    </row>
    <row r="453" spans="4:4">
      <c r="D453" s="370"/>
    </row>
    <row r="454" spans="4:4">
      <c r="D454" s="370"/>
    </row>
    <row r="455" spans="4:4">
      <c r="D455" s="370"/>
    </row>
    <row r="456" spans="4:4">
      <c r="D456" s="370"/>
    </row>
    <row r="457" spans="4:4">
      <c r="D457" s="370"/>
    </row>
    <row r="458" spans="4:4">
      <c r="D458" s="370"/>
    </row>
    <row r="459" spans="4:4">
      <c r="D459" s="370"/>
    </row>
    <row r="460" spans="4:4">
      <c r="D460" s="370"/>
    </row>
    <row r="461" spans="4:4">
      <c r="D461" s="370"/>
    </row>
    <row r="462" spans="4:4">
      <c r="D462" s="370"/>
    </row>
    <row r="463" spans="4:4">
      <c r="D463" s="370"/>
    </row>
    <row r="464" spans="4:4">
      <c r="D464" s="370"/>
    </row>
    <row r="465" spans="4:4">
      <c r="D465" s="370"/>
    </row>
    <row r="466" spans="4:4">
      <c r="D466" s="370"/>
    </row>
    <row r="467" spans="4:4">
      <c r="D467" s="370"/>
    </row>
    <row r="468" spans="4:4">
      <c r="D468" s="370"/>
    </row>
    <row r="469" spans="4:4">
      <c r="D469" s="370"/>
    </row>
    <row r="470" spans="4:4">
      <c r="D470" s="370"/>
    </row>
    <row r="471" spans="4:4">
      <c r="D471" s="370"/>
    </row>
    <row r="472" spans="4:4">
      <c r="D472" s="370"/>
    </row>
    <row r="473" spans="4:4">
      <c r="D473" s="370"/>
    </row>
    <row r="474" spans="4:4">
      <c r="D474" s="370"/>
    </row>
    <row r="475" spans="4:4">
      <c r="D475" s="370"/>
    </row>
    <row r="476" spans="4:4">
      <c r="D476" s="370"/>
    </row>
    <row r="477" spans="4:4">
      <c r="D477" s="370"/>
    </row>
    <row r="478" spans="4:4">
      <c r="D478" s="370"/>
    </row>
    <row r="479" spans="4:4">
      <c r="D479" s="370"/>
    </row>
    <row r="480" spans="4:4">
      <c r="D480" s="370"/>
    </row>
    <row r="481" spans="4:4">
      <c r="D481" s="370"/>
    </row>
    <row r="482" spans="4:4">
      <c r="D482" s="370"/>
    </row>
    <row r="483" spans="4:4">
      <c r="D483" s="370"/>
    </row>
    <row r="484" spans="4:4">
      <c r="D484" s="370"/>
    </row>
  </sheetData>
  <phoneticPr fontId="26" type="noConversion"/>
  <pageMargins left="0.75" right="0.75" top="1" bottom="1" header="0.5" footer="0.5"/>
  <pageSetup scale="46" orientation="landscape" r:id="rId1"/>
  <headerFooter alignWithMargins="0"/>
  <drawing r:id="rId2"/>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600-000000000000}">
  <sheetPr codeName="Sheet226">
    <pageSetUpPr fitToPage="1"/>
  </sheetPr>
  <dimension ref="A1:X65"/>
  <sheetViews>
    <sheetView showGridLines="0" zoomScale="80" zoomScaleNormal="80" zoomScaleSheetLayoutView="80" workbookViewId="0"/>
  </sheetViews>
  <sheetFormatPr defaultColWidth="9.109375" defaultRowHeight="12"/>
  <cols>
    <col min="1" max="1" width="2.33203125" style="292" customWidth="1"/>
    <col min="2" max="6" width="10" style="292" customWidth="1"/>
    <col min="7" max="7" width="2.33203125" style="292" customWidth="1"/>
    <col min="8" max="8" width="10" style="292" customWidth="1"/>
    <col min="9" max="9" width="2.109375" style="292" customWidth="1"/>
    <col min="10" max="10" width="10" style="292" customWidth="1"/>
    <col min="11" max="11" width="2.109375" style="292" customWidth="1"/>
    <col min="12" max="12" width="10" style="292" customWidth="1"/>
    <col min="13" max="13" width="2.109375" style="292" customWidth="1"/>
    <col min="14" max="14" width="10" style="292" customWidth="1"/>
    <col min="15" max="15" width="2.109375" style="292" customWidth="1"/>
    <col min="16" max="16" width="10" style="292" customWidth="1"/>
    <col min="17" max="17" width="2.109375" style="292" customWidth="1"/>
    <col min="18" max="18" width="10" style="292" customWidth="1"/>
    <col min="19" max="19" width="2.109375" style="292" customWidth="1"/>
    <col min="20" max="20" width="10" style="292" customWidth="1"/>
    <col min="21" max="21" width="2.109375" style="292" customWidth="1"/>
    <col min="22" max="22" width="10" style="292" customWidth="1"/>
    <col min="23" max="23" width="2.109375" style="292" customWidth="1"/>
    <col min="24" max="24" width="10" style="292" customWidth="1"/>
    <col min="25" max="16384" width="9.109375" style="292"/>
  </cols>
  <sheetData>
    <row r="1" spans="1:24" s="313" customFormat="1">
      <c r="A1" s="472"/>
      <c r="B1" s="472"/>
      <c r="C1" s="472"/>
      <c r="D1" s="472"/>
      <c r="E1" s="472"/>
      <c r="F1" s="472"/>
      <c r="G1" s="472"/>
      <c r="H1" s="150"/>
      <c r="I1" s="472"/>
      <c r="J1" s="472"/>
      <c r="K1" s="472"/>
      <c r="L1" s="472"/>
      <c r="M1" s="472"/>
      <c r="N1" s="472"/>
      <c r="O1" s="472"/>
      <c r="P1" s="472"/>
      <c r="Q1" s="472"/>
      <c r="R1" s="472"/>
      <c r="S1" s="472"/>
      <c r="T1" s="472"/>
      <c r="U1" s="472"/>
      <c r="V1" s="472"/>
      <c r="W1" s="472"/>
      <c r="X1" s="472"/>
    </row>
    <row r="2" spans="1:24" s="313" customFormat="1">
      <c r="A2" s="472"/>
      <c r="B2" s="472"/>
      <c r="C2" s="472"/>
      <c r="D2" s="472"/>
      <c r="E2" s="472"/>
      <c r="F2" s="472"/>
      <c r="G2" s="472"/>
      <c r="H2" s="150"/>
      <c r="I2" s="472"/>
      <c r="J2" s="472"/>
      <c r="K2" s="472"/>
      <c r="L2" s="472"/>
      <c r="M2" s="472"/>
      <c r="N2" s="472"/>
      <c r="O2" s="472"/>
      <c r="P2" s="472"/>
      <c r="Q2" s="472"/>
      <c r="R2" s="472"/>
      <c r="S2" s="472"/>
      <c r="T2" s="472"/>
      <c r="U2" s="472"/>
      <c r="V2" s="472"/>
      <c r="W2" s="472"/>
      <c r="X2" s="474"/>
    </row>
    <row r="3" spans="1:24" s="313" customFormat="1">
      <c r="A3" s="472"/>
      <c r="B3" s="472"/>
      <c r="C3" s="472"/>
      <c r="D3" s="472"/>
      <c r="E3" s="472"/>
      <c r="F3" s="472"/>
      <c r="G3" s="472"/>
      <c r="H3" s="472"/>
      <c r="I3" s="472"/>
      <c r="J3" s="472"/>
      <c r="K3" s="472"/>
      <c r="L3" s="472"/>
      <c r="M3" s="472"/>
      <c r="N3" s="472"/>
      <c r="O3" s="472"/>
      <c r="P3" s="472"/>
      <c r="Q3" s="472"/>
      <c r="R3" s="472"/>
      <c r="S3" s="472"/>
      <c r="T3" s="472"/>
      <c r="U3" s="472"/>
      <c r="V3" s="472"/>
      <c r="W3" s="472"/>
      <c r="X3" s="475"/>
    </row>
    <row r="4" spans="1:24" s="479" customFormat="1" ht="21">
      <c r="A4" s="155"/>
      <c r="B4" s="155" t="s">
        <v>1474</v>
      </c>
      <c r="C4" s="129"/>
      <c r="D4" s="155"/>
      <c r="E4" s="155"/>
      <c r="F4" s="155"/>
      <c r="G4" s="155"/>
      <c r="H4" s="155"/>
      <c r="I4" s="155"/>
      <c r="J4" s="155"/>
      <c r="K4" s="155"/>
      <c r="L4" s="155"/>
      <c r="M4" s="155"/>
      <c r="N4" s="155"/>
      <c r="O4" s="155"/>
      <c r="P4" s="155"/>
      <c r="Q4" s="155"/>
      <c r="R4" s="155"/>
      <c r="S4" s="155"/>
      <c r="T4" s="155"/>
      <c r="U4" s="155"/>
      <c r="V4" s="155"/>
      <c r="W4" s="155"/>
      <c r="X4" s="478"/>
    </row>
    <row r="5" spans="1:24" s="313" customFormat="1">
      <c r="A5" s="472"/>
      <c r="B5" s="132"/>
      <c r="C5" s="472"/>
      <c r="D5" s="132"/>
      <c r="E5" s="132"/>
      <c r="F5" s="132"/>
      <c r="G5" s="132"/>
      <c r="H5" s="132"/>
      <c r="I5" s="132"/>
      <c r="J5" s="472"/>
      <c r="K5" s="472"/>
      <c r="L5" s="473"/>
      <c r="M5" s="473"/>
      <c r="N5" s="473"/>
      <c r="O5" s="473"/>
      <c r="P5" s="473"/>
      <c r="Q5" s="473"/>
      <c r="R5" s="473"/>
      <c r="S5" s="473"/>
      <c r="T5" s="473"/>
      <c r="U5" s="473"/>
      <c r="V5" s="473"/>
      <c r="W5" s="473"/>
      <c r="X5" s="473"/>
    </row>
    <row r="6" spans="1:24">
      <c r="A6" s="367"/>
      <c r="B6" s="456"/>
      <c r="C6" s="456"/>
      <c r="D6" s="456"/>
      <c r="E6" s="456"/>
      <c r="F6" s="456"/>
      <c r="G6" s="456"/>
      <c r="H6" s="456"/>
      <c r="I6" s="456"/>
      <c r="J6" s="367"/>
      <c r="K6" s="367"/>
      <c r="L6" s="440"/>
      <c r="M6" s="440"/>
      <c r="N6" s="440"/>
      <c r="O6" s="440"/>
      <c r="P6" s="440"/>
      <c r="Q6" s="440"/>
      <c r="R6" s="440"/>
      <c r="S6" s="440"/>
      <c r="T6" s="440"/>
      <c r="U6" s="440"/>
      <c r="V6" s="440"/>
      <c r="W6" s="440"/>
      <c r="X6" s="440"/>
    </row>
    <row r="7" spans="1:24" ht="12.6" thickBot="1">
      <c r="A7" s="367"/>
      <c r="B7" s="463" t="s">
        <v>1453</v>
      </c>
      <c r="C7" s="463"/>
      <c r="D7" s="368"/>
      <c r="E7" s="457"/>
      <c r="F7" s="457"/>
      <c r="G7" s="457"/>
      <c r="H7" s="457"/>
      <c r="I7" s="457"/>
      <c r="J7" s="368"/>
      <c r="K7" s="368"/>
      <c r="L7" s="368"/>
      <c r="M7" s="368"/>
      <c r="N7" s="368"/>
      <c r="O7" s="368"/>
      <c r="P7" s="368"/>
      <c r="Q7" s="368"/>
      <c r="R7" s="368"/>
      <c r="S7" s="368"/>
      <c r="T7" s="368"/>
      <c r="U7" s="368"/>
      <c r="V7" s="368"/>
      <c r="W7" s="368"/>
      <c r="X7" s="368"/>
    </row>
    <row r="8" spans="1:24" ht="12.6" thickTop="1">
      <c r="A8" s="367"/>
      <c r="B8" s="345"/>
      <c r="C8" s="345"/>
      <c r="D8" s="367"/>
      <c r="E8" s="345"/>
      <c r="F8" s="345"/>
      <c r="G8" s="345"/>
      <c r="H8" s="345"/>
      <c r="I8" s="345"/>
      <c r="J8" s="367"/>
      <c r="K8" s="367"/>
      <c r="L8" s="367"/>
      <c r="M8" s="367"/>
      <c r="N8" s="367"/>
      <c r="O8" s="367"/>
      <c r="P8" s="367"/>
      <c r="Q8" s="367"/>
      <c r="R8" s="367"/>
      <c r="S8" s="367"/>
      <c r="T8" s="367"/>
      <c r="U8" s="367"/>
      <c r="V8" s="367"/>
      <c r="W8" s="367"/>
      <c r="X8" s="367"/>
    </row>
    <row r="9" spans="1:24">
      <c r="A9" s="367"/>
      <c r="B9" s="367"/>
      <c r="C9" s="367"/>
      <c r="D9" s="345"/>
      <c r="E9" s="382" t="s">
        <v>81</v>
      </c>
      <c r="F9" s="458" t="s">
        <v>82</v>
      </c>
      <c r="G9" s="458"/>
      <c r="H9" s="458" t="s">
        <v>83</v>
      </c>
      <c r="I9" s="458"/>
      <c r="J9" s="458" t="s">
        <v>84</v>
      </c>
      <c r="K9" s="458"/>
      <c r="L9" s="458" t="s">
        <v>1544</v>
      </c>
      <c r="M9" s="458"/>
      <c r="N9" s="458" t="s">
        <v>128</v>
      </c>
      <c r="O9" s="459"/>
      <c r="P9" s="458" t="s">
        <v>129</v>
      </c>
      <c r="Q9" s="458"/>
      <c r="R9" s="458" t="s">
        <v>997</v>
      </c>
      <c r="S9" s="458"/>
      <c r="T9" s="458" t="s">
        <v>130</v>
      </c>
      <c r="U9" s="458"/>
      <c r="V9" s="458" t="s">
        <v>131</v>
      </c>
      <c r="W9" s="458"/>
      <c r="X9" s="458" t="s">
        <v>132</v>
      </c>
    </row>
    <row r="10" spans="1:24">
      <c r="A10" s="367"/>
      <c r="B10" s="367"/>
      <c r="C10" s="367"/>
      <c r="D10" s="345"/>
      <c r="E10" s="382"/>
      <c r="F10" s="458"/>
      <c r="G10" s="458"/>
      <c r="H10" s="458"/>
      <c r="I10" s="458"/>
      <c r="J10" s="458"/>
      <c r="K10" s="458"/>
      <c r="L10" s="458"/>
      <c r="M10" s="458"/>
      <c r="N10" s="458"/>
      <c r="O10" s="459"/>
      <c r="P10" s="458"/>
      <c r="Q10" s="458"/>
      <c r="R10" s="458"/>
      <c r="S10" s="458"/>
      <c r="T10" s="458"/>
      <c r="U10" s="458"/>
      <c r="V10" s="458"/>
      <c r="W10" s="458"/>
      <c r="X10" s="458"/>
    </row>
    <row r="11" spans="1:24">
      <c r="A11" s="367"/>
      <c r="B11" s="370" t="s">
        <v>1543</v>
      </c>
      <c r="C11" s="370"/>
      <c r="D11" s="367"/>
      <c r="E11" s="367" t="s">
        <v>57</v>
      </c>
      <c r="F11" s="510">
        <v>176.29964899999999</v>
      </c>
      <c r="G11" s="402"/>
      <c r="H11" s="512">
        <v>29.598133043290826</v>
      </c>
      <c r="I11" s="403"/>
      <c r="J11" s="404">
        <f>(H11*F11)+L11</f>
        <v>6337.7193219971623</v>
      </c>
      <c r="K11" s="404" t="s">
        <v>136</v>
      </c>
      <c r="L11" s="510">
        <v>1119.578855409688</v>
      </c>
      <c r="M11" s="404" t="s">
        <v>135</v>
      </c>
      <c r="N11" s="402">
        <f>J11-L11</f>
        <v>5218.1404665874743</v>
      </c>
      <c r="O11" s="404" t="s">
        <v>134</v>
      </c>
      <c r="P11" s="511">
        <v>0.78320000000000001</v>
      </c>
      <c r="Q11" s="405" t="s">
        <v>135</v>
      </c>
      <c r="R11" s="402">
        <f>P11*N11</f>
        <v>4086.84761343131</v>
      </c>
      <c r="S11" s="39"/>
      <c r="T11" s="402">
        <f>N11-R11</f>
        <v>1131.2928531561643</v>
      </c>
      <c r="U11" s="39"/>
      <c r="V11" s="406">
        <f>N11/$J$31</f>
        <v>0.9094025404207795</v>
      </c>
      <c r="W11" s="367"/>
      <c r="X11" s="373">
        <f>$J$35*V11</f>
        <v>30.194795376702217</v>
      </c>
    </row>
    <row r="12" spans="1:24">
      <c r="A12" s="367"/>
      <c r="B12" s="370" t="s">
        <v>1089</v>
      </c>
      <c r="C12" s="370"/>
      <c r="D12" s="367"/>
      <c r="E12" s="367" t="s">
        <v>1091</v>
      </c>
      <c r="F12" s="510">
        <v>68.684100000000001</v>
      </c>
      <c r="G12" s="402"/>
      <c r="H12" s="514">
        <v>8.8022743379553035</v>
      </c>
      <c r="I12" s="403"/>
      <c r="J12" s="404">
        <f>(H12*F12)</f>
        <v>604.57629085555584</v>
      </c>
      <c r="K12" s="404" t="s">
        <v>136</v>
      </c>
      <c r="L12" s="510">
        <v>0</v>
      </c>
      <c r="M12" s="404" t="s">
        <v>135</v>
      </c>
      <c r="N12" s="402">
        <f>J12-L12</f>
        <v>604.57629085555584</v>
      </c>
      <c r="O12" s="404" t="s">
        <v>134</v>
      </c>
      <c r="P12" s="511">
        <v>1</v>
      </c>
      <c r="Q12" s="405" t="s">
        <v>135</v>
      </c>
      <c r="R12" s="402">
        <f>P12*N12</f>
        <v>604.57629085555584</v>
      </c>
      <c r="S12" s="370"/>
      <c r="T12" s="402">
        <f>N12-R12</f>
        <v>0</v>
      </c>
      <c r="U12" s="367"/>
      <c r="V12" s="406">
        <f>N12/$J$31</f>
        <v>0.10536382036909239</v>
      </c>
      <c r="W12" s="373"/>
      <c r="X12" s="373">
        <f>$J$35*V12</f>
        <v>3.4983836692168309</v>
      </c>
    </row>
    <row r="13" spans="1:24">
      <c r="A13" s="367"/>
      <c r="B13" s="370"/>
      <c r="C13" s="370"/>
      <c r="D13" s="367"/>
      <c r="E13" s="367"/>
      <c r="F13" s="402"/>
      <c r="G13" s="404"/>
      <c r="H13" s="373"/>
      <c r="I13" s="403"/>
      <c r="J13" s="404"/>
      <c r="K13" s="414"/>
      <c r="L13" s="370"/>
      <c r="M13" s="404"/>
      <c r="N13" s="402"/>
      <c r="O13" s="367"/>
      <c r="P13" s="509"/>
      <c r="Q13" s="415"/>
      <c r="R13" s="402"/>
      <c r="S13" s="370"/>
      <c r="T13" s="367"/>
      <c r="U13" s="367"/>
      <c r="V13" s="367"/>
      <c r="W13" s="367"/>
      <c r="X13" s="367"/>
    </row>
    <row r="14" spans="1:24">
      <c r="A14" s="367"/>
      <c r="B14" s="370" t="s">
        <v>1088</v>
      </c>
      <c r="C14" s="370"/>
      <c r="D14" s="367"/>
      <c r="E14" s="367" t="s">
        <v>1091</v>
      </c>
      <c r="F14" s="510">
        <v>109.46493417416828</v>
      </c>
      <c r="G14" s="404"/>
      <c r="H14" s="514">
        <v>9.320894910822922</v>
      </c>
      <c r="I14" s="403"/>
      <c r="J14" s="404">
        <f>(H14*F14)</f>
        <v>1020.3111478575712</v>
      </c>
      <c r="K14" s="414" t="s">
        <v>136</v>
      </c>
      <c r="L14" s="513">
        <v>0</v>
      </c>
      <c r="M14" s="404" t="s">
        <v>135</v>
      </c>
      <c r="N14" s="402">
        <f>J14-L14</f>
        <v>1020.3111478575712</v>
      </c>
      <c r="O14" s="414" t="s">
        <v>134</v>
      </c>
      <c r="P14" s="515">
        <v>1</v>
      </c>
      <c r="Q14" s="415" t="s">
        <v>135</v>
      </c>
      <c r="R14" s="402">
        <f>P14*N14</f>
        <v>1020.3111478575712</v>
      </c>
      <c r="S14" s="370"/>
      <c r="T14" s="402">
        <f>N14-R14</f>
        <v>0</v>
      </c>
      <c r="U14" s="367"/>
      <c r="V14" s="406">
        <f>N14/$J$31</f>
        <v>0.17781689776705487</v>
      </c>
    </row>
    <row r="15" spans="1:24">
      <c r="A15" s="367"/>
      <c r="B15" s="370" t="s">
        <v>1545</v>
      </c>
      <c r="C15" s="370"/>
      <c r="D15" s="367"/>
      <c r="E15" s="367" t="s">
        <v>57</v>
      </c>
      <c r="F15" s="510">
        <v>140</v>
      </c>
      <c r="G15" s="404" t="s">
        <v>134</v>
      </c>
      <c r="H15" s="512">
        <v>17.730959085150914</v>
      </c>
      <c r="I15" s="403"/>
      <c r="J15" s="404">
        <f>(H15*F15)+L15</f>
        <v>3566.3775999941276</v>
      </c>
      <c r="K15" s="414" t="s">
        <v>136</v>
      </c>
      <c r="L15" s="513">
        <v>1084.0433280729999</v>
      </c>
      <c r="M15" s="404" t="s">
        <v>135</v>
      </c>
      <c r="N15" s="402">
        <f>J15-L15</f>
        <v>2482.3342719211278</v>
      </c>
      <c r="O15" s="414" t="s">
        <v>134</v>
      </c>
      <c r="P15" s="515">
        <v>0.63834999999999997</v>
      </c>
      <c r="Q15" s="415" t="s">
        <v>135</v>
      </c>
      <c r="R15" s="402">
        <f>P15*N15</f>
        <v>1584.5980824808519</v>
      </c>
      <c r="S15" s="370"/>
      <c r="T15" s="402">
        <f>N15-R15</f>
        <v>897.73618944027589</v>
      </c>
      <c r="U15" s="367"/>
      <c r="V15" s="406">
        <f>N15/$J$31</f>
        <v>0.43261409069253104</v>
      </c>
      <c r="W15" s="370"/>
      <c r="X15" s="373"/>
    </row>
    <row r="16" spans="1:24">
      <c r="A16" s="367"/>
      <c r="B16" s="370"/>
      <c r="C16" s="370"/>
      <c r="D16" s="367"/>
      <c r="E16" s="367"/>
      <c r="F16" s="402"/>
      <c r="G16" s="404"/>
      <c r="H16" s="373"/>
      <c r="I16" s="403"/>
      <c r="J16" s="404"/>
      <c r="K16" s="414"/>
      <c r="L16" s="370"/>
      <c r="M16" s="404"/>
      <c r="N16" s="402"/>
      <c r="O16" s="367"/>
      <c r="P16" s="509"/>
      <c r="Q16" s="415"/>
      <c r="R16" s="402"/>
      <c r="S16" s="370"/>
      <c r="T16" s="367"/>
      <c r="U16" s="367"/>
      <c r="V16" s="367"/>
      <c r="W16" s="367"/>
      <c r="X16" s="367"/>
    </row>
    <row r="17" spans="1:24">
      <c r="A17" s="367"/>
      <c r="B17" s="370" t="s">
        <v>141</v>
      </c>
      <c r="C17" s="370"/>
      <c r="D17" s="367"/>
      <c r="E17" s="367" t="s">
        <v>1091</v>
      </c>
      <c r="F17" s="402"/>
      <c r="G17" s="404"/>
      <c r="H17" s="373"/>
      <c r="I17" s="403"/>
      <c r="J17" s="510">
        <v>-113.5865101763503</v>
      </c>
      <c r="K17" s="414" t="s">
        <v>136</v>
      </c>
      <c r="L17" s="513">
        <v>1579.4490615672175</v>
      </c>
      <c r="M17" s="404" t="s">
        <v>135</v>
      </c>
      <c r="N17" s="402">
        <f>J17-L17</f>
        <v>-1693.0355717435677</v>
      </c>
      <c r="O17" s="414" t="s">
        <v>134</v>
      </c>
      <c r="P17" s="515">
        <v>1</v>
      </c>
      <c r="Q17" s="415" t="s">
        <v>135</v>
      </c>
      <c r="R17" s="402">
        <f>P17*N17</f>
        <v>-1693.0355717435677</v>
      </c>
      <c r="S17" s="370"/>
      <c r="T17" s="402">
        <f>N17-R17</f>
        <v>0</v>
      </c>
      <c r="U17" s="367"/>
      <c r="V17" s="406">
        <f>N17/$J$31</f>
        <v>-0.29505737912288099</v>
      </c>
    </row>
    <row r="18" spans="1:24" s="39" customFormat="1">
      <c r="A18" s="367"/>
      <c r="B18" s="370"/>
      <c r="S18" s="370"/>
      <c r="T18" s="402"/>
      <c r="U18" s="367"/>
      <c r="V18" s="406"/>
      <c r="W18" s="370"/>
      <c r="X18" s="373"/>
    </row>
    <row r="19" spans="1:24" s="39" customFormat="1">
      <c r="A19" s="367"/>
      <c r="B19" s="345" t="s">
        <v>138</v>
      </c>
      <c r="C19" s="370"/>
      <c r="D19" s="367"/>
      <c r="E19" s="367"/>
      <c r="F19" s="407"/>
      <c r="G19" s="408"/>
      <c r="H19" s="372"/>
      <c r="I19" s="376"/>
      <c r="J19" s="409">
        <f>SUM(J11:J12,J14:J15,J17)</f>
        <v>11415.397850528067</v>
      </c>
      <c r="K19" s="376"/>
      <c r="L19" s="409">
        <f>SUM(L11:L12,L14:L15,L17)</f>
        <v>3783.0712450499054</v>
      </c>
      <c r="M19" s="408"/>
      <c r="N19" s="409">
        <f>SUM(N11:N12,N14:N15,N17)</f>
        <v>7632.3266054781625</v>
      </c>
      <c r="O19" s="367"/>
      <c r="P19" s="411"/>
      <c r="Q19" s="412"/>
      <c r="R19" s="409">
        <f>SUM(R11:R12,R14:R15,R17)</f>
        <v>5603.2975628817212</v>
      </c>
      <c r="S19" s="370"/>
      <c r="T19" s="409">
        <f>SUM(T11:T12,T14:T15,T17)</f>
        <v>2029.0290425964401</v>
      </c>
      <c r="U19" s="367"/>
      <c r="V19" s="413">
        <f>N19/$J$31</f>
        <v>1.330139970126577</v>
      </c>
      <c r="W19" s="367"/>
      <c r="X19" s="372">
        <f>$J$36*V19</f>
        <v>29.369490540394818</v>
      </c>
    </row>
    <row r="20" spans="1:24">
      <c r="A20" s="367"/>
      <c r="B20" s="345"/>
      <c r="C20" s="370"/>
      <c r="D20" s="367"/>
      <c r="E20" s="367"/>
      <c r="F20" s="407"/>
      <c r="G20" s="408"/>
      <c r="H20" s="372"/>
      <c r="I20" s="376"/>
      <c r="J20" s="408"/>
      <c r="K20" s="375"/>
      <c r="L20" s="373"/>
      <c r="M20" s="408"/>
      <c r="N20" s="408"/>
      <c r="O20" s="367"/>
      <c r="P20" s="411"/>
      <c r="Q20" s="412"/>
      <c r="R20" s="408"/>
      <c r="S20" s="370"/>
      <c r="T20" s="408"/>
      <c r="U20" s="367"/>
      <c r="V20" s="413"/>
      <c r="W20" s="367"/>
      <c r="X20" s="372"/>
    </row>
    <row r="21" spans="1:24">
      <c r="A21" s="367"/>
      <c r="B21" s="370" t="s">
        <v>1548</v>
      </c>
      <c r="C21" s="370"/>
      <c r="D21" s="367"/>
      <c r="E21" s="367" t="s">
        <v>57</v>
      </c>
      <c r="F21" s="512">
        <v>0</v>
      </c>
      <c r="G21" s="404" t="s">
        <v>134</v>
      </c>
      <c r="H21" s="487">
        <v>296.56599999999997</v>
      </c>
      <c r="I21" s="404"/>
      <c r="J21" s="402">
        <f t="shared" ref="J21" si="0">(H21*F21)</f>
        <v>0</v>
      </c>
      <c r="K21" s="404" t="s">
        <v>136</v>
      </c>
      <c r="L21" s="510">
        <v>0</v>
      </c>
      <c r="M21" s="404" t="s">
        <v>135</v>
      </c>
      <c r="N21" s="402">
        <f>J21-L23</f>
        <v>0</v>
      </c>
      <c r="O21" s="404" t="s">
        <v>134</v>
      </c>
      <c r="P21" s="511">
        <v>0.37919999999999998</v>
      </c>
      <c r="Q21" s="405" t="s">
        <v>135</v>
      </c>
      <c r="R21" s="402">
        <f>P21*N21</f>
        <v>0</v>
      </c>
      <c r="S21" s="370"/>
      <c r="T21" s="402">
        <f t="shared" ref="T21" si="1">N21-R21</f>
        <v>0</v>
      </c>
      <c r="U21" s="367"/>
      <c r="V21" s="406">
        <f>N21/$J$33</f>
        <v>0</v>
      </c>
      <c r="W21" s="370"/>
      <c r="X21" s="373"/>
    </row>
    <row r="22" spans="1:24">
      <c r="A22" s="367"/>
      <c r="B22" s="370" t="s">
        <v>1547</v>
      </c>
      <c r="C22" s="370"/>
      <c r="D22" s="367"/>
      <c r="E22" s="367" t="s">
        <v>123</v>
      </c>
      <c r="F22" s="609"/>
      <c r="G22" s="404"/>
      <c r="H22" s="373"/>
      <c r="I22" s="404"/>
      <c r="J22" s="402"/>
      <c r="K22" s="404"/>
      <c r="L22" s="402"/>
      <c r="M22" s="404"/>
      <c r="N22" s="402"/>
      <c r="O22" s="404"/>
      <c r="P22" s="417"/>
      <c r="Q22" s="405"/>
      <c r="R22" s="510">
        <v>134.69000000000003</v>
      </c>
      <c r="S22" s="370"/>
      <c r="T22" s="402"/>
      <c r="U22" s="367"/>
      <c r="V22" s="406"/>
      <c r="W22" s="370"/>
      <c r="X22" s="373"/>
    </row>
    <row r="23" spans="1:24">
      <c r="A23" s="367"/>
      <c r="B23" s="345" t="s">
        <v>1072</v>
      </c>
      <c r="C23" s="370"/>
      <c r="D23" s="367"/>
      <c r="E23" s="367"/>
      <c r="F23" s="410"/>
      <c r="G23" s="408"/>
      <c r="H23" s="416"/>
      <c r="I23" s="376"/>
      <c r="J23" s="409"/>
      <c r="K23" s="375"/>
      <c r="L23" s="409"/>
      <c r="M23" s="408"/>
      <c r="N23" s="409"/>
      <c r="O23" s="367"/>
      <c r="P23" s="418"/>
      <c r="Q23" s="412"/>
      <c r="R23" s="409">
        <f>SUM(R21:R22)</f>
        <v>134.69000000000003</v>
      </c>
      <c r="S23" s="370"/>
      <c r="T23" s="409"/>
      <c r="U23" s="367"/>
      <c r="V23" s="409"/>
      <c r="W23" s="367"/>
      <c r="X23" s="367"/>
    </row>
    <row r="24" spans="1:24">
      <c r="A24" s="367"/>
    </row>
    <row r="25" spans="1:24">
      <c r="A25" s="367"/>
      <c r="C25" s="39"/>
      <c r="D25" s="39"/>
      <c r="E25" s="39"/>
      <c r="F25" s="39"/>
      <c r="G25" s="39"/>
      <c r="H25" s="39"/>
      <c r="I25" s="39"/>
      <c r="J25" s="270" t="s">
        <v>694</v>
      </c>
      <c r="K25" s="39"/>
      <c r="L25" s="39"/>
      <c r="M25" s="39"/>
      <c r="N25" s="39"/>
      <c r="O25" s="39"/>
      <c r="P25" s="39"/>
      <c r="Q25" s="39"/>
      <c r="R25" s="39"/>
      <c r="S25" s="39"/>
      <c r="T25" s="39"/>
      <c r="U25" s="39"/>
      <c r="V25" s="39"/>
      <c r="W25" s="39"/>
      <c r="X25" s="39"/>
    </row>
    <row r="26" spans="1:24" ht="12.6" thickBot="1">
      <c r="A26" s="367"/>
      <c r="B26" s="345" t="s">
        <v>1092</v>
      </c>
      <c r="C26" s="367"/>
      <c r="D26" s="345"/>
      <c r="E26" s="381"/>
      <c r="F26" s="367"/>
      <c r="G26" s="367"/>
      <c r="H26" s="381"/>
      <c r="I26" s="381"/>
      <c r="J26" s="419">
        <f>J19</f>
        <v>11415.397850528067</v>
      </c>
      <c r="K26" s="381"/>
      <c r="L26" s="367"/>
      <c r="M26" s="367"/>
      <c r="N26" s="367"/>
      <c r="O26" s="367"/>
      <c r="P26" s="367"/>
      <c r="Q26" s="412"/>
      <c r="R26" s="464" t="s">
        <v>549</v>
      </c>
      <c r="S26" s="464"/>
      <c r="T26" s="464"/>
      <c r="U26" s="368"/>
      <c r="V26" s="368"/>
      <c r="W26" s="368"/>
      <c r="X26" s="368"/>
    </row>
    <row r="27" spans="1:24" ht="12.6" thickTop="1">
      <c r="A27" s="367"/>
      <c r="B27" s="384" t="s">
        <v>1546</v>
      </c>
      <c r="C27" s="367"/>
      <c r="D27" s="367"/>
      <c r="E27" s="367"/>
      <c r="F27" s="381"/>
      <c r="G27" s="381"/>
      <c r="H27" s="367"/>
      <c r="I27" s="381"/>
      <c r="J27" s="510">
        <v>-2383.6849445887347</v>
      </c>
      <c r="K27" s="367"/>
      <c r="L27" s="367"/>
      <c r="M27" s="367"/>
      <c r="N27" s="367"/>
      <c r="O27" s="367"/>
      <c r="P27" s="367"/>
      <c r="Q27" s="367"/>
      <c r="R27" s="370"/>
      <c r="S27" s="367"/>
      <c r="T27" s="367"/>
      <c r="U27" s="367"/>
      <c r="V27" s="367"/>
      <c r="W27" s="367"/>
      <c r="X27" s="345"/>
    </row>
    <row r="28" spans="1:24">
      <c r="A28" s="367"/>
      <c r="B28" s="384" t="s">
        <v>1549</v>
      </c>
      <c r="C28" s="367"/>
      <c r="D28" s="367"/>
      <c r="E28" s="367"/>
      <c r="F28" s="381"/>
      <c r="G28" s="381"/>
      <c r="H28" s="367"/>
      <c r="I28" s="381"/>
      <c r="J28" s="510">
        <v>-1399.3863004611708</v>
      </c>
      <c r="K28" s="367"/>
      <c r="L28" s="367"/>
      <c r="M28" s="367"/>
      <c r="N28" s="367"/>
      <c r="O28" s="367"/>
      <c r="P28" s="367"/>
      <c r="Q28" s="367"/>
      <c r="R28" s="370"/>
      <c r="S28" s="367"/>
      <c r="T28" s="367"/>
      <c r="U28" s="367"/>
      <c r="V28" s="367"/>
      <c r="W28" s="367"/>
      <c r="X28" s="345"/>
    </row>
    <row r="29" spans="1:24">
      <c r="A29" s="367"/>
      <c r="B29" s="384" t="s">
        <v>872</v>
      </c>
      <c r="C29" s="367"/>
      <c r="D29" s="367"/>
      <c r="E29" s="367"/>
      <c r="F29" s="381"/>
      <c r="G29" s="381"/>
      <c r="H29" s="367"/>
      <c r="I29" s="381"/>
      <c r="J29" s="402">
        <f>-T19</f>
        <v>-2029.0290425964401</v>
      </c>
      <c r="K29" s="381"/>
      <c r="L29" s="367"/>
      <c r="M29" s="367"/>
      <c r="N29" s="367"/>
      <c r="O29" s="367"/>
      <c r="P29" s="367"/>
      <c r="Q29" s="367"/>
      <c r="R29" s="367"/>
      <c r="S29" s="367"/>
      <c r="T29" s="367"/>
      <c r="U29" s="367"/>
      <c r="V29" s="367"/>
      <c r="W29" s="367"/>
      <c r="X29" s="367"/>
    </row>
    <row r="30" spans="1:24">
      <c r="A30" s="367"/>
      <c r="B30" s="384" t="s">
        <v>1042</v>
      </c>
      <c r="C30" s="367"/>
      <c r="D30" s="367"/>
      <c r="E30" s="367"/>
      <c r="F30" s="381"/>
      <c r="G30" s="381"/>
      <c r="H30" s="367"/>
      <c r="I30" s="381"/>
      <c r="J30" s="420">
        <f>R23</f>
        <v>134.69000000000003</v>
      </c>
      <c r="K30" s="381"/>
      <c r="L30" s="367"/>
      <c r="M30" s="367"/>
      <c r="N30" s="367"/>
      <c r="O30" s="367"/>
      <c r="P30" s="367"/>
      <c r="Q30" s="367"/>
      <c r="R30" s="367"/>
      <c r="S30" s="367"/>
      <c r="T30" s="367"/>
      <c r="U30" s="367"/>
      <c r="V30" s="367"/>
      <c r="W30" s="367"/>
      <c r="X30" s="367"/>
    </row>
    <row r="31" spans="1:24">
      <c r="A31" s="367"/>
      <c r="B31" s="382" t="s">
        <v>495</v>
      </c>
      <c r="C31" s="367"/>
      <c r="D31" s="386"/>
      <c r="E31" s="381"/>
      <c r="F31" s="381"/>
      <c r="G31" s="381"/>
      <c r="H31" s="381"/>
      <c r="I31" s="381"/>
      <c r="J31" s="407">
        <f>SUM(J26:J30)</f>
        <v>5737.9875628817208</v>
      </c>
      <c r="K31" s="367"/>
      <c r="L31" s="367"/>
      <c r="M31" s="367"/>
      <c r="N31" s="367"/>
      <c r="O31" s="367"/>
      <c r="P31" s="367"/>
      <c r="Q31" s="367"/>
      <c r="R31" s="367"/>
      <c r="S31" s="367"/>
      <c r="T31" s="367"/>
      <c r="U31" s="367"/>
      <c r="V31" s="367"/>
      <c r="W31" s="367"/>
      <c r="X31" s="367"/>
    </row>
    <row r="32" spans="1:24" ht="12.6" thickBot="1">
      <c r="A32" s="367"/>
      <c r="B32" s="384" t="s">
        <v>496</v>
      </c>
      <c r="C32" s="367"/>
      <c r="D32" s="345"/>
      <c r="E32" s="381"/>
      <c r="F32" s="367"/>
      <c r="G32" s="367"/>
      <c r="H32" s="381"/>
      <c r="I32" s="381"/>
      <c r="J32" s="510">
        <v>172.81589099999999</v>
      </c>
      <c r="K32" s="381"/>
      <c r="L32" s="367"/>
      <c r="M32" s="367"/>
      <c r="N32" s="367"/>
      <c r="O32" s="367"/>
      <c r="P32" s="367"/>
      <c r="Q32" s="367"/>
      <c r="R32" s="367"/>
      <c r="S32" s="367"/>
      <c r="T32" s="367"/>
      <c r="U32" s="367"/>
      <c r="V32" s="367"/>
      <c r="W32" s="367"/>
      <c r="X32" s="367"/>
    </row>
    <row r="33" spans="1:24" ht="12.6" thickBot="1">
      <c r="A33" s="367"/>
      <c r="B33" s="382" t="s">
        <v>497</v>
      </c>
      <c r="C33" s="367"/>
      <c r="D33" s="345"/>
      <c r="E33" s="381"/>
      <c r="F33" s="381"/>
      <c r="G33" s="381"/>
      <c r="H33" s="381"/>
      <c r="I33" s="381"/>
      <c r="J33" s="461">
        <f>J31/J32</f>
        <v>33.20289314645099</v>
      </c>
      <c r="K33" s="381"/>
      <c r="L33" s="367"/>
      <c r="M33" s="367"/>
      <c r="N33" s="367"/>
      <c r="O33" s="367"/>
      <c r="P33" s="367"/>
      <c r="Q33" s="367"/>
      <c r="R33" s="367"/>
      <c r="S33" s="367"/>
      <c r="T33" s="367"/>
      <c r="U33" s="367"/>
      <c r="V33" s="367"/>
      <c r="W33" s="367"/>
      <c r="X33" s="367"/>
    </row>
    <row r="34" spans="1:24" ht="12.6" thickBot="1">
      <c r="A34" s="367"/>
      <c r="B34" s="384" t="s">
        <v>697</v>
      </c>
      <c r="C34" s="367"/>
      <c r="D34" s="370"/>
      <c r="E34" s="367"/>
      <c r="F34" s="367"/>
      <c r="G34" s="367"/>
      <c r="H34" s="367"/>
      <c r="I34" s="367"/>
      <c r="J34" s="514">
        <v>0</v>
      </c>
      <c r="K34" s="381"/>
      <c r="L34" s="367"/>
      <c r="M34" s="367"/>
      <c r="N34" s="367"/>
      <c r="O34" s="367"/>
      <c r="P34" s="367"/>
      <c r="Q34" s="367"/>
      <c r="R34" s="367"/>
      <c r="S34" s="367"/>
      <c r="T34" s="367"/>
      <c r="U34" s="367"/>
      <c r="V34" s="367"/>
      <c r="W34" s="367"/>
      <c r="X34" s="367"/>
    </row>
    <row r="35" spans="1:24" ht="12.6" thickBot="1">
      <c r="A35" s="381"/>
      <c r="B35" s="382" t="s">
        <v>62</v>
      </c>
      <c r="C35" s="367"/>
      <c r="D35" s="367"/>
      <c r="E35" s="367"/>
      <c r="F35" s="367"/>
      <c r="G35" s="367"/>
      <c r="H35" s="367"/>
      <c r="I35" s="367"/>
      <c r="J35" s="461">
        <f>J33+J34</f>
        <v>33.20289314645099</v>
      </c>
      <c r="K35" s="381"/>
      <c r="L35" s="367"/>
      <c r="M35" s="367"/>
      <c r="N35" s="367"/>
      <c r="O35" s="367"/>
      <c r="P35" s="367"/>
      <c r="Q35" s="367"/>
      <c r="R35" s="367"/>
      <c r="S35" s="367"/>
      <c r="T35" s="367"/>
      <c r="U35" s="367"/>
      <c r="V35" s="367"/>
      <c r="W35" s="367"/>
      <c r="X35" s="367"/>
    </row>
    <row r="36" spans="1:24">
      <c r="A36" s="367"/>
      <c r="B36" s="384" t="s">
        <v>498</v>
      </c>
      <c r="C36" s="367"/>
      <c r="D36" s="367"/>
      <c r="E36" s="367"/>
      <c r="F36" s="367"/>
      <c r="G36" s="367"/>
      <c r="H36" s="367"/>
      <c r="I36" s="367"/>
      <c r="J36" s="373">
        <f>Prices!C31</f>
        <v>22.08</v>
      </c>
      <c r="K36" s="381"/>
      <c r="L36" s="367"/>
      <c r="M36" s="367"/>
      <c r="N36" s="367"/>
      <c r="O36" s="367"/>
      <c r="P36" s="367"/>
      <c r="Q36" s="367"/>
      <c r="R36" s="367"/>
      <c r="S36" s="367"/>
      <c r="T36" s="367"/>
      <c r="U36" s="367"/>
      <c r="V36" s="367"/>
      <c r="W36" s="367"/>
      <c r="X36" s="367"/>
    </row>
    <row r="37" spans="1:24">
      <c r="A37" s="367"/>
      <c r="B37" s="382" t="s">
        <v>97</v>
      </c>
      <c r="C37" s="367"/>
      <c r="D37" s="345"/>
      <c r="E37" s="381"/>
      <c r="F37" s="381"/>
      <c r="G37" s="381"/>
      <c r="H37" s="381"/>
      <c r="I37" s="381"/>
      <c r="J37" s="421">
        <f>J35/J36-1</f>
        <v>0.50375421858926606</v>
      </c>
      <c r="K37" s="381"/>
      <c r="L37" s="367"/>
      <c r="M37" s="367"/>
      <c r="N37" s="367"/>
      <c r="O37" s="367"/>
      <c r="P37" s="367"/>
      <c r="Q37" s="367"/>
      <c r="R37" s="367"/>
      <c r="S37" s="367"/>
      <c r="T37" s="367"/>
      <c r="U37" s="367"/>
      <c r="V37" s="367"/>
      <c r="W37" s="367"/>
      <c r="X37" s="367"/>
    </row>
    <row r="38" spans="1:24">
      <c r="A38" s="367"/>
      <c r="B38" s="384"/>
      <c r="C38" s="39"/>
      <c r="D38" s="39"/>
      <c r="E38" s="39"/>
      <c r="F38" s="39"/>
      <c r="G38" s="39"/>
      <c r="H38" s="39"/>
      <c r="I38" s="39"/>
      <c r="J38" s="39"/>
      <c r="K38" s="381"/>
      <c r="L38" s="367"/>
      <c r="M38" s="367"/>
      <c r="N38" s="367"/>
      <c r="O38" s="367"/>
      <c r="P38" s="367"/>
      <c r="Q38" s="367"/>
      <c r="R38" s="367"/>
      <c r="S38" s="367"/>
      <c r="T38" s="367"/>
      <c r="U38" s="367"/>
      <c r="V38" s="367"/>
      <c r="W38" s="367"/>
      <c r="X38" s="367"/>
    </row>
    <row r="39" spans="1:24">
      <c r="A39" s="367"/>
      <c r="K39" s="381"/>
      <c r="L39" s="367"/>
      <c r="M39" s="367"/>
      <c r="N39" s="39"/>
      <c r="O39" s="39"/>
      <c r="P39" s="39"/>
      <c r="Q39" s="367"/>
      <c r="R39" s="367"/>
      <c r="S39" s="367"/>
      <c r="T39" s="367"/>
      <c r="U39" s="367"/>
      <c r="V39" s="367"/>
      <c r="W39" s="367"/>
      <c r="X39" s="367"/>
    </row>
    <row r="40" spans="1:24">
      <c r="A40" s="367"/>
      <c r="B40" s="382"/>
      <c r="C40" s="39"/>
      <c r="D40" s="370"/>
      <c r="E40" s="367"/>
      <c r="F40" s="367"/>
      <c r="G40" s="367"/>
      <c r="H40" s="367"/>
      <c r="I40" s="367"/>
      <c r="J40" s="39"/>
      <c r="K40" s="39"/>
      <c r="L40" s="367"/>
      <c r="M40" s="367"/>
      <c r="N40" s="39"/>
      <c r="O40" s="39"/>
      <c r="P40" s="39"/>
      <c r="Q40" s="39"/>
      <c r="R40" s="367"/>
      <c r="S40" s="367"/>
      <c r="T40" s="367"/>
      <c r="U40" s="367"/>
      <c r="V40" s="367"/>
      <c r="W40" s="367"/>
      <c r="X40" s="367"/>
    </row>
    <row r="41" spans="1:24">
      <c r="A41" s="367"/>
      <c r="B41" s="39"/>
      <c r="C41" s="367"/>
      <c r="D41" s="345"/>
      <c r="E41" s="381"/>
      <c r="F41" s="367"/>
      <c r="G41" s="367"/>
      <c r="H41" s="381"/>
      <c r="I41" s="381"/>
      <c r="J41" s="39"/>
      <c r="K41" s="39"/>
      <c r="L41" s="367"/>
      <c r="M41" s="367"/>
      <c r="N41" s="39"/>
      <c r="O41" s="39"/>
      <c r="P41" s="39"/>
      <c r="Q41" s="39"/>
      <c r="R41" s="367"/>
      <c r="S41" s="367"/>
      <c r="T41" s="367"/>
      <c r="U41" s="367"/>
      <c r="V41" s="367"/>
      <c r="W41" s="367"/>
      <c r="X41" s="367"/>
    </row>
    <row r="42" spans="1:24">
      <c r="A42" s="367"/>
      <c r="B42" s="39"/>
      <c r="C42" s="39"/>
      <c r="D42" s="39"/>
      <c r="E42" s="39"/>
      <c r="F42" s="39"/>
      <c r="G42" s="39"/>
      <c r="H42" s="39"/>
      <c r="I42" s="39"/>
      <c r="J42" s="39"/>
      <c r="K42" s="39"/>
      <c r="L42" s="367"/>
      <c r="M42" s="367"/>
      <c r="N42" s="39"/>
      <c r="O42" s="39"/>
      <c r="P42" s="39"/>
      <c r="Q42" s="39"/>
      <c r="R42" s="367"/>
      <c r="S42" s="367"/>
      <c r="T42" s="367"/>
      <c r="U42" s="367"/>
      <c r="V42" s="367"/>
      <c r="W42" s="367"/>
      <c r="X42" s="367"/>
    </row>
    <row r="43" spans="1:24">
      <c r="A43" s="367"/>
      <c r="B43" s="367"/>
      <c r="C43" s="367"/>
      <c r="D43" s="345"/>
      <c r="E43" s="381"/>
      <c r="F43" s="381"/>
      <c r="G43" s="381"/>
      <c r="H43" s="381"/>
      <c r="I43" s="381"/>
      <c r="J43" s="39"/>
      <c r="K43" s="39"/>
      <c r="L43" s="367"/>
      <c r="M43" s="367"/>
      <c r="N43" s="39"/>
      <c r="O43" s="39"/>
      <c r="P43" s="39"/>
      <c r="Q43" s="39"/>
      <c r="R43" s="367"/>
      <c r="S43" s="367"/>
      <c r="T43" s="367"/>
      <c r="U43" s="367"/>
      <c r="V43" s="367"/>
      <c r="W43" s="367"/>
      <c r="X43" s="367"/>
    </row>
    <row r="44" spans="1:24">
      <c r="A44" s="367"/>
      <c r="B44" s="39"/>
      <c r="C44" s="367"/>
      <c r="D44" s="345"/>
      <c r="E44" s="381"/>
      <c r="F44" s="381"/>
      <c r="G44" s="381"/>
      <c r="H44" s="381"/>
      <c r="I44" s="381"/>
      <c r="J44" s="39"/>
      <c r="K44" s="39"/>
      <c r="L44" s="367"/>
      <c r="M44" s="367"/>
      <c r="N44" s="39"/>
      <c r="O44" s="39"/>
      <c r="P44" s="39"/>
      <c r="Q44" s="39"/>
      <c r="R44" s="39"/>
      <c r="S44" s="39"/>
      <c r="T44" s="39"/>
      <c r="U44" s="39"/>
      <c r="V44" s="39"/>
      <c r="W44" s="367"/>
      <c r="X44" s="367"/>
    </row>
    <row r="45" spans="1:24" ht="12.6" thickBot="1">
      <c r="A45" s="367"/>
      <c r="B45" s="367"/>
      <c r="C45" s="367"/>
      <c r="D45" s="367"/>
      <c r="E45" s="367"/>
      <c r="F45" s="367"/>
      <c r="G45" s="367"/>
      <c r="H45" s="367"/>
      <c r="I45" s="367"/>
      <c r="J45" s="39"/>
      <c r="K45" s="39"/>
      <c r="L45" s="367"/>
      <c r="M45" s="367"/>
      <c r="N45" s="39"/>
      <c r="O45" s="39"/>
      <c r="P45" s="39"/>
      <c r="Q45" s="39"/>
      <c r="R45" s="464" t="s">
        <v>549</v>
      </c>
      <c r="S45" s="368"/>
      <c r="T45" s="368"/>
      <c r="U45" s="368"/>
      <c r="V45" s="368"/>
      <c r="W45" s="368"/>
      <c r="X45" s="368"/>
    </row>
    <row r="46" spans="1:24" ht="12.6" thickTop="1">
      <c r="A46" s="367"/>
      <c r="B46" s="367"/>
      <c r="C46" s="367"/>
      <c r="D46" s="386"/>
      <c r="E46" s="381"/>
      <c r="F46" s="381"/>
      <c r="G46" s="381"/>
      <c r="H46" s="381"/>
      <c r="I46" s="381"/>
      <c r="J46" s="39"/>
      <c r="K46" s="39"/>
      <c r="L46" s="367"/>
      <c r="M46" s="367"/>
      <c r="N46" s="39"/>
      <c r="O46" s="39"/>
      <c r="P46" s="39"/>
      <c r="Q46" s="39"/>
      <c r="R46" s="370"/>
      <c r="S46" s="39"/>
      <c r="T46" s="39"/>
      <c r="U46" s="39"/>
      <c r="V46" s="39"/>
      <c r="W46" s="367"/>
      <c r="X46" s="508"/>
    </row>
    <row r="47" spans="1:24">
      <c r="A47" s="367"/>
      <c r="B47" s="367"/>
      <c r="C47" s="367"/>
      <c r="D47" s="376"/>
      <c r="E47" s="345"/>
      <c r="F47" s="367"/>
      <c r="G47" s="367"/>
      <c r="H47" s="381"/>
      <c r="I47" s="381"/>
      <c r="J47" s="39"/>
      <c r="K47" s="39"/>
      <c r="L47" s="367"/>
      <c r="M47" s="367"/>
      <c r="N47" s="39"/>
      <c r="O47" s="39"/>
      <c r="P47" s="39"/>
      <c r="Q47" s="39"/>
      <c r="R47" s="370" t="s">
        <v>1088</v>
      </c>
      <c r="S47" s="39"/>
      <c r="T47" s="39"/>
      <c r="U47" s="39"/>
      <c r="V47" s="39"/>
      <c r="W47" s="367"/>
      <c r="X47" s="508">
        <f>V11</f>
        <v>0.9094025404207795</v>
      </c>
    </row>
    <row r="48" spans="1:24">
      <c r="A48" s="367"/>
      <c r="B48" s="367"/>
      <c r="C48" s="367"/>
      <c r="D48" s="345"/>
      <c r="E48" s="345"/>
      <c r="F48" s="345"/>
      <c r="G48" s="345"/>
      <c r="H48" s="345"/>
      <c r="I48" s="345"/>
      <c r="J48" s="367"/>
      <c r="K48" s="367"/>
      <c r="L48" s="367"/>
      <c r="M48" s="367"/>
      <c r="N48" s="367"/>
      <c r="O48" s="367"/>
      <c r="P48" s="367"/>
      <c r="Q48" s="367"/>
      <c r="R48" s="370" t="s">
        <v>1071</v>
      </c>
      <c r="S48" s="39"/>
      <c r="T48" s="39"/>
      <c r="U48" s="39"/>
      <c r="V48" s="39"/>
      <c r="W48" s="39"/>
      <c r="X48" s="508">
        <f t="shared" ref="X48" si="2">V12</f>
        <v>0.10536382036909239</v>
      </c>
    </row>
    <row r="49" spans="1:24">
      <c r="A49" s="367"/>
      <c r="B49" s="367"/>
      <c r="C49" s="367"/>
      <c r="D49" s="345"/>
      <c r="E49" s="345"/>
      <c r="F49" s="345"/>
      <c r="G49" s="345"/>
      <c r="H49" s="345"/>
      <c r="I49" s="345"/>
      <c r="J49" s="367"/>
      <c r="K49" s="367"/>
      <c r="L49" s="367"/>
      <c r="M49" s="367"/>
      <c r="N49" s="367"/>
      <c r="O49" s="367"/>
      <c r="P49" s="367"/>
      <c r="Q49" s="367"/>
      <c r="R49" s="370" t="s">
        <v>1089</v>
      </c>
      <c r="S49" s="39"/>
      <c r="T49" s="39"/>
      <c r="U49" s="39"/>
      <c r="V49" s="39"/>
      <c r="W49" s="39"/>
      <c r="X49" s="508">
        <f>V14</f>
        <v>0.17781689776705487</v>
      </c>
    </row>
    <row r="50" spans="1:24">
      <c r="A50" s="367"/>
      <c r="B50" s="367"/>
      <c r="C50" s="367"/>
      <c r="D50" s="345"/>
      <c r="E50" s="345"/>
      <c r="F50" s="345"/>
      <c r="G50" s="345"/>
      <c r="H50" s="345"/>
      <c r="I50" s="345"/>
      <c r="J50" s="367"/>
      <c r="K50" s="367"/>
      <c r="L50" s="367"/>
      <c r="M50" s="367"/>
      <c r="N50" s="367"/>
      <c r="O50" s="367"/>
      <c r="P50" s="367"/>
      <c r="Q50" s="367"/>
      <c r="R50" s="370" t="s">
        <v>1090</v>
      </c>
      <c r="S50" s="39"/>
      <c r="T50" s="39"/>
      <c r="U50" s="39"/>
      <c r="V50" s="39"/>
      <c r="W50" s="367"/>
      <c r="X50" s="508">
        <f>V15</f>
        <v>0.43261409069253104</v>
      </c>
    </row>
    <row r="51" spans="1:24">
      <c r="A51" s="367"/>
      <c r="B51" s="367"/>
      <c r="C51" s="367"/>
      <c r="D51" s="345"/>
      <c r="E51" s="345"/>
      <c r="F51" s="345"/>
      <c r="G51" s="345"/>
      <c r="H51" s="345"/>
      <c r="I51" s="345"/>
      <c r="J51" s="367"/>
      <c r="K51" s="367"/>
      <c r="L51" s="367"/>
      <c r="M51" s="367"/>
      <c r="N51" s="367"/>
      <c r="O51" s="367"/>
      <c r="P51" s="367"/>
      <c r="Q51" s="367"/>
      <c r="R51" s="367"/>
      <c r="S51" s="367"/>
      <c r="T51" s="367"/>
      <c r="U51" s="367"/>
      <c r="V51" s="367"/>
      <c r="W51" s="367"/>
      <c r="X51" s="367"/>
    </row>
    <row r="52" spans="1:24">
      <c r="A52" s="367"/>
      <c r="B52" s="367"/>
      <c r="C52" s="367"/>
      <c r="D52" s="345"/>
      <c r="E52" s="345"/>
      <c r="F52" s="345"/>
      <c r="G52" s="345"/>
      <c r="H52" s="345"/>
      <c r="I52" s="345"/>
      <c r="J52" s="367"/>
      <c r="K52" s="367"/>
      <c r="L52" s="367"/>
      <c r="M52" s="367"/>
      <c r="N52" s="367"/>
      <c r="O52" s="367"/>
      <c r="P52" s="367"/>
      <c r="Q52" s="367"/>
      <c r="R52" s="367"/>
      <c r="S52" s="367"/>
      <c r="T52" s="367"/>
      <c r="U52" s="367"/>
      <c r="V52" s="367"/>
      <c r="W52" s="367"/>
      <c r="X52" s="367"/>
    </row>
    <row r="53" spans="1:24">
      <c r="A53" s="367"/>
      <c r="B53" s="367"/>
      <c r="C53" s="367"/>
      <c r="D53" s="345"/>
      <c r="E53" s="345"/>
      <c r="F53" s="345"/>
      <c r="G53" s="345"/>
      <c r="H53" s="345"/>
      <c r="I53" s="345"/>
      <c r="J53" s="367"/>
      <c r="K53" s="367"/>
      <c r="L53" s="367"/>
      <c r="M53" s="367"/>
      <c r="N53" s="367"/>
      <c r="O53" s="367"/>
      <c r="P53" s="367"/>
      <c r="Q53" s="367"/>
      <c r="R53" s="367"/>
      <c r="S53" s="367"/>
      <c r="T53" s="367"/>
      <c r="U53" s="367"/>
      <c r="V53" s="367"/>
      <c r="W53" s="367"/>
      <c r="X53" s="367"/>
    </row>
    <row r="54" spans="1:24">
      <c r="A54" s="367"/>
      <c r="B54" s="367"/>
      <c r="C54" s="367"/>
      <c r="D54" s="345"/>
      <c r="E54" s="381"/>
      <c r="F54" s="381"/>
      <c r="G54" s="381"/>
      <c r="H54" s="381"/>
      <c r="I54" s="381"/>
      <c r="J54" s="367"/>
      <c r="K54" s="367"/>
      <c r="L54" s="367"/>
      <c r="M54" s="367"/>
      <c r="N54" s="367"/>
      <c r="O54" s="367"/>
      <c r="P54" s="367"/>
      <c r="Q54" s="367"/>
      <c r="R54" s="367"/>
      <c r="S54" s="367"/>
      <c r="T54" s="367"/>
      <c r="U54" s="367"/>
      <c r="V54" s="367"/>
      <c r="W54" s="367"/>
      <c r="X54" s="367"/>
    </row>
    <row r="55" spans="1:24">
      <c r="A55" s="367"/>
      <c r="B55" s="367"/>
      <c r="C55" s="367"/>
      <c r="D55" s="345"/>
      <c r="E55" s="381"/>
      <c r="F55" s="381"/>
      <c r="G55" s="381"/>
      <c r="H55" s="381"/>
      <c r="I55" s="381"/>
      <c r="J55" s="367"/>
      <c r="K55" s="367"/>
      <c r="L55" s="367"/>
      <c r="M55" s="367"/>
      <c r="N55" s="367"/>
      <c r="O55" s="367"/>
      <c r="P55" s="367"/>
      <c r="Q55" s="367"/>
      <c r="R55" s="367"/>
      <c r="S55" s="367"/>
      <c r="T55" s="367"/>
      <c r="U55" s="367"/>
      <c r="V55" s="367"/>
      <c r="W55" s="367"/>
      <c r="X55" s="367"/>
    </row>
    <row r="56" spans="1:24">
      <c r="A56" s="367"/>
      <c r="B56" s="367"/>
      <c r="C56" s="367"/>
      <c r="D56" s="345"/>
      <c r="E56" s="345"/>
      <c r="F56" s="345"/>
      <c r="G56" s="345"/>
      <c r="H56" s="345"/>
      <c r="I56" s="345"/>
      <c r="J56" s="367"/>
      <c r="K56" s="367"/>
      <c r="L56" s="367"/>
      <c r="M56" s="367"/>
      <c r="N56" s="367"/>
      <c r="O56" s="367"/>
      <c r="P56" s="367"/>
      <c r="Q56" s="367"/>
      <c r="R56" s="367"/>
      <c r="S56" s="367"/>
      <c r="T56" s="367"/>
      <c r="U56" s="367"/>
      <c r="V56" s="367"/>
      <c r="W56" s="367"/>
      <c r="X56" s="367"/>
    </row>
    <row r="57" spans="1:24">
      <c r="A57" s="367"/>
      <c r="B57" s="367"/>
      <c r="C57" s="367"/>
      <c r="D57" s="345"/>
      <c r="E57" s="345"/>
      <c r="F57" s="345"/>
      <c r="G57" s="345"/>
      <c r="H57" s="345"/>
      <c r="I57" s="345"/>
      <c r="J57" s="367"/>
      <c r="K57" s="367"/>
      <c r="L57" s="367"/>
      <c r="M57" s="367"/>
      <c r="N57" s="367"/>
      <c r="O57" s="367"/>
      <c r="P57" s="367"/>
      <c r="Q57" s="367"/>
      <c r="R57" s="367"/>
      <c r="S57" s="367"/>
      <c r="T57" s="367"/>
      <c r="U57" s="367"/>
      <c r="V57" s="367"/>
      <c r="W57" s="367"/>
      <c r="X57" s="367"/>
    </row>
    <row r="58" spans="1:24">
      <c r="A58" s="367"/>
      <c r="B58" s="367"/>
      <c r="C58" s="367"/>
      <c r="D58" s="345"/>
      <c r="E58" s="381"/>
      <c r="F58" s="381"/>
      <c r="G58" s="381"/>
      <c r="H58" s="381"/>
      <c r="I58" s="381"/>
      <c r="J58" s="367"/>
      <c r="K58" s="367"/>
      <c r="L58" s="367"/>
      <c r="M58" s="367"/>
      <c r="N58" s="367"/>
      <c r="O58" s="367"/>
      <c r="P58" s="367"/>
      <c r="Q58" s="367"/>
      <c r="R58" s="367"/>
      <c r="S58" s="367"/>
      <c r="T58" s="367"/>
      <c r="U58" s="367"/>
      <c r="V58" s="367"/>
      <c r="W58" s="367"/>
      <c r="X58" s="367"/>
    </row>
    <row r="59" spans="1:24">
      <c r="A59" s="367"/>
      <c r="B59" s="367"/>
      <c r="C59" s="367"/>
      <c r="D59" s="345"/>
      <c r="E59" s="381"/>
      <c r="F59" s="381"/>
      <c r="G59" s="381"/>
      <c r="H59" s="381"/>
      <c r="I59" s="381"/>
      <c r="J59" s="367"/>
      <c r="K59" s="367"/>
      <c r="L59" s="367"/>
      <c r="M59" s="367"/>
      <c r="N59" s="367"/>
      <c r="O59" s="367"/>
      <c r="P59" s="367"/>
      <c r="Q59" s="367"/>
      <c r="R59" s="422"/>
      <c r="S59" s="367"/>
      <c r="T59" s="367"/>
      <c r="U59" s="367"/>
      <c r="V59" s="367"/>
      <c r="W59" s="367"/>
      <c r="X59" s="367"/>
    </row>
    <row r="60" spans="1:24">
      <c r="A60" s="367"/>
      <c r="B60" s="367"/>
      <c r="C60" s="367"/>
      <c r="D60" s="370"/>
      <c r="E60" s="381"/>
      <c r="F60" s="381"/>
      <c r="G60" s="381"/>
      <c r="H60" s="381"/>
      <c r="I60" s="381"/>
      <c r="J60" s="367"/>
      <c r="K60" s="367"/>
      <c r="L60" s="367"/>
      <c r="M60" s="367"/>
      <c r="N60" s="367"/>
      <c r="O60" s="367"/>
      <c r="P60" s="367"/>
      <c r="Q60" s="422"/>
      <c r="R60" s="423"/>
      <c r="S60" s="367"/>
      <c r="T60" s="367"/>
      <c r="U60" s="367"/>
      <c r="V60" s="367"/>
      <c r="W60" s="367"/>
      <c r="X60" s="367"/>
    </row>
    <row r="61" spans="1:24">
      <c r="A61" s="367"/>
      <c r="B61" s="367"/>
      <c r="C61" s="367"/>
      <c r="D61" s="370"/>
      <c r="E61" s="381"/>
      <c r="F61" s="381"/>
      <c r="G61" s="381"/>
      <c r="H61" s="381"/>
      <c r="I61" s="381"/>
      <c r="J61" s="367"/>
      <c r="K61" s="367"/>
      <c r="L61" s="367"/>
      <c r="M61" s="422"/>
      <c r="N61" s="367"/>
      <c r="O61" s="367"/>
      <c r="P61" s="367"/>
      <c r="Q61" s="423"/>
      <c r="R61" s="367"/>
      <c r="S61" s="367"/>
      <c r="T61" s="367"/>
      <c r="U61" s="367"/>
      <c r="V61" s="367"/>
      <c r="W61" s="367"/>
      <c r="X61" s="367"/>
    </row>
    <row r="62" spans="1:24">
      <c r="A62" s="367"/>
      <c r="B62" s="367"/>
      <c r="C62" s="367"/>
      <c r="D62" s="370"/>
      <c r="E62" s="367"/>
      <c r="F62" s="367"/>
      <c r="G62" s="367"/>
      <c r="H62" s="367"/>
      <c r="I62" s="367"/>
      <c r="J62" s="367"/>
      <c r="K62" s="367"/>
      <c r="L62" s="422"/>
      <c r="M62" s="367"/>
      <c r="N62" s="422"/>
      <c r="O62" s="422"/>
      <c r="P62" s="422"/>
      <c r="Q62" s="367"/>
      <c r="R62" s="367"/>
      <c r="S62" s="367"/>
      <c r="T62" s="367"/>
      <c r="U62" s="367"/>
      <c r="V62" s="367"/>
      <c r="W62" s="367"/>
      <c r="X62" s="367"/>
    </row>
    <row r="63" spans="1:24">
      <c r="B63" s="367"/>
      <c r="C63" s="367"/>
      <c r="D63" s="345"/>
      <c r="E63" s="381"/>
      <c r="F63" s="381"/>
      <c r="G63" s="381"/>
      <c r="H63" s="381"/>
      <c r="I63" s="381"/>
      <c r="J63" s="367"/>
      <c r="K63" s="367"/>
      <c r="L63" s="367"/>
      <c r="M63" s="367"/>
      <c r="N63" s="423"/>
      <c r="O63" s="423"/>
      <c r="P63" s="423"/>
      <c r="Q63" s="367"/>
    </row>
    <row r="64" spans="1:24">
      <c r="B64" s="367"/>
    </row>
    <row r="65" spans="2:2">
      <c r="B65" s="367"/>
    </row>
  </sheetData>
  <pageMargins left="0.7" right="0.7" top="0.75" bottom="0.75" header="0.3" footer="0.3"/>
  <pageSetup paperSize="9" scale="73" orientation="landscape" r:id="rId1"/>
  <drawing r:id="rId2"/>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A00-000000000000}">
  <sheetPr codeName="Sheet52">
    <pageSetUpPr fitToPage="1"/>
  </sheetPr>
  <dimension ref="A1:X449"/>
  <sheetViews>
    <sheetView showGridLines="0" zoomScale="80" zoomScaleNormal="80" workbookViewId="0"/>
  </sheetViews>
  <sheetFormatPr defaultColWidth="9.109375" defaultRowHeight="12"/>
  <cols>
    <col min="1" max="1" width="2.33203125" style="367" customWidth="1"/>
    <col min="2" max="6" width="10" style="367" customWidth="1"/>
    <col min="7" max="7" width="2.33203125" style="367" customWidth="1"/>
    <col min="8" max="8" width="10" style="367" customWidth="1"/>
    <col min="9" max="9" width="2.109375" style="367" customWidth="1"/>
    <col min="10" max="10" width="10" style="367" customWidth="1"/>
    <col min="11" max="11" width="2.109375" style="367" customWidth="1"/>
    <col min="12" max="12" width="10" style="367" customWidth="1"/>
    <col min="13" max="13" width="2.109375" style="367" customWidth="1"/>
    <col min="14" max="14" width="10" style="367" customWidth="1"/>
    <col min="15" max="15" width="2.109375" style="367" customWidth="1"/>
    <col min="16" max="16" width="10" style="367" customWidth="1"/>
    <col min="17" max="17" width="2.109375" style="367" customWidth="1"/>
    <col min="18" max="18" width="10" style="367" customWidth="1"/>
    <col min="19" max="19" width="2.109375" style="367" customWidth="1"/>
    <col min="20" max="20" width="9.88671875" style="367" customWidth="1"/>
    <col min="21" max="21" width="2.109375" style="367" customWidth="1"/>
    <col min="22" max="22" width="10" style="367" customWidth="1"/>
    <col min="23" max="23" width="2.109375" style="367" customWidth="1"/>
    <col min="24" max="24" width="10" style="367" customWidth="1"/>
    <col min="25" max="16384" width="9.109375" style="367"/>
  </cols>
  <sheetData>
    <row r="1" spans="2:24" s="472" customFormat="1">
      <c r="E1" s="150"/>
    </row>
    <row r="2" spans="2:24" s="472" customFormat="1">
      <c r="E2" s="150"/>
    </row>
    <row r="3" spans="2:24" s="472" customFormat="1"/>
    <row r="4" spans="2:24" s="477" customFormat="1" ht="21">
      <c r="B4" s="129" t="s">
        <v>1475</v>
      </c>
      <c r="C4" s="129"/>
    </row>
    <row r="5" spans="2:24" s="472" customFormat="1">
      <c r="D5" s="132"/>
      <c r="E5" s="132"/>
      <c r="F5" s="132"/>
      <c r="G5" s="132"/>
      <c r="H5" s="132"/>
      <c r="I5" s="132"/>
      <c r="L5" s="473"/>
      <c r="M5" s="473"/>
      <c r="N5" s="473"/>
      <c r="O5" s="473"/>
      <c r="P5" s="473"/>
      <c r="Q5" s="473"/>
      <c r="R5" s="473"/>
      <c r="S5" s="473"/>
      <c r="T5" s="473"/>
      <c r="U5" s="473"/>
      <c r="V5" s="473"/>
      <c r="W5" s="473"/>
      <c r="X5" s="473"/>
    </row>
    <row r="6" spans="2:24">
      <c r="B6" s="456"/>
      <c r="C6" s="456"/>
      <c r="D6" s="456"/>
      <c r="E6" s="456"/>
      <c r="F6" s="456"/>
      <c r="G6" s="456"/>
      <c r="H6" s="456"/>
      <c r="I6" s="456"/>
      <c r="L6" s="440"/>
      <c r="M6" s="440"/>
      <c r="N6" s="440"/>
      <c r="O6" s="440"/>
      <c r="P6" s="440"/>
      <c r="Q6" s="440"/>
      <c r="R6" s="440"/>
      <c r="S6" s="440"/>
      <c r="T6" s="440"/>
      <c r="U6" s="440"/>
      <c r="V6" s="440"/>
      <c r="W6" s="440"/>
      <c r="X6" s="440"/>
    </row>
    <row r="7" spans="2:24" ht="12.6" thickBot="1">
      <c r="B7" s="306" t="s">
        <v>447</v>
      </c>
      <c r="C7" s="306"/>
      <c r="D7" s="368"/>
      <c r="E7" s="457"/>
      <c r="F7" s="457"/>
      <c r="G7" s="457"/>
      <c r="H7" s="457"/>
      <c r="I7" s="457"/>
      <c r="J7" s="368"/>
      <c r="K7" s="368"/>
      <c r="L7" s="368"/>
      <c r="M7" s="368"/>
      <c r="N7" s="368"/>
      <c r="O7" s="368"/>
      <c r="P7" s="368"/>
      <c r="Q7" s="368"/>
      <c r="R7" s="368"/>
      <c r="S7" s="368"/>
      <c r="T7" s="368"/>
      <c r="U7" s="368"/>
      <c r="V7" s="368"/>
      <c r="W7" s="368"/>
      <c r="X7" s="368"/>
    </row>
    <row r="8" spans="2:24" ht="12.6" thickTop="1">
      <c r="B8" s="345"/>
      <c r="C8" s="345"/>
      <c r="E8" s="345"/>
      <c r="F8" s="345"/>
      <c r="G8" s="345"/>
      <c r="H8" s="345"/>
      <c r="I8" s="345"/>
    </row>
    <row r="9" spans="2:24">
      <c r="D9" s="345"/>
      <c r="E9" s="382" t="s">
        <v>81</v>
      </c>
      <c r="F9" s="458" t="s">
        <v>82</v>
      </c>
      <c r="G9" s="458"/>
      <c r="H9" s="458" t="s">
        <v>83</v>
      </c>
      <c r="I9" s="458"/>
      <c r="J9" s="458" t="s">
        <v>84</v>
      </c>
      <c r="K9" s="458"/>
      <c r="L9" s="458" t="s">
        <v>85</v>
      </c>
      <c r="M9" s="458"/>
      <c r="N9" s="459" t="s">
        <v>128</v>
      </c>
      <c r="O9" s="459"/>
      <c r="P9" s="458" t="s">
        <v>129</v>
      </c>
      <c r="Q9" s="458"/>
      <c r="R9" s="458" t="s">
        <v>452</v>
      </c>
      <c r="S9" s="458"/>
      <c r="T9" s="458" t="s">
        <v>130</v>
      </c>
      <c r="U9" s="458"/>
      <c r="V9" s="458" t="s">
        <v>131</v>
      </c>
      <c r="W9" s="458"/>
      <c r="X9" s="458" t="s">
        <v>132</v>
      </c>
    </row>
    <row r="10" spans="2:24">
      <c r="B10" s="345"/>
      <c r="C10" s="345"/>
      <c r="E10" s="382"/>
      <c r="F10" s="458"/>
      <c r="G10" s="458"/>
      <c r="H10" s="458"/>
      <c r="I10" s="458"/>
      <c r="J10" s="458"/>
      <c r="K10" s="458"/>
      <c r="L10" s="458"/>
      <c r="M10" s="458"/>
      <c r="N10" s="459"/>
      <c r="O10" s="459"/>
      <c r="P10" s="458"/>
      <c r="Q10" s="458"/>
      <c r="R10" s="458"/>
      <c r="S10" s="458"/>
      <c r="T10" s="458"/>
      <c r="U10" s="458"/>
      <c r="V10" s="458"/>
      <c r="W10" s="458"/>
      <c r="X10" s="458"/>
    </row>
    <row r="11" spans="2:24">
      <c r="B11" s="370" t="s">
        <v>449</v>
      </c>
      <c r="C11" s="370"/>
      <c r="E11" s="367" t="str">
        <f>"DCF, "&amp;TEXT(H11,"0.0")&amp;"x 19/20E EBITDA"</f>
        <v>DCF, 7.6x 19/20E EBITDA</v>
      </c>
      <c r="F11" s="484">
        <v>5106.8971781845148</v>
      </c>
      <c r="G11" s="178" t="s">
        <v>134</v>
      </c>
      <c r="H11" s="373">
        <f>J11/F11</f>
        <v>7.5745524710382046</v>
      </c>
      <c r="I11" s="178" t="s">
        <v>135</v>
      </c>
      <c r="J11" s="484">
        <v>38682.460640355552</v>
      </c>
      <c r="K11" s="178" t="s">
        <v>136</v>
      </c>
      <c r="L11" s="484"/>
      <c r="M11" s="178" t="s">
        <v>135</v>
      </c>
      <c r="N11" s="216">
        <f t="shared" ref="N11:N20" si="0">J11-L11</f>
        <v>38682.460640355552</v>
      </c>
      <c r="O11" s="178" t="s">
        <v>134</v>
      </c>
      <c r="P11" s="490">
        <v>1</v>
      </c>
      <c r="Q11" s="393" t="s">
        <v>135</v>
      </c>
      <c r="R11" s="216">
        <f t="shared" ref="R11:R19" si="1">P11*N11</f>
        <v>38682.460640355552</v>
      </c>
      <c r="S11" s="216"/>
      <c r="T11" s="484">
        <v>545.9</v>
      </c>
      <c r="U11" s="216"/>
      <c r="V11" s="394">
        <f t="shared" ref="V11:V16" si="2">N11/$J$34</f>
        <v>0.95678716880620573</v>
      </c>
      <c r="W11" s="370"/>
      <c r="X11" s="373">
        <f t="shared" ref="X11:X16" si="3">$J$39*V11</f>
        <v>157.69384007015753</v>
      </c>
    </row>
    <row r="12" spans="2:24">
      <c r="B12" s="370" t="s">
        <v>450</v>
      </c>
      <c r="C12" s="370"/>
      <c r="E12" s="367" t="str">
        <f t="shared" ref="E12:E15" si="4">"DCF, "&amp;TEXT(H12,"0.0")&amp;"x 19/20E EBITDA"</f>
        <v>DCF, 8.5x 19/20E EBITDA</v>
      </c>
      <c r="F12" s="484">
        <v>1372.0325631766086</v>
      </c>
      <c r="G12" s="178" t="s">
        <v>134</v>
      </c>
      <c r="H12" s="373">
        <f t="shared" ref="H12:H15" si="5">J12/F12</f>
        <v>8.4774034329420509</v>
      </c>
      <c r="I12" s="178" t="s">
        <v>135</v>
      </c>
      <c r="J12" s="484">
        <v>11631.273561181664</v>
      </c>
      <c r="K12" s="178" t="s">
        <v>136</v>
      </c>
      <c r="L12" s="484"/>
      <c r="M12" s="178" t="s">
        <v>135</v>
      </c>
      <c r="N12" s="216">
        <f t="shared" si="0"/>
        <v>11631.273561181664</v>
      </c>
      <c r="O12" s="178" t="s">
        <v>134</v>
      </c>
      <c r="P12" s="490">
        <v>1</v>
      </c>
      <c r="Q12" s="393" t="s">
        <v>135</v>
      </c>
      <c r="R12" s="216">
        <f t="shared" si="1"/>
        <v>11631.273561181664</v>
      </c>
      <c r="S12" s="216"/>
      <c r="T12" s="216">
        <f t="shared" ref="T12:T20" si="6">N12-R12</f>
        <v>0</v>
      </c>
      <c r="U12" s="216"/>
      <c r="V12" s="394">
        <f t="shared" si="2"/>
        <v>0.28769248687875582</v>
      </c>
      <c r="W12" s="370"/>
      <c r="X12" s="373">
        <f t="shared" si="3"/>
        <v>47.416326738421624</v>
      </c>
    </row>
    <row r="13" spans="2:24">
      <c r="B13" s="370" t="s">
        <v>448</v>
      </c>
      <c r="C13" s="370"/>
      <c r="E13" s="367" t="str">
        <f t="shared" si="4"/>
        <v>DCF, 8.5x 19/20E EBITDA</v>
      </c>
      <c r="F13" s="484">
        <v>1403.6532201014261</v>
      </c>
      <c r="G13" s="178" t="s">
        <v>134</v>
      </c>
      <c r="H13" s="373">
        <f t="shared" si="5"/>
        <v>8.4555348240555226</v>
      </c>
      <c r="I13" s="178" t="s">
        <v>135</v>
      </c>
      <c r="J13" s="484">
        <v>11868.638683465279</v>
      </c>
      <c r="K13" s="178" t="s">
        <v>136</v>
      </c>
      <c r="L13" s="484"/>
      <c r="M13" s="178" t="s">
        <v>135</v>
      </c>
      <c r="N13" s="216">
        <f t="shared" si="0"/>
        <v>11868.638683465279</v>
      </c>
      <c r="O13" s="178" t="s">
        <v>134</v>
      </c>
      <c r="P13" s="490">
        <v>1</v>
      </c>
      <c r="Q13" s="393" t="s">
        <v>135</v>
      </c>
      <c r="R13" s="216">
        <f t="shared" si="1"/>
        <v>11868.638683465279</v>
      </c>
      <c r="S13" s="216"/>
      <c r="T13" s="216">
        <f t="shared" si="6"/>
        <v>0</v>
      </c>
      <c r="U13" s="216"/>
      <c r="V13" s="394">
        <f t="shared" si="2"/>
        <v>0.29356356900650826</v>
      </c>
      <c r="W13" s="370"/>
      <c r="X13" s="373">
        <f t="shared" si="3"/>
        <v>48.383975047551573</v>
      </c>
    </row>
    <row r="14" spans="2:24">
      <c r="B14" s="370" t="s">
        <v>451</v>
      </c>
      <c r="C14" s="370"/>
      <c r="E14" s="367" t="str">
        <f t="shared" si="4"/>
        <v>DCF, 7.5x 19/20E EBITDA</v>
      </c>
      <c r="F14" s="484">
        <v>912.09355909444423</v>
      </c>
      <c r="G14" s="178" t="s">
        <v>134</v>
      </c>
      <c r="H14" s="373">
        <f t="shared" si="5"/>
        <v>7.4648571737302367</v>
      </c>
      <c r="I14" s="178" t="s">
        <v>135</v>
      </c>
      <c r="J14" s="484">
        <v>6808.6481477193056</v>
      </c>
      <c r="K14" s="178" t="s">
        <v>136</v>
      </c>
      <c r="L14" s="484"/>
      <c r="M14" s="178" t="s">
        <v>135</v>
      </c>
      <c r="N14" s="216">
        <f>J14-L14</f>
        <v>6808.6481477193056</v>
      </c>
      <c r="O14" s="178" t="s">
        <v>134</v>
      </c>
      <c r="P14" s="490">
        <v>1</v>
      </c>
      <c r="Q14" s="393" t="s">
        <v>135</v>
      </c>
      <c r="R14" s="216">
        <f>P14*N14</f>
        <v>6808.6481477193056</v>
      </c>
      <c r="S14" s="216"/>
      <c r="T14" s="216">
        <f>N14-R14</f>
        <v>0</v>
      </c>
      <c r="U14" s="216"/>
      <c r="V14" s="394">
        <f t="shared" si="2"/>
        <v>0.16840777646543462</v>
      </c>
      <c r="W14" s="370"/>
      <c r="X14" s="373">
        <f t="shared" si="3"/>
        <v>27.756297151900977</v>
      </c>
    </row>
    <row r="15" spans="2:24">
      <c r="B15" s="370" t="s">
        <v>55</v>
      </c>
      <c r="C15" s="370"/>
      <c r="E15" s="367" t="str">
        <f t="shared" si="4"/>
        <v>DCF, 6.6x 19/20E EBITDA</v>
      </c>
      <c r="F15" s="506">
        <v>1532.0161011857085</v>
      </c>
      <c r="G15" s="178" t="s">
        <v>134</v>
      </c>
      <c r="H15" s="373">
        <f t="shared" si="5"/>
        <v>6.6327144667206053</v>
      </c>
      <c r="I15" s="178" t="s">
        <v>135</v>
      </c>
      <c r="J15" s="498">
        <v>10161.425357583348</v>
      </c>
      <c r="K15" s="178" t="s">
        <v>136</v>
      </c>
      <c r="L15" s="484"/>
      <c r="M15" s="178" t="s">
        <v>135</v>
      </c>
      <c r="N15" s="385">
        <f t="shared" si="0"/>
        <v>10161.425357583348</v>
      </c>
      <c r="O15" s="178" t="s">
        <v>134</v>
      </c>
      <c r="P15" s="490">
        <v>1</v>
      </c>
      <c r="Q15" s="393" t="s">
        <v>135</v>
      </c>
      <c r="R15" s="385">
        <f t="shared" si="1"/>
        <v>10161.425357583348</v>
      </c>
      <c r="S15" s="216"/>
      <c r="T15" s="385">
        <f t="shared" si="6"/>
        <v>0</v>
      </c>
      <c r="U15" s="216"/>
      <c r="V15" s="395">
        <f t="shared" si="2"/>
        <v>0.25133668432599471</v>
      </c>
      <c r="W15" s="370"/>
      <c r="X15" s="396">
        <f t="shared" si="3"/>
        <v>41.424308554763734</v>
      </c>
    </row>
    <row r="16" spans="2:24">
      <c r="B16" s="345" t="s">
        <v>1085</v>
      </c>
      <c r="C16" s="345"/>
      <c r="I16" s="196"/>
      <c r="J16" s="210">
        <f>SUM(J11:J15)</f>
        <v>79152.446390305136</v>
      </c>
      <c r="K16" s="196"/>
      <c r="L16" s="210"/>
      <c r="M16" s="196"/>
      <c r="N16" s="210">
        <f>SUM(N11:N15)</f>
        <v>79152.446390305136</v>
      </c>
      <c r="O16" s="196"/>
      <c r="P16" s="211"/>
      <c r="Q16" s="369"/>
      <c r="R16" s="210">
        <f>SUM(R11:R15)</f>
        <v>79152.446390305136</v>
      </c>
      <c r="S16" s="210"/>
      <c r="T16" s="210">
        <f>SUM(T11:T15)</f>
        <v>545.9</v>
      </c>
      <c r="U16" s="210"/>
      <c r="V16" s="387">
        <f t="shared" si="2"/>
        <v>1.9577876854828988</v>
      </c>
      <c r="W16" s="370"/>
      <c r="X16" s="372">
        <f t="shared" si="3"/>
        <v>322.6747475627954</v>
      </c>
    </row>
    <row r="17" spans="1:24">
      <c r="B17" s="345"/>
      <c r="C17" s="345"/>
      <c r="I17" s="196"/>
      <c r="J17" s="210"/>
      <c r="K17" s="196"/>
      <c r="L17" s="210"/>
      <c r="M17" s="196"/>
      <c r="N17" s="210"/>
      <c r="O17" s="196"/>
      <c r="P17" s="211"/>
      <c r="Q17" s="369"/>
      <c r="R17" s="210"/>
      <c r="S17" s="210"/>
      <c r="T17" s="210"/>
      <c r="U17" s="210"/>
      <c r="V17" s="387"/>
      <c r="W17" s="370"/>
      <c r="X17" s="372"/>
    </row>
    <row r="18" spans="1:24">
      <c r="B18" s="370" t="s">
        <v>381</v>
      </c>
      <c r="C18" s="370"/>
      <c r="E18" s="367" t="s">
        <v>968</v>
      </c>
      <c r="F18" s="484">
        <v>2078</v>
      </c>
      <c r="G18" s="178" t="s">
        <v>134</v>
      </c>
      <c r="H18" s="507">
        <v>150</v>
      </c>
      <c r="I18" s="178"/>
      <c r="J18" s="484">
        <v>17784.844823515305</v>
      </c>
      <c r="K18" s="178" t="s">
        <v>136</v>
      </c>
      <c r="L18" s="484">
        <v>1614.7619047619048</v>
      </c>
      <c r="M18" s="178" t="s">
        <v>135</v>
      </c>
      <c r="N18" s="216">
        <f>J18-L18</f>
        <v>16170.0829187534</v>
      </c>
      <c r="O18" s="178" t="s">
        <v>134</v>
      </c>
      <c r="P18" s="490">
        <v>0.65099999999999991</v>
      </c>
      <c r="Q18" s="393" t="s">
        <v>135</v>
      </c>
      <c r="R18" s="216">
        <f>P18*N18</f>
        <v>10526.723980108462</v>
      </c>
      <c r="S18" s="216"/>
      <c r="T18" s="216">
        <f t="shared" si="6"/>
        <v>5643.3589386449385</v>
      </c>
      <c r="U18" s="216"/>
      <c r="V18" s="394">
        <f>N18/$J$34</f>
        <v>0.39995717953513948</v>
      </c>
      <c r="W18" s="370"/>
      <c r="X18" s="373">
        <f>$J$39*V18</f>
        <v>65.91934503388012</v>
      </c>
    </row>
    <row r="19" spans="1:24">
      <c r="B19" s="370" t="s">
        <v>1550</v>
      </c>
      <c r="C19" s="370"/>
      <c r="E19" s="367" t="str">
        <f t="shared" ref="E19:E20" si="7">"DCF, "&amp;TEXT(H19,"0.0")&amp;"x 19/20E EBITDA"</f>
        <v>DCF, 3.2x 19/20E EBITDA</v>
      </c>
      <c r="F19" s="484">
        <v>393.3057190479214</v>
      </c>
      <c r="G19" s="178" t="s">
        <v>134</v>
      </c>
      <c r="H19" s="487">
        <v>3.2430373825484677</v>
      </c>
      <c r="I19" s="178" t="s">
        <v>135</v>
      </c>
      <c r="J19" s="216">
        <f t="shared" ref="J19:J20" si="8">H19*F19</f>
        <v>1275.505149642514</v>
      </c>
      <c r="K19" s="178" t="s">
        <v>136</v>
      </c>
      <c r="L19" s="484"/>
      <c r="M19" s="178" t="s">
        <v>135</v>
      </c>
      <c r="N19" s="216">
        <f t="shared" si="0"/>
        <v>1275.505149642514</v>
      </c>
      <c r="O19" s="178" t="s">
        <v>134</v>
      </c>
      <c r="P19" s="490">
        <v>1</v>
      </c>
      <c r="Q19" s="393" t="s">
        <v>135</v>
      </c>
      <c r="R19" s="216">
        <f t="shared" si="1"/>
        <v>1275.505149642514</v>
      </c>
      <c r="S19" s="216"/>
      <c r="T19" s="216">
        <f t="shared" si="6"/>
        <v>0</v>
      </c>
      <c r="U19" s="216"/>
      <c r="V19" s="394">
        <f>N19/$J$34</f>
        <v>3.154884515415303E-2</v>
      </c>
      <c r="W19" s="370"/>
      <c r="X19" s="373">
        <f>$J$39*V19</f>
        <v>5.1997546626222109</v>
      </c>
    </row>
    <row r="20" spans="1:24">
      <c r="B20" s="370" t="s">
        <v>1551</v>
      </c>
      <c r="C20" s="370"/>
      <c r="E20" s="367" t="str">
        <f t="shared" si="7"/>
        <v>DCF, 12.6x 19/20E EBITDA</v>
      </c>
      <c r="F20" s="484">
        <v>-950</v>
      </c>
      <c r="G20" s="178" t="s">
        <v>134</v>
      </c>
      <c r="H20" s="487">
        <v>12.558724719689879</v>
      </c>
      <c r="I20" s="178" t="s">
        <v>135</v>
      </c>
      <c r="J20" s="216">
        <f t="shared" si="8"/>
        <v>-11930.788483705384</v>
      </c>
      <c r="K20" s="178" t="s">
        <v>136</v>
      </c>
      <c r="L20" s="484"/>
      <c r="M20" s="178" t="s">
        <v>135</v>
      </c>
      <c r="N20" s="216">
        <f t="shared" si="0"/>
        <v>-11930.788483705384</v>
      </c>
      <c r="O20" s="178" t="s">
        <v>134</v>
      </c>
      <c r="P20" s="490">
        <v>1</v>
      </c>
      <c r="Q20" s="393" t="s">
        <v>135</v>
      </c>
      <c r="R20" s="216">
        <f>P20*N20</f>
        <v>-11930.788483705384</v>
      </c>
      <c r="S20" s="216"/>
      <c r="T20" s="216">
        <f t="shared" si="6"/>
        <v>0</v>
      </c>
      <c r="U20" s="216"/>
      <c r="V20" s="394">
        <f>N20/$J$34</f>
        <v>-0.29510080656661231</v>
      </c>
      <c r="W20" s="370"/>
      <c r="X20" s="373">
        <f>$J$39*V20</f>
        <v>-48.637336402987962</v>
      </c>
    </row>
    <row r="21" spans="1:24">
      <c r="A21" s="345"/>
      <c r="B21" s="345" t="s">
        <v>1086</v>
      </c>
      <c r="C21" s="345"/>
      <c r="I21" s="196"/>
      <c r="J21" s="398">
        <f>SUM(J18:J20)</f>
        <v>7129.5614894524351</v>
      </c>
      <c r="K21" s="196"/>
      <c r="L21" s="210"/>
      <c r="M21" s="196"/>
      <c r="N21" s="398">
        <f>SUM(N18:N20)</f>
        <v>5514.7995846905305</v>
      </c>
      <c r="O21" s="196"/>
      <c r="P21" s="211"/>
      <c r="Q21" s="369"/>
      <c r="R21" s="398">
        <f>SUM(R18:R20)</f>
        <v>-128.55935395440792</v>
      </c>
      <c r="S21" s="210"/>
      <c r="T21" s="398">
        <f>SUM(T18:T20)</f>
        <v>5643.3589386449385</v>
      </c>
      <c r="U21" s="210"/>
      <c r="V21" s="387">
        <f>N21/$J$34</f>
        <v>0.13640521812268022</v>
      </c>
      <c r="W21" s="370"/>
      <c r="X21" s="372">
        <f>$J$39*V21</f>
        <v>22.481763293514366</v>
      </c>
    </row>
    <row r="22" spans="1:24">
      <c r="A22" s="345"/>
      <c r="B22" s="345"/>
      <c r="C22" s="345"/>
      <c r="I22" s="196"/>
      <c r="J22" s="210"/>
      <c r="K22" s="196"/>
      <c r="L22" s="210"/>
      <c r="M22" s="196"/>
      <c r="N22" s="210"/>
      <c r="O22" s="196"/>
      <c r="P22" s="211"/>
      <c r="Q22" s="369"/>
      <c r="R22" s="210"/>
      <c r="S22" s="210"/>
      <c r="T22" s="210"/>
      <c r="U22" s="210"/>
      <c r="V22" s="371"/>
      <c r="W22" s="370"/>
      <c r="X22" s="372"/>
    </row>
    <row r="23" spans="1:24">
      <c r="B23" s="345" t="s">
        <v>138</v>
      </c>
      <c r="C23" s="370"/>
      <c r="F23" s="210"/>
      <c r="G23" s="196"/>
      <c r="H23" s="372"/>
      <c r="I23" s="376"/>
      <c r="J23" s="398">
        <f>SUM(J16,J21)</f>
        <v>86282.00787975757</v>
      </c>
      <c r="K23" s="196"/>
      <c r="L23" s="210"/>
      <c r="M23" s="196"/>
      <c r="N23" s="398">
        <f>SUM(N16,N21)</f>
        <v>84667.245974995662</v>
      </c>
      <c r="O23" s="196"/>
      <c r="P23" s="211"/>
      <c r="Q23" s="369"/>
      <c r="R23" s="398">
        <f>SUM(R16,R21)</f>
        <v>79023.88703635073</v>
      </c>
      <c r="S23" s="210"/>
      <c r="T23" s="398">
        <f>SUM(T16,T21)</f>
        <v>6189.2589386449381</v>
      </c>
      <c r="U23" s="210"/>
      <c r="V23" s="387"/>
      <c r="W23" s="370"/>
      <c r="X23" s="372"/>
    </row>
    <row r="24" spans="1:24">
      <c r="B24" s="370"/>
      <c r="C24" s="370"/>
      <c r="F24" s="210"/>
      <c r="G24" s="196"/>
      <c r="H24" s="372"/>
      <c r="I24" s="376"/>
      <c r="J24" s="196"/>
      <c r="K24" s="375"/>
      <c r="L24" s="370"/>
      <c r="M24" s="196"/>
      <c r="N24" s="210"/>
      <c r="P24" s="377"/>
      <c r="Q24" s="378"/>
      <c r="R24" s="210"/>
      <c r="T24" s="196"/>
    </row>
    <row r="25" spans="1:24">
      <c r="B25" s="382" t="s">
        <v>142</v>
      </c>
      <c r="D25" s="345"/>
      <c r="E25" s="381"/>
      <c r="J25" s="374">
        <f>J23</f>
        <v>86282.00787975757</v>
      </c>
    </row>
    <row r="26" spans="1:24">
      <c r="B26" s="383" t="s">
        <v>1529</v>
      </c>
      <c r="C26" s="384"/>
      <c r="D26" s="384"/>
      <c r="E26" s="384"/>
      <c r="F26" s="384"/>
      <c r="G26" s="384"/>
      <c r="H26" s="384"/>
      <c r="I26" s="384"/>
      <c r="J26" s="484">
        <v>-32103.194399404892</v>
      </c>
      <c r="K26" s="384"/>
    </row>
    <row r="27" spans="1:24">
      <c r="B27" s="383" t="s">
        <v>1552</v>
      </c>
      <c r="C27" s="384"/>
      <c r="D27" s="384"/>
      <c r="E27" s="384"/>
      <c r="F27" s="384"/>
      <c r="G27" s="384"/>
      <c r="H27" s="384"/>
      <c r="I27" s="384"/>
      <c r="J27" s="484">
        <v>-16127.652461792844</v>
      </c>
      <c r="K27" s="384"/>
    </row>
    <row r="28" spans="1:24">
      <c r="B28" s="383" t="s">
        <v>1553</v>
      </c>
      <c r="C28" s="384"/>
      <c r="D28" s="384"/>
      <c r="E28" s="384"/>
      <c r="F28" s="384"/>
      <c r="G28" s="384"/>
      <c r="H28" s="384"/>
      <c r="I28" s="384"/>
      <c r="J28" s="484">
        <v>950</v>
      </c>
      <c r="K28" s="384"/>
    </row>
    <row r="29" spans="1:24">
      <c r="B29" s="383" t="s">
        <v>1554</v>
      </c>
      <c r="C29" s="384"/>
      <c r="D29" s="384"/>
      <c r="E29" s="384"/>
      <c r="F29" s="384"/>
      <c r="G29" s="384"/>
      <c r="H29" s="384"/>
      <c r="I29" s="384"/>
      <c r="J29" s="484">
        <v>-1993.1978538475714</v>
      </c>
      <c r="K29" s="384"/>
    </row>
    <row r="30" spans="1:24">
      <c r="B30" s="383" t="s">
        <v>1555</v>
      </c>
      <c r="C30" s="384"/>
      <c r="D30" s="384"/>
      <c r="E30" s="384"/>
      <c r="F30" s="384"/>
      <c r="G30" s="384"/>
      <c r="H30" s="384"/>
      <c r="I30" s="384"/>
      <c r="J30" s="484">
        <v>1190.4761904761908</v>
      </c>
      <c r="K30" s="384"/>
    </row>
    <row r="31" spans="1:24">
      <c r="B31" s="383" t="s">
        <v>1556</v>
      </c>
      <c r="C31" s="384"/>
      <c r="D31" s="384"/>
      <c r="E31" s="384"/>
      <c r="F31" s="384"/>
      <c r="G31" s="384"/>
      <c r="H31" s="384"/>
      <c r="I31" s="384"/>
      <c r="J31" s="484">
        <v>1785.7142857142858</v>
      </c>
      <c r="K31" s="384"/>
    </row>
    <row r="32" spans="1:24">
      <c r="B32" s="384" t="s">
        <v>872</v>
      </c>
      <c r="C32" s="384"/>
      <c r="D32" s="384"/>
      <c r="E32" s="384"/>
      <c r="F32" s="384"/>
      <c r="G32" s="384"/>
      <c r="H32" s="384"/>
      <c r="I32" s="384"/>
      <c r="J32" s="216">
        <f>-T23</f>
        <v>-6189.2589386449381</v>
      </c>
      <c r="K32" s="384"/>
    </row>
    <row r="33" spans="2:11">
      <c r="B33" s="384" t="s">
        <v>1042</v>
      </c>
      <c r="C33" s="384"/>
      <c r="D33" s="384"/>
      <c r="E33" s="384"/>
      <c r="F33" s="384"/>
      <c r="G33" s="384"/>
      <c r="H33" s="384"/>
      <c r="I33" s="384"/>
      <c r="J33" s="484">
        <v>6634.6406233675534</v>
      </c>
      <c r="K33" s="384"/>
    </row>
    <row r="34" spans="2:11">
      <c r="B34" s="382" t="s">
        <v>495</v>
      </c>
      <c r="C34" s="384"/>
      <c r="D34" s="384"/>
      <c r="E34" s="384"/>
      <c r="F34" s="384"/>
      <c r="G34" s="384"/>
      <c r="H34" s="384"/>
      <c r="I34" s="384"/>
      <c r="J34" s="434">
        <f>SUM(J25:J33)</f>
        <v>40429.535325625344</v>
      </c>
      <c r="K34" s="384"/>
    </row>
    <row r="35" spans="2:11">
      <c r="B35" s="384" t="s">
        <v>496</v>
      </c>
      <c r="C35" s="384"/>
      <c r="D35" s="384"/>
      <c r="E35" s="384"/>
      <c r="F35" s="384"/>
      <c r="G35" s="384"/>
      <c r="H35" s="384"/>
      <c r="I35" s="384"/>
      <c r="J35" s="484">
        <v>26443.922999999999</v>
      </c>
      <c r="K35" s="384"/>
    </row>
    <row r="36" spans="2:11">
      <c r="B36" s="382" t="s">
        <v>497</v>
      </c>
      <c r="C36" s="384"/>
      <c r="D36" s="384"/>
      <c r="E36" s="384"/>
      <c r="F36" s="384"/>
      <c r="G36" s="384"/>
      <c r="H36" s="384"/>
      <c r="I36" s="384"/>
      <c r="J36" s="434">
        <f>J34/J35*100</f>
        <v>152.88781216624079</v>
      </c>
      <c r="K36" s="384"/>
    </row>
    <row r="37" spans="2:11">
      <c r="B37" s="384" t="s">
        <v>1557</v>
      </c>
      <c r="C37" s="384"/>
      <c r="D37" s="384"/>
      <c r="E37" s="384"/>
      <c r="F37" s="384"/>
      <c r="G37" s="384"/>
      <c r="H37" s="384"/>
      <c r="I37" s="384"/>
      <c r="J37" s="486">
        <v>4.5</v>
      </c>
      <c r="K37" s="384"/>
    </row>
    <row r="38" spans="2:11">
      <c r="B38" s="384" t="s">
        <v>1558</v>
      </c>
      <c r="J38" s="486">
        <v>7.4281941634782136</v>
      </c>
      <c r="K38" s="384"/>
    </row>
    <row r="39" spans="2:11">
      <c r="B39" s="382" t="s">
        <v>1561</v>
      </c>
      <c r="C39" s="384"/>
      <c r="D39" s="384"/>
      <c r="E39" s="384"/>
      <c r="F39" s="384"/>
      <c r="G39" s="384"/>
      <c r="H39" s="384"/>
      <c r="I39" s="384"/>
      <c r="J39" s="434">
        <f>SUM(J36:J38)</f>
        <v>164.81600632971902</v>
      </c>
      <c r="K39" s="384"/>
    </row>
    <row r="40" spans="2:11">
      <c r="B40" s="384" t="s">
        <v>1559</v>
      </c>
      <c r="C40" s="384"/>
      <c r="D40" s="384"/>
      <c r="E40" s="384"/>
      <c r="F40" s="384"/>
      <c r="G40" s="384"/>
      <c r="H40" s="384"/>
      <c r="I40" s="384"/>
      <c r="J40" s="427">
        <f>Prices!C153*Prices!C155</f>
        <v>0.85143464428000004</v>
      </c>
      <c r="K40" s="384"/>
    </row>
    <row r="41" spans="2:11">
      <c r="B41" s="382" t="s">
        <v>1560</v>
      </c>
      <c r="C41" s="384"/>
      <c r="D41" s="384"/>
      <c r="E41" s="384"/>
      <c r="F41" s="384"/>
      <c r="G41" s="384"/>
      <c r="H41" s="384"/>
      <c r="I41" s="384"/>
      <c r="J41" s="434">
        <f>J39*J40</f>
        <v>140.33005772099455</v>
      </c>
      <c r="K41" s="384"/>
    </row>
    <row r="42" spans="2:11">
      <c r="B42" s="382"/>
      <c r="C42" s="384"/>
      <c r="D42" s="384"/>
      <c r="E42" s="384"/>
      <c r="F42" s="384"/>
      <c r="G42" s="384"/>
      <c r="H42" s="384"/>
      <c r="I42" s="384"/>
      <c r="J42" s="437"/>
      <c r="K42" s="384"/>
    </row>
    <row r="43" spans="2:11">
      <c r="B43" s="384" t="s">
        <v>498</v>
      </c>
      <c r="C43" s="384"/>
      <c r="D43" s="384"/>
      <c r="E43" s="384"/>
      <c r="F43" s="384"/>
      <c r="G43" s="384"/>
      <c r="H43" s="384"/>
      <c r="I43" s="384"/>
      <c r="J43" s="400">
        <f>Prices!C32</f>
        <v>73.5</v>
      </c>
      <c r="K43" s="384"/>
    </row>
    <row r="44" spans="2:11">
      <c r="B44" s="382" t="s">
        <v>97</v>
      </c>
      <c r="C44" s="384"/>
      <c r="D44" s="384"/>
      <c r="E44" s="384"/>
      <c r="F44" s="384"/>
      <c r="G44" s="384"/>
      <c r="H44" s="384"/>
      <c r="I44" s="384"/>
      <c r="J44" s="387">
        <f>J41/J43-1</f>
        <v>0.90925248599992581</v>
      </c>
      <c r="K44" s="381"/>
    </row>
    <row r="46" spans="2:11">
      <c r="D46" s="431"/>
      <c r="E46" s="381"/>
    </row>
    <row r="47" spans="2:11">
      <c r="D47" s="345"/>
      <c r="E47" s="345"/>
      <c r="F47" s="345"/>
      <c r="G47" s="345"/>
      <c r="H47" s="345"/>
      <c r="I47" s="345"/>
    </row>
    <row r="49" spans="4:24">
      <c r="D49" s="345"/>
      <c r="E49" s="381"/>
      <c r="F49" s="381"/>
      <c r="G49" s="381"/>
      <c r="H49" s="381"/>
      <c r="I49" s="381"/>
    </row>
    <row r="50" spans="4:24">
      <c r="P50" s="249"/>
      <c r="Q50" s="249"/>
      <c r="R50" s="249"/>
    </row>
    <row r="51" spans="4:24">
      <c r="D51" s="370"/>
      <c r="E51" s="381"/>
      <c r="F51" s="381"/>
      <c r="G51" s="381"/>
      <c r="H51" s="381"/>
      <c r="I51" s="381"/>
    </row>
    <row r="52" spans="4:24">
      <c r="D52" s="370"/>
      <c r="E52" s="381"/>
      <c r="F52" s="381"/>
      <c r="G52" s="381"/>
      <c r="H52" s="381"/>
      <c r="I52" s="381"/>
      <c r="L52" s="249"/>
      <c r="M52" s="249"/>
      <c r="N52" s="249"/>
    </row>
    <row r="53" spans="4:24">
      <c r="D53" s="370"/>
      <c r="N53" s="388"/>
      <c r="O53" s="249"/>
      <c r="P53" s="249"/>
      <c r="Q53" s="249"/>
      <c r="R53" s="249"/>
    </row>
    <row r="54" spans="4:24">
      <c r="D54" s="345"/>
      <c r="E54" s="381"/>
      <c r="F54" s="381"/>
      <c r="G54" s="381"/>
      <c r="H54" s="381"/>
      <c r="I54" s="381"/>
      <c r="O54" s="388"/>
      <c r="P54" s="388"/>
      <c r="Q54" s="388"/>
      <c r="R54" s="388"/>
    </row>
    <row r="55" spans="4:24">
      <c r="D55" s="370"/>
      <c r="E55" s="381"/>
      <c r="F55" s="381"/>
      <c r="G55" s="381"/>
      <c r="H55" s="381"/>
      <c r="I55" s="381"/>
    </row>
    <row r="56" spans="4:24">
      <c r="D56" s="370"/>
      <c r="E56" s="381"/>
      <c r="F56" s="381"/>
      <c r="G56" s="381"/>
      <c r="H56" s="381"/>
      <c r="I56" s="381"/>
      <c r="L56" s="249"/>
      <c r="M56" s="249"/>
      <c r="N56" s="249"/>
      <c r="P56" s="249"/>
      <c r="Q56" s="249"/>
      <c r="R56" s="249"/>
      <c r="S56" s="249"/>
      <c r="T56" s="249"/>
      <c r="U56" s="249"/>
      <c r="V56" s="249"/>
      <c r="W56" s="249"/>
      <c r="X56" s="249"/>
    </row>
    <row r="57" spans="4:24">
      <c r="D57" s="370"/>
      <c r="N57" s="388"/>
      <c r="O57" s="249"/>
      <c r="P57" s="388"/>
      <c r="Q57" s="388"/>
      <c r="R57" s="388"/>
      <c r="S57" s="388"/>
      <c r="T57" s="388"/>
      <c r="U57" s="388"/>
      <c r="V57" s="388"/>
      <c r="W57" s="388"/>
      <c r="X57" s="388"/>
    </row>
    <row r="58" spans="4:24">
      <c r="D58" s="370"/>
      <c r="O58" s="388"/>
    </row>
    <row r="59" spans="4:24">
      <c r="D59" s="370"/>
      <c r="J59" s="381"/>
      <c r="L59" s="249"/>
      <c r="M59" s="249"/>
      <c r="N59" s="249"/>
      <c r="P59" s="249"/>
      <c r="Q59" s="249"/>
      <c r="R59" s="249"/>
    </row>
    <row r="60" spans="4:24">
      <c r="D60" s="370"/>
      <c r="J60" s="381"/>
      <c r="K60" s="381"/>
      <c r="N60" s="388"/>
      <c r="O60" s="249"/>
      <c r="P60" s="388"/>
      <c r="Q60" s="388"/>
      <c r="R60" s="388"/>
      <c r="S60" s="249"/>
      <c r="T60" s="249"/>
      <c r="U60" s="249"/>
      <c r="V60" s="249"/>
      <c r="W60" s="249"/>
      <c r="X60" s="249"/>
    </row>
    <row r="61" spans="4:24">
      <c r="D61" s="370"/>
      <c r="K61" s="381"/>
      <c r="O61" s="388"/>
      <c r="S61" s="388"/>
      <c r="T61" s="388"/>
      <c r="U61" s="388"/>
      <c r="V61" s="388"/>
      <c r="W61" s="388"/>
      <c r="X61" s="388"/>
    </row>
    <row r="62" spans="4:24">
      <c r="D62" s="370"/>
      <c r="J62" s="381"/>
      <c r="L62" s="249"/>
      <c r="M62" s="249"/>
      <c r="N62" s="249"/>
      <c r="P62" s="249"/>
      <c r="Q62" s="249"/>
      <c r="R62" s="249"/>
    </row>
    <row r="63" spans="4:24">
      <c r="D63" s="370"/>
      <c r="J63" s="381"/>
      <c r="K63" s="381"/>
      <c r="N63" s="388"/>
      <c r="O63" s="249"/>
      <c r="P63" s="388"/>
      <c r="Q63" s="388"/>
      <c r="R63" s="388"/>
      <c r="S63" s="249"/>
      <c r="T63" s="249"/>
      <c r="U63" s="249"/>
      <c r="V63" s="249"/>
      <c r="W63" s="249"/>
      <c r="X63" s="249"/>
    </row>
    <row r="64" spans="4:24">
      <c r="D64" s="370"/>
      <c r="J64" s="381"/>
      <c r="K64" s="381"/>
      <c r="O64" s="388"/>
      <c r="P64" s="389"/>
      <c r="Q64" s="389"/>
      <c r="R64" s="389"/>
      <c r="S64" s="388"/>
      <c r="T64" s="388"/>
      <c r="U64" s="388"/>
      <c r="V64" s="388"/>
      <c r="W64" s="388"/>
      <c r="X64" s="388"/>
    </row>
    <row r="65" spans="4:24">
      <c r="D65" s="370"/>
      <c r="K65" s="381"/>
      <c r="L65" s="249"/>
      <c r="M65" s="249"/>
      <c r="N65" s="249"/>
      <c r="P65" s="388"/>
      <c r="Q65" s="388"/>
      <c r="R65" s="388"/>
    </row>
    <row r="66" spans="4:24">
      <c r="D66" s="345"/>
      <c r="E66" s="381"/>
      <c r="F66" s="381"/>
      <c r="G66" s="381"/>
      <c r="H66" s="381"/>
      <c r="I66" s="381"/>
      <c r="N66" s="388"/>
      <c r="O66" s="249"/>
      <c r="S66" s="249"/>
      <c r="T66" s="249"/>
      <c r="U66" s="249"/>
      <c r="V66" s="249"/>
      <c r="W66" s="249"/>
      <c r="X66" s="249"/>
    </row>
    <row r="67" spans="4:24">
      <c r="D67" s="370"/>
      <c r="J67" s="381"/>
      <c r="L67" s="389"/>
      <c r="M67" s="389"/>
      <c r="N67" s="389"/>
      <c r="O67" s="388"/>
      <c r="P67" s="249"/>
      <c r="Q67" s="249"/>
      <c r="R67" s="249"/>
      <c r="S67" s="388"/>
      <c r="T67" s="388"/>
      <c r="U67" s="388"/>
      <c r="V67" s="388"/>
      <c r="W67" s="388"/>
      <c r="X67" s="388"/>
    </row>
    <row r="68" spans="4:24">
      <c r="D68" s="370"/>
      <c r="J68" s="381"/>
      <c r="K68" s="381"/>
      <c r="N68" s="388"/>
      <c r="O68" s="389"/>
      <c r="P68" s="390"/>
      <c r="Q68" s="390"/>
      <c r="R68" s="390"/>
    </row>
    <row r="69" spans="4:24">
      <c r="D69" s="345"/>
      <c r="E69" s="381"/>
      <c r="F69" s="381"/>
      <c r="G69" s="381"/>
      <c r="H69" s="381"/>
      <c r="I69" s="381"/>
      <c r="K69" s="381"/>
      <c r="O69" s="388"/>
      <c r="P69" s="249"/>
      <c r="Q69" s="249"/>
      <c r="R69" s="249"/>
      <c r="S69" s="249"/>
      <c r="T69" s="249"/>
      <c r="U69" s="249"/>
      <c r="V69" s="249"/>
      <c r="W69" s="249"/>
      <c r="X69" s="249"/>
    </row>
    <row r="70" spans="4:24">
      <c r="D70" s="370"/>
      <c r="L70" s="249"/>
      <c r="M70" s="249"/>
      <c r="N70" s="249"/>
      <c r="P70" s="388"/>
      <c r="Q70" s="388"/>
      <c r="R70" s="388"/>
      <c r="S70" s="388"/>
      <c r="T70" s="388"/>
      <c r="U70" s="388"/>
      <c r="V70" s="388"/>
      <c r="W70" s="388"/>
      <c r="X70" s="388"/>
    </row>
    <row r="71" spans="4:24">
      <c r="D71" s="345"/>
      <c r="E71" s="381"/>
      <c r="F71" s="381"/>
      <c r="G71" s="381"/>
      <c r="H71" s="381"/>
      <c r="I71" s="381"/>
      <c r="N71" s="388"/>
      <c r="O71" s="249"/>
      <c r="P71" s="248"/>
      <c r="Q71" s="248"/>
      <c r="R71" s="248"/>
      <c r="S71" s="389"/>
      <c r="T71" s="389"/>
      <c r="U71" s="389"/>
      <c r="V71" s="389"/>
      <c r="W71" s="389"/>
      <c r="X71" s="389"/>
    </row>
    <row r="72" spans="4:24">
      <c r="D72" s="370"/>
      <c r="E72" s="381"/>
      <c r="F72" s="381"/>
      <c r="G72" s="381"/>
      <c r="H72" s="381"/>
      <c r="I72" s="381"/>
      <c r="L72" s="249"/>
      <c r="M72" s="249"/>
      <c r="N72" s="249"/>
      <c r="O72" s="388"/>
      <c r="S72" s="388"/>
      <c r="T72" s="388"/>
      <c r="U72" s="388"/>
      <c r="V72" s="388"/>
      <c r="W72" s="388"/>
      <c r="X72" s="388"/>
    </row>
    <row r="73" spans="4:24">
      <c r="D73" s="370"/>
      <c r="N73" s="388"/>
      <c r="O73" s="249"/>
      <c r="P73" s="247"/>
      <c r="Q73" s="247"/>
      <c r="R73" s="247"/>
    </row>
    <row r="74" spans="4:24">
      <c r="D74" s="370"/>
      <c r="L74" s="248"/>
      <c r="M74" s="248"/>
      <c r="N74" s="248"/>
      <c r="O74" s="388"/>
      <c r="P74" s="388"/>
      <c r="Q74" s="388"/>
      <c r="R74" s="388"/>
      <c r="S74" s="249"/>
      <c r="T74" s="249"/>
      <c r="U74" s="249"/>
      <c r="V74" s="249"/>
      <c r="W74" s="249"/>
      <c r="X74" s="249"/>
    </row>
    <row r="75" spans="4:24">
      <c r="D75" s="345"/>
      <c r="E75" s="381"/>
      <c r="F75" s="381"/>
      <c r="G75" s="381"/>
      <c r="H75" s="381"/>
      <c r="I75" s="381"/>
      <c r="O75" s="248"/>
      <c r="S75" s="390"/>
      <c r="T75" s="390"/>
      <c r="U75" s="390"/>
      <c r="V75" s="390"/>
      <c r="W75" s="390"/>
      <c r="X75" s="390"/>
    </row>
    <row r="76" spans="4:24">
      <c r="D76" s="370"/>
      <c r="E76" s="381"/>
      <c r="F76" s="381"/>
      <c r="G76" s="381"/>
      <c r="H76" s="381"/>
      <c r="I76" s="381"/>
      <c r="L76" s="247"/>
      <c r="M76" s="247"/>
      <c r="N76" s="247"/>
      <c r="P76" s="389"/>
      <c r="Q76" s="389"/>
      <c r="R76" s="389"/>
      <c r="S76" s="249"/>
      <c r="T76" s="249"/>
      <c r="U76" s="249"/>
      <c r="V76" s="249"/>
      <c r="W76" s="249"/>
      <c r="X76" s="249"/>
    </row>
    <row r="77" spans="4:24">
      <c r="D77" s="370"/>
      <c r="N77" s="388"/>
      <c r="O77" s="247"/>
      <c r="P77" s="388"/>
      <c r="Q77" s="388"/>
      <c r="R77" s="388"/>
      <c r="S77" s="388"/>
      <c r="T77" s="388"/>
      <c r="U77" s="388"/>
      <c r="V77" s="388"/>
      <c r="W77" s="388"/>
      <c r="X77" s="388"/>
    </row>
    <row r="78" spans="4:24">
      <c r="D78" s="345"/>
      <c r="E78" s="381"/>
      <c r="F78" s="381"/>
      <c r="G78" s="381"/>
      <c r="H78" s="381"/>
      <c r="I78" s="381"/>
      <c r="O78" s="388"/>
      <c r="S78" s="248"/>
      <c r="T78" s="248"/>
      <c r="U78" s="248"/>
      <c r="V78" s="248"/>
      <c r="W78" s="248"/>
      <c r="X78" s="248"/>
    </row>
    <row r="79" spans="4:24">
      <c r="D79" s="370"/>
      <c r="J79" s="381"/>
      <c r="L79" s="389"/>
      <c r="M79" s="389"/>
      <c r="N79" s="389"/>
      <c r="P79" s="391"/>
      <c r="Q79" s="391"/>
      <c r="R79" s="391"/>
    </row>
    <row r="80" spans="4:24">
      <c r="D80" s="370"/>
      <c r="J80" s="381"/>
      <c r="K80" s="381"/>
      <c r="N80" s="388"/>
      <c r="O80" s="389"/>
      <c r="P80" s="388"/>
      <c r="Q80" s="388"/>
      <c r="R80" s="388"/>
      <c r="S80" s="247"/>
      <c r="T80" s="247"/>
      <c r="U80" s="247"/>
      <c r="V80" s="247"/>
      <c r="W80" s="247"/>
      <c r="X80" s="247"/>
    </row>
    <row r="81" spans="4:24">
      <c r="D81" s="345"/>
      <c r="E81" s="381"/>
      <c r="F81" s="381"/>
      <c r="G81" s="381"/>
      <c r="H81" s="381"/>
      <c r="I81" s="381"/>
      <c r="K81" s="381"/>
      <c r="O81" s="388"/>
      <c r="P81" s="248"/>
      <c r="Q81" s="248"/>
      <c r="R81" s="248"/>
      <c r="S81" s="388"/>
      <c r="T81" s="388"/>
      <c r="U81" s="388"/>
      <c r="V81" s="388"/>
      <c r="W81" s="388"/>
      <c r="X81" s="388"/>
    </row>
    <row r="82" spans="4:24">
      <c r="D82" s="370"/>
      <c r="L82" s="391"/>
      <c r="M82" s="391"/>
      <c r="N82" s="391"/>
    </row>
    <row r="83" spans="4:24">
      <c r="D83" s="370"/>
      <c r="J83" s="381"/>
      <c r="N83" s="388"/>
      <c r="O83" s="391"/>
      <c r="P83" s="247"/>
      <c r="Q83" s="247"/>
      <c r="R83" s="247"/>
      <c r="S83" s="389"/>
      <c r="T83" s="389"/>
      <c r="U83" s="389"/>
      <c r="V83" s="389"/>
      <c r="W83" s="389"/>
      <c r="X83" s="389"/>
    </row>
    <row r="84" spans="4:24">
      <c r="D84" s="370"/>
      <c r="J84" s="381"/>
      <c r="K84" s="381"/>
      <c r="N84" s="248"/>
      <c r="O84" s="388"/>
      <c r="P84" s="388"/>
      <c r="Q84" s="388"/>
      <c r="R84" s="388"/>
      <c r="S84" s="388"/>
      <c r="T84" s="388"/>
      <c r="U84" s="388"/>
      <c r="V84" s="388"/>
      <c r="W84" s="388"/>
      <c r="X84" s="388"/>
    </row>
    <row r="85" spans="4:24">
      <c r="D85" s="345"/>
      <c r="E85" s="381"/>
      <c r="F85" s="381"/>
      <c r="G85" s="381"/>
      <c r="H85" s="381"/>
      <c r="I85" s="381"/>
      <c r="K85" s="381"/>
      <c r="O85" s="248"/>
      <c r="P85" s="274"/>
      <c r="Q85" s="274"/>
      <c r="R85" s="274"/>
    </row>
    <row r="86" spans="4:24">
      <c r="D86" s="370"/>
      <c r="L86" s="247"/>
      <c r="M86" s="247"/>
      <c r="N86" s="247"/>
      <c r="S86" s="391"/>
      <c r="T86" s="391"/>
      <c r="U86" s="391"/>
      <c r="V86" s="391"/>
      <c r="W86" s="391"/>
      <c r="X86" s="391"/>
    </row>
    <row r="87" spans="4:24">
      <c r="D87" s="370"/>
      <c r="E87" s="345"/>
      <c r="F87" s="345"/>
      <c r="G87" s="345"/>
      <c r="H87" s="345"/>
      <c r="I87" s="345"/>
      <c r="J87" s="381"/>
      <c r="N87" s="388"/>
      <c r="O87" s="247"/>
      <c r="P87" s="389"/>
      <c r="Q87" s="389"/>
      <c r="R87" s="389"/>
      <c r="S87" s="388"/>
      <c r="T87" s="388"/>
      <c r="U87" s="388"/>
      <c r="V87" s="388"/>
      <c r="W87" s="388"/>
      <c r="X87" s="388"/>
    </row>
    <row r="88" spans="4:24">
      <c r="D88" s="370"/>
      <c r="E88" s="345"/>
      <c r="F88" s="345"/>
      <c r="G88" s="345"/>
      <c r="H88" s="345"/>
      <c r="I88" s="345"/>
      <c r="K88" s="381"/>
      <c r="L88" s="274"/>
      <c r="M88" s="274"/>
      <c r="N88" s="274"/>
      <c r="O88" s="388"/>
      <c r="P88" s="388"/>
      <c r="Q88" s="388"/>
      <c r="R88" s="388"/>
      <c r="S88" s="248"/>
      <c r="T88" s="248"/>
      <c r="U88" s="248"/>
      <c r="V88" s="248"/>
      <c r="W88" s="248"/>
      <c r="X88" s="248"/>
    </row>
    <row r="89" spans="4:24">
      <c r="D89" s="370"/>
      <c r="O89" s="274"/>
    </row>
    <row r="90" spans="4:24">
      <c r="D90" s="370"/>
      <c r="L90" s="389"/>
      <c r="M90" s="389"/>
      <c r="N90" s="389"/>
      <c r="S90" s="247"/>
      <c r="T90" s="247"/>
      <c r="U90" s="247"/>
      <c r="V90" s="247"/>
      <c r="W90" s="247"/>
      <c r="X90" s="247"/>
    </row>
    <row r="91" spans="4:24">
      <c r="D91" s="370"/>
      <c r="N91" s="388"/>
      <c r="O91" s="389"/>
      <c r="P91" s="249"/>
      <c r="Q91" s="249"/>
      <c r="R91" s="249"/>
      <c r="S91" s="388"/>
      <c r="T91" s="388"/>
      <c r="U91" s="388"/>
      <c r="V91" s="388"/>
      <c r="W91" s="388"/>
      <c r="X91" s="388"/>
    </row>
    <row r="92" spans="4:24">
      <c r="D92" s="345"/>
      <c r="E92" s="381"/>
      <c r="F92" s="381"/>
      <c r="G92" s="381"/>
      <c r="H92" s="381"/>
      <c r="I92" s="381"/>
      <c r="O92" s="388"/>
      <c r="P92" s="388"/>
      <c r="Q92" s="388"/>
      <c r="R92" s="388"/>
      <c r="S92" s="274"/>
      <c r="T92" s="274"/>
      <c r="U92" s="274"/>
      <c r="V92" s="274"/>
      <c r="W92" s="274"/>
      <c r="X92" s="274"/>
    </row>
    <row r="93" spans="4:24">
      <c r="D93" s="345"/>
      <c r="E93" s="381"/>
      <c r="F93" s="381"/>
      <c r="G93" s="381"/>
      <c r="H93" s="381"/>
      <c r="I93" s="381"/>
    </row>
    <row r="94" spans="4:24">
      <c r="D94" s="370"/>
      <c r="E94" s="381"/>
      <c r="F94" s="381"/>
      <c r="G94" s="381"/>
      <c r="H94" s="381"/>
      <c r="I94" s="381"/>
      <c r="L94" s="249"/>
      <c r="M94" s="249"/>
      <c r="N94" s="249"/>
      <c r="P94" s="249"/>
      <c r="Q94" s="249"/>
      <c r="R94" s="249"/>
      <c r="S94" s="389"/>
      <c r="T94" s="389"/>
      <c r="U94" s="389"/>
      <c r="V94" s="389"/>
      <c r="W94" s="389"/>
      <c r="X94" s="389"/>
    </row>
    <row r="95" spans="4:24">
      <c r="D95" s="370"/>
      <c r="E95" s="381"/>
      <c r="F95" s="381"/>
      <c r="G95" s="381"/>
      <c r="H95" s="381"/>
      <c r="I95" s="381"/>
      <c r="N95" s="388"/>
      <c r="O95" s="249"/>
      <c r="P95" s="390"/>
      <c r="Q95" s="390"/>
      <c r="R95" s="390"/>
      <c r="S95" s="388"/>
      <c r="T95" s="388"/>
      <c r="U95" s="388"/>
      <c r="V95" s="388"/>
      <c r="W95" s="388"/>
      <c r="X95" s="388"/>
    </row>
    <row r="96" spans="4:24">
      <c r="D96" s="370"/>
      <c r="O96" s="388"/>
    </row>
    <row r="97" spans="4:24">
      <c r="D97" s="345"/>
      <c r="E97" s="381"/>
      <c r="F97" s="381"/>
      <c r="G97" s="381"/>
      <c r="H97" s="381"/>
      <c r="I97" s="381"/>
      <c r="L97" s="249"/>
      <c r="M97" s="249"/>
      <c r="N97" s="249"/>
      <c r="P97" s="389"/>
      <c r="Q97" s="389"/>
      <c r="R97" s="389"/>
    </row>
    <row r="98" spans="4:24">
      <c r="D98" s="370"/>
      <c r="E98" s="381"/>
      <c r="F98" s="381"/>
      <c r="G98" s="381"/>
      <c r="H98" s="381"/>
      <c r="I98" s="381"/>
      <c r="N98" s="388"/>
      <c r="O98" s="249"/>
      <c r="P98" s="392"/>
      <c r="Q98" s="392"/>
      <c r="R98" s="392"/>
      <c r="S98" s="249"/>
      <c r="T98" s="249"/>
      <c r="U98" s="249"/>
      <c r="V98" s="249"/>
      <c r="W98" s="249"/>
      <c r="X98" s="249"/>
    </row>
    <row r="99" spans="4:24">
      <c r="D99" s="370"/>
      <c r="E99" s="381"/>
      <c r="F99" s="381"/>
      <c r="G99" s="381"/>
      <c r="H99" s="381"/>
      <c r="I99" s="381"/>
      <c r="O99" s="388"/>
      <c r="P99" s="392"/>
      <c r="Q99" s="392"/>
      <c r="R99" s="392"/>
      <c r="S99" s="388"/>
      <c r="T99" s="388"/>
      <c r="U99" s="388"/>
      <c r="V99" s="388"/>
      <c r="W99" s="388"/>
      <c r="X99" s="388"/>
    </row>
    <row r="100" spans="4:24">
      <c r="D100" s="370"/>
      <c r="L100" s="389"/>
      <c r="M100" s="389"/>
      <c r="N100" s="389"/>
    </row>
    <row r="101" spans="4:24">
      <c r="D101" s="370"/>
      <c r="N101" s="392"/>
      <c r="O101" s="389"/>
      <c r="P101" s="388"/>
      <c r="Q101" s="388"/>
      <c r="R101" s="388"/>
      <c r="S101" s="249"/>
      <c r="T101" s="249"/>
      <c r="U101" s="249"/>
      <c r="V101" s="249"/>
      <c r="W101" s="249"/>
      <c r="X101" s="249"/>
    </row>
    <row r="102" spans="4:24">
      <c r="D102" s="370"/>
      <c r="J102" s="381"/>
      <c r="L102" s="392"/>
      <c r="M102" s="392"/>
      <c r="N102" s="392"/>
      <c r="O102" s="392"/>
      <c r="P102" s="389"/>
      <c r="Q102" s="389"/>
      <c r="R102" s="389"/>
      <c r="S102" s="390"/>
      <c r="T102" s="390"/>
      <c r="U102" s="390"/>
      <c r="V102" s="390"/>
      <c r="W102" s="390"/>
      <c r="X102" s="390"/>
    </row>
    <row r="103" spans="4:24">
      <c r="D103" s="370"/>
      <c r="J103" s="381"/>
      <c r="K103" s="381"/>
      <c r="O103" s="392"/>
      <c r="R103" s="392"/>
    </row>
    <row r="104" spans="4:24">
      <c r="D104" s="370"/>
      <c r="K104" s="381"/>
      <c r="L104" s="388"/>
      <c r="M104" s="388"/>
      <c r="N104" s="388"/>
      <c r="S104" s="389"/>
      <c r="T104" s="389"/>
      <c r="U104" s="389"/>
      <c r="V104" s="389"/>
      <c r="W104" s="389"/>
      <c r="X104" s="389"/>
    </row>
    <row r="105" spans="4:24">
      <c r="D105" s="370"/>
      <c r="J105" s="381"/>
      <c r="L105" s="389"/>
      <c r="M105" s="389"/>
      <c r="N105" s="389"/>
      <c r="O105" s="388"/>
      <c r="P105" s="389"/>
      <c r="Q105" s="389"/>
      <c r="R105" s="389"/>
      <c r="S105" s="392"/>
      <c r="T105" s="392"/>
      <c r="U105" s="392"/>
      <c r="V105" s="392"/>
      <c r="W105" s="392"/>
      <c r="X105" s="392"/>
    </row>
    <row r="106" spans="4:24">
      <c r="D106" s="370"/>
      <c r="J106" s="381"/>
      <c r="K106" s="381"/>
      <c r="O106" s="389"/>
      <c r="P106" s="392"/>
      <c r="Q106" s="392"/>
      <c r="R106" s="392"/>
      <c r="S106" s="392"/>
      <c r="T106" s="392"/>
      <c r="U106" s="392"/>
      <c r="V106" s="392"/>
      <c r="W106" s="392"/>
      <c r="X106" s="392"/>
    </row>
    <row r="107" spans="4:24">
      <c r="D107" s="370"/>
      <c r="J107" s="381"/>
      <c r="K107" s="381"/>
    </row>
    <row r="108" spans="4:24">
      <c r="D108" s="370"/>
      <c r="K108" s="381"/>
      <c r="L108" s="389"/>
      <c r="M108" s="389"/>
      <c r="N108" s="389"/>
      <c r="S108" s="388"/>
      <c r="T108" s="388"/>
      <c r="U108" s="388"/>
      <c r="V108" s="388"/>
      <c r="W108" s="388"/>
      <c r="X108" s="388"/>
    </row>
    <row r="109" spans="4:24">
      <c r="D109" s="345"/>
      <c r="E109" s="381"/>
      <c r="F109" s="381"/>
      <c r="G109" s="381"/>
      <c r="H109" s="381"/>
      <c r="I109" s="381"/>
      <c r="N109" s="392"/>
      <c r="O109" s="389"/>
      <c r="S109" s="389"/>
      <c r="T109" s="389"/>
      <c r="U109" s="389"/>
      <c r="V109" s="389"/>
      <c r="W109" s="389"/>
      <c r="X109" s="389"/>
    </row>
    <row r="110" spans="4:24">
      <c r="D110" s="370"/>
      <c r="J110" s="381"/>
      <c r="O110" s="392"/>
      <c r="S110" s="392"/>
      <c r="T110" s="392"/>
      <c r="U110" s="392"/>
      <c r="V110" s="392"/>
      <c r="W110" s="392"/>
      <c r="X110" s="392"/>
    </row>
    <row r="111" spans="4:24">
      <c r="D111" s="370"/>
      <c r="J111" s="381"/>
      <c r="K111" s="381"/>
    </row>
    <row r="112" spans="4:24">
      <c r="D112" s="345"/>
      <c r="E112" s="381"/>
      <c r="F112" s="381"/>
      <c r="G112" s="381"/>
      <c r="H112" s="381"/>
      <c r="I112" s="381"/>
      <c r="K112" s="381"/>
      <c r="S112" s="389"/>
      <c r="T112" s="389"/>
      <c r="U112" s="389"/>
      <c r="V112" s="389"/>
      <c r="W112" s="389"/>
      <c r="X112" s="389"/>
    </row>
    <row r="113" spans="4:24">
      <c r="D113" s="370"/>
      <c r="S113" s="392"/>
      <c r="T113" s="392"/>
      <c r="U113" s="392"/>
      <c r="V113" s="392"/>
      <c r="W113" s="392"/>
      <c r="X113" s="392"/>
    </row>
    <row r="114" spans="4:24">
      <c r="D114" s="345"/>
      <c r="E114" s="381"/>
      <c r="F114" s="381"/>
      <c r="G114" s="381"/>
      <c r="H114" s="381"/>
      <c r="I114" s="381"/>
    </row>
    <row r="115" spans="4:24">
      <c r="D115" s="370"/>
      <c r="E115" s="381"/>
      <c r="F115" s="381"/>
      <c r="G115" s="381"/>
      <c r="H115" s="381"/>
      <c r="I115" s="381"/>
    </row>
    <row r="116" spans="4:24">
      <c r="D116" s="370"/>
    </row>
    <row r="117" spans="4:24">
      <c r="D117" s="370"/>
    </row>
    <row r="118" spans="4:24">
      <c r="D118" s="345"/>
      <c r="E118" s="381"/>
      <c r="F118" s="381"/>
      <c r="G118" s="381"/>
      <c r="H118" s="381"/>
      <c r="I118" s="381"/>
    </row>
    <row r="119" spans="4:24">
      <c r="D119" s="370"/>
      <c r="E119" s="381"/>
      <c r="F119" s="381"/>
      <c r="G119" s="381"/>
      <c r="H119" s="381"/>
      <c r="I119" s="381"/>
    </row>
    <row r="120" spans="4:24">
      <c r="D120" s="370"/>
    </row>
    <row r="121" spans="4:24">
      <c r="D121" s="345"/>
      <c r="E121" s="381"/>
      <c r="F121" s="381"/>
      <c r="G121" s="381"/>
      <c r="H121" s="381"/>
      <c r="I121" s="381"/>
    </row>
    <row r="122" spans="4:24">
      <c r="D122" s="370"/>
      <c r="J122" s="381"/>
    </row>
    <row r="123" spans="4:24">
      <c r="D123" s="370"/>
      <c r="J123" s="381"/>
      <c r="K123" s="381"/>
    </row>
    <row r="124" spans="4:24">
      <c r="D124" s="345"/>
      <c r="E124" s="381"/>
      <c r="F124" s="381"/>
      <c r="G124" s="381"/>
      <c r="H124" s="381"/>
      <c r="I124" s="381"/>
      <c r="K124" s="381"/>
    </row>
    <row r="125" spans="4:24">
      <c r="D125" s="370"/>
    </row>
    <row r="126" spans="4:24">
      <c r="D126" s="370"/>
      <c r="J126" s="381"/>
    </row>
    <row r="127" spans="4:24">
      <c r="D127" s="370"/>
      <c r="J127" s="381"/>
      <c r="K127" s="381"/>
    </row>
    <row r="128" spans="4:24">
      <c r="D128" s="345"/>
      <c r="E128" s="381"/>
      <c r="F128" s="381"/>
      <c r="G128" s="381"/>
      <c r="H128" s="381"/>
      <c r="I128" s="381"/>
      <c r="K128" s="381"/>
    </row>
    <row r="129" spans="4:11">
      <c r="D129" s="370"/>
    </row>
    <row r="130" spans="4:11">
      <c r="D130" s="370"/>
      <c r="E130" s="345"/>
      <c r="F130" s="345"/>
      <c r="G130" s="345"/>
      <c r="H130" s="345"/>
      <c r="I130" s="345"/>
      <c r="J130" s="381"/>
    </row>
    <row r="131" spans="4:11">
      <c r="D131" s="370"/>
      <c r="E131" s="345"/>
      <c r="F131" s="345"/>
      <c r="G131" s="345"/>
      <c r="H131" s="345"/>
      <c r="I131" s="345"/>
      <c r="K131" s="381"/>
    </row>
    <row r="132" spans="4:11">
      <c r="D132" s="370"/>
    </row>
    <row r="133" spans="4:11">
      <c r="D133" s="370"/>
    </row>
    <row r="135" spans="4:11">
      <c r="D135" s="345"/>
      <c r="E135" s="381"/>
      <c r="F135" s="381"/>
      <c r="G135" s="381"/>
      <c r="H135" s="381"/>
      <c r="I135" s="381"/>
    </row>
    <row r="136" spans="4:11">
      <c r="D136" s="345"/>
      <c r="E136" s="381"/>
      <c r="F136" s="381"/>
      <c r="G136" s="381"/>
      <c r="H136" s="381"/>
      <c r="I136" s="381"/>
    </row>
    <row r="137" spans="4:11">
      <c r="D137" s="370"/>
      <c r="E137" s="381"/>
      <c r="F137" s="381"/>
      <c r="G137" s="381"/>
      <c r="H137" s="381"/>
      <c r="I137" s="381"/>
    </row>
    <row r="138" spans="4:11">
      <c r="D138" s="370"/>
      <c r="E138" s="381"/>
      <c r="F138" s="381"/>
      <c r="G138" s="381"/>
      <c r="H138" s="381"/>
      <c r="I138" s="381"/>
    </row>
    <row r="139" spans="4:11">
      <c r="D139" s="370"/>
    </row>
    <row r="140" spans="4:11">
      <c r="D140" s="345"/>
      <c r="E140" s="381"/>
      <c r="F140" s="381"/>
      <c r="G140" s="381"/>
      <c r="H140" s="381"/>
      <c r="I140" s="381"/>
    </row>
    <row r="141" spans="4:11">
      <c r="D141" s="370"/>
      <c r="E141" s="381"/>
      <c r="F141" s="381"/>
      <c r="G141" s="381"/>
      <c r="H141" s="381"/>
      <c r="I141" s="381"/>
    </row>
    <row r="142" spans="4:11">
      <c r="D142" s="370"/>
      <c r="E142" s="381"/>
      <c r="F142" s="381"/>
      <c r="G142" s="381"/>
      <c r="H142" s="381"/>
      <c r="I142" s="381"/>
    </row>
    <row r="143" spans="4:11">
      <c r="D143" s="370"/>
    </row>
    <row r="144" spans="4:11">
      <c r="D144" s="370"/>
    </row>
    <row r="145" spans="4:11">
      <c r="D145" s="370"/>
      <c r="J145" s="381"/>
    </row>
    <row r="146" spans="4:11">
      <c r="D146" s="370"/>
      <c r="J146" s="381"/>
      <c r="K146" s="381"/>
    </row>
    <row r="147" spans="4:11">
      <c r="D147" s="370"/>
      <c r="K147" s="381"/>
    </row>
    <row r="148" spans="4:11">
      <c r="D148" s="370"/>
      <c r="J148" s="381"/>
    </row>
    <row r="149" spans="4:11">
      <c r="D149" s="370"/>
      <c r="J149" s="381"/>
      <c r="K149" s="381"/>
    </row>
    <row r="150" spans="4:11">
      <c r="D150" s="370"/>
      <c r="J150" s="381"/>
      <c r="K150" s="381"/>
    </row>
    <row r="151" spans="4:11">
      <c r="D151" s="370"/>
      <c r="K151" s="381"/>
    </row>
    <row r="152" spans="4:11">
      <c r="D152" s="345"/>
      <c r="E152" s="381"/>
      <c r="F152" s="381"/>
      <c r="G152" s="381"/>
      <c r="H152" s="381"/>
      <c r="I152" s="381"/>
    </row>
    <row r="153" spans="4:11">
      <c r="D153" s="370"/>
      <c r="J153" s="381"/>
    </row>
    <row r="154" spans="4:11">
      <c r="D154" s="370"/>
      <c r="J154" s="381"/>
      <c r="K154" s="381"/>
    </row>
    <row r="155" spans="4:11">
      <c r="D155" s="345"/>
      <c r="E155" s="381"/>
      <c r="F155" s="381"/>
      <c r="G155" s="381"/>
      <c r="H155" s="381"/>
      <c r="I155" s="381"/>
      <c r="K155" s="381"/>
    </row>
    <row r="156" spans="4:11">
      <c r="D156" s="370"/>
    </row>
    <row r="157" spans="4:11">
      <c r="D157" s="345"/>
      <c r="E157" s="381"/>
      <c r="F157" s="381"/>
      <c r="G157" s="381"/>
      <c r="H157" s="381"/>
      <c r="I157" s="381"/>
    </row>
    <row r="158" spans="4:11">
      <c r="D158" s="370"/>
      <c r="E158" s="381"/>
      <c r="F158" s="381"/>
      <c r="G158" s="381"/>
      <c r="H158" s="381"/>
      <c r="I158" s="381"/>
    </row>
    <row r="159" spans="4:11">
      <c r="D159" s="370"/>
    </row>
    <row r="160" spans="4:11">
      <c r="D160" s="370"/>
    </row>
    <row r="161" spans="4:11">
      <c r="D161" s="345"/>
      <c r="E161" s="381"/>
      <c r="F161" s="381"/>
      <c r="G161" s="381"/>
      <c r="H161" s="381"/>
      <c r="I161" s="381"/>
    </row>
    <row r="162" spans="4:11">
      <c r="D162" s="370"/>
      <c r="E162" s="381"/>
      <c r="F162" s="381"/>
      <c r="G162" s="381"/>
      <c r="H162" s="381"/>
      <c r="I162" s="381"/>
    </row>
    <row r="163" spans="4:11">
      <c r="D163" s="370"/>
    </row>
    <row r="164" spans="4:11">
      <c r="D164" s="345"/>
      <c r="E164" s="381"/>
      <c r="F164" s="381"/>
      <c r="G164" s="381"/>
      <c r="H164" s="381"/>
      <c r="I164" s="381"/>
    </row>
    <row r="165" spans="4:11">
      <c r="D165" s="370"/>
      <c r="J165" s="381"/>
    </row>
    <row r="166" spans="4:11">
      <c r="D166" s="370"/>
      <c r="J166" s="381"/>
      <c r="K166" s="381"/>
    </row>
    <row r="167" spans="4:11">
      <c r="D167" s="345"/>
      <c r="E167" s="381"/>
      <c r="F167" s="381"/>
      <c r="G167" s="381"/>
      <c r="H167" s="381"/>
      <c r="I167" s="381"/>
      <c r="K167" s="381"/>
    </row>
    <row r="168" spans="4:11">
      <c r="D168" s="370"/>
    </row>
    <row r="169" spans="4:11">
      <c r="D169" s="370"/>
      <c r="J169" s="381"/>
    </row>
    <row r="170" spans="4:11">
      <c r="D170" s="370"/>
      <c r="J170" s="381"/>
      <c r="K170" s="381"/>
    </row>
    <row r="171" spans="4:11">
      <c r="D171" s="345"/>
      <c r="E171" s="381"/>
      <c r="F171" s="381"/>
      <c r="G171" s="381"/>
      <c r="H171" s="381"/>
      <c r="I171" s="381"/>
      <c r="K171" s="381"/>
    </row>
    <row r="172" spans="4:11">
      <c r="D172" s="370"/>
    </row>
    <row r="173" spans="4:11">
      <c r="D173" s="370"/>
      <c r="E173" s="345"/>
      <c r="F173" s="345"/>
      <c r="G173" s="345"/>
      <c r="H173" s="345"/>
      <c r="I173" s="345"/>
      <c r="J173" s="381"/>
    </row>
    <row r="174" spans="4:11">
      <c r="D174" s="370"/>
      <c r="E174" s="345"/>
      <c r="F174" s="345"/>
      <c r="G174" s="345"/>
      <c r="H174" s="345"/>
      <c r="I174" s="345"/>
      <c r="K174" s="381"/>
    </row>
    <row r="175" spans="4:11">
      <c r="D175" s="370"/>
    </row>
    <row r="176" spans="4:11">
      <c r="D176" s="370"/>
    </row>
    <row r="177" spans="4:11">
      <c r="D177" s="370"/>
    </row>
    <row r="178" spans="4:11">
      <c r="D178" s="345"/>
      <c r="E178" s="381"/>
      <c r="F178" s="381"/>
      <c r="G178" s="381"/>
      <c r="H178" s="381"/>
      <c r="I178" s="381"/>
    </row>
    <row r="179" spans="4:11">
      <c r="D179" s="345"/>
      <c r="E179" s="381"/>
      <c r="F179" s="381"/>
      <c r="G179" s="381"/>
      <c r="H179" s="381"/>
      <c r="I179" s="381"/>
    </row>
    <row r="180" spans="4:11">
      <c r="D180" s="370"/>
      <c r="E180" s="381"/>
      <c r="F180" s="381"/>
      <c r="G180" s="381"/>
      <c r="H180" s="381"/>
      <c r="I180" s="381"/>
    </row>
    <row r="181" spans="4:11">
      <c r="D181" s="370"/>
      <c r="E181" s="381"/>
      <c r="F181" s="381"/>
      <c r="G181" s="381"/>
      <c r="H181" s="381"/>
      <c r="I181" s="381"/>
    </row>
    <row r="182" spans="4:11">
      <c r="D182" s="370"/>
    </row>
    <row r="183" spans="4:11">
      <c r="D183" s="345"/>
      <c r="E183" s="381"/>
      <c r="F183" s="381"/>
      <c r="G183" s="381"/>
      <c r="H183" s="381"/>
      <c r="I183" s="381"/>
    </row>
    <row r="184" spans="4:11">
      <c r="D184" s="370"/>
      <c r="E184" s="381"/>
      <c r="F184" s="381"/>
      <c r="G184" s="381"/>
      <c r="H184" s="381"/>
      <c r="I184" s="381"/>
    </row>
    <row r="185" spans="4:11">
      <c r="D185" s="370"/>
      <c r="E185" s="381"/>
      <c r="F185" s="381"/>
      <c r="G185" s="381"/>
      <c r="H185" s="381"/>
      <c r="I185" s="381"/>
    </row>
    <row r="186" spans="4:11">
      <c r="D186" s="370"/>
    </row>
    <row r="187" spans="4:11">
      <c r="D187" s="370"/>
    </row>
    <row r="188" spans="4:11">
      <c r="D188" s="370"/>
      <c r="J188" s="381"/>
    </row>
    <row r="189" spans="4:11">
      <c r="D189" s="370"/>
      <c r="J189" s="381"/>
      <c r="K189" s="381"/>
    </row>
    <row r="190" spans="4:11">
      <c r="D190" s="370"/>
      <c r="K190" s="381"/>
    </row>
    <row r="191" spans="4:11">
      <c r="D191" s="370"/>
      <c r="J191" s="381"/>
    </row>
    <row r="192" spans="4:11">
      <c r="D192" s="370"/>
      <c r="J192" s="381"/>
      <c r="K192" s="381"/>
    </row>
    <row r="193" spans="4:11">
      <c r="D193" s="370"/>
      <c r="J193" s="381"/>
      <c r="K193" s="381"/>
    </row>
    <row r="194" spans="4:11">
      <c r="D194" s="370"/>
      <c r="K194" s="381"/>
    </row>
    <row r="195" spans="4:11">
      <c r="D195" s="345"/>
      <c r="E195" s="381"/>
      <c r="F195" s="381"/>
      <c r="G195" s="381"/>
      <c r="H195" s="381"/>
      <c r="I195" s="381"/>
    </row>
    <row r="196" spans="4:11">
      <c r="D196" s="370"/>
      <c r="J196" s="381"/>
    </row>
    <row r="197" spans="4:11">
      <c r="D197" s="370"/>
      <c r="J197" s="381"/>
      <c r="K197" s="381"/>
    </row>
    <row r="198" spans="4:11">
      <c r="D198" s="345"/>
      <c r="E198" s="381"/>
      <c r="F198" s="381"/>
      <c r="G198" s="381"/>
      <c r="H198" s="381"/>
      <c r="I198" s="381"/>
      <c r="K198" s="381"/>
    </row>
    <row r="199" spans="4:11">
      <c r="D199" s="370"/>
    </row>
    <row r="200" spans="4:11">
      <c r="D200" s="345"/>
      <c r="E200" s="381"/>
      <c r="F200" s="381"/>
      <c r="G200" s="381"/>
      <c r="H200" s="381"/>
      <c r="I200" s="381"/>
    </row>
    <row r="201" spans="4:11">
      <c r="D201" s="370"/>
      <c r="E201" s="381"/>
      <c r="F201" s="381"/>
      <c r="G201" s="381"/>
      <c r="H201" s="381"/>
      <c r="I201" s="381"/>
    </row>
    <row r="202" spans="4:11">
      <c r="D202" s="370"/>
    </row>
    <row r="203" spans="4:11">
      <c r="D203" s="370"/>
    </row>
    <row r="204" spans="4:11">
      <c r="D204" s="345"/>
      <c r="E204" s="381"/>
      <c r="F204" s="381"/>
      <c r="G204" s="381"/>
      <c r="H204" s="381"/>
      <c r="I204" s="381"/>
    </row>
    <row r="205" spans="4:11">
      <c r="D205" s="370"/>
      <c r="E205" s="381"/>
      <c r="F205" s="381"/>
      <c r="G205" s="381"/>
      <c r="H205" s="381"/>
      <c r="I205" s="381"/>
    </row>
    <row r="206" spans="4:11">
      <c r="D206" s="370"/>
    </row>
    <row r="207" spans="4:11">
      <c r="D207" s="345"/>
      <c r="E207" s="381"/>
      <c r="F207" s="381"/>
      <c r="G207" s="381"/>
      <c r="H207" s="381"/>
      <c r="I207" s="381"/>
    </row>
    <row r="208" spans="4:11">
      <c r="D208" s="370"/>
      <c r="J208" s="381"/>
    </row>
    <row r="209" spans="4:11">
      <c r="D209" s="370"/>
      <c r="J209" s="381"/>
      <c r="K209" s="381"/>
    </row>
    <row r="210" spans="4:11">
      <c r="D210" s="345"/>
      <c r="E210" s="381"/>
      <c r="F210" s="381"/>
      <c r="G210" s="381"/>
      <c r="H210" s="381"/>
      <c r="I210" s="381"/>
      <c r="K210" s="381"/>
    </row>
    <row r="211" spans="4:11">
      <c r="D211" s="370"/>
    </row>
    <row r="212" spans="4:11">
      <c r="D212" s="370"/>
      <c r="J212" s="381"/>
    </row>
    <row r="213" spans="4:11">
      <c r="D213" s="370"/>
      <c r="J213" s="381"/>
      <c r="K213" s="381"/>
    </row>
    <row r="214" spans="4:11">
      <c r="D214" s="345"/>
      <c r="E214" s="381"/>
      <c r="F214" s="381"/>
      <c r="G214" s="381"/>
      <c r="H214" s="381"/>
      <c r="I214" s="381"/>
      <c r="K214" s="381"/>
    </row>
    <row r="215" spans="4:11">
      <c r="D215" s="370"/>
    </row>
    <row r="216" spans="4:11">
      <c r="D216" s="370"/>
      <c r="E216" s="345"/>
      <c r="F216" s="345"/>
      <c r="G216" s="345"/>
      <c r="H216" s="345"/>
      <c r="I216" s="345"/>
      <c r="J216" s="381"/>
    </row>
    <row r="217" spans="4:11">
      <c r="D217" s="370"/>
      <c r="E217" s="345"/>
      <c r="F217" s="345"/>
      <c r="G217" s="345"/>
      <c r="H217" s="345"/>
      <c r="I217" s="345"/>
      <c r="K217" s="381"/>
    </row>
    <row r="218" spans="4:11">
      <c r="D218" s="370"/>
    </row>
    <row r="219" spans="4:11">
      <c r="D219" s="370"/>
    </row>
    <row r="220" spans="4:11">
      <c r="D220" s="370"/>
    </row>
    <row r="221" spans="4:11">
      <c r="D221" s="345"/>
      <c r="E221" s="381"/>
      <c r="F221" s="381"/>
      <c r="G221" s="381"/>
      <c r="H221" s="381"/>
      <c r="I221" s="381"/>
    </row>
    <row r="222" spans="4:11">
      <c r="D222" s="345"/>
      <c r="E222" s="381"/>
      <c r="F222" s="381"/>
      <c r="G222" s="381"/>
      <c r="H222" s="381"/>
      <c r="I222" s="381"/>
    </row>
    <row r="223" spans="4:11">
      <c r="D223" s="370"/>
      <c r="E223" s="381"/>
      <c r="F223" s="381"/>
      <c r="G223" s="381"/>
      <c r="H223" s="381"/>
      <c r="I223" s="381"/>
    </row>
    <row r="224" spans="4:11">
      <c r="D224" s="370"/>
      <c r="E224" s="381"/>
      <c r="F224" s="381"/>
      <c r="G224" s="381"/>
      <c r="H224" s="381"/>
      <c r="I224" s="381"/>
    </row>
    <row r="225" spans="4:11">
      <c r="D225" s="370"/>
    </row>
    <row r="226" spans="4:11">
      <c r="D226" s="345"/>
      <c r="E226" s="381"/>
      <c r="F226" s="381"/>
      <c r="G226" s="381"/>
      <c r="H226" s="381"/>
      <c r="I226" s="381"/>
    </row>
    <row r="227" spans="4:11">
      <c r="D227" s="370"/>
      <c r="E227" s="381"/>
      <c r="F227" s="381"/>
      <c r="G227" s="381"/>
      <c r="H227" s="381"/>
      <c r="I227" s="381"/>
    </row>
    <row r="228" spans="4:11">
      <c r="D228" s="370"/>
      <c r="E228" s="381"/>
      <c r="F228" s="381"/>
      <c r="G228" s="381"/>
      <c r="H228" s="381"/>
      <c r="I228" s="381"/>
    </row>
    <row r="229" spans="4:11">
      <c r="D229" s="370"/>
    </row>
    <row r="230" spans="4:11">
      <c r="D230" s="370"/>
    </row>
    <row r="231" spans="4:11">
      <c r="D231" s="370"/>
      <c r="J231" s="381"/>
    </row>
    <row r="232" spans="4:11">
      <c r="D232" s="370"/>
      <c r="J232" s="381"/>
      <c r="K232" s="381"/>
    </row>
    <row r="233" spans="4:11">
      <c r="D233" s="370"/>
      <c r="K233" s="381"/>
    </row>
    <row r="234" spans="4:11">
      <c r="D234" s="370"/>
      <c r="J234" s="381"/>
    </row>
    <row r="235" spans="4:11">
      <c r="D235" s="370"/>
      <c r="J235" s="381"/>
      <c r="K235" s="381"/>
    </row>
    <row r="236" spans="4:11">
      <c r="D236" s="370"/>
      <c r="J236" s="381"/>
      <c r="K236" s="381"/>
    </row>
    <row r="237" spans="4:11">
      <c r="D237" s="370"/>
      <c r="K237" s="381"/>
    </row>
    <row r="238" spans="4:11">
      <c r="D238" s="345"/>
      <c r="E238" s="381"/>
      <c r="F238" s="381"/>
      <c r="G238" s="381"/>
      <c r="H238" s="381"/>
      <c r="I238" s="381"/>
    </row>
    <row r="239" spans="4:11">
      <c r="D239" s="370"/>
      <c r="J239" s="381"/>
    </row>
    <row r="240" spans="4:11">
      <c r="D240" s="370"/>
      <c r="J240" s="381"/>
      <c r="K240" s="381"/>
    </row>
    <row r="241" spans="4:11">
      <c r="D241" s="345"/>
      <c r="E241" s="381"/>
      <c r="F241" s="381"/>
      <c r="G241" s="381"/>
      <c r="H241" s="381"/>
      <c r="I241" s="381"/>
      <c r="K241" s="381"/>
    </row>
    <row r="242" spans="4:11">
      <c r="D242" s="370"/>
    </row>
    <row r="243" spans="4:11">
      <c r="D243" s="345"/>
      <c r="E243" s="381"/>
      <c r="F243" s="381"/>
      <c r="G243" s="381"/>
      <c r="H243" s="381"/>
      <c r="I243" s="381"/>
    </row>
    <row r="244" spans="4:11">
      <c r="D244" s="370"/>
      <c r="E244" s="381"/>
      <c r="F244" s="381"/>
      <c r="G244" s="381"/>
      <c r="H244" s="381"/>
      <c r="I244" s="381"/>
    </row>
    <row r="245" spans="4:11">
      <c r="D245" s="370"/>
    </row>
    <row r="246" spans="4:11">
      <c r="D246" s="370"/>
    </row>
    <row r="247" spans="4:11">
      <c r="D247" s="345"/>
      <c r="E247" s="381"/>
      <c r="F247" s="381"/>
      <c r="G247" s="381"/>
      <c r="H247" s="381"/>
      <c r="I247" s="381"/>
    </row>
    <row r="248" spans="4:11">
      <c r="D248" s="370"/>
      <c r="E248" s="381"/>
      <c r="F248" s="381"/>
      <c r="G248" s="381"/>
      <c r="H248" s="381"/>
      <c r="I248" s="381"/>
    </row>
    <row r="249" spans="4:11">
      <c r="D249" s="370"/>
    </row>
    <row r="250" spans="4:11">
      <c r="D250" s="345"/>
      <c r="E250" s="381"/>
      <c r="F250" s="381"/>
      <c r="G250" s="381"/>
      <c r="H250" s="381"/>
      <c r="I250" s="381"/>
    </row>
    <row r="251" spans="4:11">
      <c r="D251" s="370"/>
      <c r="J251" s="381"/>
    </row>
    <row r="252" spans="4:11">
      <c r="D252" s="370"/>
      <c r="J252" s="381"/>
      <c r="K252" s="381"/>
    </row>
    <row r="253" spans="4:11">
      <c r="D253" s="345"/>
      <c r="E253" s="381"/>
      <c r="F253" s="381"/>
      <c r="G253" s="381"/>
      <c r="H253" s="381"/>
      <c r="I253" s="381"/>
      <c r="K253" s="381"/>
    </row>
    <row r="254" spans="4:11">
      <c r="D254" s="370"/>
    </row>
    <row r="255" spans="4:11">
      <c r="D255" s="370"/>
      <c r="J255" s="381"/>
    </row>
    <row r="256" spans="4:11">
      <c r="D256" s="370"/>
      <c r="J256" s="381"/>
      <c r="K256" s="381"/>
    </row>
    <row r="257" spans="4:11">
      <c r="D257" s="345"/>
      <c r="E257" s="381"/>
      <c r="F257" s="381"/>
      <c r="G257" s="381"/>
      <c r="H257" s="381"/>
      <c r="I257" s="381"/>
      <c r="K257" s="381"/>
    </row>
    <row r="258" spans="4:11">
      <c r="D258" s="370"/>
    </row>
    <row r="259" spans="4:11">
      <c r="D259" s="370"/>
      <c r="E259" s="345"/>
      <c r="F259" s="345"/>
      <c r="G259" s="345"/>
      <c r="H259" s="345"/>
      <c r="I259" s="345"/>
      <c r="J259" s="381"/>
    </row>
    <row r="260" spans="4:11">
      <c r="D260" s="370"/>
      <c r="E260" s="345"/>
      <c r="F260" s="345"/>
      <c r="G260" s="345"/>
      <c r="H260" s="345"/>
      <c r="I260" s="345"/>
      <c r="K260" s="381"/>
    </row>
    <row r="261" spans="4:11">
      <c r="D261" s="370"/>
    </row>
    <row r="262" spans="4:11">
      <c r="D262" s="370"/>
    </row>
    <row r="263" spans="4:11">
      <c r="D263" s="370"/>
    </row>
    <row r="264" spans="4:11">
      <c r="D264" s="370"/>
    </row>
    <row r="265" spans="4:11">
      <c r="D265" s="370"/>
    </row>
    <row r="266" spans="4:11">
      <c r="D266" s="370"/>
    </row>
    <row r="267" spans="4:11">
      <c r="D267" s="370"/>
    </row>
    <row r="268" spans="4:11">
      <c r="D268" s="370"/>
    </row>
    <row r="269" spans="4:11">
      <c r="D269" s="370"/>
    </row>
    <row r="270" spans="4:11">
      <c r="D270" s="370"/>
    </row>
    <row r="271" spans="4:11">
      <c r="D271" s="370"/>
    </row>
    <row r="272" spans="4:11">
      <c r="D272" s="370"/>
    </row>
    <row r="273" spans="4:4">
      <c r="D273" s="370"/>
    </row>
    <row r="274" spans="4:4">
      <c r="D274" s="370"/>
    </row>
    <row r="275" spans="4:4">
      <c r="D275" s="370"/>
    </row>
    <row r="276" spans="4:4">
      <c r="D276" s="370"/>
    </row>
    <row r="277" spans="4:4">
      <c r="D277" s="370"/>
    </row>
    <row r="278" spans="4:4">
      <c r="D278" s="370"/>
    </row>
    <row r="279" spans="4:4">
      <c r="D279" s="370"/>
    </row>
    <row r="280" spans="4:4">
      <c r="D280" s="370"/>
    </row>
    <row r="281" spans="4:4">
      <c r="D281" s="370"/>
    </row>
    <row r="282" spans="4:4">
      <c r="D282" s="370"/>
    </row>
    <row r="283" spans="4:4">
      <c r="D283" s="370"/>
    </row>
    <row r="284" spans="4:4">
      <c r="D284" s="370"/>
    </row>
    <row r="285" spans="4:4">
      <c r="D285" s="370"/>
    </row>
    <row r="286" spans="4:4">
      <c r="D286" s="370"/>
    </row>
    <row r="287" spans="4:4">
      <c r="D287" s="370"/>
    </row>
    <row r="288" spans="4:4">
      <c r="D288" s="370"/>
    </row>
    <row r="289" spans="4:4">
      <c r="D289" s="370"/>
    </row>
    <row r="290" spans="4:4">
      <c r="D290" s="370"/>
    </row>
    <row r="291" spans="4:4">
      <c r="D291" s="370"/>
    </row>
    <row r="292" spans="4:4">
      <c r="D292" s="370"/>
    </row>
    <row r="293" spans="4:4">
      <c r="D293" s="370"/>
    </row>
    <row r="294" spans="4:4">
      <c r="D294" s="370"/>
    </row>
    <row r="295" spans="4:4">
      <c r="D295" s="370"/>
    </row>
    <row r="296" spans="4:4">
      <c r="D296" s="370"/>
    </row>
    <row r="297" spans="4:4">
      <c r="D297" s="370"/>
    </row>
    <row r="298" spans="4:4">
      <c r="D298" s="370"/>
    </row>
    <row r="299" spans="4:4">
      <c r="D299" s="370"/>
    </row>
    <row r="300" spans="4:4">
      <c r="D300" s="370"/>
    </row>
    <row r="301" spans="4:4">
      <c r="D301" s="370"/>
    </row>
    <row r="302" spans="4:4">
      <c r="D302" s="370"/>
    </row>
    <row r="303" spans="4:4">
      <c r="D303" s="370"/>
    </row>
    <row r="304" spans="4:4">
      <c r="D304" s="370"/>
    </row>
    <row r="305" spans="4:4">
      <c r="D305" s="370"/>
    </row>
    <row r="306" spans="4:4">
      <c r="D306" s="370"/>
    </row>
    <row r="307" spans="4:4">
      <c r="D307" s="370"/>
    </row>
    <row r="308" spans="4:4">
      <c r="D308" s="370"/>
    </row>
    <row r="309" spans="4:4">
      <c r="D309" s="370"/>
    </row>
    <row r="310" spans="4:4">
      <c r="D310" s="370"/>
    </row>
    <row r="311" spans="4:4">
      <c r="D311" s="370"/>
    </row>
    <row r="312" spans="4:4">
      <c r="D312" s="370"/>
    </row>
    <row r="313" spans="4:4">
      <c r="D313" s="370"/>
    </row>
    <row r="314" spans="4:4">
      <c r="D314" s="370"/>
    </row>
    <row r="315" spans="4:4">
      <c r="D315" s="370"/>
    </row>
    <row r="316" spans="4:4">
      <c r="D316" s="370"/>
    </row>
    <row r="317" spans="4:4">
      <c r="D317" s="370"/>
    </row>
    <row r="318" spans="4:4">
      <c r="D318" s="370"/>
    </row>
    <row r="319" spans="4:4">
      <c r="D319" s="370"/>
    </row>
    <row r="320" spans="4:4">
      <c r="D320" s="370"/>
    </row>
    <row r="321" spans="4:4">
      <c r="D321" s="370"/>
    </row>
    <row r="322" spans="4:4">
      <c r="D322" s="370"/>
    </row>
    <row r="323" spans="4:4">
      <c r="D323" s="370"/>
    </row>
    <row r="324" spans="4:4">
      <c r="D324" s="370"/>
    </row>
    <row r="325" spans="4:4">
      <c r="D325" s="370"/>
    </row>
    <row r="326" spans="4:4">
      <c r="D326" s="370"/>
    </row>
    <row r="327" spans="4:4">
      <c r="D327" s="370"/>
    </row>
    <row r="328" spans="4:4">
      <c r="D328" s="370"/>
    </row>
    <row r="329" spans="4:4">
      <c r="D329" s="370"/>
    </row>
    <row r="330" spans="4:4">
      <c r="D330" s="370"/>
    </row>
    <row r="331" spans="4:4">
      <c r="D331" s="370"/>
    </row>
    <row r="332" spans="4:4">
      <c r="D332" s="370"/>
    </row>
    <row r="333" spans="4:4">
      <c r="D333" s="370"/>
    </row>
    <row r="334" spans="4:4">
      <c r="D334" s="370"/>
    </row>
    <row r="335" spans="4:4">
      <c r="D335" s="370"/>
    </row>
    <row r="336" spans="4:4">
      <c r="D336" s="370"/>
    </row>
    <row r="337" spans="4:4">
      <c r="D337" s="370"/>
    </row>
    <row r="338" spans="4:4">
      <c r="D338" s="370"/>
    </row>
    <row r="339" spans="4:4">
      <c r="D339" s="370"/>
    </row>
    <row r="340" spans="4:4">
      <c r="D340" s="370"/>
    </row>
    <row r="341" spans="4:4">
      <c r="D341" s="370"/>
    </row>
    <row r="342" spans="4:4">
      <c r="D342" s="370"/>
    </row>
    <row r="343" spans="4:4">
      <c r="D343" s="370"/>
    </row>
    <row r="344" spans="4:4">
      <c r="D344" s="370"/>
    </row>
    <row r="345" spans="4:4">
      <c r="D345" s="370"/>
    </row>
    <row r="346" spans="4:4">
      <c r="D346" s="370"/>
    </row>
    <row r="347" spans="4:4">
      <c r="D347" s="370"/>
    </row>
    <row r="348" spans="4:4">
      <c r="D348" s="370"/>
    </row>
    <row r="349" spans="4:4">
      <c r="D349" s="370"/>
    </row>
    <row r="350" spans="4:4">
      <c r="D350" s="370"/>
    </row>
    <row r="351" spans="4:4">
      <c r="D351" s="370"/>
    </row>
    <row r="352" spans="4:4">
      <c r="D352" s="370"/>
    </row>
    <row r="353" spans="4:4">
      <c r="D353" s="370"/>
    </row>
    <row r="354" spans="4:4">
      <c r="D354" s="370"/>
    </row>
    <row r="355" spans="4:4">
      <c r="D355" s="370"/>
    </row>
    <row r="356" spans="4:4">
      <c r="D356" s="370"/>
    </row>
    <row r="357" spans="4:4">
      <c r="D357" s="370"/>
    </row>
    <row r="358" spans="4:4">
      <c r="D358" s="370"/>
    </row>
    <row r="359" spans="4:4">
      <c r="D359" s="370"/>
    </row>
    <row r="360" spans="4:4">
      <c r="D360" s="370"/>
    </row>
    <row r="361" spans="4:4">
      <c r="D361" s="370"/>
    </row>
    <row r="362" spans="4:4">
      <c r="D362" s="370"/>
    </row>
    <row r="363" spans="4:4">
      <c r="D363" s="370"/>
    </row>
    <row r="364" spans="4:4">
      <c r="D364" s="370"/>
    </row>
    <row r="365" spans="4:4">
      <c r="D365" s="370"/>
    </row>
    <row r="366" spans="4:4">
      <c r="D366" s="370"/>
    </row>
    <row r="367" spans="4:4">
      <c r="D367" s="370"/>
    </row>
    <row r="368" spans="4:4">
      <c r="D368" s="370"/>
    </row>
    <row r="369" spans="4:4">
      <c r="D369" s="370"/>
    </row>
    <row r="370" spans="4:4">
      <c r="D370" s="370"/>
    </row>
    <row r="371" spans="4:4">
      <c r="D371" s="370"/>
    </row>
    <row r="372" spans="4:4">
      <c r="D372" s="370"/>
    </row>
    <row r="373" spans="4:4">
      <c r="D373" s="370"/>
    </row>
    <row r="374" spans="4:4">
      <c r="D374" s="370"/>
    </row>
    <row r="375" spans="4:4">
      <c r="D375" s="370"/>
    </row>
    <row r="376" spans="4:4">
      <c r="D376" s="370"/>
    </row>
    <row r="377" spans="4:4">
      <c r="D377" s="370"/>
    </row>
    <row r="378" spans="4:4">
      <c r="D378" s="370"/>
    </row>
    <row r="379" spans="4:4">
      <c r="D379" s="370"/>
    </row>
    <row r="380" spans="4:4">
      <c r="D380" s="370"/>
    </row>
    <row r="381" spans="4:4">
      <c r="D381" s="370"/>
    </row>
    <row r="382" spans="4:4">
      <c r="D382" s="370"/>
    </row>
    <row r="383" spans="4:4">
      <c r="D383" s="370"/>
    </row>
    <row r="384" spans="4:4">
      <c r="D384" s="370"/>
    </row>
    <row r="385" spans="4:4">
      <c r="D385" s="370"/>
    </row>
    <row r="386" spans="4:4">
      <c r="D386" s="370"/>
    </row>
    <row r="387" spans="4:4">
      <c r="D387" s="370"/>
    </row>
    <row r="388" spans="4:4">
      <c r="D388" s="370"/>
    </row>
    <row r="389" spans="4:4">
      <c r="D389" s="370"/>
    </row>
    <row r="390" spans="4:4">
      <c r="D390" s="370"/>
    </row>
    <row r="391" spans="4:4">
      <c r="D391" s="370"/>
    </row>
    <row r="392" spans="4:4">
      <c r="D392" s="370"/>
    </row>
    <row r="393" spans="4:4">
      <c r="D393" s="370"/>
    </row>
    <row r="394" spans="4:4">
      <c r="D394" s="370"/>
    </row>
    <row r="395" spans="4:4">
      <c r="D395" s="370"/>
    </row>
    <row r="396" spans="4:4">
      <c r="D396" s="370"/>
    </row>
    <row r="397" spans="4:4">
      <c r="D397" s="370"/>
    </row>
    <row r="398" spans="4:4">
      <c r="D398" s="370"/>
    </row>
    <row r="399" spans="4:4">
      <c r="D399" s="370"/>
    </row>
    <row r="400" spans="4:4">
      <c r="D400" s="370"/>
    </row>
    <row r="401" spans="4:4">
      <c r="D401" s="370"/>
    </row>
    <row r="402" spans="4:4">
      <c r="D402" s="370"/>
    </row>
    <row r="403" spans="4:4">
      <c r="D403" s="370"/>
    </row>
    <row r="404" spans="4:4">
      <c r="D404" s="370"/>
    </row>
    <row r="405" spans="4:4">
      <c r="D405" s="370"/>
    </row>
    <row r="406" spans="4:4">
      <c r="D406" s="370"/>
    </row>
    <row r="407" spans="4:4">
      <c r="D407" s="370"/>
    </row>
    <row r="408" spans="4:4">
      <c r="D408" s="370"/>
    </row>
    <row r="409" spans="4:4">
      <c r="D409" s="370"/>
    </row>
    <row r="410" spans="4:4">
      <c r="D410" s="370"/>
    </row>
    <row r="411" spans="4:4">
      <c r="D411" s="370"/>
    </row>
    <row r="412" spans="4:4">
      <c r="D412" s="370"/>
    </row>
    <row r="413" spans="4:4">
      <c r="D413" s="370"/>
    </row>
    <row r="414" spans="4:4">
      <c r="D414" s="370"/>
    </row>
    <row r="415" spans="4:4">
      <c r="D415" s="370"/>
    </row>
    <row r="416" spans="4:4">
      <c r="D416" s="370"/>
    </row>
    <row r="417" spans="4:4">
      <c r="D417" s="370"/>
    </row>
    <row r="418" spans="4:4">
      <c r="D418" s="370"/>
    </row>
    <row r="419" spans="4:4">
      <c r="D419" s="370"/>
    </row>
    <row r="420" spans="4:4">
      <c r="D420" s="370"/>
    </row>
    <row r="421" spans="4:4">
      <c r="D421" s="370"/>
    </row>
    <row r="422" spans="4:4">
      <c r="D422" s="370"/>
    </row>
    <row r="423" spans="4:4">
      <c r="D423" s="370"/>
    </row>
    <row r="424" spans="4:4">
      <c r="D424" s="370"/>
    </row>
    <row r="425" spans="4:4">
      <c r="D425" s="370"/>
    </row>
    <row r="426" spans="4:4">
      <c r="D426" s="370"/>
    </row>
    <row r="427" spans="4:4">
      <c r="D427" s="370"/>
    </row>
    <row r="428" spans="4:4">
      <c r="D428" s="370"/>
    </row>
    <row r="429" spans="4:4">
      <c r="D429" s="370"/>
    </row>
    <row r="430" spans="4:4">
      <c r="D430" s="370"/>
    </row>
    <row r="431" spans="4:4">
      <c r="D431" s="370"/>
    </row>
    <row r="432" spans="4:4">
      <c r="D432" s="370"/>
    </row>
    <row r="433" spans="4:4">
      <c r="D433" s="370"/>
    </row>
    <row r="434" spans="4:4">
      <c r="D434" s="370"/>
    </row>
    <row r="435" spans="4:4">
      <c r="D435" s="370"/>
    </row>
    <row r="436" spans="4:4">
      <c r="D436" s="370"/>
    </row>
    <row r="437" spans="4:4">
      <c r="D437" s="370"/>
    </row>
    <row r="438" spans="4:4">
      <c r="D438" s="370"/>
    </row>
    <row r="439" spans="4:4">
      <c r="D439" s="370"/>
    </row>
    <row r="440" spans="4:4">
      <c r="D440" s="370"/>
    </row>
    <row r="441" spans="4:4">
      <c r="D441" s="370"/>
    </row>
    <row r="442" spans="4:4">
      <c r="D442" s="370"/>
    </row>
    <row r="443" spans="4:4">
      <c r="D443" s="370"/>
    </row>
    <row r="444" spans="4:4">
      <c r="D444" s="370"/>
    </row>
    <row r="445" spans="4:4">
      <c r="D445" s="370"/>
    </row>
    <row r="446" spans="4:4">
      <c r="D446" s="370"/>
    </row>
    <row r="447" spans="4:4">
      <c r="D447" s="370"/>
    </row>
    <row r="448" spans="4:4">
      <c r="D448" s="370"/>
    </row>
    <row r="449" spans="4:4">
      <c r="D449" s="370"/>
    </row>
  </sheetData>
  <phoneticPr fontId="26" type="noConversion"/>
  <pageMargins left="0.75" right="0.75" top="1" bottom="1" header="0.5" footer="0.5"/>
  <pageSetup scale="46" orientation="landscape"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56">
    <pageSetUpPr fitToPage="1"/>
  </sheetPr>
  <dimension ref="B1:AA165"/>
  <sheetViews>
    <sheetView showGridLines="0" zoomScale="80" zoomScaleNormal="80" zoomScaleSheetLayoutView="80" workbookViewId="0"/>
  </sheetViews>
  <sheetFormatPr defaultColWidth="9.109375" defaultRowHeight="12"/>
  <cols>
    <col min="1" max="1" width="2.33203125" style="39" customWidth="1"/>
    <col min="2" max="2" width="26.5546875" style="39" customWidth="1"/>
    <col min="3" max="9" width="10" style="39" customWidth="1"/>
    <col min="10" max="10" width="26.6640625" style="39" customWidth="1"/>
    <col min="11" max="16" width="10" style="39" customWidth="1"/>
    <col min="17" max="19" width="8.6640625" style="39" customWidth="1"/>
    <col min="20" max="27" width="8.6640625" style="5" customWidth="1"/>
    <col min="28" max="28" width="8.6640625" style="39" customWidth="1"/>
    <col min="29" max="16384" width="9.109375" style="39"/>
  </cols>
  <sheetData>
    <row r="1" spans="2:27" s="312" customFormat="1">
      <c r="T1" s="149"/>
      <c r="U1" s="149"/>
      <c r="V1" s="149"/>
      <c r="W1" s="149"/>
      <c r="X1" s="149"/>
      <c r="Y1" s="149"/>
      <c r="Z1" s="149"/>
      <c r="AA1" s="149"/>
    </row>
    <row r="2" spans="2:27" s="149" customFormat="1"/>
    <row r="3" spans="2:27" s="149" customFormat="1">
      <c r="H3" s="153"/>
      <c r="P3" s="153"/>
    </row>
    <row r="4" spans="2:27" s="156" customFormat="1" ht="21">
      <c r="B4" s="129" t="s">
        <v>410</v>
      </c>
      <c r="H4" s="222"/>
      <c r="P4" s="222"/>
    </row>
    <row r="5" spans="2:27" s="149" customFormat="1">
      <c r="C5" s="153"/>
      <c r="D5" s="153" t="str" cm="1">
        <f t="array" ref="D5:H5">headings</f>
        <v>2023E</v>
      </c>
      <c r="E5" s="153" t="str">
        <v>2024E</v>
      </c>
      <c r="F5" s="153" t="str">
        <v>2025E</v>
      </c>
      <c r="G5" s="153" t="str">
        <v>2026E</v>
      </c>
      <c r="H5" s="153" t="str">
        <v>23E-26E</v>
      </c>
      <c r="I5" s="153"/>
      <c r="J5" s="153"/>
      <c r="K5" s="153"/>
      <c r="L5" s="153" t="str" cm="1">
        <f t="array" ref="L5:P5">headings</f>
        <v>2023E</v>
      </c>
      <c r="M5" s="153" t="str">
        <v>2024E</v>
      </c>
      <c r="N5" s="153" t="str">
        <v>2025E</v>
      </c>
      <c r="O5" s="153" t="str">
        <v>2026E</v>
      </c>
      <c r="P5" s="153" t="str">
        <v>23E-26E</v>
      </c>
      <c r="Q5" s="162"/>
      <c r="R5" s="162"/>
      <c r="S5" s="162"/>
      <c r="T5" s="162"/>
      <c r="U5" s="162"/>
      <c r="V5" s="162"/>
      <c r="W5" s="162"/>
      <c r="X5" s="162"/>
      <c r="Y5" s="162"/>
    </row>
    <row r="6" spans="2:27">
      <c r="I6" s="5"/>
      <c r="J6" s="5"/>
      <c r="K6" s="5"/>
      <c r="L6" s="5"/>
      <c r="M6" s="5"/>
      <c r="N6" s="5"/>
      <c r="O6" s="49"/>
    </row>
    <row r="7" spans="2:27" ht="12.6" thickBot="1">
      <c r="B7" s="306" t="s">
        <v>271</v>
      </c>
      <c r="C7" s="265"/>
      <c r="D7" s="265" t="str">
        <f>D5</f>
        <v>2023E</v>
      </c>
      <c r="E7" s="265" t="str">
        <f t="shared" ref="E7:H7" si="0">E5</f>
        <v>2024E</v>
      </c>
      <c r="F7" s="265" t="str">
        <f t="shared" si="0"/>
        <v>2025E</v>
      </c>
      <c r="G7" s="265" t="str">
        <f t="shared" si="0"/>
        <v>2026E</v>
      </c>
      <c r="H7" s="265" t="str">
        <f t="shared" si="0"/>
        <v>23E-26E</v>
      </c>
      <c r="I7" s="49"/>
      <c r="J7" s="306" t="s">
        <v>180</v>
      </c>
      <c r="K7" s="306"/>
      <c r="L7" s="265" t="str">
        <f>L5</f>
        <v>2023E</v>
      </c>
      <c r="M7" s="265" t="str">
        <f t="shared" ref="M7:P7" si="1">M5</f>
        <v>2024E</v>
      </c>
      <c r="N7" s="265" t="str">
        <f t="shared" si="1"/>
        <v>2025E</v>
      </c>
      <c r="O7" s="265" t="str">
        <f t="shared" si="1"/>
        <v>2026E</v>
      </c>
      <c r="P7" s="265" t="str">
        <f t="shared" si="1"/>
        <v>23E-26E</v>
      </c>
      <c r="T7" s="39"/>
      <c r="U7" s="39"/>
      <c r="V7" s="39"/>
    </row>
    <row r="8" spans="2:27" ht="12.6" thickTop="1">
      <c r="B8" s="5"/>
      <c r="C8" s="5"/>
      <c r="D8" s="5"/>
      <c r="E8" s="5"/>
      <c r="F8" s="5"/>
      <c r="G8" s="5"/>
      <c r="H8" s="5"/>
      <c r="I8" s="5"/>
      <c r="J8" s="5"/>
      <c r="K8" s="5"/>
      <c r="L8" s="5"/>
      <c r="M8" s="5"/>
      <c r="N8" s="5"/>
      <c r="S8" s="88"/>
      <c r="T8" s="88"/>
      <c r="U8" s="88"/>
      <c r="V8" s="88"/>
      <c r="W8" s="42"/>
      <c r="X8" s="42"/>
      <c r="Y8" s="42"/>
      <c r="Z8" s="42"/>
      <c r="AA8" s="42"/>
    </row>
    <row r="9" spans="2:27">
      <c r="B9" s="41" t="s">
        <v>117</v>
      </c>
      <c r="C9" s="267">
        <f>Prices!C40</f>
        <v>17.5</v>
      </c>
      <c r="D9" s="535">
        <v>0</v>
      </c>
      <c r="E9" s="536">
        <v>0</v>
      </c>
      <c r="F9" s="536">
        <v>0</v>
      </c>
      <c r="G9" s="536">
        <v>0</v>
      </c>
      <c r="H9" s="249"/>
      <c r="I9" s="249"/>
      <c r="J9" s="5" t="s">
        <v>273</v>
      </c>
      <c r="L9" s="529">
        <f>'US TELCO'!D37</f>
        <v>2.5137859043736563</v>
      </c>
      <c r="M9" s="529">
        <f>'US TELCO'!E37</f>
        <v>2.3418033291822886</v>
      </c>
      <c r="N9" s="529">
        <f>'US TELCO'!F37</f>
        <v>2.1405480707080522</v>
      </c>
      <c r="O9" s="529">
        <f>'US TELCO'!G37</f>
        <v>1.9475888569848374</v>
      </c>
      <c r="P9" s="18">
        <f>'US TELCO'!H37</f>
        <v>1.8592642260168768E-2</v>
      </c>
      <c r="S9" s="88"/>
      <c r="T9" s="42"/>
      <c r="U9" s="42"/>
      <c r="V9" s="42"/>
      <c r="W9" s="42"/>
      <c r="X9" s="42"/>
      <c r="Y9" s="42"/>
      <c r="Z9" s="42"/>
      <c r="AA9" s="42"/>
    </row>
    <row r="10" spans="2:27">
      <c r="B10" s="5" t="s">
        <v>274</v>
      </c>
      <c r="C10" s="5"/>
      <c r="D10" s="533">
        <v>7186.5</v>
      </c>
      <c r="E10" s="533">
        <v>7191</v>
      </c>
      <c r="F10" s="533">
        <v>7191</v>
      </c>
      <c r="G10" s="533">
        <v>7191</v>
      </c>
      <c r="H10" s="247"/>
      <c r="I10" s="247"/>
      <c r="J10" s="5" t="s">
        <v>184</v>
      </c>
      <c r="L10" s="529">
        <f>'US TELCO'!D38</f>
        <v>7.0004799345610245</v>
      </c>
      <c r="M10" s="529">
        <f>'US TELCO'!E38</f>
        <v>6.3659497867265147</v>
      </c>
      <c r="N10" s="529">
        <f>'US TELCO'!F38</f>
        <v>5.7745168477785871</v>
      </c>
      <c r="O10" s="529">
        <f>'US TELCO'!G38</f>
        <v>5.2274604613312263</v>
      </c>
      <c r="P10" s="18">
        <f>'US TELCO'!H38</f>
        <v>3.1183334923203576E-2</v>
      </c>
      <c r="S10" s="88"/>
      <c r="T10" s="42"/>
      <c r="U10" s="42"/>
      <c r="V10" s="42"/>
      <c r="W10" s="288"/>
      <c r="X10" s="288"/>
      <c r="Y10" s="288"/>
      <c r="Z10" s="288"/>
      <c r="AA10" s="42"/>
    </row>
    <row r="11" spans="2:27">
      <c r="B11" s="41" t="s">
        <v>275</v>
      </c>
      <c r="C11" s="5"/>
      <c r="D11" s="532">
        <f>$C$9*$D10</f>
        <v>125763.75</v>
      </c>
      <c r="E11" s="532">
        <f>$C$9*$E10</f>
        <v>125842.5</v>
      </c>
      <c r="F11" s="532">
        <f>$C$9*$F10</f>
        <v>125842.5</v>
      </c>
      <c r="G11" s="532">
        <f>$C$9*$G10</f>
        <v>125842.5</v>
      </c>
      <c r="H11" s="249"/>
      <c r="I11" s="249"/>
      <c r="J11" s="5" t="s">
        <v>185</v>
      </c>
      <c r="L11" s="529">
        <f>'US TELCO'!D39</f>
        <v>12.361344840920768</v>
      </c>
      <c r="M11" s="529">
        <f>'US TELCO'!E39</f>
        <v>10.302089191081508</v>
      </c>
      <c r="N11" s="529">
        <f>'US TELCO'!F39</f>
        <v>9.1394962866691269</v>
      </c>
      <c r="O11" s="529">
        <f>'US TELCO'!G39</f>
        <v>8.1609892306538363</v>
      </c>
      <c r="P11" s="18">
        <f>'US TELCO'!H39</f>
        <v>7.4396303115465079E-2</v>
      </c>
      <c r="S11" s="88"/>
      <c r="T11" s="42"/>
      <c r="U11" s="42"/>
      <c r="V11" s="42"/>
      <c r="W11" s="288"/>
      <c r="X11" s="288"/>
      <c r="Y11" s="288"/>
      <c r="Z11" s="288"/>
      <c r="AA11" s="42"/>
    </row>
    <row r="12" spans="2:27">
      <c r="B12" s="5" t="s">
        <v>24</v>
      </c>
      <c r="C12" s="249"/>
      <c r="D12" s="533">
        <v>130609</v>
      </c>
      <c r="E12" s="533">
        <v>121262.60842952378</v>
      </c>
      <c r="F12" s="533">
        <v>111914.58475733301</v>
      </c>
      <c r="G12" s="533">
        <v>102017.65874716072</v>
      </c>
      <c r="H12" s="247"/>
      <c r="I12" s="247"/>
      <c r="J12" s="5" t="s">
        <v>466</v>
      </c>
      <c r="L12" s="529">
        <f>'US TELCO'!D40</f>
        <v>17.910316859783464</v>
      </c>
      <c r="M12" s="529">
        <f>'US TELCO'!E40</f>
        <v>15.566299432140243</v>
      </c>
      <c r="N12" s="529">
        <f>'US TELCO'!F40</f>
        <v>13.78175372330595</v>
      </c>
      <c r="O12" s="529">
        <f>'US TELCO'!G40</f>
        <v>12.15772695095534</v>
      </c>
      <c r="P12" s="18">
        <f>'US TELCO'!H40</f>
        <v>6.4487323949837583E-2</v>
      </c>
      <c r="S12" s="88"/>
      <c r="T12" s="42"/>
      <c r="U12" s="42"/>
      <c r="V12" s="42"/>
      <c r="W12" s="288"/>
      <c r="X12" s="288"/>
      <c r="Y12" s="288"/>
      <c r="Z12" s="288"/>
      <c r="AA12" s="42"/>
    </row>
    <row r="13" spans="2:27">
      <c r="B13" s="5" t="s">
        <v>529</v>
      </c>
      <c r="C13" s="257"/>
      <c r="D13" s="533">
        <v>0</v>
      </c>
      <c r="E13" s="533">
        <v>0</v>
      </c>
      <c r="F13" s="533">
        <v>0</v>
      </c>
      <c r="G13" s="533">
        <v>0</v>
      </c>
      <c r="H13" s="247"/>
      <c r="I13" s="247"/>
      <c r="J13" s="5" t="s">
        <v>530</v>
      </c>
      <c r="L13" s="529">
        <f>'US TELCO'!D41</f>
        <v>1.2910316989935113</v>
      </c>
      <c r="M13" s="529">
        <f>'US TELCO'!E41</f>
        <v>1.606660528917552</v>
      </c>
      <c r="N13" s="529">
        <f>'US TELCO'!F41</f>
        <v>1.5314525021709535</v>
      </c>
      <c r="O13" s="529">
        <f>'US TELCO'!G41</f>
        <v>1.4556441037262229</v>
      </c>
      <c r="P13" s="18">
        <f>'US TELCO'!H41</f>
        <v>-0.10115646387707644</v>
      </c>
      <c r="S13" s="88"/>
      <c r="T13" s="42"/>
      <c r="U13" s="42"/>
      <c r="V13" s="42"/>
      <c r="W13" s="42"/>
      <c r="X13" s="42"/>
      <c r="Y13" s="42"/>
      <c r="Z13" s="42"/>
      <c r="AA13" s="42"/>
    </row>
    <row r="14" spans="2:27">
      <c r="B14" s="5" t="s">
        <v>532</v>
      </c>
      <c r="C14" s="257"/>
      <c r="D14" s="533">
        <v>11900</v>
      </c>
      <c r="E14" s="533">
        <v>11900</v>
      </c>
      <c r="F14" s="533">
        <v>11900</v>
      </c>
      <c r="G14" s="533">
        <v>11900</v>
      </c>
      <c r="H14" s="247"/>
      <c r="I14" s="247"/>
      <c r="J14" s="5" t="s">
        <v>593</v>
      </c>
      <c r="L14" s="529">
        <f>'US TELCO'!D42</f>
        <v>3.2281499736577772</v>
      </c>
      <c r="M14" s="529">
        <f>'US TELCO'!E42</f>
        <v>3.084908599069784</v>
      </c>
      <c r="N14" s="529">
        <f>'US TELCO'!F42</f>
        <v>2.9153254467268015</v>
      </c>
      <c r="O14" s="529">
        <f>'US TELCO'!G42</f>
        <v>2.743204647593728</v>
      </c>
      <c r="P14" s="18">
        <f>'US TELCO'!H42</f>
        <v>-1.2306873951881125E-2</v>
      </c>
      <c r="S14" s="88"/>
      <c r="T14" s="42"/>
      <c r="U14" s="42"/>
      <c r="V14" s="42"/>
      <c r="W14" s="42"/>
      <c r="X14" s="42"/>
      <c r="Y14" s="42"/>
      <c r="Z14" s="42"/>
      <c r="AA14" s="42"/>
    </row>
    <row r="15" spans="2:27">
      <c r="B15" s="5" t="s">
        <v>531</v>
      </c>
      <c r="C15" s="274"/>
      <c r="D15" s="533">
        <v>21218</v>
      </c>
      <c r="E15" s="533">
        <v>21218</v>
      </c>
      <c r="F15" s="533">
        <v>21218</v>
      </c>
      <c r="G15" s="533">
        <v>21218</v>
      </c>
      <c r="H15" s="247"/>
      <c r="I15" s="247"/>
      <c r="J15" s="5" t="s">
        <v>475</v>
      </c>
      <c r="L15" s="529">
        <f>'US TELCO'!D43</f>
        <v>11.977596383177456</v>
      </c>
      <c r="M15" s="529">
        <f>'US TELCO'!E43</f>
        <v>13.890630468073612</v>
      </c>
      <c r="N15" s="529">
        <f>'US TELCO'!F43</f>
        <v>12.689138672587029</v>
      </c>
      <c r="O15" s="529">
        <f>'US TELCO'!G43</f>
        <v>11.703960467522332</v>
      </c>
      <c r="P15" s="18">
        <f>'US TELCO'!H43</f>
        <v>-2.422411565871474E-2</v>
      </c>
      <c r="S15" s="88"/>
      <c r="T15" s="42"/>
      <c r="U15" s="42"/>
      <c r="V15" s="42"/>
      <c r="W15" s="42"/>
      <c r="X15" s="42"/>
      <c r="Y15" s="42"/>
      <c r="Z15" s="42"/>
      <c r="AA15" s="42"/>
    </row>
    <row r="16" spans="2:27">
      <c r="B16" s="5" t="s">
        <v>534</v>
      </c>
      <c r="C16" s="257"/>
      <c r="D16" s="533">
        <v>8136</v>
      </c>
      <c r="E16" s="533">
        <v>16278.5</v>
      </c>
      <c r="F16" s="533">
        <v>24421</v>
      </c>
      <c r="G16" s="533">
        <v>32563.5</v>
      </c>
      <c r="H16" s="247"/>
      <c r="I16" s="247"/>
      <c r="J16" s="5" t="s">
        <v>533</v>
      </c>
      <c r="L16" s="529">
        <f>'US TELCO'!D44</f>
        <v>11.558228079590609</v>
      </c>
      <c r="M16" s="529">
        <f>'US TELCO'!E44</f>
        <v>11.252240008169979</v>
      </c>
      <c r="N16" s="529">
        <f>'US TELCO'!F44</f>
        <v>10.240241297777224</v>
      </c>
      <c r="O16" s="529">
        <f>'US TELCO'!G44</f>
        <v>9.3292815694175619</v>
      </c>
      <c r="P16" s="18">
        <f>'US TELCO'!H44</f>
        <v>3.9965241834319487E-2</v>
      </c>
      <c r="S16" s="88"/>
      <c r="T16" s="42"/>
      <c r="U16" s="42"/>
      <c r="V16" s="42"/>
      <c r="W16" s="42"/>
      <c r="X16" s="42"/>
      <c r="Y16" s="42"/>
      <c r="Z16" s="42"/>
      <c r="AA16" s="42"/>
    </row>
    <row r="17" spans="2:27">
      <c r="B17" s="5" t="s">
        <v>6</v>
      </c>
      <c r="C17" s="257"/>
      <c r="D17" s="533">
        <v>0</v>
      </c>
      <c r="E17" s="533">
        <v>0</v>
      </c>
      <c r="F17" s="533">
        <v>0</v>
      </c>
      <c r="G17" s="533">
        <v>0</v>
      </c>
      <c r="H17" s="247"/>
      <c r="I17" s="247"/>
      <c r="J17" s="5" t="s">
        <v>580</v>
      </c>
      <c r="L17" s="18">
        <f>'US TELCO'!D45</f>
        <v>3.7573059207814459E-2</v>
      </c>
      <c r="M17" s="18">
        <f>'US TELCO'!E45</f>
        <v>4.3542837531484802E-2</v>
      </c>
      <c r="N17" s="18">
        <f>'US TELCO'!F45</f>
        <v>4.5586452724386897E-2</v>
      </c>
      <c r="O17" s="18">
        <f>'US TELCO'!G45</f>
        <v>4.7939440955118998E-2</v>
      </c>
      <c r="P17" s="18">
        <f>'US TELCO'!H45</f>
        <v>5.0211107719274395E-2</v>
      </c>
      <c r="S17" s="88"/>
      <c r="T17" s="42"/>
      <c r="U17" s="42"/>
      <c r="V17" s="42"/>
      <c r="W17" s="42"/>
      <c r="X17" s="42"/>
      <c r="Y17" s="42"/>
      <c r="Z17" s="42"/>
      <c r="AA17" s="42"/>
    </row>
    <row r="18" spans="2:27" ht="12.6" thickBot="1">
      <c r="B18" s="41" t="s">
        <v>583</v>
      </c>
      <c r="C18" s="249"/>
      <c r="D18" s="534">
        <f>D11+D12+D13-D14+D15-D16-D17</f>
        <v>257554.75</v>
      </c>
      <c r="E18" s="534">
        <f>E11+E12+E13-E14+E15-E16-E17</f>
        <v>240144.60842952377</v>
      </c>
      <c r="F18" s="534">
        <f>F11+F12+F13-F14+F15-F16-F17</f>
        <v>222654.08475733301</v>
      </c>
      <c r="G18" s="534">
        <f>G11+G12+G13-G14+G15-G16-G17</f>
        <v>204614.65874716072</v>
      </c>
      <c r="H18" s="276">
        <f>IF(D18=0,"nm",IF(G18=0,"nm",(G18/D18)^(1/3)-1))</f>
        <v>-7.383351771452884E-2</v>
      </c>
      <c r="I18" s="254"/>
      <c r="J18" s="5" t="s">
        <v>36</v>
      </c>
      <c r="L18" s="18">
        <f>'US TELCO'!D46</f>
        <v>6.2248073075755299E-2</v>
      </c>
      <c r="M18" s="18">
        <f>'US TELCO'!E46</f>
        <v>7.7326889817020045E-2</v>
      </c>
      <c r="N18" s="18">
        <f>'US TELCO'!F46</f>
        <v>8.3529460308981493E-2</v>
      </c>
      <c r="O18" s="18">
        <f>'US TELCO'!G46</f>
        <v>9.1689652210717787E-2</v>
      </c>
      <c r="P18" s="18">
        <f>'US TELCO'!H46</f>
        <v>0.10171503351667854</v>
      </c>
      <c r="S18" s="88"/>
      <c r="T18" s="42"/>
      <c r="U18" s="42"/>
      <c r="V18" s="42"/>
      <c r="W18" s="42"/>
      <c r="X18" s="42"/>
      <c r="Y18" s="42"/>
      <c r="Z18" s="42"/>
      <c r="AA18" s="42"/>
    </row>
    <row r="19" spans="2:27" ht="12.6" thickTop="1">
      <c r="B19" s="41"/>
      <c r="C19" s="249"/>
      <c r="D19" s="229"/>
      <c r="E19" s="229"/>
      <c r="F19" s="229"/>
      <c r="G19" s="229"/>
      <c r="H19" s="276"/>
      <c r="I19" s="254"/>
      <c r="J19" s="5" t="s">
        <v>581</v>
      </c>
      <c r="L19" s="18">
        <f>'US TELCO'!D47</f>
        <v>8.3489205013161136E-2</v>
      </c>
      <c r="M19" s="18">
        <f>'US TELCO'!E47</f>
        <v>7.1990972785462237E-2</v>
      </c>
      <c r="N19" s="18">
        <f>'US TELCO'!F47</f>
        <v>7.8807555485255212E-2</v>
      </c>
      <c r="O19" s="18">
        <f>'US TELCO'!G47</f>
        <v>8.5441163508278226E-2</v>
      </c>
      <c r="P19" s="18">
        <f>'US TELCO'!H47</f>
        <v>-2.422411565871474E-2</v>
      </c>
      <c r="S19" s="88"/>
      <c r="T19" s="42"/>
      <c r="U19" s="42"/>
      <c r="V19" s="42"/>
      <c r="W19" s="42"/>
      <c r="X19" s="42"/>
      <c r="Y19" s="42"/>
      <c r="Z19" s="42"/>
      <c r="AA19" s="42"/>
    </row>
    <row r="20" spans="2:27">
      <c r="H20" s="277"/>
      <c r="I20" s="17"/>
      <c r="J20" s="5" t="s">
        <v>604</v>
      </c>
      <c r="L20" s="552">
        <f>'US TELCO'!D48</f>
        <v>0.45003493807243083</v>
      </c>
      <c r="M20" s="552">
        <f>'US TELCO'!E48</f>
        <v>0.60483746568122188</v>
      </c>
      <c r="N20" s="552">
        <f>'US TELCO'!F48</f>
        <v>0.57845282021107813</v>
      </c>
      <c r="O20" s="552">
        <f>'US TELCO'!G48</f>
        <v>0.56108132177383385</v>
      </c>
      <c r="P20" s="18" t="str">
        <f>'US TELCO'!H48</f>
        <v>nm</v>
      </c>
      <c r="S20" s="88"/>
      <c r="T20" s="42"/>
      <c r="U20" s="42"/>
      <c r="V20" s="42"/>
      <c r="W20" s="42"/>
      <c r="X20" s="42"/>
      <c r="Y20" s="42"/>
      <c r="Z20" s="42"/>
      <c r="AA20" s="42"/>
    </row>
    <row r="21" spans="2:27" ht="12.6" thickBot="1">
      <c r="B21" s="306" t="s">
        <v>927</v>
      </c>
      <c r="C21" s="265"/>
      <c r="D21" s="265" t="str">
        <f>D5</f>
        <v>2023E</v>
      </c>
      <c r="E21" s="265" t="str">
        <f t="shared" ref="E21:H21" si="2">E5</f>
        <v>2024E</v>
      </c>
      <c r="F21" s="265" t="str">
        <f t="shared" si="2"/>
        <v>2025E</v>
      </c>
      <c r="G21" s="265" t="str">
        <f t="shared" si="2"/>
        <v>2026E</v>
      </c>
      <c r="H21" s="265" t="str">
        <f t="shared" si="2"/>
        <v>23E-26E</v>
      </c>
      <c r="I21" s="49"/>
      <c r="J21" s="41"/>
      <c r="L21" s="251"/>
      <c r="M21" s="251"/>
      <c r="N21" s="251"/>
      <c r="O21" s="251"/>
      <c r="P21" s="18"/>
      <c r="S21" s="88"/>
      <c r="T21" s="42"/>
      <c r="U21" s="42"/>
      <c r="V21" s="42"/>
      <c r="W21" s="42"/>
      <c r="X21" s="42"/>
      <c r="Y21" s="42"/>
      <c r="Z21" s="42"/>
      <c r="AA21" s="42"/>
    </row>
    <row r="22" spans="2:27" ht="12.6" thickTop="1">
      <c r="B22" s="5"/>
      <c r="C22" s="257"/>
      <c r="D22" s="17"/>
      <c r="E22" s="17"/>
      <c r="F22" s="17"/>
      <c r="G22" s="17"/>
      <c r="H22" s="17"/>
      <c r="I22" s="17"/>
      <c r="P22" s="277"/>
      <c r="S22" s="88"/>
      <c r="T22" s="42"/>
      <c r="U22" s="42"/>
      <c r="V22" s="42"/>
      <c r="W22" s="42"/>
      <c r="X22" s="42"/>
      <c r="Y22" s="42"/>
      <c r="Z22" s="42"/>
      <c r="AA22" s="42"/>
    </row>
    <row r="23" spans="2:27" ht="12.6" thickBot="1">
      <c r="B23" s="5" t="s">
        <v>584</v>
      </c>
      <c r="C23" s="548">
        <v>120741</v>
      </c>
      <c r="D23" s="533">
        <v>122428</v>
      </c>
      <c r="E23" s="533">
        <v>122554.06372904303</v>
      </c>
      <c r="F23" s="533">
        <v>123678.32064644351</v>
      </c>
      <c r="G23" s="533">
        <v>125103.1919342539</v>
      </c>
      <c r="H23" s="279">
        <f t="shared" ref="H23:H32" si="3">IF(D23=0,"nm",IF(G23=0,"nm",(G23/D23)^(1/3)-1))</f>
        <v>7.2312971710009055E-3</v>
      </c>
      <c r="I23" s="247"/>
      <c r="J23" s="306" t="s">
        <v>9</v>
      </c>
      <c r="K23" s="306"/>
      <c r="L23" s="265" t="str">
        <f>D21</f>
        <v>2023E</v>
      </c>
      <c r="M23" s="265" t="str">
        <f t="shared" ref="M23:P23" si="4">E21</f>
        <v>2024E</v>
      </c>
      <c r="N23" s="265" t="str">
        <f t="shared" si="4"/>
        <v>2025E</v>
      </c>
      <c r="O23" s="265" t="str">
        <f t="shared" si="4"/>
        <v>2026E</v>
      </c>
      <c r="P23" s="265" t="str">
        <f t="shared" si="4"/>
        <v>23E-26E</v>
      </c>
      <c r="S23" s="88"/>
      <c r="T23" s="42"/>
      <c r="U23" s="42"/>
      <c r="V23" s="42"/>
      <c r="W23" s="42"/>
      <c r="X23" s="42"/>
      <c r="Y23" s="42"/>
      <c r="Z23" s="42"/>
      <c r="AA23" s="42"/>
    </row>
    <row r="24" spans="2:27" ht="12.6" thickTop="1">
      <c r="B24" s="5" t="s">
        <v>483</v>
      </c>
      <c r="C24" s="549">
        <v>41465</v>
      </c>
      <c r="D24" s="533">
        <v>43400</v>
      </c>
      <c r="E24" s="533">
        <v>44679.549365863008</v>
      </c>
      <c r="F24" s="533">
        <v>45425.078249554397</v>
      </c>
      <c r="G24" s="533">
        <v>45967.344249986141</v>
      </c>
      <c r="H24" s="279">
        <f t="shared" si="3"/>
        <v>1.9341943051038646E-2</v>
      </c>
      <c r="I24" s="249"/>
      <c r="J24" s="17"/>
      <c r="K24" s="17"/>
      <c r="L24" s="17"/>
      <c r="M24" s="17"/>
      <c r="N24" s="17"/>
      <c r="O24" s="248"/>
      <c r="S24" s="88"/>
      <c r="T24" s="42"/>
      <c r="U24" s="42"/>
      <c r="V24" s="42"/>
      <c r="W24" s="42" t="s">
        <v>410</v>
      </c>
      <c r="X24" s="42" t="s">
        <v>262</v>
      </c>
      <c r="Y24" s="42"/>
      <c r="Z24" s="42"/>
      <c r="AA24" s="42"/>
    </row>
    <row r="25" spans="2:27">
      <c r="B25" s="5" t="s">
        <v>183</v>
      </c>
      <c r="C25" s="548">
        <v>17142</v>
      </c>
      <c r="D25" s="533">
        <v>19805</v>
      </c>
      <c r="E25" s="533">
        <v>23179.549365863008</v>
      </c>
      <c r="F25" s="533">
        <v>24425.078249554397</v>
      </c>
      <c r="G25" s="533">
        <v>24967.344249986141</v>
      </c>
      <c r="H25" s="279">
        <f t="shared" si="3"/>
        <v>8.0270461008097538E-2</v>
      </c>
      <c r="I25" s="248"/>
      <c r="J25" s="247" t="s">
        <v>10</v>
      </c>
      <c r="K25" s="247"/>
      <c r="L25" s="321">
        <v>0</v>
      </c>
      <c r="M25" s="321">
        <v>0</v>
      </c>
      <c r="N25" s="321">
        <v>0</v>
      </c>
      <c r="O25" s="321">
        <v>0</v>
      </c>
      <c r="P25" s="279" t="str">
        <f>IF(L25=0,"nm",IF(O25=0,"nm",(O25/L25)^(1/3)-1))</f>
        <v>nm</v>
      </c>
      <c r="S25" s="88"/>
      <c r="T25" s="42"/>
      <c r="U25" s="42"/>
      <c r="V25" s="147" t="s">
        <v>273</v>
      </c>
      <c r="W25" s="288">
        <f t="shared" ref="W25:W33" si="5">D37/L9</f>
        <v>0.8368748611769844</v>
      </c>
      <c r="X25" s="288">
        <v>1</v>
      </c>
      <c r="Y25" s="42"/>
      <c r="Z25" s="42"/>
      <c r="AA25" s="42"/>
    </row>
    <row r="26" spans="2:27">
      <c r="B26" s="5" t="s">
        <v>586</v>
      </c>
      <c r="C26" s="548">
        <v>11489</v>
      </c>
      <c r="D26" s="533">
        <v>14719</v>
      </c>
      <c r="E26" s="533">
        <v>15875.891570476233</v>
      </c>
      <c r="F26" s="533">
        <v>16277.523672190764</v>
      </c>
      <c r="G26" s="533">
        <v>17059.164627372957</v>
      </c>
      <c r="H26" s="279">
        <f t="shared" si="3"/>
        <v>5.0412347837009097E-2</v>
      </c>
      <c r="I26" s="249"/>
      <c r="J26" s="249" t="s">
        <v>11</v>
      </c>
      <c r="K26" s="249"/>
      <c r="L26" s="281">
        <f>D11+L25</f>
        <v>125763.75</v>
      </c>
      <c r="M26" s="281">
        <f>E11+M25</f>
        <v>125842.5</v>
      </c>
      <c r="N26" s="281">
        <f>F11+N25</f>
        <v>125842.5</v>
      </c>
      <c r="O26" s="281">
        <f>G11+O25</f>
        <v>125842.5</v>
      </c>
      <c r="P26" s="279">
        <f>IF(L26=0,"nm",IF(O26=0,"nm",(O26/L26)^(1/3)-1))</f>
        <v>2.0868114128314019E-4</v>
      </c>
      <c r="Q26" s="5"/>
      <c r="S26" s="88"/>
      <c r="T26" s="42"/>
      <c r="U26" s="42"/>
      <c r="V26" s="147" t="s">
        <v>184</v>
      </c>
      <c r="W26" s="288">
        <f t="shared" si="5"/>
        <v>0.84771919921398353</v>
      </c>
      <c r="X26" s="288">
        <v>1</v>
      </c>
      <c r="Y26" s="42"/>
      <c r="Z26" s="42"/>
      <c r="AA26" s="42"/>
    </row>
    <row r="27" spans="2:27">
      <c r="B27" s="5" t="s">
        <v>587</v>
      </c>
      <c r="C27" s="549">
        <v>229689</v>
      </c>
      <c r="D27" s="533">
        <v>233906</v>
      </c>
      <c r="E27" s="533">
        <v>235102.89870323747</v>
      </c>
      <c r="F27" s="533">
        <v>235301.35339339433</v>
      </c>
      <c r="G27" s="533">
        <v>235788.97618306158</v>
      </c>
      <c r="H27" s="279">
        <f t="shared" si="3"/>
        <v>2.6762116959775373E-3</v>
      </c>
      <c r="I27" s="249"/>
      <c r="J27" s="248"/>
      <c r="K27" s="248"/>
      <c r="L27" s="248"/>
      <c r="M27" s="248"/>
      <c r="N27" s="248"/>
      <c r="O27" s="248"/>
      <c r="Q27" s="41"/>
      <c r="S27" s="88"/>
      <c r="T27" s="42"/>
      <c r="U27" s="42"/>
      <c r="V27" s="147" t="s">
        <v>185</v>
      </c>
      <c r="W27" s="288">
        <f t="shared" si="5"/>
        <v>1.0520321090686056</v>
      </c>
      <c r="X27" s="288">
        <v>1</v>
      </c>
      <c r="Y27" s="42"/>
      <c r="Z27" s="42"/>
      <c r="AA27" s="42"/>
    </row>
    <row r="28" spans="2:27" ht="12.6" thickBot="1">
      <c r="B28" s="5" t="s">
        <v>592</v>
      </c>
      <c r="C28" s="548">
        <v>127445</v>
      </c>
      <c r="D28" s="533">
        <v>128489</v>
      </c>
      <c r="E28" s="533">
        <v>130395.3596505075</v>
      </c>
      <c r="F28" s="533">
        <v>131205.13473654966</v>
      </c>
      <c r="G28" s="533">
        <v>131829.54772912303</v>
      </c>
      <c r="H28" s="279">
        <f t="shared" si="3"/>
        <v>8.5921980087044769E-3</v>
      </c>
      <c r="I28" s="248"/>
      <c r="J28" s="306" t="s">
        <v>1362</v>
      </c>
      <c r="K28" s="306"/>
      <c r="L28" s="306"/>
      <c r="M28" s="306"/>
      <c r="N28" s="266"/>
      <c r="O28" s="266"/>
      <c r="P28" s="266"/>
      <c r="Q28" s="5"/>
      <c r="S28" s="88"/>
      <c r="T28" s="42"/>
      <c r="U28" s="42"/>
      <c r="V28" s="147" t="s">
        <v>466</v>
      </c>
      <c r="W28" s="288">
        <f t="shared" si="5"/>
        <v>0.97698521018323703</v>
      </c>
      <c r="X28" s="288">
        <v>1</v>
      </c>
      <c r="Y28" s="42"/>
      <c r="Z28" s="42"/>
      <c r="AA28" s="42"/>
    </row>
    <row r="29" spans="2:27" ht="12.6" thickTop="1">
      <c r="B29" s="5" t="s">
        <v>588</v>
      </c>
      <c r="C29" s="548">
        <v>11936.400153524693</v>
      </c>
      <c r="D29" s="533">
        <v>12480.550695977327</v>
      </c>
      <c r="E29" s="533">
        <v>14264.64095751493</v>
      </c>
      <c r="F29" s="533">
        <v>15363.648469342021</v>
      </c>
      <c r="G29" s="533">
        <v>16223.944095304665</v>
      </c>
      <c r="H29" s="279">
        <f t="shared" si="3"/>
        <v>9.1375576939584535E-2</v>
      </c>
      <c r="I29" s="252"/>
      <c r="J29" s="249"/>
      <c r="K29" s="249"/>
      <c r="L29" s="249"/>
      <c r="M29" s="249"/>
      <c r="N29" s="249"/>
      <c r="O29" s="251"/>
      <c r="Q29" s="5"/>
      <c r="S29" s="88"/>
      <c r="T29" s="42"/>
      <c r="U29" s="42"/>
      <c r="V29" s="147" t="s">
        <v>530</v>
      </c>
      <c r="W29" s="288">
        <f t="shared" si="5"/>
        <v>0.85288660947101003</v>
      </c>
      <c r="X29" s="288">
        <v>1</v>
      </c>
      <c r="Y29" s="42"/>
      <c r="Z29" s="42"/>
      <c r="AA29" s="42"/>
    </row>
    <row r="30" spans="2:27">
      <c r="B30" s="5" t="s">
        <v>589</v>
      </c>
      <c r="C30" s="549">
        <v>18314.40015352469</v>
      </c>
      <c r="D30" s="533">
        <v>17374.550695977327</v>
      </c>
      <c r="E30" s="533">
        <v>16171.000608022408</v>
      </c>
      <c r="F30" s="533">
        <v>16173.423555384203</v>
      </c>
      <c r="G30" s="533">
        <v>16848.357087878037</v>
      </c>
      <c r="H30" s="279">
        <f t="shared" si="3"/>
        <v>-1.0198763626019569E-2</v>
      </c>
      <c r="I30" s="254"/>
      <c r="J30" s="248"/>
      <c r="K30" s="248"/>
      <c r="L30" s="248"/>
      <c r="M30" s="248"/>
      <c r="N30" s="248"/>
      <c r="O30" s="5"/>
      <c r="Q30" s="5"/>
      <c r="S30" s="88"/>
      <c r="T30" s="42"/>
      <c r="U30" s="42"/>
      <c r="V30" s="147" t="s">
        <v>593</v>
      </c>
      <c r="W30" s="288">
        <f t="shared" si="5"/>
        <v>0.6209403923153638</v>
      </c>
      <c r="X30" s="288">
        <v>1</v>
      </c>
      <c r="Y30" s="42"/>
      <c r="Z30" s="42"/>
      <c r="AA30" s="42"/>
    </row>
    <row r="31" spans="2:27">
      <c r="B31" s="5" t="s">
        <v>590</v>
      </c>
      <c r="C31" s="549">
        <v>9863</v>
      </c>
      <c r="D31" s="533">
        <v>8136</v>
      </c>
      <c r="E31" s="533">
        <v>8142.5000000000009</v>
      </c>
      <c r="F31" s="533">
        <v>8142.5000000000009</v>
      </c>
      <c r="G31" s="533">
        <v>8142.5000000000009</v>
      </c>
      <c r="H31" s="279">
        <f t="shared" si="3"/>
        <v>2.6623524164381962E-4</v>
      </c>
      <c r="I31" s="254"/>
      <c r="J31" s="252"/>
      <c r="K31" s="252"/>
      <c r="L31" s="252"/>
      <c r="M31" s="252"/>
      <c r="N31" s="252"/>
      <c r="O31" s="5"/>
      <c r="Q31" s="5"/>
      <c r="S31" s="88"/>
      <c r="T31" s="42"/>
      <c r="U31" s="42"/>
      <c r="V31" s="147" t="s">
        <v>475</v>
      </c>
      <c r="W31" s="288">
        <f t="shared" si="5"/>
        <v>0.84130226003234199</v>
      </c>
      <c r="X31" s="288">
        <v>1</v>
      </c>
      <c r="Y31" s="42"/>
      <c r="Z31" s="42"/>
      <c r="AA31" s="42"/>
    </row>
    <row r="32" spans="2:27">
      <c r="B32" s="5" t="s">
        <v>606</v>
      </c>
      <c r="C32" s="550">
        <v>0</v>
      </c>
      <c r="D32" s="533">
        <v>0</v>
      </c>
      <c r="E32" s="533">
        <v>-0.46509761968440755</v>
      </c>
      <c r="F32" s="533">
        <v>0</v>
      </c>
      <c r="G32" s="533">
        <v>0</v>
      </c>
      <c r="H32" s="279" t="str">
        <f t="shared" si="3"/>
        <v>nm</v>
      </c>
      <c r="I32" s="254"/>
      <c r="J32" s="254"/>
      <c r="K32" s="254"/>
      <c r="L32" s="254"/>
      <c r="M32" s="254"/>
      <c r="N32" s="254"/>
      <c r="O32" s="251"/>
      <c r="Q32" s="5"/>
      <c r="S32" s="88"/>
      <c r="T32" s="42"/>
      <c r="U32" s="42"/>
      <c r="V32" s="147" t="s">
        <v>533</v>
      </c>
      <c r="W32" s="288">
        <f t="shared" si="5"/>
        <v>0.62625417738082378</v>
      </c>
      <c r="X32" s="288">
        <v>1</v>
      </c>
      <c r="Y32" s="42"/>
      <c r="Z32" s="42"/>
      <c r="AA32" s="42"/>
    </row>
    <row r="33" spans="2:27">
      <c r="B33" s="5" t="s">
        <v>5</v>
      </c>
      <c r="C33" s="549">
        <v>6108</v>
      </c>
      <c r="D33" s="533">
        <v>6704</v>
      </c>
      <c r="E33" s="533">
        <v>6991.3353824999995</v>
      </c>
      <c r="F33" s="533">
        <v>6473.0000937500008</v>
      </c>
      <c r="G33" s="533">
        <v>5745.9179000000004</v>
      </c>
      <c r="H33" s="279">
        <f>IF(D33=0,"nm",IF(G33=0,"nm",(G33/D33)^(1/3)-1))</f>
        <v>-5.0106016542185494E-2</v>
      </c>
      <c r="I33" s="5"/>
      <c r="J33" s="254"/>
      <c r="K33" s="254"/>
      <c r="L33" s="254"/>
      <c r="M33" s="254"/>
      <c r="N33" s="254"/>
      <c r="O33" s="251"/>
      <c r="Q33" s="5"/>
      <c r="S33" s="88"/>
      <c r="T33" s="42"/>
      <c r="U33" s="42"/>
      <c r="V33" s="147" t="s">
        <v>580</v>
      </c>
      <c r="W33" s="288">
        <f t="shared" si="5"/>
        <v>1.7217849384464032</v>
      </c>
      <c r="X33" s="288">
        <v>1</v>
      </c>
      <c r="Y33" s="42"/>
      <c r="Z33" s="42"/>
      <c r="AA33" s="42"/>
    </row>
    <row r="34" spans="2:27">
      <c r="D34" s="5"/>
      <c r="E34" s="5"/>
      <c r="F34" s="5"/>
      <c r="G34" s="5"/>
      <c r="H34" s="277"/>
      <c r="I34" s="49"/>
      <c r="J34" s="254"/>
      <c r="K34" s="254"/>
      <c r="L34" s="254"/>
      <c r="M34" s="254"/>
      <c r="N34" s="254"/>
      <c r="O34" s="251"/>
      <c r="Q34" s="5"/>
      <c r="S34" s="88"/>
      <c r="T34" s="42"/>
      <c r="U34" s="42"/>
      <c r="V34" s="147" t="s">
        <v>581</v>
      </c>
      <c r="W34" s="288">
        <f>D47/L19</f>
        <v>1.1886334406870098</v>
      </c>
      <c r="X34" s="288">
        <v>1</v>
      </c>
      <c r="Y34" s="288"/>
      <c r="Z34" s="288"/>
      <c r="AA34" s="42"/>
    </row>
    <row r="35" spans="2:27" ht="12.6" thickBot="1">
      <c r="B35" s="306" t="s">
        <v>644</v>
      </c>
      <c r="C35" s="265"/>
      <c r="D35" s="265" t="str">
        <f>D5</f>
        <v>2023E</v>
      </c>
      <c r="E35" s="265" t="str">
        <f t="shared" ref="E35:H35" si="6">E5</f>
        <v>2024E</v>
      </c>
      <c r="F35" s="265" t="str">
        <f t="shared" si="6"/>
        <v>2025E</v>
      </c>
      <c r="G35" s="265" t="str">
        <f t="shared" si="6"/>
        <v>2026E</v>
      </c>
      <c r="H35" s="265" t="str">
        <f t="shared" si="6"/>
        <v>23E-26E</v>
      </c>
      <c r="I35" s="254"/>
      <c r="J35" s="5"/>
      <c r="K35" s="5"/>
      <c r="L35" s="5"/>
      <c r="M35" s="5"/>
      <c r="N35" s="5"/>
      <c r="O35" s="5"/>
      <c r="Q35" s="5"/>
      <c r="S35" s="88"/>
      <c r="T35" s="42"/>
      <c r="U35" s="42"/>
      <c r="V35" s="42"/>
      <c r="W35" s="42"/>
      <c r="X35" s="42"/>
      <c r="Y35" s="288"/>
      <c r="Z35" s="288"/>
      <c r="AA35" s="42"/>
    </row>
    <row r="36" spans="2:27" ht="12.6" thickTop="1">
      <c r="B36" s="41"/>
      <c r="C36" s="249"/>
      <c r="D36" s="254"/>
      <c r="E36" s="254"/>
      <c r="F36" s="254"/>
      <c r="G36" s="254"/>
      <c r="H36" s="254"/>
      <c r="I36" s="17"/>
      <c r="J36" s="49"/>
      <c r="K36" s="49"/>
      <c r="L36" s="49"/>
      <c r="M36" s="49"/>
      <c r="N36" s="49"/>
      <c r="O36" s="49"/>
      <c r="Q36" s="5"/>
      <c r="S36" s="88"/>
      <c r="T36" s="42"/>
      <c r="U36" s="42"/>
      <c r="V36" s="42"/>
      <c r="W36" s="42"/>
      <c r="X36" s="42"/>
      <c r="Y36" s="288"/>
      <c r="Z36" s="288"/>
      <c r="AA36" s="42"/>
    </row>
    <row r="37" spans="2:27">
      <c r="B37" s="5" t="s">
        <v>273</v>
      </c>
      <c r="C37" s="247"/>
      <c r="D37" s="529">
        <f>D$18/D23</f>
        <v>2.1037242297513639</v>
      </c>
      <c r="E37" s="529">
        <f t="shared" ref="E37:G41" si="7">E$18/E23</f>
        <v>1.9594993517347885</v>
      </c>
      <c r="F37" s="529">
        <f t="shared" si="7"/>
        <v>1.8002676911649644</v>
      </c>
      <c r="G37" s="529">
        <f t="shared" si="7"/>
        <v>1.6355670513562346</v>
      </c>
      <c r="H37" s="17">
        <f t="shared" ref="H37:H45" si="8">H23</f>
        <v>7.2312971710009055E-3</v>
      </c>
      <c r="I37" s="5"/>
      <c r="J37" s="259"/>
      <c r="K37" s="259"/>
      <c r="L37" s="259"/>
      <c r="M37" s="259"/>
      <c r="N37" s="259"/>
      <c r="O37" s="18"/>
      <c r="Q37" s="5"/>
      <c r="R37" s="5"/>
      <c r="S37" s="42"/>
      <c r="T37" s="42"/>
      <c r="U37" s="42"/>
      <c r="V37" s="42"/>
      <c r="W37" s="42"/>
      <c r="X37" s="42"/>
      <c r="Y37" s="42"/>
      <c r="Z37" s="42"/>
      <c r="AA37" s="42"/>
    </row>
    <row r="38" spans="2:27">
      <c r="B38" s="5" t="s">
        <v>184</v>
      </c>
      <c r="C38" s="247"/>
      <c r="D38" s="529">
        <f>D$18/D24</f>
        <v>5.9344412442396317</v>
      </c>
      <c r="E38" s="529">
        <f>E$18/E24</f>
        <v>5.3748216317733055</v>
      </c>
      <c r="F38" s="529">
        <f>F$18/F24</f>
        <v>4.9015674455005955</v>
      </c>
      <c r="G38" s="529">
        <f t="shared" si="7"/>
        <v>4.4513047704996014</v>
      </c>
      <c r="H38" s="17">
        <f t="shared" si="8"/>
        <v>1.9341943051038646E-2</v>
      </c>
      <c r="I38" s="259"/>
      <c r="J38" s="17"/>
      <c r="K38" s="17"/>
      <c r="L38" s="17"/>
      <c r="M38" s="17"/>
      <c r="N38" s="17"/>
      <c r="O38" s="5"/>
      <c r="Q38" s="5"/>
      <c r="R38" s="5"/>
      <c r="S38" s="42"/>
      <c r="T38" s="42"/>
      <c r="U38" s="42"/>
      <c r="V38" s="42"/>
      <c r="W38" s="42"/>
      <c r="X38" s="42"/>
      <c r="Y38" s="42"/>
      <c r="Z38" s="42"/>
      <c r="AA38" s="42"/>
    </row>
    <row r="39" spans="2:27">
      <c r="B39" s="5" t="s">
        <v>185</v>
      </c>
      <c r="C39" s="247"/>
      <c r="D39" s="529">
        <f>D$18/D25</f>
        <v>13.004531683918202</v>
      </c>
      <c r="E39" s="529">
        <f t="shared" si="7"/>
        <v>10.360193144358087</v>
      </c>
      <c r="F39" s="529">
        <f>F$18/F25</f>
        <v>9.1157982169983445</v>
      </c>
      <c r="G39" s="529">
        <f t="shared" si="7"/>
        <v>8.1952912852264728</v>
      </c>
      <c r="H39" s="17">
        <f t="shared" si="8"/>
        <v>8.0270461008097538E-2</v>
      </c>
      <c r="I39" s="17"/>
      <c r="J39" s="5"/>
      <c r="K39" s="5"/>
      <c r="L39" s="5"/>
      <c r="M39" s="5"/>
      <c r="N39" s="5"/>
      <c r="O39" s="5"/>
      <c r="Q39" s="5"/>
      <c r="R39" s="5"/>
      <c r="S39" s="42"/>
      <c r="T39" s="42"/>
      <c r="U39" s="42"/>
      <c r="V39" s="42"/>
      <c r="W39" s="42"/>
      <c r="X39" s="42"/>
      <c r="Y39" s="42"/>
      <c r="Z39" s="42"/>
      <c r="AA39" s="42"/>
    </row>
    <row r="40" spans="2:27">
      <c r="B40" s="5" t="s">
        <v>466</v>
      </c>
      <c r="C40" s="247"/>
      <c r="D40" s="529">
        <f>D$18/D26</f>
        <v>17.498114681703921</v>
      </c>
      <c r="E40" s="529">
        <f t="shared" si="7"/>
        <v>15.126369902658643</v>
      </c>
      <c r="F40" s="529">
        <f>F$18/F26</f>
        <v>13.678621468554521</v>
      </c>
      <c r="G40" s="529">
        <f t="shared" si="7"/>
        <v>11.994412576266377</v>
      </c>
      <c r="H40" s="17">
        <f t="shared" si="8"/>
        <v>5.0412347837009097E-2</v>
      </c>
      <c r="I40" s="5"/>
      <c r="J40" s="259"/>
      <c r="K40" s="259"/>
      <c r="L40" s="259"/>
      <c r="M40" s="259"/>
      <c r="N40" s="259"/>
      <c r="O40" s="18"/>
      <c r="Q40" s="5"/>
      <c r="R40" s="5"/>
      <c r="S40" s="42"/>
      <c r="T40" s="42"/>
      <c r="U40" s="42"/>
      <c r="V40" s="42"/>
      <c r="W40" s="288"/>
      <c r="X40" s="288"/>
      <c r="Y40" s="42"/>
      <c r="Z40" s="42"/>
      <c r="AA40" s="42"/>
    </row>
    <row r="41" spans="2:27">
      <c r="B41" s="5" t="s">
        <v>530</v>
      </c>
      <c r="C41" s="247"/>
      <c r="D41" s="529">
        <f>D$18/D27</f>
        <v>1.1011036484741734</v>
      </c>
      <c r="E41" s="529">
        <f t="shared" si="7"/>
        <v>1.0214446940216177</v>
      </c>
      <c r="F41" s="529">
        <f>F$18/F27</f>
        <v>0.94625076118913487</v>
      </c>
      <c r="G41" s="529">
        <f t="shared" si="7"/>
        <v>0.86778721405661574</v>
      </c>
      <c r="H41" s="17">
        <f t="shared" si="8"/>
        <v>2.6762116959775373E-3</v>
      </c>
      <c r="I41" s="247"/>
      <c r="J41" s="17"/>
      <c r="K41" s="17"/>
      <c r="L41" s="17"/>
      <c r="M41" s="17"/>
      <c r="N41" s="17"/>
      <c r="O41" s="5"/>
      <c r="Q41" s="5"/>
      <c r="R41" s="5"/>
      <c r="S41" s="42"/>
      <c r="T41" s="42"/>
      <c r="U41" s="42"/>
      <c r="V41" s="42"/>
      <c r="W41" s="288"/>
      <c r="X41" s="288"/>
      <c r="Y41" s="288"/>
      <c r="Z41" s="288"/>
      <c r="AA41" s="42"/>
    </row>
    <row r="42" spans="2:27">
      <c r="B42" s="5" t="s">
        <v>593</v>
      </c>
      <c r="C42" s="247"/>
      <c r="D42" s="529">
        <f>D18/D28</f>
        <v>2.0044887110958913</v>
      </c>
      <c r="E42" s="529">
        <f>E18/E28</f>
        <v>1.8416652944795886</v>
      </c>
      <c r="F42" s="529">
        <f>F18/F28</f>
        <v>1.6969921581530034</v>
      </c>
      <c r="G42" s="529">
        <f>G18/G28</f>
        <v>1.5521153054973154</v>
      </c>
      <c r="H42" s="17">
        <f t="shared" si="8"/>
        <v>8.5921980087044769E-3</v>
      </c>
      <c r="I42" s="248"/>
      <c r="J42" s="5"/>
      <c r="K42" s="5"/>
      <c r="L42" s="5"/>
      <c r="M42" s="5"/>
      <c r="N42" s="5"/>
      <c r="O42" s="5"/>
      <c r="Q42" s="5"/>
      <c r="R42" s="5"/>
      <c r="S42" s="42"/>
      <c r="T42" s="42"/>
      <c r="U42" s="42"/>
      <c r="V42" s="42"/>
      <c r="W42" s="288"/>
      <c r="X42" s="288"/>
      <c r="Y42" s="288"/>
      <c r="Z42" s="288"/>
      <c r="AA42" s="42"/>
    </row>
    <row r="43" spans="2:27">
      <c r="B43" s="5" t="s">
        <v>475</v>
      </c>
      <c r="C43" s="247"/>
      <c r="D43" s="529">
        <f>L26/D29</f>
        <v>10.076778906922399</v>
      </c>
      <c r="E43" s="529">
        <f>M26/E29</f>
        <v>8.8219886062889916</v>
      </c>
      <c r="F43" s="529">
        <f>N26/F29</f>
        <v>8.1909254986611568</v>
      </c>
      <c r="G43" s="529">
        <f>O26/G29</f>
        <v>7.7565910767912341</v>
      </c>
      <c r="H43" s="17">
        <f t="shared" si="8"/>
        <v>9.1375576939584535E-2</v>
      </c>
      <c r="I43" s="247"/>
      <c r="J43" s="247"/>
      <c r="K43" s="247"/>
      <c r="L43" s="247"/>
      <c r="M43" s="247"/>
      <c r="N43" s="247"/>
      <c r="O43" s="18"/>
      <c r="Q43" s="5"/>
      <c r="R43" s="5"/>
      <c r="S43" s="42"/>
      <c r="T43" s="42"/>
      <c r="U43" s="42"/>
      <c r="V43" s="42"/>
      <c r="W43" s="288"/>
      <c r="X43" s="288"/>
      <c r="Y43" s="288"/>
      <c r="Z43" s="288"/>
      <c r="AA43" s="42"/>
    </row>
    <row r="44" spans="2:27">
      <c r="B44" s="5" t="s">
        <v>533</v>
      </c>
      <c r="C44" s="69"/>
      <c r="D44" s="529">
        <f>D11/D30</f>
        <v>7.2383886179639552</v>
      </c>
      <c r="E44" s="529">
        <f>E11/E30</f>
        <v>7.78198597912177</v>
      </c>
      <c r="F44" s="529">
        <f>F11/F30</f>
        <v>7.7808201565404804</v>
      </c>
      <c r="G44" s="529">
        <f>G11/G30</f>
        <v>7.4691258823413982</v>
      </c>
      <c r="H44" s="17">
        <f t="shared" si="8"/>
        <v>-1.0198763626019569E-2</v>
      </c>
      <c r="I44" s="247"/>
      <c r="J44" s="248"/>
      <c r="K44" s="248"/>
      <c r="L44" s="248"/>
      <c r="M44" s="248"/>
      <c r="N44" s="248"/>
      <c r="O44" s="248"/>
      <c r="Q44" s="5"/>
      <c r="R44" s="5"/>
      <c r="S44" s="42"/>
      <c r="T44" s="42"/>
      <c r="U44" s="42"/>
      <c r="V44" s="42"/>
      <c r="W44" s="325"/>
      <c r="X44" s="325"/>
      <c r="Y44" s="288"/>
      <c r="Z44" s="288"/>
      <c r="AA44" s="42"/>
    </row>
    <row r="45" spans="2:27">
      <c r="B45" s="5" t="s">
        <v>580</v>
      </c>
      <c r="C45" s="247"/>
      <c r="D45" s="248">
        <f>D31/D11</f>
        <v>6.4692727435369884E-2</v>
      </c>
      <c r="E45" s="248">
        <f>E31/E11</f>
        <v>6.4703895742694251E-2</v>
      </c>
      <c r="F45" s="248">
        <f>F31/F11</f>
        <v>6.4703895742694251E-2</v>
      </c>
      <c r="G45" s="248">
        <f>G31/G11</f>
        <v>6.4703895742694251E-2</v>
      </c>
      <c r="H45" s="17">
        <f t="shared" si="8"/>
        <v>2.6623524164381962E-4</v>
      </c>
      <c r="I45" s="248"/>
      <c r="J45" s="247"/>
      <c r="K45" s="247"/>
      <c r="L45" s="247"/>
      <c r="M45" s="247"/>
      <c r="N45" s="247"/>
      <c r="O45" s="248"/>
      <c r="Q45" s="5"/>
      <c r="R45" s="5"/>
      <c r="S45" s="42"/>
      <c r="T45" s="42"/>
      <c r="U45" s="42"/>
      <c r="V45" s="42"/>
      <c r="W45" s="42"/>
      <c r="X45" s="42"/>
      <c r="Y45" s="325"/>
      <c r="Z45" s="325"/>
      <c r="AA45" s="42"/>
    </row>
    <row r="46" spans="2:27">
      <c r="B46" s="5" t="s">
        <v>605</v>
      </c>
      <c r="C46" s="247"/>
      <c r="D46" s="248">
        <f>(D31+D32)/D11</f>
        <v>6.4692727435369884E-2</v>
      </c>
      <c r="E46" s="248">
        <f>(E31+E32)/E11</f>
        <v>6.4700199871905881E-2</v>
      </c>
      <c r="F46" s="248">
        <f>(F31+F32)/F11</f>
        <v>6.4703895742694251E-2</v>
      </c>
      <c r="G46" s="248">
        <f>(G31+G32)/G11</f>
        <v>6.4703895742694251E-2</v>
      </c>
      <c r="H46" s="279">
        <f>((G31+G32)/(D31+D32))^(1/3)-1</f>
        <v>2.6623524164381962E-4</v>
      </c>
      <c r="I46" s="247"/>
      <c r="J46" s="247"/>
      <c r="K46" s="247"/>
      <c r="L46" s="247"/>
      <c r="M46" s="247"/>
      <c r="N46" s="247"/>
      <c r="O46" s="18"/>
      <c r="Q46" s="5"/>
      <c r="R46" s="5"/>
      <c r="S46" s="42"/>
      <c r="T46" s="42"/>
      <c r="U46" s="42"/>
      <c r="V46" s="42"/>
      <c r="W46" s="42"/>
      <c r="X46" s="42"/>
      <c r="Y46" s="42"/>
      <c r="Z46" s="42"/>
      <c r="AA46" s="326"/>
    </row>
    <row r="47" spans="2:27">
      <c r="B47" s="5" t="s">
        <v>581</v>
      </c>
      <c r="C47" s="5"/>
      <c r="D47" s="248">
        <f>1/D43</f>
        <v>9.9238061015016865E-2</v>
      </c>
      <c r="E47" s="248">
        <f>1/E43</f>
        <v>0.1133531275802287</v>
      </c>
      <c r="F47" s="248">
        <f>1/F43</f>
        <v>0.12208632591804851</v>
      </c>
      <c r="G47" s="248">
        <f>1/G43</f>
        <v>0.12892261434177377</v>
      </c>
      <c r="H47" s="17">
        <f>H29</f>
        <v>9.1375576939584535E-2</v>
      </c>
      <c r="I47" s="17"/>
      <c r="J47" s="248"/>
      <c r="K47" s="248"/>
      <c r="L47" s="248"/>
      <c r="M47" s="248"/>
      <c r="N47" s="248"/>
      <c r="O47" s="248"/>
      <c r="Q47" s="5"/>
      <c r="R47" s="5"/>
      <c r="S47" s="42"/>
      <c r="T47" s="42"/>
      <c r="U47" s="42"/>
      <c r="V47" s="42"/>
      <c r="W47" s="42"/>
      <c r="X47" s="42"/>
      <c r="Y47" s="42"/>
      <c r="Z47" s="42"/>
      <c r="AA47" s="326"/>
    </row>
    <row r="48" spans="2:27">
      <c r="B48" s="5" t="s">
        <v>618</v>
      </c>
      <c r="C48" s="5"/>
      <c r="D48" s="305">
        <f>D31/D29</f>
        <v>0.65189431125201536</v>
      </c>
      <c r="E48" s="305">
        <f>E31/E29</f>
        <v>0.57081703102455938</v>
      </c>
      <c r="F48" s="305">
        <f>F31/F29</f>
        <v>0.52998478950154737</v>
      </c>
      <c r="G48" s="305">
        <f>G31/G29</f>
        <v>0.50188166035141257</v>
      </c>
      <c r="H48" s="279" t="s">
        <v>607</v>
      </c>
      <c r="I48" s="247"/>
      <c r="J48" s="247"/>
      <c r="K48" s="247"/>
      <c r="L48" s="247"/>
      <c r="M48" s="247"/>
      <c r="N48" s="247"/>
      <c r="O48" s="248"/>
      <c r="Q48" s="5"/>
      <c r="R48" s="5"/>
      <c r="S48" s="42"/>
      <c r="T48" s="42"/>
      <c r="U48" s="42"/>
      <c r="V48" s="42"/>
      <c r="W48" s="42"/>
      <c r="X48" s="42"/>
      <c r="Y48" s="42"/>
      <c r="Z48" s="42"/>
      <c r="AA48" s="326"/>
    </row>
    <row r="49" spans="2:27">
      <c r="B49" s="41"/>
      <c r="C49" s="17"/>
      <c r="D49" s="17"/>
      <c r="E49" s="17"/>
      <c r="F49" s="17"/>
      <c r="G49" s="17"/>
      <c r="H49" s="17"/>
      <c r="I49" s="254"/>
      <c r="J49" s="17"/>
      <c r="K49" s="17"/>
      <c r="L49" s="17"/>
      <c r="M49" s="17"/>
      <c r="N49" s="17"/>
      <c r="O49" s="248"/>
      <c r="Q49" s="5"/>
      <c r="R49" s="5"/>
      <c r="S49" s="42"/>
      <c r="T49" s="42"/>
      <c r="U49" s="42"/>
      <c r="V49" s="42"/>
      <c r="W49" s="42"/>
      <c r="X49" s="42"/>
      <c r="Y49" s="42"/>
      <c r="Z49" s="42"/>
      <c r="AA49" s="326"/>
    </row>
    <row r="50" spans="2:27">
      <c r="B50" s="5"/>
      <c r="C50" s="257"/>
      <c r="D50" s="257"/>
      <c r="E50" s="257"/>
      <c r="F50" s="5"/>
      <c r="G50" s="41"/>
      <c r="H50" s="249"/>
      <c r="I50" s="17"/>
      <c r="J50" s="249"/>
      <c r="K50" s="249"/>
      <c r="L50" s="249"/>
      <c r="M50" s="249"/>
      <c r="N50" s="249"/>
      <c r="O50" s="250"/>
      <c r="Q50" s="5"/>
      <c r="R50" s="5"/>
      <c r="S50" s="42"/>
      <c r="T50" s="42"/>
      <c r="U50" s="42"/>
      <c r="V50" s="42"/>
      <c r="W50" s="288"/>
      <c r="X50" s="288"/>
      <c r="Y50" s="42"/>
      <c r="Z50" s="42"/>
      <c r="AA50" s="326"/>
    </row>
    <row r="51" spans="2:27">
      <c r="B51" s="41"/>
      <c r="C51" s="249"/>
      <c r="D51" s="254"/>
      <c r="E51" s="254"/>
      <c r="F51" s="254"/>
      <c r="G51" s="254"/>
      <c r="H51" s="254"/>
      <c r="I51" s="259"/>
      <c r="J51" s="254"/>
      <c r="K51" s="254"/>
      <c r="L51" s="254"/>
      <c r="M51" s="254"/>
      <c r="N51" s="254"/>
      <c r="O51" s="251"/>
      <c r="Q51" s="5"/>
      <c r="R51" s="5"/>
      <c r="S51" s="42"/>
      <c r="T51" s="42"/>
      <c r="U51" s="42"/>
      <c r="V51" s="42"/>
      <c r="W51" s="288"/>
      <c r="X51" s="288"/>
      <c r="Y51" s="288"/>
      <c r="Z51" s="288"/>
      <c r="AA51" s="42"/>
    </row>
    <row r="52" spans="2:27">
      <c r="B52" s="5"/>
      <c r="C52" s="257"/>
      <c r="D52" s="17"/>
      <c r="E52" s="17"/>
      <c r="F52" s="17"/>
      <c r="G52" s="17"/>
      <c r="H52" s="17"/>
      <c r="I52" s="254"/>
      <c r="J52" s="17"/>
      <c r="K52" s="17"/>
      <c r="L52" s="17"/>
      <c r="M52" s="17"/>
      <c r="N52" s="17"/>
      <c r="O52" s="248"/>
      <c r="Q52" s="5"/>
      <c r="R52" s="5"/>
      <c r="S52" s="5"/>
      <c r="Y52" s="10"/>
      <c r="Z52" s="10"/>
    </row>
    <row r="53" spans="2:27">
      <c r="B53" s="5"/>
      <c r="C53" s="257"/>
      <c r="D53" s="257"/>
      <c r="E53" s="257"/>
      <c r="F53" s="5"/>
      <c r="G53" s="5"/>
      <c r="H53" s="259"/>
      <c r="I53" s="17"/>
      <c r="J53" s="259"/>
      <c r="K53" s="259"/>
      <c r="L53" s="259"/>
      <c r="M53" s="259"/>
      <c r="N53" s="259"/>
      <c r="O53" s="18"/>
      <c r="Q53" s="5"/>
      <c r="R53" s="5"/>
      <c r="S53" s="5"/>
    </row>
    <row r="54" spans="2:27">
      <c r="B54" s="41"/>
      <c r="C54" s="249"/>
      <c r="D54" s="254"/>
      <c r="E54" s="254"/>
      <c r="F54" s="254"/>
      <c r="G54" s="254"/>
      <c r="H54" s="254"/>
      <c r="I54" s="259"/>
      <c r="J54" s="254"/>
      <c r="K54" s="254"/>
      <c r="L54" s="254"/>
      <c r="M54" s="254"/>
      <c r="N54" s="254"/>
      <c r="O54" s="251"/>
      <c r="Q54" s="5"/>
      <c r="R54" s="5"/>
      <c r="S54" s="5"/>
    </row>
    <row r="55" spans="2:27">
      <c r="B55" s="5"/>
      <c r="C55" s="257"/>
      <c r="D55" s="17"/>
      <c r="E55" s="17"/>
      <c r="F55" s="17"/>
      <c r="G55" s="17"/>
      <c r="H55" s="17"/>
      <c r="I55" s="249"/>
      <c r="J55" s="17"/>
      <c r="K55" s="17"/>
      <c r="L55" s="17"/>
      <c r="M55" s="17"/>
      <c r="N55" s="17"/>
      <c r="O55" s="18"/>
      <c r="Q55" s="5"/>
      <c r="R55" s="5"/>
      <c r="S55" s="5"/>
    </row>
    <row r="56" spans="2:27">
      <c r="B56" s="5"/>
      <c r="C56" s="248"/>
      <c r="D56" s="248"/>
      <c r="E56" s="248"/>
      <c r="F56" s="5"/>
      <c r="G56" s="5"/>
      <c r="H56" s="259"/>
      <c r="I56" s="248"/>
      <c r="J56" s="259"/>
      <c r="K56" s="259"/>
      <c r="L56" s="259"/>
      <c r="M56" s="259"/>
      <c r="N56" s="259"/>
      <c r="O56" s="18"/>
      <c r="Q56" s="5"/>
      <c r="R56" s="5"/>
      <c r="S56" s="5"/>
    </row>
    <row r="57" spans="2:27">
      <c r="B57" s="41"/>
      <c r="C57" s="249"/>
      <c r="D57" s="249"/>
      <c r="E57" s="249"/>
      <c r="F57" s="249"/>
      <c r="G57" s="249"/>
      <c r="H57" s="249"/>
      <c r="I57" s="5"/>
      <c r="J57" s="249"/>
      <c r="K57" s="249"/>
      <c r="L57" s="249"/>
      <c r="M57" s="249"/>
      <c r="N57" s="249"/>
      <c r="O57" s="251"/>
      <c r="Q57" s="5"/>
      <c r="R57" s="5"/>
      <c r="S57" s="5"/>
    </row>
    <row r="58" spans="2:27">
      <c r="B58" s="5"/>
      <c r="C58" s="5"/>
      <c r="D58" s="248"/>
      <c r="E58" s="248"/>
      <c r="F58" s="248"/>
      <c r="G58" s="248"/>
      <c r="H58" s="248"/>
      <c r="I58" s="17"/>
      <c r="J58" s="248"/>
      <c r="K58" s="248"/>
      <c r="L58" s="248"/>
      <c r="M58" s="248"/>
      <c r="N58" s="248"/>
      <c r="O58" s="18"/>
      <c r="Q58" s="5"/>
      <c r="R58" s="5"/>
      <c r="S58" s="5"/>
    </row>
    <row r="59" spans="2:27">
      <c r="B59" s="5"/>
      <c r="C59" s="5"/>
      <c r="D59" s="5"/>
      <c r="E59" s="5"/>
      <c r="F59" s="5"/>
      <c r="G59" s="5"/>
      <c r="H59" s="5"/>
      <c r="I59" s="5"/>
      <c r="J59" s="5"/>
      <c r="K59" s="5"/>
      <c r="L59" s="5"/>
      <c r="M59" s="5"/>
      <c r="N59" s="5"/>
      <c r="O59" s="5"/>
      <c r="Q59" s="5"/>
      <c r="R59" s="5"/>
      <c r="S59" s="5"/>
    </row>
    <row r="60" spans="2:27">
      <c r="B60" s="41"/>
      <c r="C60" s="17"/>
      <c r="D60" s="17"/>
      <c r="E60" s="17"/>
      <c r="F60" s="17"/>
      <c r="G60" s="17"/>
      <c r="H60" s="17"/>
      <c r="I60" s="249"/>
      <c r="J60" s="17"/>
      <c r="K60" s="17"/>
      <c r="L60" s="17"/>
      <c r="M60" s="17"/>
      <c r="N60" s="17"/>
      <c r="O60" s="251"/>
      <c r="Q60" s="5"/>
      <c r="R60" s="5"/>
      <c r="S60" s="5"/>
    </row>
    <row r="61" spans="2:27">
      <c r="B61" s="5"/>
      <c r="C61" s="5"/>
      <c r="D61" s="5"/>
      <c r="E61" s="5"/>
      <c r="F61" s="5"/>
      <c r="G61" s="5"/>
      <c r="H61" s="5"/>
      <c r="I61" s="5"/>
      <c r="J61" s="5"/>
      <c r="K61" s="5"/>
      <c r="L61" s="5"/>
      <c r="M61" s="5"/>
      <c r="N61" s="5"/>
      <c r="O61" s="5"/>
      <c r="Q61" s="41"/>
      <c r="R61" s="5"/>
      <c r="S61" s="5"/>
    </row>
    <row r="62" spans="2:27">
      <c r="B62" s="41"/>
      <c r="C62" s="249"/>
      <c r="D62" s="249"/>
      <c r="E62" s="249"/>
      <c r="F62" s="249"/>
      <c r="G62" s="249"/>
      <c r="H62" s="249"/>
      <c r="I62" s="5"/>
      <c r="J62" s="249"/>
      <c r="K62" s="249"/>
      <c r="L62" s="249"/>
      <c r="M62" s="249"/>
      <c r="N62" s="249"/>
      <c r="O62" s="251"/>
      <c r="Q62" s="5"/>
      <c r="R62" s="5"/>
      <c r="S62" s="5"/>
    </row>
    <row r="63" spans="2:27">
      <c r="B63" s="5"/>
      <c r="C63" s="5"/>
      <c r="D63" s="5"/>
      <c r="E63" s="5"/>
      <c r="F63" s="5"/>
      <c r="G63" s="5"/>
      <c r="H63" s="5"/>
      <c r="I63" s="254"/>
      <c r="J63" s="5"/>
      <c r="K63" s="5"/>
      <c r="L63" s="5"/>
      <c r="M63" s="5"/>
      <c r="N63" s="5"/>
      <c r="O63" s="5"/>
      <c r="Q63" s="5"/>
      <c r="R63" s="5"/>
      <c r="S63" s="5"/>
    </row>
    <row r="64" spans="2:27">
      <c r="B64" s="5"/>
      <c r="C64" s="5"/>
      <c r="D64" s="5"/>
      <c r="E64" s="5"/>
      <c r="F64" s="5"/>
      <c r="G64" s="5"/>
      <c r="H64" s="5"/>
      <c r="I64" s="17"/>
      <c r="J64" s="5"/>
      <c r="K64" s="5"/>
      <c r="L64" s="5"/>
      <c r="M64" s="5"/>
      <c r="N64" s="5"/>
      <c r="O64" s="5"/>
      <c r="Q64" s="5"/>
      <c r="R64" s="5"/>
      <c r="S64" s="5"/>
    </row>
    <row r="65" spans="2:26">
      <c r="B65" s="41"/>
      <c r="C65" s="249"/>
      <c r="D65" s="254"/>
      <c r="E65" s="254"/>
      <c r="F65" s="254"/>
      <c r="G65" s="254"/>
      <c r="H65" s="254"/>
      <c r="I65" s="254"/>
      <c r="J65" s="254"/>
      <c r="K65" s="254"/>
      <c r="L65" s="254"/>
      <c r="M65" s="254"/>
      <c r="N65" s="254"/>
      <c r="O65" s="251"/>
      <c r="Q65" s="5"/>
      <c r="R65" s="5"/>
      <c r="S65" s="5"/>
    </row>
    <row r="66" spans="2:26">
      <c r="B66" s="5"/>
      <c r="C66" s="5"/>
      <c r="D66" s="17"/>
      <c r="E66" s="17"/>
      <c r="F66" s="17"/>
      <c r="G66" s="17"/>
      <c r="H66" s="17"/>
      <c r="I66" s="248"/>
      <c r="J66" s="17"/>
      <c r="K66" s="17"/>
      <c r="L66" s="17"/>
      <c r="M66" s="17"/>
      <c r="N66" s="17"/>
      <c r="O66" s="5"/>
      <c r="Q66" s="5"/>
      <c r="R66" s="5"/>
      <c r="S66" s="5"/>
    </row>
    <row r="67" spans="2:26">
      <c r="B67" s="41"/>
      <c r="C67" s="249"/>
      <c r="D67" s="254"/>
      <c r="E67" s="254"/>
      <c r="F67" s="254"/>
      <c r="G67" s="254"/>
      <c r="H67" s="254"/>
      <c r="I67" s="5"/>
      <c r="J67" s="254"/>
      <c r="K67" s="254"/>
      <c r="L67" s="254"/>
      <c r="M67" s="254"/>
      <c r="N67" s="254"/>
      <c r="O67" s="251"/>
      <c r="Q67" s="41"/>
      <c r="R67" s="5"/>
      <c r="S67" s="5"/>
    </row>
    <row r="68" spans="2:26">
      <c r="B68" s="5"/>
      <c r="C68" s="5"/>
      <c r="D68" s="248"/>
      <c r="E68" s="248"/>
      <c r="F68" s="248"/>
      <c r="G68" s="248"/>
      <c r="H68" s="248"/>
      <c r="I68" s="245"/>
      <c r="J68" s="248"/>
      <c r="K68" s="248"/>
      <c r="L68" s="248"/>
      <c r="M68" s="248"/>
      <c r="N68" s="248"/>
      <c r="O68" s="5"/>
      <c r="Q68" s="5"/>
      <c r="R68" s="5"/>
      <c r="S68" s="5"/>
    </row>
    <row r="69" spans="2:26">
      <c r="B69" s="41"/>
      <c r="C69" s="5"/>
      <c r="D69" s="5"/>
      <c r="E69" s="5"/>
      <c r="F69" s="5"/>
      <c r="G69" s="5"/>
      <c r="H69" s="5"/>
      <c r="I69" s="248"/>
      <c r="J69" s="5"/>
      <c r="K69" s="5"/>
      <c r="L69" s="5"/>
      <c r="M69" s="5"/>
      <c r="N69" s="5"/>
      <c r="O69" s="5"/>
      <c r="Q69" s="5"/>
      <c r="R69" s="5"/>
      <c r="S69" s="5"/>
    </row>
    <row r="70" spans="2:26">
      <c r="B70" s="41"/>
      <c r="C70" s="245"/>
      <c r="D70" s="245"/>
      <c r="E70" s="245"/>
      <c r="F70" s="245"/>
      <c r="G70" s="245"/>
      <c r="H70" s="245"/>
      <c r="I70" s="5"/>
      <c r="J70" s="245"/>
      <c r="K70" s="245"/>
      <c r="L70" s="245"/>
      <c r="M70" s="245"/>
      <c r="N70" s="245"/>
      <c r="O70" s="251"/>
      <c r="Q70" s="5"/>
      <c r="R70" s="5"/>
      <c r="S70" s="5"/>
      <c r="W70" s="76"/>
      <c r="X70" s="76"/>
    </row>
    <row r="71" spans="2:26">
      <c r="B71" s="5"/>
      <c r="C71" s="5"/>
      <c r="D71" s="248"/>
      <c r="E71" s="248"/>
      <c r="F71" s="248"/>
      <c r="G71" s="248"/>
      <c r="H71" s="248"/>
      <c r="I71" s="245"/>
      <c r="J71" s="248"/>
      <c r="K71" s="248"/>
      <c r="L71" s="248"/>
      <c r="M71" s="248"/>
      <c r="N71" s="248"/>
      <c r="O71" s="5"/>
      <c r="Q71" s="5"/>
      <c r="R71" s="5"/>
      <c r="S71" s="5"/>
      <c r="W71" s="76"/>
      <c r="X71" s="76"/>
      <c r="Y71" s="76"/>
      <c r="Z71" s="76"/>
    </row>
    <row r="72" spans="2:26">
      <c r="B72" s="41"/>
      <c r="C72" s="5"/>
      <c r="D72" s="5"/>
      <c r="E72" s="5"/>
      <c r="F72" s="5"/>
      <c r="G72" s="5"/>
      <c r="H72" s="5"/>
      <c r="I72" s="18"/>
      <c r="J72" s="5"/>
      <c r="K72" s="5"/>
      <c r="L72" s="5"/>
      <c r="M72" s="5"/>
      <c r="N72" s="5"/>
      <c r="O72" s="5"/>
      <c r="Q72" s="5"/>
      <c r="R72" s="5"/>
      <c r="S72" s="5"/>
      <c r="Y72" s="76"/>
      <c r="Z72" s="76"/>
    </row>
    <row r="73" spans="2:26">
      <c r="B73" s="41"/>
      <c r="C73" s="245"/>
      <c r="D73" s="245"/>
      <c r="E73" s="245"/>
      <c r="F73" s="245"/>
      <c r="G73" s="245"/>
      <c r="H73" s="245"/>
      <c r="I73" s="5"/>
      <c r="J73" s="245"/>
      <c r="K73" s="245"/>
      <c r="L73" s="245"/>
      <c r="M73" s="245"/>
      <c r="N73" s="245"/>
      <c r="O73" s="251"/>
      <c r="Q73" s="5"/>
      <c r="R73" s="5"/>
      <c r="S73" s="5"/>
    </row>
    <row r="74" spans="2:26">
      <c r="B74" s="5"/>
      <c r="C74" s="5"/>
      <c r="D74" s="18"/>
      <c r="E74" s="18"/>
      <c r="F74" s="18"/>
      <c r="G74" s="18"/>
      <c r="H74" s="18"/>
      <c r="I74" s="249"/>
      <c r="J74" s="18"/>
      <c r="K74" s="18"/>
      <c r="L74" s="18"/>
      <c r="M74" s="18"/>
      <c r="N74" s="18"/>
      <c r="O74" s="5"/>
      <c r="Q74" s="5"/>
      <c r="R74" s="5"/>
      <c r="S74" s="5"/>
    </row>
    <row r="75" spans="2:26">
      <c r="B75" s="41"/>
      <c r="C75" s="5"/>
      <c r="D75" s="5"/>
      <c r="E75" s="5"/>
      <c r="F75" s="5"/>
      <c r="G75" s="5"/>
      <c r="H75" s="5"/>
      <c r="I75" s="248"/>
      <c r="J75" s="5"/>
      <c r="K75" s="5"/>
      <c r="L75" s="5"/>
      <c r="M75" s="5"/>
      <c r="N75" s="5"/>
      <c r="O75" s="5"/>
      <c r="Q75" s="5"/>
      <c r="R75" s="5"/>
      <c r="S75" s="5"/>
    </row>
    <row r="76" spans="2:26">
      <c r="B76" s="41"/>
      <c r="C76" s="249"/>
      <c r="D76" s="249"/>
      <c r="E76" s="249"/>
      <c r="F76" s="249"/>
      <c r="G76" s="249"/>
      <c r="H76" s="249"/>
      <c r="I76" s="5"/>
      <c r="J76" s="249"/>
      <c r="K76" s="249"/>
      <c r="L76" s="249"/>
      <c r="M76" s="249"/>
      <c r="N76" s="249"/>
      <c r="O76" s="251"/>
      <c r="Q76" s="5"/>
      <c r="R76" s="5"/>
      <c r="S76" s="5"/>
    </row>
    <row r="77" spans="2:26">
      <c r="B77" s="5"/>
      <c r="C77" s="5"/>
      <c r="D77" s="248"/>
      <c r="E77" s="248"/>
      <c r="F77" s="248"/>
      <c r="G77" s="248"/>
      <c r="H77" s="248"/>
      <c r="I77" s="245"/>
      <c r="J77" s="248"/>
      <c r="K77" s="248"/>
      <c r="L77" s="248"/>
      <c r="M77" s="248"/>
      <c r="N77" s="248"/>
      <c r="O77" s="5"/>
      <c r="Q77" s="5"/>
      <c r="R77" s="5"/>
      <c r="S77" s="5"/>
    </row>
    <row r="78" spans="2:26">
      <c r="B78" s="41"/>
      <c r="C78" s="5"/>
      <c r="D78" s="5"/>
      <c r="E78" s="5"/>
      <c r="F78" s="5"/>
      <c r="G78" s="5"/>
      <c r="H78" s="5"/>
      <c r="I78" s="248"/>
      <c r="J78" s="5"/>
      <c r="K78" s="5"/>
      <c r="L78" s="5"/>
      <c r="M78" s="5"/>
      <c r="N78" s="5"/>
      <c r="O78" s="5"/>
      <c r="Q78" s="5"/>
      <c r="R78" s="5"/>
      <c r="S78" s="5"/>
    </row>
    <row r="79" spans="2:26">
      <c r="B79" s="41"/>
      <c r="C79" s="245"/>
      <c r="D79" s="245"/>
      <c r="E79" s="245"/>
      <c r="F79" s="245"/>
      <c r="G79" s="245"/>
      <c r="H79" s="245"/>
      <c r="I79" s="5"/>
      <c r="J79" s="245"/>
      <c r="K79" s="245"/>
      <c r="L79" s="245"/>
      <c r="M79" s="245"/>
      <c r="N79" s="245"/>
      <c r="O79" s="251"/>
      <c r="Q79" s="5"/>
      <c r="R79" s="5"/>
      <c r="S79" s="5"/>
    </row>
    <row r="80" spans="2:26">
      <c r="B80" s="5"/>
      <c r="C80" s="5"/>
      <c r="D80" s="248"/>
      <c r="E80" s="248"/>
      <c r="F80" s="248"/>
      <c r="G80" s="248"/>
      <c r="H80" s="248"/>
      <c r="I80" s="249"/>
      <c r="J80" s="248"/>
      <c r="K80" s="248"/>
      <c r="L80" s="248"/>
      <c r="M80" s="248"/>
      <c r="N80" s="248"/>
      <c r="O80" s="5"/>
      <c r="Q80" s="5"/>
      <c r="R80" s="5"/>
      <c r="S80" s="5"/>
    </row>
    <row r="81" spans="2:26">
      <c r="B81" s="41"/>
      <c r="C81" s="5"/>
      <c r="D81" s="5"/>
      <c r="E81" s="5"/>
      <c r="F81" s="5"/>
      <c r="G81" s="5"/>
      <c r="H81" s="5"/>
      <c r="I81" s="248"/>
      <c r="J81" s="5"/>
      <c r="K81" s="5"/>
      <c r="L81" s="5"/>
      <c r="M81" s="5"/>
      <c r="N81" s="5"/>
      <c r="O81" s="5"/>
      <c r="Q81" s="5"/>
      <c r="R81" s="5"/>
      <c r="S81" s="5"/>
    </row>
    <row r="82" spans="2:26">
      <c r="B82" s="41"/>
      <c r="C82" s="249"/>
      <c r="D82" s="249"/>
      <c r="E82" s="249"/>
      <c r="F82" s="249"/>
      <c r="G82" s="249"/>
      <c r="H82" s="249"/>
      <c r="I82" s="259"/>
      <c r="J82" s="249"/>
      <c r="K82" s="249"/>
      <c r="L82" s="249"/>
      <c r="M82" s="249"/>
      <c r="N82" s="249"/>
      <c r="O82" s="251"/>
      <c r="Q82" s="5"/>
      <c r="R82" s="5"/>
      <c r="S82" s="5"/>
    </row>
    <row r="83" spans="2:26">
      <c r="B83" s="5"/>
      <c r="C83" s="5"/>
      <c r="D83" s="248"/>
      <c r="E83" s="248"/>
      <c r="F83" s="248"/>
      <c r="G83" s="248"/>
      <c r="H83" s="248"/>
      <c r="I83" s="5"/>
      <c r="J83" s="248"/>
      <c r="K83" s="248"/>
      <c r="L83" s="248"/>
      <c r="M83" s="248"/>
      <c r="N83" s="248"/>
      <c r="O83" s="5"/>
      <c r="Q83" s="5"/>
      <c r="R83" s="5"/>
      <c r="S83" s="5"/>
    </row>
    <row r="84" spans="2:26">
      <c r="B84" s="5"/>
      <c r="C84" s="259"/>
      <c r="D84" s="259"/>
      <c r="E84" s="259"/>
      <c r="F84" s="259"/>
      <c r="G84" s="259"/>
      <c r="H84" s="259"/>
      <c r="I84" s="245"/>
      <c r="J84" s="259"/>
      <c r="K84" s="259"/>
      <c r="L84" s="259"/>
      <c r="M84" s="259"/>
      <c r="N84" s="259"/>
      <c r="O84" s="251"/>
      <c r="Q84" s="5"/>
      <c r="R84" s="5"/>
      <c r="S84" s="5"/>
    </row>
    <row r="85" spans="2:26">
      <c r="B85" s="41"/>
      <c r="C85" s="5"/>
      <c r="D85" s="5"/>
      <c r="E85" s="5"/>
      <c r="F85" s="5"/>
      <c r="G85" s="5"/>
      <c r="H85" s="5"/>
      <c r="I85" s="248"/>
      <c r="J85" s="5"/>
      <c r="K85" s="5"/>
      <c r="L85" s="5"/>
      <c r="M85" s="5"/>
      <c r="N85" s="5"/>
      <c r="O85" s="5"/>
      <c r="Q85" s="5"/>
      <c r="R85" s="5"/>
      <c r="S85" s="5"/>
    </row>
    <row r="86" spans="2:26">
      <c r="B86" s="41"/>
      <c r="C86" s="245"/>
      <c r="D86" s="245"/>
      <c r="E86" s="245"/>
      <c r="F86" s="245"/>
      <c r="G86" s="245"/>
      <c r="H86" s="245"/>
      <c r="I86" s="5"/>
      <c r="J86" s="245"/>
      <c r="K86" s="245"/>
      <c r="L86" s="245"/>
      <c r="M86" s="245"/>
      <c r="N86" s="245"/>
      <c r="O86" s="251"/>
      <c r="Q86" s="5"/>
      <c r="R86" s="5"/>
      <c r="S86" s="5"/>
    </row>
    <row r="87" spans="2:26">
      <c r="B87" s="5"/>
      <c r="C87" s="5"/>
      <c r="D87" s="248"/>
      <c r="E87" s="248"/>
      <c r="F87" s="248"/>
      <c r="G87" s="248"/>
      <c r="H87" s="248"/>
      <c r="I87" s="5"/>
      <c r="J87" s="248"/>
      <c r="K87" s="248"/>
      <c r="L87" s="248"/>
      <c r="M87" s="248"/>
      <c r="N87" s="248"/>
      <c r="O87" s="5"/>
      <c r="Q87" s="5"/>
      <c r="R87" s="5"/>
      <c r="S87" s="5"/>
    </row>
    <row r="88" spans="2:26">
      <c r="B88" s="41"/>
      <c r="C88" s="5"/>
      <c r="D88" s="5"/>
      <c r="E88" s="5"/>
      <c r="F88" s="5"/>
      <c r="G88" s="5"/>
      <c r="H88" s="5"/>
      <c r="I88" s="5"/>
      <c r="J88" s="5"/>
      <c r="K88" s="5"/>
      <c r="L88" s="5"/>
      <c r="M88" s="5"/>
      <c r="N88" s="5"/>
      <c r="O88" s="5"/>
      <c r="Q88" s="5"/>
      <c r="R88" s="5"/>
      <c r="S88" s="5"/>
    </row>
    <row r="89" spans="2:26">
      <c r="B89" s="41"/>
      <c r="C89" s="5"/>
      <c r="D89" s="5"/>
      <c r="E89" s="5"/>
      <c r="F89" s="5"/>
      <c r="G89" s="5"/>
      <c r="H89" s="5"/>
      <c r="I89" s="5"/>
      <c r="J89" s="5"/>
      <c r="K89" s="5"/>
      <c r="L89" s="5"/>
      <c r="M89" s="5"/>
      <c r="N89" s="5"/>
      <c r="O89" s="5"/>
      <c r="Q89" s="5"/>
      <c r="R89" s="5"/>
      <c r="S89" s="5"/>
    </row>
    <row r="90" spans="2:26">
      <c r="B90" s="41"/>
      <c r="C90" s="5"/>
      <c r="D90" s="5"/>
      <c r="E90" s="5"/>
      <c r="F90" s="5"/>
      <c r="G90" s="5"/>
      <c r="H90" s="5"/>
      <c r="I90" s="49"/>
      <c r="J90" s="5"/>
      <c r="K90" s="5"/>
      <c r="L90" s="5"/>
      <c r="M90" s="5"/>
      <c r="N90" s="5"/>
      <c r="O90" s="5"/>
      <c r="Q90" s="41"/>
      <c r="R90" s="5"/>
      <c r="S90" s="5"/>
    </row>
    <row r="91" spans="2:26">
      <c r="B91" s="5"/>
      <c r="C91" s="5"/>
      <c r="D91" s="5"/>
      <c r="E91" s="5"/>
      <c r="F91" s="5"/>
      <c r="G91" s="5"/>
      <c r="H91" s="5"/>
      <c r="I91" s="5"/>
      <c r="J91" s="5"/>
      <c r="K91" s="5"/>
      <c r="L91" s="5"/>
      <c r="M91" s="5"/>
      <c r="N91" s="5"/>
      <c r="O91" s="5"/>
      <c r="Q91" s="5"/>
      <c r="R91" s="5"/>
      <c r="S91" s="5"/>
    </row>
    <row r="92" spans="2:26">
      <c r="B92" s="41"/>
      <c r="C92" s="49"/>
      <c r="D92" s="49"/>
      <c r="E92" s="49"/>
      <c r="F92" s="49"/>
      <c r="G92" s="49"/>
      <c r="H92" s="49"/>
      <c r="I92" s="247"/>
      <c r="J92" s="49"/>
      <c r="K92" s="49"/>
      <c r="L92" s="49"/>
      <c r="M92" s="49"/>
      <c r="N92" s="49"/>
      <c r="O92" s="49"/>
      <c r="Q92" s="5"/>
      <c r="R92" s="5"/>
      <c r="S92" s="5"/>
      <c r="W92" s="21"/>
      <c r="X92" s="21"/>
    </row>
    <row r="93" spans="2:26">
      <c r="B93" s="5"/>
      <c r="C93" s="5"/>
      <c r="D93" s="5"/>
      <c r="E93" s="5"/>
      <c r="F93" s="5"/>
      <c r="G93" s="5"/>
      <c r="H93" s="5"/>
      <c r="I93" s="247"/>
      <c r="J93" s="5"/>
      <c r="K93" s="5"/>
      <c r="L93" s="5"/>
      <c r="M93" s="5"/>
      <c r="N93" s="5"/>
      <c r="O93" s="5"/>
      <c r="Q93" s="5"/>
      <c r="R93" s="5"/>
      <c r="S93" s="5"/>
      <c r="W93" s="21"/>
      <c r="X93" s="21"/>
      <c r="Y93" s="21"/>
      <c r="Z93" s="21"/>
    </row>
    <row r="94" spans="2:26">
      <c r="B94" s="5"/>
      <c r="C94" s="259"/>
      <c r="D94" s="247"/>
      <c r="E94" s="247"/>
      <c r="F94" s="247"/>
      <c r="G94" s="247"/>
      <c r="H94" s="247"/>
      <c r="I94" s="247"/>
      <c r="J94" s="247"/>
      <c r="K94" s="247"/>
      <c r="L94" s="247"/>
      <c r="M94" s="247"/>
      <c r="N94" s="247"/>
      <c r="O94" s="248"/>
      <c r="Q94" s="5"/>
      <c r="R94" s="5"/>
      <c r="S94" s="5"/>
      <c r="Y94" s="21"/>
      <c r="Z94" s="21"/>
    </row>
    <row r="95" spans="2:26">
      <c r="B95" s="5"/>
      <c r="C95" s="259"/>
      <c r="D95" s="247"/>
      <c r="E95" s="247"/>
      <c r="F95" s="247"/>
      <c r="G95" s="247"/>
      <c r="H95" s="247"/>
      <c r="I95" s="248"/>
      <c r="J95" s="247"/>
      <c r="K95" s="247"/>
      <c r="L95" s="247"/>
      <c r="M95" s="247"/>
      <c r="N95" s="247"/>
      <c r="O95" s="248"/>
      <c r="Q95" s="5"/>
      <c r="R95" s="5"/>
      <c r="S95" s="5"/>
    </row>
    <row r="96" spans="2:26">
      <c r="B96" s="5"/>
      <c r="C96" s="259"/>
      <c r="D96" s="247"/>
      <c r="E96" s="247"/>
      <c r="F96" s="247"/>
      <c r="G96" s="247"/>
      <c r="H96" s="247"/>
      <c r="I96" s="247"/>
      <c r="J96" s="247"/>
      <c r="K96" s="247"/>
      <c r="L96" s="247"/>
      <c r="M96" s="247"/>
      <c r="N96" s="247"/>
      <c r="O96" s="248"/>
      <c r="Q96" s="5"/>
      <c r="R96" s="5"/>
      <c r="S96" s="5"/>
    </row>
    <row r="97" spans="2:19">
      <c r="B97" s="5"/>
      <c r="C97" s="259"/>
      <c r="D97" s="248"/>
      <c r="E97" s="248"/>
      <c r="F97" s="248"/>
      <c r="G97" s="248"/>
      <c r="H97" s="248"/>
      <c r="I97" s="249"/>
      <c r="J97" s="248"/>
      <c r="K97" s="248"/>
      <c r="L97" s="248"/>
      <c r="M97" s="248"/>
      <c r="N97" s="248"/>
      <c r="O97" s="248"/>
      <c r="Q97" s="5"/>
      <c r="R97" s="5"/>
      <c r="S97" s="5"/>
    </row>
    <row r="98" spans="2:19">
      <c r="B98" s="5"/>
      <c r="C98" s="259"/>
      <c r="D98" s="247"/>
      <c r="E98" s="247"/>
      <c r="F98" s="247"/>
      <c r="G98" s="247"/>
      <c r="H98" s="247"/>
      <c r="I98" s="248"/>
      <c r="J98" s="247"/>
      <c r="K98" s="247"/>
      <c r="L98" s="247"/>
      <c r="M98" s="247"/>
      <c r="N98" s="247"/>
      <c r="O98" s="248"/>
      <c r="Q98" s="5"/>
      <c r="R98" s="5"/>
      <c r="S98" s="5"/>
    </row>
    <row r="99" spans="2:19">
      <c r="B99" s="41"/>
      <c r="C99" s="249"/>
      <c r="D99" s="249"/>
      <c r="E99" s="249"/>
      <c r="F99" s="249"/>
      <c r="G99" s="249"/>
      <c r="H99" s="249"/>
      <c r="I99" s="5"/>
      <c r="J99" s="249"/>
      <c r="K99" s="249"/>
      <c r="L99" s="249"/>
      <c r="M99" s="249"/>
      <c r="N99" s="249"/>
      <c r="O99" s="248"/>
      <c r="Q99" s="5"/>
      <c r="R99" s="5"/>
      <c r="S99" s="5"/>
    </row>
    <row r="100" spans="2:19">
      <c r="B100" s="41"/>
      <c r="C100" s="257"/>
      <c r="D100" s="248"/>
      <c r="E100" s="248"/>
      <c r="F100" s="248"/>
      <c r="G100" s="248"/>
      <c r="H100" s="248"/>
      <c r="I100" s="259"/>
      <c r="J100" s="248"/>
      <c r="K100" s="248"/>
      <c r="L100" s="248"/>
      <c r="M100" s="248"/>
      <c r="N100" s="248"/>
      <c r="O100" s="248"/>
      <c r="Q100" s="5"/>
      <c r="R100" s="5"/>
      <c r="S100" s="5"/>
    </row>
    <row r="101" spans="2:19" s="5" customFormat="1">
      <c r="B101" s="41"/>
      <c r="I101" s="259"/>
      <c r="O101" s="248"/>
      <c r="P101" s="39"/>
    </row>
    <row r="102" spans="2:19">
      <c r="B102" s="5"/>
      <c r="C102" s="259"/>
      <c r="D102" s="259"/>
      <c r="E102" s="259"/>
      <c r="F102" s="259"/>
      <c r="G102" s="259"/>
      <c r="H102" s="259"/>
      <c r="I102" s="247"/>
      <c r="J102" s="259"/>
      <c r="K102" s="259"/>
      <c r="L102" s="259"/>
      <c r="M102" s="259"/>
      <c r="N102" s="259"/>
      <c r="O102" s="5"/>
      <c r="Q102" s="5"/>
      <c r="R102" s="5"/>
      <c r="S102" s="5"/>
    </row>
    <row r="103" spans="2:19">
      <c r="B103" s="5"/>
      <c r="C103" s="259"/>
      <c r="D103" s="259"/>
      <c r="E103" s="259"/>
      <c r="F103" s="259"/>
      <c r="G103" s="259"/>
      <c r="H103" s="259"/>
      <c r="I103" s="5"/>
      <c r="J103" s="259"/>
      <c r="K103" s="259"/>
      <c r="L103" s="259"/>
      <c r="M103" s="259"/>
      <c r="N103" s="259"/>
      <c r="O103" s="5"/>
      <c r="P103" s="5"/>
      <c r="Q103" s="5"/>
      <c r="R103" s="5"/>
      <c r="S103" s="5"/>
    </row>
    <row r="104" spans="2:19">
      <c r="B104" s="5"/>
      <c r="C104" s="247"/>
      <c r="D104" s="247"/>
      <c r="E104" s="247"/>
      <c r="F104" s="247"/>
      <c r="G104" s="247"/>
      <c r="H104" s="247"/>
      <c r="I104" s="247"/>
      <c r="J104" s="247"/>
      <c r="K104" s="247"/>
      <c r="L104" s="247"/>
      <c r="M104" s="247"/>
      <c r="N104" s="247"/>
      <c r="O104" s="5"/>
      <c r="Q104" s="5"/>
      <c r="R104" s="5"/>
      <c r="S104" s="5"/>
    </row>
    <row r="105" spans="2:19" s="5" customFormat="1">
      <c r="P105" s="39"/>
    </row>
    <row r="106" spans="2:19" s="5" customFormat="1">
      <c r="C106" s="259"/>
      <c r="D106" s="247"/>
      <c r="E106" s="247"/>
      <c r="F106" s="247"/>
      <c r="G106" s="247"/>
      <c r="H106" s="247"/>
      <c r="I106" s="259"/>
      <c r="J106" s="247"/>
      <c r="K106" s="247"/>
      <c r="L106" s="247"/>
      <c r="M106" s="247"/>
      <c r="N106" s="247"/>
      <c r="P106" s="39"/>
    </row>
    <row r="107" spans="2:19">
      <c r="B107" s="5"/>
      <c r="C107" s="259"/>
      <c r="D107" s="5"/>
      <c r="E107" s="5"/>
      <c r="F107" s="5"/>
      <c r="G107" s="5"/>
      <c r="H107" s="5"/>
      <c r="I107" s="247"/>
      <c r="J107" s="5"/>
      <c r="K107" s="5"/>
      <c r="L107" s="5"/>
      <c r="M107" s="5"/>
      <c r="N107" s="5"/>
      <c r="O107" s="5"/>
      <c r="P107" s="5"/>
      <c r="Q107" s="5"/>
      <c r="R107" s="5"/>
      <c r="S107" s="5"/>
    </row>
    <row r="108" spans="2:19">
      <c r="B108" s="5"/>
      <c r="C108" s="259"/>
      <c r="D108" s="259"/>
      <c r="E108" s="259"/>
      <c r="F108" s="259"/>
      <c r="G108" s="259"/>
      <c r="H108" s="259"/>
      <c r="I108" s="249"/>
      <c r="J108" s="259"/>
      <c r="K108" s="259"/>
      <c r="L108" s="259"/>
      <c r="M108" s="259"/>
      <c r="N108" s="259"/>
      <c r="O108" s="5"/>
      <c r="P108" s="5"/>
      <c r="Q108" s="5"/>
      <c r="R108" s="5"/>
      <c r="S108" s="5"/>
    </row>
    <row r="109" spans="2:19">
      <c r="B109" s="5"/>
      <c r="C109" s="247"/>
      <c r="D109" s="247"/>
      <c r="E109" s="247"/>
      <c r="F109" s="247"/>
      <c r="G109" s="247"/>
      <c r="H109" s="247"/>
      <c r="I109" s="249"/>
      <c r="J109" s="247"/>
      <c r="K109" s="247"/>
      <c r="L109" s="247"/>
      <c r="M109" s="247"/>
      <c r="N109" s="247"/>
      <c r="O109" s="5"/>
      <c r="Q109" s="5"/>
      <c r="R109" s="5"/>
      <c r="S109" s="5"/>
    </row>
    <row r="110" spans="2:19">
      <c r="B110" s="41"/>
      <c r="C110" s="249"/>
      <c r="D110" s="249"/>
      <c r="E110" s="249"/>
      <c r="F110" s="249"/>
      <c r="G110" s="249"/>
      <c r="H110" s="249"/>
      <c r="I110" s="247"/>
      <c r="J110" s="249"/>
      <c r="K110" s="249"/>
      <c r="L110" s="249"/>
      <c r="M110" s="249"/>
      <c r="N110" s="249"/>
      <c r="O110" s="5"/>
      <c r="Q110" s="5"/>
      <c r="R110" s="5"/>
      <c r="S110" s="5"/>
    </row>
    <row r="111" spans="2:19">
      <c r="B111" s="5"/>
      <c r="C111" s="249"/>
      <c r="D111" s="249"/>
      <c r="E111" s="249"/>
      <c r="F111" s="249"/>
      <c r="G111" s="249"/>
      <c r="H111" s="249"/>
      <c r="I111" s="5"/>
      <c r="J111" s="249"/>
      <c r="K111" s="249"/>
      <c r="L111" s="249"/>
      <c r="M111" s="249"/>
      <c r="N111" s="249"/>
      <c r="O111" s="5"/>
      <c r="Q111" s="5"/>
      <c r="R111" s="5"/>
      <c r="S111" s="5"/>
    </row>
    <row r="112" spans="2:19">
      <c r="B112" s="5"/>
      <c r="C112" s="247"/>
      <c r="D112" s="247"/>
      <c r="E112" s="247"/>
      <c r="F112" s="247"/>
      <c r="G112" s="247"/>
      <c r="H112" s="247"/>
      <c r="I112" s="5"/>
      <c r="J112" s="247"/>
      <c r="K112" s="247"/>
      <c r="L112" s="247"/>
      <c r="M112" s="247"/>
      <c r="N112" s="247"/>
      <c r="O112" s="5"/>
      <c r="Q112" s="5"/>
      <c r="R112" s="5"/>
      <c r="S112" s="5"/>
    </row>
    <row r="113" spans="2:19">
      <c r="B113" s="5"/>
      <c r="C113" s="5"/>
      <c r="D113" s="5"/>
      <c r="E113" s="5"/>
      <c r="F113" s="5"/>
      <c r="G113" s="5"/>
      <c r="H113" s="5"/>
      <c r="I113" s="5"/>
      <c r="J113" s="5"/>
      <c r="K113" s="5"/>
      <c r="L113" s="5"/>
      <c r="M113" s="5"/>
      <c r="N113" s="5"/>
      <c r="O113" s="5"/>
      <c r="Q113" s="5"/>
      <c r="R113" s="5"/>
      <c r="S113" s="5"/>
    </row>
    <row r="114" spans="2:19">
      <c r="B114" s="5"/>
      <c r="C114" s="5"/>
      <c r="D114" s="5"/>
      <c r="E114" s="5"/>
      <c r="F114" s="5"/>
      <c r="G114" s="5"/>
      <c r="H114" s="5"/>
      <c r="I114" s="5"/>
      <c r="J114" s="5"/>
      <c r="K114" s="5"/>
      <c r="L114" s="5"/>
      <c r="M114" s="5"/>
      <c r="N114" s="5"/>
      <c r="O114" s="5"/>
      <c r="Q114" s="5"/>
      <c r="R114" s="5"/>
      <c r="S114" s="5"/>
    </row>
    <row r="115" spans="2:19">
      <c r="B115" s="5"/>
      <c r="C115" s="5"/>
      <c r="D115" s="5"/>
      <c r="E115" s="5"/>
      <c r="F115" s="5"/>
      <c r="G115" s="5"/>
      <c r="H115" s="5"/>
      <c r="I115" s="49"/>
      <c r="J115" s="5"/>
      <c r="K115" s="5"/>
      <c r="L115" s="5"/>
      <c r="M115" s="5"/>
      <c r="N115" s="5"/>
      <c r="O115" s="5"/>
      <c r="Q115" s="41"/>
      <c r="R115" s="5"/>
      <c r="S115" s="5"/>
    </row>
    <row r="116" spans="2:19">
      <c r="B116" s="5"/>
      <c r="C116" s="5"/>
      <c r="D116" s="5"/>
      <c r="E116" s="5"/>
      <c r="F116" s="5"/>
      <c r="G116" s="5"/>
      <c r="H116" s="5"/>
      <c r="I116" s="5"/>
      <c r="J116" s="5"/>
      <c r="K116" s="5"/>
      <c r="L116" s="5"/>
      <c r="M116" s="5"/>
      <c r="N116" s="5"/>
      <c r="O116" s="5"/>
      <c r="Q116" s="5"/>
      <c r="R116" s="5"/>
      <c r="S116" s="5"/>
    </row>
    <row r="117" spans="2:19">
      <c r="B117" s="41"/>
      <c r="C117" s="49"/>
      <c r="D117" s="49"/>
      <c r="E117" s="49"/>
      <c r="F117" s="49"/>
      <c r="G117" s="49"/>
      <c r="H117" s="49"/>
      <c r="I117" s="254"/>
      <c r="J117" s="49"/>
      <c r="K117" s="49"/>
      <c r="L117" s="49"/>
      <c r="M117" s="49"/>
      <c r="N117" s="49"/>
      <c r="O117" s="49"/>
      <c r="Q117" s="5"/>
      <c r="R117" s="5"/>
      <c r="S117" s="5"/>
    </row>
    <row r="118" spans="2:19">
      <c r="B118" s="5"/>
      <c r="C118" s="5"/>
      <c r="D118" s="5"/>
      <c r="E118" s="5"/>
      <c r="F118" s="5"/>
      <c r="G118" s="5"/>
      <c r="H118" s="5"/>
      <c r="I118" s="249"/>
      <c r="J118" s="5"/>
      <c r="K118" s="5"/>
      <c r="L118" s="5"/>
      <c r="M118" s="5"/>
      <c r="N118" s="5"/>
      <c r="O118" s="5"/>
      <c r="Q118" s="5"/>
      <c r="R118" s="5"/>
      <c r="S118" s="5"/>
    </row>
    <row r="119" spans="2:19">
      <c r="B119" s="41"/>
      <c r="C119" s="254"/>
      <c r="D119" s="254"/>
      <c r="E119" s="254"/>
      <c r="F119" s="254"/>
      <c r="G119" s="254"/>
      <c r="H119" s="254"/>
      <c r="I119" s="254"/>
      <c r="J119" s="254"/>
      <c r="K119" s="254"/>
      <c r="L119" s="254"/>
      <c r="M119" s="254"/>
      <c r="N119" s="254"/>
      <c r="O119" s="248"/>
      <c r="Q119" s="5"/>
      <c r="R119" s="5"/>
      <c r="S119" s="5"/>
    </row>
    <row r="120" spans="2:19">
      <c r="B120" s="41"/>
      <c r="C120" s="254"/>
      <c r="D120" s="249"/>
      <c r="E120" s="249"/>
      <c r="F120" s="249"/>
      <c r="G120" s="249"/>
      <c r="H120" s="249"/>
      <c r="I120" s="254"/>
      <c r="J120" s="249"/>
      <c r="K120" s="249"/>
      <c r="L120" s="249"/>
      <c r="M120" s="249"/>
      <c r="N120" s="249"/>
      <c r="O120" s="248"/>
      <c r="Q120" s="5"/>
      <c r="R120" s="5"/>
      <c r="S120" s="5"/>
    </row>
    <row r="121" spans="2:19">
      <c r="B121" s="41"/>
      <c r="C121" s="254"/>
      <c r="D121" s="254"/>
      <c r="E121" s="254"/>
      <c r="F121" s="254"/>
      <c r="G121" s="254"/>
      <c r="H121" s="254"/>
      <c r="I121" s="254"/>
      <c r="J121" s="254"/>
      <c r="K121" s="254"/>
      <c r="L121" s="254"/>
      <c r="M121" s="254"/>
      <c r="N121" s="254"/>
      <c r="O121" s="248"/>
      <c r="Q121" s="5"/>
      <c r="R121" s="5"/>
      <c r="S121" s="5"/>
    </row>
    <row r="122" spans="2:19">
      <c r="B122" s="41"/>
      <c r="C122" s="254"/>
      <c r="D122" s="254"/>
      <c r="E122" s="254"/>
      <c r="F122" s="254"/>
      <c r="G122" s="254"/>
      <c r="H122" s="254"/>
      <c r="I122" s="254"/>
      <c r="J122" s="254"/>
      <c r="K122" s="254"/>
      <c r="L122" s="254"/>
      <c r="M122" s="254"/>
      <c r="N122" s="254"/>
      <c r="O122" s="248"/>
      <c r="Q122" s="5"/>
      <c r="R122" s="5"/>
      <c r="S122" s="5"/>
    </row>
    <row r="123" spans="2:19">
      <c r="B123" s="41"/>
      <c r="C123" s="254"/>
      <c r="D123" s="254"/>
      <c r="E123" s="254"/>
      <c r="F123" s="254"/>
      <c r="G123" s="254"/>
      <c r="H123" s="254"/>
      <c r="I123" s="254"/>
      <c r="J123" s="254"/>
      <c r="K123" s="254"/>
      <c r="L123" s="254"/>
      <c r="M123" s="254"/>
      <c r="N123" s="254"/>
      <c r="O123" s="248"/>
      <c r="Q123" s="5"/>
      <c r="R123" s="5"/>
      <c r="S123" s="5"/>
    </row>
    <row r="124" spans="2:19">
      <c r="B124" s="41"/>
      <c r="C124" s="254"/>
      <c r="D124" s="254"/>
      <c r="E124" s="254"/>
      <c r="F124" s="254"/>
      <c r="G124" s="254"/>
      <c r="H124" s="254"/>
      <c r="I124" s="254"/>
      <c r="J124" s="254"/>
      <c r="K124" s="254"/>
      <c r="L124" s="254"/>
      <c r="M124" s="254"/>
      <c r="N124" s="254"/>
      <c r="O124" s="248"/>
      <c r="Q124" s="5"/>
      <c r="R124" s="5"/>
      <c r="S124" s="5"/>
    </row>
    <row r="125" spans="2:19">
      <c r="B125" s="41"/>
      <c r="C125" s="254"/>
      <c r="D125" s="254"/>
      <c r="E125" s="254"/>
      <c r="F125" s="254"/>
      <c r="G125" s="254"/>
      <c r="H125" s="254"/>
      <c r="I125" s="254"/>
      <c r="J125" s="254"/>
      <c r="K125" s="254"/>
      <c r="L125" s="254"/>
      <c r="M125" s="254"/>
      <c r="N125" s="254"/>
      <c r="O125" s="5"/>
      <c r="Q125" s="5"/>
      <c r="R125" s="5"/>
      <c r="S125" s="5"/>
    </row>
    <row r="126" spans="2:19">
      <c r="B126" s="41"/>
      <c r="C126" s="254"/>
      <c r="D126" s="254"/>
      <c r="E126" s="254"/>
      <c r="F126" s="254"/>
      <c r="G126" s="254"/>
      <c r="H126" s="254"/>
      <c r="I126" s="254"/>
      <c r="J126" s="254"/>
      <c r="K126" s="254"/>
      <c r="L126" s="254"/>
      <c r="M126" s="254"/>
      <c r="N126" s="254"/>
      <c r="O126" s="5"/>
      <c r="Q126" s="5"/>
      <c r="R126" s="5"/>
      <c r="S126" s="5"/>
    </row>
    <row r="127" spans="2:19">
      <c r="B127" s="41"/>
      <c r="C127" s="254"/>
      <c r="D127" s="254"/>
      <c r="E127" s="254"/>
      <c r="F127" s="254"/>
      <c r="G127" s="254"/>
      <c r="H127" s="254"/>
      <c r="I127" s="18"/>
      <c r="J127" s="254"/>
      <c r="K127" s="254"/>
      <c r="L127" s="254"/>
      <c r="M127" s="254"/>
      <c r="N127" s="254"/>
      <c r="O127" s="5"/>
      <c r="Q127" s="5"/>
      <c r="R127" s="5"/>
      <c r="S127" s="5"/>
    </row>
    <row r="128" spans="2:19">
      <c r="B128" s="41"/>
      <c r="C128" s="254"/>
      <c r="D128" s="254"/>
      <c r="E128" s="254"/>
      <c r="F128" s="254"/>
      <c r="G128" s="254"/>
      <c r="H128" s="254"/>
      <c r="I128" s="5"/>
      <c r="J128" s="254"/>
      <c r="K128" s="254"/>
      <c r="L128" s="254"/>
      <c r="M128" s="254"/>
      <c r="N128" s="254"/>
      <c r="O128" s="5"/>
      <c r="Q128" s="5"/>
      <c r="R128" s="5"/>
      <c r="S128" s="5"/>
    </row>
    <row r="129" spans="2:27">
      <c r="B129" s="5"/>
      <c r="C129" s="5"/>
      <c r="D129" s="18"/>
      <c r="E129" s="18"/>
      <c r="F129" s="18"/>
      <c r="G129" s="18"/>
      <c r="H129" s="18"/>
      <c r="I129" s="254"/>
      <c r="J129" s="18"/>
      <c r="K129" s="18"/>
      <c r="L129" s="18"/>
      <c r="M129" s="18"/>
      <c r="N129" s="18"/>
      <c r="O129" s="5"/>
      <c r="Q129" s="5"/>
      <c r="R129" s="5"/>
      <c r="S129" s="5"/>
    </row>
    <row r="130" spans="2:27">
      <c r="B130" s="5"/>
      <c r="C130" s="5"/>
      <c r="D130" s="5"/>
      <c r="E130" s="5"/>
      <c r="F130" s="5"/>
      <c r="G130" s="5"/>
      <c r="H130" s="5"/>
      <c r="I130" s="18"/>
      <c r="J130" s="5"/>
      <c r="K130" s="5"/>
      <c r="L130" s="5"/>
      <c r="M130" s="5"/>
      <c r="N130" s="5"/>
      <c r="O130" s="5"/>
      <c r="Q130" s="5"/>
      <c r="R130" s="5"/>
      <c r="S130" s="5"/>
    </row>
    <row r="131" spans="2:27">
      <c r="B131" s="41"/>
      <c r="C131" s="254"/>
      <c r="D131" s="254"/>
      <c r="E131" s="254"/>
      <c r="F131" s="254"/>
      <c r="G131" s="254"/>
      <c r="H131" s="254"/>
      <c r="I131" s="5"/>
      <c r="J131" s="254"/>
      <c r="K131" s="254"/>
      <c r="L131" s="254"/>
      <c r="M131" s="254"/>
      <c r="N131" s="254"/>
      <c r="O131" s="5"/>
      <c r="Q131" s="5"/>
      <c r="R131" s="5"/>
      <c r="S131" s="5"/>
    </row>
    <row r="132" spans="2:27">
      <c r="B132" s="5"/>
      <c r="C132" s="259"/>
      <c r="D132" s="18"/>
      <c r="E132" s="18"/>
      <c r="F132" s="18"/>
      <c r="G132" s="18"/>
      <c r="H132" s="18"/>
      <c r="I132" s="5"/>
      <c r="J132" s="18"/>
      <c r="K132" s="18"/>
      <c r="L132" s="18"/>
      <c r="M132" s="18"/>
      <c r="N132" s="18"/>
      <c r="O132" s="5"/>
      <c r="Q132" s="5"/>
      <c r="R132" s="5"/>
      <c r="S132" s="5"/>
    </row>
    <row r="133" spans="2:27">
      <c r="B133" s="5"/>
      <c r="C133" s="5"/>
      <c r="D133" s="5"/>
      <c r="E133" s="5"/>
      <c r="F133" s="5"/>
      <c r="G133" s="5"/>
      <c r="H133" s="5"/>
      <c r="I133" s="17"/>
      <c r="J133" s="5"/>
      <c r="K133" s="5"/>
      <c r="L133" s="5"/>
      <c r="M133" s="5"/>
      <c r="N133" s="5"/>
      <c r="O133" s="5"/>
      <c r="Q133" s="5"/>
      <c r="R133" s="5"/>
      <c r="S133" s="5"/>
    </row>
    <row r="134" spans="2:27">
      <c r="B134" s="41"/>
      <c r="C134" s="5"/>
      <c r="D134" s="5"/>
      <c r="E134" s="5"/>
      <c r="F134" s="5"/>
      <c r="G134" s="5"/>
      <c r="H134" s="5"/>
      <c r="I134" s="17"/>
      <c r="J134" s="5"/>
      <c r="K134" s="5"/>
      <c r="L134" s="5"/>
      <c r="M134" s="5"/>
      <c r="N134" s="5"/>
      <c r="O134" s="5"/>
      <c r="Q134" s="5"/>
      <c r="R134" s="5"/>
      <c r="S134" s="5"/>
    </row>
    <row r="135" spans="2:27">
      <c r="B135" s="5"/>
      <c r="C135" s="17"/>
      <c r="D135" s="17"/>
      <c r="E135" s="17"/>
      <c r="F135" s="17"/>
      <c r="G135" s="17"/>
      <c r="H135" s="17"/>
      <c r="I135" s="17"/>
      <c r="J135" s="17"/>
      <c r="K135" s="17"/>
      <c r="L135" s="17"/>
      <c r="M135" s="17"/>
      <c r="N135" s="17"/>
      <c r="O135" s="5"/>
      <c r="Q135" s="41"/>
      <c r="R135" s="5"/>
      <c r="S135" s="5"/>
    </row>
    <row r="136" spans="2:27">
      <c r="B136" s="5"/>
      <c r="C136" s="17"/>
      <c r="D136" s="17"/>
      <c r="E136" s="17"/>
      <c r="F136" s="17"/>
      <c r="G136" s="17"/>
      <c r="H136" s="17"/>
      <c r="I136" s="17"/>
      <c r="J136" s="17"/>
      <c r="K136" s="17"/>
      <c r="L136" s="17"/>
      <c r="M136" s="17"/>
      <c r="N136" s="17"/>
      <c r="O136" s="5"/>
      <c r="Q136" s="5"/>
      <c r="R136" s="5"/>
      <c r="S136" s="5"/>
      <c r="X136" s="304"/>
    </row>
    <row r="137" spans="2:27">
      <c r="B137" s="5"/>
      <c r="C137" s="5"/>
      <c r="D137" s="17"/>
      <c r="E137" s="17"/>
      <c r="F137" s="17"/>
      <c r="G137" s="17"/>
      <c r="H137" s="17"/>
      <c r="I137" s="17"/>
      <c r="J137" s="17"/>
      <c r="K137" s="17"/>
      <c r="L137" s="17"/>
      <c r="M137" s="17"/>
      <c r="N137" s="17"/>
      <c r="O137" s="5"/>
      <c r="Q137" s="5"/>
      <c r="R137" s="5"/>
      <c r="S137" s="5"/>
      <c r="X137" s="10"/>
      <c r="Y137" s="304"/>
      <c r="Z137" s="304"/>
      <c r="AA137" s="304"/>
    </row>
    <row r="138" spans="2:27">
      <c r="B138" s="5"/>
      <c r="C138" s="5"/>
      <c r="D138" s="17"/>
      <c r="E138" s="17"/>
      <c r="F138" s="17"/>
      <c r="G138" s="17"/>
      <c r="H138" s="17"/>
      <c r="I138" s="17"/>
      <c r="J138" s="17"/>
      <c r="K138" s="17"/>
      <c r="L138" s="17"/>
      <c r="M138" s="17"/>
      <c r="N138" s="17"/>
      <c r="O138" s="5"/>
      <c r="Q138" s="5"/>
      <c r="R138" s="5"/>
      <c r="S138" s="5"/>
      <c r="Y138" s="10"/>
      <c r="Z138" s="10"/>
      <c r="AA138" s="10"/>
    </row>
    <row r="139" spans="2:27">
      <c r="B139" s="5"/>
      <c r="C139" s="5"/>
      <c r="D139" s="17"/>
      <c r="E139" s="17"/>
      <c r="F139" s="17"/>
      <c r="G139" s="17"/>
      <c r="H139" s="17"/>
      <c r="I139" s="5"/>
      <c r="J139" s="17"/>
      <c r="K139" s="17"/>
      <c r="L139" s="17"/>
      <c r="M139" s="17"/>
      <c r="N139" s="17"/>
      <c r="O139" s="5"/>
      <c r="Q139" s="5"/>
      <c r="R139" s="5"/>
      <c r="S139" s="5"/>
    </row>
    <row r="140" spans="2:27">
      <c r="B140" s="5"/>
      <c r="C140" s="17"/>
      <c r="D140" s="17"/>
      <c r="E140" s="17"/>
      <c r="F140" s="17"/>
      <c r="G140" s="17"/>
      <c r="H140" s="17"/>
      <c r="I140" s="5"/>
      <c r="J140" s="17"/>
      <c r="K140" s="17"/>
      <c r="L140" s="17"/>
      <c r="M140" s="17"/>
      <c r="N140" s="17"/>
      <c r="O140" s="5"/>
      <c r="Q140" s="5"/>
      <c r="R140" s="5"/>
      <c r="S140" s="5"/>
    </row>
    <row r="141" spans="2:27">
      <c r="B141" s="5"/>
      <c r="C141" s="5"/>
      <c r="D141" s="5"/>
      <c r="E141" s="5"/>
      <c r="F141" s="5"/>
      <c r="G141" s="5"/>
      <c r="H141" s="5"/>
      <c r="I141" s="5"/>
      <c r="J141" s="5"/>
      <c r="K141" s="5"/>
      <c r="L141" s="5"/>
      <c r="M141" s="5"/>
      <c r="N141" s="5"/>
      <c r="O141" s="5"/>
      <c r="Q141" s="5"/>
      <c r="R141" s="5"/>
      <c r="S141" s="5"/>
    </row>
    <row r="142" spans="2:27">
      <c r="B142" s="5"/>
      <c r="C142" s="5"/>
      <c r="D142" s="5"/>
      <c r="E142" s="5"/>
      <c r="F142" s="5"/>
      <c r="G142" s="5"/>
      <c r="H142" s="5"/>
      <c r="I142" s="5"/>
      <c r="J142" s="5"/>
      <c r="K142" s="5"/>
      <c r="L142" s="5"/>
      <c r="M142" s="5"/>
      <c r="N142" s="5"/>
      <c r="O142" s="5"/>
      <c r="Q142" s="5"/>
      <c r="R142" s="5"/>
      <c r="S142" s="5"/>
    </row>
    <row r="143" spans="2:27">
      <c r="B143" s="5"/>
      <c r="C143" s="5"/>
      <c r="D143" s="5"/>
      <c r="E143" s="5"/>
      <c r="F143" s="5"/>
      <c r="G143" s="5"/>
      <c r="H143" s="5"/>
      <c r="I143" s="5"/>
      <c r="J143" s="5"/>
      <c r="K143" s="5"/>
      <c r="L143" s="5"/>
      <c r="M143" s="5"/>
      <c r="N143" s="5"/>
      <c r="O143" s="5"/>
      <c r="Q143" s="5"/>
      <c r="R143" s="5"/>
      <c r="S143" s="5"/>
    </row>
    <row r="144" spans="2:27">
      <c r="B144" s="5"/>
      <c r="C144" s="5"/>
      <c r="D144" s="5"/>
      <c r="E144" s="5"/>
      <c r="F144" s="5"/>
      <c r="G144" s="5"/>
      <c r="H144" s="5"/>
      <c r="I144" s="5"/>
      <c r="J144" s="5"/>
      <c r="K144" s="5"/>
      <c r="L144" s="5"/>
      <c r="M144" s="5"/>
      <c r="N144" s="5"/>
      <c r="O144" s="5"/>
      <c r="Q144" s="5"/>
      <c r="R144" s="5"/>
      <c r="S144" s="5"/>
    </row>
    <row r="145" spans="2:19">
      <c r="B145" s="5"/>
      <c r="C145" s="5"/>
      <c r="D145" s="5"/>
      <c r="E145" s="5"/>
      <c r="F145" s="5"/>
      <c r="G145" s="5"/>
      <c r="H145" s="5"/>
      <c r="I145" s="5"/>
      <c r="J145" s="5"/>
      <c r="K145" s="5"/>
      <c r="L145" s="5"/>
      <c r="M145" s="5"/>
      <c r="N145" s="5"/>
      <c r="O145" s="5"/>
      <c r="Q145" s="5"/>
      <c r="R145" s="5"/>
      <c r="S145" s="5"/>
    </row>
    <row r="146" spans="2:19">
      <c r="B146" s="5"/>
      <c r="C146" s="5"/>
      <c r="D146" s="5"/>
      <c r="E146" s="5"/>
      <c r="F146" s="5"/>
      <c r="G146" s="5"/>
      <c r="H146" s="5"/>
      <c r="I146" s="5"/>
      <c r="J146" s="5"/>
      <c r="K146" s="5"/>
      <c r="L146" s="5"/>
      <c r="M146" s="5"/>
      <c r="N146" s="5"/>
      <c r="O146" s="5"/>
      <c r="Q146" s="5"/>
      <c r="R146" s="5"/>
      <c r="S146" s="5"/>
    </row>
    <row r="147" spans="2:19">
      <c r="B147" s="5"/>
      <c r="C147" s="5"/>
      <c r="D147" s="5"/>
      <c r="E147" s="5"/>
      <c r="F147" s="5"/>
      <c r="G147" s="5"/>
      <c r="H147" s="5"/>
      <c r="I147" s="5"/>
      <c r="J147" s="5"/>
      <c r="K147" s="5"/>
      <c r="L147" s="5"/>
      <c r="M147" s="5"/>
      <c r="N147" s="5"/>
      <c r="O147" s="5"/>
      <c r="Q147" s="5"/>
      <c r="R147" s="5"/>
      <c r="S147" s="5"/>
    </row>
    <row r="148" spans="2:19">
      <c r="B148" s="5"/>
      <c r="C148" s="5"/>
      <c r="D148" s="5"/>
      <c r="E148" s="5"/>
      <c r="F148" s="5"/>
      <c r="G148" s="5"/>
      <c r="H148" s="5"/>
      <c r="I148" s="5"/>
      <c r="J148" s="5"/>
      <c r="K148" s="5"/>
      <c r="L148" s="5"/>
      <c r="M148" s="5"/>
      <c r="N148" s="5"/>
      <c r="O148" s="5"/>
      <c r="Q148" s="5"/>
      <c r="R148" s="5"/>
      <c r="S148" s="5"/>
    </row>
    <row r="149" spans="2:19">
      <c r="B149" s="5"/>
      <c r="C149" s="5"/>
      <c r="D149" s="5"/>
      <c r="E149" s="5"/>
      <c r="F149" s="5"/>
      <c r="G149" s="5"/>
      <c r="H149" s="5"/>
      <c r="J149" s="5"/>
      <c r="K149" s="5"/>
      <c r="L149" s="5"/>
      <c r="M149" s="5"/>
      <c r="N149" s="5"/>
      <c r="O149" s="5"/>
      <c r="Q149" s="5"/>
      <c r="R149" s="5"/>
      <c r="S149" s="5"/>
    </row>
    <row r="150" spans="2:19">
      <c r="B150" s="5"/>
      <c r="C150" s="5"/>
      <c r="D150" s="5"/>
      <c r="E150" s="5"/>
      <c r="F150" s="5"/>
      <c r="G150" s="5"/>
      <c r="H150" s="5"/>
      <c r="J150" s="5"/>
      <c r="K150" s="5"/>
      <c r="L150" s="5"/>
      <c r="M150" s="5"/>
      <c r="N150" s="5"/>
      <c r="O150" s="5"/>
      <c r="Q150" s="5"/>
      <c r="R150" s="5"/>
      <c r="S150" s="5"/>
    </row>
    <row r="151" spans="2:19">
      <c r="Q151" s="5"/>
      <c r="R151" s="5"/>
      <c r="S151" s="5"/>
    </row>
    <row r="152" spans="2:19">
      <c r="Q152" s="5"/>
      <c r="R152" s="5"/>
      <c r="S152" s="5"/>
    </row>
    <row r="153" spans="2:19">
      <c r="C153" s="263"/>
      <c r="Q153" s="5"/>
      <c r="R153" s="5"/>
      <c r="S153" s="5"/>
    </row>
    <row r="154" spans="2:19">
      <c r="Q154" s="5"/>
      <c r="R154" s="5"/>
      <c r="S154" s="5"/>
    </row>
    <row r="155" spans="2:19">
      <c r="Q155" s="5"/>
      <c r="R155" s="5"/>
      <c r="S155" s="5"/>
    </row>
    <row r="156" spans="2:19">
      <c r="Q156" s="5"/>
      <c r="R156" s="5"/>
      <c r="S156" s="5"/>
    </row>
    <row r="157" spans="2:19">
      <c r="Q157" s="5"/>
      <c r="R157" s="5"/>
      <c r="S157" s="5"/>
    </row>
    <row r="158" spans="2:19">
      <c r="Q158" s="5"/>
      <c r="R158" s="5"/>
      <c r="S158" s="5"/>
    </row>
    <row r="159" spans="2:19">
      <c r="Q159" s="5"/>
      <c r="R159" s="5"/>
      <c r="S159" s="5"/>
    </row>
    <row r="160" spans="2:19">
      <c r="Q160" s="5"/>
      <c r="R160" s="5"/>
      <c r="S160" s="5"/>
    </row>
    <row r="161" spans="17:19">
      <c r="Q161" s="5"/>
      <c r="R161" s="5"/>
      <c r="S161" s="5"/>
    </row>
    <row r="162" spans="17:19">
      <c r="Q162" s="5"/>
      <c r="R162" s="5"/>
      <c r="S162" s="5"/>
    </row>
    <row r="163" spans="17:19">
      <c r="Q163" s="5"/>
      <c r="R163" s="5"/>
      <c r="S163" s="5"/>
    </row>
    <row r="164" spans="17:19">
      <c r="Q164" s="5"/>
      <c r="R164" s="5"/>
      <c r="S164" s="5"/>
    </row>
    <row r="165" spans="17:19">
      <c r="Q165" s="5"/>
      <c r="R165" s="5"/>
      <c r="S165" s="5"/>
    </row>
  </sheetData>
  <phoneticPr fontId="7" type="noConversion"/>
  <pageMargins left="0.75" right="0.75" top="1" bottom="1" header="0.5" footer="0.5"/>
  <pageSetup scale="71" orientation="landscape"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06">
    <pageSetUpPr fitToPage="1"/>
  </sheetPr>
  <dimension ref="B1:AB165"/>
  <sheetViews>
    <sheetView showGridLines="0" zoomScale="80" zoomScaleNormal="80" zoomScaleSheetLayoutView="80" workbookViewId="0"/>
  </sheetViews>
  <sheetFormatPr defaultColWidth="9.109375" defaultRowHeight="12"/>
  <cols>
    <col min="1" max="1" width="2.33203125" style="39" customWidth="1"/>
    <col min="2" max="2" width="26.5546875" style="39" customWidth="1"/>
    <col min="3" max="9" width="10" style="39" customWidth="1"/>
    <col min="10" max="10" width="26.6640625" style="39" customWidth="1"/>
    <col min="11" max="16" width="10" style="39" customWidth="1"/>
    <col min="17" max="19" width="8.6640625" style="39" customWidth="1"/>
    <col min="20" max="28" width="8.6640625" style="5" customWidth="1"/>
    <col min="29" max="16384" width="9.109375" style="39"/>
  </cols>
  <sheetData>
    <row r="1" spans="2:28" s="312" customFormat="1">
      <c r="T1" s="149"/>
      <c r="U1" s="149"/>
      <c r="V1" s="149"/>
      <c r="W1" s="149"/>
      <c r="X1" s="149"/>
      <c r="Y1" s="149"/>
      <c r="Z1" s="149"/>
      <c r="AA1" s="149"/>
      <c r="AB1" s="149"/>
    </row>
    <row r="2" spans="2:28" s="149" customFormat="1"/>
    <row r="3" spans="2:28" s="149" customFormat="1">
      <c r="H3" s="153"/>
      <c r="P3" s="153"/>
    </row>
    <row r="4" spans="2:28" s="156" customFormat="1" ht="21">
      <c r="B4" s="129" t="s">
        <v>330</v>
      </c>
      <c r="H4" s="222"/>
      <c r="P4" s="222"/>
    </row>
    <row r="5" spans="2:28" s="149" customFormat="1">
      <c r="C5" s="153"/>
      <c r="D5" s="153" t="str" cm="1">
        <f t="array" ref="D5:H5">headings</f>
        <v>2023E</v>
      </c>
      <c r="E5" s="153" t="str">
        <v>2024E</v>
      </c>
      <c r="F5" s="153" t="str">
        <v>2025E</v>
      </c>
      <c r="G5" s="153" t="str">
        <v>2026E</v>
      </c>
      <c r="H5" s="153" t="str">
        <v>23E-26E</v>
      </c>
      <c r="I5" s="153"/>
      <c r="J5" s="153"/>
      <c r="K5" s="153"/>
      <c r="L5" s="153" t="str" cm="1">
        <f t="array" ref="L5:P5">headings</f>
        <v>2023E</v>
      </c>
      <c r="M5" s="153" t="str">
        <v>2024E</v>
      </c>
      <c r="N5" s="153" t="str">
        <v>2025E</v>
      </c>
      <c r="O5" s="153" t="str">
        <v>2026E</v>
      </c>
      <c r="P5" s="153" t="str">
        <v>23E-26E</v>
      </c>
      <c r="Q5" s="162"/>
      <c r="R5" s="162"/>
      <c r="S5" s="162"/>
      <c r="T5" s="162"/>
      <c r="U5" s="162"/>
      <c r="V5" s="162"/>
      <c r="W5" s="162"/>
      <c r="X5" s="162"/>
      <c r="Y5" s="162"/>
    </row>
    <row r="6" spans="2:28">
      <c r="I6" s="5"/>
      <c r="J6" s="5"/>
      <c r="K6" s="5"/>
      <c r="L6" s="5"/>
      <c r="M6" s="5"/>
      <c r="N6" s="5"/>
      <c r="O6" s="49"/>
    </row>
    <row r="7" spans="2:28" ht="12.6" thickBot="1">
      <c r="B7" s="306" t="s">
        <v>271</v>
      </c>
      <c r="C7" s="265"/>
      <c r="D7" s="265" t="str">
        <f>D5</f>
        <v>2023E</v>
      </c>
      <c r="E7" s="265" t="str">
        <f t="shared" ref="E7:H7" si="0">E5</f>
        <v>2024E</v>
      </c>
      <c r="F7" s="265" t="str">
        <f t="shared" si="0"/>
        <v>2025E</v>
      </c>
      <c r="G7" s="265" t="str">
        <f t="shared" si="0"/>
        <v>2026E</v>
      </c>
      <c r="H7" s="265" t="str">
        <f t="shared" si="0"/>
        <v>23E-26E</v>
      </c>
      <c r="I7" s="49"/>
      <c r="J7" s="306" t="s">
        <v>74</v>
      </c>
      <c r="K7" s="306"/>
      <c r="L7" s="265" t="str">
        <f>L5</f>
        <v>2023E</v>
      </c>
      <c r="M7" s="265" t="str">
        <f t="shared" ref="M7:P7" si="1">M5</f>
        <v>2024E</v>
      </c>
      <c r="N7" s="265" t="str">
        <f t="shared" si="1"/>
        <v>2025E</v>
      </c>
      <c r="O7" s="265" t="str">
        <f t="shared" si="1"/>
        <v>2026E</v>
      </c>
      <c r="P7" s="265" t="str">
        <f t="shared" si="1"/>
        <v>23E-26E</v>
      </c>
    </row>
    <row r="8" spans="2:28" ht="12.6" thickTop="1">
      <c r="B8" s="5"/>
      <c r="C8" s="5"/>
      <c r="D8" s="5"/>
      <c r="E8" s="5"/>
      <c r="F8" s="5"/>
      <c r="G8" s="5"/>
      <c r="H8" s="5"/>
      <c r="I8" s="5"/>
      <c r="J8" s="5"/>
      <c r="K8" s="5"/>
      <c r="L8" s="5"/>
      <c r="M8" s="5"/>
      <c r="N8" s="5"/>
      <c r="S8" s="88"/>
      <c r="T8" s="42"/>
      <c r="U8" s="42"/>
      <c r="V8" s="42"/>
      <c r="W8" s="42"/>
      <c r="X8" s="42"/>
      <c r="Y8" s="42"/>
      <c r="Z8" s="42"/>
      <c r="AA8" s="42"/>
    </row>
    <row r="9" spans="2:28">
      <c r="B9" s="41" t="s">
        <v>14</v>
      </c>
      <c r="C9" s="267">
        <f>Prices!C81</f>
        <v>2.87</v>
      </c>
      <c r="D9" s="535">
        <v>0</v>
      </c>
      <c r="E9" s="536">
        <v>0</v>
      </c>
      <c r="F9" s="536">
        <v>0</v>
      </c>
      <c r="G9" s="536">
        <v>0</v>
      </c>
      <c r="H9" s="249"/>
      <c r="I9" s="249"/>
      <c r="J9" s="5" t="s">
        <v>273</v>
      </c>
      <c r="L9" s="529">
        <f>'AGG ASIA CELLULAR'!D37</f>
        <v>2.0832818906884643</v>
      </c>
      <c r="M9" s="529">
        <f>'AGG ASIA CELLULAR'!E37</f>
        <v>1.9180381131180324</v>
      </c>
      <c r="N9" s="529">
        <f>'AGG ASIA CELLULAR'!F37</f>
        <v>1.6973984727138696</v>
      </c>
      <c r="O9" s="529">
        <f>'AGG ASIA CELLULAR'!G37</f>
        <v>1.4849146547081604</v>
      </c>
      <c r="P9" s="286">
        <f>'AGG ASIA CELLULAR'!H37</f>
        <v>5.2823672985303771E-2</v>
      </c>
      <c r="S9" s="88"/>
      <c r="T9" s="42"/>
      <c r="U9" s="42"/>
      <c r="V9" s="42"/>
      <c r="W9" s="42"/>
      <c r="X9" s="42"/>
      <c r="Y9" s="42"/>
      <c r="Z9" s="42"/>
      <c r="AA9" s="42"/>
    </row>
    <row r="10" spans="2:28">
      <c r="B10" s="5" t="s">
        <v>274</v>
      </c>
      <c r="C10" s="5"/>
      <c r="D10" s="531">
        <v>9183.7790000000005</v>
      </c>
      <c r="E10" s="531">
        <v>9183.7790000000005</v>
      </c>
      <c r="F10" s="531">
        <v>9183.7790000000005</v>
      </c>
      <c r="G10" s="531">
        <v>9183.7790000000005</v>
      </c>
      <c r="H10" s="247"/>
      <c r="I10" s="247"/>
      <c r="J10" s="5" t="s">
        <v>184</v>
      </c>
      <c r="L10" s="529">
        <f>'AGG ASIA CELLULAR'!D38</f>
        <v>6.3578764048835863</v>
      </c>
      <c r="M10" s="529">
        <f>'AGG ASIA CELLULAR'!E38</f>
        <v>5.8349432944863064</v>
      </c>
      <c r="N10" s="529">
        <f>'AGG ASIA CELLULAR'!F38</f>
        <v>5.103853656504258</v>
      </c>
      <c r="O10" s="529">
        <f>'AGG ASIA CELLULAR'!G38</f>
        <v>4.4165179955724438</v>
      </c>
      <c r="P10" s="286">
        <f>'AGG ASIA CELLULAR'!H38</f>
        <v>6.1901299000113985E-2</v>
      </c>
      <c r="S10" s="88"/>
      <c r="T10" s="42"/>
      <c r="U10" s="42"/>
      <c r="V10" s="42"/>
      <c r="W10" s="288"/>
      <c r="X10" s="288"/>
      <c r="Y10" s="288"/>
      <c r="Z10" s="288"/>
      <c r="AA10" s="42"/>
    </row>
    <row r="11" spans="2:28">
      <c r="B11" s="41" t="s">
        <v>275</v>
      </c>
      <c r="C11" s="5"/>
      <c r="D11" s="532">
        <f>$C$9*D10</f>
        <v>26357.445730000003</v>
      </c>
      <c r="E11" s="532">
        <f>$C$9*E10</f>
        <v>26357.445730000003</v>
      </c>
      <c r="F11" s="532">
        <f>$C$9*F10</f>
        <v>26357.445730000003</v>
      </c>
      <c r="G11" s="532">
        <f>$C$9*G10</f>
        <v>26357.445730000003</v>
      </c>
      <c r="H11" s="249"/>
      <c r="I11" s="249"/>
      <c r="J11" s="5" t="s">
        <v>185</v>
      </c>
      <c r="L11" s="529">
        <f>'AGG ASIA CELLULAR'!D39</f>
        <v>12.256315794878686</v>
      </c>
      <c r="M11" s="529">
        <f>'AGG ASIA CELLULAR'!E39</f>
        <v>10.532349001792122</v>
      </c>
      <c r="N11" s="529">
        <f>'AGG ASIA CELLULAR'!F39</f>
        <v>8.8097379743624202</v>
      </c>
      <c r="O11" s="529">
        <f>'AGG ASIA CELLULAR'!G39</f>
        <v>7.3400525025099741</v>
      </c>
      <c r="P11" s="286">
        <f>'AGG ASIA CELLULAR'!H39</f>
        <v>0.11573327430771596</v>
      </c>
      <c r="S11" s="88"/>
      <c r="T11" s="42"/>
      <c r="U11" s="42"/>
      <c r="V11" s="42"/>
      <c r="W11" s="288"/>
      <c r="X11" s="288"/>
      <c r="Y11" s="288"/>
      <c r="Z11" s="288"/>
      <c r="AA11" s="42"/>
    </row>
    <row r="12" spans="2:28">
      <c r="B12" s="5" t="s">
        <v>24</v>
      </c>
      <c r="C12" s="249"/>
      <c r="D12" s="533">
        <v>23035.81246180641</v>
      </c>
      <c r="E12" s="533">
        <v>22468.095603689435</v>
      </c>
      <c r="F12" s="533">
        <v>22022.401156534379</v>
      </c>
      <c r="G12" s="533">
        <v>21530.01854581822</v>
      </c>
      <c r="H12" s="247"/>
      <c r="I12" s="247"/>
      <c r="J12" s="5" t="s">
        <v>466</v>
      </c>
      <c r="L12" s="529">
        <f>'AGG ASIA CELLULAR'!D40</f>
        <v>15.951300793811486</v>
      </c>
      <c r="M12" s="529">
        <f>'AGG ASIA CELLULAR'!E40</f>
        <v>13.847183646795452</v>
      </c>
      <c r="N12" s="529">
        <f>'AGG ASIA CELLULAR'!F40</f>
        <v>11.626709680654198</v>
      </c>
      <c r="O12" s="529">
        <f>'AGG ASIA CELLULAR'!G40</f>
        <v>9.7078389032116537</v>
      </c>
      <c r="P12" s="286">
        <f>'AGG ASIA CELLULAR'!H40</f>
        <v>0.10976572550111241</v>
      </c>
      <c r="S12" s="88"/>
      <c r="T12" s="42"/>
      <c r="U12" s="42"/>
      <c r="V12" s="42"/>
      <c r="W12" s="288"/>
      <c r="X12" s="288"/>
      <c r="Y12" s="288"/>
      <c r="Z12" s="288"/>
      <c r="AA12" s="42"/>
    </row>
    <row r="13" spans="2:28">
      <c r="B13" s="5" t="s">
        <v>529</v>
      </c>
      <c r="C13" s="257"/>
      <c r="D13" s="533">
        <v>0</v>
      </c>
      <c r="E13" s="533">
        <v>0</v>
      </c>
      <c r="F13" s="533">
        <v>0</v>
      </c>
      <c r="G13" s="533">
        <v>0</v>
      </c>
      <c r="H13" s="247"/>
      <c r="I13" s="247"/>
      <c r="J13" s="5" t="s">
        <v>530</v>
      </c>
      <c r="L13" s="529">
        <f>'AGG ASIA CELLULAR'!D41</f>
        <v>1.4274445412547272</v>
      </c>
      <c r="M13" s="529">
        <f>'AGG ASIA CELLULAR'!E41</f>
        <v>1.4179696737537477</v>
      </c>
      <c r="N13" s="529">
        <f>'AGG ASIA CELLULAR'!F41</f>
        <v>1.3450707920768976</v>
      </c>
      <c r="O13" s="529">
        <f>'AGG ASIA CELLULAR'!G41</f>
        <v>1.2618986136137988</v>
      </c>
      <c r="P13" s="286">
        <f>'AGG ASIA CELLULAR'!H41</f>
        <v>-2.0092563683029918E-2</v>
      </c>
      <c r="S13" s="88"/>
      <c r="T13" s="42"/>
      <c r="U13" s="42"/>
      <c r="V13" s="42"/>
      <c r="W13" s="42"/>
      <c r="X13" s="42"/>
      <c r="Y13" s="42"/>
      <c r="Z13" s="42"/>
      <c r="AA13" s="42"/>
    </row>
    <row r="14" spans="2:28">
      <c r="B14" s="5" t="s">
        <v>532</v>
      </c>
      <c r="C14" s="257"/>
      <c r="D14" s="533">
        <v>7986</v>
      </c>
      <c r="E14" s="533">
        <v>266.47500000000002</v>
      </c>
      <c r="F14" s="533">
        <v>253.29300000000003</v>
      </c>
      <c r="G14" s="533">
        <v>246.70200000000003</v>
      </c>
      <c r="H14" s="249" t="s">
        <v>137</v>
      </c>
      <c r="I14" s="247"/>
      <c r="J14" s="5" t="s">
        <v>593</v>
      </c>
      <c r="L14" s="529">
        <f>'AGG ASIA CELLULAR'!D42</f>
        <v>2.9130695199933734</v>
      </c>
      <c r="M14" s="529">
        <f>'AGG ASIA CELLULAR'!E42</f>
        <v>2.8146219035099969</v>
      </c>
      <c r="N14" s="529">
        <f>'AGG ASIA CELLULAR'!F42</f>
        <v>2.5888583636405476</v>
      </c>
      <c r="O14" s="529">
        <f>'AGG ASIA CELLULAR'!G42</f>
        <v>2.3605815546209548</v>
      </c>
      <c r="P14" s="286">
        <f>'AGG ASIA CELLULAR'!H42</f>
        <v>8.7512202951403051E-3</v>
      </c>
      <c r="S14" s="88"/>
      <c r="T14" s="42"/>
      <c r="U14" s="42"/>
      <c r="V14" s="42"/>
      <c r="W14" s="42"/>
      <c r="X14" s="42"/>
      <c r="Y14" s="42"/>
      <c r="Z14" s="42"/>
      <c r="AA14" s="42"/>
    </row>
    <row r="15" spans="2:28">
      <c r="B15" s="5" t="s">
        <v>531</v>
      </c>
      <c r="C15" s="274"/>
      <c r="D15" s="533">
        <v>5773</v>
      </c>
      <c r="E15" s="533">
        <v>5737.9070000000002</v>
      </c>
      <c r="F15" s="533">
        <v>5811.6016791263946</v>
      </c>
      <c r="G15" s="533">
        <v>5987.1145973780158</v>
      </c>
      <c r="H15" s="249" t="s">
        <v>137</v>
      </c>
      <c r="I15" s="247"/>
      <c r="J15" s="5" t="s">
        <v>475</v>
      </c>
      <c r="L15" s="529">
        <f>'AGG ASIA CELLULAR'!D43</f>
        <v>19.278364274513134</v>
      </c>
      <c r="M15" s="529">
        <f>'AGG ASIA CELLULAR'!E43</f>
        <v>15.523038202411636</v>
      </c>
      <c r="N15" s="529">
        <f>'AGG ASIA CELLULAR'!F43</f>
        <v>13.257386088679914</v>
      </c>
      <c r="O15" s="529">
        <f>'AGG ASIA CELLULAR'!G43</f>
        <v>11.466142328229227</v>
      </c>
      <c r="P15" s="286">
        <f>'AGG ASIA CELLULAR'!H43</f>
        <v>0.18831027118838706</v>
      </c>
      <c r="S15" s="88"/>
      <c r="T15" s="42"/>
      <c r="U15" s="42"/>
      <c r="V15" s="42"/>
      <c r="W15" s="42"/>
      <c r="X15" s="42"/>
      <c r="Y15" s="42"/>
      <c r="Z15" s="42"/>
      <c r="AA15" s="42"/>
    </row>
    <row r="16" spans="2:28">
      <c r="B16" s="5" t="s">
        <v>534</v>
      </c>
      <c r="C16" s="257"/>
      <c r="D16" s="533">
        <v>0</v>
      </c>
      <c r="E16" s="533">
        <v>0</v>
      </c>
      <c r="F16" s="533">
        <v>1102.0534799999998</v>
      </c>
      <c r="G16" s="533">
        <v>2295.9447499999997</v>
      </c>
      <c r="H16" s="247"/>
      <c r="I16" s="247"/>
      <c r="J16" s="5" t="s">
        <v>533</v>
      </c>
      <c r="L16" s="529">
        <f>'AGG ASIA CELLULAR'!D44</f>
        <v>20.50009040888548</v>
      </c>
      <c r="M16" s="529">
        <f>'AGG ASIA CELLULAR'!E44</f>
        <v>17.31807909095523</v>
      </c>
      <c r="N16" s="529">
        <f>'AGG ASIA CELLULAR'!F44</f>
        <v>14.883294016253318</v>
      </c>
      <c r="O16" s="529">
        <f>'AGG ASIA CELLULAR'!G44</f>
        <v>13.16548576425039</v>
      </c>
      <c r="P16" s="286">
        <f>'AGG ASIA CELLULAR'!H44</f>
        <v>0.15839482711139796</v>
      </c>
      <c r="S16" s="88"/>
      <c r="T16" s="42"/>
      <c r="U16" s="42"/>
      <c r="V16" s="42"/>
      <c r="W16" s="42"/>
      <c r="X16" s="42"/>
      <c r="Y16" s="42"/>
      <c r="Z16" s="42"/>
      <c r="AA16" s="42"/>
    </row>
    <row r="17" spans="2:27">
      <c r="B17" s="5" t="s">
        <v>6</v>
      </c>
      <c r="C17" s="257"/>
      <c r="D17" s="533">
        <v>0</v>
      </c>
      <c r="E17" s="533">
        <v>0</v>
      </c>
      <c r="F17" s="533">
        <v>0</v>
      </c>
      <c r="G17" s="533">
        <v>0</v>
      </c>
      <c r="H17" s="247"/>
      <c r="I17" s="247"/>
      <c r="J17" s="5" t="s">
        <v>580</v>
      </c>
      <c r="L17" s="248">
        <f>'AGG ASIA CELLULAR'!D45</f>
        <v>4.174038595528512E-2</v>
      </c>
      <c r="M17" s="248">
        <f>'AGG ASIA CELLULAR'!E45</f>
        <v>4.4792872771489058E-2</v>
      </c>
      <c r="N17" s="248">
        <f>'AGG ASIA CELLULAR'!F45</f>
        <v>5.1203391440393167E-2</v>
      </c>
      <c r="O17" s="248">
        <f>'AGG ASIA CELLULAR'!G45</f>
        <v>5.7913719466381006E-2</v>
      </c>
      <c r="P17" s="286">
        <f>'AGG ASIA CELLULAR'!H45</f>
        <v>0.11470165475568339</v>
      </c>
      <c r="S17" s="88"/>
      <c r="T17" s="42"/>
      <c r="U17" s="42"/>
      <c r="V17" s="42"/>
      <c r="W17" s="42"/>
      <c r="X17" s="42"/>
      <c r="Y17" s="42"/>
      <c r="Z17" s="42"/>
      <c r="AA17" s="42"/>
    </row>
    <row r="18" spans="2:27" ht="12.6" thickBot="1">
      <c r="B18" s="41" t="s">
        <v>583</v>
      </c>
      <c r="C18" s="249"/>
      <c r="D18" s="534">
        <f>D11+D12+D13-D14+D15-D16-D17</f>
        <v>47180.25819180641</v>
      </c>
      <c r="E18" s="534">
        <f>E11+E12+E13-E14+E15-E16-E17</f>
        <v>54296.973333689442</v>
      </c>
      <c r="F18" s="534">
        <f>F11+F12+F13-F14+F15-F16-F17</f>
        <v>52836.102085660779</v>
      </c>
      <c r="G18" s="534">
        <f>G11+G12+G13-G14+G15-G16-G17</f>
        <v>51331.932123196239</v>
      </c>
      <c r="H18" s="276">
        <f>IF(D18=0,"nm",IF(G18=0,"nm",(G18/D18)^(1/3)-1))</f>
        <v>2.8511375372388903E-2</v>
      </c>
      <c r="I18" s="254"/>
      <c r="J18" s="5" t="s">
        <v>36</v>
      </c>
      <c r="L18" s="248" t="e">
        <f>'AGG ASIA CELLULAR'!D46</f>
        <v>#VALUE!</v>
      </c>
      <c r="M18" s="248" t="e">
        <f>'AGG ASIA CELLULAR'!E46</f>
        <v>#VALUE!</v>
      </c>
      <c r="N18" s="248" t="e">
        <f>'AGG ASIA CELLULAR'!F46</f>
        <v>#VALUE!</v>
      </c>
      <c r="O18" s="248" t="e">
        <f>'AGG ASIA CELLULAR'!G46</f>
        <v>#VALUE!</v>
      </c>
      <c r="P18" s="286" t="e">
        <f>'AGG ASIA CELLULAR'!H46</f>
        <v>#VALUE!</v>
      </c>
      <c r="S18" s="88"/>
      <c r="T18" s="42"/>
      <c r="U18" s="42"/>
      <c r="V18" s="42"/>
      <c r="W18" s="42"/>
      <c r="X18" s="42"/>
      <c r="Y18" s="42"/>
      <c r="Z18" s="42"/>
      <c r="AA18" s="42"/>
    </row>
    <row r="19" spans="2:27" ht="12.6" thickTop="1">
      <c r="B19" s="41"/>
      <c r="C19" s="249"/>
      <c r="D19" s="229"/>
      <c r="E19" s="229"/>
      <c r="F19" s="229"/>
      <c r="G19" s="229"/>
      <c r="H19" s="276"/>
      <c r="I19" s="254"/>
      <c r="J19" s="5" t="s">
        <v>581</v>
      </c>
      <c r="L19" s="248">
        <f>'AGG ASIA CELLULAR'!D47</f>
        <v>5.1871620732991598E-2</v>
      </c>
      <c r="M19" s="248">
        <f>'AGG ASIA CELLULAR'!E47</f>
        <v>6.4420378727447922E-2</v>
      </c>
      <c r="N19" s="248">
        <f>'AGG ASIA CELLULAR'!F47</f>
        <v>7.5429650559386677E-2</v>
      </c>
      <c r="O19" s="248">
        <f>'AGG ASIA CELLULAR'!G47</f>
        <v>8.7213290344219457E-2</v>
      </c>
      <c r="P19" s="286">
        <f>'AGG ASIA CELLULAR'!H47</f>
        <v>0.18831027118838706</v>
      </c>
      <c r="S19" s="88"/>
      <c r="T19" s="42"/>
      <c r="U19" s="42"/>
      <c r="V19" s="42"/>
      <c r="W19" s="42"/>
      <c r="X19" s="42"/>
      <c r="Y19" s="42"/>
      <c r="Z19" s="42"/>
      <c r="AA19" s="42"/>
    </row>
    <row r="20" spans="2:27">
      <c r="H20" s="277"/>
      <c r="I20" s="17"/>
      <c r="J20" s="5" t="s">
        <v>604</v>
      </c>
      <c r="L20" s="305">
        <f>'AGG ASIA CELLULAR'!D48</f>
        <v>0.92045377326476352</v>
      </c>
      <c r="M20" s="305">
        <f>'AGG ASIA CELLULAR'!E48</f>
        <v>0.79490390762892493</v>
      </c>
      <c r="N20" s="305">
        <f>'AGG ASIA CELLULAR'!F48</f>
        <v>0.7763724496707467</v>
      </c>
      <c r="O20" s="305">
        <f>'AGG ASIA CELLULAR'!G48</f>
        <v>0.75978089170129071</v>
      </c>
      <c r="P20" s="286" t="str">
        <f>'AGG ASIA CELLULAR'!H48</f>
        <v>nm</v>
      </c>
      <c r="S20" s="88"/>
      <c r="T20" s="42"/>
      <c r="U20" s="42"/>
      <c r="V20" s="42"/>
      <c r="W20" s="42"/>
      <c r="X20" s="42"/>
      <c r="Y20" s="42"/>
      <c r="Z20" s="42"/>
      <c r="AA20" s="42"/>
    </row>
    <row r="21" spans="2:27" ht="12.6" thickBot="1">
      <c r="B21" s="306" t="s">
        <v>928</v>
      </c>
      <c r="C21" s="265"/>
      <c r="D21" s="265" t="str">
        <f>D5</f>
        <v>2023E</v>
      </c>
      <c r="E21" s="265" t="str">
        <f t="shared" ref="E21:H21" si="2">E5</f>
        <v>2024E</v>
      </c>
      <c r="F21" s="265" t="str">
        <f t="shared" si="2"/>
        <v>2025E</v>
      </c>
      <c r="G21" s="265" t="str">
        <f t="shared" si="2"/>
        <v>2026E</v>
      </c>
      <c r="H21" s="265" t="str">
        <f t="shared" si="2"/>
        <v>23E-26E</v>
      </c>
      <c r="I21" s="49"/>
      <c r="J21" s="41"/>
      <c r="L21" s="250"/>
      <c r="M21" s="250"/>
      <c r="N21" s="250"/>
      <c r="O21" s="250"/>
      <c r="P21" s="286"/>
      <c r="S21" s="88"/>
      <c r="T21" s="42"/>
      <c r="U21" s="42"/>
      <c r="V21" s="42"/>
      <c r="W21" s="42"/>
      <c r="X21" s="42"/>
      <c r="Y21" s="42"/>
      <c r="Z21" s="42"/>
      <c r="AA21" s="42"/>
    </row>
    <row r="22" spans="2:27" ht="12.6" thickTop="1">
      <c r="B22" s="5"/>
      <c r="C22" s="257"/>
      <c r="D22" s="17"/>
      <c r="E22" s="17"/>
      <c r="F22" s="17"/>
      <c r="G22" s="17"/>
      <c r="H22" s="17"/>
      <c r="I22" s="17"/>
      <c r="P22" s="277"/>
      <c r="S22" s="88"/>
      <c r="T22" s="42"/>
      <c r="U22" s="42"/>
      <c r="V22" s="42"/>
      <c r="W22" s="42"/>
      <c r="X22" s="42"/>
      <c r="Y22" s="42"/>
      <c r="Z22" s="42"/>
      <c r="AA22" s="42"/>
    </row>
    <row r="23" spans="2:27" ht="12.6" thickBot="1">
      <c r="B23" s="5" t="s">
        <v>584</v>
      </c>
      <c r="C23" s="548">
        <v>26269.436999999998</v>
      </c>
      <c r="D23" s="540">
        <v>23145.438133827436</v>
      </c>
      <c r="E23" s="540">
        <v>23913.328055108745</v>
      </c>
      <c r="F23" s="540">
        <v>25367.978752874991</v>
      </c>
      <c r="G23" s="540">
        <v>26609.261375494349</v>
      </c>
      <c r="H23" s="279">
        <f t="shared" ref="H23:H32" si="3">IF(D23=0,"nm",IF(G23=0,"nm",(G23/D23)^(1/3)-1))</f>
        <v>4.7584677909829676E-2</v>
      </c>
      <c r="I23" s="247"/>
      <c r="J23" s="306" t="s">
        <v>9</v>
      </c>
      <c r="K23" s="306"/>
      <c r="L23" s="265" t="str">
        <f>D21</f>
        <v>2023E</v>
      </c>
      <c r="M23" s="265" t="str">
        <f t="shared" ref="M23:P23" si="4">E21</f>
        <v>2024E</v>
      </c>
      <c r="N23" s="265" t="str">
        <f t="shared" si="4"/>
        <v>2025E</v>
      </c>
      <c r="O23" s="265" t="str">
        <f t="shared" si="4"/>
        <v>2026E</v>
      </c>
      <c r="P23" s="265" t="str">
        <f t="shared" si="4"/>
        <v>23E-26E</v>
      </c>
      <c r="S23" s="88"/>
      <c r="T23" s="42"/>
      <c r="U23" s="42"/>
      <c r="V23" s="42"/>
      <c r="W23" s="42"/>
      <c r="X23" s="42"/>
      <c r="Y23" s="42"/>
      <c r="Z23" s="42"/>
      <c r="AA23" s="42"/>
    </row>
    <row r="24" spans="2:27" ht="12.6" thickTop="1">
      <c r="B24" s="5" t="s">
        <v>483</v>
      </c>
      <c r="C24" s="549">
        <v>11660.942999999999</v>
      </c>
      <c r="D24" s="540">
        <v>10398.165451754605</v>
      </c>
      <c r="E24" s="540">
        <v>10882.91315836106</v>
      </c>
      <c r="F24" s="540">
        <v>11614.735649513905</v>
      </c>
      <c r="G24" s="540">
        <v>12264.722799040725</v>
      </c>
      <c r="H24" s="279">
        <f t="shared" si="3"/>
        <v>5.6575017875276856E-2</v>
      </c>
      <c r="I24" s="249"/>
      <c r="J24" s="17"/>
      <c r="K24" s="17"/>
      <c r="L24" s="17"/>
      <c r="M24" s="17"/>
      <c r="N24" s="17"/>
      <c r="O24" s="248"/>
      <c r="S24" s="88"/>
      <c r="T24" s="42"/>
      <c r="U24" s="42"/>
      <c r="V24" s="42"/>
      <c r="W24" s="42" t="s">
        <v>328</v>
      </c>
      <c r="X24" s="42" t="s">
        <v>257</v>
      </c>
      <c r="Y24" s="42"/>
      <c r="Z24" s="42"/>
      <c r="AA24" s="42"/>
    </row>
    <row r="25" spans="2:27">
      <c r="B25" s="5" t="s">
        <v>183</v>
      </c>
      <c r="C25" s="548">
        <v>5113.9429999999993</v>
      </c>
      <c r="D25" s="540">
        <v>4191.0481458214017</v>
      </c>
      <c r="E25" s="540">
        <v>4358.722241706324</v>
      </c>
      <c r="F25" s="540">
        <v>4392.481370340749</v>
      </c>
      <c r="G25" s="540">
        <v>4698.1968450180084</v>
      </c>
      <c r="H25" s="279">
        <f>IF(D25=0,"nm",IF(G25=0,"nm",(G25/D25)^(1/3)-1))</f>
        <v>3.8810154632409111E-2</v>
      </c>
      <c r="I25" s="248"/>
      <c r="J25" s="247" t="s">
        <v>10</v>
      </c>
      <c r="K25" s="247"/>
      <c r="L25" s="321">
        <v>0</v>
      </c>
      <c r="M25" s="321">
        <v>0</v>
      </c>
      <c r="N25" s="321">
        <v>0</v>
      </c>
      <c r="O25" s="321">
        <v>0</v>
      </c>
      <c r="P25" s="279" t="str">
        <f>IF(L25=0,"nm",IF(O25=0,"nm",(O25/L25)^(1/3)-1))</f>
        <v>nm</v>
      </c>
      <c r="S25" s="88"/>
      <c r="T25" s="42"/>
      <c r="U25" s="42"/>
      <c r="V25" s="147" t="s">
        <v>273</v>
      </c>
      <c r="W25" s="288">
        <f t="shared" ref="W25:W33" si="5">D37/L9</f>
        <v>0.97846854371612191</v>
      </c>
      <c r="X25" s="288">
        <v>1</v>
      </c>
      <c r="Y25" s="42"/>
      <c r="Z25" s="42"/>
      <c r="AA25" s="42"/>
    </row>
    <row r="26" spans="2:27">
      <c r="B26" s="5" t="s">
        <v>586</v>
      </c>
      <c r="C26" s="548">
        <v>6789.0283577505443</v>
      </c>
      <c r="D26" s="540">
        <v>2514.6288874928409</v>
      </c>
      <c r="E26" s="540">
        <v>2615.2333450237943</v>
      </c>
      <c r="F26" s="540">
        <v>2635.4888222044492</v>
      </c>
      <c r="G26" s="540">
        <v>2818.9181070108048</v>
      </c>
      <c r="H26" s="279">
        <f t="shared" si="3"/>
        <v>3.8810154632409111E-2</v>
      </c>
      <c r="I26" s="249"/>
      <c r="J26" s="249" t="s">
        <v>11</v>
      </c>
      <c r="K26" s="249"/>
      <c r="L26" s="281">
        <f>D11+L25</f>
        <v>26357.445730000003</v>
      </c>
      <c r="M26" s="281">
        <f>E11+M25</f>
        <v>26357.445730000003</v>
      </c>
      <c r="N26" s="281">
        <f>F11+N25</f>
        <v>26357.445730000003</v>
      </c>
      <c r="O26" s="281">
        <f>G11+O25</f>
        <v>26357.445730000003</v>
      </c>
      <c r="P26" s="279">
        <f>IF(L26=0,"nm",IF(O26=0,"nm",(O26/L26)^(1/3)-1))</f>
        <v>0</v>
      </c>
      <c r="Q26" s="5"/>
      <c r="S26" s="88"/>
      <c r="T26" s="42"/>
      <c r="U26" s="42"/>
      <c r="V26" s="147" t="s">
        <v>184</v>
      </c>
      <c r="W26" s="288">
        <f t="shared" si="5"/>
        <v>0.71366025140282996</v>
      </c>
      <c r="X26" s="288">
        <v>1</v>
      </c>
      <c r="Y26" s="42"/>
      <c r="Z26" s="42"/>
      <c r="AA26" s="42"/>
    </row>
    <row r="27" spans="2:27">
      <c r="B27" s="5" t="s">
        <v>587</v>
      </c>
      <c r="C27" s="549">
        <v>61736.119999999995</v>
      </c>
      <c r="D27" s="540">
        <v>61637.96148437947</v>
      </c>
      <c r="E27" s="540">
        <v>63246.271150431239</v>
      </c>
      <c r="F27" s="540">
        <v>65350.755771979755</v>
      </c>
      <c r="G27" s="540">
        <v>67723.886951489651</v>
      </c>
      <c r="H27" s="279">
        <f t="shared" si="3"/>
        <v>3.1884770987806066E-2</v>
      </c>
      <c r="I27" s="249"/>
      <c r="J27" s="248"/>
      <c r="K27" s="248"/>
      <c r="L27" s="248"/>
      <c r="M27" s="248"/>
      <c r="N27" s="248"/>
      <c r="O27" s="248"/>
      <c r="Q27" s="41"/>
      <c r="S27" s="88"/>
      <c r="T27" s="42"/>
      <c r="U27" s="42"/>
      <c r="V27" s="147" t="s">
        <v>185</v>
      </c>
      <c r="W27" s="288">
        <f t="shared" si="5"/>
        <v>0.91849695496752859</v>
      </c>
      <c r="X27" s="288">
        <v>1</v>
      </c>
      <c r="Y27" s="42"/>
      <c r="Z27" s="42"/>
      <c r="AA27" s="42"/>
    </row>
    <row r="28" spans="2:27" ht="12.6" thickBot="1">
      <c r="B28" s="5" t="s">
        <v>592</v>
      </c>
      <c r="C28" s="548">
        <v>27933.612000000001</v>
      </c>
      <c r="D28" s="540">
        <v>26216.898576746808</v>
      </c>
      <c r="E28" s="540">
        <v>25202.810452225855</v>
      </c>
      <c r="F28" s="540">
        <v>24413.821339762992</v>
      </c>
      <c r="G28" s="540">
        <v>23525.439626648353</v>
      </c>
      <c r="H28" s="279">
        <f t="shared" si="3"/>
        <v>-3.5463179142296797E-2</v>
      </c>
      <c r="I28" s="248"/>
      <c r="J28" s="306" t="s">
        <v>1362</v>
      </c>
      <c r="K28" s="306"/>
      <c r="L28" s="306"/>
      <c r="M28" s="306"/>
      <c r="N28" s="266"/>
      <c r="O28" s="266"/>
      <c r="P28" s="266"/>
      <c r="Q28" s="5"/>
      <c r="S28" s="88"/>
      <c r="T28" s="42"/>
      <c r="U28" s="42"/>
      <c r="V28" s="147" t="s">
        <v>466</v>
      </c>
      <c r="W28" s="288">
        <f t="shared" si="5"/>
        <v>1.176224735757804</v>
      </c>
      <c r="X28" s="288">
        <v>1</v>
      </c>
      <c r="Y28" s="42"/>
      <c r="Z28" s="42"/>
      <c r="AA28" s="42"/>
    </row>
    <row r="29" spans="2:27" ht="12.6" thickTop="1">
      <c r="B29" s="5" t="s">
        <v>588</v>
      </c>
      <c r="C29" s="548">
        <v>11058.802</v>
      </c>
      <c r="D29" s="540">
        <v>3768.0764526399253</v>
      </c>
      <c r="E29" s="540">
        <v>4490.6412541783411</v>
      </c>
      <c r="F29" s="540">
        <v>4780.8817327970664</v>
      </c>
      <c r="G29" s="540">
        <v>5306.3653164128536</v>
      </c>
      <c r="H29" s="279">
        <f t="shared" si="3"/>
        <v>0.12088006848502442</v>
      </c>
      <c r="I29" s="252"/>
      <c r="J29" s="249"/>
      <c r="K29" s="249"/>
      <c r="L29" s="249"/>
      <c r="M29" s="249"/>
      <c r="N29" s="249"/>
      <c r="O29" s="251"/>
      <c r="Q29" s="5"/>
      <c r="S29" s="88"/>
      <c r="T29" s="42"/>
      <c r="U29" s="42"/>
      <c r="V29" s="147" t="s">
        <v>530</v>
      </c>
      <c r="W29" s="288">
        <f t="shared" si="5"/>
        <v>0.53623209226291024</v>
      </c>
      <c r="X29" s="288">
        <v>1</v>
      </c>
      <c r="Y29" s="42"/>
      <c r="Z29" s="42"/>
      <c r="AA29" s="42"/>
    </row>
    <row r="30" spans="2:27">
      <c r="B30" s="5" t="s">
        <v>589</v>
      </c>
      <c r="C30" s="549">
        <v>9765.6359999999986</v>
      </c>
      <c r="D30" s="540">
        <v>2051.3630293867359</v>
      </c>
      <c r="E30" s="540">
        <v>3476.5531296573859</v>
      </c>
      <c r="F30" s="540">
        <v>3991.8926203342007</v>
      </c>
      <c r="G30" s="540">
        <v>4417.9836032982148</v>
      </c>
      <c r="H30" s="279">
        <f t="shared" si="3"/>
        <v>0.29139923610651675</v>
      </c>
      <c r="I30" s="254"/>
      <c r="J30" s="248"/>
      <c r="K30" s="248"/>
      <c r="L30" s="248"/>
      <c r="M30" s="248"/>
      <c r="N30" s="248"/>
      <c r="O30" s="5"/>
      <c r="Q30" s="5"/>
      <c r="S30" s="88"/>
      <c r="T30" s="42"/>
      <c r="U30" s="42"/>
      <c r="V30" s="147" t="s">
        <v>593</v>
      </c>
      <c r="W30" s="288">
        <f t="shared" si="5"/>
        <v>0.6177719000837294</v>
      </c>
      <c r="X30" s="288">
        <v>1</v>
      </c>
      <c r="Y30" s="42"/>
      <c r="Z30" s="42"/>
      <c r="AA30" s="42"/>
    </row>
    <row r="31" spans="2:27">
      <c r="B31" s="5" t="s">
        <v>590</v>
      </c>
      <c r="C31" s="549">
        <v>1285.7290600000001</v>
      </c>
      <c r="D31" s="540">
        <v>918.37790000000007</v>
      </c>
      <c r="E31" s="540">
        <v>1010.2156900000001</v>
      </c>
      <c r="F31" s="540">
        <v>1102.05348</v>
      </c>
      <c r="G31" s="540">
        <v>1193.8912700000001</v>
      </c>
      <c r="H31" s="279">
        <f t="shared" si="3"/>
        <v>9.1392883061105934E-2</v>
      </c>
      <c r="I31" s="254"/>
      <c r="J31" s="252"/>
      <c r="K31" s="252"/>
      <c r="L31" s="252"/>
      <c r="M31" s="252"/>
      <c r="N31" s="252"/>
      <c r="O31" s="5"/>
      <c r="Q31" s="5"/>
      <c r="S31" s="88"/>
      <c r="T31" s="42"/>
      <c r="U31" s="42"/>
      <c r="V31" s="147" t="s">
        <v>475</v>
      </c>
      <c r="W31" s="288">
        <f t="shared" si="5"/>
        <v>0.36283855850087715</v>
      </c>
      <c r="X31" s="288">
        <v>1</v>
      </c>
      <c r="Y31" s="42"/>
      <c r="Z31" s="42"/>
      <c r="AA31" s="42"/>
    </row>
    <row r="32" spans="2:27">
      <c r="B32" s="5" t="s">
        <v>606</v>
      </c>
      <c r="C32" s="550">
        <v>0</v>
      </c>
      <c r="D32" s="540">
        <v>0</v>
      </c>
      <c r="E32" s="540">
        <v>0</v>
      </c>
      <c r="F32" s="540">
        <v>0</v>
      </c>
      <c r="G32" s="540">
        <v>0</v>
      </c>
      <c r="H32" s="279" t="str">
        <f t="shared" si="3"/>
        <v>nm</v>
      </c>
      <c r="I32" s="254"/>
      <c r="J32" s="254"/>
      <c r="K32" s="254"/>
      <c r="L32" s="254"/>
      <c r="M32" s="254"/>
      <c r="N32" s="254"/>
      <c r="O32" s="251"/>
      <c r="Q32" s="5"/>
      <c r="S32" s="88"/>
      <c r="T32" s="42"/>
      <c r="U32" s="42"/>
      <c r="V32" s="147" t="s">
        <v>533</v>
      </c>
      <c r="W32" s="288">
        <f t="shared" si="5"/>
        <v>0.62676540977758277</v>
      </c>
      <c r="X32" s="288">
        <v>1</v>
      </c>
      <c r="Y32" s="42"/>
      <c r="Z32" s="42"/>
      <c r="AA32" s="42"/>
    </row>
    <row r="33" spans="2:27">
      <c r="B33" s="5" t="s">
        <v>5</v>
      </c>
      <c r="C33" s="549">
        <v>-1216.5232401778312</v>
      </c>
      <c r="D33" s="540">
        <v>-1520.011857526471</v>
      </c>
      <c r="E33" s="540">
        <v>-1463.1699028272164</v>
      </c>
      <c r="F33" s="540">
        <v>-1482.3439426826981</v>
      </c>
      <c r="G33" s="540">
        <v>-1514.8225342985288</v>
      </c>
      <c r="H33" s="279">
        <f>IF(D33=0,"nm",IF(G33=0,"nm",(G33/D33)^(1/3)-1))</f>
        <v>-1.1392981095103005E-3</v>
      </c>
      <c r="I33" s="5"/>
      <c r="J33" s="254"/>
      <c r="K33" s="254"/>
      <c r="L33" s="254"/>
      <c r="M33" s="254"/>
      <c r="N33" s="254"/>
      <c r="O33" s="251"/>
      <c r="Q33" s="5"/>
      <c r="S33" s="88"/>
      <c r="T33" s="42"/>
      <c r="U33" s="42"/>
      <c r="V33" s="147" t="s">
        <v>580</v>
      </c>
      <c r="W33" s="288">
        <f t="shared" si="5"/>
        <v>0.83476002383492776</v>
      </c>
      <c r="X33" s="288">
        <v>1</v>
      </c>
      <c r="Y33" s="42"/>
      <c r="Z33" s="42"/>
      <c r="AA33" s="42"/>
    </row>
    <row r="34" spans="2:27">
      <c r="H34" s="277"/>
      <c r="I34" s="49"/>
      <c r="J34" s="254"/>
      <c r="K34" s="254"/>
      <c r="L34" s="254"/>
      <c r="M34" s="254"/>
      <c r="N34" s="254"/>
      <c r="O34" s="251"/>
      <c r="Q34" s="5"/>
      <c r="S34" s="88"/>
      <c r="T34" s="42"/>
      <c r="U34" s="42"/>
      <c r="V34" s="147" t="s">
        <v>581</v>
      </c>
      <c r="W34" s="288">
        <f>D47/L19</f>
        <v>2.7560466675086919</v>
      </c>
      <c r="X34" s="288">
        <v>1</v>
      </c>
      <c r="Y34" s="288"/>
      <c r="Z34" s="288"/>
      <c r="AA34" s="42"/>
    </row>
    <row r="35" spans="2:27" ht="12.6" thickBot="1">
      <c r="B35" s="306" t="s">
        <v>524</v>
      </c>
      <c r="C35" s="265"/>
      <c r="D35" s="265" t="str">
        <f>D5</f>
        <v>2023E</v>
      </c>
      <c r="E35" s="265" t="str">
        <f t="shared" ref="E35:H35" si="6">E5</f>
        <v>2024E</v>
      </c>
      <c r="F35" s="265" t="str">
        <f t="shared" si="6"/>
        <v>2025E</v>
      </c>
      <c r="G35" s="265" t="str">
        <f t="shared" si="6"/>
        <v>2026E</v>
      </c>
      <c r="H35" s="265" t="str">
        <f t="shared" si="6"/>
        <v>23E-26E</v>
      </c>
      <c r="I35" s="254"/>
      <c r="J35" s="5"/>
      <c r="K35" s="5"/>
      <c r="L35" s="5"/>
      <c r="M35" s="5"/>
      <c r="N35" s="5"/>
      <c r="O35" s="5"/>
      <c r="Q35" s="5"/>
      <c r="S35" s="88"/>
      <c r="T35" s="42"/>
      <c r="U35" s="42"/>
      <c r="V35" s="42"/>
      <c r="W35" s="42"/>
      <c r="X35" s="42"/>
      <c r="Y35" s="288"/>
      <c r="Z35" s="288"/>
      <c r="AA35" s="42"/>
    </row>
    <row r="36" spans="2:27" ht="12.6" thickTop="1">
      <c r="B36" s="41"/>
      <c r="C36" s="249"/>
      <c r="D36" s="254"/>
      <c r="E36" s="254"/>
      <c r="F36" s="254"/>
      <c r="G36" s="254"/>
      <c r="H36" s="254"/>
      <c r="I36" s="17"/>
      <c r="J36" s="49"/>
      <c r="K36" s="49"/>
      <c r="L36" s="49"/>
      <c r="M36" s="49"/>
      <c r="N36" s="49"/>
      <c r="O36" s="49"/>
      <c r="Q36" s="5"/>
      <c r="S36" s="88"/>
      <c r="T36" s="42"/>
      <c r="U36" s="42"/>
      <c r="V36" s="42"/>
      <c r="W36" s="42"/>
      <c r="X36" s="42"/>
      <c r="Y36" s="288"/>
      <c r="Z36" s="288"/>
      <c r="AA36" s="42"/>
    </row>
    <row r="37" spans="2:27">
      <c r="B37" s="5" t="s">
        <v>273</v>
      </c>
      <c r="C37" s="247"/>
      <c r="D37" s="529">
        <f>D$18/D23</f>
        <v>2.0384257977321107</v>
      </c>
      <c r="E37" s="529">
        <f t="shared" ref="E37:G41" si="7">E$18/E23</f>
        <v>2.2705736821140485</v>
      </c>
      <c r="F37" s="529">
        <f t="shared" si="7"/>
        <v>2.0827872255952906</v>
      </c>
      <c r="G37" s="529">
        <f t="shared" si="7"/>
        <v>1.9291002256255823</v>
      </c>
      <c r="H37" s="17">
        <f t="shared" ref="H37:H45" si="8">H23</f>
        <v>4.7584677909829676E-2</v>
      </c>
      <c r="I37" s="5"/>
      <c r="J37" s="259"/>
      <c r="K37" s="259"/>
      <c r="L37" s="259"/>
      <c r="M37" s="259"/>
      <c r="N37" s="259"/>
      <c r="O37" s="18"/>
      <c r="Q37" s="5"/>
      <c r="R37" s="5"/>
      <c r="S37" s="42"/>
      <c r="T37" s="42"/>
      <c r="U37" s="42"/>
      <c r="V37" s="42"/>
      <c r="W37" s="42"/>
      <c r="X37" s="42"/>
      <c r="Y37" s="42"/>
      <c r="Z37" s="42"/>
      <c r="AA37" s="42"/>
    </row>
    <row r="38" spans="2:27">
      <c r="B38" s="5" t="s">
        <v>184</v>
      </c>
      <c r="C38" s="247"/>
      <c r="D38" s="529">
        <f>D$18/D24</f>
        <v>4.5373636734973406</v>
      </c>
      <c r="E38" s="529">
        <f t="shared" si="7"/>
        <v>4.9891947627988271</v>
      </c>
      <c r="F38" s="529">
        <f t="shared" si="7"/>
        <v>4.5490576522826034</v>
      </c>
      <c r="G38" s="529">
        <f t="shared" si="7"/>
        <v>4.1853316185190197</v>
      </c>
      <c r="H38" s="17">
        <f t="shared" si="8"/>
        <v>5.6575017875276856E-2</v>
      </c>
      <c r="I38" s="259"/>
      <c r="J38" s="17"/>
      <c r="K38" s="17"/>
      <c r="L38" s="17"/>
      <c r="M38" s="17"/>
      <c r="N38" s="17"/>
      <c r="O38" s="5"/>
      <c r="Q38" s="5"/>
      <c r="R38" s="5"/>
      <c r="S38" s="42"/>
      <c r="T38" s="42"/>
      <c r="U38" s="42"/>
      <c r="V38" s="42"/>
      <c r="W38" s="42"/>
      <c r="X38" s="42"/>
      <c r="Y38" s="42"/>
      <c r="Z38" s="42"/>
      <c r="AA38" s="42"/>
    </row>
    <row r="39" spans="2:27">
      <c r="B39" s="5" t="s">
        <v>185</v>
      </c>
      <c r="C39" s="247"/>
      <c r="D39" s="529">
        <f>D$18/D25</f>
        <v>11.257388736716498</v>
      </c>
      <c r="E39" s="529">
        <f t="shared" si="7"/>
        <v>12.457084971864052</v>
      </c>
      <c r="F39" s="529">
        <f t="shared" si="7"/>
        <v>12.02875951675624</v>
      </c>
      <c r="G39" s="529">
        <f t="shared" si="7"/>
        <v>10.925879399376141</v>
      </c>
      <c r="H39" s="17">
        <f t="shared" si="8"/>
        <v>3.8810154632409111E-2</v>
      </c>
      <c r="I39" s="17"/>
      <c r="J39" s="5"/>
      <c r="K39" s="5"/>
      <c r="L39" s="5"/>
      <c r="M39" s="5"/>
      <c r="N39" s="5"/>
      <c r="O39" s="5"/>
      <c r="Q39" s="5"/>
      <c r="R39" s="5"/>
      <c r="S39" s="42"/>
      <c r="T39" s="42"/>
      <c r="U39" s="42"/>
      <c r="V39" s="42"/>
      <c r="W39" s="42"/>
      <c r="X39" s="42"/>
      <c r="Y39" s="42"/>
      <c r="Z39" s="42"/>
      <c r="AA39" s="42"/>
    </row>
    <row r="40" spans="2:27">
      <c r="B40" s="5" t="s">
        <v>466</v>
      </c>
      <c r="C40" s="247"/>
      <c r="D40" s="529">
        <f>D$18/D26</f>
        <v>18.762314561194163</v>
      </c>
      <c r="E40" s="529">
        <f t="shared" si="7"/>
        <v>20.76180828644009</v>
      </c>
      <c r="F40" s="529">
        <f t="shared" si="7"/>
        <v>20.04793252792707</v>
      </c>
      <c r="G40" s="529">
        <f t="shared" si="7"/>
        <v>18.209798998960238</v>
      </c>
      <c r="H40" s="17">
        <f t="shared" si="8"/>
        <v>3.8810154632409111E-2</v>
      </c>
      <c r="I40" s="5"/>
      <c r="J40" s="259"/>
      <c r="K40" s="259"/>
      <c r="L40" s="259"/>
      <c r="M40" s="259"/>
      <c r="N40" s="259"/>
      <c r="O40" s="18"/>
      <c r="Q40" s="5"/>
      <c r="R40" s="5"/>
      <c r="S40" s="42"/>
      <c r="T40" s="42"/>
      <c r="U40" s="42"/>
      <c r="V40" s="42"/>
      <c r="W40" s="288"/>
      <c r="X40" s="288"/>
      <c r="Y40" s="42"/>
      <c r="Z40" s="42"/>
      <c r="AA40" s="42"/>
    </row>
    <row r="41" spans="2:27">
      <c r="B41" s="5" t="s">
        <v>530</v>
      </c>
      <c r="C41" s="247"/>
      <c r="D41" s="529">
        <f>D$18/D27</f>
        <v>0.76544157294629245</v>
      </c>
      <c r="E41" s="529">
        <f t="shared" si="7"/>
        <v>0.85850078346190728</v>
      </c>
      <c r="F41" s="529">
        <f t="shared" si="7"/>
        <v>0.80850024550619126</v>
      </c>
      <c r="G41" s="529">
        <f t="shared" si="7"/>
        <v>0.75795903681613985</v>
      </c>
      <c r="H41" s="17">
        <f t="shared" si="8"/>
        <v>3.1884770987806066E-2</v>
      </c>
      <c r="I41" s="247"/>
      <c r="J41" s="17"/>
      <c r="K41" s="17"/>
      <c r="L41" s="17"/>
      <c r="M41" s="17"/>
      <c r="N41" s="17"/>
      <c r="O41" s="5"/>
      <c r="Q41" s="5"/>
      <c r="R41" s="5"/>
      <c r="S41" s="42"/>
      <c r="T41" s="42"/>
      <c r="U41" s="42"/>
      <c r="V41" s="42"/>
      <c r="W41" s="288"/>
      <c r="X41" s="288"/>
      <c r="Y41" s="288"/>
      <c r="Z41" s="288"/>
      <c r="AA41" s="42"/>
    </row>
    <row r="42" spans="2:27">
      <c r="B42" s="5" t="s">
        <v>593</v>
      </c>
      <c r="C42" s="247"/>
      <c r="D42" s="529">
        <f>D18/D28</f>
        <v>1.7996124924423038</v>
      </c>
      <c r="E42" s="529">
        <f>E18/E28</f>
        <v>2.1544015274254487</v>
      </c>
      <c r="F42" s="529">
        <f>F18/F28</f>
        <v>2.16418811911293</v>
      </c>
      <c r="G42" s="529">
        <f>G18/G28</f>
        <v>2.1819754673170988</v>
      </c>
      <c r="H42" s="17">
        <f t="shared" si="8"/>
        <v>-3.5463179142296797E-2</v>
      </c>
      <c r="I42" s="248"/>
      <c r="J42" s="5"/>
      <c r="K42" s="5"/>
      <c r="L42" s="5"/>
      <c r="M42" s="5"/>
      <c r="N42" s="5"/>
      <c r="O42" s="5"/>
      <c r="Q42" s="5"/>
      <c r="R42" s="5"/>
      <c r="S42" s="42"/>
      <c r="T42" s="42"/>
      <c r="U42" s="42"/>
      <c r="V42" s="42"/>
      <c r="W42" s="288"/>
      <c r="X42" s="288"/>
      <c r="Y42" s="288"/>
      <c r="Z42" s="288"/>
      <c r="AA42" s="42"/>
    </row>
    <row r="43" spans="2:27">
      <c r="B43" s="5" t="s">
        <v>475</v>
      </c>
      <c r="C43" s="247"/>
      <c r="D43" s="529">
        <f>L26/D29</f>
        <v>6.9949339036191533</v>
      </c>
      <c r="E43" s="529">
        <f>M26/E29</f>
        <v>5.8694169135589664</v>
      </c>
      <c r="F43" s="529">
        <f>N26/F29</f>
        <v>5.5130930240726777</v>
      </c>
      <c r="G43" s="529">
        <f>O26/G29</f>
        <v>4.9671374205004515</v>
      </c>
      <c r="H43" s="17">
        <f t="shared" si="8"/>
        <v>0.12088006848502442</v>
      </c>
      <c r="I43" s="247"/>
      <c r="J43" s="247"/>
      <c r="K43" s="247"/>
      <c r="L43" s="247"/>
      <c r="M43" s="247"/>
      <c r="N43" s="247"/>
      <c r="O43" s="18"/>
      <c r="Q43" s="5"/>
      <c r="R43" s="5"/>
      <c r="S43" s="42"/>
      <c r="T43" s="42"/>
      <c r="U43" s="42"/>
      <c r="V43" s="42"/>
      <c r="W43" s="288"/>
      <c r="X43" s="288"/>
      <c r="Y43" s="288"/>
      <c r="Z43" s="288"/>
      <c r="AA43" s="42"/>
    </row>
    <row r="44" spans="2:27">
      <c r="B44" s="5" t="s">
        <v>533</v>
      </c>
      <c r="C44" s="69"/>
      <c r="D44" s="529">
        <f>D11/D30</f>
        <v>12.848747565602602</v>
      </c>
      <c r="E44" s="529">
        <f>E11/E30</f>
        <v>7.5814879701256075</v>
      </c>
      <c r="F44" s="529">
        <f>F11/F30</f>
        <v>6.602744170957525</v>
      </c>
      <c r="G44" s="529">
        <f>G11/G30</f>
        <v>5.9659446699446859</v>
      </c>
      <c r="H44" s="17">
        <f t="shared" si="8"/>
        <v>0.29139923610651675</v>
      </c>
      <c r="I44" s="247"/>
      <c r="J44" s="248"/>
      <c r="K44" s="248"/>
      <c r="L44" s="248"/>
      <c r="M44" s="248"/>
      <c r="N44" s="248"/>
      <c r="O44" s="248"/>
      <c r="Q44" s="5"/>
      <c r="R44" s="5"/>
      <c r="S44" s="42"/>
      <c r="T44" s="42"/>
      <c r="U44" s="42"/>
      <c r="V44" s="42"/>
      <c r="W44" s="325"/>
      <c r="X44" s="325"/>
      <c r="Y44" s="288"/>
      <c r="Z44" s="288"/>
      <c r="AA44" s="42"/>
    </row>
    <row r="45" spans="2:27">
      <c r="B45" s="5" t="s">
        <v>580</v>
      </c>
      <c r="C45" s="247"/>
      <c r="D45" s="248">
        <f>D31/D11</f>
        <v>3.484320557491289E-2</v>
      </c>
      <c r="E45" s="248">
        <f>E31/E11</f>
        <v>3.8327526132404179E-2</v>
      </c>
      <c r="F45" s="248">
        <f>F31/F11</f>
        <v>4.1811846689895467E-2</v>
      </c>
      <c r="G45" s="248">
        <f>G31/G11</f>
        <v>4.5296167247386755E-2</v>
      </c>
      <c r="H45" s="17">
        <f t="shared" si="8"/>
        <v>9.1392883061105934E-2</v>
      </c>
      <c r="I45" s="248"/>
      <c r="J45" s="247"/>
      <c r="K45" s="247"/>
      <c r="L45" s="247"/>
      <c r="M45" s="247"/>
      <c r="N45" s="247"/>
      <c r="O45" s="248"/>
      <c r="Q45" s="5"/>
      <c r="R45" s="5"/>
      <c r="S45" s="42"/>
      <c r="T45" s="42"/>
      <c r="U45" s="42"/>
      <c r="V45" s="42"/>
      <c r="W45" s="42"/>
      <c r="X45" s="42"/>
      <c r="Y45" s="325"/>
      <c r="Z45" s="325"/>
      <c r="AA45" s="42"/>
    </row>
    <row r="46" spans="2:27">
      <c r="B46" s="5" t="s">
        <v>605</v>
      </c>
      <c r="C46" s="247"/>
      <c r="D46" s="248">
        <f>(D31+D32)/D11</f>
        <v>3.484320557491289E-2</v>
      </c>
      <c r="E46" s="248">
        <f>(E31+E32)/E11</f>
        <v>3.8327526132404179E-2</v>
      </c>
      <c r="F46" s="248">
        <f>(F31+F32)/F11</f>
        <v>4.1811846689895467E-2</v>
      </c>
      <c r="G46" s="248">
        <f>(G31+G32)/G11</f>
        <v>4.5296167247386755E-2</v>
      </c>
      <c r="H46" s="279">
        <f>((G31+G32)/(D31+D32))^(1/3)-1</f>
        <v>9.1392883061105934E-2</v>
      </c>
      <c r="I46" s="247"/>
      <c r="J46" s="247"/>
      <c r="K46" s="247"/>
      <c r="L46" s="247"/>
      <c r="M46" s="247"/>
      <c r="N46" s="247"/>
      <c r="O46" s="18"/>
      <c r="Q46" s="5"/>
      <c r="R46" s="5"/>
      <c r="S46" s="42"/>
      <c r="T46" s="42"/>
      <c r="U46" s="42"/>
      <c r="V46" s="42"/>
      <c r="W46" s="42"/>
      <c r="X46" s="42"/>
      <c r="Y46" s="42"/>
      <c r="Z46" s="42"/>
      <c r="AA46" s="326"/>
    </row>
    <row r="47" spans="2:27">
      <c r="B47" s="5" t="s">
        <v>581</v>
      </c>
      <c r="C47" s="5"/>
      <c r="D47" s="248">
        <f>1/D43</f>
        <v>0.14296060745943626</v>
      </c>
      <c r="E47" s="248">
        <f>1/E43</f>
        <v>0.17037467515553301</v>
      </c>
      <c r="F47" s="248">
        <f>1/F43</f>
        <v>0.18138638249591366</v>
      </c>
      <c r="G47" s="248">
        <f>1/G43</f>
        <v>0.20132319993257758</v>
      </c>
      <c r="H47" s="17">
        <f>H29</f>
        <v>0.12088006848502442</v>
      </c>
      <c r="I47" s="17"/>
      <c r="J47" s="248"/>
      <c r="K47" s="248"/>
      <c r="L47" s="248"/>
      <c r="M47" s="248"/>
      <c r="N47" s="248"/>
      <c r="O47" s="248"/>
      <c r="Q47" s="5"/>
      <c r="R47" s="5"/>
      <c r="S47" s="42"/>
      <c r="T47" s="42"/>
      <c r="U47" s="42"/>
      <c r="V47" s="42"/>
      <c r="W47" s="42"/>
      <c r="X47" s="42"/>
      <c r="Y47" s="42"/>
      <c r="Z47" s="42"/>
      <c r="AA47" s="326"/>
    </row>
    <row r="48" spans="2:27">
      <c r="B48" s="5" t="s">
        <v>618</v>
      </c>
      <c r="C48" s="5"/>
      <c r="D48" s="305">
        <f>D31/D29</f>
        <v>0.24372591998673007</v>
      </c>
      <c r="E48" s="305">
        <f>E31/E29</f>
        <v>0.22496023013640637</v>
      </c>
      <c r="F48" s="305">
        <f>F31/F29</f>
        <v>0.23051260030965898</v>
      </c>
      <c r="G48" s="305">
        <f>G31/G29</f>
        <v>0.22499228733974169</v>
      </c>
      <c r="H48" s="279" t="s">
        <v>607</v>
      </c>
      <c r="I48" s="247"/>
      <c r="J48" s="247"/>
      <c r="K48" s="247"/>
      <c r="L48" s="247"/>
      <c r="M48" s="247"/>
      <c r="N48" s="247"/>
      <c r="O48" s="248"/>
      <c r="Q48" s="5"/>
      <c r="R48" s="5"/>
      <c r="S48" s="42"/>
      <c r="T48" s="42"/>
      <c r="U48" s="42"/>
      <c r="V48" s="42"/>
      <c r="W48" s="42"/>
      <c r="X48" s="42"/>
      <c r="Y48" s="42"/>
      <c r="Z48" s="42"/>
      <c r="AA48" s="326"/>
    </row>
    <row r="49" spans="2:27">
      <c r="B49" s="41"/>
      <c r="C49" s="17"/>
      <c r="D49" s="17"/>
      <c r="E49" s="17"/>
      <c r="F49" s="17"/>
      <c r="G49" s="17"/>
      <c r="H49" s="17"/>
      <c r="I49" s="254"/>
      <c r="J49" s="17"/>
      <c r="K49" s="17"/>
      <c r="L49" s="17"/>
      <c r="M49" s="17"/>
      <c r="N49" s="17"/>
      <c r="O49" s="248"/>
      <c r="Q49" s="5"/>
      <c r="R49" s="5"/>
      <c r="S49" s="42"/>
      <c r="T49" s="42"/>
      <c r="U49" s="42"/>
      <c r="V49" s="42"/>
      <c r="W49" s="42"/>
      <c r="X49" s="42"/>
      <c r="Y49" s="42"/>
      <c r="Z49" s="42"/>
      <c r="AA49" s="326"/>
    </row>
    <row r="50" spans="2:27">
      <c r="B50" s="5"/>
      <c r="C50" s="257"/>
      <c r="D50" s="257"/>
      <c r="E50" s="257"/>
      <c r="F50" s="5"/>
      <c r="G50" s="41"/>
      <c r="H50" s="249"/>
      <c r="I50" s="17"/>
      <c r="J50" s="249"/>
      <c r="K50" s="249"/>
      <c r="L50" s="249"/>
      <c r="M50" s="249"/>
      <c r="N50" s="249"/>
      <c r="O50" s="250"/>
      <c r="Q50" s="5"/>
      <c r="R50" s="5"/>
      <c r="S50" s="42"/>
      <c r="T50" s="42"/>
      <c r="U50" s="42"/>
      <c r="V50" s="42"/>
      <c r="W50" s="288"/>
      <c r="X50" s="288"/>
      <c r="Y50" s="42"/>
      <c r="Z50" s="42"/>
      <c r="AA50" s="326"/>
    </row>
    <row r="51" spans="2:27">
      <c r="B51" s="41"/>
      <c r="C51" s="249"/>
      <c r="D51" s="254"/>
      <c r="E51" s="254"/>
      <c r="F51" s="254"/>
      <c r="G51" s="254"/>
      <c r="H51" s="254"/>
      <c r="I51" s="259"/>
      <c r="J51" s="254"/>
      <c r="K51" s="254"/>
      <c r="L51" s="254"/>
      <c r="M51" s="254"/>
      <c r="N51" s="254"/>
      <c r="O51" s="251"/>
      <c r="Q51" s="5"/>
      <c r="R51" s="5"/>
      <c r="S51" s="42"/>
      <c r="T51" s="42"/>
      <c r="U51" s="42"/>
      <c r="V51" s="42"/>
      <c r="W51" s="288"/>
      <c r="X51" s="288"/>
      <c r="Y51" s="288"/>
      <c r="Z51" s="288"/>
      <c r="AA51" s="42"/>
    </row>
    <row r="52" spans="2:27">
      <c r="B52" s="5"/>
      <c r="C52" s="257"/>
      <c r="D52" s="17"/>
      <c r="E52" s="17"/>
      <c r="F52" s="17"/>
      <c r="G52" s="17"/>
      <c r="H52" s="17"/>
      <c r="I52" s="254"/>
      <c r="J52" s="17"/>
      <c r="K52" s="17"/>
      <c r="L52" s="17"/>
      <c r="M52" s="17"/>
      <c r="N52" s="17"/>
      <c r="O52" s="248"/>
      <c r="Q52" s="5"/>
      <c r="R52" s="5"/>
      <c r="S52" s="5"/>
      <c r="Y52" s="10"/>
      <c r="Z52" s="10"/>
    </row>
    <row r="53" spans="2:27">
      <c r="B53" s="5"/>
      <c r="C53" s="257"/>
      <c r="D53" s="257"/>
      <c r="E53" s="257"/>
      <c r="F53" s="5"/>
      <c r="G53" s="5"/>
      <c r="H53" s="259"/>
      <c r="I53" s="17"/>
      <c r="J53" s="259"/>
      <c r="K53" s="259"/>
      <c r="L53" s="259"/>
      <c r="M53" s="259"/>
      <c r="N53" s="259"/>
      <c r="O53" s="18"/>
      <c r="Q53" s="5"/>
      <c r="R53" s="5"/>
      <c r="S53" s="5"/>
    </row>
    <row r="54" spans="2:27">
      <c r="B54" s="41"/>
      <c r="C54" s="249"/>
      <c r="D54" s="254"/>
      <c r="E54" s="254"/>
      <c r="F54" s="254"/>
      <c r="G54" s="254"/>
      <c r="H54" s="254"/>
      <c r="I54" s="259"/>
      <c r="J54" s="254"/>
      <c r="K54" s="254"/>
      <c r="L54" s="254"/>
      <c r="M54" s="254"/>
      <c r="N54" s="254"/>
      <c r="O54" s="251"/>
      <c r="Q54" s="5"/>
      <c r="R54" s="5"/>
      <c r="S54" s="5"/>
    </row>
    <row r="55" spans="2:27">
      <c r="B55" s="5"/>
      <c r="C55" s="257"/>
      <c r="D55" s="17"/>
      <c r="E55" s="17"/>
      <c r="F55" s="17"/>
      <c r="G55" s="17"/>
      <c r="H55" s="17"/>
      <c r="I55" s="249"/>
      <c r="J55" s="17"/>
      <c r="K55" s="17"/>
      <c r="L55" s="17"/>
      <c r="M55" s="17"/>
      <c r="N55" s="17"/>
      <c r="O55" s="18"/>
      <c r="Q55" s="5"/>
      <c r="R55" s="5"/>
      <c r="S55" s="5"/>
    </row>
    <row r="56" spans="2:27">
      <c r="B56" s="5"/>
      <c r="C56" s="248"/>
      <c r="D56" s="248"/>
      <c r="E56" s="248"/>
      <c r="F56" s="5"/>
      <c r="G56" s="5"/>
      <c r="H56" s="259"/>
      <c r="I56" s="248"/>
      <c r="J56" s="259"/>
      <c r="K56" s="259"/>
      <c r="L56" s="259"/>
      <c r="M56" s="259"/>
      <c r="N56" s="259"/>
      <c r="O56" s="18"/>
      <c r="Q56" s="5"/>
      <c r="R56" s="5"/>
      <c r="S56" s="5"/>
    </row>
    <row r="57" spans="2:27">
      <c r="B57" s="41"/>
      <c r="C57" s="249"/>
      <c r="D57" s="249"/>
      <c r="E57" s="249"/>
      <c r="F57" s="249"/>
      <c r="G57" s="249"/>
      <c r="H57" s="249"/>
      <c r="I57" s="5"/>
      <c r="J57" s="249"/>
      <c r="K57" s="249"/>
      <c r="L57" s="249"/>
      <c r="M57" s="249"/>
      <c r="N57" s="249"/>
      <c r="O57" s="251"/>
      <c r="Q57" s="5"/>
      <c r="R57" s="5"/>
      <c r="S57" s="5"/>
    </row>
    <row r="58" spans="2:27">
      <c r="B58" s="5"/>
      <c r="C58" s="5"/>
      <c r="D58" s="248"/>
      <c r="E58" s="248"/>
      <c r="F58" s="248"/>
      <c r="G58" s="248"/>
      <c r="H58" s="248"/>
      <c r="I58" s="17"/>
      <c r="J58" s="248"/>
      <c r="K58" s="248"/>
      <c r="L58" s="248"/>
      <c r="M58" s="248"/>
      <c r="N58" s="248"/>
      <c r="O58" s="18"/>
      <c r="Q58" s="5"/>
      <c r="R58" s="5"/>
      <c r="S58" s="5"/>
    </row>
    <row r="59" spans="2:27">
      <c r="B59" s="5"/>
      <c r="C59" s="5"/>
      <c r="D59" s="5"/>
      <c r="E59" s="5"/>
      <c r="F59" s="5"/>
      <c r="G59" s="5"/>
      <c r="H59" s="5"/>
      <c r="I59" s="5"/>
      <c r="J59" s="5"/>
      <c r="K59" s="5"/>
      <c r="L59" s="5"/>
      <c r="M59" s="5"/>
      <c r="N59" s="5"/>
      <c r="O59" s="5"/>
      <c r="Q59" s="5"/>
      <c r="R59" s="5"/>
      <c r="S59" s="5"/>
    </row>
    <row r="60" spans="2:27">
      <c r="B60" s="41"/>
      <c r="C60" s="17"/>
      <c r="D60" s="17"/>
      <c r="E60" s="17"/>
      <c r="F60" s="17"/>
      <c r="G60" s="17"/>
      <c r="H60" s="17"/>
      <c r="I60" s="249"/>
      <c r="J60" s="17"/>
      <c r="K60" s="17"/>
      <c r="L60" s="17"/>
      <c r="M60" s="17"/>
      <c r="N60" s="17"/>
      <c r="O60" s="251"/>
      <c r="Q60" s="5"/>
      <c r="R60" s="5"/>
      <c r="S60" s="5"/>
    </row>
    <row r="61" spans="2:27">
      <c r="B61" s="5"/>
      <c r="C61" s="5"/>
      <c r="D61" s="5"/>
      <c r="E61" s="5"/>
      <c r="F61" s="5"/>
      <c r="G61" s="5"/>
      <c r="H61" s="5"/>
      <c r="I61" s="5"/>
      <c r="J61" s="5"/>
      <c r="K61" s="5"/>
      <c r="L61" s="5"/>
      <c r="M61" s="5"/>
      <c r="N61" s="5"/>
      <c r="O61" s="5"/>
      <c r="Q61" s="41"/>
      <c r="R61" s="5"/>
      <c r="S61" s="5"/>
    </row>
    <row r="62" spans="2:27">
      <c r="B62" s="41"/>
      <c r="C62" s="249"/>
      <c r="D62" s="249"/>
      <c r="E62" s="249"/>
      <c r="F62" s="249"/>
      <c r="G62" s="249"/>
      <c r="H62" s="249"/>
      <c r="I62" s="5"/>
      <c r="J62" s="249"/>
      <c r="K62" s="249"/>
      <c r="L62" s="249"/>
      <c r="M62" s="249"/>
      <c r="N62" s="249"/>
      <c r="O62" s="251"/>
      <c r="Q62" s="5"/>
      <c r="R62" s="5"/>
      <c r="S62" s="5"/>
    </row>
    <row r="63" spans="2:27">
      <c r="B63" s="5"/>
      <c r="C63" s="5"/>
      <c r="D63" s="5"/>
      <c r="E63" s="5"/>
      <c r="F63" s="5"/>
      <c r="G63" s="5"/>
      <c r="H63" s="5"/>
      <c r="I63" s="254"/>
      <c r="J63" s="5"/>
      <c r="K63" s="5"/>
      <c r="L63" s="5"/>
      <c r="M63" s="5"/>
      <c r="N63" s="5"/>
      <c r="O63" s="5"/>
      <c r="Q63" s="5"/>
      <c r="R63" s="5"/>
      <c r="S63" s="5"/>
    </row>
    <row r="64" spans="2:27">
      <c r="B64" s="5"/>
      <c r="C64" s="5"/>
      <c r="D64" s="5"/>
      <c r="E64" s="5"/>
      <c r="F64" s="5"/>
      <c r="G64" s="5"/>
      <c r="H64" s="5"/>
      <c r="I64" s="17"/>
      <c r="J64" s="5"/>
      <c r="K64" s="5"/>
      <c r="L64" s="5"/>
      <c r="M64" s="5"/>
      <c r="N64" s="5"/>
      <c r="O64" s="5"/>
      <c r="Q64" s="5"/>
      <c r="R64" s="5"/>
      <c r="S64" s="5"/>
    </row>
    <row r="65" spans="2:26">
      <c r="B65" s="41"/>
      <c r="C65" s="249"/>
      <c r="D65" s="254"/>
      <c r="E65" s="254"/>
      <c r="F65" s="254"/>
      <c r="G65" s="254"/>
      <c r="H65" s="254"/>
      <c r="I65" s="254"/>
      <c r="J65" s="254"/>
      <c r="K65" s="254"/>
      <c r="L65" s="254"/>
      <c r="M65" s="254"/>
      <c r="N65" s="254"/>
      <c r="O65" s="251"/>
      <c r="Q65" s="5"/>
      <c r="R65" s="5"/>
      <c r="S65" s="5"/>
    </row>
    <row r="66" spans="2:26">
      <c r="B66" s="5"/>
      <c r="C66" s="5"/>
      <c r="D66" s="17"/>
      <c r="E66" s="17"/>
      <c r="F66" s="17"/>
      <c r="G66" s="17"/>
      <c r="H66" s="17"/>
      <c r="I66" s="248"/>
      <c r="J66" s="17"/>
      <c r="K66" s="17"/>
      <c r="L66" s="17"/>
      <c r="M66" s="17"/>
      <c r="N66" s="17"/>
      <c r="O66" s="5"/>
      <c r="Q66" s="5"/>
      <c r="R66" s="5"/>
      <c r="S66" s="5"/>
    </row>
    <row r="67" spans="2:26">
      <c r="B67" s="41"/>
      <c r="C67" s="249"/>
      <c r="D67" s="254"/>
      <c r="E67" s="254"/>
      <c r="F67" s="254"/>
      <c r="G67" s="254"/>
      <c r="H67" s="254"/>
      <c r="I67" s="5"/>
      <c r="J67" s="254"/>
      <c r="K67" s="254"/>
      <c r="L67" s="254"/>
      <c r="M67" s="254"/>
      <c r="N67" s="254"/>
      <c r="O67" s="251"/>
      <c r="Q67" s="41"/>
      <c r="R67" s="5"/>
      <c r="S67" s="5"/>
    </row>
    <row r="68" spans="2:26">
      <c r="B68" s="5"/>
      <c r="C68" s="5"/>
      <c r="D68" s="248"/>
      <c r="E68" s="248"/>
      <c r="F68" s="248"/>
      <c r="G68" s="248"/>
      <c r="H68" s="248"/>
      <c r="I68" s="245"/>
      <c r="J68" s="248"/>
      <c r="K68" s="248"/>
      <c r="L68" s="248"/>
      <c r="M68" s="248"/>
      <c r="N68" s="248"/>
      <c r="O68" s="5"/>
      <c r="Q68" s="5"/>
      <c r="R68" s="5"/>
      <c r="S68" s="5"/>
    </row>
    <row r="69" spans="2:26">
      <c r="B69" s="41"/>
      <c r="C69" s="5"/>
      <c r="D69" s="5"/>
      <c r="E69" s="5"/>
      <c r="F69" s="5"/>
      <c r="G69" s="5"/>
      <c r="H69" s="5"/>
      <c r="I69" s="248"/>
      <c r="J69" s="5"/>
      <c r="K69" s="5"/>
      <c r="L69" s="5"/>
      <c r="M69" s="5"/>
      <c r="N69" s="5"/>
      <c r="O69" s="5"/>
      <c r="Q69" s="5"/>
      <c r="R69" s="5"/>
      <c r="S69" s="5"/>
    </row>
    <row r="70" spans="2:26">
      <c r="B70" s="41"/>
      <c r="C70" s="245"/>
      <c r="D70" s="245"/>
      <c r="E70" s="245"/>
      <c r="F70" s="245"/>
      <c r="G70" s="245"/>
      <c r="H70" s="245"/>
      <c r="I70" s="5"/>
      <c r="J70" s="245"/>
      <c r="K70" s="245"/>
      <c r="L70" s="245"/>
      <c r="M70" s="245"/>
      <c r="N70" s="245"/>
      <c r="O70" s="251"/>
      <c r="Q70" s="5"/>
      <c r="R70" s="5"/>
      <c r="S70" s="5"/>
      <c r="W70" s="76"/>
      <c r="X70" s="76"/>
    </row>
    <row r="71" spans="2:26">
      <c r="B71" s="5"/>
      <c r="C71" s="5"/>
      <c r="D71" s="248"/>
      <c r="E71" s="248"/>
      <c r="F71" s="248"/>
      <c r="G71" s="248"/>
      <c r="H71" s="248"/>
      <c r="I71" s="245"/>
      <c r="J71" s="248"/>
      <c r="K71" s="248"/>
      <c r="L71" s="248"/>
      <c r="M71" s="248"/>
      <c r="N71" s="248"/>
      <c r="O71" s="5"/>
      <c r="Q71" s="5"/>
      <c r="R71" s="5"/>
      <c r="S71" s="5"/>
      <c r="W71" s="76"/>
      <c r="X71" s="76"/>
      <c r="Y71" s="76"/>
      <c r="Z71" s="76"/>
    </row>
    <row r="72" spans="2:26">
      <c r="B72" s="41"/>
      <c r="C72" s="5"/>
      <c r="D72" s="5"/>
      <c r="E72" s="5"/>
      <c r="F72" s="5"/>
      <c r="G72" s="5"/>
      <c r="H72" s="5"/>
      <c r="I72" s="18"/>
      <c r="J72" s="5"/>
      <c r="K72" s="5"/>
      <c r="L72" s="5"/>
      <c r="M72" s="5"/>
      <c r="N72" s="5"/>
      <c r="O72" s="5"/>
      <c r="Q72" s="5"/>
      <c r="R72" s="5"/>
      <c r="S72" s="5"/>
      <c r="Y72" s="76"/>
      <c r="Z72" s="76"/>
    </row>
    <row r="73" spans="2:26">
      <c r="B73" s="41"/>
      <c r="C73" s="245"/>
      <c r="D73" s="245"/>
      <c r="E73" s="245"/>
      <c r="F73" s="245"/>
      <c r="G73" s="245"/>
      <c r="H73" s="245"/>
      <c r="I73" s="5"/>
      <c r="J73" s="245"/>
      <c r="K73" s="245"/>
      <c r="L73" s="245"/>
      <c r="M73" s="245"/>
      <c r="N73" s="245"/>
      <c r="O73" s="251"/>
      <c r="Q73" s="5"/>
      <c r="R73" s="5"/>
      <c r="S73" s="5"/>
    </row>
    <row r="74" spans="2:26">
      <c r="B74" s="5"/>
      <c r="C74" s="5"/>
      <c r="D74" s="18"/>
      <c r="E74" s="18"/>
      <c r="F74" s="18"/>
      <c r="G74" s="18"/>
      <c r="H74" s="18"/>
      <c r="I74" s="249"/>
      <c r="J74" s="18"/>
      <c r="K74" s="18"/>
      <c r="L74" s="18"/>
      <c r="M74" s="18"/>
      <c r="N74" s="18"/>
      <c r="O74" s="5"/>
      <c r="Q74" s="5"/>
      <c r="R74" s="5"/>
      <c r="S74" s="5"/>
    </row>
    <row r="75" spans="2:26">
      <c r="B75" s="41"/>
      <c r="C75" s="5"/>
      <c r="D75" s="5"/>
      <c r="E75" s="5"/>
      <c r="F75" s="5"/>
      <c r="G75" s="5"/>
      <c r="H75" s="5"/>
      <c r="I75" s="248"/>
      <c r="J75" s="5"/>
      <c r="K75" s="5"/>
      <c r="L75" s="5"/>
      <c r="M75" s="5"/>
      <c r="N75" s="5"/>
      <c r="O75" s="5"/>
      <c r="Q75" s="5"/>
      <c r="R75" s="5"/>
      <c r="S75" s="5"/>
    </row>
    <row r="76" spans="2:26">
      <c r="B76" s="41"/>
      <c r="C76" s="249"/>
      <c r="D76" s="249"/>
      <c r="E76" s="249"/>
      <c r="F76" s="249"/>
      <c r="G76" s="249"/>
      <c r="H76" s="249"/>
      <c r="I76" s="5"/>
      <c r="J76" s="249"/>
      <c r="K76" s="249"/>
      <c r="L76" s="249"/>
      <c r="M76" s="249"/>
      <c r="N76" s="249"/>
      <c r="O76" s="251"/>
      <c r="Q76" s="5"/>
      <c r="R76" s="5"/>
      <c r="S76" s="5"/>
    </row>
    <row r="77" spans="2:26">
      <c r="B77" s="5"/>
      <c r="C77" s="5"/>
      <c r="D77" s="248"/>
      <c r="E77" s="248"/>
      <c r="F77" s="248"/>
      <c r="G77" s="248"/>
      <c r="H77" s="248"/>
      <c r="I77" s="245"/>
      <c r="J77" s="248"/>
      <c r="K77" s="248"/>
      <c r="L77" s="248"/>
      <c r="M77" s="248"/>
      <c r="N77" s="248"/>
      <c r="O77" s="5"/>
      <c r="Q77" s="5"/>
      <c r="R77" s="5"/>
      <c r="S77" s="5"/>
    </row>
    <row r="78" spans="2:26">
      <c r="B78" s="41"/>
      <c r="C78" s="5"/>
      <c r="D78" s="5"/>
      <c r="E78" s="5"/>
      <c r="F78" s="5"/>
      <c r="G78" s="5"/>
      <c r="H78" s="5"/>
      <c r="I78" s="248"/>
      <c r="J78" s="5"/>
      <c r="K78" s="5"/>
      <c r="L78" s="5"/>
      <c r="M78" s="5"/>
      <c r="N78" s="5"/>
      <c r="O78" s="5"/>
      <c r="Q78" s="5"/>
      <c r="R78" s="5"/>
      <c r="S78" s="5"/>
    </row>
    <row r="79" spans="2:26">
      <c r="B79" s="41"/>
      <c r="C79" s="245"/>
      <c r="D79" s="245"/>
      <c r="E79" s="245"/>
      <c r="F79" s="245"/>
      <c r="G79" s="245"/>
      <c r="H79" s="245"/>
      <c r="I79" s="5"/>
      <c r="J79" s="245"/>
      <c r="K79" s="245"/>
      <c r="L79" s="245"/>
      <c r="M79" s="245"/>
      <c r="N79" s="245"/>
      <c r="O79" s="251"/>
      <c r="Q79" s="5"/>
      <c r="R79" s="5"/>
      <c r="S79" s="5"/>
    </row>
    <row r="80" spans="2:26">
      <c r="B80" s="5"/>
      <c r="C80" s="5"/>
      <c r="D80" s="248"/>
      <c r="E80" s="248"/>
      <c r="F80" s="248"/>
      <c r="G80" s="248"/>
      <c r="H80" s="248"/>
      <c r="I80" s="249"/>
      <c r="J80" s="248"/>
      <c r="K80" s="248"/>
      <c r="L80" s="248"/>
      <c r="M80" s="248"/>
      <c r="N80" s="248"/>
      <c r="O80" s="5"/>
      <c r="Q80" s="5"/>
      <c r="R80" s="5"/>
      <c r="S80" s="5"/>
    </row>
    <row r="81" spans="2:26">
      <c r="B81" s="41"/>
      <c r="C81" s="5"/>
      <c r="D81" s="5"/>
      <c r="E81" s="5"/>
      <c r="F81" s="5"/>
      <c r="G81" s="5"/>
      <c r="H81" s="5"/>
      <c r="I81" s="248"/>
      <c r="J81" s="5"/>
      <c r="K81" s="5"/>
      <c r="L81" s="5"/>
      <c r="M81" s="5"/>
      <c r="N81" s="5"/>
      <c r="O81" s="5"/>
      <c r="Q81" s="5"/>
      <c r="R81" s="5"/>
      <c r="S81" s="5"/>
    </row>
    <row r="82" spans="2:26">
      <c r="B82" s="41"/>
      <c r="C82" s="249"/>
      <c r="D82" s="249"/>
      <c r="E82" s="249"/>
      <c r="F82" s="249"/>
      <c r="G82" s="249"/>
      <c r="H82" s="249"/>
      <c r="I82" s="259"/>
      <c r="J82" s="249"/>
      <c r="K82" s="249"/>
      <c r="L82" s="249"/>
      <c r="M82" s="249"/>
      <c r="N82" s="249"/>
      <c r="O82" s="251"/>
      <c r="Q82" s="5"/>
      <c r="R82" s="5"/>
      <c r="S82" s="5"/>
    </row>
    <row r="83" spans="2:26">
      <c r="B83" s="5"/>
      <c r="C83" s="5"/>
      <c r="D83" s="248"/>
      <c r="E83" s="248"/>
      <c r="F83" s="248"/>
      <c r="G83" s="248"/>
      <c r="H83" s="248"/>
      <c r="I83" s="5"/>
      <c r="J83" s="248"/>
      <c r="K83" s="248"/>
      <c r="L83" s="248"/>
      <c r="M83" s="248"/>
      <c r="N83" s="248"/>
      <c r="O83" s="5"/>
      <c r="Q83" s="5"/>
      <c r="R83" s="5"/>
      <c r="S83" s="5"/>
    </row>
    <row r="84" spans="2:26">
      <c r="B84" s="5"/>
      <c r="C84" s="259"/>
      <c r="D84" s="259"/>
      <c r="E84" s="259"/>
      <c r="F84" s="259"/>
      <c r="G84" s="259"/>
      <c r="H84" s="259"/>
      <c r="I84" s="245"/>
      <c r="J84" s="259"/>
      <c r="K84" s="259"/>
      <c r="L84" s="259"/>
      <c r="M84" s="259"/>
      <c r="N84" s="259"/>
      <c r="O84" s="251"/>
      <c r="Q84" s="5"/>
      <c r="R84" s="5"/>
      <c r="S84" s="5"/>
    </row>
    <row r="85" spans="2:26">
      <c r="B85" s="41"/>
      <c r="C85" s="5"/>
      <c r="D85" s="5"/>
      <c r="E85" s="5"/>
      <c r="F85" s="5"/>
      <c r="G85" s="5"/>
      <c r="H85" s="5"/>
      <c r="I85" s="248"/>
      <c r="J85" s="5"/>
      <c r="K85" s="5"/>
      <c r="L85" s="5"/>
      <c r="M85" s="5"/>
      <c r="N85" s="5"/>
      <c r="O85" s="5"/>
      <c r="Q85" s="5"/>
      <c r="R85" s="5"/>
      <c r="S85" s="5"/>
    </row>
    <row r="86" spans="2:26">
      <c r="B86" s="41"/>
      <c r="C86" s="245"/>
      <c r="D86" s="245"/>
      <c r="E86" s="245"/>
      <c r="F86" s="245"/>
      <c r="G86" s="245"/>
      <c r="H86" s="245"/>
      <c r="I86" s="5"/>
      <c r="J86" s="245"/>
      <c r="K86" s="245"/>
      <c r="L86" s="245"/>
      <c r="M86" s="245"/>
      <c r="N86" s="245"/>
      <c r="O86" s="251"/>
      <c r="Q86" s="5"/>
      <c r="R86" s="5"/>
      <c r="S86" s="5"/>
    </row>
    <row r="87" spans="2:26">
      <c r="B87" s="5"/>
      <c r="C87" s="5"/>
      <c r="D87" s="248"/>
      <c r="E87" s="248"/>
      <c r="F87" s="248"/>
      <c r="G87" s="248"/>
      <c r="H87" s="248"/>
      <c r="I87" s="5"/>
      <c r="J87" s="248"/>
      <c r="K87" s="248"/>
      <c r="L87" s="248"/>
      <c r="M87" s="248"/>
      <c r="N87" s="248"/>
      <c r="O87" s="5"/>
      <c r="Q87" s="5"/>
      <c r="R87" s="5"/>
      <c r="S87" s="5"/>
    </row>
    <row r="88" spans="2:26">
      <c r="B88" s="41"/>
      <c r="C88" s="5"/>
      <c r="D88" s="5"/>
      <c r="E88" s="5"/>
      <c r="F88" s="5"/>
      <c r="G88" s="5"/>
      <c r="H88" s="5"/>
      <c r="I88" s="5"/>
      <c r="J88" s="5"/>
      <c r="K88" s="5"/>
      <c r="L88" s="5"/>
      <c r="M88" s="5"/>
      <c r="N88" s="5"/>
      <c r="O88" s="5"/>
      <c r="Q88" s="5"/>
      <c r="R88" s="5"/>
      <c r="S88" s="5"/>
    </row>
    <row r="89" spans="2:26">
      <c r="B89" s="41"/>
      <c r="C89" s="5"/>
      <c r="D89" s="5"/>
      <c r="E89" s="5"/>
      <c r="F89" s="5"/>
      <c r="G89" s="5"/>
      <c r="H89" s="5"/>
      <c r="I89" s="5"/>
      <c r="J89" s="5"/>
      <c r="K89" s="5"/>
      <c r="L89" s="5"/>
      <c r="M89" s="5"/>
      <c r="N89" s="5"/>
      <c r="O89" s="5"/>
      <c r="Q89" s="5"/>
      <c r="R89" s="5"/>
      <c r="S89" s="5"/>
    </row>
    <row r="90" spans="2:26">
      <c r="B90" s="41"/>
      <c r="C90" s="5"/>
      <c r="D90" s="5"/>
      <c r="E90" s="5"/>
      <c r="F90" s="5"/>
      <c r="G90" s="5"/>
      <c r="H90" s="5"/>
      <c r="I90" s="49"/>
      <c r="J90" s="5"/>
      <c r="K90" s="5"/>
      <c r="L90" s="5"/>
      <c r="M90" s="5"/>
      <c r="N90" s="5"/>
      <c r="O90" s="5"/>
      <c r="Q90" s="41"/>
      <c r="R90" s="5"/>
      <c r="S90" s="5"/>
    </row>
    <row r="91" spans="2:26">
      <c r="B91" s="5"/>
      <c r="C91" s="5"/>
      <c r="D91" s="5"/>
      <c r="E91" s="5"/>
      <c r="F91" s="5"/>
      <c r="G91" s="5"/>
      <c r="H91" s="5"/>
      <c r="I91" s="5"/>
      <c r="J91" s="5"/>
      <c r="K91" s="5"/>
      <c r="L91" s="5"/>
      <c r="M91" s="5"/>
      <c r="N91" s="5"/>
      <c r="O91" s="5"/>
      <c r="Q91" s="5"/>
      <c r="R91" s="5"/>
      <c r="S91" s="5"/>
    </row>
    <row r="92" spans="2:26">
      <c r="B92" s="41"/>
      <c r="C92" s="49"/>
      <c r="D92" s="49"/>
      <c r="E92" s="49"/>
      <c r="F92" s="49"/>
      <c r="G92" s="49"/>
      <c r="H92" s="49"/>
      <c r="I92" s="247"/>
      <c r="J92" s="49"/>
      <c r="K92" s="49"/>
      <c r="L92" s="49"/>
      <c r="M92" s="49"/>
      <c r="N92" s="49"/>
      <c r="O92" s="49"/>
      <c r="Q92" s="5"/>
      <c r="R92" s="5"/>
      <c r="S92" s="5"/>
      <c r="W92" s="21"/>
      <c r="X92" s="21"/>
    </row>
    <row r="93" spans="2:26">
      <c r="B93" s="5"/>
      <c r="C93" s="5"/>
      <c r="D93" s="5"/>
      <c r="E93" s="5"/>
      <c r="F93" s="5"/>
      <c r="G93" s="5"/>
      <c r="H93" s="5"/>
      <c r="I93" s="247"/>
      <c r="J93" s="5"/>
      <c r="K93" s="5"/>
      <c r="L93" s="5"/>
      <c r="M93" s="5"/>
      <c r="N93" s="5"/>
      <c r="O93" s="5"/>
      <c r="Q93" s="5"/>
      <c r="R93" s="5"/>
      <c r="S93" s="5"/>
      <c r="W93" s="21"/>
      <c r="X93" s="21"/>
      <c r="Y93" s="21"/>
      <c r="Z93" s="21"/>
    </row>
    <row r="94" spans="2:26">
      <c r="B94" s="5"/>
      <c r="C94" s="259"/>
      <c r="D94" s="247"/>
      <c r="E94" s="247"/>
      <c r="F94" s="247"/>
      <c r="G94" s="247"/>
      <c r="H94" s="247"/>
      <c r="I94" s="247"/>
      <c r="J94" s="247"/>
      <c r="K94" s="247"/>
      <c r="L94" s="247"/>
      <c r="M94" s="247"/>
      <c r="N94" s="247"/>
      <c r="O94" s="248"/>
      <c r="Q94" s="5"/>
      <c r="R94" s="5"/>
      <c r="S94" s="5"/>
      <c r="Y94" s="21"/>
      <c r="Z94" s="21"/>
    </row>
    <row r="95" spans="2:26">
      <c r="B95" s="5"/>
      <c r="C95" s="259"/>
      <c r="D95" s="247"/>
      <c r="E95" s="247"/>
      <c r="F95" s="247"/>
      <c r="G95" s="247"/>
      <c r="H95" s="247"/>
      <c r="I95" s="248"/>
      <c r="J95" s="247"/>
      <c r="K95" s="247"/>
      <c r="L95" s="247"/>
      <c r="M95" s="247"/>
      <c r="N95" s="247"/>
      <c r="O95" s="248"/>
      <c r="Q95" s="5"/>
      <c r="R95" s="5"/>
      <c r="S95" s="5"/>
    </row>
    <row r="96" spans="2:26">
      <c r="B96" s="5"/>
      <c r="C96" s="259"/>
      <c r="D96" s="247"/>
      <c r="E96" s="247"/>
      <c r="F96" s="247"/>
      <c r="G96" s="247"/>
      <c r="H96" s="247"/>
      <c r="I96" s="247"/>
      <c r="J96" s="247"/>
      <c r="K96" s="247"/>
      <c r="L96" s="247"/>
      <c r="M96" s="247"/>
      <c r="N96" s="247"/>
      <c r="O96" s="248"/>
      <c r="Q96" s="5"/>
      <c r="R96" s="5"/>
      <c r="S96" s="5"/>
    </row>
    <row r="97" spans="2:19">
      <c r="B97" s="5"/>
      <c r="C97" s="259"/>
      <c r="D97" s="248"/>
      <c r="E97" s="248"/>
      <c r="F97" s="248"/>
      <c r="G97" s="248"/>
      <c r="H97" s="248"/>
      <c r="I97" s="249"/>
      <c r="J97" s="248"/>
      <c r="K97" s="248"/>
      <c r="L97" s="248"/>
      <c r="M97" s="248"/>
      <c r="N97" s="248"/>
      <c r="O97" s="248"/>
      <c r="Q97" s="5"/>
      <c r="R97" s="5"/>
      <c r="S97" s="5"/>
    </row>
    <row r="98" spans="2:19">
      <c r="B98" s="5"/>
      <c r="C98" s="259"/>
      <c r="D98" s="247"/>
      <c r="E98" s="247"/>
      <c r="F98" s="247"/>
      <c r="G98" s="247"/>
      <c r="H98" s="247"/>
      <c r="I98" s="248"/>
      <c r="J98" s="247"/>
      <c r="K98" s="247"/>
      <c r="L98" s="247"/>
      <c r="M98" s="247"/>
      <c r="N98" s="247"/>
      <c r="O98" s="248"/>
      <c r="Q98" s="5"/>
      <c r="R98" s="5"/>
      <c r="S98" s="5"/>
    </row>
    <row r="99" spans="2:19">
      <c r="B99" s="41"/>
      <c r="C99" s="249"/>
      <c r="D99" s="249"/>
      <c r="E99" s="249"/>
      <c r="F99" s="249"/>
      <c r="G99" s="249"/>
      <c r="H99" s="249"/>
      <c r="I99" s="5"/>
      <c r="J99" s="249"/>
      <c r="K99" s="249"/>
      <c r="L99" s="249"/>
      <c r="M99" s="249"/>
      <c r="N99" s="249"/>
      <c r="O99" s="248"/>
      <c r="Q99" s="5"/>
      <c r="R99" s="5"/>
      <c r="S99" s="5"/>
    </row>
    <row r="100" spans="2:19">
      <c r="B100" s="41"/>
      <c r="C100" s="257"/>
      <c r="D100" s="248"/>
      <c r="E100" s="248"/>
      <c r="F100" s="248"/>
      <c r="G100" s="248"/>
      <c r="H100" s="248"/>
      <c r="I100" s="259"/>
      <c r="J100" s="248"/>
      <c r="K100" s="248"/>
      <c r="L100" s="248"/>
      <c r="M100" s="248"/>
      <c r="N100" s="248"/>
      <c r="O100" s="248"/>
      <c r="Q100" s="5"/>
      <c r="R100" s="5"/>
      <c r="S100" s="5"/>
    </row>
    <row r="101" spans="2:19" s="5" customFormat="1">
      <c r="B101" s="41"/>
      <c r="I101" s="259"/>
      <c r="O101" s="248"/>
      <c r="P101" s="39"/>
    </row>
    <row r="102" spans="2:19">
      <c r="B102" s="5"/>
      <c r="C102" s="259"/>
      <c r="D102" s="259"/>
      <c r="E102" s="259"/>
      <c r="F102" s="259"/>
      <c r="G102" s="259"/>
      <c r="H102" s="259"/>
      <c r="I102" s="247"/>
      <c r="J102" s="259"/>
      <c r="K102" s="259"/>
      <c r="L102" s="259"/>
      <c r="M102" s="259"/>
      <c r="N102" s="259"/>
      <c r="O102" s="5"/>
      <c r="Q102" s="5"/>
      <c r="R102" s="5"/>
      <c r="S102" s="5"/>
    </row>
    <row r="103" spans="2:19">
      <c r="B103" s="5"/>
      <c r="C103" s="259"/>
      <c r="D103" s="259"/>
      <c r="E103" s="259"/>
      <c r="F103" s="259"/>
      <c r="G103" s="259"/>
      <c r="H103" s="259"/>
      <c r="I103" s="5"/>
      <c r="J103" s="259"/>
      <c r="K103" s="259"/>
      <c r="L103" s="259"/>
      <c r="M103" s="259"/>
      <c r="N103" s="259"/>
      <c r="O103" s="5"/>
      <c r="P103" s="5"/>
      <c r="Q103" s="5"/>
      <c r="R103" s="5"/>
      <c r="S103" s="5"/>
    </row>
    <row r="104" spans="2:19">
      <c r="B104" s="5"/>
      <c r="C104" s="247"/>
      <c r="D104" s="247"/>
      <c r="E104" s="247"/>
      <c r="F104" s="247"/>
      <c r="G104" s="247"/>
      <c r="H104" s="247"/>
      <c r="I104" s="247"/>
      <c r="J104" s="247"/>
      <c r="K104" s="247"/>
      <c r="L104" s="247"/>
      <c r="M104" s="247"/>
      <c r="N104" s="247"/>
      <c r="O104" s="5"/>
      <c r="Q104" s="5"/>
      <c r="R104" s="5"/>
      <c r="S104" s="5"/>
    </row>
    <row r="105" spans="2:19" s="5" customFormat="1">
      <c r="P105" s="39"/>
    </row>
    <row r="106" spans="2:19" s="5" customFormat="1">
      <c r="C106" s="259"/>
      <c r="D106" s="247"/>
      <c r="E106" s="247"/>
      <c r="F106" s="247"/>
      <c r="G106" s="247"/>
      <c r="H106" s="247"/>
      <c r="I106" s="259"/>
      <c r="J106" s="247"/>
      <c r="K106" s="247"/>
      <c r="L106" s="247"/>
      <c r="M106" s="247"/>
      <c r="N106" s="247"/>
      <c r="P106" s="39"/>
    </row>
    <row r="107" spans="2:19">
      <c r="B107" s="5"/>
      <c r="C107" s="259"/>
      <c r="D107" s="5"/>
      <c r="E107" s="5"/>
      <c r="F107" s="5"/>
      <c r="G107" s="5"/>
      <c r="H107" s="5"/>
      <c r="I107" s="247"/>
      <c r="J107" s="5"/>
      <c r="K107" s="5"/>
      <c r="L107" s="5"/>
      <c r="M107" s="5"/>
      <c r="N107" s="5"/>
      <c r="O107" s="5"/>
      <c r="P107" s="5"/>
      <c r="Q107" s="5"/>
      <c r="R107" s="5"/>
      <c r="S107" s="5"/>
    </row>
    <row r="108" spans="2:19">
      <c r="B108" s="5"/>
      <c r="C108" s="259"/>
      <c r="D108" s="259"/>
      <c r="E108" s="259"/>
      <c r="F108" s="259"/>
      <c r="G108" s="259"/>
      <c r="H108" s="259"/>
      <c r="I108" s="249"/>
      <c r="J108" s="259"/>
      <c r="K108" s="259"/>
      <c r="L108" s="259"/>
      <c r="M108" s="259"/>
      <c r="N108" s="259"/>
      <c r="O108" s="5"/>
      <c r="P108" s="5"/>
      <c r="Q108" s="5"/>
      <c r="R108" s="5"/>
      <c r="S108" s="5"/>
    </row>
    <row r="109" spans="2:19">
      <c r="B109" s="5"/>
      <c r="C109" s="247"/>
      <c r="D109" s="247"/>
      <c r="E109" s="247"/>
      <c r="F109" s="247"/>
      <c r="G109" s="247"/>
      <c r="H109" s="247"/>
      <c r="I109" s="249"/>
      <c r="J109" s="247"/>
      <c r="K109" s="247"/>
      <c r="L109" s="247"/>
      <c r="M109" s="247"/>
      <c r="N109" s="247"/>
      <c r="O109" s="5"/>
      <c r="Q109" s="5"/>
      <c r="R109" s="5"/>
      <c r="S109" s="5"/>
    </row>
    <row r="110" spans="2:19">
      <c r="B110" s="41"/>
      <c r="C110" s="249"/>
      <c r="D110" s="249"/>
      <c r="E110" s="249"/>
      <c r="F110" s="249"/>
      <c r="G110" s="249"/>
      <c r="H110" s="249"/>
      <c r="I110" s="247"/>
      <c r="J110" s="249"/>
      <c r="K110" s="249"/>
      <c r="L110" s="249"/>
      <c r="M110" s="249"/>
      <c r="N110" s="249"/>
      <c r="O110" s="5"/>
      <c r="Q110" s="5"/>
      <c r="R110" s="5"/>
      <c r="S110" s="5"/>
    </row>
    <row r="111" spans="2:19">
      <c r="B111" s="5"/>
      <c r="C111" s="249"/>
      <c r="D111" s="249"/>
      <c r="E111" s="249"/>
      <c r="F111" s="249"/>
      <c r="G111" s="249"/>
      <c r="H111" s="249"/>
      <c r="I111" s="5"/>
      <c r="J111" s="249"/>
      <c r="K111" s="249"/>
      <c r="L111" s="249"/>
      <c r="M111" s="249"/>
      <c r="N111" s="249"/>
      <c r="O111" s="5"/>
      <c r="Q111" s="5"/>
      <c r="R111" s="5"/>
      <c r="S111" s="5"/>
    </row>
    <row r="112" spans="2:19">
      <c r="B112" s="5"/>
      <c r="C112" s="247"/>
      <c r="D112" s="247"/>
      <c r="E112" s="247"/>
      <c r="F112" s="247"/>
      <c r="G112" s="247"/>
      <c r="H112" s="247"/>
      <c r="I112" s="5"/>
      <c r="J112" s="247"/>
      <c r="K112" s="247"/>
      <c r="L112" s="247"/>
      <c r="M112" s="247"/>
      <c r="N112" s="247"/>
      <c r="O112" s="5"/>
      <c r="Q112" s="5"/>
      <c r="R112" s="5"/>
      <c r="S112" s="5"/>
    </row>
    <row r="113" spans="2:19">
      <c r="B113" s="5"/>
      <c r="C113" s="5"/>
      <c r="D113" s="5"/>
      <c r="E113" s="5"/>
      <c r="F113" s="5"/>
      <c r="G113" s="5"/>
      <c r="H113" s="5"/>
      <c r="I113" s="5"/>
      <c r="J113" s="5"/>
      <c r="K113" s="5"/>
      <c r="L113" s="5"/>
      <c r="M113" s="5"/>
      <c r="N113" s="5"/>
      <c r="O113" s="5"/>
      <c r="Q113" s="5"/>
      <c r="R113" s="5"/>
      <c r="S113" s="5"/>
    </row>
    <row r="114" spans="2:19">
      <c r="B114" s="5"/>
      <c r="C114" s="5"/>
      <c r="D114" s="5"/>
      <c r="E114" s="5"/>
      <c r="F114" s="5"/>
      <c r="G114" s="5"/>
      <c r="H114" s="5"/>
      <c r="I114" s="5"/>
      <c r="J114" s="5"/>
      <c r="K114" s="5"/>
      <c r="L114" s="5"/>
      <c r="M114" s="5"/>
      <c r="N114" s="5"/>
      <c r="O114" s="5"/>
      <c r="Q114" s="5"/>
      <c r="R114" s="5"/>
      <c r="S114" s="5"/>
    </row>
    <row r="115" spans="2:19">
      <c r="B115" s="5"/>
      <c r="C115" s="5"/>
      <c r="D115" s="5"/>
      <c r="E115" s="5"/>
      <c r="F115" s="5"/>
      <c r="G115" s="5"/>
      <c r="H115" s="5"/>
      <c r="I115" s="49"/>
      <c r="J115" s="5"/>
      <c r="K115" s="5"/>
      <c r="L115" s="5"/>
      <c r="M115" s="5"/>
      <c r="N115" s="5"/>
      <c r="O115" s="5"/>
      <c r="Q115" s="41"/>
      <c r="R115" s="5"/>
      <c r="S115" s="5"/>
    </row>
    <row r="116" spans="2:19">
      <c r="B116" s="5"/>
      <c r="C116" s="5"/>
      <c r="D116" s="5"/>
      <c r="E116" s="5"/>
      <c r="F116" s="5"/>
      <c r="G116" s="5"/>
      <c r="H116" s="5"/>
      <c r="I116" s="5"/>
      <c r="J116" s="5"/>
      <c r="K116" s="5"/>
      <c r="L116" s="5"/>
      <c r="M116" s="5"/>
      <c r="N116" s="5"/>
      <c r="O116" s="5"/>
      <c r="Q116" s="5"/>
      <c r="R116" s="5"/>
      <c r="S116" s="5"/>
    </row>
    <row r="117" spans="2:19">
      <c r="B117" s="41"/>
      <c r="C117" s="49"/>
      <c r="D117" s="49"/>
      <c r="E117" s="49"/>
      <c r="F117" s="49"/>
      <c r="G117" s="49"/>
      <c r="H117" s="49"/>
      <c r="I117" s="254"/>
      <c r="J117" s="49"/>
      <c r="K117" s="49"/>
      <c r="L117" s="49"/>
      <c r="M117" s="49"/>
      <c r="N117" s="49"/>
      <c r="O117" s="49"/>
      <c r="Q117" s="5"/>
      <c r="R117" s="5"/>
      <c r="S117" s="5"/>
    </row>
    <row r="118" spans="2:19">
      <c r="B118" s="5"/>
      <c r="C118" s="5"/>
      <c r="D118" s="5"/>
      <c r="E118" s="5"/>
      <c r="F118" s="5"/>
      <c r="G118" s="5"/>
      <c r="H118" s="5"/>
      <c r="I118" s="249"/>
      <c r="J118" s="5"/>
      <c r="K118" s="5"/>
      <c r="L118" s="5"/>
      <c r="M118" s="5"/>
      <c r="N118" s="5"/>
      <c r="O118" s="5"/>
      <c r="Q118" s="5"/>
      <c r="R118" s="5"/>
      <c r="S118" s="5"/>
    </row>
    <row r="119" spans="2:19">
      <c r="B119" s="41"/>
      <c r="C119" s="254"/>
      <c r="D119" s="254"/>
      <c r="E119" s="254"/>
      <c r="F119" s="254"/>
      <c r="G119" s="254"/>
      <c r="H119" s="254"/>
      <c r="I119" s="254"/>
      <c r="J119" s="254"/>
      <c r="K119" s="254"/>
      <c r="L119" s="254"/>
      <c r="M119" s="254"/>
      <c r="N119" s="254"/>
      <c r="O119" s="248"/>
      <c r="Q119" s="5"/>
      <c r="R119" s="5"/>
      <c r="S119" s="5"/>
    </row>
    <row r="120" spans="2:19">
      <c r="B120" s="41"/>
      <c r="C120" s="254"/>
      <c r="D120" s="249"/>
      <c r="E120" s="249"/>
      <c r="F120" s="249"/>
      <c r="G120" s="249"/>
      <c r="H120" s="249"/>
      <c r="I120" s="254"/>
      <c r="J120" s="249"/>
      <c r="K120" s="249"/>
      <c r="L120" s="249"/>
      <c r="M120" s="249"/>
      <c r="N120" s="249"/>
      <c r="O120" s="248"/>
      <c r="Q120" s="5"/>
      <c r="R120" s="5"/>
      <c r="S120" s="5"/>
    </row>
    <row r="121" spans="2:19">
      <c r="B121" s="41"/>
      <c r="C121" s="254"/>
      <c r="D121" s="254"/>
      <c r="E121" s="254"/>
      <c r="F121" s="254"/>
      <c r="G121" s="254"/>
      <c r="H121" s="254"/>
      <c r="I121" s="254"/>
      <c r="J121" s="254"/>
      <c r="K121" s="254"/>
      <c r="L121" s="254"/>
      <c r="M121" s="254"/>
      <c r="N121" s="254"/>
      <c r="O121" s="248"/>
      <c r="Q121" s="5"/>
      <c r="R121" s="5"/>
      <c r="S121" s="5"/>
    </row>
    <row r="122" spans="2:19">
      <c r="B122" s="41"/>
      <c r="C122" s="254"/>
      <c r="D122" s="254"/>
      <c r="E122" s="254"/>
      <c r="F122" s="254"/>
      <c r="G122" s="254"/>
      <c r="H122" s="254"/>
      <c r="I122" s="254"/>
      <c r="J122" s="254"/>
      <c r="K122" s="254"/>
      <c r="L122" s="254"/>
      <c r="M122" s="254"/>
      <c r="N122" s="254"/>
      <c r="O122" s="248"/>
      <c r="Q122" s="5"/>
      <c r="R122" s="5"/>
      <c r="S122" s="5"/>
    </row>
    <row r="123" spans="2:19">
      <c r="B123" s="41"/>
      <c r="C123" s="254"/>
      <c r="D123" s="254"/>
      <c r="E123" s="254"/>
      <c r="F123" s="254"/>
      <c r="G123" s="254"/>
      <c r="H123" s="254"/>
      <c r="I123" s="254"/>
      <c r="J123" s="254"/>
      <c r="K123" s="254"/>
      <c r="L123" s="254"/>
      <c r="M123" s="254"/>
      <c r="N123" s="254"/>
      <c r="O123" s="248"/>
      <c r="Q123" s="5"/>
      <c r="R123" s="5"/>
      <c r="S123" s="5"/>
    </row>
    <row r="124" spans="2:19">
      <c r="B124" s="41"/>
      <c r="C124" s="254"/>
      <c r="D124" s="254"/>
      <c r="E124" s="254"/>
      <c r="F124" s="254"/>
      <c r="G124" s="254"/>
      <c r="H124" s="254"/>
      <c r="I124" s="254"/>
      <c r="J124" s="254"/>
      <c r="K124" s="254"/>
      <c r="L124" s="254"/>
      <c r="M124" s="254"/>
      <c r="N124" s="254"/>
      <c r="O124" s="248"/>
      <c r="Q124" s="5"/>
      <c r="R124" s="5"/>
      <c r="S124" s="5"/>
    </row>
    <row r="125" spans="2:19">
      <c r="B125" s="41"/>
      <c r="C125" s="254"/>
      <c r="D125" s="254"/>
      <c r="E125" s="254"/>
      <c r="F125" s="254"/>
      <c r="G125" s="254"/>
      <c r="H125" s="254"/>
      <c r="I125" s="254"/>
      <c r="J125" s="254"/>
      <c r="K125" s="254"/>
      <c r="L125" s="254"/>
      <c r="M125" s="254"/>
      <c r="N125" s="254"/>
      <c r="O125" s="5"/>
      <c r="Q125" s="5"/>
      <c r="R125" s="5"/>
      <c r="S125" s="5"/>
    </row>
    <row r="126" spans="2:19">
      <c r="B126" s="41"/>
      <c r="C126" s="254"/>
      <c r="D126" s="254"/>
      <c r="E126" s="254"/>
      <c r="F126" s="254"/>
      <c r="G126" s="254"/>
      <c r="H126" s="254"/>
      <c r="I126" s="254"/>
      <c r="J126" s="254"/>
      <c r="K126" s="254"/>
      <c r="L126" s="254"/>
      <c r="M126" s="254"/>
      <c r="N126" s="254"/>
      <c r="O126" s="5"/>
      <c r="Q126" s="5"/>
      <c r="R126" s="5"/>
      <c r="S126" s="5"/>
    </row>
    <row r="127" spans="2:19">
      <c r="B127" s="41"/>
      <c r="C127" s="254"/>
      <c r="D127" s="254"/>
      <c r="E127" s="254"/>
      <c r="F127" s="254"/>
      <c r="G127" s="254"/>
      <c r="H127" s="254"/>
      <c r="I127" s="18"/>
      <c r="J127" s="254"/>
      <c r="K127" s="254"/>
      <c r="L127" s="254"/>
      <c r="M127" s="254"/>
      <c r="N127" s="254"/>
      <c r="O127" s="5"/>
      <c r="Q127" s="5"/>
      <c r="R127" s="5"/>
      <c r="S127" s="5"/>
    </row>
    <row r="128" spans="2:19">
      <c r="B128" s="41"/>
      <c r="C128" s="254"/>
      <c r="D128" s="254"/>
      <c r="E128" s="254"/>
      <c r="F128" s="254"/>
      <c r="G128" s="254"/>
      <c r="H128" s="254"/>
      <c r="I128" s="5"/>
      <c r="J128" s="254"/>
      <c r="K128" s="254"/>
      <c r="L128" s="254"/>
      <c r="M128" s="254"/>
      <c r="N128" s="254"/>
      <c r="O128" s="5"/>
      <c r="Q128" s="5"/>
      <c r="R128" s="5"/>
      <c r="S128" s="5"/>
    </row>
    <row r="129" spans="2:27">
      <c r="B129" s="5"/>
      <c r="C129" s="5"/>
      <c r="D129" s="18"/>
      <c r="E129" s="18"/>
      <c r="F129" s="18"/>
      <c r="G129" s="18"/>
      <c r="H129" s="18"/>
      <c r="I129" s="254"/>
      <c r="J129" s="18"/>
      <c r="K129" s="18"/>
      <c r="L129" s="18"/>
      <c r="M129" s="18"/>
      <c r="N129" s="18"/>
      <c r="O129" s="5"/>
      <c r="Q129" s="5"/>
      <c r="R129" s="5"/>
      <c r="S129" s="5"/>
    </row>
    <row r="130" spans="2:27">
      <c r="B130" s="5"/>
      <c r="C130" s="5"/>
      <c r="D130" s="5"/>
      <c r="E130" s="5"/>
      <c r="F130" s="5"/>
      <c r="G130" s="5"/>
      <c r="H130" s="5"/>
      <c r="I130" s="18"/>
      <c r="J130" s="5"/>
      <c r="K130" s="5"/>
      <c r="L130" s="5"/>
      <c r="M130" s="5"/>
      <c r="N130" s="5"/>
      <c r="O130" s="5"/>
      <c r="Q130" s="5"/>
      <c r="R130" s="5"/>
      <c r="S130" s="5"/>
    </row>
    <row r="131" spans="2:27">
      <c r="B131" s="41"/>
      <c r="C131" s="254"/>
      <c r="D131" s="254"/>
      <c r="E131" s="254"/>
      <c r="F131" s="254"/>
      <c r="G131" s="254"/>
      <c r="H131" s="254"/>
      <c r="I131" s="5"/>
      <c r="J131" s="254"/>
      <c r="K131" s="254"/>
      <c r="L131" s="254"/>
      <c r="M131" s="254"/>
      <c r="N131" s="254"/>
      <c r="O131" s="5"/>
      <c r="Q131" s="5"/>
      <c r="R131" s="5"/>
      <c r="S131" s="5"/>
    </row>
    <row r="132" spans="2:27">
      <c r="B132" s="5"/>
      <c r="C132" s="259"/>
      <c r="D132" s="18"/>
      <c r="E132" s="18"/>
      <c r="F132" s="18"/>
      <c r="G132" s="18"/>
      <c r="H132" s="18"/>
      <c r="I132" s="5"/>
      <c r="J132" s="18"/>
      <c r="K132" s="18"/>
      <c r="L132" s="18"/>
      <c r="M132" s="18"/>
      <c r="N132" s="18"/>
      <c r="O132" s="5"/>
      <c r="Q132" s="5"/>
      <c r="R132" s="5"/>
      <c r="S132" s="5"/>
    </row>
    <row r="133" spans="2:27">
      <c r="B133" s="5"/>
      <c r="C133" s="5"/>
      <c r="D133" s="5"/>
      <c r="E133" s="5"/>
      <c r="F133" s="5"/>
      <c r="G133" s="5"/>
      <c r="H133" s="5"/>
      <c r="I133" s="17"/>
      <c r="J133" s="5"/>
      <c r="K133" s="5"/>
      <c r="L133" s="5"/>
      <c r="M133" s="5"/>
      <c r="N133" s="5"/>
      <c r="O133" s="5"/>
      <c r="Q133" s="5"/>
      <c r="R133" s="5"/>
      <c r="S133" s="5"/>
    </row>
    <row r="134" spans="2:27">
      <c r="B134" s="41"/>
      <c r="C134" s="5"/>
      <c r="D134" s="5"/>
      <c r="E134" s="5"/>
      <c r="F134" s="5"/>
      <c r="G134" s="5"/>
      <c r="H134" s="5"/>
      <c r="I134" s="17"/>
      <c r="J134" s="5"/>
      <c r="K134" s="5"/>
      <c r="L134" s="5"/>
      <c r="M134" s="5"/>
      <c r="N134" s="5"/>
      <c r="O134" s="5"/>
      <c r="Q134" s="5"/>
      <c r="R134" s="5"/>
      <c r="S134" s="5"/>
    </row>
    <row r="135" spans="2:27">
      <c r="B135" s="5"/>
      <c r="C135" s="17"/>
      <c r="D135" s="17"/>
      <c r="E135" s="17"/>
      <c r="F135" s="17"/>
      <c r="G135" s="17"/>
      <c r="H135" s="17"/>
      <c r="I135" s="17"/>
      <c r="J135" s="17"/>
      <c r="K135" s="17"/>
      <c r="L135" s="17"/>
      <c r="M135" s="17"/>
      <c r="N135" s="17"/>
      <c r="O135" s="5"/>
      <c r="Q135" s="41"/>
      <c r="R135" s="5"/>
      <c r="S135" s="5"/>
    </row>
    <row r="136" spans="2:27">
      <c r="B136" s="5"/>
      <c r="C136" s="17"/>
      <c r="D136" s="17"/>
      <c r="E136" s="17"/>
      <c r="F136" s="17"/>
      <c r="G136" s="17"/>
      <c r="H136" s="17"/>
      <c r="I136" s="17"/>
      <c r="J136" s="17"/>
      <c r="K136" s="17"/>
      <c r="L136" s="17"/>
      <c r="M136" s="17"/>
      <c r="N136" s="17"/>
      <c r="O136" s="5"/>
      <c r="Q136" s="5"/>
      <c r="R136" s="5"/>
      <c r="S136" s="5"/>
      <c r="X136" s="304"/>
    </row>
    <row r="137" spans="2:27">
      <c r="B137" s="5"/>
      <c r="C137" s="5"/>
      <c r="D137" s="17"/>
      <c r="E137" s="17"/>
      <c r="F137" s="17"/>
      <c r="G137" s="17"/>
      <c r="H137" s="17"/>
      <c r="I137" s="17"/>
      <c r="J137" s="17"/>
      <c r="K137" s="17"/>
      <c r="L137" s="17"/>
      <c r="M137" s="17"/>
      <c r="N137" s="17"/>
      <c r="O137" s="5"/>
      <c r="Q137" s="5"/>
      <c r="R137" s="5"/>
      <c r="S137" s="5"/>
      <c r="X137" s="10"/>
      <c r="Y137" s="304"/>
      <c r="Z137" s="304"/>
      <c r="AA137" s="304"/>
    </row>
    <row r="138" spans="2:27">
      <c r="B138" s="5"/>
      <c r="C138" s="5"/>
      <c r="D138" s="17"/>
      <c r="E138" s="17"/>
      <c r="F138" s="17"/>
      <c r="G138" s="17"/>
      <c r="H138" s="17"/>
      <c r="I138" s="17"/>
      <c r="J138" s="17"/>
      <c r="K138" s="17"/>
      <c r="L138" s="17"/>
      <c r="M138" s="17"/>
      <c r="N138" s="17"/>
      <c r="O138" s="5"/>
      <c r="Q138" s="5"/>
      <c r="R138" s="5"/>
      <c r="S138" s="5"/>
      <c r="Y138" s="10"/>
      <c r="Z138" s="10"/>
      <c r="AA138" s="10"/>
    </row>
    <row r="139" spans="2:27">
      <c r="B139" s="5"/>
      <c r="C139" s="5"/>
      <c r="D139" s="17"/>
      <c r="E139" s="17"/>
      <c r="F139" s="17"/>
      <c r="G139" s="17"/>
      <c r="H139" s="17"/>
      <c r="I139" s="5"/>
      <c r="J139" s="17"/>
      <c r="K139" s="17"/>
      <c r="L139" s="17"/>
      <c r="M139" s="17"/>
      <c r="N139" s="17"/>
      <c r="O139" s="5"/>
      <c r="Q139" s="5"/>
      <c r="R139" s="5"/>
      <c r="S139" s="5"/>
    </row>
    <row r="140" spans="2:27">
      <c r="B140" s="5"/>
      <c r="C140" s="17"/>
      <c r="D140" s="17"/>
      <c r="E140" s="17"/>
      <c r="F140" s="17"/>
      <c r="G140" s="17"/>
      <c r="H140" s="17"/>
      <c r="I140" s="5"/>
      <c r="J140" s="17"/>
      <c r="K140" s="17"/>
      <c r="L140" s="17"/>
      <c r="M140" s="17"/>
      <c r="N140" s="17"/>
      <c r="O140" s="5"/>
      <c r="Q140" s="5"/>
      <c r="R140" s="5"/>
      <c r="S140" s="5"/>
    </row>
    <row r="141" spans="2:27">
      <c r="B141" s="5"/>
      <c r="C141" s="5"/>
      <c r="D141" s="5"/>
      <c r="E141" s="5"/>
      <c r="F141" s="5"/>
      <c r="G141" s="5"/>
      <c r="H141" s="5"/>
      <c r="I141" s="5"/>
      <c r="J141" s="5"/>
      <c r="K141" s="5"/>
      <c r="L141" s="5"/>
      <c r="M141" s="5"/>
      <c r="N141" s="5"/>
      <c r="O141" s="5"/>
      <c r="Q141" s="5"/>
      <c r="R141" s="5"/>
      <c r="S141" s="5"/>
    </row>
    <row r="142" spans="2:27">
      <c r="B142" s="5"/>
      <c r="C142" s="5"/>
      <c r="D142" s="5"/>
      <c r="E142" s="5"/>
      <c r="F142" s="5"/>
      <c r="G142" s="5"/>
      <c r="H142" s="5"/>
      <c r="I142" s="5"/>
      <c r="J142" s="5"/>
      <c r="K142" s="5"/>
      <c r="L142" s="5"/>
      <c r="M142" s="5"/>
      <c r="N142" s="5"/>
      <c r="O142" s="5"/>
      <c r="Q142" s="5"/>
      <c r="R142" s="5"/>
      <c r="S142" s="5"/>
    </row>
    <row r="143" spans="2:27">
      <c r="B143" s="5"/>
      <c r="C143" s="5"/>
      <c r="D143" s="5"/>
      <c r="E143" s="5"/>
      <c r="F143" s="5"/>
      <c r="G143" s="5"/>
      <c r="H143" s="5"/>
      <c r="I143" s="5"/>
      <c r="J143" s="5"/>
      <c r="K143" s="5"/>
      <c r="L143" s="5"/>
      <c r="M143" s="5"/>
      <c r="N143" s="5"/>
      <c r="O143" s="5"/>
      <c r="Q143" s="5"/>
      <c r="R143" s="5"/>
      <c r="S143" s="5"/>
    </row>
    <row r="144" spans="2:27">
      <c r="B144" s="5"/>
      <c r="C144" s="5"/>
      <c r="D144" s="5"/>
      <c r="E144" s="5"/>
      <c r="F144" s="5"/>
      <c r="G144" s="5"/>
      <c r="H144" s="5"/>
      <c r="I144" s="5"/>
      <c r="J144" s="5"/>
      <c r="K144" s="5"/>
      <c r="L144" s="5"/>
      <c r="M144" s="5"/>
      <c r="N144" s="5"/>
      <c r="O144" s="5"/>
      <c r="Q144" s="5"/>
      <c r="R144" s="5"/>
      <c r="S144" s="5"/>
    </row>
    <row r="145" spans="2:19">
      <c r="B145" s="5"/>
      <c r="C145" s="5"/>
      <c r="D145" s="5"/>
      <c r="E145" s="5"/>
      <c r="F145" s="5"/>
      <c r="G145" s="5"/>
      <c r="H145" s="5"/>
      <c r="I145" s="5"/>
      <c r="J145" s="5"/>
      <c r="K145" s="5"/>
      <c r="L145" s="5"/>
      <c r="M145" s="5"/>
      <c r="N145" s="5"/>
      <c r="O145" s="5"/>
      <c r="Q145" s="5"/>
      <c r="R145" s="5"/>
      <c r="S145" s="5"/>
    </row>
    <row r="146" spans="2:19">
      <c r="B146" s="5"/>
      <c r="C146" s="5"/>
      <c r="D146" s="5"/>
      <c r="E146" s="5"/>
      <c r="F146" s="5"/>
      <c r="G146" s="5"/>
      <c r="H146" s="5"/>
      <c r="I146" s="5"/>
      <c r="J146" s="5"/>
      <c r="K146" s="5"/>
      <c r="L146" s="5"/>
      <c r="M146" s="5"/>
      <c r="N146" s="5"/>
      <c r="O146" s="5"/>
      <c r="Q146" s="5"/>
      <c r="R146" s="5"/>
      <c r="S146" s="5"/>
    </row>
    <row r="147" spans="2:19">
      <c r="B147" s="5"/>
      <c r="C147" s="5"/>
      <c r="D147" s="5"/>
      <c r="E147" s="5"/>
      <c r="F147" s="5"/>
      <c r="G147" s="5"/>
      <c r="H147" s="5"/>
      <c r="I147" s="5"/>
      <c r="J147" s="5"/>
      <c r="K147" s="5"/>
      <c r="L147" s="5"/>
      <c r="M147" s="5"/>
      <c r="N147" s="5"/>
      <c r="O147" s="5"/>
      <c r="Q147" s="5"/>
      <c r="R147" s="5"/>
      <c r="S147" s="5"/>
    </row>
    <row r="148" spans="2:19">
      <c r="B148" s="5"/>
      <c r="C148" s="5"/>
      <c r="D148" s="5"/>
      <c r="E148" s="5"/>
      <c r="F148" s="5"/>
      <c r="G148" s="5"/>
      <c r="H148" s="5"/>
      <c r="I148" s="5"/>
      <c r="J148" s="5"/>
      <c r="K148" s="5"/>
      <c r="L148" s="5"/>
      <c r="M148" s="5"/>
      <c r="N148" s="5"/>
      <c r="O148" s="5"/>
      <c r="Q148" s="5"/>
      <c r="R148" s="5"/>
      <c r="S148" s="5"/>
    </row>
    <row r="149" spans="2:19">
      <c r="B149" s="5"/>
      <c r="C149" s="5"/>
      <c r="D149" s="5"/>
      <c r="E149" s="5"/>
      <c r="F149" s="5"/>
      <c r="G149" s="5"/>
      <c r="H149" s="5"/>
      <c r="J149" s="5"/>
      <c r="K149" s="5"/>
      <c r="L149" s="5"/>
      <c r="M149" s="5"/>
      <c r="N149" s="5"/>
      <c r="O149" s="5"/>
      <c r="Q149" s="5"/>
      <c r="R149" s="5"/>
      <c r="S149" s="5"/>
    </row>
    <row r="150" spans="2:19">
      <c r="B150" s="5"/>
      <c r="C150" s="5"/>
      <c r="D150" s="5"/>
      <c r="E150" s="5"/>
      <c r="F150" s="5"/>
      <c r="G150" s="5"/>
      <c r="H150" s="5"/>
      <c r="J150" s="5"/>
      <c r="K150" s="5"/>
      <c r="L150" s="5"/>
      <c r="M150" s="5"/>
      <c r="N150" s="5"/>
      <c r="O150" s="5"/>
      <c r="Q150" s="5"/>
      <c r="R150" s="5"/>
      <c r="S150" s="5"/>
    </row>
    <row r="151" spans="2:19">
      <c r="Q151" s="5"/>
      <c r="R151" s="5"/>
      <c r="S151" s="5"/>
    </row>
    <row r="152" spans="2:19">
      <c r="Q152" s="5"/>
      <c r="R152" s="5"/>
      <c r="S152" s="5"/>
    </row>
    <row r="153" spans="2:19">
      <c r="C153" s="263"/>
      <c r="Q153" s="5"/>
      <c r="R153" s="5"/>
      <c r="S153" s="5"/>
    </row>
    <row r="154" spans="2:19">
      <c r="Q154" s="5"/>
      <c r="R154" s="5"/>
      <c r="S154" s="5"/>
    </row>
    <row r="155" spans="2:19">
      <c r="Q155" s="5"/>
      <c r="R155" s="5"/>
      <c r="S155" s="5"/>
    </row>
    <row r="156" spans="2:19">
      <c r="Q156" s="5"/>
      <c r="R156" s="5"/>
      <c r="S156" s="5"/>
    </row>
    <row r="157" spans="2:19">
      <c r="Q157" s="5"/>
      <c r="R157" s="5"/>
      <c r="S157" s="5"/>
    </row>
    <row r="158" spans="2:19">
      <c r="Q158" s="5"/>
      <c r="R158" s="5"/>
      <c r="S158" s="5"/>
    </row>
    <row r="159" spans="2:19">
      <c r="Q159" s="5"/>
      <c r="R159" s="5"/>
      <c r="S159" s="5"/>
    </row>
    <row r="160" spans="2:19">
      <c r="Q160" s="5"/>
      <c r="R160" s="5"/>
      <c r="S160" s="5"/>
    </row>
    <row r="161" spans="17:19">
      <c r="Q161" s="5"/>
      <c r="R161" s="5"/>
      <c r="S161" s="5"/>
    </row>
    <row r="162" spans="17:19">
      <c r="Q162" s="5"/>
      <c r="R162" s="5"/>
      <c r="S162" s="5"/>
    </row>
    <row r="163" spans="17:19">
      <c r="Q163" s="5"/>
      <c r="R163" s="5"/>
      <c r="S163" s="5"/>
    </row>
    <row r="164" spans="17:19">
      <c r="Q164" s="5"/>
      <c r="R164" s="5"/>
      <c r="S164" s="5"/>
    </row>
    <row r="165" spans="17:19">
      <c r="Q165" s="5"/>
      <c r="R165" s="5"/>
      <c r="S165" s="5"/>
    </row>
  </sheetData>
  <phoneticPr fontId="7" type="noConversion"/>
  <hyperlinks>
    <hyperlink ref="C2" location="AXISOP!A1" display="Jump to Axiata SOP" xr:uid="{00000000-0004-0000-0D00-000001000000}"/>
  </hyperlinks>
  <pageMargins left="0.75" right="0.75" top="1" bottom="1" header="0.5" footer="0.5"/>
  <pageSetup scale="71" orientation="landscape"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98">
    <pageSetUpPr fitToPage="1"/>
  </sheetPr>
  <dimension ref="B1:AA165"/>
  <sheetViews>
    <sheetView showGridLines="0" zoomScale="80" zoomScaleNormal="80" zoomScaleSheetLayoutView="80" workbookViewId="0"/>
  </sheetViews>
  <sheetFormatPr defaultColWidth="9.109375" defaultRowHeight="12"/>
  <cols>
    <col min="1" max="1" width="2.33203125" style="39" customWidth="1"/>
    <col min="2" max="2" width="26.5546875" style="39" customWidth="1"/>
    <col min="3" max="9" width="10" style="39" customWidth="1"/>
    <col min="10" max="10" width="26.6640625" style="39" customWidth="1"/>
    <col min="11" max="16" width="10" style="39" customWidth="1"/>
    <col min="17" max="19" width="8.6640625" style="39" customWidth="1"/>
    <col min="20" max="27" width="8.6640625" style="5" customWidth="1"/>
    <col min="28" max="28" width="8.6640625" style="39" customWidth="1"/>
    <col min="29" max="16384" width="9.109375" style="39"/>
  </cols>
  <sheetData>
    <row r="1" spans="2:27" s="312" customFormat="1">
      <c r="T1" s="149"/>
      <c r="U1" s="149"/>
      <c r="V1" s="149"/>
      <c r="W1" s="149"/>
      <c r="X1" s="149"/>
      <c r="Y1" s="149"/>
      <c r="Z1" s="149"/>
      <c r="AA1" s="149"/>
    </row>
    <row r="2" spans="2:27" s="149" customFormat="1"/>
    <row r="3" spans="2:27" s="149" customFormat="1">
      <c r="H3" s="153"/>
      <c r="P3" s="153"/>
    </row>
    <row r="4" spans="2:27" s="156" customFormat="1" ht="21">
      <c r="B4" s="129" t="s">
        <v>86</v>
      </c>
      <c r="H4" s="222"/>
      <c r="P4" s="222"/>
    </row>
    <row r="5" spans="2:27" s="149" customFormat="1">
      <c r="C5" s="153"/>
      <c r="D5" s="153" t="str" cm="1">
        <f t="array" ref="D5:H5">headings</f>
        <v>2023E</v>
      </c>
      <c r="E5" s="153" t="str">
        <v>2024E</v>
      </c>
      <c r="F5" s="153" t="str">
        <v>2025E</v>
      </c>
      <c r="G5" s="153" t="str">
        <v>2026E</v>
      </c>
      <c r="H5" s="153" t="str">
        <v>23E-26E</v>
      </c>
      <c r="I5" s="153"/>
      <c r="J5" s="153"/>
      <c r="K5" s="153"/>
      <c r="L5" s="153" t="str" cm="1">
        <f t="array" ref="L5:P5">headings</f>
        <v>2023E</v>
      </c>
      <c r="M5" s="153" t="str">
        <v>2024E</v>
      </c>
      <c r="N5" s="153" t="str">
        <v>2025E</v>
      </c>
      <c r="O5" s="153" t="str">
        <v>2026E</v>
      </c>
      <c r="P5" s="153" t="str">
        <v>23E-26E</v>
      </c>
      <c r="Q5" s="162"/>
      <c r="R5" s="162"/>
      <c r="S5" s="162"/>
      <c r="T5" s="162"/>
      <c r="U5" s="162"/>
      <c r="V5" s="162"/>
      <c r="W5" s="162"/>
      <c r="X5" s="162"/>
      <c r="Y5" s="162"/>
    </row>
    <row r="6" spans="2:27">
      <c r="I6" s="5"/>
      <c r="J6" s="5"/>
      <c r="K6" s="5"/>
      <c r="L6" s="5"/>
      <c r="M6" s="5"/>
      <c r="N6" s="5"/>
      <c r="O6" s="49"/>
    </row>
    <row r="7" spans="2:27" ht="12.6" thickBot="1">
      <c r="B7" s="306" t="s">
        <v>271</v>
      </c>
      <c r="C7" s="265"/>
      <c r="D7" s="265" t="str">
        <f>D5</f>
        <v>2023E</v>
      </c>
      <c r="E7" s="265" t="str">
        <f t="shared" ref="E7:H7" si="0">E5</f>
        <v>2024E</v>
      </c>
      <c r="F7" s="265" t="str">
        <f t="shared" si="0"/>
        <v>2025E</v>
      </c>
      <c r="G7" s="265" t="str">
        <f t="shared" si="0"/>
        <v>2026E</v>
      </c>
      <c r="H7" s="265" t="str">
        <f t="shared" si="0"/>
        <v>23E-26E</v>
      </c>
      <c r="I7" s="49"/>
      <c r="J7" s="306" t="s">
        <v>74</v>
      </c>
      <c r="K7" s="306"/>
      <c r="L7" s="265" t="str">
        <f>L5</f>
        <v>2023E</v>
      </c>
      <c r="M7" s="265" t="str">
        <f t="shared" ref="M7:P7" si="1">M5</f>
        <v>2024E</v>
      </c>
      <c r="N7" s="265" t="str">
        <f t="shared" si="1"/>
        <v>2025E</v>
      </c>
      <c r="O7" s="265" t="str">
        <f t="shared" si="1"/>
        <v>2026E</v>
      </c>
      <c r="P7" s="265" t="str">
        <f t="shared" si="1"/>
        <v>23E-26E</v>
      </c>
    </row>
    <row r="8" spans="2:27" ht="12.6" thickTop="1">
      <c r="B8" s="5"/>
      <c r="C8" s="5"/>
      <c r="D8" s="5"/>
      <c r="E8" s="5"/>
      <c r="F8" s="5"/>
      <c r="G8" s="5"/>
      <c r="H8" s="5"/>
      <c r="I8" s="5"/>
      <c r="J8" s="5"/>
      <c r="K8" s="5"/>
      <c r="L8" s="5"/>
      <c r="M8" s="5"/>
      <c r="N8" s="5"/>
      <c r="S8" s="88"/>
      <c r="T8" s="42"/>
      <c r="U8" s="42"/>
      <c r="V8" s="42"/>
      <c r="W8" s="42"/>
      <c r="X8" s="42"/>
      <c r="Y8" s="42"/>
      <c r="Z8" s="42"/>
      <c r="AA8" s="42"/>
    </row>
    <row r="9" spans="2:27">
      <c r="B9" s="41" t="s">
        <v>87</v>
      </c>
      <c r="C9" s="285">
        <f>Prices!C82</f>
        <v>1388.6</v>
      </c>
      <c r="D9" s="535">
        <v>0</v>
      </c>
      <c r="E9" s="536">
        <v>0</v>
      </c>
      <c r="F9" s="536">
        <v>0</v>
      </c>
      <c r="G9" s="536">
        <v>0</v>
      </c>
      <c r="H9" s="249"/>
      <c r="I9" s="249"/>
      <c r="J9" s="5" t="s">
        <v>273</v>
      </c>
      <c r="L9" s="529">
        <f>'AGG ASIA CELLULAR'!D37</f>
        <v>2.0832818906884643</v>
      </c>
      <c r="M9" s="529">
        <f>'AGG ASIA CELLULAR'!E37</f>
        <v>1.9180381131180324</v>
      </c>
      <c r="N9" s="529">
        <f>'AGG ASIA CELLULAR'!F37</f>
        <v>1.6973984727138696</v>
      </c>
      <c r="O9" s="529">
        <f>'AGG ASIA CELLULAR'!G37</f>
        <v>1.4849146547081604</v>
      </c>
      <c r="P9" s="286">
        <f>'AGG ASIA CELLULAR'!H37</f>
        <v>5.2823672985303771E-2</v>
      </c>
      <c r="S9" s="88"/>
      <c r="T9" s="42"/>
      <c r="U9" s="42"/>
      <c r="V9" s="42"/>
      <c r="W9" s="42"/>
      <c r="X9" s="42"/>
      <c r="Y9" s="42"/>
      <c r="Z9" s="42"/>
      <c r="AA9" s="42"/>
    </row>
    <row r="10" spans="2:27">
      <c r="B10" s="5" t="s">
        <v>274</v>
      </c>
      <c r="C10" s="5"/>
      <c r="D10" s="531">
        <v>6047</v>
      </c>
      <c r="E10" s="531">
        <v>6047</v>
      </c>
      <c r="F10" s="531">
        <v>6047</v>
      </c>
      <c r="G10" s="531">
        <v>6047</v>
      </c>
      <c r="H10" s="247"/>
      <c r="I10" s="247"/>
      <c r="J10" s="5" t="s">
        <v>184</v>
      </c>
      <c r="L10" s="529">
        <f>'AGG ASIA CELLULAR'!D38</f>
        <v>6.3578764048835863</v>
      </c>
      <c r="M10" s="529">
        <f>'AGG ASIA CELLULAR'!E38</f>
        <v>5.8349432944863064</v>
      </c>
      <c r="N10" s="529">
        <f>'AGG ASIA CELLULAR'!F38</f>
        <v>5.103853656504258</v>
      </c>
      <c r="O10" s="529">
        <f>'AGG ASIA CELLULAR'!G38</f>
        <v>4.4165179955724438</v>
      </c>
      <c r="P10" s="286">
        <f>'AGG ASIA CELLULAR'!H38</f>
        <v>6.1901299000113985E-2</v>
      </c>
      <c r="S10" s="88"/>
      <c r="T10" s="42"/>
      <c r="U10" s="42"/>
      <c r="V10" s="42"/>
      <c r="W10" s="288"/>
      <c r="X10" s="288"/>
      <c r="Y10" s="288"/>
      <c r="Z10" s="288"/>
      <c r="AA10" s="42"/>
    </row>
    <row r="11" spans="2:27">
      <c r="B11" s="41" t="s">
        <v>275</v>
      </c>
      <c r="C11" s="5"/>
      <c r="D11" s="532">
        <f>$C$9*D10</f>
        <v>8396864.1999999993</v>
      </c>
      <c r="E11" s="532">
        <f>$C$9*E10</f>
        <v>8396864.1999999993</v>
      </c>
      <c r="F11" s="532">
        <f>$C$9*F10</f>
        <v>8396864.1999999993</v>
      </c>
      <c r="G11" s="532">
        <f>$C$9*G10</f>
        <v>8396864.1999999993</v>
      </c>
      <c r="H11" s="249"/>
      <c r="I11" s="249"/>
      <c r="J11" s="5" t="s">
        <v>185</v>
      </c>
      <c r="L11" s="529">
        <f>'AGG ASIA CELLULAR'!D39</f>
        <v>12.256315794878686</v>
      </c>
      <c r="M11" s="529">
        <f>'AGG ASIA CELLULAR'!E39</f>
        <v>10.532349001792122</v>
      </c>
      <c r="N11" s="529">
        <f>'AGG ASIA CELLULAR'!F39</f>
        <v>8.8097379743624202</v>
      </c>
      <c r="O11" s="529">
        <f>'AGG ASIA CELLULAR'!G39</f>
        <v>7.3400525025099741</v>
      </c>
      <c r="P11" s="286">
        <f>'AGG ASIA CELLULAR'!H39</f>
        <v>0.11573327430771596</v>
      </c>
      <c r="S11" s="88"/>
      <c r="T11" s="42"/>
      <c r="U11" s="42"/>
      <c r="V11" s="42"/>
      <c r="W11" s="288"/>
      <c r="X11" s="288"/>
      <c r="Y11" s="288"/>
      <c r="Z11" s="288"/>
      <c r="AA11" s="42"/>
    </row>
    <row r="12" spans="2:27">
      <c r="B12" s="5" t="s">
        <v>24</v>
      </c>
      <c r="C12" s="249"/>
      <c r="D12" s="533">
        <v>2046461</v>
      </c>
      <c r="E12" s="533">
        <v>1795593.444468796</v>
      </c>
      <c r="F12" s="533">
        <v>1486726.0638948218</v>
      </c>
      <c r="G12" s="533">
        <v>1104691.7838755336</v>
      </c>
      <c r="H12" s="247"/>
      <c r="I12" s="247"/>
      <c r="J12" s="5" t="s">
        <v>466</v>
      </c>
      <c r="L12" s="529">
        <f>'AGG ASIA CELLULAR'!D40</f>
        <v>15.951300793811486</v>
      </c>
      <c r="M12" s="529">
        <f>'AGG ASIA CELLULAR'!E40</f>
        <v>13.847183646795452</v>
      </c>
      <c r="N12" s="529">
        <f>'AGG ASIA CELLULAR'!F40</f>
        <v>11.626709680654198</v>
      </c>
      <c r="O12" s="529">
        <f>'AGG ASIA CELLULAR'!G40</f>
        <v>9.7078389032116537</v>
      </c>
      <c r="P12" s="286">
        <f>'AGG ASIA CELLULAR'!H40</f>
        <v>0.10976572550111241</v>
      </c>
      <c r="S12" s="88"/>
      <c r="T12" s="42"/>
      <c r="U12" s="42"/>
      <c r="V12" s="42"/>
      <c r="W12" s="288"/>
      <c r="X12" s="288"/>
      <c r="Y12" s="288"/>
      <c r="Z12" s="288"/>
      <c r="AA12" s="42"/>
    </row>
    <row r="13" spans="2:27">
      <c r="B13" s="5" t="s">
        <v>529</v>
      </c>
      <c r="C13" s="257"/>
      <c r="D13" s="533">
        <v>0</v>
      </c>
      <c r="E13" s="533">
        <v>0</v>
      </c>
      <c r="F13" s="533">
        <v>0</v>
      </c>
      <c r="G13" s="533">
        <v>0</v>
      </c>
      <c r="H13" s="247"/>
      <c r="I13" s="247"/>
      <c r="J13" s="5" t="s">
        <v>530</v>
      </c>
      <c r="L13" s="529">
        <f>'AGG ASIA CELLULAR'!D41</f>
        <v>1.4274445412547272</v>
      </c>
      <c r="M13" s="529">
        <f>'AGG ASIA CELLULAR'!E41</f>
        <v>1.4179696737537477</v>
      </c>
      <c r="N13" s="529">
        <f>'AGG ASIA CELLULAR'!F41</f>
        <v>1.3450707920768976</v>
      </c>
      <c r="O13" s="529">
        <f>'AGG ASIA CELLULAR'!G41</f>
        <v>1.2618986136137988</v>
      </c>
      <c r="P13" s="286">
        <f>'AGG ASIA CELLULAR'!H41</f>
        <v>-2.0092563683029918E-2</v>
      </c>
      <c r="S13" s="88"/>
      <c r="T13" s="42"/>
      <c r="U13" s="42"/>
      <c r="V13" s="42"/>
      <c r="W13" s="42"/>
      <c r="X13" s="42"/>
      <c r="Y13" s="42"/>
      <c r="Z13" s="42"/>
      <c r="AA13" s="42"/>
    </row>
    <row r="14" spans="2:27">
      <c r="B14" s="5" t="s">
        <v>532</v>
      </c>
      <c r="C14" s="257"/>
      <c r="D14" s="538">
        <v>0</v>
      </c>
      <c r="E14" s="530">
        <f t="shared" ref="E14:G15" si="2">D14</f>
        <v>0</v>
      </c>
      <c r="F14" s="530">
        <f t="shared" si="2"/>
        <v>0</v>
      </c>
      <c r="G14" s="530">
        <f t="shared" si="2"/>
        <v>0</v>
      </c>
      <c r="H14" s="247"/>
      <c r="I14" s="247"/>
      <c r="J14" s="5" t="s">
        <v>593</v>
      </c>
      <c r="L14" s="529">
        <f>'AGG ASIA CELLULAR'!D42</f>
        <v>2.9130695199933734</v>
      </c>
      <c r="M14" s="529">
        <f>'AGG ASIA CELLULAR'!E42</f>
        <v>2.8146219035099969</v>
      </c>
      <c r="N14" s="529">
        <f>'AGG ASIA CELLULAR'!F42</f>
        <v>2.5888583636405476</v>
      </c>
      <c r="O14" s="529">
        <f>'AGG ASIA CELLULAR'!G42</f>
        <v>2.3605815546209548</v>
      </c>
      <c r="P14" s="286">
        <f>'AGG ASIA CELLULAR'!H42</f>
        <v>8.7512202951403051E-3</v>
      </c>
      <c r="S14" s="88"/>
      <c r="T14" s="42"/>
      <c r="U14" s="42"/>
      <c r="V14" s="42"/>
      <c r="W14" s="42"/>
      <c r="X14" s="42"/>
      <c r="Y14" s="42"/>
      <c r="Z14" s="42"/>
      <c r="AA14" s="42"/>
    </row>
    <row r="15" spans="2:27">
      <c r="B15" s="5" t="s">
        <v>531</v>
      </c>
      <c r="C15" s="274"/>
      <c r="D15" s="533">
        <f>BHARTSOP!T20</f>
        <v>894903.04037411837</v>
      </c>
      <c r="E15" s="533">
        <f t="shared" si="2"/>
        <v>894903.04037411837</v>
      </c>
      <c r="F15" s="533">
        <f t="shared" si="2"/>
        <v>894903.04037411837</v>
      </c>
      <c r="G15" s="533">
        <f t="shared" si="2"/>
        <v>894903.04037411837</v>
      </c>
      <c r="H15" s="247"/>
      <c r="I15" s="247"/>
      <c r="J15" s="5" t="s">
        <v>475</v>
      </c>
      <c r="L15" s="529">
        <f>'AGG ASIA CELLULAR'!D43</f>
        <v>19.278364274513134</v>
      </c>
      <c r="M15" s="529">
        <f>'AGG ASIA CELLULAR'!E43</f>
        <v>15.523038202411636</v>
      </c>
      <c r="N15" s="529">
        <f>'AGG ASIA CELLULAR'!F43</f>
        <v>13.257386088679914</v>
      </c>
      <c r="O15" s="529">
        <f>'AGG ASIA CELLULAR'!G43</f>
        <v>11.466142328229227</v>
      </c>
      <c r="P15" s="286">
        <f>'AGG ASIA CELLULAR'!H43</f>
        <v>0.18831027118838706</v>
      </c>
      <c r="S15" s="88"/>
      <c r="T15" s="42"/>
      <c r="U15" s="42"/>
      <c r="V15" s="42"/>
      <c r="W15" s="42"/>
      <c r="X15" s="42"/>
      <c r="Y15" s="42"/>
      <c r="Z15" s="42"/>
      <c r="AA15" s="42"/>
    </row>
    <row r="16" spans="2:27">
      <c r="B16" s="5" t="s">
        <v>534</v>
      </c>
      <c r="C16" s="257"/>
      <c r="D16" s="533">
        <v>0</v>
      </c>
      <c r="E16" s="533">
        <v>0</v>
      </c>
      <c r="F16" s="533">
        <v>120940</v>
      </c>
      <c r="G16" s="533">
        <v>244903.5</v>
      </c>
      <c r="H16" s="247"/>
      <c r="I16" s="247"/>
      <c r="J16" s="5" t="s">
        <v>533</v>
      </c>
      <c r="L16" s="529">
        <f>'AGG ASIA CELLULAR'!D44</f>
        <v>20.50009040888548</v>
      </c>
      <c r="M16" s="529">
        <f>'AGG ASIA CELLULAR'!E44</f>
        <v>17.31807909095523</v>
      </c>
      <c r="N16" s="529">
        <f>'AGG ASIA CELLULAR'!F44</f>
        <v>14.883294016253318</v>
      </c>
      <c r="O16" s="529">
        <f>'AGG ASIA CELLULAR'!G44</f>
        <v>13.16548576425039</v>
      </c>
      <c r="P16" s="286">
        <f>'AGG ASIA CELLULAR'!H44</f>
        <v>0.15839482711139796</v>
      </c>
      <c r="S16" s="88"/>
      <c r="T16" s="42"/>
      <c r="U16" s="42"/>
      <c r="V16" s="42"/>
      <c r="W16" s="42"/>
      <c r="X16" s="42"/>
      <c r="Y16" s="42"/>
      <c r="Z16" s="42"/>
      <c r="AA16" s="42"/>
    </row>
    <row r="17" spans="2:27">
      <c r="B17" s="5" t="s">
        <v>6</v>
      </c>
      <c r="C17" s="257"/>
      <c r="D17" s="533">
        <v>0</v>
      </c>
      <c r="E17" s="533">
        <v>0</v>
      </c>
      <c r="F17" s="533">
        <v>0</v>
      </c>
      <c r="G17" s="533">
        <v>0</v>
      </c>
      <c r="H17" s="247"/>
      <c r="I17" s="247"/>
      <c r="J17" s="5" t="s">
        <v>580</v>
      </c>
      <c r="L17" s="248">
        <f>'AGG ASIA CELLULAR'!D45</f>
        <v>4.174038595528512E-2</v>
      </c>
      <c r="M17" s="248">
        <f>'AGG ASIA CELLULAR'!E45</f>
        <v>4.4792872771489058E-2</v>
      </c>
      <c r="N17" s="248">
        <f>'AGG ASIA CELLULAR'!F45</f>
        <v>5.1203391440393167E-2</v>
      </c>
      <c r="O17" s="248">
        <f>'AGG ASIA CELLULAR'!G45</f>
        <v>5.7913719466381006E-2</v>
      </c>
      <c r="P17" s="286">
        <f>'AGG ASIA CELLULAR'!H45</f>
        <v>0.11470165475568339</v>
      </c>
      <c r="S17" s="88"/>
      <c r="T17" s="42"/>
      <c r="U17" s="42"/>
      <c r="V17" s="42"/>
      <c r="W17" s="42"/>
      <c r="X17" s="42"/>
      <c r="Y17" s="42"/>
      <c r="Z17" s="42"/>
      <c r="AA17" s="42"/>
    </row>
    <row r="18" spans="2:27" ht="12.6" thickBot="1">
      <c r="B18" s="41" t="s">
        <v>583</v>
      </c>
      <c r="C18" s="249"/>
      <c r="D18" s="534">
        <f>D11+D12+D13-D14+D15-D16-D17</f>
        <v>11338228.240374118</v>
      </c>
      <c r="E18" s="534">
        <f>E11+E12+E13-E14+E15-E16-E17</f>
        <v>11087360.684842914</v>
      </c>
      <c r="F18" s="534">
        <f>F11+F12+F13-F14+F15-F16-F17</f>
        <v>10657553.304268939</v>
      </c>
      <c r="G18" s="534">
        <f>G11+G12+G13-G14+G15-G16-G17</f>
        <v>10151555.524249652</v>
      </c>
      <c r="H18" s="276">
        <f>IF(D18=0,"nm",IF(G18=0,"nm",(G18/D18)^(1/3)-1))</f>
        <v>-3.6180297983097409E-2</v>
      </c>
      <c r="I18" s="254"/>
      <c r="J18" s="5" t="s">
        <v>36</v>
      </c>
      <c r="L18" s="248" t="e">
        <f>'AGG ASIA CELLULAR'!D46</f>
        <v>#VALUE!</v>
      </c>
      <c r="M18" s="248" t="e">
        <f>'AGG ASIA CELLULAR'!E46</f>
        <v>#VALUE!</v>
      </c>
      <c r="N18" s="248" t="e">
        <f>'AGG ASIA CELLULAR'!F46</f>
        <v>#VALUE!</v>
      </c>
      <c r="O18" s="248" t="e">
        <f>'AGG ASIA CELLULAR'!G46</f>
        <v>#VALUE!</v>
      </c>
      <c r="P18" s="286" t="e">
        <f>'AGG ASIA CELLULAR'!H46</f>
        <v>#VALUE!</v>
      </c>
      <c r="S18" s="88"/>
      <c r="T18" s="42"/>
      <c r="U18" s="42"/>
      <c r="V18" s="42"/>
      <c r="W18" s="42"/>
      <c r="X18" s="42"/>
      <c r="Y18" s="42"/>
      <c r="Z18" s="42"/>
      <c r="AA18" s="42"/>
    </row>
    <row r="19" spans="2:27" ht="12.6" thickTop="1">
      <c r="B19" s="41"/>
      <c r="C19" s="249"/>
      <c r="D19" s="229"/>
      <c r="E19" s="229"/>
      <c r="F19" s="229"/>
      <c r="G19" s="229"/>
      <c r="H19" s="276"/>
      <c r="I19" s="254"/>
      <c r="J19" s="5" t="s">
        <v>581</v>
      </c>
      <c r="L19" s="248">
        <f>'AGG ASIA CELLULAR'!D47</f>
        <v>5.1871620732991598E-2</v>
      </c>
      <c r="M19" s="248">
        <f>'AGG ASIA CELLULAR'!E47</f>
        <v>6.4420378727447922E-2</v>
      </c>
      <c r="N19" s="248">
        <f>'AGG ASIA CELLULAR'!F47</f>
        <v>7.5429650559386677E-2</v>
      </c>
      <c r="O19" s="248">
        <f>'AGG ASIA CELLULAR'!G47</f>
        <v>8.7213290344219457E-2</v>
      </c>
      <c r="P19" s="286">
        <f>'AGG ASIA CELLULAR'!H47</f>
        <v>0.18831027118838706</v>
      </c>
      <c r="S19" s="88"/>
      <c r="T19" s="42"/>
      <c r="U19" s="42"/>
      <c r="V19" s="42"/>
      <c r="W19" s="42"/>
      <c r="X19" s="42"/>
      <c r="Y19" s="42"/>
      <c r="Z19" s="42"/>
      <c r="AA19" s="42"/>
    </row>
    <row r="20" spans="2:27">
      <c r="H20" s="277"/>
      <c r="I20" s="17"/>
      <c r="J20" s="5" t="s">
        <v>604</v>
      </c>
      <c r="L20" s="305">
        <f>'AGG ASIA CELLULAR'!D48</f>
        <v>0.92045377326476352</v>
      </c>
      <c r="M20" s="305">
        <f>'AGG ASIA CELLULAR'!E48</f>
        <v>0.79490390762892493</v>
      </c>
      <c r="N20" s="305">
        <f>'AGG ASIA CELLULAR'!F48</f>
        <v>0.7763724496707467</v>
      </c>
      <c r="O20" s="305">
        <f>'AGG ASIA CELLULAR'!G48</f>
        <v>0.75978089170129071</v>
      </c>
      <c r="P20" s="286" t="str">
        <f>'AGG ASIA CELLULAR'!H48</f>
        <v>nm</v>
      </c>
      <c r="S20" s="88"/>
      <c r="T20" s="42"/>
      <c r="U20" s="42"/>
      <c r="V20" s="42"/>
      <c r="W20" s="42"/>
      <c r="X20" s="42"/>
      <c r="Y20" s="42"/>
      <c r="Z20" s="42"/>
      <c r="AA20" s="42"/>
    </row>
    <row r="21" spans="2:27" ht="12.6" thickBot="1">
      <c r="B21" s="306" t="s">
        <v>929</v>
      </c>
      <c r="C21" s="265"/>
      <c r="D21" s="265" t="str">
        <f>D5</f>
        <v>2023E</v>
      </c>
      <c r="E21" s="265" t="str">
        <f t="shared" ref="E21:H21" si="3">E5</f>
        <v>2024E</v>
      </c>
      <c r="F21" s="265" t="str">
        <f t="shared" si="3"/>
        <v>2025E</v>
      </c>
      <c r="G21" s="265" t="str">
        <f t="shared" si="3"/>
        <v>2026E</v>
      </c>
      <c r="H21" s="265" t="str">
        <f t="shared" si="3"/>
        <v>23E-26E</v>
      </c>
      <c r="I21" s="49"/>
      <c r="J21" s="41"/>
      <c r="L21" s="250"/>
      <c r="M21" s="250"/>
      <c r="N21" s="250"/>
      <c r="O21" s="250"/>
      <c r="P21" s="286"/>
      <c r="S21" s="88"/>
      <c r="T21" s="42"/>
      <c r="U21" s="42"/>
      <c r="V21" s="42"/>
      <c r="W21" s="42"/>
      <c r="X21" s="42"/>
      <c r="Y21" s="42"/>
      <c r="Z21" s="42"/>
      <c r="AA21" s="42"/>
    </row>
    <row r="22" spans="2:27" ht="12.6" thickTop="1">
      <c r="B22" s="5"/>
      <c r="C22" s="257"/>
      <c r="D22" s="17"/>
      <c r="E22" s="17"/>
      <c r="F22" s="17"/>
      <c r="G22" s="17"/>
      <c r="H22" s="17"/>
      <c r="I22" s="17"/>
      <c r="P22" s="277"/>
      <c r="S22" s="88"/>
      <c r="T22" s="42"/>
      <c r="U22" s="42"/>
      <c r="V22" s="42"/>
      <c r="W22" s="42"/>
      <c r="X22" s="42"/>
      <c r="Y22" s="42"/>
      <c r="Z22" s="42"/>
      <c r="AA22" s="42"/>
    </row>
    <row r="23" spans="2:27" ht="12.6" thickBot="1">
      <c r="B23" s="5" t="s">
        <v>584</v>
      </c>
      <c r="C23" s="548">
        <v>1400814</v>
      </c>
      <c r="D23" s="540">
        <v>1514178</v>
      </c>
      <c r="E23" s="540">
        <v>1698558.0091180783</v>
      </c>
      <c r="F23" s="540">
        <v>1951795.2743559789</v>
      </c>
      <c r="G23" s="540">
        <v>2223267.5914594317</v>
      </c>
      <c r="H23" s="279">
        <f t="shared" ref="H23:H32" si="4">IF(D23=0,"nm",IF(G23=0,"nm",(G23/D23)^(1/3)-1))</f>
        <v>0.13659289046180012</v>
      </c>
      <c r="I23" s="247"/>
      <c r="J23" s="306" t="s">
        <v>9</v>
      </c>
      <c r="K23" s="306"/>
      <c r="L23" s="265" t="str">
        <f>D21</f>
        <v>2023E</v>
      </c>
      <c r="M23" s="265" t="str">
        <f t="shared" ref="M23:P23" si="5">E21</f>
        <v>2024E</v>
      </c>
      <c r="N23" s="265" t="str">
        <f t="shared" si="5"/>
        <v>2025E</v>
      </c>
      <c r="O23" s="265" t="str">
        <f t="shared" si="5"/>
        <v>2026E</v>
      </c>
      <c r="P23" s="265" t="str">
        <f t="shared" si="5"/>
        <v>23E-26E</v>
      </c>
      <c r="S23" s="88"/>
      <c r="T23" s="42"/>
      <c r="U23" s="42"/>
      <c r="V23" s="42"/>
      <c r="W23" s="42"/>
      <c r="X23" s="42"/>
      <c r="Y23" s="42"/>
      <c r="Z23" s="42"/>
      <c r="AA23" s="42"/>
    </row>
    <row r="24" spans="2:27" ht="12.6" thickTop="1">
      <c r="B24" s="5" t="s">
        <v>483</v>
      </c>
      <c r="C24" s="549">
        <v>717330.54708857101</v>
      </c>
      <c r="D24" s="540">
        <v>790458.16848928644</v>
      </c>
      <c r="E24" s="540">
        <v>903344.79373470007</v>
      </c>
      <c r="F24" s="540">
        <v>1054746.3036419598</v>
      </c>
      <c r="G24" s="540">
        <v>1211517.2379437531</v>
      </c>
      <c r="H24" s="279">
        <f t="shared" si="4"/>
        <v>0.15296706595857801</v>
      </c>
      <c r="I24" s="249"/>
      <c r="J24" s="17"/>
      <c r="K24" s="17"/>
      <c r="L24" s="17"/>
      <c r="M24" s="17"/>
      <c r="N24" s="17"/>
      <c r="O24" s="248"/>
      <c r="S24" s="88"/>
      <c r="T24" s="42"/>
      <c r="U24" s="42"/>
      <c r="V24" s="42"/>
      <c r="W24" s="42" t="s">
        <v>570</v>
      </c>
      <c r="X24" s="42" t="s">
        <v>257</v>
      </c>
      <c r="Y24" s="42"/>
      <c r="Z24" s="42"/>
      <c r="AA24" s="42"/>
    </row>
    <row r="25" spans="2:27">
      <c r="B25" s="5" t="s">
        <v>183</v>
      </c>
      <c r="C25" s="548">
        <v>376898.01190905657</v>
      </c>
      <c r="D25" s="540">
        <v>395636.98829647427</v>
      </c>
      <c r="E25" s="540">
        <v>529390.89440867445</v>
      </c>
      <c r="F25" s="540">
        <v>675554.55295517296</v>
      </c>
      <c r="G25" s="540">
        <v>837480.24008662906</v>
      </c>
      <c r="H25" s="279">
        <f t="shared" si="4"/>
        <v>0.28398286260087913</v>
      </c>
      <c r="I25" s="248"/>
      <c r="J25" s="247" t="s">
        <v>10</v>
      </c>
      <c r="K25" s="247"/>
      <c r="L25" s="321">
        <v>0</v>
      </c>
      <c r="M25" s="321">
        <v>0</v>
      </c>
      <c r="N25" s="321">
        <v>0</v>
      </c>
      <c r="O25" s="321">
        <v>0</v>
      </c>
      <c r="P25" s="279" t="str">
        <f>IF(L25=0,"nm",IF(O25=0,"nm",(O25/L25)^(1/3)-1))</f>
        <v>nm</v>
      </c>
      <c r="S25" s="88"/>
      <c r="T25" s="42"/>
      <c r="U25" s="42"/>
      <c r="V25" s="147" t="s">
        <v>273</v>
      </c>
      <c r="W25" s="288">
        <f>D37/L9</f>
        <v>3.5943488438932305</v>
      </c>
      <c r="X25" s="288">
        <v>1</v>
      </c>
      <c r="Y25" s="42"/>
      <c r="Z25" s="42"/>
      <c r="AA25" s="42"/>
    </row>
    <row r="26" spans="2:27">
      <c r="B26" s="5" t="s">
        <v>586</v>
      </c>
      <c r="C26" s="548">
        <v>301518.40952724527</v>
      </c>
      <c r="D26" s="540">
        <v>316509.59063717944</v>
      </c>
      <c r="E26" s="540">
        <v>423512.7155269396</v>
      </c>
      <c r="F26" s="540">
        <v>540443.64236413839</v>
      </c>
      <c r="G26" s="540">
        <v>669984.19206930324</v>
      </c>
      <c r="H26" s="279">
        <f t="shared" si="4"/>
        <v>0.28398286260087913</v>
      </c>
      <c r="I26" s="249"/>
      <c r="J26" s="249" t="s">
        <v>11</v>
      </c>
      <c r="K26" s="249"/>
      <c r="L26" s="281">
        <f>D11+L25</f>
        <v>8396864.1999999993</v>
      </c>
      <c r="M26" s="281">
        <f>E11+M25</f>
        <v>8396864.1999999993</v>
      </c>
      <c r="N26" s="281">
        <f>F11+N25</f>
        <v>8396864.1999999993</v>
      </c>
      <c r="O26" s="281">
        <f>G11+O25</f>
        <v>8396864.1999999993</v>
      </c>
      <c r="P26" s="279">
        <f>IF(L26=0,"nm",IF(O26=0,"nm",(O26/L26)^(1/3)-1))</f>
        <v>0</v>
      </c>
      <c r="Q26" s="5"/>
      <c r="S26" s="88"/>
      <c r="T26" s="42"/>
      <c r="U26" s="42"/>
      <c r="V26" s="147" t="s">
        <v>184</v>
      </c>
      <c r="W26" s="288">
        <f t="shared" ref="W26:W33" si="6">D38/L10</f>
        <v>2.2560785804628005</v>
      </c>
      <c r="X26" s="288">
        <v>1</v>
      </c>
      <c r="Y26" s="42"/>
      <c r="Z26" s="42"/>
      <c r="AA26" s="42"/>
    </row>
    <row r="27" spans="2:27">
      <c r="B27" s="5" t="s">
        <v>587</v>
      </c>
      <c r="C27" s="549">
        <v>2906893.891177</v>
      </c>
      <c r="D27" s="540">
        <v>2866649.7375125196</v>
      </c>
      <c r="E27" s="540">
        <v>2804978.0345506836</v>
      </c>
      <c r="F27" s="540">
        <v>2717112.4563159528</v>
      </c>
      <c r="G27" s="540">
        <v>2610314.3744879141</v>
      </c>
      <c r="H27" s="279">
        <f t="shared" si="4"/>
        <v>-3.0741999675800602E-2</v>
      </c>
      <c r="I27" s="249"/>
      <c r="J27" s="248"/>
      <c r="K27" s="248"/>
      <c r="L27" s="248"/>
      <c r="M27" s="248"/>
      <c r="N27" s="248"/>
      <c r="O27" s="248"/>
      <c r="Q27" s="41"/>
      <c r="S27" s="88"/>
      <c r="T27" s="42"/>
      <c r="U27" s="42"/>
      <c r="V27" s="147" t="s">
        <v>185</v>
      </c>
      <c r="W27" s="288">
        <f t="shared" si="6"/>
        <v>2.3382361227293798</v>
      </c>
      <c r="X27" s="288">
        <v>1</v>
      </c>
      <c r="Y27" s="42"/>
      <c r="Z27" s="42"/>
      <c r="AA27" s="42"/>
    </row>
    <row r="28" spans="2:27" ht="12.6" thickBot="1">
      <c r="B28" s="5" t="s">
        <v>592</v>
      </c>
      <c r="C28" s="548">
        <v>1609000</v>
      </c>
      <c r="D28" s="540">
        <v>1714565</v>
      </c>
      <c r="E28" s="540">
        <v>1663971.7960534287</v>
      </c>
      <c r="F28" s="540">
        <v>1599034.4631856899</v>
      </c>
      <c r="G28" s="540">
        <v>1507226.7700654801</v>
      </c>
      <c r="H28" s="279">
        <f t="shared" si="4"/>
        <v>-4.2052852985401845E-2</v>
      </c>
      <c r="I28" s="248"/>
      <c r="J28" s="306" t="s">
        <v>1362</v>
      </c>
      <c r="K28" s="306"/>
      <c r="L28" s="306"/>
      <c r="M28" s="306"/>
      <c r="N28" s="266"/>
      <c r="O28" s="266"/>
      <c r="P28" s="266"/>
      <c r="Q28" s="5"/>
      <c r="S28" s="88"/>
      <c r="T28" s="42"/>
      <c r="U28" s="42"/>
      <c r="V28" s="147" t="s">
        <v>466</v>
      </c>
      <c r="W28" s="288">
        <f t="shared" si="6"/>
        <v>2.2457541781077115</v>
      </c>
      <c r="X28" s="288">
        <v>1</v>
      </c>
      <c r="Y28" s="42"/>
      <c r="Z28" s="42"/>
      <c r="AA28" s="42"/>
    </row>
    <row r="29" spans="2:27" ht="12.6" thickTop="1">
      <c r="B29" s="5" t="s">
        <v>588</v>
      </c>
      <c r="C29" s="548">
        <v>114042.46482048556</v>
      </c>
      <c r="D29" s="540">
        <v>150947.81980718783</v>
      </c>
      <c r="E29" s="540">
        <v>250244.08172343869</v>
      </c>
      <c r="F29" s="540">
        <v>368330.83541448269</v>
      </c>
      <c r="G29" s="540">
        <v>504268.87506145943</v>
      </c>
      <c r="H29" s="279">
        <f t="shared" si="4"/>
        <v>0.49489872946611912</v>
      </c>
      <c r="I29" s="252"/>
      <c r="J29" s="249"/>
      <c r="K29" s="249"/>
      <c r="L29" s="249"/>
      <c r="M29" s="249"/>
      <c r="N29" s="249"/>
      <c r="O29" s="251"/>
      <c r="Q29" s="5"/>
      <c r="S29" s="88"/>
      <c r="T29" s="42"/>
      <c r="U29" s="42"/>
      <c r="V29" s="147" t="s">
        <v>530</v>
      </c>
      <c r="W29" s="288">
        <f t="shared" si="6"/>
        <v>2.7708391752651198</v>
      </c>
      <c r="X29" s="288">
        <v>1</v>
      </c>
      <c r="Y29" s="42"/>
      <c r="Z29" s="42"/>
      <c r="AA29" s="42"/>
    </row>
    <row r="30" spans="2:27">
      <c r="B30" s="5" t="s">
        <v>589</v>
      </c>
      <c r="C30" s="549">
        <v>90157</v>
      </c>
      <c r="D30" s="540">
        <v>150393</v>
      </c>
      <c r="E30" s="540">
        <v>199650.87777686754</v>
      </c>
      <c r="F30" s="540">
        <v>303393.50254674384</v>
      </c>
      <c r="G30" s="540">
        <v>412461.18194124958</v>
      </c>
      <c r="H30" s="279">
        <f t="shared" si="4"/>
        <v>0.39975433052608622</v>
      </c>
      <c r="I30" s="254"/>
      <c r="J30" s="248"/>
      <c r="K30" s="248"/>
      <c r="L30" s="248"/>
      <c r="M30" s="248"/>
      <c r="N30" s="248"/>
      <c r="O30" s="5"/>
      <c r="Q30" s="5"/>
      <c r="S30" s="88"/>
      <c r="T30" s="42"/>
      <c r="U30" s="42"/>
      <c r="V30" s="147" t="s">
        <v>593</v>
      </c>
      <c r="W30" s="288">
        <f t="shared" si="6"/>
        <v>2.2700759725478652</v>
      </c>
      <c r="X30" s="288">
        <v>1</v>
      </c>
      <c r="Y30" s="42"/>
      <c r="Z30" s="42"/>
      <c r="AA30" s="42"/>
    </row>
    <row r="31" spans="2:27">
      <c r="B31" s="5" t="s">
        <v>590</v>
      </c>
      <c r="C31" s="549">
        <v>23868</v>
      </c>
      <c r="D31" s="540">
        <v>48376</v>
      </c>
      <c r="E31" s="540">
        <v>120940</v>
      </c>
      <c r="F31" s="540">
        <v>181410</v>
      </c>
      <c r="G31" s="540">
        <v>258999.36431060266</v>
      </c>
      <c r="H31" s="279">
        <f t="shared" si="4"/>
        <v>0.74940184755137995</v>
      </c>
      <c r="I31" s="254"/>
      <c r="J31" s="252"/>
      <c r="K31" s="252"/>
      <c r="L31" s="252"/>
      <c r="M31" s="252"/>
      <c r="N31" s="252"/>
      <c r="O31" s="5"/>
      <c r="Q31" s="5"/>
      <c r="S31" s="88"/>
      <c r="T31" s="42"/>
      <c r="U31" s="42"/>
      <c r="V31" s="147" t="s">
        <v>475</v>
      </c>
      <c r="W31" s="288">
        <f t="shared" si="6"/>
        <v>2.8854935148132195</v>
      </c>
      <c r="X31" s="288">
        <v>1</v>
      </c>
      <c r="Y31" s="42"/>
      <c r="Z31" s="42"/>
      <c r="AA31" s="42"/>
    </row>
    <row r="32" spans="2:27">
      <c r="B32" s="5" t="s">
        <v>606</v>
      </c>
      <c r="C32" s="550">
        <v>0</v>
      </c>
      <c r="D32" s="540">
        <v>0</v>
      </c>
      <c r="E32" s="540">
        <v>-377273.22501414153</v>
      </c>
      <c r="F32" s="540">
        <v>0</v>
      </c>
      <c r="G32" s="540">
        <v>-63106</v>
      </c>
      <c r="H32" s="279" t="str">
        <f t="shared" si="4"/>
        <v>nm</v>
      </c>
      <c r="I32" s="254"/>
      <c r="J32" s="254"/>
      <c r="K32" s="254"/>
      <c r="L32" s="254"/>
      <c r="M32" s="254"/>
      <c r="N32" s="254"/>
      <c r="O32" s="251"/>
      <c r="Q32" s="5"/>
      <c r="S32" s="88"/>
      <c r="T32" s="42"/>
      <c r="U32" s="42"/>
      <c r="V32" s="147" t="s">
        <v>533</v>
      </c>
      <c r="W32" s="288">
        <f t="shared" si="6"/>
        <v>2.7235398275706881</v>
      </c>
      <c r="X32" s="288">
        <v>1</v>
      </c>
      <c r="Y32" s="42"/>
      <c r="Z32" s="42"/>
      <c r="AA32" s="42"/>
    </row>
    <row r="33" spans="2:27">
      <c r="B33" s="5" t="s">
        <v>5</v>
      </c>
      <c r="C33" s="549">
        <v>189918.87022993001</v>
      </c>
      <c r="D33" s="540">
        <v>219983.85066838801</v>
      </c>
      <c r="E33" s="540">
        <v>215210.35104173672</v>
      </c>
      <c r="F33" s="540">
        <v>204057.34673573013</v>
      </c>
      <c r="G33" s="540">
        <v>188802.57684141991</v>
      </c>
      <c r="H33" s="279">
        <f>IF(D33=0,"nm",IF(G33=0,"nm",(G33/D33)^(1/3)-1))</f>
        <v>-4.9674522485429362E-2</v>
      </c>
      <c r="I33" s="5"/>
      <c r="J33" s="254"/>
      <c r="K33" s="254"/>
      <c r="L33" s="254"/>
      <c r="M33" s="254"/>
      <c r="N33" s="254"/>
      <c r="O33" s="251"/>
      <c r="Q33" s="5"/>
      <c r="S33" s="88"/>
      <c r="T33" s="42"/>
      <c r="U33" s="42"/>
      <c r="V33" s="147" t="s">
        <v>580</v>
      </c>
      <c r="W33" s="288">
        <f t="shared" si="6"/>
        <v>0.13802455816829859</v>
      </c>
      <c r="X33" s="288">
        <v>1</v>
      </c>
      <c r="Y33" s="42"/>
      <c r="Z33" s="42"/>
      <c r="AA33" s="42"/>
    </row>
    <row r="34" spans="2:27">
      <c r="H34" s="277"/>
      <c r="I34" s="49"/>
      <c r="J34" s="254"/>
      <c r="K34" s="254"/>
      <c r="L34" s="254"/>
      <c r="M34" s="254"/>
      <c r="N34" s="254"/>
      <c r="O34" s="251"/>
      <c r="Q34" s="5"/>
      <c r="S34" s="88"/>
      <c r="T34" s="42"/>
      <c r="U34" s="42"/>
      <c r="V34" s="147" t="s">
        <v>581</v>
      </c>
      <c r="W34" s="288">
        <f>D47/L19</f>
        <v>0.34656116704692402</v>
      </c>
      <c r="X34" s="288">
        <v>1</v>
      </c>
      <c r="Y34" s="288"/>
      <c r="Z34" s="288"/>
      <c r="AA34" s="42"/>
    </row>
    <row r="35" spans="2:27" ht="12.6" thickBot="1">
      <c r="B35" s="306" t="s">
        <v>235</v>
      </c>
      <c r="C35" s="265"/>
      <c r="D35" s="265" t="str">
        <f>D5</f>
        <v>2023E</v>
      </c>
      <c r="E35" s="265" t="str">
        <f t="shared" ref="E35:H35" si="7">E5</f>
        <v>2024E</v>
      </c>
      <c r="F35" s="265" t="str">
        <f t="shared" si="7"/>
        <v>2025E</v>
      </c>
      <c r="G35" s="265" t="str">
        <f t="shared" si="7"/>
        <v>2026E</v>
      </c>
      <c r="H35" s="265" t="str">
        <f t="shared" si="7"/>
        <v>23E-26E</v>
      </c>
      <c r="I35" s="254"/>
      <c r="J35" s="5"/>
      <c r="K35" s="5"/>
      <c r="L35" s="5"/>
      <c r="M35" s="5"/>
      <c r="N35" s="5"/>
      <c r="O35" s="5"/>
      <c r="Q35" s="5"/>
      <c r="S35" s="88"/>
      <c r="T35" s="42"/>
      <c r="U35" s="42"/>
      <c r="V35" s="42"/>
      <c r="W35" s="288"/>
      <c r="X35" s="42"/>
      <c r="Y35" s="288"/>
      <c r="Z35" s="288"/>
      <c r="AA35" s="42"/>
    </row>
    <row r="36" spans="2:27" ht="12.6" thickTop="1">
      <c r="B36" s="41"/>
      <c r="C36" s="249"/>
      <c r="D36" s="254"/>
      <c r="E36" s="254"/>
      <c r="F36" s="254"/>
      <c r="G36" s="254"/>
      <c r="H36" s="254"/>
      <c r="I36" s="17"/>
      <c r="J36" s="49"/>
      <c r="K36" s="49"/>
      <c r="L36" s="49"/>
      <c r="M36" s="49"/>
      <c r="N36" s="49"/>
      <c r="O36" s="49"/>
      <c r="Q36" s="5"/>
      <c r="S36" s="88"/>
      <c r="T36" s="42"/>
      <c r="U36" s="42"/>
      <c r="V36" s="42"/>
      <c r="W36" s="42"/>
      <c r="X36" s="42"/>
      <c r="Y36" s="288"/>
      <c r="Z36" s="288"/>
      <c r="AA36" s="42"/>
    </row>
    <row r="37" spans="2:27">
      <c r="B37" s="5" t="s">
        <v>273</v>
      </c>
      <c r="C37" s="247"/>
      <c r="D37" s="529">
        <f>D$18/D23</f>
        <v>7.4880418552997847</v>
      </c>
      <c r="E37" s="529">
        <f t="shared" ref="E37:G41" si="8">E$18/E23</f>
        <v>6.5275137059344059</v>
      </c>
      <c r="F37" s="529">
        <f t="shared" si="8"/>
        <v>5.4603848284167729</v>
      </c>
      <c r="G37" s="529">
        <f t="shared" si="8"/>
        <v>4.5660520412596002</v>
      </c>
      <c r="H37" s="17">
        <f t="shared" ref="H37:H45" si="9">H23</f>
        <v>0.13659289046180012</v>
      </c>
      <c r="I37" s="5"/>
      <c r="J37" s="259"/>
      <c r="K37" s="259"/>
      <c r="L37" s="259"/>
      <c r="M37" s="259"/>
      <c r="N37" s="259"/>
      <c r="O37" s="18"/>
      <c r="Q37" s="5"/>
      <c r="R37" s="5"/>
      <c r="S37" s="42"/>
      <c r="T37" s="42"/>
      <c r="U37" s="42"/>
      <c r="V37" s="42"/>
      <c r="W37" s="42"/>
      <c r="X37" s="42"/>
      <c r="Y37" s="42"/>
      <c r="Z37" s="42"/>
      <c r="AA37" s="42"/>
    </row>
    <row r="38" spans="2:27">
      <c r="B38" s="5" t="s">
        <v>184</v>
      </c>
      <c r="C38" s="247"/>
      <c r="D38" s="529">
        <f>D$18/D24</f>
        <v>14.343868774287696</v>
      </c>
      <c r="E38" s="529">
        <f t="shared" si="8"/>
        <v>12.273675302875681</v>
      </c>
      <c r="F38" s="529">
        <f t="shared" si="8"/>
        <v>10.104376064148514</v>
      </c>
      <c r="G38" s="529">
        <f t="shared" si="8"/>
        <v>8.3792084885885512</v>
      </c>
      <c r="H38" s="17">
        <f t="shared" si="9"/>
        <v>0.15296706595857801</v>
      </c>
      <c r="I38" s="259"/>
      <c r="J38" s="17"/>
      <c r="K38" s="17"/>
      <c r="L38" s="17"/>
      <c r="M38" s="17"/>
      <c r="N38" s="17"/>
      <c r="O38" s="5"/>
      <c r="Q38" s="5"/>
      <c r="R38" s="5"/>
      <c r="S38" s="42"/>
      <c r="T38" s="42"/>
      <c r="U38" s="42"/>
      <c r="V38" s="42"/>
      <c r="W38" s="42"/>
      <c r="X38" s="42"/>
      <c r="Y38" s="42"/>
      <c r="Z38" s="42"/>
      <c r="AA38" s="42"/>
    </row>
    <row r="39" spans="2:27">
      <c r="B39" s="5" t="s">
        <v>185</v>
      </c>
      <c r="C39" s="247"/>
      <c r="D39" s="529">
        <f>D$18/D25</f>
        <v>28.658160323163997</v>
      </c>
      <c r="E39" s="529">
        <f t="shared" si="8"/>
        <v>20.943618037154589</v>
      </c>
      <c r="F39" s="529">
        <f t="shared" si="8"/>
        <v>15.776006922976258</v>
      </c>
      <c r="G39" s="529">
        <f t="shared" si="8"/>
        <v>12.121546322334213</v>
      </c>
      <c r="H39" s="17">
        <f t="shared" si="9"/>
        <v>0.28398286260087913</v>
      </c>
      <c r="I39" s="17"/>
      <c r="J39" s="5"/>
      <c r="K39" s="5"/>
      <c r="L39" s="5"/>
      <c r="M39" s="5"/>
      <c r="N39" s="5"/>
      <c r="O39" s="5"/>
      <c r="Q39" s="5"/>
      <c r="R39" s="5"/>
      <c r="S39" s="42"/>
      <c r="T39" s="42"/>
      <c r="U39" s="42"/>
      <c r="V39" s="42"/>
      <c r="W39" s="42"/>
      <c r="X39" s="42"/>
      <c r="Y39" s="42"/>
      <c r="Z39" s="42"/>
      <c r="AA39" s="42"/>
    </row>
    <row r="40" spans="2:27">
      <c r="B40" s="5" t="s">
        <v>466</v>
      </c>
      <c r="C40" s="247"/>
      <c r="D40" s="529">
        <f>D$18/D26</f>
        <v>35.822700403954997</v>
      </c>
      <c r="E40" s="529">
        <f t="shared" si="8"/>
        <v>26.179522546443234</v>
      </c>
      <c r="F40" s="529">
        <f t="shared" si="8"/>
        <v>19.720008653720321</v>
      </c>
      <c r="G40" s="529">
        <f t="shared" si="8"/>
        <v>15.151932902917766</v>
      </c>
      <c r="H40" s="17">
        <f t="shared" si="9"/>
        <v>0.28398286260087913</v>
      </c>
      <c r="I40" s="5"/>
      <c r="J40" s="259"/>
      <c r="K40" s="259"/>
      <c r="L40" s="259"/>
      <c r="M40" s="259"/>
      <c r="N40" s="259"/>
      <c r="O40" s="18"/>
      <c r="Q40" s="5"/>
      <c r="R40" s="5"/>
      <c r="S40" s="42"/>
      <c r="T40" s="42"/>
      <c r="U40" s="42"/>
      <c r="V40" s="42"/>
      <c r="W40" s="288"/>
      <c r="X40" s="288"/>
      <c r="Y40" s="42"/>
      <c r="Z40" s="42"/>
      <c r="AA40" s="42"/>
    </row>
    <row r="41" spans="2:27">
      <c r="B41" s="5" t="s">
        <v>530</v>
      </c>
      <c r="C41" s="247"/>
      <c r="D41" s="529">
        <f>D$18/D27</f>
        <v>3.9552192554269459</v>
      </c>
      <c r="E41" s="529">
        <f t="shared" si="8"/>
        <v>3.952744209855799</v>
      </c>
      <c r="F41" s="529">
        <f t="shared" si="8"/>
        <v>3.9223821154311662</v>
      </c>
      <c r="G41" s="529">
        <f t="shared" si="8"/>
        <v>3.8890164431788654</v>
      </c>
      <c r="H41" s="17">
        <f t="shared" si="9"/>
        <v>-3.0741999675800602E-2</v>
      </c>
      <c r="I41" s="247"/>
      <c r="J41" s="17"/>
      <c r="K41" s="17"/>
      <c r="L41" s="17"/>
      <c r="M41" s="17"/>
      <c r="N41" s="17"/>
      <c r="O41" s="5"/>
      <c r="Q41" s="5"/>
      <c r="R41" s="5"/>
      <c r="S41" s="42"/>
      <c r="T41" s="42"/>
      <c r="U41" s="42"/>
      <c r="V41" s="42"/>
      <c r="W41" s="288"/>
      <c r="X41" s="288"/>
      <c r="Y41" s="288"/>
      <c r="Z41" s="288"/>
      <c r="AA41" s="42"/>
    </row>
    <row r="42" spans="2:27">
      <c r="B42" s="5" t="s">
        <v>593</v>
      </c>
      <c r="C42" s="247"/>
      <c r="D42" s="529">
        <f>D18/D28</f>
        <v>6.6128891236984995</v>
      </c>
      <c r="E42" s="529">
        <f>E18/E28</f>
        <v>6.6631902722988876</v>
      </c>
      <c r="F42" s="529">
        <f>F18/F28</f>
        <v>6.6649928751606389</v>
      </c>
      <c r="G42" s="529">
        <f>G18/G28</f>
        <v>6.7352542602521766</v>
      </c>
      <c r="H42" s="17">
        <f t="shared" si="9"/>
        <v>-4.2052852985401845E-2</v>
      </c>
      <c r="I42" s="248"/>
      <c r="J42" s="5"/>
      <c r="K42" s="5"/>
      <c r="L42" s="5"/>
      <c r="M42" s="5"/>
      <c r="N42" s="5"/>
      <c r="O42" s="5"/>
      <c r="Q42" s="5"/>
      <c r="R42" s="5"/>
      <c r="S42" s="42"/>
      <c r="T42" s="42"/>
      <c r="U42" s="42"/>
      <c r="V42" s="42"/>
      <c r="W42" s="288"/>
      <c r="X42" s="288"/>
      <c r="Y42" s="288"/>
      <c r="Z42" s="288"/>
      <c r="AA42" s="42"/>
    </row>
    <row r="43" spans="2:27">
      <c r="B43" s="5" t="s">
        <v>475</v>
      </c>
      <c r="C43" s="247"/>
      <c r="D43" s="529">
        <f>L26/D29</f>
        <v>55.6275950903145</v>
      </c>
      <c r="E43" s="529">
        <f>M26/E29</f>
        <v>33.554696447446574</v>
      </c>
      <c r="F43" s="529">
        <f>N26/F29</f>
        <v>22.79707098253397</v>
      </c>
      <c r="G43" s="529">
        <f>O26/G29</f>
        <v>16.651561528513145</v>
      </c>
      <c r="H43" s="17">
        <f t="shared" si="9"/>
        <v>0.49489872946611912</v>
      </c>
      <c r="I43" s="247"/>
      <c r="J43" s="247"/>
      <c r="K43" s="247"/>
      <c r="L43" s="247"/>
      <c r="M43" s="247"/>
      <c r="N43" s="247"/>
      <c r="O43" s="18"/>
      <c r="Q43" s="5"/>
      <c r="R43" s="5"/>
      <c r="S43" s="42"/>
      <c r="T43" s="42"/>
      <c r="U43" s="42"/>
      <c r="V43" s="42"/>
      <c r="W43" s="288"/>
      <c r="X43" s="288"/>
      <c r="Y43" s="288"/>
      <c r="Z43" s="288"/>
      <c r="AA43" s="42"/>
    </row>
    <row r="44" spans="2:27">
      <c r="B44" s="5" t="s">
        <v>533</v>
      </c>
      <c r="C44" s="69"/>
      <c r="D44" s="529">
        <f>D11/D30</f>
        <v>55.832812697399476</v>
      </c>
      <c r="E44" s="529">
        <f>E11/E30</f>
        <v>42.057737453999302</v>
      </c>
      <c r="F44" s="529">
        <f>F11/F30</f>
        <v>27.676479982317005</v>
      </c>
      <c r="G44" s="529">
        <f>G11/G30</f>
        <v>20.357950196622472</v>
      </c>
      <c r="H44" s="17">
        <f t="shared" si="9"/>
        <v>0.39975433052608622</v>
      </c>
      <c r="I44" s="247"/>
      <c r="J44" s="248"/>
      <c r="K44" s="248"/>
      <c r="L44" s="248"/>
      <c r="M44" s="248"/>
      <c r="N44" s="248"/>
      <c r="O44" s="248"/>
      <c r="Q44" s="5"/>
      <c r="R44" s="5"/>
      <c r="S44" s="42"/>
      <c r="T44" s="42"/>
      <c r="U44" s="42"/>
      <c r="V44" s="42"/>
      <c r="W44" s="325"/>
      <c r="X44" s="325"/>
      <c r="Y44" s="288"/>
      <c r="Z44" s="288"/>
      <c r="AA44" s="42"/>
    </row>
    <row r="45" spans="2:27">
      <c r="B45" s="5" t="s">
        <v>580</v>
      </c>
      <c r="C45" s="247"/>
      <c r="D45" s="248">
        <f>D31/D11</f>
        <v>5.761198329252485E-3</v>
      </c>
      <c r="E45" s="248">
        <f>E31/E11</f>
        <v>1.4402995823131213E-2</v>
      </c>
      <c r="F45" s="248">
        <f>F31/F11</f>
        <v>2.160449373469682E-2</v>
      </c>
      <c r="G45" s="248">
        <f>G31/G11</f>
        <v>3.0844772303284682E-2</v>
      </c>
      <c r="H45" s="17">
        <f t="shared" si="9"/>
        <v>0.74940184755137995</v>
      </c>
      <c r="I45" s="248"/>
      <c r="J45" s="247"/>
      <c r="K45" s="247"/>
      <c r="L45" s="247"/>
      <c r="M45" s="247"/>
      <c r="N45" s="247"/>
      <c r="O45" s="248"/>
      <c r="Q45" s="5"/>
      <c r="R45" s="5"/>
      <c r="S45" s="42"/>
      <c r="T45" s="42"/>
      <c r="U45" s="42"/>
      <c r="V45" s="42"/>
      <c r="W45" s="42"/>
      <c r="X45" s="42"/>
      <c r="Y45" s="325"/>
      <c r="Z45" s="325"/>
      <c r="AA45" s="42"/>
    </row>
    <row r="46" spans="2:27">
      <c r="B46" s="5" t="s">
        <v>605</v>
      </c>
      <c r="C46" s="247"/>
      <c r="D46" s="248">
        <f>(D31+D32)/D11</f>
        <v>5.761198329252485E-3</v>
      </c>
      <c r="E46" s="248">
        <f>(E31+E32)/E11</f>
        <v>-3.052725623621989E-2</v>
      </c>
      <c r="F46" s="248">
        <f>(F31+F32)/F11</f>
        <v>2.160449373469682E-2</v>
      </c>
      <c r="G46" s="248">
        <f>(G31+G32)/G11</f>
        <v>2.3329347676076823E-2</v>
      </c>
      <c r="H46" s="279">
        <f>((G31+G32)/(D31+D32))^(1/3)-1</f>
        <v>0.59390802219171013</v>
      </c>
      <c r="I46" s="247"/>
      <c r="J46" s="247"/>
      <c r="K46" s="247"/>
      <c r="L46" s="247"/>
      <c r="M46" s="247"/>
      <c r="N46" s="247"/>
      <c r="O46" s="18"/>
      <c r="Q46" s="5"/>
      <c r="R46" s="5"/>
      <c r="S46" s="42"/>
      <c r="T46" s="42"/>
      <c r="U46" s="42"/>
      <c r="V46" s="42"/>
      <c r="W46" s="42"/>
      <c r="X46" s="42"/>
      <c r="Y46" s="42"/>
      <c r="Z46" s="42"/>
      <c r="AA46" s="326"/>
    </row>
    <row r="47" spans="2:27">
      <c r="B47" s="5" t="s">
        <v>581</v>
      </c>
      <c r="C47" s="5"/>
      <c r="D47" s="248">
        <f>1/D43</f>
        <v>1.7976689417840988E-2</v>
      </c>
      <c r="E47" s="248">
        <f>1/E43</f>
        <v>2.9802087513031202E-2</v>
      </c>
      <c r="F47" s="248">
        <f>1/F43</f>
        <v>4.3865284306310766E-2</v>
      </c>
      <c r="G47" s="248">
        <f>1/G43</f>
        <v>6.0054427825742308E-2</v>
      </c>
      <c r="H47" s="17">
        <f>H29</f>
        <v>0.49489872946611912</v>
      </c>
      <c r="I47" s="17"/>
      <c r="J47" s="248"/>
      <c r="K47" s="248"/>
      <c r="L47" s="248"/>
      <c r="M47" s="248"/>
      <c r="N47" s="248"/>
      <c r="O47" s="248"/>
      <c r="Q47" s="5"/>
      <c r="R47" s="5"/>
      <c r="S47" s="42"/>
      <c r="T47" s="42"/>
      <c r="U47" s="42"/>
      <c r="V47" s="42"/>
      <c r="W47" s="42"/>
      <c r="X47" s="42"/>
      <c r="Y47" s="42"/>
      <c r="Z47" s="42"/>
      <c r="AA47" s="326"/>
    </row>
    <row r="48" spans="2:27">
      <c r="B48" s="5" t="s">
        <v>618</v>
      </c>
      <c r="C48" s="5"/>
      <c r="D48" s="305">
        <f>D31/D29</f>
        <v>0.32048160789465363</v>
      </c>
      <c r="E48" s="305">
        <f>E31/E29</f>
        <v>0.48328815277900877</v>
      </c>
      <c r="F48" s="305">
        <f>F31/F29</f>
        <v>0.49251917721159383</v>
      </c>
      <c r="G48" s="305">
        <f>G31/G29</f>
        <v>0.51361362384112297</v>
      </c>
      <c r="H48" s="279" t="s">
        <v>607</v>
      </c>
      <c r="I48" s="247"/>
      <c r="J48" s="247"/>
      <c r="K48" s="247"/>
      <c r="L48" s="247"/>
      <c r="M48" s="247"/>
      <c r="N48" s="247"/>
      <c r="O48" s="248"/>
      <c r="Q48" s="5"/>
      <c r="R48" s="5"/>
      <c r="S48" s="42"/>
      <c r="T48" s="42"/>
      <c r="U48" s="42"/>
      <c r="V48" s="42"/>
      <c r="W48" s="42"/>
      <c r="X48" s="42"/>
      <c r="Y48" s="42"/>
      <c r="Z48" s="42"/>
      <c r="AA48" s="326"/>
    </row>
    <row r="49" spans="2:27">
      <c r="B49" s="41"/>
      <c r="C49" s="17"/>
      <c r="D49" s="17"/>
      <c r="E49" s="17"/>
      <c r="F49" s="17"/>
      <c r="G49" s="17"/>
      <c r="H49" s="17"/>
      <c r="I49" s="254"/>
      <c r="J49" s="17"/>
      <c r="K49" s="17"/>
      <c r="L49" s="17"/>
      <c r="M49" s="17"/>
      <c r="N49" s="17"/>
      <c r="O49" s="248"/>
      <c r="Q49" s="5"/>
      <c r="R49" s="5"/>
      <c r="S49" s="42"/>
      <c r="T49" s="42"/>
      <c r="U49" s="42"/>
      <c r="V49" s="42"/>
      <c r="W49" s="42"/>
      <c r="X49" s="42"/>
      <c r="Y49" s="42"/>
      <c r="Z49" s="42"/>
      <c r="AA49" s="326"/>
    </row>
    <row r="50" spans="2:27">
      <c r="B50" s="5"/>
      <c r="C50" s="257"/>
      <c r="D50" s="257"/>
      <c r="E50" s="257"/>
      <c r="F50" s="5"/>
      <c r="G50" s="41"/>
      <c r="H50" s="249"/>
      <c r="I50" s="17"/>
      <c r="J50" s="249"/>
      <c r="K50" s="249"/>
      <c r="L50" s="249"/>
      <c r="M50" s="249"/>
      <c r="N50" s="249"/>
      <c r="O50" s="250"/>
      <c r="Q50" s="5"/>
      <c r="R50" s="5"/>
      <c r="S50" s="42"/>
      <c r="T50" s="42"/>
      <c r="U50" s="42"/>
      <c r="V50" s="42"/>
      <c r="W50" s="288"/>
      <c r="X50" s="288"/>
      <c r="Y50" s="42"/>
      <c r="Z50" s="42"/>
      <c r="AA50" s="326"/>
    </row>
    <row r="51" spans="2:27">
      <c r="B51" s="41"/>
      <c r="C51" s="249"/>
      <c r="D51" s="254"/>
      <c r="E51" s="254"/>
      <c r="F51" s="254"/>
      <c r="G51" s="254"/>
      <c r="H51" s="254"/>
      <c r="I51" s="259"/>
      <c r="J51" s="254"/>
      <c r="K51" s="254"/>
      <c r="L51" s="254"/>
      <c r="M51" s="254"/>
      <c r="N51" s="254"/>
      <c r="O51" s="251"/>
      <c r="Q51" s="5"/>
      <c r="R51" s="5"/>
      <c r="S51" s="42"/>
      <c r="T51" s="42"/>
      <c r="U51" s="42"/>
      <c r="V51" s="42"/>
      <c r="W51" s="288"/>
      <c r="X51" s="288"/>
      <c r="Y51" s="288"/>
      <c r="Z51" s="288"/>
      <c r="AA51" s="42"/>
    </row>
    <row r="52" spans="2:27">
      <c r="B52" s="5"/>
      <c r="C52" s="257"/>
      <c r="D52" s="17"/>
      <c r="E52" s="17"/>
      <c r="F52" s="17"/>
      <c r="G52" s="17"/>
      <c r="H52" s="17"/>
      <c r="I52" s="254"/>
      <c r="J52" s="17"/>
      <c r="K52" s="17"/>
      <c r="L52" s="17"/>
      <c r="M52" s="17"/>
      <c r="N52" s="17"/>
      <c r="O52" s="248"/>
      <c r="Q52" s="5"/>
      <c r="R52" s="5"/>
      <c r="S52" s="5"/>
      <c r="Y52" s="10"/>
      <c r="Z52" s="10"/>
    </row>
    <row r="53" spans="2:27">
      <c r="B53" s="5"/>
      <c r="C53" s="257"/>
      <c r="D53" s="257"/>
      <c r="E53" s="257"/>
      <c r="F53" s="5"/>
      <c r="G53" s="5"/>
      <c r="H53" s="259"/>
      <c r="I53" s="17"/>
      <c r="J53" s="259"/>
      <c r="K53" s="259"/>
      <c r="L53" s="259"/>
      <c r="M53" s="259"/>
      <c r="N53" s="259"/>
      <c r="O53" s="18"/>
      <c r="Q53" s="5"/>
      <c r="R53" s="5"/>
      <c r="S53" s="5"/>
    </row>
    <row r="54" spans="2:27">
      <c r="B54" s="41"/>
      <c r="C54" s="249"/>
      <c r="D54" s="254"/>
      <c r="E54" s="254"/>
      <c r="F54" s="254"/>
      <c r="G54" s="254"/>
      <c r="H54" s="254"/>
      <c r="I54" s="259"/>
      <c r="J54" s="254"/>
      <c r="K54" s="254"/>
      <c r="L54" s="254"/>
      <c r="M54" s="254"/>
      <c r="N54" s="254"/>
      <c r="O54" s="251"/>
      <c r="Q54" s="5"/>
      <c r="R54" s="5"/>
      <c r="S54" s="5"/>
    </row>
    <row r="55" spans="2:27">
      <c r="B55" s="5"/>
      <c r="C55" s="257"/>
      <c r="D55" s="17"/>
      <c r="E55" s="17"/>
      <c r="F55" s="17"/>
      <c r="G55" s="17"/>
      <c r="H55" s="17"/>
      <c r="I55" s="249"/>
      <c r="J55" s="17"/>
      <c r="K55" s="17"/>
      <c r="L55" s="17"/>
      <c r="M55" s="17"/>
      <c r="N55" s="17"/>
      <c r="O55" s="18"/>
      <c r="Q55" s="5"/>
      <c r="R55" s="5"/>
      <c r="S55" s="5"/>
    </row>
    <row r="56" spans="2:27">
      <c r="B56" s="5"/>
      <c r="C56" s="248"/>
      <c r="D56" s="248"/>
      <c r="E56" s="248"/>
      <c r="F56" s="5"/>
      <c r="G56" s="5"/>
      <c r="H56" s="259"/>
      <c r="I56" s="248"/>
      <c r="J56" s="259"/>
      <c r="K56" s="259"/>
      <c r="L56" s="259"/>
      <c r="M56" s="259"/>
      <c r="N56" s="259"/>
      <c r="O56" s="18"/>
      <c r="Q56" s="5"/>
      <c r="R56" s="5"/>
      <c r="S56" s="5"/>
    </row>
    <row r="57" spans="2:27">
      <c r="B57" s="41"/>
      <c r="C57" s="249"/>
      <c r="D57" s="249"/>
      <c r="E57" s="249"/>
      <c r="F57" s="249"/>
      <c r="G57" s="249"/>
      <c r="H57" s="249"/>
      <c r="I57" s="5"/>
      <c r="J57" s="249"/>
      <c r="K57" s="249"/>
      <c r="L57" s="249"/>
      <c r="M57" s="249"/>
      <c r="N57" s="249"/>
      <c r="O57" s="251"/>
      <c r="Q57" s="5"/>
      <c r="R57" s="5"/>
      <c r="S57" s="5"/>
    </row>
    <row r="58" spans="2:27">
      <c r="B58" s="5"/>
      <c r="C58" s="5"/>
      <c r="D58" s="248"/>
      <c r="E58" s="248"/>
      <c r="F58" s="248"/>
      <c r="G58" s="248"/>
      <c r="H58" s="248"/>
      <c r="I58" s="17"/>
      <c r="J58" s="248"/>
      <c r="K58" s="248"/>
      <c r="L58" s="248"/>
      <c r="M58" s="248"/>
      <c r="N58" s="248"/>
      <c r="O58" s="18"/>
      <c r="Q58" s="5"/>
      <c r="R58" s="5"/>
      <c r="S58" s="5"/>
    </row>
    <row r="59" spans="2:27">
      <c r="B59" s="5"/>
      <c r="C59" s="5"/>
      <c r="D59" s="5"/>
      <c r="E59" s="5"/>
      <c r="F59" s="5"/>
      <c r="G59" s="5"/>
      <c r="H59" s="5"/>
      <c r="I59" s="5"/>
      <c r="J59" s="5"/>
      <c r="K59" s="5"/>
      <c r="L59" s="5"/>
      <c r="M59" s="5"/>
      <c r="N59" s="5"/>
      <c r="O59" s="5"/>
      <c r="Q59" s="5"/>
      <c r="R59" s="5"/>
      <c r="S59" s="5"/>
    </row>
    <row r="60" spans="2:27">
      <c r="B60" s="41"/>
      <c r="C60" s="17"/>
      <c r="D60" s="17"/>
      <c r="E60" s="17"/>
      <c r="F60" s="17"/>
      <c r="G60" s="17"/>
      <c r="H60" s="17"/>
      <c r="I60" s="249"/>
      <c r="J60" s="17"/>
      <c r="K60" s="17"/>
      <c r="L60" s="17"/>
      <c r="M60" s="17"/>
      <c r="N60" s="17"/>
      <c r="O60" s="251"/>
      <c r="Q60" s="5"/>
      <c r="R60" s="5"/>
      <c r="S60" s="5"/>
    </row>
    <row r="61" spans="2:27">
      <c r="B61" s="5"/>
      <c r="C61" s="5"/>
      <c r="D61" s="5"/>
      <c r="E61" s="5"/>
      <c r="F61" s="5"/>
      <c r="G61" s="5"/>
      <c r="H61" s="5"/>
      <c r="I61" s="5"/>
      <c r="J61" s="5"/>
      <c r="K61" s="5"/>
      <c r="L61" s="5"/>
      <c r="M61" s="5"/>
      <c r="N61" s="5"/>
      <c r="O61" s="5"/>
      <c r="Q61" s="41"/>
      <c r="R61" s="5"/>
      <c r="S61" s="5"/>
    </row>
    <row r="62" spans="2:27">
      <c r="B62" s="41"/>
      <c r="C62" s="249"/>
      <c r="D62" s="249"/>
      <c r="E62" s="249"/>
      <c r="F62" s="249"/>
      <c r="G62" s="249"/>
      <c r="H62" s="249"/>
      <c r="I62" s="5"/>
      <c r="J62" s="249"/>
      <c r="K62" s="249"/>
      <c r="L62" s="249"/>
      <c r="M62" s="249"/>
      <c r="N62" s="249"/>
      <c r="O62" s="251"/>
      <c r="Q62" s="5"/>
      <c r="R62" s="5"/>
      <c r="S62" s="5"/>
    </row>
    <row r="63" spans="2:27">
      <c r="B63" s="5"/>
      <c r="C63" s="5"/>
      <c r="D63" s="5"/>
      <c r="E63" s="5"/>
      <c r="F63" s="5"/>
      <c r="G63" s="5"/>
      <c r="H63" s="5"/>
      <c r="I63" s="254"/>
      <c r="J63" s="5"/>
      <c r="K63" s="5"/>
      <c r="L63" s="5"/>
      <c r="M63" s="5"/>
      <c r="N63" s="5"/>
      <c r="O63" s="5"/>
      <c r="Q63" s="5"/>
      <c r="R63" s="5"/>
      <c r="S63" s="5"/>
    </row>
    <row r="64" spans="2:27">
      <c r="B64" s="5"/>
      <c r="C64" s="5"/>
      <c r="D64" s="5"/>
      <c r="E64" s="5"/>
      <c r="F64" s="5"/>
      <c r="G64" s="5"/>
      <c r="H64" s="5"/>
      <c r="I64" s="17"/>
      <c r="J64" s="5"/>
      <c r="K64" s="5"/>
      <c r="L64" s="5"/>
      <c r="M64" s="5"/>
      <c r="N64" s="5"/>
      <c r="O64" s="5"/>
      <c r="Q64" s="5"/>
      <c r="R64" s="5"/>
      <c r="S64" s="5"/>
    </row>
    <row r="65" spans="2:26">
      <c r="B65" s="41"/>
      <c r="C65" s="249"/>
      <c r="D65" s="254"/>
      <c r="E65" s="254"/>
      <c r="F65" s="254"/>
      <c r="G65" s="254"/>
      <c r="H65" s="254"/>
      <c r="I65" s="254"/>
      <c r="J65" s="254"/>
      <c r="K65" s="254"/>
      <c r="L65" s="254"/>
      <c r="M65" s="254"/>
      <c r="N65" s="254"/>
      <c r="O65" s="251"/>
      <c r="Q65" s="5"/>
      <c r="R65" s="5"/>
      <c r="S65" s="5"/>
    </row>
    <row r="66" spans="2:26">
      <c r="B66" s="5"/>
      <c r="C66" s="5"/>
      <c r="D66" s="17"/>
      <c r="E66" s="17"/>
      <c r="F66" s="17"/>
      <c r="G66" s="17"/>
      <c r="H66" s="17"/>
      <c r="I66" s="248"/>
      <c r="J66" s="17"/>
      <c r="K66" s="17"/>
      <c r="L66" s="17"/>
      <c r="M66" s="17"/>
      <c r="N66" s="17"/>
      <c r="O66" s="5"/>
      <c r="Q66" s="5"/>
      <c r="R66" s="5"/>
      <c r="S66" s="5"/>
    </row>
    <row r="67" spans="2:26">
      <c r="B67" s="41"/>
      <c r="C67" s="249"/>
      <c r="D67" s="254"/>
      <c r="E67" s="254"/>
      <c r="F67" s="254"/>
      <c r="G67" s="254"/>
      <c r="H67" s="254"/>
      <c r="I67" s="5"/>
      <c r="J67" s="254"/>
      <c r="K67" s="254"/>
      <c r="L67" s="254"/>
      <c r="M67" s="254"/>
      <c r="N67" s="254"/>
      <c r="O67" s="251"/>
      <c r="Q67" s="41"/>
      <c r="R67" s="5"/>
      <c r="S67" s="5"/>
    </row>
    <row r="68" spans="2:26">
      <c r="B68" s="5"/>
      <c r="C68" s="5"/>
      <c r="D68" s="248"/>
      <c r="E68" s="248"/>
      <c r="F68" s="248"/>
      <c r="G68" s="248"/>
      <c r="H68" s="248"/>
      <c r="I68" s="245"/>
      <c r="J68" s="248"/>
      <c r="K68" s="248"/>
      <c r="L68" s="248"/>
      <c r="M68" s="248"/>
      <c r="N68" s="248"/>
      <c r="O68" s="5"/>
      <c r="Q68" s="5"/>
      <c r="R68" s="5"/>
      <c r="S68" s="5"/>
    </row>
    <row r="69" spans="2:26">
      <c r="B69" s="41"/>
      <c r="C69" s="5"/>
      <c r="D69" s="5"/>
      <c r="E69" s="5"/>
      <c r="F69" s="5"/>
      <c r="G69" s="5"/>
      <c r="H69" s="5"/>
      <c r="I69" s="248"/>
      <c r="J69" s="5"/>
      <c r="K69" s="5"/>
      <c r="L69" s="5"/>
      <c r="M69" s="5"/>
      <c r="N69" s="5"/>
      <c r="O69" s="5"/>
      <c r="Q69" s="5"/>
      <c r="R69" s="5"/>
      <c r="S69" s="5"/>
    </row>
    <row r="70" spans="2:26">
      <c r="B70" s="41"/>
      <c r="C70" s="245"/>
      <c r="D70" s="245"/>
      <c r="E70" s="245"/>
      <c r="F70" s="245"/>
      <c r="G70" s="245"/>
      <c r="H70" s="245"/>
      <c r="I70" s="5"/>
      <c r="J70" s="245"/>
      <c r="K70" s="245"/>
      <c r="L70" s="245"/>
      <c r="M70" s="245"/>
      <c r="N70" s="245"/>
      <c r="O70" s="251"/>
      <c r="Q70" s="5"/>
      <c r="R70" s="5"/>
      <c r="S70" s="5"/>
      <c r="W70" s="76"/>
      <c r="X70" s="76"/>
    </row>
    <row r="71" spans="2:26">
      <c r="B71" s="5"/>
      <c r="C71" s="5"/>
      <c r="D71" s="248"/>
      <c r="E71" s="248"/>
      <c r="F71" s="248"/>
      <c r="G71" s="248"/>
      <c r="H71" s="248"/>
      <c r="I71" s="245"/>
      <c r="J71" s="248"/>
      <c r="K71" s="248"/>
      <c r="L71" s="248"/>
      <c r="M71" s="248"/>
      <c r="N71" s="248"/>
      <c r="O71" s="5"/>
      <c r="Q71" s="5"/>
      <c r="R71" s="5"/>
      <c r="S71" s="5"/>
      <c r="W71" s="76"/>
      <c r="X71" s="76"/>
      <c r="Y71" s="76"/>
      <c r="Z71" s="76"/>
    </row>
    <row r="72" spans="2:26">
      <c r="B72" s="41"/>
      <c r="C72" s="5"/>
      <c r="D72" s="5"/>
      <c r="E72" s="5"/>
      <c r="F72" s="5"/>
      <c r="G72" s="5"/>
      <c r="H72" s="5"/>
      <c r="I72" s="18"/>
      <c r="J72" s="5"/>
      <c r="K72" s="5"/>
      <c r="L72" s="5"/>
      <c r="M72" s="5"/>
      <c r="N72" s="5"/>
      <c r="O72" s="5"/>
      <c r="Q72" s="5"/>
      <c r="R72" s="5"/>
      <c r="S72" s="5"/>
      <c r="Y72" s="76"/>
      <c r="Z72" s="76"/>
    </row>
    <row r="73" spans="2:26">
      <c r="B73" s="41"/>
      <c r="C73" s="245"/>
      <c r="D73" s="245"/>
      <c r="E73" s="245"/>
      <c r="F73" s="245"/>
      <c r="G73" s="245"/>
      <c r="H73" s="245"/>
      <c r="I73" s="5"/>
      <c r="J73" s="245"/>
      <c r="K73" s="245"/>
      <c r="L73" s="245"/>
      <c r="M73" s="245"/>
      <c r="N73" s="245"/>
      <c r="O73" s="251"/>
      <c r="Q73" s="5"/>
      <c r="R73" s="5"/>
      <c r="S73" s="5"/>
    </row>
    <row r="74" spans="2:26">
      <c r="B74" s="5"/>
      <c r="C74" s="5"/>
      <c r="D74" s="18"/>
      <c r="E74" s="18"/>
      <c r="F74" s="18"/>
      <c r="G74" s="18"/>
      <c r="H74" s="18"/>
      <c r="I74" s="249"/>
      <c r="J74" s="18"/>
      <c r="K74" s="18"/>
      <c r="L74" s="18"/>
      <c r="M74" s="18"/>
      <c r="N74" s="18"/>
      <c r="O74" s="5"/>
      <c r="Q74" s="5"/>
      <c r="R74" s="5"/>
      <c r="S74" s="5"/>
    </row>
    <row r="75" spans="2:26">
      <c r="B75" s="41"/>
      <c r="C75" s="5"/>
      <c r="D75" s="5"/>
      <c r="E75" s="5"/>
      <c r="F75" s="5"/>
      <c r="G75" s="5"/>
      <c r="H75" s="5"/>
      <c r="I75" s="248"/>
      <c r="J75" s="5"/>
      <c r="K75" s="5"/>
      <c r="L75" s="5"/>
      <c r="M75" s="5"/>
      <c r="N75" s="5"/>
      <c r="O75" s="5"/>
      <c r="Q75" s="5"/>
      <c r="R75" s="5"/>
      <c r="S75" s="5"/>
    </row>
    <row r="76" spans="2:26">
      <c r="B76" s="41"/>
      <c r="C76" s="249"/>
      <c r="D76" s="249"/>
      <c r="E76" s="249"/>
      <c r="F76" s="249"/>
      <c r="G76" s="249"/>
      <c r="H76" s="249"/>
      <c r="I76" s="5"/>
      <c r="J76" s="249"/>
      <c r="K76" s="249"/>
      <c r="L76" s="249"/>
      <c r="M76" s="249"/>
      <c r="N76" s="249"/>
      <c r="O76" s="251"/>
      <c r="Q76" s="5"/>
      <c r="R76" s="5"/>
      <c r="S76" s="5"/>
    </row>
    <row r="77" spans="2:26">
      <c r="B77" s="5"/>
      <c r="C77" s="5"/>
      <c r="D77" s="248"/>
      <c r="E77" s="248"/>
      <c r="F77" s="248"/>
      <c r="G77" s="248"/>
      <c r="H77" s="248"/>
      <c r="I77" s="245"/>
      <c r="J77" s="248"/>
      <c r="K77" s="248"/>
      <c r="L77" s="248"/>
      <c r="M77" s="248"/>
      <c r="N77" s="248"/>
      <c r="O77" s="5"/>
      <c r="Q77" s="5"/>
      <c r="R77" s="5"/>
      <c r="S77" s="5"/>
    </row>
    <row r="78" spans="2:26">
      <c r="B78" s="41"/>
      <c r="C78" s="5"/>
      <c r="D78" s="5"/>
      <c r="E78" s="5"/>
      <c r="F78" s="5"/>
      <c r="G78" s="5"/>
      <c r="H78" s="5"/>
      <c r="I78" s="248"/>
      <c r="J78" s="5"/>
      <c r="K78" s="5"/>
      <c r="L78" s="5"/>
      <c r="M78" s="5"/>
      <c r="N78" s="5"/>
      <c r="O78" s="5"/>
      <c r="Q78" s="5"/>
      <c r="R78" s="5"/>
      <c r="S78" s="5"/>
    </row>
    <row r="79" spans="2:26">
      <c r="B79" s="41"/>
      <c r="C79" s="245"/>
      <c r="D79" s="245"/>
      <c r="E79" s="245"/>
      <c r="F79" s="245"/>
      <c r="G79" s="245"/>
      <c r="H79" s="245"/>
      <c r="I79" s="5"/>
      <c r="J79" s="245"/>
      <c r="K79" s="245"/>
      <c r="L79" s="245"/>
      <c r="M79" s="245"/>
      <c r="N79" s="245"/>
      <c r="O79" s="251"/>
      <c r="Q79" s="5"/>
      <c r="R79" s="5"/>
      <c r="S79" s="5"/>
    </row>
    <row r="80" spans="2:26">
      <c r="B80" s="5"/>
      <c r="C80" s="5"/>
      <c r="D80" s="248"/>
      <c r="E80" s="248"/>
      <c r="F80" s="248"/>
      <c r="G80" s="248"/>
      <c r="H80" s="248"/>
      <c r="I80" s="249"/>
      <c r="J80" s="248"/>
      <c r="K80" s="248"/>
      <c r="L80" s="248"/>
      <c r="M80" s="248"/>
      <c r="N80" s="248"/>
      <c r="O80" s="5"/>
      <c r="Q80" s="5"/>
      <c r="R80" s="5"/>
      <c r="S80" s="5"/>
    </row>
    <row r="81" spans="2:26">
      <c r="B81" s="41"/>
      <c r="C81" s="5"/>
      <c r="D81" s="5"/>
      <c r="E81" s="5"/>
      <c r="F81" s="5"/>
      <c r="G81" s="5"/>
      <c r="H81" s="5"/>
      <c r="I81" s="248"/>
      <c r="J81" s="5"/>
      <c r="K81" s="5"/>
      <c r="L81" s="5"/>
      <c r="M81" s="5"/>
      <c r="N81" s="5"/>
      <c r="O81" s="5"/>
      <c r="Q81" s="5"/>
      <c r="R81" s="5"/>
      <c r="S81" s="5"/>
    </row>
    <row r="82" spans="2:26">
      <c r="B82" s="41"/>
      <c r="C82" s="249"/>
      <c r="D82" s="249"/>
      <c r="E82" s="249"/>
      <c r="F82" s="249"/>
      <c r="G82" s="249"/>
      <c r="H82" s="249"/>
      <c r="I82" s="259"/>
      <c r="J82" s="249"/>
      <c r="K82" s="249"/>
      <c r="L82" s="249"/>
      <c r="M82" s="249"/>
      <c r="N82" s="249"/>
      <c r="O82" s="251"/>
      <c r="Q82" s="5"/>
      <c r="R82" s="5"/>
      <c r="S82" s="5"/>
    </row>
    <row r="83" spans="2:26">
      <c r="B83" s="5"/>
      <c r="C83" s="5"/>
      <c r="D83" s="248"/>
      <c r="E83" s="248"/>
      <c r="F83" s="248"/>
      <c r="G83" s="248"/>
      <c r="H83" s="248"/>
      <c r="I83" s="5"/>
      <c r="J83" s="248"/>
      <c r="K83" s="248"/>
      <c r="L83" s="248"/>
      <c r="M83" s="248"/>
      <c r="N83" s="248"/>
      <c r="O83" s="5"/>
      <c r="Q83" s="5"/>
      <c r="R83" s="5"/>
      <c r="S83" s="5"/>
    </row>
    <row r="84" spans="2:26">
      <c r="B84" s="5"/>
      <c r="C84" s="259"/>
      <c r="D84" s="259"/>
      <c r="E84" s="259"/>
      <c r="F84" s="259"/>
      <c r="G84" s="259"/>
      <c r="H84" s="259"/>
      <c r="I84" s="245"/>
      <c r="J84" s="259"/>
      <c r="K84" s="259"/>
      <c r="L84" s="259"/>
      <c r="M84" s="259"/>
      <c r="N84" s="259"/>
      <c r="O84" s="251"/>
      <c r="Q84" s="5"/>
      <c r="R84" s="5"/>
      <c r="S84" s="5"/>
    </row>
    <row r="85" spans="2:26">
      <c r="B85" s="41"/>
      <c r="C85" s="5"/>
      <c r="D85" s="5"/>
      <c r="E85" s="5"/>
      <c r="F85" s="5"/>
      <c r="G85" s="5"/>
      <c r="H85" s="5"/>
      <c r="I85" s="248"/>
      <c r="J85" s="5"/>
      <c r="K85" s="5"/>
      <c r="L85" s="5"/>
      <c r="M85" s="5"/>
      <c r="N85" s="5"/>
      <c r="O85" s="5"/>
      <c r="Q85" s="5"/>
      <c r="R85" s="5"/>
      <c r="S85" s="5"/>
    </row>
    <row r="86" spans="2:26">
      <c r="B86" s="41"/>
      <c r="C86" s="245"/>
      <c r="D86" s="245"/>
      <c r="E86" s="245"/>
      <c r="F86" s="245"/>
      <c r="G86" s="245"/>
      <c r="H86" s="245"/>
      <c r="I86" s="5"/>
      <c r="J86" s="245"/>
      <c r="K86" s="245"/>
      <c r="L86" s="245"/>
      <c r="M86" s="245"/>
      <c r="N86" s="245"/>
      <c r="O86" s="251"/>
      <c r="Q86" s="5"/>
      <c r="R86" s="5"/>
      <c r="S86" s="5"/>
    </row>
    <row r="87" spans="2:26">
      <c r="B87" s="5"/>
      <c r="C87" s="5"/>
      <c r="D87" s="248"/>
      <c r="E87" s="248"/>
      <c r="F87" s="248"/>
      <c r="G87" s="248"/>
      <c r="H87" s="248"/>
      <c r="I87" s="5"/>
      <c r="J87" s="248"/>
      <c r="K87" s="248"/>
      <c r="L87" s="248"/>
      <c r="M87" s="248"/>
      <c r="N87" s="248"/>
      <c r="O87" s="5"/>
      <c r="Q87" s="5"/>
      <c r="R87" s="5"/>
      <c r="S87" s="5"/>
    </row>
    <row r="88" spans="2:26">
      <c r="B88" s="41"/>
      <c r="C88" s="5"/>
      <c r="D88" s="5"/>
      <c r="E88" s="5"/>
      <c r="F88" s="5"/>
      <c r="G88" s="5"/>
      <c r="H88" s="5"/>
      <c r="I88" s="5"/>
      <c r="J88" s="5"/>
      <c r="K88" s="5"/>
      <c r="L88" s="5"/>
      <c r="M88" s="5"/>
      <c r="N88" s="5"/>
      <c r="O88" s="5"/>
      <c r="Q88" s="5"/>
      <c r="R88" s="5"/>
      <c r="S88" s="5"/>
    </row>
    <row r="89" spans="2:26">
      <c r="B89" s="41"/>
      <c r="C89" s="5"/>
      <c r="D89" s="5"/>
      <c r="E89" s="5"/>
      <c r="F89" s="5"/>
      <c r="G89" s="5"/>
      <c r="H89" s="5"/>
      <c r="I89" s="5"/>
      <c r="J89" s="5"/>
      <c r="K89" s="5"/>
      <c r="L89" s="5"/>
      <c r="M89" s="5"/>
      <c r="N89" s="5"/>
      <c r="O89" s="5"/>
      <c r="Q89" s="5"/>
      <c r="R89" s="5"/>
      <c r="S89" s="5"/>
    </row>
    <row r="90" spans="2:26">
      <c r="B90" s="41"/>
      <c r="C90" s="5"/>
      <c r="D90" s="5"/>
      <c r="E90" s="5"/>
      <c r="F90" s="5"/>
      <c r="G90" s="5"/>
      <c r="H90" s="5"/>
      <c r="I90" s="49"/>
      <c r="J90" s="5"/>
      <c r="K90" s="5"/>
      <c r="L90" s="5"/>
      <c r="M90" s="5"/>
      <c r="N90" s="5"/>
      <c r="O90" s="5"/>
      <c r="Q90" s="41"/>
      <c r="R90" s="5"/>
      <c r="S90" s="5"/>
    </row>
    <row r="91" spans="2:26">
      <c r="B91" s="5"/>
      <c r="C91" s="5"/>
      <c r="D91" s="5"/>
      <c r="E91" s="5"/>
      <c r="F91" s="5"/>
      <c r="G91" s="5"/>
      <c r="H91" s="5"/>
      <c r="I91" s="5"/>
      <c r="J91" s="5"/>
      <c r="K91" s="5"/>
      <c r="L91" s="5"/>
      <c r="M91" s="5"/>
      <c r="N91" s="5"/>
      <c r="O91" s="5"/>
      <c r="Q91" s="5"/>
      <c r="R91" s="5"/>
      <c r="S91" s="5"/>
    </row>
    <row r="92" spans="2:26">
      <c r="B92" s="41"/>
      <c r="C92" s="49"/>
      <c r="D92" s="49"/>
      <c r="E92" s="49"/>
      <c r="F92" s="49"/>
      <c r="G92" s="49"/>
      <c r="H92" s="49"/>
      <c r="I92" s="247"/>
      <c r="J92" s="49"/>
      <c r="K92" s="49"/>
      <c r="L92" s="49"/>
      <c r="M92" s="49"/>
      <c r="N92" s="49"/>
      <c r="O92" s="49"/>
      <c r="Q92" s="5"/>
      <c r="R92" s="5"/>
      <c r="S92" s="5"/>
      <c r="W92" s="21"/>
      <c r="X92" s="21"/>
    </row>
    <row r="93" spans="2:26">
      <c r="B93" s="5"/>
      <c r="C93" s="5"/>
      <c r="D93" s="5"/>
      <c r="E93" s="5"/>
      <c r="F93" s="5"/>
      <c r="G93" s="5"/>
      <c r="H93" s="5"/>
      <c r="I93" s="247"/>
      <c r="J93" s="5"/>
      <c r="K93" s="5"/>
      <c r="L93" s="5"/>
      <c r="M93" s="5"/>
      <c r="N93" s="5"/>
      <c r="O93" s="5"/>
      <c r="Q93" s="5"/>
      <c r="R93" s="5"/>
      <c r="S93" s="5"/>
      <c r="W93" s="21"/>
      <c r="X93" s="21"/>
      <c r="Y93" s="21"/>
      <c r="Z93" s="21"/>
    </row>
    <row r="94" spans="2:26">
      <c r="B94" s="5"/>
      <c r="C94" s="259"/>
      <c r="D94" s="247"/>
      <c r="E94" s="247"/>
      <c r="F94" s="247"/>
      <c r="G94" s="247"/>
      <c r="H94" s="247"/>
      <c r="I94" s="247"/>
      <c r="J94" s="247"/>
      <c r="K94" s="247"/>
      <c r="L94" s="247"/>
      <c r="M94" s="247"/>
      <c r="N94" s="247"/>
      <c r="O94" s="248"/>
      <c r="Q94" s="5"/>
      <c r="R94" s="5"/>
      <c r="S94" s="5"/>
      <c r="Y94" s="21"/>
      <c r="Z94" s="21"/>
    </row>
    <row r="95" spans="2:26">
      <c r="B95" s="5"/>
      <c r="C95" s="259"/>
      <c r="D95" s="247"/>
      <c r="E95" s="247"/>
      <c r="F95" s="247"/>
      <c r="G95" s="247"/>
      <c r="H95" s="247"/>
      <c r="I95" s="248"/>
      <c r="J95" s="247"/>
      <c r="K95" s="247"/>
      <c r="L95" s="247"/>
      <c r="M95" s="247"/>
      <c r="N95" s="247"/>
      <c r="O95" s="248"/>
      <c r="Q95" s="5"/>
      <c r="R95" s="5"/>
      <c r="S95" s="5"/>
    </row>
    <row r="96" spans="2:26">
      <c r="B96" s="5"/>
      <c r="C96" s="259"/>
      <c r="D96" s="247"/>
      <c r="E96" s="247"/>
      <c r="F96" s="247"/>
      <c r="G96" s="247"/>
      <c r="H96" s="247"/>
      <c r="I96" s="247"/>
      <c r="J96" s="247"/>
      <c r="K96" s="247"/>
      <c r="L96" s="247"/>
      <c r="M96" s="247"/>
      <c r="N96" s="247"/>
      <c r="O96" s="248"/>
      <c r="Q96" s="5"/>
      <c r="R96" s="5"/>
      <c r="S96" s="5"/>
    </row>
    <row r="97" spans="2:19">
      <c r="B97" s="5"/>
      <c r="C97" s="259"/>
      <c r="D97" s="248"/>
      <c r="E97" s="248"/>
      <c r="F97" s="248"/>
      <c r="G97" s="248"/>
      <c r="H97" s="248"/>
      <c r="I97" s="249"/>
      <c r="J97" s="248"/>
      <c r="K97" s="248"/>
      <c r="L97" s="248"/>
      <c r="M97" s="248"/>
      <c r="N97" s="248"/>
      <c r="O97" s="248"/>
      <c r="Q97" s="5"/>
      <c r="R97" s="5"/>
      <c r="S97" s="5"/>
    </row>
    <row r="98" spans="2:19">
      <c r="B98" s="5"/>
      <c r="C98" s="259"/>
      <c r="D98" s="247"/>
      <c r="E98" s="247"/>
      <c r="F98" s="247"/>
      <c r="G98" s="247"/>
      <c r="H98" s="247"/>
      <c r="I98" s="248"/>
      <c r="J98" s="247"/>
      <c r="K98" s="247"/>
      <c r="L98" s="247"/>
      <c r="M98" s="247"/>
      <c r="N98" s="247"/>
      <c r="O98" s="248"/>
      <c r="Q98" s="5"/>
      <c r="R98" s="5"/>
      <c r="S98" s="5"/>
    </row>
    <row r="99" spans="2:19">
      <c r="B99" s="41"/>
      <c r="C99" s="249"/>
      <c r="D99" s="249"/>
      <c r="E99" s="249"/>
      <c r="F99" s="249"/>
      <c r="G99" s="249"/>
      <c r="H99" s="249"/>
      <c r="I99" s="5"/>
      <c r="J99" s="249"/>
      <c r="K99" s="249"/>
      <c r="L99" s="249"/>
      <c r="M99" s="249"/>
      <c r="N99" s="249"/>
      <c r="O99" s="248"/>
      <c r="Q99" s="5"/>
      <c r="R99" s="5"/>
      <c r="S99" s="5"/>
    </row>
    <row r="100" spans="2:19">
      <c r="B100" s="41"/>
      <c r="C100" s="257"/>
      <c r="D100" s="248"/>
      <c r="E100" s="248"/>
      <c r="F100" s="248"/>
      <c r="G100" s="248"/>
      <c r="H100" s="248"/>
      <c r="I100" s="259"/>
      <c r="J100" s="248"/>
      <c r="K100" s="248"/>
      <c r="L100" s="248"/>
      <c r="M100" s="248"/>
      <c r="N100" s="248"/>
      <c r="O100" s="248"/>
      <c r="Q100" s="5"/>
      <c r="R100" s="5"/>
      <c r="S100" s="5"/>
    </row>
    <row r="101" spans="2:19" s="5" customFormat="1">
      <c r="B101" s="41"/>
      <c r="I101" s="259"/>
      <c r="O101" s="248"/>
      <c r="P101" s="39"/>
    </row>
    <row r="102" spans="2:19">
      <c r="B102" s="5"/>
      <c r="C102" s="259"/>
      <c r="D102" s="259"/>
      <c r="E102" s="259"/>
      <c r="F102" s="259"/>
      <c r="G102" s="259"/>
      <c r="H102" s="259"/>
      <c r="I102" s="247"/>
      <c r="J102" s="259"/>
      <c r="K102" s="259"/>
      <c r="L102" s="259"/>
      <c r="M102" s="259"/>
      <c r="N102" s="259"/>
      <c r="O102" s="5"/>
      <c r="Q102" s="5"/>
      <c r="R102" s="5"/>
      <c r="S102" s="5"/>
    </row>
    <row r="103" spans="2:19">
      <c r="B103" s="5"/>
      <c r="C103" s="259"/>
      <c r="D103" s="259"/>
      <c r="E103" s="259"/>
      <c r="F103" s="259"/>
      <c r="G103" s="259"/>
      <c r="H103" s="259"/>
      <c r="I103" s="5"/>
      <c r="J103" s="259"/>
      <c r="K103" s="259"/>
      <c r="L103" s="259"/>
      <c r="M103" s="259"/>
      <c r="N103" s="259"/>
      <c r="O103" s="5"/>
      <c r="P103" s="5"/>
      <c r="Q103" s="5"/>
      <c r="R103" s="5"/>
      <c r="S103" s="5"/>
    </row>
    <row r="104" spans="2:19">
      <c r="B104" s="5"/>
      <c r="C104" s="247"/>
      <c r="D104" s="247"/>
      <c r="E104" s="247"/>
      <c r="F104" s="247"/>
      <c r="G104" s="247"/>
      <c r="H104" s="247"/>
      <c r="I104" s="247"/>
      <c r="J104" s="247"/>
      <c r="K104" s="247"/>
      <c r="L104" s="247"/>
      <c r="M104" s="247"/>
      <c r="N104" s="247"/>
      <c r="O104" s="5"/>
      <c r="Q104" s="5"/>
      <c r="R104" s="5"/>
      <c r="S104" s="5"/>
    </row>
    <row r="105" spans="2:19" s="5" customFormat="1">
      <c r="P105" s="39"/>
    </row>
    <row r="106" spans="2:19" s="5" customFormat="1">
      <c r="C106" s="259"/>
      <c r="D106" s="247"/>
      <c r="E106" s="247"/>
      <c r="F106" s="247"/>
      <c r="G106" s="247"/>
      <c r="H106" s="247"/>
      <c r="I106" s="259"/>
      <c r="J106" s="247"/>
      <c r="K106" s="247"/>
      <c r="L106" s="247"/>
      <c r="M106" s="247"/>
      <c r="N106" s="247"/>
      <c r="P106" s="39"/>
    </row>
    <row r="107" spans="2:19">
      <c r="B107" s="5"/>
      <c r="C107" s="259"/>
      <c r="D107" s="5"/>
      <c r="E107" s="5"/>
      <c r="F107" s="5"/>
      <c r="G107" s="5"/>
      <c r="H107" s="5"/>
      <c r="I107" s="247"/>
      <c r="J107" s="5"/>
      <c r="K107" s="5"/>
      <c r="L107" s="5"/>
      <c r="M107" s="5"/>
      <c r="N107" s="5"/>
      <c r="O107" s="5"/>
      <c r="P107" s="5"/>
      <c r="Q107" s="5"/>
      <c r="R107" s="5"/>
      <c r="S107" s="5"/>
    </row>
    <row r="108" spans="2:19">
      <c r="B108" s="5"/>
      <c r="C108" s="259"/>
      <c r="D108" s="259"/>
      <c r="E108" s="259"/>
      <c r="F108" s="259"/>
      <c r="G108" s="259"/>
      <c r="H108" s="259"/>
      <c r="I108" s="249"/>
      <c r="J108" s="259"/>
      <c r="K108" s="259"/>
      <c r="L108" s="259"/>
      <c r="M108" s="259"/>
      <c r="N108" s="259"/>
      <c r="O108" s="5"/>
      <c r="P108" s="5"/>
      <c r="Q108" s="5"/>
      <c r="R108" s="5"/>
      <c r="S108" s="5"/>
    </row>
    <row r="109" spans="2:19">
      <c r="B109" s="5"/>
      <c r="C109" s="247"/>
      <c r="D109" s="247"/>
      <c r="E109" s="247"/>
      <c r="F109" s="247"/>
      <c r="G109" s="247"/>
      <c r="H109" s="247"/>
      <c r="I109" s="249"/>
      <c r="J109" s="247"/>
      <c r="K109" s="247"/>
      <c r="L109" s="247"/>
      <c r="M109" s="247"/>
      <c r="N109" s="247"/>
      <c r="O109" s="5"/>
      <c r="Q109" s="5"/>
      <c r="R109" s="5"/>
      <c r="S109" s="5"/>
    </row>
    <row r="110" spans="2:19">
      <c r="B110" s="41"/>
      <c r="C110" s="249"/>
      <c r="D110" s="249"/>
      <c r="E110" s="249"/>
      <c r="F110" s="249"/>
      <c r="G110" s="249"/>
      <c r="H110" s="249"/>
      <c r="I110" s="247"/>
      <c r="J110" s="249"/>
      <c r="K110" s="249"/>
      <c r="L110" s="249"/>
      <c r="M110" s="249"/>
      <c r="N110" s="249"/>
      <c r="O110" s="5"/>
      <c r="Q110" s="5"/>
      <c r="R110" s="5"/>
      <c r="S110" s="5"/>
    </row>
    <row r="111" spans="2:19">
      <c r="B111" s="5"/>
      <c r="C111" s="249"/>
      <c r="D111" s="249"/>
      <c r="E111" s="249"/>
      <c r="F111" s="249"/>
      <c r="G111" s="249"/>
      <c r="H111" s="249"/>
      <c r="I111" s="5"/>
      <c r="J111" s="249"/>
      <c r="K111" s="249"/>
      <c r="L111" s="249"/>
      <c r="M111" s="249"/>
      <c r="N111" s="249"/>
      <c r="O111" s="5"/>
      <c r="Q111" s="5"/>
      <c r="R111" s="5"/>
      <c r="S111" s="5"/>
    </row>
    <row r="112" spans="2:19">
      <c r="B112" s="5"/>
      <c r="C112" s="247"/>
      <c r="D112" s="247"/>
      <c r="E112" s="247"/>
      <c r="F112" s="247"/>
      <c r="G112" s="247"/>
      <c r="H112" s="247"/>
      <c r="I112" s="5"/>
      <c r="J112" s="247"/>
      <c r="K112" s="247"/>
      <c r="L112" s="247"/>
      <c r="M112" s="247"/>
      <c r="N112" s="247"/>
      <c r="O112" s="5"/>
      <c r="Q112" s="5"/>
      <c r="R112" s="5"/>
      <c r="S112" s="5"/>
    </row>
    <row r="113" spans="2:19">
      <c r="B113" s="5"/>
      <c r="C113" s="5"/>
      <c r="D113" s="5"/>
      <c r="E113" s="5"/>
      <c r="F113" s="5"/>
      <c r="G113" s="5"/>
      <c r="H113" s="5"/>
      <c r="I113" s="5"/>
      <c r="J113" s="5"/>
      <c r="K113" s="5"/>
      <c r="L113" s="5"/>
      <c r="M113" s="5"/>
      <c r="N113" s="5"/>
      <c r="O113" s="5"/>
      <c r="Q113" s="5"/>
      <c r="R113" s="5"/>
      <c r="S113" s="5"/>
    </row>
    <row r="114" spans="2:19">
      <c r="B114" s="5"/>
      <c r="C114" s="5"/>
      <c r="D114" s="5"/>
      <c r="E114" s="5"/>
      <c r="F114" s="5"/>
      <c r="G114" s="5"/>
      <c r="H114" s="5"/>
      <c r="I114" s="5"/>
      <c r="J114" s="5"/>
      <c r="K114" s="5"/>
      <c r="L114" s="5"/>
      <c r="M114" s="5"/>
      <c r="N114" s="5"/>
      <c r="O114" s="5"/>
      <c r="Q114" s="5"/>
      <c r="R114" s="5"/>
      <c r="S114" s="5"/>
    </row>
    <row r="115" spans="2:19">
      <c r="B115" s="5"/>
      <c r="C115" s="5"/>
      <c r="D115" s="5"/>
      <c r="E115" s="5"/>
      <c r="F115" s="5"/>
      <c r="G115" s="5"/>
      <c r="H115" s="5"/>
      <c r="I115" s="49"/>
      <c r="J115" s="5"/>
      <c r="K115" s="5"/>
      <c r="L115" s="5"/>
      <c r="M115" s="5"/>
      <c r="N115" s="5"/>
      <c r="O115" s="5"/>
      <c r="Q115" s="41"/>
      <c r="R115" s="5"/>
      <c r="S115" s="5"/>
    </row>
    <row r="116" spans="2:19">
      <c r="B116" s="5"/>
      <c r="C116" s="5"/>
      <c r="D116" s="5"/>
      <c r="E116" s="5"/>
      <c r="F116" s="5"/>
      <c r="G116" s="5"/>
      <c r="H116" s="5"/>
      <c r="I116" s="5"/>
      <c r="J116" s="5"/>
      <c r="K116" s="5"/>
      <c r="L116" s="5"/>
      <c r="M116" s="5"/>
      <c r="N116" s="5"/>
      <c r="O116" s="5"/>
      <c r="Q116" s="5"/>
      <c r="R116" s="5"/>
      <c r="S116" s="5"/>
    </row>
    <row r="117" spans="2:19">
      <c r="B117" s="41"/>
      <c r="C117" s="49"/>
      <c r="D117" s="49"/>
      <c r="E117" s="49"/>
      <c r="F117" s="49"/>
      <c r="G117" s="49"/>
      <c r="H117" s="49"/>
      <c r="I117" s="254"/>
      <c r="J117" s="49"/>
      <c r="K117" s="49"/>
      <c r="L117" s="49"/>
      <c r="M117" s="49"/>
      <c r="N117" s="49"/>
      <c r="O117" s="49"/>
      <c r="Q117" s="5"/>
      <c r="R117" s="5"/>
      <c r="S117" s="5"/>
    </row>
    <row r="118" spans="2:19">
      <c r="B118" s="5"/>
      <c r="C118" s="5"/>
      <c r="D118" s="5"/>
      <c r="E118" s="5"/>
      <c r="F118" s="5"/>
      <c r="G118" s="5"/>
      <c r="H118" s="5"/>
      <c r="I118" s="249"/>
      <c r="J118" s="5"/>
      <c r="K118" s="5"/>
      <c r="L118" s="5"/>
      <c r="M118" s="5"/>
      <c r="N118" s="5"/>
      <c r="O118" s="5"/>
      <c r="Q118" s="5"/>
      <c r="R118" s="5"/>
      <c r="S118" s="5"/>
    </row>
    <row r="119" spans="2:19">
      <c r="B119" s="41"/>
      <c r="C119" s="254"/>
      <c r="D119" s="254"/>
      <c r="E119" s="254"/>
      <c r="F119" s="254"/>
      <c r="G119" s="254"/>
      <c r="H119" s="254"/>
      <c r="I119" s="254"/>
      <c r="J119" s="254"/>
      <c r="K119" s="254"/>
      <c r="L119" s="254"/>
      <c r="M119" s="254"/>
      <c r="N119" s="254"/>
      <c r="O119" s="248"/>
      <c r="Q119" s="5"/>
      <c r="R119" s="5"/>
      <c r="S119" s="5"/>
    </row>
    <row r="120" spans="2:19">
      <c r="B120" s="41"/>
      <c r="C120" s="254"/>
      <c r="D120" s="249"/>
      <c r="E120" s="249"/>
      <c r="F120" s="249"/>
      <c r="G120" s="249"/>
      <c r="H120" s="249"/>
      <c r="I120" s="254"/>
      <c r="J120" s="249"/>
      <c r="K120" s="249"/>
      <c r="L120" s="249"/>
      <c r="M120" s="249"/>
      <c r="N120" s="249"/>
      <c r="O120" s="248"/>
      <c r="Q120" s="5"/>
      <c r="R120" s="5"/>
      <c r="S120" s="5"/>
    </row>
    <row r="121" spans="2:19">
      <c r="B121" s="41"/>
      <c r="C121" s="254"/>
      <c r="D121" s="254"/>
      <c r="E121" s="254"/>
      <c r="F121" s="254"/>
      <c r="G121" s="254"/>
      <c r="H121" s="254"/>
      <c r="I121" s="254"/>
      <c r="J121" s="254"/>
      <c r="K121" s="254"/>
      <c r="L121" s="254"/>
      <c r="M121" s="254"/>
      <c r="N121" s="254"/>
      <c r="O121" s="248"/>
      <c r="Q121" s="5"/>
      <c r="R121" s="5"/>
      <c r="S121" s="5"/>
    </row>
    <row r="122" spans="2:19">
      <c r="B122" s="41"/>
      <c r="C122" s="254"/>
      <c r="D122" s="254"/>
      <c r="E122" s="254"/>
      <c r="F122" s="254"/>
      <c r="G122" s="254"/>
      <c r="H122" s="254"/>
      <c r="I122" s="254"/>
      <c r="J122" s="254"/>
      <c r="K122" s="254"/>
      <c r="L122" s="254"/>
      <c r="M122" s="254"/>
      <c r="N122" s="254"/>
      <c r="O122" s="248"/>
      <c r="Q122" s="5"/>
      <c r="R122" s="5"/>
      <c r="S122" s="5"/>
    </row>
    <row r="123" spans="2:19">
      <c r="B123" s="41"/>
      <c r="C123" s="254"/>
      <c r="D123" s="254"/>
      <c r="E123" s="254"/>
      <c r="F123" s="254"/>
      <c r="G123" s="254"/>
      <c r="H123" s="254"/>
      <c r="I123" s="254"/>
      <c r="J123" s="254"/>
      <c r="K123" s="254"/>
      <c r="L123" s="254"/>
      <c r="M123" s="254"/>
      <c r="N123" s="254"/>
      <c r="O123" s="248"/>
      <c r="Q123" s="5"/>
      <c r="R123" s="5"/>
      <c r="S123" s="5"/>
    </row>
    <row r="124" spans="2:19">
      <c r="B124" s="41"/>
      <c r="C124" s="254"/>
      <c r="D124" s="254"/>
      <c r="E124" s="254"/>
      <c r="F124" s="254"/>
      <c r="G124" s="254"/>
      <c r="H124" s="254"/>
      <c r="I124" s="254"/>
      <c r="J124" s="254"/>
      <c r="K124" s="254"/>
      <c r="L124" s="254"/>
      <c r="M124" s="254"/>
      <c r="N124" s="254"/>
      <c r="O124" s="248"/>
      <c r="Q124" s="5"/>
      <c r="R124" s="5"/>
      <c r="S124" s="5"/>
    </row>
    <row r="125" spans="2:19">
      <c r="B125" s="41"/>
      <c r="C125" s="254"/>
      <c r="D125" s="254"/>
      <c r="E125" s="254"/>
      <c r="F125" s="254"/>
      <c r="G125" s="254"/>
      <c r="H125" s="254"/>
      <c r="I125" s="254"/>
      <c r="J125" s="254"/>
      <c r="K125" s="254"/>
      <c r="L125" s="254"/>
      <c r="M125" s="254"/>
      <c r="N125" s="254"/>
      <c r="O125" s="5"/>
      <c r="Q125" s="5"/>
      <c r="R125" s="5"/>
      <c r="S125" s="5"/>
    </row>
    <row r="126" spans="2:19">
      <c r="B126" s="41"/>
      <c r="C126" s="254"/>
      <c r="D126" s="254"/>
      <c r="E126" s="254"/>
      <c r="F126" s="254"/>
      <c r="G126" s="254"/>
      <c r="H126" s="254"/>
      <c r="I126" s="254"/>
      <c r="J126" s="254"/>
      <c r="K126" s="254"/>
      <c r="L126" s="254"/>
      <c r="M126" s="254"/>
      <c r="N126" s="254"/>
      <c r="O126" s="5"/>
      <c r="Q126" s="5"/>
      <c r="R126" s="5"/>
      <c r="S126" s="5"/>
    </row>
    <row r="127" spans="2:19">
      <c r="B127" s="41"/>
      <c r="C127" s="254"/>
      <c r="D127" s="254"/>
      <c r="E127" s="254"/>
      <c r="F127" s="254"/>
      <c r="G127" s="254"/>
      <c r="H127" s="254"/>
      <c r="I127" s="18"/>
      <c r="J127" s="254"/>
      <c r="K127" s="254"/>
      <c r="L127" s="254"/>
      <c r="M127" s="254"/>
      <c r="N127" s="254"/>
      <c r="O127" s="5"/>
      <c r="Q127" s="5"/>
      <c r="R127" s="5"/>
      <c r="S127" s="5"/>
    </row>
    <row r="128" spans="2:19">
      <c r="B128" s="41"/>
      <c r="C128" s="254"/>
      <c r="D128" s="254"/>
      <c r="E128" s="254"/>
      <c r="F128" s="254"/>
      <c r="G128" s="254"/>
      <c r="H128" s="254"/>
      <c r="I128" s="5"/>
      <c r="J128" s="254"/>
      <c r="K128" s="254"/>
      <c r="L128" s="254"/>
      <c r="M128" s="254"/>
      <c r="N128" s="254"/>
      <c r="O128" s="5"/>
      <c r="Q128" s="5"/>
      <c r="R128" s="5"/>
      <c r="S128" s="5"/>
    </row>
    <row r="129" spans="2:27">
      <c r="B129" s="5"/>
      <c r="C129" s="5"/>
      <c r="D129" s="18"/>
      <c r="E129" s="18"/>
      <c r="F129" s="18"/>
      <c r="G129" s="18"/>
      <c r="H129" s="18"/>
      <c r="I129" s="254"/>
      <c r="J129" s="18"/>
      <c r="K129" s="18"/>
      <c r="L129" s="18"/>
      <c r="M129" s="18"/>
      <c r="N129" s="18"/>
      <c r="O129" s="5"/>
      <c r="Q129" s="5"/>
      <c r="R129" s="5"/>
      <c r="S129" s="5"/>
    </row>
    <row r="130" spans="2:27">
      <c r="B130" s="5"/>
      <c r="C130" s="5"/>
      <c r="D130" s="5"/>
      <c r="E130" s="5"/>
      <c r="F130" s="5"/>
      <c r="G130" s="5"/>
      <c r="H130" s="5"/>
      <c r="I130" s="18"/>
      <c r="J130" s="5"/>
      <c r="K130" s="5"/>
      <c r="L130" s="5"/>
      <c r="M130" s="5"/>
      <c r="N130" s="5"/>
      <c r="O130" s="5"/>
      <c r="Q130" s="5"/>
      <c r="R130" s="5"/>
      <c r="S130" s="5"/>
    </row>
    <row r="131" spans="2:27">
      <c r="B131" s="41"/>
      <c r="C131" s="254"/>
      <c r="D131" s="254"/>
      <c r="E131" s="254"/>
      <c r="F131" s="254"/>
      <c r="G131" s="254"/>
      <c r="H131" s="254"/>
      <c r="I131" s="5"/>
      <c r="J131" s="254"/>
      <c r="K131" s="254"/>
      <c r="L131" s="254"/>
      <c r="M131" s="254"/>
      <c r="N131" s="254"/>
      <c r="O131" s="5"/>
      <c r="Q131" s="5"/>
      <c r="R131" s="5"/>
      <c r="S131" s="5"/>
    </row>
    <row r="132" spans="2:27">
      <c r="B132" s="5"/>
      <c r="C132" s="259"/>
      <c r="D132" s="18"/>
      <c r="E132" s="18"/>
      <c r="F132" s="18"/>
      <c r="G132" s="18"/>
      <c r="H132" s="18"/>
      <c r="I132" s="5"/>
      <c r="J132" s="18"/>
      <c r="K132" s="18"/>
      <c r="L132" s="18"/>
      <c r="M132" s="18"/>
      <c r="N132" s="18"/>
      <c r="O132" s="5"/>
      <c r="Q132" s="5"/>
      <c r="R132" s="5"/>
      <c r="S132" s="5"/>
    </row>
    <row r="133" spans="2:27">
      <c r="B133" s="5"/>
      <c r="C133" s="5"/>
      <c r="D133" s="5"/>
      <c r="E133" s="5"/>
      <c r="F133" s="5"/>
      <c r="G133" s="5"/>
      <c r="H133" s="5"/>
      <c r="I133" s="17"/>
      <c r="J133" s="5"/>
      <c r="K133" s="5"/>
      <c r="L133" s="5"/>
      <c r="M133" s="5"/>
      <c r="N133" s="5"/>
      <c r="O133" s="5"/>
      <c r="Q133" s="5"/>
      <c r="R133" s="5"/>
      <c r="S133" s="5"/>
    </row>
    <row r="134" spans="2:27">
      <c r="B134" s="41"/>
      <c r="C134" s="5"/>
      <c r="D134" s="5"/>
      <c r="E134" s="5"/>
      <c r="F134" s="5"/>
      <c r="G134" s="5"/>
      <c r="H134" s="5"/>
      <c r="I134" s="17"/>
      <c r="J134" s="5"/>
      <c r="K134" s="5"/>
      <c r="L134" s="5"/>
      <c r="M134" s="5"/>
      <c r="N134" s="5"/>
      <c r="O134" s="5"/>
      <c r="Q134" s="5"/>
      <c r="R134" s="5"/>
      <c r="S134" s="5"/>
    </row>
    <row r="135" spans="2:27">
      <c r="B135" s="5"/>
      <c r="C135" s="17"/>
      <c r="D135" s="17"/>
      <c r="E135" s="17"/>
      <c r="F135" s="17"/>
      <c r="G135" s="17"/>
      <c r="H135" s="17"/>
      <c r="I135" s="17"/>
      <c r="J135" s="17"/>
      <c r="K135" s="17"/>
      <c r="L135" s="17"/>
      <c r="M135" s="17"/>
      <c r="N135" s="17"/>
      <c r="O135" s="5"/>
      <c r="Q135" s="41"/>
      <c r="R135" s="5"/>
      <c r="S135" s="5"/>
    </row>
    <row r="136" spans="2:27">
      <c r="B136" s="5"/>
      <c r="C136" s="17"/>
      <c r="D136" s="17"/>
      <c r="E136" s="17"/>
      <c r="F136" s="17"/>
      <c r="G136" s="17"/>
      <c r="H136" s="17"/>
      <c r="I136" s="17"/>
      <c r="J136" s="17"/>
      <c r="K136" s="17"/>
      <c r="L136" s="17"/>
      <c r="M136" s="17"/>
      <c r="N136" s="17"/>
      <c r="O136" s="5"/>
      <c r="Q136" s="5"/>
      <c r="R136" s="5"/>
      <c r="S136" s="5"/>
      <c r="X136" s="304"/>
    </row>
    <row r="137" spans="2:27">
      <c r="B137" s="5"/>
      <c r="C137" s="5"/>
      <c r="D137" s="17"/>
      <c r="E137" s="17"/>
      <c r="F137" s="17"/>
      <c r="G137" s="17"/>
      <c r="H137" s="17"/>
      <c r="I137" s="17"/>
      <c r="J137" s="17"/>
      <c r="K137" s="17"/>
      <c r="L137" s="17"/>
      <c r="M137" s="17"/>
      <c r="N137" s="17"/>
      <c r="O137" s="5"/>
      <c r="Q137" s="5"/>
      <c r="R137" s="5"/>
      <c r="S137" s="5"/>
      <c r="X137" s="10"/>
      <c r="Y137" s="304"/>
      <c r="Z137" s="304"/>
      <c r="AA137" s="304"/>
    </row>
    <row r="138" spans="2:27">
      <c r="B138" s="5"/>
      <c r="C138" s="5"/>
      <c r="D138" s="17"/>
      <c r="E138" s="17"/>
      <c r="F138" s="17"/>
      <c r="G138" s="17"/>
      <c r="H138" s="17"/>
      <c r="I138" s="17"/>
      <c r="J138" s="17"/>
      <c r="K138" s="17"/>
      <c r="L138" s="17"/>
      <c r="M138" s="17"/>
      <c r="N138" s="17"/>
      <c r="O138" s="5"/>
      <c r="Q138" s="5"/>
      <c r="R138" s="5"/>
      <c r="S138" s="5"/>
      <c r="Y138" s="10"/>
      <c r="Z138" s="10"/>
      <c r="AA138" s="10"/>
    </row>
    <row r="139" spans="2:27">
      <c r="B139" s="5"/>
      <c r="C139" s="5"/>
      <c r="D139" s="17"/>
      <c r="E139" s="17"/>
      <c r="F139" s="17"/>
      <c r="G139" s="17"/>
      <c r="H139" s="17"/>
      <c r="I139" s="5"/>
      <c r="J139" s="17"/>
      <c r="K139" s="17"/>
      <c r="L139" s="17"/>
      <c r="M139" s="17"/>
      <c r="N139" s="17"/>
      <c r="O139" s="5"/>
      <c r="Q139" s="5"/>
      <c r="R139" s="5"/>
      <c r="S139" s="5"/>
    </row>
    <row r="140" spans="2:27">
      <c r="B140" s="5"/>
      <c r="C140" s="17"/>
      <c r="D140" s="17"/>
      <c r="E140" s="17"/>
      <c r="F140" s="17"/>
      <c r="G140" s="17"/>
      <c r="H140" s="17"/>
      <c r="I140" s="5"/>
      <c r="J140" s="17"/>
      <c r="K140" s="17"/>
      <c r="L140" s="17"/>
      <c r="M140" s="17"/>
      <c r="N140" s="17"/>
      <c r="O140" s="5"/>
      <c r="Q140" s="5"/>
      <c r="R140" s="5"/>
      <c r="S140" s="5"/>
    </row>
    <row r="141" spans="2:27">
      <c r="B141" s="5"/>
      <c r="C141" s="5"/>
      <c r="D141" s="5"/>
      <c r="E141" s="5"/>
      <c r="F141" s="5"/>
      <c r="G141" s="5"/>
      <c r="H141" s="5"/>
      <c r="I141" s="5"/>
      <c r="J141" s="5"/>
      <c r="K141" s="5"/>
      <c r="L141" s="5"/>
      <c r="M141" s="5"/>
      <c r="N141" s="5"/>
      <c r="O141" s="5"/>
      <c r="Q141" s="5"/>
      <c r="R141" s="5"/>
      <c r="S141" s="5"/>
    </row>
    <row r="142" spans="2:27">
      <c r="B142" s="5"/>
      <c r="C142" s="5"/>
      <c r="D142" s="5"/>
      <c r="E142" s="5"/>
      <c r="F142" s="5"/>
      <c r="G142" s="5"/>
      <c r="H142" s="5"/>
      <c r="I142" s="5"/>
      <c r="J142" s="5"/>
      <c r="K142" s="5"/>
      <c r="L142" s="5"/>
      <c r="M142" s="5"/>
      <c r="N142" s="5"/>
      <c r="O142" s="5"/>
      <c r="Q142" s="5"/>
      <c r="R142" s="5"/>
      <c r="S142" s="5"/>
    </row>
    <row r="143" spans="2:27">
      <c r="B143" s="5"/>
      <c r="C143" s="5"/>
      <c r="D143" s="5"/>
      <c r="E143" s="5"/>
      <c r="F143" s="5"/>
      <c r="G143" s="5"/>
      <c r="H143" s="5"/>
      <c r="I143" s="5"/>
      <c r="J143" s="5"/>
      <c r="K143" s="5"/>
      <c r="L143" s="5"/>
      <c r="M143" s="5"/>
      <c r="N143" s="5"/>
      <c r="O143" s="5"/>
      <c r="Q143" s="5"/>
      <c r="R143" s="5"/>
      <c r="S143" s="5"/>
    </row>
    <row r="144" spans="2:27">
      <c r="B144" s="5"/>
      <c r="C144" s="5"/>
      <c r="D144" s="5"/>
      <c r="E144" s="5"/>
      <c r="F144" s="5"/>
      <c r="G144" s="5"/>
      <c r="H144" s="5"/>
      <c r="I144" s="5"/>
      <c r="J144" s="5"/>
      <c r="K144" s="5"/>
      <c r="L144" s="5"/>
      <c r="M144" s="5"/>
      <c r="N144" s="5"/>
      <c r="O144" s="5"/>
      <c r="Q144" s="5"/>
      <c r="R144" s="5"/>
      <c r="S144" s="5"/>
    </row>
    <row r="145" spans="2:19">
      <c r="B145" s="5"/>
      <c r="C145" s="5"/>
      <c r="D145" s="5"/>
      <c r="E145" s="5"/>
      <c r="F145" s="5"/>
      <c r="G145" s="5"/>
      <c r="H145" s="5"/>
      <c r="I145" s="5"/>
      <c r="J145" s="5"/>
      <c r="K145" s="5"/>
      <c r="L145" s="5"/>
      <c r="M145" s="5"/>
      <c r="N145" s="5"/>
      <c r="O145" s="5"/>
      <c r="Q145" s="5"/>
      <c r="R145" s="5"/>
      <c r="S145" s="5"/>
    </row>
    <row r="146" spans="2:19">
      <c r="B146" s="5"/>
      <c r="C146" s="5"/>
      <c r="D146" s="5"/>
      <c r="E146" s="5"/>
      <c r="F146" s="5"/>
      <c r="G146" s="5"/>
      <c r="H146" s="5"/>
      <c r="I146" s="5"/>
      <c r="J146" s="5"/>
      <c r="K146" s="5"/>
      <c r="L146" s="5"/>
      <c r="M146" s="5"/>
      <c r="N146" s="5"/>
      <c r="O146" s="5"/>
      <c r="Q146" s="5"/>
      <c r="R146" s="5"/>
      <c r="S146" s="5"/>
    </row>
    <row r="147" spans="2:19">
      <c r="B147" s="5"/>
      <c r="C147" s="5"/>
      <c r="D147" s="5"/>
      <c r="E147" s="5"/>
      <c r="F147" s="5"/>
      <c r="G147" s="5"/>
      <c r="H147" s="5"/>
      <c r="I147" s="5"/>
      <c r="J147" s="5"/>
      <c r="K147" s="5"/>
      <c r="L147" s="5"/>
      <c r="M147" s="5"/>
      <c r="N147" s="5"/>
      <c r="O147" s="5"/>
      <c r="Q147" s="5"/>
      <c r="R147" s="5"/>
      <c r="S147" s="5"/>
    </row>
    <row r="148" spans="2:19">
      <c r="B148" s="5"/>
      <c r="C148" s="5"/>
      <c r="D148" s="5"/>
      <c r="E148" s="5"/>
      <c r="F148" s="5"/>
      <c r="G148" s="5"/>
      <c r="H148" s="5"/>
      <c r="I148" s="5"/>
      <c r="J148" s="5"/>
      <c r="K148" s="5"/>
      <c r="L148" s="5"/>
      <c r="M148" s="5"/>
      <c r="N148" s="5"/>
      <c r="O148" s="5"/>
      <c r="Q148" s="5"/>
      <c r="R148" s="5"/>
      <c r="S148" s="5"/>
    </row>
    <row r="149" spans="2:19">
      <c r="B149" s="5"/>
      <c r="C149" s="5"/>
      <c r="D149" s="5"/>
      <c r="E149" s="5"/>
      <c r="F149" s="5"/>
      <c r="G149" s="5"/>
      <c r="H149" s="5"/>
      <c r="J149" s="5"/>
      <c r="K149" s="5"/>
      <c r="L149" s="5"/>
      <c r="M149" s="5"/>
      <c r="N149" s="5"/>
      <c r="O149" s="5"/>
      <c r="Q149" s="5"/>
      <c r="R149" s="5"/>
      <c r="S149" s="5"/>
    </row>
    <row r="150" spans="2:19">
      <c r="B150" s="5"/>
      <c r="C150" s="5"/>
      <c r="D150" s="5"/>
      <c r="E150" s="5"/>
      <c r="F150" s="5"/>
      <c r="G150" s="5"/>
      <c r="H150" s="5"/>
      <c r="J150" s="5"/>
      <c r="K150" s="5"/>
      <c r="L150" s="5"/>
      <c r="M150" s="5"/>
      <c r="N150" s="5"/>
      <c r="O150" s="5"/>
      <c r="Q150" s="5"/>
      <c r="R150" s="5"/>
      <c r="S150" s="5"/>
    </row>
    <row r="151" spans="2:19">
      <c r="Q151" s="5"/>
      <c r="R151" s="5"/>
      <c r="S151" s="5"/>
    </row>
    <row r="152" spans="2:19">
      <c r="Q152" s="5"/>
      <c r="R152" s="5"/>
      <c r="S152" s="5"/>
    </row>
    <row r="153" spans="2:19">
      <c r="C153" s="263"/>
      <c r="Q153" s="5"/>
      <c r="R153" s="5"/>
      <c r="S153" s="5"/>
    </row>
    <row r="154" spans="2:19">
      <c r="Q154" s="5"/>
      <c r="R154" s="5"/>
      <c r="S154" s="5"/>
    </row>
    <row r="155" spans="2:19">
      <c r="Q155" s="5"/>
      <c r="R155" s="5"/>
      <c r="S155" s="5"/>
    </row>
    <row r="156" spans="2:19">
      <c r="Q156" s="5"/>
      <c r="R156" s="5"/>
      <c r="S156" s="5"/>
    </row>
    <row r="157" spans="2:19">
      <c r="Q157" s="5"/>
      <c r="R157" s="5"/>
      <c r="S157" s="5"/>
    </row>
    <row r="158" spans="2:19">
      <c r="Q158" s="5"/>
      <c r="R158" s="5"/>
      <c r="S158" s="5"/>
    </row>
    <row r="159" spans="2:19">
      <c r="Q159" s="5"/>
      <c r="R159" s="5"/>
      <c r="S159" s="5"/>
    </row>
    <row r="160" spans="2:19">
      <c r="Q160" s="5"/>
      <c r="R160" s="5"/>
      <c r="S160" s="5"/>
    </row>
    <row r="161" spans="17:19">
      <c r="Q161" s="5"/>
      <c r="R161" s="5"/>
      <c r="S161" s="5"/>
    </row>
    <row r="162" spans="17:19">
      <c r="Q162" s="5"/>
      <c r="R162" s="5"/>
      <c r="S162" s="5"/>
    </row>
    <row r="163" spans="17:19">
      <c r="Q163" s="5"/>
      <c r="R163" s="5"/>
      <c r="S163" s="5"/>
    </row>
    <row r="164" spans="17:19">
      <c r="Q164" s="5"/>
      <c r="R164" s="5"/>
      <c r="S164" s="5"/>
    </row>
    <row r="165" spans="17:19">
      <c r="Q165" s="5"/>
      <c r="R165" s="5"/>
      <c r="S165" s="5"/>
    </row>
  </sheetData>
  <phoneticPr fontId="7" type="noConversion"/>
  <hyperlinks>
    <hyperlink ref="C2" location="BHARTSOP!A1" display="Jump to Bharti SOP" xr:uid="{00000000-0004-0000-0E00-000001000000}"/>
  </hyperlinks>
  <pageMargins left="0.75" right="0.75" top="1" bottom="1" header="0.5" footer="0.5"/>
  <pageSetup scale="71" orientation="landscape"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7">
    <pageSetUpPr fitToPage="1"/>
  </sheetPr>
  <dimension ref="B1:AA165"/>
  <sheetViews>
    <sheetView showGridLines="0" zoomScale="80" zoomScaleNormal="80" zoomScaleSheetLayoutView="80" workbookViewId="0"/>
  </sheetViews>
  <sheetFormatPr defaultColWidth="9.109375" defaultRowHeight="12"/>
  <cols>
    <col min="1" max="1" width="2.33203125" style="39" customWidth="1"/>
    <col min="2" max="2" width="26.5546875" style="39" customWidth="1"/>
    <col min="3" max="9" width="10" style="39" customWidth="1"/>
    <col min="10" max="10" width="26.6640625" style="39" customWidth="1"/>
    <col min="11" max="16" width="10" style="39" customWidth="1"/>
    <col min="17" max="19" width="8.6640625" style="39" customWidth="1"/>
    <col min="20" max="27" width="8.6640625" style="5" customWidth="1"/>
    <col min="28" max="28" width="8.6640625" style="39" customWidth="1"/>
    <col min="29" max="16384" width="9.109375" style="39"/>
  </cols>
  <sheetData>
    <row r="1" spans="2:27" s="312" customFormat="1">
      <c r="T1" s="149"/>
      <c r="U1" s="149"/>
      <c r="V1" s="149"/>
      <c r="W1" s="149"/>
      <c r="X1" s="149"/>
      <c r="Y1" s="149"/>
      <c r="Z1" s="149"/>
      <c r="AA1" s="149"/>
    </row>
    <row r="2" spans="2:27" s="149" customFormat="1"/>
    <row r="3" spans="2:27" s="149" customFormat="1">
      <c r="H3" s="153"/>
      <c r="P3" s="153"/>
    </row>
    <row r="4" spans="2:27" s="156" customFormat="1" ht="21">
      <c r="B4" s="129" t="s">
        <v>1376</v>
      </c>
      <c r="H4" s="222"/>
      <c r="P4" s="222"/>
    </row>
    <row r="5" spans="2:27" s="149" customFormat="1">
      <c r="C5" s="153"/>
      <c r="D5" s="153" t="str" cm="1">
        <f t="array" ref="D5:H5">headings</f>
        <v>2023E</v>
      </c>
      <c r="E5" s="153" t="str">
        <v>2024E</v>
      </c>
      <c r="F5" s="153" t="str">
        <v>2025E</v>
      </c>
      <c r="G5" s="153" t="str">
        <v>2026E</v>
      </c>
      <c r="H5" s="153" t="str">
        <v>23E-26E</v>
      </c>
      <c r="I5" s="153"/>
      <c r="J5" s="153"/>
      <c r="K5" s="153"/>
      <c r="L5" s="153" t="str" cm="1">
        <f t="array" ref="L5:P5">headings</f>
        <v>2023E</v>
      </c>
      <c r="M5" s="153" t="str">
        <v>2024E</v>
      </c>
      <c r="N5" s="153" t="str">
        <v>2025E</v>
      </c>
      <c r="O5" s="153" t="str">
        <v>2026E</v>
      </c>
      <c r="P5" s="153" t="str">
        <v>23E-26E</v>
      </c>
      <c r="Q5" s="162"/>
      <c r="R5" s="162"/>
      <c r="S5" s="162"/>
      <c r="T5" s="162"/>
      <c r="U5" s="162"/>
      <c r="V5" s="162"/>
      <c r="W5" s="162"/>
      <c r="X5" s="162"/>
      <c r="Y5" s="162"/>
    </row>
    <row r="6" spans="2:27">
      <c r="I6" s="5"/>
      <c r="J6" s="5"/>
      <c r="K6" s="5"/>
      <c r="L6" s="5"/>
      <c r="M6" s="5"/>
      <c r="N6" s="5"/>
      <c r="O6" s="49"/>
    </row>
    <row r="7" spans="2:27" ht="12.6" thickBot="1">
      <c r="B7" s="306" t="s">
        <v>271</v>
      </c>
      <c r="C7" s="265"/>
      <c r="D7" s="265" t="str">
        <f>D5</f>
        <v>2023E</v>
      </c>
      <c r="E7" s="265" t="str">
        <f t="shared" ref="E7:H7" si="0">E5</f>
        <v>2024E</v>
      </c>
      <c r="F7" s="265" t="str">
        <f t="shared" si="0"/>
        <v>2025E</v>
      </c>
      <c r="G7" s="265" t="str">
        <f t="shared" si="0"/>
        <v>2026E</v>
      </c>
      <c r="H7" s="265" t="str">
        <f t="shared" si="0"/>
        <v>23E-26E</v>
      </c>
      <c r="I7" s="49"/>
      <c r="J7" s="306" t="s">
        <v>74</v>
      </c>
      <c r="K7" s="306"/>
      <c r="L7" s="265" t="str">
        <f>L5</f>
        <v>2023E</v>
      </c>
      <c r="M7" s="265" t="str">
        <f t="shared" ref="M7:P7" si="1">M5</f>
        <v>2024E</v>
      </c>
      <c r="N7" s="265" t="str">
        <f t="shared" si="1"/>
        <v>2025E</v>
      </c>
      <c r="O7" s="265" t="str">
        <f t="shared" si="1"/>
        <v>2026E</v>
      </c>
      <c r="P7" s="265" t="str">
        <f t="shared" si="1"/>
        <v>23E-26E</v>
      </c>
    </row>
    <row r="8" spans="2:27" ht="12.6" thickTop="1">
      <c r="B8" s="5"/>
      <c r="C8" s="5"/>
      <c r="D8" s="5"/>
      <c r="E8" s="5"/>
      <c r="F8" s="5"/>
      <c r="G8" s="5"/>
      <c r="H8" s="5"/>
      <c r="I8" s="5"/>
      <c r="J8" s="5"/>
      <c r="K8" s="5"/>
      <c r="L8" s="5"/>
      <c r="M8" s="5"/>
      <c r="N8" s="5"/>
      <c r="S8" s="88"/>
      <c r="T8" s="42"/>
      <c r="U8" s="42"/>
      <c r="V8" s="42"/>
      <c r="W8" s="42"/>
      <c r="X8" s="42"/>
      <c r="Y8" s="42"/>
      <c r="Z8" s="42"/>
      <c r="AA8" s="42"/>
    </row>
    <row r="9" spans="2:27">
      <c r="B9" s="41" t="s">
        <v>87</v>
      </c>
      <c r="C9" s="285">
        <f>Prices!$C$97</f>
        <v>346.65</v>
      </c>
      <c r="D9" s="535">
        <v>0</v>
      </c>
      <c r="E9" s="536">
        <v>0</v>
      </c>
      <c r="F9" s="536">
        <v>0</v>
      </c>
      <c r="G9" s="536">
        <v>0</v>
      </c>
      <c r="H9" s="249"/>
      <c r="I9" s="249"/>
      <c r="J9" s="5" t="s">
        <v>273</v>
      </c>
      <c r="L9" s="529">
        <f>'AGG ASIA CELLULAR'!D37</f>
        <v>2.0832818906884643</v>
      </c>
      <c r="M9" s="529">
        <f>'AGG ASIA CELLULAR'!E37</f>
        <v>1.9180381131180324</v>
      </c>
      <c r="N9" s="529">
        <f>'AGG ASIA CELLULAR'!F37</f>
        <v>1.6973984727138696</v>
      </c>
      <c r="O9" s="529">
        <f>'AGG ASIA CELLULAR'!G37</f>
        <v>1.4849146547081604</v>
      </c>
      <c r="P9" s="286">
        <f>'AGG ASIA CELLULAR'!H37</f>
        <v>5.2823672985303771E-2</v>
      </c>
      <c r="S9" s="88"/>
      <c r="T9" s="42"/>
      <c r="U9" s="42"/>
      <c r="V9" s="42"/>
      <c r="W9" s="42"/>
      <c r="X9" s="42"/>
      <c r="Y9" s="42"/>
      <c r="Z9" s="42"/>
      <c r="AA9" s="42"/>
    </row>
    <row r="10" spans="2:27">
      <c r="B10" s="5" t="s">
        <v>274</v>
      </c>
      <c r="C10" s="5"/>
      <c r="D10" s="531">
        <v>2694.9369499999998</v>
      </c>
      <c r="E10" s="531">
        <v>2694.9369499999998</v>
      </c>
      <c r="F10" s="531">
        <v>2694.9369499999998</v>
      </c>
      <c r="G10" s="531">
        <v>2694.9369499999998</v>
      </c>
      <c r="H10" s="247"/>
      <c r="I10" s="247"/>
      <c r="J10" s="5" t="s">
        <v>184</v>
      </c>
      <c r="L10" s="529">
        <f>'AGG ASIA CELLULAR'!D38</f>
        <v>6.3578764048835863</v>
      </c>
      <c r="M10" s="529">
        <f>'AGG ASIA CELLULAR'!E38</f>
        <v>5.8349432944863064</v>
      </c>
      <c r="N10" s="529">
        <f>'AGG ASIA CELLULAR'!F38</f>
        <v>5.103853656504258</v>
      </c>
      <c r="O10" s="529">
        <f>'AGG ASIA CELLULAR'!G38</f>
        <v>4.4165179955724438</v>
      </c>
      <c r="P10" s="286">
        <f>'AGG ASIA CELLULAR'!H38</f>
        <v>6.1901299000113985E-2</v>
      </c>
      <c r="S10" s="88"/>
      <c r="T10" s="42"/>
      <c r="U10" s="42"/>
      <c r="V10" s="42"/>
      <c r="W10" s="288"/>
      <c r="X10" s="288"/>
      <c r="Y10" s="288"/>
      <c r="Z10" s="288"/>
      <c r="AA10" s="42"/>
    </row>
    <row r="11" spans="2:27">
      <c r="B11" s="41" t="s">
        <v>275</v>
      </c>
      <c r="C11" s="5"/>
      <c r="D11" s="532">
        <f>$C$9*D10</f>
        <v>934199.89371749992</v>
      </c>
      <c r="E11" s="532">
        <f>$C$9*E10</f>
        <v>934199.89371749992</v>
      </c>
      <c r="F11" s="532">
        <f>$C$9*F10</f>
        <v>934199.89371749992</v>
      </c>
      <c r="G11" s="532">
        <f>$C$9*G10</f>
        <v>934199.89371749992</v>
      </c>
      <c r="H11" s="249"/>
      <c r="I11" s="249"/>
      <c r="J11" s="5" t="s">
        <v>185</v>
      </c>
      <c r="L11" s="529">
        <f>'AGG ASIA CELLULAR'!D39</f>
        <v>12.256315794878686</v>
      </c>
      <c r="M11" s="529">
        <f>'AGG ASIA CELLULAR'!E39</f>
        <v>10.532349001792122</v>
      </c>
      <c r="N11" s="529">
        <f>'AGG ASIA CELLULAR'!F39</f>
        <v>8.8097379743624202</v>
      </c>
      <c r="O11" s="529">
        <f>'AGG ASIA CELLULAR'!G39</f>
        <v>7.3400525025099741</v>
      </c>
      <c r="P11" s="286">
        <f>'AGG ASIA CELLULAR'!H39</f>
        <v>0.11573327430771596</v>
      </c>
      <c r="S11" s="88"/>
      <c r="T11" s="42"/>
      <c r="U11" s="42"/>
      <c r="V11" s="42"/>
      <c r="W11" s="288"/>
      <c r="X11" s="288"/>
      <c r="Y11" s="288"/>
      <c r="Z11" s="288"/>
      <c r="AA11" s="42"/>
    </row>
    <row r="12" spans="2:27">
      <c r="B12" s="5" t="s">
        <v>24</v>
      </c>
      <c r="C12" s="249"/>
      <c r="D12" s="533">
        <v>135392.06728448468</v>
      </c>
      <c r="E12" s="533">
        <v>90151.976187272026</v>
      </c>
      <c r="F12" s="533">
        <v>39707.994751250801</v>
      </c>
      <c r="G12" s="533">
        <v>-15667.930910811105</v>
      </c>
      <c r="H12" s="247"/>
      <c r="I12" s="247"/>
      <c r="J12" s="5" t="s">
        <v>466</v>
      </c>
      <c r="L12" s="529">
        <f>'AGG ASIA CELLULAR'!D40</f>
        <v>15.951300793811486</v>
      </c>
      <c r="M12" s="529">
        <f>'AGG ASIA CELLULAR'!E40</f>
        <v>13.847183646795452</v>
      </c>
      <c r="N12" s="529">
        <f>'AGG ASIA CELLULAR'!F40</f>
        <v>11.626709680654198</v>
      </c>
      <c r="O12" s="529">
        <f>'AGG ASIA CELLULAR'!G40</f>
        <v>9.7078389032116537</v>
      </c>
      <c r="P12" s="286">
        <f>'AGG ASIA CELLULAR'!H40</f>
        <v>0.10976572550111241</v>
      </c>
      <c r="S12" s="88"/>
      <c r="T12" s="42"/>
      <c r="U12" s="42"/>
      <c r="V12" s="42"/>
      <c r="W12" s="288"/>
      <c r="X12" s="288"/>
      <c r="Y12" s="288"/>
      <c r="Z12" s="288"/>
      <c r="AA12" s="42"/>
    </row>
    <row r="13" spans="2:27">
      <c r="B13" s="5" t="s">
        <v>529</v>
      </c>
      <c r="C13" s="257"/>
      <c r="D13" s="533">
        <v>0</v>
      </c>
      <c r="E13" s="533">
        <v>0</v>
      </c>
      <c r="F13" s="533">
        <v>0</v>
      </c>
      <c r="G13" s="533">
        <v>0</v>
      </c>
      <c r="H13" s="247"/>
      <c r="I13" s="247"/>
      <c r="J13" s="5" t="s">
        <v>530</v>
      </c>
      <c r="L13" s="529">
        <f>'AGG ASIA CELLULAR'!D41</f>
        <v>1.4274445412547272</v>
      </c>
      <c r="M13" s="529">
        <f>'AGG ASIA CELLULAR'!E41</f>
        <v>1.4179696737537477</v>
      </c>
      <c r="N13" s="529">
        <f>'AGG ASIA CELLULAR'!F41</f>
        <v>1.3450707920768976</v>
      </c>
      <c r="O13" s="529">
        <f>'AGG ASIA CELLULAR'!G41</f>
        <v>1.2618986136137988</v>
      </c>
      <c r="P13" s="286">
        <f>'AGG ASIA CELLULAR'!H41</f>
        <v>-2.0092563683029918E-2</v>
      </c>
      <c r="S13" s="88"/>
      <c r="T13" s="42"/>
      <c r="U13" s="42"/>
      <c r="V13" s="42"/>
      <c r="W13" s="42"/>
      <c r="X13" s="42"/>
      <c r="Y13" s="42"/>
      <c r="Z13" s="42"/>
      <c r="AA13" s="42"/>
    </row>
    <row r="14" spans="2:27">
      <c r="B14" s="5" t="s">
        <v>532</v>
      </c>
      <c r="C14" s="257"/>
      <c r="D14" s="533">
        <v>0</v>
      </c>
      <c r="E14" s="533">
        <v>0</v>
      </c>
      <c r="F14" s="533">
        <v>0</v>
      </c>
      <c r="G14" s="533">
        <v>0</v>
      </c>
      <c r="H14" s="247"/>
      <c r="I14" s="247"/>
      <c r="J14" s="5" t="s">
        <v>593</v>
      </c>
      <c r="L14" s="529">
        <f>'AGG ASIA CELLULAR'!D42</f>
        <v>2.9130695199933734</v>
      </c>
      <c r="M14" s="529">
        <f>'AGG ASIA CELLULAR'!E42</f>
        <v>2.8146219035099969</v>
      </c>
      <c r="N14" s="529">
        <f>'AGG ASIA CELLULAR'!F42</f>
        <v>2.5888583636405476</v>
      </c>
      <c r="O14" s="529">
        <f>'AGG ASIA CELLULAR'!G42</f>
        <v>2.3605815546209548</v>
      </c>
      <c r="P14" s="286">
        <f>'AGG ASIA CELLULAR'!H42</f>
        <v>8.7512202951403051E-3</v>
      </c>
      <c r="S14" s="88"/>
      <c r="T14" s="42"/>
      <c r="U14" s="42"/>
      <c r="V14" s="42"/>
      <c r="W14" s="42"/>
      <c r="X14" s="42"/>
      <c r="Y14" s="42"/>
      <c r="Z14" s="42"/>
      <c r="AA14" s="42"/>
    </row>
    <row r="15" spans="2:27">
      <c r="B15" s="5" t="s">
        <v>531</v>
      </c>
      <c r="C15" s="274"/>
      <c r="D15" s="533">
        <v>0</v>
      </c>
      <c r="E15" s="533">
        <v>0</v>
      </c>
      <c r="F15" s="533">
        <v>0</v>
      </c>
      <c r="G15" s="533">
        <v>0</v>
      </c>
      <c r="H15" s="247"/>
      <c r="I15" s="247"/>
      <c r="J15" s="5" t="s">
        <v>475</v>
      </c>
      <c r="L15" s="529">
        <f>'AGG ASIA CELLULAR'!D43</f>
        <v>19.278364274513134</v>
      </c>
      <c r="M15" s="529">
        <f>'AGG ASIA CELLULAR'!E43</f>
        <v>15.523038202411636</v>
      </c>
      <c r="N15" s="529">
        <f>'AGG ASIA CELLULAR'!F43</f>
        <v>13.257386088679914</v>
      </c>
      <c r="O15" s="529">
        <f>'AGG ASIA CELLULAR'!G43</f>
        <v>11.466142328229227</v>
      </c>
      <c r="P15" s="286">
        <f>'AGG ASIA CELLULAR'!H43</f>
        <v>0.18831027118838706</v>
      </c>
      <c r="S15" s="88"/>
      <c r="T15" s="42"/>
      <c r="U15" s="42"/>
      <c r="V15" s="42"/>
      <c r="W15" s="42"/>
      <c r="X15" s="42"/>
      <c r="Y15" s="42"/>
      <c r="Z15" s="42"/>
      <c r="AA15" s="42"/>
    </row>
    <row r="16" spans="2:27">
      <c r="B16" s="5" t="s">
        <v>534</v>
      </c>
      <c r="C16" s="257"/>
      <c r="D16" s="533">
        <v>14769.275144967185</v>
      </c>
      <c r="E16" s="533">
        <v>45270.438979941879</v>
      </c>
      <c r="F16" s="533">
        <v>77395.254886292692</v>
      </c>
      <c r="G16" s="533">
        <v>110742.000926198</v>
      </c>
      <c r="H16" s="247"/>
      <c r="I16" s="247"/>
      <c r="J16" s="5" t="s">
        <v>533</v>
      </c>
      <c r="L16" s="529">
        <f>'AGG ASIA CELLULAR'!D44</f>
        <v>20.50009040888548</v>
      </c>
      <c r="M16" s="529">
        <f>'AGG ASIA CELLULAR'!E44</f>
        <v>17.31807909095523</v>
      </c>
      <c r="N16" s="529">
        <f>'AGG ASIA CELLULAR'!F44</f>
        <v>14.883294016253318</v>
      </c>
      <c r="O16" s="529">
        <f>'AGG ASIA CELLULAR'!G44</f>
        <v>13.16548576425039</v>
      </c>
      <c r="P16" s="286">
        <f>'AGG ASIA CELLULAR'!H44</f>
        <v>0.15839482711139796</v>
      </c>
      <c r="S16" s="88"/>
      <c r="T16" s="42"/>
      <c r="U16" s="42"/>
      <c r="V16" s="42"/>
      <c r="W16" s="42"/>
      <c r="X16" s="42"/>
      <c r="Y16" s="42"/>
      <c r="Z16" s="42"/>
      <c r="AA16" s="42"/>
    </row>
    <row r="17" spans="2:27">
      <c r="B17" s="5" t="s">
        <v>6</v>
      </c>
      <c r="C17" s="257"/>
      <c r="D17" s="533">
        <v>0</v>
      </c>
      <c r="E17" s="533">
        <v>0</v>
      </c>
      <c r="F17" s="533">
        <v>0</v>
      </c>
      <c r="G17" s="533">
        <v>0</v>
      </c>
      <c r="H17" s="247"/>
      <c r="I17" s="247"/>
      <c r="J17" s="5" t="s">
        <v>580</v>
      </c>
      <c r="L17" s="248">
        <f>'AGG ASIA CELLULAR'!D45</f>
        <v>4.174038595528512E-2</v>
      </c>
      <c r="M17" s="248">
        <f>'AGG ASIA CELLULAR'!E45</f>
        <v>4.4792872771489058E-2</v>
      </c>
      <c r="N17" s="248">
        <f>'AGG ASIA CELLULAR'!F45</f>
        <v>5.1203391440393167E-2</v>
      </c>
      <c r="O17" s="248">
        <f>'AGG ASIA CELLULAR'!G45</f>
        <v>5.7913719466381006E-2</v>
      </c>
      <c r="P17" s="286">
        <f>'AGG ASIA CELLULAR'!H45</f>
        <v>0.11470165475568339</v>
      </c>
      <c r="S17" s="88"/>
      <c r="T17" s="42"/>
      <c r="U17" s="42"/>
      <c r="V17" s="42"/>
      <c r="W17" s="42"/>
      <c r="X17" s="42"/>
      <c r="Y17" s="42"/>
      <c r="Z17" s="42"/>
      <c r="AA17" s="42"/>
    </row>
    <row r="18" spans="2:27" ht="12.6" thickBot="1">
      <c r="B18" s="41" t="s">
        <v>583</v>
      </c>
      <c r="C18" s="249"/>
      <c r="D18" s="534">
        <f>D11+D12+D13-D14+D15-D16-D17</f>
        <v>1054822.6858570173</v>
      </c>
      <c r="E18" s="534">
        <f>E11+E12+E13-E14+E15-E16-E17</f>
        <v>979081.43092483003</v>
      </c>
      <c r="F18" s="534">
        <f>F11+F12+F13-F14+F15-F16-F17</f>
        <v>896512.63358245802</v>
      </c>
      <c r="G18" s="534">
        <f>G11+G12+G13-G14+G15-G16-G17</f>
        <v>807789.96188049088</v>
      </c>
      <c r="H18" s="276">
        <f>IF(D18=0,"nm",IF(G18=0,"nm",(G18/D18)^(1/3)-1))</f>
        <v>-8.5101328755916139E-2</v>
      </c>
      <c r="I18" s="254"/>
      <c r="J18" s="5" t="s">
        <v>36</v>
      </c>
      <c r="L18" s="248" t="e">
        <f>'AGG ASIA CELLULAR'!D46</f>
        <v>#VALUE!</v>
      </c>
      <c r="M18" s="248" t="e">
        <f>'AGG ASIA CELLULAR'!E46</f>
        <v>#VALUE!</v>
      </c>
      <c r="N18" s="248" t="e">
        <f>'AGG ASIA CELLULAR'!F46</f>
        <v>#VALUE!</v>
      </c>
      <c r="O18" s="248" t="e">
        <f>'AGG ASIA CELLULAR'!G46</f>
        <v>#VALUE!</v>
      </c>
      <c r="P18" s="286" t="e">
        <f>'AGG ASIA CELLULAR'!H46</f>
        <v>#VALUE!</v>
      </c>
      <c r="S18" s="88"/>
      <c r="T18" s="42"/>
      <c r="U18" s="42"/>
      <c r="V18" s="42"/>
      <c r="W18" s="42"/>
      <c r="X18" s="42"/>
      <c r="Y18" s="42"/>
      <c r="Z18" s="42"/>
      <c r="AA18" s="42"/>
    </row>
    <row r="19" spans="2:27" ht="12.6" thickTop="1">
      <c r="B19" s="41"/>
      <c r="C19" s="249"/>
      <c r="D19" s="229"/>
      <c r="E19" s="229"/>
      <c r="F19" s="229"/>
      <c r="G19" s="229"/>
      <c r="H19" s="276"/>
      <c r="I19" s="254"/>
      <c r="J19" s="5" t="s">
        <v>581</v>
      </c>
      <c r="L19" s="248">
        <f>'AGG ASIA CELLULAR'!D47</f>
        <v>5.1871620732991598E-2</v>
      </c>
      <c r="M19" s="248">
        <f>'AGG ASIA CELLULAR'!E47</f>
        <v>6.4420378727447922E-2</v>
      </c>
      <c r="N19" s="248">
        <f>'AGG ASIA CELLULAR'!F47</f>
        <v>7.5429650559386677E-2</v>
      </c>
      <c r="O19" s="248">
        <f>'AGG ASIA CELLULAR'!G47</f>
        <v>8.7213290344219457E-2</v>
      </c>
      <c r="P19" s="286">
        <f>'AGG ASIA CELLULAR'!H47</f>
        <v>0.18831027118838706</v>
      </c>
      <c r="S19" s="88"/>
      <c r="T19" s="42"/>
      <c r="U19" s="42"/>
      <c r="V19" s="42"/>
      <c r="W19" s="42"/>
      <c r="X19" s="42"/>
      <c r="Y19" s="42"/>
      <c r="Z19" s="42"/>
      <c r="AA19" s="42"/>
    </row>
    <row r="20" spans="2:27">
      <c r="H20" s="277"/>
      <c r="I20" s="17"/>
      <c r="J20" s="5" t="s">
        <v>604</v>
      </c>
      <c r="L20" s="305">
        <f>'AGG ASIA CELLULAR'!D48</f>
        <v>0.92045377326476352</v>
      </c>
      <c r="M20" s="305">
        <f>'AGG ASIA CELLULAR'!E48</f>
        <v>0.79490390762892493</v>
      </c>
      <c r="N20" s="305">
        <f>'AGG ASIA CELLULAR'!F48</f>
        <v>0.7763724496707467</v>
      </c>
      <c r="O20" s="305">
        <f>'AGG ASIA CELLULAR'!G48</f>
        <v>0.75978089170129071</v>
      </c>
      <c r="P20" s="286" t="str">
        <f>'AGG ASIA CELLULAR'!H48</f>
        <v>nm</v>
      </c>
      <c r="S20" s="88"/>
      <c r="T20" s="42"/>
      <c r="U20" s="42"/>
      <c r="V20" s="42"/>
      <c r="W20" s="42"/>
      <c r="X20" s="42"/>
      <c r="Y20" s="42"/>
      <c r="Z20" s="42"/>
      <c r="AA20" s="42"/>
    </row>
    <row r="21" spans="2:27" ht="12.6" thickBot="1">
      <c r="B21" s="306" t="s">
        <v>929</v>
      </c>
      <c r="C21" s="265"/>
      <c r="D21" s="265" t="str">
        <f>D5</f>
        <v>2023E</v>
      </c>
      <c r="E21" s="265" t="str">
        <f t="shared" ref="E21:H21" si="2">E5</f>
        <v>2024E</v>
      </c>
      <c r="F21" s="265" t="str">
        <f t="shared" si="2"/>
        <v>2025E</v>
      </c>
      <c r="G21" s="265" t="str">
        <f t="shared" si="2"/>
        <v>2026E</v>
      </c>
      <c r="H21" s="265" t="str">
        <f t="shared" si="2"/>
        <v>23E-26E</v>
      </c>
      <c r="I21" s="49"/>
      <c r="J21" s="41"/>
      <c r="L21" s="250"/>
      <c r="M21" s="250"/>
      <c r="N21" s="250"/>
      <c r="O21" s="250"/>
      <c r="P21" s="286"/>
      <c r="S21" s="88"/>
      <c r="T21" s="42"/>
      <c r="U21" s="42"/>
      <c r="V21" s="42"/>
      <c r="W21" s="42"/>
      <c r="X21" s="42"/>
      <c r="Y21" s="42"/>
      <c r="Z21" s="42"/>
      <c r="AA21" s="42"/>
    </row>
    <row r="22" spans="2:27" ht="12.6" thickTop="1">
      <c r="B22" s="5"/>
      <c r="C22" s="257"/>
      <c r="D22" s="17"/>
      <c r="E22" s="17"/>
      <c r="F22" s="17"/>
      <c r="G22" s="17"/>
      <c r="H22" s="17"/>
      <c r="I22" s="17"/>
      <c r="P22" s="277"/>
      <c r="S22" s="88"/>
      <c r="T22" s="42"/>
      <c r="U22" s="42"/>
      <c r="V22" s="42"/>
      <c r="W22" s="42"/>
      <c r="X22" s="42"/>
      <c r="Y22" s="42"/>
      <c r="Z22" s="42"/>
      <c r="AA22" s="42"/>
    </row>
    <row r="23" spans="2:27" ht="12.6" thickBot="1">
      <c r="B23" s="5" t="s">
        <v>584</v>
      </c>
      <c r="C23" s="548">
        <v>283818</v>
      </c>
      <c r="D23" s="540">
        <v>292793.48295627406</v>
      </c>
      <c r="E23" s="540">
        <v>300063.67350698652</v>
      </c>
      <c r="F23" s="540">
        <v>305066.6885084738</v>
      </c>
      <c r="G23" s="540">
        <v>309770.47725734458</v>
      </c>
      <c r="H23" s="279">
        <f t="shared" ref="H23:H32" si="3">IF(D23=0,"nm",IF(G23=0,"nm",(G23/D23)^(1/3)-1))</f>
        <v>1.8965640038057785E-2</v>
      </c>
      <c r="I23" s="247"/>
      <c r="J23" s="306" t="s">
        <v>9</v>
      </c>
      <c r="K23" s="306"/>
      <c r="L23" s="265" t="str">
        <f>D21</f>
        <v>2023E</v>
      </c>
      <c r="M23" s="265" t="str">
        <f t="shared" ref="M23:P23" si="4">E21</f>
        <v>2024E</v>
      </c>
      <c r="N23" s="265" t="str">
        <f t="shared" si="4"/>
        <v>2025E</v>
      </c>
      <c r="O23" s="265" t="str">
        <f t="shared" si="4"/>
        <v>2026E</v>
      </c>
      <c r="P23" s="265" t="str">
        <f t="shared" si="4"/>
        <v>23E-26E</v>
      </c>
      <c r="S23" s="88"/>
      <c r="T23" s="42"/>
      <c r="U23" s="42"/>
      <c r="V23" s="42"/>
      <c r="W23" s="42"/>
      <c r="X23" s="42"/>
      <c r="Y23" s="42"/>
      <c r="Z23" s="42"/>
      <c r="AA23" s="42"/>
    </row>
    <row r="24" spans="2:27" ht="12.6" thickTop="1">
      <c r="B24" s="5" t="s">
        <v>483</v>
      </c>
      <c r="C24" s="549">
        <v>97670</v>
      </c>
      <c r="D24" s="540">
        <v>154865.78913622798</v>
      </c>
      <c r="E24" s="540">
        <v>159757.44624583097</v>
      </c>
      <c r="F24" s="540">
        <v>162974.58722595536</v>
      </c>
      <c r="G24" s="540">
        <v>165436.35649896905</v>
      </c>
      <c r="H24" s="279">
        <f t="shared" si="3"/>
        <v>2.2253224148320427E-2</v>
      </c>
      <c r="I24" s="249"/>
      <c r="J24" s="17"/>
      <c r="K24" s="17"/>
      <c r="L24" s="17"/>
      <c r="M24" s="17"/>
      <c r="N24" s="17"/>
      <c r="O24" s="248"/>
      <c r="S24" s="88"/>
      <c r="T24" s="42"/>
      <c r="U24" s="42"/>
      <c r="V24" s="42"/>
      <c r="W24" s="42" t="s">
        <v>764</v>
      </c>
      <c r="X24" s="42" t="s">
        <v>257</v>
      </c>
      <c r="Y24" s="42"/>
      <c r="Z24" s="42"/>
      <c r="AA24" s="42"/>
    </row>
    <row r="25" spans="2:27">
      <c r="B25" s="5" t="s">
        <v>183</v>
      </c>
      <c r="C25" s="548">
        <v>-2514</v>
      </c>
      <c r="D25" s="540">
        <v>115093.16513348636</v>
      </c>
      <c r="E25" s="540">
        <v>120750.80595823533</v>
      </c>
      <c r="F25" s="540">
        <v>125278.13373355838</v>
      </c>
      <c r="G25" s="540">
        <v>128992.833745422</v>
      </c>
      <c r="H25" s="279">
        <f t="shared" si="3"/>
        <v>3.8736398321093768E-2</v>
      </c>
      <c r="I25" s="248"/>
      <c r="J25" s="247" t="s">
        <v>10</v>
      </c>
      <c r="K25" s="247"/>
      <c r="L25" s="321">
        <v>0</v>
      </c>
      <c r="M25" s="321">
        <v>0</v>
      </c>
      <c r="N25" s="321">
        <v>0</v>
      </c>
      <c r="O25" s="321">
        <v>0</v>
      </c>
      <c r="P25" s="279" t="str">
        <f>IF(L25=0,"nm",IF(O25=0,"nm",(O25/L25)^(1/3)-1))</f>
        <v>nm</v>
      </c>
      <c r="S25" s="88"/>
      <c r="T25" s="42"/>
      <c r="U25" s="42"/>
      <c r="V25" s="147" t="s">
        <v>273</v>
      </c>
      <c r="W25" s="288">
        <f>D37/L9</f>
        <v>1.7292987076514901</v>
      </c>
      <c r="X25" s="288">
        <v>1</v>
      </c>
      <c r="Y25" s="42"/>
      <c r="Z25" s="42"/>
      <c r="AA25" s="42"/>
    </row>
    <row r="26" spans="2:27">
      <c r="B26" s="5" t="s">
        <v>586</v>
      </c>
      <c r="C26" s="548">
        <v>-43724</v>
      </c>
      <c r="D26" s="540">
        <v>68246.207860482507</v>
      </c>
      <c r="E26" s="540">
        <v>75741.254932187352</v>
      </c>
      <c r="F26" s="540">
        <v>82568.79734237204</v>
      </c>
      <c r="G26" s="540">
        <v>88722.671701967207</v>
      </c>
      <c r="H26" s="279">
        <f t="shared" si="3"/>
        <v>9.1403550368007069E-2</v>
      </c>
      <c r="I26" s="249"/>
      <c r="J26" s="249" t="s">
        <v>11</v>
      </c>
      <c r="K26" s="249"/>
      <c r="L26" s="281">
        <f>D11+L25</f>
        <v>934199.89371749992</v>
      </c>
      <c r="M26" s="281">
        <f>E11+M25</f>
        <v>934199.89371749992</v>
      </c>
      <c r="N26" s="281">
        <f>F11+N25</f>
        <v>934199.89371749992</v>
      </c>
      <c r="O26" s="281">
        <f>G11+O25</f>
        <v>934199.89371749992</v>
      </c>
      <c r="P26" s="279">
        <f>IF(L26=0,"nm",IF(O26=0,"nm",(O26/L26)^(1/3)-1))</f>
        <v>0</v>
      </c>
      <c r="Q26" s="5"/>
      <c r="S26" s="88"/>
      <c r="T26" s="42"/>
      <c r="U26" s="42"/>
      <c r="V26" s="147" t="s">
        <v>184</v>
      </c>
      <c r="W26" s="288">
        <f t="shared" ref="W26:W33" si="5">D38/L10</f>
        <v>1.071301937916245</v>
      </c>
      <c r="X26" s="288">
        <v>1</v>
      </c>
      <c r="Y26" s="42"/>
      <c r="Z26" s="42"/>
      <c r="AA26" s="42"/>
    </row>
    <row r="27" spans="2:27">
      <c r="B27" s="5" t="s">
        <v>587</v>
      </c>
      <c r="C27" s="549">
        <v>22226</v>
      </c>
      <c r="D27" s="540">
        <v>145664.89733127505</v>
      </c>
      <c r="E27" s="540">
        <v>228803.34063702388</v>
      </c>
      <c r="F27" s="540">
        <v>318396.10275949124</v>
      </c>
      <c r="G27" s="540">
        <v>414137.53813626518</v>
      </c>
      <c r="H27" s="279">
        <f t="shared" si="3"/>
        <v>0.41665216653540438</v>
      </c>
      <c r="I27" s="249"/>
      <c r="J27" s="248"/>
      <c r="K27" s="248"/>
      <c r="L27" s="248"/>
      <c r="M27" s="248"/>
      <c r="N27" s="248"/>
      <c r="O27" s="248"/>
      <c r="Q27" s="41"/>
      <c r="S27" s="88"/>
      <c r="T27" s="42"/>
      <c r="U27" s="42"/>
      <c r="V27" s="147" t="s">
        <v>185</v>
      </c>
      <c r="W27" s="288">
        <f t="shared" si="5"/>
        <v>0.74777335392828759</v>
      </c>
      <c r="X27" s="288">
        <v>1</v>
      </c>
      <c r="Y27" s="42"/>
      <c r="Z27" s="42"/>
      <c r="AA27" s="42"/>
    </row>
    <row r="28" spans="2:27">
      <c r="B28" s="5" t="s">
        <v>592</v>
      </c>
      <c r="C28" s="548">
        <v>211723</v>
      </c>
      <c r="D28" s="540">
        <v>204106.46027300385</v>
      </c>
      <c r="E28" s="540">
        <v>193399.85386805181</v>
      </c>
      <c r="F28" s="540">
        <v>179111.56120732517</v>
      </c>
      <c r="G28" s="540">
        <v>161073.14873067298</v>
      </c>
      <c r="H28" s="279">
        <f t="shared" si="3"/>
        <v>-7.5893271231928572E-2</v>
      </c>
      <c r="I28" s="248"/>
      <c r="Q28" s="5"/>
      <c r="S28" s="88"/>
      <c r="T28" s="42"/>
      <c r="U28" s="42"/>
      <c r="V28" s="147" t="s">
        <v>466</v>
      </c>
      <c r="W28" s="288">
        <f t="shared" si="5"/>
        <v>0.96895773138259245</v>
      </c>
      <c r="X28" s="288">
        <v>1</v>
      </c>
      <c r="Y28" s="42"/>
      <c r="Z28" s="42"/>
      <c r="AA28" s="42"/>
    </row>
    <row r="29" spans="2:27" ht="12.6" thickBot="1">
      <c r="B29" s="5" t="s">
        <v>588</v>
      </c>
      <c r="C29" s="548">
        <v>32429</v>
      </c>
      <c r="D29" s="540">
        <v>71830.779487723048</v>
      </c>
      <c r="E29" s="540">
        <v>79106.12244846292</v>
      </c>
      <c r="F29" s="540">
        <v>85561.889253523608</v>
      </c>
      <c r="G29" s="540">
        <v>91750.668231269578</v>
      </c>
      <c r="H29" s="279">
        <f t="shared" si="3"/>
        <v>8.5007863109164639E-2</v>
      </c>
      <c r="I29" s="252"/>
      <c r="J29" s="306" t="s">
        <v>1363</v>
      </c>
      <c r="K29" s="306"/>
      <c r="L29" s="265" t="str">
        <f>L$5</f>
        <v>2023E</v>
      </c>
      <c r="M29" s="265" t="str">
        <f t="shared" ref="M29:P29" si="6">M$5</f>
        <v>2024E</v>
      </c>
      <c r="N29" s="265" t="str">
        <f t="shared" si="6"/>
        <v>2025E</v>
      </c>
      <c r="O29" s="265" t="str">
        <f t="shared" si="6"/>
        <v>2026E</v>
      </c>
      <c r="P29" s="265" t="str">
        <f t="shared" si="6"/>
        <v>23E-26E</v>
      </c>
      <c r="Q29" s="5"/>
      <c r="S29" s="88"/>
      <c r="T29" s="42"/>
      <c r="U29" s="42"/>
      <c r="V29" s="147" t="s">
        <v>530</v>
      </c>
      <c r="W29" s="288">
        <f t="shared" si="5"/>
        <v>5.0730052328126964</v>
      </c>
      <c r="X29" s="288">
        <v>1</v>
      </c>
      <c r="Y29" s="42"/>
      <c r="Z29" s="42"/>
      <c r="AA29" s="42"/>
    </row>
    <row r="30" spans="2:27" ht="12.6" thickTop="1">
      <c r="B30" s="5" t="s">
        <v>589</v>
      </c>
      <c r="C30" s="549">
        <v>20400</v>
      </c>
      <c r="D30" s="540">
        <v>64214.239760726894</v>
      </c>
      <c r="E30" s="540">
        <v>68399.516043510914</v>
      </c>
      <c r="F30" s="540">
        <v>71273.596592796966</v>
      </c>
      <c r="G30" s="540">
        <v>73712.255754617378</v>
      </c>
      <c r="H30" s="279">
        <f t="shared" si="3"/>
        <v>4.7054896675709168E-2</v>
      </c>
      <c r="I30" s="254"/>
      <c r="J30" s="248"/>
      <c r="K30" s="248"/>
      <c r="L30" s="248"/>
      <c r="M30" s="248"/>
      <c r="N30" s="248"/>
      <c r="O30" s="5"/>
      <c r="Q30" s="5"/>
      <c r="S30" s="88"/>
      <c r="T30" s="42"/>
      <c r="U30" s="42"/>
      <c r="V30" s="147" t="s">
        <v>593</v>
      </c>
      <c r="W30" s="288">
        <f t="shared" si="5"/>
        <v>1.7740745320861027</v>
      </c>
      <c r="X30" s="288">
        <v>1</v>
      </c>
      <c r="Y30" s="42"/>
      <c r="Z30" s="42"/>
      <c r="AA30" s="42"/>
    </row>
    <row r="31" spans="2:27">
      <c r="B31" s="5" t="s">
        <v>590</v>
      </c>
      <c r="C31" s="549">
        <v>0</v>
      </c>
      <c r="D31" s="540">
        <v>29538.55028993437</v>
      </c>
      <c r="E31" s="540">
        <v>31463.777380015021</v>
      </c>
      <c r="F31" s="540">
        <v>32785.854432686603</v>
      </c>
      <c r="G31" s="540">
        <v>33907.637647124</v>
      </c>
      <c r="H31" s="279">
        <f t="shared" si="3"/>
        <v>4.705489667570939E-2</v>
      </c>
      <c r="I31" s="254"/>
      <c r="J31" s="5" t="s">
        <v>737</v>
      </c>
      <c r="K31" s="247"/>
      <c r="L31" s="322">
        <v>195767.11</v>
      </c>
      <c r="M31" s="322">
        <v>198703.61664999995</v>
      </c>
      <c r="N31" s="322">
        <v>201684.17089974994</v>
      </c>
      <c r="O31" s="322">
        <v>204709.43346324615</v>
      </c>
      <c r="Q31" s="5"/>
      <c r="S31" s="88"/>
      <c r="T31" s="42"/>
      <c r="U31" s="42"/>
      <c r="V31" s="147" t="s">
        <v>475</v>
      </c>
      <c r="W31" s="288">
        <f t="shared" si="5"/>
        <v>0.67461975104972216</v>
      </c>
      <c r="X31" s="288">
        <v>1</v>
      </c>
      <c r="Y31" s="42"/>
      <c r="Z31" s="42"/>
      <c r="AA31" s="42"/>
    </row>
    <row r="32" spans="2:27">
      <c r="B32" s="5" t="s">
        <v>606</v>
      </c>
      <c r="C32" s="550">
        <v>0</v>
      </c>
      <c r="D32" s="540">
        <v>0</v>
      </c>
      <c r="E32" s="540">
        <v>0</v>
      </c>
      <c r="F32" s="540">
        <v>0</v>
      </c>
      <c r="G32" s="540">
        <v>0</v>
      </c>
      <c r="H32" s="279" t="str">
        <f t="shared" si="3"/>
        <v>nm</v>
      </c>
      <c r="I32" s="254"/>
      <c r="J32" s="5" t="s">
        <v>1361</v>
      </c>
      <c r="K32" s="254"/>
      <c r="L32" s="322">
        <v>351862.2499218033</v>
      </c>
      <c r="M32" s="322">
        <v>356247.33321145369</v>
      </c>
      <c r="N32" s="322">
        <v>359783.08799357736</v>
      </c>
      <c r="O32" s="322">
        <v>363353.93514191353</v>
      </c>
      <c r="Q32" s="5"/>
      <c r="S32" s="88"/>
      <c r="T32" s="42"/>
      <c r="U32" s="42"/>
      <c r="V32" s="147" t="s">
        <v>533</v>
      </c>
      <c r="W32" s="288">
        <f t="shared" si="5"/>
        <v>0.70966386455641994</v>
      </c>
      <c r="X32" s="288">
        <v>1</v>
      </c>
      <c r="Y32" s="42"/>
      <c r="Z32" s="42"/>
      <c r="AA32" s="42"/>
    </row>
    <row r="33" spans="2:27">
      <c r="B33" s="5" t="s">
        <v>5</v>
      </c>
      <c r="C33" s="549">
        <v>33944</v>
      </c>
      <c r="D33" s="540">
        <v>14783.30578859211</v>
      </c>
      <c r="E33" s="540">
        <v>12841.934090149743</v>
      </c>
      <c r="F33" s="540">
        <v>10945.496050313079</v>
      </c>
      <c r="G33" s="540">
        <v>8844.7743060389057</v>
      </c>
      <c r="H33" s="279">
        <f>IF(D33=0,"nm",IF(G33=0,"nm",(G33/D33)^(1/3)-1))</f>
        <v>-0.15736712611096759</v>
      </c>
      <c r="I33" s="5"/>
      <c r="Q33" s="5"/>
      <c r="S33" s="88"/>
      <c r="T33" s="42"/>
      <c r="U33" s="42"/>
      <c r="V33" s="147" t="s">
        <v>580</v>
      </c>
      <c r="W33" s="288">
        <f t="shared" si="5"/>
        <v>0.7575179058080117</v>
      </c>
      <c r="X33" s="288">
        <v>1</v>
      </c>
      <c r="Y33" s="42"/>
      <c r="Z33" s="42"/>
      <c r="AA33" s="42"/>
    </row>
    <row r="34" spans="2:27">
      <c r="H34" s="277"/>
      <c r="I34" s="49"/>
      <c r="Q34" s="5"/>
      <c r="S34" s="88"/>
      <c r="T34" s="42"/>
      <c r="U34" s="42"/>
      <c r="V34" s="147" t="s">
        <v>581</v>
      </c>
      <c r="W34" s="288">
        <f>D47/L19</f>
        <v>1.4823165174811135</v>
      </c>
      <c r="X34" s="288">
        <v>1</v>
      </c>
      <c r="Y34" s="288"/>
      <c r="Z34" s="288"/>
      <c r="AA34" s="42"/>
    </row>
    <row r="35" spans="2:27" ht="12.6" thickBot="1">
      <c r="B35" s="306" t="s">
        <v>765</v>
      </c>
      <c r="C35" s="265"/>
      <c r="D35" s="265" t="str">
        <f>D5</f>
        <v>2023E</v>
      </c>
      <c r="E35" s="265" t="str">
        <f t="shared" ref="E35:H35" si="7">E5</f>
        <v>2024E</v>
      </c>
      <c r="F35" s="265" t="str">
        <f t="shared" si="7"/>
        <v>2025E</v>
      </c>
      <c r="G35" s="265" t="str">
        <f t="shared" si="7"/>
        <v>2026E</v>
      </c>
      <c r="H35" s="265" t="str">
        <f t="shared" si="7"/>
        <v>23E-26E</v>
      </c>
      <c r="I35" s="254"/>
      <c r="J35" s="306" t="s">
        <v>1362</v>
      </c>
      <c r="K35" s="306"/>
      <c r="L35" s="306"/>
      <c r="M35" s="306"/>
      <c r="N35" s="266"/>
      <c r="O35" s="266"/>
      <c r="P35" s="266"/>
      <c r="Q35" s="5"/>
      <c r="S35" s="88"/>
      <c r="T35" s="42"/>
      <c r="U35" s="42"/>
      <c r="V35" s="42"/>
      <c r="W35" s="288"/>
      <c r="X35" s="42"/>
      <c r="Y35" s="288"/>
      <c r="Z35" s="288"/>
      <c r="AA35" s="42"/>
    </row>
    <row r="36" spans="2:27" ht="12.6" thickTop="1">
      <c r="B36" s="41"/>
      <c r="C36" s="249"/>
      <c r="D36" s="254"/>
      <c r="E36" s="254"/>
      <c r="F36" s="254"/>
      <c r="G36" s="254"/>
      <c r="H36" s="254"/>
      <c r="I36" s="17"/>
      <c r="J36" s="249"/>
      <c r="K36" s="249"/>
      <c r="L36" s="249"/>
      <c r="M36" s="249"/>
      <c r="N36" s="249"/>
      <c r="O36" s="251"/>
      <c r="Q36" s="5"/>
      <c r="S36" s="88"/>
      <c r="T36" s="42"/>
      <c r="U36" s="42"/>
      <c r="V36" s="42"/>
      <c r="W36" s="42"/>
      <c r="X36" s="42"/>
      <c r="Y36" s="288"/>
      <c r="Z36" s="288"/>
      <c r="AA36" s="42"/>
    </row>
    <row r="37" spans="2:27">
      <c r="B37" s="5" t="s">
        <v>273</v>
      </c>
      <c r="C37" s="247"/>
      <c r="D37" s="529">
        <f>D$18/D23</f>
        <v>3.6026166812413138</v>
      </c>
      <c r="E37" s="529">
        <f t="shared" ref="E37:G41" si="8">E$18/E23</f>
        <v>3.2629122328665807</v>
      </c>
      <c r="F37" s="529">
        <f t="shared" si="8"/>
        <v>2.9387431252021332</v>
      </c>
      <c r="G37" s="529">
        <f t="shared" si="8"/>
        <v>2.6077048046428652</v>
      </c>
      <c r="H37" s="17">
        <f t="shared" ref="H37:H45" si="9">H23</f>
        <v>1.8965640038057785E-2</v>
      </c>
      <c r="I37" s="5"/>
      <c r="J37" s="248"/>
      <c r="K37" s="248"/>
      <c r="L37" s="248"/>
      <c r="M37" s="248"/>
      <c r="N37" s="248"/>
      <c r="O37" s="5"/>
      <c r="Q37" s="5"/>
      <c r="R37" s="5"/>
      <c r="S37" s="42"/>
      <c r="T37" s="42"/>
      <c r="U37" s="42"/>
      <c r="V37" s="42"/>
      <c r="W37" s="42"/>
      <c r="X37" s="42"/>
      <c r="Y37" s="42"/>
      <c r="Z37" s="42"/>
      <c r="AA37" s="42"/>
    </row>
    <row r="38" spans="2:27">
      <c r="B38" s="5" t="s">
        <v>184</v>
      </c>
      <c r="C38" s="247"/>
      <c r="D38" s="529">
        <f>D$18/D24</f>
        <v>6.8112053135837547</v>
      </c>
      <c r="E38" s="529">
        <f>E$18/E24</f>
        <v>6.1285495852145928</v>
      </c>
      <c r="F38" s="529">
        <f t="shared" si="8"/>
        <v>5.5009351386758985</v>
      </c>
      <c r="G38" s="529">
        <f t="shared" si="8"/>
        <v>4.8827838026372685</v>
      </c>
      <c r="H38" s="17">
        <f t="shared" si="9"/>
        <v>2.2253224148320427E-2</v>
      </c>
      <c r="I38" s="259"/>
      <c r="J38" s="252"/>
      <c r="K38" s="252"/>
      <c r="L38" s="252"/>
      <c r="M38" s="252"/>
      <c r="N38" s="252"/>
      <c r="O38" s="5"/>
      <c r="Q38" s="5"/>
      <c r="R38" s="5"/>
      <c r="S38" s="42"/>
      <c r="T38" s="42"/>
      <c r="U38" s="42"/>
      <c r="V38" s="42"/>
      <c r="W38" s="42"/>
      <c r="X38" s="42"/>
      <c r="Y38" s="42"/>
      <c r="Z38" s="42"/>
      <c r="AA38" s="42"/>
    </row>
    <row r="39" spans="2:27">
      <c r="B39" s="5" t="s">
        <v>185</v>
      </c>
      <c r="C39" s="247"/>
      <c r="D39" s="529">
        <f>D$18/D25</f>
        <v>9.1649463687406811</v>
      </c>
      <c r="E39" s="529">
        <f t="shared" si="8"/>
        <v>8.1082807121260103</v>
      </c>
      <c r="F39" s="529">
        <f t="shared" si="8"/>
        <v>7.156178072457255</v>
      </c>
      <c r="G39" s="529">
        <f t="shared" si="8"/>
        <v>6.262285573745368</v>
      </c>
      <c r="H39" s="17">
        <f t="shared" si="9"/>
        <v>3.8736398321093768E-2</v>
      </c>
      <c r="I39" s="17"/>
      <c r="J39" s="259"/>
      <c r="K39" s="259"/>
      <c r="L39" s="259"/>
      <c r="M39" s="259"/>
      <c r="N39" s="259"/>
      <c r="O39" s="18"/>
      <c r="Q39" s="5"/>
      <c r="R39" s="5"/>
      <c r="S39" s="42"/>
      <c r="T39" s="42"/>
      <c r="U39" s="42"/>
      <c r="V39" s="42"/>
      <c r="W39" s="42"/>
      <c r="X39" s="42"/>
      <c r="Y39" s="42"/>
      <c r="Z39" s="42"/>
      <c r="AA39" s="42"/>
    </row>
    <row r="40" spans="2:27">
      <c r="B40" s="5" t="s">
        <v>466</v>
      </c>
      <c r="C40" s="247"/>
      <c r="D40" s="529">
        <f>D$18/D26</f>
        <v>15.456136229772923</v>
      </c>
      <c r="E40" s="529">
        <f t="shared" si="8"/>
        <v>12.926659741793571</v>
      </c>
      <c r="F40" s="529">
        <f t="shared" si="8"/>
        <v>10.85776543244372</v>
      </c>
      <c r="G40" s="529">
        <f t="shared" si="8"/>
        <v>9.1046622738546326</v>
      </c>
      <c r="H40" s="17">
        <f t="shared" si="9"/>
        <v>9.1403550368007069E-2</v>
      </c>
      <c r="I40" s="5"/>
      <c r="J40" s="259"/>
      <c r="K40" s="259"/>
      <c r="L40" s="259"/>
      <c r="M40" s="259"/>
      <c r="N40" s="259"/>
      <c r="O40" s="18"/>
      <c r="Q40" s="5"/>
      <c r="R40" s="5"/>
      <c r="S40" s="42"/>
      <c r="T40" s="42"/>
      <c r="U40" s="42"/>
      <c r="V40" s="42"/>
      <c r="W40" s="288"/>
      <c r="X40" s="288"/>
      <c r="Y40" s="42"/>
      <c r="Z40" s="42"/>
      <c r="AA40" s="42"/>
    </row>
    <row r="41" spans="2:27">
      <c r="B41" s="5" t="s">
        <v>530</v>
      </c>
      <c r="C41" s="247"/>
      <c r="D41" s="529">
        <f>D$18/D27</f>
        <v>7.2414336273351498</v>
      </c>
      <c r="E41" s="529">
        <f t="shared" si="8"/>
        <v>4.2791395798632834</v>
      </c>
      <c r="F41" s="529">
        <f t="shared" si="8"/>
        <v>2.8157148464209127</v>
      </c>
      <c r="G41" s="529">
        <f t="shared" si="8"/>
        <v>1.9505354803521839</v>
      </c>
      <c r="H41" s="17">
        <f t="shared" si="9"/>
        <v>0.41665216653540438</v>
      </c>
      <c r="I41" s="247"/>
      <c r="J41" s="259"/>
      <c r="K41" s="259"/>
      <c r="L41" s="259"/>
      <c r="M41" s="259"/>
      <c r="N41" s="259"/>
      <c r="O41" s="18"/>
      <c r="Q41" s="5"/>
      <c r="R41" s="5"/>
      <c r="S41" s="42"/>
      <c r="T41" s="42"/>
      <c r="U41" s="42"/>
      <c r="V41" s="42"/>
      <c r="W41" s="288"/>
      <c r="X41" s="288"/>
      <c r="Y41" s="288"/>
      <c r="Z41" s="288"/>
      <c r="AA41" s="42"/>
    </row>
    <row r="42" spans="2:27">
      <c r="B42" s="5" t="s">
        <v>593</v>
      </c>
      <c r="C42" s="247"/>
      <c r="D42" s="529">
        <f>D18/D28</f>
        <v>5.1680024456165317</v>
      </c>
      <c r="E42" s="529">
        <f>E18/E28</f>
        <v>5.0624724442284954</v>
      </c>
      <c r="F42" s="529">
        <f>F18/F28</f>
        <v>5.0053309096263581</v>
      </c>
      <c r="G42" s="529">
        <f>G18/G28</f>
        <v>5.0150504180630344</v>
      </c>
      <c r="H42" s="17">
        <f t="shared" si="9"/>
        <v>-7.5893271231928572E-2</v>
      </c>
      <c r="I42" s="248"/>
      <c r="J42" s="5"/>
      <c r="K42" s="5"/>
      <c r="L42" s="5"/>
      <c r="M42" s="5"/>
      <c r="N42" s="5"/>
      <c r="O42" s="5"/>
      <c r="Q42" s="5"/>
      <c r="R42" s="5"/>
      <c r="S42" s="42"/>
      <c r="T42" s="42"/>
      <c r="U42" s="42"/>
      <c r="V42" s="42"/>
      <c r="W42" s="288"/>
      <c r="X42" s="288"/>
      <c r="Y42" s="288"/>
      <c r="Z42" s="288"/>
      <c r="AA42" s="42"/>
    </row>
    <row r="43" spans="2:27">
      <c r="B43" s="5" t="s">
        <v>475</v>
      </c>
      <c r="C43" s="247"/>
      <c r="D43" s="529">
        <f>L26/D29</f>
        <v>13.005565307517909</v>
      </c>
      <c r="E43" s="529">
        <f>M26/E29</f>
        <v>11.809451213161466</v>
      </c>
      <c r="F43" s="529">
        <f>N26/F29</f>
        <v>10.918411244396729</v>
      </c>
      <c r="G43" s="529">
        <f>O26/G29</f>
        <v>10.181941033527153</v>
      </c>
      <c r="H43" s="17">
        <f t="shared" si="9"/>
        <v>8.5007863109164639E-2</v>
      </c>
      <c r="I43" s="247"/>
      <c r="J43" s="69"/>
      <c r="K43" s="69"/>
      <c r="L43" s="69"/>
      <c r="M43" s="69"/>
      <c r="N43" s="69"/>
      <c r="O43" s="69"/>
      <c r="Q43" s="5"/>
      <c r="R43" s="5"/>
      <c r="S43" s="42"/>
      <c r="T43" s="42"/>
      <c r="U43" s="42"/>
      <c r="V43" s="42"/>
      <c r="W43" s="288"/>
      <c r="X43" s="288"/>
      <c r="Y43" s="288"/>
      <c r="Z43" s="288"/>
      <c r="AA43" s="42"/>
    </row>
    <row r="44" spans="2:27">
      <c r="B44" s="5" t="s">
        <v>533</v>
      </c>
      <c r="C44" s="69"/>
      <c r="D44" s="529">
        <f>D11/D30</f>
        <v>14.54817338332567</v>
      </c>
      <c r="E44" s="529">
        <f>E11/E30</f>
        <v>13.657989818571645</v>
      </c>
      <c r="F44" s="529">
        <f>F11/F30</f>
        <v>13.107236597793801</v>
      </c>
      <c r="G44" s="529">
        <f>G11/G30</f>
        <v>12.673603380520357</v>
      </c>
      <c r="H44" s="17">
        <f t="shared" si="9"/>
        <v>4.7054896675709168E-2</v>
      </c>
      <c r="I44" s="247"/>
      <c r="J44" s="259"/>
      <c r="K44" s="259"/>
      <c r="L44" s="259"/>
      <c r="M44" s="259"/>
      <c r="N44" s="259"/>
      <c r="O44" s="18"/>
      <c r="Q44" s="5"/>
      <c r="R44" s="5"/>
      <c r="S44" s="42"/>
      <c r="T44" s="42"/>
      <c r="U44" s="42"/>
      <c r="V44" s="42"/>
      <c r="W44" s="325"/>
      <c r="X44" s="325"/>
      <c r="Y44" s="288"/>
      <c r="Z44" s="288"/>
      <c r="AA44" s="42"/>
    </row>
    <row r="45" spans="2:27">
      <c r="B45" s="5" t="s">
        <v>580</v>
      </c>
      <c r="C45" s="247"/>
      <c r="D45" s="248">
        <f>D31/D11</f>
        <v>3.1619089756465726E-2</v>
      </c>
      <c r="E45" s="248">
        <f>E31/E11</f>
        <v>3.3679919674160869E-2</v>
      </c>
      <c r="F45" s="248">
        <f>F31/F11</f>
        <v>3.5095116851512911E-2</v>
      </c>
      <c r="G45" s="248">
        <f>G31/G11</f>
        <v>3.6295912550571963E-2</v>
      </c>
      <c r="H45" s="17">
        <f t="shared" si="9"/>
        <v>4.705489667570939E-2</v>
      </c>
      <c r="I45" s="248"/>
      <c r="J45" s="17"/>
      <c r="K45" s="17"/>
      <c r="L45" s="17"/>
      <c r="M45" s="17"/>
      <c r="N45" s="17"/>
      <c r="O45" s="5"/>
      <c r="Q45" s="5"/>
      <c r="R45" s="5"/>
      <c r="S45" s="42"/>
      <c r="T45" s="42"/>
      <c r="U45" s="42"/>
      <c r="V45" s="42"/>
      <c r="W45" s="42"/>
      <c r="X45" s="42"/>
      <c r="Y45" s="325"/>
      <c r="Z45" s="325"/>
      <c r="AA45" s="42"/>
    </row>
    <row r="46" spans="2:27">
      <c r="B46" s="5" t="s">
        <v>605</v>
      </c>
      <c r="C46" s="247"/>
      <c r="D46" s="248">
        <f>(D31+D32)/D11</f>
        <v>3.1619089756465726E-2</v>
      </c>
      <c r="E46" s="248">
        <f>(E31+E32)/E11</f>
        <v>3.3679919674160869E-2</v>
      </c>
      <c r="F46" s="248">
        <f>(F31+F32)/F11</f>
        <v>3.5095116851512911E-2</v>
      </c>
      <c r="G46" s="248">
        <f>(G31+G32)/G11</f>
        <v>3.6295912550571963E-2</v>
      </c>
      <c r="H46" s="279">
        <f>((G31+G32)/(D31+D32))^(1/3)-1</f>
        <v>4.705489667570939E-2</v>
      </c>
      <c r="I46" s="247"/>
      <c r="J46" s="5"/>
      <c r="K46" s="5"/>
      <c r="L46" s="5"/>
      <c r="M46" s="5"/>
      <c r="N46" s="5"/>
      <c r="O46" s="5"/>
      <c r="Q46" s="5"/>
      <c r="R46" s="5"/>
      <c r="S46" s="42"/>
      <c r="T46" s="42"/>
      <c r="U46" s="42"/>
      <c r="V46" s="42"/>
      <c r="W46" s="42"/>
      <c r="X46" s="42"/>
      <c r="Y46" s="42"/>
      <c r="Z46" s="42"/>
      <c r="AA46" s="326"/>
    </row>
    <row r="47" spans="2:27">
      <c r="B47" s="5" t="s">
        <v>581</v>
      </c>
      <c r="C47" s="5"/>
      <c r="D47" s="248">
        <f>1/D43</f>
        <v>7.6890160201029234E-2</v>
      </c>
      <c r="E47" s="248">
        <f>1/E43</f>
        <v>8.467793989321995E-2</v>
      </c>
      <c r="F47" s="248">
        <f>1/F43</f>
        <v>9.1588416814139942E-2</v>
      </c>
      <c r="G47" s="248">
        <f>1/G43</f>
        <v>9.8213100695358019E-2</v>
      </c>
      <c r="H47" s="17">
        <f>H29</f>
        <v>8.5007863109164639E-2</v>
      </c>
      <c r="I47" s="17"/>
      <c r="J47" s="259"/>
      <c r="K47" s="259"/>
      <c r="L47" s="259"/>
      <c r="M47" s="259"/>
      <c r="N47" s="259"/>
      <c r="O47" s="18"/>
      <c r="Q47" s="5"/>
      <c r="R47" s="5"/>
      <c r="S47" s="42"/>
      <c r="T47" s="42"/>
      <c r="U47" s="42"/>
      <c r="V47" s="42"/>
      <c r="W47" s="42"/>
      <c r="X47" s="42"/>
      <c r="Y47" s="42"/>
      <c r="Z47" s="42"/>
      <c r="AA47" s="326"/>
    </row>
    <row r="48" spans="2:27">
      <c r="B48" s="5" t="s">
        <v>618</v>
      </c>
      <c r="C48" s="5"/>
      <c r="D48" s="305">
        <f>D31/D29</f>
        <v>0.4112241367919855</v>
      </c>
      <c r="E48" s="305">
        <f>E31/E29</f>
        <v>0.39774136825519985</v>
      </c>
      <c r="F48" s="305">
        <f>F31/F29</f>
        <v>0.38318291845497576</v>
      </c>
      <c r="G48" s="305">
        <f>G31/G29</f>
        <v>0.3695628413479819</v>
      </c>
      <c r="H48" s="279" t="s">
        <v>607</v>
      </c>
      <c r="I48" s="247"/>
      <c r="J48" s="17"/>
      <c r="K48" s="17"/>
      <c r="L48" s="17"/>
      <c r="M48" s="17"/>
      <c r="N48" s="17"/>
      <c r="O48" s="5"/>
      <c r="Q48" s="5"/>
      <c r="R48" s="5"/>
      <c r="S48" s="42"/>
      <c r="T48" s="42"/>
      <c r="U48" s="42"/>
      <c r="V48" s="42"/>
      <c r="W48" s="42"/>
      <c r="X48" s="42"/>
      <c r="Y48" s="42"/>
      <c r="Z48" s="42"/>
      <c r="AA48" s="326"/>
    </row>
    <row r="49" spans="2:27">
      <c r="B49" s="41"/>
      <c r="C49" s="17"/>
      <c r="D49" s="17"/>
      <c r="E49" s="17"/>
      <c r="F49" s="17"/>
      <c r="G49" s="17"/>
      <c r="H49" s="17"/>
      <c r="I49" s="254"/>
      <c r="J49" s="5"/>
      <c r="K49" s="5"/>
      <c r="L49" s="5"/>
      <c r="M49" s="5"/>
      <c r="N49" s="5"/>
      <c r="O49" s="5"/>
      <c r="Q49" s="5"/>
      <c r="R49" s="5"/>
      <c r="S49" s="42"/>
      <c r="T49" s="42"/>
      <c r="U49" s="42"/>
      <c r="V49" s="42"/>
      <c r="W49" s="42"/>
      <c r="X49" s="42"/>
      <c r="Y49" s="42"/>
      <c r="Z49" s="42"/>
      <c r="AA49" s="326"/>
    </row>
    <row r="50" spans="2:27">
      <c r="B50" s="5"/>
      <c r="C50" s="257"/>
      <c r="D50" s="257"/>
      <c r="E50" s="257"/>
      <c r="F50" s="5"/>
      <c r="G50" s="41"/>
      <c r="H50" s="249"/>
      <c r="I50" s="17"/>
      <c r="J50" s="249"/>
      <c r="K50" s="249"/>
      <c r="L50" s="249"/>
      <c r="M50" s="249"/>
      <c r="N50" s="249"/>
      <c r="O50" s="251"/>
      <c r="Q50" s="5"/>
      <c r="R50" s="5"/>
      <c r="S50" s="42"/>
      <c r="T50" s="42"/>
      <c r="U50" s="42"/>
      <c r="V50" s="42"/>
      <c r="W50" s="288"/>
      <c r="X50" s="288"/>
      <c r="Y50" s="42"/>
      <c r="Z50" s="42"/>
      <c r="AA50" s="326"/>
    </row>
    <row r="51" spans="2:27">
      <c r="B51" s="41"/>
      <c r="C51" s="249"/>
      <c r="D51" s="254"/>
      <c r="E51" s="254"/>
      <c r="F51" s="254"/>
      <c r="G51" s="254"/>
      <c r="H51" s="254"/>
      <c r="I51" s="259"/>
      <c r="J51" s="248"/>
      <c r="K51" s="248"/>
      <c r="L51" s="248"/>
      <c r="M51" s="248"/>
      <c r="N51" s="248"/>
      <c r="O51" s="248"/>
      <c r="Q51" s="5"/>
      <c r="R51" s="5"/>
      <c r="S51" s="42"/>
      <c r="T51" s="42"/>
      <c r="U51" s="42"/>
      <c r="V51" s="42"/>
      <c r="W51" s="288"/>
      <c r="X51" s="288"/>
      <c r="Y51" s="288"/>
      <c r="Z51" s="288"/>
      <c r="AA51" s="42"/>
    </row>
    <row r="52" spans="2:27">
      <c r="B52" s="5"/>
      <c r="C52" s="257"/>
      <c r="D52" s="17"/>
      <c r="E52" s="17"/>
      <c r="F52" s="17"/>
      <c r="G52" s="17"/>
      <c r="H52" s="17"/>
      <c r="I52" s="254"/>
      <c r="J52" s="247"/>
      <c r="K52" s="247"/>
      <c r="L52" s="247"/>
      <c r="M52" s="247"/>
      <c r="N52" s="247"/>
      <c r="O52" s="248"/>
      <c r="Q52" s="5"/>
      <c r="R52" s="5"/>
      <c r="S52" s="5"/>
      <c r="Y52" s="10"/>
      <c r="Z52" s="10"/>
    </row>
    <row r="53" spans="2:27">
      <c r="B53" s="5"/>
      <c r="C53" s="257"/>
      <c r="D53" s="257"/>
      <c r="E53" s="257"/>
      <c r="F53" s="5"/>
      <c r="G53" s="5"/>
      <c r="H53" s="259"/>
      <c r="I53" s="17"/>
      <c r="J53" s="249"/>
      <c r="K53" s="249"/>
      <c r="L53" s="249"/>
      <c r="M53" s="249"/>
      <c r="N53" s="249"/>
      <c r="O53" s="251"/>
      <c r="Q53" s="5"/>
      <c r="R53" s="5"/>
      <c r="S53" s="5"/>
    </row>
    <row r="54" spans="2:27">
      <c r="B54" s="41"/>
      <c r="C54" s="249"/>
      <c r="D54" s="254"/>
      <c r="E54" s="254"/>
      <c r="F54" s="254"/>
      <c r="G54" s="254"/>
      <c r="H54" s="254"/>
      <c r="I54" s="259"/>
      <c r="J54" s="248"/>
      <c r="K54" s="248"/>
      <c r="L54" s="248"/>
      <c r="M54" s="248"/>
      <c r="N54" s="248"/>
      <c r="O54" s="248"/>
      <c r="Q54" s="5"/>
      <c r="R54" s="5"/>
      <c r="S54" s="5"/>
    </row>
    <row r="55" spans="2:27">
      <c r="B55" s="5"/>
      <c r="C55" s="257"/>
      <c r="D55" s="17"/>
      <c r="E55" s="17"/>
      <c r="F55" s="17"/>
      <c r="G55" s="17"/>
      <c r="H55" s="17"/>
      <c r="I55" s="249"/>
      <c r="J55" s="247"/>
      <c r="K55" s="247"/>
      <c r="L55" s="247"/>
      <c r="M55" s="247"/>
      <c r="N55" s="247"/>
      <c r="O55" s="248"/>
      <c r="Q55" s="5"/>
      <c r="R55" s="5"/>
      <c r="S55" s="5"/>
    </row>
    <row r="56" spans="2:27">
      <c r="B56" s="5"/>
      <c r="C56" s="248"/>
      <c r="D56" s="248"/>
      <c r="E56" s="248"/>
      <c r="F56" s="5"/>
      <c r="G56" s="5"/>
      <c r="H56" s="259"/>
      <c r="I56" s="248"/>
      <c r="J56" s="17"/>
      <c r="K56" s="17"/>
      <c r="L56" s="17"/>
      <c r="M56" s="17"/>
      <c r="N56" s="17"/>
      <c r="O56" s="248"/>
      <c r="Q56" s="5"/>
      <c r="R56" s="5"/>
      <c r="S56" s="5"/>
    </row>
    <row r="57" spans="2:27">
      <c r="B57" s="41"/>
      <c r="C57" s="249"/>
      <c r="D57" s="249"/>
      <c r="E57" s="249"/>
      <c r="F57" s="249"/>
      <c r="G57" s="249"/>
      <c r="H57" s="249"/>
      <c r="I57" s="5"/>
      <c r="J57" s="249"/>
      <c r="K57" s="249"/>
      <c r="L57" s="249"/>
      <c r="M57" s="249"/>
      <c r="N57" s="249"/>
      <c r="O57" s="250"/>
      <c r="Q57" s="5"/>
      <c r="R57" s="5"/>
      <c r="S57" s="5"/>
    </row>
    <row r="58" spans="2:27">
      <c r="B58" s="5"/>
      <c r="C58" s="5"/>
      <c r="D58" s="248"/>
      <c r="E58" s="248"/>
      <c r="F58" s="248"/>
      <c r="G58" s="248"/>
      <c r="H58" s="248"/>
      <c r="I58" s="17"/>
      <c r="J58" s="254"/>
      <c r="K58" s="254"/>
      <c r="L58" s="254"/>
      <c r="M58" s="254"/>
      <c r="N58" s="254"/>
      <c r="O58" s="251"/>
      <c r="Q58" s="5"/>
      <c r="R58" s="5"/>
      <c r="S58" s="5"/>
    </row>
    <row r="59" spans="2:27">
      <c r="B59" s="5"/>
      <c r="C59" s="5"/>
      <c r="D59" s="5"/>
      <c r="E59" s="5"/>
      <c r="F59" s="5"/>
      <c r="G59" s="5"/>
      <c r="H59" s="5"/>
      <c r="I59" s="5"/>
      <c r="J59" s="17"/>
      <c r="K59" s="17"/>
      <c r="L59" s="17"/>
      <c r="M59" s="17"/>
      <c r="N59" s="17"/>
      <c r="O59" s="248"/>
      <c r="Q59" s="5"/>
      <c r="R59" s="5"/>
      <c r="S59" s="5"/>
    </row>
    <row r="60" spans="2:27">
      <c r="B60" s="41"/>
      <c r="C60" s="17"/>
      <c r="D60" s="17"/>
      <c r="E60" s="17"/>
      <c r="F60" s="17"/>
      <c r="G60" s="17"/>
      <c r="H60" s="17"/>
      <c r="I60" s="249"/>
      <c r="J60" s="17"/>
      <c r="K60" s="17"/>
      <c r="L60" s="17"/>
      <c r="M60" s="17"/>
      <c r="N60" s="17"/>
      <c r="O60" s="251"/>
      <c r="Q60" s="5"/>
      <c r="R60" s="5"/>
      <c r="S60" s="5"/>
    </row>
    <row r="61" spans="2:27">
      <c r="B61" s="5"/>
      <c r="C61" s="5"/>
      <c r="D61" s="5"/>
      <c r="E61" s="5"/>
      <c r="F61" s="5"/>
      <c r="G61" s="5"/>
      <c r="H61" s="5"/>
      <c r="I61" s="5"/>
      <c r="J61" s="5"/>
      <c r="K61" s="5"/>
      <c r="L61" s="5"/>
      <c r="M61" s="5"/>
      <c r="N61" s="5"/>
      <c r="O61" s="5"/>
      <c r="Q61" s="41"/>
      <c r="R61" s="5"/>
      <c r="S61" s="5"/>
    </row>
    <row r="62" spans="2:27">
      <c r="B62" s="41"/>
      <c r="C62" s="249"/>
      <c r="D62" s="249"/>
      <c r="E62" s="249"/>
      <c r="F62" s="249"/>
      <c r="G62" s="249"/>
      <c r="H62" s="249"/>
      <c r="I62" s="5"/>
      <c r="J62" s="249"/>
      <c r="K62" s="249"/>
      <c r="L62" s="249"/>
      <c r="M62" s="249"/>
      <c r="N62" s="249"/>
      <c r="O62" s="251"/>
      <c r="Q62" s="5"/>
      <c r="R62" s="5"/>
      <c r="S62" s="5"/>
    </row>
    <row r="63" spans="2:27">
      <c r="B63" s="5"/>
      <c r="C63" s="5"/>
      <c r="D63" s="5"/>
      <c r="E63" s="5"/>
      <c r="F63" s="5"/>
      <c r="G63" s="5"/>
      <c r="H63" s="5"/>
      <c r="I63" s="254"/>
      <c r="J63" s="5"/>
      <c r="K63" s="5"/>
      <c r="L63" s="5"/>
      <c r="M63" s="5"/>
      <c r="N63" s="5"/>
      <c r="O63" s="5"/>
      <c r="Q63" s="5"/>
      <c r="R63" s="5"/>
      <c r="S63" s="5"/>
    </row>
    <row r="64" spans="2:27">
      <c r="B64" s="5"/>
      <c r="C64" s="5"/>
      <c r="D64" s="5"/>
      <c r="E64" s="5"/>
      <c r="F64" s="5"/>
      <c r="G64" s="5"/>
      <c r="H64" s="5"/>
      <c r="I64" s="17"/>
      <c r="J64" s="5"/>
      <c r="K64" s="5"/>
      <c r="L64" s="5"/>
      <c r="M64" s="5"/>
      <c r="N64" s="5"/>
      <c r="O64" s="5"/>
      <c r="Q64" s="5"/>
      <c r="R64" s="5"/>
      <c r="S64" s="5"/>
    </row>
    <row r="65" spans="2:26">
      <c r="B65" s="41"/>
      <c r="C65" s="249"/>
      <c r="D65" s="254"/>
      <c r="E65" s="254"/>
      <c r="F65" s="254"/>
      <c r="G65" s="254"/>
      <c r="H65" s="254"/>
      <c r="I65" s="254"/>
      <c r="J65" s="254"/>
      <c r="K65" s="254"/>
      <c r="L65" s="254"/>
      <c r="M65" s="254"/>
      <c r="N65" s="254"/>
      <c r="O65" s="251"/>
      <c r="Q65" s="5"/>
      <c r="R65" s="5"/>
      <c r="S65" s="5"/>
    </row>
    <row r="66" spans="2:26">
      <c r="B66" s="5"/>
      <c r="C66" s="5"/>
      <c r="D66" s="17"/>
      <c r="E66" s="17"/>
      <c r="F66" s="17"/>
      <c r="G66" s="17"/>
      <c r="H66" s="17"/>
      <c r="I66" s="248"/>
      <c r="J66" s="17"/>
      <c r="K66" s="17"/>
      <c r="L66" s="17"/>
      <c r="M66" s="17"/>
      <c r="N66" s="17"/>
      <c r="O66" s="5"/>
      <c r="Q66" s="5"/>
      <c r="R66" s="5"/>
      <c r="S66" s="5"/>
    </row>
    <row r="67" spans="2:26">
      <c r="B67" s="41"/>
      <c r="C67" s="249"/>
      <c r="D67" s="254"/>
      <c r="E67" s="254"/>
      <c r="F67" s="254"/>
      <c r="G67" s="254"/>
      <c r="H67" s="254"/>
      <c r="I67" s="5"/>
      <c r="J67" s="254"/>
      <c r="K67" s="254"/>
      <c r="L67" s="254"/>
      <c r="M67" s="254"/>
      <c r="N67" s="254"/>
      <c r="O67" s="251"/>
      <c r="Q67" s="41"/>
      <c r="R67" s="5"/>
      <c r="S67" s="5"/>
    </row>
    <row r="68" spans="2:26">
      <c r="B68" s="5"/>
      <c r="C68" s="5"/>
      <c r="D68" s="248"/>
      <c r="E68" s="248"/>
      <c r="F68" s="248"/>
      <c r="G68" s="248"/>
      <c r="H68" s="248"/>
      <c r="I68" s="245"/>
      <c r="J68" s="248"/>
      <c r="K68" s="248"/>
      <c r="L68" s="248"/>
      <c r="M68" s="248"/>
      <c r="N68" s="248"/>
      <c r="O68" s="5"/>
      <c r="Q68" s="5"/>
      <c r="R68" s="5"/>
      <c r="S68" s="5"/>
    </row>
    <row r="69" spans="2:26">
      <c r="B69" s="41"/>
      <c r="C69" s="5"/>
      <c r="D69" s="5"/>
      <c r="E69" s="5"/>
      <c r="F69" s="5"/>
      <c r="G69" s="5"/>
      <c r="H69" s="5"/>
      <c r="I69" s="248"/>
      <c r="J69" s="5"/>
      <c r="K69" s="5"/>
      <c r="L69" s="5"/>
      <c r="M69" s="5"/>
      <c r="N69" s="5"/>
      <c r="O69" s="5"/>
      <c r="Q69" s="5"/>
      <c r="R69" s="5"/>
      <c r="S69" s="5"/>
    </row>
    <row r="70" spans="2:26">
      <c r="B70" s="41"/>
      <c r="C70" s="245"/>
      <c r="D70" s="245"/>
      <c r="E70" s="245"/>
      <c r="F70" s="245"/>
      <c r="G70" s="245"/>
      <c r="H70" s="245"/>
      <c r="I70" s="5"/>
      <c r="J70" s="245"/>
      <c r="K70" s="245"/>
      <c r="L70" s="245"/>
      <c r="M70" s="245"/>
      <c r="N70" s="245"/>
      <c r="O70" s="251"/>
      <c r="Q70" s="5"/>
      <c r="R70" s="5"/>
      <c r="S70" s="5"/>
      <c r="W70" s="76"/>
      <c r="X70" s="76"/>
    </row>
    <row r="71" spans="2:26">
      <c r="B71" s="5"/>
      <c r="C71" s="5"/>
      <c r="D71" s="248"/>
      <c r="E71" s="248"/>
      <c r="F71" s="248"/>
      <c r="G71" s="248"/>
      <c r="H71" s="248"/>
      <c r="I71" s="245"/>
      <c r="J71" s="248"/>
      <c r="K71" s="248"/>
      <c r="L71" s="248"/>
      <c r="M71" s="248"/>
      <c r="N71" s="248"/>
      <c r="O71" s="5"/>
      <c r="Q71" s="5"/>
      <c r="R71" s="5"/>
      <c r="S71" s="5"/>
      <c r="W71" s="76"/>
      <c r="X71" s="76"/>
      <c r="Y71" s="76"/>
      <c r="Z71" s="76"/>
    </row>
    <row r="72" spans="2:26">
      <c r="B72" s="41"/>
      <c r="C72" s="5"/>
      <c r="D72" s="5"/>
      <c r="E72" s="5"/>
      <c r="F72" s="5"/>
      <c r="G72" s="5"/>
      <c r="H72" s="5"/>
      <c r="I72" s="18"/>
      <c r="J72" s="5"/>
      <c r="K72" s="5"/>
      <c r="L72" s="5"/>
      <c r="M72" s="5"/>
      <c r="N72" s="5"/>
      <c r="O72" s="5"/>
      <c r="Q72" s="5"/>
      <c r="R72" s="5"/>
      <c r="S72" s="5"/>
      <c r="Y72" s="76"/>
      <c r="Z72" s="76"/>
    </row>
    <row r="73" spans="2:26">
      <c r="B73" s="41"/>
      <c r="C73" s="245"/>
      <c r="D73" s="245"/>
      <c r="E73" s="245"/>
      <c r="F73" s="245"/>
      <c r="G73" s="245"/>
      <c r="H73" s="245"/>
      <c r="I73" s="5"/>
      <c r="J73" s="245"/>
      <c r="K73" s="245"/>
      <c r="L73" s="245"/>
      <c r="M73" s="245"/>
      <c r="N73" s="245"/>
      <c r="O73" s="251"/>
      <c r="Q73" s="5"/>
      <c r="R73" s="5"/>
      <c r="S73" s="5"/>
    </row>
    <row r="74" spans="2:26">
      <c r="B74" s="5"/>
      <c r="C74" s="5"/>
      <c r="D74" s="18"/>
      <c r="E74" s="18"/>
      <c r="F74" s="18"/>
      <c r="G74" s="18"/>
      <c r="H74" s="18"/>
      <c r="I74" s="249"/>
      <c r="J74" s="18"/>
      <c r="K74" s="18"/>
      <c r="L74" s="18"/>
      <c r="M74" s="18"/>
      <c r="N74" s="18"/>
      <c r="O74" s="5"/>
      <c r="Q74" s="5"/>
      <c r="R74" s="5"/>
      <c r="S74" s="5"/>
    </row>
    <row r="75" spans="2:26">
      <c r="B75" s="41"/>
      <c r="C75" s="5"/>
      <c r="D75" s="5"/>
      <c r="E75" s="5"/>
      <c r="F75" s="5"/>
      <c r="G75" s="5"/>
      <c r="H75" s="5"/>
      <c r="I75" s="248"/>
      <c r="J75" s="5"/>
      <c r="K75" s="5"/>
      <c r="L75" s="5"/>
      <c r="M75" s="5"/>
      <c r="N75" s="5"/>
      <c r="O75" s="5"/>
      <c r="Q75" s="5"/>
      <c r="R75" s="5"/>
      <c r="S75" s="5"/>
    </row>
    <row r="76" spans="2:26">
      <c r="B76" s="41"/>
      <c r="C76" s="249"/>
      <c r="D76" s="249"/>
      <c r="E76" s="249"/>
      <c r="F76" s="249"/>
      <c r="G76" s="249"/>
      <c r="H76" s="249"/>
      <c r="I76" s="5"/>
      <c r="J76" s="249"/>
      <c r="K76" s="249"/>
      <c r="L76" s="249"/>
      <c r="M76" s="249"/>
      <c r="N76" s="249"/>
      <c r="O76" s="251"/>
      <c r="Q76" s="5"/>
      <c r="R76" s="5"/>
      <c r="S76" s="5"/>
    </row>
    <row r="77" spans="2:26">
      <c r="B77" s="5"/>
      <c r="C77" s="5"/>
      <c r="D77" s="248"/>
      <c r="E77" s="248"/>
      <c r="F77" s="248"/>
      <c r="G77" s="248"/>
      <c r="H77" s="248"/>
      <c r="I77" s="245"/>
      <c r="J77" s="248"/>
      <c r="K77" s="248"/>
      <c r="L77" s="248"/>
      <c r="M77" s="248"/>
      <c r="N77" s="248"/>
      <c r="O77" s="5"/>
      <c r="Q77" s="5"/>
      <c r="R77" s="5"/>
      <c r="S77" s="5"/>
    </row>
    <row r="78" spans="2:26">
      <c r="B78" s="41"/>
      <c r="C78" s="5"/>
      <c r="D78" s="5"/>
      <c r="E78" s="5"/>
      <c r="F78" s="5"/>
      <c r="G78" s="5"/>
      <c r="H78" s="5"/>
      <c r="I78" s="248"/>
      <c r="J78" s="5"/>
      <c r="K78" s="5"/>
      <c r="L78" s="5"/>
      <c r="M78" s="5"/>
      <c r="N78" s="5"/>
      <c r="O78" s="5"/>
      <c r="Q78" s="5"/>
      <c r="R78" s="5"/>
      <c r="S78" s="5"/>
    </row>
    <row r="79" spans="2:26">
      <c r="B79" s="41"/>
      <c r="C79" s="245"/>
      <c r="D79" s="245"/>
      <c r="E79" s="245"/>
      <c r="F79" s="245"/>
      <c r="G79" s="245"/>
      <c r="H79" s="245"/>
      <c r="I79" s="5"/>
      <c r="J79" s="245"/>
      <c r="K79" s="245"/>
      <c r="L79" s="245"/>
      <c r="M79" s="245"/>
      <c r="N79" s="245"/>
      <c r="O79" s="251"/>
      <c r="Q79" s="5"/>
      <c r="R79" s="5"/>
      <c r="S79" s="5"/>
    </row>
    <row r="80" spans="2:26">
      <c r="B80" s="5"/>
      <c r="C80" s="5"/>
      <c r="D80" s="248"/>
      <c r="E80" s="248"/>
      <c r="F80" s="248"/>
      <c r="G80" s="248"/>
      <c r="H80" s="248"/>
      <c r="I80" s="249"/>
      <c r="J80" s="248"/>
      <c r="K80" s="248"/>
      <c r="L80" s="248"/>
      <c r="M80" s="248"/>
      <c r="N80" s="248"/>
      <c r="O80" s="5"/>
      <c r="Q80" s="5"/>
      <c r="R80" s="5"/>
      <c r="S80" s="5"/>
    </row>
    <row r="81" spans="2:26">
      <c r="B81" s="41"/>
      <c r="C81" s="5"/>
      <c r="D81" s="5"/>
      <c r="E81" s="5"/>
      <c r="F81" s="5"/>
      <c r="G81" s="5"/>
      <c r="H81" s="5"/>
      <c r="I81" s="248"/>
      <c r="J81" s="5"/>
      <c r="K81" s="5"/>
      <c r="L81" s="5"/>
      <c r="M81" s="5"/>
      <c r="N81" s="5"/>
      <c r="O81" s="5"/>
      <c r="Q81" s="5"/>
      <c r="R81" s="5"/>
      <c r="S81" s="5"/>
    </row>
    <row r="82" spans="2:26">
      <c r="B82" s="41"/>
      <c r="C82" s="249"/>
      <c r="D82" s="249"/>
      <c r="E82" s="249"/>
      <c r="F82" s="249"/>
      <c r="G82" s="249"/>
      <c r="H82" s="249"/>
      <c r="I82" s="259"/>
      <c r="J82" s="249"/>
      <c r="K82" s="249"/>
      <c r="L82" s="249"/>
      <c r="M82" s="249"/>
      <c r="N82" s="249"/>
      <c r="O82" s="251"/>
      <c r="Q82" s="5"/>
      <c r="R82" s="5"/>
      <c r="S82" s="5"/>
    </row>
    <row r="83" spans="2:26">
      <c r="B83" s="5"/>
      <c r="C83" s="5"/>
      <c r="D83" s="248"/>
      <c r="E83" s="248"/>
      <c r="F83" s="248"/>
      <c r="G83" s="248"/>
      <c r="H83" s="248"/>
      <c r="I83" s="5"/>
      <c r="J83" s="248"/>
      <c r="K83" s="248"/>
      <c r="L83" s="248"/>
      <c r="M83" s="248"/>
      <c r="N83" s="248"/>
      <c r="O83" s="5"/>
      <c r="Q83" s="5"/>
      <c r="R83" s="5"/>
      <c r="S83" s="5"/>
    </row>
    <row r="84" spans="2:26">
      <c r="B84" s="5"/>
      <c r="C84" s="259"/>
      <c r="D84" s="259"/>
      <c r="E84" s="259"/>
      <c r="F84" s="259"/>
      <c r="G84" s="259"/>
      <c r="H84" s="259"/>
      <c r="I84" s="245"/>
      <c r="J84" s="259"/>
      <c r="K84" s="259"/>
      <c r="L84" s="259"/>
      <c r="M84" s="259"/>
      <c r="N84" s="259"/>
      <c r="O84" s="251"/>
      <c r="Q84" s="5"/>
      <c r="R84" s="5"/>
      <c r="S84" s="5"/>
    </row>
    <row r="85" spans="2:26">
      <c r="B85" s="41"/>
      <c r="C85" s="5"/>
      <c r="D85" s="5"/>
      <c r="E85" s="5"/>
      <c r="F85" s="5"/>
      <c r="G85" s="5"/>
      <c r="H85" s="5"/>
      <c r="I85" s="248"/>
      <c r="J85" s="5"/>
      <c r="K85" s="5"/>
      <c r="L85" s="5"/>
      <c r="M85" s="5"/>
      <c r="N85" s="5"/>
      <c r="O85" s="5"/>
      <c r="Q85" s="5"/>
      <c r="R85" s="5"/>
      <c r="S85" s="5"/>
    </row>
    <row r="86" spans="2:26">
      <c r="B86" s="41"/>
      <c r="C86" s="245"/>
      <c r="D86" s="245"/>
      <c r="E86" s="245"/>
      <c r="F86" s="245"/>
      <c r="G86" s="245"/>
      <c r="H86" s="245"/>
      <c r="I86" s="5"/>
      <c r="J86" s="245"/>
      <c r="K86" s="245"/>
      <c r="L86" s="245"/>
      <c r="M86" s="245"/>
      <c r="N86" s="245"/>
      <c r="O86" s="251"/>
      <c r="Q86" s="5"/>
      <c r="R86" s="5"/>
      <c r="S86" s="5"/>
    </row>
    <row r="87" spans="2:26">
      <c r="B87" s="5"/>
      <c r="C87" s="5"/>
      <c r="D87" s="248"/>
      <c r="E87" s="248"/>
      <c r="F87" s="248"/>
      <c r="G87" s="248"/>
      <c r="H87" s="248"/>
      <c r="I87" s="5"/>
      <c r="J87" s="248"/>
      <c r="K87" s="248"/>
      <c r="L87" s="248"/>
      <c r="M87" s="248"/>
      <c r="N87" s="248"/>
      <c r="O87" s="5"/>
      <c r="Q87" s="5"/>
      <c r="R87" s="5"/>
      <c r="S87" s="5"/>
    </row>
    <row r="88" spans="2:26">
      <c r="B88" s="41"/>
      <c r="C88" s="5"/>
      <c r="D88" s="5"/>
      <c r="E88" s="5"/>
      <c r="F88" s="5"/>
      <c r="G88" s="5"/>
      <c r="H88" s="5"/>
      <c r="I88" s="5"/>
      <c r="J88" s="5"/>
      <c r="K88" s="5"/>
      <c r="L88" s="5"/>
      <c r="M88" s="5"/>
      <c r="N88" s="5"/>
      <c r="O88" s="5"/>
      <c r="Q88" s="5"/>
      <c r="R88" s="5"/>
      <c r="S88" s="5"/>
    </row>
    <row r="89" spans="2:26">
      <c r="B89" s="41"/>
      <c r="C89" s="5"/>
      <c r="D89" s="5"/>
      <c r="E89" s="5"/>
      <c r="F89" s="5"/>
      <c r="G89" s="5"/>
      <c r="H89" s="5"/>
      <c r="I89" s="5"/>
      <c r="J89" s="5"/>
      <c r="K89" s="5"/>
      <c r="L89" s="5"/>
      <c r="M89" s="5"/>
      <c r="N89" s="5"/>
      <c r="O89" s="5"/>
      <c r="Q89" s="5"/>
      <c r="R89" s="5"/>
      <c r="S89" s="5"/>
    </row>
    <row r="90" spans="2:26">
      <c r="B90" s="41"/>
      <c r="C90" s="5"/>
      <c r="D90" s="5"/>
      <c r="E90" s="5"/>
      <c r="F90" s="5"/>
      <c r="G90" s="5"/>
      <c r="H90" s="5"/>
      <c r="I90" s="49"/>
      <c r="J90" s="5"/>
      <c r="K90" s="5"/>
      <c r="L90" s="5"/>
      <c r="M90" s="5"/>
      <c r="N90" s="5"/>
      <c r="O90" s="5"/>
      <c r="Q90" s="41"/>
      <c r="R90" s="5"/>
      <c r="S90" s="5"/>
    </row>
    <row r="91" spans="2:26">
      <c r="B91" s="5"/>
      <c r="C91" s="5"/>
      <c r="D91" s="5"/>
      <c r="E91" s="5"/>
      <c r="F91" s="5"/>
      <c r="G91" s="5"/>
      <c r="H91" s="5"/>
      <c r="I91" s="5"/>
      <c r="J91" s="5"/>
      <c r="K91" s="5"/>
      <c r="L91" s="5"/>
      <c r="M91" s="5"/>
      <c r="N91" s="5"/>
      <c r="O91" s="5"/>
      <c r="Q91" s="5"/>
      <c r="R91" s="5"/>
      <c r="S91" s="5"/>
    </row>
    <row r="92" spans="2:26">
      <c r="B92" s="41"/>
      <c r="C92" s="49"/>
      <c r="D92" s="49"/>
      <c r="E92" s="49"/>
      <c r="F92" s="49"/>
      <c r="G92" s="49"/>
      <c r="H92" s="49"/>
      <c r="I92" s="247"/>
      <c r="J92" s="49"/>
      <c r="K92" s="49"/>
      <c r="L92" s="49"/>
      <c r="M92" s="49"/>
      <c r="N92" s="49"/>
      <c r="O92" s="49"/>
      <c r="Q92" s="5"/>
      <c r="R92" s="5"/>
      <c r="S92" s="5"/>
      <c r="W92" s="21"/>
      <c r="X92" s="21"/>
    </row>
    <row r="93" spans="2:26">
      <c r="B93" s="5"/>
      <c r="C93" s="5"/>
      <c r="D93" s="5"/>
      <c r="E93" s="5"/>
      <c r="F93" s="5"/>
      <c r="G93" s="5"/>
      <c r="H93" s="5"/>
      <c r="I93" s="247"/>
      <c r="J93" s="5"/>
      <c r="K93" s="5"/>
      <c r="L93" s="5"/>
      <c r="M93" s="5"/>
      <c r="N93" s="5"/>
      <c r="O93" s="5"/>
      <c r="Q93" s="5"/>
      <c r="R93" s="5"/>
      <c r="S93" s="5"/>
      <c r="W93" s="21"/>
      <c r="X93" s="21"/>
      <c r="Y93" s="21"/>
      <c r="Z93" s="21"/>
    </row>
    <row r="94" spans="2:26">
      <c r="B94" s="5"/>
      <c r="C94" s="259"/>
      <c r="D94" s="247"/>
      <c r="E94" s="247"/>
      <c r="F94" s="247"/>
      <c r="G94" s="247"/>
      <c r="H94" s="247"/>
      <c r="I94" s="247"/>
      <c r="J94" s="247"/>
      <c r="K94" s="247"/>
      <c r="L94" s="247"/>
      <c r="M94" s="247"/>
      <c r="N94" s="247"/>
      <c r="O94" s="248"/>
      <c r="Q94" s="5"/>
      <c r="R94" s="5"/>
      <c r="S94" s="5"/>
      <c r="Y94" s="21"/>
      <c r="Z94" s="21"/>
    </row>
    <row r="95" spans="2:26">
      <c r="B95" s="5"/>
      <c r="C95" s="259"/>
      <c r="D95" s="247"/>
      <c r="E95" s="247"/>
      <c r="F95" s="247"/>
      <c r="G95" s="247"/>
      <c r="H95" s="247"/>
      <c r="I95" s="248"/>
      <c r="J95" s="247"/>
      <c r="K95" s="247"/>
      <c r="L95" s="247"/>
      <c r="M95" s="247"/>
      <c r="N95" s="247"/>
      <c r="O95" s="248"/>
      <c r="Q95" s="5"/>
      <c r="R95" s="5"/>
      <c r="S95" s="5"/>
    </row>
    <row r="96" spans="2:26">
      <c r="B96" s="5"/>
      <c r="C96" s="259"/>
      <c r="D96" s="247"/>
      <c r="E96" s="247"/>
      <c r="F96" s="247"/>
      <c r="G96" s="247"/>
      <c r="H96" s="247"/>
      <c r="I96" s="247"/>
      <c r="J96" s="247"/>
      <c r="K96" s="247"/>
      <c r="L96" s="247"/>
      <c r="M96" s="247"/>
      <c r="N96" s="247"/>
      <c r="O96" s="248"/>
      <c r="Q96" s="5"/>
      <c r="R96" s="5"/>
      <c r="S96" s="5"/>
    </row>
    <row r="97" spans="2:19">
      <c r="B97" s="5"/>
      <c r="C97" s="259"/>
      <c r="D97" s="248"/>
      <c r="E97" s="248"/>
      <c r="F97" s="248"/>
      <c r="G97" s="248"/>
      <c r="H97" s="248"/>
      <c r="I97" s="249"/>
      <c r="J97" s="248"/>
      <c r="K97" s="248"/>
      <c r="L97" s="248"/>
      <c r="M97" s="248"/>
      <c r="N97" s="248"/>
      <c r="O97" s="248"/>
      <c r="Q97" s="5"/>
      <c r="R97" s="5"/>
      <c r="S97" s="5"/>
    </row>
    <row r="98" spans="2:19">
      <c r="B98" s="5"/>
      <c r="C98" s="259"/>
      <c r="D98" s="247"/>
      <c r="E98" s="247"/>
      <c r="F98" s="247"/>
      <c r="G98" s="247"/>
      <c r="H98" s="247"/>
      <c r="I98" s="248"/>
      <c r="J98" s="247"/>
      <c r="K98" s="247"/>
      <c r="L98" s="247"/>
      <c r="M98" s="247"/>
      <c r="N98" s="247"/>
      <c r="O98" s="248"/>
      <c r="Q98" s="5"/>
      <c r="R98" s="5"/>
      <c r="S98" s="5"/>
    </row>
    <row r="99" spans="2:19">
      <c r="B99" s="41"/>
      <c r="C99" s="249"/>
      <c r="D99" s="249"/>
      <c r="E99" s="249"/>
      <c r="F99" s="249"/>
      <c r="G99" s="249"/>
      <c r="H99" s="249"/>
      <c r="I99" s="5"/>
      <c r="J99" s="249"/>
      <c r="K99" s="249"/>
      <c r="L99" s="249"/>
      <c r="M99" s="249"/>
      <c r="N99" s="249"/>
      <c r="O99" s="248"/>
      <c r="Q99" s="5"/>
      <c r="R99" s="5"/>
      <c r="S99" s="5"/>
    </row>
    <row r="100" spans="2:19">
      <c r="B100" s="41"/>
      <c r="C100" s="257"/>
      <c r="D100" s="248"/>
      <c r="E100" s="248"/>
      <c r="F100" s="248"/>
      <c r="G100" s="248"/>
      <c r="H100" s="248"/>
      <c r="I100" s="259"/>
      <c r="J100" s="248"/>
      <c r="K100" s="248"/>
      <c r="L100" s="248"/>
      <c r="M100" s="248"/>
      <c r="N100" s="248"/>
      <c r="O100" s="248"/>
      <c r="Q100" s="5"/>
      <c r="R100" s="5"/>
      <c r="S100" s="5"/>
    </row>
    <row r="101" spans="2:19" s="5" customFormat="1">
      <c r="B101" s="41"/>
      <c r="I101" s="259"/>
      <c r="O101" s="248"/>
      <c r="P101" s="39"/>
    </row>
    <row r="102" spans="2:19">
      <c r="B102" s="5"/>
      <c r="C102" s="259"/>
      <c r="D102" s="259"/>
      <c r="E102" s="259"/>
      <c r="F102" s="259"/>
      <c r="G102" s="259"/>
      <c r="H102" s="259"/>
      <c r="I102" s="247"/>
      <c r="J102" s="259"/>
      <c r="K102" s="259"/>
      <c r="L102" s="259"/>
      <c r="M102" s="259"/>
      <c r="N102" s="259"/>
      <c r="O102" s="5"/>
      <c r="Q102" s="5"/>
      <c r="R102" s="5"/>
      <c r="S102" s="5"/>
    </row>
    <row r="103" spans="2:19">
      <c r="B103" s="5"/>
      <c r="C103" s="259"/>
      <c r="D103" s="259"/>
      <c r="E103" s="259"/>
      <c r="F103" s="259"/>
      <c r="G103" s="259"/>
      <c r="H103" s="259"/>
      <c r="I103" s="5"/>
      <c r="J103" s="259"/>
      <c r="K103" s="259"/>
      <c r="L103" s="259"/>
      <c r="M103" s="259"/>
      <c r="N103" s="259"/>
      <c r="O103" s="5"/>
      <c r="P103" s="5"/>
      <c r="Q103" s="5"/>
      <c r="R103" s="5"/>
      <c r="S103" s="5"/>
    </row>
    <row r="104" spans="2:19">
      <c r="B104" s="5"/>
      <c r="C104" s="247"/>
      <c r="D104" s="247"/>
      <c r="E104" s="247"/>
      <c r="F104" s="247"/>
      <c r="G104" s="247"/>
      <c r="H104" s="247"/>
      <c r="I104" s="247"/>
      <c r="J104" s="247"/>
      <c r="K104" s="247"/>
      <c r="L104" s="247"/>
      <c r="M104" s="247"/>
      <c r="N104" s="247"/>
      <c r="O104" s="5"/>
      <c r="Q104" s="5"/>
      <c r="R104" s="5"/>
      <c r="S104" s="5"/>
    </row>
    <row r="105" spans="2:19" s="5" customFormat="1">
      <c r="P105" s="39"/>
    </row>
    <row r="106" spans="2:19" s="5" customFormat="1">
      <c r="C106" s="259"/>
      <c r="D106" s="247"/>
      <c r="E106" s="247"/>
      <c r="F106" s="247"/>
      <c r="G106" s="247"/>
      <c r="H106" s="247"/>
      <c r="I106" s="259"/>
      <c r="J106" s="247"/>
      <c r="K106" s="247"/>
      <c r="L106" s="247"/>
      <c r="M106" s="247"/>
      <c r="N106" s="247"/>
      <c r="P106" s="39"/>
    </row>
    <row r="107" spans="2:19">
      <c r="B107" s="5"/>
      <c r="C107" s="259"/>
      <c r="D107" s="5"/>
      <c r="E107" s="5"/>
      <c r="F107" s="5"/>
      <c r="G107" s="5"/>
      <c r="H107" s="5"/>
      <c r="I107" s="247"/>
      <c r="J107" s="5"/>
      <c r="K107" s="5"/>
      <c r="L107" s="5"/>
      <c r="M107" s="5"/>
      <c r="N107" s="5"/>
      <c r="O107" s="5"/>
      <c r="P107" s="5"/>
      <c r="Q107" s="5"/>
      <c r="R107" s="5"/>
      <c r="S107" s="5"/>
    </row>
    <row r="108" spans="2:19">
      <c r="B108" s="5"/>
      <c r="C108" s="259"/>
      <c r="D108" s="259"/>
      <c r="E108" s="259"/>
      <c r="F108" s="259"/>
      <c r="G108" s="259"/>
      <c r="H108" s="259"/>
      <c r="I108" s="249"/>
      <c r="J108" s="259"/>
      <c r="K108" s="259"/>
      <c r="L108" s="259"/>
      <c r="M108" s="259"/>
      <c r="N108" s="259"/>
      <c r="O108" s="5"/>
      <c r="P108" s="5"/>
      <c r="Q108" s="5"/>
      <c r="R108" s="5"/>
      <c r="S108" s="5"/>
    </row>
    <row r="109" spans="2:19">
      <c r="B109" s="5"/>
      <c r="C109" s="247"/>
      <c r="D109" s="247"/>
      <c r="E109" s="247"/>
      <c r="F109" s="247"/>
      <c r="G109" s="247"/>
      <c r="H109" s="247"/>
      <c r="I109" s="249"/>
      <c r="J109" s="247"/>
      <c r="K109" s="247"/>
      <c r="L109" s="247"/>
      <c r="M109" s="247"/>
      <c r="N109" s="247"/>
      <c r="O109" s="5"/>
      <c r="Q109" s="5"/>
      <c r="R109" s="5"/>
      <c r="S109" s="5"/>
    </row>
    <row r="110" spans="2:19">
      <c r="B110" s="41"/>
      <c r="C110" s="249"/>
      <c r="D110" s="249"/>
      <c r="E110" s="249"/>
      <c r="F110" s="249"/>
      <c r="G110" s="249"/>
      <c r="H110" s="249"/>
      <c r="I110" s="247"/>
      <c r="J110" s="249"/>
      <c r="K110" s="249"/>
      <c r="L110" s="249"/>
      <c r="M110" s="249"/>
      <c r="N110" s="249"/>
      <c r="O110" s="5"/>
      <c r="Q110" s="5"/>
      <c r="R110" s="5"/>
      <c r="S110" s="5"/>
    </row>
    <row r="111" spans="2:19">
      <c r="B111" s="5"/>
      <c r="C111" s="249"/>
      <c r="D111" s="249"/>
      <c r="E111" s="249"/>
      <c r="F111" s="249"/>
      <c r="G111" s="249"/>
      <c r="H111" s="249"/>
      <c r="I111" s="5"/>
      <c r="J111" s="249"/>
      <c r="K111" s="249"/>
      <c r="L111" s="249"/>
      <c r="M111" s="249"/>
      <c r="N111" s="249"/>
      <c r="O111" s="5"/>
      <c r="Q111" s="5"/>
      <c r="R111" s="5"/>
      <c r="S111" s="5"/>
    </row>
    <row r="112" spans="2:19">
      <c r="B112" s="5"/>
      <c r="C112" s="247"/>
      <c r="D112" s="247"/>
      <c r="E112" s="247"/>
      <c r="F112" s="247"/>
      <c r="G112" s="247"/>
      <c r="H112" s="247"/>
      <c r="I112" s="5"/>
      <c r="J112" s="247"/>
      <c r="K112" s="247"/>
      <c r="L112" s="247"/>
      <c r="M112" s="247"/>
      <c r="N112" s="247"/>
      <c r="O112" s="5"/>
      <c r="Q112" s="5"/>
      <c r="R112" s="5"/>
      <c r="S112" s="5"/>
    </row>
    <row r="113" spans="2:19">
      <c r="B113" s="5"/>
      <c r="C113" s="5"/>
      <c r="D113" s="5"/>
      <c r="E113" s="5"/>
      <c r="F113" s="5"/>
      <c r="G113" s="5"/>
      <c r="H113" s="5"/>
      <c r="I113" s="5"/>
      <c r="J113" s="5"/>
      <c r="K113" s="5"/>
      <c r="L113" s="5"/>
      <c r="M113" s="5"/>
      <c r="N113" s="5"/>
      <c r="O113" s="5"/>
      <c r="Q113" s="5"/>
      <c r="R113" s="5"/>
      <c r="S113" s="5"/>
    </row>
    <row r="114" spans="2:19">
      <c r="B114" s="5"/>
      <c r="C114" s="5"/>
      <c r="D114" s="5"/>
      <c r="E114" s="5"/>
      <c r="F114" s="5"/>
      <c r="G114" s="5"/>
      <c r="H114" s="5"/>
      <c r="I114" s="5"/>
      <c r="J114" s="5"/>
      <c r="K114" s="5"/>
      <c r="L114" s="5"/>
      <c r="M114" s="5"/>
      <c r="N114" s="5"/>
      <c r="O114" s="5"/>
      <c r="Q114" s="5"/>
      <c r="R114" s="5"/>
      <c r="S114" s="5"/>
    </row>
    <row r="115" spans="2:19">
      <c r="B115" s="5"/>
      <c r="C115" s="5"/>
      <c r="D115" s="5"/>
      <c r="E115" s="5"/>
      <c r="F115" s="5"/>
      <c r="G115" s="5"/>
      <c r="H115" s="5"/>
      <c r="I115" s="49"/>
      <c r="J115" s="5"/>
      <c r="K115" s="5"/>
      <c r="L115" s="5"/>
      <c r="M115" s="5"/>
      <c r="N115" s="5"/>
      <c r="O115" s="5"/>
      <c r="Q115" s="41"/>
      <c r="R115" s="5"/>
      <c r="S115" s="5"/>
    </row>
    <row r="116" spans="2:19">
      <c r="B116" s="5"/>
      <c r="C116" s="5"/>
      <c r="D116" s="5"/>
      <c r="E116" s="5"/>
      <c r="F116" s="5"/>
      <c r="G116" s="5"/>
      <c r="H116" s="5"/>
      <c r="I116" s="5"/>
      <c r="J116" s="5"/>
      <c r="K116" s="5"/>
      <c r="L116" s="5"/>
      <c r="M116" s="5"/>
      <c r="N116" s="5"/>
      <c r="O116" s="5"/>
      <c r="Q116" s="5"/>
      <c r="R116" s="5"/>
      <c r="S116" s="5"/>
    </row>
    <row r="117" spans="2:19">
      <c r="B117" s="41"/>
      <c r="C117" s="49"/>
      <c r="D117" s="49"/>
      <c r="E117" s="49"/>
      <c r="F117" s="49"/>
      <c r="G117" s="49"/>
      <c r="H117" s="49"/>
      <c r="I117" s="254"/>
      <c r="J117" s="49"/>
      <c r="K117" s="49"/>
      <c r="L117" s="49"/>
      <c r="M117" s="49"/>
      <c r="N117" s="49"/>
      <c r="O117" s="49"/>
      <c r="Q117" s="5"/>
      <c r="R117" s="5"/>
      <c r="S117" s="5"/>
    </row>
    <row r="118" spans="2:19">
      <c r="B118" s="5"/>
      <c r="C118" s="5"/>
      <c r="D118" s="5"/>
      <c r="E118" s="5"/>
      <c r="F118" s="5"/>
      <c r="G118" s="5"/>
      <c r="H118" s="5"/>
      <c r="I118" s="249"/>
      <c r="J118" s="5"/>
      <c r="K118" s="5"/>
      <c r="L118" s="5"/>
      <c r="M118" s="5"/>
      <c r="N118" s="5"/>
      <c r="O118" s="5"/>
      <c r="Q118" s="5"/>
      <c r="R118" s="5"/>
      <c r="S118" s="5"/>
    </row>
    <row r="119" spans="2:19">
      <c r="B119" s="41"/>
      <c r="C119" s="254"/>
      <c r="D119" s="254"/>
      <c r="E119" s="254"/>
      <c r="F119" s="254"/>
      <c r="G119" s="254"/>
      <c r="H119" s="254"/>
      <c r="I119" s="254"/>
      <c r="J119" s="254"/>
      <c r="K119" s="254"/>
      <c r="L119" s="254"/>
      <c r="M119" s="254"/>
      <c r="N119" s="254"/>
      <c r="O119" s="248"/>
      <c r="Q119" s="5"/>
      <c r="R119" s="5"/>
      <c r="S119" s="5"/>
    </row>
    <row r="120" spans="2:19">
      <c r="B120" s="41"/>
      <c r="C120" s="254"/>
      <c r="D120" s="249"/>
      <c r="E120" s="249"/>
      <c r="F120" s="249"/>
      <c r="G120" s="249"/>
      <c r="H120" s="249"/>
      <c r="I120" s="254"/>
      <c r="J120" s="249"/>
      <c r="K120" s="249"/>
      <c r="L120" s="249"/>
      <c r="M120" s="249"/>
      <c r="N120" s="249"/>
      <c r="O120" s="248"/>
      <c r="Q120" s="5"/>
      <c r="R120" s="5"/>
      <c r="S120" s="5"/>
    </row>
    <row r="121" spans="2:19">
      <c r="B121" s="41"/>
      <c r="C121" s="254"/>
      <c r="D121" s="254"/>
      <c r="E121" s="254"/>
      <c r="F121" s="254"/>
      <c r="G121" s="254"/>
      <c r="H121" s="254"/>
      <c r="I121" s="254"/>
      <c r="J121" s="254"/>
      <c r="K121" s="254"/>
      <c r="L121" s="254"/>
      <c r="M121" s="254"/>
      <c r="N121" s="254"/>
      <c r="O121" s="248"/>
      <c r="Q121" s="5"/>
      <c r="R121" s="5"/>
      <c r="S121" s="5"/>
    </row>
    <row r="122" spans="2:19">
      <c r="B122" s="41"/>
      <c r="C122" s="254"/>
      <c r="D122" s="254"/>
      <c r="E122" s="254"/>
      <c r="F122" s="254"/>
      <c r="G122" s="254"/>
      <c r="H122" s="254"/>
      <c r="I122" s="254"/>
      <c r="J122" s="254"/>
      <c r="K122" s="254"/>
      <c r="L122" s="254"/>
      <c r="M122" s="254"/>
      <c r="N122" s="254"/>
      <c r="O122" s="248"/>
      <c r="Q122" s="5"/>
      <c r="R122" s="5"/>
      <c r="S122" s="5"/>
    </row>
    <row r="123" spans="2:19">
      <c r="B123" s="41"/>
      <c r="C123" s="254"/>
      <c r="D123" s="254"/>
      <c r="E123" s="254"/>
      <c r="F123" s="254"/>
      <c r="G123" s="254"/>
      <c r="H123" s="254"/>
      <c r="I123" s="254"/>
      <c r="J123" s="254"/>
      <c r="K123" s="254"/>
      <c r="L123" s="254"/>
      <c r="M123" s="254"/>
      <c r="N123" s="254"/>
      <c r="O123" s="248"/>
      <c r="Q123" s="5"/>
      <c r="R123" s="5"/>
      <c r="S123" s="5"/>
    </row>
    <row r="124" spans="2:19">
      <c r="B124" s="41"/>
      <c r="C124" s="254"/>
      <c r="D124" s="254"/>
      <c r="E124" s="254"/>
      <c r="F124" s="254"/>
      <c r="G124" s="254"/>
      <c r="H124" s="254"/>
      <c r="I124" s="254"/>
      <c r="J124" s="254"/>
      <c r="K124" s="254"/>
      <c r="L124" s="254"/>
      <c r="M124" s="254"/>
      <c r="N124" s="254"/>
      <c r="O124" s="248"/>
      <c r="Q124" s="5"/>
      <c r="R124" s="5"/>
      <c r="S124" s="5"/>
    </row>
    <row r="125" spans="2:19">
      <c r="B125" s="41"/>
      <c r="C125" s="254"/>
      <c r="D125" s="254"/>
      <c r="E125" s="254"/>
      <c r="F125" s="254"/>
      <c r="G125" s="254"/>
      <c r="H125" s="254"/>
      <c r="I125" s="254"/>
      <c r="J125" s="254"/>
      <c r="K125" s="254"/>
      <c r="L125" s="254"/>
      <c r="M125" s="254"/>
      <c r="N125" s="254"/>
      <c r="O125" s="5"/>
      <c r="Q125" s="5"/>
      <c r="R125" s="5"/>
      <c r="S125" s="5"/>
    </row>
    <row r="126" spans="2:19">
      <c r="B126" s="41"/>
      <c r="C126" s="254"/>
      <c r="D126" s="254"/>
      <c r="E126" s="254"/>
      <c r="F126" s="254"/>
      <c r="G126" s="254"/>
      <c r="H126" s="254"/>
      <c r="I126" s="254"/>
      <c r="J126" s="254"/>
      <c r="K126" s="254"/>
      <c r="L126" s="254"/>
      <c r="M126" s="254"/>
      <c r="N126" s="254"/>
      <c r="O126" s="5"/>
      <c r="Q126" s="5"/>
      <c r="R126" s="5"/>
      <c r="S126" s="5"/>
    </row>
    <row r="127" spans="2:19">
      <c r="B127" s="41"/>
      <c r="C127" s="254"/>
      <c r="D127" s="254"/>
      <c r="E127" s="254"/>
      <c r="F127" s="254"/>
      <c r="G127" s="254"/>
      <c r="H127" s="254"/>
      <c r="I127" s="18"/>
      <c r="J127" s="254"/>
      <c r="K127" s="254"/>
      <c r="L127" s="254"/>
      <c r="M127" s="254"/>
      <c r="N127" s="254"/>
      <c r="O127" s="5"/>
      <c r="Q127" s="5"/>
      <c r="R127" s="5"/>
      <c r="S127" s="5"/>
    </row>
    <row r="128" spans="2:19">
      <c r="B128" s="41"/>
      <c r="C128" s="254"/>
      <c r="D128" s="254"/>
      <c r="E128" s="254"/>
      <c r="F128" s="254"/>
      <c r="G128" s="254"/>
      <c r="H128" s="254"/>
      <c r="I128" s="5"/>
      <c r="J128" s="254"/>
      <c r="K128" s="254"/>
      <c r="L128" s="254"/>
      <c r="M128" s="254"/>
      <c r="N128" s="254"/>
      <c r="O128" s="5"/>
      <c r="Q128" s="5"/>
      <c r="R128" s="5"/>
      <c r="S128" s="5"/>
    </row>
    <row r="129" spans="2:27">
      <c r="B129" s="5"/>
      <c r="C129" s="5"/>
      <c r="D129" s="18"/>
      <c r="E129" s="18"/>
      <c r="F129" s="18"/>
      <c r="G129" s="18"/>
      <c r="H129" s="18"/>
      <c r="I129" s="254"/>
      <c r="J129" s="18"/>
      <c r="K129" s="18"/>
      <c r="L129" s="18"/>
      <c r="M129" s="18"/>
      <c r="N129" s="18"/>
      <c r="O129" s="5"/>
      <c r="Q129" s="5"/>
      <c r="R129" s="5"/>
      <c r="S129" s="5"/>
    </row>
    <row r="130" spans="2:27">
      <c r="B130" s="5"/>
      <c r="C130" s="5"/>
      <c r="D130" s="5"/>
      <c r="E130" s="5"/>
      <c r="F130" s="5"/>
      <c r="G130" s="5"/>
      <c r="H130" s="5"/>
      <c r="I130" s="18"/>
      <c r="J130" s="5"/>
      <c r="K130" s="5"/>
      <c r="L130" s="5"/>
      <c r="M130" s="5"/>
      <c r="N130" s="5"/>
      <c r="O130" s="5"/>
      <c r="Q130" s="5"/>
      <c r="R130" s="5"/>
      <c r="S130" s="5"/>
    </row>
    <row r="131" spans="2:27">
      <c r="B131" s="41"/>
      <c r="C131" s="254"/>
      <c r="D131" s="254"/>
      <c r="E131" s="254"/>
      <c r="F131" s="254"/>
      <c r="G131" s="254"/>
      <c r="H131" s="254"/>
      <c r="I131" s="5"/>
      <c r="J131" s="254"/>
      <c r="K131" s="254"/>
      <c r="L131" s="254"/>
      <c r="M131" s="254"/>
      <c r="N131" s="254"/>
      <c r="O131" s="5"/>
      <c r="Q131" s="5"/>
      <c r="R131" s="5"/>
      <c r="S131" s="5"/>
    </row>
    <row r="132" spans="2:27">
      <c r="B132" s="5"/>
      <c r="C132" s="259"/>
      <c r="D132" s="18"/>
      <c r="E132" s="18"/>
      <c r="F132" s="18"/>
      <c r="G132" s="18"/>
      <c r="H132" s="18"/>
      <c r="I132" s="5"/>
      <c r="J132" s="18"/>
      <c r="K132" s="18"/>
      <c r="L132" s="18"/>
      <c r="M132" s="18"/>
      <c r="N132" s="18"/>
      <c r="O132" s="5"/>
      <c r="Q132" s="5"/>
      <c r="R132" s="5"/>
      <c r="S132" s="5"/>
    </row>
    <row r="133" spans="2:27">
      <c r="B133" s="5"/>
      <c r="C133" s="5"/>
      <c r="D133" s="5"/>
      <c r="E133" s="5"/>
      <c r="F133" s="5"/>
      <c r="G133" s="5"/>
      <c r="H133" s="5"/>
      <c r="I133" s="17"/>
      <c r="J133" s="5"/>
      <c r="K133" s="5"/>
      <c r="L133" s="5"/>
      <c r="M133" s="5"/>
      <c r="N133" s="5"/>
      <c r="O133" s="5"/>
      <c r="Q133" s="5"/>
      <c r="R133" s="5"/>
      <c r="S133" s="5"/>
    </row>
    <row r="134" spans="2:27">
      <c r="B134" s="41"/>
      <c r="C134" s="5"/>
      <c r="D134" s="5"/>
      <c r="E134" s="5"/>
      <c r="F134" s="5"/>
      <c r="G134" s="5"/>
      <c r="H134" s="5"/>
      <c r="I134" s="17"/>
      <c r="J134" s="5"/>
      <c r="K134" s="5"/>
      <c r="L134" s="5"/>
      <c r="M134" s="5"/>
      <c r="N134" s="5"/>
      <c r="O134" s="5"/>
      <c r="Q134" s="5"/>
      <c r="R134" s="5"/>
      <c r="S134" s="5"/>
    </row>
    <row r="135" spans="2:27">
      <c r="B135" s="5"/>
      <c r="C135" s="17"/>
      <c r="D135" s="17"/>
      <c r="E135" s="17"/>
      <c r="F135" s="17"/>
      <c r="G135" s="17"/>
      <c r="H135" s="17"/>
      <c r="I135" s="17"/>
      <c r="J135" s="17"/>
      <c r="K135" s="17"/>
      <c r="L135" s="17"/>
      <c r="M135" s="17"/>
      <c r="N135" s="17"/>
      <c r="O135" s="5"/>
      <c r="Q135" s="41"/>
      <c r="R135" s="5"/>
      <c r="S135" s="5"/>
    </row>
    <row r="136" spans="2:27">
      <c r="B136" s="5"/>
      <c r="C136" s="17"/>
      <c r="D136" s="17"/>
      <c r="E136" s="17"/>
      <c r="F136" s="17"/>
      <c r="G136" s="17"/>
      <c r="H136" s="17"/>
      <c r="I136" s="17"/>
      <c r="J136" s="17"/>
      <c r="K136" s="17"/>
      <c r="L136" s="17"/>
      <c r="M136" s="17"/>
      <c r="N136" s="17"/>
      <c r="O136" s="5"/>
      <c r="Q136" s="5"/>
      <c r="R136" s="5"/>
      <c r="S136" s="5"/>
      <c r="X136" s="304"/>
    </row>
    <row r="137" spans="2:27">
      <c r="B137" s="5"/>
      <c r="C137" s="5"/>
      <c r="D137" s="17"/>
      <c r="E137" s="17"/>
      <c r="F137" s="17"/>
      <c r="G137" s="17"/>
      <c r="H137" s="17"/>
      <c r="I137" s="17"/>
      <c r="J137" s="17"/>
      <c r="K137" s="17"/>
      <c r="L137" s="17"/>
      <c r="M137" s="17"/>
      <c r="N137" s="17"/>
      <c r="O137" s="5"/>
      <c r="Q137" s="5"/>
      <c r="R137" s="5"/>
      <c r="S137" s="5"/>
      <c r="X137" s="10"/>
      <c r="Y137" s="304"/>
      <c r="Z137" s="304"/>
      <c r="AA137" s="304"/>
    </row>
    <row r="138" spans="2:27">
      <c r="B138" s="5"/>
      <c r="C138" s="5"/>
      <c r="D138" s="17"/>
      <c r="E138" s="17"/>
      <c r="F138" s="17"/>
      <c r="G138" s="17"/>
      <c r="H138" s="17"/>
      <c r="I138" s="17"/>
      <c r="J138" s="17"/>
      <c r="K138" s="17"/>
      <c r="L138" s="17"/>
      <c r="M138" s="17"/>
      <c r="N138" s="17"/>
      <c r="O138" s="5"/>
      <c r="Q138" s="5"/>
      <c r="R138" s="5"/>
      <c r="S138" s="5"/>
      <c r="Y138" s="10"/>
      <c r="Z138" s="10"/>
      <c r="AA138" s="10"/>
    </row>
    <row r="139" spans="2:27">
      <c r="B139" s="5"/>
      <c r="C139" s="5"/>
      <c r="D139" s="17"/>
      <c r="E139" s="17"/>
      <c r="F139" s="17"/>
      <c r="G139" s="17"/>
      <c r="H139" s="17"/>
      <c r="I139" s="5"/>
      <c r="J139" s="17"/>
      <c r="K139" s="17"/>
      <c r="L139" s="17"/>
      <c r="M139" s="17"/>
      <c r="N139" s="17"/>
      <c r="O139" s="5"/>
      <c r="Q139" s="5"/>
      <c r="R139" s="5"/>
      <c r="S139" s="5"/>
    </row>
    <row r="140" spans="2:27">
      <c r="B140" s="5"/>
      <c r="C140" s="17"/>
      <c r="D140" s="17"/>
      <c r="E140" s="17"/>
      <c r="F140" s="17"/>
      <c r="G140" s="17"/>
      <c r="H140" s="17"/>
      <c r="I140" s="5"/>
      <c r="J140" s="17"/>
      <c r="K140" s="17"/>
      <c r="L140" s="17"/>
      <c r="M140" s="17"/>
      <c r="N140" s="17"/>
      <c r="O140" s="5"/>
      <c r="Q140" s="5"/>
      <c r="R140" s="5"/>
      <c r="S140" s="5"/>
    </row>
    <row r="141" spans="2:27">
      <c r="B141" s="5"/>
      <c r="C141" s="5"/>
      <c r="D141" s="5"/>
      <c r="E141" s="5"/>
      <c r="F141" s="5"/>
      <c r="G141" s="5"/>
      <c r="H141" s="5"/>
      <c r="I141" s="5"/>
      <c r="J141" s="5"/>
      <c r="K141" s="5"/>
      <c r="L141" s="5"/>
      <c r="M141" s="5"/>
      <c r="N141" s="5"/>
      <c r="O141" s="5"/>
      <c r="Q141" s="5"/>
      <c r="R141" s="5"/>
      <c r="S141" s="5"/>
    </row>
    <row r="142" spans="2:27">
      <c r="B142" s="5"/>
      <c r="C142" s="5"/>
      <c r="D142" s="5"/>
      <c r="E142" s="5"/>
      <c r="F142" s="5"/>
      <c r="G142" s="5"/>
      <c r="H142" s="5"/>
      <c r="I142" s="5"/>
      <c r="J142" s="5"/>
      <c r="K142" s="5"/>
      <c r="L142" s="5"/>
      <c r="M142" s="5"/>
      <c r="N142" s="5"/>
      <c r="O142" s="5"/>
      <c r="Q142" s="5"/>
      <c r="R142" s="5"/>
      <c r="S142" s="5"/>
    </row>
    <row r="143" spans="2:27">
      <c r="B143" s="5"/>
      <c r="C143" s="5"/>
      <c r="D143" s="5"/>
      <c r="E143" s="5"/>
      <c r="F143" s="5"/>
      <c r="G143" s="5"/>
      <c r="H143" s="5"/>
      <c r="I143" s="5"/>
      <c r="J143" s="5"/>
      <c r="K143" s="5"/>
      <c r="L143" s="5"/>
      <c r="M143" s="5"/>
      <c r="N143" s="5"/>
      <c r="O143" s="5"/>
      <c r="Q143" s="5"/>
      <c r="R143" s="5"/>
      <c r="S143" s="5"/>
    </row>
    <row r="144" spans="2:27">
      <c r="B144" s="5"/>
      <c r="C144" s="5"/>
      <c r="D144" s="5"/>
      <c r="E144" s="5"/>
      <c r="F144" s="5"/>
      <c r="G144" s="5"/>
      <c r="H144" s="5"/>
      <c r="I144" s="5"/>
      <c r="J144" s="5"/>
      <c r="K144" s="5"/>
      <c r="L144" s="5"/>
      <c r="M144" s="5"/>
      <c r="N144" s="5"/>
      <c r="O144" s="5"/>
      <c r="Q144" s="5"/>
      <c r="R144" s="5"/>
      <c r="S144" s="5"/>
    </row>
    <row r="145" spans="2:19">
      <c r="B145" s="5"/>
      <c r="C145" s="5"/>
      <c r="D145" s="5"/>
      <c r="E145" s="5"/>
      <c r="F145" s="5"/>
      <c r="G145" s="5"/>
      <c r="H145" s="5"/>
      <c r="I145" s="5"/>
      <c r="J145" s="5"/>
      <c r="K145" s="5"/>
      <c r="L145" s="5"/>
      <c r="M145" s="5"/>
      <c r="N145" s="5"/>
      <c r="O145" s="5"/>
      <c r="Q145" s="5"/>
      <c r="R145" s="5"/>
      <c r="S145" s="5"/>
    </row>
    <row r="146" spans="2:19">
      <c r="B146" s="5"/>
      <c r="C146" s="5"/>
      <c r="D146" s="5"/>
      <c r="E146" s="5"/>
      <c r="F146" s="5"/>
      <c r="G146" s="5"/>
      <c r="H146" s="5"/>
      <c r="I146" s="5"/>
      <c r="J146" s="5"/>
      <c r="K146" s="5"/>
      <c r="L146" s="5"/>
      <c r="M146" s="5"/>
      <c r="N146" s="5"/>
      <c r="O146" s="5"/>
      <c r="Q146" s="5"/>
      <c r="R146" s="5"/>
      <c r="S146" s="5"/>
    </row>
    <row r="147" spans="2:19">
      <c r="B147" s="5"/>
      <c r="C147" s="5"/>
      <c r="D147" s="5"/>
      <c r="E147" s="5"/>
      <c r="F147" s="5"/>
      <c r="G147" s="5"/>
      <c r="H147" s="5"/>
      <c r="I147" s="5"/>
      <c r="J147" s="5"/>
      <c r="K147" s="5"/>
      <c r="L147" s="5"/>
      <c r="M147" s="5"/>
      <c r="N147" s="5"/>
      <c r="O147" s="5"/>
      <c r="Q147" s="5"/>
      <c r="R147" s="5"/>
      <c r="S147" s="5"/>
    </row>
    <row r="148" spans="2:19">
      <c r="B148" s="5"/>
      <c r="C148" s="5"/>
      <c r="D148" s="5"/>
      <c r="E148" s="5"/>
      <c r="F148" s="5"/>
      <c r="G148" s="5"/>
      <c r="H148" s="5"/>
      <c r="I148" s="5"/>
      <c r="J148" s="5"/>
      <c r="K148" s="5"/>
      <c r="L148" s="5"/>
      <c r="M148" s="5"/>
      <c r="N148" s="5"/>
      <c r="O148" s="5"/>
      <c r="Q148" s="5"/>
      <c r="R148" s="5"/>
      <c r="S148" s="5"/>
    </row>
    <row r="149" spans="2:19">
      <c r="B149" s="5"/>
      <c r="C149" s="5"/>
      <c r="D149" s="5"/>
      <c r="E149" s="5"/>
      <c r="F149" s="5"/>
      <c r="G149" s="5"/>
      <c r="H149" s="5"/>
      <c r="J149" s="5"/>
      <c r="K149" s="5"/>
      <c r="L149" s="5"/>
      <c r="M149" s="5"/>
      <c r="N149" s="5"/>
      <c r="O149" s="5"/>
      <c r="Q149" s="5"/>
      <c r="R149" s="5"/>
      <c r="S149" s="5"/>
    </row>
    <row r="150" spans="2:19">
      <c r="B150" s="5"/>
      <c r="C150" s="5"/>
      <c r="D150" s="5"/>
      <c r="E150" s="5"/>
      <c r="F150" s="5"/>
      <c r="G150" s="5"/>
      <c r="H150" s="5"/>
      <c r="J150" s="5"/>
      <c r="K150" s="5"/>
      <c r="L150" s="5"/>
      <c r="M150" s="5"/>
      <c r="N150" s="5"/>
      <c r="O150" s="5"/>
      <c r="Q150" s="5"/>
      <c r="R150" s="5"/>
      <c r="S150" s="5"/>
    </row>
    <row r="151" spans="2:19">
      <c r="Q151" s="5"/>
      <c r="R151" s="5"/>
      <c r="S151" s="5"/>
    </row>
    <row r="152" spans="2:19">
      <c r="Q152" s="5"/>
      <c r="R152" s="5"/>
      <c r="S152" s="5"/>
    </row>
    <row r="153" spans="2:19">
      <c r="C153" s="263"/>
      <c r="Q153" s="5"/>
      <c r="R153" s="5"/>
      <c r="S153" s="5"/>
    </row>
    <row r="154" spans="2:19">
      <c r="Q154" s="5"/>
      <c r="R154" s="5"/>
      <c r="S154" s="5"/>
    </row>
    <row r="155" spans="2:19">
      <c r="Q155" s="5"/>
      <c r="R155" s="5"/>
      <c r="S155" s="5"/>
    </row>
    <row r="156" spans="2:19">
      <c r="Q156" s="5"/>
      <c r="R156" s="5"/>
      <c r="S156" s="5"/>
    </row>
    <row r="157" spans="2:19">
      <c r="Q157" s="5"/>
      <c r="R157" s="5"/>
      <c r="S157" s="5"/>
    </row>
    <row r="158" spans="2:19">
      <c r="Q158" s="5"/>
      <c r="R158" s="5"/>
      <c r="S158" s="5"/>
    </row>
    <row r="159" spans="2:19">
      <c r="Q159" s="5"/>
      <c r="R159" s="5"/>
      <c r="S159" s="5"/>
    </row>
    <row r="160" spans="2:19">
      <c r="Q160" s="5"/>
      <c r="R160" s="5"/>
      <c r="S160" s="5"/>
    </row>
    <row r="161" spans="17:19">
      <c r="Q161" s="5"/>
      <c r="R161" s="5"/>
      <c r="S161" s="5"/>
    </row>
    <row r="162" spans="17:19">
      <c r="Q162" s="5"/>
      <c r="R162" s="5"/>
      <c r="S162" s="5"/>
    </row>
    <row r="163" spans="17:19">
      <c r="Q163" s="5"/>
      <c r="R163" s="5"/>
      <c r="S163" s="5"/>
    </row>
    <row r="164" spans="17:19">
      <c r="Q164" s="5"/>
      <c r="R164" s="5"/>
      <c r="S164" s="5"/>
    </row>
    <row r="165" spans="17:19">
      <c r="Q165" s="5"/>
      <c r="R165" s="5"/>
      <c r="S165" s="5"/>
    </row>
  </sheetData>
  <pageMargins left="0.75" right="0.75" top="1" bottom="1" header="0.5" footer="0.5"/>
  <pageSetup scale="71" orientation="landscape"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8">
    <pageSetUpPr fitToPage="1"/>
  </sheetPr>
  <dimension ref="B1:AA165"/>
  <sheetViews>
    <sheetView showGridLines="0" zoomScale="80" zoomScaleNormal="80" zoomScaleSheetLayoutView="80" workbookViewId="0">
      <selection activeCell="D47" sqref="D47:G47"/>
    </sheetView>
  </sheetViews>
  <sheetFormatPr defaultColWidth="9.109375" defaultRowHeight="12"/>
  <cols>
    <col min="1" max="1" width="2.33203125" style="39" customWidth="1"/>
    <col min="2" max="2" width="26.5546875" style="39" customWidth="1"/>
    <col min="3" max="9" width="10" style="39" customWidth="1"/>
    <col min="10" max="10" width="26.6640625" style="39" customWidth="1"/>
    <col min="11" max="16" width="10" style="39" customWidth="1"/>
    <col min="17" max="19" width="8.6640625" style="39" customWidth="1"/>
    <col min="20" max="27" width="8.6640625" style="5" customWidth="1"/>
    <col min="28" max="28" width="8.6640625" style="39" customWidth="1"/>
    <col min="29" max="16384" width="9.109375" style="39"/>
  </cols>
  <sheetData>
    <row r="1" spans="2:27" s="312" customFormat="1">
      <c r="T1" s="149"/>
      <c r="U1" s="149"/>
      <c r="V1" s="149"/>
      <c r="W1" s="149"/>
      <c r="X1" s="149"/>
      <c r="Y1" s="149"/>
      <c r="Z1" s="149"/>
      <c r="AA1" s="149"/>
    </row>
    <row r="2" spans="2:27" s="149" customFormat="1"/>
    <row r="3" spans="2:27" s="149" customFormat="1">
      <c r="H3" s="153"/>
      <c r="P3" s="153"/>
    </row>
    <row r="4" spans="2:27" s="156" customFormat="1" ht="21">
      <c r="B4" s="129" t="s">
        <v>594</v>
      </c>
      <c r="H4" s="222"/>
      <c r="P4" s="222"/>
    </row>
    <row r="5" spans="2:27" s="149" customFormat="1">
      <c r="C5" s="153"/>
      <c r="D5" s="153" t="str" cm="1">
        <f t="array" ref="D5:H5">headings</f>
        <v>2023E</v>
      </c>
      <c r="E5" s="153" t="str">
        <v>2024E</v>
      </c>
      <c r="F5" s="153" t="str">
        <v>2025E</v>
      </c>
      <c r="G5" s="153" t="str">
        <v>2026E</v>
      </c>
      <c r="H5" s="153" t="str">
        <v>23E-26E</v>
      </c>
      <c r="I5" s="153"/>
      <c r="J5" s="153"/>
      <c r="K5" s="153"/>
      <c r="L5" s="153" t="str" cm="1">
        <f t="array" ref="L5:P5">headings</f>
        <v>2023E</v>
      </c>
      <c r="M5" s="153" t="str">
        <v>2024E</v>
      </c>
      <c r="N5" s="153" t="str">
        <v>2025E</v>
      </c>
      <c r="O5" s="153" t="str">
        <v>2026E</v>
      </c>
      <c r="P5" s="153" t="str">
        <v>23E-26E</v>
      </c>
      <c r="Q5" s="162"/>
      <c r="R5" s="162"/>
      <c r="S5" s="162"/>
      <c r="T5" s="162"/>
      <c r="U5" s="162"/>
      <c r="V5" s="162"/>
      <c r="W5" s="162"/>
      <c r="X5" s="162"/>
      <c r="Y5" s="162"/>
    </row>
    <row r="6" spans="2:27">
      <c r="I6" s="5"/>
      <c r="J6" s="5"/>
      <c r="K6" s="5"/>
      <c r="L6" s="5"/>
      <c r="M6" s="5"/>
      <c r="N6" s="5"/>
      <c r="O6" s="49"/>
    </row>
    <row r="7" spans="2:27" ht="12.6" thickBot="1">
      <c r="B7" s="306" t="s">
        <v>271</v>
      </c>
      <c r="C7" s="265"/>
      <c r="D7" s="265" t="str">
        <f>D5</f>
        <v>2023E</v>
      </c>
      <c r="E7" s="265" t="str">
        <f t="shared" ref="E7:H7" si="0">E5</f>
        <v>2024E</v>
      </c>
      <c r="F7" s="265" t="str">
        <f t="shared" si="0"/>
        <v>2025E</v>
      </c>
      <c r="G7" s="265" t="str">
        <f t="shared" si="0"/>
        <v>2026E</v>
      </c>
      <c r="H7" s="265" t="str">
        <f t="shared" si="0"/>
        <v>23E-26E</v>
      </c>
      <c r="I7" s="49"/>
      <c r="J7" s="306" t="s">
        <v>35</v>
      </c>
      <c r="K7" s="306"/>
      <c r="L7" s="265" t="str">
        <f>L5</f>
        <v>2023E</v>
      </c>
      <c r="M7" s="265" t="str">
        <f t="shared" ref="M7:P7" si="1">M5</f>
        <v>2024E</v>
      </c>
      <c r="N7" s="265" t="str">
        <f t="shared" si="1"/>
        <v>2025E</v>
      </c>
      <c r="O7" s="265" t="str">
        <f t="shared" si="1"/>
        <v>2026E</v>
      </c>
      <c r="P7" s="265" t="str">
        <f t="shared" si="1"/>
        <v>23E-26E</v>
      </c>
    </row>
    <row r="8" spans="2:27" ht="12.6" thickTop="1">
      <c r="B8" s="5"/>
      <c r="C8" s="5"/>
      <c r="D8" s="5"/>
      <c r="E8" s="5"/>
      <c r="F8" s="5"/>
      <c r="G8" s="5"/>
      <c r="H8" s="5"/>
      <c r="I8" s="5"/>
      <c r="J8" s="5"/>
      <c r="K8" s="5"/>
      <c r="L8" s="5"/>
      <c r="M8" s="5"/>
      <c r="N8" s="5"/>
      <c r="S8" s="88"/>
      <c r="T8" s="42"/>
      <c r="U8" s="42"/>
      <c r="V8" s="42"/>
      <c r="W8" s="42"/>
      <c r="X8" s="42"/>
      <c r="Y8" s="42"/>
      <c r="Z8" s="42"/>
      <c r="AA8" s="42"/>
    </row>
    <row r="9" spans="2:27">
      <c r="B9" s="41" t="s">
        <v>979</v>
      </c>
      <c r="C9" s="267">
        <f>Prices!C8</f>
        <v>127.1</v>
      </c>
      <c r="D9" s="535">
        <v>0</v>
      </c>
      <c r="E9" s="536">
        <v>0</v>
      </c>
      <c r="F9" s="536">
        <v>0</v>
      </c>
      <c r="G9" s="536">
        <v>0</v>
      </c>
      <c r="H9" s="249"/>
      <c r="I9" s="249"/>
      <c r="J9" s="5" t="s">
        <v>273</v>
      </c>
      <c r="L9" s="529">
        <f>'W.EUR INCUMB'!D37</f>
        <v>2.1820368783030246</v>
      </c>
      <c r="M9" s="529">
        <f>'W.EUR INCUMB'!E37</f>
        <v>2.0995807894380842</v>
      </c>
      <c r="N9" s="529">
        <f>'W.EUR INCUMB'!F37</f>
        <v>2.0073776110351829</v>
      </c>
      <c r="O9" s="529">
        <f>'W.EUR INCUMB'!G37</f>
        <v>1.9004321192081457</v>
      </c>
      <c r="P9" s="279">
        <f>'W.EUR INCUMB'!H37</f>
        <v>1.5546449189376421E-2</v>
      </c>
      <c r="S9" s="88"/>
      <c r="T9" s="42"/>
      <c r="U9" s="42"/>
      <c r="V9" s="42"/>
      <c r="W9" s="42"/>
      <c r="X9" s="42"/>
      <c r="Y9" s="42"/>
      <c r="Z9" s="42"/>
      <c r="AA9" s="42"/>
    </row>
    <row r="10" spans="2:27">
      <c r="B10" s="5" t="s">
        <v>274</v>
      </c>
      <c r="C10" s="5"/>
      <c r="D10" s="531">
        <v>9708.1376810000002</v>
      </c>
      <c r="E10" s="531">
        <v>9678.1376810000002</v>
      </c>
      <c r="F10" s="531">
        <v>9648.1376810000002</v>
      </c>
      <c r="G10" s="531">
        <v>9618.1376810000002</v>
      </c>
      <c r="H10" s="247"/>
      <c r="I10" s="247"/>
      <c r="J10" s="5" t="s">
        <v>184</v>
      </c>
      <c r="L10" s="529">
        <f>'W.EUR INCUMB'!D38</f>
        <v>6.6561389315824204</v>
      </c>
      <c r="M10" s="529">
        <f>'W.EUR INCUMB'!E38</f>
        <v>6.276659180358183</v>
      </c>
      <c r="N10" s="529">
        <f>'W.EUR INCUMB'!F38</f>
        <v>5.9086011977805715</v>
      </c>
      <c r="O10" s="529">
        <f>'W.EUR INCUMB'!G38</f>
        <v>5.5249848727361259</v>
      </c>
      <c r="P10" s="279">
        <f>'W.EUR INCUMB'!H38</f>
        <v>3.1953936851226938E-2</v>
      </c>
      <c r="S10" s="88"/>
      <c r="T10" s="42"/>
      <c r="U10" s="42"/>
      <c r="V10" s="42"/>
      <c r="W10" s="288"/>
      <c r="X10" s="288"/>
      <c r="Y10" s="288"/>
      <c r="Z10" s="288"/>
      <c r="AA10" s="42"/>
    </row>
    <row r="11" spans="2:27">
      <c r="B11" s="41" t="s">
        <v>980</v>
      </c>
      <c r="C11" s="5"/>
      <c r="D11" s="532">
        <f>$C$9*D10/100</f>
        <v>12339.042992551002</v>
      </c>
      <c r="E11" s="532">
        <f t="shared" ref="E11:G11" si="2">$C$9*E10/100</f>
        <v>12300.912992551001</v>
      </c>
      <c r="F11" s="532">
        <f t="shared" si="2"/>
        <v>12262.782992551001</v>
      </c>
      <c r="G11" s="532">
        <f t="shared" si="2"/>
        <v>12224.652992551</v>
      </c>
      <c r="H11" s="249"/>
      <c r="I11" s="249"/>
      <c r="J11" s="5" t="s">
        <v>185</v>
      </c>
      <c r="L11" s="529">
        <f>'W.EUR INCUMB'!D39</f>
        <v>13.860323858751276</v>
      </c>
      <c r="M11" s="529">
        <f>'W.EUR INCUMB'!E39</f>
        <v>12.09622383745986</v>
      </c>
      <c r="N11" s="529">
        <f>'W.EUR INCUMB'!F39</f>
        <v>10.876080155020103</v>
      </c>
      <c r="O11" s="529">
        <f>'W.EUR INCUMB'!G39</f>
        <v>9.7993857809910292</v>
      </c>
      <c r="P11" s="279">
        <f>'W.EUR INCUMB'!H39</f>
        <v>8.864945159447446E-2</v>
      </c>
      <c r="S11" s="88"/>
      <c r="T11" s="42"/>
      <c r="U11" s="42"/>
      <c r="V11" s="42"/>
      <c r="W11" s="288"/>
      <c r="X11" s="288"/>
      <c r="Y11" s="288"/>
      <c r="Z11" s="288"/>
      <c r="AA11" s="42"/>
    </row>
    <row r="12" spans="2:27">
      <c r="B12" s="5" t="s">
        <v>24</v>
      </c>
      <c r="C12" s="249"/>
      <c r="D12" s="533">
        <v>14406.71187434559</v>
      </c>
      <c r="E12" s="533">
        <v>15095.706574696069</v>
      </c>
      <c r="F12" s="533">
        <v>15755.418536959009</v>
      </c>
      <c r="G12" s="533">
        <v>16771.037867599371</v>
      </c>
      <c r="H12" s="247"/>
      <c r="I12" s="247"/>
      <c r="J12" s="5" t="s">
        <v>466</v>
      </c>
      <c r="L12" s="529">
        <f>'W.EUR INCUMB'!D40</f>
        <v>18.773170831659439</v>
      </c>
      <c r="M12" s="529">
        <f>'W.EUR INCUMB'!E40</f>
        <v>16.316100899802951</v>
      </c>
      <c r="N12" s="529">
        <f>'W.EUR INCUMB'!F40</f>
        <v>14.678691432593167</v>
      </c>
      <c r="O12" s="529">
        <f>'W.EUR INCUMB'!G40</f>
        <v>13.250660214807615</v>
      </c>
      <c r="P12" s="279">
        <f>'W.EUR INCUMB'!H40</f>
        <v>8.9255902689365119E-2</v>
      </c>
      <c r="S12" s="88"/>
      <c r="T12" s="42"/>
      <c r="U12" s="42"/>
      <c r="V12" s="42"/>
      <c r="W12" s="288"/>
      <c r="X12" s="288"/>
      <c r="Y12" s="288"/>
      <c r="Z12" s="288"/>
      <c r="AA12" s="42"/>
    </row>
    <row r="13" spans="2:27">
      <c r="B13" s="5" t="s">
        <v>529</v>
      </c>
      <c r="C13" s="257"/>
      <c r="D13" s="533">
        <v>4471.1704268573694</v>
      </c>
      <c r="E13" s="533">
        <v>4040.725976495527</v>
      </c>
      <c r="F13" s="533">
        <v>3360.1965364344337</v>
      </c>
      <c r="G13" s="533">
        <v>2661.6288429505962</v>
      </c>
      <c r="H13" s="247"/>
      <c r="I13" s="247"/>
      <c r="J13" s="5" t="s">
        <v>530</v>
      </c>
      <c r="L13" s="529">
        <f>'W.EUR INCUMB'!D41</f>
        <v>1.4554049615742648</v>
      </c>
      <c r="M13" s="529">
        <f>'W.EUR INCUMB'!E41</f>
        <v>1.3652506578772214</v>
      </c>
      <c r="N13" s="529">
        <f>'W.EUR INCUMB'!F41</f>
        <v>1.2968813123150413</v>
      </c>
      <c r="O13" s="529">
        <f>'W.EUR INCUMB'!G41</f>
        <v>1.2281427713802577</v>
      </c>
      <c r="P13" s="279">
        <f>'W.EUR INCUMB'!H41</f>
        <v>2.6301307293472354E-2</v>
      </c>
      <c r="S13" s="88"/>
      <c r="T13" s="42"/>
      <c r="U13" s="42"/>
      <c r="V13" s="42"/>
      <c r="W13" s="42"/>
      <c r="X13" s="42"/>
      <c r="Y13" s="42"/>
      <c r="Z13" s="42"/>
      <c r="AA13" s="42"/>
    </row>
    <row r="14" spans="2:27">
      <c r="B14" s="5" t="s">
        <v>532</v>
      </c>
      <c r="C14" s="257"/>
      <c r="D14" s="538">
        <v>0</v>
      </c>
      <c r="E14" s="533">
        <f>D14</f>
        <v>0</v>
      </c>
      <c r="F14" s="533">
        <f t="shared" ref="F14:G14" si="3">E14</f>
        <v>0</v>
      </c>
      <c r="G14" s="533">
        <f t="shared" si="3"/>
        <v>0</v>
      </c>
      <c r="H14" s="247"/>
      <c r="I14" s="247"/>
      <c r="J14" s="5" t="s">
        <v>593</v>
      </c>
      <c r="L14" s="529">
        <f>'W.EUR INCUMB'!D42</f>
        <v>3.3234793761102739</v>
      </c>
      <c r="M14" s="529">
        <f>'W.EUR INCUMB'!E42</f>
        <v>3.2424169171692641</v>
      </c>
      <c r="N14" s="529">
        <f>'W.EUR INCUMB'!F42</f>
        <v>3.1662515332190617</v>
      </c>
      <c r="O14" s="529">
        <f>'W.EUR INCUMB'!G42</f>
        <v>3.0630241710617754</v>
      </c>
      <c r="P14" s="279">
        <f>'W.EUR INCUMB'!H42</f>
        <v>-3.4232783193558491E-3</v>
      </c>
      <c r="S14" s="88"/>
      <c r="T14" s="42"/>
      <c r="U14" s="42"/>
      <c r="V14" s="42"/>
      <c r="W14" s="42"/>
      <c r="X14" s="42"/>
      <c r="Y14" s="42"/>
      <c r="Z14" s="42"/>
      <c r="AA14" s="42"/>
    </row>
    <row r="15" spans="2:27">
      <c r="B15" s="5" t="s">
        <v>531</v>
      </c>
      <c r="C15" s="274"/>
      <c r="D15" s="538">
        <v>0</v>
      </c>
      <c r="E15" s="533">
        <f t="shared" ref="E15:G15" si="4">D15</f>
        <v>0</v>
      </c>
      <c r="F15" s="533">
        <f t="shared" si="4"/>
        <v>0</v>
      </c>
      <c r="G15" s="533">
        <f t="shared" si="4"/>
        <v>0</v>
      </c>
      <c r="H15" s="247"/>
      <c r="I15" s="247"/>
      <c r="J15" s="5" t="s">
        <v>475</v>
      </c>
      <c r="L15" s="529">
        <f>'W.EUR INCUMB'!D43</f>
        <v>15.36919487731438</v>
      </c>
      <c r="M15" s="529">
        <f>'W.EUR INCUMB'!E43</f>
        <v>13.900480990887658</v>
      </c>
      <c r="N15" s="529">
        <f>'W.EUR INCUMB'!F43</f>
        <v>11.808036199618913</v>
      </c>
      <c r="O15" s="529">
        <f>'W.EUR INCUMB'!G43</f>
        <v>10.77079458313478</v>
      </c>
      <c r="P15" s="279">
        <f>'W.EUR INCUMB'!H43</f>
        <v>0.11736524628436351</v>
      </c>
      <c r="S15" s="88"/>
      <c r="T15" s="42"/>
      <c r="U15" s="42"/>
      <c r="V15" s="42"/>
      <c r="W15" s="42"/>
      <c r="X15" s="42"/>
      <c r="Y15" s="42"/>
      <c r="Z15" s="42"/>
      <c r="AA15" s="42"/>
    </row>
    <row r="16" spans="2:27">
      <c r="B16" s="5" t="s">
        <v>534</v>
      </c>
      <c r="C16" s="257"/>
      <c r="D16" s="533">
        <v>0</v>
      </c>
      <c r="E16" s="533">
        <v>770.81615867515643</v>
      </c>
      <c r="F16" s="533">
        <v>1550.0560337790216</v>
      </c>
      <c r="G16" s="533">
        <v>2384.8546676258429</v>
      </c>
      <c r="H16" s="247"/>
      <c r="I16" s="247"/>
      <c r="J16" s="5" t="s">
        <v>533</v>
      </c>
      <c r="L16" s="529">
        <f>'W.EUR INCUMB'!D44</f>
        <v>13.849445280082518</v>
      </c>
      <c r="M16" s="529">
        <f>'W.EUR INCUMB'!E44</f>
        <v>12.437286696089576</v>
      </c>
      <c r="N16" s="529">
        <f>'W.EUR INCUMB'!F44</f>
        <v>11.380437598490861</v>
      </c>
      <c r="O16" s="529">
        <f>'W.EUR INCUMB'!G44</f>
        <v>10.478743141097034</v>
      </c>
      <c r="P16" s="279">
        <f>'W.EUR INCUMB'!H44</f>
        <v>9.2323853476973694E-2</v>
      </c>
      <c r="S16" s="88"/>
      <c r="T16" s="42"/>
      <c r="U16" s="42"/>
      <c r="V16" s="42"/>
      <c r="W16" s="42"/>
      <c r="X16" s="42"/>
      <c r="Y16" s="42"/>
      <c r="Z16" s="42"/>
      <c r="AA16" s="42"/>
    </row>
    <row r="17" spans="2:27">
      <c r="B17" s="5" t="s">
        <v>6</v>
      </c>
      <c r="C17" s="257"/>
      <c r="D17" s="533">
        <v>0</v>
      </c>
      <c r="E17" s="533">
        <v>0</v>
      </c>
      <c r="F17" s="533">
        <v>0</v>
      </c>
      <c r="G17" s="533">
        <v>0</v>
      </c>
      <c r="H17" s="247"/>
      <c r="I17" s="247"/>
      <c r="J17" s="5" t="s">
        <v>580</v>
      </c>
      <c r="L17" s="248">
        <f>'W.EUR INCUMB'!D45</f>
        <v>4.9929768285127372E-2</v>
      </c>
      <c r="M17" s="248">
        <f>'W.EUR INCUMB'!E45</f>
        <v>5.2540326500089954E-2</v>
      </c>
      <c r="N17" s="248">
        <f>'W.EUR INCUMB'!F45</f>
        <v>5.4852141769022943E-2</v>
      </c>
      <c r="O17" s="248">
        <f>'W.EUR INCUMB'!G45</f>
        <v>5.8322596586761276E-2</v>
      </c>
      <c r="P17" s="279">
        <f>'W.EUR INCUMB'!H45</f>
        <v>4.8261067786518064E-2</v>
      </c>
      <c r="S17" s="88"/>
      <c r="T17" s="42"/>
      <c r="U17" s="42"/>
      <c r="V17" s="42"/>
      <c r="W17" s="42"/>
      <c r="X17" s="42"/>
      <c r="Y17" s="42"/>
      <c r="Z17" s="42"/>
      <c r="AA17" s="42"/>
    </row>
    <row r="18" spans="2:27" ht="12.6" thickBot="1">
      <c r="B18" s="41" t="s">
        <v>981</v>
      </c>
      <c r="C18" s="249"/>
      <c r="D18" s="534">
        <f>D11+D12+D13-D14+D15-D16-D17</f>
        <v>31216.92529375396</v>
      </c>
      <c r="E18" s="534">
        <f>E11+E12+E13-E14+E15-E16-E17</f>
        <v>30666.529385067442</v>
      </c>
      <c r="F18" s="534">
        <f>F11+F12+F13-F14+F15-F16-F17</f>
        <v>29828.342032165419</v>
      </c>
      <c r="G18" s="534">
        <f>G11+G12+G13-G14+G15-G16-G17</f>
        <v>29272.465035475121</v>
      </c>
      <c r="H18" s="276">
        <f>IF(D18=0,"nm",IF(G18=0,"nm",(G18/D18)^(1/3)-1))</f>
        <v>-2.1209549309046394E-2</v>
      </c>
      <c r="I18" s="254"/>
      <c r="J18" s="5" t="s">
        <v>36</v>
      </c>
      <c r="L18" s="248">
        <f>'W.EUR INCUMB'!D46</f>
        <v>4.9929768285127372E-2</v>
      </c>
      <c r="M18" s="248">
        <f>'W.EUR INCUMB'!E46</f>
        <v>5.2540326500089954E-2</v>
      </c>
      <c r="N18" s="248">
        <f>'W.EUR INCUMB'!F46</f>
        <v>5.4852141769022943E-2</v>
      </c>
      <c r="O18" s="248">
        <f>'W.EUR INCUMB'!G46</f>
        <v>5.8322596586761276E-2</v>
      </c>
      <c r="P18" s="279">
        <f>'W.EUR INCUMB'!H46</f>
        <v>4.8261067786518064E-2</v>
      </c>
      <c r="S18" s="88"/>
      <c r="T18" s="42"/>
      <c r="U18" s="42"/>
      <c r="V18" s="42"/>
      <c r="W18" s="42"/>
      <c r="X18" s="42"/>
      <c r="Y18" s="42"/>
      <c r="Z18" s="42"/>
      <c r="AA18" s="42"/>
    </row>
    <row r="19" spans="2:27" ht="12.6" thickTop="1">
      <c r="B19" s="41"/>
      <c r="C19" s="249"/>
      <c r="D19" s="229"/>
      <c r="E19" s="229"/>
      <c r="F19" s="229"/>
      <c r="G19" s="229"/>
      <c r="H19" s="276"/>
      <c r="I19" s="254"/>
      <c r="J19" s="5" t="s">
        <v>581</v>
      </c>
      <c r="L19" s="248">
        <f>'W.EUR INCUMB'!D47</f>
        <v>6.5065217012508891E-2</v>
      </c>
      <c r="M19" s="248">
        <f>'W.EUR INCUMB'!E47</f>
        <v>7.1939956657294191E-2</v>
      </c>
      <c r="N19" s="248">
        <f>'W.EUR INCUMB'!F47</f>
        <v>8.4688087256395234E-2</v>
      </c>
      <c r="O19" s="248">
        <f>'W.EUR INCUMB'!G47</f>
        <v>9.2843660909272999E-2</v>
      </c>
      <c r="P19" s="279">
        <f>'W.EUR INCUMB'!H47</f>
        <v>0.11736524628436351</v>
      </c>
      <c r="S19" s="88"/>
      <c r="T19" s="42"/>
      <c r="U19" s="42"/>
      <c r="V19" s="42"/>
      <c r="W19" s="42"/>
      <c r="X19" s="42"/>
      <c r="Y19" s="42"/>
      <c r="Z19" s="42"/>
      <c r="AA19" s="42"/>
    </row>
    <row r="20" spans="2:27">
      <c r="H20" s="277"/>
      <c r="I20" s="17"/>
      <c r="J20" s="5" t="s">
        <v>604</v>
      </c>
      <c r="L20" s="305">
        <f>'W.EUR INCUMB'!D48</f>
        <v>0.69753103513272863</v>
      </c>
      <c r="M20" s="305">
        <f>'W.EUR INCUMB'!E48</f>
        <v>0.66278263399293669</v>
      </c>
      <c r="N20" s="305">
        <f>'W.EUR INCUMB'!F48</f>
        <v>0.5878425682239502</v>
      </c>
      <c r="O20" s="305">
        <f>'W.EUR INCUMB'!G48</f>
        <v>0.5759521808171526</v>
      </c>
      <c r="P20" s="279" t="str">
        <f>'W.EUR INCUMB'!H48</f>
        <v>nm</v>
      </c>
      <c r="S20" s="88"/>
      <c r="T20" s="42"/>
      <c r="U20" s="42"/>
      <c r="V20" s="42"/>
      <c r="W20" s="42"/>
      <c r="X20" s="42"/>
      <c r="Y20" s="42"/>
      <c r="Z20" s="42"/>
      <c r="AA20" s="42"/>
    </row>
    <row r="21" spans="2:27" ht="12.6" thickBot="1">
      <c r="B21" s="306" t="s">
        <v>930</v>
      </c>
      <c r="C21" s="265"/>
      <c r="D21" s="265" t="str">
        <f>D5</f>
        <v>2023E</v>
      </c>
      <c r="E21" s="265" t="str">
        <f t="shared" ref="E21:H21" si="5">E5</f>
        <v>2024E</v>
      </c>
      <c r="F21" s="265" t="str">
        <f t="shared" si="5"/>
        <v>2025E</v>
      </c>
      <c r="G21" s="265" t="str">
        <f t="shared" si="5"/>
        <v>2026E</v>
      </c>
      <c r="H21" s="265" t="str">
        <f t="shared" si="5"/>
        <v>23E-26E</v>
      </c>
      <c r="I21" s="49"/>
      <c r="J21" s="41"/>
      <c r="L21" s="250"/>
      <c r="M21" s="250"/>
      <c r="N21" s="250"/>
      <c r="O21" s="250"/>
      <c r="P21" s="279"/>
      <c r="S21" s="88"/>
      <c r="T21" s="42"/>
      <c r="U21" s="42"/>
      <c r="V21" s="42"/>
      <c r="W21" s="42"/>
      <c r="X21" s="42"/>
      <c r="Y21" s="42"/>
      <c r="Z21" s="42"/>
      <c r="AA21" s="42"/>
    </row>
    <row r="22" spans="2:27" ht="12.6" thickTop="1">
      <c r="B22" s="5"/>
      <c r="C22" s="257"/>
      <c r="D22" s="17"/>
      <c r="E22" s="17"/>
      <c r="F22" s="17"/>
      <c r="G22" s="17"/>
      <c r="H22" s="17"/>
      <c r="I22" s="17"/>
      <c r="P22" s="277"/>
      <c r="S22" s="88"/>
      <c r="T22" s="42"/>
      <c r="U22" s="42"/>
      <c r="V22" s="42"/>
      <c r="W22" s="42"/>
      <c r="X22" s="42"/>
      <c r="Y22" s="42"/>
      <c r="Z22" s="42"/>
      <c r="AA22" s="42"/>
    </row>
    <row r="23" spans="2:27" ht="12.6" thickBot="1">
      <c r="B23" s="5" t="s">
        <v>584</v>
      </c>
      <c r="C23" s="548">
        <v>20865.359918921884</v>
      </c>
      <c r="D23" s="540">
        <v>21072.408141869866</v>
      </c>
      <c r="E23" s="540">
        <v>21134.594573202248</v>
      </c>
      <c r="F23" s="540">
        <v>21219.019057238314</v>
      </c>
      <c r="G23" s="540">
        <v>21223.296470800709</v>
      </c>
      <c r="H23" s="279">
        <f t="shared" ref="H23:H32" si="6">IF(D23=0,"nm",IF(G23=0,"nm",(G23/D23)^(1/3)-1))</f>
        <v>2.3811486887976852E-3</v>
      </c>
      <c r="I23" s="247"/>
      <c r="J23" s="306" t="s">
        <v>9</v>
      </c>
      <c r="K23" s="306"/>
      <c r="L23" s="265" t="str">
        <f>D21</f>
        <v>2023E</v>
      </c>
      <c r="M23" s="265" t="str">
        <f t="shared" ref="M23:P23" si="7">E21</f>
        <v>2024E</v>
      </c>
      <c r="N23" s="265" t="str">
        <f t="shared" si="7"/>
        <v>2025E</v>
      </c>
      <c r="O23" s="265" t="str">
        <f t="shared" si="7"/>
        <v>2026E</v>
      </c>
      <c r="P23" s="265" t="str">
        <f t="shared" si="7"/>
        <v>23E-26E</v>
      </c>
      <c r="S23" s="88"/>
      <c r="T23" s="42"/>
      <c r="U23" s="42"/>
      <c r="V23" s="42"/>
      <c r="W23" s="42"/>
      <c r="X23" s="42"/>
      <c r="Y23" s="42"/>
      <c r="Z23" s="42"/>
      <c r="AA23" s="42"/>
    </row>
    <row r="24" spans="2:27" ht="12.6" thickTop="1">
      <c r="B24" s="5" t="s">
        <v>1526</v>
      </c>
      <c r="C24" s="548">
        <v>7031.5</v>
      </c>
      <c r="D24" s="540">
        <v>7076.6749999999993</v>
      </c>
      <c r="E24" s="540">
        <v>7199.6160640000016</v>
      </c>
      <c r="F24" s="540">
        <v>7199.2199343999991</v>
      </c>
      <c r="G24" s="540">
        <v>7309.0826099280011</v>
      </c>
      <c r="H24" s="279">
        <f t="shared" si="6"/>
        <v>1.0829419326572109E-2</v>
      </c>
      <c r="I24" s="249"/>
      <c r="J24" s="17"/>
      <c r="K24" s="17"/>
      <c r="L24" s="17"/>
      <c r="M24" s="17"/>
      <c r="N24" s="17"/>
      <c r="O24" s="248"/>
      <c r="S24" s="88"/>
      <c r="T24" s="42"/>
      <c r="U24" s="42"/>
      <c r="V24" s="42"/>
      <c r="W24" s="42" t="s">
        <v>283</v>
      </c>
      <c r="X24" s="42" t="s">
        <v>251</v>
      </c>
      <c r="Y24" s="42"/>
      <c r="Z24" s="42"/>
      <c r="AA24" s="42"/>
    </row>
    <row r="25" spans="2:27">
      <c r="B25" s="5" t="s">
        <v>183</v>
      </c>
      <c r="C25" s="548">
        <v>1975.5</v>
      </c>
      <c r="D25" s="540">
        <v>1879.4704234193741</v>
      </c>
      <c r="E25" s="540">
        <v>2017.8703394100958</v>
      </c>
      <c r="F25" s="540">
        <v>2119.6618773706969</v>
      </c>
      <c r="G25" s="540">
        <v>2280.6782096001762</v>
      </c>
      <c r="H25" s="279">
        <f t="shared" si="6"/>
        <v>6.6619467064831239E-2</v>
      </c>
      <c r="I25" s="248"/>
      <c r="J25" s="247" t="s">
        <v>10</v>
      </c>
      <c r="K25" s="247"/>
      <c r="L25" s="321">
        <v>1547.5432863395777</v>
      </c>
      <c r="M25" s="321">
        <v>1710.1727359777353</v>
      </c>
      <c r="N25" s="321">
        <v>1634.5786739166406</v>
      </c>
      <c r="O25" s="321">
        <v>1553.0450659928038</v>
      </c>
      <c r="P25" s="279">
        <f>IF(L25=0,"nm",IF(O25=0,"nm",(O25/L25)^(1/3)-1))</f>
        <v>1.1836551149322361E-3</v>
      </c>
      <c r="S25" s="88"/>
      <c r="T25" s="42"/>
      <c r="U25" s="42"/>
      <c r="V25" s="147" t="s">
        <v>273</v>
      </c>
      <c r="W25" s="288">
        <f>D37/L9</f>
        <v>0.67891260092069372</v>
      </c>
      <c r="X25" s="288">
        <v>1</v>
      </c>
      <c r="Y25" s="42"/>
      <c r="Z25" s="42"/>
      <c r="AA25" s="42"/>
    </row>
    <row r="26" spans="2:27">
      <c r="B26" s="5" t="s">
        <v>586</v>
      </c>
      <c r="C26" s="548">
        <v>1871.1733643599287</v>
      </c>
      <c r="D26" s="540">
        <v>1409.6028175645306</v>
      </c>
      <c r="E26" s="540">
        <v>1513.4027545575718</v>
      </c>
      <c r="F26" s="540">
        <v>1589.7464080280226</v>
      </c>
      <c r="G26" s="540">
        <v>1710.5086572001321</v>
      </c>
      <c r="H26" s="279">
        <f t="shared" si="6"/>
        <v>6.6619467064831239E-2</v>
      </c>
      <c r="I26" s="249"/>
      <c r="J26" s="249" t="s">
        <v>11</v>
      </c>
      <c r="K26" s="249"/>
      <c r="L26" s="281">
        <f>D11+L25</f>
        <v>13886.58627889058</v>
      </c>
      <c r="M26" s="281">
        <f>E11+M25</f>
        <v>14011.085728528737</v>
      </c>
      <c r="N26" s="281">
        <f>F11+N25</f>
        <v>13897.361666467641</v>
      </c>
      <c r="O26" s="281">
        <f>G11+O25</f>
        <v>13777.698058543803</v>
      </c>
      <c r="P26" s="279">
        <f>IF(L26=0,"nm",IF(O26=0,"nm",(O26/L26)^(1/3)-1))</f>
        <v>-2.6206122259262443E-3</v>
      </c>
      <c r="Q26" s="5"/>
      <c r="S26" s="88"/>
      <c r="T26" s="42"/>
      <c r="U26" s="42"/>
      <c r="V26" s="147" t="s">
        <v>184</v>
      </c>
      <c r="W26" s="288">
        <f t="shared" ref="W26:W33" si="8">D38/L10</f>
        <v>0.66273284682308631</v>
      </c>
      <c r="X26" s="288">
        <v>1</v>
      </c>
      <c r="Y26" s="42"/>
      <c r="Z26" s="42"/>
      <c r="AA26" s="42"/>
    </row>
    <row r="27" spans="2:27">
      <c r="B27" s="5" t="s">
        <v>587</v>
      </c>
      <c r="C27" s="548">
        <v>28014</v>
      </c>
      <c r="D27" s="540">
        <v>29751.128534502626</v>
      </c>
      <c r="E27" s="540">
        <v>31156.874576587623</v>
      </c>
      <c r="F27" s="540">
        <v>32246.769413170499</v>
      </c>
      <c r="G27" s="540">
        <v>33659.191007764719</v>
      </c>
      <c r="H27" s="279">
        <f t="shared" si="6"/>
        <v>4.1997658643806224E-2</v>
      </c>
      <c r="I27" s="249"/>
      <c r="J27" s="248"/>
      <c r="K27" s="248"/>
      <c r="L27" s="248"/>
      <c r="M27" s="248"/>
      <c r="N27" s="248"/>
      <c r="O27" s="248"/>
      <c r="Q27" s="41"/>
      <c r="S27" s="88"/>
      <c r="T27" s="42"/>
      <c r="U27" s="42"/>
      <c r="V27" s="147" t="s">
        <v>185</v>
      </c>
      <c r="W27" s="288">
        <f t="shared" si="8"/>
        <v>1.1983432977278499</v>
      </c>
      <c r="X27" s="288">
        <v>1</v>
      </c>
      <c r="Y27" s="42"/>
      <c r="Z27" s="42"/>
      <c r="AA27" s="42"/>
    </row>
    <row r="28" spans="2:27" ht="12.6" thickBot="1">
      <c r="B28" s="5" t="s">
        <v>592</v>
      </c>
      <c r="C28" s="548">
        <v>21667</v>
      </c>
      <c r="D28" s="540">
        <v>22492.993341579677</v>
      </c>
      <c r="E28" s="540">
        <v>23233.502952633506</v>
      </c>
      <c r="F28" s="540">
        <v>23835.010156815566</v>
      </c>
      <c r="G28" s="540">
        <v>24423.860208001763</v>
      </c>
      <c r="H28" s="279">
        <f t="shared" si="6"/>
        <v>2.7832510330221494E-2</v>
      </c>
      <c r="I28" s="248"/>
      <c r="J28" s="306" t="s">
        <v>1362</v>
      </c>
      <c r="K28" s="306"/>
      <c r="L28" s="306"/>
      <c r="M28" s="306"/>
      <c r="N28" s="266"/>
      <c r="O28" s="266"/>
      <c r="P28" s="266"/>
      <c r="Q28" s="5"/>
      <c r="S28" s="88"/>
      <c r="T28" s="42"/>
      <c r="U28" s="42"/>
      <c r="V28" s="147" t="s">
        <v>466</v>
      </c>
      <c r="W28" s="288">
        <f t="shared" si="8"/>
        <v>1.179656958284429</v>
      </c>
      <c r="X28" s="288">
        <v>1</v>
      </c>
      <c r="Y28" s="42"/>
      <c r="Z28" s="42"/>
      <c r="AA28" s="42"/>
    </row>
    <row r="29" spans="2:27" ht="12.6" thickTop="1">
      <c r="B29" s="5" t="s">
        <v>588</v>
      </c>
      <c r="C29" s="548">
        <v>1105.7900893166666</v>
      </c>
      <c r="D29" s="540">
        <v>788.68175854086792</v>
      </c>
      <c r="E29" s="540">
        <v>863.58775282272416</v>
      </c>
      <c r="F29" s="540">
        <v>872.97801113504022</v>
      </c>
      <c r="G29" s="540">
        <v>839.85824458222385</v>
      </c>
      <c r="H29" s="279">
        <f t="shared" si="6"/>
        <v>2.1177877769152698E-2</v>
      </c>
      <c r="I29" s="252"/>
      <c r="J29" s="249"/>
      <c r="K29" s="249"/>
      <c r="L29" s="249"/>
      <c r="M29" s="249"/>
      <c r="N29" s="249"/>
      <c r="O29" s="251"/>
      <c r="Q29" s="5"/>
      <c r="S29" s="88"/>
      <c r="T29" s="42"/>
      <c r="U29" s="42"/>
      <c r="V29" s="147" t="s">
        <v>530</v>
      </c>
      <c r="W29" s="288">
        <f t="shared" si="8"/>
        <v>0.72094615454343969</v>
      </c>
      <c r="X29" s="288">
        <v>1</v>
      </c>
      <c r="Y29" s="42"/>
      <c r="Z29" s="42"/>
      <c r="AA29" s="42"/>
    </row>
    <row r="30" spans="2:27">
      <c r="B30" s="5" t="s">
        <v>589</v>
      </c>
      <c r="C30" s="548">
        <v>2111.0350893166665</v>
      </c>
      <c r="D30" s="540">
        <v>1680.047785932368</v>
      </c>
      <c r="E30" s="540">
        <v>1683.8723666230453</v>
      </c>
      <c r="F30" s="540">
        <v>1543.1455789362356</v>
      </c>
      <c r="G30" s="540">
        <v>1518.1681592954221</v>
      </c>
      <c r="H30" s="279">
        <f t="shared" si="6"/>
        <v>-3.3208667918366963E-2</v>
      </c>
      <c r="I30" s="254"/>
      <c r="J30" s="248"/>
      <c r="K30" s="248"/>
      <c r="L30" s="248"/>
      <c r="M30" s="248"/>
      <c r="N30" s="248"/>
      <c r="O30" s="5"/>
      <c r="Q30" s="5"/>
      <c r="S30" s="88"/>
      <c r="T30" s="42"/>
      <c r="U30" s="42"/>
      <c r="V30" s="147" t="s">
        <v>593</v>
      </c>
      <c r="W30" s="288">
        <f t="shared" si="8"/>
        <v>0.41758980017189962</v>
      </c>
      <c r="X30" s="288">
        <v>1</v>
      </c>
      <c r="Y30" s="42"/>
      <c r="Z30" s="42"/>
      <c r="AA30" s="42"/>
    </row>
    <row r="31" spans="2:27">
      <c r="B31" s="5" t="s">
        <v>590</v>
      </c>
      <c r="C31" s="548">
        <v>749.83660143700001</v>
      </c>
      <c r="D31" s="540">
        <v>762.47713346574005</v>
      </c>
      <c r="E31" s="540">
        <v>775.32335213505473</v>
      </c>
      <c r="F31" s="540">
        <v>788.37842869775591</v>
      </c>
      <c r="G31" s="540">
        <v>943.11244586130692</v>
      </c>
      <c r="H31" s="279">
        <f>IF(D31=0,"nm",IF(G31=0,"nm",(G31/D31)^(1/3)-1))</f>
        <v>7.3442742495179125E-2</v>
      </c>
      <c r="I31" s="254"/>
      <c r="J31" s="252"/>
      <c r="K31" s="252"/>
      <c r="L31" s="252"/>
      <c r="M31" s="252"/>
      <c r="N31" s="252"/>
      <c r="O31" s="5"/>
      <c r="Q31" s="5"/>
      <c r="S31" s="88"/>
      <c r="T31" s="42"/>
      <c r="U31" s="42"/>
      <c r="V31" s="147" t="s">
        <v>475</v>
      </c>
      <c r="W31" s="288">
        <f t="shared" si="8"/>
        <v>1.1456252664833562</v>
      </c>
      <c r="X31" s="288">
        <v>1</v>
      </c>
      <c r="Y31" s="42"/>
      <c r="Z31" s="42"/>
      <c r="AA31" s="42"/>
    </row>
    <row r="32" spans="2:27">
      <c r="B32" s="5" t="s">
        <v>606</v>
      </c>
      <c r="C32" s="550">
        <v>0</v>
      </c>
      <c r="D32" s="540">
        <v>0</v>
      </c>
      <c r="E32" s="540">
        <v>0</v>
      </c>
      <c r="F32" s="540">
        <v>0</v>
      </c>
      <c r="G32" s="540">
        <v>0</v>
      </c>
      <c r="H32" s="279" t="str">
        <f t="shared" si="6"/>
        <v>nm</v>
      </c>
      <c r="I32" s="254"/>
      <c r="J32" s="254"/>
      <c r="K32" s="254"/>
      <c r="L32" s="254"/>
      <c r="M32" s="254"/>
      <c r="N32" s="254"/>
      <c r="O32" s="251"/>
      <c r="Q32" s="5"/>
      <c r="S32" s="88"/>
      <c r="T32" s="42"/>
      <c r="U32" s="42"/>
      <c r="V32" s="147" t="s">
        <v>533</v>
      </c>
      <c r="W32" s="288">
        <f t="shared" si="8"/>
        <v>0.5303071273654637</v>
      </c>
      <c r="X32" s="288">
        <v>1</v>
      </c>
      <c r="Y32" s="42"/>
      <c r="Z32" s="42"/>
      <c r="AA32" s="42"/>
    </row>
    <row r="33" spans="2:27">
      <c r="B33" s="5" t="s">
        <v>5</v>
      </c>
      <c r="C33" s="548">
        <v>687.48491068333362</v>
      </c>
      <c r="D33" s="540">
        <v>793.19752790105019</v>
      </c>
      <c r="E33" s="540">
        <v>837.12800187968969</v>
      </c>
      <c r="F33" s="540">
        <v>951.6438515069118</v>
      </c>
      <c r="G33" s="540">
        <v>971.31551040114448</v>
      </c>
      <c r="H33" s="279">
        <f>IF(D33=0,"nm",IF(G33=0,"nm",(G33/D33)^(1/3)-1))</f>
        <v>6.9858456757382559E-2</v>
      </c>
      <c r="I33" s="5"/>
      <c r="J33" s="254"/>
      <c r="K33" s="254"/>
      <c r="L33" s="254"/>
      <c r="M33" s="254"/>
      <c r="N33" s="254"/>
      <c r="O33" s="251"/>
      <c r="Q33" s="5"/>
      <c r="S33" s="88"/>
      <c r="T33" s="42"/>
      <c r="U33" s="42"/>
      <c r="V33" s="147" t="s">
        <v>580</v>
      </c>
      <c r="W33" s="288">
        <f t="shared" si="8"/>
        <v>1.2376156594006849</v>
      </c>
      <c r="X33" s="288">
        <v>1</v>
      </c>
      <c r="Y33" s="42"/>
      <c r="Z33" s="42"/>
      <c r="AA33" s="42"/>
    </row>
    <row r="34" spans="2:27">
      <c r="I34" s="49"/>
      <c r="J34" s="254"/>
      <c r="K34" s="254"/>
      <c r="L34" s="254"/>
      <c r="M34" s="254"/>
      <c r="N34" s="254"/>
      <c r="O34" s="251"/>
      <c r="Q34" s="5"/>
      <c r="S34" s="88"/>
      <c r="T34" s="42"/>
      <c r="U34" s="42"/>
      <c r="V34" s="147" t="s">
        <v>581</v>
      </c>
      <c r="W34" s="288">
        <f>D47/L19</f>
        <v>0.87288577622735952</v>
      </c>
      <c r="X34" s="288">
        <v>1</v>
      </c>
      <c r="Y34" s="288"/>
      <c r="Z34" s="288"/>
      <c r="AA34" s="42"/>
    </row>
    <row r="35" spans="2:27" ht="12.6" thickBot="1">
      <c r="B35" s="306" t="s">
        <v>600</v>
      </c>
      <c r="C35" s="265"/>
      <c r="D35" s="265" t="str">
        <f>D5</f>
        <v>2023E</v>
      </c>
      <c r="E35" s="265" t="str">
        <f t="shared" ref="E35:H35" si="9">E5</f>
        <v>2024E</v>
      </c>
      <c r="F35" s="265" t="str">
        <f t="shared" si="9"/>
        <v>2025E</v>
      </c>
      <c r="G35" s="265" t="str">
        <f t="shared" si="9"/>
        <v>2026E</v>
      </c>
      <c r="H35" s="265" t="str">
        <f t="shared" si="9"/>
        <v>23E-26E</v>
      </c>
      <c r="I35" s="254"/>
      <c r="J35" s="5"/>
      <c r="K35" s="5"/>
      <c r="L35" s="5"/>
      <c r="M35" s="5"/>
      <c r="N35" s="5"/>
      <c r="O35" s="5"/>
      <c r="Q35" s="5"/>
      <c r="S35" s="88"/>
      <c r="T35" s="42"/>
      <c r="U35" s="42"/>
      <c r="V35" s="42"/>
      <c r="W35" s="288"/>
      <c r="X35" s="42"/>
      <c r="Y35" s="288"/>
      <c r="Z35" s="288"/>
      <c r="AA35" s="42"/>
    </row>
    <row r="36" spans="2:27" ht="12.6" thickTop="1">
      <c r="B36" s="41"/>
      <c r="C36" s="249"/>
      <c r="D36" s="254"/>
      <c r="E36" s="254"/>
      <c r="F36" s="254"/>
      <c r="G36" s="254"/>
      <c r="H36" s="254"/>
      <c r="I36" s="17"/>
      <c r="J36" s="49"/>
      <c r="K36" s="49"/>
      <c r="L36" s="49"/>
      <c r="M36" s="49"/>
      <c r="N36" s="49"/>
      <c r="O36" s="49"/>
      <c r="Q36" s="5"/>
      <c r="S36" s="88"/>
      <c r="T36" s="42"/>
      <c r="U36" s="42"/>
      <c r="V36" s="42"/>
      <c r="W36" s="42"/>
      <c r="X36" s="42"/>
      <c r="Y36" s="288"/>
      <c r="Z36" s="288"/>
      <c r="AA36" s="42"/>
    </row>
    <row r="37" spans="2:27">
      <c r="B37" s="5" t="s">
        <v>273</v>
      </c>
      <c r="C37" s="247"/>
      <c r="D37" s="529">
        <f>D$18/D23</f>
        <v>1.4814123323535777</v>
      </c>
      <c r="E37" s="529">
        <f t="shared" ref="E37:G41" si="10">E$18/E23</f>
        <v>1.4510110084605681</v>
      </c>
      <c r="F37" s="529">
        <f t="shared" si="10"/>
        <v>1.4057361441498992</v>
      </c>
      <c r="G37" s="529">
        <f t="shared" si="10"/>
        <v>1.379260996318294</v>
      </c>
      <c r="H37" s="17">
        <f t="shared" ref="H37:H45" si="11">H23</f>
        <v>2.3811486887976852E-3</v>
      </c>
      <c r="I37" s="5"/>
      <c r="J37" s="259"/>
      <c r="K37" s="259"/>
      <c r="L37" s="259"/>
      <c r="M37" s="259"/>
      <c r="N37" s="259"/>
      <c r="O37" s="18"/>
      <c r="Q37" s="5"/>
      <c r="R37" s="5"/>
      <c r="S37" s="42"/>
      <c r="T37" s="42"/>
      <c r="U37" s="42"/>
      <c r="V37" s="42"/>
      <c r="W37" s="42"/>
      <c r="X37" s="42"/>
      <c r="Y37" s="42"/>
      <c r="Z37" s="42"/>
      <c r="AA37" s="42"/>
    </row>
    <row r="38" spans="2:27">
      <c r="B38" s="5" t="s">
        <v>184</v>
      </c>
      <c r="C38" s="247"/>
      <c r="D38" s="529">
        <f t="shared" ref="D38" si="12">D$18/D24</f>
        <v>4.4112419029775936</v>
      </c>
      <c r="E38" s="529">
        <f t="shared" si="10"/>
        <v>4.259467326099271</v>
      </c>
      <c r="F38" s="529">
        <f t="shared" si="10"/>
        <v>4.1432741746972876</v>
      </c>
      <c r="G38" s="529">
        <f t="shared" si="10"/>
        <v>4.0049437935910088</v>
      </c>
      <c r="H38" s="17">
        <f t="shared" si="11"/>
        <v>1.0829419326572109E-2</v>
      </c>
      <c r="I38" s="259"/>
      <c r="J38" s="17"/>
      <c r="K38" s="17"/>
      <c r="L38" s="17"/>
      <c r="M38" s="17"/>
      <c r="N38" s="17"/>
      <c r="O38" s="5"/>
      <c r="Q38" s="5"/>
      <c r="R38" s="5"/>
      <c r="S38" s="42"/>
      <c r="T38" s="42"/>
      <c r="U38" s="42"/>
      <c r="V38" s="42"/>
      <c r="W38" s="42"/>
      <c r="X38" s="42"/>
      <c r="Y38" s="42"/>
      <c r="Z38" s="42"/>
      <c r="AA38" s="42"/>
    </row>
    <row r="39" spans="2:27">
      <c r="B39" s="5" t="s">
        <v>185</v>
      </c>
      <c r="C39" s="247"/>
      <c r="D39" s="529">
        <f t="shared" ref="D39" si="13">D$18/D25</f>
        <v>16.609426200472001</v>
      </c>
      <c r="E39" s="529">
        <f t="shared" si="10"/>
        <v>15.197472694916808</v>
      </c>
      <c r="F39" s="529">
        <f t="shared" si="10"/>
        <v>14.072217059998996</v>
      </c>
      <c r="G39" s="529">
        <f t="shared" si="10"/>
        <v>12.834982555740231</v>
      </c>
      <c r="H39" s="17">
        <f t="shared" si="11"/>
        <v>6.6619467064831239E-2</v>
      </c>
      <c r="I39" s="17"/>
      <c r="J39" s="5"/>
      <c r="K39" s="5"/>
      <c r="L39" s="5"/>
      <c r="M39" s="5"/>
      <c r="N39" s="5"/>
      <c r="O39" s="5"/>
      <c r="Q39" s="5"/>
      <c r="R39" s="5"/>
      <c r="S39" s="42"/>
      <c r="T39" s="42"/>
      <c r="U39" s="42"/>
      <c r="V39" s="42"/>
      <c r="W39" s="42"/>
      <c r="X39" s="42"/>
      <c r="Y39" s="42"/>
      <c r="Z39" s="42"/>
      <c r="AA39" s="42"/>
    </row>
    <row r="40" spans="2:27">
      <c r="B40" s="5" t="s">
        <v>466</v>
      </c>
      <c r="C40" s="247"/>
      <c r="D40" s="529">
        <f>D$18/D26</f>
        <v>22.145901600629337</v>
      </c>
      <c r="E40" s="529">
        <f>E$18/E26</f>
        <v>20.263296926555743</v>
      </c>
      <c r="F40" s="529">
        <f t="shared" si="10"/>
        <v>18.762956079998659</v>
      </c>
      <c r="G40" s="529">
        <f t="shared" si="10"/>
        <v>17.113310074320307</v>
      </c>
      <c r="H40" s="17">
        <f>H26</f>
        <v>6.6619467064831239E-2</v>
      </c>
      <c r="I40" s="5"/>
      <c r="J40" s="259"/>
      <c r="K40" s="259"/>
      <c r="L40" s="259"/>
      <c r="M40" s="259"/>
      <c r="N40" s="259"/>
      <c r="O40" s="18"/>
      <c r="Q40" s="5"/>
      <c r="R40" s="5"/>
      <c r="S40" s="42"/>
      <c r="T40" s="42"/>
      <c r="U40" s="42"/>
      <c r="V40" s="42"/>
      <c r="W40" s="288"/>
      <c r="X40" s="288"/>
      <c r="Y40" s="42"/>
      <c r="Z40" s="42"/>
      <c r="AA40" s="42"/>
    </row>
    <row r="41" spans="2:27">
      <c r="B41" s="5" t="s">
        <v>530</v>
      </c>
      <c r="C41" s="247"/>
      <c r="D41" s="529">
        <f>D$18/D27</f>
        <v>1.0492686103504087</v>
      </c>
      <c r="E41" s="529">
        <f>E$18/E27</f>
        <v>0.98426205458076843</v>
      </c>
      <c r="F41" s="529">
        <f t="shared" si="10"/>
        <v>0.92500249094666442</v>
      </c>
      <c r="G41" s="529">
        <f t="shared" si="10"/>
        <v>0.86967226956590726</v>
      </c>
      <c r="H41" s="17">
        <f t="shared" si="11"/>
        <v>4.1997658643806224E-2</v>
      </c>
      <c r="I41" s="247"/>
      <c r="J41" s="17"/>
      <c r="K41" s="17"/>
      <c r="L41" s="17"/>
      <c r="M41" s="17"/>
      <c r="N41" s="17"/>
      <c r="O41" s="5"/>
      <c r="Q41" s="5"/>
      <c r="R41" s="5"/>
      <c r="S41" s="42"/>
      <c r="T41" s="42"/>
      <c r="U41" s="42"/>
      <c r="V41" s="42"/>
      <c r="W41" s="288"/>
      <c r="X41" s="288"/>
      <c r="Y41" s="288"/>
      <c r="Z41" s="288"/>
      <c r="AA41" s="42"/>
    </row>
    <row r="42" spans="2:27">
      <c r="B42" s="5" t="s">
        <v>593</v>
      </c>
      <c r="C42" s="247"/>
      <c r="D42" s="529">
        <f>D18/D28</f>
        <v>1.3878510885453188</v>
      </c>
      <c r="E42" s="529">
        <f>E18/E28</f>
        <v>1.3199270659955049</v>
      </c>
      <c r="F42" s="529">
        <f>F18/F28</f>
        <v>1.2514507791655409</v>
      </c>
      <c r="G42" s="529">
        <f>G18/G28</f>
        <v>1.1985191851812538</v>
      </c>
      <c r="H42" s="17">
        <f t="shared" si="11"/>
        <v>2.7832510330221494E-2</v>
      </c>
      <c r="I42" s="248"/>
      <c r="J42" s="5"/>
      <c r="K42" s="5"/>
      <c r="L42" s="5"/>
      <c r="M42" s="5"/>
      <c r="N42" s="5"/>
      <c r="O42" s="5"/>
      <c r="Q42" s="5"/>
      <c r="R42" s="5"/>
      <c r="S42" s="42"/>
      <c r="T42" s="42"/>
      <c r="U42" s="42"/>
      <c r="V42" s="42"/>
      <c r="W42" s="288"/>
      <c r="X42" s="288"/>
      <c r="Y42" s="288"/>
      <c r="Z42" s="288"/>
      <c r="AA42" s="42"/>
    </row>
    <row r="43" spans="2:27">
      <c r="B43" s="5" t="s">
        <v>475</v>
      </c>
      <c r="C43" s="247"/>
      <c r="D43" s="529">
        <f>L26/D29</f>
        <v>17.607337976957918</v>
      </c>
      <c r="E43" s="529">
        <f>M26/E29</f>
        <v>16.224275625415114</v>
      </c>
      <c r="F43" s="529">
        <f>N26/F29</f>
        <v>15.919486503902181</v>
      </c>
      <c r="G43" s="529">
        <f>O26/G29</f>
        <v>16.404789912370667</v>
      </c>
      <c r="H43" s="17">
        <f t="shared" si="11"/>
        <v>2.1177877769152698E-2</v>
      </c>
      <c r="I43" s="247"/>
      <c r="J43" s="247"/>
      <c r="K43" s="247"/>
      <c r="L43" s="247"/>
      <c r="M43" s="247"/>
      <c r="N43" s="247"/>
      <c r="O43" s="18"/>
      <c r="Q43" s="5"/>
      <c r="R43" s="5"/>
      <c r="S43" s="42"/>
      <c r="T43" s="42"/>
      <c r="U43" s="42"/>
      <c r="V43" s="42"/>
      <c r="W43" s="288"/>
      <c r="X43" s="288"/>
      <c r="Y43" s="288"/>
      <c r="Z43" s="288"/>
      <c r="AA43" s="42"/>
    </row>
    <row r="44" spans="2:27">
      <c r="B44" s="5" t="s">
        <v>533</v>
      </c>
      <c r="C44" s="69"/>
      <c r="D44" s="529">
        <f>D11/D30</f>
        <v>7.3444595420857404</v>
      </c>
      <c r="E44" s="529">
        <f>E11/E30</f>
        <v>7.3051338310278862</v>
      </c>
      <c r="F44" s="529">
        <f>F11/F30</f>
        <v>7.9466144736676929</v>
      </c>
      <c r="G44" s="529">
        <f>G11/G30</f>
        <v>8.0522390867586306</v>
      </c>
      <c r="H44" s="17">
        <f t="shared" si="11"/>
        <v>-3.3208667918366963E-2</v>
      </c>
      <c r="I44" s="247"/>
      <c r="J44" s="248"/>
      <c r="K44" s="248"/>
      <c r="L44" s="248"/>
      <c r="M44" s="248"/>
      <c r="N44" s="248"/>
      <c r="O44" s="248"/>
      <c r="Q44" s="5"/>
      <c r="R44" s="5"/>
      <c r="S44" s="42"/>
      <c r="T44" s="42"/>
      <c r="U44" s="42"/>
      <c r="V44" s="42"/>
      <c r="W44" s="325"/>
      <c r="X44" s="325"/>
      <c r="Y44" s="288"/>
      <c r="Z44" s="288"/>
      <c r="AA44" s="42"/>
    </row>
    <row r="45" spans="2:27">
      <c r="B45" s="5" t="s">
        <v>580</v>
      </c>
      <c r="C45" s="247"/>
      <c r="D45" s="248">
        <f>D31/D11</f>
        <v>6.1793863099921319E-2</v>
      </c>
      <c r="E45" s="248">
        <f>E31/E11</f>
        <v>6.3029740361919745E-2</v>
      </c>
      <c r="F45" s="248">
        <f>F31/F11</f>
        <v>6.4290335169158136E-2</v>
      </c>
      <c r="G45" s="248">
        <f>G31/G11</f>
        <v>7.7148402202989755E-2</v>
      </c>
      <c r="H45" s="17">
        <f t="shared" si="11"/>
        <v>7.3442742495179125E-2</v>
      </c>
      <c r="I45" s="248"/>
      <c r="J45" s="247"/>
      <c r="K45" s="247"/>
      <c r="L45" s="247"/>
      <c r="M45" s="247"/>
      <c r="N45" s="247"/>
      <c r="O45" s="248"/>
      <c r="Q45" s="5"/>
      <c r="R45" s="5"/>
      <c r="S45" s="42"/>
      <c r="T45" s="42"/>
      <c r="U45" s="42"/>
      <c r="V45" s="42"/>
      <c r="W45" s="42"/>
      <c r="X45" s="42"/>
      <c r="Y45" s="325"/>
      <c r="Z45" s="325"/>
      <c r="AA45" s="42"/>
    </row>
    <row r="46" spans="2:27">
      <c r="B46" s="5" t="s">
        <v>605</v>
      </c>
      <c r="C46" s="247"/>
      <c r="D46" s="248">
        <f>(D31+D32)/D11</f>
        <v>6.1793863099921319E-2</v>
      </c>
      <c r="E46" s="248">
        <f>(E31+E32)/E11</f>
        <v>6.3029740361919745E-2</v>
      </c>
      <c r="F46" s="248">
        <f>(F31+F32)/F11</f>
        <v>6.4290335169158136E-2</v>
      </c>
      <c r="G46" s="248">
        <f>(G31+G32)/G11</f>
        <v>7.7148402202989755E-2</v>
      </c>
      <c r="H46" s="279">
        <f>((G31+G32)/(D31+D32))^(1/3)-1</f>
        <v>7.3442742495179125E-2</v>
      </c>
      <c r="I46" s="247"/>
      <c r="J46" s="247"/>
      <c r="K46" s="247"/>
      <c r="L46" s="247"/>
      <c r="M46" s="247"/>
      <c r="N46" s="247"/>
      <c r="O46" s="18"/>
      <c r="Q46" s="5"/>
      <c r="R46" s="5"/>
      <c r="S46" s="42"/>
      <c r="T46" s="42"/>
      <c r="U46" s="42"/>
      <c r="V46" s="42"/>
      <c r="W46" s="42"/>
      <c r="X46" s="42"/>
      <c r="Y46" s="42"/>
      <c r="Z46" s="42"/>
      <c r="AA46" s="326"/>
    </row>
    <row r="47" spans="2:27">
      <c r="B47" s="5" t="s">
        <v>581</v>
      </c>
      <c r="C47" s="5"/>
      <c r="D47" s="248">
        <f>1/D43</f>
        <v>5.679450245736542E-2</v>
      </c>
      <c r="E47" s="248">
        <f>1/E43</f>
        <v>6.1636033748928253E-2</v>
      </c>
      <c r="F47" s="248">
        <f>1/F43</f>
        <v>6.2816096471131788E-2</v>
      </c>
      <c r="G47" s="248">
        <f>1/G43</f>
        <v>6.0957805942148106E-2</v>
      </c>
      <c r="H47" s="17">
        <f>H29</f>
        <v>2.1177877769152698E-2</v>
      </c>
      <c r="I47" s="17"/>
      <c r="J47" s="248"/>
      <c r="K47" s="248"/>
      <c r="L47" s="248"/>
      <c r="M47" s="248"/>
      <c r="N47" s="248"/>
      <c r="O47" s="248"/>
      <c r="Q47" s="5"/>
      <c r="R47" s="5"/>
      <c r="S47" s="42"/>
      <c r="T47" s="42"/>
      <c r="U47" s="42"/>
      <c r="V47" s="42"/>
      <c r="W47" s="42"/>
      <c r="X47" s="42"/>
      <c r="Y47" s="42"/>
      <c r="Z47" s="42"/>
      <c r="AA47" s="326"/>
    </row>
    <row r="48" spans="2:27">
      <c r="B48" s="5" t="s">
        <v>618</v>
      </c>
      <c r="C48" s="5"/>
      <c r="D48" s="305">
        <f>D31/D29</f>
        <v>0.96677414585623389</v>
      </c>
      <c r="E48" s="305">
        <f>E31/E29</f>
        <v>0.89779336216942829</v>
      </c>
      <c r="F48" s="305">
        <f>F31/F29</f>
        <v>0.90309082089331383</v>
      </c>
      <c r="G48" s="305">
        <f>G31/G29</f>
        <v>1.1229424155149486</v>
      </c>
      <c r="H48" s="279" t="s">
        <v>607</v>
      </c>
      <c r="I48" s="247"/>
      <c r="J48" s="247"/>
      <c r="K48" s="247"/>
      <c r="L48" s="247"/>
      <c r="M48" s="247"/>
      <c r="N48" s="247"/>
      <c r="O48" s="248"/>
      <c r="Q48" s="5"/>
      <c r="R48" s="5"/>
      <c r="S48" s="42"/>
      <c r="T48" s="42"/>
      <c r="U48" s="42"/>
      <c r="V48" s="42"/>
      <c r="W48" s="42"/>
      <c r="X48" s="42"/>
      <c r="Y48" s="42"/>
      <c r="Z48" s="42"/>
      <c r="AA48" s="326"/>
    </row>
    <row r="49" spans="2:27">
      <c r="B49" s="41"/>
      <c r="C49" s="17"/>
      <c r="D49" s="17"/>
      <c r="E49" s="17"/>
      <c r="F49" s="17"/>
      <c r="G49" s="17"/>
      <c r="H49" s="17"/>
      <c r="I49" s="254"/>
      <c r="J49" s="17"/>
      <c r="K49" s="17"/>
      <c r="L49" s="17"/>
      <c r="M49" s="17"/>
      <c r="N49" s="17"/>
      <c r="O49" s="248"/>
      <c r="Q49" s="5"/>
      <c r="R49" s="5"/>
      <c r="S49" s="42"/>
      <c r="T49" s="42"/>
      <c r="U49" s="42"/>
      <c r="V49" s="42"/>
      <c r="W49" s="42"/>
      <c r="X49" s="42"/>
      <c r="Y49" s="42"/>
      <c r="Z49" s="42"/>
      <c r="AA49" s="326"/>
    </row>
    <row r="50" spans="2:27">
      <c r="B50" s="5"/>
      <c r="C50" s="257"/>
      <c r="D50" s="257"/>
      <c r="E50" s="257"/>
      <c r="F50" s="5"/>
      <c r="G50" s="41"/>
      <c r="H50" s="249"/>
      <c r="I50" s="17"/>
      <c r="J50" s="249"/>
      <c r="K50" s="249"/>
      <c r="L50" s="249"/>
      <c r="M50" s="249"/>
      <c r="N50" s="249"/>
      <c r="O50" s="250"/>
      <c r="Q50" s="5"/>
      <c r="R50" s="5"/>
      <c r="S50" s="42"/>
      <c r="T50" s="42"/>
      <c r="U50" s="42"/>
      <c r="V50" s="42"/>
      <c r="W50" s="288"/>
      <c r="X50" s="288"/>
      <c r="Y50" s="42"/>
      <c r="Z50" s="42"/>
      <c r="AA50" s="326"/>
    </row>
    <row r="51" spans="2:27">
      <c r="B51" s="41"/>
      <c r="C51" s="249"/>
      <c r="D51" s="254"/>
      <c r="E51" s="254"/>
      <c r="F51" s="254"/>
      <c r="G51" s="254"/>
      <c r="H51" s="254"/>
      <c r="I51" s="259"/>
      <c r="J51" s="254"/>
      <c r="K51" s="254"/>
      <c r="L51" s="254"/>
      <c r="M51" s="254"/>
      <c r="N51" s="254"/>
      <c r="O51" s="251"/>
      <c r="Q51" s="5"/>
      <c r="R51" s="5"/>
      <c r="S51" s="42"/>
      <c r="T51" s="42"/>
      <c r="U51" s="42"/>
      <c r="V51" s="42"/>
      <c r="W51" s="288"/>
      <c r="X51" s="288"/>
      <c r="Y51" s="288"/>
      <c r="Z51" s="288"/>
      <c r="AA51" s="42"/>
    </row>
    <row r="52" spans="2:27">
      <c r="B52" s="5"/>
      <c r="C52" s="257"/>
      <c r="D52" s="17"/>
      <c r="E52" s="17"/>
      <c r="F52" s="17"/>
      <c r="G52" s="17"/>
      <c r="H52" s="17"/>
      <c r="I52" s="254"/>
      <c r="J52" s="17"/>
      <c r="K52" s="17"/>
      <c r="L52" s="17"/>
      <c r="M52" s="17"/>
      <c r="N52" s="17"/>
      <c r="O52" s="248"/>
      <c r="Q52" s="5"/>
      <c r="R52" s="5"/>
      <c r="S52" s="5"/>
      <c r="Y52" s="10"/>
      <c r="Z52" s="10"/>
    </row>
    <row r="53" spans="2:27">
      <c r="B53" s="5"/>
      <c r="C53" s="257"/>
      <c r="D53" s="257"/>
      <c r="E53" s="257"/>
      <c r="F53" s="5"/>
      <c r="G53" s="5"/>
      <c r="H53" s="259"/>
      <c r="I53" s="17"/>
      <c r="J53" s="259"/>
      <c r="K53" s="259"/>
      <c r="L53" s="259"/>
      <c r="M53" s="259"/>
      <c r="N53" s="259"/>
      <c r="O53" s="18"/>
      <c r="Q53" s="5"/>
      <c r="R53" s="5"/>
      <c r="S53" s="5"/>
    </row>
    <row r="54" spans="2:27">
      <c r="B54" s="41"/>
      <c r="C54" s="249"/>
      <c r="D54" s="254"/>
      <c r="E54" s="254"/>
      <c r="F54" s="254"/>
      <c r="G54" s="254"/>
      <c r="H54" s="254"/>
      <c r="I54" s="259"/>
      <c r="J54" s="254"/>
      <c r="K54" s="254"/>
      <c r="L54" s="254"/>
      <c r="M54" s="254"/>
      <c r="N54" s="254"/>
      <c r="O54" s="251"/>
      <c r="Q54" s="5"/>
      <c r="R54" s="5"/>
      <c r="S54" s="5"/>
    </row>
    <row r="55" spans="2:27">
      <c r="B55" s="5"/>
      <c r="C55" s="257"/>
      <c r="D55" s="17"/>
      <c r="E55" s="17"/>
      <c r="F55" s="17"/>
      <c r="G55" s="17"/>
      <c r="H55" s="17"/>
      <c r="I55" s="249"/>
      <c r="J55" s="17"/>
      <c r="K55" s="17"/>
      <c r="L55" s="17"/>
      <c r="M55" s="17"/>
      <c r="N55" s="17"/>
      <c r="O55" s="18"/>
      <c r="Q55" s="5"/>
      <c r="R55" s="5"/>
      <c r="S55" s="5"/>
    </row>
    <row r="56" spans="2:27">
      <c r="B56" s="5"/>
      <c r="C56" s="248"/>
      <c r="D56" s="248"/>
      <c r="E56" s="248"/>
      <c r="F56" s="5"/>
      <c r="G56" s="5"/>
      <c r="H56" s="259"/>
      <c r="I56" s="248"/>
      <c r="J56" s="259"/>
      <c r="K56" s="259"/>
      <c r="L56" s="259"/>
      <c r="M56" s="259"/>
      <c r="N56" s="259"/>
      <c r="O56" s="18"/>
      <c r="Q56" s="5"/>
      <c r="R56" s="5"/>
      <c r="S56" s="5"/>
    </row>
    <row r="57" spans="2:27">
      <c r="B57" s="41"/>
      <c r="C57" s="249"/>
      <c r="D57" s="249"/>
      <c r="E57" s="249"/>
      <c r="F57" s="249"/>
      <c r="G57" s="249"/>
      <c r="H57" s="249"/>
      <c r="I57" s="5"/>
      <c r="J57" s="249"/>
      <c r="K57" s="249"/>
      <c r="L57" s="249"/>
      <c r="M57" s="249"/>
      <c r="N57" s="249"/>
      <c r="O57" s="251"/>
      <c r="Q57" s="5"/>
      <c r="R57" s="5"/>
      <c r="S57" s="5"/>
    </row>
    <row r="58" spans="2:27">
      <c r="B58" s="5"/>
      <c r="C58" s="5"/>
      <c r="D58" s="248"/>
      <c r="E58" s="248"/>
      <c r="F58" s="248"/>
      <c r="G58" s="248"/>
      <c r="H58" s="248"/>
      <c r="I58" s="17"/>
      <c r="J58" s="248"/>
      <c r="K58" s="248"/>
      <c r="L58" s="248"/>
      <c r="M58" s="248"/>
      <c r="N58" s="248"/>
      <c r="O58" s="18"/>
      <c r="Q58" s="5"/>
      <c r="R58" s="5"/>
      <c r="S58" s="5"/>
    </row>
    <row r="59" spans="2:27">
      <c r="B59" s="5"/>
      <c r="C59" s="5"/>
      <c r="D59" s="5"/>
      <c r="E59" s="5"/>
      <c r="F59" s="5"/>
      <c r="G59" s="5"/>
      <c r="H59" s="5"/>
      <c r="I59" s="5"/>
      <c r="J59" s="5"/>
      <c r="K59" s="5"/>
      <c r="L59" s="5"/>
      <c r="M59" s="5"/>
      <c r="N59" s="5"/>
      <c r="O59" s="5"/>
      <c r="Q59" s="5"/>
      <c r="R59" s="5"/>
      <c r="S59" s="5"/>
    </row>
    <row r="60" spans="2:27">
      <c r="B60" s="41"/>
      <c r="C60" s="17"/>
      <c r="D60" s="17"/>
      <c r="E60" s="17"/>
      <c r="F60" s="17"/>
      <c r="G60" s="17"/>
      <c r="H60" s="17"/>
      <c r="I60" s="249"/>
      <c r="J60" s="17"/>
      <c r="K60" s="17"/>
      <c r="L60" s="17"/>
      <c r="M60" s="17"/>
      <c r="N60" s="17"/>
      <c r="O60" s="251"/>
      <c r="Q60" s="5"/>
      <c r="R60" s="5"/>
      <c r="S60" s="5"/>
    </row>
    <row r="61" spans="2:27">
      <c r="B61" s="5"/>
      <c r="C61" s="5"/>
      <c r="D61" s="5"/>
      <c r="E61" s="5"/>
      <c r="F61" s="5"/>
      <c r="G61" s="5"/>
      <c r="H61" s="5"/>
      <c r="I61" s="5"/>
      <c r="J61" s="5"/>
      <c r="K61" s="5"/>
      <c r="L61" s="5"/>
      <c r="M61" s="5"/>
      <c r="N61" s="5"/>
      <c r="O61" s="5"/>
      <c r="Q61" s="41"/>
      <c r="R61" s="5"/>
      <c r="S61" s="5"/>
    </row>
    <row r="62" spans="2:27">
      <c r="B62" s="41"/>
      <c r="C62" s="249"/>
      <c r="D62" s="249"/>
      <c r="E62" s="249"/>
      <c r="F62" s="249"/>
      <c r="G62" s="249"/>
      <c r="H62" s="249"/>
      <c r="I62" s="5"/>
      <c r="J62" s="249"/>
      <c r="K62" s="249"/>
      <c r="L62" s="249"/>
      <c r="M62" s="249"/>
      <c r="N62" s="249"/>
      <c r="O62" s="251"/>
      <c r="Q62" s="5"/>
      <c r="R62" s="5"/>
      <c r="S62" s="5"/>
    </row>
    <row r="63" spans="2:27">
      <c r="B63" s="5"/>
      <c r="C63" s="5"/>
      <c r="D63" s="5"/>
      <c r="E63" s="5"/>
      <c r="F63" s="5"/>
      <c r="G63" s="5"/>
      <c r="H63" s="5"/>
      <c r="I63" s="254"/>
      <c r="J63" s="5"/>
      <c r="K63" s="5"/>
      <c r="L63" s="5"/>
      <c r="M63" s="5"/>
      <c r="N63" s="5"/>
      <c r="O63" s="5"/>
      <c r="Q63" s="5"/>
      <c r="R63" s="5"/>
      <c r="S63" s="5"/>
    </row>
    <row r="64" spans="2:27">
      <c r="B64" s="5"/>
      <c r="C64" s="5"/>
      <c r="D64" s="5"/>
      <c r="E64" s="5"/>
      <c r="F64" s="5"/>
      <c r="G64" s="5"/>
      <c r="H64" s="5"/>
      <c r="I64" s="17"/>
      <c r="J64" s="5"/>
      <c r="K64" s="5"/>
      <c r="L64" s="5"/>
      <c r="M64" s="5"/>
      <c r="N64" s="5"/>
      <c r="O64" s="5"/>
      <c r="Q64" s="5"/>
      <c r="R64" s="5"/>
      <c r="S64" s="5"/>
    </row>
    <row r="65" spans="2:26">
      <c r="B65" s="41"/>
      <c r="C65" s="249"/>
      <c r="D65" s="254"/>
      <c r="E65" s="254"/>
      <c r="F65" s="254"/>
      <c r="G65" s="254"/>
      <c r="H65" s="254"/>
      <c r="I65" s="254"/>
      <c r="J65" s="254"/>
      <c r="K65" s="254"/>
      <c r="L65" s="254"/>
      <c r="M65" s="254"/>
      <c r="N65" s="254"/>
      <c r="O65" s="251"/>
      <c r="Q65" s="5"/>
      <c r="R65" s="5"/>
      <c r="S65" s="5"/>
    </row>
    <row r="66" spans="2:26">
      <c r="B66" s="5"/>
      <c r="C66" s="5"/>
      <c r="D66" s="17"/>
      <c r="E66" s="17"/>
      <c r="F66" s="17"/>
      <c r="G66" s="17"/>
      <c r="H66" s="17"/>
      <c r="I66" s="248"/>
      <c r="J66" s="17"/>
      <c r="K66" s="17"/>
      <c r="L66" s="17"/>
      <c r="M66" s="17"/>
      <c r="N66" s="17"/>
      <c r="O66" s="5"/>
      <c r="Q66" s="5"/>
      <c r="R66" s="5"/>
      <c r="S66" s="5"/>
    </row>
    <row r="67" spans="2:26">
      <c r="B67" s="41"/>
      <c r="C67" s="249"/>
      <c r="D67" s="254"/>
      <c r="E67" s="254"/>
      <c r="F67" s="254"/>
      <c r="G67" s="254"/>
      <c r="H67" s="254"/>
      <c r="I67" s="5"/>
      <c r="J67" s="254"/>
      <c r="K67" s="254"/>
      <c r="L67" s="254"/>
      <c r="M67" s="254"/>
      <c r="N67" s="254"/>
      <c r="O67" s="251"/>
      <c r="Q67" s="41"/>
      <c r="R67" s="5"/>
      <c r="S67" s="5"/>
    </row>
    <row r="68" spans="2:26">
      <c r="B68" s="5"/>
      <c r="C68" s="5"/>
      <c r="D68" s="248"/>
      <c r="E68" s="248"/>
      <c r="F68" s="248"/>
      <c r="G68" s="248"/>
      <c r="H68" s="248"/>
      <c r="I68" s="245"/>
      <c r="J68" s="248"/>
      <c r="K68" s="248"/>
      <c r="L68" s="248"/>
      <c r="M68" s="248"/>
      <c r="N68" s="248"/>
      <c r="O68" s="5"/>
      <c r="Q68" s="5"/>
      <c r="R68" s="5"/>
      <c r="S68" s="5"/>
    </row>
    <row r="69" spans="2:26">
      <c r="B69" s="41"/>
      <c r="C69" s="5"/>
      <c r="D69" s="5"/>
      <c r="E69" s="5"/>
      <c r="F69" s="5"/>
      <c r="G69" s="5"/>
      <c r="H69" s="5"/>
      <c r="I69" s="248"/>
      <c r="J69" s="5"/>
      <c r="K69" s="5"/>
      <c r="L69" s="5"/>
      <c r="M69" s="5"/>
      <c r="N69" s="5"/>
      <c r="O69" s="5"/>
      <c r="Q69" s="5"/>
      <c r="R69" s="5"/>
      <c r="S69" s="5"/>
    </row>
    <row r="70" spans="2:26">
      <c r="B70" s="41"/>
      <c r="C70" s="245"/>
      <c r="D70" s="245"/>
      <c r="E70" s="245"/>
      <c r="F70" s="245"/>
      <c r="G70" s="245"/>
      <c r="H70" s="245"/>
      <c r="I70" s="5"/>
      <c r="J70" s="245"/>
      <c r="K70" s="245"/>
      <c r="L70" s="245"/>
      <c r="M70" s="245"/>
      <c r="N70" s="245"/>
      <c r="O70" s="251"/>
      <c r="Q70" s="5"/>
      <c r="R70" s="5"/>
      <c r="S70" s="5"/>
      <c r="W70" s="76"/>
      <c r="X70" s="76"/>
    </row>
    <row r="71" spans="2:26">
      <c r="B71" s="5"/>
      <c r="C71" s="5"/>
      <c r="D71" s="248"/>
      <c r="E71" s="248"/>
      <c r="F71" s="248"/>
      <c r="G71" s="248"/>
      <c r="H71" s="248"/>
      <c r="I71" s="245"/>
      <c r="J71" s="248"/>
      <c r="K71" s="248"/>
      <c r="L71" s="248"/>
      <c r="M71" s="248"/>
      <c r="N71" s="248"/>
      <c r="O71" s="5"/>
      <c r="Q71" s="5"/>
      <c r="R71" s="5"/>
      <c r="S71" s="5"/>
      <c r="W71" s="76"/>
      <c r="X71" s="76"/>
      <c r="Y71" s="76"/>
      <c r="Z71" s="76"/>
    </row>
    <row r="72" spans="2:26">
      <c r="B72" s="41"/>
      <c r="C72" s="5"/>
      <c r="D72" s="5"/>
      <c r="E72" s="5"/>
      <c r="F72" s="5"/>
      <c r="G72" s="5"/>
      <c r="H72" s="5"/>
      <c r="I72" s="18"/>
      <c r="J72" s="5"/>
      <c r="K72" s="5"/>
      <c r="L72" s="5"/>
      <c r="M72" s="5"/>
      <c r="N72" s="5"/>
      <c r="O72" s="5"/>
      <c r="Q72" s="5"/>
      <c r="R72" s="5"/>
      <c r="S72" s="5"/>
      <c r="Y72" s="76"/>
      <c r="Z72" s="76"/>
    </row>
    <row r="73" spans="2:26">
      <c r="B73" s="41"/>
      <c r="C73" s="245"/>
      <c r="D73" s="245"/>
      <c r="E73" s="245"/>
      <c r="F73" s="245"/>
      <c r="G73" s="245"/>
      <c r="H73" s="245"/>
      <c r="I73" s="5"/>
      <c r="J73" s="245"/>
      <c r="K73" s="245"/>
      <c r="L73" s="245"/>
      <c r="M73" s="245"/>
      <c r="N73" s="245"/>
      <c r="O73" s="251"/>
      <c r="Q73" s="5"/>
      <c r="R73" s="5"/>
      <c r="S73" s="5"/>
    </row>
    <row r="74" spans="2:26">
      <c r="B74" s="5"/>
      <c r="C74" s="5"/>
      <c r="D74" s="18"/>
      <c r="E74" s="18"/>
      <c r="F74" s="18"/>
      <c r="G74" s="18"/>
      <c r="H74" s="18"/>
      <c r="I74" s="249"/>
      <c r="J74" s="18"/>
      <c r="K74" s="18"/>
      <c r="L74" s="18"/>
      <c r="M74" s="18"/>
      <c r="N74" s="18"/>
      <c r="O74" s="5"/>
      <c r="Q74" s="5"/>
      <c r="R74" s="5"/>
      <c r="S74" s="5"/>
    </row>
    <row r="75" spans="2:26">
      <c r="B75" s="41"/>
      <c r="C75" s="5"/>
      <c r="D75" s="5"/>
      <c r="E75" s="5"/>
      <c r="F75" s="5"/>
      <c r="G75" s="5"/>
      <c r="H75" s="5"/>
      <c r="I75" s="248"/>
      <c r="J75" s="5"/>
      <c r="K75" s="5"/>
      <c r="L75" s="5"/>
      <c r="M75" s="5"/>
      <c r="N75" s="5"/>
      <c r="O75" s="5"/>
      <c r="Q75" s="5"/>
      <c r="R75" s="5"/>
      <c r="S75" s="5"/>
    </row>
    <row r="76" spans="2:26">
      <c r="B76" s="41"/>
      <c r="C76" s="249"/>
      <c r="D76" s="249"/>
      <c r="E76" s="249"/>
      <c r="F76" s="249"/>
      <c r="G76" s="249"/>
      <c r="H76" s="249"/>
      <c r="I76" s="5"/>
      <c r="J76" s="249"/>
      <c r="K76" s="249"/>
      <c r="L76" s="249"/>
      <c r="M76" s="249"/>
      <c r="N76" s="249"/>
      <c r="O76" s="251"/>
      <c r="Q76" s="5"/>
      <c r="R76" s="5"/>
      <c r="S76" s="5"/>
    </row>
    <row r="77" spans="2:26">
      <c r="B77" s="5"/>
      <c r="C77" s="5"/>
      <c r="D77" s="248"/>
      <c r="E77" s="248"/>
      <c r="F77" s="248"/>
      <c r="G77" s="248"/>
      <c r="H77" s="248"/>
      <c r="I77" s="245"/>
      <c r="J77" s="248"/>
      <c r="K77" s="248"/>
      <c r="L77" s="248"/>
      <c r="M77" s="248"/>
      <c r="N77" s="248"/>
      <c r="O77" s="5"/>
      <c r="Q77" s="5"/>
      <c r="R77" s="5"/>
      <c r="S77" s="5"/>
    </row>
    <row r="78" spans="2:26">
      <c r="B78" s="41"/>
      <c r="C78" s="5"/>
      <c r="D78" s="5"/>
      <c r="E78" s="5"/>
      <c r="F78" s="5"/>
      <c r="G78" s="5"/>
      <c r="H78" s="5"/>
      <c r="I78" s="248"/>
      <c r="J78" s="5"/>
      <c r="K78" s="5"/>
      <c r="L78" s="5"/>
      <c r="M78" s="5"/>
      <c r="N78" s="5"/>
      <c r="O78" s="5"/>
      <c r="Q78" s="5"/>
      <c r="R78" s="5"/>
      <c r="S78" s="5"/>
    </row>
    <row r="79" spans="2:26">
      <c r="B79" s="41"/>
      <c r="C79" s="245"/>
      <c r="D79" s="245"/>
      <c r="E79" s="245"/>
      <c r="F79" s="245"/>
      <c r="G79" s="245"/>
      <c r="H79" s="245"/>
      <c r="I79" s="5"/>
      <c r="J79" s="245"/>
      <c r="K79" s="245"/>
      <c r="L79" s="245"/>
      <c r="M79" s="245"/>
      <c r="N79" s="245"/>
      <c r="O79" s="251"/>
      <c r="Q79" s="5"/>
      <c r="R79" s="5"/>
      <c r="S79" s="5"/>
    </row>
    <row r="80" spans="2:26">
      <c r="B80" s="5"/>
      <c r="C80" s="5"/>
      <c r="D80" s="248"/>
      <c r="E80" s="248"/>
      <c r="F80" s="248"/>
      <c r="G80" s="248"/>
      <c r="H80" s="248"/>
      <c r="I80" s="249"/>
      <c r="J80" s="248"/>
      <c r="K80" s="248"/>
      <c r="L80" s="248"/>
      <c r="M80" s="248"/>
      <c r="N80" s="248"/>
      <c r="O80" s="5"/>
      <c r="Q80" s="5"/>
      <c r="R80" s="5"/>
      <c r="S80" s="5"/>
    </row>
    <row r="81" spans="2:26">
      <c r="B81" s="41"/>
      <c r="C81" s="5"/>
      <c r="D81" s="5"/>
      <c r="E81" s="5"/>
      <c r="F81" s="5"/>
      <c r="G81" s="5"/>
      <c r="H81" s="5"/>
      <c r="I81" s="248"/>
      <c r="J81" s="5"/>
      <c r="K81" s="5"/>
      <c r="L81" s="5"/>
      <c r="M81" s="5"/>
      <c r="N81" s="5"/>
      <c r="O81" s="5"/>
      <c r="Q81" s="5"/>
      <c r="R81" s="5"/>
      <c r="S81" s="5"/>
    </row>
    <row r="82" spans="2:26">
      <c r="B82" s="41"/>
      <c r="C82" s="249"/>
      <c r="D82" s="249"/>
      <c r="E82" s="249"/>
      <c r="F82" s="249"/>
      <c r="G82" s="249"/>
      <c r="H82" s="249"/>
      <c r="I82" s="259"/>
      <c r="J82" s="249"/>
      <c r="K82" s="249"/>
      <c r="L82" s="249"/>
      <c r="M82" s="249"/>
      <c r="N82" s="249"/>
      <c r="O82" s="251"/>
      <c r="Q82" s="5"/>
      <c r="R82" s="5"/>
      <c r="S82" s="5"/>
    </row>
    <row r="83" spans="2:26">
      <c r="B83" s="5"/>
      <c r="C83" s="5"/>
      <c r="D83" s="248"/>
      <c r="E83" s="248"/>
      <c r="F83" s="248"/>
      <c r="G83" s="248"/>
      <c r="H83" s="248"/>
      <c r="I83" s="5"/>
      <c r="J83" s="248"/>
      <c r="K83" s="248"/>
      <c r="L83" s="248"/>
      <c r="M83" s="248"/>
      <c r="N83" s="248"/>
      <c r="O83" s="5"/>
      <c r="Q83" s="5"/>
      <c r="R83" s="5"/>
      <c r="S83" s="5"/>
    </row>
    <row r="84" spans="2:26">
      <c r="B84" s="5"/>
      <c r="C84" s="259"/>
      <c r="D84" s="259"/>
      <c r="E84" s="259"/>
      <c r="F84" s="259"/>
      <c r="G84" s="259"/>
      <c r="H84" s="259"/>
      <c r="I84" s="245"/>
      <c r="J84" s="259"/>
      <c r="K84" s="259"/>
      <c r="L84" s="259"/>
      <c r="M84" s="259"/>
      <c r="N84" s="259"/>
      <c r="O84" s="251"/>
      <c r="Q84" s="5"/>
      <c r="R84" s="5"/>
      <c r="S84" s="5"/>
    </row>
    <row r="85" spans="2:26">
      <c r="B85" s="41"/>
      <c r="C85" s="5"/>
      <c r="D85" s="5"/>
      <c r="E85" s="5"/>
      <c r="F85" s="5"/>
      <c r="G85" s="5"/>
      <c r="H85" s="5"/>
      <c r="I85" s="248"/>
      <c r="J85" s="5"/>
      <c r="K85" s="5"/>
      <c r="L85" s="5"/>
      <c r="M85" s="5"/>
      <c r="N85" s="5"/>
      <c r="O85" s="5"/>
      <c r="Q85" s="5"/>
      <c r="R85" s="5"/>
      <c r="S85" s="5"/>
    </row>
    <row r="86" spans="2:26">
      <c r="B86" s="41"/>
      <c r="C86" s="245"/>
      <c r="D86" s="245"/>
      <c r="E86" s="245"/>
      <c r="F86" s="245"/>
      <c r="G86" s="245"/>
      <c r="H86" s="245"/>
      <c r="I86" s="5"/>
      <c r="J86" s="245"/>
      <c r="K86" s="245"/>
      <c r="L86" s="245"/>
      <c r="M86" s="245"/>
      <c r="N86" s="245"/>
      <c r="O86" s="251"/>
      <c r="Q86" s="5"/>
      <c r="R86" s="5"/>
      <c r="S86" s="5"/>
    </row>
    <row r="87" spans="2:26">
      <c r="B87" s="5"/>
      <c r="C87" s="5"/>
      <c r="D87" s="248"/>
      <c r="E87" s="248"/>
      <c r="F87" s="248"/>
      <c r="G87" s="248"/>
      <c r="H87" s="248"/>
      <c r="I87" s="5"/>
      <c r="J87" s="248"/>
      <c r="K87" s="248"/>
      <c r="L87" s="248"/>
      <c r="M87" s="248"/>
      <c r="N87" s="248"/>
      <c r="O87" s="5"/>
      <c r="Q87" s="5"/>
      <c r="R87" s="5"/>
      <c r="S87" s="5"/>
    </row>
    <row r="88" spans="2:26">
      <c r="B88" s="41"/>
      <c r="C88" s="5"/>
      <c r="D88" s="5"/>
      <c r="E88" s="5"/>
      <c r="F88" s="5"/>
      <c r="G88" s="5"/>
      <c r="H88" s="5"/>
      <c r="I88" s="5"/>
      <c r="J88" s="5"/>
      <c r="K88" s="5"/>
      <c r="L88" s="5"/>
      <c r="M88" s="5"/>
      <c r="N88" s="5"/>
      <c r="O88" s="5"/>
      <c r="Q88" s="5"/>
      <c r="R88" s="5"/>
      <c r="S88" s="5"/>
    </row>
    <row r="89" spans="2:26">
      <c r="B89" s="41"/>
      <c r="C89" s="5"/>
      <c r="D89" s="5"/>
      <c r="E89" s="5"/>
      <c r="F89" s="5"/>
      <c r="G89" s="5"/>
      <c r="H89" s="5"/>
      <c r="I89" s="5"/>
      <c r="J89" s="5"/>
      <c r="K89" s="5"/>
      <c r="L89" s="5"/>
      <c r="M89" s="5"/>
      <c r="N89" s="5"/>
      <c r="O89" s="5"/>
      <c r="Q89" s="5"/>
      <c r="R89" s="5"/>
      <c r="S89" s="5"/>
    </row>
    <row r="90" spans="2:26">
      <c r="B90" s="41"/>
      <c r="C90" s="5"/>
      <c r="D90" s="5"/>
      <c r="E90" s="5"/>
      <c r="F90" s="5"/>
      <c r="G90" s="5"/>
      <c r="H90" s="5"/>
      <c r="I90" s="49"/>
      <c r="J90" s="5"/>
      <c r="K90" s="5"/>
      <c r="L90" s="5"/>
      <c r="M90" s="5"/>
      <c r="N90" s="5"/>
      <c r="O90" s="5"/>
      <c r="Q90" s="41"/>
      <c r="R90" s="5"/>
      <c r="S90" s="5"/>
    </row>
    <row r="91" spans="2:26">
      <c r="B91" s="5"/>
      <c r="C91" s="5"/>
      <c r="D91" s="5"/>
      <c r="E91" s="5"/>
      <c r="F91" s="5"/>
      <c r="G91" s="5"/>
      <c r="H91" s="5"/>
      <c r="I91" s="5"/>
      <c r="J91" s="5"/>
      <c r="K91" s="5"/>
      <c r="L91" s="5"/>
      <c r="M91" s="5"/>
      <c r="N91" s="5"/>
      <c r="O91" s="5"/>
      <c r="Q91" s="5"/>
      <c r="R91" s="5"/>
      <c r="S91" s="5"/>
    </row>
    <row r="92" spans="2:26">
      <c r="B92" s="41"/>
      <c r="C92" s="49"/>
      <c r="D92" s="49"/>
      <c r="E92" s="49"/>
      <c r="F92" s="49"/>
      <c r="G92" s="49"/>
      <c r="H92" s="49"/>
      <c r="I92" s="247"/>
      <c r="J92" s="49"/>
      <c r="K92" s="49"/>
      <c r="L92" s="49"/>
      <c r="M92" s="49"/>
      <c r="N92" s="49"/>
      <c r="O92" s="49"/>
      <c r="Q92" s="5"/>
      <c r="R92" s="5"/>
      <c r="S92" s="5"/>
      <c r="W92" s="21"/>
      <c r="X92" s="21"/>
    </row>
    <row r="93" spans="2:26">
      <c r="B93" s="5"/>
      <c r="C93" s="5"/>
      <c r="D93" s="5"/>
      <c r="E93" s="5"/>
      <c r="F93" s="5"/>
      <c r="G93" s="5"/>
      <c r="H93" s="5"/>
      <c r="I93" s="247"/>
      <c r="J93" s="5"/>
      <c r="K93" s="5"/>
      <c r="L93" s="5"/>
      <c r="M93" s="5"/>
      <c r="N93" s="5"/>
      <c r="O93" s="5"/>
      <c r="Q93" s="5"/>
      <c r="R93" s="5"/>
      <c r="S93" s="5"/>
      <c r="W93" s="21"/>
      <c r="X93" s="21"/>
      <c r="Y93" s="21"/>
      <c r="Z93" s="21"/>
    </row>
    <row r="94" spans="2:26">
      <c r="B94" s="5"/>
      <c r="C94" s="259"/>
      <c r="D94" s="247"/>
      <c r="E94" s="247"/>
      <c r="F94" s="247"/>
      <c r="G94" s="247"/>
      <c r="H94" s="247"/>
      <c r="I94" s="247"/>
      <c r="J94" s="247"/>
      <c r="K94" s="247"/>
      <c r="L94" s="247"/>
      <c r="M94" s="247"/>
      <c r="N94" s="247"/>
      <c r="O94" s="248"/>
      <c r="Q94" s="5"/>
      <c r="R94" s="5"/>
      <c r="S94" s="5"/>
      <c r="Y94" s="21"/>
      <c r="Z94" s="21"/>
    </row>
    <row r="95" spans="2:26">
      <c r="B95" s="5"/>
      <c r="C95" s="259"/>
      <c r="D95" s="247"/>
      <c r="E95" s="247"/>
      <c r="F95" s="247"/>
      <c r="G95" s="247"/>
      <c r="H95" s="247"/>
      <c r="I95" s="248"/>
      <c r="J95" s="247"/>
      <c r="K95" s="247"/>
      <c r="L95" s="247"/>
      <c r="M95" s="247"/>
      <c r="N95" s="247"/>
      <c r="O95" s="248"/>
      <c r="Q95" s="5"/>
      <c r="R95" s="5"/>
      <c r="S95" s="5"/>
    </row>
    <row r="96" spans="2:26">
      <c r="B96" s="5"/>
      <c r="C96" s="259"/>
      <c r="D96" s="247"/>
      <c r="E96" s="247"/>
      <c r="F96" s="247"/>
      <c r="G96" s="247"/>
      <c r="H96" s="247"/>
      <c r="I96" s="247"/>
      <c r="J96" s="247"/>
      <c r="K96" s="247"/>
      <c r="L96" s="247"/>
      <c r="M96" s="247"/>
      <c r="N96" s="247"/>
      <c r="O96" s="248"/>
      <c r="Q96" s="5"/>
      <c r="R96" s="5"/>
      <c r="S96" s="5"/>
    </row>
    <row r="97" spans="2:19">
      <c r="B97" s="5"/>
      <c r="C97" s="259"/>
      <c r="D97" s="248"/>
      <c r="E97" s="248"/>
      <c r="F97" s="248"/>
      <c r="G97" s="248"/>
      <c r="H97" s="248"/>
      <c r="I97" s="249"/>
      <c r="J97" s="248"/>
      <c r="K97" s="248"/>
      <c r="L97" s="248"/>
      <c r="M97" s="248"/>
      <c r="N97" s="248"/>
      <c r="O97" s="248"/>
      <c r="Q97" s="5"/>
      <c r="R97" s="5"/>
      <c r="S97" s="5"/>
    </row>
    <row r="98" spans="2:19">
      <c r="B98" s="5"/>
      <c r="C98" s="259"/>
      <c r="D98" s="247"/>
      <c r="E98" s="247"/>
      <c r="F98" s="247"/>
      <c r="G98" s="247"/>
      <c r="H98" s="247"/>
      <c r="I98" s="248"/>
      <c r="J98" s="247"/>
      <c r="K98" s="247"/>
      <c r="L98" s="247"/>
      <c r="M98" s="247"/>
      <c r="N98" s="247"/>
      <c r="O98" s="248"/>
      <c r="Q98" s="5"/>
      <c r="R98" s="5"/>
      <c r="S98" s="5"/>
    </row>
    <row r="99" spans="2:19">
      <c r="B99" s="41"/>
      <c r="C99" s="249"/>
      <c r="D99" s="249"/>
      <c r="E99" s="249"/>
      <c r="F99" s="249"/>
      <c r="G99" s="249"/>
      <c r="H99" s="249"/>
      <c r="I99" s="5"/>
      <c r="J99" s="249"/>
      <c r="K99" s="249"/>
      <c r="L99" s="249"/>
      <c r="M99" s="249"/>
      <c r="N99" s="249"/>
      <c r="O99" s="248"/>
      <c r="Q99" s="5"/>
      <c r="R99" s="5"/>
      <c r="S99" s="5"/>
    </row>
    <row r="100" spans="2:19">
      <c r="B100" s="41"/>
      <c r="C100" s="257"/>
      <c r="D100" s="248"/>
      <c r="E100" s="248"/>
      <c r="F100" s="248"/>
      <c r="G100" s="248"/>
      <c r="H100" s="248"/>
      <c r="I100" s="259"/>
      <c r="J100" s="248"/>
      <c r="K100" s="248"/>
      <c r="L100" s="248"/>
      <c r="M100" s="248"/>
      <c r="N100" s="248"/>
      <c r="O100" s="248"/>
      <c r="Q100" s="5"/>
      <c r="R100" s="5"/>
      <c r="S100" s="5"/>
    </row>
    <row r="101" spans="2:19" s="5" customFormat="1">
      <c r="B101" s="41"/>
      <c r="I101" s="259"/>
      <c r="O101" s="248"/>
      <c r="P101" s="39"/>
    </row>
    <row r="102" spans="2:19">
      <c r="B102" s="5"/>
      <c r="C102" s="259"/>
      <c r="D102" s="259"/>
      <c r="E102" s="259"/>
      <c r="F102" s="259"/>
      <c r="G102" s="259"/>
      <c r="H102" s="259"/>
      <c r="I102" s="247"/>
      <c r="J102" s="259"/>
      <c r="K102" s="259"/>
      <c r="L102" s="259"/>
      <c r="M102" s="259"/>
      <c r="N102" s="259"/>
      <c r="O102" s="5"/>
      <c r="Q102" s="5"/>
      <c r="R102" s="5"/>
      <c r="S102" s="5"/>
    </row>
    <row r="103" spans="2:19">
      <c r="B103" s="5"/>
      <c r="C103" s="259"/>
      <c r="D103" s="259"/>
      <c r="E103" s="259"/>
      <c r="F103" s="259"/>
      <c r="G103" s="259"/>
      <c r="H103" s="259"/>
      <c r="I103" s="5"/>
      <c r="J103" s="259"/>
      <c r="K103" s="259"/>
      <c r="L103" s="259"/>
      <c r="M103" s="259"/>
      <c r="N103" s="259"/>
      <c r="O103" s="5"/>
      <c r="P103" s="5"/>
      <c r="Q103" s="5"/>
      <c r="R103" s="5"/>
      <c r="S103" s="5"/>
    </row>
    <row r="104" spans="2:19">
      <c r="B104" s="5"/>
      <c r="C104" s="247"/>
      <c r="D104" s="247"/>
      <c r="E104" s="247"/>
      <c r="F104" s="247"/>
      <c r="G104" s="247"/>
      <c r="H104" s="247"/>
      <c r="I104" s="247"/>
      <c r="J104" s="247"/>
      <c r="K104" s="247"/>
      <c r="L104" s="247"/>
      <c r="M104" s="247"/>
      <c r="N104" s="247"/>
      <c r="O104" s="5"/>
      <c r="Q104" s="5"/>
      <c r="R104" s="5"/>
      <c r="S104" s="5"/>
    </row>
    <row r="105" spans="2:19" s="5" customFormat="1">
      <c r="P105" s="39"/>
    </row>
    <row r="106" spans="2:19" s="5" customFormat="1">
      <c r="C106" s="259"/>
      <c r="D106" s="247"/>
      <c r="E106" s="247"/>
      <c r="F106" s="247"/>
      <c r="G106" s="247"/>
      <c r="H106" s="247"/>
      <c r="I106" s="259"/>
      <c r="J106" s="247"/>
      <c r="K106" s="247"/>
      <c r="L106" s="247"/>
      <c r="M106" s="247"/>
      <c r="N106" s="247"/>
      <c r="P106" s="39"/>
    </row>
    <row r="107" spans="2:19">
      <c r="B107" s="5"/>
      <c r="C107" s="259"/>
      <c r="D107" s="5"/>
      <c r="E107" s="5"/>
      <c r="F107" s="5"/>
      <c r="G107" s="5"/>
      <c r="H107" s="5"/>
      <c r="I107" s="247"/>
      <c r="J107" s="5"/>
      <c r="K107" s="5"/>
      <c r="L107" s="5"/>
      <c r="M107" s="5"/>
      <c r="N107" s="5"/>
      <c r="O107" s="5"/>
      <c r="P107" s="5"/>
      <c r="Q107" s="5"/>
      <c r="R107" s="5"/>
      <c r="S107" s="5"/>
    </row>
    <row r="108" spans="2:19">
      <c r="B108" s="5"/>
      <c r="C108" s="259"/>
      <c r="D108" s="259"/>
      <c r="E108" s="259"/>
      <c r="F108" s="259"/>
      <c r="G108" s="259"/>
      <c r="H108" s="259"/>
      <c r="I108" s="249"/>
      <c r="J108" s="259"/>
      <c r="K108" s="259"/>
      <c r="L108" s="259"/>
      <c r="M108" s="259"/>
      <c r="N108" s="259"/>
      <c r="O108" s="5"/>
      <c r="P108" s="5"/>
      <c r="Q108" s="5"/>
      <c r="R108" s="5"/>
      <c r="S108" s="5"/>
    </row>
    <row r="109" spans="2:19">
      <c r="B109" s="5"/>
      <c r="C109" s="247"/>
      <c r="D109" s="247"/>
      <c r="E109" s="247"/>
      <c r="F109" s="247"/>
      <c r="G109" s="247"/>
      <c r="H109" s="247"/>
      <c r="I109" s="249"/>
      <c r="J109" s="247"/>
      <c r="K109" s="247"/>
      <c r="L109" s="247"/>
      <c r="M109" s="247"/>
      <c r="N109" s="247"/>
      <c r="O109" s="5"/>
      <c r="Q109" s="5"/>
      <c r="R109" s="5"/>
      <c r="S109" s="5"/>
    </row>
    <row r="110" spans="2:19">
      <c r="B110" s="41"/>
      <c r="C110" s="249"/>
      <c r="D110" s="249"/>
      <c r="E110" s="249"/>
      <c r="F110" s="249"/>
      <c r="G110" s="249"/>
      <c r="H110" s="249"/>
      <c r="I110" s="247"/>
      <c r="J110" s="249"/>
      <c r="K110" s="249"/>
      <c r="L110" s="249"/>
      <c r="M110" s="249"/>
      <c r="N110" s="249"/>
      <c r="O110" s="5"/>
      <c r="Q110" s="5"/>
      <c r="R110" s="5"/>
      <c r="S110" s="5"/>
    </row>
    <row r="111" spans="2:19">
      <c r="B111" s="5"/>
      <c r="C111" s="249"/>
      <c r="D111" s="249"/>
      <c r="E111" s="249"/>
      <c r="F111" s="249"/>
      <c r="G111" s="249"/>
      <c r="H111" s="249"/>
      <c r="I111" s="5"/>
      <c r="J111" s="249"/>
      <c r="K111" s="249"/>
      <c r="L111" s="249"/>
      <c r="M111" s="249"/>
      <c r="N111" s="249"/>
      <c r="O111" s="5"/>
      <c r="Q111" s="5"/>
      <c r="R111" s="5"/>
      <c r="S111" s="5"/>
    </row>
    <row r="112" spans="2:19">
      <c r="B112" s="5"/>
      <c r="C112" s="247"/>
      <c r="D112" s="247"/>
      <c r="E112" s="247"/>
      <c r="F112" s="247"/>
      <c r="G112" s="247"/>
      <c r="H112" s="247"/>
      <c r="I112" s="5"/>
      <c r="J112" s="247"/>
      <c r="K112" s="247"/>
      <c r="L112" s="247"/>
      <c r="M112" s="247"/>
      <c r="N112" s="247"/>
      <c r="O112" s="5"/>
      <c r="Q112" s="5"/>
      <c r="R112" s="5"/>
      <c r="S112" s="5"/>
    </row>
    <row r="113" spans="2:19">
      <c r="B113" s="5"/>
      <c r="C113" s="5"/>
      <c r="D113" s="5"/>
      <c r="E113" s="5"/>
      <c r="F113" s="5"/>
      <c r="G113" s="5"/>
      <c r="H113" s="5"/>
      <c r="I113" s="5"/>
      <c r="J113" s="5"/>
      <c r="K113" s="5"/>
      <c r="L113" s="5"/>
      <c r="M113" s="5"/>
      <c r="N113" s="5"/>
      <c r="O113" s="5"/>
      <c r="Q113" s="5"/>
      <c r="R113" s="5"/>
      <c r="S113" s="5"/>
    </row>
    <row r="114" spans="2:19">
      <c r="B114" s="5"/>
      <c r="C114" s="5"/>
      <c r="D114" s="5"/>
      <c r="E114" s="5"/>
      <c r="F114" s="5"/>
      <c r="G114" s="5"/>
      <c r="H114" s="5"/>
      <c r="I114" s="5"/>
      <c r="J114" s="5"/>
      <c r="K114" s="5"/>
      <c r="L114" s="5"/>
      <c r="M114" s="5"/>
      <c r="N114" s="5"/>
      <c r="O114" s="5"/>
      <c r="Q114" s="5"/>
      <c r="R114" s="5"/>
      <c r="S114" s="5"/>
    </row>
    <row r="115" spans="2:19">
      <c r="B115" s="5"/>
      <c r="C115" s="5"/>
      <c r="D115" s="5"/>
      <c r="E115" s="5"/>
      <c r="F115" s="5"/>
      <c r="G115" s="5"/>
      <c r="H115" s="5"/>
      <c r="I115" s="49"/>
      <c r="J115" s="5"/>
      <c r="K115" s="5"/>
      <c r="L115" s="5"/>
      <c r="M115" s="5"/>
      <c r="N115" s="5"/>
      <c r="O115" s="5"/>
      <c r="Q115" s="41"/>
      <c r="R115" s="5"/>
      <c r="S115" s="5"/>
    </row>
    <row r="116" spans="2:19">
      <c r="B116" s="5"/>
      <c r="C116" s="5"/>
      <c r="D116" s="5"/>
      <c r="E116" s="5"/>
      <c r="F116" s="5"/>
      <c r="G116" s="5"/>
      <c r="H116" s="5"/>
      <c r="I116" s="5"/>
      <c r="J116" s="5"/>
      <c r="K116" s="5"/>
      <c r="L116" s="5"/>
      <c r="M116" s="5"/>
      <c r="N116" s="5"/>
      <c r="O116" s="5"/>
      <c r="Q116" s="5"/>
      <c r="R116" s="5"/>
      <c r="S116" s="5"/>
    </row>
    <row r="117" spans="2:19">
      <c r="B117" s="41"/>
      <c r="C117" s="49"/>
      <c r="D117" s="49"/>
      <c r="E117" s="49"/>
      <c r="F117" s="49"/>
      <c r="G117" s="49"/>
      <c r="H117" s="49"/>
      <c r="I117" s="254"/>
      <c r="J117" s="49"/>
      <c r="K117" s="49"/>
      <c r="L117" s="49"/>
      <c r="M117" s="49"/>
      <c r="N117" s="49"/>
      <c r="O117" s="49"/>
      <c r="Q117" s="5"/>
      <c r="R117" s="5"/>
      <c r="S117" s="5"/>
    </row>
    <row r="118" spans="2:19">
      <c r="B118" s="5"/>
      <c r="C118" s="5"/>
      <c r="D118" s="5"/>
      <c r="E118" s="5"/>
      <c r="F118" s="5"/>
      <c r="G118" s="5"/>
      <c r="H118" s="5"/>
      <c r="I118" s="249"/>
      <c r="J118" s="5"/>
      <c r="K118" s="5"/>
      <c r="L118" s="5"/>
      <c r="M118" s="5"/>
      <c r="N118" s="5"/>
      <c r="O118" s="5"/>
      <c r="Q118" s="5"/>
      <c r="R118" s="5"/>
      <c r="S118" s="5"/>
    </row>
    <row r="119" spans="2:19">
      <c r="B119" s="41"/>
      <c r="C119" s="254"/>
      <c r="D119" s="254"/>
      <c r="E119" s="254"/>
      <c r="F119" s="254"/>
      <c r="G119" s="254"/>
      <c r="H119" s="254"/>
      <c r="I119" s="254"/>
      <c r="J119" s="254"/>
      <c r="K119" s="254"/>
      <c r="L119" s="254"/>
      <c r="M119" s="254"/>
      <c r="N119" s="254"/>
      <c r="O119" s="248"/>
      <c r="Q119" s="5"/>
      <c r="R119" s="5"/>
      <c r="S119" s="5"/>
    </row>
    <row r="120" spans="2:19">
      <c r="B120" s="41"/>
      <c r="C120" s="254"/>
      <c r="D120" s="249"/>
      <c r="E120" s="249"/>
      <c r="F120" s="249"/>
      <c r="G120" s="249"/>
      <c r="H120" s="249"/>
      <c r="I120" s="254"/>
      <c r="J120" s="249"/>
      <c r="K120" s="249"/>
      <c r="L120" s="249"/>
      <c r="M120" s="249"/>
      <c r="N120" s="249"/>
      <c r="O120" s="248"/>
      <c r="Q120" s="5"/>
      <c r="R120" s="5"/>
      <c r="S120" s="5"/>
    </row>
    <row r="121" spans="2:19">
      <c r="B121" s="41"/>
      <c r="C121" s="254"/>
      <c r="D121" s="254"/>
      <c r="E121" s="254"/>
      <c r="F121" s="254"/>
      <c r="G121" s="254"/>
      <c r="H121" s="254"/>
      <c r="I121" s="254"/>
      <c r="J121" s="254"/>
      <c r="K121" s="254"/>
      <c r="L121" s="254"/>
      <c r="M121" s="254"/>
      <c r="N121" s="254"/>
      <c r="O121" s="248"/>
      <c r="Q121" s="5"/>
      <c r="R121" s="5"/>
      <c r="S121" s="5"/>
    </row>
    <row r="122" spans="2:19">
      <c r="B122" s="41"/>
      <c r="C122" s="254"/>
      <c r="D122" s="254"/>
      <c r="E122" s="254"/>
      <c r="F122" s="254"/>
      <c r="G122" s="254"/>
      <c r="H122" s="254"/>
      <c r="I122" s="254"/>
      <c r="J122" s="254"/>
      <c r="K122" s="254"/>
      <c r="L122" s="254"/>
      <c r="M122" s="254"/>
      <c r="N122" s="254"/>
      <c r="O122" s="248"/>
      <c r="Q122" s="5"/>
      <c r="R122" s="5"/>
      <c r="S122" s="5"/>
    </row>
    <row r="123" spans="2:19">
      <c r="B123" s="41"/>
      <c r="C123" s="254"/>
      <c r="D123" s="254"/>
      <c r="E123" s="254"/>
      <c r="F123" s="254"/>
      <c r="G123" s="254"/>
      <c r="H123" s="254"/>
      <c r="I123" s="254"/>
      <c r="J123" s="254"/>
      <c r="K123" s="254"/>
      <c r="L123" s="254"/>
      <c r="M123" s="254"/>
      <c r="N123" s="254"/>
      <c r="O123" s="248"/>
      <c r="Q123" s="5"/>
      <c r="R123" s="5"/>
      <c r="S123" s="5"/>
    </row>
    <row r="124" spans="2:19">
      <c r="B124" s="41"/>
      <c r="C124" s="254"/>
      <c r="D124" s="254"/>
      <c r="E124" s="254"/>
      <c r="F124" s="254"/>
      <c r="G124" s="254"/>
      <c r="H124" s="254"/>
      <c r="I124" s="254"/>
      <c r="J124" s="254"/>
      <c r="K124" s="254"/>
      <c r="L124" s="254"/>
      <c r="M124" s="254"/>
      <c r="N124" s="254"/>
      <c r="O124" s="248"/>
      <c r="Q124" s="5"/>
      <c r="R124" s="5"/>
      <c r="S124" s="5"/>
    </row>
    <row r="125" spans="2:19">
      <c r="B125" s="41"/>
      <c r="C125" s="254"/>
      <c r="D125" s="254"/>
      <c r="E125" s="254"/>
      <c r="F125" s="254"/>
      <c r="G125" s="254"/>
      <c r="H125" s="254"/>
      <c r="I125" s="254"/>
      <c r="J125" s="254"/>
      <c r="K125" s="254"/>
      <c r="L125" s="254"/>
      <c r="M125" s="254"/>
      <c r="N125" s="254"/>
      <c r="O125" s="5"/>
      <c r="Q125" s="5"/>
      <c r="R125" s="5"/>
      <c r="S125" s="5"/>
    </row>
    <row r="126" spans="2:19">
      <c r="B126" s="41"/>
      <c r="C126" s="254"/>
      <c r="D126" s="254"/>
      <c r="E126" s="254"/>
      <c r="F126" s="254"/>
      <c r="G126" s="254"/>
      <c r="H126" s="254"/>
      <c r="I126" s="254"/>
      <c r="J126" s="254"/>
      <c r="K126" s="254"/>
      <c r="L126" s="254"/>
      <c r="M126" s="254"/>
      <c r="N126" s="254"/>
      <c r="O126" s="5"/>
      <c r="Q126" s="5"/>
      <c r="R126" s="5"/>
      <c r="S126" s="5"/>
    </row>
    <row r="127" spans="2:19">
      <c r="B127" s="41"/>
      <c r="C127" s="254"/>
      <c r="D127" s="254"/>
      <c r="E127" s="254"/>
      <c r="F127" s="254"/>
      <c r="G127" s="254"/>
      <c r="H127" s="254"/>
      <c r="I127" s="18"/>
      <c r="J127" s="254"/>
      <c r="K127" s="254"/>
      <c r="L127" s="254"/>
      <c r="M127" s="254"/>
      <c r="N127" s="254"/>
      <c r="O127" s="5"/>
      <c r="Q127" s="5"/>
      <c r="R127" s="5"/>
      <c r="S127" s="5"/>
    </row>
    <row r="128" spans="2:19">
      <c r="B128" s="41"/>
      <c r="C128" s="254"/>
      <c r="D128" s="254"/>
      <c r="E128" s="254"/>
      <c r="F128" s="254"/>
      <c r="G128" s="254"/>
      <c r="H128" s="254"/>
      <c r="I128" s="5"/>
      <c r="J128" s="254"/>
      <c r="K128" s="254"/>
      <c r="L128" s="254"/>
      <c r="M128" s="254"/>
      <c r="N128" s="254"/>
      <c r="O128" s="5"/>
      <c r="Q128" s="5"/>
      <c r="R128" s="5"/>
      <c r="S128" s="5"/>
    </row>
    <row r="129" spans="2:27">
      <c r="B129" s="5"/>
      <c r="C129" s="5"/>
      <c r="D129" s="18"/>
      <c r="E129" s="18"/>
      <c r="F129" s="18"/>
      <c r="G129" s="18"/>
      <c r="H129" s="18"/>
      <c r="I129" s="254"/>
      <c r="J129" s="18"/>
      <c r="K129" s="18"/>
      <c r="L129" s="18"/>
      <c r="M129" s="18"/>
      <c r="N129" s="18"/>
      <c r="O129" s="5"/>
      <c r="Q129" s="5"/>
      <c r="R129" s="5"/>
      <c r="S129" s="5"/>
    </row>
    <row r="130" spans="2:27">
      <c r="B130" s="5"/>
      <c r="C130" s="5"/>
      <c r="D130" s="5"/>
      <c r="E130" s="5"/>
      <c r="F130" s="5"/>
      <c r="G130" s="5"/>
      <c r="H130" s="5"/>
      <c r="I130" s="18"/>
      <c r="J130" s="5"/>
      <c r="K130" s="5"/>
      <c r="L130" s="5"/>
      <c r="M130" s="5"/>
      <c r="N130" s="5"/>
      <c r="O130" s="5"/>
      <c r="Q130" s="5"/>
      <c r="R130" s="5"/>
      <c r="S130" s="5"/>
    </row>
    <row r="131" spans="2:27">
      <c r="B131" s="41"/>
      <c r="C131" s="254"/>
      <c r="D131" s="254"/>
      <c r="E131" s="254"/>
      <c r="F131" s="254"/>
      <c r="G131" s="254"/>
      <c r="H131" s="254"/>
      <c r="I131" s="5"/>
      <c r="J131" s="254"/>
      <c r="K131" s="254"/>
      <c r="L131" s="254"/>
      <c r="M131" s="254"/>
      <c r="N131" s="254"/>
      <c r="O131" s="5"/>
      <c r="Q131" s="5"/>
      <c r="R131" s="5"/>
      <c r="S131" s="5"/>
    </row>
    <row r="132" spans="2:27">
      <c r="B132" s="5"/>
      <c r="C132" s="259"/>
      <c r="D132" s="18"/>
      <c r="E132" s="18"/>
      <c r="F132" s="18"/>
      <c r="G132" s="18"/>
      <c r="H132" s="18"/>
      <c r="I132" s="5"/>
      <c r="J132" s="18"/>
      <c r="K132" s="18"/>
      <c r="L132" s="18"/>
      <c r="M132" s="18"/>
      <c r="N132" s="18"/>
      <c r="O132" s="5"/>
      <c r="Q132" s="5"/>
      <c r="R132" s="5"/>
      <c r="S132" s="5"/>
    </row>
    <row r="133" spans="2:27">
      <c r="B133" s="5"/>
      <c r="C133" s="5"/>
      <c r="D133" s="5"/>
      <c r="E133" s="5"/>
      <c r="F133" s="5"/>
      <c r="G133" s="5"/>
      <c r="H133" s="5"/>
      <c r="I133" s="17"/>
      <c r="J133" s="5"/>
      <c r="K133" s="5"/>
      <c r="L133" s="5"/>
      <c r="M133" s="5"/>
      <c r="N133" s="5"/>
      <c r="O133" s="5"/>
      <c r="Q133" s="5"/>
      <c r="R133" s="5"/>
      <c r="S133" s="5"/>
    </row>
    <row r="134" spans="2:27">
      <c r="B134" s="41"/>
      <c r="C134" s="5"/>
      <c r="D134" s="5"/>
      <c r="E134" s="5"/>
      <c r="F134" s="5"/>
      <c r="G134" s="5"/>
      <c r="H134" s="5"/>
      <c r="I134" s="17"/>
      <c r="J134" s="5"/>
      <c r="K134" s="5"/>
      <c r="L134" s="5"/>
      <c r="M134" s="5"/>
      <c r="N134" s="5"/>
      <c r="O134" s="5"/>
      <c r="Q134" s="5"/>
      <c r="R134" s="5"/>
      <c r="S134" s="5"/>
    </row>
    <row r="135" spans="2:27">
      <c r="B135" s="5"/>
      <c r="C135" s="17"/>
      <c r="D135" s="17"/>
      <c r="E135" s="17"/>
      <c r="F135" s="17"/>
      <c r="G135" s="17"/>
      <c r="H135" s="17"/>
      <c r="I135" s="17"/>
      <c r="J135" s="17"/>
      <c r="K135" s="17"/>
      <c r="L135" s="17"/>
      <c r="M135" s="17"/>
      <c r="N135" s="17"/>
      <c r="O135" s="5"/>
      <c r="Q135" s="41"/>
      <c r="R135" s="5"/>
      <c r="S135" s="5"/>
    </row>
    <row r="136" spans="2:27">
      <c r="B136" s="5"/>
      <c r="C136" s="17"/>
      <c r="D136" s="17"/>
      <c r="E136" s="17"/>
      <c r="F136" s="17"/>
      <c r="G136" s="17"/>
      <c r="H136" s="17"/>
      <c r="I136" s="17"/>
      <c r="J136" s="17"/>
      <c r="K136" s="17"/>
      <c r="L136" s="17"/>
      <c r="M136" s="17"/>
      <c r="N136" s="17"/>
      <c r="O136" s="5"/>
      <c r="Q136" s="5"/>
      <c r="R136" s="5"/>
      <c r="S136" s="5"/>
      <c r="X136" s="304"/>
    </row>
    <row r="137" spans="2:27">
      <c r="B137" s="5"/>
      <c r="C137" s="5"/>
      <c r="D137" s="17"/>
      <c r="E137" s="17"/>
      <c r="F137" s="17"/>
      <c r="G137" s="17"/>
      <c r="H137" s="17"/>
      <c r="I137" s="17"/>
      <c r="J137" s="17"/>
      <c r="K137" s="17"/>
      <c r="L137" s="17"/>
      <c r="M137" s="17"/>
      <c r="N137" s="17"/>
      <c r="O137" s="5"/>
      <c r="Q137" s="5"/>
      <c r="R137" s="5"/>
      <c r="S137" s="5"/>
      <c r="X137" s="10"/>
      <c r="Y137" s="304"/>
      <c r="Z137" s="304"/>
      <c r="AA137" s="304"/>
    </row>
    <row r="138" spans="2:27">
      <c r="B138" s="5"/>
      <c r="C138" s="5"/>
      <c r="D138" s="17"/>
      <c r="E138" s="17"/>
      <c r="F138" s="17"/>
      <c r="G138" s="17"/>
      <c r="H138" s="17"/>
      <c r="I138" s="17"/>
      <c r="J138" s="17"/>
      <c r="K138" s="17"/>
      <c r="L138" s="17"/>
      <c r="M138" s="17"/>
      <c r="N138" s="17"/>
      <c r="O138" s="5"/>
      <c r="Q138" s="5"/>
      <c r="R138" s="5"/>
      <c r="S138" s="5"/>
      <c r="Y138" s="10"/>
      <c r="Z138" s="10"/>
      <c r="AA138" s="10"/>
    </row>
    <row r="139" spans="2:27">
      <c r="B139" s="5"/>
      <c r="C139" s="5"/>
      <c r="D139" s="17"/>
      <c r="E139" s="17"/>
      <c r="F139" s="17"/>
      <c r="G139" s="17"/>
      <c r="H139" s="17"/>
      <c r="I139" s="5"/>
      <c r="J139" s="17"/>
      <c r="K139" s="17"/>
      <c r="L139" s="17"/>
      <c r="M139" s="17"/>
      <c r="N139" s="17"/>
      <c r="O139" s="5"/>
      <c r="Q139" s="5"/>
      <c r="R139" s="5"/>
      <c r="S139" s="5"/>
    </row>
    <row r="140" spans="2:27">
      <c r="B140" s="5"/>
      <c r="C140" s="17"/>
      <c r="D140" s="17"/>
      <c r="E140" s="17"/>
      <c r="F140" s="17"/>
      <c r="G140" s="17"/>
      <c r="H140" s="17"/>
      <c r="I140" s="5"/>
      <c r="J140" s="17"/>
      <c r="K140" s="17"/>
      <c r="L140" s="17"/>
      <c r="M140" s="17"/>
      <c r="N140" s="17"/>
      <c r="O140" s="5"/>
      <c r="Q140" s="5"/>
      <c r="R140" s="5"/>
      <c r="S140" s="5"/>
    </row>
    <row r="141" spans="2:27">
      <c r="B141" s="5"/>
      <c r="C141" s="5"/>
      <c r="D141" s="5"/>
      <c r="E141" s="5"/>
      <c r="F141" s="5"/>
      <c r="G141" s="5"/>
      <c r="H141" s="5"/>
      <c r="I141" s="5"/>
      <c r="J141" s="5"/>
      <c r="K141" s="5"/>
      <c r="L141" s="5"/>
      <c r="M141" s="5"/>
      <c r="N141" s="5"/>
      <c r="O141" s="5"/>
      <c r="Q141" s="5"/>
      <c r="R141" s="5"/>
      <c r="S141" s="5"/>
    </row>
    <row r="142" spans="2:27">
      <c r="B142" s="5"/>
      <c r="C142" s="5"/>
      <c r="D142" s="5"/>
      <c r="E142" s="5"/>
      <c r="F142" s="5"/>
      <c r="G142" s="5"/>
      <c r="H142" s="5"/>
      <c r="I142" s="5"/>
      <c r="J142" s="5"/>
      <c r="K142" s="5"/>
      <c r="L142" s="5"/>
      <c r="M142" s="5"/>
      <c r="N142" s="5"/>
      <c r="O142" s="5"/>
      <c r="Q142" s="5"/>
      <c r="R142" s="5"/>
      <c r="S142" s="5"/>
    </row>
    <row r="143" spans="2:27">
      <c r="B143" s="5"/>
      <c r="C143" s="5"/>
      <c r="D143" s="5"/>
      <c r="E143" s="5"/>
      <c r="F143" s="5"/>
      <c r="G143" s="5"/>
      <c r="H143" s="5"/>
      <c r="I143" s="5"/>
      <c r="J143" s="5"/>
      <c r="K143" s="5"/>
      <c r="L143" s="5"/>
      <c r="M143" s="5"/>
      <c r="N143" s="5"/>
      <c r="O143" s="5"/>
      <c r="Q143" s="5"/>
      <c r="R143" s="5"/>
      <c r="S143" s="5"/>
    </row>
    <row r="144" spans="2:27">
      <c r="B144" s="5"/>
      <c r="C144" s="5"/>
      <c r="D144" s="5"/>
      <c r="E144" s="5"/>
      <c r="F144" s="5"/>
      <c r="G144" s="5"/>
      <c r="H144" s="5"/>
      <c r="I144" s="5"/>
      <c r="J144" s="5"/>
      <c r="K144" s="5"/>
      <c r="L144" s="5"/>
      <c r="M144" s="5"/>
      <c r="N144" s="5"/>
      <c r="O144" s="5"/>
      <c r="Q144" s="5"/>
      <c r="R144" s="5"/>
      <c r="S144" s="5"/>
    </row>
    <row r="145" spans="2:19">
      <c r="B145" s="5"/>
      <c r="C145" s="5"/>
      <c r="D145" s="5"/>
      <c r="E145" s="5"/>
      <c r="F145" s="5"/>
      <c r="G145" s="5"/>
      <c r="H145" s="5"/>
      <c r="I145" s="5"/>
      <c r="J145" s="5"/>
      <c r="K145" s="5"/>
      <c r="L145" s="5"/>
      <c r="M145" s="5"/>
      <c r="N145" s="5"/>
      <c r="O145" s="5"/>
      <c r="Q145" s="5"/>
      <c r="R145" s="5"/>
      <c r="S145" s="5"/>
    </row>
    <row r="146" spans="2:19">
      <c r="B146" s="5"/>
      <c r="C146" s="5"/>
      <c r="D146" s="5"/>
      <c r="E146" s="5"/>
      <c r="F146" s="5"/>
      <c r="G146" s="5"/>
      <c r="H146" s="5"/>
      <c r="I146" s="5"/>
      <c r="J146" s="5"/>
      <c r="K146" s="5"/>
      <c r="L146" s="5"/>
      <c r="M146" s="5"/>
      <c r="N146" s="5"/>
      <c r="O146" s="5"/>
      <c r="Q146" s="5"/>
      <c r="R146" s="5"/>
      <c r="S146" s="5"/>
    </row>
    <row r="147" spans="2:19">
      <c r="B147" s="5"/>
      <c r="C147" s="5"/>
      <c r="D147" s="5"/>
      <c r="E147" s="5"/>
      <c r="F147" s="5"/>
      <c r="G147" s="5"/>
      <c r="H147" s="5"/>
      <c r="I147" s="5"/>
      <c r="J147" s="5"/>
      <c r="K147" s="5"/>
      <c r="L147" s="5"/>
      <c r="M147" s="5"/>
      <c r="N147" s="5"/>
      <c r="O147" s="5"/>
      <c r="Q147" s="5"/>
      <c r="R147" s="5"/>
      <c r="S147" s="5"/>
    </row>
    <row r="148" spans="2:19">
      <c r="B148" s="5"/>
      <c r="C148" s="5"/>
      <c r="D148" s="5"/>
      <c r="E148" s="5"/>
      <c r="F148" s="5"/>
      <c r="G148" s="5"/>
      <c r="H148" s="5"/>
      <c r="I148" s="5"/>
      <c r="J148" s="5"/>
      <c r="K148" s="5"/>
      <c r="L148" s="5"/>
      <c r="M148" s="5"/>
      <c r="N148" s="5"/>
      <c r="O148" s="5"/>
      <c r="Q148" s="5"/>
      <c r="R148" s="5"/>
      <c r="S148" s="5"/>
    </row>
    <row r="149" spans="2:19">
      <c r="B149" s="5"/>
      <c r="C149" s="5"/>
      <c r="D149" s="5"/>
      <c r="E149" s="5"/>
      <c r="F149" s="5"/>
      <c r="G149" s="5"/>
      <c r="H149" s="5"/>
      <c r="J149" s="5"/>
      <c r="K149" s="5"/>
      <c r="L149" s="5"/>
      <c r="M149" s="5"/>
      <c r="N149" s="5"/>
      <c r="O149" s="5"/>
      <c r="Q149" s="5"/>
      <c r="R149" s="5"/>
      <c r="S149" s="5"/>
    </row>
    <row r="150" spans="2:19">
      <c r="B150" s="5"/>
      <c r="C150" s="5"/>
      <c r="D150" s="5"/>
      <c r="E150" s="5"/>
      <c r="F150" s="5"/>
      <c r="G150" s="5"/>
      <c r="H150" s="5"/>
      <c r="J150" s="5"/>
      <c r="K150" s="5"/>
      <c r="L150" s="5"/>
      <c r="M150" s="5"/>
      <c r="N150" s="5"/>
      <c r="O150" s="5"/>
      <c r="Q150" s="5"/>
      <c r="R150" s="5"/>
      <c r="S150" s="5"/>
    </row>
    <row r="151" spans="2:19">
      <c r="Q151" s="5"/>
      <c r="R151" s="5"/>
      <c r="S151" s="5"/>
    </row>
    <row r="152" spans="2:19">
      <c r="Q152" s="5"/>
      <c r="R152" s="5"/>
      <c r="S152" s="5"/>
    </row>
    <row r="153" spans="2:19">
      <c r="C153" s="263"/>
      <c r="Q153" s="5"/>
      <c r="R153" s="5"/>
      <c r="S153" s="5"/>
    </row>
    <row r="154" spans="2:19">
      <c r="Q154" s="5"/>
      <c r="R154" s="5"/>
      <c r="S154" s="5"/>
    </row>
    <row r="155" spans="2:19">
      <c r="Q155" s="5"/>
      <c r="R155" s="5"/>
      <c r="S155" s="5"/>
    </row>
    <row r="156" spans="2:19">
      <c r="Q156" s="5"/>
      <c r="R156" s="5"/>
      <c r="S156" s="5"/>
    </row>
    <row r="157" spans="2:19">
      <c r="Q157" s="5"/>
      <c r="R157" s="5"/>
      <c r="S157" s="5"/>
    </row>
    <row r="158" spans="2:19">
      <c r="Q158" s="5"/>
      <c r="R158" s="5"/>
      <c r="S158" s="5"/>
    </row>
    <row r="159" spans="2:19">
      <c r="Q159" s="5"/>
      <c r="R159" s="5"/>
      <c r="S159" s="5"/>
    </row>
    <row r="160" spans="2:19">
      <c r="Q160" s="5"/>
      <c r="R160" s="5"/>
      <c r="S160" s="5"/>
    </row>
    <row r="161" spans="17:19">
      <c r="Q161" s="5"/>
      <c r="R161" s="5"/>
      <c r="S161" s="5"/>
    </row>
    <row r="162" spans="17:19">
      <c r="Q162" s="5"/>
      <c r="R162" s="5"/>
      <c r="S162" s="5"/>
    </row>
    <row r="163" spans="17:19">
      <c r="Q163" s="5"/>
      <c r="R163" s="5"/>
      <c r="S163" s="5"/>
    </row>
    <row r="164" spans="17:19">
      <c r="Q164" s="5"/>
      <c r="R164" s="5"/>
      <c r="S164" s="5"/>
    </row>
    <row r="165" spans="17:19">
      <c r="Q165" s="5"/>
      <c r="R165" s="5"/>
      <c r="S165" s="5"/>
    </row>
  </sheetData>
  <phoneticPr fontId="7" type="noConversion"/>
  <pageMargins left="0.75" right="0.75" top="1" bottom="1" header="0.5" footer="0.5"/>
  <pageSetup scale="66" orientation="landscape"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CCF8F5-CDDB-46F7-A547-7C60D4BB3A03}">
  <sheetPr codeName="Sheet10">
    <pageSetUpPr fitToPage="1"/>
  </sheetPr>
  <dimension ref="A1:N35"/>
  <sheetViews>
    <sheetView showGridLines="0" tabSelected="1" zoomScale="80" zoomScaleNormal="80" zoomScaleSheetLayoutView="70" workbookViewId="0"/>
  </sheetViews>
  <sheetFormatPr defaultColWidth="8.88671875" defaultRowHeight="12"/>
  <cols>
    <col min="1" max="1" width="2.33203125" style="39" customWidth="1"/>
    <col min="2" max="2" width="11.5546875" style="39" customWidth="1"/>
    <col min="3" max="4" width="8.88671875" style="39" customWidth="1"/>
    <col min="5" max="16384" width="8.88671875" style="39"/>
  </cols>
  <sheetData>
    <row r="1" spans="1:1">
      <c r="A1" s="619"/>
    </row>
    <row r="17" spans="2:14" ht="12.6" thickBot="1"/>
    <row r="18" spans="2:14">
      <c r="B18" s="554"/>
      <c r="C18" s="554"/>
      <c r="D18" s="554"/>
      <c r="E18" s="554"/>
      <c r="F18" s="554"/>
      <c r="G18" s="554"/>
      <c r="H18" s="554"/>
      <c r="I18" s="554"/>
      <c r="J18" s="554"/>
      <c r="K18" s="554"/>
      <c r="L18" s="554"/>
      <c r="M18" s="554"/>
      <c r="N18" s="554"/>
    </row>
    <row r="19" spans="2:14" s="553" customFormat="1" ht="21">
      <c r="B19" s="553" t="s">
        <v>1456</v>
      </c>
    </row>
    <row r="21" spans="2:14" s="556" customFormat="1" ht="14.4">
      <c r="B21" s="555">
        <f ca="1">TODAY()</f>
        <v>45443</v>
      </c>
    </row>
    <row r="23" spans="2:14" ht="12.6" thickBot="1"/>
    <row r="24" spans="2:14">
      <c r="B24" s="554"/>
      <c r="C24" s="554"/>
      <c r="D24" s="554"/>
      <c r="E24" s="554"/>
      <c r="F24" s="554"/>
      <c r="G24" s="554"/>
      <c r="H24" s="554"/>
      <c r="I24" s="554"/>
      <c r="J24" s="554"/>
      <c r="K24" s="554"/>
      <c r="L24" s="554"/>
      <c r="M24" s="554"/>
      <c r="N24" s="554"/>
    </row>
    <row r="27" spans="2:14" s="146" customFormat="1">
      <c r="B27" s="560" t="s">
        <v>108</v>
      </c>
      <c r="C27" s="560"/>
      <c r="D27" s="560"/>
      <c r="F27" s="560" t="s">
        <v>1481</v>
      </c>
      <c r="G27" s="560"/>
      <c r="H27" s="560"/>
      <c r="J27" s="560" t="s">
        <v>1484</v>
      </c>
      <c r="K27" s="560"/>
      <c r="L27" s="560"/>
    </row>
    <row r="29" spans="2:14">
      <c r="B29" s="39" t="s">
        <v>1477</v>
      </c>
      <c r="F29" s="39" t="s">
        <v>1482</v>
      </c>
      <c r="J29" s="39" t="s">
        <v>1486</v>
      </c>
    </row>
    <row r="30" spans="2:14">
      <c r="B30" s="559" t="s">
        <v>1489</v>
      </c>
      <c r="F30" s="559" t="s">
        <v>1491</v>
      </c>
      <c r="J30" s="559" t="s">
        <v>1492</v>
      </c>
    </row>
    <row r="31" spans="2:14">
      <c r="B31" s="558" t="s">
        <v>1478</v>
      </c>
      <c r="F31" s="558" t="s">
        <v>1483</v>
      </c>
      <c r="J31" s="558" t="s">
        <v>1485</v>
      </c>
      <c r="K31" s="558"/>
    </row>
    <row r="33" spans="2:10">
      <c r="B33" s="39" t="s">
        <v>1479</v>
      </c>
      <c r="J33" s="39" t="s">
        <v>1487</v>
      </c>
    </row>
    <row r="34" spans="2:10">
      <c r="B34" s="559" t="s">
        <v>1490</v>
      </c>
      <c r="J34" s="559" t="s">
        <v>1493</v>
      </c>
    </row>
    <row r="35" spans="2:10">
      <c r="B35" s="558" t="s">
        <v>1480</v>
      </c>
      <c r="J35" s="558" t="s">
        <v>1488</v>
      </c>
    </row>
  </sheetData>
  <pageMargins left="0.7" right="0.7" top="0.75" bottom="0.75" header="0.3" footer="0.3"/>
  <pageSetup paperSize="9" orientation="landscape"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64">
    <pageSetUpPr fitToPage="1"/>
  </sheetPr>
  <dimension ref="B1:AA165"/>
  <sheetViews>
    <sheetView showGridLines="0" zoomScale="80" zoomScaleNormal="80" zoomScaleSheetLayoutView="80" workbookViewId="0"/>
  </sheetViews>
  <sheetFormatPr defaultColWidth="9.109375" defaultRowHeight="12"/>
  <cols>
    <col min="1" max="1" width="2.33203125" style="39" customWidth="1"/>
    <col min="2" max="2" width="26.5546875" style="39" customWidth="1"/>
    <col min="3" max="9" width="10" style="39" customWidth="1"/>
    <col min="10" max="10" width="26.6640625" style="39" customWidth="1"/>
    <col min="11" max="16" width="10" style="39" customWidth="1"/>
    <col min="17" max="19" width="8.6640625" style="39" customWidth="1"/>
    <col min="20" max="27" width="8.6640625" style="5" customWidth="1"/>
    <col min="28" max="28" width="8.6640625" style="39" customWidth="1"/>
    <col min="29" max="16384" width="9.109375" style="39"/>
  </cols>
  <sheetData>
    <row r="1" spans="2:27" s="312" customFormat="1">
      <c r="T1" s="149"/>
      <c r="U1" s="149"/>
      <c r="V1" s="149"/>
      <c r="W1" s="149"/>
      <c r="X1" s="149"/>
      <c r="Y1" s="149"/>
      <c r="Z1" s="149"/>
      <c r="AA1" s="149"/>
    </row>
    <row r="2" spans="2:27" s="149" customFormat="1"/>
    <row r="3" spans="2:27" s="149" customFormat="1">
      <c r="H3" s="153"/>
      <c r="P3" s="153"/>
    </row>
    <row r="4" spans="2:27" s="156" customFormat="1" ht="21">
      <c r="B4" s="129" t="s">
        <v>706</v>
      </c>
      <c r="H4" s="222"/>
      <c r="P4" s="222"/>
    </row>
    <row r="5" spans="2:27" s="149" customFormat="1">
      <c r="C5" s="153"/>
      <c r="D5" s="153" t="str" cm="1">
        <f t="array" ref="D5:H5">headings</f>
        <v>2023E</v>
      </c>
      <c r="E5" s="153" t="str">
        <v>2024E</v>
      </c>
      <c r="F5" s="153" t="str">
        <v>2025E</v>
      </c>
      <c r="G5" s="153" t="str">
        <v>2026E</v>
      </c>
      <c r="H5" s="153" t="str">
        <v>23E-26E</v>
      </c>
      <c r="I5" s="153"/>
      <c r="J5" s="153"/>
      <c r="K5" s="153"/>
      <c r="L5" s="153" t="str" cm="1">
        <f t="array" ref="L5:P5">headings</f>
        <v>2023E</v>
      </c>
      <c r="M5" s="153" t="str">
        <v>2024E</v>
      </c>
      <c r="N5" s="153" t="str">
        <v>2025E</v>
      </c>
      <c r="O5" s="153" t="str">
        <v>2026E</v>
      </c>
      <c r="P5" s="153" t="str">
        <v>23E-26E</v>
      </c>
      <c r="Q5" s="162"/>
      <c r="R5" s="162"/>
      <c r="S5" s="162"/>
      <c r="T5" s="162"/>
      <c r="U5" s="162"/>
      <c r="V5" s="162"/>
      <c r="W5" s="162"/>
      <c r="X5" s="162"/>
      <c r="Y5" s="162"/>
    </row>
    <row r="6" spans="2:27">
      <c r="I6" s="5"/>
      <c r="J6" s="5"/>
      <c r="K6" s="5"/>
      <c r="L6" s="5"/>
      <c r="M6" s="5"/>
      <c r="N6" s="5"/>
      <c r="O6" s="49"/>
    </row>
    <row r="7" spans="2:27" ht="12.6" thickBot="1">
      <c r="B7" s="306" t="s">
        <v>271</v>
      </c>
      <c r="C7" s="265"/>
      <c r="D7" s="265" t="str">
        <f>D5</f>
        <v>2023E</v>
      </c>
      <c r="E7" s="265" t="str">
        <f t="shared" ref="E7:H7" si="0">E5</f>
        <v>2024E</v>
      </c>
      <c r="F7" s="265" t="str">
        <f t="shared" si="0"/>
        <v>2025E</v>
      </c>
      <c r="G7" s="265" t="str">
        <f t="shared" si="0"/>
        <v>2026E</v>
      </c>
      <c r="H7" s="265" t="str">
        <f t="shared" si="0"/>
        <v>23E-26E</v>
      </c>
      <c r="I7" s="49"/>
      <c r="J7" s="306" t="s">
        <v>702</v>
      </c>
      <c r="K7" s="306"/>
      <c r="L7" s="265" t="str">
        <f>L5</f>
        <v>2023E</v>
      </c>
      <c r="M7" s="265" t="str">
        <f t="shared" ref="M7:P7" si="1">M5</f>
        <v>2024E</v>
      </c>
      <c r="N7" s="265" t="str">
        <f t="shared" si="1"/>
        <v>2025E</v>
      </c>
      <c r="O7" s="265" t="str">
        <f t="shared" si="1"/>
        <v>2026E</v>
      </c>
      <c r="P7" s="265" t="str">
        <f t="shared" si="1"/>
        <v>23E-26E</v>
      </c>
    </row>
    <row r="8" spans="2:27" ht="12.6" thickTop="1">
      <c r="I8" s="5"/>
      <c r="J8" s="5"/>
      <c r="K8" s="5"/>
      <c r="L8" s="5"/>
      <c r="M8" s="5"/>
      <c r="N8" s="5"/>
      <c r="S8" s="88"/>
      <c r="T8" s="42"/>
      <c r="U8" s="42"/>
      <c r="V8" s="42"/>
      <c r="W8" s="42"/>
      <c r="X8" s="42"/>
      <c r="Y8" s="42"/>
      <c r="Z8" s="42"/>
      <c r="AA8" s="42"/>
    </row>
    <row r="9" spans="2:27">
      <c r="B9" s="41" t="s">
        <v>15</v>
      </c>
      <c r="C9" s="287">
        <f>Prices!C52</f>
        <v>98.12</v>
      </c>
      <c r="D9" s="535">
        <v>0</v>
      </c>
      <c r="E9" s="536">
        <v>0</v>
      </c>
      <c r="F9" s="536">
        <v>0</v>
      </c>
      <c r="G9" s="536">
        <v>0</v>
      </c>
      <c r="H9" s="249"/>
      <c r="I9" s="249"/>
      <c r="J9" s="5" t="s">
        <v>273</v>
      </c>
      <c r="L9" s="529">
        <f>'US TOWERS'!D37</f>
        <v>10.049628801880935</v>
      </c>
      <c r="M9" s="529">
        <f>'US TOWERS'!E37</f>
        <v>9.7351031194405895</v>
      </c>
      <c r="N9" s="529">
        <f>'US TOWERS'!F37</f>
        <v>9.1333592657890534</v>
      </c>
      <c r="O9" s="529">
        <f>'US TOWERS'!G37</f>
        <v>8.5692328791541694</v>
      </c>
      <c r="P9" s="279">
        <f>'US TOWERS'!H37</f>
        <v>2.6157777948455641E-2</v>
      </c>
      <c r="S9" s="88"/>
      <c r="T9" s="42"/>
      <c r="U9" s="42"/>
      <c r="V9" s="42"/>
      <c r="W9" s="42"/>
      <c r="X9" s="42"/>
      <c r="Y9" s="42"/>
      <c r="Z9" s="42"/>
      <c r="AA9" s="42"/>
    </row>
    <row r="10" spans="2:27">
      <c r="B10" s="5" t="s">
        <v>274</v>
      </c>
      <c r="C10" s="5"/>
      <c r="D10" s="531">
        <v>434.625</v>
      </c>
      <c r="E10" s="531">
        <v>435</v>
      </c>
      <c r="F10" s="531">
        <v>435</v>
      </c>
      <c r="G10" s="531">
        <v>435</v>
      </c>
      <c r="H10" s="247"/>
      <c r="I10" s="247"/>
      <c r="J10" s="5" t="s">
        <v>184</v>
      </c>
      <c r="L10" s="529">
        <f>'US TOWERS'!D38</f>
        <v>15.736689477497261</v>
      </c>
      <c r="M10" s="529">
        <f>'US TOWERS'!E38</f>
        <v>15.269044129286291</v>
      </c>
      <c r="N10" s="529">
        <f>'US TOWERS'!F38</f>
        <v>14.30460796962047</v>
      </c>
      <c r="O10" s="529">
        <f>'US TOWERS'!G38</f>
        <v>13.247105771845881</v>
      </c>
      <c r="P10" s="279">
        <f>'US TOWERS'!H38</f>
        <v>3.0565437622663838E-2</v>
      </c>
      <c r="S10" s="88"/>
      <c r="T10" s="42"/>
      <c r="U10" s="42"/>
      <c r="V10" s="42"/>
      <c r="W10" s="288"/>
      <c r="X10" s="288"/>
      <c r="Y10" s="288"/>
      <c r="Z10" s="288"/>
      <c r="AA10" s="42"/>
    </row>
    <row r="11" spans="2:27">
      <c r="B11" s="41" t="s">
        <v>442</v>
      </c>
      <c r="C11" s="5"/>
      <c r="D11" s="532">
        <f>$C$9*D10</f>
        <v>42645.404999999999</v>
      </c>
      <c r="E11" s="532">
        <f>$C$9*E10</f>
        <v>42682.200000000004</v>
      </c>
      <c r="F11" s="532">
        <f>$C$9*F10</f>
        <v>42682.200000000004</v>
      </c>
      <c r="G11" s="532">
        <f>$C$9*G10</f>
        <v>42682.200000000004</v>
      </c>
      <c r="H11" s="249"/>
      <c r="I11" s="249"/>
      <c r="J11" s="5" t="s">
        <v>185</v>
      </c>
      <c r="L11" s="529">
        <f>'US TOWERS'!D39</f>
        <v>21.482219098117994</v>
      </c>
      <c r="M11" s="529">
        <f>'US TOWERS'!E39</f>
        <v>20.224913419292644</v>
      </c>
      <c r="N11" s="529">
        <f>'US TOWERS'!F39</f>
        <v>18.695415999878062</v>
      </c>
      <c r="O11" s="529">
        <f>'US TOWERS'!G39</f>
        <v>17.033255039378986</v>
      </c>
      <c r="P11" s="279">
        <f>'US TOWERS'!H39</f>
        <v>5.1328926157078847E-2</v>
      </c>
      <c r="S11" s="88"/>
      <c r="T11" s="42"/>
      <c r="U11" s="42"/>
      <c r="V11" s="42"/>
      <c r="W11" s="288"/>
      <c r="X11" s="288"/>
      <c r="Y11" s="288"/>
      <c r="Z11" s="288"/>
      <c r="AA11" s="42"/>
    </row>
    <row r="12" spans="2:27">
      <c r="B12" s="5" t="s">
        <v>24</v>
      </c>
      <c r="C12" s="249"/>
      <c r="D12" s="533">
        <v>22662.714083846906</v>
      </c>
      <c r="E12" s="533">
        <v>22653.236873730293</v>
      </c>
      <c r="F12" s="533">
        <v>23633.867358365744</v>
      </c>
      <c r="G12" s="533">
        <v>24191.629483340716</v>
      </c>
      <c r="H12" s="247"/>
      <c r="I12" s="247"/>
      <c r="J12" s="5" t="s">
        <v>466</v>
      </c>
      <c r="L12" s="529">
        <f>'US TOWERS'!D40</f>
        <v>23.869132331242216</v>
      </c>
      <c r="M12" s="529">
        <f>'US TOWERS'!E40</f>
        <v>22.472126021436274</v>
      </c>
      <c r="N12" s="529">
        <f>'US TOWERS'!F40</f>
        <v>20.772684444308958</v>
      </c>
      <c r="O12" s="529">
        <f>'US TOWERS'!G40</f>
        <v>18.92583893264332</v>
      </c>
      <c r="P12" s="279">
        <f>'US TOWERS'!H40</f>
        <v>5.1328926157078847E-2</v>
      </c>
      <c r="S12" s="88"/>
      <c r="T12" s="42"/>
      <c r="U12" s="42"/>
      <c r="V12" s="42"/>
      <c r="W12" s="288"/>
      <c r="X12" s="288"/>
      <c r="Y12" s="288"/>
      <c r="Z12" s="288"/>
      <c r="AA12" s="42"/>
    </row>
    <row r="13" spans="2:27">
      <c r="B13" s="5" t="s">
        <v>529</v>
      </c>
      <c r="C13" s="257"/>
      <c r="D13" s="533">
        <v>0</v>
      </c>
      <c r="E13" s="533">
        <v>0</v>
      </c>
      <c r="F13" s="533">
        <v>0</v>
      </c>
      <c r="G13" s="533">
        <v>0</v>
      </c>
      <c r="H13" s="247"/>
      <c r="I13" s="247"/>
      <c r="J13" s="5" t="s">
        <v>530</v>
      </c>
      <c r="L13" s="529">
        <f>'US TOWERS'!D41</f>
        <v>2.6552669895509275</v>
      </c>
      <c r="M13" s="529">
        <f>'US TOWERS'!E41</f>
        <v>3.0390215885874743</v>
      </c>
      <c r="N13" s="529">
        <f>'US TOWERS'!F41</f>
        <v>3.3873618764573186</v>
      </c>
      <c r="O13" s="529">
        <f>'US TOWERS'!G41</f>
        <v>3.856768018445595</v>
      </c>
      <c r="P13" s="279">
        <f>'US TOWERS'!H41</f>
        <v>-0.14077611221633957</v>
      </c>
      <c r="S13" s="88"/>
      <c r="T13" s="42"/>
      <c r="U13" s="42"/>
      <c r="V13" s="42"/>
      <c r="W13" s="42"/>
      <c r="X13" s="42"/>
      <c r="Y13" s="42"/>
      <c r="Z13" s="42"/>
      <c r="AA13" s="42"/>
    </row>
    <row r="14" spans="2:27">
      <c r="B14" s="5" t="s">
        <v>532</v>
      </c>
      <c r="C14" s="257"/>
      <c r="D14" s="533">
        <v>0</v>
      </c>
      <c r="E14" s="533">
        <v>0</v>
      </c>
      <c r="F14" s="533">
        <v>0</v>
      </c>
      <c r="G14" s="533">
        <v>0</v>
      </c>
      <c r="H14" s="247"/>
      <c r="I14" s="247"/>
      <c r="J14" s="5" t="s">
        <v>593</v>
      </c>
      <c r="L14" s="529">
        <f>'US TOWERS'!D42</f>
        <v>5.629030544483359</v>
      </c>
      <c r="M14" s="529">
        <f>'US TOWERS'!E42</f>
        <v>5.7413499241655757</v>
      </c>
      <c r="N14" s="529">
        <f>'US TOWERS'!F42</f>
        <v>5.6898129286182373</v>
      </c>
      <c r="O14" s="529">
        <f>'US TOWERS'!G42</f>
        <v>5.954156438061303</v>
      </c>
      <c r="P14" s="279">
        <f>'US TOWERS'!H42</f>
        <v>-4.4972440556020565E-2</v>
      </c>
      <c r="S14" s="88"/>
      <c r="T14" s="42"/>
      <c r="U14" s="42"/>
      <c r="V14" s="42"/>
      <c r="W14" s="42"/>
      <c r="X14" s="42"/>
      <c r="Y14" s="42"/>
      <c r="Z14" s="42"/>
      <c r="AA14" s="42"/>
    </row>
    <row r="15" spans="2:27">
      <c r="B15" s="5" t="s">
        <v>531</v>
      </c>
      <c r="C15" s="274"/>
      <c r="D15" s="533">
        <v>0</v>
      </c>
      <c r="E15" s="533">
        <v>0</v>
      </c>
      <c r="F15" s="533">
        <v>0</v>
      </c>
      <c r="G15" s="533">
        <v>0</v>
      </c>
      <c r="H15" s="247"/>
      <c r="I15" s="247"/>
      <c r="J15" s="5" t="s">
        <v>475</v>
      </c>
      <c r="L15" s="529">
        <f>'US TOWERS'!D43</f>
        <v>21.563312134699952</v>
      </c>
      <c r="M15" s="529">
        <f>'US TOWERS'!E43</f>
        <v>20.238721964226091</v>
      </c>
      <c r="N15" s="529">
        <f>'US TOWERS'!F43</f>
        <v>19.113054405118561</v>
      </c>
      <c r="O15" s="529">
        <f>'US TOWERS'!G43</f>
        <v>17.187842414839761</v>
      </c>
      <c r="P15" s="279">
        <f>'US TOWERS'!H43</f>
        <v>6.3471221095444452E-2</v>
      </c>
      <c r="S15" s="88"/>
      <c r="T15" s="42"/>
      <c r="U15" s="42"/>
      <c r="V15" s="42"/>
      <c r="W15" s="42"/>
      <c r="X15" s="42"/>
      <c r="Y15" s="42"/>
      <c r="Z15" s="42"/>
      <c r="AA15" s="42"/>
    </row>
    <row r="16" spans="2:27">
      <c r="B16" s="5" t="s">
        <v>534</v>
      </c>
      <c r="C16" s="257"/>
      <c r="D16" s="533">
        <v>4269.76</v>
      </c>
      <c r="E16" s="533">
        <v>4313.3310000000001</v>
      </c>
      <c r="F16" s="533">
        <v>4483.8343100000002</v>
      </c>
      <c r="G16" s="533">
        <v>15008.5897117</v>
      </c>
      <c r="H16" s="247"/>
      <c r="I16" s="247"/>
      <c r="J16" s="5" t="s">
        <v>533</v>
      </c>
      <c r="L16" s="529">
        <f>'US TOWERS'!D44</f>
        <v>29.749179976206118</v>
      </c>
      <c r="M16" s="529">
        <f>'US TOWERS'!E44</f>
        <v>27.588612434162371</v>
      </c>
      <c r="N16" s="529">
        <f>'US TOWERS'!F44</f>
        <v>25.011802504439171</v>
      </c>
      <c r="O16" s="529">
        <f>'US TOWERS'!G44</f>
        <v>21.118696321382231</v>
      </c>
      <c r="P16" s="279">
        <f>'US TOWERS'!H44</f>
        <v>0.1053428450222762</v>
      </c>
      <c r="S16" s="88"/>
      <c r="T16" s="42"/>
      <c r="U16" s="42"/>
      <c r="V16" s="42"/>
      <c r="W16" s="42"/>
      <c r="X16" s="42"/>
      <c r="Y16" s="42"/>
      <c r="Z16" s="42"/>
      <c r="AA16" s="42"/>
    </row>
    <row r="17" spans="2:27">
      <c r="B17" s="5" t="s">
        <v>6</v>
      </c>
      <c r="C17" s="257"/>
      <c r="D17" s="533">
        <v>0</v>
      </c>
      <c r="E17" s="533">
        <v>0</v>
      </c>
      <c r="F17" s="533">
        <v>0</v>
      </c>
      <c r="G17" s="533">
        <v>0</v>
      </c>
      <c r="H17" s="247"/>
      <c r="I17" s="247"/>
      <c r="J17" s="5" t="s">
        <v>580</v>
      </c>
      <c r="L17" s="529">
        <f>'US TOWERS'!D45</f>
        <v>3.9356420501378997E-2</v>
      </c>
      <c r="M17" s="529">
        <f>'US TOWERS'!E45</f>
        <v>5.6640235372662065E-2</v>
      </c>
      <c r="N17" s="529">
        <f>'US TOWERS'!F45</f>
        <v>6.0987888738166893E-2</v>
      </c>
      <c r="O17" s="529">
        <f>'US TOWERS'!G45</f>
        <v>6.5010714903985786E-2</v>
      </c>
      <c r="P17" s="279">
        <f>'US TOWERS'!H45</f>
        <v>0.16560344677482641</v>
      </c>
      <c r="S17" s="88"/>
      <c r="T17" s="42"/>
      <c r="U17" s="42"/>
      <c r="V17" s="42"/>
      <c r="W17" s="42"/>
      <c r="X17" s="42"/>
      <c r="Y17" s="42"/>
      <c r="Z17" s="42"/>
      <c r="AA17" s="42"/>
    </row>
    <row r="18" spans="2:27" ht="12.6" thickBot="1">
      <c r="B18" s="41" t="s">
        <v>518</v>
      </c>
      <c r="C18" s="249"/>
      <c r="D18" s="534">
        <f>D11+D12+D13-D14+D15-D16-D17</f>
        <v>61038.359083846903</v>
      </c>
      <c r="E18" s="534">
        <f>E11+E12+E13-E14+E15-E16-E17</f>
        <v>61022.105873730303</v>
      </c>
      <c r="F18" s="534">
        <f>F11+F12+F13-F14+F15-F16-F17</f>
        <v>61832.23304836575</v>
      </c>
      <c r="G18" s="534">
        <f>G11+G12+G13-G14+G15-G16-G17</f>
        <v>51865.239771640729</v>
      </c>
      <c r="H18" s="276">
        <f>IF(D18=0,"nm",IF(G18=0,"nm",(G18/D18)^(1/3)-1))</f>
        <v>-5.28374602465147E-2</v>
      </c>
      <c r="I18" s="254"/>
      <c r="J18" s="5" t="s">
        <v>36</v>
      </c>
      <c r="L18" s="529">
        <f>'US TOWERS'!D46</f>
        <v>3.5028279468803276E-2</v>
      </c>
      <c r="M18" s="529">
        <f>'US TOWERS'!E46</f>
        <v>0.10623594315908216</v>
      </c>
      <c r="N18" s="529">
        <f>'US TOWERS'!F46</f>
        <v>0.1048156411226375</v>
      </c>
      <c r="O18" s="529">
        <f>'US TOWERS'!G46</f>
        <v>0.11958787568615957</v>
      </c>
      <c r="P18" s="279">
        <f>'US TOWERS'!H46</f>
        <v>0.48474027103495088</v>
      </c>
      <c r="S18" s="88"/>
      <c r="T18" s="42"/>
      <c r="U18" s="42"/>
      <c r="V18" s="42"/>
      <c r="W18" s="42"/>
      <c r="X18" s="42"/>
      <c r="Y18" s="42"/>
      <c r="Z18" s="42"/>
      <c r="AA18" s="42"/>
    </row>
    <row r="19" spans="2:27" ht="12.6" thickTop="1">
      <c r="B19" s="41"/>
      <c r="C19" s="249"/>
      <c r="D19" s="229"/>
      <c r="E19" s="229"/>
      <c r="F19" s="229"/>
      <c r="G19" s="229"/>
      <c r="H19" s="276"/>
      <c r="I19" s="254"/>
      <c r="J19" s="5" t="s">
        <v>581</v>
      </c>
      <c r="L19" s="529">
        <f>'US TOWERS'!D47</f>
        <v>4.637506491364967E-2</v>
      </c>
      <c r="M19" s="529">
        <f>'US TOWERS'!E47</f>
        <v>4.9410234587322126E-2</v>
      </c>
      <c r="N19" s="529">
        <f>'US TOWERS'!F47</f>
        <v>5.2320261262490605E-2</v>
      </c>
      <c r="O19" s="529">
        <f>'US TOWERS'!G47</f>
        <v>5.8180659088229301E-2</v>
      </c>
      <c r="P19" s="279">
        <f>'US TOWERS'!H47</f>
        <v>6.3471221095444452E-2</v>
      </c>
      <c r="S19" s="88"/>
      <c r="T19" s="42"/>
      <c r="U19" s="42"/>
      <c r="V19" s="42"/>
      <c r="W19" s="42"/>
      <c r="X19" s="42"/>
      <c r="Y19" s="42"/>
      <c r="Z19" s="42"/>
      <c r="AA19" s="42"/>
    </row>
    <row r="20" spans="2:27">
      <c r="H20" s="277"/>
      <c r="I20" s="17"/>
      <c r="J20" s="5" t="s">
        <v>604</v>
      </c>
      <c r="L20" s="552">
        <f>'US TOWERS'!D48</f>
        <v>0.84865477977573978</v>
      </c>
      <c r="M20" s="552">
        <f>'US TOWERS'!E48</f>
        <v>1.1463259756956312</v>
      </c>
      <c r="N20" s="552">
        <f>'US TOWERS'!F48</f>
        <v>1.1656648355059014</v>
      </c>
      <c r="O20" s="552">
        <f>'US TOWERS'!G48</f>
        <v>1.1173939230457823</v>
      </c>
      <c r="P20" s="279" t="str">
        <f>'US TOWERS'!H48</f>
        <v>nm</v>
      </c>
      <c r="S20" s="88"/>
      <c r="T20" s="42"/>
      <c r="U20" s="42"/>
      <c r="V20" s="42"/>
      <c r="W20" s="42"/>
      <c r="X20" s="42"/>
      <c r="Y20" s="42"/>
      <c r="Z20" s="42"/>
      <c r="AA20" s="42"/>
    </row>
    <row r="21" spans="2:27" ht="12.6" thickBot="1">
      <c r="B21" s="306" t="s">
        <v>924</v>
      </c>
      <c r="C21" s="265"/>
      <c r="D21" s="265" t="str">
        <f>D5</f>
        <v>2023E</v>
      </c>
      <c r="E21" s="265" t="str">
        <f t="shared" ref="E21:H21" si="2">E5</f>
        <v>2024E</v>
      </c>
      <c r="F21" s="265" t="str">
        <f t="shared" si="2"/>
        <v>2025E</v>
      </c>
      <c r="G21" s="265" t="str">
        <f t="shared" si="2"/>
        <v>2026E</v>
      </c>
      <c r="H21" s="265" t="str">
        <f t="shared" si="2"/>
        <v>23E-26E</v>
      </c>
      <c r="I21" s="49"/>
      <c r="J21" s="41"/>
      <c r="L21" s="250"/>
      <c r="M21" s="250"/>
      <c r="N21" s="250"/>
      <c r="O21" s="250"/>
      <c r="P21" s="279"/>
      <c r="S21" s="88"/>
      <c r="T21" s="42"/>
      <c r="U21" s="42"/>
      <c r="V21" s="42"/>
      <c r="W21" s="42"/>
      <c r="X21" s="42"/>
      <c r="Y21" s="42"/>
      <c r="Z21" s="42"/>
      <c r="AA21" s="42"/>
    </row>
    <row r="22" spans="2:27" ht="12.6" thickTop="1">
      <c r="B22" s="5"/>
      <c r="C22" s="257"/>
      <c r="D22" s="17"/>
      <c r="E22" s="17"/>
      <c r="F22" s="17"/>
      <c r="G22" s="17"/>
      <c r="H22" s="17"/>
      <c r="I22" s="17"/>
      <c r="P22" s="277"/>
      <c r="S22" s="88"/>
      <c r="T22" s="42"/>
      <c r="U22" s="42"/>
      <c r="V22" s="42"/>
      <c r="W22" s="42"/>
      <c r="X22" s="42"/>
      <c r="Y22" s="42"/>
      <c r="Z22" s="42"/>
      <c r="AA22" s="42"/>
    </row>
    <row r="23" spans="2:27" ht="12.6" thickBot="1">
      <c r="B23" s="5" t="s">
        <v>584</v>
      </c>
      <c r="C23" s="548">
        <v>6986</v>
      </c>
      <c r="D23" s="533">
        <v>7176.8389228336255</v>
      </c>
      <c r="E23" s="533">
        <v>7121.0835774969737</v>
      </c>
      <c r="F23" s="533">
        <v>7178.3976318506666</v>
      </c>
      <c r="G23" s="533">
        <v>7486.307593739416</v>
      </c>
      <c r="H23" s="279">
        <f t="shared" ref="H23:H33" si="3">IF(D23=0,"nm",IF(G23=0,"nm",(G23/D23)^(1/3)-1))</f>
        <v>1.4171704223975956E-2</v>
      </c>
      <c r="I23" s="247"/>
      <c r="J23" s="306" t="s">
        <v>9</v>
      </c>
      <c r="K23" s="306"/>
      <c r="L23" s="265" t="str">
        <f>D21</f>
        <v>2023E</v>
      </c>
      <c r="M23" s="265" t="str">
        <f t="shared" ref="M23:P23" si="4">E21</f>
        <v>2024E</v>
      </c>
      <c r="N23" s="265" t="str">
        <f t="shared" si="4"/>
        <v>2025E</v>
      </c>
      <c r="O23" s="265" t="str">
        <f t="shared" si="4"/>
        <v>2026E</v>
      </c>
      <c r="P23" s="265" t="str">
        <f t="shared" si="4"/>
        <v>23E-26E</v>
      </c>
      <c r="S23" s="88"/>
      <c r="T23" s="42"/>
      <c r="U23" s="42"/>
      <c r="V23" s="42"/>
      <c r="W23" s="42"/>
      <c r="X23" s="42"/>
      <c r="Y23" s="42"/>
      <c r="Z23" s="42"/>
      <c r="AA23" s="42"/>
    </row>
    <row r="24" spans="2:27" ht="12.6" thickTop="1">
      <c r="B24" s="5" t="s">
        <v>483</v>
      </c>
      <c r="C24" s="549">
        <v>4340</v>
      </c>
      <c r="D24" s="533">
        <v>4457.2823367301335</v>
      </c>
      <c r="E24" s="533">
        <v>4356.3917064865946</v>
      </c>
      <c r="F24" s="533">
        <v>4376.6421034010637</v>
      </c>
      <c r="G24" s="533">
        <v>4652.2364391039837</v>
      </c>
      <c r="H24" s="279">
        <f t="shared" si="3"/>
        <v>1.4371903454581503E-2</v>
      </c>
      <c r="I24" s="249"/>
      <c r="J24" s="17"/>
      <c r="K24" s="17"/>
      <c r="L24" s="17"/>
      <c r="M24" s="17"/>
      <c r="N24" s="17"/>
      <c r="O24" s="248"/>
      <c r="S24" s="88"/>
      <c r="T24" s="42"/>
      <c r="U24" s="42"/>
      <c r="V24" s="42"/>
      <c r="W24" s="42" t="s">
        <v>708</v>
      </c>
      <c r="X24" s="42" t="s">
        <v>704</v>
      </c>
      <c r="Y24" s="42"/>
      <c r="Z24" s="42"/>
      <c r="AA24" s="42"/>
    </row>
    <row r="25" spans="2:27">
      <c r="B25" s="5" t="s">
        <v>183</v>
      </c>
      <c r="C25" s="548">
        <v>3030</v>
      </c>
      <c r="D25" s="533">
        <v>2836.3237707391527</v>
      </c>
      <c r="E25" s="533">
        <v>2828.4457218200068</v>
      </c>
      <c r="F25" s="533">
        <v>2864.8082332657232</v>
      </c>
      <c r="G25" s="533">
        <v>3136.1988197758524</v>
      </c>
      <c r="H25" s="279">
        <f t="shared" si="3"/>
        <v>3.4068385731666595E-2</v>
      </c>
      <c r="I25" s="248"/>
      <c r="J25" s="247" t="s">
        <v>10</v>
      </c>
      <c r="K25" s="247"/>
      <c r="L25" s="321">
        <v>0</v>
      </c>
      <c r="M25" s="321">
        <v>0</v>
      </c>
      <c r="N25" s="321">
        <v>0</v>
      </c>
      <c r="O25" s="321">
        <v>0</v>
      </c>
      <c r="P25" s="279" t="str">
        <f>IF(L25=0,"nm",IF(O25=0,"nm",(O25/L25)^(1/3)-1))</f>
        <v>nm</v>
      </c>
      <c r="S25" s="88"/>
      <c r="T25" s="42"/>
      <c r="U25" s="42"/>
      <c r="V25" s="147" t="s">
        <v>273</v>
      </c>
      <c r="W25" s="288">
        <f>D37/L9</f>
        <v>0.84629082016981105</v>
      </c>
      <c r="X25" s="288">
        <v>1</v>
      </c>
      <c r="Y25" s="42"/>
      <c r="Z25" s="42"/>
      <c r="AA25" s="42"/>
    </row>
    <row r="26" spans="2:27">
      <c r="B26" s="5" t="s">
        <v>586</v>
      </c>
      <c r="C26" s="548">
        <v>2727</v>
      </c>
      <c r="D26" s="533">
        <v>2552.6913936652377</v>
      </c>
      <c r="E26" s="533">
        <v>2545.6011496380061</v>
      </c>
      <c r="F26" s="533">
        <v>2578.327409939151</v>
      </c>
      <c r="G26" s="533">
        <v>2822.5789377982674</v>
      </c>
      <c r="H26" s="279">
        <f t="shared" si="3"/>
        <v>3.4068385731666595E-2</v>
      </c>
      <c r="I26" s="249"/>
      <c r="J26" s="249" t="s">
        <v>11</v>
      </c>
      <c r="K26" s="249"/>
      <c r="L26" s="281">
        <f>D11+L25</f>
        <v>42645.404999999999</v>
      </c>
      <c r="M26" s="281">
        <f>E11+M25</f>
        <v>42682.200000000004</v>
      </c>
      <c r="N26" s="281">
        <f>F11+N25</f>
        <v>42682.200000000004</v>
      </c>
      <c r="O26" s="281">
        <f>G11+O25</f>
        <v>42682.200000000004</v>
      </c>
      <c r="P26" s="279">
        <f>IF(L26=0,"nm",IF(O26=0,"nm",(O26/L26)^(1/3)-1))</f>
        <v>2.8752157996114747E-4</v>
      </c>
      <c r="Q26" s="5"/>
      <c r="S26" s="88"/>
      <c r="T26" s="42"/>
      <c r="U26" s="42"/>
      <c r="V26" s="147" t="s">
        <v>184</v>
      </c>
      <c r="W26" s="288">
        <f t="shared" ref="W26:W33" si="5">D38/L10</f>
        <v>0.87020050339611532</v>
      </c>
      <c r="X26" s="288">
        <v>1</v>
      </c>
      <c r="Y26" s="42"/>
      <c r="Z26" s="42"/>
      <c r="AA26" s="42"/>
    </row>
    <row r="27" spans="2:27">
      <c r="B27" s="5" t="s">
        <v>587</v>
      </c>
      <c r="C27" s="549">
        <v>29003</v>
      </c>
      <c r="D27" s="533">
        <v>29036.604708129107</v>
      </c>
      <c r="E27" s="533">
        <v>27703.137272698768</v>
      </c>
      <c r="F27" s="533">
        <v>27288.801159675</v>
      </c>
      <c r="G27" s="533">
        <v>26464.383761653658</v>
      </c>
      <c r="H27" s="279">
        <f t="shared" si="3"/>
        <v>-3.0446040152147136E-2</v>
      </c>
      <c r="I27" s="249"/>
      <c r="J27" s="248"/>
      <c r="K27" s="248"/>
      <c r="L27" s="248"/>
      <c r="M27" s="248"/>
      <c r="N27" s="248"/>
      <c r="O27" s="248"/>
      <c r="Q27" s="41"/>
      <c r="S27" s="88"/>
      <c r="T27" s="42"/>
      <c r="U27" s="42"/>
      <c r="V27" s="147" t="s">
        <v>185</v>
      </c>
      <c r="W27" s="288">
        <f t="shared" si="5"/>
        <v>1.0017697270969244</v>
      </c>
      <c r="X27" s="288">
        <v>1</v>
      </c>
      <c r="Y27" s="42"/>
      <c r="Z27" s="42"/>
      <c r="AA27" s="42"/>
    </row>
    <row r="28" spans="2:27">
      <c r="B28" s="5" t="s">
        <v>592</v>
      </c>
      <c r="C28" s="548">
        <v>15407</v>
      </c>
      <c r="D28" s="533">
        <v>15430.127057691434</v>
      </c>
      <c r="E28" s="533">
        <v>15111.986676314184</v>
      </c>
      <c r="F28" s="533">
        <v>14728.861721996662</v>
      </c>
      <c r="G28" s="533">
        <v>14293.764368556724</v>
      </c>
      <c r="H28" s="279">
        <f t="shared" si="3"/>
        <v>-2.5177139074638588E-2</v>
      </c>
      <c r="I28" s="248"/>
      <c r="Q28" s="5"/>
      <c r="S28" s="88"/>
      <c r="T28" s="42"/>
      <c r="U28" s="42"/>
      <c r="V28" s="147" t="s">
        <v>466</v>
      </c>
      <c r="W28" s="288">
        <f t="shared" si="5"/>
        <v>1.0017697270969244</v>
      </c>
      <c r="X28" s="288">
        <v>1</v>
      </c>
      <c r="Y28" s="42"/>
      <c r="Z28" s="42"/>
      <c r="AA28" s="42"/>
    </row>
    <row r="29" spans="2:27" ht="12.6" thickBot="1">
      <c r="B29" s="5" t="s">
        <v>588</v>
      </c>
      <c r="C29" s="548">
        <v>2316</v>
      </c>
      <c r="D29" s="533">
        <v>1979.9854367747394</v>
      </c>
      <c r="E29" s="533">
        <v>1954.0368898539598</v>
      </c>
      <c r="F29" s="533">
        <v>1971.7944343965389</v>
      </c>
      <c r="G29" s="533">
        <v>2233.1567911413877</v>
      </c>
      <c r="H29" s="279">
        <f t="shared" si="3"/>
        <v>4.0924123389850076E-2</v>
      </c>
      <c r="I29" s="252"/>
      <c r="J29" s="306" t="s">
        <v>1363</v>
      </c>
      <c r="K29" s="306"/>
      <c r="L29" s="265" t="str">
        <f>L$5</f>
        <v>2023E</v>
      </c>
      <c r="M29" s="265" t="str">
        <f t="shared" ref="M29:P29" si="6">M$5</f>
        <v>2024E</v>
      </c>
      <c r="N29" s="265" t="str">
        <f t="shared" si="6"/>
        <v>2025E</v>
      </c>
      <c r="O29" s="265" t="str">
        <f t="shared" si="6"/>
        <v>2026E</v>
      </c>
      <c r="P29" s="265" t="str">
        <f t="shared" si="6"/>
        <v>23E-26E</v>
      </c>
      <c r="Q29" s="5"/>
      <c r="S29" s="88"/>
      <c r="T29" s="42"/>
      <c r="U29" s="42"/>
      <c r="V29" s="147" t="s">
        <v>530</v>
      </c>
      <c r="W29" s="288">
        <f t="shared" si="5"/>
        <v>0.79167844606426219</v>
      </c>
      <c r="X29" s="288">
        <v>1</v>
      </c>
      <c r="Y29" s="42"/>
      <c r="Z29" s="42"/>
      <c r="AA29" s="42"/>
    </row>
    <row r="30" spans="2:27" ht="12.6" thickTop="1">
      <c r="B30" s="5" t="s">
        <v>589</v>
      </c>
      <c r="C30" s="549">
        <v>1918</v>
      </c>
      <c r="D30" s="533">
        <v>1828.1124944661713</v>
      </c>
      <c r="E30" s="533">
        <v>1635.8965084767099</v>
      </c>
      <c r="F30" s="533">
        <v>1588.669480079019</v>
      </c>
      <c r="G30" s="533">
        <v>1798.0594377014497</v>
      </c>
      <c r="H30" s="279">
        <f t="shared" si="3"/>
        <v>-5.5101025893445899E-3</v>
      </c>
      <c r="I30" s="254"/>
      <c r="J30" s="248"/>
      <c r="K30" s="248"/>
      <c r="L30" s="248"/>
      <c r="M30" s="248"/>
      <c r="N30" s="248"/>
      <c r="O30" s="5"/>
      <c r="Q30" s="5"/>
      <c r="S30" s="88"/>
      <c r="T30" s="42"/>
      <c r="U30" s="42"/>
      <c r="V30" s="147" t="s">
        <v>593</v>
      </c>
      <c r="W30" s="288">
        <f t="shared" si="5"/>
        <v>0.70274820070593225</v>
      </c>
      <c r="X30" s="288">
        <v>1</v>
      </c>
      <c r="Y30" s="42"/>
      <c r="Z30" s="42"/>
      <c r="AA30" s="42"/>
    </row>
    <row r="31" spans="2:27">
      <c r="B31" s="5" t="s">
        <v>590</v>
      </c>
      <c r="C31" s="549">
        <v>2602</v>
      </c>
      <c r="D31" s="533">
        <v>2726.76</v>
      </c>
      <c r="E31" s="533">
        <v>2750.3309999999997</v>
      </c>
      <c r="F31" s="533">
        <v>2777.8343099999997</v>
      </c>
      <c r="G31" s="533">
        <v>2972.2827117000002</v>
      </c>
      <c r="H31" s="279">
        <f t="shared" si="3"/>
        <v>2.9155660251550142E-2</v>
      </c>
      <c r="I31" s="254"/>
      <c r="J31" s="5" t="s">
        <v>737</v>
      </c>
      <c r="K31" s="247"/>
      <c r="L31" s="322">
        <v>40184</v>
      </c>
      <c r="M31" s="322">
        <v>40234</v>
      </c>
      <c r="N31" s="322">
        <v>40284</v>
      </c>
      <c r="O31" s="322">
        <v>40284</v>
      </c>
      <c r="Q31" s="5"/>
      <c r="S31" s="88"/>
      <c r="T31" s="42"/>
      <c r="U31" s="42"/>
      <c r="V31" s="147" t="s">
        <v>475</v>
      </c>
      <c r="W31" s="288">
        <f t="shared" si="5"/>
        <v>0.99883735931178919</v>
      </c>
      <c r="X31" s="288">
        <v>1</v>
      </c>
      <c r="Y31" s="42"/>
      <c r="Z31" s="42"/>
      <c r="AA31" s="42"/>
    </row>
    <row r="32" spans="2:27">
      <c r="B32" s="5" t="s">
        <v>606</v>
      </c>
      <c r="C32" s="550">
        <v>65</v>
      </c>
      <c r="D32" s="533">
        <v>28</v>
      </c>
      <c r="E32" s="533">
        <v>0</v>
      </c>
      <c r="F32" s="533">
        <v>0</v>
      </c>
      <c r="G32" s="533">
        <v>0</v>
      </c>
      <c r="H32" s="279" t="str">
        <f t="shared" si="3"/>
        <v>nm</v>
      </c>
      <c r="I32" s="254"/>
      <c r="J32" s="5" t="s">
        <v>1361</v>
      </c>
      <c r="K32" s="254"/>
      <c r="L32" s="322">
        <v>86325.902870813385</v>
      </c>
      <c r="M32" s="322">
        <v>90456.716148325344</v>
      </c>
      <c r="N32" s="322">
        <v>94597.529425837318</v>
      </c>
      <c r="O32" s="322">
        <v>94597.529425837318</v>
      </c>
      <c r="Q32" s="5"/>
      <c r="S32" s="88"/>
      <c r="T32" s="42"/>
      <c r="U32" s="42"/>
      <c r="V32" s="147" t="s">
        <v>533</v>
      </c>
      <c r="W32" s="288">
        <f t="shared" si="5"/>
        <v>0.78414129799881516</v>
      </c>
      <c r="X32" s="288">
        <v>1</v>
      </c>
      <c r="Y32" s="42"/>
      <c r="Z32" s="42"/>
      <c r="AA32" s="42"/>
    </row>
    <row r="33" spans="2:27">
      <c r="B33" s="5" t="s">
        <v>5</v>
      </c>
      <c r="C33" s="549">
        <v>-698</v>
      </c>
      <c r="D33" s="533">
        <v>-834.86484460066185</v>
      </c>
      <c r="E33" s="533">
        <v>-848.26409271517809</v>
      </c>
      <c r="F33" s="533">
        <v>-866.23042829377675</v>
      </c>
      <c r="G33" s="533">
        <v>-870.59094315071616</v>
      </c>
      <c r="H33" s="279">
        <f t="shared" si="3"/>
        <v>1.4065459721459339E-2</v>
      </c>
      <c r="I33" s="5"/>
      <c r="J33" s="5"/>
      <c r="K33" s="5"/>
      <c r="L33" s="5"/>
      <c r="M33" s="5"/>
      <c r="N33" s="5"/>
      <c r="O33" s="5"/>
      <c r="Q33" s="5"/>
      <c r="S33" s="88"/>
      <c r="T33" s="42"/>
      <c r="U33" s="42"/>
      <c r="V33" s="147" t="s">
        <v>580</v>
      </c>
      <c r="W33" s="288">
        <f t="shared" si="5"/>
        <v>1.6246472477892584</v>
      </c>
      <c r="X33" s="288">
        <v>1</v>
      </c>
      <c r="Y33" s="42"/>
      <c r="Z33" s="42"/>
      <c r="AA33" s="42"/>
    </row>
    <row r="34" spans="2:27">
      <c r="H34" s="277"/>
      <c r="I34" s="49"/>
      <c r="Q34" s="5"/>
      <c r="S34" s="88"/>
      <c r="T34" s="42"/>
      <c r="U34" s="42"/>
      <c r="V34" s="147" t="s">
        <v>581</v>
      </c>
      <c r="W34" s="288">
        <f>D47/L19</f>
        <v>1.0011639939949903</v>
      </c>
      <c r="X34" s="288">
        <v>1</v>
      </c>
      <c r="Y34" s="288"/>
      <c r="Z34" s="288"/>
      <c r="AA34" s="42"/>
    </row>
    <row r="35" spans="2:27" ht="12.6" thickBot="1">
      <c r="B35" s="306" t="s">
        <v>707</v>
      </c>
      <c r="C35" s="265"/>
      <c r="D35" s="265" t="str">
        <f>D5</f>
        <v>2023E</v>
      </c>
      <c r="E35" s="265" t="str">
        <f t="shared" ref="E35:H35" si="7">E5</f>
        <v>2024E</v>
      </c>
      <c r="F35" s="265" t="str">
        <f t="shared" si="7"/>
        <v>2025E</v>
      </c>
      <c r="G35" s="265" t="str">
        <f t="shared" si="7"/>
        <v>2026E</v>
      </c>
      <c r="H35" s="265" t="str">
        <f t="shared" si="7"/>
        <v>23E-26E</v>
      </c>
      <c r="I35" s="254"/>
      <c r="J35" s="306" t="s">
        <v>1362</v>
      </c>
      <c r="K35" s="306"/>
      <c r="L35" s="306"/>
      <c r="M35" s="306"/>
      <c r="N35" s="266"/>
      <c r="O35" s="266"/>
      <c r="P35" s="266"/>
      <c r="Q35" s="5"/>
      <c r="S35" s="88"/>
      <c r="T35" s="42"/>
      <c r="U35" s="42"/>
      <c r="V35" s="42"/>
      <c r="W35" s="288"/>
      <c r="X35" s="42"/>
      <c r="Y35" s="288"/>
      <c r="Z35" s="288"/>
      <c r="AA35" s="42"/>
    </row>
    <row r="36" spans="2:27" ht="12.6" thickTop="1">
      <c r="B36" s="41"/>
      <c r="C36" s="249"/>
      <c r="D36" s="254"/>
      <c r="E36" s="254"/>
      <c r="F36" s="254"/>
      <c r="G36" s="254"/>
      <c r="H36" s="254"/>
      <c r="I36" s="17"/>
      <c r="J36" s="249"/>
      <c r="K36" s="249"/>
      <c r="L36" s="249"/>
      <c r="M36" s="249"/>
      <c r="N36" s="249"/>
      <c r="O36" s="251"/>
      <c r="Q36" s="5"/>
      <c r="S36" s="88"/>
      <c r="T36" s="42"/>
      <c r="U36" s="42"/>
      <c r="V36" s="42"/>
      <c r="W36" s="42"/>
      <c r="X36" s="42"/>
      <c r="Y36" s="288"/>
      <c r="Z36" s="288"/>
      <c r="AA36" s="42"/>
    </row>
    <row r="37" spans="2:27">
      <c r="B37" s="5" t="s">
        <v>273</v>
      </c>
      <c r="C37" s="247"/>
      <c r="D37" s="529">
        <f t="shared" ref="D37:G41" si="8">D$18/D23</f>
        <v>8.5049086011459725</v>
      </c>
      <c r="E37" s="529">
        <f t="shared" si="8"/>
        <v>8.5692163572638869</v>
      </c>
      <c r="F37" s="529">
        <f t="shared" si="8"/>
        <v>8.6136539405417061</v>
      </c>
      <c r="G37" s="529">
        <f t="shared" si="8"/>
        <v>6.9280134595343288</v>
      </c>
      <c r="H37" s="17">
        <f t="shared" ref="H37:H45" si="9">H23</f>
        <v>1.4171704223975956E-2</v>
      </c>
      <c r="I37" s="5"/>
      <c r="J37" s="248"/>
      <c r="K37" s="248"/>
      <c r="L37" s="248"/>
      <c r="M37" s="248"/>
      <c r="N37" s="248"/>
      <c r="O37" s="5"/>
      <c r="Q37" s="5"/>
      <c r="R37" s="5"/>
      <c r="S37" s="42"/>
      <c r="T37" s="42"/>
      <c r="U37" s="42"/>
      <c r="V37" s="42"/>
      <c r="W37" s="42"/>
      <c r="X37" s="42"/>
      <c r="Y37" s="42"/>
      <c r="Z37" s="42"/>
      <c r="AA37" s="42"/>
    </row>
    <row r="38" spans="2:27">
      <c r="B38" s="5" t="s">
        <v>184</v>
      </c>
      <c r="C38" s="247"/>
      <c r="D38" s="529">
        <f t="shared" si="8"/>
        <v>13.694075105106467</v>
      </c>
      <c r="E38" s="529">
        <f t="shared" si="8"/>
        <v>14.007488303420789</v>
      </c>
      <c r="F38" s="529">
        <f t="shared" si="8"/>
        <v>14.127779148383249</v>
      </c>
      <c r="G38" s="529">
        <f t="shared" si="8"/>
        <v>11.148453104337475</v>
      </c>
      <c r="H38" s="17">
        <f t="shared" si="9"/>
        <v>1.4371903454581503E-2</v>
      </c>
      <c r="I38" s="259"/>
      <c r="J38" s="252"/>
      <c r="K38" s="252"/>
      <c r="L38" s="252"/>
      <c r="M38" s="252"/>
      <c r="N38" s="252"/>
      <c r="O38" s="5"/>
      <c r="Q38" s="5"/>
      <c r="R38" s="5"/>
      <c r="S38" s="42"/>
      <c r="T38" s="42"/>
      <c r="U38" s="42"/>
      <c r="V38" s="42"/>
      <c r="W38" s="42"/>
      <c r="X38" s="42"/>
      <c r="Y38" s="42"/>
      <c r="Z38" s="42"/>
      <c r="AA38" s="42"/>
    </row>
    <row r="39" spans="2:27">
      <c r="B39" s="5" t="s">
        <v>185</v>
      </c>
      <c r="C39" s="247"/>
      <c r="D39" s="529">
        <f t="shared" si="8"/>
        <v>21.520236763358</v>
      </c>
      <c r="E39" s="529">
        <f t="shared" si="8"/>
        <v>21.574430579655843</v>
      </c>
      <c r="F39" s="529">
        <f t="shared" si="8"/>
        <v>21.58337592386783</v>
      </c>
      <c r="G39" s="529">
        <f t="shared" si="8"/>
        <v>16.537612170693819</v>
      </c>
      <c r="H39" s="17">
        <f t="shared" si="9"/>
        <v>3.4068385731666595E-2</v>
      </c>
      <c r="I39" s="17"/>
      <c r="J39" s="259"/>
      <c r="K39" s="259"/>
      <c r="L39" s="259"/>
      <c r="M39" s="259"/>
      <c r="N39" s="259"/>
      <c r="O39" s="18"/>
      <c r="Q39" s="5"/>
      <c r="R39" s="5"/>
      <c r="S39" s="42"/>
      <c r="T39" s="42"/>
      <c r="U39" s="42"/>
      <c r="V39" s="42"/>
      <c r="W39" s="42"/>
      <c r="X39" s="42"/>
      <c r="Y39" s="42"/>
      <c r="Z39" s="42"/>
      <c r="AA39" s="42"/>
    </row>
    <row r="40" spans="2:27">
      <c r="B40" s="5" t="s">
        <v>466</v>
      </c>
      <c r="C40" s="247"/>
      <c r="D40" s="529">
        <f t="shared" si="8"/>
        <v>23.911374181508886</v>
      </c>
      <c r="E40" s="529">
        <f t="shared" si="8"/>
        <v>23.97158953295094</v>
      </c>
      <c r="F40" s="529">
        <f t="shared" si="8"/>
        <v>23.981528804297589</v>
      </c>
      <c r="G40" s="529">
        <f t="shared" si="8"/>
        <v>18.375124634104242</v>
      </c>
      <c r="H40" s="17">
        <f t="shared" si="9"/>
        <v>3.4068385731666595E-2</v>
      </c>
      <c r="I40" s="5"/>
      <c r="J40" s="259"/>
      <c r="K40" s="259"/>
      <c r="L40" s="259"/>
      <c r="M40" s="259"/>
      <c r="N40" s="259"/>
      <c r="O40" s="18"/>
      <c r="Q40" s="5"/>
      <c r="R40" s="5"/>
      <c r="S40" s="42"/>
      <c r="T40" s="42"/>
      <c r="U40" s="42"/>
      <c r="V40" s="42"/>
      <c r="W40" s="288"/>
      <c r="X40" s="288"/>
      <c r="Y40" s="42"/>
      <c r="Z40" s="42"/>
      <c r="AA40" s="42"/>
    </row>
    <row r="41" spans="2:27">
      <c r="B41" s="5" t="s">
        <v>530</v>
      </c>
      <c r="C41" s="247"/>
      <c r="D41" s="529">
        <f t="shared" si="8"/>
        <v>2.10211764417341</v>
      </c>
      <c r="E41" s="529">
        <f t="shared" si="8"/>
        <v>2.2027146338356101</v>
      </c>
      <c r="F41" s="529">
        <f t="shared" si="8"/>
        <v>2.2658464432558514</v>
      </c>
      <c r="G41" s="529">
        <f t="shared" si="8"/>
        <v>1.9598128654252809</v>
      </c>
      <c r="H41" s="17">
        <f t="shared" si="9"/>
        <v>-3.0446040152147136E-2</v>
      </c>
      <c r="I41" s="247"/>
      <c r="J41" s="259"/>
      <c r="K41" s="259"/>
      <c r="L41" s="259"/>
      <c r="M41" s="259"/>
      <c r="N41" s="259"/>
      <c r="O41" s="18"/>
      <c r="Q41" s="5"/>
      <c r="R41" s="5"/>
      <c r="S41" s="42"/>
      <c r="T41" s="42"/>
      <c r="U41" s="42"/>
      <c r="V41" s="42"/>
      <c r="W41" s="288"/>
      <c r="X41" s="288"/>
      <c r="Y41" s="288"/>
      <c r="Z41" s="288"/>
      <c r="AA41" s="42"/>
    </row>
    <row r="42" spans="2:27">
      <c r="B42" s="5" t="s">
        <v>593</v>
      </c>
      <c r="C42" s="247"/>
      <c r="D42" s="529">
        <f>D18/D28</f>
        <v>3.9557910868544144</v>
      </c>
      <c r="E42" s="529">
        <f>E18/E28</f>
        <v>4.0379936259058171</v>
      </c>
      <c r="F42" s="529">
        <f>F18/F28</f>
        <v>4.1980320146548094</v>
      </c>
      <c r="G42" s="529">
        <f>G18/G28</f>
        <v>3.628522090775006</v>
      </c>
      <c r="H42" s="17">
        <f t="shared" si="9"/>
        <v>-2.5177139074638588E-2</v>
      </c>
      <c r="I42" s="248"/>
      <c r="J42" s="5"/>
      <c r="K42" s="5"/>
      <c r="L42" s="5"/>
      <c r="M42" s="5"/>
      <c r="N42" s="5"/>
      <c r="O42" s="5"/>
      <c r="Q42" s="5"/>
      <c r="R42" s="5"/>
      <c r="S42" s="42"/>
      <c r="T42" s="42"/>
      <c r="U42" s="42"/>
      <c r="V42" s="42"/>
      <c r="W42" s="288"/>
      <c r="X42" s="288"/>
      <c r="Y42" s="288"/>
      <c r="Z42" s="288"/>
      <c r="AA42" s="42"/>
    </row>
    <row r="43" spans="2:27">
      <c r="B43" s="5" t="s">
        <v>475</v>
      </c>
      <c r="C43" s="247"/>
      <c r="D43" s="529">
        <f>L26/D29</f>
        <v>21.53824175063956</v>
      </c>
      <c r="E43" s="529">
        <f>M26/E29</f>
        <v>21.843088132890866</v>
      </c>
      <c r="F43" s="529">
        <f>N26/F29</f>
        <v>21.646374112554359</v>
      </c>
      <c r="G43" s="529">
        <f>O26/G29</f>
        <v>19.112943689988164</v>
      </c>
      <c r="H43" s="17">
        <f t="shared" si="9"/>
        <v>4.0924123389850076E-2</v>
      </c>
      <c r="I43" s="247"/>
      <c r="J43" s="69"/>
      <c r="K43" s="69"/>
      <c r="L43" s="69"/>
      <c r="M43" s="69"/>
      <c r="N43" s="69"/>
      <c r="O43" s="69"/>
      <c r="Q43" s="5"/>
      <c r="R43" s="5"/>
      <c r="S43" s="42"/>
      <c r="T43" s="42"/>
      <c r="U43" s="42"/>
      <c r="V43" s="42"/>
      <c r="W43" s="288"/>
      <c r="X43" s="288"/>
      <c r="Y43" s="288"/>
      <c r="Z43" s="288"/>
      <c r="AA43" s="42"/>
    </row>
    <row r="44" spans="2:27">
      <c r="B44" s="5" t="s">
        <v>533</v>
      </c>
      <c r="C44" s="69"/>
      <c r="D44" s="529">
        <f>D11/D30</f>
        <v>23.327560600942626</v>
      </c>
      <c r="E44" s="529">
        <f>E11/E30</f>
        <v>26.091014791482248</v>
      </c>
      <c r="F44" s="529">
        <f>F11/F30</f>
        <v>26.86663307579688</v>
      </c>
      <c r="G44" s="529">
        <f>G11/G30</f>
        <v>23.7379249567872</v>
      </c>
      <c r="H44" s="17">
        <f t="shared" si="9"/>
        <v>-5.5101025893445899E-3</v>
      </c>
      <c r="I44" s="247"/>
      <c r="J44" s="259"/>
      <c r="K44" s="259"/>
      <c r="L44" s="259"/>
      <c r="M44" s="259"/>
      <c r="N44" s="259"/>
      <c r="O44" s="18"/>
      <c r="Q44" s="5"/>
      <c r="R44" s="5"/>
      <c r="S44" s="42"/>
      <c r="T44" s="42"/>
      <c r="U44" s="42"/>
      <c r="V44" s="42"/>
      <c r="W44" s="325"/>
      <c r="X44" s="325"/>
      <c r="Y44" s="288"/>
      <c r="Z44" s="288"/>
      <c r="AA44" s="42"/>
    </row>
    <row r="45" spans="2:27">
      <c r="B45" s="5" t="s">
        <v>580</v>
      </c>
      <c r="C45" s="247"/>
      <c r="D45" s="248">
        <f>D31/D11</f>
        <v>6.3940300250402135E-2</v>
      </c>
      <c r="E45" s="248">
        <f>E31/E11</f>
        <v>6.4437423562984084E-2</v>
      </c>
      <c r="F45" s="248">
        <f>F31/F11</f>
        <v>6.5081797798613936E-2</v>
      </c>
      <c r="G45" s="248">
        <f>G31/G11</f>
        <v>6.9637523644516919E-2</v>
      </c>
      <c r="H45" s="17">
        <f t="shared" si="9"/>
        <v>2.9155660251550142E-2</v>
      </c>
      <c r="I45" s="248"/>
      <c r="J45" s="17"/>
      <c r="K45" s="17"/>
      <c r="L45" s="17"/>
      <c r="M45" s="17"/>
      <c r="N45" s="17"/>
      <c r="O45" s="5"/>
      <c r="Q45" s="5"/>
      <c r="R45" s="5"/>
      <c r="S45" s="42"/>
      <c r="T45" s="42"/>
      <c r="U45" s="42"/>
      <c r="V45" s="42"/>
      <c r="W45" s="42"/>
      <c r="X45" s="42"/>
      <c r="Y45" s="325"/>
      <c r="Z45" s="325"/>
      <c r="AA45" s="42"/>
    </row>
    <row r="46" spans="2:27">
      <c r="B46" s="5" t="s">
        <v>605</v>
      </c>
      <c r="C46" s="247"/>
      <c r="D46" s="248">
        <f>(D31+D32)/D11</f>
        <v>6.4596877436150515E-2</v>
      </c>
      <c r="E46" s="248">
        <f>(E31+E32)/E11</f>
        <v>6.4437423562984084E-2</v>
      </c>
      <c r="F46" s="248">
        <f>(F31+F32)/F11</f>
        <v>6.5081797798613936E-2</v>
      </c>
      <c r="G46" s="248">
        <f>(G31+G32)/G11</f>
        <v>6.9637523644516919E-2</v>
      </c>
      <c r="H46" s="279">
        <f>((G31+G32)/(D31+D32))^(1/3)-1</f>
        <v>2.565692284908061E-2</v>
      </c>
      <c r="I46" s="247"/>
      <c r="J46" s="5"/>
      <c r="K46" s="5"/>
      <c r="L46" s="5"/>
      <c r="M46" s="5"/>
      <c r="N46" s="5"/>
      <c r="O46" s="5"/>
      <c r="Q46" s="5"/>
      <c r="R46" s="5"/>
      <c r="S46" s="42"/>
      <c r="T46" s="42"/>
      <c r="U46" s="42"/>
      <c r="V46" s="42"/>
      <c r="W46" s="42"/>
      <c r="X46" s="42"/>
      <c r="Y46" s="42"/>
      <c r="Z46" s="42"/>
      <c r="AA46" s="326"/>
    </row>
    <row r="47" spans="2:27">
      <c r="B47" s="5" t="s">
        <v>581</v>
      </c>
      <c r="C47" s="5"/>
      <c r="D47" s="248">
        <f>1/D43</f>
        <v>4.6429045210726445E-2</v>
      </c>
      <c r="E47" s="248">
        <f>1/E43</f>
        <v>4.5781072434269078E-2</v>
      </c>
      <c r="F47" s="248">
        <f>1/F43</f>
        <v>4.6197113419564569E-2</v>
      </c>
      <c r="G47" s="248">
        <f>1/G43</f>
        <v>5.2320564336922358E-2</v>
      </c>
      <c r="H47" s="17">
        <f>H29</f>
        <v>4.0924123389850076E-2</v>
      </c>
      <c r="I47" s="17"/>
      <c r="J47" s="259"/>
      <c r="K47" s="259"/>
      <c r="L47" s="259"/>
      <c r="M47" s="259"/>
      <c r="N47" s="259"/>
      <c r="O47" s="18"/>
      <c r="Q47" s="5"/>
      <c r="R47" s="5"/>
      <c r="S47" s="42"/>
      <c r="T47" s="42"/>
      <c r="U47" s="42"/>
      <c r="V47" s="42"/>
      <c r="W47" s="42"/>
      <c r="X47" s="42"/>
      <c r="Y47" s="42"/>
      <c r="Z47" s="42"/>
      <c r="AA47" s="326"/>
    </row>
    <row r="48" spans="2:27">
      <c r="B48" s="5" t="s">
        <v>618</v>
      </c>
      <c r="C48" s="5"/>
      <c r="D48" s="305">
        <f>D31/D29</f>
        <v>1.3771616444016404</v>
      </c>
      <c r="E48" s="305">
        <f>E31/E29</f>
        <v>1.4075123219426799</v>
      </c>
      <c r="F48" s="305">
        <f>F31/F29</f>
        <v>1.4087849430664139</v>
      </c>
      <c r="G48" s="305">
        <f>G31/G29</f>
        <v>1.3309780681278713</v>
      </c>
      <c r="H48" s="279" t="s">
        <v>607</v>
      </c>
      <c r="I48" s="247"/>
      <c r="J48" s="17"/>
      <c r="K48" s="17"/>
      <c r="L48" s="17"/>
      <c r="M48" s="17"/>
      <c r="N48" s="17"/>
      <c r="O48" s="5"/>
      <c r="Q48" s="5"/>
      <c r="R48" s="5"/>
      <c r="S48" s="42"/>
      <c r="T48" s="42"/>
      <c r="U48" s="42"/>
      <c r="V48" s="42"/>
      <c r="W48" s="42"/>
      <c r="X48" s="42"/>
      <c r="Y48" s="42"/>
      <c r="Z48" s="42"/>
      <c r="AA48" s="326"/>
    </row>
    <row r="49" spans="2:27">
      <c r="B49" s="41"/>
      <c r="C49" s="17"/>
      <c r="D49" s="17"/>
      <c r="E49" s="17"/>
      <c r="F49" s="17"/>
      <c r="G49" s="17"/>
      <c r="H49" s="17"/>
      <c r="I49" s="254"/>
      <c r="J49" s="5"/>
      <c r="K49" s="5"/>
      <c r="L49" s="5"/>
      <c r="M49" s="5"/>
      <c r="N49" s="5"/>
      <c r="O49" s="5"/>
      <c r="Q49" s="5"/>
      <c r="R49" s="5"/>
      <c r="S49" s="42"/>
      <c r="T49" s="42"/>
      <c r="U49" s="42"/>
      <c r="V49" s="42"/>
      <c r="W49" s="42"/>
      <c r="X49" s="42"/>
      <c r="Y49" s="42"/>
      <c r="Z49" s="42"/>
      <c r="AA49" s="326"/>
    </row>
    <row r="50" spans="2:27">
      <c r="B50" s="5"/>
      <c r="C50" s="257"/>
      <c r="D50" s="257"/>
      <c r="E50" s="257"/>
      <c r="F50" s="5"/>
      <c r="G50" s="41"/>
      <c r="H50" s="249"/>
      <c r="I50" s="17"/>
      <c r="J50" s="249"/>
      <c r="K50" s="249"/>
      <c r="L50" s="249"/>
      <c r="M50" s="249"/>
      <c r="N50" s="249"/>
      <c r="O50" s="251"/>
      <c r="Q50" s="5"/>
      <c r="R50" s="5"/>
      <c r="S50" s="42"/>
      <c r="T50" s="42"/>
      <c r="U50" s="42"/>
      <c r="V50" s="42"/>
      <c r="W50" s="288"/>
      <c r="X50" s="288"/>
      <c r="Y50" s="42"/>
      <c r="Z50" s="42"/>
      <c r="AA50" s="326"/>
    </row>
    <row r="51" spans="2:27">
      <c r="B51" s="41"/>
      <c r="C51" s="249"/>
      <c r="D51" s="254"/>
      <c r="E51" s="254"/>
      <c r="F51" s="254"/>
      <c r="G51" s="254"/>
      <c r="H51" s="254"/>
      <c r="I51" s="259"/>
      <c r="J51" s="248"/>
      <c r="K51" s="248"/>
      <c r="L51" s="248"/>
      <c r="M51" s="248"/>
      <c r="N51" s="248"/>
      <c r="O51" s="248"/>
      <c r="Q51" s="5"/>
      <c r="R51" s="5"/>
      <c r="S51" s="42"/>
      <c r="T51" s="42"/>
      <c r="U51" s="42"/>
      <c r="V51" s="42"/>
      <c r="W51" s="288"/>
      <c r="X51" s="288"/>
      <c r="Y51" s="288"/>
      <c r="Z51" s="288"/>
      <c r="AA51" s="42"/>
    </row>
    <row r="52" spans="2:27">
      <c r="B52" s="5"/>
      <c r="C52" s="257"/>
      <c r="D52" s="17"/>
      <c r="E52" s="17"/>
      <c r="F52" s="17"/>
      <c r="G52" s="17"/>
      <c r="H52" s="17"/>
      <c r="I52" s="254"/>
      <c r="J52" s="247"/>
      <c r="K52" s="247"/>
      <c r="L52" s="247"/>
      <c r="M52" s="247"/>
      <c r="N52" s="247"/>
      <c r="O52" s="248"/>
      <c r="Q52" s="5"/>
      <c r="R52" s="5"/>
      <c r="S52" s="5"/>
      <c r="Y52" s="10"/>
      <c r="Z52" s="10"/>
    </row>
    <row r="53" spans="2:27">
      <c r="B53" s="5"/>
      <c r="C53" s="257"/>
      <c r="D53" s="257"/>
      <c r="E53" s="257"/>
      <c r="F53" s="5"/>
      <c r="G53" s="5"/>
      <c r="H53" s="259"/>
      <c r="I53" s="17"/>
      <c r="J53" s="249"/>
      <c r="K53" s="249"/>
      <c r="L53" s="249"/>
      <c r="M53" s="249"/>
      <c r="N53" s="249"/>
      <c r="O53" s="251"/>
      <c r="Q53" s="5"/>
      <c r="R53" s="5"/>
      <c r="S53" s="5"/>
    </row>
    <row r="54" spans="2:27">
      <c r="B54" s="41"/>
      <c r="C54" s="249"/>
      <c r="D54" s="254"/>
      <c r="E54" s="254"/>
      <c r="F54" s="254"/>
      <c r="G54" s="254"/>
      <c r="H54" s="254"/>
      <c r="I54" s="259"/>
      <c r="J54" s="248"/>
      <c r="K54" s="248"/>
      <c r="L54" s="248"/>
      <c r="M54" s="248"/>
      <c r="N54" s="248"/>
      <c r="O54" s="248"/>
      <c r="Q54" s="5"/>
      <c r="R54" s="5"/>
      <c r="S54" s="5"/>
    </row>
    <row r="55" spans="2:27">
      <c r="B55" s="5"/>
      <c r="C55" s="257"/>
      <c r="D55" s="17"/>
      <c r="E55" s="17"/>
      <c r="F55" s="17"/>
      <c r="G55" s="17"/>
      <c r="H55" s="17"/>
      <c r="I55" s="249"/>
      <c r="J55" s="247"/>
      <c r="K55" s="247"/>
      <c r="L55" s="247"/>
      <c r="M55" s="247"/>
      <c r="N55" s="247"/>
      <c r="O55" s="248"/>
      <c r="Q55" s="5"/>
      <c r="R55" s="5"/>
      <c r="S55" s="5"/>
    </row>
    <row r="56" spans="2:27">
      <c r="B56" s="5"/>
      <c r="C56" s="248"/>
      <c r="D56" s="248"/>
      <c r="E56" s="248"/>
      <c r="F56" s="5"/>
      <c r="G56" s="5"/>
      <c r="H56" s="259"/>
      <c r="I56" s="248"/>
      <c r="J56" s="17"/>
      <c r="K56" s="17"/>
      <c r="L56" s="17"/>
      <c r="M56" s="17"/>
      <c r="N56" s="17"/>
      <c r="O56" s="248"/>
      <c r="Q56" s="5"/>
      <c r="R56" s="5"/>
      <c r="S56" s="5"/>
    </row>
    <row r="57" spans="2:27">
      <c r="B57" s="41"/>
      <c r="C57" s="249"/>
      <c r="D57" s="249"/>
      <c r="E57" s="249"/>
      <c r="F57" s="249"/>
      <c r="G57" s="249"/>
      <c r="H57" s="249"/>
      <c r="I57" s="5"/>
      <c r="J57" s="249"/>
      <c r="K57" s="249"/>
      <c r="L57" s="249"/>
      <c r="M57" s="249"/>
      <c r="N57" s="249"/>
      <c r="O57" s="250"/>
      <c r="Q57" s="5"/>
      <c r="R57" s="5"/>
      <c r="S57" s="5"/>
    </row>
    <row r="58" spans="2:27">
      <c r="B58" s="5"/>
      <c r="C58" s="5"/>
      <c r="D58" s="248"/>
      <c r="E58" s="248"/>
      <c r="F58" s="248"/>
      <c r="G58" s="248"/>
      <c r="H58" s="248"/>
      <c r="I58" s="17"/>
      <c r="J58" s="254"/>
      <c r="K58" s="254"/>
      <c r="L58" s="254"/>
      <c r="M58" s="254"/>
      <c r="N58" s="254"/>
      <c r="O58" s="251"/>
      <c r="Q58" s="5"/>
      <c r="R58" s="5"/>
      <c r="S58" s="5"/>
    </row>
    <row r="59" spans="2:27">
      <c r="B59" s="5"/>
      <c r="C59" s="5"/>
      <c r="D59" s="5"/>
      <c r="E59" s="5"/>
      <c r="F59" s="5"/>
      <c r="G59" s="5"/>
      <c r="H59" s="5"/>
      <c r="I59" s="5"/>
      <c r="J59" s="17"/>
      <c r="K59" s="17"/>
      <c r="L59" s="17"/>
      <c r="M59" s="17"/>
      <c r="N59" s="17"/>
      <c r="O59" s="248"/>
      <c r="Q59" s="5"/>
      <c r="R59" s="5"/>
      <c r="S59" s="5"/>
    </row>
    <row r="60" spans="2:27">
      <c r="B60" s="41"/>
      <c r="C60" s="17"/>
      <c r="D60" s="17"/>
      <c r="E60" s="17"/>
      <c r="F60" s="17"/>
      <c r="G60" s="17"/>
      <c r="H60" s="17"/>
      <c r="I60" s="249"/>
      <c r="Q60" s="5"/>
      <c r="R60" s="5"/>
      <c r="S60" s="5"/>
    </row>
    <row r="61" spans="2:27">
      <c r="B61" s="5"/>
      <c r="C61" s="5"/>
      <c r="D61" s="5"/>
      <c r="E61" s="5"/>
      <c r="F61" s="5"/>
      <c r="G61" s="5"/>
      <c r="H61" s="5"/>
      <c r="I61" s="5"/>
      <c r="Q61" s="41"/>
      <c r="R61" s="5"/>
      <c r="S61" s="5"/>
    </row>
    <row r="62" spans="2:27">
      <c r="B62" s="41"/>
      <c r="C62" s="249"/>
      <c r="D62" s="249"/>
      <c r="E62" s="249"/>
      <c r="F62" s="249"/>
      <c r="G62" s="249"/>
      <c r="H62" s="249"/>
      <c r="I62" s="5"/>
      <c r="Q62" s="5"/>
      <c r="R62" s="5"/>
      <c r="S62" s="5"/>
    </row>
    <row r="63" spans="2:27">
      <c r="B63" s="5"/>
      <c r="C63" s="5"/>
      <c r="D63" s="5"/>
      <c r="E63" s="5"/>
      <c r="F63" s="5"/>
      <c r="G63" s="5"/>
      <c r="H63" s="5"/>
      <c r="I63" s="254"/>
      <c r="Q63" s="5"/>
      <c r="R63" s="5"/>
      <c r="S63" s="5"/>
    </row>
    <row r="64" spans="2:27">
      <c r="B64" s="5"/>
      <c r="C64" s="5"/>
      <c r="D64" s="5"/>
      <c r="E64" s="5"/>
      <c r="F64" s="5"/>
      <c r="G64" s="5"/>
      <c r="H64" s="5"/>
      <c r="I64" s="17"/>
      <c r="J64" s="5"/>
      <c r="K64" s="5"/>
      <c r="L64" s="5"/>
      <c r="M64" s="5"/>
      <c r="N64" s="5"/>
      <c r="O64" s="5"/>
      <c r="Q64" s="5"/>
      <c r="R64" s="5"/>
      <c r="S64" s="5"/>
    </row>
    <row r="65" spans="2:26">
      <c r="B65" s="41"/>
      <c r="C65" s="249"/>
      <c r="D65" s="254"/>
      <c r="E65" s="254"/>
      <c r="F65" s="254"/>
      <c r="G65" s="254"/>
      <c r="H65" s="254"/>
      <c r="I65" s="254"/>
      <c r="J65" s="254"/>
      <c r="K65" s="254"/>
      <c r="L65" s="254"/>
      <c r="M65" s="254"/>
      <c r="N65" s="254"/>
      <c r="O65" s="251"/>
      <c r="Q65" s="5"/>
      <c r="R65" s="5"/>
      <c r="S65" s="5"/>
    </row>
    <row r="66" spans="2:26">
      <c r="B66" s="5"/>
      <c r="C66" s="5"/>
      <c r="D66" s="17"/>
      <c r="E66" s="17"/>
      <c r="F66" s="17"/>
      <c r="G66" s="17"/>
      <c r="H66" s="17"/>
      <c r="I66" s="248"/>
      <c r="J66" s="17"/>
      <c r="K66" s="17"/>
      <c r="L66" s="17"/>
      <c r="M66" s="17"/>
      <c r="N66" s="17"/>
      <c r="O66" s="5"/>
      <c r="Q66" s="5"/>
      <c r="R66" s="5"/>
      <c r="S66" s="5"/>
    </row>
    <row r="67" spans="2:26">
      <c r="B67" s="41"/>
      <c r="C67" s="249"/>
      <c r="D67" s="254"/>
      <c r="E67" s="254"/>
      <c r="F67" s="254"/>
      <c r="G67" s="254"/>
      <c r="H67" s="254"/>
      <c r="I67" s="5"/>
      <c r="J67" s="254"/>
      <c r="K67" s="254"/>
      <c r="L67" s="254"/>
      <c r="M67" s="254"/>
      <c r="N67" s="254"/>
      <c r="O67" s="251"/>
      <c r="Q67" s="41"/>
      <c r="R67" s="5"/>
      <c r="S67" s="5"/>
    </row>
    <row r="68" spans="2:26">
      <c r="B68" s="5"/>
      <c r="C68" s="5"/>
      <c r="D68" s="248"/>
      <c r="E68" s="248"/>
      <c r="F68" s="248"/>
      <c r="G68" s="248"/>
      <c r="H68" s="248"/>
      <c r="I68" s="245"/>
      <c r="J68" s="248"/>
      <c r="K68" s="248"/>
      <c r="L68" s="248"/>
      <c r="M68" s="248"/>
      <c r="N68" s="248"/>
      <c r="O68" s="5"/>
      <c r="Q68" s="5"/>
      <c r="R68" s="5"/>
      <c r="S68" s="5"/>
    </row>
    <row r="69" spans="2:26">
      <c r="B69" s="41"/>
      <c r="C69" s="5"/>
      <c r="D69" s="5"/>
      <c r="E69" s="5"/>
      <c r="F69" s="5"/>
      <c r="G69" s="5"/>
      <c r="H69" s="5"/>
      <c r="I69" s="248"/>
      <c r="J69" s="5"/>
      <c r="K69" s="5"/>
      <c r="L69" s="5"/>
      <c r="M69" s="5"/>
      <c r="N69" s="5"/>
      <c r="O69" s="5"/>
      <c r="Q69" s="5"/>
      <c r="R69" s="5"/>
      <c r="S69" s="5"/>
    </row>
    <row r="70" spans="2:26">
      <c r="B70" s="41"/>
      <c r="C70" s="245"/>
      <c r="D70" s="245"/>
      <c r="E70" s="245"/>
      <c r="F70" s="245"/>
      <c r="G70" s="245"/>
      <c r="H70" s="245"/>
      <c r="I70" s="5"/>
      <c r="J70" s="245"/>
      <c r="K70" s="245"/>
      <c r="L70" s="245"/>
      <c r="M70" s="245"/>
      <c r="N70" s="245"/>
      <c r="O70" s="251"/>
      <c r="Q70" s="5"/>
      <c r="R70" s="5"/>
      <c r="S70" s="5"/>
      <c r="W70" s="76"/>
      <c r="X70" s="76"/>
    </row>
    <row r="71" spans="2:26">
      <c r="B71" s="5"/>
      <c r="C71" s="5"/>
      <c r="D71" s="248"/>
      <c r="E71" s="248"/>
      <c r="F71" s="248"/>
      <c r="G71" s="248"/>
      <c r="H71" s="248"/>
      <c r="I71" s="245"/>
      <c r="J71" s="248"/>
      <c r="K71" s="248"/>
      <c r="L71" s="248"/>
      <c r="M71" s="248"/>
      <c r="N71" s="248"/>
      <c r="O71" s="5"/>
      <c r="Q71" s="5"/>
      <c r="R71" s="5"/>
      <c r="S71" s="5"/>
      <c r="W71" s="76"/>
      <c r="X71" s="76"/>
      <c r="Y71" s="76"/>
      <c r="Z71" s="76"/>
    </row>
    <row r="72" spans="2:26">
      <c r="B72" s="41"/>
      <c r="C72" s="5"/>
      <c r="D72" s="5"/>
      <c r="E72" s="5"/>
      <c r="F72" s="5"/>
      <c r="G72" s="5"/>
      <c r="H72" s="5"/>
      <c r="I72" s="18"/>
      <c r="J72" s="5"/>
      <c r="K72" s="5"/>
      <c r="L72" s="5"/>
      <c r="M72" s="5"/>
      <c r="N72" s="5"/>
      <c r="O72" s="5"/>
      <c r="Q72" s="5"/>
      <c r="R72" s="5"/>
      <c r="S72" s="5"/>
      <c r="Y72" s="76"/>
      <c r="Z72" s="76"/>
    </row>
    <row r="73" spans="2:26">
      <c r="B73" s="41"/>
      <c r="C73" s="245"/>
      <c r="D73" s="245"/>
      <c r="E73" s="245"/>
      <c r="F73" s="245"/>
      <c r="G73" s="245"/>
      <c r="H73" s="245"/>
      <c r="I73" s="5"/>
      <c r="J73" s="245"/>
      <c r="K73" s="245"/>
      <c r="L73" s="245"/>
      <c r="M73" s="245"/>
      <c r="N73" s="245"/>
      <c r="O73" s="251"/>
      <c r="Q73" s="5"/>
      <c r="R73" s="5"/>
      <c r="S73" s="5"/>
    </row>
    <row r="74" spans="2:26">
      <c r="B74" s="5"/>
      <c r="C74" s="5"/>
      <c r="D74" s="18"/>
      <c r="E74" s="18"/>
      <c r="F74" s="18"/>
      <c r="G74" s="18"/>
      <c r="H74" s="18"/>
      <c r="I74" s="249"/>
      <c r="J74" s="18"/>
      <c r="K74" s="18"/>
      <c r="L74" s="18"/>
      <c r="M74" s="18"/>
      <c r="N74" s="18"/>
      <c r="O74" s="5"/>
      <c r="Q74" s="5"/>
      <c r="R74" s="5"/>
      <c r="S74" s="5"/>
    </row>
    <row r="75" spans="2:26">
      <c r="B75" s="41"/>
      <c r="C75" s="5"/>
      <c r="D75" s="5"/>
      <c r="E75" s="5"/>
      <c r="F75" s="5"/>
      <c r="G75" s="5"/>
      <c r="H75" s="5"/>
      <c r="I75" s="248"/>
      <c r="J75" s="5"/>
      <c r="K75" s="5"/>
      <c r="L75" s="5"/>
      <c r="M75" s="5"/>
      <c r="N75" s="5"/>
      <c r="O75" s="5"/>
      <c r="Q75" s="5"/>
      <c r="R75" s="5"/>
      <c r="S75" s="5"/>
    </row>
    <row r="76" spans="2:26">
      <c r="B76" s="41"/>
      <c r="C76" s="249"/>
      <c r="D76" s="249"/>
      <c r="E76" s="249"/>
      <c r="F76" s="249"/>
      <c r="G76" s="249"/>
      <c r="H76" s="249"/>
      <c r="I76" s="5"/>
      <c r="J76" s="249"/>
      <c r="K76" s="249"/>
      <c r="L76" s="249"/>
      <c r="M76" s="249"/>
      <c r="N76" s="249"/>
      <c r="O76" s="251"/>
      <c r="Q76" s="5"/>
      <c r="R76" s="5"/>
      <c r="S76" s="5"/>
    </row>
    <row r="77" spans="2:26">
      <c r="B77" s="5"/>
      <c r="C77" s="5"/>
      <c r="D77" s="248"/>
      <c r="E77" s="248"/>
      <c r="F77" s="248"/>
      <c r="G77" s="248"/>
      <c r="H77" s="248"/>
      <c r="I77" s="245"/>
      <c r="J77" s="248"/>
      <c r="K77" s="248"/>
      <c r="L77" s="248"/>
      <c r="M77" s="248"/>
      <c r="N77" s="248"/>
      <c r="O77" s="5"/>
      <c r="Q77" s="5"/>
      <c r="R77" s="5"/>
      <c r="S77" s="5"/>
    </row>
    <row r="78" spans="2:26">
      <c r="B78" s="41"/>
      <c r="C78" s="5"/>
      <c r="D78" s="5"/>
      <c r="E78" s="5"/>
      <c r="F78" s="5"/>
      <c r="G78" s="5"/>
      <c r="H78" s="5"/>
      <c r="I78" s="248"/>
      <c r="J78" s="5"/>
      <c r="K78" s="5"/>
      <c r="L78" s="5"/>
      <c r="M78" s="5"/>
      <c r="N78" s="5"/>
      <c r="O78" s="5"/>
      <c r="Q78" s="5"/>
      <c r="R78" s="5"/>
      <c r="S78" s="5"/>
    </row>
    <row r="79" spans="2:26">
      <c r="B79" s="41"/>
      <c r="C79" s="245"/>
      <c r="D79" s="245"/>
      <c r="E79" s="245"/>
      <c r="F79" s="245"/>
      <c r="G79" s="245"/>
      <c r="H79" s="245"/>
      <c r="I79" s="5"/>
      <c r="J79" s="245"/>
      <c r="K79" s="245"/>
      <c r="L79" s="245"/>
      <c r="M79" s="245"/>
      <c r="N79" s="245"/>
      <c r="O79" s="251"/>
      <c r="Q79" s="5"/>
      <c r="R79" s="5"/>
      <c r="S79" s="5"/>
    </row>
    <row r="80" spans="2:26">
      <c r="B80" s="5"/>
      <c r="C80" s="5"/>
      <c r="D80" s="248"/>
      <c r="E80" s="248"/>
      <c r="F80" s="248"/>
      <c r="G80" s="248"/>
      <c r="H80" s="248"/>
      <c r="I80" s="249"/>
      <c r="J80" s="248"/>
      <c r="K80" s="248"/>
      <c r="L80" s="248"/>
      <c r="M80" s="248"/>
      <c r="N80" s="248"/>
      <c r="O80" s="5"/>
      <c r="Q80" s="5"/>
      <c r="R80" s="5"/>
      <c r="S80" s="5"/>
    </row>
    <row r="81" spans="2:26">
      <c r="B81" s="41"/>
      <c r="C81" s="5"/>
      <c r="D81" s="5"/>
      <c r="E81" s="5"/>
      <c r="F81" s="5"/>
      <c r="G81" s="5"/>
      <c r="H81" s="5"/>
      <c r="I81" s="248"/>
      <c r="J81" s="5"/>
      <c r="K81" s="5"/>
      <c r="L81" s="5"/>
      <c r="M81" s="5"/>
      <c r="N81" s="5"/>
      <c r="O81" s="5"/>
      <c r="Q81" s="5"/>
      <c r="R81" s="5"/>
      <c r="S81" s="5"/>
    </row>
    <row r="82" spans="2:26">
      <c r="B82" s="41"/>
      <c r="C82" s="249"/>
      <c r="D82" s="249"/>
      <c r="E82" s="249"/>
      <c r="F82" s="249"/>
      <c r="G82" s="249"/>
      <c r="H82" s="249"/>
      <c r="I82" s="259"/>
      <c r="J82" s="249"/>
      <c r="K82" s="249"/>
      <c r="L82" s="249"/>
      <c r="M82" s="249"/>
      <c r="N82" s="249"/>
      <c r="O82" s="251"/>
      <c r="Q82" s="5"/>
      <c r="R82" s="5"/>
      <c r="S82" s="5"/>
    </row>
    <row r="83" spans="2:26">
      <c r="B83" s="5"/>
      <c r="C83" s="5"/>
      <c r="D83" s="248"/>
      <c r="E83" s="248"/>
      <c r="F83" s="248"/>
      <c r="G83" s="248"/>
      <c r="H83" s="248"/>
      <c r="I83" s="5"/>
      <c r="J83" s="248"/>
      <c r="K83" s="248"/>
      <c r="L83" s="248"/>
      <c r="M83" s="248"/>
      <c r="N83" s="248"/>
      <c r="O83" s="5"/>
      <c r="Q83" s="5"/>
      <c r="R83" s="5"/>
      <c r="S83" s="5"/>
    </row>
    <row r="84" spans="2:26">
      <c r="B84" s="5"/>
      <c r="C84" s="259"/>
      <c r="D84" s="259"/>
      <c r="E84" s="259"/>
      <c r="F84" s="259"/>
      <c r="G84" s="259"/>
      <c r="H84" s="259"/>
      <c r="I84" s="245"/>
      <c r="J84" s="259"/>
      <c r="K84" s="259"/>
      <c r="L84" s="259"/>
      <c r="M84" s="259"/>
      <c r="N84" s="259"/>
      <c r="O84" s="251"/>
      <c r="Q84" s="5"/>
      <c r="R84" s="5"/>
      <c r="S84" s="5"/>
    </row>
    <row r="85" spans="2:26">
      <c r="B85" s="41"/>
      <c r="C85" s="5"/>
      <c r="D85" s="5"/>
      <c r="E85" s="5"/>
      <c r="F85" s="5"/>
      <c r="G85" s="5"/>
      <c r="H85" s="5"/>
      <c r="I85" s="248"/>
      <c r="J85" s="5"/>
      <c r="K85" s="5"/>
      <c r="L85" s="5"/>
      <c r="M85" s="5"/>
      <c r="N85" s="5"/>
      <c r="O85" s="5"/>
      <c r="Q85" s="5"/>
      <c r="R85" s="5"/>
      <c r="S85" s="5"/>
    </row>
    <row r="86" spans="2:26">
      <c r="B86" s="41"/>
      <c r="C86" s="245"/>
      <c r="D86" s="245"/>
      <c r="E86" s="245"/>
      <c r="F86" s="245"/>
      <c r="G86" s="245"/>
      <c r="H86" s="245"/>
      <c r="I86" s="5"/>
      <c r="J86" s="245"/>
      <c r="K86" s="245"/>
      <c r="L86" s="245"/>
      <c r="M86" s="245"/>
      <c r="N86" s="245"/>
      <c r="O86" s="251"/>
      <c r="Q86" s="5"/>
      <c r="R86" s="5"/>
      <c r="S86" s="5"/>
    </row>
    <row r="87" spans="2:26">
      <c r="B87" s="5"/>
      <c r="C87" s="5"/>
      <c r="D87" s="248"/>
      <c r="E87" s="248"/>
      <c r="F87" s="248"/>
      <c r="G87" s="248"/>
      <c r="H87" s="248"/>
      <c r="I87" s="5"/>
      <c r="J87" s="248"/>
      <c r="K87" s="248"/>
      <c r="L87" s="248"/>
      <c r="M87" s="248"/>
      <c r="N87" s="248"/>
      <c r="O87" s="5"/>
      <c r="Q87" s="5"/>
      <c r="R87" s="5"/>
      <c r="S87" s="5"/>
    </row>
    <row r="88" spans="2:26">
      <c r="B88" s="41"/>
      <c r="C88" s="5"/>
      <c r="D88" s="5"/>
      <c r="E88" s="5"/>
      <c r="F88" s="5"/>
      <c r="G88" s="5"/>
      <c r="H88" s="5"/>
      <c r="I88" s="5"/>
      <c r="J88" s="5"/>
      <c r="K88" s="5"/>
      <c r="L88" s="5"/>
      <c r="M88" s="5"/>
      <c r="N88" s="5"/>
      <c r="O88" s="5"/>
      <c r="Q88" s="5"/>
      <c r="R88" s="5"/>
      <c r="S88" s="5"/>
    </row>
    <row r="89" spans="2:26">
      <c r="B89" s="41"/>
      <c r="C89" s="5"/>
      <c r="D89" s="5"/>
      <c r="E89" s="5"/>
      <c r="F89" s="5"/>
      <c r="G89" s="5"/>
      <c r="H89" s="5"/>
      <c r="I89" s="5"/>
      <c r="J89" s="5"/>
      <c r="K89" s="5"/>
      <c r="L89" s="5"/>
      <c r="M89" s="5"/>
      <c r="N89" s="5"/>
      <c r="O89" s="5"/>
      <c r="Q89" s="5"/>
      <c r="R89" s="5"/>
      <c r="S89" s="5"/>
    </row>
    <row r="90" spans="2:26">
      <c r="B90" s="41"/>
      <c r="C90" s="5"/>
      <c r="D90" s="5"/>
      <c r="E90" s="5"/>
      <c r="F90" s="5"/>
      <c r="G90" s="5"/>
      <c r="H90" s="5"/>
      <c r="I90" s="49"/>
      <c r="J90" s="5"/>
      <c r="K90" s="5"/>
      <c r="L90" s="5"/>
      <c r="M90" s="5"/>
      <c r="N90" s="5"/>
      <c r="O90" s="5"/>
      <c r="Q90" s="41"/>
      <c r="R90" s="5"/>
      <c r="S90" s="5"/>
    </row>
    <row r="91" spans="2:26">
      <c r="B91" s="5"/>
      <c r="C91" s="5"/>
      <c r="D91" s="5"/>
      <c r="E91" s="5"/>
      <c r="F91" s="5"/>
      <c r="G91" s="5"/>
      <c r="H91" s="5"/>
      <c r="I91" s="5"/>
      <c r="J91" s="5"/>
      <c r="K91" s="5"/>
      <c r="L91" s="5"/>
      <c r="M91" s="5"/>
      <c r="N91" s="5"/>
      <c r="O91" s="5"/>
      <c r="Q91" s="5"/>
      <c r="R91" s="5"/>
      <c r="S91" s="5"/>
    </row>
    <row r="92" spans="2:26">
      <c r="B92" s="41"/>
      <c r="C92" s="49"/>
      <c r="D92" s="49"/>
      <c r="E92" s="49"/>
      <c r="F92" s="49"/>
      <c r="G92" s="49"/>
      <c r="H92" s="49"/>
      <c r="I92" s="247"/>
      <c r="J92" s="49"/>
      <c r="K92" s="49"/>
      <c r="L92" s="49"/>
      <c r="M92" s="49"/>
      <c r="N92" s="49"/>
      <c r="O92" s="49"/>
      <c r="Q92" s="5"/>
      <c r="R92" s="5"/>
      <c r="S92" s="5"/>
      <c r="W92" s="21"/>
      <c r="X92" s="21"/>
    </row>
    <row r="93" spans="2:26">
      <c r="B93" s="5"/>
      <c r="C93" s="5"/>
      <c r="D93" s="5"/>
      <c r="E93" s="5"/>
      <c r="F93" s="5"/>
      <c r="G93" s="5"/>
      <c r="H93" s="5"/>
      <c r="I93" s="247"/>
      <c r="J93" s="5"/>
      <c r="K93" s="5"/>
      <c r="L93" s="5"/>
      <c r="M93" s="5"/>
      <c r="N93" s="5"/>
      <c r="O93" s="5"/>
      <c r="Q93" s="5"/>
      <c r="R93" s="5"/>
      <c r="S93" s="5"/>
      <c r="W93" s="21"/>
      <c r="X93" s="21"/>
      <c r="Y93" s="21"/>
      <c r="Z93" s="21"/>
    </row>
    <row r="94" spans="2:26">
      <c r="B94" s="5"/>
      <c r="C94" s="259"/>
      <c r="D94" s="247"/>
      <c r="E94" s="247"/>
      <c r="F94" s="247"/>
      <c r="G94" s="247"/>
      <c r="H94" s="247"/>
      <c r="I94" s="247"/>
      <c r="J94" s="247"/>
      <c r="K94" s="247"/>
      <c r="L94" s="247"/>
      <c r="M94" s="247"/>
      <c r="N94" s="247"/>
      <c r="O94" s="248"/>
      <c r="Q94" s="5"/>
      <c r="R94" s="5"/>
      <c r="S94" s="5"/>
      <c r="Y94" s="21"/>
      <c r="Z94" s="21"/>
    </row>
    <row r="95" spans="2:26">
      <c r="B95" s="5"/>
      <c r="C95" s="259"/>
      <c r="D95" s="247"/>
      <c r="E95" s="247"/>
      <c r="F95" s="247"/>
      <c r="G95" s="247"/>
      <c r="H95" s="247"/>
      <c r="I95" s="248"/>
      <c r="J95" s="247"/>
      <c r="K95" s="247"/>
      <c r="L95" s="247"/>
      <c r="M95" s="247"/>
      <c r="N95" s="247"/>
      <c r="O95" s="248"/>
      <c r="Q95" s="5"/>
      <c r="R95" s="5"/>
      <c r="S95" s="5"/>
    </row>
    <row r="96" spans="2:26">
      <c r="B96" s="5"/>
      <c r="C96" s="259"/>
      <c r="D96" s="247"/>
      <c r="E96" s="247"/>
      <c r="F96" s="247"/>
      <c r="G96" s="247"/>
      <c r="H96" s="247"/>
      <c r="I96" s="247"/>
      <c r="J96" s="247"/>
      <c r="K96" s="247"/>
      <c r="L96" s="247"/>
      <c r="M96" s="247"/>
      <c r="N96" s="247"/>
      <c r="O96" s="248"/>
      <c r="Q96" s="5"/>
      <c r="R96" s="5"/>
      <c r="S96" s="5"/>
    </row>
    <row r="97" spans="2:19">
      <c r="B97" s="5"/>
      <c r="C97" s="259"/>
      <c r="D97" s="248"/>
      <c r="E97" s="248"/>
      <c r="F97" s="248"/>
      <c r="G97" s="248"/>
      <c r="H97" s="248"/>
      <c r="I97" s="249"/>
      <c r="J97" s="248"/>
      <c r="K97" s="248"/>
      <c r="L97" s="248"/>
      <c r="M97" s="248"/>
      <c r="N97" s="248"/>
      <c r="O97" s="248"/>
      <c r="Q97" s="5"/>
      <c r="R97" s="5"/>
      <c r="S97" s="5"/>
    </row>
    <row r="98" spans="2:19">
      <c r="B98" s="5"/>
      <c r="C98" s="259"/>
      <c r="D98" s="247"/>
      <c r="E98" s="247"/>
      <c r="F98" s="247"/>
      <c r="G98" s="247"/>
      <c r="H98" s="247"/>
      <c r="I98" s="248"/>
      <c r="J98" s="247"/>
      <c r="K98" s="247"/>
      <c r="L98" s="247"/>
      <c r="M98" s="247"/>
      <c r="N98" s="247"/>
      <c r="O98" s="248"/>
      <c r="Q98" s="5"/>
      <c r="R98" s="5"/>
      <c r="S98" s="5"/>
    </row>
    <row r="99" spans="2:19">
      <c r="B99" s="41"/>
      <c r="C99" s="249"/>
      <c r="D99" s="249"/>
      <c r="E99" s="249"/>
      <c r="F99" s="249"/>
      <c r="G99" s="249"/>
      <c r="H99" s="249"/>
      <c r="I99" s="5"/>
      <c r="J99" s="249"/>
      <c r="K99" s="249"/>
      <c r="L99" s="249"/>
      <c r="M99" s="249"/>
      <c r="N99" s="249"/>
      <c r="O99" s="248"/>
      <c r="Q99" s="5"/>
      <c r="R99" s="5"/>
      <c r="S99" s="5"/>
    </row>
    <row r="100" spans="2:19">
      <c r="B100" s="41"/>
      <c r="C100" s="257"/>
      <c r="D100" s="248"/>
      <c r="E100" s="248"/>
      <c r="F100" s="248"/>
      <c r="G100" s="248"/>
      <c r="H100" s="248"/>
      <c r="I100" s="259"/>
      <c r="J100" s="248"/>
      <c r="K100" s="248"/>
      <c r="L100" s="248"/>
      <c r="M100" s="248"/>
      <c r="N100" s="248"/>
      <c r="O100" s="248"/>
      <c r="Q100" s="5"/>
      <c r="R100" s="5"/>
      <c r="S100" s="5"/>
    </row>
    <row r="101" spans="2:19" s="5" customFormat="1">
      <c r="B101" s="41"/>
      <c r="I101" s="259"/>
      <c r="O101" s="248"/>
      <c r="P101" s="39"/>
    </row>
    <row r="102" spans="2:19">
      <c r="B102" s="5"/>
      <c r="C102" s="259"/>
      <c r="D102" s="259"/>
      <c r="E102" s="259"/>
      <c r="F102" s="259"/>
      <c r="G102" s="259"/>
      <c r="H102" s="259"/>
      <c r="I102" s="247"/>
      <c r="J102" s="259"/>
      <c r="K102" s="259"/>
      <c r="L102" s="259"/>
      <c r="M102" s="259"/>
      <c r="N102" s="259"/>
      <c r="O102" s="5"/>
      <c r="Q102" s="5"/>
      <c r="R102" s="5"/>
      <c r="S102" s="5"/>
    </row>
    <row r="103" spans="2:19">
      <c r="B103" s="5"/>
      <c r="C103" s="259"/>
      <c r="D103" s="259"/>
      <c r="E103" s="259"/>
      <c r="F103" s="259"/>
      <c r="G103" s="259"/>
      <c r="H103" s="259"/>
      <c r="I103" s="5"/>
      <c r="J103" s="259"/>
      <c r="K103" s="259"/>
      <c r="L103" s="259"/>
      <c r="M103" s="259"/>
      <c r="N103" s="259"/>
      <c r="O103" s="5"/>
      <c r="P103" s="5"/>
      <c r="Q103" s="5"/>
      <c r="R103" s="5"/>
      <c r="S103" s="5"/>
    </row>
    <row r="104" spans="2:19">
      <c r="B104" s="5"/>
      <c r="C104" s="247"/>
      <c r="D104" s="247"/>
      <c r="E104" s="247"/>
      <c r="F104" s="247"/>
      <c r="G104" s="247"/>
      <c r="H104" s="247"/>
      <c r="I104" s="247"/>
      <c r="J104" s="247"/>
      <c r="K104" s="247"/>
      <c r="L104" s="247"/>
      <c r="M104" s="247"/>
      <c r="N104" s="247"/>
      <c r="O104" s="5"/>
      <c r="Q104" s="5"/>
      <c r="R104" s="5"/>
      <c r="S104" s="5"/>
    </row>
    <row r="105" spans="2:19" s="5" customFormat="1">
      <c r="P105" s="39"/>
    </row>
    <row r="106" spans="2:19" s="5" customFormat="1">
      <c r="C106" s="259"/>
      <c r="D106" s="247"/>
      <c r="E106" s="247"/>
      <c r="F106" s="247"/>
      <c r="G106" s="247"/>
      <c r="H106" s="247"/>
      <c r="I106" s="259"/>
      <c r="J106" s="247"/>
      <c r="K106" s="247"/>
      <c r="L106" s="247"/>
      <c r="M106" s="247"/>
      <c r="N106" s="247"/>
      <c r="P106" s="39"/>
    </row>
    <row r="107" spans="2:19">
      <c r="B107" s="5"/>
      <c r="C107" s="259"/>
      <c r="D107" s="5"/>
      <c r="E107" s="5"/>
      <c r="F107" s="5"/>
      <c r="G107" s="5"/>
      <c r="H107" s="5"/>
      <c r="I107" s="247"/>
      <c r="J107" s="5"/>
      <c r="K107" s="5"/>
      <c r="L107" s="5"/>
      <c r="M107" s="5"/>
      <c r="N107" s="5"/>
      <c r="O107" s="5"/>
      <c r="P107" s="5"/>
      <c r="Q107" s="5"/>
      <c r="R107" s="5"/>
      <c r="S107" s="5"/>
    </row>
    <row r="108" spans="2:19">
      <c r="B108" s="5"/>
      <c r="C108" s="259"/>
      <c r="D108" s="259"/>
      <c r="E108" s="259"/>
      <c r="F108" s="259"/>
      <c r="G108" s="259"/>
      <c r="H108" s="259"/>
      <c r="I108" s="249"/>
      <c r="J108" s="259"/>
      <c r="K108" s="259"/>
      <c r="L108" s="259"/>
      <c r="M108" s="259"/>
      <c r="N108" s="259"/>
      <c r="O108" s="5"/>
      <c r="P108" s="5"/>
      <c r="Q108" s="5"/>
      <c r="R108" s="5"/>
      <c r="S108" s="5"/>
    </row>
    <row r="109" spans="2:19">
      <c r="B109" s="5"/>
      <c r="C109" s="247"/>
      <c r="D109" s="247"/>
      <c r="E109" s="247"/>
      <c r="F109" s="247"/>
      <c r="G109" s="247"/>
      <c r="H109" s="247"/>
      <c r="I109" s="249"/>
      <c r="J109" s="247"/>
      <c r="K109" s="247"/>
      <c r="L109" s="247"/>
      <c r="M109" s="247"/>
      <c r="N109" s="247"/>
      <c r="O109" s="5"/>
      <c r="Q109" s="5"/>
      <c r="R109" s="5"/>
      <c r="S109" s="5"/>
    </row>
    <row r="110" spans="2:19">
      <c r="B110" s="41"/>
      <c r="C110" s="249"/>
      <c r="D110" s="249"/>
      <c r="E110" s="249"/>
      <c r="F110" s="249"/>
      <c r="G110" s="249"/>
      <c r="H110" s="249"/>
      <c r="I110" s="247"/>
      <c r="J110" s="249"/>
      <c r="K110" s="249"/>
      <c r="L110" s="249"/>
      <c r="M110" s="249"/>
      <c r="N110" s="249"/>
      <c r="O110" s="5"/>
      <c r="Q110" s="5"/>
      <c r="R110" s="5"/>
      <c r="S110" s="5"/>
    </row>
    <row r="111" spans="2:19">
      <c r="B111" s="5"/>
      <c r="C111" s="249"/>
      <c r="D111" s="249"/>
      <c r="E111" s="249"/>
      <c r="F111" s="249"/>
      <c r="G111" s="249"/>
      <c r="H111" s="249"/>
      <c r="I111" s="5"/>
      <c r="J111" s="249"/>
      <c r="K111" s="249"/>
      <c r="L111" s="249"/>
      <c r="M111" s="249"/>
      <c r="N111" s="249"/>
      <c r="O111" s="5"/>
      <c r="Q111" s="5"/>
      <c r="R111" s="5"/>
      <c r="S111" s="5"/>
    </row>
    <row r="112" spans="2:19">
      <c r="B112" s="5"/>
      <c r="C112" s="247"/>
      <c r="D112" s="247"/>
      <c r="E112" s="247"/>
      <c r="F112" s="247"/>
      <c r="G112" s="247"/>
      <c r="H112" s="247"/>
      <c r="I112" s="5"/>
      <c r="J112" s="247"/>
      <c r="K112" s="247"/>
      <c r="L112" s="247"/>
      <c r="M112" s="247"/>
      <c r="N112" s="247"/>
      <c r="O112" s="5"/>
      <c r="Q112" s="5"/>
      <c r="R112" s="5"/>
      <c r="S112" s="5"/>
    </row>
    <row r="113" spans="2:19">
      <c r="B113" s="5"/>
      <c r="C113" s="5"/>
      <c r="D113" s="5"/>
      <c r="E113" s="5"/>
      <c r="F113" s="5"/>
      <c r="G113" s="5"/>
      <c r="H113" s="5"/>
      <c r="I113" s="5"/>
      <c r="J113" s="5"/>
      <c r="K113" s="5"/>
      <c r="L113" s="5"/>
      <c r="M113" s="5"/>
      <c r="N113" s="5"/>
      <c r="O113" s="5"/>
      <c r="Q113" s="5"/>
      <c r="R113" s="5"/>
      <c r="S113" s="5"/>
    </row>
    <row r="114" spans="2:19">
      <c r="B114" s="5"/>
      <c r="C114" s="5"/>
      <c r="D114" s="5"/>
      <c r="E114" s="5"/>
      <c r="F114" s="5"/>
      <c r="G114" s="5"/>
      <c r="H114" s="5"/>
      <c r="I114" s="5"/>
      <c r="J114" s="5"/>
      <c r="K114" s="5"/>
      <c r="L114" s="5"/>
      <c r="M114" s="5"/>
      <c r="N114" s="5"/>
      <c r="O114" s="5"/>
      <c r="Q114" s="5"/>
      <c r="R114" s="5"/>
      <c r="S114" s="5"/>
    </row>
    <row r="115" spans="2:19">
      <c r="B115" s="5"/>
      <c r="C115" s="5"/>
      <c r="D115" s="5"/>
      <c r="E115" s="5"/>
      <c r="F115" s="5"/>
      <c r="G115" s="5"/>
      <c r="H115" s="5"/>
      <c r="I115" s="49"/>
      <c r="J115" s="5"/>
      <c r="K115" s="5"/>
      <c r="L115" s="5"/>
      <c r="M115" s="5"/>
      <c r="N115" s="5"/>
      <c r="O115" s="5"/>
      <c r="Q115" s="41"/>
      <c r="R115" s="5"/>
      <c r="S115" s="5"/>
    </row>
    <row r="116" spans="2:19">
      <c r="B116" s="5"/>
      <c r="C116" s="5"/>
      <c r="D116" s="5"/>
      <c r="E116" s="5"/>
      <c r="F116" s="5"/>
      <c r="G116" s="5"/>
      <c r="H116" s="5"/>
      <c r="I116" s="5"/>
      <c r="J116" s="5"/>
      <c r="K116" s="5"/>
      <c r="L116" s="5"/>
      <c r="M116" s="5"/>
      <c r="N116" s="5"/>
      <c r="O116" s="5"/>
      <c r="Q116" s="5"/>
      <c r="R116" s="5"/>
      <c r="S116" s="5"/>
    </row>
    <row r="117" spans="2:19">
      <c r="B117" s="41"/>
      <c r="C117" s="49"/>
      <c r="D117" s="49"/>
      <c r="E117" s="49"/>
      <c r="F117" s="49"/>
      <c r="G117" s="49"/>
      <c r="H117" s="49"/>
      <c r="I117" s="254"/>
      <c r="J117" s="49"/>
      <c r="K117" s="49"/>
      <c r="L117" s="49"/>
      <c r="M117" s="49"/>
      <c r="N117" s="49"/>
      <c r="O117" s="49"/>
      <c r="Q117" s="5"/>
      <c r="R117" s="5"/>
      <c r="S117" s="5"/>
    </row>
    <row r="118" spans="2:19">
      <c r="B118" s="5"/>
      <c r="C118" s="5"/>
      <c r="D118" s="5"/>
      <c r="E118" s="5"/>
      <c r="F118" s="5"/>
      <c r="G118" s="5"/>
      <c r="H118" s="5"/>
      <c r="I118" s="249"/>
      <c r="J118" s="5"/>
      <c r="K118" s="5"/>
      <c r="L118" s="5"/>
      <c r="M118" s="5"/>
      <c r="N118" s="5"/>
      <c r="O118" s="5"/>
      <c r="Q118" s="5"/>
      <c r="R118" s="5"/>
      <c r="S118" s="5"/>
    </row>
    <row r="119" spans="2:19">
      <c r="B119" s="41"/>
      <c r="C119" s="254"/>
      <c r="D119" s="254"/>
      <c r="E119" s="254"/>
      <c r="F119" s="254"/>
      <c r="G119" s="254"/>
      <c r="H119" s="254"/>
      <c r="I119" s="254"/>
      <c r="J119" s="254"/>
      <c r="K119" s="254"/>
      <c r="L119" s="254"/>
      <c r="M119" s="254"/>
      <c r="N119" s="254"/>
      <c r="O119" s="248"/>
      <c r="Q119" s="5"/>
      <c r="R119" s="5"/>
      <c r="S119" s="5"/>
    </row>
    <row r="120" spans="2:19">
      <c r="B120" s="41"/>
      <c r="C120" s="254"/>
      <c r="D120" s="249"/>
      <c r="E120" s="249"/>
      <c r="F120" s="249"/>
      <c r="G120" s="249"/>
      <c r="H120" s="249"/>
      <c r="I120" s="254"/>
      <c r="J120" s="249"/>
      <c r="K120" s="249"/>
      <c r="L120" s="249"/>
      <c r="M120" s="249"/>
      <c r="N120" s="249"/>
      <c r="O120" s="248"/>
      <c r="Q120" s="5"/>
      <c r="R120" s="5"/>
      <c r="S120" s="5"/>
    </row>
    <row r="121" spans="2:19">
      <c r="B121" s="41"/>
      <c r="C121" s="254"/>
      <c r="D121" s="254"/>
      <c r="E121" s="254"/>
      <c r="F121" s="254"/>
      <c r="G121" s="254"/>
      <c r="H121" s="254"/>
      <c r="I121" s="254"/>
      <c r="J121" s="254"/>
      <c r="K121" s="254"/>
      <c r="L121" s="254"/>
      <c r="M121" s="254"/>
      <c r="N121" s="254"/>
      <c r="O121" s="248"/>
      <c r="Q121" s="5"/>
      <c r="R121" s="5"/>
      <c r="S121" s="5"/>
    </row>
    <row r="122" spans="2:19">
      <c r="B122" s="41"/>
      <c r="C122" s="254"/>
      <c r="D122" s="254"/>
      <c r="E122" s="254"/>
      <c r="F122" s="254"/>
      <c r="G122" s="254"/>
      <c r="H122" s="254"/>
      <c r="I122" s="254"/>
      <c r="J122" s="254"/>
      <c r="K122" s="254"/>
      <c r="L122" s="254"/>
      <c r="M122" s="254"/>
      <c r="N122" s="254"/>
      <c r="O122" s="248"/>
      <c r="Q122" s="5"/>
      <c r="R122" s="5"/>
      <c r="S122" s="5"/>
    </row>
    <row r="123" spans="2:19">
      <c r="B123" s="41"/>
      <c r="C123" s="254"/>
      <c r="D123" s="254"/>
      <c r="E123" s="254"/>
      <c r="F123" s="254"/>
      <c r="G123" s="254"/>
      <c r="H123" s="254"/>
      <c r="I123" s="254"/>
      <c r="J123" s="254"/>
      <c r="K123" s="254"/>
      <c r="L123" s="254"/>
      <c r="M123" s="254"/>
      <c r="N123" s="254"/>
      <c r="O123" s="248"/>
      <c r="Q123" s="5"/>
      <c r="R123" s="5"/>
      <c r="S123" s="5"/>
    </row>
    <row r="124" spans="2:19">
      <c r="B124" s="41"/>
      <c r="C124" s="254"/>
      <c r="D124" s="254"/>
      <c r="E124" s="254"/>
      <c r="F124" s="254"/>
      <c r="G124" s="254"/>
      <c r="H124" s="254"/>
      <c r="I124" s="254"/>
      <c r="J124" s="254"/>
      <c r="K124" s="254"/>
      <c r="L124" s="254"/>
      <c r="M124" s="254"/>
      <c r="N124" s="254"/>
      <c r="O124" s="248"/>
      <c r="Q124" s="5"/>
      <c r="R124" s="5"/>
      <c r="S124" s="5"/>
    </row>
    <row r="125" spans="2:19">
      <c r="B125" s="41"/>
      <c r="C125" s="254"/>
      <c r="D125" s="254"/>
      <c r="E125" s="254"/>
      <c r="F125" s="254"/>
      <c r="G125" s="254"/>
      <c r="H125" s="254"/>
      <c r="I125" s="254"/>
      <c r="J125" s="254"/>
      <c r="K125" s="254"/>
      <c r="L125" s="254"/>
      <c r="M125" s="254"/>
      <c r="N125" s="254"/>
      <c r="O125" s="5"/>
      <c r="Q125" s="5"/>
      <c r="R125" s="5"/>
      <c r="S125" s="5"/>
    </row>
    <row r="126" spans="2:19">
      <c r="B126" s="41"/>
      <c r="C126" s="254"/>
      <c r="D126" s="254"/>
      <c r="E126" s="254"/>
      <c r="F126" s="254"/>
      <c r="G126" s="254"/>
      <c r="H126" s="254"/>
      <c r="I126" s="254"/>
      <c r="J126" s="254"/>
      <c r="K126" s="254"/>
      <c r="L126" s="254"/>
      <c r="M126" s="254"/>
      <c r="N126" s="254"/>
      <c r="O126" s="5"/>
      <c r="Q126" s="5"/>
      <c r="R126" s="5"/>
      <c r="S126" s="5"/>
    </row>
    <row r="127" spans="2:19">
      <c r="B127" s="41"/>
      <c r="C127" s="254"/>
      <c r="D127" s="254"/>
      <c r="E127" s="254"/>
      <c r="F127" s="254"/>
      <c r="G127" s="254"/>
      <c r="H127" s="254"/>
      <c r="I127" s="18"/>
      <c r="J127" s="254"/>
      <c r="K127" s="254"/>
      <c r="L127" s="254"/>
      <c r="M127" s="254"/>
      <c r="N127" s="254"/>
      <c r="O127" s="5"/>
      <c r="Q127" s="5"/>
      <c r="R127" s="5"/>
      <c r="S127" s="5"/>
    </row>
    <row r="128" spans="2:19">
      <c r="B128" s="41"/>
      <c r="C128" s="254"/>
      <c r="D128" s="254"/>
      <c r="E128" s="254"/>
      <c r="F128" s="254"/>
      <c r="G128" s="254"/>
      <c r="H128" s="254"/>
      <c r="I128" s="5"/>
      <c r="J128" s="254"/>
      <c r="K128" s="254"/>
      <c r="L128" s="254"/>
      <c r="M128" s="254"/>
      <c r="N128" s="254"/>
      <c r="O128" s="5"/>
      <c r="Q128" s="5"/>
      <c r="R128" s="5"/>
      <c r="S128" s="5"/>
    </row>
    <row r="129" spans="2:27">
      <c r="B129" s="5"/>
      <c r="C129" s="5"/>
      <c r="D129" s="18"/>
      <c r="E129" s="18"/>
      <c r="F129" s="18"/>
      <c r="G129" s="18"/>
      <c r="H129" s="18"/>
      <c r="I129" s="254"/>
      <c r="J129" s="18"/>
      <c r="K129" s="18"/>
      <c r="L129" s="18"/>
      <c r="M129" s="18"/>
      <c r="N129" s="18"/>
      <c r="O129" s="5"/>
      <c r="Q129" s="5"/>
      <c r="R129" s="5"/>
      <c r="S129" s="5"/>
    </row>
    <row r="130" spans="2:27">
      <c r="B130" s="5"/>
      <c r="C130" s="5"/>
      <c r="D130" s="5"/>
      <c r="E130" s="5"/>
      <c r="F130" s="5"/>
      <c r="G130" s="5"/>
      <c r="H130" s="5"/>
      <c r="I130" s="18"/>
      <c r="J130" s="5"/>
      <c r="K130" s="5"/>
      <c r="L130" s="5"/>
      <c r="M130" s="5"/>
      <c r="N130" s="5"/>
      <c r="O130" s="5"/>
      <c r="Q130" s="5"/>
      <c r="R130" s="5"/>
      <c r="S130" s="5"/>
    </row>
    <row r="131" spans="2:27">
      <c r="B131" s="41"/>
      <c r="C131" s="254"/>
      <c r="D131" s="254"/>
      <c r="E131" s="254"/>
      <c r="F131" s="254"/>
      <c r="G131" s="254"/>
      <c r="H131" s="254"/>
      <c r="I131" s="5"/>
      <c r="J131" s="254"/>
      <c r="K131" s="254"/>
      <c r="L131" s="254"/>
      <c r="M131" s="254"/>
      <c r="N131" s="254"/>
      <c r="O131" s="5"/>
      <c r="Q131" s="5"/>
      <c r="R131" s="5"/>
      <c r="S131" s="5"/>
    </row>
    <row r="132" spans="2:27">
      <c r="B132" s="5"/>
      <c r="C132" s="259"/>
      <c r="D132" s="18"/>
      <c r="E132" s="18"/>
      <c r="F132" s="18"/>
      <c r="G132" s="18"/>
      <c r="H132" s="18"/>
      <c r="I132" s="5"/>
      <c r="J132" s="18"/>
      <c r="K132" s="18"/>
      <c r="L132" s="18"/>
      <c r="M132" s="18"/>
      <c r="N132" s="18"/>
      <c r="O132" s="5"/>
      <c r="Q132" s="5"/>
      <c r="R132" s="5"/>
      <c r="S132" s="5"/>
    </row>
    <row r="133" spans="2:27">
      <c r="B133" s="5"/>
      <c r="C133" s="5"/>
      <c r="D133" s="5"/>
      <c r="E133" s="5"/>
      <c r="F133" s="5"/>
      <c r="G133" s="5"/>
      <c r="H133" s="5"/>
      <c r="I133" s="17"/>
      <c r="J133" s="5"/>
      <c r="K133" s="5"/>
      <c r="L133" s="5"/>
      <c r="M133" s="5"/>
      <c r="N133" s="5"/>
      <c r="O133" s="5"/>
      <c r="Q133" s="5"/>
      <c r="R133" s="5"/>
      <c r="S133" s="5"/>
    </row>
    <row r="134" spans="2:27">
      <c r="B134" s="41"/>
      <c r="C134" s="5"/>
      <c r="D134" s="5"/>
      <c r="E134" s="5"/>
      <c r="F134" s="5"/>
      <c r="G134" s="5"/>
      <c r="H134" s="5"/>
      <c r="I134" s="17"/>
      <c r="J134" s="5"/>
      <c r="K134" s="5"/>
      <c r="L134" s="5"/>
      <c r="M134" s="5"/>
      <c r="N134" s="5"/>
      <c r="O134" s="5"/>
      <c r="Q134" s="5"/>
      <c r="R134" s="5"/>
      <c r="S134" s="5"/>
    </row>
    <row r="135" spans="2:27">
      <c r="B135" s="5"/>
      <c r="C135" s="17"/>
      <c r="D135" s="17"/>
      <c r="E135" s="17"/>
      <c r="F135" s="17"/>
      <c r="G135" s="17"/>
      <c r="H135" s="17"/>
      <c r="I135" s="17"/>
      <c r="J135" s="17"/>
      <c r="K135" s="17"/>
      <c r="L135" s="17"/>
      <c r="M135" s="17"/>
      <c r="N135" s="17"/>
      <c r="O135" s="5"/>
      <c r="Q135" s="41"/>
      <c r="R135" s="5"/>
      <c r="S135" s="5"/>
    </row>
    <row r="136" spans="2:27">
      <c r="B136" s="5"/>
      <c r="C136" s="17"/>
      <c r="D136" s="17"/>
      <c r="E136" s="17"/>
      <c r="F136" s="17"/>
      <c r="G136" s="17"/>
      <c r="H136" s="17"/>
      <c r="I136" s="17"/>
      <c r="J136" s="17"/>
      <c r="K136" s="17"/>
      <c r="L136" s="17"/>
      <c r="M136" s="17"/>
      <c r="N136" s="17"/>
      <c r="O136" s="5"/>
      <c r="Q136" s="5"/>
      <c r="R136" s="5"/>
      <c r="S136" s="5"/>
      <c r="X136" s="304"/>
    </row>
    <row r="137" spans="2:27">
      <c r="B137" s="5"/>
      <c r="C137" s="5"/>
      <c r="D137" s="17"/>
      <c r="E137" s="17"/>
      <c r="F137" s="17"/>
      <c r="G137" s="17"/>
      <c r="H137" s="17"/>
      <c r="I137" s="17"/>
      <c r="J137" s="17"/>
      <c r="K137" s="17"/>
      <c r="L137" s="17"/>
      <c r="M137" s="17"/>
      <c r="N137" s="17"/>
      <c r="O137" s="5"/>
      <c r="Q137" s="5"/>
      <c r="R137" s="5"/>
      <c r="S137" s="5"/>
      <c r="X137" s="10"/>
      <c r="Y137" s="304"/>
      <c r="Z137" s="304"/>
      <c r="AA137" s="304"/>
    </row>
    <row r="138" spans="2:27">
      <c r="B138" s="5"/>
      <c r="C138" s="5"/>
      <c r="D138" s="17"/>
      <c r="E138" s="17"/>
      <c r="F138" s="17"/>
      <c r="G138" s="17"/>
      <c r="H138" s="17"/>
      <c r="I138" s="17"/>
      <c r="J138" s="17"/>
      <c r="K138" s="17"/>
      <c r="L138" s="17"/>
      <c r="M138" s="17"/>
      <c r="N138" s="17"/>
      <c r="O138" s="5"/>
      <c r="Q138" s="5"/>
      <c r="R138" s="5"/>
      <c r="S138" s="5"/>
      <c r="Y138" s="10"/>
      <c r="Z138" s="10"/>
      <c r="AA138" s="10"/>
    </row>
    <row r="139" spans="2:27">
      <c r="B139" s="5"/>
      <c r="C139" s="5"/>
      <c r="D139" s="17"/>
      <c r="E139" s="17"/>
      <c r="F139" s="17"/>
      <c r="G139" s="17"/>
      <c r="H139" s="17"/>
      <c r="I139" s="5"/>
      <c r="J139" s="17"/>
      <c r="K139" s="17"/>
      <c r="L139" s="17"/>
      <c r="M139" s="17"/>
      <c r="N139" s="17"/>
      <c r="O139" s="5"/>
      <c r="Q139" s="5"/>
      <c r="R139" s="5"/>
      <c r="S139" s="5"/>
    </row>
    <row r="140" spans="2:27">
      <c r="B140" s="5"/>
      <c r="C140" s="17"/>
      <c r="D140" s="17"/>
      <c r="E140" s="17"/>
      <c r="F140" s="17"/>
      <c r="G140" s="17"/>
      <c r="H140" s="17"/>
      <c r="I140" s="5"/>
      <c r="J140" s="17"/>
      <c r="K140" s="17"/>
      <c r="L140" s="17"/>
      <c r="M140" s="17"/>
      <c r="N140" s="17"/>
      <c r="O140" s="5"/>
      <c r="Q140" s="5"/>
      <c r="R140" s="5"/>
      <c r="S140" s="5"/>
    </row>
    <row r="141" spans="2:27">
      <c r="B141" s="5"/>
      <c r="C141" s="5"/>
      <c r="D141" s="5"/>
      <c r="E141" s="5"/>
      <c r="F141" s="5"/>
      <c r="G141" s="5"/>
      <c r="H141" s="5"/>
      <c r="I141" s="5"/>
      <c r="J141" s="5"/>
      <c r="K141" s="5"/>
      <c r="L141" s="5"/>
      <c r="M141" s="5"/>
      <c r="N141" s="5"/>
      <c r="O141" s="5"/>
      <c r="Q141" s="5"/>
      <c r="R141" s="5"/>
      <c r="S141" s="5"/>
    </row>
    <row r="142" spans="2:27">
      <c r="B142" s="5"/>
      <c r="C142" s="5"/>
      <c r="D142" s="5"/>
      <c r="E142" s="5"/>
      <c r="F142" s="5"/>
      <c r="G142" s="5"/>
      <c r="H142" s="5"/>
      <c r="I142" s="5"/>
      <c r="J142" s="5"/>
      <c r="K142" s="5"/>
      <c r="L142" s="5"/>
      <c r="M142" s="5"/>
      <c r="N142" s="5"/>
      <c r="O142" s="5"/>
      <c r="Q142" s="5"/>
      <c r="R142" s="5"/>
      <c r="S142" s="5"/>
    </row>
    <row r="143" spans="2:27">
      <c r="B143" s="5"/>
      <c r="C143" s="5"/>
      <c r="D143" s="5"/>
      <c r="E143" s="5"/>
      <c r="F143" s="5"/>
      <c r="G143" s="5"/>
      <c r="H143" s="5"/>
      <c r="I143" s="5"/>
      <c r="J143" s="5"/>
      <c r="K143" s="5"/>
      <c r="L143" s="5"/>
      <c r="M143" s="5"/>
      <c r="N143" s="5"/>
      <c r="O143" s="5"/>
      <c r="Q143" s="5"/>
      <c r="R143" s="5"/>
      <c r="S143" s="5"/>
    </row>
    <row r="144" spans="2:27">
      <c r="B144" s="5"/>
      <c r="C144" s="5"/>
      <c r="D144" s="5"/>
      <c r="E144" s="5"/>
      <c r="F144" s="5"/>
      <c r="G144" s="5"/>
      <c r="H144" s="5"/>
      <c r="I144" s="5"/>
      <c r="J144" s="5"/>
      <c r="K144" s="5"/>
      <c r="L144" s="5"/>
      <c r="M144" s="5"/>
      <c r="N144" s="5"/>
      <c r="O144" s="5"/>
      <c r="Q144" s="5"/>
      <c r="R144" s="5"/>
      <c r="S144" s="5"/>
    </row>
    <row r="145" spans="2:19">
      <c r="B145" s="5"/>
      <c r="C145" s="5"/>
      <c r="D145" s="5"/>
      <c r="E145" s="5"/>
      <c r="F145" s="5"/>
      <c r="G145" s="5"/>
      <c r="H145" s="5"/>
      <c r="I145" s="5"/>
      <c r="J145" s="5"/>
      <c r="K145" s="5"/>
      <c r="L145" s="5"/>
      <c r="M145" s="5"/>
      <c r="N145" s="5"/>
      <c r="O145" s="5"/>
      <c r="Q145" s="5"/>
      <c r="R145" s="5"/>
      <c r="S145" s="5"/>
    </row>
    <row r="146" spans="2:19">
      <c r="B146" s="5"/>
      <c r="C146" s="5"/>
      <c r="D146" s="5"/>
      <c r="E146" s="5"/>
      <c r="F146" s="5"/>
      <c r="G146" s="5"/>
      <c r="H146" s="5"/>
      <c r="I146" s="5"/>
      <c r="J146" s="5"/>
      <c r="K146" s="5"/>
      <c r="L146" s="5"/>
      <c r="M146" s="5"/>
      <c r="N146" s="5"/>
      <c r="O146" s="5"/>
      <c r="Q146" s="5"/>
      <c r="R146" s="5"/>
      <c r="S146" s="5"/>
    </row>
    <row r="147" spans="2:19">
      <c r="B147" s="5"/>
      <c r="C147" s="5"/>
      <c r="D147" s="5"/>
      <c r="E147" s="5"/>
      <c r="F147" s="5"/>
      <c r="G147" s="5"/>
      <c r="H147" s="5"/>
      <c r="I147" s="5"/>
      <c r="J147" s="5"/>
      <c r="K147" s="5"/>
      <c r="L147" s="5"/>
      <c r="M147" s="5"/>
      <c r="N147" s="5"/>
      <c r="O147" s="5"/>
      <c r="Q147" s="5"/>
      <c r="R147" s="5"/>
      <c r="S147" s="5"/>
    </row>
    <row r="148" spans="2:19">
      <c r="B148" s="5"/>
      <c r="C148" s="5"/>
      <c r="D148" s="5"/>
      <c r="E148" s="5"/>
      <c r="F148" s="5"/>
      <c r="G148" s="5"/>
      <c r="H148" s="5"/>
      <c r="I148" s="5"/>
      <c r="J148" s="5"/>
      <c r="K148" s="5"/>
      <c r="L148" s="5"/>
      <c r="M148" s="5"/>
      <c r="N148" s="5"/>
      <c r="O148" s="5"/>
      <c r="Q148" s="5"/>
      <c r="R148" s="5"/>
      <c r="S148" s="5"/>
    </row>
    <row r="149" spans="2:19">
      <c r="B149" s="5"/>
      <c r="C149" s="5"/>
      <c r="D149" s="5"/>
      <c r="E149" s="5"/>
      <c r="F149" s="5"/>
      <c r="G149" s="5"/>
      <c r="H149" s="5"/>
      <c r="J149" s="5"/>
      <c r="K149" s="5"/>
      <c r="L149" s="5"/>
      <c r="M149" s="5"/>
      <c r="N149" s="5"/>
      <c r="O149" s="5"/>
      <c r="Q149" s="5"/>
      <c r="R149" s="5"/>
      <c r="S149" s="5"/>
    </row>
    <row r="150" spans="2:19">
      <c r="B150" s="5"/>
      <c r="C150" s="5"/>
      <c r="D150" s="5"/>
      <c r="E150" s="5"/>
      <c r="F150" s="5"/>
      <c r="G150" s="5"/>
      <c r="H150" s="5"/>
      <c r="J150" s="5"/>
      <c r="K150" s="5"/>
      <c r="L150" s="5"/>
      <c r="M150" s="5"/>
      <c r="N150" s="5"/>
      <c r="O150" s="5"/>
      <c r="Q150" s="5"/>
      <c r="R150" s="5"/>
      <c r="S150" s="5"/>
    </row>
    <row r="151" spans="2:19">
      <c r="Q151" s="5"/>
      <c r="R151" s="5"/>
      <c r="S151" s="5"/>
    </row>
    <row r="152" spans="2:19">
      <c r="Q152" s="5"/>
      <c r="R152" s="5"/>
      <c r="S152" s="5"/>
    </row>
    <row r="153" spans="2:19">
      <c r="C153" s="263"/>
      <c r="Q153" s="5"/>
      <c r="R153" s="5"/>
      <c r="S153" s="5"/>
    </row>
    <row r="154" spans="2:19">
      <c r="Q154" s="5"/>
      <c r="R154" s="5"/>
      <c r="S154" s="5"/>
    </row>
    <row r="155" spans="2:19">
      <c r="Q155" s="5"/>
      <c r="R155" s="5"/>
      <c r="S155" s="5"/>
    </row>
    <row r="156" spans="2:19">
      <c r="Q156" s="5"/>
      <c r="R156" s="5"/>
      <c r="S156" s="5"/>
    </row>
    <row r="157" spans="2:19">
      <c r="Q157" s="5"/>
      <c r="R157" s="5"/>
      <c r="S157" s="5"/>
    </row>
    <row r="158" spans="2:19">
      <c r="Q158" s="5"/>
      <c r="R158" s="5"/>
      <c r="S158" s="5"/>
    </row>
    <row r="159" spans="2:19">
      <c r="Q159" s="5"/>
      <c r="R159" s="5"/>
      <c r="S159" s="5"/>
    </row>
    <row r="160" spans="2:19">
      <c r="Q160" s="5"/>
      <c r="R160" s="5"/>
      <c r="S160" s="5"/>
    </row>
    <row r="161" spans="17:19">
      <c r="Q161" s="5"/>
      <c r="R161" s="5"/>
      <c r="S161" s="5"/>
    </row>
    <row r="162" spans="17:19">
      <c r="Q162" s="5"/>
      <c r="R162" s="5"/>
      <c r="S162" s="5"/>
    </row>
    <row r="163" spans="17:19">
      <c r="Q163" s="5"/>
      <c r="R163" s="5"/>
      <c r="S163" s="5"/>
    </row>
    <row r="164" spans="17:19">
      <c r="Q164" s="5"/>
      <c r="R164" s="5"/>
      <c r="S164" s="5"/>
    </row>
    <row r="165" spans="17:19">
      <c r="Q165" s="5"/>
      <c r="R165" s="5"/>
      <c r="S165" s="5"/>
    </row>
  </sheetData>
  <pageMargins left="0.75" right="0.75" top="1" bottom="1" header="0.5" footer="0.5"/>
  <pageSetup scale="71" orientation="landscape"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35">
    <pageSetUpPr fitToPage="1"/>
  </sheetPr>
  <dimension ref="B1:AR165"/>
  <sheetViews>
    <sheetView showGridLines="0" zoomScale="80" zoomScaleNormal="80" zoomScaleSheetLayoutView="80" workbookViewId="0"/>
  </sheetViews>
  <sheetFormatPr defaultColWidth="9.109375" defaultRowHeight="12"/>
  <cols>
    <col min="1" max="1" width="2.33203125" style="39" customWidth="1"/>
    <col min="2" max="2" width="26.5546875" style="39" customWidth="1"/>
    <col min="3" max="9" width="10" style="39" customWidth="1"/>
    <col min="10" max="10" width="26.6640625" style="39" customWidth="1"/>
    <col min="11" max="16" width="10" style="39" customWidth="1"/>
    <col min="17" max="19" width="8.6640625" style="39" customWidth="1"/>
    <col min="20" max="28" width="8.6640625" style="5" customWidth="1"/>
    <col min="29" max="44" width="9.109375" style="5"/>
    <col min="45" max="16384" width="9.109375" style="39"/>
  </cols>
  <sheetData>
    <row r="1" spans="2:44" s="312" customFormat="1">
      <c r="T1" s="149"/>
      <c r="U1" s="149"/>
      <c r="V1" s="149"/>
      <c r="W1" s="149"/>
      <c r="X1" s="149"/>
      <c r="Y1" s="149"/>
      <c r="Z1" s="149"/>
      <c r="AA1" s="149"/>
      <c r="AB1" s="149"/>
      <c r="AC1" s="149"/>
      <c r="AD1" s="149"/>
      <c r="AE1" s="149"/>
      <c r="AF1" s="149"/>
      <c r="AG1" s="149"/>
      <c r="AH1" s="149"/>
      <c r="AI1" s="149"/>
      <c r="AJ1" s="149"/>
      <c r="AK1" s="149"/>
      <c r="AL1" s="149"/>
      <c r="AM1" s="149"/>
      <c r="AN1" s="149"/>
      <c r="AO1" s="149"/>
      <c r="AP1" s="149"/>
      <c r="AQ1" s="149"/>
      <c r="AR1" s="149"/>
    </row>
    <row r="2" spans="2:44" s="149" customFormat="1"/>
    <row r="3" spans="2:44" s="149" customFormat="1">
      <c r="H3" s="153"/>
      <c r="P3" s="153"/>
    </row>
    <row r="4" spans="2:44" s="156" customFormat="1" ht="21">
      <c r="B4" s="129" t="s">
        <v>1029</v>
      </c>
      <c r="H4" s="222"/>
      <c r="P4" s="222"/>
    </row>
    <row r="5" spans="2:44" s="149" customFormat="1">
      <c r="C5" s="153"/>
      <c r="D5" s="153" t="str" cm="1">
        <f t="array" ref="D5:H5">headings</f>
        <v>2023E</v>
      </c>
      <c r="E5" s="153" t="str">
        <v>2024E</v>
      </c>
      <c r="F5" s="153" t="str">
        <v>2025E</v>
      </c>
      <c r="G5" s="153" t="str">
        <v>2026E</v>
      </c>
      <c r="H5" s="153" t="str">
        <v>23E-26E</v>
      </c>
      <c r="I5" s="153"/>
      <c r="J5" s="153"/>
      <c r="K5" s="153"/>
      <c r="L5" s="153" t="str" cm="1">
        <f t="array" ref="L5:P5">headings</f>
        <v>2023E</v>
      </c>
      <c r="M5" s="153" t="str">
        <v>2024E</v>
      </c>
      <c r="N5" s="153" t="str">
        <v>2025E</v>
      </c>
      <c r="O5" s="153" t="str">
        <v>2026E</v>
      </c>
      <c r="P5" s="153" t="str">
        <v>23E-26E</v>
      </c>
      <c r="Q5" s="162"/>
      <c r="R5" s="162"/>
      <c r="S5" s="162"/>
      <c r="T5" s="162"/>
      <c r="U5" s="162"/>
      <c r="V5" s="162"/>
      <c r="W5" s="162"/>
      <c r="X5" s="162"/>
      <c r="Y5" s="162"/>
    </row>
    <row r="6" spans="2:44">
      <c r="I6" s="5"/>
      <c r="J6" s="5"/>
      <c r="K6" s="5"/>
      <c r="L6" s="5"/>
      <c r="M6" s="5"/>
      <c r="N6" s="5"/>
      <c r="O6" s="49"/>
    </row>
    <row r="7" spans="2:44" ht="12.6" thickBot="1">
      <c r="B7" s="306" t="s">
        <v>271</v>
      </c>
      <c r="C7" s="265"/>
      <c r="D7" s="265" t="str">
        <f>D5</f>
        <v>2023E</v>
      </c>
      <c r="E7" s="265" t="str">
        <f t="shared" ref="E7:H7" si="0">E5</f>
        <v>2024E</v>
      </c>
      <c r="F7" s="265" t="str">
        <f t="shared" si="0"/>
        <v>2025E</v>
      </c>
      <c r="G7" s="265" t="str">
        <f t="shared" si="0"/>
        <v>2026E</v>
      </c>
      <c r="H7" s="265" t="str">
        <f t="shared" si="0"/>
        <v>23E-26E</v>
      </c>
      <c r="I7" s="49"/>
      <c r="J7" s="306" t="s">
        <v>74</v>
      </c>
      <c r="K7" s="306"/>
      <c r="L7" s="265" t="str">
        <f>L5</f>
        <v>2023E</v>
      </c>
      <c r="M7" s="265" t="str">
        <f t="shared" ref="M7:P7" si="1">M5</f>
        <v>2024E</v>
      </c>
      <c r="N7" s="265" t="str">
        <f t="shared" si="1"/>
        <v>2025E</v>
      </c>
      <c r="O7" s="265" t="str">
        <f t="shared" si="1"/>
        <v>2026E</v>
      </c>
      <c r="P7" s="265" t="str">
        <f t="shared" si="1"/>
        <v>23E-26E</v>
      </c>
    </row>
    <row r="8" spans="2:44" ht="12.6" thickTop="1">
      <c r="B8" s="5"/>
      <c r="C8" s="5"/>
      <c r="D8" s="5"/>
      <c r="E8" s="5"/>
      <c r="F8" s="5"/>
      <c r="G8" s="5"/>
      <c r="H8" s="5"/>
      <c r="I8" s="5"/>
      <c r="J8" s="5"/>
      <c r="K8" s="5"/>
      <c r="L8" s="5"/>
      <c r="M8" s="5"/>
      <c r="N8" s="5"/>
      <c r="S8" s="88"/>
      <c r="T8" s="42"/>
      <c r="U8" s="42"/>
      <c r="V8" s="42"/>
      <c r="W8" s="42"/>
      <c r="X8" s="42"/>
      <c r="Y8" s="42"/>
      <c r="Z8" s="42"/>
      <c r="AA8" s="42"/>
    </row>
    <row r="9" spans="2:44">
      <c r="B9" s="41" t="s">
        <v>548</v>
      </c>
      <c r="C9" s="267">
        <f>Prices!$C$98</f>
        <v>0.92</v>
      </c>
      <c r="D9" s="535">
        <v>0</v>
      </c>
      <c r="E9" s="536">
        <v>0</v>
      </c>
      <c r="F9" s="536">
        <v>0</v>
      </c>
      <c r="G9" s="536">
        <v>0</v>
      </c>
      <c r="H9" s="249"/>
      <c r="I9" s="249"/>
      <c r="J9" s="5" t="s">
        <v>273</v>
      </c>
      <c r="L9" s="529">
        <f>'AGG ASIA CELLULAR'!D37</f>
        <v>2.0832818906884643</v>
      </c>
      <c r="M9" s="529">
        <f>'AGG ASIA CELLULAR'!E37</f>
        <v>1.9180381131180324</v>
      </c>
      <c r="N9" s="529">
        <f>'AGG ASIA CELLULAR'!F37</f>
        <v>1.6973984727138696</v>
      </c>
      <c r="O9" s="529">
        <f>'AGG ASIA CELLULAR'!G37</f>
        <v>1.4849146547081604</v>
      </c>
      <c r="P9" s="286">
        <f>'AGG ASIA CELLULAR'!H37</f>
        <v>5.2823672985303771E-2</v>
      </c>
      <c r="S9" s="88"/>
      <c r="T9" s="42"/>
      <c r="U9" s="42"/>
      <c r="V9" s="42"/>
      <c r="W9" s="42"/>
      <c r="X9" s="42"/>
      <c r="Y9" s="42"/>
      <c r="Z9" s="42"/>
      <c r="AA9" s="42"/>
    </row>
    <row r="10" spans="2:44">
      <c r="B10" s="5" t="s">
        <v>274</v>
      </c>
      <c r="C10" s="5"/>
      <c r="D10" s="531">
        <v>175278</v>
      </c>
      <c r="E10" s="531">
        <v>176008</v>
      </c>
      <c r="F10" s="531">
        <v>176008</v>
      </c>
      <c r="G10" s="531">
        <v>174812</v>
      </c>
      <c r="H10" s="247"/>
      <c r="I10" s="247"/>
      <c r="J10" s="5" t="s">
        <v>184</v>
      </c>
      <c r="L10" s="529">
        <f>'AGG ASIA CELLULAR'!D38</f>
        <v>6.3578764048835863</v>
      </c>
      <c r="M10" s="529">
        <f>'AGG ASIA CELLULAR'!E38</f>
        <v>5.8349432944863064</v>
      </c>
      <c r="N10" s="529">
        <f>'AGG ASIA CELLULAR'!F38</f>
        <v>5.103853656504258</v>
      </c>
      <c r="O10" s="529">
        <f>'AGG ASIA CELLULAR'!G38</f>
        <v>4.4165179955724438</v>
      </c>
      <c r="P10" s="286">
        <f>'AGG ASIA CELLULAR'!H38</f>
        <v>6.1901299000113985E-2</v>
      </c>
      <c r="S10" s="88"/>
      <c r="T10" s="42"/>
      <c r="U10" s="42"/>
      <c r="V10" s="42"/>
      <c r="W10" s="288"/>
      <c r="X10" s="288"/>
      <c r="Y10" s="288"/>
      <c r="Z10" s="288"/>
      <c r="AA10" s="42"/>
    </row>
    <row r="11" spans="2:44">
      <c r="B11" s="41" t="s">
        <v>435</v>
      </c>
      <c r="C11" s="5"/>
      <c r="D11" s="532">
        <f>$C$9*D10/Prices!$C$167*Prices!$C$175</f>
        <v>149518.87503014013</v>
      </c>
      <c r="E11" s="532">
        <f>$C$9*E10/Prices!$C$167*Prices!$C$175</f>
        <v>150141.59310526654</v>
      </c>
      <c r="F11" s="532">
        <f>$C$9*F10/Prices!$C$167*Prices!$C$175</f>
        <v>150141.59310526654</v>
      </c>
      <c r="G11" s="532">
        <f>$C$9*G10/Prices!$C$167*Prices!$C$175</f>
        <v>149121.35910821016</v>
      </c>
      <c r="H11" s="249"/>
      <c r="I11" s="249"/>
      <c r="J11" s="5" t="s">
        <v>185</v>
      </c>
      <c r="L11" s="529">
        <f>'AGG ASIA CELLULAR'!D39</f>
        <v>12.256315794878686</v>
      </c>
      <c r="M11" s="529">
        <f>'AGG ASIA CELLULAR'!E39</f>
        <v>10.532349001792122</v>
      </c>
      <c r="N11" s="529">
        <f>'AGG ASIA CELLULAR'!F39</f>
        <v>8.8097379743624202</v>
      </c>
      <c r="O11" s="529">
        <f>'AGG ASIA CELLULAR'!G39</f>
        <v>7.3400525025099741</v>
      </c>
      <c r="P11" s="286">
        <f>'AGG ASIA CELLULAR'!H39</f>
        <v>0.11573327430771596</v>
      </c>
      <c r="S11" s="88"/>
      <c r="T11" s="42"/>
      <c r="U11" s="42"/>
      <c r="V11" s="42"/>
      <c r="W11" s="288"/>
      <c r="X11" s="288"/>
      <c r="Y11" s="288"/>
      <c r="Z11" s="288"/>
      <c r="AA11" s="42"/>
    </row>
    <row r="12" spans="2:44">
      <c r="B12" s="5" t="s">
        <v>24</v>
      </c>
      <c r="C12" s="249"/>
      <c r="D12" s="533">
        <v>58577.085960172139</v>
      </c>
      <c r="E12" s="533">
        <v>45871.551011444724</v>
      </c>
      <c r="F12" s="533">
        <v>34240.208593390817</v>
      </c>
      <c r="G12" s="533">
        <v>24103.375971890531</v>
      </c>
      <c r="H12" s="247"/>
      <c r="I12" s="247"/>
      <c r="J12" s="5" t="s">
        <v>466</v>
      </c>
      <c r="L12" s="529">
        <f>'AGG ASIA CELLULAR'!D40</f>
        <v>15.951300793811486</v>
      </c>
      <c r="M12" s="529">
        <f>'AGG ASIA CELLULAR'!E40</f>
        <v>13.847183646795452</v>
      </c>
      <c r="N12" s="529">
        <f>'AGG ASIA CELLULAR'!F40</f>
        <v>11.626709680654198</v>
      </c>
      <c r="O12" s="529">
        <f>'AGG ASIA CELLULAR'!G40</f>
        <v>9.7078389032116537</v>
      </c>
      <c r="P12" s="286">
        <f>'AGG ASIA CELLULAR'!H40</f>
        <v>0.10976572550111241</v>
      </c>
      <c r="S12" s="88"/>
      <c r="T12" s="42"/>
      <c r="U12" s="42"/>
      <c r="V12" s="42"/>
      <c r="W12" s="288"/>
      <c r="X12" s="288"/>
      <c r="Y12" s="288"/>
      <c r="Z12" s="288"/>
      <c r="AA12" s="42"/>
    </row>
    <row r="13" spans="2:44">
      <c r="B13" s="5" t="s">
        <v>529</v>
      </c>
      <c r="C13" s="257"/>
      <c r="D13" s="533">
        <v>0</v>
      </c>
      <c r="E13" s="533">
        <v>0</v>
      </c>
      <c r="F13" s="533">
        <v>0</v>
      </c>
      <c r="G13" s="533">
        <v>0</v>
      </c>
      <c r="H13" s="247"/>
      <c r="I13" s="247"/>
      <c r="J13" s="5" t="s">
        <v>530</v>
      </c>
      <c r="L13" s="529">
        <f>'AGG ASIA CELLULAR'!D41</f>
        <v>1.4274445412547272</v>
      </c>
      <c r="M13" s="529">
        <f>'AGG ASIA CELLULAR'!E41</f>
        <v>1.4179696737537477</v>
      </c>
      <c r="N13" s="529">
        <f>'AGG ASIA CELLULAR'!F41</f>
        <v>1.3450707920768976</v>
      </c>
      <c r="O13" s="529">
        <f>'AGG ASIA CELLULAR'!G41</f>
        <v>1.2618986136137988</v>
      </c>
      <c r="P13" s="286">
        <f>'AGG ASIA CELLULAR'!H41</f>
        <v>-2.0092563683029918E-2</v>
      </c>
      <c r="S13" s="88"/>
      <c r="T13" s="42"/>
      <c r="U13" s="42"/>
      <c r="V13" s="42"/>
      <c r="W13" s="42"/>
      <c r="X13" s="42"/>
      <c r="Y13" s="42"/>
      <c r="Z13" s="42"/>
      <c r="AA13" s="42"/>
    </row>
    <row r="14" spans="2:44">
      <c r="B14" s="5" t="s">
        <v>532</v>
      </c>
      <c r="C14" s="257"/>
      <c r="D14" s="533">
        <v>0</v>
      </c>
      <c r="E14" s="533">
        <v>0</v>
      </c>
      <c r="F14" s="533">
        <v>0</v>
      </c>
      <c r="G14" s="533">
        <v>0</v>
      </c>
      <c r="H14" s="247"/>
      <c r="I14" s="247"/>
      <c r="J14" s="5" t="s">
        <v>593</v>
      </c>
      <c r="L14" s="529">
        <f>'AGG ASIA CELLULAR'!D42</f>
        <v>2.9130695199933734</v>
      </c>
      <c r="M14" s="529">
        <f>'AGG ASIA CELLULAR'!E42</f>
        <v>2.8146219035099969</v>
      </c>
      <c r="N14" s="529">
        <f>'AGG ASIA CELLULAR'!F42</f>
        <v>2.5888583636405476</v>
      </c>
      <c r="O14" s="529">
        <f>'AGG ASIA CELLULAR'!G42</f>
        <v>2.3605815546209548</v>
      </c>
      <c r="P14" s="286">
        <f>'AGG ASIA CELLULAR'!H42</f>
        <v>8.7512202951403051E-3</v>
      </c>
      <c r="S14" s="88"/>
      <c r="T14" s="42"/>
      <c r="U14" s="42"/>
      <c r="V14" s="42"/>
      <c r="W14" s="42"/>
      <c r="X14" s="42"/>
      <c r="Y14" s="42"/>
      <c r="Z14" s="42"/>
      <c r="AA14" s="42"/>
    </row>
    <row r="15" spans="2:44">
      <c r="B15" s="5" t="s">
        <v>531</v>
      </c>
      <c r="C15" s="274"/>
      <c r="D15" s="533">
        <v>0</v>
      </c>
      <c r="E15" s="533">
        <v>0</v>
      </c>
      <c r="F15" s="533">
        <v>0</v>
      </c>
      <c r="G15" s="533">
        <v>0</v>
      </c>
      <c r="H15" s="247"/>
      <c r="I15" s="247"/>
      <c r="J15" s="5" t="s">
        <v>475</v>
      </c>
      <c r="L15" s="529">
        <f>'AGG ASIA CELLULAR'!D43</f>
        <v>19.278364274513134</v>
      </c>
      <c r="M15" s="529">
        <f>'AGG ASIA CELLULAR'!E43</f>
        <v>15.523038202411636</v>
      </c>
      <c r="N15" s="529">
        <f>'AGG ASIA CELLULAR'!F43</f>
        <v>13.257386088679914</v>
      </c>
      <c r="O15" s="529">
        <f>'AGG ASIA CELLULAR'!G43</f>
        <v>11.466142328229227</v>
      </c>
      <c r="P15" s="286">
        <f>'AGG ASIA CELLULAR'!H43</f>
        <v>0.18831027118838706</v>
      </c>
      <c r="S15" s="88"/>
      <c r="T15" s="42"/>
      <c r="U15" s="42"/>
      <c r="V15" s="42"/>
      <c r="W15" s="42"/>
      <c r="X15" s="42"/>
      <c r="Y15" s="42"/>
      <c r="Z15" s="42"/>
      <c r="AA15" s="42"/>
    </row>
    <row r="16" spans="2:44">
      <c r="B16" s="5" t="s">
        <v>534</v>
      </c>
      <c r="C16" s="257"/>
      <c r="D16" s="533">
        <v>0</v>
      </c>
      <c r="E16" s="533">
        <v>0</v>
      </c>
      <c r="F16" s="533">
        <v>10240.747199309291</v>
      </c>
      <c r="G16" s="533">
        <v>22936.966010923163</v>
      </c>
      <c r="H16" s="247"/>
      <c r="I16" s="247"/>
      <c r="J16" s="5" t="s">
        <v>533</v>
      </c>
      <c r="L16" s="529">
        <f>'AGG ASIA CELLULAR'!D44</f>
        <v>20.50009040888548</v>
      </c>
      <c r="M16" s="529">
        <f>'AGG ASIA CELLULAR'!E44</f>
        <v>17.31807909095523</v>
      </c>
      <c r="N16" s="529">
        <f>'AGG ASIA CELLULAR'!F44</f>
        <v>14.883294016253318</v>
      </c>
      <c r="O16" s="529">
        <f>'AGG ASIA CELLULAR'!G44</f>
        <v>13.16548576425039</v>
      </c>
      <c r="P16" s="286">
        <f>'AGG ASIA CELLULAR'!H44</f>
        <v>0.15839482711139796</v>
      </c>
      <c r="S16" s="88"/>
      <c r="T16" s="42"/>
      <c r="U16" s="42"/>
      <c r="V16" s="42"/>
      <c r="W16" s="42"/>
      <c r="X16" s="42"/>
      <c r="Y16" s="42"/>
      <c r="Z16" s="42"/>
      <c r="AA16" s="42"/>
    </row>
    <row r="17" spans="2:27">
      <c r="B17" s="5" t="s">
        <v>6</v>
      </c>
      <c r="C17" s="257"/>
      <c r="D17" s="533">
        <v>0</v>
      </c>
      <c r="E17" s="533">
        <v>0</v>
      </c>
      <c r="F17" s="533">
        <v>0</v>
      </c>
      <c r="G17" s="533">
        <v>0</v>
      </c>
      <c r="H17" s="247"/>
      <c r="I17" s="247"/>
      <c r="J17" s="5" t="s">
        <v>580</v>
      </c>
      <c r="L17" s="248">
        <f>'AGG ASIA CELLULAR'!D45</f>
        <v>4.174038595528512E-2</v>
      </c>
      <c r="M17" s="248">
        <f>'AGG ASIA CELLULAR'!E45</f>
        <v>4.4792872771489058E-2</v>
      </c>
      <c r="N17" s="248">
        <f>'AGG ASIA CELLULAR'!F45</f>
        <v>5.1203391440393167E-2</v>
      </c>
      <c r="O17" s="248">
        <f>'AGG ASIA CELLULAR'!G45</f>
        <v>5.7913719466381006E-2</v>
      </c>
      <c r="P17" s="286">
        <f>'AGG ASIA CELLULAR'!H45</f>
        <v>0.11470165475568339</v>
      </c>
      <c r="S17" s="88"/>
      <c r="T17" s="42"/>
      <c r="U17" s="42"/>
      <c r="V17" s="42"/>
      <c r="W17" s="42"/>
      <c r="X17" s="42"/>
      <c r="Y17" s="42"/>
      <c r="Z17" s="42"/>
      <c r="AA17" s="42"/>
    </row>
    <row r="18" spans="2:27" ht="12.6" thickBot="1">
      <c r="B18" s="41" t="s">
        <v>583</v>
      </c>
      <c r="C18" s="249"/>
      <c r="D18" s="534">
        <f>D11+D12+D13-D14+D15-D16-D17</f>
        <v>208095.96099031228</v>
      </c>
      <c r="E18" s="534">
        <f>E11+E12+E13-E14+E15-E16-E17</f>
        <v>196013.14411671128</v>
      </c>
      <c r="F18" s="534">
        <f>F11+F12+F13-F14+F15-F16-F17</f>
        <v>174141.05449934807</v>
      </c>
      <c r="G18" s="534">
        <f>G11+G12+G13-G14+G15-G16-G17</f>
        <v>150287.76906917751</v>
      </c>
      <c r="H18" s="276">
        <f>IF(D18=0,"nm",IF(G18=0,"nm",(G18/D18)^(1/3)-1))</f>
        <v>-0.10280537677070456</v>
      </c>
      <c r="I18" s="254"/>
      <c r="J18" s="5" t="s">
        <v>36</v>
      </c>
      <c r="L18" s="248" t="e">
        <f>'AGG ASIA CELLULAR'!D46</f>
        <v>#VALUE!</v>
      </c>
      <c r="M18" s="248" t="e">
        <f>'AGG ASIA CELLULAR'!E46</f>
        <v>#VALUE!</v>
      </c>
      <c r="N18" s="248" t="e">
        <f>'AGG ASIA CELLULAR'!F46</f>
        <v>#VALUE!</v>
      </c>
      <c r="O18" s="248" t="e">
        <f>'AGG ASIA CELLULAR'!G46</f>
        <v>#VALUE!</v>
      </c>
      <c r="P18" s="286" t="e">
        <f>'AGG ASIA CELLULAR'!H46</f>
        <v>#VALUE!</v>
      </c>
      <c r="S18" s="88"/>
      <c r="T18" s="42"/>
      <c r="U18" s="42"/>
      <c r="V18" s="42"/>
      <c r="W18" s="42"/>
      <c r="X18" s="42"/>
      <c r="Y18" s="42"/>
      <c r="Z18" s="42"/>
      <c r="AA18" s="42"/>
    </row>
    <row r="19" spans="2:27" ht="12.6" thickTop="1">
      <c r="B19" s="41"/>
      <c r="C19" s="249"/>
      <c r="D19" s="229"/>
      <c r="E19" s="229"/>
      <c r="F19" s="229"/>
      <c r="G19" s="229"/>
      <c r="H19" s="276"/>
      <c r="I19" s="254"/>
      <c r="J19" s="5" t="s">
        <v>581</v>
      </c>
      <c r="L19" s="248">
        <f>'AGG ASIA CELLULAR'!D47</f>
        <v>5.1871620732991598E-2</v>
      </c>
      <c r="M19" s="248">
        <f>'AGG ASIA CELLULAR'!E47</f>
        <v>6.4420378727447922E-2</v>
      </c>
      <c r="N19" s="248">
        <f>'AGG ASIA CELLULAR'!F47</f>
        <v>7.5429650559386677E-2</v>
      </c>
      <c r="O19" s="248">
        <f>'AGG ASIA CELLULAR'!G47</f>
        <v>8.7213290344219457E-2</v>
      </c>
      <c r="P19" s="286">
        <f>'AGG ASIA CELLULAR'!H47</f>
        <v>0.18831027118838706</v>
      </c>
      <c r="S19" s="88"/>
      <c r="T19" s="42"/>
      <c r="U19" s="42"/>
      <c r="V19" s="42"/>
      <c r="W19" s="42"/>
      <c r="X19" s="42"/>
      <c r="Y19" s="42"/>
      <c r="Z19" s="42"/>
      <c r="AA19" s="42"/>
    </row>
    <row r="20" spans="2:27">
      <c r="H20" s="277"/>
      <c r="I20" s="17"/>
      <c r="J20" s="5" t="s">
        <v>604</v>
      </c>
      <c r="L20" s="305">
        <f>'AGG ASIA CELLULAR'!D48</f>
        <v>0.92045377326476352</v>
      </c>
      <c r="M20" s="305">
        <f>'AGG ASIA CELLULAR'!E48</f>
        <v>0.79490390762892493</v>
      </c>
      <c r="N20" s="305">
        <f>'AGG ASIA CELLULAR'!F48</f>
        <v>0.7763724496707467</v>
      </c>
      <c r="O20" s="305">
        <f>'AGG ASIA CELLULAR'!G48</f>
        <v>0.75978089170129071</v>
      </c>
      <c r="P20" s="286" t="str">
        <f>'AGG ASIA CELLULAR'!H48</f>
        <v>nm</v>
      </c>
      <c r="S20" s="88"/>
      <c r="T20" s="42"/>
      <c r="U20" s="42"/>
      <c r="V20" s="42"/>
      <c r="W20" s="42"/>
      <c r="X20" s="42"/>
      <c r="Y20" s="42"/>
      <c r="Z20" s="42"/>
      <c r="AA20" s="42"/>
    </row>
    <row r="21" spans="2:27" ht="12.6" thickBot="1">
      <c r="B21" s="306" t="s">
        <v>935</v>
      </c>
      <c r="C21" s="265"/>
      <c r="D21" s="265" t="str">
        <f>D5</f>
        <v>2023E</v>
      </c>
      <c r="E21" s="265" t="str">
        <f t="shared" ref="E21:H21" si="2">E5</f>
        <v>2024E</v>
      </c>
      <c r="F21" s="265" t="str">
        <f t="shared" si="2"/>
        <v>2025E</v>
      </c>
      <c r="G21" s="265" t="str">
        <f t="shared" si="2"/>
        <v>2026E</v>
      </c>
      <c r="H21" s="265" t="str">
        <f t="shared" si="2"/>
        <v>23E-26E</v>
      </c>
      <c r="I21" s="49"/>
      <c r="J21" s="41"/>
      <c r="L21" s="250"/>
      <c r="M21" s="250"/>
      <c r="N21" s="250"/>
      <c r="O21" s="250"/>
      <c r="P21" s="286"/>
      <c r="S21" s="88"/>
      <c r="T21" s="42"/>
      <c r="U21" s="42"/>
      <c r="V21" s="42"/>
      <c r="W21" s="42"/>
      <c r="X21" s="42"/>
      <c r="Y21" s="42"/>
      <c r="Z21" s="42"/>
      <c r="AA21" s="42"/>
    </row>
    <row r="22" spans="2:27" ht="12.6" thickTop="1">
      <c r="B22" s="5"/>
      <c r="C22" s="257"/>
      <c r="D22" s="17"/>
      <c r="E22" s="17"/>
      <c r="F22" s="17"/>
      <c r="G22" s="17"/>
      <c r="H22" s="17"/>
      <c r="I22" s="17"/>
      <c r="P22" s="277"/>
      <c r="S22" s="88"/>
      <c r="T22" s="42"/>
      <c r="U22" s="42"/>
      <c r="V22" s="42"/>
      <c r="W22" s="42"/>
      <c r="X22" s="42"/>
      <c r="Y22" s="42"/>
      <c r="Z22" s="42"/>
      <c r="AA22" s="42"/>
    </row>
    <row r="23" spans="2:27" ht="12.6" thickBot="1">
      <c r="B23" s="5" t="s">
        <v>584</v>
      </c>
      <c r="C23" s="548">
        <v>92170</v>
      </c>
      <c r="D23" s="540">
        <v>94389.616013995415</v>
      </c>
      <c r="E23" s="540">
        <v>98844.019215369975</v>
      </c>
      <c r="F23" s="540">
        <v>104171.30652771334</v>
      </c>
      <c r="G23" s="540">
        <v>109561.70952467724</v>
      </c>
      <c r="H23" s="279">
        <f t="shared" ref="H23:H32" si="3">IF(D23=0,"nm",IF(G23=0,"nm",(G23/D23)^(1/3)-1))</f>
        <v>5.0940656920845484E-2</v>
      </c>
      <c r="I23" s="247"/>
      <c r="J23" s="306" t="s">
        <v>9</v>
      </c>
      <c r="K23" s="306"/>
      <c r="L23" s="265" t="str">
        <f>D21</f>
        <v>2023E</v>
      </c>
      <c r="M23" s="265" t="str">
        <f t="shared" ref="M23:P23" si="4">E21</f>
        <v>2024E</v>
      </c>
      <c r="N23" s="265" t="str">
        <f t="shared" si="4"/>
        <v>2025E</v>
      </c>
      <c r="O23" s="265" t="str">
        <f t="shared" si="4"/>
        <v>2026E</v>
      </c>
      <c r="P23" s="265" t="str">
        <f t="shared" si="4"/>
        <v>23E-26E</v>
      </c>
      <c r="S23" s="88"/>
      <c r="T23" s="42"/>
      <c r="U23" s="42"/>
      <c r="V23" s="42"/>
      <c r="W23" s="42"/>
      <c r="X23" s="42"/>
      <c r="Y23" s="42"/>
      <c r="Z23" s="42"/>
      <c r="AA23" s="42"/>
    </row>
    <row r="24" spans="2:27" ht="12.6" thickTop="1">
      <c r="B24" s="5" t="s">
        <v>483</v>
      </c>
      <c r="C24" s="549">
        <v>62844</v>
      </c>
      <c r="D24" s="540">
        <v>63931.591819793852</v>
      </c>
      <c r="E24" s="540">
        <v>67268.815267671089</v>
      </c>
      <c r="F24" s="540">
        <v>71395.148344408866</v>
      </c>
      <c r="G24" s="540">
        <v>75048.254375896358</v>
      </c>
      <c r="H24" s="279">
        <f t="shared" si="3"/>
        <v>5.4892874991649521E-2</v>
      </c>
      <c r="I24" s="249"/>
      <c r="J24" s="17"/>
      <c r="K24" s="17"/>
      <c r="L24" s="17"/>
      <c r="M24" s="17"/>
      <c r="N24" s="17"/>
      <c r="O24" s="248"/>
      <c r="S24" s="88"/>
      <c r="T24" s="42"/>
      <c r="U24" s="42"/>
      <c r="V24" s="42"/>
      <c r="W24" s="42" t="s">
        <v>1027</v>
      </c>
      <c r="X24" s="42" t="s">
        <v>257</v>
      </c>
      <c r="Y24" s="42"/>
      <c r="Z24" s="42"/>
      <c r="AA24" s="42"/>
    </row>
    <row r="25" spans="2:27">
      <c r="B25" s="5" t="s">
        <v>183</v>
      </c>
      <c r="C25" s="548">
        <v>36637</v>
      </c>
      <c r="D25" s="540">
        <v>42442.732032069478</v>
      </c>
      <c r="E25" s="540">
        <v>45112.007289634137</v>
      </c>
      <c r="F25" s="540">
        <v>47967.463256605573</v>
      </c>
      <c r="G25" s="540">
        <v>50311.54437873284</v>
      </c>
      <c r="H25" s="279">
        <f t="shared" si="3"/>
        <v>5.8330809067349998E-2</v>
      </c>
      <c r="I25" s="248"/>
      <c r="J25" s="247" t="s">
        <v>10</v>
      </c>
      <c r="K25" s="247"/>
      <c r="L25" s="321">
        <v>0</v>
      </c>
      <c r="M25" s="321">
        <v>0</v>
      </c>
      <c r="N25" s="321">
        <v>0</v>
      </c>
      <c r="O25" s="321">
        <v>0</v>
      </c>
      <c r="P25" s="279" t="str">
        <f>IF(L25=0,"nm",IF(O25=0,"nm",(O25/L25)^(1/3)-1))</f>
        <v>nm</v>
      </c>
      <c r="S25" s="88"/>
      <c r="T25" s="42"/>
      <c r="U25" s="42"/>
      <c r="V25" s="147" t="s">
        <v>273</v>
      </c>
      <c r="W25" s="288">
        <f>D37/L9</f>
        <v>1.0582575921801418</v>
      </c>
      <c r="X25" s="288">
        <v>1</v>
      </c>
      <c r="Y25" s="42"/>
      <c r="Z25" s="42"/>
      <c r="AA25" s="42"/>
    </row>
    <row r="26" spans="2:27">
      <c r="B26" s="5" t="s">
        <v>586</v>
      </c>
      <c r="C26" s="548">
        <v>36545.407500000001</v>
      </c>
      <c r="D26" s="540">
        <v>42336.625201989307</v>
      </c>
      <c r="E26" s="540">
        <v>44999.227271410055</v>
      </c>
      <c r="F26" s="540">
        <v>47847.544598464061</v>
      </c>
      <c r="G26" s="540">
        <v>50185.765517786014</v>
      </c>
      <c r="H26" s="279">
        <f t="shared" si="3"/>
        <v>5.8330809067349998E-2</v>
      </c>
      <c r="I26" s="249"/>
      <c r="J26" s="249" t="s">
        <v>11</v>
      </c>
      <c r="K26" s="249"/>
      <c r="L26" s="281">
        <f>D11+L25</f>
        <v>149518.87503014013</v>
      </c>
      <c r="M26" s="281">
        <f>E11+M25</f>
        <v>150141.59310526654</v>
      </c>
      <c r="N26" s="281">
        <f>F11+N25</f>
        <v>150141.59310526654</v>
      </c>
      <c r="O26" s="281">
        <f>G11+O25</f>
        <v>149121.35910821016</v>
      </c>
      <c r="P26" s="279">
        <f>IF(L26=0,"nm",IF(O26=0,"nm",(O26/L26)^(1/3)-1))</f>
        <v>-8.8699777019174419E-4</v>
      </c>
      <c r="Q26" s="5"/>
      <c r="S26" s="88"/>
      <c r="T26" s="42"/>
      <c r="U26" s="42"/>
      <c r="V26" s="147" t="s">
        <v>184</v>
      </c>
      <c r="W26" s="288">
        <f t="shared" ref="W26:W33" si="5">D38/L10</f>
        <v>0.51196002526127227</v>
      </c>
      <c r="X26" s="288">
        <v>1</v>
      </c>
      <c r="Y26" s="42"/>
      <c r="Z26" s="42"/>
      <c r="AA26" s="42"/>
    </row>
    <row r="27" spans="2:27">
      <c r="B27" s="5" t="s">
        <v>587</v>
      </c>
      <c r="C27" s="549">
        <v>274786.96717482596</v>
      </c>
      <c r="D27" s="540">
        <v>261566.75913108906</v>
      </c>
      <c r="E27" s="540">
        <v>237516.01788097562</v>
      </c>
      <c r="F27" s="540">
        <v>215859.03726085645</v>
      </c>
      <c r="G27" s="540">
        <v>196706.49874420819</v>
      </c>
      <c r="H27" s="279">
        <f t="shared" si="3"/>
        <v>-9.062002703563532E-2</v>
      </c>
      <c r="I27" s="249"/>
      <c r="J27" s="248"/>
      <c r="K27" s="248"/>
      <c r="L27" s="248"/>
      <c r="M27" s="248"/>
      <c r="N27" s="248"/>
      <c r="O27" s="248"/>
      <c r="Q27" s="41"/>
      <c r="S27" s="88"/>
      <c r="T27" s="42"/>
      <c r="U27" s="42"/>
      <c r="V27" s="147" t="s">
        <v>185</v>
      </c>
      <c r="W27" s="288">
        <f t="shared" si="5"/>
        <v>0.40003719821705258</v>
      </c>
      <c r="X27" s="288">
        <v>1</v>
      </c>
      <c r="Y27" s="42"/>
      <c r="Z27" s="42"/>
      <c r="AA27" s="42"/>
    </row>
    <row r="28" spans="2:27">
      <c r="B28" s="5" t="s">
        <v>592</v>
      </c>
      <c r="C28" s="548">
        <v>209377</v>
      </c>
      <c r="D28" s="540">
        <v>181234.9960247314</v>
      </c>
      <c r="E28" s="540">
        <v>154930.33688214066</v>
      </c>
      <c r="F28" s="540">
        <v>130739.96088593241</v>
      </c>
      <c r="G28" s="540">
        <v>108783.82770954864</v>
      </c>
      <c r="H28" s="279">
        <f t="shared" si="3"/>
        <v>-0.15645661424023349</v>
      </c>
      <c r="I28" s="248"/>
      <c r="Q28" s="5"/>
      <c r="S28" s="88"/>
      <c r="T28" s="42"/>
      <c r="U28" s="42"/>
      <c r="V28" s="147" t="s">
        <v>466</v>
      </c>
      <c r="W28" s="288">
        <f t="shared" si="5"/>
        <v>0.30814229325869652</v>
      </c>
      <c r="X28" s="288">
        <v>1</v>
      </c>
      <c r="Y28" s="42"/>
      <c r="Z28" s="42"/>
      <c r="AA28" s="42"/>
    </row>
    <row r="29" spans="2:27" ht="12.6" thickBot="1">
      <c r="B29" s="5" t="s">
        <v>588</v>
      </c>
      <c r="C29" s="548">
        <v>32112</v>
      </c>
      <c r="D29" s="540">
        <v>38227.306636382607</v>
      </c>
      <c r="E29" s="540">
        <v>40228.449184660138</v>
      </c>
      <c r="F29" s="540">
        <v>42120.270424452254</v>
      </c>
      <c r="G29" s="540">
        <v>43517.629378159661</v>
      </c>
      <c r="H29" s="279">
        <f t="shared" si="3"/>
        <v>4.4152284428296662E-2</v>
      </c>
      <c r="I29" s="252"/>
      <c r="J29" s="306" t="s">
        <v>1363</v>
      </c>
      <c r="K29" s="306"/>
      <c r="L29" s="265" t="str">
        <f>L$5</f>
        <v>2023E</v>
      </c>
      <c r="M29" s="265" t="str">
        <f t="shared" ref="M29:P29" si="6">M$5</f>
        <v>2024E</v>
      </c>
      <c r="N29" s="265" t="str">
        <f t="shared" si="6"/>
        <v>2025E</v>
      </c>
      <c r="O29" s="265" t="str">
        <f t="shared" si="6"/>
        <v>2026E</v>
      </c>
      <c r="P29" s="265" t="str">
        <f t="shared" si="6"/>
        <v>23E-26E</v>
      </c>
      <c r="Q29" s="5"/>
      <c r="S29" s="88"/>
      <c r="T29" s="42"/>
      <c r="U29" s="42"/>
      <c r="V29" s="147" t="s">
        <v>530</v>
      </c>
      <c r="W29" s="288">
        <f t="shared" si="5"/>
        <v>0.55734210735099854</v>
      </c>
      <c r="X29" s="288">
        <v>1</v>
      </c>
      <c r="Y29" s="42"/>
      <c r="Z29" s="42"/>
      <c r="AA29" s="42"/>
    </row>
    <row r="30" spans="2:27" ht="12.6" thickTop="1">
      <c r="B30" s="5" t="s">
        <v>589</v>
      </c>
      <c r="C30" s="549">
        <v>8787</v>
      </c>
      <c r="D30" s="540">
        <v>10085.302661113998</v>
      </c>
      <c r="E30" s="540">
        <v>13923.79004206938</v>
      </c>
      <c r="F30" s="540">
        <v>17929.894428244021</v>
      </c>
      <c r="G30" s="540">
        <v>21561.496201775895</v>
      </c>
      <c r="H30" s="279">
        <f t="shared" si="3"/>
        <v>0.28823962279927162</v>
      </c>
      <c r="I30" s="254"/>
      <c r="J30" s="248"/>
      <c r="K30" s="248"/>
      <c r="L30" s="248"/>
      <c r="M30" s="248"/>
      <c r="N30" s="248"/>
      <c r="O30" s="5"/>
      <c r="Q30" s="5"/>
      <c r="S30" s="88"/>
      <c r="T30" s="42"/>
      <c r="U30" s="42"/>
      <c r="V30" s="147" t="s">
        <v>593</v>
      </c>
      <c r="W30" s="288">
        <f t="shared" si="5"/>
        <v>0.39415835718275477</v>
      </c>
      <c r="X30" s="288">
        <v>1</v>
      </c>
      <c r="Y30" s="42"/>
      <c r="Z30" s="42"/>
      <c r="AA30" s="42"/>
    </row>
    <row r="31" spans="2:27">
      <c r="B31" s="5" t="s">
        <v>590</v>
      </c>
      <c r="C31" s="549">
        <v>5649.9238400000004</v>
      </c>
      <c r="D31" s="540">
        <v>6484.7151403941525</v>
      </c>
      <c r="E31" s="540">
        <v>8952.8113465167189</v>
      </c>
      <c r="F31" s="540">
        <v>11528.683052101864</v>
      </c>
      <c r="G31" s="540">
        <v>13863.754571125879</v>
      </c>
      <c r="H31" s="279">
        <f t="shared" si="3"/>
        <v>0.28823962279927162</v>
      </c>
      <c r="I31" s="254"/>
      <c r="J31" s="5" t="s">
        <v>737</v>
      </c>
      <c r="K31" s="247"/>
      <c r="L31" s="322">
        <v>3634906.424087591</v>
      </c>
      <c r="M31" s="322">
        <v>3740271.440916047</v>
      </c>
      <c r="N31" s="322">
        <v>3848738.9199741101</v>
      </c>
      <c r="O31" s="322">
        <v>3960351.9445357719</v>
      </c>
      <c r="Q31" s="5"/>
      <c r="S31" s="88"/>
      <c r="T31" s="42"/>
      <c r="U31" s="42"/>
      <c r="V31" s="147" t="s">
        <v>475</v>
      </c>
      <c r="W31" s="288">
        <f t="shared" si="5"/>
        <v>0.20288602730398678</v>
      </c>
      <c r="X31" s="288">
        <v>1</v>
      </c>
      <c r="Y31" s="42"/>
      <c r="Z31" s="42"/>
      <c r="AA31" s="42"/>
    </row>
    <row r="32" spans="2:27">
      <c r="B32" s="5" t="s">
        <v>606</v>
      </c>
      <c r="C32" s="550">
        <v>0</v>
      </c>
      <c r="D32" s="540">
        <v>0</v>
      </c>
      <c r="E32" s="540">
        <v>0</v>
      </c>
      <c r="F32" s="540">
        <v>0</v>
      </c>
      <c r="G32" s="540">
        <v>0</v>
      </c>
      <c r="H32" s="279" t="str">
        <f t="shared" si="3"/>
        <v>nm</v>
      </c>
      <c r="I32" s="254"/>
      <c r="J32" s="5" t="s">
        <v>1361</v>
      </c>
      <c r="K32" s="254"/>
      <c r="L32" s="322">
        <v>2061000</v>
      </c>
      <c r="M32" s="322">
        <v>2073061.4774999996</v>
      </c>
      <c r="N32" s="322">
        <v>2085219.9830655367</v>
      </c>
      <c r="O32" s="322">
        <v>2097449.7982662162</v>
      </c>
      <c r="Q32" s="5"/>
      <c r="S32" s="88"/>
      <c r="T32" s="42"/>
      <c r="U32" s="42"/>
      <c r="V32" s="147" t="s">
        <v>533</v>
      </c>
      <c r="W32" s="288">
        <f t="shared" si="5"/>
        <v>0.72318816192755941</v>
      </c>
      <c r="X32" s="288">
        <v>1</v>
      </c>
      <c r="Y32" s="42"/>
      <c r="Z32" s="42"/>
      <c r="AA32" s="42"/>
    </row>
    <row r="33" spans="2:27">
      <c r="B33" s="5" t="s">
        <v>5</v>
      </c>
      <c r="C33" s="549">
        <v>-2879</v>
      </c>
      <c r="D33" s="540">
        <v>-2164.43534286868</v>
      </c>
      <c r="E33" s="540">
        <v>-1635.197628666705</v>
      </c>
      <c r="F33" s="540">
        <v>-1349.1758038368346</v>
      </c>
      <c r="G33" s="540">
        <v>-1163.0630500704124</v>
      </c>
      <c r="H33" s="279">
        <f>IF(D33=0,"nm",IF(G33=0,"nm",(G33/D33)^(1/3)-1))</f>
        <v>-0.18700810886411101</v>
      </c>
      <c r="I33" s="5"/>
      <c r="Q33" s="5"/>
      <c r="S33" s="88"/>
      <c r="T33" s="42"/>
      <c r="U33" s="42"/>
      <c r="V33" s="147" t="s">
        <v>580</v>
      </c>
      <c r="W33" s="288">
        <f t="shared" si="5"/>
        <v>1.0390547258245582</v>
      </c>
      <c r="X33" s="288">
        <v>1</v>
      </c>
      <c r="Y33" s="42"/>
      <c r="Z33" s="42"/>
      <c r="AA33" s="42"/>
    </row>
    <row r="34" spans="2:27">
      <c r="H34" s="277"/>
      <c r="I34" s="49"/>
      <c r="Q34" s="5"/>
      <c r="S34" s="88"/>
      <c r="T34" s="42"/>
      <c r="U34" s="42"/>
      <c r="V34" s="147" t="s">
        <v>581</v>
      </c>
      <c r="W34" s="288">
        <f>D47/L19</f>
        <v>4.9288756514596592</v>
      </c>
      <c r="X34" s="288">
        <v>1</v>
      </c>
      <c r="Y34" s="288"/>
      <c r="Z34" s="288"/>
      <c r="AA34" s="42"/>
    </row>
    <row r="35" spans="2:27" ht="12.6" thickBot="1">
      <c r="B35" s="306" t="s">
        <v>1030</v>
      </c>
      <c r="C35" s="265"/>
      <c r="D35" s="265" t="str">
        <f>D5</f>
        <v>2023E</v>
      </c>
      <c r="E35" s="265" t="str">
        <f t="shared" ref="E35:H35" si="7">E5</f>
        <v>2024E</v>
      </c>
      <c r="F35" s="265" t="str">
        <f t="shared" si="7"/>
        <v>2025E</v>
      </c>
      <c r="G35" s="265" t="str">
        <f t="shared" si="7"/>
        <v>2026E</v>
      </c>
      <c r="H35" s="265" t="str">
        <f t="shared" si="7"/>
        <v>23E-26E</v>
      </c>
      <c r="I35" s="254"/>
      <c r="J35" s="306" t="s">
        <v>1362</v>
      </c>
      <c r="K35" s="306"/>
      <c r="L35" s="306"/>
      <c r="M35" s="306"/>
      <c r="N35" s="266"/>
      <c r="O35" s="266"/>
      <c r="P35" s="266"/>
      <c r="Q35" s="5"/>
      <c r="S35" s="88"/>
      <c r="T35" s="42"/>
      <c r="U35" s="42"/>
      <c r="V35" s="42"/>
      <c r="W35" s="288"/>
      <c r="X35" s="42"/>
      <c r="Y35" s="288"/>
      <c r="Z35" s="288"/>
      <c r="AA35" s="42"/>
    </row>
    <row r="36" spans="2:27" ht="12.6" thickTop="1">
      <c r="B36" s="41"/>
      <c r="C36" s="249"/>
      <c r="D36" s="254"/>
      <c r="E36" s="254"/>
      <c r="F36" s="254"/>
      <c r="G36" s="254"/>
      <c r="H36" s="254"/>
      <c r="I36" s="17"/>
      <c r="J36" s="249"/>
      <c r="K36" s="249"/>
      <c r="L36" s="249"/>
      <c r="M36" s="249"/>
      <c r="N36" s="249"/>
      <c r="O36" s="251"/>
      <c r="Q36" s="5"/>
      <c r="S36" s="88"/>
      <c r="T36" s="42"/>
      <c r="U36" s="42"/>
      <c r="V36" s="42"/>
      <c r="W36" s="42"/>
      <c r="X36" s="42"/>
      <c r="Y36" s="288"/>
      <c r="Z36" s="288"/>
      <c r="AA36" s="42"/>
    </row>
    <row r="37" spans="2:27">
      <c r="B37" s="5" t="s">
        <v>273</v>
      </c>
      <c r="C37" s="247"/>
      <c r="D37" s="529">
        <f>D$18/D23</f>
        <v>2.2046488774724677</v>
      </c>
      <c r="E37" s="529">
        <f t="shared" ref="E37:G41" si="8">E$18/E23</f>
        <v>1.9830551779730925</v>
      </c>
      <c r="F37" s="529">
        <f t="shared" si="8"/>
        <v>1.671679662124812</v>
      </c>
      <c r="G37" s="529">
        <f t="shared" si="8"/>
        <v>1.3717180000310902</v>
      </c>
      <c r="H37" s="17">
        <f t="shared" ref="H37:H45" si="9">H23</f>
        <v>5.0940656920845484E-2</v>
      </c>
      <c r="I37" s="5"/>
      <c r="J37" s="248"/>
      <c r="K37" s="248"/>
      <c r="L37" s="248"/>
      <c r="M37" s="248"/>
      <c r="N37" s="248"/>
      <c r="O37" s="5"/>
      <c r="Q37" s="5"/>
      <c r="R37" s="5"/>
      <c r="S37" s="42"/>
      <c r="T37" s="42"/>
      <c r="U37" s="42"/>
      <c r="V37" s="42"/>
      <c r="W37" s="42"/>
      <c r="X37" s="42"/>
      <c r="Y37" s="42"/>
      <c r="Z37" s="42"/>
      <c r="AA37" s="42"/>
    </row>
    <row r="38" spans="2:27">
      <c r="B38" s="5" t="s">
        <v>184</v>
      </c>
      <c r="C38" s="247"/>
      <c r="D38" s="529">
        <f>D$18/D24</f>
        <v>3.2549785648522476</v>
      </c>
      <c r="E38" s="529">
        <f>E$18/E24</f>
        <v>2.9138783452146479</v>
      </c>
      <c r="F38" s="529">
        <f t="shared" si="8"/>
        <v>2.4391160819401181</v>
      </c>
      <c r="G38" s="529">
        <f t="shared" si="8"/>
        <v>2.0025484978827999</v>
      </c>
      <c r="H38" s="17">
        <f t="shared" si="9"/>
        <v>5.4892874991649521E-2</v>
      </c>
      <c r="I38" s="259"/>
      <c r="J38" s="252"/>
      <c r="K38" s="252"/>
      <c r="L38" s="252"/>
      <c r="M38" s="252"/>
      <c r="N38" s="252"/>
      <c r="O38" s="5"/>
      <c r="Q38" s="5"/>
      <c r="R38" s="5"/>
      <c r="S38" s="42"/>
      <c r="T38" s="42"/>
      <c r="U38" s="42"/>
      <c r="V38" s="42"/>
      <c r="W38" s="42"/>
      <c r="X38" s="42"/>
      <c r="Y38" s="42"/>
      <c r="Z38" s="42"/>
      <c r="AA38" s="42"/>
    </row>
    <row r="39" spans="2:27">
      <c r="B39" s="5" t="s">
        <v>185</v>
      </c>
      <c r="C39" s="247"/>
      <c r="D39" s="529">
        <f>D$18/D25</f>
        <v>4.9029822310466775</v>
      </c>
      <c r="E39" s="529">
        <f t="shared" si="8"/>
        <v>4.3450326397192107</v>
      </c>
      <c r="F39" s="529">
        <f t="shared" si="8"/>
        <v>3.630399497421144</v>
      </c>
      <c r="G39" s="529">
        <f t="shared" si="8"/>
        <v>2.9871428302388896</v>
      </c>
      <c r="H39" s="17">
        <f t="shared" si="9"/>
        <v>5.8330809067349998E-2</v>
      </c>
      <c r="I39" s="17"/>
      <c r="J39" s="259"/>
      <c r="K39" s="259"/>
      <c r="L39" s="259"/>
      <c r="M39" s="259"/>
      <c r="N39" s="259"/>
      <c r="O39" s="18"/>
      <c r="Q39" s="5"/>
      <c r="R39" s="5"/>
      <c r="S39" s="42"/>
      <c r="T39" s="42"/>
      <c r="U39" s="42"/>
      <c r="V39" s="42"/>
      <c r="W39" s="42"/>
      <c r="X39" s="42"/>
      <c r="Y39" s="42"/>
      <c r="Z39" s="42"/>
      <c r="AA39" s="42"/>
    </row>
    <row r="40" spans="2:27">
      <c r="B40" s="5" t="s">
        <v>466</v>
      </c>
      <c r="C40" s="247"/>
      <c r="D40" s="529">
        <f>D$18/D26</f>
        <v>4.9152704070643374</v>
      </c>
      <c r="E40" s="529">
        <f t="shared" si="8"/>
        <v>4.3559224458337944</v>
      </c>
      <c r="F40" s="529">
        <f t="shared" si="8"/>
        <v>3.6394982430287159</v>
      </c>
      <c r="G40" s="529">
        <f t="shared" si="8"/>
        <v>2.9946294037482599</v>
      </c>
      <c r="H40" s="17">
        <f t="shared" si="9"/>
        <v>5.8330809067349998E-2</v>
      </c>
      <c r="I40" s="5"/>
      <c r="J40" s="259"/>
      <c r="K40" s="259"/>
      <c r="L40" s="259"/>
      <c r="M40" s="259"/>
      <c r="N40" s="259"/>
      <c r="O40" s="18"/>
      <c r="Q40" s="5"/>
      <c r="R40" s="5"/>
      <c r="S40" s="42"/>
      <c r="T40" s="42"/>
      <c r="U40" s="42"/>
      <c r="V40" s="42"/>
      <c r="W40" s="288"/>
      <c r="X40" s="288"/>
      <c r="Y40" s="42"/>
      <c r="Z40" s="42"/>
      <c r="AA40" s="42"/>
    </row>
    <row r="41" spans="2:27">
      <c r="B41" s="5" t="s">
        <v>530</v>
      </c>
      <c r="C41" s="247"/>
      <c r="D41" s="529">
        <f>D$18/D27</f>
        <v>0.79557494874958901</v>
      </c>
      <c r="E41" s="529">
        <f t="shared" si="8"/>
        <v>0.8252628427567259</v>
      </c>
      <c r="F41" s="529">
        <f t="shared" si="8"/>
        <v>0.80673506520325122</v>
      </c>
      <c r="G41" s="529">
        <f t="shared" si="8"/>
        <v>0.76402035534478019</v>
      </c>
      <c r="H41" s="17">
        <f t="shared" si="9"/>
        <v>-9.062002703563532E-2</v>
      </c>
      <c r="I41" s="247"/>
      <c r="J41" s="259"/>
      <c r="K41" s="259"/>
      <c r="L41" s="259"/>
      <c r="M41" s="259"/>
      <c r="N41" s="259"/>
      <c r="O41" s="18"/>
      <c r="Q41" s="5"/>
      <c r="R41" s="5"/>
      <c r="S41" s="42"/>
      <c r="T41" s="42"/>
      <c r="U41" s="42"/>
      <c r="V41" s="42"/>
      <c r="W41" s="288"/>
      <c r="X41" s="288"/>
      <c r="Y41" s="288"/>
      <c r="Z41" s="288"/>
      <c r="AA41" s="42"/>
    </row>
    <row r="42" spans="2:27">
      <c r="B42" s="5" t="s">
        <v>593</v>
      </c>
      <c r="C42" s="247"/>
      <c r="D42" s="529">
        <f>D18/D28</f>
        <v>1.148210696359744</v>
      </c>
      <c r="E42" s="529">
        <f>E18/E28</f>
        <v>1.2651695469159363</v>
      </c>
      <c r="F42" s="529">
        <f>F18/F28</f>
        <v>1.3319650191059955</v>
      </c>
      <c r="G42" s="529">
        <f>G18/G28</f>
        <v>1.3815267603052526</v>
      </c>
      <c r="H42" s="17">
        <f t="shared" si="9"/>
        <v>-0.15645661424023349</v>
      </c>
      <c r="I42" s="248"/>
      <c r="J42" s="5"/>
      <c r="K42" s="5"/>
      <c r="L42" s="5"/>
      <c r="M42" s="5"/>
      <c r="N42" s="5"/>
      <c r="O42" s="5"/>
      <c r="Q42" s="5"/>
      <c r="R42" s="5"/>
      <c r="S42" s="42"/>
      <c r="T42" s="42"/>
      <c r="U42" s="42"/>
      <c r="V42" s="42"/>
      <c r="W42" s="288"/>
      <c r="X42" s="288"/>
      <c r="Y42" s="288"/>
      <c r="Z42" s="288"/>
      <c r="AA42" s="42"/>
    </row>
    <row r="43" spans="2:27">
      <c r="B43" s="5" t="s">
        <v>475</v>
      </c>
      <c r="C43" s="247"/>
      <c r="D43" s="529">
        <f>L26/D29</f>
        <v>3.9113107405750749</v>
      </c>
      <c r="E43" s="529">
        <f>M26/E29</f>
        <v>3.7322242380280062</v>
      </c>
      <c r="F43" s="529">
        <f>N26/F29</f>
        <v>3.5645923350507318</v>
      </c>
      <c r="G43" s="529">
        <f>O26/G29</f>
        <v>3.4266884763500052</v>
      </c>
      <c r="H43" s="17">
        <f t="shared" si="9"/>
        <v>4.4152284428296662E-2</v>
      </c>
      <c r="I43" s="247"/>
      <c r="J43" s="69"/>
      <c r="K43" s="69"/>
      <c r="L43" s="69"/>
      <c r="M43" s="69"/>
      <c r="N43" s="69"/>
      <c r="O43" s="69"/>
      <c r="Q43" s="5"/>
      <c r="R43" s="5"/>
      <c r="S43" s="42"/>
      <c r="T43" s="42"/>
      <c r="U43" s="42"/>
      <c r="V43" s="42"/>
      <c r="W43" s="288"/>
      <c r="X43" s="288"/>
      <c r="Y43" s="288"/>
      <c r="Z43" s="288"/>
      <c r="AA43" s="42"/>
    </row>
    <row r="44" spans="2:27">
      <c r="B44" s="5" t="s">
        <v>533</v>
      </c>
      <c r="C44" s="69"/>
      <c r="D44" s="529">
        <f>D11/D30</f>
        <v>14.82542270215068</v>
      </c>
      <c r="E44" s="529">
        <f>E11/E30</f>
        <v>10.783098039515698</v>
      </c>
      <c r="F44" s="529">
        <f>F11/F30</f>
        <v>8.3738135607065463</v>
      </c>
      <c r="G44" s="529">
        <f>G11/G30</f>
        <v>6.9160951407411098</v>
      </c>
      <c r="H44" s="17">
        <f t="shared" si="9"/>
        <v>0.28823962279927162</v>
      </c>
      <c r="I44" s="247"/>
      <c r="J44" s="259"/>
      <c r="K44" s="259"/>
      <c r="L44" s="259"/>
      <c r="M44" s="259"/>
      <c r="N44" s="259"/>
      <c r="O44" s="18"/>
      <c r="Q44" s="5"/>
      <c r="R44" s="5"/>
      <c r="S44" s="42"/>
      <c r="T44" s="42"/>
      <c r="U44" s="42"/>
      <c r="V44" s="42"/>
      <c r="W44" s="325"/>
      <c r="X44" s="325"/>
      <c r="Y44" s="288"/>
      <c r="Z44" s="288"/>
      <c r="AA44" s="42"/>
    </row>
    <row r="45" spans="2:27">
      <c r="B45" s="5" t="s">
        <v>580</v>
      </c>
      <c r="C45" s="247"/>
      <c r="D45" s="248">
        <f>D31/D11</f>
        <v>4.3370545284580016E-2</v>
      </c>
      <c r="E45" s="248">
        <f>E31/E11</f>
        <v>5.9629121826619808E-2</v>
      </c>
      <c r="F45" s="248">
        <f>F31/F11</f>
        <v>7.6785405121010869E-2</v>
      </c>
      <c r="G45" s="248">
        <f>G31/G11</f>
        <v>9.2969609813344192E-2</v>
      </c>
      <c r="H45" s="17">
        <f t="shared" si="9"/>
        <v>0.28823962279927162</v>
      </c>
      <c r="I45" s="248"/>
      <c r="J45" s="17"/>
      <c r="K45" s="17"/>
      <c r="L45" s="17"/>
      <c r="M45" s="17"/>
      <c r="N45" s="17"/>
      <c r="O45" s="5"/>
      <c r="Q45" s="5"/>
      <c r="R45" s="5"/>
      <c r="S45" s="42"/>
      <c r="T45" s="42"/>
      <c r="U45" s="42"/>
      <c r="V45" s="42"/>
      <c r="W45" s="42"/>
      <c r="X45" s="42"/>
      <c r="Y45" s="325"/>
      <c r="Z45" s="325"/>
      <c r="AA45" s="42"/>
    </row>
    <row r="46" spans="2:27">
      <c r="B46" s="5" t="s">
        <v>605</v>
      </c>
      <c r="C46" s="247"/>
      <c r="D46" s="248">
        <f>(D31+D32)/D11</f>
        <v>4.3370545284580016E-2</v>
      </c>
      <c r="E46" s="248">
        <f>(E31+E32)/E11</f>
        <v>5.9629121826619808E-2</v>
      </c>
      <c r="F46" s="248">
        <f>(F31+F32)/F11</f>
        <v>7.6785405121010869E-2</v>
      </c>
      <c r="G46" s="248">
        <f>(G31+G32)/G11</f>
        <v>9.2969609813344192E-2</v>
      </c>
      <c r="H46" s="279">
        <f>((G31+G32)/(D31+D32))^(1/3)-1</f>
        <v>0.28823962279927162</v>
      </c>
      <c r="I46" s="247"/>
      <c r="J46" s="5"/>
      <c r="K46" s="5"/>
      <c r="L46" s="5"/>
      <c r="M46" s="5"/>
      <c r="N46" s="5"/>
      <c r="O46" s="5"/>
      <c r="Q46" s="5"/>
      <c r="R46" s="5"/>
      <c r="S46" s="42"/>
      <c r="T46" s="42"/>
      <c r="U46" s="42"/>
      <c r="V46" s="42"/>
      <c r="W46" s="42"/>
      <c r="X46" s="42"/>
      <c r="Y46" s="42"/>
      <c r="Z46" s="42"/>
      <c r="AA46" s="326"/>
    </row>
    <row r="47" spans="2:27">
      <c r="B47" s="5" t="s">
        <v>581</v>
      </c>
      <c r="C47" s="5"/>
      <c r="D47" s="248">
        <f>1/D43</f>
        <v>0.25566876843259234</v>
      </c>
      <c r="E47" s="248">
        <f>1/E43</f>
        <v>0.26793674126299805</v>
      </c>
      <c r="F47" s="248">
        <f>1/F43</f>
        <v>0.28053698880709954</v>
      </c>
      <c r="G47" s="248">
        <f>1/G43</f>
        <v>0.29182693638529023</v>
      </c>
      <c r="H47" s="17">
        <f>H29</f>
        <v>4.4152284428296662E-2</v>
      </c>
      <c r="I47" s="17"/>
      <c r="J47" s="259"/>
      <c r="K47" s="259"/>
      <c r="L47" s="259"/>
      <c r="M47" s="259"/>
      <c r="N47" s="259"/>
      <c r="O47" s="18"/>
      <c r="Q47" s="5"/>
      <c r="R47" s="5"/>
      <c r="S47" s="42"/>
      <c r="T47" s="42"/>
      <c r="U47" s="42"/>
      <c r="V47" s="42"/>
      <c r="W47" s="42"/>
      <c r="X47" s="42"/>
      <c r="Y47" s="42"/>
      <c r="Z47" s="42"/>
      <c r="AA47" s="326"/>
    </row>
    <row r="48" spans="2:27">
      <c r="B48" s="5" t="s">
        <v>618</v>
      </c>
      <c r="C48" s="5"/>
      <c r="D48" s="305">
        <f>D31/D29</f>
        <v>0.16963567959617548</v>
      </c>
      <c r="E48" s="305">
        <f>E31/E29</f>
        <v>0.22254925377363524</v>
      </c>
      <c r="F48" s="305">
        <f>F31/F29</f>
        <v>0.27370866653812054</v>
      </c>
      <c r="G48" s="305">
        <f>G31/G29</f>
        <v>0.3185778905981429</v>
      </c>
      <c r="H48" s="279" t="s">
        <v>607</v>
      </c>
      <c r="I48" s="247"/>
      <c r="J48" s="17"/>
      <c r="K48" s="17"/>
      <c r="L48" s="17"/>
      <c r="M48" s="17"/>
      <c r="N48" s="17"/>
      <c r="O48" s="5"/>
      <c r="Q48" s="5"/>
      <c r="R48" s="5"/>
      <c r="S48" s="42"/>
      <c r="T48" s="42"/>
      <c r="U48" s="42"/>
      <c r="V48" s="42"/>
      <c r="W48" s="42"/>
      <c r="X48" s="42"/>
      <c r="Y48" s="42"/>
      <c r="Z48" s="42"/>
      <c r="AA48" s="326"/>
    </row>
    <row r="49" spans="2:27">
      <c r="B49" s="41"/>
      <c r="C49" s="17"/>
      <c r="D49" s="17"/>
      <c r="E49" s="17"/>
      <c r="F49" s="17"/>
      <c r="G49" s="17"/>
      <c r="H49" s="17"/>
      <c r="I49" s="254"/>
      <c r="J49" s="5"/>
      <c r="K49" s="5"/>
      <c r="L49" s="5"/>
      <c r="M49" s="5"/>
      <c r="N49" s="5"/>
      <c r="O49" s="5"/>
      <c r="Q49" s="5"/>
      <c r="R49" s="5"/>
      <c r="S49" s="42"/>
      <c r="T49" s="42"/>
      <c r="U49" s="42"/>
      <c r="V49" s="42"/>
      <c r="W49" s="42"/>
      <c r="X49" s="42"/>
      <c r="Y49" s="42"/>
      <c r="Z49" s="42"/>
      <c r="AA49" s="326"/>
    </row>
    <row r="50" spans="2:27">
      <c r="B50" s="5"/>
      <c r="C50" s="257"/>
      <c r="D50" s="257"/>
      <c r="E50" s="257"/>
      <c r="F50" s="5"/>
      <c r="G50" s="41"/>
      <c r="H50" s="249"/>
      <c r="I50" s="17"/>
      <c r="J50" s="249"/>
      <c r="K50" s="249"/>
      <c r="L50" s="249"/>
      <c r="M50" s="249"/>
      <c r="N50" s="249"/>
      <c r="O50" s="251"/>
      <c r="Q50" s="5"/>
      <c r="R50" s="5"/>
      <c r="S50" s="42"/>
      <c r="T50" s="42"/>
      <c r="U50" s="42"/>
      <c r="V50" s="42"/>
      <c r="W50" s="288"/>
      <c r="X50" s="288"/>
      <c r="Y50" s="42"/>
      <c r="Z50" s="42"/>
      <c r="AA50" s="326"/>
    </row>
    <row r="51" spans="2:27">
      <c r="B51" s="41"/>
      <c r="C51" s="249"/>
      <c r="D51" s="254"/>
      <c r="E51" s="254"/>
      <c r="F51" s="254"/>
      <c r="G51" s="254"/>
      <c r="H51" s="254"/>
      <c r="I51" s="259"/>
      <c r="J51" s="248"/>
      <c r="K51" s="248"/>
      <c r="L51" s="248"/>
      <c r="M51" s="248"/>
      <c r="N51" s="248"/>
      <c r="O51" s="248"/>
      <c r="Q51" s="5"/>
      <c r="R51" s="5"/>
      <c r="S51" s="42"/>
      <c r="T51" s="42"/>
      <c r="U51" s="42"/>
      <c r="V51" s="42"/>
      <c r="W51" s="288"/>
      <c r="X51" s="288"/>
      <c r="Y51" s="288"/>
      <c r="Z51" s="288"/>
      <c r="AA51" s="42"/>
    </row>
    <row r="52" spans="2:27">
      <c r="B52" s="5"/>
      <c r="C52" s="257"/>
      <c r="D52" s="17"/>
      <c r="E52" s="17"/>
      <c r="F52" s="17"/>
      <c r="G52" s="17"/>
      <c r="H52" s="17"/>
      <c r="I52" s="254"/>
      <c r="J52" s="247"/>
      <c r="K52" s="247"/>
      <c r="L52" s="247"/>
      <c r="M52" s="247"/>
      <c r="N52" s="247"/>
      <c r="O52" s="248"/>
      <c r="Q52" s="5"/>
      <c r="R52" s="5"/>
      <c r="S52" s="5"/>
      <c r="Y52" s="10"/>
      <c r="Z52" s="10"/>
    </row>
    <row r="53" spans="2:27">
      <c r="B53" s="5"/>
      <c r="C53" s="257"/>
      <c r="D53" s="257"/>
      <c r="E53" s="257"/>
      <c r="F53" s="5"/>
      <c r="G53" s="5"/>
      <c r="H53" s="259"/>
      <c r="I53" s="17"/>
      <c r="J53" s="249"/>
      <c r="K53" s="249"/>
      <c r="L53" s="249"/>
      <c r="M53" s="249"/>
      <c r="N53" s="249"/>
      <c r="O53" s="251"/>
      <c r="Q53" s="5"/>
      <c r="R53" s="5"/>
      <c r="S53" s="5"/>
    </row>
    <row r="54" spans="2:27">
      <c r="B54" s="41"/>
      <c r="C54" s="249"/>
      <c r="D54" s="254"/>
      <c r="E54" s="254"/>
      <c r="F54" s="254"/>
      <c r="G54" s="254"/>
      <c r="H54" s="254"/>
      <c r="I54" s="259"/>
      <c r="J54" s="248"/>
      <c r="K54" s="248"/>
      <c r="L54" s="248"/>
      <c r="M54" s="248"/>
      <c r="N54" s="248"/>
      <c r="O54" s="248"/>
      <c r="Q54" s="5"/>
      <c r="R54" s="5"/>
      <c r="S54" s="5"/>
    </row>
    <row r="55" spans="2:27">
      <c r="B55" s="5"/>
      <c r="C55" s="257"/>
      <c r="D55" s="17"/>
      <c r="E55" s="17"/>
      <c r="F55" s="17"/>
      <c r="G55" s="17"/>
      <c r="H55" s="17"/>
      <c r="I55" s="249"/>
      <c r="J55" s="247"/>
      <c r="K55" s="247"/>
      <c r="L55" s="247"/>
      <c r="M55" s="247"/>
      <c r="N55" s="247"/>
      <c r="O55" s="248"/>
      <c r="Q55" s="5"/>
      <c r="R55" s="5"/>
      <c r="S55" s="5"/>
    </row>
    <row r="56" spans="2:27">
      <c r="B56" s="5"/>
      <c r="C56" s="248"/>
      <c r="D56" s="248"/>
      <c r="E56" s="248"/>
      <c r="F56" s="5"/>
      <c r="G56" s="5"/>
      <c r="H56" s="259"/>
      <c r="I56" s="248"/>
      <c r="J56" s="17"/>
      <c r="K56" s="17"/>
      <c r="L56" s="17"/>
      <c r="M56" s="17"/>
      <c r="N56" s="17"/>
      <c r="O56" s="248"/>
      <c r="Q56" s="5"/>
      <c r="R56" s="5"/>
      <c r="S56" s="5"/>
    </row>
    <row r="57" spans="2:27">
      <c r="B57" s="41"/>
      <c r="C57" s="249"/>
      <c r="D57" s="249"/>
      <c r="E57" s="249"/>
      <c r="F57" s="249"/>
      <c r="G57" s="249"/>
      <c r="H57" s="249"/>
      <c r="I57" s="5"/>
      <c r="J57" s="249"/>
      <c r="K57" s="249"/>
      <c r="L57" s="249"/>
      <c r="M57" s="249"/>
      <c r="N57" s="249"/>
      <c r="O57" s="250"/>
      <c r="Q57" s="5"/>
      <c r="R57" s="5"/>
      <c r="S57" s="5"/>
    </row>
    <row r="58" spans="2:27">
      <c r="B58" s="5"/>
      <c r="C58" s="5"/>
      <c r="D58" s="248"/>
      <c r="E58" s="248"/>
      <c r="F58" s="248"/>
      <c r="G58" s="248"/>
      <c r="H58" s="248"/>
      <c r="I58" s="17"/>
      <c r="J58" s="248"/>
      <c r="K58" s="248"/>
      <c r="L58" s="248"/>
      <c r="M58" s="248"/>
      <c r="N58" s="248"/>
      <c r="O58" s="18"/>
      <c r="Q58" s="5"/>
      <c r="R58" s="5"/>
      <c r="S58" s="5"/>
    </row>
    <row r="59" spans="2:27">
      <c r="B59" s="5"/>
      <c r="C59" s="5"/>
      <c r="D59" s="5"/>
      <c r="E59" s="5"/>
      <c r="F59" s="5"/>
      <c r="G59" s="5"/>
      <c r="H59" s="5"/>
      <c r="I59" s="5"/>
      <c r="J59" s="5"/>
      <c r="K59" s="5"/>
      <c r="L59" s="5"/>
      <c r="M59" s="5"/>
      <c r="N59" s="5"/>
      <c r="O59" s="5"/>
      <c r="Q59" s="5"/>
      <c r="R59" s="5"/>
      <c r="S59" s="5"/>
    </row>
    <row r="60" spans="2:27">
      <c r="B60" s="41"/>
      <c r="C60" s="17"/>
      <c r="D60" s="17"/>
      <c r="E60" s="17"/>
      <c r="F60" s="17"/>
      <c r="G60" s="17"/>
      <c r="H60" s="17"/>
      <c r="I60" s="249"/>
      <c r="J60" s="17"/>
      <c r="K60" s="17"/>
      <c r="L60" s="17"/>
      <c r="M60" s="17"/>
      <c r="N60" s="17"/>
      <c r="O60" s="251"/>
      <c r="Q60" s="5"/>
      <c r="R60" s="5"/>
      <c r="S60" s="5"/>
    </row>
    <row r="61" spans="2:27">
      <c r="B61" s="5"/>
      <c r="C61" s="5"/>
      <c r="D61" s="5"/>
      <c r="E61" s="5"/>
      <c r="F61" s="5"/>
      <c r="G61" s="5"/>
      <c r="H61" s="5"/>
      <c r="I61" s="5"/>
      <c r="J61" s="5"/>
      <c r="K61" s="5"/>
      <c r="L61" s="5"/>
      <c r="M61" s="5"/>
      <c r="N61" s="5"/>
      <c r="O61" s="5"/>
      <c r="Q61" s="41"/>
      <c r="R61" s="5"/>
      <c r="S61" s="5"/>
    </row>
    <row r="62" spans="2:27">
      <c r="B62" s="41"/>
      <c r="C62" s="249"/>
      <c r="D62" s="249"/>
      <c r="E62" s="249"/>
      <c r="F62" s="249"/>
      <c r="G62" s="249"/>
      <c r="H62" s="249"/>
      <c r="I62" s="5"/>
      <c r="J62" s="249"/>
      <c r="K62" s="249"/>
      <c r="L62" s="249"/>
      <c r="M62" s="249"/>
      <c r="N62" s="249"/>
      <c r="O62" s="251"/>
      <c r="Q62" s="5"/>
      <c r="R62" s="5"/>
      <c r="S62" s="5"/>
    </row>
    <row r="63" spans="2:27">
      <c r="B63" s="5"/>
      <c r="C63" s="5"/>
      <c r="D63" s="5"/>
      <c r="E63" s="5"/>
      <c r="F63" s="5"/>
      <c r="G63" s="5"/>
      <c r="H63" s="5"/>
      <c r="I63" s="254"/>
      <c r="J63" s="5"/>
      <c r="K63" s="5"/>
      <c r="L63" s="5"/>
      <c r="M63" s="5"/>
      <c r="N63" s="5"/>
      <c r="O63" s="5"/>
      <c r="Q63" s="5"/>
      <c r="R63" s="5"/>
      <c r="S63" s="5"/>
    </row>
    <row r="64" spans="2:27">
      <c r="B64" s="5"/>
      <c r="C64" s="5"/>
      <c r="D64" s="5"/>
      <c r="E64" s="5"/>
      <c r="F64" s="5"/>
      <c r="G64" s="5"/>
      <c r="H64" s="5"/>
      <c r="I64" s="17"/>
      <c r="J64" s="5"/>
      <c r="K64" s="5"/>
      <c r="L64" s="5"/>
      <c r="M64" s="5"/>
      <c r="N64" s="5"/>
      <c r="O64" s="5"/>
      <c r="Q64" s="5"/>
      <c r="R64" s="5"/>
      <c r="S64" s="5"/>
    </row>
    <row r="65" spans="2:26">
      <c r="B65" s="41"/>
      <c r="C65" s="249"/>
      <c r="D65" s="254"/>
      <c r="E65" s="254"/>
      <c r="F65" s="254"/>
      <c r="G65" s="254"/>
      <c r="H65" s="254"/>
      <c r="I65" s="254"/>
      <c r="J65" s="254"/>
      <c r="K65" s="254"/>
      <c r="L65" s="254"/>
      <c r="M65" s="254"/>
      <c r="N65" s="254"/>
      <c r="O65" s="251"/>
      <c r="Q65" s="5"/>
      <c r="R65" s="5"/>
      <c r="S65" s="5"/>
    </row>
    <row r="66" spans="2:26">
      <c r="B66" s="5"/>
      <c r="C66" s="5"/>
      <c r="D66" s="17"/>
      <c r="E66" s="17"/>
      <c r="F66" s="17"/>
      <c r="G66" s="17"/>
      <c r="H66" s="17"/>
      <c r="I66" s="248"/>
      <c r="J66" s="17"/>
      <c r="K66" s="17"/>
      <c r="L66" s="17"/>
      <c r="M66" s="17"/>
      <c r="N66" s="17"/>
      <c r="O66" s="5"/>
      <c r="Q66" s="5"/>
      <c r="R66" s="5"/>
      <c r="S66" s="5"/>
    </row>
    <row r="67" spans="2:26">
      <c r="B67" s="41"/>
      <c r="C67" s="249"/>
      <c r="D67" s="254"/>
      <c r="E67" s="254"/>
      <c r="F67" s="254"/>
      <c r="G67" s="254"/>
      <c r="H67" s="254"/>
      <c r="I67" s="5"/>
      <c r="J67" s="254"/>
      <c r="K67" s="254"/>
      <c r="L67" s="254"/>
      <c r="M67" s="254"/>
      <c r="N67" s="254"/>
      <c r="O67" s="251"/>
      <c r="Q67" s="41"/>
      <c r="R67" s="5"/>
      <c r="S67" s="5"/>
    </row>
    <row r="68" spans="2:26">
      <c r="B68" s="5"/>
      <c r="C68" s="5"/>
      <c r="D68" s="248"/>
      <c r="E68" s="248"/>
      <c r="F68" s="248"/>
      <c r="G68" s="248"/>
      <c r="H68" s="248"/>
      <c r="I68" s="245"/>
      <c r="J68" s="248"/>
      <c r="K68" s="248"/>
      <c r="L68" s="248"/>
      <c r="M68" s="248"/>
      <c r="N68" s="248"/>
      <c r="O68" s="5"/>
      <c r="Q68" s="5"/>
      <c r="R68" s="5"/>
      <c r="S68" s="5"/>
    </row>
    <row r="69" spans="2:26">
      <c r="B69" s="41"/>
      <c r="C69" s="5"/>
      <c r="D69" s="5"/>
      <c r="E69" s="5"/>
      <c r="F69" s="5"/>
      <c r="G69" s="5"/>
      <c r="H69" s="5"/>
      <c r="I69" s="248"/>
      <c r="J69" s="5"/>
      <c r="K69" s="5"/>
      <c r="L69" s="5"/>
      <c r="M69" s="5"/>
      <c r="N69" s="5"/>
      <c r="O69" s="5"/>
      <c r="Q69" s="5"/>
      <c r="R69" s="5"/>
      <c r="S69" s="5"/>
    </row>
    <row r="70" spans="2:26">
      <c r="B70" s="41"/>
      <c r="C70" s="245"/>
      <c r="D70" s="245"/>
      <c r="E70" s="245"/>
      <c r="F70" s="245"/>
      <c r="G70" s="245"/>
      <c r="H70" s="245"/>
      <c r="I70" s="5"/>
      <c r="J70" s="245"/>
      <c r="K70" s="245"/>
      <c r="L70" s="245"/>
      <c r="M70" s="245"/>
      <c r="N70" s="245"/>
      <c r="O70" s="251"/>
      <c r="Q70" s="5"/>
      <c r="R70" s="5"/>
      <c r="S70" s="5"/>
      <c r="W70" s="76"/>
      <c r="X70" s="76"/>
    </row>
    <row r="71" spans="2:26">
      <c r="B71" s="5"/>
      <c r="C71" s="5"/>
      <c r="D71" s="248"/>
      <c r="E71" s="248"/>
      <c r="F71" s="248"/>
      <c r="G71" s="248"/>
      <c r="H71" s="248"/>
      <c r="I71" s="245"/>
      <c r="J71" s="248"/>
      <c r="K71" s="248"/>
      <c r="L71" s="248"/>
      <c r="M71" s="248"/>
      <c r="N71" s="248"/>
      <c r="O71" s="5"/>
      <c r="Q71" s="5"/>
      <c r="R71" s="5"/>
      <c r="S71" s="5"/>
      <c r="W71" s="76"/>
      <c r="X71" s="76"/>
      <c r="Y71" s="76"/>
      <c r="Z71" s="76"/>
    </row>
    <row r="72" spans="2:26">
      <c r="B72" s="41"/>
      <c r="C72" s="5"/>
      <c r="D72" s="5"/>
      <c r="E72" s="5"/>
      <c r="F72" s="5"/>
      <c r="G72" s="5"/>
      <c r="H72" s="5"/>
      <c r="I72" s="18"/>
      <c r="J72" s="5"/>
      <c r="K72" s="5"/>
      <c r="L72" s="5"/>
      <c r="M72" s="5"/>
      <c r="N72" s="5"/>
      <c r="O72" s="5"/>
      <c r="Q72" s="5"/>
      <c r="R72" s="5"/>
      <c r="S72" s="5"/>
      <c r="Y72" s="76"/>
      <c r="Z72" s="76"/>
    </row>
    <row r="73" spans="2:26">
      <c r="B73" s="41"/>
      <c r="C73" s="245"/>
      <c r="D73" s="245"/>
      <c r="E73" s="245"/>
      <c r="F73" s="245"/>
      <c r="G73" s="245"/>
      <c r="H73" s="245"/>
      <c r="I73" s="5"/>
      <c r="J73" s="245"/>
      <c r="K73" s="245"/>
      <c r="L73" s="245"/>
      <c r="M73" s="245"/>
      <c r="N73" s="245"/>
      <c r="O73" s="251"/>
      <c r="Q73" s="5"/>
      <c r="R73" s="5"/>
      <c r="S73" s="5"/>
    </row>
    <row r="74" spans="2:26">
      <c r="B74" s="5"/>
      <c r="C74" s="5"/>
      <c r="D74" s="18"/>
      <c r="E74" s="18"/>
      <c r="F74" s="18"/>
      <c r="G74" s="18"/>
      <c r="H74" s="18"/>
      <c r="I74" s="249"/>
      <c r="J74" s="18"/>
      <c r="K74" s="18"/>
      <c r="L74" s="18"/>
      <c r="M74" s="18"/>
      <c r="N74" s="18"/>
      <c r="O74" s="5"/>
      <c r="Q74" s="5"/>
      <c r="R74" s="5"/>
      <c r="S74" s="5"/>
    </row>
    <row r="75" spans="2:26">
      <c r="B75" s="41"/>
      <c r="C75" s="5"/>
      <c r="D75" s="5"/>
      <c r="E75" s="5"/>
      <c r="F75" s="5"/>
      <c r="G75" s="5"/>
      <c r="H75" s="5"/>
      <c r="I75" s="248"/>
      <c r="J75" s="5"/>
      <c r="K75" s="5"/>
      <c r="L75" s="5"/>
      <c r="M75" s="5"/>
      <c r="N75" s="5"/>
      <c r="O75" s="5"/>
      <c r="Q75" s="5"/>
      <c r="R75" s="5"/>
      <c r="S75" s="5"/>
    </row>
    <row r="76" spans="2:26">
      <c r="B76" s="41"/>
      <c r="C76" s="249"/>
      <c r="D76" s="249"/>
      <c r="E76" s="249"/>
      <c r="F76" s="249"/>
      <c r="G76" s="249"/>
      <c r="H76" s="249"/>
      <c r="I76" s="5"/>
      <c r="J76" s="249"/>
      <c r="K76" s="249"/>
      <c r="L76" s="249"/>
      <c r="M76" s="249"/>
      <c r="N76" s="249"/>
      <c r="O76" s="251"/>
      <c r="Q76" s="5"/>
      <c r="R76" s="5"/>
      <c r="S76" s="5"/>
    </row>
    <row r="77" spans="2:26">
      <c r="B77" s="5"/>
      <c r="C77" s="5"/>
      <c r="D77" s="248"/>
      <c r="E77" s="248"/>
      <c r="F77" s="248"/>
      <c r="G77" s="248"/>
      <c r="H77" s="248"/>
      <c r="I77" s="245"/>
      <c r="J77" s="248"/>
      <c r="K77" s="248"/>
      <c r="L77" s="248"/>
      <c r="M77" s="248"/>
      <c r="N77" s="248"/>
      <c r="O77" s="5"/>
      <c r="Q77" s="5"/>
      <c r="R77" s="5"/>
      <c r="S77" s="5"/>
    </row>
    <row r="78" spans="2:26">
      <c r="B78" s="41"/>
      <c r="C78" s="5"/>
      <c r="D78" s="5"/>
      <c r="E78" s="5"/>
      <c r="F78" s="5"/>
      <c r="G78" s="5"/>
      <c r="H78" s="5"/>
      <c r="I78" s="248"/>
      <c r="J78" s="5"/>
      <c r="K78" s="5"/>
      <c r="L78" s="5"/>
      <c r="M78" s="5"/>
      <c r="N78" s="5"/>
      <c r="O78" s="5"/>
      <c r="Q78" s="5"/>
      <c r="R78" s="5"/>
      <c r="S78" s="5"/>
    </row>
    <row r="79" spans="2:26">
      <c r="B79" s="41"/>
      <c r="C79" s="245"/>
      <c r="D79" s="245"/>
      <c r="E79" s="245"/>
      <c r="F79" s="245"/>
      <c r="G79" s="245"/>
      <c r="H79" s="245"/>
      <c r="I79" s="5"/>
      <c r="J79" s="245"/>
      <c r="K79" s="245"/>
      <c r="L79" s="245"/>
      <c r="M79" s="245"/>
      <c r="N79" s="245"/>
      <c r="O79" s="251"/>
      <c r="Q79" s="5"/>
      <c r="R79" s="5"/>
      <c r="S79" s="5"/>
    </row>
    <row r="80" spans="2:26">
      <c r="B80" s="5"/>
      <c r="C80" s="5"/>
      <c r="D80" s="248"/>
      <c r="E80" s="248"/>
      <c r="F80" s="248"/>
      <c r="G80" s="248"/>
      <c r="H80" s="248"/>
      <c r="I80" s="249"/>
      <c r="J80" s="248"/>
      <c r="K80" s="248"/>
      <c r="L80" s="248"/>
      <c r="M80" s="248"/>
      <c r="N80" s="248"/>
      <c r="O80" s="5"/>
      <c r="Q80" s="5"/>
      <c r="R80" s="5"/>
      <c r="S80" s="5"/>
    </row>
    <row r="81" spans="2:26">
      <c r="B81" s="41"/>
      <c r="C81" s="5"/>
      <c r="D81" s="5"/>
      <c r="E81" s="5"/>
      <c r="F81" s="5"/>
      <c r="G81" s="5"/>
      <c r="H81" s="5"/>
      <c r="I81" s="248"/>
      <c r="J81" s="5"/>
      <c r="K81" s="5"/>
      <c r="L81" s="5"/>
      <c r="M81" s="5"/>
      <c r="N81" s="5"/>
      <c r="O81" s="5"/>
      <c r="Q81" s="5"/>
      <c r="R81" s="5"/>
      <c r="S81" s="5"/>
    </row>
    <row r="82" spans="2:26">
      <c r="B82" s="41"/>
      <c r="C82" s="249"/>
      <c r="D82" s="249"/>
      <c r="E82" s="249"/>
      <c r="F82" s="249"/>
      <c r="G82" s="249"/>
      <c r="H82" s="249"/>
      <c r="I82" s="259"/>
      <c r="J82" s="249"/>
      <c r="K82" s="249"/>
      <c r="L82" s="249"/>
      <c r="M82" s="249"/>
      <c r="N82" s="249"/>
      <c r="O82" s="251"/>
      <c r="Q82" s="5"/>
      <c r="R82" s="5"/>
      <c r="S82" s="5"/>
    </row>
    <row r="83" spans="2:26">
      <c r="B83" s="5"/>
      <c r="C83" s="5"/>
      <c r="D83" s="248"/>
      <c r="E83" s="248"/>
      <c r="F83" s="248"/>
      <c r="G83" s="248"/>
      <c r="H83" s="248"/>
      <c r="I83" s="5"/>
      <c r="J83" s="248"/>
      <c r="K83" s="248"/>
      <c r="L83" s="248"/>
      <c r="M83" s="248"/>
      <c r="N83" s="248"/>
      <c r="O83" s="5"/>
      <c r="Q83" s="5"/>
      <c r="R83" s="5"/>
      <c r="S83" s="5"/>
    </row>
    <row r="84" spans="2:26">
      <c r="B84" s="5"/>
      <c r="C84" s="259"/>
      <c r="D84" s="259"/>
      <c r="E84" s="259"/>
      <c r="F84" s="259"/>
      <c r="G84" s="259"/>
      <c r="H84" s="259"/>
      <c r="I84" s="245"/>
      <c r="J84" s="259"/>
      <c r="K84" s="259"/>
      <c r="L84" s="259"/>
      <c r="M84" s="259"/>
      <c r="N84" s="259"/>
      <c r="O84" s="251"/>
      <c r="Q84" s="5"/>
      <c r="R84" s="5"/>
      <c r="S84" s="5"/>
    </row>
    <row r="85" spans="2:26">
      <c r="B85" s="41"/>
      <c r="C85" s="5"/>
      <c r="D85" s="5"/>
      <c r="E85" s="5"/>
      <c r="F85" s="5"/>
      <c r="G85" s="5"/>
      <c r="H85" s="5"/>
      <c r="I85" s="248"/>
      <c r="J85" s="5"/>
      <c r="K85" s="5"/>
      <c r="L85" s="5"/>
      <c r="M85" s="5"/>
      <c r="N85" s="5"/>
      <c r="O85" s="5"/>
      <c r="Q85" s="5"/>
      <c r="R85" s="5"/>
      <c r="S85" s="5"/>
    </row>
    <row r="86" spans="2:26">
      <c r="B86" s="41"/>
      <c r="C86" s="245"/>
      <c r="D86" s="245"/>
      <c r="E86" s="245"/>
      <c r="F86" s="245"/>
      <c r="G86" s="245"/>
      <c r="H86" s="245"/>
      <c r="I86" s="5"/>
      <c r="J86" s="245"/>
      <c r="K86" s="245"/>
      <c r="L86" s="245"/>
      <c r="M86" s="245"/>
      <c r="N86" s="245"/>
      <c r="O86" s="251"/>
      <c r="Q86" s="5"/>
      <c r="R86" s="5"/>
      <c r="S86" s="5"/>
    </row>
    <row r="87" spans="2:26">
      <c r="B87" s="5"/>
      <c r="C87" s="5"/>
      <c r="D87" s="248"/>
      <c r="E87" s="248"/>
      <c r="F87" s="248"/>
      <c r="G87" s="248"/>
      <c r="H87" s="248"/>
      <c r="I87" s="5"/>
      <c r="J87" s="248"/>
      <c r="K87" s="248"/>
      <c r="L87" s="248"/>
      <c r="M87" s="248"/>
      <c r="N87" s="248"/>
      <c r="O87" s="5"/>
      <c r="Q87" s="5"/>
      <c r="R87" s="5"/>
      <c r="S87" s="5"/>
    </row>
    <row r="88" spans="2:26">
      <c r="B88" s="41"/>
      <c r="C88" s="5"/>
      <c r="D88" s="5"/>
      <c r="E88" s="5"/>
      <c r="F88" s="5"/>
      <c r="G88" s="5"/>
      <c r="H88" s="5"/>
      <c r="I88" s="5"/>
      <c r="J88" s="5"/>
      <c r="K88" s="5"/>
      <c r="L88" s="5"/>
      <c r="M88" s="5"/>
      <c r="N88" s="5"/>
      <c r="O88" s="5"/>
      <c r="Q88" s="5"/>
      <c r="R88" s="5"/>
      <c r="S88" s="5"/>
    </row>
    <row r="89" spans="2:26">
      <c r="B89" s="41"/>
      <c r="C89" s="5"/>
      <c r="D89" s="5"/>
      <c r="E89" s="5"/>
      <c r="F89" s="5"/>
      <c r="G89" s="5"/>
      <c r="H89" s="5"/>
      <c r="I89" s="5"/>
      <c r="J89" s="5"/>
      <c r="K89" s="5"/>
      <c r="L89" s="5"/>
      <c r="M89" s="5"/>
      <c r="N89" s="5"/>
      <c r="O89" s="5"/>
      <c r="Q89" s="5"/>
      <c r="R89" s="5"/>
      <c r="S89" s="5"/>
    </row>
    <row r="90" spans="2:26">
      <c r="B90" s="41"/>
      <c r="C90" s="5"/>
      <c r="D90" s="5"/>
      <c r="E90" s="5"/>
      <c r="F90" s="5"/>
      <c r="G90" s="5"/>
      <c r="H90" s="5"/>
      <c r="I90" s="49"/>
      <c r="J90" s="5"/>
      <c r="K90" s="5"/>
      <c r="L90" s="5"/>
      <c r="M90" s="5"/>
      <c r="N90" s="5"/>
      <c r="O90" s="5"/>
      <c r="Q90" s="41"/>
      <c r="R90" s="5"/>
      <c r="S90" s="5"/>
    </row>
    <row r="91" spans="2:26">
      <c r="B91" s="5"/>
      <c r="C91" s="5"/>
      <c r="D91" s="5"/>
      <c r="E91" s="5"/>
      <c r="F91" s="5"/>
      <c r="G91" s="5"/>
      <c r="H91" s="5"/>
      <c r="I91" s="5"/>
      <c r="J91" s="5"/>
      <c r="K91" s="5"/>
      <c r="L91" s="5"/>
      <c r="M91" s="5"/>
      <c r="N91" s="5"/>
      <c r="O91" s="5"/>
      <c r="Q91" s="5"/>
      <c r="R91" s="5"/>
      <c r="S91" s="5"/>
    </row>
    <row r="92" spans="2:26">
      <c r="B92" s="41"/>
      <c r="C92" s="49"/>
      <c r="D92" s="49"/>
      <c r="E92" s="49"/>
      <c r="F92" s="49"/>
      <c r="G92" s="49"/>
      <c r="H92" s="49"/>
      <c r="I92" s="247"/>
      <c r="J92" s="49"/>
      <c r="K92" s="49"/>
      <c r="L92" s="49"/>
      <c r="M92" s="49"/>
      <c r="N92" s="49"/>
      <c r="O92" s="49"/>
      <c r="Q92" s="5"/>
      <c r="R92" s="5"/>
      <c r="S92" s="5"/>
      <c r="W92" s="21"/>
      <c r="X92" s="21"/>
    </row>
    <row r="93" spans="2:26">
      <c r="B93" s="5"/>
      <c r="C93" s="5"/>
      <c r="D93" s="5"/>
      <c r="E93" s="5"/>
      <c r="F93" s="5"/>
      <c r="G93" s="5"/>
      <c r="H93" s="5"/>
      <c r="I93" s="247"/>
      <c r="J93" s="5"/>
      <c r="K93" s="5"/>
      <c r="L93" s="5"/>
      <c r="M93" s="5"/>
      <c r="N93" s="5"/>
      <c r="O93" s="5"/>
      <c r="Q93" s="5"/>
      <c r="R93" s="5"/>
      <c r="S93" s="5"/>
      <c r="W93" s="21"/>
      <c r="X93" s="21"/>
      <c r="Y93" s="21"/>
      <c r="Z93" s="21"/>
    </row>
    <row r="94" spans="2:26">
      <c r="B94" s="5"/>
      <c r="C94" s="259"/>
      <c r="D94" s="247"/>
      <c r="E94" s="247"/>
      <c r="F94" s="247"/>
      <c r="G94" s="247"/>
      <c r="H94" s="247"/>
      <c r="I94" s="247"/>
      <c r="J94" s="247"/>
      <c r="K94" s="247"/>
      <c r="L94" s="247"/>
      <c r="M94" s="247"/>
      <c r="N94" s="247"/>
      <c r="O94" s="248"/>
      <c r="Q94" s="5"/>
      <c r="R94" s="5"/>
      <c r="S94" s="5"/>
      <c r="Y94" s="21"/>
      <c r="Z94" s="21"/>
    </row>
    <row r="95" spans="2:26">
      <c r="B95" s="5"/>
      <c r="C95" s="259"/>
      <c r="D95" s="247"/>
      <c r="E95" s="247"/>
      <c r="F95" s="247"/>
      <c r="G95" s="247"/>
      <c r="H95" s="247"/>
      <c r="I95" s="248"/>
      <c r="J95" s="247"/>
      <c r="K95" s="247"/>
      <c r="L95" s="247"/>
      <c r="M95" s="247"/>
      <c r="N95" s="247"/>
      <c r="O95" s="248"/>
      <c r="Q95" s="5"/>
      <c r="R95" s="5"/>
      <c r="S95" s="5"/>
    </row>
    <row r="96" spans="2:26">
      <c r="B96" s="5"/>
      <c r="C96" s="259"/>
      <c r="D96" s="247"/>
      <c r="E96" s="247"/>
      <c r="F96" s="247"/>
      <c r="G96" s="247"/>
      <c r="H96" s="247"/>
      <c r="I96" s="247"/>
      <c r="J96" s="247"/>
      <c r="K96" s="247"/>
      <c r="L96" s="247"/>
      <c r="M96" s="247"/>
      <c r="N96" s="247"/>
      <c r="O96" s="248"/>
      <c r="Q96" s="5"/>
      <c r="R96" s="5"/>
      <c r="S96" s="5"/>
    </row>
    <row r="97" spans="2:19">
      <c r="B97" s="5"/>
      <c r="C97" s="259"/>
      <c r="D97" s="248"/>
      <c r="E97" s="248"/>
      <c r="F97" s="248"/>
      <c r="G97" s="248"/>
      <c r="H97" s="248"/>
      <c r="I97" s="249"/>
      <c r="J97" s="248"/>
      <c r="K97" s="248"/>
      <c r="L97" s="248"/>
      <c r="M97" s="248"/>
      <c r="N97" s="248"/>
      <c r="O97" s="248"/>
      <c r="Q97" s="5"/>
      <c r="R97" s="5"/>
      <c r="S97" s="5"/>
    </row>
    <row r="98" spans="2:19">
      <c r="B98" s="5"/>
      <c r="C98" s="259"/>
      <c r="D98" s="247"/>
      <c r="E98" s="247"/>
      <c r="F98" s="247"/>
      <c r="G98" s="247"/>
      <c r="H98" s="247"/>
      <c r="I98" s="248"/>
      <c r="J98" s="247"/>
      <c r="K98" s="247"/>
      <c r="L98" s="247"/>
      <c r="M98" s="247"/>
      <c r="N98" s="247"/>
      <c r="O98" s="248"/>
      <c r="Q98" s="5"/>
      <c r="R98" s="5"/>
      <c r="S98" s="5"/>
    </row>
    <row r="99" spans="2:19">
      <c r="B99" s="41"/>
      <c r="C99" s="249"/>
      <c r="D99" s="249"/>
      <c r="E99" s="249"/>
      <c r="F99" s="249"/>
      <c r="G99" s="249"/>
      <c r="H99" s="249"/>
      <c r="I99" s="5"/>
      <c r="J99" s="249"/>
      <c r="K99" s="249"/>
      <c r="L99" s="249"/>
      <c r="M99" s="249"/>
      <c r="N99" s="249"/>
      <c r="O99" s="248"/>
      <c r="Q99" s="5"/>
      <c r="R99" s="5"/>
      <c r="S99" s="5"/>
    </row>
    <row r="100" spans="2:19">
      <c r="B100" s="41"/>
      <c r="C100" s="257"/>
      <c r="D100" s="248"/>
      <c r="E100" s="248"/>
      <c r="F100" s="248"/>
      <c r="G100" s="248"/>
      <c r="H100" s="248"/>
      <c r="I100" s="259"/>
      <c r="J100" s="248"/>
      <c r="K100" s="248"/>
      <c r="L100" s="248"/>
      <c r="M100" s="248"/>
      <c r="N100" s="248"/>
      <c r="O100" s="248"/>
      <c r="Q100" s="5"/>
      <c r="R100" s="5"/>
      <c r="S100" s="5"/>
    </row>
    <row r="101" spans="2:19" s="5" customFormat="1">
      <c r="B101" s="41"/>
      <c r="I101" s="259"/>
      <c r="O101" s="248"/>
      <c r="P101" s="39"/>
    </row>
    <row r="102" spans="2:19">
      <c r="B102" s="5"/>
      <c r="C102" s="259"/>
      <c r="D102" s="259"/>
      <c r="E102" s="259"/>
      <c r="F102" s="259"/>
      <c r="G102" s="259"/>
      <c r="H102" s="259"/>
      <c r="I102" s="247"/>
      <c r="J102" s="259"/>
      <c r="K102" s="259"/>
      <c r="L102" s="259"/>
      <c r="M102" s="259"/>
      <c r="N102" s="259"/>
      <c r="O102" s="5"/>
      <c r="Q102" s="5"/>
      <c r="R102" s="5"/>
      <c r="S102" s="5"/>
    </row>
    <row r="103" spans="2:19">
      <c r="B103" s="5"/>
      <c r="C103" s="259"/>
      <c r="D103" s="259"/>
      <c r="E103" s="259"/>
      <c r="F103" s="259"/>
      <c r="G103" s="259"/>
      <c r="H103" s="259"/>
      <c r="I103" s="5"/>
      <c r="J103" s="259"/>
      <c r="K103" s="259"/>
      <c r="L103" s="259"/>
      <c r="M103" s="259"/>
      <c r="N103" s="259"/>
      <c r="O103" s="5"/>
      <c r="P103" s="5"/>
      <c r="Q103" s="5"/>
      <c r="R103" s="5"/>
      <c r="S103" s="5"/>
    </row>
    <row r="104" spans="2:19">
      <c r="B104" s="5"/>
      <c r="C104" s="247"/>
      <c r="D104" s="247"/>
      <c r="E104" s="247"/>
      <c r="F104" s="247"/>
      <c r="G104" s="247"/>
      <c r="H104" s="247"/>
      <c r="I104" s="247"/>
      <c r="J104" s="247"/>
      <c r="K104" s="247"/>
      <c r="L104" s="247"/>
      <c r="M104" s="247"/>
      <c r="N104" s="247"/>
      <c r="O104" s="5"/>
      <c r="Q104" s="5"/>
      <c r="R104" s="5"/>
      <c r="S104" s="5"/>
    </row>
    <row r="105" spans="2:19" s="5" customFormat="1">
      <c r="P105" s="39"/>
    </row>
    <row r="106" spans="2:19" s="5" customFormat="1">
      <c r="C106" s="259"/>
      <c r="D106" s="247"/>
      <c r="E106" s="247"/>
      <c r="F106" s="247"/>
      <c r="G106" s="247"/>
      <c r="H106" s="247"/>
      <c r="I106" s="259"/>
      <c r="J106" s="247"/>
      <c r="K106" s="247"/>
      <c r="L106" s="247"/>
      <c r="M106" s="247"/>
      <c r="N106" s="247"/>
      <c r="P106" s="39"/>
    </row>
    <row r="107" spans="2:19">
      <c r="B107" s="5"/>
      <c r="C107" s="259"/>
      <c r="D107" s="5"/>
      <c r="E107" s="5"/>
      <c r="F107" s="5"/>
      <c r="G107" s="5"/>
      <c r="H107" s="5"/>
      <c r="I107" s="247"/>
      <c r="J107" s="5"/>
      <c r="K107" s="5"/>
      <c r="L107" s="5"/>
      <c r="M107" s="5"/>
      <c r="N107" s="5"/>
      <c r="O107" s="5"/>
      <c r="P107" s="5"/>
      <c r="Q107" s="5"/>
      <c r="R107" s="5"/>
      <c r="S107" s="5"/>
    </row>
    <row r="108" spans="2:19">
      <c r="B108" s="5"/>
      <c r="C108" s="259"/>
      <c r="D108" s="259"/>
      <c r="E108" s="259"/>
      <c r="F108" s="259"/>
      <c r="G108" s="259"/>
      <c r="H108" s="259"/>
      <c r="I108" s="249"/>
      <c r="J108" s="259"/>
      <c r="K108" s="259"/>
      <c r="L108" s="259"/>
      <c r="M108" s="259"/>
      <c r="N108" s="259"/>
      <c r="O108" s="5"/>
      <c r="P108" s="5"/>
      <c r="Q108" s="5"/>
      <c r="R108" s="5"/>
      <c r="S108" s="5"/>
    </row>
    <row r="109" spans="2:19">
      <c r="B109" s="5"/>
      <c r="C109" s="247"/>
      <c r="D109" s="247"/>
      <c r="E109" s="247"/>
      <c r="F109" s="247"/>
      <c r="G109" s="247"/>
      <c r="H109" s="247"/>
      <c r="I109" s="249"/>
      <c r="J109" s="247"/>
      <c r="K109" s="247"/>
      <c r="L109" s="247"/>
      <c r="M109" s="247"/>
      <c r="N109" s="247"/>
      <c r="O109" s="5"/>
      <c r="Q109" s="5"/>
      <c r="R109" s="5"/>
      <c r="S109" s="5"/>
    </row>
    <row r="110" spans="2:19">
      <c r="B110" s="41"/>
      <c r="C110" s="249"/>
      <c r="D110" s="249"/>
      <c r="E110" s="249"/>
      <c r="F110" s="249"/>
      <c r="G110" s="249"/>
      <c r="H110" s="249"/>
      <c r="I110" s="247"/>
      <c r="J110" s="249"/>
      <c r="K110" s="249"/>
      <c r="L110" s="249"/>
      <c r="M110" s="249"/>
      <c r="N110" s="249"/>
      <c r="O110" s="5"/>
      <c r="Q110" s="5"/>
      <c r="R110" s="5"/>
      <c r="S110" s="5"/>
    </row>
    <row r="111" spans="2:19">
      <c r="B111" s="5"/>
      <c r="C111" s="249"/>
      <c r="D111" s="249"/>
      <c r="E111" s="249"/>
      <c r="F111" s="249"/>
      <c r="G111" s="249"/>
      <c r="H111" s="249"/>
      <c r="I111" s="5"/>
      <c r="J111" s="249"/>
      <c r="K111" s="249"/>
      <c r="L111" s="249"/>
      <c r="M111" s="249"/>
      <c r="N111" s="249"/>
      <c r="O111" s="5"/>
      <c r="Q111" s="5"/>
      <c r="R111" s="5"/>
      <c r="S111" s="5"/>
    </row>
    <row r="112" spans="2:19">
      <c r="B112" s="5"/>
      <c r="C112" s="247"/>
      <c r="D112" s="247"/>
      <c r="E112" s="247"/>
      <c r="F112" s="247"/>
      <c r="G112" s="247"/>
      <c r="H112" s="247"/>
      <c r="I112" s="5"/>
      <c r="J112" s="247"/>
      <c r="K112" s="247"/>
      <c r="L112" s="247"/>
      <c r="M112" s="247"/>
      <c r="N112" s="247"/>
      <c r="O112" s="5"/>
      <c r="Q112" s="5"/>
      <c r="R112" s="5"/>
      <c r="S112" s="5"/>
    </row>
    <row r="113" spans="2:19">
      <c r="B113" s="5"/>
      <c r="C113" s="5"/>
      <c r="D113" s="5"/>
      <c r="E113" s="5"/>
      <c r="F113" s="5"/>
      <c r="G113" s="5"/>
      <c r="H113" s="5"/>
      <c r="I113" s="5"/>
      <c r="J113" s="5"/>
      <c r="K113" s="5"/>
      <c r="L113" s="5"/>
      <c r="M113" s="5"/>
      <c r="N113" s="5"/>
      <c r="O113" s="5"/>
      <c r="Q113" s="5"/>
      <c r="R113" s="5"/>
      <c r="S113" s="5"/>
    </row>
    <row r="114" spans="2:19">
      <c r="B114" s="5"/>
      <c r="C114" s="5"/>
      <c r="D114" s="5"/>
      <c r="E114" s="5"/>
      <c r="F114" s="5"/>
      <c r="G114" s="5"/>
      <c r="H114" s="5"/>
      <c r="I114" s="5"/>
      <c r="J114" s="5"/>
      <c r="K114" s="5"/>
      <c r="L114" s="5"/>
      <c r="M114" s="5"/>
      <c r="N114" s="5"/>
      <c r="O114" s="5"/>
      <c r="Q114" s="5"/>
      <c r="R114" s="5"/>
      <c r="S114" s="5"/>
    </row>
    <row r="115" spans="2:19">
      <c r="B115" s="5"/>
      <c r="C115" s="5"/>
      <c r="D115" s="5"/>
      <c r="E115" s="5"/>
      <c r="F115" s="5"/>
      <c r="G115" s="5"/>
      <c r="H115" s="5"/>
      <c r="I115" s="49"/>
      <c r="J115" s="5"/>
      <c r="K115" s="5"/>
      <c r="L115" s="5"/>
      <c r="M115" s="5"/>
      <c r="N115" s="5"/>
      <c r="O115" s="5"/>
      <c r="Q115" s="41"/>
      <c r="R115" s="5"/>
      <c r="S115" s="5"/>
    </row>
    <row r="116" spans="2:19">
      <c r="B116" s="5"/>
      <c r="C116" s="5"/>
      <c r="D116" s="5"/>
      <c r="E116" s="5"/>
      <c r="F116" s="5"/>
      <c r="G116" s="5"/>
      <c r="H116" s="5"/>
      <c r="I116" s="5"/>
      <c r="J116" s="5"/>
      <c r="K116" s="5"/>
      <c r="L116" s="5"/>
      <c r="M116" s="5"/>
      <c r="N116" s="5"/>
      <c r="O116" s="5"/>
      <c r="Q116" s="5"/>
      <c r="R116" s="5"/>
      <c r="S116" s="5"/>
    </row>
    <row r="117" spans="2:19">
      <c r="B117" s="41"/>
      <c r="C117" s="49"/>
      <c r="D117" s="49"/>
      <c r="E117" s="49"/>
      <c r="F117" s="49"/>
      <c r="G117" s="49"/>
      <c r="H117" s="49"/>
      <c r="I117" s="254"/>
      <c r="J117" s="49"/>
      <c r="K117" s="49"/>
      <c r="L117" s="49"/>
      <c r="M117" s="49"/>
      <c r="N117" s="49"/>
      <c r="O117" s="49"/>
      <c r="Q117" s="5"/>
      <c r="R117" s="5"/>
      <c r="S117" s="5"/>
    </row>
    <row r="118" spans="2:19">
      <c r="B118" s="5"/>
      <c r="C118" s="5"/>
      <c r="D118" s="5"/>
      <c r="E118" s="5"/>
      <c r="F118" s="5"/>
      <c r="G118" s="5"/>
      <c r="H118" s="5"/>
      <c r="I118" s="249"/>
      <c r="J118" s="5"/>
      <c r="K118" s="5"/>
      <c r="L118" s="5"/>
      <c r="M118" s="5"/>
      <c r="N118" s="5"/>
      <c r="O118" s="5"/>
      <c r="Q118" s="5"/>
      <c r="R118" s="5"/>
      <c r="S118" s="5"/>
    </row>
    <row r="119" spans="2:19">
      <c r="B119" s="41"/>
      <c r="C119" s="254"/>
      <c r="D119" s="254"/>
      <c r="E119" s="254"/>
      <c r="F119" s="254"/>
      <c r="G119" s="254"/>
      <c r="H119" s="254"/>
      <c r="I119" s="254"/>
      <c r="J119" s="254"/>
      <c r="K119" s="254"/>
      <c r="L119" s="254"/>
      <c r="M119" s="254"/>
      <c r="N119" s="254"/>
      <c r="O119" s="248"/>
      <c r="Q119" s="5"/>
      <c r="R119" s="5"/>
      <c r="S119" s="5"/>
    </row>
    <row r="120" spans="2:19">
      <c r="B120" s="41"/>
      <c r="C120" s="254"/>
      <c r="D120" s="249"/>
      <c r="E120" s="249"/>
      <c r="F120" s="249"/>
      <c r="G120" s="249"/>
      <c r="H120" s="249"/>
      <c r="I120" s="254"/>
      <c r="J120" s="249"/>
      <c r="K120" s="249"/>
      <c r="L120" s="249"/>
      <c r="M120" s="249"/>
      <c r="N120" s="249"/>
      <c r="O120" s="248"/>
      <c r="Q120" s="5"/>
      <c r="R120" s="5"/>
      <c r="S120" s="5"/>
    </row>
    <row r="121" spans="2:19">
      <c r="B121" s="41"/>
      <c r="C121" s="254"/>
      <c r="D121" s="254"/>
      <c r="E121" s="254"/>
      <c r="F121" s="254"/>
      <c r="G121" s="254"/>
      <c r="H121" s="254"/>
      <c r="I121" s="254"/>
      <c r="J121" s="254"/>
      <c r="K121" s="254"/>
      <c r="L121" s="254"/>
      <c r="M121" s="254"/>
      <c r="N121" s="254"/>
      <c r="O121" s="248"/>
      <c r="Q121" s="5"/>
      <c r="R121" s="5"/>
      <c r="S121" s="5"/>
    </row>
    <row r="122" spans="2:19">
      <c r="B122" s="41"/>
      <c r="C122" s="254"/>
      <c r="D122" s="254"/>
      <c r="E122" s="254"/>
      <c r="F122" s="254"/>
      <c r="G122" s="254"/>
      <c r="H122" s="254"/>
      <c r="I122" s="254"/>
      <c r="J122" s="254"/>
      <c r="K122" s="254"/>
      <c r="L122" s="254"/>
      <c r="M122" s="254"/>
      <c r="N122" s="254"/>
      <c r="O122" s="248"/>
      <c r="Q122" s="5"/>
      <c r="R122" s="5"/>
      <c r="S122" s="5"/>
    </row>
    <row r="123" spans="2:19">
      <c r="B123" s="41"/>
      <c r="C123" s="254"/>
      <c r="D123" s="254"/>
      <c r="E123" s="254"/>
      <c r="F123" s="254"/>
      <c r="G123" s="254"/>
      <c r="H123" s="254"/>
      <c r="I123" s="254"/>
      <c r="J123" s="254"/>
      <c r="K123" s="254"/>
      <c r="L123" s="254"/>
      <c r="M123" s="254"/>
      <c r="N123" s="254"/>
      <c r="O123" s="248"/>
      <c r="Q123" s="5"/>
      <c r="R123" s="5"/>
      <c r="S123" s="5"/>
    </row>
    <row r="124" spans="2:19">
      <c r="B124" s="41"/>
      <c r="C124" s="254"/>
      <c r="D124" s="254"/>
      <c r="E124" s="254"/>
      <c r="F124" s="254"/>
      <c r="G124" s="254"/>
      <c r="H124" s="254"/>
      <c r="I124" s="254"/>
      <c r="J124" s="254"/>
      <c r="K124" s="254"/>
      <c r="L124" s="254"/>
      <c r="M124" s="254"/>
      <c r="N124" s="254"/>
      <c r="O124" s="248"/>
      <c r="Q124" s="5"/>
      <c r="R124" s="5"/>
      <c r="S124" s="5"/>
    </row>
    <row r="125" spans="2:19">
      <c r="B125" s="41"/>
      <c r="C125" s="254"/>
      <c r="D125" s="254"/>
      <c r="E125" s="254"/>
      <c r="F125" s="254"/>
      <c r="G125" s="254"/>
      <c r="H125" s="254"/>
      <c r="I125" s="254"/>
      <c r="J125" s="254"/>
      <c r="K125" s="254"/>
      <c r="L125" s="254"/>
      <c r="M125" s="254"/>
      <c r="N125" s="254"/>
      <c r="O125" s="5"/>
      <c r="Q125" s="5"/>
      <c r="R125" s="5"/>
      <c r="S125" s="5"/>
    </row>
    <row r="126" spans="2:19">
      <c r="B126" s="41"/>
      <c r="C126" s="254"/>
      <c r="D126" s="254"/>
      <c r="E126" s="254"/>
      <c r="F126" s="254"/>
      <c r="G126" s="254"/>
      <c r="H126" s="254"/>
      <c r="I126" s="254"/>
      <c r="J126" s="254"/>
      <c r="K126" s="254"/>
      <c r="L126" s="254"/>
      <c r="M126" s="254"/>
      <c r="N126" s="254"/>
      <c r="O126" s="5"/>
      <c r="Q126" s="5"/>
      <c r="R126" s="5"/>
      <c r="S126" s="5"/>
    </row>
    <row r="127" spans="2:19">
      <c r="B127" s="41"/>
      <c r="C127" s="254"/>
      <c r="D127" s="254"/>
      <c r="E127" s="254"/>
      <c r="F127" s="254"/>
      <c r="G127" s="254"/>
      <c r="H127" s="254"/>
      <c r="I127" s="18"/>
      <c r="J127" s="254"/>
      <c r="K127" s="254"/>
      <c r="L127" s="254"/>
      <c r="M127" s="254"/>
      <c r="N127" s="254"/>
      <c r="O127" s="5"/>
      <c r="Q127" s="5"/>
      <c r="R127" s="5"/>
      <c r="S127" s="5"/>
    </row>
    <row r="128" spans="2:19">
      <c r="B128" s="41"/>
      <c r="C128" s="254"/>
      <c r="D128" s="254"/>
      <c r="E128" s="254"/>
      <c r="F128" s="254"/>
      <c r="G128" s="254"/>
      <c r="H128" s="254"/>
      <c r="I128" s="5"/>
      <c r="J128" s="254"/>
      <c r="K128" s="254"/>
      <c r="L128" s="254"/>
      <c r="M128" s="254"/>
      <c r="N128" s="254"/>
      <c r="O128" s="5"/>
      <c r="Q128" s="5"/>
      <c r="R128" s="5"/>
      <c r="S128" s="5"/>
    </row>
    <row r="129" spans="2:27">
      <c r="B129" s="5"/>
      <c r="C129" s="5"/>
      <c r="D129" s="18"/>
      <c r="E129" s="18"/>
      <c r="F129" s="18"/>
      <c r="G129" s="18"/>
      <c r="H129" s="18"/>
      <c r="I129" s="254"/>
      <c r="J129" s="18"/>
      <c r="K129" s="18"/>
      <c r="L129" s="18"/>
      <c r="M129" s="18"/>
      <c r="N129" s="18"/>
      <c r="O129" s="5"/>
      <c r="Q129" s="5"/>
      <c r="R129" s="5"/>
      <c r="S129" s="5"/>
    </row>
    <row r="130" spans="2:27">
      <c r="B130" s="5"/>
      <c r="C130" s="5"/>
      <c r="D130" s="5"/>
      <c r="E130" s="5"/>
      <c r="F130" s="5"/>
      <c r="G130" s="5"/>
      <c r="H130" s="5"/>
      <c r="I130" s="18"/>
      <c r="J130" s="5"/>
      <c r="K130" s="5"/>
      <c r="L130" s="5"/>
      <c r="M130" s="5"/>
      <c r="N130" s="5"/>
      <c r="O130" s="5"/>
      <c r="Q130" s="5"/>
      <c r="R130" s="5"/>
      <c r="S130" s="5"/>
    </row>
    <row r="131" spans="2:27">
      <c r="B131" s="41"/>
      <c r="C131" s="254"/>
      <c r="D131" s="254"/>
      <c r="E131" s="254"/>
      <c r="F131" s="254"/>
      <c r="G131" s="254"/>
      <c r="H131" s="254"/>
      <c r="I131" s="5"/>
      <c r="J131" s="254"/>
      <c r="K131" s="254"/>
      <c r="L131" s="254"/>
      <c r="M131" s="254"/>
      <c r="N131" s="254"/>
      <c r="O131" s="5"/>
      <c r="Q131" s="5"/>
      <c r="R131" s="5"/>
      <c r="S131" s="5"/>
    </row>
    <row r="132" spans="2:27">
      <c r="B132" s="5"/>
      <c r="C132" s="259"/>
      <c r="D132" s="18"/>
      <c r="E132" s="18"/>
      <c r="F132" s="18"/>
      <c r="G132" s="18"/>
      <c r="H132" s="18"/>
      <c r="I132" s="5"/>
      <c r="J132" s="18"/>
      <c r="K132" s="18"/>
      <c r="L132" s="18"/>
      <c r="M132" s="18"/>
      <c r="N132" s="18"/>
      <c r="O132" s="5"/>
      <c r="Q132" s="5"/>
      <c r="R132" s="5"/>
      <c r="S132" s="5"/>
    </row>
    <row r="133" spans="2:27">
      <c r="B133" s="5"/>
      <c r="C133" s="5"/>
      <c r="D133" s="5"/>
      <c r="E133" s="5"/>
      <c r="F133" s="5"/>
      <c r="G133" s="5"/>
      <c r="H133" s="5"/>
      <c r="I133" s="17"/>
      <c r="J133" s="5"/>
      <c r="K133" s="5"/>
      <c r="L133" s="5"/>
      <c r="M133" s="5"/>
      <c r="N133" s="5"/>
      <c r="O133" s="5"/>
      <c r="Q133" s="5"/>
      <c r="R133" s="5"/>
      <c r="S133" s="5"/>
    </row>
    <row r="134" spans="2:27">
      <c r="B134" s="41"/>
      <c r="C134" s="5"/>
      <c r="D134" s="5"/>
      <c r="E134" s="5"/>
      <c r="F134" s="5"/>
      <c r="G134" s="5"/>
      <c r="H134" s="5"/>
      <c r="I134" s="17"/>
      <c r="J134" s="5"/>
      <c r="K134" s="5"/>
      <c r="L134" s="5"/>
      <c r="M134" s="5"/>
      <c r="N134" s="5"/>
      <c r="O134" s="5"/>
      <c r="Q134" s="5"/>
      <c r="R134" s="5"/>
      <c r="S134" s="5"/>
    </row>
    <row r="135" spans="2:27">
      <c r="B135" s="5"/>
      <c r="C135" s="17"/>
      <c r="D135" s="17"/>
      <c r="E135" s="17"/>
      <c r="F135" s="17"/>
      <c r="G135" s="17"/>
      <c r="H135" s="17"/>
      <c r="I135" s="17"/>
      <c r="J135" s="17"/>
      <c r="K135" s="17"/>
      <c r="L135" s="17"/>
      <c r="M135" s="17"/>
      <c r="N135" s="17"/>
      <c r="O135" s="5"/>
      <c r="Q135" s="41"/>
      <c r="R135" s="5"/>
      <c r="S135" s="5"/>
    </row>
    <row r="136" spans="2:27">
      <c r="B136" s="5"/>
      <c r="C136" s="17"/>
      <c r="D136" s="17"/>
      <c r="E136" s="17"/>
      <c r="F136" s="17"/>
      <c r="G136" s="17"/>
      <c r="H136" s="17"/>
      <c r="I136" s="17"/>
      <c r="J136" s="17"/>
      <c r="K136" s="17"/>
      <c r="L136" s="17"/>
      <c r="M136" s="17"/>
      <c r="N136" s="17"/>
      <c r="O136" s="5"/>
      <c r="Q136" s="5"/>
      <c r="R136" s="5"/>
      <c r="S136" s="5"/>
      <c r="X136" s="304"/>
    </row>
    <row r="137" spans="2:27">
      <c r="B137" s="5"/>
      <c r="C137" s="5"/>
      <c r="D137" s="17"/>
      <c r="E137" s="17"/>
      <c r="F137" s="17"/>
      <c r="G137" s="17"/>
      <c r="H137" s="17"/>
      <c r="I137" s="17"/>
      <c r="J137" s="17"/>
      <c r="K137" s="17"/>
      <c r="L137" s="17"/>
      <c r="M137" s="17"/>
      <c r="N137" s="17"/>
      <c r="O137" s="5"/>
      <c r="Q137" s="5"/>
      <c r="R137" s="5"/>
      <c r="S137" s="5"/>
      <c r="X137" s="10"/>
      <c r="Y137" s="304"/>
      <c r="Z137" s="304"/>
      <c r="AA137" s="304"/>
    </row>
    <row r="138" spans="2:27">
      <c r="B138" s="5"/>
      <c r="C138" s="5"/>
      <c r="D138" s="17"/>
      <c r="E138" s="17"/>
      <c r="F138" s="17"/>
      <c r="G138" s="17"/>
      <c r="H138" s="17"/>
      <c r="I138" s="17"/>
      <c r="J138" s="17"/>
      <c r="K138" s="17"/>
      <c r="L138" s="17"/>
      <c r="M138" s="17"/>
      <c r="N138" s="17"/>
      <c r="O138" s="5"/>
      <c r="Q138" s="5"/>
      <c r="R138" s="5"/>
      <c r="S138" s="5"/>
      <c r="Y138" s="10"/>
      <c r="Z138" s="10"/>
      <c r="AA138" s="10"/>
    </row>
    <row r="139" spans="2:27">
      <c r="B139" s="5"/>
      <c r="C139" s="5"/>
      <c r="D139" s="17"/>
      <c r="E139" s="17"/>
      <c r="F139" s="17"/>
      <c r="G139" s="17"/>
      <c r="H139" s="17"/>
      <c r="I139" s="5"/>
      <c r="J139" s="17"/>
      <c r="K139" s="17"/>
      <c r="L139" s="17"/>
      <c r="M139" s="17"/>
      <c r="N139" s="17"/>
      <c r="O139" s="5"/>
      <c r="Q139" s="5"/>
      <c r="R139" s="5"/>
      <c r="S139" s="5"/>
    </row>
    <row r="140" spans="2:27">
      <c r="B140" s="5"/>
      <c r="C140" s="17"/>
      <c r="D140" s="17"/>
      <c r="E140" s="17"/>
      <c r="F140" s="17"/>
      <c r="G140" s="17"/>
      <c r="H140" s="17"/>
      <c r="I140" s="5"/>
      <c r="J140" s="17"/>
      <c r="K140" s="17"/>
      <c r="L140" s="17"/>
      <c r="M140" s="17"/>
      <c r="N140" s="17"/>
      <c r="O140" s="5"/>
      <c r="Q140" s="5"/>
      <c r="R140" s="5"/>
      <c r="S140" s="5"/>
    </row>
    <row r="141" spans="2:27">
      <c r="B141" s="5"/>
      <c r="C141" s="5"/>
      <c r="D141" s="5"/>
      <c r="E141" s="5"/>
      <c r="F141" s="5"/>
      <c r="G141" s="5"/>
      <c r="H141" s="5"/>
      <c r="I141" s="5"/>
      <c r="J141" s="5"/>
      <c r="K141" s="5"/>
      <c r="L141" s="5"/>
      <c r="M141" s="5"/>
      <c r="N141" s="5"/>
      <c r="O141" s="5"/>
      <c r="Q141" s="5"/>
      <c r="R141" s="5"/>
      <c r="S141" s="5"/>
    </row>
    <row r="142" spans="2:27">
      <c r="B142" s="5"/>
      <c r="C142" s="5"/>
      <c r="D142" s="5"/>
      <c r="E142" s="5"/>
      <c r="F142" s="5"/>
      <c r="G142" s="5"/>
      <c r="H142" s="5"/>
      <c r="I142" s="5"/>
      <c r="J142" s="5"/>
      <c r="K142" s="5"/>
      <c r="L142" s="5"/>
      <c r="M142" s="5"/>
      <c r="N142" s="5"/>
      <c r="O142" s="5"/>
      <c r="Q142" s="5"/>
      <c r="R142" s="5"/>
      <c r="S142" s="5"/>
    </row>
    <row r="143" spans="2:27">
      <c r="B143" s="5"/>
      <c r="C143" s="5"/>
      <c r="D143" s="5"/>
      <c r="E143" s="5"/>
      <c r="F143" s="5"/>
      <c r="G143" s="5"/>
      <c r="H143" s="5"/>
      <c r="I143" s="5"/>
      <c r="J143" s="5"/>
      <c r="K143" s="5"/>
      <c r="L143" s="5"/>
      <c r="M143" s="5"/>
      <c r="N143" s="5"/>
      <c r="O143" s="5"/>
      <c r="Q143" s="5"/>
      <c r="R143" s="5"/>
      <c r="S143" s="5"/>
    </row>
    <row r="144" spans="2:27">
      <c r="B144" s="5"/>
      <c r="C144" s="5"/>
      <c r="D144" s="5"/>
      <c r="E144" s="5"/>
      <c r="F144" s="5"/>
      <c r="G144" s="5"/>
      <c r="H144" s="5"/>
      <c r="I144" s="5"/>
      <c r="J144" s="5"/>
      <c r="K144" s="5"/>
      <c r="L144" s="5"/>
      <c r="M144" s="5"/>
      <c r="N144" s="5"/>
      <c r="O144" s="5"/>
      <c r="Q144" s="5"/>
      <c r="R144" s="5"/>
      <c r="S144" s="5"/>
    </row>
    <row r="145" spans="2:19">
      <c r="B145" s="5"/>
      <c r="C145" s="5"/>
      <c r="D145" s="5"/>
      <c r="E145" s="5"/>
      <c r="F145" s="5"/>
      <c r="G145" s="5"/>
      <c r="H145" s="5"/>
      <c r="I145" s="5"/>
      <c r="J145" s="5"/>
      <c r="K145" s="5"/>
      <c r="L145" s="5"/>
      <c r="M145" s="5"/>
      <c r="N145" s="5"/>
      <c r="O145" s="5"/>
      <c r="Q145" s="5"/>
      <c r="R145" s="5"/>
      <c r="S145" s="5"/>
    </row>
    <row r="146" spans="2:19">
      <c r="B146" s="5"/>
      <c r="C146" s="5"/>
      <c r="D146" s="5"/>
      <c r="E146" s="5"/>
      <c r="F146" s="5"/>
      <c r="G146" s="5"/>
      <c r="H146" s="5"/>
      <c r="I146" s="5"/>
      <c r="J146" s="5"/>
      <c r="K146" s="5"/>
      <c r="L146" s="5"/>
      <c r="M146" s="5"/>
      <c r="N146" s="5"/>
      <c r="O146" s="5"/>
      <c r="Q146" s="5"/>
      <c r="R146" s="5"/>
      <c r="S146" s="5"/>
    </row>
    <row r="147" spans="2:19">
      <c r="B147" s="5"/>
      <c r="C147" s="5"/>
      <c r="D147" s="5"/>
      <c r="E147" s="5"/>
      <c r="F147" s="5"/>
      <c r="G147" s="5"/>
      <c r="H147" s="5"/>
      <c r="I147" s="5"/>
      <c r="J147" s="5"/>
      <c r="K147" s="5"/>
      <c r="L147" s="5"/>
      <c r="M147" s="5"/>
      <c r="N147" s="5"/>
      <c r="O147" s="5"/>
      <c r="Q147" s="5"/>
      <c r="R147" s="5"/>
      <c r="S147" s="5"/>
    </row>
    <row r="148" spans="2:19">
      <c r="B148" s="5"/>
      <c r="C148" s="5"/>
      <c r="D148" s="5"/>
      <c r="E148" s="5"/>
      <c r="F148" s="5"/>
      <c r="G148" s="5"/>
      <c r="H148" s="5"/>
      <c r="I148" s="5"/>
      <c r="J148" s="5"/>
      <c r="K148" s="5"/>
      <c r="L148" s="5"/>
      <c r="M148" s="5"/>
      <c r="N148" s="5"/>
      <c r="O148" s="5"/>
      <c r="Q148" s="5"/>
      <c r="R148" s="5"/>
      <c r="S148" s="5"/>
    </row>
    <row r="149" spans="2:19">
      <c r="B149" s="5"/>
      <c r="C149" s="5"/>
      <c r="D149" s="5"/>
      <c r="E149" s="5"/>
      <c r="F149" s="5"/>
      <c r="G149" s="5"/>
      <c r="H149" s="5"/>
      <c r="J149" s="5"/>
      <c r="K149" s="5"/>
      <c r="L149" s="5"/>
      <c r="M149" s="5"/>
      <c r="N149" s="5"/>
      <c r="O149" s="5"/>
      <c r="Q149" s="5"/>
      <c r="R149" s="5"/>
      <c r="S149" s="5"/>
    </row>
    <row r="150" spans="2:19">
      <c r="B150" s="5"/>
      <c r="C150" s="5"/>
      <c r="D150" s="5"/>
      <c r="E150" s="5"/>
      <c r="F150" s="5"/>
      <c r="G150" s="5"/>
      <c r="H150" s="5"/>
      <c r="J150" s="5"/>
      <c r="K150" s="5"/>
      <c r="L150" s="5"/>
      <c r="M150" s="5"/>
      <c r="N150" s="5"/>
      <c r="O150" s="5"/>
      <c r="Q150" s="5"/>
      <c r="R150" s="5"/>
      <c r="S150" s="5"/>
    </row>
    <row r="151" spans="2:19">
      <c r="Q151" s="5"/>
      <c r="R151" s="5"/>
      <c r="S151" s="5"/>
    </row>
    <row r="152" spans="2:19">
      <c r="Q152" s="5"/>
      <c r="R152" s="5"/>
      <c r="S152" s="5"/>
    </row>
    <row r="153" spans="2:19">
      <c r="C153" s="263"/>
      <c r="Q153" s="5"/>
      <c r="R153" s="5"/>
      <c r="S153" s="5"/>
    </row>
    <row r="154" spans="2:19">
      <c r="Q154" s="5"/>
      <c r="R154" s="5"/>
      <c r="S154" s="5"/>
    </row>
    <row r="155" spans="2:19">
      <c r="Q155" s="5"/>
      <c r="R155" s="5"/>
      <c r="S155" s="5"/>
    </row>
    <row r="156" spans="2:19">
      <c r="Q156" s="5"/>
      <c r="R156" s="5"/>
      <c r="S156" s="5"/>
    </row>
    <row r="157" spans="2:19">
      <c r="Q157" s="5"/>
      <c r="R157" s="5"/>
      <c r="S157" s="5"/>
    </row>
    <row r="158" spans="2:19">
      <c r="Q158" s="5"/>
      <c r="R158" s="5"/>
      <c r="S158" s="5"/>
    </row>
    <row r="159" spans="2:19">
      <c r="Q159" s="5"/>
      <c r="R159" s="5"/>
      <c r="S159" s="5"/>
    </row>
    <row r="160" spans="2:19">
      <c r="Q160" s="5"/>
      <c r="R160" s="5"/>
      <c r="S160" s="5"/>
    </row>
    <row r="161" spans="17:19">
      <c r="Q161" s="5"/>
      <c r="R161" s="5"/>
      <c r="S161" s="5"/>
    </row>
    <row r="162" spans="17:19">
      <c r="Q162" s="5"/>
      <c r="R162" s="5"/>
      <c r="S162" s="5"/>
    </row>
    <row r="163" spans="17:19">
      <c r="Q163" s="5"/>
      <c r="R163" s="5"/>
      <c r="S163" s="5"/>
    </row>
    <row r="164" spans="17:19">
      <c r="Q164" s="5"/>
      <c r="R164" s="5"/>
      <c r="S164" s="5"/>
    </row>
    <row r="165" spans="17:19">
      <c r="Q165" s="5"/>
      <c r="R165" s="5"/>
      <c r="S165" s="5"/>
    </row>
  </sheetData>
  <pageMargins left="0.75" right="0.75" top="1" bottom="1" header="0.5" footer="0.5"/>
  <pageSetup scale="69" orientation="landscape"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63">
    <pageSetUpPr fitToPage="1"/>
  </sheetPr>
  <dimension ref="B1:AA165"/>
  <sheetViews>
    <sheetView showGridLines="0" zoomScale="80" zoomScaleNormal="80" zoomScaleSheetLayoutView="80" workbookViewId="0"/>
  </sheetViews>
  <sheetFormatPr defaultColWidth="9.109375" defaultRowHeight="12"/>
  <cols>
    <col min="1" max="1" width="2.33203125" style="39" customWidth="1"/>
    <col min="2" max="2" width="26.5546875" style="39" customWidth="1"/>
    <col min="3" max="9" width="10" style="39" customWidth="1"/>
    <col min="10" max="10" width="26.6640625" style="39" customWidth="1"/>
    <col min="11" max="16" width="10" style="39" customWidth="1"/>
    <col min="17" max="19" width="8.6640625" style="39" customWidth="1"/>
    <col min="20" max="27" width="8.6640625" style="5" customWidth="1"/>
    <col min="28" max="28" width="8.6640625" style="39" customWidth="1"/>
    <col min="29" max="16384" width="9.109375" style="39"/>
  </cols>
  <sheetData>
    <row r="1" spans="2:27" s="312" customFormat="1">
      <c r="T1" s="149"/>
      <c r="U1" s="149"/>
      <c r="V1" s="149"/>
      <c r="W1" s="149"/>
      <c r="X1" s="149"/>
      <c r="Y1" s="149"/>
      <c r="Z1" s="149"/>
      <c r="AA1" s="149"/>
    </row>
    <row r="2" spans="2:27" s="149" customFormat="1"/>
    <row r="3" spans="2:27" s="149" customFormat="1">
      <c r="H3" s="153"/>
      <c r="P3" s="153"/>
    </row>
    <row r="4" spans="2:27" s="156" customFormat="1" ht="21">
      <c r="B4" s="129" t="s">
        <v>305</v>
      </c>
      <c r="H4" s="222"/>
      <c r="P4" s="222"/>
    </row>
    <row r="5" spans="2:27" s="149" customFormat="1">
      <c r="C5" s="153"/>
      <c r="D5" s="153" t="str" cm="1">
        <f t="array" ref="D5:H5">headings</f>
        <v>2023E</v>
      </c>
      <c r="E5" s="153" t="str">
        <v>2024E</v>
      </c>
      <c r="F5" s="153" t="str">
        <v>2025E</v>
      </c>
      <c r="G5" s="153" t="str">
        <v>2026E</v>
      </c>
      <c r="H5" s="153" t="str">
        <v>23E-26E</v>
      </c>
      <c r="I5" s="153"/>
      <c r="J5" s="153"/>
      <c r="K5" s="153"/>
      <c r="L5" s="153" t="str" cm="1">
        <f t="array" ref="L5:P5">headings</f>
        <v>2023E</v>
      </c>
      <c r="M5" s="153" t="str">
        <v>2024E</v>
      </c>
      <c r="N5" s="153" t="str">
        <v>2025E</v>
      </c>
      <c r="O5" s="153" t="str">
        <v>2026E</v>
      </c>
      <c r="P5" s="153" t="str">
        <v>23E-26E</v>
      </c>
      <c r="Q5" s="162"/>
      <c r="R5" s="162"/>
      <c r="S5" s="162"/>
      <c r="T5" s="162"/>
      <c r="U5" s="162"/>
      <c r="V5" s="162"/>
      <c r="W5" s="162"/>
      <c r="X5" s="162"/>
      <c r="Y5" s="162"/>
    </row>
    <row r="6" spans="2:27">
      <c r="I6" s="5"/>
      <c r="J6" s="5"/>
      <c r="K6" s="5"/>
      <c r="L6" s="5"/>
      <c r="M6" s="5"/>
      <c r="N6" s="5"/>
      <c r="O6" s="49"/>
    </row>
    <row r="7" spans="2:27" ht="12.6" thickBot="1">
      <c r="B7" s="306" t="s">
        <v>271</v>
      </c>
      <c r="C7" s="265"/>
      <c r="D7" s="265" t="str">
        <f>D5</f>
        <v>2023E</v>
      </c>
      <c r="E7" s="265" t="str">
        <f t="shared" ref="E7:H7" si="0">E5</f>
        <v>2024E</v>
      </c>
      <c r="F7" s="265" t="str">
        <f t="shared" si="0"/>
        <v>2025E</v>
      </c>
      <c r="G7" s="265" t="str">
        <f t="shared" si="0"/>
        <v>2026E</v>
      </c>
      <c r="H7" s="265" t="str">
        <f t="shared" si="0"/>
        <v>23E-26E</v>
      </c>
      <c r="I7" s="49"/>
      <c r="J7" s="306" t="s">
        <v>157</v>
      </c>
      <c r="K7" s="306"/>
      <c r="L7" s="265" t="str">
        <f>L5</f>
        <v>2023E</v>
      </c>
      <c r="M7" s="265" t="str">
        <f t="shared" ref="M7:P7" si="1">M5</f>
        <v>2024E</v>
      </c>
      <c r="N7" s="265" t="str">
        <f t="shared" si="1"/>
        <v>2025E</v>
      </c>
      <c r="O7" s="265" t="str">
        <f t="shared" si="1"/>
        <v>2026E</v>
      </c>
      <c r="P7" s="265" t="str">
        <f t="shared" si="1"/>
        <v>23E-26E</v>
      </c>
    </row>
    <row r="8" spans="2:27" ht="12.6" thickTop="1">
      <c r="B8" s="5"/>
      <c r="C8" s="5"/>
      <c r="D8" s="5"/>
      <c r="E8" s="5"/>
      <c r="F8" s="5"/>
      <c r="G8" s="5"/>
      <c r="H8" s="5"/>
      <c r="I8" s="5"/>
      <c r="J8" s="5"/>
      <c r="K8" s="5"/>
      <c r="L8" s="5"/>
      <c r="M8" s="5"/>
      <c r="N8" s="5"/>
      <c r="S8" s="88"/>
      <c r="T8" s="42"/>
      <c r="U8" s="42"/>
      <c r="V8" s="42"/>
      <c r="W8" s="42"/>
      <c r="X8" s="42"/>
      <c r="Y8" s="42"/>
      <c r="Z8" s="42"/>
      <c r="AA8" s="42"/>
    </row>
    <row r="9" spans="2:27">
      <c r="B9" s="41" t="s">
        <v>117</v>
      </c>
      <c r="C9" s="267">
        <f>Prices!C45</f>
        <v>271.45999999999998</v>
      </c>
      <c r="D9" s="547">
        <v>0</v>
      </c>
      <c r="E9" s="547">
        <v>0</v>
      </c>
      <c r="F9" s="547">
        <v>0</v>
      </c>
      <c r="G9" s="547">
        <v>0</v>
      </c>
      <c r="H9" s="249"/>
      <c r="I9" s="249"/>
      <c r="J9" s="5" t="s">
        <v>273</v>
      </c>
      <c r="L9" s="529">
        <f>'US OTHER'!D37</f>
        <v>1.9736708012823159</v>
      </c>
      <c r="M9" s="529">
        <f>'US OTHER'!E37</f>
        <v>1.9315843262416086</v>
      </c>
      <c r="N9" s="529">
        <f>'US OTHER'!F37</f>
        <v>1.8669914977413062</v>
      </c>
      <c r="O9" s="529">
        <f>'US OTHER'!G37</f>
        <v>1.7635061842615585</v>
      </c>
      <c r="P9" s="18">
        <f>'US OTHER'!H37</f>
        <v>6.8251004257615655E-3</v>
      </c>
      <c r="S9" s="88"/>
      <c r="T9" s="42"/>
      <c r="U9" s="42"/>
      <c r="V9" s="42"/>
      <c r="W9" s="42"/>
      <c r="X9" s="42"/>
      <c r="Y9" s="42"/>
      <c r="Z9" s="42"/>
      <c r="AA9" s="42"/>
    </row>
    <row r="10" spans="2:27">
      <c r="B10" s="5" t="s">
        <v>274</v>
      </c>
      <c r="C10" s="5"/>
      <c r="D10" s="531">
        <v>165.61092099999999</v>
      </c>
      <c r="E10" s="531">
        <v>152.76517175881489</v>
      </c>
      <c r="F10" s="531">
        <v>144.75234035164442</v>
      </c>
      <c r="G10" s="531">
        <v>129.07828054399852</v>
      </c>
      <c r="H10" s="249"/>
      <c r="I10" s="247"/>
      <c r="J10" s="5" t="s">
        <v>184</v>
      </c>
      <c r="L10" s="529">
        <f>'US OTHER'!D38</f>
        <v>6.1453559700889135</v>
      </c>
      <c r="M10" s="529">
        <f>'US OTHER'!E38</f>
        <v>5.9078404422634829</v>
      </c>
      <c r="N10" s="529">
        <f>'US OTHER'!F38</f>
        <v>5.5795545521746677</v>
      </c>
      <c r="O10" s="529">
        <f>'US OTHER'!G38</f>
        <v>5.1297067144515101</v>
      </c>
      <c r="P10" s="18">
        <f>'US OTHER'!H38</f>
        <v>2.9926645487549974E-2</v>
      </c>
      <c r="S10" s="88"/>
      <c r="T10" s="42"/>
      <c r="U10" s="42"/>
      <c r="V10" s="42"/>
      <c r="W10" s="288"/>
      <c r="X10" s="288"/>
      <c r="Y10" s="288"/>
      <c r="Z10" s="288"/>
      <c r="AA10" s="42"/>
    </row>
    <row r="11" spans="2:27">
      <c r="B11" s="41" t="s">
        <v>275</v>
      </c>
      <c r="C11" s="5"/>
      <c r="D11" s="532">
        <f>$C$9*(SUM(D9:D10))</f>
        <v>44956.740614659997</v>
      </c>
      <c r="E11" s="532">
        <f>$C$9*(SUM(E9:E10))</f>
        <v>41469.633525647885</v>
      </c>
      <c r="F11" s="532">
        <f>$C$9*(SUM(F9:F10))</f>
        <v>39294.470311857389</v>
      </c>
      <c r="G11" s="532">
        <f>$C$9*(SUM(G9:G10))</f>
        <v>35039.590036473834</v>
      </c>
      <c r="H11" s="249"/>
      <c r="I11" s="249"/>
      <c r="J11" s="5" t="s">
        <v>185</v>
      </c>
      <c r="L11" s="529">
        <f>'US OTHER'!D39</f>
        <v>11.521165626993916</v>
      </c>
      <c r="M11" s="529">
        <f>'US OTHER'!E39</f>
        <v>10.122351497758206</v>
      </c>
      <c r="N11" s="529">
        <f>'US OTHER'!F39</f>
        <v>9.1465239568917855</v>
      </c>
      <c r="O11" s="529">
        <f>'US OTHER'!G39</f>
        <v>7.6057283010476526</v>
      </c>
      <c r="P11" s="18">
        <f>'US OTHER'!H39</f>
        <v>0.11371310161076686</v>
      </c>
      <c r="S11" s="88"/>
      <c r="T11" s="42"/>
      <c r="U11" s="42"/>
      <c r="V11" s="42"/>
      <c r="W11" s="288"/>
      <c r="X11" s="288"/>
      <c r="Y11" s="288"/>
      <c r="Z11" s="288"/>
      <c r="AA11" s="42"/>
    </row>
    <row r="12" spans="2:27">
      <c r="B12" s="5" t="s">
        <v>24</v>
      </c>
      <c r="C12" s="249"/>
      <c r="D12" s="533">
        <v>97068</v>
      </c>
      <c r="E12" s="533">
        <v>99850.680471104075</v>
      </c>
      <c r="F12" s="533">
        <v>101063.26924865619</v>
      </c>
      <c r="G12" s="533">
        <v>105157.81058783272</v>
      </c>
      <c r="H12" s="247"/>
      <c r="I12" s="247"/>
      <c r="J12" s="5" t="s">
        <v>466</v>
      </c>
      <c r="L12" s="529">
        <f>'US OTHER'!D40</f>
        <v>18.630373776917377</v>
      </c>
      <c r="M12" s="529">
        <f>'US OTHER'!E40</f>
        <v>15.14815669690881</v>
      </c>
      <c r="N12" s="529">
        <f>'US OTHER'!F40</f>
        <v>13.783300944127415</v>
      </c>
      <c r="O12" s="529">
        <f>'US OTHER'!G40</f>
        <v>11.406014250403096</v>
      </c>
      <c r="P12" s="18">
        <f>'US OTHER'!H40</f>
        <v>0.14204708718901382</v>
      </c>
      <c r="S12" s="88"/>
      <c r="T12" s="42"/>
      <c r="U12" s="42"/>
      <c r="V12" s="42"/>
      <c r="W12" s="288"/>
      <c r="X12" s="288"/>
      <c r="Y12" s="288"/>
      <c r="Z12" s="288"/>
      <c r="AA12" s="42"/>
    </row>
    <row r="13" spans="2:27">
      <c r="B13" s="5" t="s">
        <v>529</v>
      </c>
      <c r="C13" s="257"/>
      <c r="D13" s="533">
        <v>0</v>
      </c>
      <c r="E13" s="533">
        <v>0</v>
      </c>
      <c r="F13" s="533">
        <v>0</v>
      </c>
      <c r="G13" s="533">
        <v>0</v>
      </c>
      <c r="H13" s="247"/>
      <c r="I13" s="247"/>
      <c r="J13" s="5" t="s">
        <v>530</v>
      </c>
      <c r="L13" s="529">
        <f>'US OTHER'!D41</f>
        <v>1.1522825702126613</v>
      </c>
      <c r="M13" s="529">
        <f>'US OTHER'!E41</f>
        <v>1.11146801504834</v>
      </c>
      <c r="N13" s="529">
        <f>'US OTHER'!F41</f>
        <v>1.0801964530788128</v>
      </c>
      <c r="O13" s="529">
        <f>'US OTHER'!G41</f>
        <v>1.0526573924692084</v>
      </c>
      <c r="P13" s="18">
        <f>'US OTHER'!H41</f>
        <v>-5.8597350806643966E-4</v>
      </c>
      <c r="S13" s="88"/>
      <c r="T13" s="42"/>
      <c r="U13" s="42"/>
      <c r="V13" s="42"/>
      <c r="W13" s="42"/>
      <c r="X13" s="42"/>
      <c r="Y13" s="42"/>
      <c r="Z13" s="42"/>
      <c r="AA13" s="42"/>
    </row>
    <row r="14" spans="2:27">
      <c r="B14" s="5" t="s">
        <v>532</v>
      </c>
      <c r="C14" s="257"/>
      <c r="D14" s="533">
        <v>0</v>
      </c>
      <c r="E14" s="533">
        <v>0</v>
      </c>
      <c r="F14" s="533">
        <v>0</v>
      </c>
      <c r="G14" s="533">
        <v>0</v>
      </c>
      <c r="H14" s="247"/>
      <c r="I14" s="247"/>
      <c r="J14" s="5" t="s">
        <v>593</v>
      </c>
      <c r="L14" s="529">
        <f>'US OTHER'!D42</f>
        <v>3.3822118406750996</v>
      </c>
      <c r="M14" s="529">
        <f>'US OTHER'!E42</f>
        <v>3.2615783050725393</v>
      </c>
      <c r="N14" s="529">
        <f>'US OTHER'!F42</f>
        <v>3.1662143476325193</v>
      </c>
      <c r="O14" s="529">
        <f>'US OTHER'!G42</f>
        <v>3.1303282941479575</v>
      </c>
      <c r="P14" s="18">
        <f>'US OTHER'!H42</f>
        <v>-4.9190074724069222E-3</v>
      </c>
      <c r="S14" s="88"/>
      <c r="T14" s="42"/>
      <c r="U14" s="42"/>
      <c r="V14" s="42"/>
      <c r="W14" s="42"/>
      <c r="X14" s="42"/>
      <c r="Y14" s="42"/>
      <c r="Z14" s="42"/>
      <c r="AA14" s="42"/>
    </row>
    <row r="15" spans="2:27">
      <c r="B15" s="5" t="s">
        <v>531</v>
      </c>
      <c r="C15" s="274"/>
      <c r="D15" s="533">
        <v>0</v>
      </c>
      <c r="E15" s="533">
        <v>0</v>
      </c>
      <c r="F15" s="533">
        <v>0</v>
      </c>
      <c r="G15" s="533">
        <v>0</v>
      </c>
      <c r="H15" s="247"/>
      <c r="I15" s="247"/>
      <c r="J15" s="5" t="s">
        <v>475</v>
      </c>
      <c r="L15" s="529">
        <f>'US OTHER'!D43</f>
        <v>5.2584697598751795</v>
      </c>
      <c r="M15" s="529">
        <f>'US OTHER'!E43</f>
        <v>4.360017500278734</v>
      </c>
      <c r="N15" s="529">
        <f>'US OTHER'!F43</f>
        <v>4.0012893476281652</v>
      </c>
      <c r="O15" s="529">
        <f>'US OTHER'!G43</f>
        <v>3.4158788512089493</v>
      </c>
      <c r="P15" s="18">
        <f>'US OTHER'!H43</f>
        <v>8.0117819415815195E-2</v>
      </c>
      <c r="S15" s="88"/>
      <c r="T15" s="42"/>
      <c r="U15" s="42"/>
      <c r="V15" s="42"/>
      <c r="W15" s="42"/>
      <c r="X15" s="42"/>
      <c r="Y15" s="42"/>
      <c r="Z15" s="42"/>
      <c r="AA15" s="42"/>
    </row>
    <row r="16" spans="2:27">
      <c r="B16" s="5" t="s">
        <v>534</v>
      </c>
      <c r="C16" s="257"/>
      <c r="D16" s="533">
        <v>0</v>
      </c>
      <c r="E16" s="533">
        <v>0</v>
      </c>
      <c r="F16" s="533">
        <v>0</v>
      </c>
      <c r="G16" s="533">
        <v>0</v>
      </c>
      <c r="H16" s="247"/>
      <c r="I16" s="247"/>
      <c r="J16" s="5" t="s">
        <v>533</v>
      </c>
      <c r="L16" s="529">
        <f>'US OTHER'!D44</f>
        <v>10.688801425562144</v>
      </c>
      <c r="M16" s="529">
        <f>'US OTHER'!E44</f>
        <v>9.0541039775975793</v>
      </c>
      <c r="N16" s="529">
        <f>'US OTHER'!F44</f>
        <v>7.9165392708689435</v>
      </c>
      <c r="O16" s="529">
        <f>'US OTHER'!G44</f>
        <v>6.6136995679588573</v>
      </c>
      <c r="P16" s="18">
        <f>'US OTHER'!H44</f>
        <v>0.10233723564171293</v>
      </c>
      <c r="S16" s="88"/>
      <c r="T16" s="42"/>
      <c r="U16" s="42"/>
      <c r="V16" s="42"/>
      <c r="W16" s="42"/>
      <c r="X16" s="42"/>
      <c r="Y16" s="42"/>
      <c r="Z16" s="42"/>
      <c r="AA16" s="42"/>
    </row>
    <row r="17" spans="2:27">
      <c r="B17" s="5" t="s">
        <v>6</v>
      </c>
      <c r="C17" s="257"/>
      <c r="D17" s="533">
        <v>0</v>
      </c>
      <c r="E17" s="533">
        <v>0</v>
      </c>
      <c r="F17" s="533">
        <v>0</v>
      </c>
      <c r="G17" s="533">
        <v>0</v>
      </c>
      <c r="H17" s="247"/>
      <c r="I17" s="247"/>
      <c r="J17" s="5" t="s">
        <v>580</v>
      </c>
      <c r="L17" s="18">
        <f>'US OTHER'!D45</f>
        <v>2.2052024532702785E-2</v>
      </c>
      <c r="M17" s="18">
        <f>'US OTHER'!E45</f>
        <v>2.4611250391623297E-2</v>
      </c>
      <c r="N17" s="18">
        <f>'US OTHER'!F45</f>
        <v>2.5733166701033407E-2</v>
      </c>
      <c r="O17" s="18">
        <f>'US OTHER'!G45</f>
        <v>2.7146152816565176E-2</v>
      </c>
      <c r="P17" s="18">
        <f>'US OTHER'!H45</f>
        <v>6.714297299340366E-3</v>
      </c>
      <c r="S17" s="88"/>
      <c r="T17" s="42"/>
      <c r="U17" s="42"/>
      <c r="V17" s="42"/>
      <c r="W17" s="42"/>
      <c r="X17" s="42"/>
      <c r="Y17" s="42"/>
      <c r="Z17" s="42"/>
      <c r="AA17" s="42"/>
    </row>
    <row r="18" spans="2:27" ht="12.6" thickBot="1">
      <c r="B18" s="41" t="s">
        <v>583</v>
      </c>
      <c r="C18" s="249"/>
      <c r="D18" s="534">
        <f>D11+D12+D13-D14+D15-D16-D17</f>
        <v>142024.74061466</v>
      </c>
      <c r="E18" s="534">
        <f>E11+E12+E13-E14+E15-E16-E17</f>
        <v>141320.31399675197</v>
      </c>
      <c r="F18" s="534">
        <f>F11+F12+F13-F14+F15-F16-F17</f>
        <v>140357.73956051358</v>
      </c>
      <c r="G18" s="534">
        <f>G11+G12+G13-G14+G15-G16-G17</f>
        <v>140197.40062430655</v>
      </c>
      <c r="H18" s="276">
        <f>IF(D18=0,"nm",IF(G18=0,"nm",(G18/D18)^(1/3)-1))</f>
        <v>-4.3073095381905846E-3</v>
      </c>
      <c r="I18" s="254"/>
      <c r="J18" s="5" t="s">
        <v>36</v>
      </c>
      <c r="L18" s="18">
        <f>'US OTHER'!D46</f>
        <v>7.7745880700654107E-2</v>
      </c>
      <c r="M18" s="18">
        <f>'US OTHER'!E46</f>
        <v>0.1341751769191605</v>
      </c>
      <c r="N18" s="18">
        <f>'US OTHER'!F46</f>
        <v>0.14644095604748741</v>
      </c>
      <c r="O18" s="18">
        <f>'US OTHER'!G46</f>
        <v>0.21850989486146546</v>
      </c>
      <c r="P18" s="18">
        <f>'US OTHER'!H46</f>
        <v>0.3256153847966301</v>
      </c>
      <c r="S18" s="88"/>
      <c r="T18" s="42"/>
      <c r="U18" s="42"/>
      <c r="V18" s="42"/>
      <c r="W18" s="42"/>
      <c r="X18" s="42"/>
      <c r="Y18" s="42"/>
      <c r="Z18" s="42"/>
      <c r="AA18" s="42"/>
    </row>
    <row r="19" spans="2:27" ht="12.6" thickTop="1">
      <c r="B19" s="41"/>
      <c r="C19" s="249"/>
      <c r="D19" s="229"/>
      <c r="E19" s="229"/>
      <c r="F19" s="229"/>
      <c r="G19" s="229"/>
      <c r="H19" s="276"/>
      <c r="I19" s="254"/>
      <c r="J19" s="5" t="s">
        <v>581</v>
      </c>
      <c r="L19" s="18">
        <f>'US OTHER'!D47</f>
        <v>0.19016939255418236</v>
      </c>
      <c r="M19" s="18">
        <f>'US OTHER'!E47</f>
        <v>0.2293568775666773</v>
      </c>
      <c r="N19" s="18">
        <f>'US OTHER'!F47</f>
        <v>0.24991944174014</v>
      </c>
      <c r="O19" s="18">
        <f>'US OTHER'!G47</f>
        <v>0.29275042926246625</v>
      </c>
      <c r="P19" s="18">
        <f>'US OTHER'!H47</f>
        <v>8.0117819415815195E-2</v>
      </c>
      <c r="S19" s="88"/>
      <c r="T19" s="42"/>
      <c r="U19" s="42"/>
      <c r="V19" s="42"/>
      <c r="W19" s="42"/>
      <c r="X19" s="42"/>
      <c r="Y19" s="42"/>
      <c r="Z19" s="42"/>
      <c r="AA19" s="42"/>
    </row>
    <row r="20" spans="2:27">
      <c r="H20" s="277"/>
      <c r="I20" s="17"/>
      <c r="J20" s="5" t="s">
        <v>604</v>
      </c>
      <c r="L20" s="552">
        <f>'US OTHER'!D48</f>
        <v>0.122956651873093</v>
      </c>
      <c r="M20" s="552">
        <f>'US OTHER'!E48</f>
        <v>0.11420338650121682</v>
      </c>
      <c r="N20" s="552">
        <f>'US OTHER'!F48</f>
        <v>0.10996826737203369</v>
      </c>
      <c r="O20" s="552">
        <f>'US OTHER'!G48</f>
        <v>9.9553686168744285E-2</v>
      </c>
      <c r="P20" s="18" t="str">
        <f>'US OTHER'!H48</f>
        <v>nm</v>
      </c>
      <c r="S20" s="88"/>
      <c r="T20" s="42"/>
      <c r="U20" s="42"/>
      <c r="V20" s="42"/>
      <c r="W20" s="42"/>
      <c r="X20" s="42"/>
      <c r="Y20" s="42"/>
      <c r="Z20" s="42"/>
      <c r="AA20" s="42"/>
    </row>
    <row r="21" spans="2:27" ht="12.6" thickBot="1">
      <c r="B21" s="306" t="s">
        <v>927</v>
      </c>
      <c r="C21" s="265"/>
      <c r="D21" s="265" t="str">
        <f>D5</f>
        <v>2023E</v>
      </c>
      <c r="E21" s="265" t="str">
        <f t="shared" ref="E21:H21" si="2">E5</f>
        <v>2024E</v>
      </c>
      <c r="F21" s="265" t="str">
        <f t="shared" si="2"/>
        <v>2025E</v>
      </c>
      <c r="G21" s="265" t="str">
        <f t="shared" si="2"/>
        <v>2026E</v>
      </c>
      <c r="H21" s="265" t="str">
        <f t="shared" si="2"/>
        <v>23E-26E</v>
      </c>
      <c r="I21" s="49"/>
      <c r="J21" s="41"/>
      <c r="L21" s="251"/>
      <c r="M21" s="251"/>
      <c r="N21" s="251"/>
      <c r="O21" s="251"/>
      <c r="P21" s="18"/>
      <c r="S21" s="88"/>
      <c r="T21" s="42"/>
      <c r="U21" s="42"/>
      <c r="V21" s="42"/>
      <c r="W21" s="42"/>
      <c r="X21" s="42"/>
      <c r="Y21" s="42"/>
      <c r="Z21" s="42"/>
      <c r="AA21" s="42"/>
    </row>
    <row r="22" spans="2:27" ht="12.6" thickTop="1">
      <c r="B22" s="5"/>
      <c r="C22" s="257"/>
      <c r="D22" s="17"/>
      <c r="E22" s="17"/>
      <c r="F22" s="17"/>
      <c r="G22" s="17"/>
      <c r="H22" s="17"/>
      <c r="I22" s="17"/>
      <c r="P22" s="277"/>
      <c r="S22" s="88"/>
      <c r="T22" s="42"/>
      <c r="U22" s="42"/>
      <c r="V22" s="42"/>
      <c r="W22" s="42"/>
      <c r="X22" s="42"/>
      <c r="Y22" s="42"/>
      <c r="Z22" s="42"/>
      <c r="AA22" s="42"/>
    </row>
    <row r="23" spans="2:27" ht="12.6" thickBot="1">
      <c r="B23" s="5" t="s">
        <v>584</v>
      </c>
      <c r="C23" s="548">
        <v>54022</v>
      </c>
      <c r="D23" s="540">
        <v>54607</v>
      </c>
      <c r="E23" s="540">
        <v>55342.960082813857</v>
      </c>
      <c r="F23" s="540">
        <v>55601.399675917899</v>
      </c>
      <c r="G23" s="540">
        <v>56917.494602181396</v>
      </c>
      <c r="H23" s="279">
        <f>IF(D23=0,"nm",IF(G23=0,"nm",(G23/D23)^(1/3)-1))</f>
        <v>1.3909406851535078E-2</v>
      </c>
      <c r="I23" s="247"/>
      <c r="J23" s="306" t="s">
        <v>9</v>
      </c>
      <c r="K23" s="306"/>
      <c r="L23" s="265" t="str">
        <f>D21</f>
        <v>2023E</v>
      </c>
      <c r="M23" s="265" t="str">
        <f t="shared" ref="M23:P23" si="3">E21</f>
        <v>2024E</v>
      </c>
      <c r="N23" s="265" t="str">
        <f t="shared" si="3"/>
        <v>2025E</v>
      </c>
      <c r="O23" s="265" t="str">
        <f t="shared" si="3"/>
        <v>2026E</v>
      </c>
      <c r="P23" s="265" t="str">
        <f t="shared" si="3"/>
        <v>23E-26E</v>
      </c>
      <c r="S23" s="88"/>
      <c r="T23" s="42"/>
      <c r="U23" s="42"/>
      <c r="V23" s="42"/>
      <c r="W23" s="42"/>
      <c r="X23" s="42"/>
      <c r="Y23" s="42"/>
      <c r="Z23" s="42"/>
      <c r="AA23" s="42"/>
    </row>
    <row r="24" spans="2:27" ht="12.6" thickTop="1">
      <c r="B24" s="5" t="s">
        <v>483</v>
      </c>
      <c r="C24" s="549">
        <v>21616</v>
      </c>
      <c r="D24" s="540">
        <v>21894</v>
      </c>
      <c r="E24" s="540">
        <v>22519.694194458712</v>
      </c>
      <c r="F24" s="540">
        <v>22800.609893001412</v>
      </c>
      <c r="G24" s="540">
        <v>23732.533168670401</v>
      </c>
      <c r="H24" s="279">
        <f>IF(D24=0,"nm",IF(G24=0,"nm",(G24/D24)^(1/3)-1))</f>
        <v>2.7242535806642598E-2</v>
      </c>
      <c r="I24" s="249"/>
      <c r="J24" s="17"/>
      <c r="K24" s="17"/>
      <c r="L24" s="17"/>
      <c r="M24" s="17"/>
      <c r="N24" s="17"/>
      <c r="O24" s="248"/>
      <c r="S24" s="88"/>
      <c r="T24" s="42"/>
      <c r="U24" s="42"/>
      <c r="V24" s="42"/>
      <c r="W24" s="42" t="s">
        <v>311</v>
      </c>
      <c r="X24" s="42" t="s">
        <v>264</v>
      </c>
      <c r="Y24" s="42"/>
      <c r="Z24" s="42"/>
      <c r="AA24" s="42"/>
    </row>
    <row r="25" spans="2:27">
      <c r="B25" s="5" t="s">
        <v>183</v>
      </c>
      <c r="C25" s="548">
        <v>12240</v>
      </c>
      <c r="D25" s="540">
        <v>10779</v>
      </c>
      <c r="E25" s="540">
        <v>10201.830972666865</v>
      </c>
      <c r="F25" s="540">
        <v>10335.71817790352</v>
      </c>
      <c r="G25" s="540">
        <v>12547.898628497966</v>
      </c>
      <c r="H25" s="279">
        <f>IF(D25=0,"nm",IF(G25=0,"nm",(G25/D25)^(1/3)-1))</f>
        <v>5.1955842122821005E-2</v>
      </c>
      <c r="I25" s="248"/>
      <c r="J25" s="247" t="s">
        <v>10</v>
      </c>
      <c r="K25" s="247"/>
      <c r="L25" s="321">
        <v>0</v>
      </c>
      <c r="M25" s="321">
        <v>0</v>
      </c>
      <c r="N25" s="321">
        <v>0</v>
      </c>
      <c r="O25" s="321">
        <v>0</v>
      </c>
      <c r="P25" s="279" t="str">
        <f>IF(L25=0,"nm",IF(O25=0,"nm",(O25/L25)^(1/3)-1))</f>
        <v>nm</v>
      </c>
      <c r="S25" s="88"/>
      <c r="T25" s="42"/>
      <c r="U25" s="42"/>
      <c r="V25" s="147" t="s">
        <v>273</v>
      </c>
      <c r="W25" s="288">
        <f>D37/L9</f>
        <v>1.3177741096706925</v>
      </c>
      <c r="X25" s="288">
        <v>1</v>
      </c>
      <c r="Y25" s="42"/>
      <c r="Z25" s="42"/>
      <c r="AA25" s="42"/>
    </row>
    <row r="26" spans="2:27">
      <c r="B26" s="5" t="s">
        <v>586</v>
      </c>
      <c r="C26" s="548">
        <v>7956</v>
      </c>
      <c r="D26" s="540">
        <v>7006.35</v>
      </c>
      <c r="E26" s="540">
        <v>6631.1901322334625</v>
      </c>
      <c r="F26" s="540">
        <v>6718.2168156372882</v>
      </c>
      <c r="G26" s="540">
        <v>8156.1341085236782</v>
      </c>
      <c r="H26" s="279">
        <f>IF(D26=0,"nm",IF(G26=0,"nm",(G26/D26)^(1/3)-1))</f>
        <v>5.1955842122821005E-2</v>
      </c>
      <c r="I26" s="249"/>
      <c r="J26" s="249" t="s">
        <v>11</v>
      </c>
      <c r="K26" s="249"/>
      <c r="L26" s="281">
        <f>D11+L25</f>
        <v>44956.740614659997</v>
      </c>
      <c r="M26" s="281">
        <f>E11+M25</f>
        <v>41469.633525647885</v>
      </c>
      <c r="N26" s="281">
        <f>F11+N25</f>
        <v>39294.470311857389</v>
      </c>
      <c r="O26" s="281">
        <f>G11+O25</f>
        <v>35039.590036473834</v>
      </c>
      <c r="P26" s="279">
        <f>IF(L26=0,"nm",IF(O26=0,"nm",(O26/L26)^(1/3)-1))</f>
        <v>-7.9716999683671186E-2</v>
      </c>
      <c r="Q26" s="5"/>
      <c r="S26" s="88"/>
      <c r="T26" s="42"/>
      <c r="U26" s="42"/>
      <c r="V26" s="147" t="s">
        <v>184</v>
      </c>
      <c r="W26" s="288">
        <f t="shared" ref="W26:W33" si="4">D38/L10</f>
        <v>1.0555816855248321</v>
      </c>
      <c r="X26" s="288">
        <v>1</v>
      </c>
      <c r="Y26" s="42"/>
      <c r="Z26" s="42"/>
      <c r="AA26" s="42"/>
    </row>
    <row r="27" spans="2:27">
      <c r="B27" s="5" t="s">
        <v>587</v>
      </c>
      <c r="C27" s="549">
        <v>109507</v>
      </c>
      <c r="D27" s="540">
        <v>109449.84742375098</v>
      </c>
      <c r="E27" s="540">
        <v>108680.91166830885</v>
      </c>
      <c r="F27" s="540">
        <v>107490.03157958762</v>
      </c>
      <c r="G27" s="540">
        <v>105029.67896036338</v>
      </c>
      <c r="H27" s="279">
        <f>IF(ISERROR((G27/D27)^(1/3)-1),"na",(G27/D27)^(1/3)-1)</f>
        <v>-1.36471756094243E-2</v>
      </c>
      <c r="I27" s="249"/>
      <c r="J27" s="248"/>
      <c r="K27" s="248"/>
      <c r="L27" s="248"/>
      <c r="M27" s="248"/>
      <c r="N27" s="248"/>
      <c r="O27" s="248"/>
      <c r="Q27" s="41"/>
      <c r="S27" s="88"/>
      <c r="T27" s="42"/>
      <c r="U27" s="42"/>
      <c r="V27" s="147" t="s">
        <v>185</v>
      </c>
      <c r="W27" s="288">
        <f t="shared" si="4"/>
        <v>1.1436394100411753</v>
      </c>
      <c r="X27" s="288">
        <v>1</v>
      </c>
      <c r="Y27" s="42"/>
      <c r="Z27" s="42"/>
      <c r="AA27" s="42"/>
    </row>
    <row r="28" spans="2:27" ht="12.6" thickBot="1">
      <c r="B28" s="5" t="s">
        <v>592</v>
      </c>
      <c r="C28" s="548">
        <v>36039</v>
      </c>
      <c r="D28" s="540">
        <v>37235.006096108045</v>
      </c>
      <c r="E28" s="540">
        <v>39019.612102465369</v>
      </c>
      <c r="F28" s="540">
        <v>40941.087837491854</v>
      </c>
      <c r="G28" s="540">
        <v>40925.761378870317</v>
      </c>
      <c r="H28" s="279">
        <f>IF(ISERROR((G28/D28)^(1/3)-1),"na",(G28/D28)^(1/3)-1)</f>
        <v>3.2004947857466881E-2</v>
      </c>
      <c r="I28" s="248"/>
      <c r="J28" s="306" t="s">
        <v>1362</v>
      </c>
      <c r="K28" s="306"/>
      <c r="L28" s="306"/>
      <c r="M28" s="306"/>
      <c r="N28" s="266"/>
      <c r="O28" s="266"/>
      <c r="P28" s="266"/>
      <c r="Q28" s="5"/>
      <c r="S28" s="88"/>
      <c r="T28" s="42"/>
      <c r="U28" s="42"/>
      <c r="V28" s="147" t="s">
        <v>466</v>
      </c>
      <c r="W28" s="288">
        <f t="shared" si="4"/>
        <v>1.0880543963326443</v>
      </c>
      <c r="X28" s="288">
        <v>1</v>
      </c>
      <c r="Y28" s="42"/>
      <c r="Z28" s="42"/>
      <c r="AA28" s="42"/>
    </row>
    <row r="29" spans="2:27" ht="12.6" thickTop="1">
      <c r="B29" s="5" t="s">
        <v>588</v>
      </c>
      <c r="C29" s="548">
        <v>4582</v>
      </c>
      <c r="D29" s="540">
        <v>1901.7121563520705</v>
      </c>
      <c r="E29" s="540">
        <v>2813.8919823784727</v>
      </c>
      <c r="F29" s="540">
        <v>3403.0756805043457</v>
      </c>
      <c r="G29" s="540">
        <v>5256.3716551760917</v>
      </c>
      <c r="H29" s="279">
        <f>IF(D29=0,"nm",IF(G29=0,"nm",(G29/D29)^(1/3)-1))</f>
        <v>0.40339662366130269</v>
      </c>
      <c r="I29" s="252"/>
      <c r="J29" s="249"/>
      <c r="K29" s="249"/>
      <c r="L29" s="249"/>
      <c r="M29" s="249"/>
      <c r="N29" s="249"/>
      <c r="O29" s="251"/>
      <c r="Q29" s="5"/>
      <c r="S29" s="88"/>
      <c r="T29" s="42"/>
      <c r="U29" s="42"/>
      <c r="V29" s="147" t="s">
        <v>530</v>
      </c>
      <c r="W29" s="288">
        <f t="shared" si="4"/>
        <v>1.1261334317084142</v>
      </c>
      <c r="X29" s="288">
        <v>1</v>
      </c>
      <c r="Y29" s="42"/>
      <c r="Z29" s="42"/>
      <c r="AA29" s="42"/>
    </row>
    <row r="30" spans="2:27">
      <c r="B30" s="5" t="s">
        <v>589</v>
      </c>
      <c r="C30" s="549">
        <v>5055</v>
      </c>
      <c r="D30" s="540">
        <v>4320.7121563520705</v>
      </c>
      <c r="E30" s="540">
        <v>5316.8605015127287</v>
      </c>
      <c r="F30" s="540">
        <v>5784.8621026508363</v>
      </c>
      <c r="G30" s="540">
        <v>6248.925821732666</v>
      </c>
      <c r="H30" s="279">
        <f>IF(D30=0,"nm",IF(G30=0,"nm",(G30/D30)^(1/3)-1))</f>
        <v>0.13088040283838387</v>
      </c>
      <c r="I30" s="254"/>
      <c r="J30" s="248"/>
      <c r="K30" s="248"/>
      <c r="L30" s="248"/>
      <c r="M30" s="248"/>
      <c r="N30" s="248"/>
      <c r="O30" s="5"/>
      <c r="Q30" s="5"/>
      <c r="S30" s="88"/>
      <c r="T30" s="42"/>
      <c r="U30" s="42"/>
      <c r="V30" s="147" t="s">
        <v>593</v>
      </c>
      <c r="W30" s="288">
        <f t="shared" si="4"/>
        <v>1.1277472321778319</v>
      </c>
      <c r="X30" s="288">
        <v>1</v>
      </c>
      <c r="Y30" s="42"/>
      <c r="Z30" s="42"/>
      <c r="AA30" s="42"/>
    </row>
    <row r="31" spans="2:27">
      <c r="B31" s="5" t="s">
        <v>590</v>
      </c>
      <c r="C31" s="549">
        <v>0</v>
      </c>
      <c r="D31" s="540">
        <v>0</v>
      </c>
      <c r="E31" s="540">
        <v>0</v>
      </c>
      <c r="F31" s="540">
        <v>0</v>
      </c>
      <c r="G31" s="540">
        <v>0</v>
      </c>
      <c r="H31" s="279" t="str">
        <f>IF(D31=0,"nm",IF(G31=0,"nm",(G31/D31)^(1/3)-1))</f>
        <v>nm</v>
      </c>
      <c r="I31" s="254"/>
      <c r="J31" s="252"/>
      <c r="K31" s="252"/>
      <c r="L31" s="252"/>
      <c r="M31" s="252"/>
      <c r="N31" s="252"/>
      <c r="O31" s="5"/>
      <c r="Q31" s="5"/>
      <c r="S31" s="88"/>
      <c r="T31" s="42"/>
      <c r="U31" s="42"/>
      <c r="V31" s="147" t="s">
        <v>475</v>
      </c>
      <c r="W31" s="288">
        <f t="shared" si="4"/>
        <v>4.4956309635763043</v>
      </c>
      <c r="X31" s="288">
        <v>1</v>
      </c>
      <c r="Y31" s="42"/>
      <c r="Z31" s="42"/>
      <c r="AA31" s="42"/>
    </row>
    <row r="32" spans="2:27">
      <c r="B32" s="5" t="s">
        <v>606</v>
      </c>
      <c r="C32" s="550">
        <v>10277</v>
      </c>
      <c r="D32" s="540">
        <v>5698.2038780515168</v>
      </c>
      <c r="E32" s="540">
        <v>10254.698250557556</v>
      </c>
      <c r="F32" s="540">
        <v>9667.6198018988762</v>
      </c>
      <c r="G32" s="540">
        <v>14376.222501607934</v>
      </c>
      <c r="H32" s="279">
        <f>IF(D32=0,"nm",IF(G32=0,"nm",(G32/D32)^(1/3)-1))</f>
        <v>0.36134729872699389</v>
      </c>
      <c r="I32" s="254"/>
      <c r="J32" s="254"/>
      <c r="K32" s="254"/>
      <c r="L32" s="254"/>
      <c r="M32" s="254"/>
      <c r="N32" s="254"/>
      <c r="O32" s="251"/>
      <c r="Q32" s="5"/>
      <c r="S32" s="88"/>
      <c r="T32" s="42"/>
      <c r="U32" s="42"/>
      <c r="V32" s="147" t="s">
        <v>533</v>
      </c>
      <c r="W32" s="288">
        <f t="shared" si="4"/>
        <v>0.97344288113746702</v>
      </c>
      <c r="X32" s="288">
        <v>1</v>
      </c>
      <c r="Y32" s="42"/>
      <c r="Z32" s="42"/>
      <c r="AA32" s="42"/>
    </row>
    <row r="33" spans="2:27">
      <c r="B33" s="5" t="s">
        <v>5</v>
      </c>
      <c r="C33" s="549">
        <v>0</v>
      </c>
      <c r="D33" s="540">
        <v>0</v>
      </c>
      <c r="E33" s="540">
        <v>0</v>
      </c>
      <c r="F33" s="540">
        <v>0</v>
      </c>
      <c r="G33" s="540">
        <v>0</v>
      </c>
      <c r="H33" s="279" t="str">
        <f>IF(ISERROR((G33/D33)^(1/3)-1),"na",(G33/D33)^(1/3)-1)</f>
        <v>na</v>
      </c>
      <c r="I33" s="5"/>
      <c r="J33" s="254"/>
      <c r="K33" s="254"/>
      <c r="L33" s="254"/>
      <c r="M33" s="254"/>
      <c r="N33" s="254"/>
      <c r="O33" s="251"/>
      <c r="Q33" s="5"/>
      <c r="S33" s="88"/>
      <c r="T33" s="42"/>
      <c r="U33" s="42"/>
      <c r="V33" s="147" t="s">
        <v>580</v>
      </c>
      <c r="W33" s="288">
        <f t="shared" si="4"/>
        <v>0</v>
      </c>
      <c r="X33" s="288">
        <v>1</v>
      </c>
      <c r="Y33" s="42"/>
      <c r="Z33" s="42"/>
      <c r="AA33" s="42"/>
    </row>
    <row r="34" spans="2:27">
      <c r="D34" s="5"/>
      <c r="E34" s="5"/>
      <c r="F34" s="5"/>
      <c r="G34" s="5"/>
      <c r="I34" s="49"/>
      <c r="J34" s="254"/>
      <c r="K34" s="254"/>
      <c r="L34" s="254"/>
      <c r="M34" s="254"/>
      <c r="N34" s="254"/>
      <c r="O34" s="251"/>
      <c r="Q34" s="5"/>
      <c r="S34" s="88"/>
      <c r="T34" s="42"/>
      <c r="U34" s="42"/>
      <c r="V34" s="147" t="s">
        <v>581</v>
      </c>
      <c r="W34" s="288">
        <f>D47/L19</f>
        <v>0.22243818678668706</v>
      </c>
      <c r="X34" s="288">
        <v>1</v>
      </c>
      <c r="Y34" s="288"/>
      <c r="Z34" s="288"/>
      <c r="AA34" s="42"/>
    </row>
    <row r="35" spans="2:27" ht="12.6" thickBot="1">
      <c r="B35" s="306" t="s">
        <v>643</v>
      </c>
      <c r="C35" s="265"/>
      <c r="D35" s="265" t="str">
        <f>D5</f>
        <v>2023E</v>
      </c>
      <c r="E35" s="265" t="str">
        <f t="shared" ref="E35:H35" si="5">E5</f>
        <v>2024E</v>
      </c>
      <c r="F35" s="265" t="str">
        <f t="shared" si="5"/>
        <v>2025E</v>
      </c>
      <c r="G35" s="265" t="str">
        <f t="shared" si="5"/>
        <v>2026E</v>
      </c>
      <c r="H35" s="265" t="str">
        <f t="shared" si="5"/>
        <v>23E-26E</v>
      </c>
      <c r="I35" s="254"/>
      <c r="J35" s="5"/>
      <c r="K35" s="5"/>
      <c r="L35" s="5"/>
      <c r="M35" s="5"/>
      <c r="N35" s="5"/>
      <c r="O35" s="5"/>
      <c r="Q35" s="5"/>
      <c r="S35" s="88"/>
      <c r="T35" s="42"/>
      <c r="U35" s="42"/>
      <c r="V35" s="42"/>
      <c r="W35" s="42"/>
      <c r="X35" s="42"/>
      <c r="Y35" s="288"/>
      <c r="Z35" s="288"/>
      <c r="AA35" s="42"/>
    </row>
    <row r="36" spans="2:27" ht="12.6" thickTop="1">
      <c r="B36" s="41"/>
      <c r="C36" s="249"/>
      <c r="D36" s="254"/>
      <c r="E36" s="254"/>
      <c r="F36" s="254"/>
      <c r="G36" s="254"/>
      <c r="H36" s="254"/>
      <c r="I36" s="17"/>
      <c r="J36" s="49"/>
      <c r="K36" s="49"/>
      <c r="L36" s="49"/>
      <c r="M36" s="49"/>
      <c r="N36" s="49"/>
      <c r="O36" s="49"/>
      <c r="Q36" s="5"/>
      <c r="S36" s="88"/>
      <c r="T36" s="42"/>
      <c r="U36" s="42"/>
      <c r="V36" s="42"/>
      <c r="W36" s="42"/>
      <c r="X36" s="42"/>
      <c r="Y36" s="288"/>
      <c r="Z36" s="288"/>
      <c r="AA36" s="42"/>
    </row>
    <row r="37" spans="2:27">
      <c r="B37" s="5" t="s">
        <v>273</v>
      </c>
      <c r="C37" s="247"/>
      <c r="D37" s="529">
        <f>D$18/D23</f>
        <v>2.6008522829428462</v>
      </c>
      <c r="E37" s="529">
        <f t="shared" ref="E37:G41" si="6">E$18/E23</f>
        <v>2.5535373204700957</v>
      </c>
      <c r="F37" s="529">
        <f t="shared" si="6"/>
        <v>2.5243562280556291</v>
      </c>
      <c r="G37" s="529">
        <f t="shared" si="6"/>
        <v>2.4631688658153519</v>
      </c>
      <c r="H37" s="17">
        <f t="shared" ref="H37:H44" si="7">H23</f>
        <v>1.3909406851535078E-2</v>
      </c>
      <c r="I37" s="5"/>
      <c r="J37" s="259"/>
      <c r="K37" s="259"/>
      <c r="L37" s="259"/>
      <c r="M37" s="259"/>
      <c r="N37" s="259"/>
      <c r="O37" s="18"/>
      <c r="Q37" s="5"/>
      <c r="R37" s="5"/>
      <c r="S37" s="42"/>
      <c r="T37" s="42"/>
      <c r="U37" s="42"/>
      <c r="V37" s="42"/>
      <c r="W37" s="42"/>
      <c r="X37" s="42"/>
      <c r="Y37" s="42"/>
      <c r="Z37" s="42"/>
      <c r="AA37" s="42"/>
    </row>
    <row r="38" spans="2:27">
      <c r="B38" s="5" t="s">
        <v>184</v>
      </c>
      <c r="C38" s="247"/>
      <c r="D38" s="529">
        <f>D$18/D24</f>
        <v>6.4869252130565451</v>
      </c>
      <c r="E38" s="529">
        <f t="shared" si="6"/>
        <v>6.275409993423704</v>
      </c>
      <c r="F38" s="529">
        <f t="shared" si="6"/>
        <v>6.155876540986565</v>
      </c>
      <c r="G38" s="529">
        <f t="shared" si="6"/>
        <v>5.9073930131227126</v>
      </c>
      <c r="H38" s="17">
        <f t="shared" si="7"/>
        <v>2.7242535806642598E-2</v>
      </c>
      <c r="I38" s="259"/>
      <c r="J38" s="17"/>
      <c r="K38" s="17"/>
      <c r="L38" s="17"/>
      <c r="M38" s="17"/>
      <c r="N38" s="17"/>
      <c r="O38" s="5"/>
      <c r="Q38" s="5"/>
      <c r="R38" s="5"/>
      <c r="S38" s="42"/>
      <c r="T38" s="42"/>
      <c r="U38" s="42"/>
      <c r="V38" s="42"/>
      <c r="W38" s="42"/>
      <c r="X38" s="42"/>
      <c r="Y38" s="42"/>
      <c r="Z38" s="42"/>
      <c r="AA38" s="42"/>
    </row>
    <row r="39" spans="2:27">
      <c r="B39" s="5" t="s">
        <v>185</v>
      </c>
      <c r="C39" s="247"/>
      <c r="D39" s="529">
        <f>D$18/D25</f>
        <v>13.17605906064199</v>
      </c>
      <c r="E39" s="529">
        <f t="shared" si="6"/>
        <v>13.852446132011279</v>
      </c>
      <c r="F39" s="529">
        <f t="shared" si="6"/>
        <v>13.579872936220433</v>
      </c>
      <c r="G39" s="529">
        <f t="shared" si="6"/>
        <v>11.172978422530399</v>
      </c>
      <c r="H39" s="17">
        <f t="shared" si="7"/>
        <v>5.1955842122821005E-2</v>
      </c>
      <c r="I39" s="17"/>
      <c r="J39" s="5"/>
      <c r="K39" s="5"/>
      <c r="L39" s="5"/>
      <c r="M39" s="5"/>
      <c r="N39" s="5"/>
      <c r="O39" s="5"/>
      <c r="Q39" s="5"/>
      <c r="R39" s="5"/>
      <c r="S39" s="42"/>
      <c r="T39" s="42"/>
      <c r="U39" s="42"/>
      <c r="V39" s="42"/>
      <c r="W39" s="42"/>
      <c r="X39" s="42"/>
      <c r="Y39" s="42"/>
      <c r="Z39" s="42"/>
      <c r="AA39" s="42"/>
    </row>
    <row r="40" spans="2:27">
      <c r="B40" s="5" t="s">
        <v>466</v>
      </c>
      <c r="C40" s="247"/>
      <c r="D40" s="529">
        <f>D$18/D26</f>
        <v>20.270860093295365</v>
      </c>
      <c r="E40" s="529">
        <f t="shared" si="6"/>
        <v>21.311455587709659</v>
      </c>
      <c r="F40" s="529">
        <f t="shared" si="6"/>
        <v>20.892112209569898</v>
      </c>
      <c r="G40" s="529">
        <f t="shared" si="6"/>
        <v>17.189197573123689</v>
      </c>
      <c r="H40" s="17">
        <f t="shared" si="7"/>
        <v>5.1955842122821005E-2</v>
      </c>
      <c r="I40" s="5"/>
      <c r="J40" s="259"/>
      <c r="K40" s="259"/>
      <c r="L40" s="259"/>
      <c r="M40" s="259"/>
      <c r="N40" s="259"/>
      <c r="O40" s="18"/>
      <c r="Q40" s="5"/>
      <c r="R40" s="5"/>
      <c r="S40" s="42"/>
      <c r="T40" s="42"/>
      <c r="U40" s="42"/>
      <c r="V40" s="42"/>
      <c r="W40" s="288"/>
      <c r="X40" s="288"/>
      <c r="Y40" s="42"/>
      <c r="Z40" s="42"/>
      <c r="AA40" s="42"/>
    </row>
    <row r="41" spans="2:27">
      <c r="B41" s="5" t="s">
        <v>530</v>
      </c>
      <c r="C41" s="247"/>
      <c r="D41" s="529">
        <f>D$18/D27</f>
        <v>1.2976239250913761</v>
      </c>
      <c r="E41" s="529">
        <f t="shared" si="6"/>
        <v>1.3003232290510929</v>
      </c>
      <c r="F41" s="529">
        <f t="shared" si="6"/>
        <v>1.3057744750646025</v>
      </c>
      <c r="G41" s="529">
        <f t="shared" si="6"/>
        <v>1.3348360388420777</v>
      </c>
      <c r="H41" s="17">
        <f t="shared" si="7"/>
        <v>-1.36471756094243E-2</v>
      </c>
      <c r="I41" s="247"/>
      <c r="J41" s="17"/>
      <c r="K41" s="17"/>
      <c r="L41" s="17"/>
      <c r="M41" s="17"/>
      <c r="N41" s="17"/>
      <c r="O41" s="5"/>
      <c r="Q41" s="5"/>
      <c r="R41" s="5"/>
      <c r="S41" s="42"/>
      <c r="T41" s="42"/>
      <c r="U41" s="42"/>
      <c r="V41" s="42"/>
      <c r="W41" s="288"/>
      <c r="X41" s="288"/>
      <c r="Y41" s="288"/>
      <c r="Z41" s="288"/>
      <c r="AA41" s="42"/>
    </row>
    <row r="42" spans="2:27">
      <c r="B42" s="5" t="s">
        <v>593</v>
      </c>
      <c r="C42" s="247"/>
      <c r="D42" s="529">
        <f>D18/D28</f>
        <v>3.8142800419604335</v>
      </c>
      <c r="E42" s="529">
        <f>E18/E28</f>
        <v>3.6217764960257757</v>
      </c>
      <c r="F42" s="529">
        <f>F18/F28</f>
        <v>3.4282855433064676</v>
      </c>
      <c r="G42" s="529">
        <f>G18/G28</f>
        <v>3.4256516165069928</v>
      </c>
      <c r="H42" s="17">
        <f t="shared" si="7"/>
        <v>3.2004947857466881E-2</v>
      </c>
      <c r="I42" s="248"/>
      <c r="J42" s="5"/>
      <c r="K42" s="5"/>
      <c r="L42" s="5"/>
      <c r="M42" s="5"/>
      <c r="N42" s="5"/>
      <c r="O42" s="5"/>
      <c r="Q42" s="5"/>
      <c r="R42" s="5"/>
      <c r="S42" s="42"/>
      <c r="T42" s="42"/>
      <c r="U42" s="42"/>
      <c r="V42" s="42"/>
      <c r="W42" s="288"/>
      <c r="X42" s="288"/>
      <c r="Y42" s="288"/>
      <c r="Z42" s="288"/>
      <c r="AA42" s="42"/>
    </row>
    <row r="43" spans="2:27">
      <c r="B43" s="5" t="s">
        <v>475</v>
      </c>
      <c r="C43" s="247"/>
      <c r="D43" s="529">
        <f>L26/D29</f>
        <v>23.64013947352451</v>
      </c>
      <c r="E43" s="529">
        <f>M26/E29</f>
        <v>14.737464616745958</v>
      </c>
      <c r="F43" s="529">
        <f>N26/F29</f>
        <v>11.546751821291801</v>
      </c>
      <c r="G43" s="529">
        <f>O26/G29</f>
        <v>6.6661173020308411</v>
      </c>
      <c r="H43" s="17">
        <f t="shared" si="7"/>
        <v>0.40339662366130269</v>
      </c>
      <c r="I43" s="247"/>
      <c r="J43" s="247"/>
      <c r="K43" s="247"/>
      <c r="L43" s="247"/>
      <c r="M43" s="247"/>
      <c r="N43" s="247"/>
      <c r="O43" s="18"/>
      <c r="Q43" s="5"/>
      <c r="R43" s="5"/>
      <c r="S43" s="42"/>
      <c r="T43" s="42"/>
      <c r="U43" s="42"/>
      <c r="V43" s="42"/>
      <c r="W43" s="288"/>
      <c r="X43" s="288"/>
      <c r="Y43" s="288"/>
      <c r="Z43" s="288"/>
      <c r="AA43" s="42"/>
    </row>
    <row r="44" spans="2:27">
      <c r="B44" s="5" t="s">
        <v>533</v>
      </c>
      <c r="C44" s="69"/>
      <c r="D44" s="529">
        <f>D11/D30</f>
        <v>10.404937655605478</v>
      </c>
      <c r="E44" s="529">
        <f>E11/E30</f>
        <v>7.7996467114097001</v>
      </c>
      <c r="F44" s="529">
        <f>F11/F30</f>
        <v>6.7926373376905937</v>
      </c>
      <c r="G44" s="529">
        <f>G11/G30</f>
        <v>5.6072981238811153</v>
      </c>
      <c r="H44" s="17">
        <f t="shared" si="7"/>
        <v>0.13088040283838387</v>
      </c>
      <c r="I44" s="247"/>
      <c r="J44" s="248"/>
      <c r="K44" s="248"/>
      <c r="L44" s="248"/>
      <c r="M44" s="248"/>
      <c r="N44" s="248"/>
      <c r="O44" s="248"/>
      <c r="Q44" s="5"/>
      <c r="R44" s="5"/>
      <c r="S44" s="42"/>
      <c r="T44" s="42"/>
      <c r="U44" s="42"/>
      <c r="V44" s="42"/>
      <c r="W44" s="325"/>
      <c r="X44" s="325"/>
      <c r="Y44" s="288"/>
      <c r="Z44" s="288"/>
      <c r="AA44" s="42"/>
    </row>
    <row r="45" spans="2:27">
      <c r="B45" s="5" t="s">
        <v>580</v>
      </c>
      <c r="C45" s="247"/>
      <c r="D45" s="248">
        <f>D31/D11</f>
        <v>0</v>
      </c>
      <c r="E45" s="248">
        <f>E31/E11</f>
        <v>0</v>
      </c>
      <c r="F45" s="248">
        <f>F31/F11</f>
        <v>0</v>
      </c>
      <c r="G45" s="248">
        <f>G31/G11</f>
        <v>0</v>
      </c>
      <c r="H45" s="17" t="str">
        <f>H31</f>
        <v>nm</v>
      </c>
      <c r="I45" s="248"/>
      <c r="J45" s="247"/>
      <c r="K45" s="247"/>
      <c r="L45" s="247"/>
      <c r="M45" s="247"/>
      <c r="N45" s="247"/>
      <c r="O45" s="248"/>
      <c r="Q45" s="5"/>
      <c r="R45" s="5"/>
      <c r="S45" s="42"/>
      <c r="T45" s="42"/>
      <c r="U45" s="42"/>
      <c r="V45" s="42"/>
      <c r="W45" s="42"/>
      <c r="X45" s="42"/>
      <c r="Y45" s="325"/>
      <c r="Z45" s="325"/>
      <c r="AA45" s="42"/>
    </row>
    <row r="46" spans="2:27">
      <c r="B46" s="5" t="s">
        <v>605</v>
      </c>
      <c r="C46" s="247"/>
      <c r="D46" s="248">
        <f>(D31+D32)/D11</f>
        <v>0.12674859876726435</v>
      </c>
      <c r="E46" s="248">
        <f>(E31+E32)/E11</f>
        <v>0.24728210448774024</v>
      </c>
      <c r="F46" s="248">
        <f>(F31+F32)/F11</f>
        <v>0.24603003234736573</v>
      </c>
      <c r="G46" s="248">
        <f>(G31+G32)/G11</f>
        <v>0.41028512281802565</v>
      </c>
      <c r="H46" s="279">
        <f>((G31+G32)/(D31+D32))^(1/3)-1</f>
        <v>0.36134729872699389</v>
      </c>
      <c r="I46" s="247"/>
      <c r="J46" s="247"/>
      <c r="K46" s="247"/>
      <c r="L46" s="247"/>
      <c r="M46" s="247"/>
      <c r="N46" s="247"/>
      <c r="O46" s="18"/>
      <c r="Q46" s="5"/>
      <c r="R46" s="5"/>
      <c r="S46" s="42"/>
      <c r="T46" s="42"/>
      <c r="U46" s="42"/>
      <c r="V46" s="42"/>
      <c r="W46" s="42"/>
      <c r="X46" s="42"/>
      <c r="Y46" s="42"/>
      <c r="Z46" s="42"/>
      <c r="AA46" s="326"/>
    </row>
    <row r="47" spans="2:27">
      <c r="B47" s="5" t="s">
        <v>581</v>
      </c>
      <c r="C47" s="5"/>
      <c r="D47" s="248">
        <f>1/D43</f>
        <v>4.2300934862078032E-2</v>
      </c>
      <c r="E47" s="248">
        <f>1/E43</f>
        <v>6.7854276566928287E-2</v>
      </c>
      <c r="F47" s="248">
        <f>1/F43</f>
        <v>8.6604442138960278E-2</v>
      </c>
      <c r="G47" s="248">
        <f>1/G43</f>
        <v>0.15001236172297008</v>
      </c>
      <c r="H47" s="17">
        <f>H29</f>
        <v>0.40339662366130269</v>
      </c>
      <c r="I47" s="17"/>
      <c r="J47" s="248"/>
      <c r="K47" s="248"/>
      <c r="L47" s="248"/>
      <c r="M47" s="248"/>
      <c r="N47" s="248"/>
      <c r="O47" s="248"/>
      <c r="Q47" s="5"/>
      <c r="R47" s="5"/>
      <c r="S47" s="42"/>
      <c r="T47" s="42"/>
      <c r="U47" s="42"/>
      <c r="V47" s="42"/>
      <c r="W47" s="42"/>
      <c r="X47" s="42"/>
      <c r="Y47" s="42"/>
      <c r="Z47" s="42"/>
      <c r="AA47" s="326"/>
    </row>
    <row r="48" spans="2:27">
      <c r="B48" s="5" t="s">
        <v>618</v>
      </c>
      <c r="C48" s="5"/>
      <c r="D48" s="305">
        <f>D31/D29</f>
        <v>0</v>
      </c>
      <c r="E48" s="305">
        <f>E31/E29</f>
        <v>0</v>
      </c>
      <c r="F48" s="305">
        <f>F31/F29</f>
        <v>0</v>
      </c>
      <c r="G48" s="305">
        <f>G31/G29</f>
        <v>0</v>
      </c>
      <c r="H48" s="279" t="s">
        <v>607</v>
      </c>
      <c r="I48" s="247"/>
      <c r="J48" s="247"/>
      <c r="K48" s="247"/>
      <c r="L48" s="247"/>
      <c r="M48" s="247"/>
      <c r="N48" s="247"/>
      <c r="O48" s="248"/>
      <c r="Q48" s="5"/>
      <c r="R48" s="5"/>
      <c r="S48" s="42"/>
      <c r="T48" s="42"/>
      <c r="U48" s="42"/>
      <c r="V48" s="42"/>
      <c r="W48" s="42"/>
      <c r="X48" s="42"/>
      <c r="Y48" s="42"/>
      <c r="Z48" s="42"/>
      <c r="AA48" s="326"/>
    </row>
    <row r="49" spans="2:27">
      <c r="B49" s="41"/>
      <c r="C49" s="17"/>
      <c r="D49" s="17"/>
      <c r="E49" s="17"/>
      <c r="F49" s="17"/>
      <c r="G49" s="17"/>
      <c r="H49" s="17"/>
      <c r="I49" s="254"/>
      <c r="J49" s="17"/>
      <c r="K49" s="17"/>
      <c r="L49" s="17"/>
      <c r="M49" s="17"/>
      <c r="N49" s="17"/>
      <c r="O49" s="248"/>
      <c r="Q49" s="5"/>
      <c r="R49" s="5"/>
      <c r="S49" s="42"/>
      <c r="T49" s="42"/>
      <c r="U49" s="42"/>
      <c r="V49" s="42"/>
      <c r="W49" s="42"/>
      <c r="X49" s="42"/>
      <c r="Y49" s="42"/>
      <c r="Z49" s="42"/>
      <c r="AA49" s="326"/>
    </row>
    <row r="50" spans="2:27">
      <c r="B50" s="5"/>
      <c r="C50" s="257"/>
      <c r="D50" s="257"/>
      <c r="E50" s="257"/>
      <c r="F50" s="5"/>
      <c r="G50" s="41"/>
      <c r="H50" s="249"/>
      <c r="I50" s="17"/>
      <c r="J50" s="249"/>
      <c r="K50" s="249"/>
      <c r="L50" s="249"/>
      <c r="M50" s="249"/>
      <c r="N50" s="249"/>
      <c r="O50" s="250"/>
      <c r="Q50" s="5"/>
      <c r="R50" s="5"/>
      <c r="S50" s="42"/>
      <c r="T50" s="42"/>
      <c r="U50" s="42"/>
      <c r="V50" s="42"/>
      <c r="W50" s="288"/>
      <c r="X50" s="288"/>
      <c r="Y50" s="42"/>
      <c r="Z50" s="42"/>
      <c r="AA50" s="326"/>
    </row>
    <row r="51" spans="2:27">
      <c r="B51" s="41"/>
      <c r="C51" s="249"/>
      <c r="D51" s="254"/>
      <c r="E51" s="254"/>
      <c r="F51" s="254"/>
      <c r="G51" s="254"/>
      <c r="H51" s="254"/>
      <c r="I51" s="259"/>
      <c r="J51" s="254"/>
      <c r="K51" s="254"/>
      <c r="L51" s="254"/>
      <c r="M51" s="254"/>
      <c r="N51" s="254"/>
      <c r="O51" s="251"/>
      <c r="Q51" s="5"/>
      <c r="R51" s="5"/>
      <c r="S51" s="42"/>
      <c r="T51" s="42"/>
      <c r="U51" s="42"/>
      <c r="V51" s="42"/>
      <c r="W51" s="288"/>
      <c r="X51" s="288"/>
      <c r="Y51" s="288"/>
      <c r="Z51" s="288"/>
      <c r="AA51" s="42"/>
    </row>
    <row r="52" spans="2:27">
      <c r="B52" s="5"/>
      <c r="C52" s="257"/>
      <c r="D52" s="17"/>
      <c r="E52" s="17"/>
      <c r="F52" s="17"/>
      <c r="G52" s="17"/>
      <c r="H52" s="17"/>
      <c r="I52" s="254"/>
      <c r="J52" s="17"/>
      <c r="K52" s="17"/>
      <c r="L52" s="17"/>
      <c r="M52" s="17"/>
      <c r="N52" s="17"/>
      <c r="O52" s="248"/>
      <c r="Q52" s="5"/>
      <c r="R52" s="5"/>
      <c r="S52" s="5"/>
      <c r="Y52" s="10"/>
      <c r="Z52" s="10"/>
    </row>
    <row r="53" spans="2:27">
      <c r="B53" s="5"/>
      <c r="C53" s="257"/>
      <c r="D53" s="257"/>
      <c r="E53" s="257"/>
      <c r="F53" s="5"/>
      <c r="G53" s="5"/>
      <c r="H53" s="259"/>
      <c r="I53" s="17"/>
      <c r="J53" s="259"/>
      <c r="K53" s="259"/>
      <c r="L53" s="259"/>
      <c r="M53" s="259"/>
      <c r="N53" s="259"/>
      <c r="O53" s="18"/>
      <c r="Q53" s="5"/>
      <c r="R53" s="5"/>
      <c r="S53" s="5"/>
    </row>
    <row r="54" spans="2:27">
      <c r="B54" s="41"/>
      <c r="C54" s="249"/>
      <c r="D54" s="254"/>
      <c r="E54" s="254"/>
      <c r="F54" s="254"/>
      <c r="G54" s="254"/>
      <c r="H54" s="254"/>
      <c r="I54" s="259"/>
      <c r="J54" s="254"/>
      <c r="K54" s="254"/>
      <c r="L54" s="254"/>
      <c r="M54" s="254"/>
      <c r="N54" s="254"/>
      <c r="O54" s="251"/>
      <c r="Q54" s="5"/>
      <c r="R54" s="5"/>
      <c r="S54" s="5"/>
    </row>
    <row r="55" spans="2:27">
      <c r="B55" s="5"/>
      <c r="C55" s="257"/>
      <c r="D55" s="17"/>
      <c r="E55" s="17"/>
      <c r="F55" s="17"/>
      <c r="G55" s="17"/>
      <c r="H55" s="17"/>
      <c r="I55" s="249"/>
      <c r="J55" s="17"/>
      <c r="K55" s="17"/>
      <c r="L55" s="17"/>
      <c r="M55" s="17"/>
      <c r="N55" s="17"/>
      <c r="O55" s="18"/>
      <c r="Q55" s="5"/>
      <c r="R55" s="5"/>
      <c r="S55" s="5"/>
    </row>
    <row r="56" spans="2:27">
      <c r="B56" s="5"/>
      <c r="C56" s="248"/>
      <c r="D56" s="248"/>
      <c r="E56" s="248"/>
      <c r="F56" s="5"/>
      <c r="G56" s="5"/>
      <c r="H56" s="259"/>
      <c r="I56" s="248"/>
      <c r="J56" s="259"/>
      <c r="K56" s="259"/>
      <c r="L56" s="259"/>
      <c r="M56" s="259"/>
      <c r="N56" s="259"/>
      <c r="O56" s="18"/>
      <c r="Q56" s="5"/>
      <c r="R56" s="5"/>
      <c r="S56" s="5"/>
    </row>
    <row r="57" spans="2:27">
      <c r="B57" s="41"/>
      <c r="C57" s="249"/>
      <c r="D57" s="249"/>
      <c r="E57" s="249"/>
      <c r="F57" s="249"/>
      <c r="G57" s="249"/>
      <c r="H57" s="249"/>
      <c r="I57" s="5"/>
      <c r="J57" s="249"/>
      <c r="K57" s="249"/>
      <c r="L57" s="249"/>
      <c r="M57" s="249"/>
      <c r="N57" s="249"/>
      <c r="O57" s="251"/>
      <c r="Q57" s="5"/>
      <c r="R57" s="5"/>
      <c r="S57" s="5"/>
    </row>
    <row r="58" spans="2:27">
      <c r="B58" s="5"/>
      <c r="C58" s="5"/>
      <c r="D58" s="248"/>
      <c r="E58" s="248"/>
      <c r="F58" s="248"/>
      <c r="G58" s="248"/>
      <c r="H58" s="248"/>
      <c r="I58" s="17"/>
      <c r="J58" s="248"/>
      <c r="K58" s="248"/>
      <c r="L58" s="248"/>
      <c r="M58" s="248"/>
      <c r="N58" s="248"/>
      <c r="O58" s="18"/>
      <c r="Q58" s="5"/>
      <c r="R58" s="5"/>
      <c r="S58" s="5"/>
    </row>
    <row r="59" spans="2:27">
      <c r="B59" s="5"/>
      <c r="C59" s="5"/>
      <c r="D59" s="5"/>
      <c r="E59" s="5"/>
      <c r="F59" s="5"/>
      <c r="G59" s="5"/>
      <c r="H59" s="5"/>
      <c r="I59" s="5"/>
      <c r="J59" s="5"/>
      <c r="K59" s="5"/>
      <c r="L59" s="5"/>
      <c r="M59" s="5"/>
      <c r="N59" s="5"/>
      <c r="O59" s="5"/>
      <c r="Q59" s="5"/>
      <c r="R59" s="5"/>
      <c r="S59" s="5"/>
    </row>
    <row r="60" spans="2:27">
      <c r="B60" s="41"/>
      <c r="C60" s="17"/>
      <c r="D60" s="17"/>
      <c r="E60" s="17"/>
      <c r="F60" s="17"/>
      <c r="G60" s="17"/>
      <c r="H60" s="17"/>
      <c r="I60" s="249"/>
      <c r="J60" s="17"/>
      <c r="K60" s="17"/>
      <c r="L60" s="17"/>
      <c r="M60" s="17"/>
      <c r="N60" s="17"/>
      <c r="O60" s="251"/>
      <c r="Q60" s="5"/>
      <c r="R60" s="5"/>
      <c r="S60" s="5"/>
    </row>
    <row r="61" spans="2:27">
      <c r="B61" s="5"/>
      <c r="C61" s="5"/>
      <c r="D61" s="5"/>
      <c r="E61" s="5"/>
      <c r="F61" s="5"/>
      <c r="G61" s="5"/>
      <c r="H61" s="5"/>
      <c r="I61" s="5"/>
      <c r="J61" s="5"/>
      <c r="K61" s="5"/>
      <c r="L61" s="5"/>
      <c r="M61" s="5"/>
      <c r="N61" s="5"/>
      <c r="O61" s="5"/>
      <c r="Q61" s="41"/>
      <c r="R61" s="5"/>
      <c r="S61" s="5"/>
    </row>
    <row r="62" spans="2:27">
      <c r="B62" s="41"/>
      <c r="C62" s="249"/>
      <c r="D62" s="249"/>
      <c r="E62" s="249"/>
      <c r="F62" s="249"/>
      <c r="G62" s="249"/>
      <c r="H62" s="249"/>
      <c r="I62" s="5"/>
      <c r="J62" s="249"/>
      <c r="K62" s="249"/>
      <c r="L62" s="249"/>
      <c r="M62" s="249"/>
      <c r="N62" s="249"/>
      <c r="O62" s="251"/>
      <c r="Q62" s="5"/>
      <c r="R62" s="5"/>
      <c r="S62" s="5"/>
    </row>
    <row r="63" spans="2:27">
      <c r="B63" s="5"/>
      <c r="C63" s="5"/>
      <c r="D63" s="5"/>
      <c r="E63" s="5"/>
      <c r="F63" s="5"/>
      <c r="G63" s="5"/>
      <c r="H63" s="5"/>
      <c r="I63" s="254"/>
      <c r="J63" s="5"/>
      <c r="K63" s="5"/>
      <c r="L63" s="5"/>
      <c r="M63" s="5"/>
      <c r="N63" s="5"/>
      <c r="O63" s="5"/>
      <c r="Q63" s="5"/>
      <c r="R63" s="5"/>
      <c r="S63" s="5"/>
    </row>
    <row r="64" spans="2:27">
      <c r="B64" s="5"/>
      <c r="C64" s="5"/>
      <c r="D64" s="5"/>
      <c r="E64" s="5"/>
      <c r="F64" s="5"/>
      <c r="G64" s="5"/>
      <c r="H64" s="5"/>
      <c r="I64" s="17"/>
      <c r="J64" s="5"/>
      <c r="K64" s="5"/>
      <c r="L64" s="5"/>
      <c r="M64" s="5"/>
      <c r="N64" s="5"/>
      <c r="O64" s="5"/>
      <c r="Q64" s="5"/>
      <c r="R64" s="5"/>
      <c r="S64" s="5"/>
    </row>
    <row r="65" spans="2:26">
      <c r="B65" s="41"/>
      <c r="C65" s="249"/>
      <c r="D65" s="254"/>
      <c r="E65" s="254"/>
      <c r="F65" s="254"/>
      <c r="G65" s="254"/>
      <c r="H65" s="254"/>
      <c r="I65" s="254"/>
      <c r="J65" s="254"/>
      <c r="K65" s="254"/>
      <c r="L65" s="254"/>
      <c r="M65" s="254"/>
      <c r="N65" s="254"/>
      <c r="O65" s="251"/>
      <c r="Q65" s="5"/>
      <c r="R65" s="5"/>
      <c r="S65" s="5"/>
    </row>
    <row r="66" spans="2:26">
      <c r="B66" s="5"/>
      <c r="C66" s="5"/>
      <c r="D66" s="17"/>
      <c r="E66" s="17"/>
      <c r="F66" s="17"/>
      <c r="G66" s="17"/>
      <c r="H66" s="17"/>
      <c r="I66" s="248"/>
      <c r="J66" s="17"/>
      <c r="K66" s="17"/>
      <c r="L66" s="17"/>
      <c r="M66" s="17"/>
      <c r="N66" s="17"/>
      <c r="O66" s="5"/>
      <c r="Q66" s="5"/>
      <c r="R66" s="5"/>
      <c r="S66" s="5"/>
    </row>
    <row r="67" spans="2:26">
      <c r="B67" s="41"/>
      <c r="C67" s="249"/>
      <c r="D67" s="254"/>
      <c r="E67" s="254"/>
      <c r="F67" s="254"/>
      <c r="G67" s="254"/>
      <c r="H67" s="254"/>
      <c r="I67" s="5"/>
      <c r="J67" s="254"/>
      <c r="K67" s="254"/>
      <c r="L67" s="254"/>
      <c r="M67" s="254"/>
      <c r="N67" s="254"/>
      <c r="O67" s="251"/>
      <c r="Q67" s="41"/>
      <c r="R67" s="5"/>
      <c r="S67" s="5"/>
    </row>
    <row r="68" spans="2:26">
      <c r="B68" s="5"/>
      <c r="C68" s="5"/>
      <c r="D68" s="248"/>
      <c r="E68" s="248"/>
      <c r="F68" s="248"/>
      <c r="G68" s="248"/>
      <c r="H68" s="248"/>
      <c r="I68" s="245"/>
      <c r="J68" s="248"/>
      <c r="K68" s="248"/>
      <c r="L68" s="248"/>
      <c r="M68" s="248"/>
      <c r="N68" s="248"/>
      <c r="O68" s="5"/>
      <c r="Q68" s="5"/>
      <c r="R68" s="5"/>
      <c r="S68" s="5"/>
    </row>
    <row r="69" spans="2:26">
      <c r="B69" s="41"/>
      <c r="C69" s="5"/>
      <c r="D69" s="5"/>
      <c r="E69" s="5"/>
      <c r="F69" s="5"/>
      <c r="G69" s="5"/>
      <c r="H69" s="5"/>
      <c r="I69" s="248"/>
      <c r="J69" s="5"/>
      <c r="K69" s="5"/>
      <c r="L69" s="5"/>
      <c r="M69" s="5"/>
      <c r="N69" s="5"/>
      <c r="O69" s="5"/>
      <c r="Q69" s="5"/>
      <c r="R69" s="5"/>
      <c r="S69" s="5"/>
    </row>
    <row r="70" spans="2:26">
      <c r="B70" s="41"/>
      <c r="C70" s="245"/>
      <c r="D70" s="245"/>
      <c r="E70" s="245"/>
      <c r="F70" s="245"/>
      <c r="G70" s="245"/>
      <c r="H70" s="245"/>
      <c r="I70" s="5"/>
      <c r="J70" s="245"/>
      <c r="K70" s="245"/>
      <c r="L70" s="245"/>
      <c r="M70" s="245"/>
      <c r="N70" s="245"/>
      <c r="O70" s="251"/>
      <c r="Q70" s="5"/>
      <c r="R70" s="5"/>
      <c r="S70" s="5"/>
      <c r="W70" s="76"/>
      <c r="X70" s="76"/>
    </row>
    <row r="71" spans="2:26">
      <c r="B71" s="5"/>
      <c r="C71" s="5"/>
      <c r="D71" s="248"/>
      <c r="E71" s="248"/>
      <c r="F71" s="248"/>
      <c r="G71" s="248"/>
      <c r="H71" s="248"/>
      <c r="I71" s="245"/>
      <c r="J71" s="248"/>
      <c r="K71" s="248"/>
      <c r="L71" s="248"/>
      <c r="M71" s="248"/>
      <c r="N71" s="248"/>
      <c r="O71" s="5"/>
      <c r="Q71" s="5"/>
      <c r="R71" s="5"/>
      <c r="S71" s="5"/>
      <c r="W71" s="76"/>
      <c r="X71" s="76"/>
      <c r="Y71" s="76"/>
      <c r="Z71" s="76"/>
    </row>
    <row r="72" spans="2:26">
      <c r="B72" s="41"/>
      <c r="C72" s="5"/>
      <c r="D72" s="5"/>
      <c r="E72" s="5"/>
      <c r="F72" s="5"/>
      <c r="G72" s="5"/>
      <c r="H72" s="5"/>
      <c r="I72" s="18"/>
      <c r="J72" s="5"/>
      <c r="K72" s="5"/>
      <c r="L72" s="5"/>
      <c r="M72" s="5"/>
      <c r="N72" s="5"/>
      <c r="O72" s="5"/>
      <c r="Q72" s="5"/>
      <c r="R72" s="5"/>
      <c r="S72" s="5"/>
      <c r="Y72" s="76"/>
      <c r="Z72" s="76"/>
    </row>
    <row r="73" spans="2:26">
      <c r="B73" s="41"/>
      <c r="C73" s="245"/>
      <c r="D73" s="245"/>
      <c r="E73" s="245"/>
      <c r="F73" s="245"/>
      <c r="G73" s="245"/>
      <c r="H73" s="245"/>
      <c r="I73" s="5"/>
      <c r="J73" s="245"/>
      <c r="K73" s="245"/>
      <c r="L73" s="245"/>
      <c r="M73" s="245"/>
      <c r="N73" s="245"/>
      <c r="O73" s="251"/>
      <c r="Q73" s="5"/>
      <c r="R73" s="5"/>
      <c r="S73" s="5"/>
    </row>
    <row r="74" spans="2:26">
      <c r="B74" s="5"/>
      <c r="C74" s="5"/>
      <c r="D74" s="18"/>
      <c r="E74" s="18"/>
      <c r="F74" s="18"/>
      <c r="G74" s="18"/>
      <c r="H74" s="18"/>
      <c r="I74" s="249"/>
      <c r="J74" s="18"/>
      <c r="K74" s="18"/>
      <c r="L74" s="18"/>
      <c r="M74" s="18"/>
      <c r="N74" s="18"/>
      <c r="O74" s="5"/>
      <c r="Q74" s="5"/>
      <c r="R74" s="5"/>
      <c r="S74" s="5"/>
    </row>
    <row r="75" spans="2:26">
      <c r="B75" s="41"/>
      <c r="C75" s="5"/>
      <c r="D75" s="5"/>
      <c r="E75" s="5"/>
      <c r="F75" s="5"/>
      <c r="G75" s="5"/>
      <c r="H75" s="5"/>
      <c r="I75" s="248"/>
      <c r="J75" s="5"/>
      <c r="K75" s="5"/>
      <c r="L75" s="5"/>
      <c r="M75" s="5"/>
      <c r="N75" s="5"/>
      <c r="O75" s="5"/>
      <c r="Q75" s="5"/>
      <c r="R75" s="5"/>
      <c r="S75" s="5"/>
    </row>
    <row r="76" spans="2:26">
      <c r="B76" s="41"/>
      <c r="C76" s="249"/>
      <c r="D76" s="249"/>
      <c r="E76" s="249"/>
      <c r="F76" s="249"/>
      <c r="G76" s="249"/>
      <c r="H76" s="249"/>
      <c r="I76" s="5"/>
      <c r="J76" s="249"/>
      <c r="K76" s="249"/>
      <c r="L76" s="249"/>
      <c r="M76" s="249"/>
      <c r="N76" s="249"/>
      <c r="O76" s="251"/>
      <c r="Q76" s="5"/>
      <c r="R76" s="5"/>
      <c r="S76" s="5"/>
    </row>
    <row r="77" spans="2:26">
      <c r="B77" s="5"/>
      <c r="C77" s="5"/>
      <c r="D77" s="248"/>
      <c r="E77" s="248"/>
      <c r="F77" s="248"/>
      <c r="G77" s="248"/>
      <c r="H77" s="248"/>
      <c r="I77" s="245"/>
      <c r="J77" s="248"/>
      <c r="K77" s="248"/>
      <c r="L77" s="248"/>
      <c r="M77" s="248"/>
      <c r="N77" s="248"/>
      <c r="O77" s="5"/>
      <c r="Q77" s="5"/>
      <c r="R77" s="5"/>
      <c r="S77" s="5"/>
    </row>
    <row r="78" spans="2:26">
      <c r="B78" s="41"/>
      <c r="C78" s="5"/>
      <c r="D78" s="5"/>
      <c r="E78" s="5"/>
      <c r="F78" s="5"/>
      <c r="G78" s="5"/>
      <c r="H78" s="5"/>
      <c r="I78" s="248"/>
      <c r="J78" s="5"/>
      <c r="K78" s="5"/>
      <c r="L78" s="5"/>
      <c r="M78" s="5"/>
      <c r="N78" s="5"/>
      <c r="O78" s="5"/>
      <c r="Q78" s="5"/>
      <c r="R78" s="5"/>
      <c r="S78" s="5"/>
    </row>
    <row r="79" spans="2:26">
      <c r="B79" s="41"/>
      <c r="C79" s="245"/>
      <c r="D79" s="245"/>
      <c r="E79" s="245"/>
      <c r="F79" s="245"/>
      <c r="G79" s="245"/>
      <c r="H79" s="245"/>
      <c r="I79" s="5"/>
      <c r="J79" s="245"/>
      <c r="K79" s="245"/>
      <c r="L79" s="245"/>
      <c r="M79" s="245"/>
      <c r="N79" s="245"/>
      <c r="O79" s="251"/>
      <c r="Q79" s="5"/>
      <c r="R79" s="5"/>
      <c r="S79" s="5"/>
    </row>
    <row r="80" spans="2:26">
      <c r="B80" s="5"/>
      <c r="C80" s="5"/>
      <c r="D80" s="248"/>
      <c r="E80" s="248"/>
      <c r="F80" s="248"/>
      <c r="G80" s="248"/>
      <c r="H80" s="248"/>
      <c r="I80" s="249"/>
      <c r="J80" s="248"/>
      <c r="K80" s="248"/>
      <c r="L80" s="248"/>
      <c r="M80" s="248"/>
      <c r="N80" s="248"/>
      <c r="O80" s="5"/>
      <c r="Q80" s="5"/>
      <c r="R80" s="5"/>
      <c r="S80" s="5"/>
    </row>
    <row r="81" spans="2:26">
      <c r="B81" s="41"/>
      <c r="C81" s="5"/>
      <c r="D81" s="5"/>
      <c r="E81" s="5"/>
      <c r="F81" s="5"/>
      <c r="G81" s="5"/>
      <c r="H81" s="5"/>
      <c r="I81" s="248"/>
      <c r="J81" s="5"/>
      <c r="K81" s="5"/>
      <c r="L81" s="5"/>
      <c r="M81" s="5"/>
      <c r="N81" s="5"/>
      <c r="O81" s="5"/>
      <c r="Q81" s="5"/>
      <c r="R81" s="5"/>
      <c r="S81" s="5"/>
    </row>
    <row r="82" spans="2:26">
      <c r="B82" s="41"/>
      <c r="C82" s="249"/>
      <c r="D82" s="249"/>
      <c r="E82" s="249"/>
      <c r="F82" s="249"/>
      <c r="G82" s="249"/>
      <c r="H82" s="249"/>
      <c r="I82" s="259"/>
      <c r="J82" s="249"/>
      <c r="K82" s="249"/>
      <c r="L82" s="249"/>
      <c r="M82" s="249"/>
      <c r="N82" s="249"/>
      <c r="O82" s="251"/>
      <c r="Q82" s="5"/>
      <c r="R82" s="5"/>
      <c r="S82" s="5"/>
    </row>
    <row r="83" spans="2:26">
      <c r="B83" s="5"/>
      <c r="C83" s="5"/>
      <c r="D83" s="248"/>
      <c r="E83" s="248"/>
      <c r="F83" s="248"/>
      <c r="G83" s="248"/>
      <c r="H83" s="248"/>
      <c r="I83" s="5"/>
      <c r="J83" s="248"/>
      <c r="K83" s="248"/>
      <c r="L83" s="248"/>
      <c r="M83" s="248"/>
      <c r="N83" s="248"/>
      <c r="O83" s="5"/>
      <c r="Q83" s="5"/>
      <c r="R83" s="5"/>
      <c r="S83" s="5"/>
    </row>
    <row r="84" spans="2:26">
      <c r="B84" s="5"/>
      <c r="C84" s="259"/>
      <c r="D84" s="259"/>
      <c r="E84" s="259"/>
      <c r="F84" s="259"/>
      <c r="G84" s="259"/>
      <c r="H84" s="259"/>
      <c r="I84" s="245"/>
      <c r="J84" s="259"/>
      <c r="K84" s="259"/>
      <c r="L84" s="259"/>
      <c r="M84" s="259"/>
      <c r="N84" s="259"/>
      <c r="O84" s="251"/>
      <c r="Q84" s="5"/>
      <c r="R84" s="5"/>
      <c r="S84" s="5"/>
    </row>
    <row r="85" spans="2:26">
      <c r="B85" s="41"/>
      <c r="C85" s="5"/>
      <c r="D85" s="5"/>
      <c r="E85" s="5"/>
      <c r="F85" s="5"/>
      <c r="G85" s="5"/>
      <c r="H85" s="5"/>
      <c r="I85" s="248"/>
      <c r="J85" s="5"/>
      <c r="K85" s="5"/>
      <c r="L85" s="5"/>
      <c r="M85" s="5"/>
      <c r="N85" s="5"/>
      <c r="O85" s="5"/>
      <c r="Q85" s="5"/>
      <c r="R85" s="5"/>
      <c r="S85" s="5"/>
    </row>
    <row r="86" spans="2:26">
      <c r="B86" s="41"/>
      <c r="C86" s="245"/>
      <c r="D86" s="245"/>
      <c r="E86" s="245"/>
      <c r="F86" s="245"/>
      <c r="G86" s="245"/>
      <c r="H86" s="245"/>
      <c r="I86" s="5"/>
      <c r="J86" s="245"/>
      <c r="K86" s="245"/>
      <c r="L86" s="245"/>
      <c r="M86" s="245"/>
      <c r="N86" s="245"/>
      <c r="O86" s="251"/>
      <c r="Q86" s="5"/>
      <c r="R86" s="5"/>
      <c r="S86" s="5"/>
    </row>
    <row r="87" spans="2:26">
      <c r="B87" s="5"/>
      <c r="C87" s="5"/>
      <c r="D87" s="248"/>
      <c r="E87" s="248"/>
      <c r="F87" s="248"/>
      <c r="G87" s="248"/>
      <c r="H87" s="248"/>
      <c r="I87" s="5"/>
      <c r="J87" s="248"/>
      <c r="K87" s="248"/>
      <c r="L87" s="248"/>
      <c r="M87" s="248"/>
      <c r="N87" s="248"/>
      <c r="O87" s="5"/>
      <c r="Q87" s="5"/>
      <c r="R87" s="5"/>
      <c r="S87" s="5"/>
    </row>
    <row r="88" spans="2:26">
      <c r="B88" s="41"/>
      <c r="C88" s="5"/>
      <c r="D88" s="5"/>
      <c r="E88" s="5"/>
      <c r="F88" s="5"/>
      <c r="G88" s="5"/>
      <c r="H88" s="5"/>
      <c r="I88" s="5"/>
      <c r="J88" s="5"/>
      <c r="K88" s="5"/>
      <c r="L88" s="5"/>
      <c r="M88" s="5"/>
      <c r="N88" s="5"/>
      <c r="O88" s="5"/>
      <c r="Q88" s="5"/>
      <c r="R88" s="5"/>
      <c r="S88" s="5"/>
    </row>
    <row r="89" spans="2:26">
      <c r="B89" s="41"/>
      <c r="C89" s="5"/>
      <c r="D89" s="5"/>
      <c r="E89" s="5"/>
      <c r="F89" s="5"/>
      <c r="G89" s="5"/>
      <c r="H89" s="5"/>
      <c r="I89" s="5"/>
      <c r="J89" s="5"/>
      <c r="K89" s="5"/>
      <c r="L89" s="5"/>
      <c r="M89" s="5"/>
      <c r="N89" s="5"/>
      <c r="O89" s="5"/>
      <c r="Q89" s="5"/>
      <c r="R89" s="5"/>
      <c r="S89" s="5"/>
    </row>
    <row r="90" spans="2:26">
      <c r="B90" s="41"/>
      <c r="C90" s="5"/>
      <c r="D90" s="5"/>
      <c r="E90" s="5"/>
      <c r="F90" s="5"/>
      <c r="G90" s="5"/>
      <c r="H90" s="5"/>
      <c r="I90" s="49"/>
      <c r="J90" s="5"/>
      <c r="K90" s="5"/>
      <c r="L90" s="5"/>
      <c r="M90" s="5"/>
      <c r="N90" s="5"/>
      <c r="O90" s="5"/>
      <c r="Q90" s="41"/>
      <c r="R90" s="5"/>
      <c r="S90" s="5"/>
    </row>
    <row r="91" spans="2:26">
      <c r="B91" s="5"/>
      <c r="C91" s="5"/>
      <c r="D91" s="5"/>
      <c r="E91" s="5"/>
      <c r="F91" s="5"/>
      <c r="G91" s="5"/>
      <c r="H91" s="5"/>
      <c r="I91" s="5"/>
      <c r="J91" s="5"/>
      <c r="K91" s="5"/>
      <c r="L91" s="5"/>
      <c r="M91" s="5"/>
      <c r="N91" s="5"/>
      <c r="O91" s="5"/>
      <c r="Q91" s="5"/>
      <c r="R91" s="5"/>
      <c r="S91" s="5"/>
    </row>
    <row r="92" spans="2:26">
      <c r="B92" s="41"/>
      <c r="C92" s="49"/>
      <c r="D92" s="49"/>
      <c r="E92" s="49"/>
      <c r="F92" s="49"/>
      <c r="G92" s="49"/>
      <c r="H92" s="49"/>
      <c r="I92" s="247"/>
      <c r="J92" s="49"/>
      <c r="K92" s="49"/>
      <c r="L92" s="49"/>
      <c r="M92" s="49"/>
      <c r="N92" s="49"/>
      <c r="O92" s="49"/>
      <c r="Q92" s="5"/>
      <c r="R92" s="5"/>
      <c r="S92" s="5"/>
      <c r="W92" s="21"/>
      <c r="X92" s="21"/>
    </row>
    <row r="93" spans="2:26">
      <c r="B93" s="5"/>
      <c r="C93" s="5"/>
      <c r="D93" s="5"/>
      <c r="E93" s="5"/>
      <c r="F93" s="5"/>
      <c r="G93" s="5"/>
      <c r="H93" s="5"/>
      <c r="I93" s="247"/>
      <c r="J93" s="5"/>
      <c r="K93" s="5"/>
      <c r="L93" s="5"/>
      <c r="M93" s="5"/>
      <c r="N93" s="5"/>
      <c r="O93" s="5"/>
      <c r="Q93" s="5"/>
      <c r="R93" s="5"/>
      <c r="S93" s="5"/>
      <c r="W93" s="21"/>
      <c r="X93" s="21"/>
      <c r="Y93" s="21"/>
      <c r="Z93" s="21"/>
    </row>
    <row r="94" spans="2:26">
      <c r="B94" s="5"/>
      <c r="C94" s="259"/>
      <c r="D94" s="247"/>
      <c r="E94" s="247"/>
      <c r="F94" s="247"/>
      <c r="G94" s="247"/>
      <c r="H94" s="247"/>
      <c r="I94" s="247"/>
      <c r="J94" s="247"/>
      <c r="K94" s="247"/>
      <c r="L94" s="247"/>
      <c r="M94" s="247"/>
      <c r="N94" s="247"/>
      <c r="O94" s="248"/>
      <c r="Q94" s="5"/>
      <c r="R94" s="5"/>
      <c r="S94" s="5"/>
      <c r="Y94" s="21"/>
      <c r="Z94" s="21"/>
    </row>
    <row r="95" spans="2:26">
      <c r="B95" s="5"/>
      <c r="C95" s="259"/>
      <c r="D95" s="247"/>
      <c r="E95" s="247"/>
      <c r="F95" s="247"/>
      <c r="G95" s="247"/>
      <c r="H95" s="247"/>
      <c r="I95" s="248"/>
      <c r="J95" s="247"/>
      <c r="K95" s="247"/>
      <c r="L95" s="247"/>
      <c r="M95" s="247"/>
      <c r="N95" s="247"/>
      <c r="O95" s="248"/>
      <c r="Q95" s="5"/>
      <c r="R95" s="5"/>
      <c r="S95" s="5"/>
    </row>
    <row r="96" spans="2:26">
      <c r="B96" s="5"/>
      <c r="C96" s="259"/>
      <c r="D96" s="247"/>
      <c r="E96" s="247"/>
      <c r="F96" s="247"/>
      <c r="G96" s="247"/>
      <c r="H96" s="247"/>
      <c r="I96" s="247"/>
      <c r="J96" s="247"/>
      <c r="K96" s="247"/>
      <c r="L96" s="247"/>
      <c r="M96" s="247"/>
      <c r="N96" s="247"/>
      <c r="O96" s="248"/>
      <c r="Q96" s="5"/>
      <c r="R96" s="5"/>
      <c r="S96" s="5"/>
    </row>
    <row r="97" spans="2:19">
      <c r="B97" s="5"/>
      <c r="C97" s="259"/>
      <c r="D97" s="248"/>
      <c r="E97" s="248"/>
      <c r="F97" s="248"/>
      <c r="G97" s="248"/>
      <c r="H97" s="248"/>
      <c r="I97" s="249"/>
      <c r="J97" s="248"/>
      <c r="K97" s="248"/>
      <c r="L97" s="248"/>
      <c r="M97" s="248"/>
      <c r="N97" s="248"/>
      <c r="O97" s="248"/>
      <c r="Q97" s="5"/>
      <c r="R97" s="5"/>
      <c r="S97" s="5"/>
    </row>
    <row r="98" spans="2:19">
      <c r="B98" s="5"/>
      <c r="C98" s="259"/>
      <c r="D98" s="247"/>
      <c r="E98" s="247"/>
      <c r="F98" s="247"/>
      <c r="G98" s="247"/>
      <c r="H98" s="247"/>
      <c r="I98" s="248"/>
      <c r="J98" s="247"/>
      <c r="K98" s="247"/>
      <c r="L98" s="247"/>
      <c r="M98" s="247"/>
      <c r="N98" s="247"/>
      <c r="O98" s="248"/>
      <c r="Q98" s="5"/>
      <c r="R98" s="5"/>
      <c r="S98" s="5"/>
    </row>
    <row r="99" spans="2:19">
      <c r="B99" s="41"/>
      <c r="C99" s="249"/>
      <c r="D99" s="249"/>
      <c r="E99" s="249"/>
      <c r="F99" s="249"/>
      <c r="G99" s="249"/>
      <c r="H99" s="249"/>
      <c r="I99" s="5"/>
      <c r="J99" s="249"/>
      <c r="K99" s="249"/>
      <c r="L99" s="249"/>
      <c r="M99" s="249"/>
      <c r="N99" s="249"/>
      <c r="O99" s="248"/>
      <c r="Q99" s="5"/>
      <c r="R99" s="5"/>
      <c r="S99" s="5"/>
    </row>
    <row r="100" spans="2:19">
      <c r="B100" s="41"/>
      <c r="C100" s="257"/>
      <c r="D100" s="248"/>
      <c r="E100" s="248"/>
      <c r="F100" s="248"/>
      <c r="G100" s="248"/>
      <c r="H100" s="248"/>
      <c r="I100" s="259"/>
      <c r="J100" s="248"/>
      <c r="K100" s="248"/>
      <c r="L100" s="248"/>
      <c r="M100" s="248"/>
      <c r="N100" s="248"/>
      <c r="O100" s="248"/>
      <c r="Q100" s="5"/>
      <c r="R100" s="5"/>
      <c r="S100" s="5"/>
    </row>
    <row r="101" spans="2:19" s="5" customFormat="1">
      <c r="B101" s="41"/>
      <c r="I101" s="259"/>
      <c r="O101" s="248"/>
      <c r="P101" s="39"/>
    </row>
    <row r="102" spans="2:19">
      <c r="B102" s="5"/>
      <c r="C102" s="259"/>
      <c r="D102" s="259"/>
      <c r="E102" s="259"/>
      <c r="F102" s="259"/>
      <c r="G102" s="259"/>
      <c r="H102" s="259"/>
      <c r="I102" s="247"/>
      <c r="J102" s="259"/>
      <c r="K102" s="259"/>
      <c r="L102" s="259"/>
      <c r="M102" s="259"/>
      <c r="N102" s="259"/>
      <c r="O102" s="5"/>
      <c r="Q102" s="5"/>
      <c r="R102" s="5"/>
      <c r="S102" s="5"/>
    </row>
    <row r="103" spans="2:19">
      <c r="B103" s="5"/>
      <c r="C103" s="259"/>
      <c r="D103" s="259"/>
      <c r="E103" s="259"/>
      <c r="F103" s="259"/>
      <c r="G103" s="259"/>
      <c r="H103" s="259"/>
      <c r="I103" s="5"/>
      <c r="J103" s="259"/>
      <c r="K103" s="259"/>
      <c r="L103" s="259"/>
      <c r="M103" s="259"/>
      <c r="N103" s="259"/>
      <c r="O103" s="5"/>
      <c r="P103" s="5"/>
      <c r="Q103" s="5"/>
      <c r="R103" s="5"/>
      <c r="S103" s="5"/>
    </row>
    <row r="104" spans="2:19">
      <c r="B104" s="5"/>
      <c r="C104" s="247"/>
      <c r="D104" s="247"/>
      <c r="E104" s="247"/>
      <c r="F104" s="247"/>
      <c r="G104" s="247"/>
      <c r="H104" s="247"/>
      <c r="I104" s="247"/>
      <c r="J104" s="247"/>
      <c r="K104" s="247"/>
      <c r="L104" s="247"/>
      <c r="M104" s="247"/>
      <c r="N104" s="247"/>
      <c r="O104" s="5"/>
      <c r="Q104" s="5"/>
      <c r="R104" s="5"/>
      <c r="S104" s="5"/>
    </row>
    <row r="105" spans="2:19" s="5" customFormat="1">
      <c r="P105" s="39"/>
    </row>
    <row r="106" spans="2:19" s="5" customFormat="1">
      <c r="C106" s="259"/>
      <c r="D106" s="247"/>
      <c r="E106" s="247"/>
      <c r="F106" s="247"/>
      <c r="G106" s="247"/>
      <c r="H106" s="247"/>
      <c r="I106" s="259"/>
      <c r="J106" s="247"/>
      <c r="K106" s="247"/>
      <c r="L106" s="247"/>
      <c r="M106" s="247"/>
      <c r="N106" s="247"/>
      <c r="P106" s="39"/>
    </row>
    <row r="107" spans="2:19">
      <c r="B107" s="5"/>
      <c r="C107" s="259"/>
      <c r="D107" s="5"/>
      <c r="E107" s="5"/>
      <c r="F107" s="5"/>
      <c r="G107" s="5"/>
      <c r="H107" s="5"/>
      <c r="I107" s="247"/>
      <c r="J107" s="5"/>
      <c r="K107" s="5"/>
      <c r="L107" s="5"/>
      <c r="M107" s="5"/>
      <c r="N107" s="5"/>
      <c r="O107" s="5"/>
      <c r="P107" s="5"/>
      <c r="Q107" s="5"/>
      <c r="R107" s="5"/>
      <c r="S107" s="5"/>
    </row>
    <row r="108" spans="2:19">
      <c r="B108" s="5"/>
      <c r="C108" s="259"/>
      <c r="D108" s="259"/>
      <c r="E108" s="259"/>
      <c r="F108" s="259"/>
      <c r="G108" s="259"/>
      <c r="H108" s="259"/>
      <c r="I108" s="249"/>
      <c r="J108" s="259"/>
      <c r="K108" s="259"/>
      <c r="L108" s="259"/>
      <c r="M108" s="259"/>
      <c r="N108" s="259"/>
      <c r="O108" s="5"/>
      <c r="P108" s="5"/>
      <c r="Q108" s="5"/>
      <c r="R108" s="5"/>
      <c r="S108" s="5"/>
    </row>
    <row r="109" spans="2:19">
      <c r="B109" s="5"/>
      <c r="C109" s="247"/>
      <c r="D109" s="247"/>
      <c r="E109" s="247"/>
      <c r="F109" s="247"/>
      <c r="G109" s="247"/>
      <c r="H109" s="247"/>
      <c r="I109" s="249"/>
      <c r="J109" s="247"/>
      <c r="K109" s="247"/>
      <c r="L109" s="247"/>
      <c r="M109" s="247"/>
      <c r="N109" s="247"/>
      <c r="O109" s="5"/>
      <c r="Q109" s="5"/>
      <c r="R109" s="5"/>
      <c r="S109" s="5"/>
    </row>
    <row r="110" spans="2:19">
      <c r="B110" s="41"/>
      <c r="C110" s="249"/>
      <c r="D110" s="249"/>
      <c r="E110" s="249"/>
      <c r="F110" s="249"/>
      <c r="G110" s="249"/>
      <c r="H110" s="249"/>
      <c r="I110" s="247"/>
      <c r="J110" s="249"/>
      <c r="K110" s="249"/>
      <c r="L110" s="249"/>
      <c r="M110" s="249"/>
      <c r="N110" s="249"/>
      <c r="O110" s="5"/>
      <c r="Q110" s="5"/>
      <c r="R110" s="5"/>
      <c r="S110" s="5"/>
    </row>
    <row r="111" spans="2:19">
      <c r="B111" s="5"/>
      <c r="C111" s="249"/>
      <c r="D111" s="249"/>
      <c r="E111" s="249"/>
      <c r="F111" s="249"/>
      <c r="G111" s="249"/>
      <c r="H111" s="249"/>
      <c r="I111" s="5"/>
      <c r="J111" s="249"/>
      <c r="K111" s="249"/>
      <c r="L111" s="249"/>
      <c r="M111" s="249"/>
      <c r="N111" s="249"/>
      <c r="O111" s="5"/>
      <c r="Q111" s="5"/>
      <c r="R111" s="5"/>
      <c r="S111" s="5"/>
    </row>
    <row r="112" spans="2:19">
      <c r="B112" s="5"/>
      <c r="C112" s="247"/>
      <c r="D112" s="247"/>
      <c r="E112" s="247"/>
      <c r="F112" s="247"/>
      <c r="G112" s="247"/>
      <c r="H112" s="247"/>
      <c r="I112" s="5"/>
      <c r="J112" s="247"/>
      <c r="K112" s="247"/>
      <c r="L112" s="247"/>
      <c r="M112" s="247"/>
      <c r="N112" s="247"/>
      <c r="O112" s="5"/>
      <c r="Q112" s="5"/>
      <c r="R112" s="5"/>
      <c r="S112" s="5"/>
    </row>
    <row r="113" spans="2:19">
      <c r="B113" s="5"/>
      <c r="C113" s="5"/>
      <c r="D113" s="5"/>
      <c r="E113" s="5"/>
      <c r="F113" s="5"/>
      <c r="G113" s="5"/>
      <c r="H113" s="5"/>
      <c r="I113" s="5"/>
      <c r="J113" s="5"/>
      <c r="K113" s="5"/>
      <c r="L113" s="5"/>
      <c r="M113" s="5"/>
      <c r="N113" s="5"/>
      <c r="O113" s="5"/>
      <c r="Q113" s="5"/>
      <c r="R113" s="5"/>
      <c r="S113" s="5"/>
    </row>
    <row r="114" spans="2:19">
      <c r="B114" s="5"/>
      <c r="C114" s="5"/>
      <c r="D114" s="5"/>
      <c r="E114" s="5"/>
      <c r="F114" s="5"/>
      <c r="G114" s="5"/>
      <c r="H114" s="5"/>
      <c r="I114" s="5"/>
      <c r="J114" s="5"/>
      <c r="K114" s="5"/>
      <c r="L114" s="5"/>
      <c r="M114" s="5"/>
      <c r="N114" s="5"/>
      <c r="O114" s="5"/>
      <c r="Q114" s="5"/>
      <c r="R114" s="5"/>
      <c r="S114" s="5"/>
    </row>
    <row r="115" spans="2:19">
      <c r="B115" s="5"/>
      <c r="C115" s="5"/>
      <c r="D115" s="5"/>
      <c r="E115" s="5"/>
      <c r="F115" s="5"/>
      <c r="G115" s="5"/>
      <c r="H115" s="5"/>
      <c r="I115" s="49"/>
      <c r="J115" s="5"/>
      <c r="K115" s="5"/>
      <c r="L115" s="5"/>
      <c r="M115" s="5"/>
      <c r="N115" s="5"/>
      <c r="O115" s="5"/>
      <c r="Q115" s="41"/>
      <c r="R115" s="5"/>
      <c r="S115" s="5"/>
    </row>
    <row r="116" spans="2:19">
      <c r="B116" s="5"/>
      <c r="C116" s="5"/>
      <c r="D116" s="5"/>
      <c r="E116" s="5"/>
      <c r="F116" s="5"/>
      <c r="G116" s="5"/>
      <c r="H116" s="5"/>
      <c r="I116" s="5"/>
      <c r="J116" s="5"/>
      <c r="K116" s="5"/>
      <c r="L116" s="5"/>
      <c r="M116" s="5"/>
      <c r="N116" s="5"/>
      <c r="O116" s="5"/>
      <c r="Q116" s="5"/>
      <c r="R116" s="5"/>
      <c r="S116" s="5"/>
    </row>
    <row r="117" spans="2:19">
      <c r="B117" s="41"/>
      <c r="C117" s="49"/>
      <c r="D117" s="49"/>
      <c r="E117" s="49"/>
      <c r="F117" s="49"/>
      <c r="G117" s="49"/>
      <c r="H117" s="49"/>
      <c r="I117" s="254"/>
      <c r="J117" s="49"/>
      <c r="K117" s="49"/>
      <c r="L117" s="49"/>
      <c r="M117" s="49"/>
      <c r="N117" s="49"/>
      <c r="O117" s="49"/>
      <c r="Q117" s="5"/>
      <c r="R117" s="5"/>
      <c r="S117" s="5"/>
    </row>
    <row r="118" spans="2:19">
      <c r="B118" s="5"/>
      <c r="C118" s="5"/>
      <c r="D118" s="5"/>
      <c r="E118" s="5"/>
      <c r="F118" s="5"/>
      <c r="G118" s="5"/>
      <c r="H118" s="5"/>
      <c r="I118" s="249"/>
      <c r="J118" s="5"/>
      <c r="K118" s="5"/>
      <c r="L118" s="5"/>
      <c r="M118" s="5"/>
      <c r="N118" s="5"/>
      <c r="O118" s="5"/>
      <c r="Q118" s="5"/>
      <c r="R118" s="5"/>
      <c r="S118" s="5"/>
    </row>
    <row r="119" spans="2:19">
      <c r="B119" s="41"/>
      <c r="C119" s="254"/>
      <c r="D119" s="254"/>
      <c r="E119" s="254"/>
      <c r="F119" s="254"/>
      <c r="G119" s="254"/>
      <c r="H119" s="254"/>
      <c r="I119" s="254"/>
      <c r="J119" s="254"/>
      <c r="K119" s="254"/>
      <c r="L119" s="254"/>
      <c r="M119" s="254"/>
      <c r="N119" s="254"/>
      <c r="O119" s="248"/>
      <c r="Q119" s="5"/>
      <c r="R119" s="5"/>
      <c r="S119" s="5"/>
    </row>
    <row r="120" spans="2:19">
      <c r="B120" s="41"/>
      <c r="C120" s="254"/>
      <c r="D120" s="249"/>
      <c r="E120" s="249"/>
      <c r="F120" s="249"/>
      <c r="G120" s="249"/>
      <c r="H120" s="249"/>
      <c r="I120" s="254"/>
      <c r="J120" s="249"/>
      <c r="K120" s="249"/>
      <c r="L120" s="249"/>
      <c r="M120" s="249"/>
      <c r="N120" s="249"/>
      <c r="O120" s="248"/>
      <c r="Q120" s="5"/>
      <c r="R120" s="5"/>
      <c r="S120" s="5"/>
    </row>
    <row r="121" spans="2:19">
      <c r="B121" s="41"/>
      <c r="C121" s="254"/>
      <c r="D121" s="254"/>
      <c r="E121" s="254"/>
      <c r="F121" s="254"/>
      <c r="G121" s="254"/>
      <c r="H121" s="254"/>
      <c r="I121" s="254"/>
      <c r="J121" s="254"/>
      <c r="K121" s="254"/>
      <c r="L121" s="254"/>
      <c r="M121" s="254"/>
      <c r="N121" s="254"/>
      <c r="O121" s="248"/>
      <c r="Q121" s="5"/>
      <c r="R121" s="5"/>
      <c r="S121" s="5"/>
    </row>
    <row r="122" spans="2:19">
      <c r="B122" s="41"/>
      <c r="C122" s="254"/>
      <c r="D122" s="254"/>
      <c r="E122" s="254"/>
      <c r="F122" s="254"/>
      <c r="G122" s="254"/>
      <c r="H122" s="254"/>
      <c r="I122" s="254"/>
      <c r="J122" s="254"/>
      <c r="K122" s="254"/>
      <c r="L122" s="254"/>
      <c r="M122" s="254"/>
      <c r="N122" s="254"/>
      <c r="O122" s="248"/>
      <c r="Q122" s="5"/>
      <c r="R122" s="5"/>
      <c r="S122" s="5"/>
    </row>
    <row r="123" spans="2:19">
      <c r="B123" s="41"/>
      <c r="C123" s="254"/>
      <c r="D123" s="254"/>
      <c r="E123" s="254"/>
      <c r="F123" s="254"/>
      <c r="G123" s="254"/>
      <c r="H123" s="254"/>
      <c r="I123" s="254"/>
      <c r="J123" s="254"/>
      <c r="K123" s="254"/>
      <c r="L123" s="254"/>
      <c r="M123" s="254"/>
      <c r="N123" s="254"/>
      <c r="O123" s="248"/>
      <c r="Q123" s="5"/>
      <c r="R123" s="5"/>
      <c r="S123" s="5"/>
    </row>
    <row r="124" spans="2:19">
      <c r="B124" s="41"/>
      <c r="C124" s="254"/>
      <c r="D124" s="254"/>
      <c r="E124" s="254"/>
      <c r="F124" s="254"/>
      <c r="G124" s="254"/>
      <c r="H124" s="254"/>
      <c r="I124" s="254"/>
      <c r="J124" s="254"/>
      <c r="K124" s="254"/>
      <c r="L124" s="254"/>
      <c r="M124" s="254"/>
      <c r="N124" s="254"/>
      <c r="O124" s="248"/>
      <c r="Q124" s="5"/>
      <c r="R124" s="5"/>
      <c r="S124" s="5"/>
    </row>
    <row r="125" spans="2:19">
      <c r="B125" s="41"/>
      <c r="C125" s="254"/>
      <c r="D125" s="254"/>
      <c r="E125" s="254"/>
      <c r="F125" s="254"/>
      <c r="G125" s="254"/>
      <c r="H125" s="254"/>
      <c r="I125" s="254"/>
      <c r="J125" s="254"/>
      <c r="K125" s="254"/>
      <c r="L125" s="254"/>
      <c r="M125" s="254"/>
      <c r="N125" s="254"/>
      <c r="O125" s="5"/>
      <c r="Q125" s="5"/>
      <c r="R125" s="5"/>
      <c r="S125" s="5"/>
    </row>
    <row r="126" spans="2:19">
      <c r="B126" s="41"/>
      <c r="C126" s="254"/>
      <c r="D126" s="254"/>
      <c r="E126" s="254"/>
      <c r="F126" s="254"/>
      <c r="G126" s="254"/>
      <c r="H126" s="254"/>
      <c r="I126" s="254"/>
      <c r="J126" s="254"/>
      <c r="K126" s="254"/>
      <c r="L126" s="254"/>
      <c r="M126" s="254"/>
      <c r="N126" s="254"/>
      <c r="O126" s="5"/>
      <c r="Q126" s="5"/>
      <c r="R126" s="5"/>
      <c r="S126" s="5"/>
    </row>
    <row r="127" spans="2:19">
      <c r="B127" s="41"/>
      <c r="C127" s="254"/>
      <c r="D127" s="254"/>
      <c r="E127" s="254"/>
      <c r="F127" s="254"/>
      <c r="G127" s="254"/>
      <c r="H127" s="254"/>
      <c r="I127" s="18"/>
      <c r="J127" s="254"/>
      <c r="K127" s="254"/>
      <c r="L127" s="254"/>
      <c r="M127" s="254"/>
      <c r="N127" s="254"/>
      <c r="O127" s="5"/>
      <c r="Q127" s="5"/>
      <c r="R127" s="5"/>
      <c r="S127" s="5"/>
    </row>
    <row r="128" spans="2:19">
      <c r="B128" s="41"/>
      <c r="C128" s="254"/>
      <c r="D128" s="254"/>
      <c r="E128" s="254"/>
      <c r="F128" s="254"/>
      <c r="G128" s="254"/>
      <c r="H128" s="254"/>
      <c r="I128" s="5"/>
      <c r="J128" s="254"/>
      <c r="K128" s="254"/>
      <c r="L128" s="254"/>
      <c r="M128" s="254"/>
      <c r="N128" s="254"/>
      <c r="O128" s="5"/>
      <c r="Q128" s="5"/>
      <c r="R128" s="5"/>
      <c r="S128" s="5"/>
    </row>
    <row r="129" spans="2:27">
      <c r="B129" s="5"/>
      <c r="C129" s="5"/>
      <c r="D129" s="18"/>
      <c r="E129" s="18"/>
      <c r="F129" s="18"/>
      <c r="G129" s="18"/>
      <c r="H129" s="18"/>
      <c r="I129" s="254"/>
      <c r="J129" s="18"/>
      <c r="K129" s="18"/>
      <c r="L129" s="18"/>
      <c r="M129" s="18"/>
      <c r="N129" s="18"/>
      <c r="O129" s="5"/>
      <c r="Q129" s="5"/>
      <c r="R129" s="5"/>
      <c r="S129" s="5"/>
    </row>
    <row r="130" spans="2:27">
      <c r="B130" s="5"/>
      <c r="C130" s="5"/>
      <c r="D130" s="5"/>
      <c r="E130" s="5"/>
      <c r="F130" s="5"/>
      <c r="G130" s="5"/>
      <c r="H130" s="5"/>
      <c r="I130" s="18"/>
      <c r="J130" s="5"/>
      <c r="K130" s="5"/>
      <c r="L130" s="5"/>
      <c r="M130" s="5"/>
      <c r="N130" s="5"/>
      <c r="O130" s="5"/>
      <c r="Q130" s="5"/>
      <c r="R130" s="5"/>
      <c r="S130" s="5"/>
    </row>
    <row r="131" spans="2:27">
      <c r="B131" s="41"/>
      <c r="C131" s="254"/>
      <c r="D131" s="254"/>
      <c r="E131" s="254"/>
      <c r="F131" s="254"/>
      <c r="G131" s="254"/>
      <c r="H131" s="254"/>
      <c r="I131" s="5"/>
      <c r="J131" s="254"/>
      <c r="K131" s="254"/>
      <c r="L131" s="254"/>
      <c r="M131" s="254"/>
      <c r="N131" s="254"/>
      <c r="O131" s="5"/>
      <c r="Q131" s="5"/>
      <c r="R131" s="5"/>
      <c r="S131" s="5"/>
    </row>
    <row r="132" spans="2:27">
      <c r="B132" s="5"/>
      <c r="C132" s="259"/>
      <c r="D132" s="18"/>
      <c r="E132" s="18"/>
      <c r="F132" s="18"/>
      <c r="G132" s="18"/>
      <c r="H132" s="18"/>
      <c r="I132" s="5"/>
      <c r="J132" s="18"/>
      <c r="K132" s="18"/>
      <c r="L132" s="18"/>
      <c r="M132" s="18"/>
      <c r="N132" s="18"/>
      <c r="O132" s="5"/>
      <c r="Q132" s="5"/>
      <c r="R132" s="5"/>
      <c r="S132" s="5"/>
    </row>
    <row r="133" spans="2:27">
      <c r="B133" s="5"/>
      <c r="C133" s="5"/>
      <c r="D133" s="5"/>
      <c r="E133" s="5"/>
      <c r="F133" s="5"/>
      <c r="G133" s="5"/>
      <c r="H133" s="5"/>
      <c r="I133" s="17"/>
      <c r="J133" s="5"/>
      <c r="K133" s="5"/>
      <c r="L133" s="5"/>
      <c r="M133" s="5"/>
      <c r="N133" s="5"/>
      <c r="O133" s="5"/>
      <c r="Q133" s="5"/>
      <c r="R133" s="5"/>
      <c r="S133" s="5"/>
    </row>
    <row r="134" spans="2:27">
      <c r="B134" s="41"/>
      <c r="C134" s="5"/>
      <c r="D134" s="5"/>
      <c r="E134" s="5"/>
      <c r="F134" s="5"/>
      <c r="G134" s="5"/>
      <c r="H134" s="5"/>
      <c r="I134" s="17"/>
      <c r="J134" s="5"/>
      <c r="K134" s="5"/>
      <c r="L134" s="5"/>
      <c r="M134" s="5"/>
      <c r="N134" s="5"/>
      <c r="O134" s="5"/>
      <c r="Q134" s="5"/>
      <c r="R134" s="5"/>
      <c r="S134" s="5"/>
    </row>
    <row r="135" spans="2:27">
      <c r="B135" s="5"/>
      <c r="C135" s="17"/>
      <c r="D135" s="17"/>
      <c r="E135" s="17"/>
      <c r="F135" s="17"/>
      <c r="G135" s="17"/>
      <c r="H135" s="17"/>
      <c r="I135" s="17"/>
      <c r="J135" s="17"/>
      <c r="K135" s="17"/>
      <c r="L135" s="17"/>
      <c r="M135" s="17"/>
      <c r="N135" s="17"/>
      <c r="O135" s="5"/>
      <c r="Q135" s="41"/>
      <c r="R135" s="5"/>
      <c r="S135" s="5"/>
    </row>
    <row r="136" spans="2:27">
      <c r="B136" s="5"/>
      <c r="C136" s="17"/>
      <c r="D136" s="17"/>
      <c r="E136" s="17"/>
      <c r="F136" s="17"/>
      <c r="G136" s="17"/>
      <c r="H136" s="17"/>
      <c r="I136" s="17"/>
      <c r="J136" s="17"/>
      <c r="K136" s="17"/>
      <c r="L136" s="17"/>
      <c r="M136" s="17"/>
      <c r="N136" s="17"/>
      <c r="O136" s="5"/>
      <c r="Q136" s="5"/>
      <c r="R136" s="5"/>
      <c r="S136" s="5"/>
      <c r="X136" s="304"/>
    </row>
    <row r="137" spans="2:27">
      <c r="B137" s="5"/>
      <c r="C137" s="5"/>
      <c r="D137" s="17"/>
      <c r="E137" s="17"/>
      <c r="F137" s="17"/>
      <c r="G137" s="17"/>
      <c r="H137" s="17"/>
      <c r="I137" s="17"/>
      <c r="J137" s="17"/>
      <c r="K137" s="17"/>
      <c r="L137" s="17"/>
      <c r="M137" s="17"/>
      <c r="N137" s="17"/>
      <c r="O137" s="5"/>
      <c r="Q137" s="5"/>
      <c r="R137" s="5"/>
      <c r="S137" s="5"/>
      <c r="X137" s="10"/>
      <c r="Y137" s="304"/>
      <c r="Z137" s="304"/>
      <c r="AA137" s="304"/>
    </row>
    <row r="138" spans="2:27">
      <c r="B138" s="5"/>
      <c r="C138" s="5"/>
      <c r="D138" s="17"/>
      <c r="E138" s="17"/>
      <c r="F138" s="17"/>
      <c r="G138" s="17"/>
      <c r="H138" s="17"/>
      <c r="I138" s="17"/>
      <c r="J138" s="17"/>
      <c r="K138" s="17"/>
      <c r="L138" s="17"/>
      <c r="M138" s="17"/>
      <c r="N138" s="17"/>
      <c r="O138" s="5"/>
      <c r="Q138" s="5"/>
      <c r="R138" s="5"/>
      <c r="S138" s="5"/>
      <c r="Y138" s="10"/>
      <c r="Z138" s="10"/>
      <c r="AA138" s="10"/>
    </row>
    <row r="139" spans="2:27">
      <c r="B139" s="5"/>
      <c r="C139" s="5"/>
      <c r="D139" s="17"/>
      <c r="E139" s="17"/>
      <c r="F139" s="17"/>
      <c r="G139" s="17"/>
      <c r="H139" s="17"/>
      <c r="I139" s="5"/>
      <c r="J139" s="17"/>
      <c r="K139" s="17"/>
      <c r="L139" s="17"/>
      <c r="M139" s="17"/>
      <c r="N139" s="17"/>
      <c r="O139" s="5"/>
      <c r="Q139" s="5"/>
      <c r="R139" s="5"/>
      <c r="S139" s="5"/>
    </row>
    <row r="140" spans="2:27">
      <c r="B140" s="5"/>
      <c r="C140" s="17"/>
      <c r="D140" s="17"/>
      <c r="E140" s="17"/>
      <c r="F140" s="17"/>
      <c r="G140" s="17"/>
      <c r="H140" s="17"/>
      <c r="I140" s="5"/>
      <c r="J140" s="17"/>
      <c r="K140" s="17"/>
      <c r="L140" s="17"/>
      <c r="M140" s="17"/>
      <c r="N140" s="17"/>
      <c r="O140" s="5"/>
      <c r="Q140" s="5"/>
      <c r="R140" s="5"/>
      <c r="S140" s="5"/>
    </row>
    <row r="141" spans="2:27">
      <c r="B141" s="5"/>
      <c r="C141" s="5"/>
      <c r="D141" s="5"/>
      <c r="E141" s="5"/>
      <c r="F141" s="5"/>
      <c r="G141" s="5"/>
      <c r="H141" s="5"/>
      <c r="I141" s="5"/>
      <c r="J141" s="5"/>
      <c r="K141" s="5"/>
      <c r="L141" s="5"/>
      <c r="M141" s="5"/>
      <c r="N141" s="5"/>
      <c r="O141" s="5"/>
      <c r="Q141" s="5"/>
      <c r="R141" s="5"/>
      <c r="S141" s="5"/>
    </row>
    <row r="142" spans="2:27">
      <c r="B142" s="5"/>
      <c r="C142" s="5"/>
      <c r="D142" s="5"/>
      <c r="E142" s="5"/>
      <c r="F142" s="5"/>
      <c r="G142" s="5"/>
      <c r="H142" s="5"/>
      <c r="I142" s="5"/>
      <c r="J142" s="5"/>
      <c r="K142" s="5"/>
      <c r="L142" s="5"/>
      <c r="M142" s="5"/>
      <c r="N142" s="5"/>
      <c r="O142" s="5"/>
      <c r="Q142" s="5"/>
      <c r="R142" s="5"/>
      <c r="S142" s="5"/>
    </row>
    <row r="143" spans="2:27">
      <c r="B143" s="5"/>
      <c r="C143" s="5"/>
      <c r="D143" s="5"/>
      <c r="E143" s="5"/>
      <c r="F143" s="5"/>
      <c r="G143" s="5"/>
      <c r="H143" s="5"/>
      <c r="I143" s="5"/>
      <c r="J143" s="5"/>
      <c r="K143" s="5"/>
      <c r="L143" s="5"/>
      <c r="M143" s="5"/>
      <c r="N143" s="5"/>
      <c r="O143" s="5"/>
      <c r="Q143" s="5"/>
      <c r="R143" s="5"/>
      <c r="S143" s="5"/>
    </row>
    <row r="144" spans="2:27">
      <c r="B144" s="5"/>
      <c r="C144" s="5"/>
      <c r="D144" s="5"/>
      <c r="E144" s="5"/>
      <c r="F144" s="5"/>
      <c r="G144" s="5"/>
      <c r="H144" s="5"/>
      <c r="I144" s="5"/>
      <c r="J144" s="5"/>
      <c r="K144" s="5"/>
      <c r="L144" s="5"/>
      <c r="M144" s="5"/>
      <c r="N144" s="5"/>
      <c r="O144" s="5"/>
      <c r="Q144" s="5"/>
      <c r="R144" s="5"/>
      <c r="S144" s="5"/>
    </row>
    <row r="145" spans="2:19">
      <c r="B145" s="5"/>
      <c r="C145" s="5"/>
      <c r="D145" s="5"/>
      <c r="E145" s="5"/>
      <c r="F145" s="5"/>
      <c r="G145" s="5"/>
      <c r="H145" s="5"/>
      <c r="I145" s="5"/>
      <c r="J145" s="5"/>
      <c r="K145" s="5"/>
      <c r="L145" s="5"/>
      <c r="M145" s="5"/>
      <c r="N145" s="5"/>
      <c r="O145" s="5"/>
      <c r="Q145" s="5"/>
      <c r="R145" s="5"/>
      <c r="S145" s="5"/>
    </row>
    <row r="146" spans="2:19">
      <c r="B146" s="5"/>
      <c r="C146" s="5"/>
      <c r="D146" s="5"/>
      <c r="E146" s="5"/>
      <c r="F146" s="5"/>
      <c r="G146" s="5"/>
      <c r="H146" s="5"/>
      <c r="I146" s="5"/>
      <c r="J146" s="5"/>
      <c r="K146" s="5"/>
      <c r="L146" s="5"/>
      <c r="M146" s="5"/>
      <c r="N146" s="5"/>
      <c r="O146" s="5"/>
      <c r="Q146" s="5"/>
      <c r="R146" s="5"/>
      <c r="S146" s="5"/>
    </row>
    <row r="147" spans="2:19">
      <c r="B147" s="5"/>
      <c r="C147" s="5"/>
      <c r="D147" s="5"/>
      <c r="E147" s="5"/>
      <c r="F147" s="5"/>
      <c r="G147" s="5"/>
      <c r="H147" s="5"/>
      <c r="I147" s="5"/>
      <c r="J147" s="5"/>
      <c r="K147" s="5"/>
      <c r="L147" s="5"/>
      <c r="M147" s="5"/>
      <c r="N147" s="5"/>
      <c r="O147" s="5"/>
      <c r="Q147" s="5"/>
      <c r="R147" s="5"/>
      <c r="S147" s="5"/>
    </row>
    <row r="148" spans="2:19">
      <c r="B148" s="5"/>
      <c r="C148" s="5"/>
      <c r="D148" s="5"/>
      <c r="E148" s="5"/>
      <c r="F148" s="5"/>
      <c r="G148" s="5"/>
      <c r="H148" s="5"/>
      <c r="I148" s="5"/>
      <c r="J148" s="5"/>
      <c r="K148" s="5"/>
      <c r="L148" s="5"/>
      <c r="M148" s="5"/>
      <c r="N148" s="5"/>
      <c r="O148" s="5"/>
      <c r="Q148" s="5"/>
      <c r="R148" s="5"/>
      <c r="S148" s="5"/>
    </row>
    <row r="149" spans="2:19">
      <c r="B149" s="5"/>
      <c r="C149" s="5"/>
      <c r="D149" s="5"/>
      <c r="E149" s="5"/>
      <c r="F149" s="5"/>
      <c r="G149" s="5"/>
      <c r="H149" s="5"/>
      <c r="J149" s="5"/>
      <c r="K149" s="5"/>
      <c r="L149" s="5"/>
      <c r="M149" s="5"/>
      <c r="N149" s="5"/>
      <c r="O149" s="5"/>
      <c r="Q149" s="5"/>
      <c r="R149" s="5"/>
      <c r="S149" s="5"/>
    </row>
    <row r="150" spans="2:19">
      <c r="B150" s="5"/>
      <c r="C150" s="5"/>
      <c r="D150" s="5"/>
      <c r="E150" s="5"/>
      <c r="F150" s="5"/>
      <c r="G150" s="5"/>
      <c r="H150" s="5"/>
      <c r="J150" s="5"/>
      <c r="K150" s="5"/>
      <c r="L150" s="5"/>
      <c r="M150" s="5"/>
      <c r="N150" s="5"/>
      <c r="O150" s="5"/>
      <c r="Q150" s="5"/>
      <c r="R150" s="5"/>
      <c r="S150" s="5"/>
    </row>
    <row r="151" spans="2:19">
      <c r="Q151" s="5"/>
      <c r="R151" s="5"/>
      <c r="S151" s="5"/>
    </row>
    <row r="152" spans="2:19">
      <c r="Q152" s="5"/>
      <c r="R152" s="5"/>
      <c r="S152" s="5"/>
    </row>
    <row r="153" spans="2:19">
      <c r="C153" s="263"/>
      <c r="Q153" s="5"/>
      <c r="R153" s="5"/>
      <c r="S153" s="5"/>
    </row>
    <row r="154" spans="2:19">
      <c r="Q154" s="5"/>
      <c r="R154" s="5"/>
      <c r="S154" s="5"/>
    </row>
    <row r="155" spans="2:19">
      <c r="Q155" s="5"/>
      <c r="R155" s="5"/>
      <c r="S155" s="5"/>
    </row>
    <row r="156" spans="2:19">
      <c r="Q156" s="5"/>
      <c r="R156" s="5"/>
      <c r="S156" s="5"/>
    </row>
    <row r="157" spans="2:19">
      <c r="Q157" s="5"/>
      <c r="R157" s="5"/>
      <c r="S157" s="5"/>
    </row>
    <row r="158" spans="2:19">
      <c r="Q158" s="5"/>
      <c r="R158" s="5"/>
      <c r="S158" s="5"/>
    </row>
    <row r="159" spans="2:19">
      <c r="Q159" s="5"/>
      <c r="R159" s="5"/>
      <c r="S159" s="5"/>
    </row>
    <row r="160" spans="2:19">
      <c r="Q160" s="5"/>
      <c r="R160" s="5"/>
      <c r="S160" s="5"/>
    </row>
    <row r="161" spans="17:19">
      <c r="Q161" s="5"/>
      <c r="R161" s="5"/>
      <c r="S161" s="5"/>
    </row>
    <row r="162" spans="17:19">
      <c r="Q162" s="5"/>
      <c r="R162" s="5"/>
      <c r="S162" s="5"/>
    </row>
    <row r="163" spans="17:19">
      <c r="Q163" s="5"/>
      <c r="R163" s="5"/>
      <c r="S163" s="5"/>
    </row>
    <row r="164" spans="17:19">
      <c r="Q164" s="5"/>
      <c r="R164" s="5"/>
      <c r="S164" s="5"/>
    </row>
    <row r="165" spans="17:19">
      <c r="Q165" s="5"/>
      <c r="R165" s="5"/>
      <c r="S165" s="5"/>
    </row>
  </sheetData>
  <phoneticPr fontId="7" type="noConversion"/>
  <pageMargins left="0.75" right="0.75" top="1" bottom="1" header="0.5" footer="0.5"/>
  <pageSetup scale="71" orientation="landscape"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49">
    <pageSetUpPr fitToPage="1"/>
  </sheetPr>
  <dimension ref="B1:AA165"/>
  <sheetViews>
    <sheetView showGridLines="0" zoomScale="80" zoomScaleNormal="80" zoomScaleSheetLayoutView="80" workbookViewId="0"/>
  </sheetViews>
  <sheetFormatPr defaultColWidth="9.109375" defaultRowHeight="12"/>
  <cols>
    <col min="1" max="1" width="2.33203125" style="39" customWidth="1"/>
    <col min="2" max="2" width="26.5546875" style="39" customWidth="1"/>
    <col min="3" max="9" width="10" style="39" customWidth="1"/>
    <col min="10" max="10" width="26.6640625" style="39" customWidth="1"/>
    <col min="11" max="16" width="10" style="39" customWidth="1"/>
    <col min="17" max="19" width="8.6640625" style="39" customWidth="1"/>
    <col min="20" max="27" width="8.6640625" style="5" customWidth="1"/>
    <col min="28" max="28" width="8.6640625" style="39" customWidth="1"/>
    <col min="29" max="16384" width="9.109375" style="39"/>
  </cols>
  <sheetData>
    <row r="1" spans="2:27" s="312" customFormat="1">
      <c r="T1" s="149"/>
      <c r="U1" s="149"/>
      <c r="V1" s="149"/>
      <c r="W1" s="149"/>
      <c r="X1" s="149"/>
      <c r="Y1" s="149"/>
      <c r="Z1" s="149"/>
      <c r="AA1" s="149"/>
    </row>
    <row r="2" spans="2:27" s="149" customFormat="1"/>
    <row r="3" spans="2:27" s="149" customFormat="1">
      <c r="H3" s="153"/>
      <c r="P3" s="153"/>
    </row>
    <row r="4" spans="2:27" s="156" customFormat="1" ht="21">
      <c r="B4" s="129" t="s">
        <v>340</v>
      </c>
      <c r="H4" s="222"/>
      <c r="P4" s="222"/>
    </row>
    <row r="5" spans="2:27" s="149" customFormat="1">
      <c r="C5" s="153"/>
      <c r="D5" s="153" t="str" cm="1">
        <f t="array" ref="D5:H5">headings</f>
        <v>2023E</v>
      </c>
      <c r="E5" s="153" t="str">
        <v>2024E</v>
      </c>
      <c r="F5" s="153" t="str">
        <v>2025E</v>
      </c>
      <c r="G5" s="153" t="str">
        <v>2026E</v>
      </c>
      <c r="H5" s="153" t="str">
        <v>23E-26E</v>
      </c>
      <c r="I5" s="153"/>
      <c r="J5" s="153"/>
      <c r="K5" s="153"/>
      <c r="L5" s="153" t="str" cm="1">
        <f t="array" ref="L5:P5">headings</f>
        <v>2023E</v>
      </c>
      <c r="M5" s="153" t="str">
        <v>2024E</v>
      </c>
      <c r="N5" s="153" t="str">
        <v>2025E</v>
      </c>
      <c r="O5" s="153" t="str">
        <v>2026E</v>
      </c>
      <c r="P5" s="153" t="str">
        <v>23E-26E</v>
      </c>
      <c r="Q5" s="162"/>
      <c r="R5" s="162"/>
      <c r="S5" s="162"/>
      <c r="T5" s="162"/>
      <c r="U5" s="162"/>
      <c r="V5" s="162"/>
      <c r="W5" s="162"/>
      <c r="X5" s="162"/>
      <c r="Y5" s="162"/>
    </row>
    <row r="6" spans="2:27">
      <c r="I6" s="5"/>
      <c r="J6" s="5"/>
      <c r="K6" s="5"/>
      <c r="L6" s="5"/>
      <c r="M6" s="5"/>
      <c r="N6" s="5"/>
      <c r="O6" s="49"/>
    </row>
    <row r="7" spans="2:27" ht="12.6" thickBot="1">
      <c r="B7" s="306" t="s">
        <v>271</v>
      </c>
      <c r="C7" s="265"/>
      <c r="D7" s="265" t="str">
        <f>D5</f>
        <v>2023E</v>
      </c>
      <c r="E7" s="265" t="str">
        <f t="shared" ref="E7:H7" si="0">E5</f>
        <v>2024E</v>
      </c>
      <c r="F7" s="265" t="str">
        <f t="shared" si="0"/>
        <v>2025E</v>
      </c>
      <c r="G7" s="265" t="str">
        <f t="shared" si="0"/>
        <v>2026E</v>
      </c>
      <c r="H7" s="265" t="str">
        <f t="shared" si="0"/>
        <v>23E-26E</v>
      </c>
      <c r="I7" s="49"/>
      <c r="J7" s="306" t="s">
        <v>75</v>
      </c>
      <c r="K7" s="306"/>
      <c r="L7" s="265" t="str">
        <f>L5</f>
        <v>2023E</v>
      </c>
      <c r="M7" s="265" t="str">
        <f t="shared" ref="M7:P7" si="1">M5</f>
        <v>2024E</v>
      </c>
      <c r="N7" s="265" t="str">
        <f t="shared" si="1"/>
        <v>2025E</v>
      </c>
      <c r="O7" s="265" t="str">
        <f t="shared" si="1"/>
        <v>2026E</v>
      </c>
      <c r="P7" s="265" t="str">
        <f t="shared" si="1"/>
        <v>23E-26E</v>
      </c>
    </row>
    <row r="8" spans="2:27" ht="12.6" thickTop="1">
      <c r="B8" s="5"/>
      <c r="C8" s="5"/>
      <c r="D8" s="5"/>
      <c r="E8" s="5"/>
      <c r="F8" s="5"/>
      <c r="G8" s="5"/>
      <c r="H8" s="5"/>
      <c r="I8" s="5"/>
      <c r="J8" s="5"/>
      <c r="K8" s="5"/>
      <c r="L8" s="5"/>
      <c r="M8" s="5"/>
      <c r="N8" s="5"/>
      <c r="S8" s="88"/>
      <c r="T8" s="42"/>
      <c r="U8" s="42"/>
      <c r="V8" s="42"/>
      <c r="W8" s="42"/>
      <c r="X8" s="42"/>
      <c r="Y8" s="42"/>
      <c r="Z8" s="42"/>
      <c r="AA8" s="42"/>
    </row>
    <row r="9" spans="2:27">
      <c r="B9" s="41" t="s">
        <v>345</v>
      </c>
      <c r="C9" s="287">
        <f>Prices!C76</f>
        <v>127</v>
      </c>
      <c r="D9" s="535">
        <v>0</v>
      </c>
      <c r="E9" s="536">
        <v>0</v>
      </c>
      <c r="F9" s="536">
        <v>0</v>
      </c>
      <c r="G9" s="536">
        <v>0</v>
      </c>
      <c r="H9" s="249"/>
      <c r="I9" s="249"/>
      <c r="J9" s="5" t="s">
        <v>273</v>
      </c>
      <c r="L9" s="529">
        <f>'AGG ASIA INCUMB'!D37</f>
        <v>63.142675059472978</v>
      </c>
      <c r="M9" s="529">
        <f>'AGG ASIA INCUMB'!E37</f>
        <v>59.736062869091825</v>
      </c>
      <c r="N9" s="529">
        <f>'AGG ASIA INCUMB'!F37</f>
        <v>51.606570083263385</v>
      </c>
      <c r="O9" s="529">
        <f>'AGG ASIA INCUMB'!G37</f>
        <v>43.869121174935444</v>
      </c>
      <c r="P9" s="286">
        <f>'AGG ASIA INCUMB'!H37</f>
        <v>3.6933170504085622E-2</v>
      </c>
      <c r="S9" s="88"/>
      <c r="T9" s="42"/>
      <c r="U9" s="42"/>
      <c r="V9" s="42"/>
      <c r="W9" s="42"/>
      <c r="X9" s="42"/>
      <c r="Y9" s="42"/>
      <c r="Z9" s="42"/>
      <c r="AA9" s="42"/>
    </row>
    <row r="10" spans="2:27">
      <c r="B10" s="5" t="s">
        <v>274</v>
      </c>
      <c r="C10" s="5"/>
      <c r="D10" s="531">
        <v>7757.4470000000001</v>
      </c>
      <c r="E10" s="531">
        <v>7757.4470000000001</v>
      </c>
      <c r="F10" s="531">
        <v>7757.4470000000001</v>
      </c>
      <c r="G10" s="531">
        <v>7757.4470000000001</v>
      </c>
      <c r="H10" s="247"/>
      <c r="I10" s="247"/>
      <c r="J10" s="5" t="s">
        <v>184</v>
      </c>
      <c r="L10" s="529">
        <f>'AGG ASIA INCUMB'!D38</f>
        <v>229.28172666156038</v>
      </c>
      <c r="M10" s="529">
        <f>'AGG ASIA INCUMB'!E38</f>
        <v>211.1756819494743</v>
      </c>
      <c r="N10" s="529">
        <f>'AGG ASIA INCUMB'!F38</f>
        <v>182.52911660300191</v>
      </c>
      <c r="O10" s="529">
        <f>'AGG ASIA INCUMB'!G38</f>
        <v>154.31631948299164</v>
      </c>
      <c r="P10" s="286">
        <f>'AGG ASIA INCUMB'!H38</f>
        <v>4.7969433190576227E-2</v>
      </c>
      <c r="S10" s="88"/>
      <c r="T10" s="42"/>
      <c r="U10" s="42"/>
      <c r="V10" s="42"/>
      <c r="W10" s="288"/>
      <c r="X10" s="288"/>
      <c r="Y10" s="288"/>
      <c r="Z10" s="288"/>
      <c r="AA10" s="42"/>
    </row>
    <row r="11" spans="2:27">
      <c r="B11" s="41" t="s">
        <v>275</v>
      </c>
      <c r="C11" s="5"/>
      <c r="D11" s="532">
        <f>$C$9*D10</f>
        <v>985195.76899999997</v>
      </c>
      <c r="E11" s="532">
        <f>$C$9*E10</f>
        <v>985195.76899999997</v>
      </c>
      <c r="F11" s="532">
        <f>$C$9*F10</f>
        <v>985195.76899999997</v>
      </c>
      <c r="G11" s="532">
        <f>$C$9*G10</f>
        <v>985195.76899999997</v>
      </c>
      <c r="H11" s="249"/>
      <c r="I11" s="249"/>
      <c r="J11" s="5" t="s">
        <v>185</v>
      </c>
      <c r="L11" s="529">
        <f>'AGG ASIA INCUMB'!D39</f>
        <v>576.60457523629475</v>
      </c>
      <c r="M11" s="529">
        <f>'AGG ASIA INCUMB'!E39</f>
        <v>450.01446269285191</v>
      </c>
      <c r="N11" s="529">
        <f>'AGG ASIA INCUMB'!F39</f>
        <v>375.00938731825471</v>
      </c>
      <c r="O11" s="529">
        <f>'AGG ASIA INCUMB'!G39</f>
        <v>307.67151192274292</v>
      </c>
      <c r="P11" s="286">
        <f>'AGG ASIA INCUMB'!H39</f>
        <v>0.13229525132442088</v>
      </c>
      <c r="S11" s="88"/>
      <c r="T11" s="42"/>
      <c r="U11" s="42"/>
      <c r="V11" s="42"/>
      <c r="W11" s="288"/>
      <c r="X11" s="288"/>
      <c r="Y11" s="288"/>
      <c r="Z11" s="288"/>
      <c r="AA11" s="42"/>
    </row>
    <row r="12" spans="2:27">
      <c r="B12" s="5" t="s">
        <v>24</v>
      </c>
      <c r="C12" s="249"/>
      <c r="D12" s="533">
        <v>-12032.599185754967</v>
      </c>
      <c r="E12" s="533">
        <v>-25120.146079008504</v>
      </c>
      <c r="F12" s="533">
        <v>-39153.545754241619</v>
      </c>
      <c r="G12" s="533">
        <v>-51742.469896738046</v>
      </c>
      <c r="H12" s="247"/>
      <c r="I12" s="247"/>
      <c r="J12" s="5" t="s">
        <v>466</v>
      </c>
      <c r="L12" s="529">
        <f>'AGG ASIA INCUMB'!D40</f>
        <v>774.44294579435359</v>
      </c>
      <c r="M12" s="529">
        <f>'AGG ASIA INCUMB'!E40</f>
        <v>607.6245935692682</v>
      </c>
      <c r="N12" s="529">
        <f>'AGG ASIA INCUMB'!F40</f>
        <v>506.11175808827261</v>
      </c>
      <c r="O12" s="529">
        <f>'AGG ASIA INCUMB'!G40</f>
        <v>415.18806643723337</v>
      </c>
      <c r="P12" s="286">
        <f>'AGG ASIA INCUMB'!H40</f>
        <v>0.13051833042761229</v>
      </c>
      <c r="S12" s="88"/>
      <c r="T12" s="42"/>
      <c r="U12" s="42"/>
      <c r="V12" s="42"/>
      <c r="W12" s="288"/>
      <c r="X12" s="288"/>
      <c r="Y12" s="288"/>
      <c r="Z12" s="288"/>
      <c r="AA12" s="42"/>
    </row>
    <row r="13" spans="2:27">
      <c r="B13" s="5" t="s">
        <v>529</v>
      </c>
      <c r="C13" s="257"/>
      <c r="D13" s="533">
        <v>0</v>
      </c>
      <c r="E13" s="533">
        <v>0</v>
      </c>
      <c r="F13" s="533">
        <v>0</v>
      </c>
      <c r="G13" s="533">
        <v>0</v>
      </c>
      <c r="H13" s="247"/>
      <c r="I13" s="247"/>
      <c r="J13" s="5" t="s">
        <v>530</v>
      </c>
      <c r="L13" s="529">
        <f>'AGG ASIA INCUMB'!D41</f>
        <v>56.922651872950347</v>
      </c>
      <c r="M13" s="529">
        <f>'AGG ASIA INCUMB'!E41</f>
        <v>54.508702219086139</v>
      </c>
      <c r="N13" s="529">
        <f>'AGG ASIA INCUMB'!F41</f>
        <v>47.665724006779691</v>
      </c>
      <c r="O13" s="529">
        <f>'AGG ASIA INCUMB'!G41</f>
        <v>40.716506606725353</v>
      </c>
      <c r="P13" s="286">
        <f>'AGG ASIA INCUMB'!H41</f>
        <v>2.6914512786078149E-2</v>
      </c>
      <c r="S13" s="88"/>
      <c r="T13" s="42"/>
      <c r="U13" s="42"/>
      <c r="V13" s="42"/>
      <c r="W13" s="42"/>
      <c r="X13" s="42"/>
      <c r="Y13" s="42"/>
      <c r="Z13" s="42"/>
      <c r="AA13" s="42"/>
    </row>
    <row r="14" spans="2:27">
      <c r="B14" s="5" t="s">
        <v>532</v>
      </c>
      <c r="C14" s="257"/>
      <c r="D14" s="533">
        <v>0</v>
      </c>
      <c r="E14" s="533">
        <f t="shared" ref="E14:G15" si="2">D14</f>
        <v>0</v>
      </c>
      <c r="F14" s="533">
        <f t="shared" si="2"/>
        <v>0</v>
      </c>
      <c r="G14" s="533">
        <f t="shared" si="2"/>
        <v>0</v>
      </c>
      <c r="H14" s="247"/>
      <c r="I14" s="247"/>
      <c r="J14" s="5" t="s">
        <v>593</v>
      </c>
      <c r="L14" s="529">
        <f>'AGG ASIA INCUMB'!D42</f>
        <v>75.778591370066351</v>
      </c>
      <c r="M14" s="529">
        <f>'AGG ASIA INCUMB'!E42</f>
        <v>75.255645616199331</v>
      </c>
      <c r="N14" s="529">
        <f>'AGG ASIA INCUMB'!F42</f>
        <v>68.487733798446982</v>
      </c>
      <c r="O14" s="529">
        <f>'AGG ASIA INCUMB'!G42</f>
        <v>63.398335594210266</v>
      </c>
      <c r="P14" s="286">
        <f>'AGG ASIA INCUMB'!H42</f>
        <v>-2.5341868686917124E-2</v>
      </c>
      <c r="S14" s="88"/>
      <c r="T14" s="42"/>
      <c r="U14" s="42"/>
      <c r="V14" s="42"/>
      <c r="W14" s="42"/>
      <c r="X14" s="42"/>
      <c r="Y14" s="42"/>
      <c r="Z14" s="42"/>
      <c r="AA14" s="42"/>
    </row>
    <row r="15" spans="2:27">
      <c r="B15" s="5" t="s">
        <v>531</v>
      </c>
      <c r="C15" s="274"/>
      <c r="D15" s="533">
        <v>0</v>
      </c>
      <c r="E15" s="533">
        <f t="shared" si="2"/>
        <v>0</v>
      </c>
      <c r="F15" s="533">
        <f t="shared" si="2"/>
        <v>0</v>
      </c>
      <c r="G15" s="533">
        <f t="shared" si="2"/>
        <v>0</v>
      </c>
      <c r="H15" s="247"/>
      <c r="I15" s="247"/>
      <c r="J15" s="5" t="s">
        <v>475</v>
      </c>
      <c r="L15" s="529">
        <f>'AGG ASIA INCUMB'!D43</f>
        <v>14.482023584121089</v>
      </c>
      <c r="M15" s="529">
        <f>'AGG ASIA INCUMB'!E43</f>
        <v>10.697579793360875</v>
      </c>
      <c r="N15" s="529">
        <f>'AGG ASIA INCUMB'!F43</f>
        <v>9.7604819510674972</v>
      </c>
      <c r="O15" s="529">
        <f>'AGG ASIA INCUMB'!G43</f>
        <v>8.8384338816404213</v>
      </c>
      <c r="P15" s="286">
        <f>'AGG ASIA INCUMB'!H43</f>
        <v>0.1612622626724487</v>
      </c>
      <c r="S15" s="88"/>
      <c r="T15" s="42"/>
      <c r="U15" s="42"/>
      <c r="V15" s="42"/>
      <c r="W15" s="42"/>
      <c r="X15" s="42"/>
      <c r="Y15" s="42"/>
      <c r="Z15" s="42"/>
      <c r="AA15" s="42"/>
    </row>
    <row r="16" spans="2:27">
      <c r="B16" s="5" t="s">
        <v>534</v>
      </c>
      <c r="C16" s="257"/>
      <c r="D16" s="533">
        <v>131766.21189461363</v>
      </c>
      <c r="E16" s="533">
        <v>167201.84831548305</v>
      </c>
      <c r="F16" s="533">
        <v>204326.65928947239</v>
      </c>
      <c r="G16" s="533">
        <v>243472.3190144471</v>
      </c>
      <c r="H16" s="247"/>
      <c r="I16" s="247"/>
      <c r="J16" s="5" t="s">
        <v>533</v>
      </c>
      <c r="L16" s="529">
        <f>'AGG ASIA INCUMB'!D44</f>
        <v>401.27153945230202</v>
      </c>
      <c r="M16" s="529">
        <f>'AGG ASIA INCUMB'!E44</f>
        <v>386.42961390608417</v>
      </c>
      <c r="N16" s="529">
        <f>'AGG ASIA INCUMB'!F44</f>
        <v>362.49401680734263</v>
      </c>
      <c r="O16" s="529">
        <f>'AGG ASIA INCUMB'!G44</f>
        <v>331.65705725544359</v>
      </c>
      <c r="P16" s="286">
        <f>'AGG ASIA INCUMB'!H44</f>
        <v>7.2549113858280556E-2</v>
      </c>
      <c r="S16" s="88"/>
      <c r="T16" s="42"/>
      <c r="U16" s="42"/>
      <c r="V16" s="42"/>
      <c r="W16" s="42"/>
      <c r="X16" s="42"/>
      <c r="Y16" s="42"/>
      <c r="Z16" s="42"/>
      <c r="AA16" s="42"/>
    </row>
    <row r="17" spans="2:27">
      <c r="B17" s="5" t="s">
        <v>6</v>
      </c>
      <c r="C17" s="257"/>
      <c r="D17" s="533">
        <v>0</v>
      </c>
      <c r="E17" s="533">
        <v>0</v>
      </c>
      <c r="F17" s="533">
        <v>0</v>
      </c>
      <c r="G17" s="533">
        <v>0</v>
      </c>
      <c r="H17" s="247"/>
      <c r="I17" s="247"/>
      <c r="J17" s="5" t="s">
        <v>580</v>
      </c>
      <c r="L17" s="248">
        <f>'AGG ASIA INCUMB'!D45</f>
        <v>1.4187232142027291E-3</v>
      </c>
      <c r="M17" s="248">
        <f>'AGG ASIA INCUMB'!E45</f>
        <v>1.5917039348975377E-3</v>
      </c>
      <c r="N17" s="248">
        <f>'AGG ASIA INCUMB'!F45</f>
        <v>1.8207439648114264E-3</v>
      </c>
      <c r="O17" s="248">
        <f>'AGG ASIA INCUMB'!G45</f>
        <v>2.0820127660327939E-3</v>
      </c>
      <c r="P17" s="286">
        <f>'AGG ASIA INCUMB'!H45</f>
        <v>0.14383326100984517</v>
      </c>
      <c r="S17" s="88"/>
      <c r="T17" s="42"/>
      <c r="U17" s="42"/>
      <c r="V17" s="42"/>
      <c r="W17" s="42"/>
      <c r="X17" s="42"/>
      <c r="Y17" s="42"/>
      <c r="Z17" s="42"/>
      <c r="AA17" s="42"/>
    </row>
    <row r="18" spans="2:27" ht="12.6" thickBot="1">
      <c r="B18" s="41" t="s">
        <v>583</v>
      </c>
      <c r="C18" s="249"/>
      <c r="D18" s="534">
        <f>D11+D12+D13-D14+D15-D16-D17</f>
        <v>841396.95791963139</v>
      </c>
      <c r="E18" s="534">
        <f>E11+E12+E13-E14+E15-E16-E17</f>
        <v>792873.77460550843</v>
      </c>
      <c r="F18" s="534">
        <f>F11+F12+F13-F14+F15-F16-F17</f>
        <v>741715.56395628594</v>
      </c>
      <c r="G18" s="534">
        <f>G11+G12+G13-G14+G15-G16-G17</f>
        <v>689980.98008881486</v>
      </c>
      <c r="H18" s="276">
        <f>IF(D18=0,"nm",IF(G18=0,"nm",(G18/D18)^(1/3)-1))</f>
        <v>-6.3993796176159523E-2</v>
      </c>
      <c r="I18" s="254"/>
      <c r="J18" s="5" t="s">
        <v>36</v>
      </c>
      <c r="L18" s="248">
        <f>'AGG ASIA INCUMB'!D46</f>
        <v>1.4197854397789587E-3</v>
      </c>
      <c r="M18" s="248">
        <f>'AGG ASIA INCUMB'!E46</f>
        <v>1.5927452418075944E-3</v>
      </c>
      <c r="N18" s="248">
        <f>'AGG ASIA INCUMB'!F46</f>
        <v>1.8306775739935764E-3</v>
      </c>
      <c r="O18" s="248">
        <f>'AGG ASIA INCUMB'!G46</f>
        <v>2.0980698589589679E-3</v>
      </c>
      <c r="P18" s="286">
        <f>'AGG ASIA INCUMB'!H46</f>
        <v>0.14648020039593046</v>
      </c>
      <c r="S18" s="88"/>
      <c r="T18" s="42"/>
      <c r="U18" s="42"/>
      <c r="V18" s="42"/>
      <c r="W18" s="42"/>
      <c r="X18" s="42"/>
      <c r="Y18" s="42"/>
      <c r="Z18" s="42"/>
      <c r="AA18" s="42"/>
    </row>
    <row r="19" spans="2:27" ht="12.6" thickTop="1">
      <c r="B19" s="41"/>
      <c r="C19" s="249"/>
      <c r="D19" s="229"/>
      <c r="E19" s="229"/>
      <c r="F19" s="229"/>
      <c r="G19" s="229"/>
      <c r="H19" s="276"/>
      <c r="I19" s="254"/>
      <c r="J19" s="5" t="s">
        <v>581</v>
      </c>
      <c r="L19" s="248">
        <f>'AGG ASIA INCUMB'!D47</f>
        <v>6.9051123566492234E-2</v>
      </c>
      <c r="M19" s="248">
        <f>'AGG ASIA INCUMB'!E47</f>
        <v>9.3479087729789065E-2</v>
      </c>
      <c r="N19" s="248">
        <f>'AGG ASIA INCUMB'!F47</f>
        <v>0.10245395719323375</v>
      </c>
      <c r="O19" s="248">
        <f>'AGG ASIA INCUMB'!G47</f>
        <v>0.11314221652743744</v>
      </c>
      <c r="P19" s="286">
        <f>'AGG ASIA INCUMB'!H47</f>
        <v>0.1612622626724487</v>
      </c>
      <c r="S19" s="88"/>
      <c r="T19" s="42"/>
      <c r="U19" s="42"/>
      <c r="V19" s="42"/>
      <c r="W19" s="42"/>
      <c r="X19" s="42"/>
      <c r="Y19" s="42"/>
      <c r="Z19" s="42"/>
      <c r="AA19" s="42"/>
    </row>
    <row r="20" spans="2:27">
      <c r="H20" s="277"/>
      <c r="I20" s="17"/>
      <c r="J20" s="5" t="s">
        <v>604</v>
      </c>
      <c r="L20" s="305">
        <f>'AGG ASIA INCUMB'!D48</f>
        <v>0.58020270145274866</v>
      </c>
      <c r="M20" s="305">
        <f>'AGG ASIA INCUMB'!E48</f>
        <v>0.49738583643750317</v>
      </c>
      <c r="N20" s="305">
        <f>'AGG ASIA INCUMB'!F48</f>
        <v>0.5269471278406761</v>
      </c>
      <c r="O20" s="305">
        <f>'AGG ASIA INCUMB'!G48</f>
        <v>0.55446861753269805</v>
      </c>
      <c r="P20" s="286" t="str">
        <f>'AGG ASIA INCUMB'!H48</f>
        <v>nm</v>
      </c>
      <c r="S20" s="88"/>
      <c r="T20" s="42"/>
      <c r="U20" s="42"/>
      <c r="V20" s="42"/>
      <c r="W20" s="42"/>
      <c r="X20" s="42"/>
      <c r="Y20" s="42"/>
      <c r="Z20" s="42"/>
      <c r="AA20" s="42"/>
    </row>
    <row r="21" spans="2:27" ht="12.6" thickBot="1">
      <c r="B21" s="306" t="s">
        <v>932</v>
      </c>
      <c r="C21" s="265"/>
      <c r="D21" s="265" t="str">
        <f>D5</f>
        <v>2023E</v>
      </c>
      <c r="E21" s="265" t="str">
        <f t="shared" ref="E21:H21" si="3">E5</f>
        <v>2024E</v>
      </c>
      <c r="F21" s="265" t="str">
        <f t="shared" si="3"/>
        <v>2025E</v>
      </c>
      <c r="G21" s="265" t="str">
        <f t="shared" si="3"/>
        <v>2026E</v>
      </c>
      <c r="H21" s="265" t="str">
        <f t="shared" si="3"/>
        <v>23E-26E</v>
      </c>
      <c r="I21" s="49"/>
      <c r="J21" s="41"/>
      <c r="L21" s="250"/>
      <c r="M21" s="250"/>
      <c r="N21" s="250"/>
      <c r="O21" s="250"/>
      <c r="P21" s="286"/>
      <c r="S21" s="88"/>
      <c r="T21" s="42"/>
      <c r="U21" s="42"/>
      <c r="V21" s="42"/>
      <c r="W21" s="42"/>
      <c r="X21" s="42"/>
      <c r="Y21" s="42"/>
      <c r="Z21" s="42"/>
      <c r="AA21" s="42"/>
    </row>
    <row r="22" spans="2:27" ht="12.6" thickTop="1">
      <c r="B22" s="5"/>
      <c r="C22" s="257"/>
      <c r="D22" s="17"/>
      <c r="E22" s="17"/>
      <c r="F22" s="17"/>
      <c r="G22" s="17"/>
      <c r="H22" s="17"/>
      <c r="I22" s="17"/>
      <c r="P22" s="277"/>
      <c r="S22" s="88"/>
      <c r="T22" s="42"/>
      <c r="U22" s="42"/>
      <c r="V22" s="42"/>
      <c r="W22" s="42"/>
      <c r="X22" s="42"/>
      <c r="Y22" s="42"/>
      <c r="Z22" s="42"/>
      <c r="AA22" s="42"/>
    </row>
    <row r="23" spans="2:27" ht="12.6" thickBot="1">
      <c r="B23" s="5" t="s">
        <v>584</v>
      </c>
      <c r="C23" s="548">
        <v>206413.75495427032</v>
      </c>
      <c r="D23" s="540">
        <v>208789.53139106714</v>
      </c>
      <c r="E23" s="540">
        <v>211153.64817967257</v>
      </c>
      <c r="F23" s="540">
        <v>213623.18347203344</v>
      </c>
      <c r="G23" s="540">
        <v>216198.57850321187</v>
      </c>
      <c r="H23" s="279">
        <f t="shared" ref="H23:H32" si="4">IF(D23=0,"nm",IF(G23=0,"nm",(G23/D23)^(1/3)-1))</f>
        <v>1.1691353321333642E-2</v>
      </c>
      <c r="I23" s="247"/>
      <c r="J23" s="306" t="s">
        <v>9</v>
      </c>
      <c r="K23" s="306"/>
      <c r="L23" s="265" t="str">
        <f>D21</f>
        <v>2023E</v>
      </c>
      <c r="M23" s="265" t="str">
        <f t="shared" ref="M23:P23" si="5">E21</f>
        <v>2024E</v>
      </c>
      <c r="N23" s="265" t="str">
        <f t="shared" si="5"/>
        <v>2025E</v>
      </c>
      <c r="O23" s="265" t="str">
        <f t="shared" si="5"/>
        <v>2026E</v>
      </c>
      <c r="P23" s="265" t="str">
        <f t="shared" si="5"/>
        <v>23E-26E</v>
      </c>
      <c r="S23" s="88"/>
      <c r="T23" s="42"/>
      <c r="U23" s="42"/>
      <c r="V23" s="42"/>
      <c r="W23" s="42"/>
      <c r="X23" s="42"/>
      <c r="Y23" s="42"/>
      <c r="Z23" s="42"/>
      <c r="AA23" s="42"/>
    </row>
    <row r="24" spans="2:27" ht="12.6" thickTop="1">
      <c r="B24" s="5" t="s">
        <v>483</v>
      </c>
      <c r="C24" s="549">
        <v>77384.338750670344</v>
      </c>
      <c r="D24" s="540">
        <v>78469.821025431156</v>
      </c>
      <c r="E24" s="540">
        <v>79530.740710380225</v>
      </c>
      <c r="F24" s="540">
        <v>80684.046928048163</v>
      </c>
      <c r="G24" s="540">
        <v>81930.050593786727</v>
      </c>
      <c r="H24" s="279">
        <f t="shared" si="4"/>
        <v>1.4487858365059614E-2</v>
      </c>
      <c r="I24" s="249"/>
      <c r="J24" s="17"/>
      <c r="K24" s="17"/>
      <c r="L24" s="17"/>
      <c r="M24" s="17"/>
      <c r="N24" s="17"/>
      <c r="O24" s="248"/>
      <c r="S24" s="88"/>
      <c r="T24" s="42"/>
      <c r="U24" s="42"/>
      <c r="V24" s="42"/>
      <c r="W24" s="42" t="s">
        <v>252</v>
      </c>
      <c r="X24" s="42" t="s">
        <v>259</v>
      </c>
      <c r="Y24" s="42"/>
      <c r="Z24" s="42"/>
      <c r="AA24" s="42"/>
    </row>
    <row r="25" spans="2:27">
      <c r="B25" s="5" t="s">
        <v>183</v>
      </c>
      <c r="C25" s="548">
        <v>46669.239365462243</v>
      </c>
      <c r="D25" s="540">
        <v>51327.181944592427</v>
      </c>
      <c r="E25" s="540">
        <v>56303.839410616245</v>
      </c>
      <c r="F25" s="540">
        <v>59321.728580844821</v>
      </c>
      <c r="G25" s="540">
        <v>60310.192743465537</v>
      </c>
      <c r="H25" s="279">
        <f t="shared" si="4"/>
        <v>5.5231544534847021E-2</v>
      </c>
      <c r="I25" s="248"/>
      <c r="J25" s="247" t="s">
        <v>10</v>
      </c>
      <c r="K25" s="247"/>
      <c r="L25" s="321">
        <v>0</v>
      </c>
      <c r="M25" s="321">
        <v>0</v>
      </c>
      <c r="N25" s="321">
        <v>0</v>
      </c>
      <c r="O25" s="321">
        <v>0</v>
      </c>
      <c r="P25" s="279" t="str">
        <f>IF(L25=0,"nm",IF(O25=0,"nm",(O25/L25)^(1/3)-1))</f>
        <v>nm</v>
      </c>
      <c r="S25" s="88"/>
      <c r="T25" s="42"/>
      <c r="U25" s="42"/>
      <c r="V25" s="147" t="s">
        <v>273</v>
      </c>
      <c r="W25" s="288">
        <f>D37/L9</f>
        <v>6.3821828258782659E-2</v>
      </c>
      <c r="X25" s="288">
        <v>1</v>
      </c>
      <c r="Y25" s="42"/>
      <c r="Z25" s="42"/>
      <c r="AA25" s="42"/>
    </row>
    <row r="26" spans="2:27">
      <c r="B26" s="5" t="s">
        <v>586</v>
      </c>
      <c r="C26" s="548">
        <v>37742.019833796679</v>
      </c>
      <c r="D26" s="540">
        <v>41508.958476818982</v>
      </c>
      <c r="E26" s="540">
        <v>45533.645987104115</v>
      </c>
      <c r="F26" s="540">
        <v>47974.252143699421</v>
      </c>
      <c r="G26" s="540">
        <v>48773.635946346891</v>
      </c>
      <c r="H26" s="279">
        <f t="shared" si="4"/>
        <v>5.5231544534847021E-2</v>
      </c>
      <c r="I26" s="249"/>
      <c r="J26" s="249" t="s">
        <v>11</v>
      </c>
      <c r="K26" s="249"/>
      <c r="L26" s="281">
        <f>D11+L25</f>
        <v>985195.76899999997</v>
      </c>
      <c r="M26" s="281">
        <f>E11+M25</f>
        <v>985195.76899999997</v>
      </c>
      <c r="N26" s="281">
        <f>F11+N25</f>
        <v>985195.76899999997</v>
      </c>
      <c r="O26" s="281">
        <f>G11+O25</f>
        <v>985195.76899999997</v>
      </c>
      <c r="P26" s="279">
        <f>IF(L26=0,"nm",IF(O26=0,"nm",(O26/L26)^(1/3)-1))</f>
        <v>0</v>
      </c>
      <c r="Q26" s="5"/>
      <c r="S26" s="88"/>
      <c r="T26" s="42"/>
      <c r="U26" s="42"/>
      <c r="V26" s="147" t="s">
        <v>184</v>
      </c>
      <c r="W26" s="288">
        <f t="shared" ref="W26:W33" si="6">D38/L10</f>
        <v>4.6765849941134773E-2</v>
      </c>
      <c r="X26" s="288">
        <v>1</v>
      </c>
      <c r="Y26" s="42"/>
      <c r="Z26" s="42"/>
      <c r="AA26" s="42"/>
    </row>
    <row r="27" spans="2:27">
      <c r="B27" s="5" t="s">
        <v>587</v>
      </c>
      <c r="C27" s="549">
        <v>385540.9432180649</v>
      </c>
      <c r="D27" s="540">
        <v>377941.6380689831</v>
      </c>
      <c r="E27" s="540">
        <v>367338.58025808854</v>
      </c>
      <c r="F27" s="540">
        <v>356089.53128191014</v>
      </c>
      <c r="G27" s="540">
        <v>346378.75331700913</v>
      </c>
      <c r="H27" s="279">
        <f t="shared" si="4"/>
        <v>-2.8650544100582875E-2</v>
      </c>
      <c r="I27" s="249"/>
      <c r="J27" s="248"/>
      <c r="K27" s="248"/>
      <c r="L27" s="248"/>
      <c r="M27" s="248"/>
      <c r="N27" s="248"/>
      <c r="O27" s="248"/>
      <c r="Q27" s="41"/>
      <c r="S27" s="88"/>
      <c r="T27" s="42"/>
      <c r="U27" s="42"/>
      <c r="V27" s="147" t="s">
        <v>185</v>
      </c>
      <c r="W27" s="288">
        <f t="shared" si="6"/>
        <v>2.8429906597025104E-2</v>
      </c>
      <c r="X27" s="288">
        <v>1</v>
      </c>
      <c r="Y27" s="42"/>
      <c r="Z27" s="42"/>
      <c r="AA27" s="42"/>
    </row>
    <row r="28" spans="2:27" ht="12.6" thickBot="1">
      <c r="B28" s="5" t="s">
        <v>592</v>
      </c>
      <c r="C28" s="548">
        <v>283743.0357559548</v>
      </c>
      <c r="D28" s="540">
        <v>278074.35977157031</v>
      </c>
      <c r="E28" s="540">
        <v>271398.76170915761</v>
      </c>
      <c r="F28" s="540">
        <v>265924.73483676009</v>
      </c>
      <c r="G28" s="540">
        <v>0</v>
      </c>
      <c r="H28" s="279" t="str">
        <f t="shared" si="4"/>
        <v>nm</v>
      </c>
      <c r="I28" s="248"/>
      <c r="J28" s="306" t="s">
        <v>1362</v>
      </c>
      <c r="K28" s="306"/>
      <c r="L28" s="306"/>
      <c r="M28" s="306"/>
      <c r="N28" s="266"/>
      <c r="O28" s="266"/>
      <c r="P28" s="266"/>
      <c r="Q28" s="5"/>
      <c r="S28" s="88"/>
      <c r="T28" s="42"/>
      <c r="U28" s="42"/>
      <c r="V28" s="147" t="s">
        <v>466</v>
      </c>
      <c r="W28" s="288">
        <f t="shared" si="6"/>
        <v>2.6173974372029285E-2</v>
      </c>
      <c r="X28" s="288">
        <v>1</v>
      </c>
      <c r="Y28" s="42"/>
      <c r="Z28" s="42"/>
      <c r="AA28" s="42"/>
    </row>
    <row r="29" spans="2:27" ht="12.6" thickTop="1">
      <c r="B29" s="5" t="s">
        <v>588</v>
      </c>
      <c r="C29" s="548">
        <v>37552.140609549911</v>
      </c>
      <c r="D29" s="540">
        <v>41952.850070367604</v>
      </c>
      <c r="E29" s="540">
        <v>46622.323316756272</v>
      </c>
      <c r="F29" s="540">
        <v>49262.248260140099</v>
      </c>
      <c r="G29" s="540">
        <v>49840.649397000176</v>
      </c>
      <c r="H29" s="279">
        <f t="shared" si="4"/>
        <v>5.910920048487367E-2</v>
      </c>
      <c r="I29" s="252"/>
      <c r="J29" s="249"/>
      <c r="K29" s="249"/>
      <c r="L29" s="249"/>
      <c r="M29" s="249"/>
      <c r="N29" s="249"/>
      <c r="O29" s="251"/>
      <c r="Q29" s="5"/>
      <c r="S29" s="88"/>
      <c r="T29" s="42"/>
      <c r="U29" s="42"/>
      <c r="V29" s="147" t="s">
        <v>530</v>
      </c>
      <c r="W29" s="288">
        <f t="shared" si="6"/>
        <v>3.9110293216509114E-2</v>
      </c>
      <c r="X29" s="288">
        <v>1</v>
      </c>
      <c r="Y29" s="42"/>
      <c r="Z29" s="42"/>
      <c r="AA29" s="42"/>
    </row>
    <row r="30" spans="2:27">
      <c r="B30" s="5" t="s">
        <v>589</v>
      </c>
      <c r="C30" s="549">
        <v>32931.141330363629</v>
      </c>
      <c r="D30" s="540">
        <v>34339.148337423925</v>
      </c>
      <c r="E30" s="540">
        <v>35989.577572311187</v>
      </c>
      <c r="F30" s="540">
        <v>37970.065320871065</v>
      </c>
      <c r="G30" s="540">
        <v>40073.198589126376</v>
      </c>
      <c r="H30" s="279">
        <f t="shared" si="4"/>
        <v>5.2821704558468241E-2</v>
      </c>
      <c r="I30" s="254"/>
      <c r="J30" s="248"/>
      <c r="K30" s="248"/>
      <c r="L30" s="248"/>
      <c r="M30" s="248"/>
      <c r="N30" s="248"/>
      <c r="O30" s="5"/>
      <c r="Q30" s="5"/>
      <c r="S30" s="88"/>
      <c r="T30" s="42"/>
      <c r="U30" s="42"/>
      <c r="V30" s="147" t="s">
        <v>593</v>
      </c>
      <c r="W30" s="288">
        <f t="shared" si="6"/>
        <v>3.9929462443482666E-2</v>
      </c>
      <c r="X30" s="288">
        <v>1</v>
      </c>
      <c r="Y30" s="42"/>
      <c r="Z30" s="42"/>
      <c r="AA30" s="42"/>
    </row>
    <row r="31" spans="2:27">
      <c r="B31" s="5" t="s">
        <v>590</v>
      </c>
      <c r="C31" s="549">
        <v>33990.428847687632</v>
      </c>
      <c r="D31" s="540">
        <v>35435.636420869407</v>
      </c>
      <c r="E31" s="540">
        <v>37124.810973989333</v>
      </c>
      <c r="F31" s="540">
        <v>39145.659724974706</v>
      </c>
      <c r="G31" s="540">
        <v>41290.844032423585</v>
      </c>
      <c r="H31" s="279">
        <f t="shared" si="4"/>
        <v>5.2295809971018903E-2</v>
      </c>
      <c r="I31" s="254"/>
      <c r="J31" s="252"/>
      <c r="K31" s="252"/>
      <c r="L31" s="252"/>
      <c r="M31" s="252"/>
      <c r="N31" s="252"/>
      <c r="O31" s="5"/>
      <c r="Q31" s="5"/>
      <c r="S31" s="88"/>
      <c r="T31" s="42"/>
      <c r="U31" s="42"/>
      <c r="V31" s="147" t="s">
        <v>475</v>
      </c>
      <c r="W31" s="288">
        <f t="shared" si="6"/>
        <v>1.6215555002413271</v>
      </c>
      <c r="X31" s="288">
        <v>1</v>
      </c>
      <c r="Y31" s="42"/>
      <c r="Z31" s="42"/>
      <c r="AA31" s="42"/>
    </row>
    <row r="32" spans="2:27">
      <c r="B32" s="5" t="s">
        <v>606</v>
      </c>
      <c r="C32" s="550">
        <v>0</v>
      </c>
      <c r="D32" s="540">
        <v>0</v>
      </c>
      <c r="E32" s="540">
        <v>0</v>
      </c>
      <c r="F32" s="540">
        <v>0</v>
      </c>
      <c r="G32" s="540">
        <v>0</v>
      </c>
      <c r="H32" s="279" t="str">
        <f t="shared" si="4"/>
        <v>nm</v>
      </c>
      <c r="I32" s="254"/>
      <c r="J32" s="254"/>
      <c r="K32" s="254"/>
      <c r="L32" s="254"/>
      <c r="M32" s="254"/>
      <c r="N32" s="254"/>
      <c r="O32" s="251"/>
      <c r="Q32" s="5"/>
      <c r="S32" s="88"/>
      <c r="T32" s="42"/>
      <c r="U32" s="42"/>
      <c r="V32" s="147" t="s">
        <v>533</v>
      </c>
      <c r="W32" s="288">
        <f t="shared" si="6"/>
        <v>7.1498126210253699E-2</v>
      </c>
      <c r="X32" s="288">
        <v>1</v>
      </c>
      <c r="Y32" s="42"/>
      <c r="Z32" s="42"/>
      <c r="AA32" s="42"/>
    </row>
    <row r="33" spans="2:27">
      <c r="B33" s="5" t="s">
        <v>5</v>
      </c>
      <c r="C33" s="549">
        <v>10.160519694622085</v>
      </c>
      <c r="D33" s="540">
        <v>-31.761425628345961</v>
      </c>
      <c r="E33" s="540">
        <v>-83.145770957951811</v>
      </c>
      <c r="F33" s="540">
        <v>-143.84093615978162</v>
      </c>
      <c r="G33" s="540">
        <v>-203.42021146617233</v>
      </c>
      <c r="H33" s="279">
        <f>IF(D33=0,"nm",IF(G33=0,"nm",(G33/D33)^(1/3)-1))</f>
        <v>0.85708324295895366</v>
      </c>
      <c r="I33" s="5"/>
      <c r="J33" s="254"/>
      <c r="K33" s="254"/>
      <c r="L33" s="254"/>
      <c r="M33" s="254"/>
      <c r="N33" s="254"/>
      <c r="O33" s="251"/>
      <c r="Q33" s="5"/>
      <c r="S33" s="88"/>
      <c r="T33" s="42"/>
      <c r="U33" s="42"/>
      <c r="V33" s="147" t="s">
        <v>580</v>
      </c>
      <c r="W33" s="288">
        <f t="shared" si="6"/>
        <v>25.352455200207384</v>
      </c>
      <c r="X33" s="288">
        <v>1</v>
      </c>
      <c r="Y33" s="42"/>
      <c r="Z33" s="42"/>
      <c r="AA33" s="42"/>
    </row>
    <row r="34" spans="2:27">
      <c r="D34" s="5"/>
      <c r="E34" s="5"/>
      <c r="F34" s="5"/>
      <c r="G34" s="5"/>
      <c r="I34" s="49"/>
      <c r="J34" s="254"/>
      <c r="K34" s="254"/>
      <c r="L34" s="254"/>
      <c r="M34" s="254"/>
      <c r="N34" s="254"/>
      <c r="O34" s="251"/>
      <c r="Q34" s="5"/>
      <c r="S34" s="88"/>
      <c r="T34" s="42"/>
      <c r="U34" s="42"/>
      <c r="V34" s="147" t="s">
        <v>581</v>
      </c>
      <c r="W34" s="288">
        <f>D47/L19</f>
        <v>0.61669181218353331</v>
      </c>
      <c r="X34" s="288">
        <v>1</v>
      </c>
      <c r="Y34" s="288"/>
      <c r="Z34" s="288"/>
      <c r="AA34" s="42"/>
    </row>
    <row r="35" spans="2:27" ht="12.6" thickBot="1">
      <c r="B35" s="306" t="s">
        <v>349</v>
      </c>
      <c r="C35" s="265"/>
      <c r="D35" s="265" t="str">
        <f>D5</f>
        <v>2023E</v>
      </c>
      <c r="E35" s="265" t="str">
        <f t="shared" ref="E35:H35" si="7">E5</f>
        <v>2024E</v>
      </c>
      <c r="F35" s="265" t="str">
        <f t="shared" si="7"/>
        <v>2025E</v>
      </c>
      <c r="G35" s="265" t="str">
        <f t="shared" si="7"/>
        <v>2026E</v>
      </c>
      <c r="H35" s="265" t="str">
        <f t="shared" si="7"/>
        <v>23E-26E</v>
      </c>
      <c r="I35" s="254"/>
      <c r="J35" s="5"/>
      <c r="K35" s="5"/>
      <c r="L35" s="5"/>
      <c r="M35" s="5"/>
      <c r="N35" s="5"/>
      <c r="O35" s="5"/>
      <c r="Q35" s="5"/>
      <c r="S35" s="88"/>
      <c r="T35" s="42"/>
      <c r="U35" s="42"/>
      <c r="V35" s="42"/>
      <c r="W35" s="42"/>
      <c r="X35" s="42"/>
      <c r="Y35" s="288"/>
      <c r="Z35" s="288"/>
      <c r="AA35" s="42"/>
    </row>
    <row r="36" spans="2:27" ht="12.6" thickTop="1">
      <c r="B36" s="41"/>
      <c r="C36" s="249"/>
      <c r="D36" s="254"/>
      <c r="E36" s="254"/>
      <c r="F36" s="254"/>
      <c r="G36" s="254"/>
      <c r="H36" s="254"/>
      <c r="I36" s="17"/>
      <c r="J36" s="49"/>
      <c r="K36" s="49"/>
      <c r="L36" s="49"/>
      <c r="M36" s="49"/>
      <c r="N36" s="49"/>
      <c r="O36" s="49"/>
      <c r="Q36" s="5"/>
      <c r="S36" s="88"/>
      <c r="T36" s="42"/>
      <c r="U36" s="42"/>
      <c r="V36" s="42"/>
      <c r="W36" s="42"/>
      <c r="X36" s="42"/>
      <c r="Y36" s="288"/>
      <c r="Z36" s="288"/>
      <c r="AA36" s="42"/>
    </row>
    <row r="37" spans="2:27">
      <c r="B37" s="5" t="s">
        <v>273</v>
      </c>
      <c r="C37" s="247"/>
      <c r="D37" s="529">
        <f>D$18/D23</f>
        <v>4.0298809634458035</v>
      </c>
      <c r="E37" s="529">
        <f t="shared" ref="E37:G41" si="8">E$18/E23</f>
        <v>3.7549612873884373</v>
      </c>
      <c r="F37" s="529">
        <f t="shared" si="8"/>
        <v>3.4720742940963985</v>
      </c>
      <c r="G37" s="529">
        <f t="shared" si="8"/>
        <v>3.191422371348128</v>
      </c>
      <c r="H37" s="17">
        <f t="shared" ref="H37:H45" si="9">H23</f>
        <v>1.1691353321333642E-2</v>
      </c>
      <c r="I37" s="5"/>
      <c r="J37" s="259"/>
      <c r="K37" s="259"/>
      <c r="L37" s="259"/>
      <c r="M37" s="259"/>
      <c r="N37" s="259"/>
      <c r="O37" s="18"/>
      <c r="Q37" s="5"/>
      <c r="R37" s="5"/>
      <c r="S37" s="42"/>
      <c r="T37" s="42"/>
      <c r="U37" s="42"/>
      <c r="V37" s="42"/>
      <c r="W37" s="42"/>
      <c r="X37" s="42"/>
      <c r="Y37" s="42"/>
      <c r="Z37" s="42"/>
      <c r="AA37" s="42"/>
    </row>
    <row r="38" spans="2:27">
      <c r="B38" s="5" t="s">
        <v>184</v>
      </c>
      <c r="C38" s="247"/>
      <c r="D38" s="529">
        <f>D$18/D24</f>
        <v>10.722554823298813</v>
      </c>
      <c r="E38" s="529">
        <f t="shared" si="8"/>
        <v>9.9694001026954329</v>
      </c>
      <c r="F38" s="529">
        <f t="shared" si="8"/>
        <v>9.1928403717494209</v>
      </c>
      <c r="G38" s="529">
        <f t="shared" si="8"/>
        <v>8.4215861590245424</v>
      </c>
      <c r="H38" s="17">
        <f t="shared" si="9"/>
        <v>1.4487858365059614E-2</v>
      </c>
      <c r="I38" s="259"/>
      <c r="J38" s="17"/>
      <c r="K38" s="17"/>
      <c r="L38" s="17"/>
      <c r="M38" s="17"/>
      <c r="N38" s="17"/>
      <c r="O38" s="5"/>
      <c r="Q38" s="5"/>
      <c r="R38" s="5"/>
      <c r="S38" s="42"/>
      <c r="T38" s="42"/>
      <c r="U38" s="42"/>
      <c r="V38" s="42"/>
      <c r="W38" s="42"/>
      <c r="X38" s="42"/>
      <c r="Y38" s="42"/>
      <c r="Z38" s="42"/>
      <c r="AA38" s="42"/>
    </row>
    <row r="39" spans="2:27">
      <c r="B39" s="5" t="s">
        <v>185</v>
      </c>
      <c r="C39" s="247"/>
      <c r="D39" s="529">
        <f>D$18/D25</f>
        <v>16.392814217385194</v>
      </c>
      <c r="E39" s="529">
        <f t="shared" si="8"/>
        <v>14.082055200946206</v>
      </c>
      <c r="F39" s="529">
        <f t="shared" si="8"/>
        <v>12.503269572555718</v>
      </c>
      <c r="G39" s="529">
        <f t="shared" si="8"/>
        <v>11.440536809817651</v>
      </c>
      <c r="H39" s="17">
        <f t="shared" si="9"/>
        <v>5.5231544534847021E-2</v>
      </c>
      <c r="I39" s="17"/>
      <c r="J39" s="5"/>
      <c r="K39" s="5"/>
      <c r="L39" s="5"/>
      <c r="M39" s="5"/>
      <c r="N39" s="5"/>
      <c r="O39" s="5"/>
      <c r="Q39" s="5"/>
      <c r="R39" s="5"/>
      <c r="S39" s="42"/>
      <c r="T39" s="42"/>
      <c r="U39" s="42"/>
      <c r="V39" s="42"/>
      <c r="W39" s="42"/>
      <c r="X39" s="42"/>
      <c r="Y39" s="42"/>
      <c r="Z39" s="42"/>
      <c r="AA39" s="42"/>
    </row>
    <row r="40" spans="2:27">
      <c r="B40" s="5" t="s">
        <v>466</v>
      </c>
      <c r="C40" s="247"/>
      <c r="D40" s="529">
        <f>D$18/D26</f>
        <v>20.270249815820275</v>
      </c>
      <c r="E40" s="529">
        <f t="shared" si="8"/>
        <v>17.412920872404186</v>
      </c>
      <c r="F40" s="529">
        <f t="shared" si="8"/>
        <v>15.460700913785841</v>
      </c>
      <c r="G40" s="529">
        <f t="shared" si="8"/>
        <v>14.146597166711619</v>
      </c>
      <c r="H40" s="17">
        <f t="shared" si="9"/>
        <v>5.5231544534847021E-2</v>
      </c>
      <c r="I40" s="5"/>
      <c r="J40" s="259"/>
      <c r="K40" s="259"/>
      <c r="L40" s="259"/>
      <c r="M40" s="259"/>
      <c r="N40" s="259"/>
      <c r="O40" s="18"/>
      <c r="Q40" s="5"/>
      <c r="R40" s="5"/>
      <c r="S40" s="42"/>
      <c r="T40" s="42"/>
      <c r="U40" s="42"/>
      <c r="V40" s="42"/>
      <c r="W40" s="288"/>
      <c r="X40" s="288"/>
      <c r="Y40" s="42"/>
      <c r="Z40" s="42"/>
      <c r="AA40" s="42"/>
    </row>
    <row r="41" spans="2:27">
      <c r="B41" s="5" t="s">
        <v>530</v>
      </c>
      <c r="C41" s="247"/>
      <c r="D41" s="529">
        <f>D$18/D27</f>
        <v>2.2262616054123598</v>
      </c>
      <c r="E41" s="529">
        <f t="shared" si="8"/>
        <v>2.1584277209555363</v>
      </c>
      <c r="F41" s="529">
        <f t="shared" si="8"/>
        <v>2.082946840043669</v>
      </c>
      <c r="G41" s="529">
        <f t="shared" si="8"/>
        <v>1.9919841314785773</v>
      </c>
      <c r="H41" s="17">
        <f t="shared" si="9"/>
        <v>-2.8650544100582875E-2</v>
      </c>
      <c r="I41" s="247"/>
      <c r="J41" s="17"/>
      <c r="K41" s="17"/>
      <c r="L41" s="17"/>
      <c r="M41" s="17"/>
      <c r="N41" s="17"/>
      <c r="O41" s="5"/>
      <c r="Q41" s="5"/>
      <c r="R41" s="5"/>
      <c r="S41" s="42"/>
      <c r="T41" s="42"/>
      <c r="U41" s="42"/>
      <c r="V41" s="42"/>
      <c r="W41" s="288"/>
      <c r="X41" s="288"/>
      <c r="Y41" s="288"/>
      <c r="Z41" s="288"/>
      <c r="AA41" s="42"/>
    </row>
    <row r="42" spans="2:27">
      <c r="B42" s="5" t="s">
        <v>593</v>
      </c>
      <c r="C42" s="247"/>
      <c r="D42" s="529">
        <f>D18/D28</f>
        <v>3.025798418131084</v>
      </c>
      <c r="E42" s="529">
        <f>E18/E28</f>
        <v>2.9214347538371803</v>
      </c>
      <c r="F42" s="529">
        <f>F18/F28</f>
        <v>2.789193582957199</v>
      </c>
      <c r="G42" s="529" t="e">
        <f>G18/G28</f>
        <v>#DIV/0!</v>
      </c>
      <c r="H42" s="17" t="str">
        <f t="shared" si="9"/>
        <v>nm</v>
      </c>
      <c r="I42" s="248"/>
      <c r="J42" s="5"/>
      <c r="K42" s="5"/>
      <c r="L42" s="5"/>
      <c r="M42" s="5"/>
      <c r="N42" s="5"/>
      <c r="O42" s="5"/>
      <c r="Q42" s="5"/>
      <c r="R42" s="5"/>
      <c r="S42" s="42"/>
      <c r="T42" s="42"/>
      <c r="U42" s="42"/>
      <c r="V42" s="42"/>
      <c r="W42" s="288"/>
      <c r="X42" s="288"/>
      <c r="Y42" s="288"/>
      <c r="Z42" s="288"/>
      <c r="AA42" s="42"/>
    </row>
    <row r="43" spans="2:27">
      <c r="B43" s="5" t="s">
        <v>475</v>
      </c>
      <c r="C43" s="247"/>
      <c r="D43" s="529">
        <f>L26/D29</f>
        <v>23.483404997456169</v>
      </c>
      <c r="E43" s="529">
        <f>M26/E29</f>
        <v>21.131417289234836</v>
      </c>
      <c r="F43" s="529">
        <f>N26/F29</f>
        <v>19.999001340691105</v>
      </c>
      <c r="G43" s="529">
        <f>O26/G29</f>
        <v>19.766912769384927</v>
      </c>
      <c r="H43" s="17">
        <f t="shared" si="9"/>
        <v>5.910920048487367E-2</v>
      </c>
      <c r="I43" s="247"/>
      <c r="J43" s="247"/>
      <c r="K43" s="247"/>
      <c r="L43" s="247"/>
      <c r="M43" s="247"/>
      <c r="N43" s="247"/>
      <c r="O43" s="18"/>
      <c r="Q43" s="5"/>
      <c r="R43" s="5"/>
      <c r="S43" s="42"/>
      <c r="T43" s="42"/>
      <c r="U43" s="42"/>
      <c r="V43" s="42"/>
      <c r="W43" s="288"/>
      <c r="X43" s="288"/>
      <c r="Y43" s="288"/>
      <c r="Z43" s="288"/>
      <c r="AA43" s="42"/>
    </row>
    <row r="44" spans="2:27">
      <c r="B44" s="5" t="s">
        <v>533</v>
      </c>
      <c r="C44" s="69"/>
      <c r="D44" s="529">
        <f>D11/D30</f>
        <v>28.690163172343485</v>
      </c>
      <c r="E44" s="529">
        <f>E11/E30</f>
        <v>27.374474374435742</v>
      </c>
      <c r="F44" s="529">
        <f>F11/F30</f>
        <v>25.946644038520152</v>
      </c>
      <c r="G44" s="529">
        <f>G11/G30</f>
        <v>24.584904716523603</v>
      </c>
      <c r="H44" s="17">
        <f t="shared" si="9"/>
        <v>5.2821704558468241E-2</v>
      </c>
      <c r="I44" s="247"/>
      <c r="J44" s="248"/>
      <c r="K44" s="248"/>
      <c r="L44" s="248"/>
      <c r="M44" s="248"/>
      <c r="N44" s="248"/>
      <c r="O44" s="248"/>
      <c r="Q44" s="5"/>
      <c r="R44" s="5"/>
      <c r="S44" s="42"/>
      <c r="T44" s="42"/>
      <c r="U44" s="42"/>
      <c r="V44" s="42"/>
      <c r="W44" s="325"/>
      <c r="X44" s="325"/>
      <c r="Y44" s="288"/>
      <c r="Z44" s="288"/>
      <c r="AA44" s="42"/>
    </row>
    <row r="45" spans="2:27">
      <c r="B45" s="5" t="s">
        <v>580</v>
      </c>
      <c r="C45" s="247"/>
      <c r="D45" s="248">
        <f>D31/D11</f>
        <v>3.5968116729568914E-2</v>
      </c>
      <c r="E45" s="248">
        <f>E31/E11</f>
        <v>3.7682673984351364E-2</v>
      </c>
      <c r="F45" s="248">
        <f>F31/F11</f>
        <v>3.9733889402213528E-2</v>
      </c>
      <c r="G45" s="248">
        <f>G31/G11</f>
        <v>4.1911308728350402E-2</v>
      </c>
      <c r="H45" s="17">
        <f t="shared" si="9"/>
        <v>5.2295809971018903E-2</v>
      </c>
      <c r="I45" s="248"/>
      <c r="J45" s="247"/>
      <c r="K45" s="247"/>
      <c r="L45" s="247"/>
      <c r="M45" s="247"/>
      <c r="N45" s="247"/>
      <c r="O45" s="248"/>
      <c r="Q45" s="5"/>
      <c r="R45" s="5"/>
      <c r="S45" s="42"/>
      <c r="T45" s="42"/>
      <c r="U45" s="42"/>
      <c r="V45" s="42"/>
      <c r="W45" s="42"/>
      <c r="X45" s="42"/>
      <c r="Y45" s="325"/>
      <c r="Z45" s="325"/>
      <c r="AA45" s="42"/>
    </row>
    <row r="46" spans="2:27">
      <c r="B46" s="5" t="s">
        <v>605</v>
      </c>
      <c r="C46" s="247"/>
      <c r="D46" s="248">
        <f>(D31+D32)/D11</f>
        <v>3.5968116729568914E-2</v>
      </c>
      <c r="E46" s="248">
        <f>(E31+E32)/E11</f>
        <v>3.7682673984351364E-2</v>
      </c>
      <c r="F46" s="248">
        <f>(F31+F32)/F11</f>
        <v>3.9733889402213528E-2</v>
      </c>
      <c r="G46" s="248">
        <f>(G31+G32)/G11</f>
        <v>4.1911308728350402E-2</v>
      </c>
      <c r="H46" s="279">
        <f>((G31+G32)/(D31+D32))^(1/3)-1</f>
        <v>5.2295809971018903E-2</v>
      </c>
      <c r="I46" s="247"/>
      <c r="J46" s="247"/>
      <c r="K46" s="247"/>
      <c r="L46" s="247"/>
      <c r="M46" s="247"/>
      <c r="N46" s="247"/>
      <c r="O46" s="18"/>
      <c r="Q46" s="5"/>
      <c r="R46" s="5"/>
      <c r="S46" s="42"/>
      <c r="T46" s="42"/>
      <c r="U46" s="42"/>
      <c r="V46" s="42"/>
      <c r="W46" s="42"/>
      <c r="X46" s="42"/>
      <c r="Y46" s="42"/>
      <c r="Z46" s="42"/>
      <c r="AA46" s="326"/>
    </row>
    <row r="47" spans="2:27">
      <c r="B47" s="5" t="s">
        <v>581</v>
      </c>
      <c r="C47" s="5"/>
      <c r="D47" s="248">
        <f>1/D43</f>
        <v>4.2583262525529179E-2</v>
      </c>
      <c r="E47" s="248">
        <f>1/E43</f>
        <v>4.7322902496911026E-2</v>
      </c>
      <c r="F47" s="248">
        <f>1/F43</f>
        <v>5.0002496772943515E-2</v>
      </c>
      <c r="G47" s="248">
        <f>1/G43</f>
        <v>5.0589589364142082E-2</v>
      </c>
      <c r="H47" s="17">
        <f>H29</f>
        <v>5.910920048487367E-2</v>
      </c>
      <c r="I47" s="17"/>
      <c r="J47" s="248"/>
      <c r="K47" s="248"/>
      <c r="L47" s="248"/>
      <c r="M47" s="248"/>
      <c r="N47" s="248"/>
      <c r="O47" s="248"/>
      <c r="Q47" s="5"/>
      <c r="R47" s="5"/>
      <c r="S47" s="42"/>
      <c r="T47" s="42"/>
      <c r="U47" s="42"/>
      <c r="V47" s="42"/>
      <c r="W47" s="42"/>
      <c r="X47" s="42"/>
      <c r="Y47" s="42"/>
      <c r="Z47" s="42"/>
      <c r="AA47" s="326"/>
    </row>
    <row r="48" spans="2:27">
      <c r="B48" s="5" t="s">
        <v>618</v>
      </c>
      <c r="C48" s="5"/>
      <c r="D48" s="305">
        <f>D31/D29</f>
        <v>0.84465385215624533</v>
      </c>
      <c r="E48" s="305">
        <f>E31/E29</f>
        <v>0.79628830853752219</v>
      </c>
      <c r="F48" s="305">
        <f>F31/F29</f>
        <v>0.79463810742574048</v>
      </c>
      <c r="G48" s="305">
        <f>G31/G29</f>
        <v>0.82845718368406351</v>
      </c>
      <c r="H48" s="279" t="s">
        <v>607</v>
      </c>
      <c r="I48" s="247"/>
      <c r="J48" s="247"/>
      <c r="K48" s="247"/>
      <c r="L48" s="247"/>
      <c r="M48" s="247"/>
      <c r="N48" s="247"/>
      <c r="O48" s="248"/>
      <c r="Q48" s="5"/>
      <c r="R48" s="5"/>
      <c r="S48" s="42"/>
      <c r="T48" s="42"/>
      <c r="U48" s="42"/>
      <c r="V48" s="42"/>
      <c r="W48" s="42"/>
      <c r="X48" s="42"/>
      <c r="Y48" s="42"/>
      <c r="Z48" s="42"/>
      <c r="AA48" s="326"/>
    </row>
    <row r="49" spans="2:27">
      <c r="B49" s="41"/>
      <c r="C49" s="17"/>
      <c r="D49" s="17"/>
      <c r="E49" s="17"/>
      <c r="F49" s="17"/>
      <c r="G49" s="17"/>
      <c r="H49" s="17"/>
      <c r="I49" s="254"/>
      <c r="J49" s="17"/>
      <c r="K49" s="17"/>
      <c r="L49" s="17"/>
      <c r="M49" s="17"/>
      <c r="N49" s="17"/>
      <c r="O49" s="248"/>
      <c r="Q49" s="5"/>
      <c r="R49" s="5"/>
      <c r="S49" s="42"/>
      <c r="T49" s="42"/>
      <c r="U49" s="42"/>
      <c r="V49" s="42"/>
      <c r="W49" s="42"/>
      <c r="X49" s="42"/>
      <c r="Y49" s="42"/>
      <c r="Z49" s="42"/>
      <c r="AA49" s="326"/>
    </row>
    <row r="50" spans="2:27">
      <c r="B50" s="5"/>
      <c r="C50" s="257"/>
      <c r="D50" s="257"/>
      <c r="E50" s="257"/>
      <c r="F50" s="5"/>
      <c r="G50" s="41"/>
      <c r="H50" s="249"/>
      <c r="I50" s="17"/>
      <c r="J50" s="249"/>
      <c r="K50" s="249"/>
      <c r="L50" s="249"/>
      <c r="M50" s="249"/>
      <c r="N50" s="249"/>
      <c r="O50" s="250"/>
      <c r="Q50" s="5"/>
      <c r="R50" s="5"/>
      <c r="S50" s="42"/>
      <c r="T50" s="42"/>
      <c r="U50" s="42"/>
      <c r="V50" s="42"/>
      <c r="W50" s="288"/>
      <c r="X50" s="288"/>
      <c r="Y50" s="42"/>
      <c r="Z50" s="42"/>
      <c r="AA50" s="326"/>
    </row>
    <row r="51" spans="2:27">
      <c r="B51" s="41"/>
      <c r="C51" s="249"/>
      <c r="D51" s="254"/>
      <c r="E51" s="254"/>
      <c r="F51" s="254"/>
      <c r="G51" s="254"/>
      <c r="H51" s="254"/>
      <c r="I51" s="259"/>
      <c r="J51" s="254"/>
      <c r="K51" s="254"/>
      <c r="L51" s="254"/>
      <c r="M51" s="254"/>
      <c r="N51" s="254"/>
      <c r="O51" s="251"/>
      <c r="Q51" s="5"/>
      <c r="R51" s="5"/>
      <c r="S51" s="42"/>
      <c r="T51" s="42"/>
      <c r="U51" s="42"/>
      <c r="V51" s="42"/>
      <c r="W51" s="288"/>
      <c r="X51" s="288"/>
      <c r="Y51" s="288"/>
      <c r="Z51" s="288"/>
      <c r="AA51" s="42"/>
    </row>
    <row r="52" spans="2:27">
      <c r="B52" s="5"/>
      <c r="C52" s="257"/>
      <c r="D52" s="17"/>
      <c r="E52" s="17"/>
      <c r="F52" s="17"/>
      <c r="G52" s="17"/>
      <c r="H52" s="17"/>
      <c r="I52" s="254"/>
      <c r="J52" s="17"/>
      <c r="K52" s="17"/>
      <c r="L52" s="17"/>
      <c r="M52" s="17"/>
      <c r="N52" s="17"/>
      <c r="O52" s="248"/>
      <c r="Q52" s="5"/>
      <c r="R52" s="5"/>
      <c r="S52" s="5"/>
      <c r="Y52" s="10"/>
      <c r="Z52" s="10"/>
    </row>
    <row r="53" spans="2:27">
      <c r="B53" s="5"/>
      <c r="C53" s="257"/>
      <c r="D53" s="257"/>
      <c r="E53" s="257"/>
      <c r="F53" s="5"/>
      <c r="G53" s="5"/>
      <c r="H53" s="259"/>
      <c r="I53" s="17"/>
      <c r="J53" s="259"/>
      <c r="K53" s="259"/>
      <c r="L53" s="259"/>
      <c r="M53" s="259"/>
      <c r="N53" s="259"/>
      <c r="O53" s="18"/>
      <c r="Q53" s="5"/>
      <c r="R53" s="5"/>
      <c r="S53" s="5"/>
    </row>
    <row r="54" spans="2:27">
      <c r="B54" s="41"/>
      <c r="C54" s="249"/>
      <c r="D54" s="254"/>
      <c r="E54" s="254"/>
      <c r="F54" s="254"/>
      <c r="G54" s="254"/>
      <c r="H54" s="254"/>
      <c r="I54" s="259"/>
      <c r="J54" s="254"/>
      <c r="K54" s="254"/>
      <c r="L54" s="254"/>
      <c r="M54" s="254"/>
      <c r="N54" s="254"/>
      <c r="O54" s="251"/>
      <c r="Q54" s="5"/>
      <c r="R54" s="5"/>
      <c r="S54" s="5"/>
    </row>
    <row r="55" spans="2:27">
      <c r="B55" s="5"/>
      <c r="C55" s="257"/>
      <c r="D55" s="17"/>
      <c r="E55" s="17"/>
      <c r="F55" s="17"/>
      <c r="G55" s="17"/>
      <c r="H55" s="17"/>
      <c r="I55" s="249"/>
      <c r="J55" s="17"/>
      <c r="K55" s="17"/>
      <c r="L55" s="17"/>
      <c r="M55" s="17"/>
      <c r="N55" s="17"/>
      <c r="O55" s="18"/>
      <c r="Q55" s="5"/>
      <c r="R55" s="5"/>
      <c r="S55" s="5"/>
    </row>
    <row r="56" spans="2:27">
      <c r="B56" s="5"/>
      <c r="C56" s="248"/>
      <c r="D56" s="248"/>
      <c r="E56" s="248"/>
      <c r="F56" s="5"/>
      <c r="G56" s="5"/>
      <c r="H56" s="259"/>
      <c r="I56" s="248"/>
      <c r="J56" s="259"/>
      <c r="K56" s="259"/>
      <c r="L56" s="259"/>
      <c r="M56" s="259"/>
      <c r="N56" s="259"/>
      <c r="O56" s="18"/>
      <c r="Q56" s="5"/>
      <c r="R56" s="5"/>
      <c r="S56" s="5"/>
    </row>
    <row r="57" spans="2:27">
      <c r="B57" s="41"/>
      <c r="C57" s="249"/>
      <c r="D57" s="249"/>
      <c r="E57" s="249"/>
      <c r="F57" s="249"/>
      <c r="G57" s="249"/>
      <c r="H57" s="249"/>
      <c r="I57" s="5"/>
      <c r="J57" s="249"/>
      <c r="K57" s="249"/>
      <c r="L57" s="249"/>
      <c r="M57" s="249"/>
      <c r="N57" s="249"/>
      <c r="O57" s="251"/>
      <c r="Q57" s="5"/>
      <c r="R57" s="5"/>
      <c r="S57" s="5"/>
    </row>
    <row r="58" spans="2:27">
      <c r="B58" s="5"/>
      <c r="C58" s="5"/>
      <c r="D58" s="248"/>
      <c r="E58" s="248"/>
      <c r="F58" s="248"/>
      <c r="G58" s="248"/>
      <c r="H58" s="248"/>
      <c r="I58" s="17"/>
      <c r="J58" s="248"/>
      <c r="K58" s="248"/>
      <c r="L58" s="248"/>
      <c r="M58" s="248"/>
      <c r="N58" s="248"/>
      <c r="O58" s="18"/>
      <c r="Q58" s="5"/>
      <c r="R58" s="5"/>
      <c r="S58" s="5"/>
    </row>
    <row r="59" spans="2:27">
      <c r="B59" s="5"/>
      <c r="C59" s="5"/>
      <c r="D59" s="5"/>
      <c r="E59" s="5"/>
      <c r="F59" s="5"/>
      <c r="G59" s="5"/>
      <c r="H59" s="5"/>
      <c r="I59" s="5"/>
      <c r="J59" s="5"/>
      <c r="K59" s="5"/>
      <c r="L59" s="5"/>
      <c r="M59" s="5"/>
      <c r="N59" s="5"/>
      <c r="O59" s="5"/>
      <c r="Q59" s="5"/>
      <c r="R59" s="5"/>
      <c r="S59" s="5"/>
    </row>
    <row r="60" spans="2:27">
      <c r="B60" s="41"/>
      <c r="C60" s="17"/>
      <c r="D60" s="17"/>
      <c r="E60" s="17"/>
      <c r="F60" s="17"/>
      <c r="G60" s="17"/>
      <c r="H60" s="17"/>
      <c r="I60" s="249"/>
      <c r="J60" s="17"/>
      <c r="K60" s="17"/>
      <c r="L60" s="17"/>
      <c r="M60" s="17"/>
      <c r="N60" s="17"/>
      <c r="O60" s="251"/>
      <c r="Q60" s="5"/>
      <c r="R60" s="5"/>
      <c r="S60" s="5"/>
    </row>
    <row r="61" spans="2:27">
      <c r="B61" s="5"/>
      <c r="C61" s="5"/>
      <c r="D61" s="5"/>
      <c r="E61" s="5"/>
      <c r="F61" s="5"/>
      <c r="G61" s="5"/>
      <c r="H61" s="5"/>
      <c r="I61" s="5"/>
      <c r="J61" s="5"/>
      <c r="K61" s="5"/>
      <c r="L61" s="5"/>
      <c r="M61" s="5"/>
      <c r="N61" s="5"/>
      <c r="O61" s="5"/>
      <c r="Q61" s="41"/>
      <c r="R61" s="5"/>
      <c r="S61" s="5"/>
    </row>
    <row r="62" spans="2:27">
      <c r="B62" s="41"/>
      <c r="C62" s="249"/>
      <c r="D62" s="249"/>
      <c r="E62" s="249"/>
      <c r="F62" s="249"/>
      <c r="G62" s="249"/>
      <c r="H62" s="249"/>
      <c r="I62" s="5"/>
      <c r="J62" s="249"/>
      <c r="K62" s="249"/>
      <c r="L62" s="249"/>
      <c r="M62" s="249"/>
      <c r="N62" s="249"/>
      <c r="O62" s="251"/>
      <c r="Q62" s="5"/>
      <c r="R62" s="5"/>
      <c r="S62" s="5"/>
    </row>
    <row r="63" spans="2:27">
      <c r="B63" s="5"/>
      <c r="C63" s="5"/>
      <c r="D63" s="5"/>
      <c r="E63" s="5"/>
      <c r="F63" s="5"/>
      <c r="G63" s="5"/>
      <c r="H63" s="5"/>
      <c r="I63" s="254"/>
      <c r="J63" s="5"/>
      <c r="K63" s="5"/>
      <c r="L63" s="5"/>
      <c r="M63" s="5"/>
      <c r="N63" s="5"/>
      <c r="O63" s="5"/>
      <c r="Q63" s="5"/>
      <c r="R63" s="5"/>
      <c r="S63" s="5"/>
    </row>
    <row r="64" spans="2:27">
      <c r="B64" s="5"/>
      <c r="C64" s="5"/>
      <c r="D64" s="5"/>
      <c r="E64" s="5"/>
      <c r="F64" s="5"/>
      <c r="G64" s="5"/>
      <c r="H64" s="5"/>
      <c r="I64" s="17"/>
      <c r="J64" s="5"/>
      <c r="K64" s="5"/>
      <c r="L64" s="5"/>
      <c r="M64" s="5"/>
      <c r="N64" s="5"/>
      <c r="O64" s="5"/>
      <c r="Q64" s="5"/>
      <c r="R64" s="5"/>
      <c r="S64" s="5"/>
    </row>
    <row r="65" spans="2:26">
      <c r="B65" s="41"/>
      <c r="C65" s="249"/>
      <c r="D65" s="254"/>
      <c r="E65" s="254"/>
      <c r="F65" s="254"/>
      <c r="G65" s="254"/>
      <c r="H65" s="254"/>
      <c r="I65" s="254"/>
      <c r="J65" s="254"/>
      <c r="K65" s="254"/>
      <c r="L65" s="254"/>
      <c r="M65" s="254"/>
      <c r="N65" s="254"/>
      <c r="O65" s="251"/>
      <c r="Q65" s="5"/>
      <c r="R65" s="5"/>
      <c r="S65" s="5"/>
    </row>
    <row r="66" spans="2:26">
      <c r="B66" s="5"/>
      <c r="C66" s="5"/>
      <c r="D66" s="17"/>
      <c r="E66" s="17"/>
      <c r="F66" s="17"/>
      <c r="G66" s="17"/>
      <c r="H66" s="17"/>
      <c r="I66" s="248"/>
      <c r="J66" s="17"/>
      <c r="K66" s="17"/>
      <c r="L66" s="17"/>
      <c r="M66" s="17"/>
      <c r="N66" s="17"/>
      <c r="O66" s="5"/>
      <c r="Q66" s="5"/>
      <c r="R66" s="5"/>
      <c r="S66" s="5"/>
    </row>
    <row r="67" spans="2:26">
      <c r="B67" s="41"/>
      <c r="C67" s="249"/>
      <c r="D67" s="254"/>
      <c r="E67" s="254"/>
      <c r="F67" s="254"/>
      <c r="G67" s="254"/>
      <c r="H67" s="254"/>
      <c r="I67" s="5"/>
      <c r="J67" s="254"/>
      <c r="K67" s="254"/>
      <c r="L67" s="254"/>
      <c r="M67" s="254"/>
      <c r="N67" s="254"/>
      <c r="O67" s="251"/>
      <c r="Q67" s="41"/>
      <c r="R67" s="5"/>
      <c r="S67" s="5"/>
    </row>
    <row r="68" spans="2:26">
      <c r="B68" s="5"/>
      <c r="C68" s="5"/>
      <c r="D68" s="248"/>
      <c r="E68" s="248"/>
      <c r="F68" s="248"/>
      <c r="G68" s="248"/>
      <c r="H68" s="248"/>
      <c r="I68" s="245"/>
      <c r="J68" s="248"/>
      <c r="K68" s="248"/>
      <c r="L68" s="248"/>
      <c r="M68" s="248"/>
      <c r="N68" s="248"/>
      <c r="O68" s="5"/>
      <c r="Q68" s="5"/>
      <c r="R68" s="5"/>
      <c r="S68" s="5"/>
    </row>
    <row r="69" spans="2:26">
      <c r="B69" s="41"/>
      <c r="C69" s="5"/>
      <c r="D69" s="5"/>
      <c r="E69" s="5"/>
      <c r="F69" s="5"/>
      <c r="G69" s="5"/>
      <c r="H69" s="5"/>
      <c r="I69" s="248"/>
      <c r="J69" s="5"/>
      <c r="K69" s="5"/>
      <c r="L69" s="5"/>
      <c r="M69" s="5"/>
      <c r="N69" s="5"/>
      <c r="O69" s="5"/>
      <c r="Q69" s="5"/>
      <c r="R69" s="5"/>
      <c r="S69" s="5"/>
    </row>
    <row r="70" spans="2:26">
      <c r="B70" s="41"/>
      <c r="C70" s="245"/>
      <c r="D70" s="245"/>
      <c r="E70" s="245"/>
      <c r="F70" s="245"/>
      <c r="G70" s="245"/>
      <c r="H70" s="245"/>
      <c r="I70" s="5"/>
      <c r="J70" s="245"/>
      <c r="K70" s="245"/>
      <c r="L70" s="245"/>
      <c r="M70" s="245"/>
      <c r="N70" s="245"/>
      <c r="O70" s="251"/>
      <c r="Q70" s="5"/>
      <c r="R70" s="5"/>
      <c r="S70" s="5"/>
      <c r="W70" s="76"/>
      <c r="X70" s="76"/>
    </row>
    <row r="71" spans="2:26">
      <c r="B71" s="5"/>
      <c r="C71" s="5"/>
      <c r="D71" s="248"/>
      <c r="E71" s="248"/>
      <c r="F71" s="248"/>
      <c r="G71" s="248"/>
      <c r="H71" s="248"/>
      <c r="I71" s="245"/>
      <c r="J71" s="248"/>
      <c r="K71" s="248"/>
      <c r="L71" s="248"/>
      <c r="M71" s="248"/>
      <c r="N71" s="248"/>
      <c r="O71" s="5"/>
      <c r="Q71" s="5"/>
      <c r="R71" s="5"/>
      <c r="S71" s="5"/>
      <c r="W71" s="76"/>
      <c r="X71" s="76"/>
      <c r="Y71" s="76"/>
      <c r="Z71" s="76"/>
    </row>
    <row r="72" spans="2:26">
      <c r="B72" s="41"/>
      <c r="C72" s="5"/>
      <c r="D72" s="5"/>
      <c r="E72" s="5"/>
      <c r="F72" s="5"/>
      <c r="G72" s="5"/>
      <c r="H72" s="5"/>
      <c r="I72" s="18"/>
      <c r="J72" s="5"/>
      <c r="K72" s="5"/>
      <c r="L72" s="5"/>
      <c r="M72" s="5"/>
      <c r="N72" s="5"/>
      <c r="O72" s="5"/>
      <c r="Q72" s="5"/>
      <c r="R72" s="5"/>
      <c r="S72" s="5"/>
      <c r="Y72" s="76"/>
      <c r="Z72" s="76"/>
    </row>
    <row r="73" spans="2:26">
      <c r="B73" s="41"/>
      <c r="C73" s="245"/>
      <c r="D73" s="245"/>
      <c r="E73" s="245"/>
      <c r="F73" s="245"/>
      <c r="G73" s="245"/>
      <c r="H73" s="245"/>
      <c r="I73" s="5"/>
      <c r="J73" s="245"/>
      <c r="K73" s="245"/>
      <c r="L73" s="245"/>
      <c r="M73" s="245"/>
      <c r="N73" s="245"/>
      <c r="O73" s="251"/>
      <c r="Q73" s="5"/>
      <c r="R73" s="5"/>
      <c r="S73" s="5"/>
    </row>
    <row r="74" spans="2:26">
      <c r="B74" s="5"/>
      <c r="C74" s="5"/>
      <c r="D74" s="18"/>
      <c r="E74" s="18"/>
      <c r="F74" s="18"/>
      <c r="G74" s="18"/>
      <c r="H74" s="18"/>
      <c r="I74" s="249"/>
      <c r="J74" s="18"/>
      <c r="K74" s="18"/>
      <c r="L74" s="18"/>
      <c r="M74" s="18"/>
      <c r="N74" s="18"/>
      <c r="O74" s="5"/>
      <c r="Q74" s="5"/>
      <c r="R74" s="5"/>
      <c r="S74" s="5"/>
    </row>
    <row r="75" spans="2:26">
      <c r="B75" s="41"/>
      <c r="C75" s="5"/>
      <c r="D75" s="5"/>
      <c r="E75" s="5"/>
      <c r="F75" s="5"/>
      <c r="G75" s="5"/>
      <c r="H75" s="5"/>
      <c r="I75" s="248"/>
      <c r="J75" s="5"/>
      <c r="K75" s="5"/>
      <c r="L75" s="5"/>
      <c r="M75" s="5"/>
      <c r="N75" s="5"/>
      <c r="O75" s="5"/>
      <c r="Q75" s="5"/>
      <c r="R75" s="5"/>
      <c r="S75" s="5"/>
    </row>
    <row r="76" spans="2:26">
      <c r="B76" s="41"/>
      <c r="C76" s="249"/>
      <c r="D76" s="249"/>
      <c r="E76" s="249"/>
      <c r="F76" s="249"/>
      <c r="G76" s="249"/>
      <c r="H76" s="249"/>
      <c r="I76" s="5"/>
      <c r="J76" s="249"/>
      <c r="K76" s="249"/>
      <c r="L76" s="249"/>
      <c r="M76" s="249"/>
      <c r="N76" s="249"/>
      <c r="O76" s="251"/>
      <c r="Q76" s="5"/>
      <c r="R76" s="5"/>
      <c r="S76" s="5"/>
    </row>
    <row r="77" spans="2:26">
      <c r="B77" s="5"/>
      <c r="C77" s="5"/>
      <c r="D77" s="248"/>
      <c r="E77" s="248"/>
      <c r="F77" s="248"/>
      <c r="G77" s="248"/>
      <c r="H77" s="248"/>
      <c r="I77" s="245"/>
      <c r="J77" s="248"/>
      <c r="K77" s="248"/>
      <c r="L77" s="248"/>
      <c r="M77" s="248"/>
      <c r="N77" s="248"/>
      <c r="O77" s="5"/>
      <c r="Q77" s="5"/>
      <c r="R77" s="5"/>
      <c r="S77" s="5"/>
    </row>
    <row r="78" spans="2:26">
      <c r="B78" s="41"/>
      <c r="C78" s="5"/>
      <c r="D78" s="5"/>
      <c r="E78" s="5"/>
      <c r="F78" s="5"/>
      <c r="G78" s="5"/>
      <c r="H78" s="5"/>
      <c r="I78" s="248"/>
      <c r="J78" s="5"/>
      <c r="K78" s="5"/>
      <c r="L78" s="5"/>
      <c r="M78" s="5"/>
      <c r="N78" s="5"/>
      <c r="O78" s="5"/>
      <c r="Q78" s="5"/>
      <c r="R78" s="5"/>
      <c r="S78" s="5"/>
    </row>
    <row r="79" spans="2:26">
      <c r="B79" s="41"/>
      <c r="C79" s="245"/>
      <c r="D79" s="245"/>
      <c r="E79" s="245"/>
      <c r="F79" s="245"/>
      <c r="G79" s="245"/>
      <c r="H79" s="245"/>
      <c r="I79" s="5"/>
      <c r="J79" s="245"/>
      <c r="K79" s="245"/>
      <c r="L79" s="245"/>
      <c r="M79" s="245"/>
      <c r="N79" s="245"/>
      <c r="O79" s="251"/>
      <c r="Q79" s="5"/>
      <c r="R79" s="5"/>
      <c r="S79" s="5"/>
    </row>
    <row r="80" spans="2:26">
      <c r="B80" s="5"/>
      <c r="C80" s="5"/>
      <c r="D80" s="248"/>
      <c r="E80" s="248"/>
      <c r="F80" s="248"/>
      <c r="G80" s="248"/>
      <c r="H80" s="248"/>
      <c r="I80" s="249"/>
      <c r="J80" s="248"/>
      <c r="K80" s="248"/>
      <c r="L80" s="248"/>
      <c r="M80" s="248"/>
      <c r="N80" s="248"/>
      <c r="O80" s="5"/>
      <c r="Q80" s="5"/>
      <c r="R80" s="5"/>
      <c r="S80" s="5"/>
    </row>
    <row r="81" spans="2:26">
      <c r="B81" s="41"/>
      <c r="C81" s="5"/>
      <c r="D81" s="5"/>
      <c r="E81" s="5"/>
      <c r="F81" s="5"/>
      <c r="G81" s="5"/>
      <c r="H81" s="5"/>
      <c r="I81" s="248"/>
      <c r="J81" s="5"/>
      <c r="K81" s="5"/>
      <c r="L81" s="5"/>
      <c r="M81" s="5"/>
      <c r="N81" s="5"/>
      <c r="O81" s="5"/>
      <c r="Q81" s="5"/>
      <c r="R81" s="5"/>
      <c r="S81" s="5"/>
    </row>
    <row r="82" spans="2:26">
      <c r="B82" s="41"/>
      <c r="C82" s="249"/>
      <c r="D82" s="249"/>
      <c r="E82" s="249"/>
      <c r="F82" s="249"/>
      <c r="G82" s="249"/>
      <c r="H82" s="249"/>
      <c r="I82" s="259"/>
      <c r="J82" s="249"/>
      <c r="K82" s="249"/>
      <c r="L82" s="249"/>
      <c r="M82" s="249"/>
      <c r="N82" s="249"/>
      <c r="O82" s="251"/>
      <c r="Q82" s="5"/>
      <c r="R82" s="5"/>
      <c r="S82" s="5"/>
    </row>
    <row r="83" spans="2:26">
      <c r="B83" s="5"/>
      <c r="C83" s="5"/>
      <c r="D83" s="248"/>
      <c r="E83" s="248"/>
      <c r="F83" s="248"/>
      <c r="G83" s="248"/>
      <c r="H83" s="248"/>
      <c r="I83" s="5"/>
      <c r="J83" s="248"/>
      <c r="K83" s="248"/>
      <c r="L83" s="248"/>
      <c r="M83" s="248"/>
      <c r="N83" s="248"/>
      <c r="O83" s="5"/>
      <c r="Q83" s="5"/>
      <c r="R83" s="5"/>
      <c r="S83" s="5"/>
    </row>
    <row r="84" spans="2:26">
      <c r="B84" s="5"/>
      <c r="C84" s="259"/>
      <c r="D84" s="259"/>
      <c r="E84" s="259"/>
      <c r="F84" s="259"/>
      <c r="G84" s="259"/>
      <c r="H84" s="259"/>
      <c r="I84" s="245"/>
      <c r="J84" s="259"/>
      <c r="K84" s="259"/>
      <c r="L84" s="259"/>
      <c r="M84" s="259"/>
      <c r="N84" s="259"/>
      <c r="O84" s="251"/>
      <c r="Q84" s="5"/>
      <c r="R84" s="5"/>
      <c r="S84" s="5"/>
    </row>
    <row r="85" spans="2:26">
      <c r="B85" s="41"/>
      <c r="C85" s="5"/>
      <c r="D85" s="5"/>
      <c r="E85" s="5"/>
      <c r="F85" s="5"/>
      <c r="G85" s="5"/>
      <c r="H85" s="5"/>
      <c r="I85" s="248"/>
      <c r="J85" s="5"/>
      <c r="K85" s="5"/>
      <c r="L85" s="5"/>
      <c r="M85" s="5"/>
      <c r="N85" s="5"/>
      <c r="O85" s="5"/>
      <c r="Q85" s="5"/>
      <c r="R85" s="5"/>
      <c r="S85" s="5"/>
    </row>
    <row r="86" spans="2:26">
      <c r="B86" s="41"/>
      <c r="C86" s="245"/>
      <c r="D86" s="245"/>
      <c r="E86" s="245"/>
      <c r="F86" s="245"/>
      <c r="G86" s="245"/>
      <c r="H86" s="245"/>
      <c r="I86" s="5"/>
      <c r="J86" s="245"/>
      <c r="K86" s="245"/>
      <c r="L86" s="245"/>
      <c r="M86" s="245"/>
      <c r="N86" s="245"/>
      <c r="O86" s="251"/>
      <c r="Q86" s="5"/>
      <c r="R86" s="5"/>
      <c r="S86" s="5"/>
    </row>
    <row r="87" spans="2:26">
      <c r="B87" s="5"/>
      <c r="C87" s="5"/>
      <c r="D87" s="248"/>
      <c r="E87" s="248"/>
      <c r="F87" s="248"/>
      <c r="G87" s="248"/>
      <c r="H87" s="248"/>
      <c r="I87" s="5"/>
      <c r="J87" s="248"/>
      <c r="K87" s="248"/>
      <c r="L87" s="248"/>
      <c r="M87" s="248"/>
      <c r="N87" s="248"/>
      <c r="O87" s="5"/>
      <c r="Q87" s="5"/>
      <c r="R87" s="5"/>
      <c r="S87" s="5"/>
    </row>
    <row r="88" spans="2:26">
      <c r="B88" s="41"/>
      <c r="C88" s="5"/>
      <c r="D88" s="5"/>
      <c r="E88" s="5"/>
      <c r="F88" s="5"/>
      <c r="G88" s="5"/>
      <c r="H88" s="5"/>
      <c r="I88" s="5"/>
      <c r="J88" s="5"/>
      <c r="K88" s="5"/>
      <c r="L88" s="5"/>
      <c r="M88" s="5"/>
      <c r="N88" s="5"/>
      <c r="O88" s="5"/>
      <c r="Q88" s="5"/>
      <c r="R88" s="5"/>
      <c r="S88" s="5"/>
    </row>
    <row r="89" spans="2:26">
      <c r="B89" s="41"/>
      <c r="C89" s="5"/>
      <c r="D89" s="5"/>
      <c r="E89" s="5"/>
      <c r="F89" s="5"/>
      <c r="G89" s="5"/>
      <c r="H89" s="5"/>
      <c r="I89" s="5"/>
      <c r="J89" s="5"/>
      <c r="K89" s="5"/>
      <c r="L89" s="5"/>
      <c r="M89" s="5"/>
      <c r="N89" s="5"/>
      <c r="O89" s="5"/>
      <c r="Q89" s="5"/>
      <c r="R89" s="5"/>
      <c r="S89" s="5"/>
    </row>
    <row r="90" spans="2:26">
      <c r="B90" s="41"/>
      <c r="C90" s="5"/>
      <c r="D90" s="5"/>
      <c r="E90" s="5"/>
      <c r="F90" s="5"/>
      <c r="G90" s="5"/>
      <c r="H90" s="5"/>
      <c r="I90" s="49"/>
      <c r="J90" s="5"/>
      <c r="K90" s="5"/>
      <c r="L90" s="5"/>
      <c r="M90" s="5"/>
      <c r="N90" s="5"/>
      <c r="O90" s="5"/>
      <c r="Q90" s="41"/>
      <c r="R90" s="5"/>
      <c r="S90" s="5"/>
    </row>
    <row r="91" spans="2:26">
      <c r="B91" s="5"/>
      <c r="C91" s="5"/>
      <c r="D91" s="5"/>
      <c r="E91" s="5"/>
      <c r="F91" s="5"/>
      <c r="G91" s="5"/>
      <c r="H91" s="5"/>
      <c r="I91" s="5"/>
      <c r="J91" s="5"/>
      <c r="K91" s="5"/>
      <c r="L91" s="5"/>
      <c r="M91" s="5"/>
      <c r="N91" s="5"/>
      <c r="O91" s="5"/>
      <c r="Q91" s="5"/>
      <c r="R91" s="5"/>
      <c r="S91" s="5"/>
    </row>
    <row r="92" spans="2:26">
      <c r="B92" s="41"/>
      <c r="C92" s="49"/>
      <c r="D92" s="49"/>
      <c r="E92" s="49"/>
      <c r="F92" s="49"/>
      <c r="G92" s="49"/>
      <c r="H92" s="49"/>
      <c r="I92" s="247"/>
      <c r="J92" s="49"/>
      <c r="K92" s="49"/>
      <c r="L92" s="49"/>
      <c r="M92" s="49"/>
      <c r="N92" s="49"/>
      <c r="O92" s="49"/>
      <c r="Q92" s="5"/>
      <c r="R92" s="5"/>
      <c r="S92" s="5"/>
      <c r="W92" s="21"/>
      <c r="X92" s="21"/>
    </row>
    <row r="93" spans="2:26">
      <c r="B93" s="5"/>
      <c r="C93" s="5"/>
      <c r="D93" s="5"/>
      <c r="E93" s="5"/>
      <c r="F93" s="5"/>
      <c r="G93" s="5"/>
      <c r="H93" s="5"/>
      <c r="I93" s="247"/>
      <c r="J93" s="5"/>
      <c r="K93" s="5"/>
      <c r="L93" s="5"/>
      <c r="M93" s="5"/>
      <c r="N93" s="5"/>
      <c r="O93" s="5"/>
      <c r="Q93" s="5"/>
      <c r="R93" s="5"/>
      <c r="S93" s="5"/>
      <c r="W93" s="21"/>
      <c r="X93" s="21"/>
      <c r="Y93" s="21"/>
      <c r="Z93" s="21"/>
    </row>
    <row r="94" spans="2:26">
      <c r="B94" s="5"/>
      <c r="C94" s="259"/>
      <c r="D94" s="247"/>
      <c r="E94" s="247"/>
      <c r="F94" s="247"/>
      <c r="G94" s="247"/>
      <c r="H94" s="247"/>
      <c r="I94" s="247"/>
      <c r="J94" s="247"/>
      <c r="K94" s="247"/>
      <c r="L94" s="247"/>
      <c r="M94" s="247"/>
      <c r="N94" s="247"/>
      <c r="O94" s="248"/>
      <c r="Q94" s="5"/>
      <c r="R94" s="5"/>
      <c r="S94" s="5"/>
      <c r="Y94" s="21"/>
      <c r="Z94" s="21"/>
    </row>
    <row r="95" spans="2:26">
      <c r="B95" s="5"/>
      <c r="C95" s="259"/>
      <c r="D95" s="247"/>
      <c r="E95" s="247"/>
      <c r="F95" s="247"/>
      <c r="G95" s="247"/>
      <c r="H95" s="247"/>
      <c r="I95" s="248"/>
      <c r="J95" s="247"/>
      <c r="K95" s="247"/>
      <c r="L95" s="247"/>
      <c r="M95" s="247"/>
      <c r="N95" s="247"/>
      <c r="O95" s="248"/>
      <c r="Q95" s="5"/>
      <c r="R95" s="5"/>
      <c r="S95" s="5"/>
    </row>
    <row r="96" spans="2:26">
      <c r="B96" s="5"/>
      <c r="C96" s="259"/>
      <c r="D96" s="247"/>
      <c r="E96" s="247"/>
      <c r="F96" s="247"/>
      <c r="G96" s="247"/>
      <c r="H96" s="247"/>
      <c r="I96" s="247"/>
      <c r="J96" s="247"/>
      <c r="K96" s="247"/>
      <c r="L96" s="247"/>
      <c r="M96" s="247"/>
      <c r="N96" s="247"/>
      <c r="O96" s="248"/>
      <c r="Q96" s="5"/>
      <c r="R96" s="5"/>
      <c r="S96" s="5"/>
    </row>
    <row r="97" spans="2:19">
      <c r="B97" s="5"/>
      <c r="C97" s="259"/>
      <c r="D97" s="248"/>
      <c r="E97" s="248"/>
      <c r="F97" s="248"/>
      <c r="G97" s="248"/>
      <c r="H97" s="248"/>
      <c r="I97" s="249"/>
      <c r="J97" s="248"/>
      <c r="K97" s="248"/>
      <c r="L97" s="248"/>
      <c r="M97" s="248"/>
      <c r="N97" s="248"/>
      <c r="O97" s="248"/>
      <c r="Q97" s="5"/>
      <c r="R97" s="5"/>
      <c r="S97" s="5"/>
    </row>
    <row r="98" spans="2:19">
      <c r="B98" s="5"/>
      <c r="C98" s="259"/>
      <c r="D98" s="247"/>
      <c r="E98" s="247"/>
      <c r="F98" s="247"/>
      <c r="G98" s="247"/>
      <c r="H98" s="247"/>
      <c r="I98" s="248"/>
      <c r="J98" s="247"/>
      <c r="K98" s="247"/>
      <c r="L98" s="247"/>
      <c r="M98" s="247"/>
      <c r="N98" s="247"/>
      <c r="O98" s="248"/>
      <c r="Q98" s="5"/>
      <c r="R98" s="5"/>
      <c r="S98" s="5"/>
    </row>
    <row r="99" spans="2:19">
      <c r="B99" s="41"/>
      <c r="C99" s="249"/>
      <c r="D99" s="249"/>
      <c r="E99" s="249"/>
      <c r="F99" s="249"/>
      <c r="G99" s="249"/>
      <c r="H99" s="249"/>
      <c r="I99" s="5"/>
      <c r="J99" s="249"/>
      <c r="K99" s="249"/>
      <c r="L99" s="249"/>
      <c r="M99" s="249"/>
      <c r="N99" s="249"/>
      <c r="O99" s="248"/>
      <c r="Q99" s="5"/>
      <c r="R99" s="5"/>
      <c r="S99" s="5"/>
    </row>
    <row r="100" spans="2:19">
      <c r="B100" s="41"/>
      <c r="C100" s="257"/>
      <c r="D100" s="248"/>
      <c r="E100" s="248"/>
      <c r="F100" s="248"/>
      <c r="G100" s="248"/>
      <c r="H100" s="248"/>
      <c r="I100" s="259"/>
      <c r="J100" s="248"/>
      <c r="K100" s="248"/>
      <c r="L100" s="248"/>
      <c r="M100" s="248"/>
      <c r="N100" s="248"/>
      <c r="O100" s="248"/>
      <c r="Q100" s="5"/>
      <c r="R100" s="5"/>
      <c r="S100" s="5"/>
    </row>
    <row r="101" spans="2:19" s="5" customFormat="1">
      <c r="B101" s="41"/>
      <c r="I101" s="259"/>
      <c r="O101" s="248"/>
      <c r="P101" s="39"/>
    </row>
    <row r="102" spans="2:19">
      <c r="B102" s="5"/>
      <c r="C102" s="259"/>
      <c r="D102" s="259"/>
      <c r="E102" s="259"/>
      <c r="F102" s="259"/>
      <c r="G102" s="259"/>
      <c r="H102" s="259"/>
      <c r="I102" s="247"/>
      <c r="J102" s="259"/>
      <c r="K102" s="259"/>
      <c r="L102" s="259"/>
      <c r="M102" s="259"/>
      <c r="N102" s="259"/>
      <c r="O102" s="5"/>
      <c r="Q102" s="5"/>
      <c r="R102" s="5"/>
      <c r="S102" s="5"/>
    </row>
    <row r="103" spans="2:19">
      <c r="B103" s="5"/>
      <c r="C103" s="259"/>
      <c r="D103" s="259"/>
      <c r="E103" s="259"/>
      <c r="F103" s="259"/>
      <c r="G103" s="259"/>
      <c r="H103" s="259"/>
      <c r="I103" s="5"/>
      <c r="J103" s="259"/>
      <c r="K103" s="259"/>
      <c r="L103" s="259"/>
      <c r="M103" s="259"/>
      <c r="N103" s="259"/>
      <c r="O103" s="5"/>
      <c r="P103" s="5"/>
      <c r="Q103" s="5"/>
      <c r="R103" s="5"/>
      <c r="S103" s="5"/>
    </row>
    <row r="104" spans="2:19">
      <c r="B104" s="5"/>
      <c r="C104" s="247"/>
      <c r="D104" s="247"/>
      <c r="E104" s="247"/>
      <c r="F104" s="247"/>
      <c r="G104" s="247"/>
      <c r="H104" s="247"/>
      <c r="I104" s="247"/>
      <c r="J104" s="247"/>
      <c r="K104" s="247"/>
      <c r="L104" s="247"/>
      <c r="M104" s="247"/>
      <c r="N104" s="247"/>
      <c r="O104" s="5"/>
      <c r="Q104" s="5"/>
      <c r="R104" s="5"/>
      <c r="S104" s="5"/>
    </row>
    <row r="105" spans="2:19" s="5" customFormat="1">
      <c r="P105" s="39"/>
    </row>
    <row r="106" spans="2:19" s="5" customFormat="1">
      <c r="C106" s="259"/>
      <c r="D106" s="247"/>
      <c r="E106" s="247"/>
      <c r="F106" s="247"/>
      <c r="G106" s="247"/>
      <c r="H106" s="247"/>
      <c r="I106" s="259"/>
      <c r="J106" s="247"/>
      <c r="K106" s="247"/>
      <c r="L106" s="247"/>
      <c r="M106" s="247"/>
      <c r="N106" s="247"/>
      <c r="P106" s="39"/>
    </row>
    <row r="107" spans="2:19">
      <c r="B107" s="5"/>
      <c r="C107" s="259"/>
      <c r="D107" s="5"/>
      <c r="E107" s="5"/>
      <c r="F107" s="5"/>
      <c r="G107" s="5"/>
      <c r="H107" s="5"/>
      <c r="I107" s="247"/>
      <c r="J107" s="5"/>
      <c r="K107" s="5"/>
      <c r="L107" s="5"/>
      <c r="M107" s="5"/>
      <c r="N107" s="5"/>
      <c r="O107" s="5"/>
      <c r="P107" s="5"/>
      <c r="Q107" s="5"/>
      <c r="R107" s="5"/>
      <c r="S107" s="5"/>
    </row>
    <row r="108" spans="2:19">
      <c r="B108" s="5"/>
      <c r="C108" s="259"/>
      <c r="D108" s="259"/>
      <c r="E108" s="259"/>
      <c r="F108" s="259"/>
      <c r="G108" s="259"/>
      <c r="H108" s="259"/>
      <c r="I108" s="249"/>
      <c r="J108" s="259"/>
      <c r="K108" s="259"/>
      <c r="L108" s="259"/>
      <c r="M108" s="259"/>
      <c r="N108" s="259"/>
      <c r="O108" s="5"/>
      <c r="P108" s="5"/>
      <c r="Q108" s="5"/>
      <c r="R108" s="5"/>
      <c r="S108" s="5"/>
    </row>
    <row r="109" spans="2:19">
      <c r="B109" s="5"/>
      <c r="C109" s="247"/>
      <c r="D109" s="247"/>
      <c r="E109" s="247"/>
      <c r="F109" s="247"/>
      <c r="G109" s="247"/>
      <c r="H109" s="247"/>
      <c r="I109" s="249"/>
      <c r="J109" s="247"/>
      <c r="K109" s="247"/>
      <c r="L109" s="247"/>
      <c r="M109" s="247"/>
      <c r="N109" s="247"/>
      <c r="O109" s="5"/>
      <c r="Q109" s="5"/>
      <c r="R109" s="5"/>
      <c r="S109" s="5"/>
    </row>
    <row r="110" spans="2:19">
      <c r="B110" s="41"/>
      <c r="C110" s="249"/>
      <c r="D110" s="249"/>
      <c r="E110" s="249"/>
      <c r="F110" s="249"/>
      <c r="G110" s="249"/>
      <c r="H110" s="249"/>
      <c r="I110" s="247"/>
      <c r="J110" s="249"/>
      <c r="K110" s="249"/>
      <c r="L110" s="249"/>
      <c r="M110" s="249"/>
      <c r="N110" s="249"/>
      <c r="O110" s="5"/>
      <c r="Q110" s="5"/>
      <c r="R110" s="5"/>
      <c r="S110" s="5"/>
    </row>
    <row r="111" spans="2:19">
      <c r="B111" s="5"/>
      <c r="C111" s="249"/>
      <c r="D111" s="249"/>
      <c r="E111" s="249"/>
      <c r="F111" s="249"/>
      <c r="G111" s="249"/>
      <c r="H111" s="249"/>
      <c r="I111" s="5"/>
      <c r="J111" s="249"/>
      <c r="K111" s="249"/>
      <c r="L111" s="249"/>
      <c r="M111" s="249"/>
      <c r="N111" s="249"/>
      <c r="O111" s="5"/>
      <c r="Q111" s="5"/>
      <c r="R111" s="5"/>
      <c r="S111" s="5"/>
    </row>
    <row r="112" spans="2:19">
      <c r="B112" s="5"/>
      <c r="C112" s="247"/>
      <c r="D112" s="247"/>
      <c r="E112" s="247"/>
      <c r="F112" s="247"/>
      <c r="G112" s="247"/>
      <c r="H112" s="247"/>
      <c r="I112" s="5"/>
      <c r="J112" s="247"/>
      <c r="K112" s="247"/>
      <c r="L112" s="247"/>
      <c r="M112" s="247"/>
      <c r="N112" s="247"/>
      <c r="O112" s="5"/>
      <c r="Q112" s="5"/>
      <c r="R112" s="5"/>
      <c r="S112" s="5"/>
    </row>
    <row r="113" spans="2:19">
      <c r="B113" s="5"/>
      <c r="C113" s="5"/>
      <c r="D113" s="5"/>
      <c r="E113" s="5"/>
      <c r="F113" s="5"/>
      <c r="G113" s="5"/>
      <c r="H113" s="5"/>
      <c r="I113" s="5"/>
      <c r="J113" s="5"/>
      <c r="K113" s="5"/>
      <c r="L113" s="5"/>
      <c r="M113" s="5"/>
      <c r="N113" s="5"/>
      <c r="O113" s="5"/>
      <c r="Q113" s="5"/>
      <c r="R113" s="5"/>
      <c r="S113" s="5"/>
    </row>
    <row r="114" spans="2:19">
      <c r="B114" s="5"/>
      <c r="C114" s="5"/>
      <c r="D114" s="5"/>
      <c r="E114" s="5"/>
      <c r="F114" s="5"/>
      <c r="G114" s="5"/>
      <c r="H114" s="5"/>
      <c r="I114" s="5"/>
      <c r="J114" s="5"/>
      <c r="K114" s="5"/>
      <c r="L114" s="5"/>
      <c r="M114" s="5"/>
      <c r="N114" s="5"/>
      <c r="O114" s="5"/>
      <c r="Q114" s="5"/>
      <c r="R114" s="5"/>
      <c r="S114" s="5"/>
    </row>
    <row r="115" spans="2:19">
      <c r="B115" s="5"/>
      <c r="C115" s="5"/>
      <c r="D115" s="5"/>
      <c r="E115" s="5"/>
      <c r="F115" s="5"/>
      <c r="G115" s="5"/>
      <c r="H115" s="5"/>
      <c r="I115" s="49"/>
      <c r="J115" s="5"/>
      <c r="K115" s="5"/>
      <c r="L115" s="5"/>
      <c r="M115" s="5"/>
      <c r="N115" s="5"/>
      <c r="O115" s="5"/>
      <c r="Q115" s="41"/>
      <c r="R115" s="5"/>
      <c r="S115" s="5"/>
    </row>
    <row r="116" spans="2:19">
      <c r="B116" s="5"/>
      <c r="C116" s="5"/>
      <c r="D116" s="5"/>
      <c r="E116" s="5"/>
      <c r="F116" s="5"/>
      <c r="G116" s="5"/>
      <c r="H116" s="5"/>
      <c r="I116" s="5"/>
      <c r="J116" s="5"/>
      <c r="K116" s="5"/>
      <c r="L116" s="5"/>
      <c r="M116" s="5"/>
      <c r="N116" s="5"/>
      <c r="O116" s="5"/>
      <c r="Q116" s="5"/>
      <c r="R116" s="5"/>
      <c r="S116" s="5"/>
    </row>
    <row r="117" spans="2:19">
      <c r="B117" s="41"/>
      <c r="C117" s="49"/>
      <c r="D117" s="49"/>
      <c r="E117" s="49"/>
      <c r="F117" s="49"/>
      <c r="G117" s="49"/>
      <c r="H117" s="49"/>
      <c r="I117" s="254"/>
      <c r="J117" s="49"/>
      <c r="K117" s="49"/>
      <c r="L117" s="49"/>
      <c r="M117" s="49"/>
      <c r="N117" s="49"/>
      <c r="O117" s="49"/>
      <c r="Q117" s="5"/>
      <c r="R117" s="5"/>
      <c r="S117" s="5"/>
    </row>
    <row r="118" spans="2:19">
      <c r="B118" s="5"/>
      <c r="C118" s="5"/>
      <c r="D118" s="5"/>
      <c r="E118" s="5"/>
      <c r="F118" s="5"/>
      <c r="G118" s="5"/>
      <c r="H118" s="5"/>
      <c r="I118" s="249"/>
      <c r="J118" s="5"/>
      <c r="K118" s="5"/>
      <c r="L118" s="5"/>
      <c r="M118" s="5"/>
      <c r="N118" s="5"/>
      <c r="O118" s="5"/>
      <c r="Q118" s="5"/>
      <c r="R118" s="5"/>
      <c r="S118" s="5"/>
    </row>
    <row r="119" spans="2:19">
      <c r="B119" s="41"/>
      <c r="C119" s="254"/>
      <c r="D119" s="254"/>
      <c r="E119" s="254"/>
      <c r="F119" s="254"/>
      <c r="G119" s="254"/>
      <c r="H119" s="254"/>
      <c r="I119" s="254"/>
      <c r="J119" s="254"/>
      <c r="K119" s="254"/>
      <c r="L119" s="254"/>
      <c r="M119" s="254"/>
      <c r="N119" s="254"/>
      <c r="O119" s="248"/>
      <c r="Q119" s="5"/>
      <c r="R119" s="5"/>
      <c r="S119" s="5"/>
    </row>
    <row r="120" spans="2:19">
      <c r="B120" s="41"/>
      <c r="C120" s="254"/>
      <c r="D120" s="249"/>
      <c r="E120" s="249"/>
      <c r="F120" s="249"/>
      <c r="G120" s="249"/>
      <c r="H120" s="249"/>
      <c r="I120" s="254"/>
      <c r="J120" s="249"/>
      <c r="K120" s="249"/>
      <c r="L120" s="249"/>
      <c r="M120" s="249"/>
      <c r="N120" s="249"/>
      <c r="O120" s="248"/>
      <c r="Q120" s="5"/>
      <c r="R120" s="5"/>
      <c r="S120" s="5"/>
    </row>
    <row r="121" spans="2:19">
      <c r="B121" s="41"/>
      <c r="C121" s="254"/>
      <c r="D121" s="254"/>
      <c r="E121" s="254"/>
      <c r="F121" s="254"/>
      <c r="G121" s="254"/>
      <c r="H121" s="254"/>
      <c r="I121" s="254"/>
      <c r="J121" s="254"/>
      <c r="K121" s="254"/>
      <c r="L121" s="254"/>
      <c r="M121" s="254"/>
      <c r="N121" s="254"/>
      <c r="O121" s="248"/>
      <c r="Q121" s="5"/>
      <c r="R121" s="5"/>
      <c r="S121" s="5"/>
    </row>
    <row r="122" spans="2:19">
      <c r="B122" s="41"/>
      <c r="C122" s="254"/>
      <c r="D122" s="254"/>
      <c r="E122" s="254"/>
      <c r="F122" s="254"/>
      <c r="G122" s="254"/>
      <c r="H122" s="254"/>
      <c r="I122" s="254"/>
      <c r="J122" s="254"/>
      <c r="K122" s="254"/>
      <c r="L122" s="254"/>
      <c r="M122" s="254"/>
      <c r="N122" s="254"/>
      <c r="O122" s="248"/>
      <c r="Q122" s="5"/>
      <c r="R122" s="5"/>
      <c r="S122" s="5"/>
    </row>
    <row r="123" spans="2:19">
      <c r="B123" s="41"/>
      <c r="C123" s="254"/>
      <c r="D123" s="254"/>
      <c r="E123" s="254"/>
      <c r="F123" s="254"/>
      <c r="G123" s="254"/>
      <c r="H123" s="254"/>
      <c r="I123" s="254"/>
      <c r="J123" s="254"/>
      <c r="K123" s="254"/>
      <c r="L123" s="254"/>
      <c r="M123" s="254"/>
      <c r="N123" s="254"/>
      <c r="O123" s="248"/>
      <c r="Q123" s="5"/>
      <c r="R123" s="5"/>
      <c r="S123" s="5"/>
    </row>
    <row r="124" spans="2:19">
      <c r="B124" s="41"/>
      <c r="C124" s="254"/>
      <c r="D124" s="254"/>
      <c r="E124" s="254"/>
      <c r="F124" s="254"/>
      <c r="G124" s="254"/>
      <c r="H124" s="254"/>
      <c r="I124" s="254"/>
      <c r="J124" s="254"/>
      <c r="K124" s="254"/>
      <c r="L124" s="254"/>
      <c r="M124" s="254"/>
      <c r="N124" s="254"/>
      <c r="O124" s="248"/>
      <c r="Q124" s="5"/>
      <c r="R124" s="5"/>
      <c r="S124" s="5"/>
    </row>
    <row r="125" spans="2:19">
      <c r="B125" s="41"/>
      <c r="C125" s="254"/>
      <c r="D125" s="254"/>
      <c r="E125" s="254"/>
      <c r="F125" s="254"/>
      <c r="G125" s="254"/>
      <c r="H125" s="254"/>
      <c r="I125" s="254"/>
      <c r="J125" s="254"/>
      <c r="K125" s="254"/>
      <c r="L125" s="254"/>
      <c r="M125" s="254"/>
      <c r="N125" s="254"/>
      <c r="O125" s="5"/>
      <c r="Q125" s="5"/>
      <c r="R125" s="5"/>
      <c r="S125" s="5"/>
    </row>
    <row r="126" spans="2:19">
      <c r="B126" s="41"/>
      <c r="C126" s="254"/>
      <c r="D126" s="254"/>
      <c r="E126" s="254"/>
      <c r="F126" s="254"/>
      <c r="G126" s="254"/>
      <c r="H126" s="254"/>
      <c r="I126" s="254"/>
      <c r="J126" s="254"/>
      <c r="K126" s="254"/>
      <c r="L126" s="254"/>
      <c r="M126" s="254"/>
      <c r="N126" s="254"/>
      <c r="O126" s="5"/>
      <c r="Q126" s="5"/>
      <c r="R126" s="5"/>
      <c r="S126" s="5"/>
    </row>
    <row r="127" spans="2:19">
      <c r="B127" s="41"/>
      <c r="C127" s="254"/>
      <c r="D127" s="254"/>
      <c r="E127" s="254"/>
      <c r="F127" s="254"/>
      <c r="G127" s="254"/>
      <c r="H127" s="254"/>
      <c r="I127" s="18"/>
      <c r="J127" s="254"/>
      <c r="K127" s="254"/>
      <c r="L127" s="254"/>
      <c r="M127" s="254"/>
      <c r="N127" s="254"/>
      <c r="O127" s="5"/>
      <c r="Q127" s="5"/>
      <c r="R127" s="5"/>
      <c r="S127" s="5"/>
    </row>
    <row r="128" spans="2:19">
      <c r="B128" s="41"/>
      <c r="C128" s="254"/>
      <c r="D128" s="254"/>
      <c r="E128" s="254"/>
      <c r="F128" s="254"/>
      <c r="G128" s="254"/>
      <c r="H128" s="254"/>
      <c r="I128" s="5"/>
      <c r="J128" s="254"/>
      <c r="K128" s="254"/>
      <c r="L128" s="254"/>
      <c r="M128" s="254"/>
      <c r="N128" s="254"/>
      <c r="O128" s="5"/>
      <c r="Q128" s="5"/>
      <c r="R128" s="5"/>
      <c r="S128" s="5"/>
    </row>
    <row r="129" spans="2:27">
      <c r="B129" s="5"/>
      <c r="C129" s="5"/>
      <c r="D129" s="18"/>
      <c r="E129" s="18"/>
      <c r="F129" s="18"/>
      <c r="G129" s="18"/>
      <c r="H129" s="18"/>
      <c r="I129" s="254"/>
      <c r="J129" s="18"/>
      <c r="K129" s="18"/>
      <c r="L129" s="18"/>
      <c r="M129" s="18"/>
      <c r="N129" s="18"/>
      <c r="O129" s="5"/>
      <c r="Q129" s="5"/>
      <c r="R129" s="5"/>
      <c r="S129" s="5"/>
    </row>
    <row r="130" spans="2:27">
      <c r="B130" s="5"/>
      <c r="C130" s="5"/>
      <c r="D130" s="5"/>
      <c r="E130" s="5"/>
      <c r="F130" s="5"/>
      <c r="G130" s="5"/>
      <c r="H130" s="5"/>
      <c r="I130" s="18"/>
      <c r="J130" s="5"/>
      <c r="K130" s="5"/>
      <c r="L130" s="5"/>
      <c r="M130" s="5"/>
      <c r="N130" s="5"/>
      <c r="O130" s="5"/>
      <c r="Q130" s="5"/>
      <c r="R130" s="5"/>
      <c r="S130" s="5"/>
    </row>
    <row r="131" spans="2:27">
      <c r="B131" s="41"/>
      <c r="C131" s="254"/>
      <c r="D131" s="254"/>
      <c r="E131" s="254"/>
      <c r="F131" s="254"/>
      <c r="G131" s="254"/>
      <c r="H131" s="254"/>
      <c r="I131" s="5"/>
      <c r="J131" s="254"/>
      <c r="K131" s="254"/>
      <c r="L131" s="254"/>
      <c r="M131" s="254"/>
      <c r="N131" s="254"/>
      <c r="O131" s="5"/>
      <c r="Q131" s="5"/>
      <c r="R131" s="5"/>
      <c r="S131" s="5"/>
    </row>
    <row r="132" spans="2:27">
      <c r="B132" s="5"/>
      <c r="C132" s="259"/>
      <c r="D132" s="18"/>
      <c r="E132" s="18"/>
      <c r="F132" s="18"/>
      <c r="G132" s="18"/>
      <c r="H132" s="18"/>
      <c r="I132" s="5"/>
      <c r="J132" s="18"/>
      <c r="K132" s="18"/>
      <c r="L132" s="18"/>
      <c r="M132" s="18"/>
      <c r="N132" s="18"/>
      <c r="O132" s="5"/>
      <c r="Q132" s="5"/>
      <c r="R132" s="5"/>
      <c r="S132" s="5"/>
    </row>
    <row r="133" spans="2:27">
      <c r="B133" s="5"/>
      <c r="C133" s="5"/>
      <c r="D133" s="5"/>
      <c r="E133" s="5"/>
      <c r="F133" s="5"/>
      <c r="G133" s="5"/>
      <c r="H133" s="5"/>
      <c r="I133" s="17"/>
      <c r="J133" s="5"/>
      <c r="K133" s="5"/>
      <c r="L133" s="5"/>
      <c r="M133" s="5"/>
      <c r="N133" s="5"/>
      <c r="O133" s="5"/>
      <c r="Q133" s="5"/>
      <c r="R133" s="5"/>
      <c r="S133" s="5"/>
    </row>
    <row r="134" spans="2:27">
      <c r="B134" s="41"/>
      <c r="C134" s="5"/>
      <c r="D134" s="5"/>
      <c r="E134" s="5"/>
      <c r="F134" s="5"/>
      <c r="G134" s="5"/>
      <c r="H134" s="5"/>
      <c r="I134" s="17"/>
      <c r="J134" s="5"/>
      <c r="K134" s="5"/>
      <c r="L134" s="5"/>
      <c r="M134" s="5"/>
      <c r="N134" s="5"/>
      <c r="O134" s="5"/>
      <c r="Q134" s="5"/>
      <c r="R134" s="5"/>
      <c r="S134" s="5"/>
    </row>
    <row r="135" spans="2:27">
      <c r="B135" s="5"/>
      <c r="C135" s="17"/>
      <c r="D135" s="17"/>
      <c r="E135" s="17"/>
      <c r="F135" s="17"/>
      <c r="G135" s="17"/>
      <c r="H135" s="17"/>
      <c r="I135" s="17"/>
      <c r="J135" s="17"/>
      <c r="K135" s="17"/>
      <c r="L135" s="17"/>
      <c r="M135" s="17"/>
      <c r="N135" s="17"/>
      <c r="O135" s="5"/>
      <c r="Q135" s="41"/>
      <c r="R135" s="5"/>
      <c r="S135" s="5"/>
    </row>
    <row r="136" spans="2:27">
      <c r="B136" s="5"/>
      <c r="C136" s="17"/>
      <c r="D136" s="17"/>
      <c r="E136" s="17"/>
      <c r="F136" s="17"/>
      <c r="G136" s="17"/>
      <c r="H136" s="17"/>
      <c r="I136" s="17"/>
      <c r="J136" s="17"/>
      <c r="K136" s="17"/>
      <c r="L136" s="17"/>
      <c r="M136" s="17"/>
      <c r="N136" s="17"/>
      <c r="O136" s="5"/>
      <c r="Q136" s="5"/>
      <c r="R136" s="5"/>
      <c r="S136" s="5"/>
      <c r="X136" s="304"/>
    </row>
    <row r="137" spans="2:27">
      <c r="B137" s="5"/>
      <c r="C137" s="5"/>
      <c r="D137" s="17"/>
      <c r="E137" s="17"/>
      <c r="F137" s="17"/>
      <c r="G137" s="17"/>
      <c r="H137" s="17"/>
      <c r="I137" s="17"/>
      <c r="J137" s="17"/>
      <c r="K137" s="17"/>
      <c r="L137" s="17"/>
      <c r="M137" s="17"/>
      <c r="N137" s="17"/>
      <c r="O137" s="5"/>
      <c r="Q137" s="5"/>
      <c r="R137" s="5"/>
      <c r="S137" s="5"/>
      <c r="X137" s="10"/>
      <c r="Y137" s="304"/>
      <c r="Z137" s="304"/>
      <c r="AA137" s="304"/>
    </row>
    <row r="138" spans="2:27">
      <c r="B138" s="5"/>
      <c r="C138" s="5"/>
      <c r="D138" s="17"/>
      <c r="E138" s="17"/>
      <c r="F138" s="17"/>
      <c r="G138" s="17"/>
      <c r="H138" s="17"/>
      <c r="I138" s="17"/>
      <c r="J138" s="17"/>
      <c r="K138" s="17"/>
      <c r="L138" s="17"/>
      <c r="M138" s="17"/>
      <c r="N138" s="17"/>
      <c r="O138" s="5"/>
      <c r="Q138" s="5"/>
      <c r="R138" s="5"/>
      <c r="S138" s="5"/>
      <c r="Y138" s="10"/>
      <c r="Z138" s="10"/>
      <c r="AA138" s="10"/>
    </row>
    <row r="139" spans="2:27">
      <c r="B139" s="5"/>
      <c r="C139" s="5"/>
      <c r="D139" s="17"/>
      <c r="E139" s="17"/>
      <c r="F139" s="17"/>
      <c r="G139" s="17"/>
      <c r="H139" s="17"/>
      <c r="I139" s="5"/>
      <c r="J139" s="17"/>
      <c r="K139" s="17"/>
      <c r="L139" s="17"/>
      <c r="M139" s="17"/>
      <c r="N139" s="17"/>
      <c r="O139" s="5"/>
      <c r="Q139" s="5"/>
      <c r="R139" s="5"/>
      <c r="S139" s="5"/>
    </row>
    <row r="140" spans="2:27">
      <c r="B140" s="5"/>
      <c r="C140" s="17"/>
      <c r="D140" s="17"/>
      <c r="E140" s="17"/>
      <c r="F140" s="17"/>
      <c r="G140" s="17"/>
      <c r="H140" s="17"/>
      <c r="I140" s="5"/>
      <c r="J140" s="17"/>
      <c r="K140" s="17"/>
      <c r="L140" s="17"/>
      <c r="M140" s="17"/>
      <c r="N140" s="17"/>
      <c r="O140" s="5"/>
      <c r="Q140" s="5"/>
      <c r="R140" s="5"/>
      <c r="S140" s="5"/>
    </row>
    <row r="141" spans="2:27">
      <c r="B141" s="5"/>
      <c r="C141" s="5"/>
      <c r="D141" s="5"/>
      <c r="E141" s="5"/>
      <c r="F141" s="5"/>
      <c r="G141" s="5"/>
      <c r="H141" s="5"/>
      <c r="I141" s="5"/>
      <c r="J141" s="5"/>
      <c r="K141" s="5"/>
      <c r="L141" s="5"/>
      <c r="M141" s="5"/>
      <c r="N141" s="5"/>
      <c r="O141" s="5"/>
      <c r="Q141" s="5"/>
      <c r="R141" s="5"/>
      <c r="S141" s="5"/>
    </row>
    <row r="142" spans="2:27">
      <c r="B142" s="5"/>
      <c r="C142" s="5"/>
      <c r="D142" s="5"/>
      <c r="E142" s="5"/>
      <c r="F142" s="5"/>
      <c r="G142" s="5"/>
      <c r="H142" s="5"/>
      <c r="I142" s="5"/>
      <c r="J142" s="5"/>
      <c r="K142" s="5"/>
      <c r="L142" s="5"/>
      <c r="M142" s="5"/>
      <c r="N142" s="5"/>
      <c r="O142" s="5"/>
      <c r="Q142" s="5"/>
      <c r="R142" s="5"/>
      <c r="S142" s="5"/>
    </row>
    <row r="143" spans="2:27">
      <c r="B143" s="5"/>
      <c r="C143" s="5"/>
      <c r="D143" s="5"/>
      <c r="E143" s="5"/>
      <c r="F143" s="5"/>
      <c r="G143" s="5"/>
      <c r="H143" s="5"/>
      <c r="I143" s="5"/>
      <c r="J143" s="5"/>
      <c r="K143" s="5"/>
      <c r="L143" s="5"/>
      <c r="M143" s="5"/>
      <c r="N143" s="5"/>
      <c r="O143" s="5"/>
      <c r="Q143" s="5"/>
      <c r="R143" s="5"/>
      <c r="S143" s="5"/>
    </row>
    <row r="144" spans="2:27">
      <c r="B144" s="5"/>
      <c r="C144" s="5"/>
      <c r="D144" s="5"/>
      <c r="E144" s="5"/>
      <c r="F144" s="5"/>
      <c r="G144" s="5"/>
      <c r="H144" s="5"/>
      <c r="I144" s="5"/>
      <c r="J144" s="5"/>
      <c r="K144" s="5"/>
      <c r="L144" s="5"/>
      <c r="M144" s="5"/>
      <c r="N144" s="5"/>
      <c r="O144" s="5"/>
      <c r="Q144" s="5"/>
      <c r="R144" s="5"/>
      <c r="S144" s="5"/>
    </row>
    <row r="145" spans="2:19">
      <c r="B145" s="5"/>
      <c r="C145" s="5"/>
      <c r="D145" s="5"/>
      <c r="E145" s="5"/>
      <c r="F145" s="5"/>
      <c r="G145" s="5"/>
      <c r="H145" s="5"/>
      <c r="I145" s="5"/>
      <c r="J145" s="5"/>
      <c r="K145" s="5"/>
      <c r="L145" s="5"/>
      <c r="M145" s="5"/>
      <c r="N145" s="5"/>
      <c r="O145" s="5"/>
      <c r="Q145" s="5"/>
      <c r="R145" s="5"/>
      <c r="S145" s="5"/>
    </row>
    <row r="146" spans="2:19">
      <c r="B146" s="5"/>
      <c r="C146" s="5"/>
      <c r="D146" s="5"/>
      <c r="E146" s="5"/>
      <c r="F146" s="5"/>
      <c r="G146" s="5"/>
      <c r="H146" s="5"/>
      <c r="I146" s="5"/>
      <c r="J146" s="5"/>
      <c r="K146" s="5"/>
      <c r="L146" s="5"/>
      <c r="M146" s="5"/>
      <c r="N146" s="5"/>
      <c r="O146" s="5"/>
      <c r="Q146" s="5"/>
      <c r="R146" s="5"/>
      <c r="S146" s="5"/>
    </row>
    <row r="147" spans="2:19">
      <c r="B147" s="5"/>
      <c r="C147" s="5"/>
      <c r="D147" s="5"/>
      <c r="E147" s="5"/>
      <c r="F147" s="5"/>
      <c r="G147" s="5"/>
      <c r="H147" s="5"/>
      <c r="I147" s="5"/>
      <c r="J147" s="5"/>
      <c r="K147" s="5"/>
      <c r="L147" s="5"/>
      <c r="M147" s="5"/>
      <c r="N147" s="5"/>
      <c r="O147" s="5"/>
      <c r="Q147" s="5"/>
      <c r="R147" s="5"/>
      <c r="S147" s="5"/>
    </row>
    <row r="148" spans="2:19">
      <c r="B148" s="5"/>
      <c r="C148" s="5"/>
      <c r="D148" s="5"/>
      <c r="E148" s="5"/>
      <c r="F148" s="5"/>
      <c r="G148" s="5"/>
      <c r="H148" s="5"/>
      <c r="I148" s="5"/>
      <c r="J148" s="5"/>
      <c r="K148" s="5"/>
      <c r="L148" s="5"/>
      <c r="M148" s="5"/>
      <c r="N148" s="5"/>
      <c r="O148" s="5"/>
      <c r="Q148" s="5"/>
      <c r="R148" s="5"/>
      <c r="S148" s="5"/>
    </row>
    <row r="149" spans="2:19">
      <c r="B149" s="5"/>
      <c r="C149" s="5"/>
      <c r="D149" s="5"/>
      <c r="E149" s="5"/>
      <c r="F149" s="5"/>
      <c r="G149" s="5"/>
      <c r="H149" s="5"/>
      <c r="J149" s="5"/>
      <c r="K149" s="5"/>
      <c r="L149" s="5"/>
      <c r="M149" s="5"/>
      <c r="N149" s="5"/>
      <c r="O149" s="5"/>
      <c r="Q149" s="5"/>
      <c r="R149" s="5"/>
      <c r="S149" s="5"/>
    </row>
    <row r="150" spans="2:19">
      <c r="B150" s="5"/>
      <c r="C150" s="5"/>
      <c r="D150" s="5"/>
      <c r="E150" s="5"/>
      <c r="F150" s="5"/>
      <c r="G150" s="5"/>
      <c r="H150" s="5"/>
      <c r="J150" s="5"/>
      <c r="K150" s="5"/>
      <c r="L150" s="5"/>
      <c r="M150" s="5"/>
      <c r="N150" s="5"/>
      <c r="O150" s="5"/>
      <c r="Q150" s="5"/>
      <c r="R150" s="5"/>
      <c r="S150" s="5"/>
    </row>
    <row r="151" spans="2:19">
      <c r="Q151" s="5"/>
      <c r="R151" s="5"/>
      <c r="S151" s="5"/>
    </row>
    <row r="152" spans="2:19">
      <c r="Q152" s="5"/>
      <c r="R152" s="5"/>
      <c r="S152" s="5"/>
    </row>
    <row r="153" spans="2:19">
      <c r="C153" s="263"/>
      <c r="Q153" s="5"/>
      <c r="R153" s="5"/>
      <c r="S153" s="5"/>
    </row>
    <row r="154" spans="2:19">
      <c r="Q154" s="5"/>
      <c r="R154" s="5"/>
      <c r="S154" s="5"/>
    </row>
    <row r="155" spans="2:19">
      <c r="Q155" s="5"/>
      <c r="R155" s="5"/>
      <c r="S155" s="5"/>
    </row>
    <row r="156" spans="2:19">
      <c r="Q156" s="5"/>
      <c r="R156" s="5"/>
      <c r="S156" s="5"/>
    </row>
    <row r="157" spans="2:19">
      <c r="Q157" s="5"/>
      <c r="R157" s="5"/>
      <c r="S157" s="5"/>
    </row>
    <row r="158" spans="2:19">
      <c r="Q158" s="5"/>
      <c r="R158" s="5"/>
      <c r="S158" s="5"/>
    </row>
    <row r="159" spans="2:19">
      <c r="Q159" s="5"/>
      <c r="R159" s="5"/>
      <c r="S159" s="5"/>
    </row>
    <row r="160" spans="2:19">
      <c r="Q160" s="5"/>
      <c r="R160" s="5"/>
      <c r="S160" s="5"/>
    </row>
    <row r="161" spans="17:19">
      <c r="Q161" s="5"/>
      <c r="R161" s="5"/>
      <c r="S161" s="5"/>
    </row>
    <row r="162" spans="17:19">
      <c r="Q162" s="5"/>
      <c r="R162" s="5"/>
      <c r="S162" s="5"/>
    </row>
    <row r="163" spans="17:19">
      <c r="Q163" s="5"/>
      <c r="R163" s="5"/>
      <c r="S163" s="5"/>
    </row>
    <row r="164" spans="17:19">
      <c r="Q164" s="5"/>
      <c r="R164" s="5"/>
      <c r="S164" s="5"/>
    </row>
    <row r="165" spans="17:19">
      <c r="Q165" s="5"/>
      <c r="R165" s="5"/>
      <c r="S165" s="5"/>
    </row>
  </sheetData>
  <phoneticPr fontId="7" type="noConversion"/>
  <pageMargins left="0.75" right="0.75" top="1" bottom="1" header="0.5" footer="0.5"/>
  <pageSetup scale="71" orientation="landscape"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62">
    <pageSetUpPr fitToPage="1"/>
  </sheetPr>
  <dimension ref="B1:GU165"/>
  <sheetViews>
    <sheetView showGridLines="0" zoomScale="80" zoomScaleNormal="80" zoomScaleSheetLayoutView="80" workbookViewId="0"/>
  </sheetViews>
  <sheetFormatPr defaultColWidth="9.109375" defaultRowHeight="12"/>
  <cols>
    <col min="1" max="1" width="2.33203125" style="39" customWidth="1"/>
    <col min="2" max="2" width="26.5546875" style="39" customWidth="1"/>
    <col min="3" max="9" width="10" style="39" customWidth="1"/>
    <col min="10" max="10" width="26.6640625" style="39" customWidth="1"/>
    <col min="11" max="16" width="10" style="39" customWidth="1"/>
    <col min="17" max="19" width="8.6640625" style="39" customWidth="1"/>
    <col min="20" max="27" width="8.6640625" style="5" customWidth="1"/>
    <col min="28" max="28" width="8.6640625" style="39" customWidth="1"/>
    <col min="29" max="16384" width="9.109375" style="39"/>
  </cols>
  <sheetData>
    <row r="1" spans="2:203" s="312" customFormat="1">
      <c r="T1" s="149"/>
      <c r="U1" s="149"/>
      <c r="V1" s="149"/>
      <c r="W1" s="149"/>
      <c r="X1" s="149"/>
      <c r="Y1" s="149"/>
      <c r="Z1" s="149"/>
      <c r="AA1" s="149"/>
    </row>
    <row r="2" spans="2:203" s="149" customFormat="1"/>
    <row r="3" spans="2:203" s="149" customFormat="1">
      <c r="H3" s="153"/>
      <c r="P3" s="153"/>
    </row>
    <row r="4" spans="2:203" s="156" customFormat="1" ht="21">
      <c r="B4" s="129" t="s">
        <v>304</v>
      </c>
      <c r="H4" s="222"/>
      <c r="P4" s="222"/>
    </row>
    <row r="5" spans="2:203" s="149" customFormat="1">
      <c r="C5" s="153"/>
      <c r="D5" s="153" t="str" cm="1">
        <f t="array" ref="D5:H5">headings</f>
        <v>2023E</v>
      </c>
      <c r="E5" s="153" t="str">
        <v>2024E</v>
      </c>
      <c r="F5" s="153" t="str">
        <v>2025E</v>
      </c>
      <c r="G5" s="153" t="str">
        <v>2026E</v>
      </c>
      <c r="H5" s="153" t="str">
        <v>23E-26E</v>
      </c>
      <c r="I5" s="153"/>
      <c r="J5" s="153"/>
      <c r="K5" s="153"/>
      <c r="L5" s="153" t="str" cm="1">
        <f t="array" ref="L5:P5">headings</f>
        <v>2023E</v>
      </c>
      <c r="M5" s="153" t="str">
        <v>2024E</v>
      </c>
      <c r="N5" s="153" t="str">
        <v>2025E</v>
      </c>
      <c r="O5" s="153" t="str">
        <v>2026E</v>
      </c>
      <c r="P5" s="153" t="str">
        <v>23E-26E</v>
      </c>
      <c r="Q5" s="162"/>
      <c r="R5" s="162"/>
      <c r="S5" s="162"/>
      <c r="T5" s="162"/>
      <c r="U5" s="162"/>
      <c r="V5" s="162"/>
      <c r="W5" s="162"/>
      <c r="X5" s="162"/>
      <c r="Y5" s="162"/>
    </row>
    <row r="6" spans="2:203">
      <c r="I6" s="5"/>
      <c r="J6" s="5"/>
      <c r="K6" s="5"/>
      <c r="L6" s="5"/>
      <c r="M6" s="5"/>
      <c r="N6" s="5"/>
      <c r="O6" s="49"/>
    </row>
    <row r="7" spans="2:203" ht="12.6" thickBot="1">
      <c r="B7" s="306" t="s">
        <v>271</v>
      </c>
      <c r="C7" s="265"/>
      <c r="D7" s="265" t="str">
        <f>D5</f>
        <v>2023E</v>
      </c>
      <c r="E7" s="265" t="str">
        <f t="shared" ref="E7:H7" si="0">E5</f>
        <v>2024E</v>
      </c>
      <c r="F7" s="265" t="str">
        <f t="shared" si="0"/>
        <v>2025E</v>
      </c>
      <c r="G7" s="265" t="str">
        <f t="shared" si="0"/>
        <v>2026E</v>
      </c>
      <c r="H7" s="265" t="str">
        <f t="shared" si="0"/>
        <v>23E-26E</v>
      </c>
      <c r="I7" s="49"/>
      <c r="J7" s="306" t="s">
        <v>157</v>
      </c>
      <c r="K7" s="306"/>
      <c r="L7" s="265" t="str">
        <f>L5</f>
        <v>2023E</v>
      </c>
      <c r="M7" s="265" t="str">
        <f t="shared" ref="M7:P7" si="1">M5</f>
        <v>2024E</v>
      </c>
      <c r="N7" s="265" t="str">
        <f t="shared" si="1"/>
        <v>2025E</v>
      </c>
      <c r="O7" s="265" t="str">
        <f t="shared" si="1"/>
        <v>2026E</v>
      </c>
      <c r="P7" s="265" t="str">
        <f t="shared" si="1"/>
        <v>23E-26E</v>
      </c>
    </row>
    <row r="8" spans="2:203" ht="12.6" thickTop="1">
      <c r="B8" s="5"/>
      <c r="C8" s="5"/>
      <c r="D8" s="5"/>
      <c r="E8" s="5"/>
      <c r="F8" s="5"/>
      <c r="G8" s="5"/>
      <c r="H8" s="5"/>
      <c r="I8" s="5"/>
      <c r="J8" s="5"/>
      <c r="K8" s="5"/>
      <c r="L8" s="5"/>
      <c r="M8" s="5"/>
      <c r="N8" s="5"/>
      <c r="S8" s="88"/>
      <c r="T8" s="42"/>
      <c r="U8" s="42"/>
      <c r="V8" s="42"/>
      <c r="W8" s="42"/>
      <c r="X8" s="42"/>
      <c r="Y8" s="42"/>
      <c r="Z8" s="42"/>
      <c r="AA8" s="42"/>
    </row>
    <row r="9" spans="2:203">
      <c r="B9" s="41" t="s">
        <v>117</v>
      </c>
      <c r="C9" s="267">
        <f>Prices!C46</f>
        <v>38.54</v>
      </c>
      <c r="D9" s="533"/>
      <c r="E9" s="533"/>
      <c r="F9" s="533"/>
      <c r="G9" s="533"/>
      <c r="H9" s="249"/>
      <c r="I9" s="249"/>
      <c r="J9" s="5" t="s">
        <v>273</v>
      </c>
      <c r="L9" s="529">
        <f>'US OTHER'!D37</f>
        <v>1.9736708012823159</v>
      </c>
      <c r="M9" s="529">
        <f>'US OTHER'!E37</f>
        <v>1.9315843262416086</v>
      </c>
      <c r="N9" s="529">
        <f>'US OTHER'!F37</f>
        <v>1.8669914977413062</v>
      </c>
      <c r="O9" s="529">
        <f>'US OTHER'!G37</f>
        <v>1.7635061842615585</v>
      </c>
      <c r="P9" s="18">
        <f>'US OTHER'!H37</f>
        <v>6.8251004257615655E-3</v>
      </c>
      <c r="S9" s="88"/>
      <c r="T9" s="42"/>
      <c r="U9" s="42"/>
      <c r="V9" s="42"/>
      <c r="W9" s="42"/>
      <c r="X9" s="42"/>
      <c r="Y9" s="42"/>
      <c r="Z9" s="42"/>
      <c r="AA9" s="42"/>
      <c r="GH9" s="267">
        <v>36.57</v>
      </c>
      <c r="GI9" s="272">
        <v>0</v>
      </c>
      <c r="GJ9" s="272">
        <v>0</v>
      </c>
      <c r="GK9" s="272">
        <v>0</v>
      </c>
      <c r="GL9" s="272">
        <v>0</v>
      </c>
      <c r="GM9" s="249"/>
      <c r="GN9" s="249"/>
      <c r="GO9" s="41" t="s">
        <v>273</v>
      </c>
      <c r="GQ9" s="268">
        <v>2.810699549390566</v>
      </c>
      <c r="GR9" s="268">
        <v>2.5929218299862731</v>
      </c>
      <c r="GS9" s="268">
        <v>2.3350913168370666</v>
      </c>
      <c r="GT9" s="268">
        <v>2.2585840923916103</v>
      </c>
      <c r="GU9" s="18">
        <v>4.6820726417848846E-2</v>
      </c>
    </row>
    <row r="10" spans="2:203">
      <c r="B10" s="5" t="s">
        <v>274</v>
      </c>
      <c r="D10" s="531">
        <v>4149.1708065767343</v>
      </c>
      <c r="E10" s="531">
        <v>3906.1814101207701</v>
      </c>
      <c r="F10" s="531">
        <v>3689.9676534435584</v>
      </c>
      <c r="G10" s="531">
        <v>3442.0769183065618</v>
      </c>
      <c r="H10" s="249"/>
      <c r="I10" s="247"/>
      <c r="J10" s="5" t="s">
        <v>184</v>
      </c>
      <c r="L10" s="529">
        <f>'US OTHER'!D38</f>
        <v>6.1453559700889135</v>
      </c>
      <c r="M10" s="529">
        <f>'US OTHER'!E38</f>
        <v>5.9078404422634829</v>
      </c>
      <c r="N10" s="529">
        <f>'US OTHER'!F38</f>
        <v>5.5795545521746677</v>
      </c>
      <c r="O10" s="529">
        <f>'US OTHER'!G38</f>
        <v>5.1297067144515101</v>
      </c>
      <c r="P10" s="18">
        <f>'US OTHER'!H38</f>
        <v>2.9926645487549974E-2</v>
      </c>
      <c r="S10" s="88"/>
      <c r="T10" s="42"/>
      <c r="U10" s="42"/>
      <c r="V10" s="42"/>
      <c r="W10" s="288"/>
      <c r="X10" s="288"/>
      <c r="Y10" s="288"/>
      <c r="Z10" s="288"/>
      <c r="AA10" s="42"/>
      <c r="GI10" s="269">
        <v>4637.2798813248946</v>
      </c>
      <c r="GJ10" s="269">
        <v>4586.6211527196192</v>
      </c>
      <c r="GK10" s="269">
        <v>4611.3178079864056</v>
      </c>
      <c r="GL10" s="269">
        <v>4611.3178079864056</v>
      </c>
      <c r="GM10" s="249"/>
      <c r="GN10" s="247"/>
      <c r="GO10" s="41" t="s">
        <v>184</v>
      </c>
      <c r="GQ10" s="268">
        <v>8.6854361666532824</v>
      </c>
      <c r="GR10" s="268">
        <v>7.9979948611797189</v>
      </c>
      <c r="GS10" s="268">
        <v>7.1643881514581524</v>
      </c>
      <c r="GT10" s="268">
        <v>6.8965778001375213</v>
      </c>
      <c r="GU10" s="18">
        <v>5.0990823579210254E-2</v>
      </c>
    </row>
    <row r="11" spans="2:203">
      <c r="B11" s="41" t="s">
        <v>275</v>
      </c>
      <c r="C11" s="5"/>
      <c r="D11" s="532">
        <f>(D10*$C$9)</f>
        <v>159909.04288546732</v>
      </c>
      <c r="E11" s="532">
        <f>(E10*$C$9)</f>
        <v>150544.23154605448</v>
      </c>
      <c r="F11" s="532">
        <f>(F10*$C$9)</f>
        <v>142211.35336371473</v>
      </c>
      <c r="G11" s="532">
        <f>(G10*$C$9)</f>
        <v>132657.64443153489</v>
      </c>
      <c r="H11" s="249"/>
      <c r="I11" s="249"/>
      <c r="J11" s="5" t="s">
        <v>185</v>
      </c>
      <c r="L11" s="529">
        <f>'US OTHER'!D39</f>
        <v>11.521165626993916</v>
      </c>
      <c r="M11" s="529">
        <f>'US OTHER'!E39</f>
        <v>10.122351497758206</v>
      </c>
      <c r="N11" s="529">
        <f>'US OTHER'!F39</f>
        <v>9.1465239568917855</v>
      </c>
      <c r="O11" s="529">
        <f>'US OTHER'!G39</f>
        <v>7.6057283010476526</v>
      </c>
      <c r="P11" s="18">
        <f>'US OTHER'!H39</f>
        <v>0.11371310161076686</v>
      </c>
      <c r="S11" s="88"/>
      <c r="T11" s="42"/>
      <c r="U11" s="42"/>
      <c r="V11" s="42"/>
      <c r="W11" s="288"/>
      <c r="X11" s="288"/>
      <c r="Y11" s="288"/>
      <c r="Z11" s="288"/>
      <c r="AA11" s="42"/>
      <c r="GH11" s="5"/>
      <c r="GI11" s="271">
        <v>169585.32526005141</v>
      </c>
      <c r="GJ11" s="271">
        <v>167732.73555495648</v>
      </c>
      <c r="GK11" s="271">
        <v>168635.89223806286</v>
      </c>
      <c r="GL11" s="271">
        <v>168635.89223806286</v>
      </c>
      <c r="GM11" s="249"/>
      <c r="GN11" s="249"/>
      <c r="GO11" s="41" t="s">
        <v>185</v>
      </c>
      <c r="GQ11" s="268">
        <v>8.5252065004301869</v>
      </c>
      <c r="GR11" s="268">
        <v>7.7336513138868801</v>
      </c>
      <c r="GS11" s="268">
        <v>6.8498781989532249</v>
      </c>
      <c r="GT11" s="268">
        <v>6.6056629738361234</v>
      </c>
      <c r="GU11" s="18">
        <v>5.9601159804935078E-2</v>
      </c>
    </row>
    <row r="12" spans="2:203">
      <c r="B12" s="5" t="s">
        <v>24</v>
      </c>
      <c r="C12" s="249"/>
      <c r="D12" s="533">
        <v>87610.320071999988</v>
      </c>
      <c r="E12" s="533">
        <v>93837.521219944072</v>
      </c>
      <c r="F12" s="533">
        <v>96731.924716820111</v>
      </c>
      <c r="G12" s="533">
        <v>101162.42574620256</v>
      </c>
      <c r="H12" s="247"/>
      <c r="I12" s="247"/>
      <c r="J12" s="5" t="s">
        <v>466</v>
      </c>
      <c r="L12" s="529">
        <f>'US OTHER'!D40</f>
        <v>18.630373776917377</v>
      </c>
      <c r="M12" s="529">
        <f>'US OTHER'!E40</f>
        <v>15.14815669690881</v>
      </c>
      <c r="N12" s="529">
        <f>'US OTHER'!F40</f>
        <v>13.783300944127415</v>
      </c>
      <c r="O12" s="529">
        <f>'US OTHER'!G40</f>
        <v>11.406014250403096</v>
      </c>
      <c r="P12" s="18">
        <f>'US OTHER'!H40</f>
        <v>0.14204708718901382</v>
      </c>
      <c r="S12" s="88"/>
      <c r="T12" s="42"/>
      <c r="U12" s="42"/>
      <c r="V12" s="42"/>
      <c r="W12" s="288"/>
      <c r="X12" s="288"/>
      <c r="Y12" s="288"/>
      <c r="Z12" s="288"/>
      <c r="AA12" s="42"/>
      <c r="GH12" s="249"/>
      <c r="GI12" s="272">
        <v>105917.10555782284</v>
      </c>
      <c r="GJ12" s="272">
        <v>94962.950286532287</v>
      </c>
      <c r="GK12" s="272">
        <v>82578.249035989124</v>
      </c>
      <c r="GL12" s="272">
        <v>82578.249035989124</v>
      </c>
      <c r="GM12" s="247"/>
      <c r="GN12" s="247"/>
      <c r="GO12" s="41" t="s">
        <v>466</v>
      </c>
      <c r="GQ12" s="268">
        <v>13.115702308354136</v>
      </c>
      <c r="GR12" s="268">
        <v>11.897925098287507</v>
      </c>
      <c r="GS12" s="268">
        <v>10.538274152235731</v>
      </c>
      <c r="GT12" s="268">
        <v>10.162558421286343</v>
      </c>
      <c r="GU12" s="18">
        <v>5.96011598049353E-2</v>
      </c>
    </row>
    <row r="13" spans="2:203">
      <c r="B13" s="5" t="s">
        <v>529</v>
      </c>
      <c r="C13" s="257"/>
      <c r="D13" s="533">
        <v>1333.7951000000005</v>
      </c>
      <c r="E13" s="533">
        <v>1333.7951000000005</v>
      </c>
      <c r="F13" s="533">
        <v>1333.7951000000005</v>
      </c>
      <c r="G13" s="533">
        <v>1333.7951000000005</v>
      </c>
      <c r="H13" s="247"/>
      <c r="I13" s="247"/>
      <c r="J13" s="5" t="s">
        <v>530</v>
      </c>
      <c r="L13" s="529">
        <f>'US OTHER'!D41</f>
        <v>1.1522825702126613</v>
      </c>
      <c r="M13" s="529">
        <f>'US OTHER'!E41</f>
        <v>1.11146801504834</v>
      </c>
      <c r="N13" s="529">
        <f>'US OTHER'!F41</f>
        <v>1.0801964530788128</v>
      </c>
      <c r="O13" s="529">
        <f>'US OTHER'!G41</f>
        <v>1.0526573924692084</v>
      </c>
      <c r="P13" s="18">
        <f>'US OTHER'!H41</f>
        <v>-5.8597350806643966E-4</v>
      </c>
      <c r="S13" s="88"/>
      <c r="T13" s="42"/>
      <c r="U13" s="42"/>
      <c r="V13" s="42"/>
      <c r="W13" s="42"/>
      <c r="X13" s="42"/>
      <c r="Y13" s="42"/>
      <c r="Z13" s="42"/>
      <c r="AA13" s="42"/>
      <c r="GH13" s="257"/>
      <c r="GI13" s="272">
        <v>1467.1746100000007</v>
      </c>
      <c r="GJ13" s="272">
        <v>1613.8920710000009</v>
      </c>
      <c r="GK13" s="272">
        <v>1775.2812781000011</v>
      </c>
      <c r="GL13" s="272">
        <v>1775.2812781000011</v>
      </c>
      <c r="GM13" s="247"/>
      <c r="GN13" s="247"/>
      <c r="GO13" s="41" t="s">
        <v>530</v>
      </c>
      <c r="GQ13" s="268">
        <v>1.4259036409602526</v>
      </c>
      <c r="GR13" s="268">
        <v>1.4735449492572357</v>
      </c>
      <c r="GS13" s="268">
        <v>1.5264570886732127</v>
      </c>
      <c r="GT13" s="268">
        <v>1.5275176364294605</v>
      </c>
      <c r="GU13" s="18">
        <v>-4.8853148320087691E-2</v>
      </c>
    </row>
    <row r="14" spans="2:203">
      <c r="B14" s="5" t="s">
        <v>532</v>
      </c>
      <c r="C14" s="257"/>
      <c r="D14" s="533">
        <v>9849</v>
      </c>
      <c r="E14" s="533">
        <v>9849</v>
      </c>
      <c r="F14" s="533">
        <v>9849</v>
      </c>
      <c r="G14" s="533">
        <v>9849</v>
      </c>
      <c r="H14" s="247"/>
      <c r="I14" s="247"/>
      <c r="J14" s="5" t="s">
        <v>593</v>
      </c>
      <c r="L14" s="529">
        <f>'US OTHER'!D42</f>
        <v>3.3822118406750996</v>
      </c>
      <c r="M14" s="529">
        <f>'US OTHER'!E42</f>
        <v>3.2615783050725393</v>
      </c>
      <c r="N14" s="529">
        <f>'US OTHER'!F42</f>
        <v>3.1662143476325193</v>
      </c>
      <c r="O14" s="529">
        <f>'US OTHER'!G42</f>
        <v>3.1303282941479575</v>
      </c>
      <c r="P14" s="18">
        <f>'US OTHER'!H42</f>
        <v>-4.9190074724069222E-3</v>
      </c>
      <c r="S14" s="88"/>
      <c r="T14" s="42"/>
      <c r="U14" s="42"/>
      <c r="V14" s="42"/>
      <c r="W14" s="42"/>
      <c r="X14" s="42"/>
      <c r="Y14" s="42"/>
      <c r="Z14" s="42"/>
      <c r="AA14" s="42"/>
      <c r="GH14" s="257"/>
      <c r="GI14" s="273">
        <v>6981</v>
      </c>
      <c r="GJ14" s="273">
        <v>6981</v>
      </c>
      <c r="GK14" s="273">
        <v>6981</v>
      </c>
      <c r="GL14" s="273">
        <v>6981</v>
      </c>
      <c r="GM14" s="247"/>
      <c r="GN14" s="247"/>
      <c r="GO14" s="41" t="s">
        <v>593</v>
      </c>
      <c r="GQ14" s="268">
        <v>5.71264133904541</v>
      </c>
      <c r="GR14" s="268">
        <v>5.7329083220638122</v>
      </c>
      <c r="GS14" s="268">
        <v>5.8042748621753013</v>
      </c>
      <c r="GT14" s="268">
        <v>5.9479588828951195</v>
      </c>
      <c r="GU14" s="18">
        <v>-3.9783288709726472E-2</v>
      </c>
    </row>
    <row r="15" spans="2:203">
      <c r="B15" s="5" t="s">
        <v>531</v>
      </c>
      <c r="C15" s="274"/>
      <c r="D15" s="533">
        <v>0</v>
      </c>
      <c r="E15" s="533">
        <v>0</v>
      </c>
      <c r="F15" s="533">
        <v>0</v>
      </c>
      <c r="G15" s="533">
        <v>0</v>
      </c>
      <c r="H15" s="247"/>
      <c r="I15" s="247"/>
      <c r="J15" s="5" t="s">
        <v>475</v>
      </c>
      <c r="L15" s="529">
        <f>'US OTHER'!D43</f>
        <v>5.2584697598751795</v>
      </c>
      <c r="M15" s="529">
        <f>'US OTHER'!E43</f>
        <v>4.360017500278734</v>
      </c>
      <c r="N15" s="529">
        <f>'US OTHER'!F43</f>
        <v>4.0012893476281652</v>
      </c>
      <c r="O15" s="529">
        <f>'US OTHER'!G43</f>
        <v>3.4158788512089493</v>
      </c>
      <c r="P15" s="18">
        <f>'US OTHER'!H43</f>
        <v>8.0117819415815195E-2</v>
      </c>
      <c r="S15" s="88"/>
      <c r="T15" s="42"/>
      <c r="U15" s="42"/>
      <c r="V15" s="42"/>
      <c r="W15" s="42"/>
      <c r="X15" s="42"/>
      <c r="Y15" s="42"/>
      <c r="Z15" s="42"/>
      <c r="AA15" s="42"/>
      <c r="GH15" s="274"/>
      <c r="GI15" s="273">
        <v>0</v>
      </c>
      <c r="GJ15" s="273">
        <v>0</v>
      </c>
      <c r="GK15" s="273">
        <v>0</v>
      </c>
      <c r="GL15" s="273">
        <v>0</v>
      </c>
      <c r="GM15" s="247"/>
      <c r="GN15" s="247"/>
      <c r="GO15" s="41" t="s">
        <v>475</v>
      </c>
      <c r="GQ15" s="268">
        <v>6.6417584397994434</v>
      </c>
      <c r="GR15" s="268">
        <v>6.188915596015069</v>
      </c>
      <c r="GS15" s="268">
        <v>5.5834146991484852</v>
      </c>
      <c r="GT15" s="268">
        <v>5.2633839541627951</v>
      </c>
      <c r="GU15" s="18">
        <v>4.6427635217388463E-2</v>
      </c>
    </row>
    <row r="16" spans="2:203">
      <c r="B16" s="5" t="s">
        <v>534</v>
      </c>
      <c r="C16" s="257"/>
      <c r="D16" s="533">
        <v>38433.292988797475</v>
      </c>
      <c r="E16" s="533">
        <v>43462.775931233882</v>
      </c>
      <c r="F16" s="533">
        <v>48451.138234841863</v>
      </c>
      <c r="G16" s="533">
        <v>53338.570892380587</v>
      </c>
      <c r="H16" s="247"/>
      <c r="I16" s="247"/>
      <c r="J16" s="5" t="s">
        <v>533</v>
      </c>
      <c r="L16" s="529">
        <f>'US OTHER'!D44</f>
        <v>10.688801425562144</v>
      </c>
      <c r="M16" s="529">
        <f>'US OTHER'!E44</f>
        <v>9.0541039775975793</v>
      </c>
      <c r="N16" s="529">
        <f>'US OTHER'!F44</f>
        <v>7.9165392708689435</v>
      </c>
      <c r="O16" s="529">
        <f>'US OTHER'!G44</f>
        <v>6.6136995679588573</v>
      </c>
      <c r="P16" s="18">
        <f>'US OTHER'!H44</f>
        <v>0.10233723564171293</v>
      </c>
      <c r="S16" s="88"/>
      <c r="T16" s="42"/>
      <c r="U16" s="42"/>
      <c r="V16" s="42"/>
      <c r="W16" s="42"/>
      <c r="X16" s="42"/>
      <c r="Y16" s="42"/>
      <c r="Z16" s="42"/>
      <c r="AA16" s="42"/>
      <c r="GH16" s="257"/>
      <c r="GI16" s="272">
        <v>4094.6446979492916</v>
      </c>
      <c r="GJ16" s="272">
        <v>4478.068799068511</v>
      </c>
      <c r="GK16" s="272">
        <v>4836.3388595905371</v>
      </c>
      <c r="GL16" s="272">
        <v>4836.3388595905371</v>
      </c>
      <c r="GM16" s="247"/>
      <c r="GN16" s="247"/>
      <c r="GO16" s="41" t="s">
        <v>533</v>
      </c>
      <c r="GQ16" s="268">
        <v>20.956479578778474</v>
      </c>
      <c r="GR16" s="268">
        <v>17.947755537307142</v>
      </c>
      <c r="GS16" s="268">
        <v>14.430761874455737</v>
      </c>
      <c r="GT16" s="268">
        <v>12.990189963688129</v>
      </c>
      <c r="GU16" s="18">
        <v>0.13215376917788624</v>
      </c>
    </row>
    <row r="17" spans="2:203">
      <c r="B17" s="5" t="s">
        <v>6</v>
      </c>
      <c r="C17" s="257"/>
      <c r="D17" s="533">
        <v>0</v>
      </c>
      <c r="E17" s="533">
        <v>0</v>
      </c>
      <c r="F17" s="533">
        <v>0</v>
      </c>
      <c r="G17" s="533">
        <v>0</v>
      </c>
      <c r="H17" s="247"/>
      <c r="I17" s="247"/>
      <c r="J17" s="5" t="s">
        <v>580</v>
      </c>
      <c r="L17" s="18">
        <f>'US OTHER'!D45</f>
        <v>2.2052024532702785E-2</v>
      </c>
      <c r="M17" s="18">
        <f>'US OTHER'!E45</f>
        <v>2.4611250391623297E-2</v>
      </c>
      <c r="N17" s="18">
        <f>'US OTHER'!F45</f>
        <v>2.5733166701033407E-2</v>
      </c>
      <c r="O17" s="18">
        <f>'US OTHER'!G45</f>
        <v>2.7146152816565176E-2</v>
      </c>
      <c r="P17" s="18">
        <f>'US OTHER'!H45</f>
        <v>6.714297299340366E-3</v>
      </c>
      <c r="S17" s="88"/>
      <c r="T17" s="42"/>
      <c r="U17" s="42"/>
      <c r="V17" s="42"/>
      <c r="W17" s="42"/>
      <c r="X17" s="42"/>
      <c r="Y17" s="42"/>
      <c r="Z17" s="42"/>
      <c r="AA17" s="42"/>
      <c r="GH17" s="257"/>
      <c r="GI17" s="272">
        <v>0</v>
      </c>
      <c r="GJ17" s="272">
        <v>0</v>
      </c>
      <c r="GK17" s="272">
        <v>0</v>
      </c>
      <c r="GL17" s="272">
        <v>0</v>
      </c>
      <c r="GM17" s="247"/>
      <c r="GN17" s="247"/>
      <c r="GO17" s="41" t="s">
        <v>580</v>
      </c>
      <c r="GQ17" s="251">
        <v>1.2338621146093347E-2</v>
      </c>
      <c r="GR17" s="251">
        <v>1.4176347265248707E-2</v>
      </c>
      <c r="GS17" s="251">
        <v>1.5980018529099502E-2</v>
      </c>
      <c r="GT17" s="251">
        <v>1.6745915344338228E-2</v>
      </c>
      <c r="GU17" s="18">
        <v>6.8772396344291664E-2</v>
      </c>
    </row>
    <row r="18" spans="2:203" ht="12.6" thickBot="1">
      <c r="B18" s="41" t="s">
        <v>583</v>
      </c>
      <c r="C18" s="249"/>
      <c r="D18" s="534">
        <f>D11+D12+D13-D14+D15-D16-D17</f>
        <v>200570.86506866984</v>
      </c>
      <c r="E18" s="534">
        <f>E11+E12+E13-E14+E15-E16-E17</f>
        <v>192403.77193476463</v>
      </c>
      <c r="F18" s="534">
        <f>F11+F12+F13-F14+F15-F16-F17</f>
        <v>181976.93494569295</v>
      </c>
      <c r="G18" s="534">
        <f>G11+G12+G13-G14+G15-G16-G17</f>
        <v>171966.29438535686</v>
      </c>
      <c r="H18" s="276">
        <f>IF(D18=0,"nm",IF(G18=0,"nm",(G18/D18)^(1/3)-1))</f>
        <v>-4.999659523910871E-2</v>
      </c>
      <c r="I18" s="254"/>
      <c r="J18" s="5" t="s">
        <v>36</v>
      </c>
      <c r="L18" s="18">
        <f>'US OTHER'!D46</f>
        <v>7.7745880700654107E-2</v>
      </c>
      <c r="M18" s="18">
        <f>'US OTHER'!E46</f>
        <v>0.1341751769191605</v>
      </c>
      <c r="N18" s="18">
        <f>'US OTHER'!F46</f>
        <v>0.14644095604748741</v>
      </c>
      <c r="O18" s="18">
        <f>'US OTHER'!G46</f>
        <v>0.21850989486146546</v>
      </c>
      <c r="P18" s="18">
        <f>'US OTHER'!H46</f>
        <v>0.3256153847966301</v>
      </c>
      <c r="S18" s="88"/>
      <c r="T18" s="42"/>
      <c r="U18" s="42"/>
      <c r="V18" s="42"/>
      <c r="W18" s="42"/>
      <c r="X18" s="42"/>
      <c r="Y18" s="42"/>
      <c r="Z18" s="42"/>
      <c r="AA18" s="42"/>
      <c r="GH18" s="249"/>
      <c r="GI18" s="275">
        <v>265893.96072992496</v>
      </c>
      <c r="GJ18" s="275">
        <v>252850.50911342027</v>
      </c>
      <c r="GK18" s="275">
        <v>241172.08369256146</v>
      </c>
      <c r="GL18" s="275">
        <v>241172.08369256146</v>
      </c>
      <c r="GM18" s="276">
        <v>-3.2005579345431912E-2</v>
      </c>
      <c r="GN18" s="254"/>
      <c r="GO18" s="41" t="s">
        <v>36</v>
      </c>
      <c r="GQ18" s="251">
        <v>5.4529983489231257E-2</v>
      </c>
      <c r="GR18" s="251">
        <v>0.10704024988856996</v>
      </c>
      <c r="GS18" s="251">
        <v>0.12187037086065715</v>
      </c>
      <c r="GT18" s="251">
        <v>0.13958362299267688</v>
      </c>
      <c r="GU18" s="18">
        <v>0.32049727117842752</v>
      </c>
    </row>
    <row r="19" spans="2:203" ht="12.6" thickTop="1">
      <c r="B19" s="41"/>
      <c r="C19" s="249"/>
      <c r="D19" s="229"/>
      <c r="E19" s="229"/>
      <c r="F19" s="229"/>
      <c r="G19" s="229"/>
      <c r="H19" s="276"/>
      <c r="I19" s="254"/>
      <c r="J19" s="5" t="s">
        <v>581</v>
      </c>
      <c r="L19" s="18">
        <f>'US OTHER'!D47</f>
        <v>0.19016939255418236</v>
      </c>
      <c r="M19" s="18">
        <f>'US OTHER'!E47</f>
        <v>0.2293568775666773</v>
      </c>
      <c r="N19" s="18">
        <f>'US OTHER'!F47</f>
        <v>0.24991944174014</v>
      </c>
      <c r="O19" s="18">
        <f>'US OTHER'!G47</f>
        <v>0.29275042926246625</v>
      </c>
      <c r="P19" s="18">
        <f>'US OTHER'!H47</f>
        <v>8.0117819415815195E-2</v>
      </c>
      <c r="S19" s="88"/>
      <c r="T19" s="42"/>
      <c r="U19" s="42"/>
      <c r="V19" s="42"/>
      <c r="W19" s="42"/>
      <c r="X19" s="42"/>
      <c r="Y19" s="42"/>
      <c r="Z19" s="42"/>
      <c r="AA19" s="42"/>
      <c r="GH19" s="249"/>
      <c r="GI19" s="229"/>
      <c r="GJ19" s="229"/>
      <c r="GK19" s="229"/>
      <c r="GL19" s="229"/>
      <c r="GM19" s="276"/>
      <c r="GN19" s="254"/>
      <c r="GO19" s="41" t="s">
        <v>581</v>
      </c>
      <c r="GQ19" s="251">
        <v>0.15056253687392407</v>
      </c>
      <c r="GR19" s="251">
        <v>0.16157919501178558</v>
      </c>
      <c r="GS19" s="251">
        <v>0.17910186756368068</v>
      </c>
      <c r="GT19" s="251">
        <v>0.18999183960522259</v>
      </c>
      <c r="GU19" s="18">
        <v>4.6427635217388463E-2</v>
      </c>
    </row>
    <row r="20" spans="2:203">
      <c r="H20" s="277"/>
      <c r="I20" s="17"/>
      <c r="J20" s="5" t="s">
        <v>604</v>
      </c>
      <c r="L20" s="552">
        <f>'US OTHER'!D48</f>
        <v>0.122956651873093</v>
      </c>
      <c r="M20" s="552">
        <f>'US OTHER'!E48</f>
        <v>0.11420338650121682</v>
      </c>
      <c r="N20" s="552">
        <f>'US OTHER'!F48</f>
        <v>0.10996826737203369</v>
      </c>
      <c r="O20" s="552">
        <f>'US OTHER'!G48</f>
        <v>9.9553686168744285E-2</v>
      </c>
      <c r="P20" s="18" t="str">
        <f>'US OTHER'!H48</f>
        <v>nm</v>
      </c>
      <c r="S20" s="88"/>
      <c r="T20" s="42"/>
      <c r="U20" s="42"/>
      <c r="V20" s="42"/>
      <c r="W20" s="42"/>
      <c r="X20" s="42"/>
      <c r="Y20" s="42"/>
      <c r="Z20" s="42"/>
      <c r="AA20" s="42"/>
      <c r="GM20" s="277" t="s">
        <v>465</v>
      </c>
      <c r="GN20" s="17"/>
      <c r="GO20" s="41" t="s">
        <v>604</v>
      </c>
      <c r="GQ20" s="278">
        <v>8.6507538909175646E-2</v>
      </c>
      <c r="GR20" s="278">
        <v>9.2427506818955535E-2</v>
      </c>
      <c r="GS20" s="278">
        <v>9.3644740053382206E-2</v>
      </c>
      <c r="GT20" s="278">
        <v>9.2168398441187391E-2</v>
      </c>
      <c r="GU20" s="18" t="s">
        <v>607</v>
      </c>
    </row>
    <row r="21" spans="2:203" ht="12.6" thickBot="1">
      <c r="B21" s="306" t="s">
        <v>927</v>
      </c>
      <c r="C21" s="265"/>
      <c r="D21" s="265" t="str">
        <f>D5</f>
        <v>2023E</v>
      </c>
      <c r="E21" s="265" t="str">
        <f t="shared" ref="E21:H21" si="2">E5</f>
        <v>2024E</v>
      </c>
      <c r="F21" s="265" t="str">
        <f t="shared" si="2"/>
        <v>2025E</v>
      </c>
      <c r="G21" s="265" t="str">
        <f t="shared" si="2"/>
        <v>2026E</v>
      </c>
      <c r="H21" s="265" t="str">
        <f t="shared" si="2"/>
        <v>23E-26E</v>
      </c>
      <c r="I21" s="49"/>
      <c r="J21" s="41"/>
      <c r="L21" s="251"/>
      <c r="M21" s="251"/>
      <c r="N21" s="251"/>
      <c r="O21" s="251"/>
      <c r="P21" s="18"/>
      <c r="S21" s="88"/>
      <c r="T21" s="42"/>
      <c r="U21" s="42"/>
      <c r="V21" s="42"/>
      <c r="W21" s="42"/>
      <c r="X21" s="42"/>
      <c r="Y21" s="42"/>
      <c r="Z21" s="42"/>
      <c r="AA21" s="42"/>
      <c r="GH21" s="265"/>
      <c r="GI21" s="265" t="s">
        <v>850</v>
      </c>
      <c r="GJ21" s="265" t="s">
        <v>873</v>
      </c>
      <c r="GK21" s="265" t="s">
        <v>984</v>
      </c>
      <c r="GL21" s="265" t="s">
        <v>1008</v>
      </c>
      <c r="GM21" s="265" t="s">
        <v>1009</v>
      </c>
      <c r="GN21" s="49"/>
      <c r="GO21" s="41"/>
      <c r="GQ21" s="251"/>
      <c r="GR21" s="251"/>
      <c r="GS21" s="251"/>
      <c r="GT21" s="251"/>
      <c r="GU21" s="18"/>
    </row>
    <row r="22" spans="2:203" ht="12.6" thickTop="1">
      <c r="B22" s="5"/>
      <c r="C22" s="257"/>
      <c r="D22" s="17"/>
      <c r="E22" s="17"/>
      <c r="F22" s="17"/>
      <c r="G22" s="17"/>
      <c r="H22" s="17"/>
      <c r="I22" s="17"/>
      <c r="P22" s="277"/>
      <c r="S22" s="88"/>
      <c r="T22" s="42"/>
      <c r="U22" s="42"/>
      <c r="V22" s="42"/>
      <c r="W22" s="42"/>
      <c r="X22" s="42"/>
      <c r="Y22" s="42"/>
      <c r="Z22" s="42"/>
      <c r="AA22" s="42"/>
      <c r="GH22" s="257"/>
      <c r="GI22" s="17"/>
      <c r="GJ22" s="17"/>
      <c r="GK22" s="17"/>
      <c r="GL22" s="17"/>
      <c r="GM22" s="17"/>
      <c r="GN22" s="17"/>
      <c r="GU22" s="277" t="s">
        <v>465</v>
      </c>
    </row>
    <row r="23" spans="2:203" ht="12.6" thickBot="1">
      <c r="B23" s="5" t="s">
        <v>584</v>
      </c>
      <c r="C23" s="548">
        <v>121430</v>
      </c>
      <c r="D23" s="533">
        <v>121572.19900000001</v>
      </c>
      <c r="E23" s="533">
        <v>124997.5843598652</v>
      </c>
      <c r="F23" s="533">
        <v>125289.24294127277</v>
      </c>
      <c r="G23" s="533">
        <v>127321.16739858154</v>
      </c>
      <c r="H23" s="279">
        <f>IF(D23=0,"nm",IF(G23=0,"nm",(G23/D23)^(1/3)-1))</f>
        <v>1.5520698985130199E-2</v>
      </c>
      <c r="I23" s="247"/>
      <c r="J23" s="306" t="s">
        <v>9</v>
      </c>
      <c r="K23" s="306"/>
      <c r="L23" s="265" t="str">
        <f>D21</f>
        <v>2023E</v>
      </c>
      <c r="M23" s="265" t="str">
        <f t="shared" ref="M23:P23" si="3">E21</f>
        <v>2024E</v>
      </c>
      <c r="N23" s="265" t="str">
        <f t="shared" si="3"/>
        <v>2025E</v>
      </c>
      <c r="O23" s="265" t="str">
        <f t="shared" si="3"/>
        <v>2026E</v>
      </c>
      <c r="P23" s="265" t="str">
        <f t="shared" si="3"/>
        <v>23E-26E</v>
      </c>
      <c r="S23" s="88"/>
      <c r="T23" s="42"/>
      <c r="U23" s="42"/>
      <c r="V23" s="42"/>
      <c r="W23" s="42"/>
      <c r="X23" s="42"/>
      <c r="Y23" s="42"/>
      <c r="Z23" s="42"/>
      <c r="AA23" s="42"/>
      <c r="GH23" s="247">
        <v>102972</v>
      </c>
      <c r="GI23" s="272">
        <v>109418.0905710356</v>
      </c>
      <c r="GJ23" s="272">
        <v>113134.90074303649</v>
      </c>
      <c r="GK23" s="272">
        <v>121174.73651722138</v>
      </c>
      <c r="GL23" s="272">
        <v>121174.73651722138</v>
      </c>
      <c r="GM23" s="279">
        <v>3.4604391383373123E-2</v>
      </c>
      <c r="GN23" s="247"/>
      <c r="GO23" s="306" t="s">
        <v>9</v>
      </c>
      <c r="GP23" s="306"/>
      <c r="GQ23" s="265" t="s">
        <v>850</v>
      </c>
      <c r="GR23" s="265" t="s">
        <v>873</v>
      </c>
      <c r="GS23" s="265" t="s">
        <v>984</v>
      </c>
      <c r="GT23" s="265" t="s">
        <v>1008</v>
      </c>
      <c r="GU23" s="265" t="s">
        <v>1009</v>
      </c>
    </row>
    <row r="24" spans="2:203" ht="12.6" thickTop="1">
      <c r="B24" s="5" t="s">
        <v>483</v>
      </c>
      <c r="C24" s="549">
        <v>36463</v>
      </c>
      <c r="D24" s="533">
        <v>37633.298999999999</v>
      </c>
      <c r="E24" s="533">
        <v>39098.9671749767</v>
      </c>
      <c r="F24" s="533">
        <v>40304.968632008378</v>
      </c>
      <c r="G24" s="533">
        <v>42151.010727584398</v>
      </c>
      <c r="H24" s="279">
        <f>IF(D24=0,"nm",IF(G24=0,"nm",(G24/D24)^(1/3)-1))</f>
        <v>3.851291219562536E-2</v>
      </c>
      <c r="I24" s="249"/>
      <c r="J24" s="17"/>
      <c r="K24" s="17"/>
      <c r="L24" s="17"/>
      <c r="M24" s="17"/>
      <c r="N24" s="17"/>
      <c r="O24" s="248"/>
      <c r="S24" s="88"/>
      <c r="T24" s="42"/>
      <c r="U24" s="42"/>
      <c r="V24" s="42"/>
      <c r="W24" s="42" t="s">
        <v>51</v>
      </c>
      <c r="X24" s="42" t="s">
        <v>264</v>
      </c>
      <c r="Y24" s="42"/>
      <c r="Z24" s="42"/>
      <c r="AA24" s="42"/>
      <c r="GH24" s="249">
        <v>30883</v>
      </c>
      <c r="GI24" s="272">
        <v>32466.132994046478</v>
      </c>
      <c r="GJ24" s="272">
        <v>34064.008309916928</v>
      </c>
      <c r="GK24" s="272">
        <v>36929.748832970632</v>
      </c>
      <c r="GL24" s="272">
        <v>36929.748832970632</v>
      </c>
      <c r="GM24" s="279">
        <v>4.3875240756632961E-2</v>
      </c>
      <c r="GN24" s="249"/>
      <c r="GO24" s="17"/>
      <c r="GP24" s="17"/>
      <c r="GQ24" s="17"/>
      <c r="GR24" s="17"/>
      <c r="GS24" s="17"/>
      <c r="GT24" s="248"/>
    </row>
    <row r="25" spans="2:203">
      <c r="B25" s="5" t="s">
        <v>183</v>
      </c>
      <c r="C25" s="548">
        <v>25838</v>
      </c>
      <c r="D25" s="533">
        <v>25392.999</v>
      </c>
      <c r="E25" s="533">
        <v>26978.609368558231</v>
      </c>
      <c r="F25" s="533">
        <v>29213.554554907161</v>
      </c>
      <c r="G25" s="533">
        <v>32418.176427589224</v>
      </c>
      <c r="H25" s="279">
        <f>IF(D25=0,"nm",IF(G25=0,"nm",(G25/D25)^(1/3)-1))</f>
        <v>8.4821278786819221E-2</v>
      </c>
      <c r="I25" s="248"/>
      <c r="J25" s="247" t="s">
        <v>10</v>
      </c>
      <c r="K25" s="247"/>
      <c r="L25" s="321">
        <v>0</v>
      </c>
      <c r="M25" s="321">
        <v>0</v>
      </c>
      <c r="N25" s="321">
        <v>0</v>
      </c>
      <c r="O25" s="321">
        <v>0</v>
      </c>
      <c r="P25" s="279" t="str">
        <f>IF(L25=0,"nm",IF(O25=0,"nm",(O25/L25)^(1/3)-1))</f>
        <v>nm</v>
      </c>
      <c r="S25" s="88"/>
      <c r="T25" s="42"/>
      <c r="U25" s="42"/>
      <c r="V25" s="147" t="s">
        <v>273</v>
      </c>
      <c r="W25" s="288">
        <f>D37/L9</f>
        <v>0.83590872667326432</v>
      </c>
      <c r="X25" s="288">
        <v>1</v>
      </c>
      <c r="Y25" s="42"/>
      <c r="Z25" s="42"/>
      <c r="AA25" s="42"/>
      <c r="GH25" s="247">
        <v>41912.926041626764</v>
      </c>
      <c r="GI25" s="272">
        <v>43516.251133383463</v>
      </c>
      <c r="GJ25" s="272">
        <v>45197.346059370386</v>
      </c>
      <c r="GK25" s="272">
        <v>48131.385235806287</v>
      </c>
      <c r="GL25" s="272">
        <v>48131.385235806287</v>
      </c>
      <c r="GM25" s="279">
        <v>3.4170857857915404E-2</v>
      </c>
      <c r="GN25" s="248"/>
      <c r="GO25" s="247" t="s">
        <v>10</v>
      </c>
      <c r="GP25" s="247"/>
      <c r="GQ25" s="280">
        <v>0</v>
      </c>
      <c r="GR25" s="280">
        <v>0</v>
      </c>
      <c r="GS25" s="280">
        <v>0</v>
      </c>
      <c r="GT25" s="280">
        <v>0</v>
      </c>
      <c r="GU25" s="279" t="s">
        <v>607</v>
      </c>
    </row>
    <row r="26" spans="2:203">
      <c r="B26" s="5" t="s">
        <v>586</v>
      </c>
      <c r="C26" s="548">
        <v>16794.7</v>
      </c>
      <c r="D26" s="533">
        <v>16505.449349999999</v>
      </c>
      <c r="E26" s="533">
        <v>17536.096089562852</v>
      </c>
      <c r="F26" s="533">
        <v>18988.810460689656</v>
      </c>
      <c r="G26" s="533">
        <v>21071.814677932995</v>
      </c>
      <c r="H26" s="279">
        <f>IF(D26=0,"nm",IF(G26=0,"nm",(G26/D26)^(1/3)-1))</f>
        <v>8.4821278786819221E-2</v>
      </c>
      <c r="I26" s="249"/>
      <c r="J26" s="249" t="s">
        <v>11</v>
      </c>
      <c r="K26" s="249"/>
      <c r="L26" s="281">
        <f>D11+L25</f>
        <v>159909.04288546732</v>
      </c>
      <c r="M26" s="281">
        <f>E11+M25</f>
        <v>150544.23154605448</v>
      </c>
      <c r="N26" s="281">
        <f>F11+N25</f>
        <v>142211.35336371473</v>
      </c>
      <c r="O26" s="281">
        <f>G11+O25</f>
        <v>132657.64443153489</v>
      </c>
      <c r="P26" s="279">
        <f>IF(L26=0,"nm",IF(O26=0,"nm",(O26/L26)^(1/3)-1))</f>
        <v>-6.0378196492654856E-2</v>
      </c>
      <c r="Q26" s="5"/>
      <c r="S26" s="88"/>
      <c r="T26" s="42"/>
      <c r="U26" s="42"/>
      <c r="V26" s="147" t="s">
        <v>184</v>
      </c>
      <c r="W26" s="288">
        <f t="shared" ref="W26:W33" si="4">D38/L10</f>
        <v>0.8672583943658716</v>
      </c>
      <c r="X26" s="288">
        <v>1</v>
      </c>
      <c r="Y26" s="42"/>
      <c r="Z26" s="42"/>
      <c r="AA26" s="42"/>
      <c r="GH26" s="247">
        <v>27243.401927057399</v>
      </c>
      <c r="GI26" s="272">
        <v>28285.56323669925</v>
      </c>
      <c r="GJ26" s="272">
        <v>29378.274938590752</v>
      </c>
      <c r="GK26" s="272">
        <v>31285.400403274089</v>
      </c>
      <c r="GL26" s="272">
        <v>31285.400403274089</v>
      </c>
      <c r="GM26" s="279">
        <v>3.4170857857915404E-2</v>
      </c>
      <c r="GN26" s="249"/>
      <c r="GO26" s="249" t="s">
        <v>11</v>
      </c>
      <c r="GP26" s="249"/>
      <c r="GQ26" s="281">
        <v>169585.32526005141</v>
      </c>
      <c r="GR26" s="281">
        <v>167732.73555495648</v>
      </c>
      <c r="GS26" s="281">
        <v>168635.89223806286</v>
      </c>
      <c r="GT26" s="281">
        <v>168635.89223806286</v>
      </c>
      <c r="GU26" s="279">
        <v>-1.8696790150106724E-3</v>
      </c>
    </row>
    <row r="27" spans="2:203">
      <c r="B27" s="5" t="s">
        <v>587</v>
      </c>
      <c r="C27" s="549">
        <v>168373.47700000001</v>
      </c>
      <c r="D27" s="533">
        <v>171723.65279434423</v>
      </c>
      <c r="E27" s="533">
        <v>176073.19656883652</v>
      </c>
      <c r="F27" s="533">
        <v>176903.15176925107</v>
      </c>
      <c r="G27" s="533">
        <v>175392.25624179863</v>
      </c>
      <c r="H27" s="279">
        <f>IF(ISERROR((G27/D27)^(1/3)-1),"na",(G27/D27)^(1/3)-1)</f>
        <v>7.0710207377844281E-3</v>
      </c>
      <c r="I27" s="249"/>
      <c r="J27" s="248"/>
      <c r="K27" s="248"/>
      <c r="L27" s="248"/>
      <c r="M27" s="248"/>
      <c r="N27" s="248"/>
      <c r="O27" s="248"/>
      <c r="Q27" s="41"/>
      <c r="S27" s="88"/>
      <c r="T27" s="42"/>
      <c r="U27" s="42"/>
      <c r="V27" s="147" t="s">
        <v>185</v>
      </c>
      <c r="W27" s="288">
        <f t="shared" si="4"/>
        <v>0.68557888287178737</v>
      </c>
      <c r="X27" s="288">
        <v>1</v>
      </c>
      <c r="Y27" s="42"/>
      <c r="Z27" s="42"/>
      <c r="AA27" s="42"/>
      <c r="GH27" s="249">
        <v>131312</v>
      </c>
      <c r="GI27" s="272">
        <v>178868.47546388605</v>
      </c>
      <c r="GJ27" s="272">
        <v>159502.12582498969</v>
      </c>
      <c r="GK27" s="272">
        <v>143103.06369519717</v>
      </c>
      <c r="GL27" s="272">
        <v>143103.06369519717</v>
      </c>
      <c r="GM27" s="279">
        <v>-7.1664321120367913E-2</v>
      </c>
      <c r="GN27" s="249"/>
      <c r="GO27" s="248"/>
      <c r="GP27" s="248"/>
      <c r="GQ27" s="248"/>
      <c r="GR27" s="248"/>
      <c r="GS27" s="248"/>
      <c r="GT27" s="248"/>
    </row>
    <row r="28" spans="2:203" ht="12.6" thickBot="1">
      <c r="B28" s="5" t="s">
        <v>592</v>
      </c>
      <c r="C28" s="548">
        <v>55485</v>
      </c>
      <c r="D28" s="533">
        <v>53869.506531775216</v>
      </c>
      <c r="E28" s="533">
        <v>52226.415122200706</v>
      </c>
      <c r="F28" s="533">
        <v>49685.36013048813</v>
      </c>
      <c r="G28" s="533">
        <v>46085.365938134208</v>
      </c>
      <c r="H28" s="279">
        <f>IF(ISERROR((G28/D28)^(1/3)-1),"na",(G28/D28)^(1/3)-1)</f>
        <v>-5.0693004929310614E-2</v>
      </c>
      <c r="I28" s="248"/>
      <c r="J28" s="306" t="s">
        <v>1362</v>
      </c>
      <c r="K28" s="306"/>
      <c r="L28" s="306"/>
      <c r="M28" s="306"/>
      <c r="N28" s="266"/>
      <c r="O28" s="266"/>
      <c r="P28" s="266"/>
      <c r="Q28" s="5"/>
      <c r="S28" s="88"/>
      <c r="T28" s="42"/>
      <c r="U28" s="42"/>
      <c r="V28" s="147" t="s">
        <v>466</v>
      </c>
      <c r="W28" s="288">
        <f t="shared" si="4"/>
        <v>0.65225726832430042</v>
      </c>
      <c r="X28" s="288">
        <v>1</v>
      </c>
      <c r="Y28" s="42"/>
      <c r="Z28" s="42"/>
      <c r="AA28" s="42"/>
      <c r="GH28" s="247">
        <v>38470</v>
      </c>
      <c r="GI28" s="272">
        <v>40018.188800011725</v>
      </c>
      <c r="GJ28" s="272">
        <v>39280.483895546502</v>
      </c>
      <c r="GK28" s="272">
        <v>38716.160007117942</v>
      </c>
      <c r="GL28" s="272">
        <v>38716.160007117942</v>
      </c>
      <c r="GM28" s="279">
        <v>-1.0965102374813962E-2</v>
      </c>
      <c r="GN28" s="248"/>
      <c r="GO28" s="306" t="s">
        <v>1010</v>
      </c>
      <c r="GP28" s="306"/>
      <c r="GQ28" s="306"/>
      <c r="GR28" s="306"/>
      <c r="GS28" s="266"/>
      <c r="GT28" s="266"/>
      <c r="GU28" s="266"/>
    </row>
    <row r="29" spans="2:203" ht="12.6" thickTop="1">
      <c r="B29" s="5" t="s">
        <v>588</v>
      </c>
      <c r="C29" s="548">
        <v>38396.321000000004</v>
      </c>
      <c r="D29" s="533">
        <v>40191.200115530584</v>
      </c>
      <c r="E29" s="533">
        <v>41402.254512666354</v>
      </c>
      <c r="F29" s="533">
        <v>41548.303769530568</v>
      </c>
      <c r="G29" s="533">
        <v>42260.043199847947</v>
      </c>
      <c r="H29" s="279">
        <f>IF(D29=0,"nm",IF(G29=0,"nm",(G29/D29)^(1/3)-1))</f>
        <v>1.687207424806525E-2</v>
      </c>
      <c r="I29" s="252"/>
      <c r="J29" s="249"/>
      <c r="K29" s="249"/>
      <c r="L29" s="249"/>
      <c r="M29" s="249"/>
      <c r="N29" s="249"/>
      <c r="O29" s="251"/>
      <c r="Q29" s="5"/>
      <c r="S29" s="88"/>
      <c r="T29" s="42"/>
      <c r="U29" s="42"/>
      <c r="V29" s="147" t="s">
        <v>530</v>
      </c>
      <c r="W29" s="288">
        <f t="shared" si="4"/>
        <v>1.0136283226513503</v>
      </c>
      <c r="X29" s="288">
        <v>1</v>
      </c>
      <c r="Y29" s="42"/>
      <c r="Z29" s="42"/>
      <c r="AA29" s="42"/>
      <c r="GH29" s="247">
        <v>32481.926041626764</v>
      </c>
      <c r="GI29" s="272">
        <v>34957.174803338981</v>
      </c>
      <c r="GJ29" s="272">
        <v>35718.770958301939</v>
      </c>
      <c r="GK29" s="272">
        <v>37496.560036280804</v>
      </c>
      <c r="GL29" s="272">
        <v>37496.560036280804</v>
      </c>
      <c r="GM29" s="279">
        <v>2.3650493806531614E-2</v>
      </c>
      <c r="GN29" s="252"/>
      <c r="GO29" s="249"/>
      <c r="GP29" s="249"/>
      <c r="GQ29" s="249"/>
      <c r="GR29" s="249"/>
      <c r="GS29" s="249"/>
      <c r="GT29" s="251"/>
    </row>
    <row r="30" spans="2:203">
      <c r="B30" s="5" t="s">
        <v>589</v>
      </c>
      <c r="C30" s="549">
        <v>16146.321000000004</v>
      </c>
      <c r="D30" s="533">
        <v>15875.900115530585</v>
      </c>
      <c r="E30" s="533">
        <v>17370.079810607142</v>
      </c>
      <c r="F30" s="533">
        <v>18627.113078642564</v>
      </c>
      <c r="G30" s="533">
        <v>20907.12651744514</v>
      </c>
      <c r="H30" s="279">
        <f>IF(D30=0,"nm",IF(G30=0,"nm",(G30/D30)^(1/3)-1))</f>
        <v>9.6104590280857494E-2</v>
      </c>
      <c r="I30" s="254"/>
      <c r="J30" s="248"/>
      <c r="K30" s="248"/>
      <c r="L30" s="248"/>
      <c r="M30" s="248"/>
      <c r="N30" s="248"/>
      <c r="O30" s="5"/>
      <c r="Q30" s="5"/>
      <c r="S30" s="88"/>
      <c r="T30" s="42"/>
      <c r="U30" s="42"/>
      <c r="V30" s="147" t="s">
        <v>593</v>
      </c>
      <c r="W30" s="288">
        <f t="shared" si="4"/>
        <v>1.1008396023650662</v>
      </c>
      <c r="X30" s="288">
        <v>1</v>
      </c>
      <c r="Y30" s="42"/>
      <c r="Z30" s="42"/>
      <c r="AA30" s="42"/>
      <c r="GH30" s="249">
        <v>9874</v>
      </c>
      <c r="GI30" s="272">
        <v>11698.014604012491</v>
      </c>
      <c r="GJ30" s="272">
        <v>12533.949528782377</v>
      </c>
      <c r="GK30" s="272">
        <v>14314.940699934117</v>
      </c>
      <c r="GL30" s="272">
        <v>14314.940699934117</v>
      </c>
      <c r="GM30" s="279">
        <v>6.9610845860523574E-2</v>
      </c>
      <c r="GN30" s="254"/>
      <c r="GO30" s="248"/>
      <c r="GP30" s="248"/>
      <c r="GQ30" s="248"/>
      <c r="GR30" s="248"/>
      <c r="GS30" s="248"/>
      <c r="GT30" s="5"/>
    </row>
    <row r="31" spans="2:203">
      <c r="B31" s="5" t="s">
        <v>590</v>
      </c>
      <c r="C31" s="549">
        <v>4741</v>
      </c>
      <c r="D31" s="533">
        <v>4790.2929887974715</v>
      </c>
      <c r="E31" s="533">
        <v>5029.4829424364088</v>
      </c>
      <c r="F31" s="533">
        <v>4988.3623036079834</v>
      </c>
      <c r="G31" s="533">
        <v>4887.4326575387213</v>
      </c>
      <c r="H31" s="279">
        <f>IF(D31=0,"nm",IF(G31=0,"nm",(G31/D31)^(1/3)-1))</f>
        <v>6.714297299340366E-3</v>
      </c>
      <c r="I31" s="254"/>
      <c r="J31" s="252"/>
      <c r="K31" s="252"/>
      <c r="L31" s="252"/>
      <c r="M31" s="252"/>
      <c r="N31" s="252"/>
      <c r="O31" s="5"/>
      <c r="Q31" s="5"/>
      <c r="S31" s="88"/>
      <c r="T31" s="42"/>
      <c r="U31" s="42"/>
      <c r="V31" s="147" t="s">
        <v>475</v>
      </c>
      <c r="W31" s="288">
        <f t="shared" si="4"/>
        <v>0.75662845254772904</v>
      </c>
      <c r="X31" s="288">
        <v>1</v>
      </c>
      <c r="Y31" s="42"/>
      <c r="Z31" s="42"/>
      <c r="AA31" s="42"/>
      <c r="GH31" s="249">
        <v>2883</v>
      </c>
      <c r="GI31" s="272">
        <v>3358.6446979492916</v>
      </c>
      <c r="GJ31" s="272">
        <v>3742.0687990685115</v>
      </c>
      <c r="GK31" s="272">
        <v>4100.3388595905371</v>
      </c>
      <c r="GL31" s="272">
        <v>4100.3388595905371</v>
      </c>
      <c r="GM31" s="279">
        <v>6.8772396344291664E-2</v>
      </c>
      <c r="GN31" s="254"/>
      <c r="GO31" s="252"/>
      <c r="GP31" s="252"/>
      <c r="GQ31" s="252"/>
      <c r="GR31" s="252"/>
      <c r="GS31" s="252"/>
      <c r="GT31" s="5"/>
    </row>
    <row r="32" spans="2:203">
      <c r="B32" s="5" t="s">
        <v>606</v>
      </c>
      <c r="C32" s="550">
        <v>13328</v>
      </c>
      <c r="D32" s="533">
        <v>6400</v>
      </c>
      <c r="E32" s="533">
        <v>12135.464411155886</v>
      </c>
      <c r="F32" s="533">
        <v>13731.528585987779</v>
      </c>
      <c r="G32" s="533">
        <v>20077.182688402438</v>
      </c>
      <c r="H32" s="279">
        <f>IF(D32=0,"nm",IF(G32=0,"nm",(G32/D32)^(1/3)-1))</f>
        <v>0.46388715124320856</v>
      </c>
      <c r="I32" s="254"/>
      <c r="J32" s="254"/>
      <c r="K32" s="254"/>
      <c r="L32" s="254"/>
      <c r="M32" s="254"/>
      <c r="N32" s="254"/>
      <c r="O32" s="251"/>
      <c r="Q32" s="5"/>
      <c r="S32" s="88"/>
      <c r="T32" s="42"/>
      <c r="U32" s="42"/>
      <c r="V32" s="147" t="s">
        <v>533</v>
      </c>
      <c r="W32" s="288">
        <f t="shared" si="4"/>
        <v>0.94233572738415683</v>
      </c>
      <c r="X32" s="288">
        <v>1</v>
      </c>
      <c r="Y32" s="42"/>
      <c r="Z32" s="42"/>
      <c r="AA32" s="42"/>
      <c r="GH32" s="270">
        <v>5435</v>
      </c>
      <c r="GI32" s="272">
        <v>5551</v>
      </c>
      <c r="GJ32" s="272">
        <v>17076.075097319681</v>
      </c>
      <c r="GK32" s="272">
        <v>14100.962719592939</v>
      </c>
      <c r="GL32" s="272">
        <v>14100.962719592939</v>
      </c>
      <c r="GM32" s="279">
        <v>0.36445488029316753</v>
      </c>
      <c r="GN32" s="254"/>
      <c r="GO32" s="254"/>
      <c r="GP32" s="254"/>
      <c r="GQ32" s="254"/>
      <c r="GR32" s="254"/>
      <c r="GS32" s="254"/>
      <c r="GT32" s="251"/>
    </row>
    <row r="33" spans="2:202">
      <c r="B33" s="5" t="s">
        <v>5</v>
      </c>
      <c r="C33" s="549">
        <v>-4214.8</v>
      </c>
      <c r="D33" s="533">
        <v>-3883.3662179794619</v>
      </c>
      <c r="E33" s="533">
        <v>-3869.4491849663391</v>
      </c>
      <c r="F33" s="533">
        <v>-4024.5193195921315</v>
      </c>
      <c r="G33" s="533">
        <v>-4152.6551319872024</v>
      </c>
      <c r="H33" s="279">
        <f>IF(ISERROR((G33/D33)^(1/3)-1),"na",(G33/D33)^(1/3)-1)</f>
        <v>2.2600119322341072E-2</v>
      </c>
      <c r="I33" s="5"/>
      <c r="J33" s="254"/>
      <c r="K33" s="254"/>
      <c r="L33" s="254"/>
      <c r="M33" s="254"/>
      <c r="N33" s="254"/>
      <c r="O33" s="251"/>
      <c r="Q33" s="5"/>
      <c r="S33" s="88"/>
      <c r="T33" s="42"/>
      <c r="U33" s="42"/>
      <c r="V33" s="147" t="s">
        <v>580</v>
      </c>
      <c r="W33" s="288">
        <f t="shared" si="4"/>
        <v>1.3584403911057525</v>
      </c>
      <c r="X33" s="288">
        <v>1</v>
      </c>
      <c r="Y33" s="42"/>
      <c r="Z33" s="42"/>
      <c r="AA33" s="42"/>
      <c r="GH33" s="249">
        <v>-2833</v>
      </c>
      <c r="GI33" s="272">
        <v>-3400.7633169955443</v>
      </c>
      <c r="GJ33" s="272">
        <v>-3432.7809934557358</v>
      </c>
      <c r="GK33" s="272">
        <v>-3507.6607421146809</v>
      </c>
      <c r="GL33" s="272">
        <v>-3507.6607421146809</v>
      </c>
      <c r="GM33" s="279">
        <v>1.036988125815852E-2</v>
      </c>
      <c r="GN33" s="5"/>
      <c r="GO33" s="254"/>
      <c r="GP33" s="254"/>
      <c r="GQ33" s="254"/>
      <c r="GR33" s="254"/>
      <c r="GS33" s="254"/>
      <c r="GT33" s="251"/>
    </row>
    <row r="34" spans="2:202">
      <c r="D34" s="5"/>
      <c r="E34" s="5"/>
      <c r="F34" s="5"/>
      <c r="G34" s="5"/>
      <c r="I34" s="49"/>
      <c r="J34" s="254"/>
      <c r="K34" s="254"/>
      <c r="L34" s="254"/>
      <c r="M34" s="254"/>
      <c r="N34" s="254"/>
      <c r="O34" s="251"/>
      <c r="Q34" s="5"/>
      <c r="S34" s="88"/>
      <c r="T34" s="42"/>
      <c r="U34" s="42"/>
      <c r="V34" s="147" t="s">
        <v>581</v>
      </c>
      <c r="W34" s="288">
        <f>D47/L19</f>
        <v>1.3216526508258937</v>
      </c>
      <c r="X34" s="288">
        <v>1</v>
      </c>
      <c r="Y34" s="288"/>
      <c r="Z34" s="288"/>
      <c r="AA34" s="42"/>
    </row>
    <row r="35" spans="2:202" ht="12.6" thickBot="1">
      <c r="B35" s="306" t="s">
        <v>642</v>
      </c>
      <c r="C35" s="265"/>
      <c r="D35" s="265" t="str">
        <f>D5</f>
        <v>2023E</v>
      </c>
      <c r="E35" s="265" t="str">
        <f t="shared" ref="E35:H35" si="5">E5</f>
        <v>2024E</v>
      </c>
      <c r="F35" s="265" t="str">
        <f t="shared" si="5"/>
        <v>2025E</v>
      </c>
      <c r="G35" s="265" t="str">
        <f t="shared" si="5"/>
        <v>2026E</v>
      </c>
      <c r="H35" s="265" t="str">
        <f t="shared" si="5"/>
        <v>23E-26E</v>
      </c>
      <c r="I35" s="254"/>
      <c r="J35" s="5"/>
      <c r="K35" s="5"/>
      <c r="L35" s="5"/>
      <c r="M35" s="5"/>
      <c r="N35" s="5"/>
      <c r="O35" s="5"/>
      <c r="Q35" s="5"/>
      <c r="S35" s="88"/>
      <c r="T35" s="42"/>
      <c r="U35" s="42"/>
      <c r="V35" s="42"/>
      <c r="W35" s="42"/>
      <c r="X35" s="42"/>
      <c r="Y35" s="288"/>
      <c r="Z35" s="288"/>
      <c r="AA35" s="42"/>
    </row>
    <row r="36" spans="2:202" ht="12.6" thickTop="1">
      <c r="B36" s="41"/>
      <c r="C36" s="249"/>
      <c r="D36" s="254"/>
      <c r="E36" s="254"/>
      <c r="F36" s="254"/>
      <c r="G36" s="254"/>
      <c r="H36" s="254"/>
      <c r="I36" s="17"/>
      <c r="J36" s="49"/>
      <c r="K36" s="49"/>
      <c r="L36" s="49"/>
      <c r="M36" s="49"/>
      <c r="N36" s="49"/>
      <c r="O36" s="49"/>
      <c r="Q36" s="5"/>
      <c r="S36" s="88"/>
      <c r="T36" s="42"/>
      <c r="U36" s="42"/>
      <c r="V36" s="42"/>
      <c r="W36" s="42"/>
      <c r="X36" s="42"/>
      <c r="Y36" s="288"/>
      <c r="Z36" s="288"/>
      <c r="AA36" s="42"/>
    </row>
    <row r="37" spans="2:202">
      <c r="B37" s="5" t="s">
        <v>273</v>
      </c>
      <c r="C37" s="247"/>
      <c r="D37" s="529">
        <f>D$18/D23</f>
        <v>1.649808646372102</v>
      </c>
      <c r="E37" s="529">
        <f t="shared" ref="E37:G41" si="6">E$18/E23</f>
        <v>1.5392599218624783</v>
      </c>
      <c r="F37" s="529">
        <f t="shared" si="6"/>
        <v>1.452454581683374</v>
      </c>
      <c r="G37" s="529">
        <f t="shared" si="6"/>
        <v>1.3506496829942882</v>
      </c>
      <c r="H37" s="17">
        <f>H23</f>
        <v>1.5520698985130199E-2</v>
      </c>
      <c r="I37" s="5"/>
      <c r="J37" s="259"/>
      <c r="K37" s="259"/>
      <c r="L37" s="259"/>
      <c r="M37" s="259"/>
      <c r="N37" s="259"/>
      <c r="O37" s="18"/>
      <c r="Q37" s="5"/>
      <c r="R37" s="5"/>
      <c r="S37" s="42"/>
      <c r="T37" s="42"/>
      <c r="U37" s="42"/>
      <c r="V37" s="42"/>
      <c r="W37" s="42"/>
      <c r="X37" s="42"/>
      <c r="Y37" s="42"/>
      <c r="Z37" s="42"/>
      <c r="AA37" s="42"/>
    </row>
    <row r="38" spans="2:202">
      <c r="B38" s="5" t="s">
        <v>184</v>
      </c>
      <c r="C38" s="247"/>
      <c r="D38" s="529">
        <f>D$18/D24</f>
        <v>5.3296115514260345</v>
      </c>
      <c r="E38" s="529">
        <f t="shared" si="6"/>
        <v>4.9209425679638628</v>
      </c>
      <c r="F38" s="529">
        <f>F$18/F24</f>
        <v>4.5150000390069804</v>
      </c>
      <c r="G38" s="529">
        <f t="shared" si="6"/>
        <v>4.0797668055162184</v>
      </c>
      <c r="H38" s="17">
        <f t="shared" ref="H38:H45" si="7">H24</f>
        <v>3.851291219562536E-2</v>
      </c>
      <c r="I38" s="259"/>
      <c r="J38" s="17"/>
      <c r="K38" s="17"/>
      <c r="L38" s="17"/>
      <c r="M38" s="17"/>
      <c r="N38" s="17"/>
      <c r="O38" s="5"/>
      <c r="Q38" s="5"/>
      <c r="R38" s="5"/>
      <c r="S38" s="42"/>
      <c r="T38" s="42"/>
      <c r="U38" s="42"/>
      <c r="V38" s="42"/>
      <c r="W38" s="42"/>
      <c r="X38" s="42"/>
      <c r="Y38" s="42"/>
      <c r="Z38" s="42"/>
      <c r="AA38" s="42"/>
    </row>
    <row r="39" spans="2:202">
      <c r="B39" s="5" t="s">
        <v>185</v>
      </c>
      <c r="C39" s="247"/>
      <c r="D39" s="529">
        <f>D$18/D25</f>
        <v>7.8986678599353244</v>
      </c>
      <c r="E39" s="529">
        <f t="shared" si="6"/>
        <v>7.1317156976592866</v>
      </c>
      <c r="F39" s="529">
        <f t="shared" si="6"/>
        <v>6.2291952389314869</v>
      </c>
      <c r="G39" s="529">
        <f t="shared" si="6"/>
        <v>5.3046257789813973</v>
      </c>
      <c r="H39" s="17">
        <f t="shared" si="7"/>
        <v>8.4821278786819221E-2</v>
      </c>
      <c r="I39" s="17"/>
      <c r="J39" s="5"/>
      <c r="K39" s="5"/>
      <c r="L39" s="5"/>
      <c r="M39" s="5"/>
      <c r="N39" s="5"/>
      <c r="O39" s="5"/>
      <c r="Q39" s="5"/>
      <c r="R39" s="5"/>
      <c r="S39" s="42"/>
      <c r="T39" s="42"/>
      <c r="U39" s="42"/>
      <c r="V39" s="42"/>
      <c r="W39" s="42"/>
      <c r="X39" s="42"/>
      <c r="Y39" s="42"/>
      <c r="Z39" s="42"/>
      <c r="AA39" s="42"/>
    </row>
    <row r="40" spans="2:202">
      <c r="B40" s="5" t="s">
        <v>466</v>
      </c>
      <c r="C40" s="247"/>
      <c r="D40" s="529">
        <f>D$18/D26</f>
        <v>12.151796707592808</v>
      </c>
      <c r="E40" s="529">
        <f>E$18/E26</f>
        <v>10.971870304091208</v>
      </c>
      <c r="F40" s="529">
        <f t="shared" si="6"/>
        <v>9.5833772906638259</v>
      </c>
      <c r="G40" s="529">
        <f>G$18/G26</f>
        <v>8.1609627368944579</v>
      </c>
      <c r="H40" s="17">
        <f t="shared" si="7"/>
        <v>8.4821278786819221E-2</v>
      </c>
      <c r="I40" s="5"/>
      <c r="J40" s="259"/>
      <c r="K40" s="259"/>
      <c r="L40" s="259"/>
      <c r="M40" s="259"/>
      <c r="N40" s="259"/>
      <c r="O40" s="18"/>
      <c r="Q40" s="5"/>
      <c r="R40" s="5"/>
      <c r="S40" s="42"/>
      <c r="T40" s="42"/>
      <c r="U40" s="42"/>
      <c r="V40" s="42"/>
      <c r="W40" s="288"/>
      <c r="X40" s="288"/>
      <c r="Y40" s="42"/>
      <c r="Z40" s="42"/>
      <c r="AA40" s="42"/>
    </row>
    <row r="41" spans="2:202">
      <c r="B41" s="5" t="s">
        <v>530</v>
      </c>
      <c r="C41" s="247"/>
      <c r="D41" s="529">
        <f>D$18/D27</f>
        <v>1.1679862488650468</v>
      </c>
      <c r="E41" s="529">
        <f t="shared" si="6"/>
        <v>1.092748786778251</v>
      </c>
      <c r="F41" s="529">
        <f t="shared" si="6"/>
        <v>1.0286811349922134</v>
      </c>
      <c r="G41" s="529">
        <f t="shared" si="6"/>
        <v>0.98046685794543464</v>
      </c>
      <c r="H41" s="17">
        <f t="shared" si="7"/>
        <v>7.0710207377844281E-3</v>
      </c>
      <c r="I41" s="247"/>
      <c r="J41" s="17"/>
      <c r="K41" s="17"/>
      <c r="L41" s="17"/>
      <c r="M41" s="17"/>
      <c r="N41" s="17"/>
      <c r="O41" s="5"/>
      <c r="Q41" s="5"/>
      <c r="R41" s="5"/>
      <c r="S41" s="42"/>
      <c r="T41" s="42"/>
      <c r="U41" s="42"/>
      <c r="V41" s="42"/>
      <c r="W41" s="288"/>
      <c r="X41" s="288"/>
      <c r="Y41" s="288"/>
      <c r="Z41" s="288"/>
      <c r="AA41" s="42"/>
    </row>
    <row r="42" spans="2:202">
      <c r="B42" s="5" t="s">
        <v>593</v>
      </c>
      <c r="C42" s="247"/>
      <c r="D42" s="529">
        <f>D18/D28</f>
        <v>3.7232727378031956</v>
      </c>
      <c r="E42" s="529">
        <f>E18/E28</f>
        <v>3.6840317583462956</v>
      </c>
      <c r="F42" s="529">
        <f>F18/F28</f>
        <v>3.6625866144024894</v>
      </c>
      <c r="G42" s="529">
        <f>G18/G28</f>
        <v>3.7314729065232419</v>
      </c>
      <c r="H42" s="17">
        <f t="shared" si="7"/>
        <v>-5.0693004929310614E-2</v>
      </c>
      <c r="I42" s="248"/>
      <c r="J42" s="5"/>
      <c r="K42" s="5"/>
      <c r="L42" s="5"/>
      <c r="M42" s="5"/>
      <c r="N42" s="5"/>
      <c r="O42" s="5"/>
      <c r="Q42" s="5"/>
      <c r="R42" s="5"/>
      <c r="S42" s="42"/>
      <c r="T42" s="42"/>
      <c r="U42" s="42"/>
      <c r="V42" s="42"/>
      <c r="W42" s="288"/>
      <c r="X42" s="288"/>
      <c r="Y42" s="288"/>
      <c r="Z42" s="288"/>
      <c r="AA42" s="42"/>
    </row>
    <row r="43" spans="2:202">
      <c r="B43" s="5" t="s">
        <v>475</v>
      </c>
      <c r="C43" s="247"/>
      <c r="D43" s="529">
        <f>L26/D29</f>
        <v>3.9787078371833853</v>
      </c>
      <c r="E43" s="529">
        <f>M26/E29</f>
        <v>3.636136082879204</v>
      </c>
      <c r="F43" s="529">
        <f>N26/F29</f>
        <v>3.4227956489527105</v>
      </c>
      <c r="G43" s="529">
        <f>O26/G29</f>
        <v>3.1390797166059734</v>
      </c>
      <c r="H43" s="17">
        <f t="shared" si="7"/>
        <v>1.687207424806525E-2</v>
      </c>
      <c r="I43" s="247"/>
      <c r="J43" s="247"/>
      <c r="K43" s="247"/>
      <c r="L43" s="247"/>
      <c r="M43" s="247"/>
      <c r="N43" s="247"/>
      <c r="O43" s="18"/>
      <c r="Q43" s="5"/>
      <c r="R43" s="5"/>
      <c r="S43" s="42"/>
      <c r="T43" s="42"/>
      <c r="U43" s="42"/>
      <c r="V43" s="42"/>
      <c r="W43" s="288"/>
      <c r="X43" s="288"/>
      <c r="Y43" s="288"/>
      <c r="Z43" s="288"/>
      <c r="AA43" s="42"/>
    </row>
    <row r="44" spans="2:202">
      <c r="B44" s="5" t="s">
        <v>533</v>
      </c>
      <c r="C44" s="69"/>
      <c r="D44" s="529">
        <f>D11/D30</f>
        <v>10.072439466221915</v>
      </c>
      <c r="E44" s="529">
        <f>E11/E30</f>
        <v>8.6668704569868336</v>
      </c>
      <c r="F44" s="529">
        <f>F11/F30</f>
        <v>7.6346427255424318</v>
      </c>
      <c r="G44" s="529">
        <f>G11/G30</f>
        <v>6.3450921541438934</v>
      </c>
      <c r="H44" s="17">
        <f t="shared" si="7"/>
        <v>9.6104590280857494E-2</v>
      </c>
      <c r="I44" s="247"/>
      <c r="J44" s="248"/>
      <c r="K44" s="248"/>
      <c r="L44" s="248"/>
      <c r="M44" s="248"/>
      <c r="N44" s="248"/>
      <c r="O44" s="248"/>
      <c r="Q44" s="5"/>
      <c r="R44" s="5"/>
      <c r="S44" s="42"/>
      <c r="T44" s="42"/>
      <c r="U44" s="42"/>
      <c r="V44" s="42"/>
      <c r="W44" s="325"/>
      <c r="X44" s="325"/>
      <c r="Y44" s="288"/>
      <c r="Z44" s="288"/>
      <c r="AA44" s="42"/>
    </row>
    <row r="45" spans="2:202">
      <c r="B45" s="5" t="s">
        <v>580</v>
      </c>
      <c r="C45" s="247"/>
      <c r="D45" s="248">
        <f>D31/D11</f>
        <v>2.9956360830878423E-2</v>
      </c>
      <c r="E45" s="248">
        <f>E31/E11</f>
        <v>3.3408672592664501E-2</v>
      </c>
      <c r="F45" s="248">
        <f>F31/F11</f>
        <v>3.5077103097738788E-2</v>
      </c>
      <c r="G45" s="248">
        <f>G31/G11</f>
        <v>3.6842450191863191E-2</v>
      </c>
      <c r="H45" s="17">
        <f t="shared" si="7"/>
        <v>6.714297299340366E-3</v>
      </c>
      <c r="I45" s="248"/>
      <c r="J45" s="247"/>
      <c r="K45" s="247"/>
      <c r="L45" s="247"/>
      <c r="M45" s="247"/>
      <c r="N45" s="247"/>
      <c r="O45" s="248"/>
      <c r="Q45" s="5"/>
      <c r="R45" s="5"/>
      <c r="S45" s="42"/>
      <c r="T45" s="42"/>
      <c r="U45" s="42"/>
      <c r="V45" s="42"/>
      <c r="W45" s="42"/>
      <c r="X45" s="42"/>
      <c r="Y45" s="325"/>
      <c r="Z45" s="325"/>
      <c r="AA45" s="42"/>
    </row>
    <row r="46" spans="2:202">
      <c r="B46" s="5" t="s">
        <v>605</v>
      </c>
      <c r="C46" s="247"/>
      <c r="D46" s="248">
        <f>(D31+D32)/D11</f>
        <v>6.997911304373429E-2</v>
      </c>
      <c r="E46" s="248">
        <f>(E31+E32)/E11</f>
        <v>0.11401929637098845</v>
      </c>
      <c r="F46" s="248">
        <f>(F31+F32)/F11</f>
        <v>0.13163429252879993</v>
      </c>
      <c r="G46" s="248">
        <f>(G31+G32)/G11</f>
        <v>0.18818829064031428</v>
      </c>
      <c r="H46" s="279">
        <f>((G31+G32)/(D31+D32))^(1/3)-1</f>
        <v>0.30665561911893535</v>
      </c>
      <c r="I46" s="247"/>
      <c r="J46" s="247"/>
      <c r="K46" s="247"/>
      <c r="L46" s="247"/>
      <c r="M46" s="247"/>
      <c r="N46" s="247"/>
      <c r="O46" s="18"/>
      <c r="Q46" s="5"/>
      <c r="R46" s="5"/>
      <c r="S46" s="42"/>
      <c r="T46" s="42"/>
      <c r="U46" s="42"/>
      <c r="V46" s="42"/>
      <c r="W46" s="42"/>
      <c r="X46" s="42"/>
      <c r="Y46" s="42"/>
      <c r="Z46" s="42"/>
      <c r="AA46" s="326"/>
    </row>
    <row r="47" spans="2:202">
      <c r="B47" s="5" t="s">
        <v>581</v>
      </c>
      <c r="C47" s="5"/>
      <c r="D47" s="248">
        <f>1/D43</f>
        <v>0.25133788177518507</v>
      </c>
      <c r="E47" s="248">
        <f>1/E43</f>
        <v>0.27501720980920202</v>
      </c>
      <c r="F47" s="248">
        <f>1/F43</f>
        <v>0.29215883814330978</v>
      </c>
      <c r="G47" s="248">
        <f>1/G43</f>
        <v>0.3185647037601253</v>
      </c>
      <c r="H47" s="17">
        <f>H29</f>
        <v>1.687207424806525E-2</v>
      </c>
      <c r="I47" s="17"/>
      <c r="J47" s="248"/>
      <c r="K47" s="248"/>
      <c r="L47" s="248"/>
      <c r="M47" s="248"/>
      <c r="N47" s="248"/>
      <c r="O47" s="248"/>
      <c r="Q47" s="5"/>
      <c r="R47" s="5"/>
      <c r="S47" s="42"/>
      <c r="T47" s="42"/>
      <c r="U47" s="42"/>
      <c r="V47" s="42"/>
      <c r="W47" s="42"/>
      <c r="X47" s="42"/>
      <c r="Y47" s="42"/>
      <c r="Z47" s="42"/>
      <c r="AA47" s="326"/>
    </row>
    <row r="48" spans="2:202">
      <c r="B48" s="5" t="s">
        <v>618</v>
      </c>
      <c r="C48" s="5"/>
      <c r="D48" s="305">
        <f>D31/D29</f>
        <v>0.11918760761130938</v>
      </c>
      <c r="E48" s="305">
        <f>E31/E29</f>
        <v>0.12147847989528492</v>
      </c>
      <c r="F48" s="305">
        <f>F31/F29</f>
        <v>0.12006175586080597</v>
      </c>
      <c r="G48" s="305">
        <f>G31/G29</f>
        <v>0.11565138810734359</v>
      </c>
      <c r="H48" s="279" t="s">
        <v>607</v>
      </c>
      <c r="I48" s="247"/>
      <c r="J48" s="247"/>
      <c r="K48" s="247"/>
      <c r="L48" s="247"/>
      <c r="M48" s="247"/>
      <c r="N48" s="247"/>
      <c r="O48" s="248"/>
      <c r="Q48" s="5"/>
      <c r="R48" s="5"/>
      <c r="S48" s="42"/>
      <c r="T48" s="42"/>
      <c r="U48" s="42"/>
      <c r="V48" s="42"/>
      <c r="W48" s="42"/>
      <c r="X48" s="42"/>
      <c r="Y48" s="42"/>
      <c r="Z48" s="42"/>
      <c r="AA48" s="326"/>
    </row>
    <row r="49" spans="2:27">
      <c r="B49" s="41"/>
      <c r="C49" s="17"/>
      <c r="D49" s="17"/>
      <c r="E49" s="17"/>
      <c r="F49" s="17"/>
      <c r="G49" s="17"/>
      <c r="H49" s="17"/>
      <c r="I49" s="254"/>
      <c r="J49" s="17"/>
      <c r="K49" s="17"/>
      <c r="L49" s="17"/>
      <c r="M49" s="17"/>
      <c r="N49" s="17"/>
      <c r="O49" s="248"/>
      <c r="Q49" s="5"/>
      <c r="R49" s="5"/>
      <c r="S49" s="42"/>
      <c r="T49" s="42"/>
      <c r="U49" s="42"/>
      <c r="V49" s="42"/>
      <c r="W49" s="42"/>
      <c r="X49" s="42"/>
      <c r="Y49" s="42"/>
      <c r="Z49" s="42"/>
      <c r="AA49" s="326"/>
    </row>
    <row r="50" spans="2:27">
      <c r="B50" s="5"/>
      <c r="C50" s="257"/>
      <c r="D50" s="257"/>
      <c r="E50" s="257"/>
      <c r="F50" s="5"/>
      <c r="G50" s="41"/>
      <c r="H50" s="249"/>
      <c r="I50" s="17"/>
      <c r="J50" s="249"/>
      <c r="K50" s="249"/>
      <c r="L50" s="249"/>
      <c r="M50" s="249"/>
      <c r="N50" s="249"/>
      <c r="O50" s="250"/>
      <c r="Q50" s="5"/>
      <c r="R50" s="5"/>
      <c r="S50" s="42"/>
      <c r="T50" s="42"/>
      <c r="U50" s="42"/>
      <c r="V50" s="42"/>
      <c r="W50" s="288"/>
      <c r="X50" s="288"/>
      <c r="Y50" s="42"/>
      <c r="Z50" s="42"/>
      <c r="AA50" s="326"/>
    </row>
    <row r="51" spans="2:27">
      <c r="B51" s="41"/>
      <c r="C51" s="249"/>
      <c r="D51" s="254"/>
      <c r="E51" s="254"/>
      <c r="F51" s="254"/>
      <c r="G51" s="254"/>
      <c r="H51" s="254"/>
      <c r="I51" s="259"/>
      <c r="J51" s="254"/>
      <c r="K51" s="254"/>
      <c r="L51" s="254"/>
      <c r="M51" s="254"/>
      <c r="N51" s="254"/>
      <c r="O51" s="251"/>
      <c r="Q51" s="5"/>
      <c r="R51" s="5"/>
      <c r="S51" s="42"/>
      <c r="T51" s="42"/>
      <c r="U51" s="42"/>
      <c r="V51" s="42"/>
      <c r="W51" s="288"/>
      <c r="X51" s="288"/>
      <c r="Y51" s="288"/>
      <c r="Z51" s="288"/>
      <c r="AA51" s="42"/>
    </row>
    <row r="52" spans="2:27">
      <c r="B52" s="5"/>
      <c r="C52" s="257"/>
      <c r="D52" s="17"/>
      <c r="E52" s="17"/>
      <c r="F52" s="17"/>
      <c r="G52" s="17"/>
      <c r="H52" s="17"/>
      <c r="I52" s="254"/>
      <c r="J52" s="17"/>
      <c r="K52" s="17"/>
      <c r="L52" s="17"/>
      <c r="M52" s="17"/>
      <c r="N52" s="17"/>
      <c r="O52" s="248"/>
      <c r="Q52" s="5"/>
      <c r="R52" s="5"/>
      <c r="S52" s="5"/>
      <c r="Y52" s="10"/>
      <c r="Z52" s="10"/>
    </row>
    <row r="53" spans="2:27">
      <c r="B53" s="5"/>
      <c r="C53" s="257"/>
      <c r="D53" s="257"/>
      <c r="E53" s="257"/>
      <c r="F53" s="5"/>
      <c r="G53" s="5"/>
      <c r="H53" s="259"/>
      <c r="I53" s="17"/>
      <c r="J53" s="259"/>
      <c r="K53" s="259"/>
      <c r="L53" s="259"/>
      <c r="M53" s="259"/>
      <c r="N53" s="259"/>
      <c r="O53" s="18"/>
      <c r="Q53" s="5"/>
      <c r="R53" s="5"/>
      <c r="S53" s="5"/>
    </row>
    <row r="54" spans="2:27">
      <c r="B54" s="41"/>
      <c r="C54" s="249"/>
      <c r="D54" s="254"/>
      <c r="E54" s="254"/>
      <c r="F54" s="254"/>
      <c r="G54" s="254"/>
      <c r="H54" s="254"/>
      <c r="I54" s="259"/>
      <c r="J54" s="254"/>
      <c r="K54" s="254"/>
      <c r="L54" s="254"/>
      <c r="M54" s="254"/>
      <c r="N54" s="254"/>
      <c r="O54" s="251"/>
      <c r="Q54" s="5"/>
      <c r="R54" s="5"/>
      <c r="S54" s="5"/>
    </row>
    <row r="55" spans="2:27">
      <c r="B55" s="5"/>
      <c r="C55" s="257"/>
      <c r="D55" s="17"/>
      <c r="E55" s="17"/>
      <c r="F55" s="17"/>
      <c r="G55" s="17"/>
      <c r="H55" s="17"/>
      <c r="I55" s="249"/>
      <c r="J55" s="17"/>
      <c r="K55" s="17"/>
      <c r="L55" s="17"/>
      <c r="M55" s="17"/>
      <c r="N55" s="17"/>
      <c r="O55" s="18"/>
      <c r="Q55" s="5"/>
      <c r="R55" s="5"/>
      <c r="S55" s="5"/>
    </row>
    <row r="56" spans="2:27">
      <c r="B56" s="5"/>
      <c r="C56" s="248"/>
      <c r="D56" s="248"/>
      <c r="E56" s="248"/>
      <c r="F56" s="5"/>
      <c r="G56" s="5"/>
      <c r="H56" s="259"/>
      <c r="I56" s="248"/>
      <c r="J56" s="259"/>
      <c r="K56" s="259"/>
      <c r="L56" s="259"/>
      <c r="M56" s="259"/>
      <c r="N56" s="259"/>
      <c r="O56" s="18"/>
      <c r="Q56" s="5"/>
      <c r="R56" s="5"/>
      <c r="S56" s="5"/>
    </row>
    <row r="57" spans="2:27">
      <c r="B57" s="41"/>
      <c r="C57" s="249"/>
      <c r="D57" s="249"/>
      <c r="E57" s="249"/>
      <c r="F57" s="249"/>
      <c r="G57" s="249"/>
      <c r="H57" s="249"/>
      <c r="I57" s="5"/>
      <c r="J57" s="249"/>
      <c r="K57" s="249"/>
      <c r="L57" s="249"/>
      <c r="M57" s="249"/>
      <c r="N57" s="249"/>
      <c r="O57" s="251"/>
      <c r="Q57" s="5"/>
      <c r="R57" s="5"/>
      <c r="S57" s="5"/>
    </row>
    <row r="58" spans="2:27">
      <c r="B58" s="5"/>
      <c r="C58" s="5"/>
      <c r="D58" s="248"/>
      <c r="E58" s="248"/>
      <c r="F58" s="248"/>
      <c r="G58" s="248"/>
      <c r="H58" s="248"/>
      <c r="I58" s="17"/>
      <c r="J58" s="248"/>
      <c r="K58" s="248"/>
      <c r="L58" s="248"/>
      <c r="M58" s="248"/>
      <c r="N58" s="248"/>
      <c r="O58" s="18"/>
      <c r="Q58" s="5"/>
      <c r="R58" s="5"/>
      <c r="S58" s="5"/>
    </row>
    <row r="59" spans="2:27">
      <c r="B59" s="5"/>
      <c r="C59" s="5"/>
      <c r="D59" s="5"/>
      <c r="E59" s="5"/>
      <c r="F59" s="5"/>
      <c r="G59" s="5"/>
      <c r="H59" s="5"/>
      <c r="I59" s="5"/>
      <c r="J59" s="5"/>
      <c r="K59" s="5"/>
      <c r="L59" s="5"/>
      <c r="M59" s="5"/>
      <c r="N59" s="5"/>
      <c r="O59" s="5"/>
      <c r="Q59" s="5"/>
      <c r="R59" s="5"/>
      <c r="S59" s="5"/>
    </row>
    <row r="60" spans="2:27">
      <c r="B60" s="41"/>
      <c r="C60" s="17"/>
      <c r="D60" s="17"/>
      <c r="E60" s="17"/>
      <c r="F60" s="17"/>
      <c r="G60" s="17"/>
      <c r="H60" s="17"/>
      <c r="I60" s="249"/>
      <c r="J60" s="17"/>
      <c r="K60" s="17"/>
      <c r="L60" s="17"/>
      <c r="M60" s="17"/>
      <c r="N60" s="17"/>
      <c r="O60" s="251"/>
      <c r="Q60" s="5"/>
      <c r="R60" s="5"/>
      <c r="S60" s="5"/>
    </row>
    <row r="61" spans="2:27">
      <c r="B61" s="5"/>
      <c r="C61" s="5"/>
      <c r="D61" s="5"/>
      <c r="E61" s="5"/>
      <c r="F61" s="5"/>
      <c r="G61" s="5"/>
      <c r="H61" s="5"/>
      <c r="I61" s="5"/>
      <c r="J61" s="5"/>
      <c r="K61" s="5"/>
      <c r="L61" s="5"/>
      <c r="M61" s="5"/>
      <c r="N61" s="5"/>
      <c r="O61" s="5"/>
      <c r="Q61" s="41"/>
      <c r="R61" s="5"/>
      <c r="S61" s="5"/>
    </row>
    <row r="62" spans="2:27">
      <c r="B62" s="41"/>
      <c r="C62" s="249"/>
      <c r="D62" s="249"/>
      <c r="E62" s="249"/>
      <c r="F62" s="249"/>
      <c r="G62" s="249"/>
      <c r="H62" s="249"/>
      <c r="I62" s="5"/>
      <c r="J62" s="249"/>
      <c r="K62" s="249"/>
      <c r="L62" s="249"/>
      <c r="M62" s="249"/>
      <c r="N62" s="249"/>
      <c r="O62" s="251"/>
      <c r="Q62" s="5"/>
      <c r="R62" s="5"/>
      <c r="S62" s="5"/>
    </row>
    <row r="63" spans="2:27">
      <c r="B63" s="5"/>
      <c r="C63" s="5"/>
      <c r="D63" s="5"/>
      <c r="E63" s="5"/>
      <c r="F63" s="5"/>
      <c r="G63" s="5"/>
      <c r="H63" s="5"/>
      <c r="I63" s="254"/>
      <c r="J63" s="5"/>
      <c r="K63" s="5"/>
      <c r="L63" s="5"/>
      <c r="M63" s="5"/>
      <c r="N63" s="5"/>
      <c r="O63" s="5"/>
      <c r="Q63" s="5"/>
      <c r="R63" s="5"/>
      <c r="S63" s="5"/>
    </row>
    <row r="64" spans="2:27">
      <c r="B64" s="5"/>
      <c r="C64" s="5"/>
      <c r="D64" s="5"/>
      <c r="E64" s="5"/>
      <c r="F64" s="5"/>
      <c r="G64" s="5"/>
      <c r="H64" s="5"/>
      <c r="I64" s="17"/>
      <c r="J64" s="5"/>
      <c r="K64" s="5"/>
      <c r="L64" s="5"/>
      <c r="M64" s="5"/>
      <c r="N64" s="5"/>
      <c r="O64" s="5"/>
      <c r="Q64" s="5"/>
      <c r="R64" s="5"/>
      <c r="S64" s="5"/>
    </row>
    <row r="65" spans="2:26">
      <c r="B65" s="41"/>
      <c r="C65" s="249"/>
      <c r="D65" s="254"/>
      <c r="E65" s="254"/>
      <c r="F65" s="254"/>
      <c r="G65" s="254"/>
      <c r="H65" s="254"/>
      <c r="I65" s="254"/>
      <c r="J65" s="254"/>
      <c r="K65" s="254"/>
      <c r="L65" s="254"/>
      <c r="M65" s="254"/>
      <c r="N65" s="254"/>
      <c r="O65" s="251"/>
      <c r="Q65" s="5"/>
      <c r="R65" s="5"/>
      <c r="S65" s="5"/>
    </row>
    <row r="66" spans="2:26">
      <c r="B66" s="5"/>
      <c r="C66" s="5"/>
      <c r="D66" s="17"/>
      <c r="E66" s="17"/>
      <c r="F66" s="17"/>
      <c r="G66" s="17"/>
      <c r="H66" s="17"/>
      <c r="I66" s="248"/>
      <c r="J66" s="17"/>
      <c r="K66" s="17"/>
      <c r="L66" s="17"/>
      <c r="M66" s="17"/>
      <c r="N66" s="17"/>
      <c r="O66" s="5"/>
      <c r="Q66" s="5"/>
      <c r="R66" s="5"/>
      <c r="S66" s="5"/>
    </row>
    <row r="67" spans="2:26">
      <c r="B67" s="41"/>
      <c r="C67" s="249"/>
      <c r="D67" s="254"/>
      <c r="E67" s="254"/>
      <c r="F67" s="254"/>
      <c r="G67" s="254"/>
      <c r="H67" s="254"/>
      <c r="I67" s="5"/>
      <c r="J67" s="254"/>
      <c r="K67" s="254"/>
      <c r="L67" s="254"/>
      <c r="M67" s="254"/>
      <c r="N67" s="254"/>
      <c r="O67" s="251"/>
      <c r="Q67" s="41"/>
      <c r="R67" s="5"/>
      <c r="S67" s="5"/>
    </row>
    <row r="68" spans="2:26">
      <c r="B68" s="5"/>
      <c r="C68" s="5"/>
      <c r="D68" s="248"/>
      <c r="E68" s="248"/>
      <c r="F68" s="248"/>
      <c r="G68" s="248"/>
      <c r="H68" s="248"/>
      <c r="I68" s="245"/>
      <c r="J68" s="248"/>
      <c r="K68" s="248"/>
      <c r="L68" s="248"/>
      <c r="M68" s="248"/>
      <c r="N68" s="248"/>
      <c r="O68" s="5"/>
      <c r="Q68" s="5"/>
      <c r="R68" s="5"/>
      <c r="S68" s="5"/>
    </row>
    <row r="69" spans="2:26">
      <c r="B69" s="41"/>
      <c r="C69" s="5"/>
      <c r="D69" s="5"/>
      <c r="E69" s="5"/>
      <c r="F69" s="5"/>
      <c r="G69" s="5"/>
      <c r="H69" s="5"/>
      <c r="I69" s="248"/>
      <c r="J69" s="5"/>
      <c r="K69" s="5"/>
      <c r="L69" s="5"/>
      <c r="M69" s="5"/>
      <c r="N69" s="5"/>
      <c r="O69" s="5"/>
      <c r="Q69" s="5"/>
      <c r="R69" s="5"/>
      <c r="S69" s="5"/>
    </row>
    <row r="70" spans="2:26">
      <c r="B70" s="41"/>
      <c r="C70" s="245"/>
      <c r="D70" s="245"/>
      <c r="E70" s="245"/>
      <c r="F70" s="245"/>
      <c r="G70" s="245"/>
      <c r="H70" s="245"/>
      <c r="I70" s="5"/>
      <c r="J70" s="245"/>
      <c r="K70" s="245"/>
      <c r="L70" s="245"/>
      <c r="M70" s="245"/>
      <c r="N70" s="245"/>
      <c r="O70" s="251"/>
      <c r="Q70" s="5"/>
      <c r="R70" s="5"/>
      <c r="S70" s="5"/>
      <c r="W70" s="76"/>
      <c r="X70" s="76"/>
    </row>
    <row r="71" spans="2:26">
      <c r="B71" s="5"/>
      <c r="C71" s="5"/>
      <c r="D71" s="248"/>
      <c r="E71" s="248"/>
      <c r="F71" s="248"/>
      <c r="G71" s="248"/>
      <c r="H71" s="248"/>
      <c r="I71" s="245"/>
      <c r="J71" s="248"/>
      <c r="K71" s="248"/>
      <c r="L71" s="248"/>
      <c r="M71" s="248"/>
      <c r="N71" s="248"/>
      <c r="O71" s="5"/>
      <c r="Q71" s="5"/>
      <c r="R71" s="5"/>
      <c r="S71" s="5"/>
      <c r="W71" s="76"/>
      <c r="X71" s="76"/>
      <c r="Y71" s="76"/>
      <c r="Z71" s="76"/>
    </row>
    <row r="72" spans="2:26">
      <c r="B72" s="41"/>
      <c r="C72" s="5"/>
      <c r="D72" s="5"/>
      <c r="E72" s="5"/>
      <c r="F72" s="5"/>
      <c r="G72" s="5"/>
      <c r="H72" s="5"/>
      <c r="I72" s="18"/>
      <c r="J72" s="5"/>
      <c r="K72" s="5"/>
      <c r="L72" s="5"/>
      <c r="M72" s="5"/>
      <c r="N72" s="5"/>
      <c r="O72" s="5"/>
      <c r="Q72" s="5"/>
      <c r="R72" s="5"/>
      <c r="S72" s="5"/>
      <c r="Y72" s="76"/>
      <c r="Z72" s="76"/>
    </row>
    <row r="73" spans="2:26">
      <c r="B73" s="41"/>
      <c r="C73" s="245"/>
      <c r="D73" s="245"/>
      <c r="E73" s="245"/>
      <c r="F73" s="245"/>
      <c r="G73" s="245"/>
      <c r="H73" s="245"/>
      <c r="I73" s="5"/>
      <c r="J73" s="245"/>
      <c r="K73" s="245"/>
      <c r="L73" s="245"/>
      <c r="M73" s="245"/>
      <c r="N73" s="245"/>
      <c r="O73" s="251"/>
      <c r="Q73" s="5"/>
      <c r="R73" s="5"/>
      <c r="S73" s="5"/>
    </row>
    <row r="74" spans="2:26">
      <c r="B74" s="5"/>
      <c r="C74" s="5"/>
      <c r="D74" s="18"/>
      <c r="E74" s="18"/>
      <c r="F74" s="18"/>
      <c r="G74" s="18"/>
      <c r="H74" s="18"/>
      <c r="I74" s="249"/>
      <c r="J74" s="18"/>
      <c r="K74" s="18"/>
      <c r="L74" s="18"/>
      <c r="M74" s="18"/>
      <c r="N74" s="18"/>
      <c r="O74" s="5"/>
      <c r="Q74" s="5"/>
      <c r="R74" s="5"/>
      <c r="S74" s="5"/>
    </row>
    <row r="75" spans="2:26">
      <c r="B75" s="41"/>
      <c r="C75" s="5"/>
      <c r="D75" s="5"/>
      <c r="E75" s="5"/>
      <c r="F75" s="5"/>
      <c r="G75" s="5"/>
      <c r="H75" s="5"/>
      <c r="I75" s="248"/>
      <c r="J75" s="5"/>
      <c r="K75" s="5"/>
      <c r="L75" s="5"/>
      <c r="M75" s="5"/>
      <c r="N75" s="5"/>
      <c r="O75" s="5"/>
      <c r="Q75" s="5"/>
      <c r="R75" s="5"/>
      <c r="S75" s="5"/>
    </row>
    <row r="76" spans="2:26">
      <c r="B76" s="41"/>
      <c r="C76" s="249"/>
      <c r="D76" s="249"/>
      <c r="E76" s="249"/>
      <c r="F76" s="249"/>
      <c r="G76" s="249"/>
      <c r="H76" s="249"/>
      <c r="I76" s="5"/>
      <c r="J76" s="249"/>
      <c r="K76" s="249"/>
      <c r="L76" s="249"/>
      <c r="M76" s="249"/>
      <c r="N76" s="249"/>
      <c r="O76" s="251"/>
      <c r="Q76" s="5"/>
      <c r="R76" s="5"/>
      <c r="S76" s="5"/>
    </row>
    <row r="77" spans="2:26">
      <c r="B77" s="5"/>
      <c r="C77" s="5"/>
      <c r="D77" s="248"/>
      <c r="E77" s="248"/>
      <c r="F77" s="248"/>
      <c r="G77" s="248"/>
      <c r="H77" s="248"/>
      <c r="I77" s="245"/>
      <c r="J77" s="248"/>
      <c r="K77" s="248"/>
      <c r="L77" s="248"/>
      <c r="M77" s="248"/>
      <c r="N77" s="248"/>
      <c r="O77" s="5"/>
      <c r="Q77" s="5"/>
      <c r="R77" s="5"/>
      <c r="S77" s="5"/>
    </row>
    <row r="78" spans="2:26">
      <c r="B78" s="41"/>
      <c r="C78" s="5"/>
      <c r="D78" s="5"/>
      <c r="E78" s="5"/>
      <c r="F78" s="5"/>
      <c r="G78" s="5"/>
      <c r="H78" s="5"/>
      <c r="I78" s="248"/>
      <c r="J78" s="5"/>
      <c r="K78" s="5"/>
      <c r="L78" s="5"/>
      <c r="M78" s="5"/>
      <c r="N78" s="5"/>
      <c r="O78" s="5"/>
      <c r="Q78" s="5"/>
      <c r="R78" s="5"/>
      <c r="S78" s="5"/>
    </row>
    <row r="79" spans="2:26">
      <c r="B79" s="41"/>
      <c r="C79" s="245"/>
      <c r="D79" s="245"/>
      <c r="E79" s="245"/>
      <c r="F79" s="245"/>
      <c r="G79" s="245"/>
      <c r="H79" s="245"/>
      <c r="I79" s="5"/>
      <c r="J79" s="245"/>
      <c r="K79" s="245"/>
      <c r="L79" s="245"/>
      <c r="M79" s="245"/>
      <c r="N79" s="245"/>
      <c r="O79" s="251"/>
      <c r="Q79" s="5"/>
      <c r="R79" s="5"/>
      <c r="S79" s="5"/>
    </row>
    <row r="80" spans="2:26">
      <c r="B80" s="5"/>
      <c r="C80" s="5"/>
      <c r="D80" s="248"/>
      <c r="E80" s="248"/>
      <c r="F80" s="248"/>
      <c r="G80" s="248"/>
      <c r="H80" s="248"/>
      <c r="I80" s="249"/>
      <c r="J80" s="248"/>
      <c r="K80" s="248"/>
      <c r="L80" s="248"/>
      <c r="M80" s="248"/>
      <c r="N80" s="248"/>
      <c r="O80" s="5"/>
      <c r="Q80" s="5"/>
      <c r="R80" s="5"/>
      <c r="S80" s="5"/>
    </row>
    <row r="81" spans="2:26">
      <c r="B81" s="41"/>
      <c r="C81" s="5"/>
      <c r="D81" s="5"/>
      <c r="E81" s="5"/>
      <c r="F81" s="5"/>
      <c r="G81" s="5"/>
      <c r="H81" s="5"/>
      <c r="I81" s="248"/>
      <c r="J81" s="5"/>
      <c r="K81" s="5"/>
      <c r="L81" s="5"/>
      <c r="M81" s="5"/>
      <c r="N81" s="5"/>
      <c r="O81" s="5"/>
      <c r="Q81" s="5"/>
      <c r="R81" s="5"/>
      <c r="S81" s="5"/>
    </row>
    <row r="82" spans="2:26">
      <c r="B82" s="41"/>
      <c r="C82" s="249"/>
      <c r="D82" s="249"/>
      <c r="E82" s="249"/>
      <c r="F82" s="249"/>
      <c r="G82" s="249"/>
      <c r="H82" s="249"/>
      <c r="I82" s="259"/>
      <c r="J82" s="249"/>
      <c r="K82" s="249"/>
      <c r="L82" s="249"/>
      <c r="M82" s="249"/>
      <c r="N82" s="249"/>
      <c r="O82" s="251"/>
      <c r="Q82" s="5"/>
      <c r="R82" s="5"/>
      <c r="S82" s="5"/>
    </row>
    <row r="83" spans="2:26">
      <c r="B83" s="5"/>
      <c r="C83" s="5"/>
      <c r="D83" s="248"/>
      <c r="E83" s="248"/>
      <c r="F83" s="248"/>
      <c r="G83" s="248"/>
      <c r="H83" s="248"/>
      <c r="I83" s="5"/>
      <c r="J83" s="248"/>
      <c r="K83" s="248"/>
      <c r="L83" s="248"/>
      <c r="M83" s="248"/>
      <c r="N83" s="248"/>
      <c r="O83" s="5"/>
      <c r="Q83" s="5"/>
      <c r="R83" s="5"/>
      <c r="S83" s="5"/>
    </row>
    <row r="84" spans="2:26">
      <c r="B84" s="5"/>
      <c r="C84" s="259"/>
      <c r="D84" s="259"/>
      <c r="E84" s="259"/>
      <c r="F84" s="259"/>
      <c r="G84" s="259"/>
      <c r="H84" s="259"/>
      <c r="I84" s="245"/>
      <c r="J84" s="259"/>
      <c r="K84" s="259"/>
      <c r="L84" s="259"/>
      <c r="M84" s="259"/>
      <c r="N84" s="259"/>
      <c r="O84" s="251"/>
      <c r="Q84" s="5"/>
      <c r="R84" s="5"/>
      <c r="S84" s="5"/>
    </row>
    <row r="85" spans="2:26">
      <c r="B85" s="41"/>
      <c r="C85" s="5"/>
      <c r="D85" s="5"/>
      <c r="E85" s="5"/>
      <c r="F85" s="5"/>
      <c r="G85" s="5"/>
      <c r="H85" s="5"/>
      <c r="I85" s="248"/>
      <c r="J85" s="5"/>
      <c r="K85" s="5"/>
      <c r="L85" s="5"/>
      <c r="M85" s="5"/>
      <c r="N85" s="5"/>
      <c r="O85" s="5"/>
      <c r="Q85" s="5"/>
      <c r="R85" s="5"/>
      <c r="S85" s="5"/>
    </row>
    <row r="86" spans="2:26">
      <c r="B86" s="41"/>
      <c r="C86" s="245"/>
      <c r="D86" s="245"/>
      <c r="E86" s="245"/>
      <c r="F86" s="245"/>
      <c r="G86" s="245"/>
      <c r="H86" s="245"/>
      <c r="I86" s="5"/>
      <c r="J86" s="245"/>
      <c r="K86" s="245"/>
      <c r="L86" s="245"/>
      <c r="M86" s="245"/>
      <c r="N86" s="245"/>
      <c r="O86" s="251"/>
      <c r="Q86" s="5"/>
      <c r="R86" s="5"/>
      <c r="S86" s="5"/>
    </row>
    <row r="87" spans="2:26">
      <c r="B87" s="5"/>
      <c r="C87" s="5"/>
      <c r="D87" s="248"/>
      <c r="E87" s="248"/>
      <c r="F87" s="248"/>
      <c r="G87" s="248"/>
      <c r="H87" s="248"/>
      <c r="I87" s="5"/>
      <c r="J87" s="248"/>
      <c r="K87" s="248"/>
      <c r="L87" s="248"/>
      <c r="M87" s="248"/>
      <c r="N87" s="248"/>
      <c r="O87" s="5"/>
      <c r="Q87" s="5"/>
      <c r="R87" s="5"/>
      <c r="S87" s="5"/>
    </row>
    <row r="88" spans="2:26">
      <c r="B88" s="41"/>
      <c r="C88" s="5"/>
      <c r="D88" s="5"/>
      <c r="E88" s="5"/>
      <c r="F88" s="5"/>
      <c r="G88" s="5"/>
      <c r="H88" s="5"/>
      <c r="I88" s="5"/>
      <c r="J88" s="5"/>
      <c r="K88" s="5"/>
      <c r="L88" s="5"/>
      <c r="M88" s="5"/>
      <c r="N88" s="5"/>
      <c r="O88" s="5"/>
      <c r="Q88" s="5"/>
      <c r="R88" s="5"/>
      <c r="S88" s="5"/>
    </row>
    <row r="89" spans="2:26">
      <c r="B89" s="41"/>
      <c r="C89" s="5"/>
      <c r="D89" s="5"/>
      <c r="E89" s="5"/>
      <c r="F89" s="5"/>
      <c r="G89" s="5"/>
      <c r="H89" s="5"/>
      <c r="I89" s="5"/>
      <c r="J89" s="5"/>
      <c r="K89" s="5"/>
      <c r="L89" s="5"/>
      <c r="M89" s="5"/>
      <c r="N89" s="5"/>
      <c r="O89" s="5"/>
      <c r="Q89" s="5"/>
      <c r="R89" s="5"/>
      <c r="S89" s="5"/>
    </row>
    <row r="90" spans="2:26">
      <c r="B90" s="41"/>
      <c r="C90" s="5"/>
      <c r="D90" s="5"/>
      <c r="E90" s="5"/>
      <c r="F90" s="5"/>
      <c r="G90" s="5"/>
      <c r="H90" s="5"/>
      <c r="I90" s="49"/>
      <c r="J90" s="5"/>
      <c r="K90" s="5"/>
      <c r="L90" s="5"/>
      <c r="M90" s="5"/>
      <c r="N90" s="5"/>
      <c r="O90" s="5"/>
      <c r="Q90" s="41"/>
      <c r="R90" s="5"/>
      <c r="S90" s="5"/>
    </row>
    <row r="91" spans="2:26">
      <c r="B91" s="5"/>
      <c r="C91" s="5"/>
      <c r="D91" s="5"/>
      <c r="E91" s="5"/>
      <c r="F91" s="5"/>
      <c r="G91" s="5"/>
      <c r="H91" s="5"/>
      <c r="I91" s="5"/>
      <c r="J91" s="5"/>
      <c r="K91" s="5"/>
      <c r="L91" s="5"/>
      <c r="M91" s="5"/>
      <c r="N91" s="5"/>
      <c r="O91" s="5"/>
      <c r="Q91" s="5"/>
      <c r="R91" s="5"/>
      <c r="S91" s="5"/>
    </row>
    <row r="92" spans="2:26">
      <c r="B92" s="41"/>
      <c r="C92" s="49"/>
      <c r="D92" s="49"/>
      <c r="E92" s="49"/>
      <c r="F92" s="49"/>
      <c r="G92" s="49"/>
      <c r="H92" s="49"/>
      <c r="I92" s="247"/>
      <c r="J92" s="49"/>
      <c r="K92" s="49"/>
      <c r="L92" s="49"/>
      <c r="M92" s="49"/>
      <c r="N92" s="49"/>
      <c r="O92" s="49"/>
      <c r="Q92" s="5"/>
      <c r="R92" s="5"/>
      <c r="S92" s="5"/>
      <c r="W92" s="21"/>
      <c r="X92" s="21"/>
    </row>
    <row r="93" spans="2:26">
      <c r="B93" s="5"/>
      <c r="C93" s="5"/>
      <c r="D93" s="5"/>
      <c r="E93" s="5"/>
      <c r="F93" s="5"/>
      <c r="G93" s="5"/>
      <c r="H93" s="5"/>
      <c r="I93" s="247"/>
      <c r="J93" s="5"/>
      <c r="K93" s="5"/>
      <c r="L93" s="5"/>
      <c r="M93" s="5"/>
      <c r="N93" s="5"/>
      <c r="O93" s="5"/>
      <c r="Q93" s="5"/>
      <c r="R93" s="5"/>
      <c r="S93" s="5"/>
      <c r="W93" s="21"/>
      <c r="X93" s="21"/>
      <c r="Y93" s="21"/>
      <c r="Z93" s="21"/>
    </row>
    <row r="94" spans="2:26">
      <c r="B94" s="5"/>
      <c r="C94" s="259"/>
      <c r="D94" s="247"/>
      <c r="E94" s="247"/>
      <c r="F94" s="247"/>
      <c r="G94" s="247"/>
      <c r="H94" s="247"/>
      <c r="I94" s="247"/>
      <c r="J94" s="247"/>
      <c r="K94" s="247"/>
      <c r="L94" s="247"/>
      <c r="M94" s="247"/>
      <c r="N94" s="247"/>
      <c r="O94" s="248"/>
      <c r="Q94" s="5"/>
      <c r="R94" s="5"/>
      <c r="S94" s="5"/>
      <c r="Y94" s="21"/>
      <c r="Z94" s="21"/>
    </row>
    <row r="95" spans="2:26">
      <c r="B95" s="5"/>
      <c r="C95" s="259"/>
      <c r="D95" s="247"/>
      <c r="E95" s="247"/>
      <c r="F95" s="247"/>
      <c r="G95" s="247"/>
      <c r="H95" s="247"/>
      <c r="I95" s="248"/>
      <c r="J95" s="247"/>
      <c r="K95" s="247"/>
      <c r="L95" s="247"/>
      <c r="M95" s="247"/>
      <c r="N95" s="247"/>
      <c r="O95" s="248"/>
      <c r="Q95" s="5"/>
      <c r="R95" s="5"/>
      <c r="S95" s="5"/>
    </row>
    <row r="96" spans="2:26">
      <c r="B96" s="5"/>
      <c r="C96" s="259"/>
      <c r="D96" s="247"/>
      <c r="E96" s="247"/>
      <c r="F96" s="247"/>
      <c r="G96" s="247"/>
      <c r="H96" s="247"/>
      <c r="I96" s="247"/>
      <c r="J96" s="247"/>
      <c r="K96" s="247"/>
      <c r="L96" s="247"/>
      <c r="M96" s="247"/>
      <c r="N96" s="247"/>
      <c r="O96" s="248"/>
      <c r="Q96" s="5"/>
      <c r="R96" s="5"/>
      <c r="S96" s="5"/>
    </row>
    <row r="97" spans="2:19">
      <c r="B97" s="5"/>
      <c r="C97" s="259"/>
      <c r="D97" s="248"/>
      <c r="E97" s="248"/>
      <c r="F97" s="248"/>
      <c r="G97" s="248"/>
      <c r="H97" s="248"/>
      <c r="I97" s="249"/>
      <c r="J97" s="248"/>
      <c r="K97" s="248"/>
      <c r="L97" s="248"/>
      <c r="M97" s="248"/>
      <c r="N97" s="248"/>
      <c r="O97" s="248"/>
      <c r="Q97" s="5"/>
      <c r="R97" s="5"/>
      <c r="S97" s="5"/>
    </row>
    <row r="98" spans="2:19">
      <c r="B98" s="5"/>
      <c r="C98" s="259"/>
      <c r="D98" s="247"/>
      <c r="E98" s="247"/>
      <c r="F98" s="247"/>
      <c r="G98" s="247"/>
      <c r="H98" s="247"/>
      <c r="I98" s="248"/>
      <c r="J98" s="247"/>
      <c r="K98" s="247"/>
      <c r="L98" s="247"/>
      <c r="M98" s="247"/>
      <c r="N98" s="247"/>
      <c r="O98" s="248"/>
      <c r="Q98" s="5"/>
      <c r="R98" s="5"/>
      <c r="S98" s="5"/>
    </row>
    <row r="99" spans="2:19">
      <c r="B99" s="41"/>
      <c r="C99" s="249"/>
      <c r="D99" s="249"/>
      <c r="E99" s="249"/>
      <c r="F99" s="249"/>
      <c r="G99" s="249"/>
      <c r="H99" s="249"/>
      <c r="I99" s="5"/>
      <c r="J99" s="249"/>
      <c r="K99" s="249"/>
      <c r="L99" s="249"/>
      <c r="M99" s="249"/>
      <c r="N99" s="249"/>
      <c r="O99" s="248"/>
      <c r="Q99" s="5"/>
      <c r="R99" s="5"/>
      <c r="S99" s="5"/>
    </row>
    <row r="100" spans="2:19">
      <c r="B100" s="41"/>
      <c r="C100" s="257"/>
      <c r="D100" s="248"/>
      <c r="E100" s="248"/>
      <c r="F100" s="248"/>
      <c r="G100" s="248"/>
      <c r="H100" s="248"/>
      <c r="I100" s="259"/>
      <c r="J100" s="248"/>
      <c r="K100" s="248"/>
      <c r="L100" s="248"/>
      <c r="M100" s="248"/>
      <c r="N100" s="248"/>
      <c r="O100" s="248"/>
      <c r="Q100" s="5"/>
      <c r="R100" s="5"/>
      <c r="S100" s="5"/>
    </row>
    <row r="101" spans="2:19" s="5" customFormat="1">
      <c r="B101" s="41"/>
      <c r="I101" s="259"/>
      <c r="O101" s="248"/>
      <c r="P101" s="39"/>
    </row>
    <row r="102" spans="2:19">
      <c r="B102" s="5"/>
      <c r="C102" s="259"/>
      <c r="D102" s="259"/>
      <c r="E102" s="259"/>
      <c r="F102" s="259"/>
      <c r="G102" s="259"/>
      <c r="H102" s="259"/>
      <c r="I102" s="247"/>
      <c r="J102" s="259"/>
      <c r="K102" s="259"/>
      <c r="L102" s="259"/>
      <c r="M102" s="259"/>
      <c r="N102" s="259"/>
      <c r="O102" s="5"/>
      <c r="Q102" s="5"/>
      <c r="R102" s="5"/>
      <c r="S102" s="5"/>
    </row>
    <row r="103" spans="2:19">
      <c r="B103" s="5"/>
      <c r="C103" s="259"/>
      <c r="D103" s="259"/>
      <c r="E103" s="259"/>
      <c r="F103" s="259"/>
      <c r="G103" s="259"/>
      <c r="H103" s="259"/>
      <c r="I103" s="5"/>
      <c r="J103" s="259"/>
      <c r="K103" s="259"/>
      <c r="L103" s="259"/>
      <c r="M103" s="259"/>
      <c r="N103" s="259"/>
      <c r="O103" s="5"/>
      <c r="P103" s="5"/>
      <c r="Q103" s="5"/>
      <c r="R103" s="5"/>
      <c r="S103" s="5"/>
    </row>
    <row r="104" spans="2:19">
      <c r="B104" s="5"/>
      <c r="C104" s="247"/>
      <c r="D104" s="247"/>
      <c r="E104" s="247"/>
      <c r="F104" s="247"/>
      <c r="G104" s="247"/>
      <c r="H104" s="247"/>
      <c r="I104" s="247"/>
      <c r="J104" s="247"/>
      <c r="K104" s="247"/>
      <c r="L104" s="247"/>
      <c r="M104" s="247"/>
      <c r="N104" s="247"/>
      <c r="O104" s="5"/>
      <c r="Q104" s="5"/>
      <c r="R104" s="5"/>
      <c r="S104" s="5"/>
    </row>
    <row r="105" spans="2:19" s="5" customFormat="1">
      <c r="P105" s="39"/>
    </row>
    <row r="106" spans="2:19" s="5" customFormat="1">
      <c r="C106" s="259"/>
      <c r="D106" s="247"/>
      <c r="E106" s="247"/>
      <c r="F106" s="247"/>
      <c r="G106" s="247"/>
      <c r="H106" s="247"/>
      <c r="I106" s="259"/>
      <c r="J106" s="247"/>
      <c r="K106" s="247"/>
      <c r="L106" s="247"/>
      <c r="M106" s="247"/>
      <c r="N106" s="247"/>
      <c r="P106" s="39"/>
    </row>
    <row r="107" spans="2:19">
      <c r="B107" s="5"/>
      <c r="C107" s="259"/>
      <c r="D107" s="5"/>
      <c r="E107" s="5"/>
      <c r="F107" s="5"/>
      <c r="G107" s="5"/>
      <c r="H107" s="5"/>
      <c r="I107" s="247"/>
      <c r="J107" s="5"/>
      <c r="K107" s="5"/>
      <c r="L107" s="5"/>
      <c r="M107" s="5"/>
      <c r="N107" s="5"/>
      <c r="O107" s="5"/>
      <c r="P107" s="5"/>
      <c r="Q107" s="5"/>
      <c r="R107" s="5"/>
      <c r="S107" s="5"/>
    </row>
    <row r="108" spans="2:19">
      <c r="B108" s="5"/>
      <c r="C108" s="259"/>
      <c r="D108" s="259"/>
      <c r="E108" s="259"/>
      <c r="F108" s="259"/>
      <c r="G108" s="259"/>
      <c r="H108" s="259"/>
      <c r="I108" s="249"/>
      <c r="J108" s="259"/>
      <c r="K108" s="259"/>
      <c r="L108" s="259"/>
      <c r="M108" s="259"/>
      <c r="N108" s="259"/>
      <c r="O108" s="5"/>
      <c r="P108" s="5"/>
      <c r="Q108" s="5"/>
      <c r="R108" s="5"/>
      <c r="S108" s="5"/>
    </row>
    <row r="109" spans="2:19">
      <c r="B109" s="5"/>
      <c r="C109" s="247"/>
      <c r="D109" s="247"/>
      <c r="E109" s="247"/>
      <c r="F109" s="247"/>
      <c r="G109" s="247"/>
      <c r="H109" s="247"/>
      <c r="I109" s="249"/>
      <c r="J109" s="247"/>
      <c r="K109" s="247"/>
      <c r="L109" s="247"/>
      <c r="M109" s="247"/>
      <c r="N109" s="247"/>
      <c r="O109" s="5"/>
      <c r="Q109" s="5"/>
      <c r="R109" s="5"/>
      <c r="S109" s="5"/>
    </row>
    <row r="110" spans="2:19">
      <c r="B110" s="41"/>
      <c r="C110" s="249"/>
      <c r="D110" s="249"/>
      <c r="E110" s="249"/>
      <c r="F110" s="249"/>
      <c r="G110" s="249"/>
      <c r="H110" s="249"/>
      <c r="I110" s="247"/>
      <c r="J110" s="249"/>
      <c r="K110" s="249"/>
      <c r="L110" s="249"/>
      <c r="M110" s="249"/>
      <c r="N110" s="249"/>
      <c r="O110" s="5"/>
      <c r="Q110" s="5"/>
      <c r="R110" s="5"/>
      <c r="S110" s="5"/>
    </row>
    <row r="111" spans="2:19">
      <c r="B111" s="5"/>
      <c r="C111" s="249"/>
      <c r="D111" s="249"/>
      <c r="E111" s="249"/>
      <c r="F111" s="249"/>
      <c r="G111" s="249"/>
      <c r="H111" s="249"/>
      <c r="I111" s="5"/>
      <c r="J111" s="249"/>
      <c r="K111" s="249"/>
      <c r="L111" s="249"/>
      <c r="M111" s="249"/>
      <c r="N111" s="249"/>
      <c r="O111" s="5"/>
      <c r="Q111" s="5"/>
      <c r="R111" s="5"/>
      <c r="S111" s="5"/>
    </row>
    <row r="112" spans="2:19">
      <c r="B112" s="5"/>
      <c r="C112" s="247"/>
      <c r="D112" s="247"/>
      <c r="E112" s="247"/>
      <c r="F112" s="247"/>
      <c r="G112" s="247"/>
      <c r="H112" s="247"/>
      <c r="I112" s="5"/>
      <c r="J112" s="247"/>
      <c r="K112" s="247"/>
      <c r="L112" s="247"/>
      <c r="M112" s="247"/>
      <c r="N112" s="247"/>
      <c r="O112" s="5"/>
      <c r="Q112" s="5"/>
      <c r="R112" s="5"/>
      <c r="S112" s="5"/>
    </row>
    <row r="113" spans="2:19">
      <c r="B113" s="5"/>
      <c r="C113" s="5"/>
      <c r="D113" s="5"/>
      <c r="E113" s="5"/>
      <c r="F113" s="5"/>
      <c r="G113" s="5"/>
      <c r="H113" s="5"/>
      <c r="I113" s="5"/>
      <c r="J113" s="5"/>
      <c r="K113" s="5"/>
      <c r="L113" s="5"/>
      <c r="M113" s="5"/>
      <c r="N113" s="5"/>
      <c r="O113" s="5"/>
      <c r="Q113" s="5"/>
      <c r="R113" s="5"/>
      <c r="S113" s="5"/>
    </row>
    <row r="114" spans="2:19">
      <c r="B114" s="5"/>
      <c r="C114" s="5"/>
      <c r="D114" s="5"/>
      <c r="E114" s="5"/>
      <c r="F114" s="5"/>
      <c r="G114" s="5"/>
      <c r="H114" s="5"/>
      <c r="I114" s="5"/>
      <c r="J114" s="5"/>
      <c r="K114" s="5"/>
      <c r="L114" s="5"/>
      <c r="M114" s="5"/>
      <c r="N114" s="5"/>
      <c r="O114" s="5"/>
      <c r="Q114" s="5"/>
      <c r="R114" s="5"/>
      <c r="S114" s="5"/>
    </row>
    <row r="115" spans="2:19">
      <c r="B115" s="5"/>
      <c r="C115" s="5"/>
      <c r="D115" s="5"/>
      <c r="E115" s="5"/>
      <c r="F115" s="5"/>
      <c r="G115" s="5"/>
      <c r="H115" s="5"/>
      <c r="I115" s="49"/>
      <c r="J115" s="5"/>
      <c r="K115" s="5"/>
      <c r="L115" s="5"/>
      <c r="M115" s="5"/>
      <c r="N115" s="5"/>
      <c r="O115" s="5"/>
      <c r="Q115" s="41"/>
      <c r="R115" s="5"/>
      <c r="S115" s="5"/>
    </row>
    <row r="116" spans="2:19">
      <c r="B116" s="5"/>
      <c r="C116" s="5"/>
      <c r="D116" s="5"/>
      <c r="E116" s="5"/>
      <c r="F116" s="5"/>
      <c r="G116" s="5"/>
      <c r="H116" s="5"/>
      <c r="I116" s="5"/>
      <c r="J116" s="5"/>
      <c r="K116" s="5"/>
      <c r="L116" s="5"/>
      <c r="M116" s="5"/>
      <c r="N116" s="5"/>
      <c r="O116" s="5"/>
      <c r="Q116" s="5"/>
      <c r="R116" s="5"/>
      <c r="S116" s="5"/>
    </row>
    <row r="117" spans="2:19">
      <c r="B117" s="41"/>
      <c r="C117" s="49"/>
      <c r="D117" s="49"/>
      <c r="E117" s="49"/>
      <c r="F117" s="49"/>
      <c r="G117" s="49"/>
      <c r="H117" s="49"/>
      <c r="I117" s="254"/>
      <c r="J117" s="49"/>
      <c r="K117" s="49"/>
      <c r="L117" s="49"/>
      <c r="M117" s="49"/>
      <c r="N117" s="49"/>
      <c r="O117" s="49"/>
      <c r="Q117" s="5"/>
      <c r="R117" s="5"/>
      <c r="S117" s="5"/>
    </row>
    <row r="118" spans="2:19">
      <c r="B118" s="5"/>
      <c r="C118" s="5"/>
      <c r="D118" s="5"/>
      <c r="E118" s="5"/>
      <c r="F118" s="5"/>
      <c r="G118" s="5"/>
      <c r="H118" s="5"/>
      <c r="I118" s="249"/>
      <c r="J118" s="5"/>
      <c r="K118" s="5"/>
      <c r="L118" s="5"/>
      <c r="M118" s="5"/>
      <c r="N118" s="5"/>
      <c r="O118" s="5"/>
      <c r="Q118" s="5"/>
      <c r="R118" s="5"/>
      <c r="S118" s="5"/>
    </row>
    <row r="119" spans="2:19">
      <c r="B119" s="41"/>
      <c r="C119" s="254"/>
      <c r="D119" s="254"/>
      <c r="E119" s="254"/>
      <c r="F119" s="254"/>
      <c r="G119" s="254"/>
      <c r="H119" s="254"/>
      <c r="I119" s="254"/>
      <c r="J119" s="254"/>
      <c r="K119" s="254"/>
      <c r="L119" s="254"/>
      <c r="M119" s="254"/>
      <c r="N119" s="254"/>
      <c r="O119" s="248"/>
      <c r="Q119" s="5"/>
      <c r="R119" s="5"/>
      <c r="S119" s="5"/>
    </row>
    <row r="120" spans="2:19">
      <c r="B120" s="41"/>
      <c r="C120" s="254"/>
      <c r="D120" s="249"/>
      <c r="E120" s="249"/>
      <c r="F120" s="249"/>
      <c r="G120" s="249"/>
      <c r="H120" s="249"/>
      <c r="I120" s="254"/>
      <c r="J120" s="249"/>
      <c r="K120" s="249"/>
      <c r="L120" s="249"/>
      <c r="M120" s="249"/>
      <c r="N120" s="249"/>
      <c r="O120" s="248"/>
      <c r="Q120" s="5"/>
      <c r="R120" s="5"/>
      <c r="S120" s="5"/>
    </row>
    <row r="121" spans="2:19">
      <c r="B121" s="41"/>
      <c r="C121" s="254"/>
      <c r="D121" s="254"/>
      <c r="E121" s="254"/>
      <c r="F121" s="254"/>
      <c r="G121" s="254"/>
      <c r="H121" s="254"/>
      <c r="I121" s="254"/>
      <c r="J121" s="254"/>
      <c r="K121" s="254"/>
      <c r="L121" s="254"/>
      <c r="M121" s="254"/>
      <c r="N121" s="254"/>
      <c r="O121" s="248"/>
      <c r="Q121" s="5"/>
      <c r="R121" s="5"/>
      <c r="S121" s="5"/>
    </row>
    <row r="122" spans="2:19">
      <c r="B122" s="41"/>
      <c r="C122" s="254"/>
      <c r="D122" s="254"/>
      <c r="E122" s="254"/>
      <c r="F122" s="254"/>
      <c r="G122" s="254"/>
      <c r="H122" s="254"/>
      <c r="I122" s="254"/>
      <c r="J122" s="254"/>
      <c r="K122" s="254"/>
      <c r="L122" s="254"/>
      <c r="M122" s="254"/>
      <c r="N122" s="254"/>
      <c r="O122" s="248"/>
      <c r="Q122" s="5"/>
      <c r="R122" s="5"/>
      <c r="S122" s="5"/>
    </row>
    <row r="123" spans="2:19">
      <c r="B123" s="41"/>
      <c r="C123" s="254"/>
      <c r="D123" s="254"/>
      <c r="E123" s="254"/>
      <c r="F123" s="254"/>
      <c r="G123" s="254"/>
      <c r="H123" s="254"/>
      <c r="I123" s="254"/>
      <c r="J123" s="254"/>
      <c r="K123" s="254"/>
      <c r="L123" s="254"/>
      <c r="M123" s="254"/>
      <c r="N123" s="254"/>
      <c r="O123" s="248"/>
      <c r="Q123" s="5"/>
      <c r="R123" s="5"/>
      <c r="S123" s="5"/>
    </row>
    <row r="124" spans="2:19">
      <c r="B124" s="41"/>
      <c r="C124" s="254"/>
      <c r="D124" s="254"/>
      <c r="E124" s="254"/>
      <c r="F124" s="254"/>
      <c r="G124" s="254"/>
      <c r="H124" s="254"/>
      <c r="I124" s="254"/>
      <c r="J124" s="254"/>
      <c r="K124" s="254"/>
      <c r="L124" s="254"/>
      <c r="M124" s="254"/>
      <c r="N124" s="254"/>
      <c r="O124" s="248"/>
      <c r="Q124" s="5"/>
      <c r="R124" s="5"/>
      <c r="S124" s="5"/>
    </row>
    <row r="125" spans="2:19">
      <c r="B125" s="41"/>
      <c r="C125" s="254"/>
      <c r="D125" s="254"/>
      <c r="E125" s="254"/>
      <c r="F125" s="254"/>
      <c r="G125" s="254"/>
      <c r="H125" s="254"/>
      <c r="I125" s="254"/>
      <c r="J125" s="254"/>
      <c r="K125" s="254"/>
      <c r="L125" s="254"/>
      <c r="M125" s="254"/>
      <c r="N125" s="254"/>
      <c r="O125" s="5"/>
      <c r="Q125" s="5"/>
      <c r="R125" s="5"/>
      <c r="S125" s="5"/>
    </row>
    <row r="126" spans="2:19">
      <c r="B126" s="41"/>
      <c r="C126" s="254"/>
      <c r="D126" s="254"/>
      <c r="E126" s="254"/>
      <c r="F126" s="254"/>
      <c r="G126" s="254"/>
      <c r="H126" s="254"/>
      <c r="I126" s="254"/>
      <c r="J126" s="254"/>
      <c r="K126" s="254"/>
      <c r="L126" s="254"/>
      <c r="M126" s="254"/>
      <c r="N126" s="254"/>
      <c r="O126" s="5"/>
      <c r="Q126" s="5"/>
      <c r="R126" s="5"/>
      <c r="S126" s="5"/>
    </row>
    <row r="127" spans="2:19">
      <c r="B127" s="41"/>
      <c r="C127" s="254"/>
      <c r="D127" s="254"/>
      <c r="E127" s="254"/>
      <c r="F127" s="254"/>
      <c r="G127" s="254"/>
      <c r="H127" s="254"/>
      <c r="I127" s="18"/>
      <c r="J127" s="254"/>
      <c r="K127" s="254"/>
      <c r="L127" s="254"/>
      <c r="M127" s="254"/>
      <c r="N127" s="254"/>
      <c r="O127" s="5"/>
      <c r="Q127" s="5"/>
      <c r="R127" s="5"/>
      <c r="S127" s="5"/>
    </row>
    <row r="128" spans="2:19">
      <c r="B128" s="41"/>
      <c r="C128" s="254"/>
      <c r="D128" s="254"/>
      <c r="E128" s="254"/>
      <c r="F128" s="254"/>
      <c r="G128" s="254"/>
      <c r="H128" s="254"/>
      <c r="I128" s="5"/>
      <c r="J128" s="254"/>
      <c r="K128" s="254"/>
      <c r="L128" s="254"/>
      <c r="M128" s="254"/>
      <c r="N128" s="254"/>
      <c r="O128" s="5"/>
      <c r="Q128" s="5"/>
      <c r="R128" s="5"/>
      <c r="S128" s="5"/>
    </row>
    <row r="129" spans="2:27">
      <c r="B129" s="5"/>
      <c r="C129" s="5"/>
      <c r="D129" s="18"/>
      <c r="E129" s="18"/>
      <c r="F129" s="18"/>
      <c r="G129" s="18"/>
      <c r="H129" s="18"/>
      <c r="I129" s="254"/>
      <c r="J129" s="18"/>
      <c r="K129" s="18"/>
      <c r="L129" s="18"/>
      <c r="M129" s="18"/>
      <c r="N129" s="18"/>
      <c r="O129" s="5"/>
      <c r="Q129" s="5"/>
      <c r="R129" s="5"/>
      <c r="S129" s="5"/>
    </row>
    <row r="130" spans="2:27">
      <c r="B130" s="5"/>
      <c r="C130" s="5"/>
      <c r="D130" s="5"/>
      <c r="E130" s="5"/>
      <c r="F130" s="5"/>
      <c r="G130" s="5"/>
      <c r="H130" s="5"/>
      <c r="I130" s="18"/>
      <c r="J130" s="5"/>
      <c r="K130" s="5"/>
      <c r="L130" s="5"/>
      <c r="M130" s="5"/>
      <c r="N130" s="5"/>
      <c r="O130" s="5"/>
      <c r="Q130" s="5"/>
      <c r="R130" s="5"/>
      <c r="S130" s="5"/>
    </row>
    <row r="131" spans="2:27">
      <c r="B131" s="41"/>
      <c r="C131" s="254"/>
      <c r="D131" s="254"/>
      <c r="E131" s="254"/>
      <c r="F131" s="254"/>
      <c r="G131" s="254"/>
      <c r="H131" s="254"/>
      <c r="I131" s="5"/>
      <c r="J131" s="254"/>
      <c r="K131" s="254"/>
      <c r="L131" s="254"/>
      <c r="M131" s="254"/>
      <c r="N131" s="254"/>
      <c r="O131" s="5"/>
      <c r="Q131" s="5"/>
      <c r="R131" s="5"/>
      <c r="S131" s="5"/>
    </row>
    <row r="132" spans="2:27">
      <c r="B132" s="5"/>
      <c r="C132" s="259"/>
      <c r="D132" s="18"/>
      <c r="E132" s="18"/>
      <c r="F132" s="18"/>
      <c r="G132" s="18"/>
      <c r="H132" s="18"/>
      <c r="I132" s="5"/>
      <c r="J132" s="18"/>
      <c r="K132" s="18"/>
      <c r="L132" s="18"/>
      <c r="M132" s="18"/>
      <c r="N132" s="18"/>
      <c r="O132" s="5"/>
      <c r="Q132" s="5"/>
      <c r="R132" s="5"/>
      <c r="S132" s="5"/>
    </row>
    <row r="133" spans="2:27">
      <c r="B133" s="5"/>
      <c r="C133" s="5"/>
      <c r="D133" s="5"/>
      <c r="E133" s="5"/>
      <c r="F133" s="5"/>
      <c r="G133" s="5"/>
      <c r="H133" s="5"/>
      <c r="I133" s="17"/>
      <c r="J133" s="5"/>
      <c r="K133" s="5"/>
      <c r="L133" s="5"/>
      <c r="M133" s="5"/>
      <c r="N133" s="5"/>
      <c r="O133" s="5"/>
      <c r="Q133" s="5"/>
      <c r="R133" s="5"/>
      <c r="S133" s="5"/>
    </row>
    <row r="134" spans="2:27">
      <c r="B134" s="41"/>
      <c r="C134" s="5"/>
      <c r="D134" s="5"/>
      <c r="E134" s="5"/>
      <c r="F134" s="5"/>
      <c r="G134" s="5"/>
      <c r="H134" s="5"/>
      <c r="I134" s="17"/>
      <c r="J134" s="5"/>
      <c r="K134" s="5"/>
      <c r="L134" s="5"/>
      <c r="M134" s="5"/>
      <c r="N134" s="5"/>
      <c r="O134" s="5"/>
      <c r="Q134" s="5"/>
      <c r="R134" s="5"/>
      <c r="S134" s="5"/>
    </row>
    <row r="135" spans="2:27">
      <c r="B135" s="5"/>
      <c r="C135" s="17"/>
      <c r="D135" s="17"/>
      <c r="E135" s="17"/>
      <c r="F135" s="17"/>
      <c r="G135" s="17"/>
      <c r="H135" s="17"/>
      <c r="I135" s="17"/>
      <c r="J135" s="17"/>
      <c r="K135" s="17"/>
      <c r="L135" s="17"/>
      <c r="M135" s="17"/>
      <c r="N135" s="17"/>
      <c r="O135" s="5"/>
      <c r="Q135" s="41"/>
      <c r="R135" s="5"/>
      <c r="S135" s="5"/>
    </row>
    <row r="136" spans="2:27">
      <c r="B136" s="5"/>
      <c r="C136" s="17"/>
      <c r="D136" s="17"/>
      <c r="E136" s="17"/>
      <c r="F136" s="17"/>
      <c r="G136" s="17"/>
      <c r="H136" s="17"/>
      <c r="I136" s="17"/>
      <c r="J136" s="17"/>
      <c r="K136" s="17"/>
      <c r="L136" s="17"/>
      <c r="M136" s="17"/>
      <c r="N136" s="17"/>
      <c r="O136" s="5"/>
      <c r="Q136" s="5"/>
      <c r="R136" s="5"/>
      <c r="S136" s="5"/>
      <c r="X136" s="304"/>
    </row>
    <row r="137" spans="2:27">
      <c r="B137" s="5"/>
      <c r="C137" s="5"/>
      <c r="D137" s="17"/>
      <c r="E137" s="17"/>
      <c r="F137" s="17"/>
      <c r="G137" s="17"/>
      <c r="H137" s="17"/>
      <c r="I137" s="17"/>
      <c r="J137" s="17"/>
      <c r="K137" s="17"/>
      <c r="L137" s="17"/>
      <c r="M137" s="17"/>
      <c r="N137" s="17"/>
      <c r="O137" s="5"/>
      <c r="Q137" s="5"/>
      <c r="R137" s="5"/>
      <c r="S137" s="5"/>
      <c r="X137" s="10"/>
      <c r="Y137" s="304"/>
      <c r="Z137" s="304"/>
      <c r="AA137" s="304"/>
    </row>
    <row r="138" spans="2:27">
      <c r="B138" s="5"/>
      <c r="C138" s="5"/>
      <c r="D138" s="17"/>
      <c r="E138" s="17"/>
      <c r="F138" s="17"/>
      <c r="G138" s="17"/>
      <c r="H138" s="17"/>
      <c r="I138" s="17"/>
      <c r="J138" s="17"/>
      <c r="K138" s="17"/>
      <c r="L138" s="17"/>
      <c r="M138" s="17"/>
      <c r="N138" s="17"/>
      <c r="O138" s="5"/>
      <c r="Q138" s="5"/>
      <c r="R138" s="5"/>
      <c r="S138" s="5"/>
      <c r="Y138" s="10"/>
      <c r="Z138" s="10"/>
      <c r="AA138" s="10"/>
    </row>
    <row r="139" spans="2:27">
      <c r="B139" s="5"/>
      <c r="C139" s="5"/>
      <c r="D139" s="17"/>
      <c r="E139" s="17"/>
      <c r="F139" s="17"/>
      <c r="G139" s="17"/>
      <c r="H139" s="17"/>
      <c r="I139" s="5"/>
      <c r="J139" s="17"/>
      <c r="K139" s="17"/>
      <c r="L139" s="17"/>
      <c r="M139" s="17"/>
      <c r="N139" s="17"/>
      <c r="O139" s="5"/>
      <c r="Q139" s="5"/>
      <c r="R139" s="5"/>
      <c r="S139" s="5"/>
    </row>
    <row r="140" spans="2:27">
      <c r="B140" s="5"/>
      <c r="C140" s="17"/>
      <c r="D140" s="17"/>
      <c r="E140" s="17"/>
      <c r="F140" s="17"/>
      <c r="G140" s="17"/>
      <c r="H140" s="17"/>
      <c r="I140" s="5"/>
      <c r="J140" s="17"/>
      <c r="K140" s="17"/>
      <c r="L140" s="17"/>
      <c r="M140" s="17"/>
      <c r="N140" s="17"/>
      <c r="O140" s="5"/>
      <c r="Q140" s="5"/>
      <c r="R140" s="5"/>
      <c r="S140" s="5"/>
    </row>
    <row r="141" spans="2:27">
      <c r="B141" s="5"/>
      <c r="C141" s="5"/>
      <c r="D141" s="5"/>
      <c r="E141" s="5"/>
      <c r="F141" s="5"/>
      <c r="G141" s="5"/>
      <c r="H141" s="5"/>
      <c r="I141" s="5"/>
      <c r="J141" s="5"/>
      <c r="K141" s="5"/>
      <c r="L141" s="5"/>
      <c r="M141" s="5"/>
      <c r="N141" s="5"/>
      <c r="O141" s="5"/>
      <c r="Q141" s="5"/>
      <c r="R141" s="5"/>
      <c r="S141" s="5"/>
    </row>
    <row r="142" spans="2:27">
      <c r="B142" s="5"/>
      <c r="C142" s="5"/>
      <c r="D142" s="5"/>
      <c r="E142" s="5"/>
      <c r="F142" s="5"/>
      <c r="G142" s="5"/>
      <c r="H142" s="5"/>
      <c r="I142" s="5"/>
      <c r="J142" s="5"/>
      <c r="K142" s="5"/>
      <c r="L142" s="5"/>
      <c r="M142" s="5"/>
      <c r="N142" s="5"/>
      <c r="O142" s="5"/>
      <c r="Q142" s="5"/>
      <c r="R142" s="5"/>
      <c r="S142" s="5"/>
    </row>
    <row r="143" spans="2:27">
      <c r="B143" s="5"/>
      <c r="C143" s="5"/>
      <c r="D143" s="5"/>
      <c r="E143" s="5"/>
      <c r="F143" s="5"/>
      <c r="G143" s="5"/>
      <c r="H143" s="5"/>
      <c r="I143" s="5"/>
      <c r="J143" s="5"/>
      <c r="K143" s="5"/>
      <c r="L143" s="5"/>
      <c r="M143" s="5"/>
      <c r="N143" s="5"/>
      <c r="O143" s="5"/>
      <c r="Q143" s="5"/>
      <c r="R143" s="5"/>
      <c r="S143" s="5"/>
    </row>
    <row r="144" spans="2:27">
      <c r="B144" s="5"/>
      <c r="C144" s="5"/>
      <c r="D144" s="5"/>
      <c r="E144" s="5"/>
      <c r="F144" s="5"/>
      <c r="G144" s="5"/>
      <c r="H144" s="5"/>
      <c r="I144" s="5"/>
      <c r="J144" s="5"/>
      <c r="K144" s="5"/>
      <c r="L144" s="5"/>
      <c r="M144" s="5"/>
      <c r="N144" s="5"/>
      <c r="O144" s="5"/>
      <c r="Q144" s="5"/>
      <c r="R144" s="5"/>
      <c r="S144" s="5"/>
    </row>
    <row r="145" spans="2:19">
      <c r="B145" s="5"/>
      <c r="C145" s="5"/>
      <c r="D145" s="5"/>
      <c r="E145" s="5"/>
      <c r="F145" s="5"/>
      <c r="G145" s="5"/>
      <c r="H145" s="5"/>
      <c r="I145" s="5"/>
      <c r="J145" s="5"/>
      <c r="K145" s="5"/>
      <c r="L145" s="5"/>
      <c r="M145" s="5"/>
      <c r="N145" s="5"/>
      <c r="O145" s="5"/>
      <c r="Q145" s="5"/>
      <c r="R145" s="5"/>
      <c r="S145" s="5"/>
    </row>
    <row r="146" spans="2:19">
      <c r="B146" s="5"/>
      <c r="C146" s="5"/>
      <c r="D146" s="5"/>
      <c r="E146" s="5"/>
      <c r="F146" s="5"/>
      <c r="G146" s="5"/>
      <c r="H146" s="5"/>
      <c r="I146" s="5"/>
      <c r="J146" s="5"/>
      <c r="K146" s="5"/>
      <c r="L146" s="5"/>
      <c r="M146" s="5"/>
      <c r="N146" s="5"/>
      <c r="O146" s="5"/>
      <c r="Q146" s="5"/>
      <c r="R146" s="5"/>
      <c r="S146" s="5"/>
    </row>
    <row r="147" spans="2:19">
      <c r="B147" s="5"/>
      <c r="C147" s="5"/>
      <c r="D147" s="5"/>
      <c r="E147" s="5"/>
      <c r="F147" s="5"/>
      <c r="G147" s="5"/>
      <c r="H147" s="5"/>
      <c r="I147" s="5"/>
      <c r="J147" s="5"/>
      <c r="K147" s="5"/>
      <c r="L147" s="5"/>
      <c r="M147" s="5"/>
      <c r="N147" s="5"/>
      <c r="O147" s="5"/>
      <c r="Q147" s="5"/>
      <c r="R147" s="5"/>
      <c r="S147" s="5"/>
    </row>
    <row r="148" spans="2:19">
      <c r="B148" s="5"/>
      <c r="C148" s="5"/>
      <c r="D148" s="5"/>
      <c r="E148" s="5"/>
      <c r="F148" s="5"/>
      <c r="G148" s="5"/>
      <c r="H148" s="5"/>
      <c r="I148" s="5"/>
      <c r="J148" s="5"/>
      <c r="K148" s="5"/>
      <c r="L148" s="5"/>
      <c r="M148" s="5"/>
      <c r="N148" s="5"/>
      <c r="O148" s="5"/>
      <c r="Q148" s="5"/>
      <c r="R148" s="5"/>
      <c r="S148" s="5"/>
    </row>
    <row r="149" spans="2:19">
      <c r="B149" s="5"/>
      <c r="C149" s="5"/>
      <c r="D149" s="5"/>
      <c r="E149" s="5"/>
      <c r="F149" s="5"/>
      <c r="G149" s="5"/>
      <c r="H149" s="5"/>
      <c r="J149" s="5"/>
      <c r="K149" s="5"/>
      <c r="L149" s="5"/>
      <c r="M149" s="5"/>
      <c r="N149" s="5"/>
      <c r="O149" s="5"/>
      <c r="Q149" s="5"/>
      <c r="R149" s="5"/>
      <c r="S149" s="5"/>
    </row>
    <row r="150" spans="2:19">
      <c r="B150" s="5"/>
      <c r="C150" s="5"/>
      <c r="D150" s="5"/>
      <c r="E150" s="5"/>
      <c r="F150" s="5"/>
      <c r="G150" s="5"/>
      <c r="H150" s="5"/>
      <c r="J150" s="5"/>
      <c r="K150" s="5"/>
      <c r="L150" s="5"/>
      <c r="M150" s="5"/>
      <c r="N150" s="5"/>
      <c r="O150" s="5"/>
      <c r="Q150" s="5"/>
      <c r="R150" s="5"/>
      <c r="S150" s="5"/>
    </row>
    <row r="151" spans="2:19">
      <c r="Q151" s="5"/>
      <c r="R151" s="5"/>
      <c r="S151" s="5"/>
    </row>
    <row r="152" spans="2:19">
      <c r="Q152" s="5"/>
      <c r="R152" s="5"/>
      <c r="S152" s="5"/>
    </row>
    <row r="153" spans="2:19">
      <c r="C153" s="263"/>
      <c r="Q153" s="5"/>
      <c r="R153" s="5"/>
      <c r="S153" s="5"/>
    </row>
    <row r="154" spans="2:19">
      <c r="Q154" s="5"/>
      <c r="R154" s="5"/>
      <c r="S154" s="5"/>
    </row>
    <row r="155" spans="2:19">
      <c r="Q155" s="5"/>
      <c r="R155" s="5"/>
      <c r="S155" s="5"/>
    </row>
    <row r="156" spans="2:19">
      <c r="Q156" s="5"/>
      <c r="R156" s="5"/>
      <c r="S156" s="5"/>
    </row>
    <row r="157" spans="2:19">
      <c r="Q157" s="5"/>
      <c r="R157" s="5"/>
      <c r="S157" s="5"/>
    </row>
    <row r="158" spans="2:19">
      <c r="Q158" s="5"/>
      <c r="R158" s="5"/>
      <c r="S158" s="5"/>
    </row>
    <row r="159" spans="2:19">
      <c r="Q159" s="5"/>
      <c r="R159" s="5"/>
      <c r="S159" s="5"/>
    </row>
    <row r="160" spans="2:19">
      <c r="Q160" s="5"/>
      <c r="R160" s="5"/>
      <c r="S160" s="5"/>
    </row>
    <row r="161" spans="17:19">
      <c r="Q161" s="5"/>
      <c r="R161" s="5"/>
      <c r="S161" s="5"/>
    </row>
    <row r="162" spans="17:19">
      <c r="Q162" s="5"/>
      <c r="R162" s="5"/>
      <c r="S162" s="5"/>
    </row>
    <row r="163" spans="17:19">
      <c r="Q163" s="5"/>
      <c r="R163" s="5"/>
      <c r="S163" s="5"/>
    </row>
    <row r="164" spans="17:19">
      <c r="Q164" s="5"/>
      <c r="R164" s="5"/>
      <c r="S164" s="5"/>
    </row>
    <row r="165" spans="17:19">
      <c r="Q165" s="5"/>
      <c r="R165" s="5"/>
      <c r="S165" s="5"/>
    </row>
  </sheetData>
  <phoneticPr fontId="7" type="noConversion"/>
  <pageMargins left="0.75" right="0.75" top="1" bottom="1" header="0.5" footer="0.5"/>
  <pageSetup scale="71" orientation="landscape"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79">
    <pageSetUpPr fitToPage="1"/>
  </sheetPr>
  <dimension ref="A1:AA165"/>
  <sheetViews>
    <sheetView showGridLines="0" zoomScale="80" zoomScaleNormal="80" zoomScaleSheetLayoutView="80" workbookViewId="0"/>
  </sheetViews>
  <sheetFormatPr defaultColWidth="8.88671875" defaultRowHeight="12"/>
  <cols>
    <col min="1" max="1" width="2.33203125" style="39" customWidth="1"/>
    <col min="2" max="2" width="26.5546875" style="39" customWidth="1"/>
    <col min="3" max="9" width="10" style="39" customWidth="1"/>
    <col min="10" max="10" width="26.6640625" style="39" customWidth="1"/>
    <col min="11" max="16" width="10" style="39" customWidth="1"/>
    <col min="17" max="19" width="8.6640625" style="39" customWidth="1"/>
    <col min="20" max="27" width="8.6640625" style="5" customWidth="1"/>
    <col min="28" max="28" width="8.6640625" style="39" customWidth="1"/>
    <col min="29" max="16384" width="8.88671875" style="39"/>
  </cols>
  <sheetData>
    <row r="1" spans="2:27" s="312" customFormat="1">
      <c r="T1" s="149"/>
      <c r="U1" s="149"/>
      <c r="V1" s="149"/>
      <c r="W1" s="149"/>
      <c r="X1" s="149"/>
      <c r="Y1" s="149"/>
      <c r="Z1" s="149"/>
      <c r="AA1" s="149"/>
    </row>
    <row r="2" spans="2:27" s="149" customFormat="1"/>
    <row r="3" spans="2:27" s="149" customFormat="1">
      <c r="H3" s="153"/>
      <c r="P3" s="153"/>
    </row>
    <row r="4" spans="2:27" s="156" customFormat="1" ht="21">
      <c r="B4" s="129" t="s">
        <v>851</v>
      </c>
      <c r="H4" s="222"/>
      <c r="P4" s="222"/>
    </row>
    <row r="5" spans="2:27" s="149" customFormat="1">
      <c r="C5" s="153"/>
      <c r="D5" s="153" t="str" cm="1">
        <f t="array" ref="D5:H5">headings</f>
        <v>2023E</v>
      </c>
      <c r="E5" s="153" t="str">
        <v>2024E</v>
      </c>
      <c r="F5" s="153" t="str">
        <v>2025E</v>
      </c>
      <c r="G5" s="153" t="str">
        <v>2026E</v>
      </c>
      <c r="H5" s="153" t="str">
        <v>23E-26E</v>
      </c>
      <c r="I5" s="153"/>
      <c r="J5" s="153"/>
      <c r="K5" s="153"/>
      <c r="L5" s="153" t="str" cm="1">
        <f t="array" ref="L5:P5">headings</f>
        <v>2023E</v>
      </c>
      <c r="M5" s="153" t="str">
        <v>2024E</v>
      </c>
      <c r="N5" s="153" t="str">
        <v>2025E</v>
      </c>
      <c r="O5" s="153" t="str">
        <v>2026E</v>
      </c>
      <c r="P5" s="153" t="str">
        <v>23E-26E</v>
      </c>
      <c r="Q5" s="162"/>
      <c r="R5" s="162"/>
      <c r="S5" s="162"/>
      <c r="T5" s="162"/>
      <c r="U5" s="162"/>
      <c r="V5" s="162"/>
      <c r="W5" s="162"/>
      <c r="X5" s="162"/>
      <c r="Y5" s="162"/>
    </row>
    <row r="6" spans="2:27">
      <c r="I6" s="5"/>
      <c r="J6" s="5"/>
      <c r="K6" s="5"/>
      <c r="L6" s="5"/>
      <c r="M6" s="5"/>
      <c r="N6" s="5"/>
      <c r="O6" s="49"/>
    </row>
    <row r="7" spans="2:27" ht="12.6" thickBot="1">
      <c r="B7" s="306" t="s">
        <v>271</v>
      </c>
      <c r="C7" s="265"/>
      <c r="D7" s="265" t="str">
        <f>D5</f>
        <v>2023E</v>
      </c>
      <c r="E7" s="265" t="str">
        <f t="shared" ref="E7:H7" si="0">E5</f>
        <v>2024E</v>
      </c>
      <c r="F7" s="265" t="str">
        <f t="shared" si="0"/>
        <v>2025E</v>
      </c>
      <c r="G7" s="265" t="str">
        <f t="shared" si="0"/>
        <v>2026E</v>
      </c>
      <c r="H7" s="265" t="str">
        <f t="shared" si="0"/>
        <v>23E-26E</v>
      </c>
      <c r="I7" s="49"/>
      <c r="J7" s="306" t="s">
        <v>862</v>
      </c>
      <c r="K7" s="306"/>
      <c r="L7" s="265" t="str">
        <f>L5</f>
        <v>2023E</v>
      </c>
      <c r="M7" s="265" t="str">
        <f t="shared" ref="M7:P7" si="1">M5</f>
        <v>2024E</v>
      </c>
      <c r="N7" s="265" t="str">
        <f t="shared" si="1"/>
        <v>2025E</v>
      </c>
      <c r="O7" s="265" t="str">
        <f t="shared" si="1"/>
        <v>2026E</v>
      </c>
      <c r="P7" s="265" t="str">
        <f t="shared" si="1"/>
        <v>23E-26E</v>
      </c>
    </row>
    <row r="8" spans="2:27" ht="12.6" thickTop="1">
      <c r="B8" s="5"/>
      <c r="C8" s="5"/>
      <c r="D8" s="5"/>
      <c r="E8" s="5"/>
      <c r="F8" s="5"/>
      <c r="G8" s="5"/>
      <c r="H8" s="5"/>
      <c r="I8" s="5"/>
      <c r="J8" s="5"/>
      <c r="K8" s="5"/>
      <c r="L8" s="5"/>
      <c r="M8" s="5"/>
      <c r="N8" s="5"/>
      <c r="S8" s="88"/>
      <c r="T8" s="42"/>
      <c r="U8" s="42"/>
      <c r="V8" s="42"/>
      <c r="W8" s="42"/>
      <c r="X8" s="42"/>
      <c r="Y8" s="42"/>
      <c r="Z8" s="42"/>
      <c r="AA8" s="42"/>
    </row>
    <row r="9" spans="2:27">
      <c r="B9" s="41" t="s">
        <v>908</v>
      </c>
      <c r="C9" s="267">
        <f>Prices!C35</f>
        <v>33.450000000000003</v>
      </c>
      <c r="D9" s="535">
        <v>0</v>
      </c>
      <c r="E9" s="536">
        <v>0</v>
      </c>
      <c r="F9" s="536">
        <v>0</v>
      </c>
      <c r="G9" s="536">
        <v>0</v>
      </c>
      <c r="H9" s="249"/>
      <c r="I9" s="249"/>
      <c r="J9" s="5" t="s">
        <v>273</v>
      </c>
      <c r="L9" s="529">
        <f>'W.EUR TOWER'!D37</f>
        <v>10.192870582452068</v>
      </c>
      <c r="M9" s="529">
        <f>'W.EUR TOWER'!E37</f>
        <v>10.004426024419873</v>
      </c>
      <c r="N9" s="529">
        <f>'W.EUR TOWER'!F37</f>
        <v>9.4689587470843222</v>
      </c>
      <c r="O9" s="529">
        <f>'W.EUR TOWER'!G37</f>
        <v>8.9199644705362484</v>
      </c>
      <c r="P9" s="286">
        <f>'W.EUR TOWER'!H37</f>
        <v>4.624876336206829E-2</v>
      </c>
      <c r="S9" s="88"/>
      <c r="T9" s="42"/>
      <c r="U9" s="42"/>
      <c r="V9" s="42"/>
      <c r="W9" s="42"/>
      <c r="X9" s="42"/>
      <c r="Y9" s="42"/>
      <c r="Z9" s="42"/>
      <c r="AA9" s="42"/>
    </row>
    <row r="10" spans="2:27">
      <c r="B10" s="5" t="s">
        <v>274</v>
      </c>
      <c r="C10" s="5"/>
      <c r="D10" s="531">
        <v>705.52437499999996</v>
      </c>
      <c r="E10" s="531">
        <v>705.52437499999996</v>
      </c>
      <c r="F10" s="531">
        <v>705.52437499999996</v>
      </c>
      <c r="G10" s="531">
        <v>705.52437499999996</v>
      </c>
      <c r="H10" s="247"/>
      <c r="I10" s="247"/>
      <c r="J10" s="5" t="s">
        <v>184</v>
      </c>
      <c r="L10" s="529">
        <f>'W.EUR TOWER'!D38</f>
        <v>20.166249022817443</v>
      </c>
      <c r="M10" s="529">
        <f>'W.EUR TOWER'!E38</f>
        <v>18.672094966798937</v>
      </c>
      <c r="N10" s="529">
        <f>'W.EUR TOWER'!F38</f>
        <v>17.091346858384298</v>
      </c>
      <c r="O10" s="529">
        <f>'W.EUR TOWER'!G38</f>
        <v>15.747404966058658</v>
      </c>
      <c r="P10" s="286">
        <f>'W.EUR TOWER'!H38</f>
        <v>8.6748891100800751E-2</v>
      </c>
      <c r="S10" s="88"/>
      <c r="T10" s="42"/>
      <c r="U10" s="42"/>
      <c r="V10" s="42"/>
      <c r="W10" s="288"/>
      <c r="X10" s="288"/>
      <c r="Y10" s="288"/>
      <c r="Z10" s="288"/>
      <c r="AA10" s="42"/>
    </row>
    <row r="11" spans="2:27">
      <c r="B11" s="41" t="s">
        <v>275</v>
      </c>
      <c r="C11" s="5"/>
      <c r="D11" s="532">
        <f>$C$9*D10</f>
        <v>23599.790343749999</v>
      </c>
      <c r="E11" s="532">
        <f>$C$9*E10</f>
        <v>23599.790343749999</v>
      </c>
      <c r="F11" s="532">
        <f>$C$9*F10</f>
        <v>23599.790343749999</v>
      </c>
      <c r="G11" s="532">
        <f>$C$9*G10</f>
        <v>23599.790343749999</v>
      </c>
      <c r="H11" s="249"/>
      <c r="I11" s="249"/>
      <c r="J11" s="5" t="s">
        <v>185</v>
      </c>
      <c r="L11" s="529">
        <f>'W.EUR TOWER'!D39</f>
        <v>59.776546006614971</v>
      </c>
      <c r="M11" s="529">
        <f>'W.EUR TOWER'!E39</f>
        <v>46.753870566091521</v>
      </c>
      <c r="N11" s="529">
        <f>'W.EUR TOWER'!F39</f>
        <v>43.306247455441301</v>
      </c>
      <c r="O11" s="529">
        <f>'W.EUR TOWER'!G39</f>
        <v>29.007427517348063</v>
      </c>
      <c r="P11" s="286">
        <f>'W.EUR TOWER'!H39</f>
        <v>0.27349632578510952</v>
      </c>
      <c r="S11" s="88"/>
      <c r="T11" s="42"/>
      <c r="U11" s="42"/>
      <c r="V11" s="42"/>
      <c r="W11" s="288"/>
      <c r="X11" s="288"/>
      <c r="Y11" s="288"/>
      <c r="Z11" s="288"/>
      <c r="AA11" s="42"/>
    </row>
    <row r="12" spans="2:27">
      <c r="B12" s="5" t="s">
        <v>24</v>
      </c>
      <c r="C12" s="249"/>
      <c r="D12" s="533">
        <v>17287.489000000001</v>
      </c>
      <c r="E12" s="533">
        <v>18084.671731042417</v>
      </c>
      <c r="F12" s="533">
        <v>18266.517098102075</v>
      </c>
      <c r="G12" s="533">
        <v>18424.849153926443</v>
      </c>
      <c r="H12" s="247"/>
      <c r="I12" s="247"/>
      <c r="J12" s="5" t="s">
        <v>466</v>
      </c>
      <c r="L12" s="529">
        <f>'W.EUR TOWER'!D40</f>
        <v>80.841659879432498</v>
      </c>
      <c r="M12" s="529">
        <f>'W.EUR TOWER'!E40</f>
        <v>63.03296779026271</v>
      </c>
      <c r="N12" s="529">
        <f>'W.EUR TOWER'!F40</f>
        <v>58.5209346071616</v>
      </c>
      <c r="O12" s="529">
        <f>'W.EUR TOWER'!G40</f>
        <v>38.960179895552145</v>
      </c>
      <c r="P12" s="286">
        <f>'W.EUR TOWER'!H40</f>
        <v>0.27642485403069084</v>
      </c>
      <c r="S12" s="88"/>
      <c r="T12" s="42"/>
      <c r="U12" s="42"/>
      <c r="V12" s="42"/>
      <c r="W12" s="288"/>
      <c r="X12" s="288"/>
      <c r="Y12" s="288"/>
      <c r="Z12" s="288"/>
      <c r="AA12" s="42"/>
    </row>
    <row r="13" spans="2:27">
      <c r="B13" s="5" t="s">
        <v>529</v>
      </c>
      <c r="C13" s="257"/>
      <c r="D13" s="533">
        <v>89.592031072631471</v>
      </c>
      <c r="E13" s="533">
        <v>477.86169087484404</v>
      </c>
      <c r="F13" s="533">
        <v>305.57766894558506</v>
      </c>
      <c r="G13" s="533">
        <v>123.30117374442887</v>
      </c>
      <c r="H13" s="247"/>
      <c r="I13" s="247"/>
      <c r="J13" s="5" t="s">
        <v>530</v>
      </c>
      <c r="L13" s="529">
        <f>'W.EUR TOWER'!D41</f>
        <v>1.3959220040269735</v>
      </c>
      <c r="M13" s="529">
        <f>'W.EUR TOWER'!E41</f>
        <v>1.4149287619474864</v>
      </c>
      <c r="N13" s="529">
        <f>'W.EUR TOWER'!F41</f>
        <v>1.4039106023122296</v>
      </c>
      <c r="O13" s="529">
        <f>'W.EUR TOWER'!G41</f>
        <v>1.392369475518118</v>
      </c>
      <c r="P13" s="286">
        <f>'W.EUR TOWER'!H41</f>
        <v>1.5963093613284851E-3</v>
      </c>
      <c r="S13" s="88"/>
      <c r="T13" s="42"/>
      <c r="U13" s="42"/>
      <c r="V13" s="42"/>
      <c r="W13" s="42"/>
      <c r="X13" s="42"/>
      <c r="Y13" s="42"/>
      <c r="Z13" s="42"/>
      <c r="AA13" s="42"/>
    </row>
    <row r="14" spans="2:27">
      <c r="B14" s="5" t="s">
        <v>532</v>
      </c>
      <c r="C14" s="257"/>
      <c r="D14" s="533">
        <v>0</v>
      </c>
      <c r="E14" s="533">
        <v>0</v>
      </c>
      <c r="F14" s="533">
        <v>0</v>
      </c>
      <c r="G14" s="533">
        <v>0</v>
      </c>
      <c r="H14" s="247"/>
      <c r="I14" s="247"/>
      <c r="J14" s="5" t="s">
        <v>593</v>
      </c>
      <c r="L14" s="529">
        <f>'W.EUR TOWER'!D42</f>
        <v>49.100544009026699</v>
      </c>
      <c r="M14" s="529">
        <f>'W.EUR TOWER'!E42</f>
        <v>44.488497993297209</v>
      </c>
      <c r="N14" s="529">
        <f>'W.EUR TOWER'!F42</f>
        <v>40.772472097293196</v>
      </c>
      <c r="O14" s="529">
        <f>'W.EUR TOWER'!G42</f>
        <v>38.020310410793257</v>
      </c>
      <c r="P14" s="286">
        <f>'W.EUR TOWER'!H42</f>
        <v>8.9801440726483106E-2</v>
      </c>
      <c r="S14" s="88"/>
      <c r="T14" s="42"/>
      <c r="U14" s="42"/>
      <c r="V14" s="42"/>
      <c r="W14" s="42"/>
      <c r="X14" s="42"/>
      <c r="Y14" s="42"/>
      <c r="Z14" s="42"/>
      <c r="AA14" s="42"/>
    </row>
    <row r="15" spans="2:27">
      <c r="B15" s="5" t="s">
        <v>531</v>
      </c>
      <c r="C15" s="274"/>
      <c r="D15" s="533">
        <v>1241.7658536585366</v>
      </c>
      <c r="E15" s="533">
        <v>1241.7658536585366</v>
      </c>
      <c r="F15" s="533">
        <v>1241.7658536585366</v>
      </c>
      <c r="G15" s="533">
        <v>1241.7658536585366</v>
      </c>
      <c r="H15" s="249"/>
      <c r="I15" s="247"/>
      <c r="J15" s="5" t="s">
        <v>475</v>
      </c>
      <c r="L15" s="529">
        <f>'W.EUR TOWER'!D43</f>
        <v>89.372475348060703</v>
      </c>
      <c r="M15" s="529">
        <f>'W.EUR TOWER'!E43</f>
        <v>67.640935044145863</v>
      </c>
      <c r="N15" s="529">
        <f>'W.EUR TOWER'!F43</f>
        <v>64.397227856113432</v>
      </c>
      <c r="O15" s="529">
        <f>'W.EUR TOWER'!G43</f>
        <v>31.741838163080001</v>
      </c>
      <c r="P15" s="286">
        <f>'W.EUR TOWER'!H43</f>
        <v>0.40695821934634813</v>
      </c>
      <c r="S15" s="88"/>
      <c r="T15" s="42"/>
      <c r="U15" s="42"/>
      <c r="V15" s="42"/>
      <c r="W15" s="42"/>
      <c r="X15" s="42"/>
      <c r="Y15" s="42"/>
      <c r="Z15" s="42"/>
      <c r="AA15" s="42"/>
    </row>
    <row r="16" spans="2:27">
      <c r="B16" s="5" t="s">
        <v>534</v>
      </c>
      <c r="C16" s="257"/>
      <c r="D16" s="533">
        <v>0</v>
      </c>
      <c r="E16" s="533">
        <v>44.3</v>
      </c>
      <c r="F16" s="533">
        <v>97.46</v>
      </c>
      <c r="G16" s="533">
        <v>597.46</v>
      </c>
      <c r="H16" s="247"/>
      <c r="I16" s="247"/>
      <c r="J16" s="5" t="s">
        <v>533</v>
      </c>
      <c r="L16" s="529">
        <f>'W.EUR TOWER'!D44</f>
        <v>781.5951060989903</v>
      </c>
      <c r="M16" s="529">
        <f>'W.EUR TOWER'!E44</f>
        <v>168.52644360522467</v>
      </c>
      <c r="N16" s="529">
        <f>'W.EUR TOWER'!F44</f>
        <v>86.249654559869441</v>
      </c>
      <c r="O16" s="529">
        <f>'W.EUR TOWER'!G44</f>
        <v>60.57879608614391</v>
      </c>
      <c r="P16" s="286">
        <f>'W.EUR TOWER'!H44</f>
        <v>1.3368969852446151</v>
      </c>
      <c r="S16" s="88"/>
      <c r="T16" s="42"/>
      <c r="U16" s="42"/>
      <c r="V16" s="42"/>
      <c r="W16" s="42"/>
      <c r="X16" s="42"/>
      <c r="Y16" s="42"/>
      <c r="Z16" s="42"/>
      <c r="AA16" s="42"/>
    </row>
    <row r="17" spans="2:27">
      <c r="B17" s="5" t="s">
        <v>6</v>
      </c>
      <c r="C17" s="257"/>
      <c r="D17" s="533">
        <v>0</v>
      </c>
      <c r="E17" s="533">
        <v>0</v>
      </c>
      <c r="F17" s="533">
        <v>0</v>
      </c>
      <c r="G17" s="533">
        <v>0</v>
      </c>
      <c r="H17" s="247"/>
      <c r="I17" s="247"/>
      <c r="J17" s="5" t="s">
        <v>580</v>
      </c>
      <c r="L17" s="248">
        <f>'W.EUR TOWER'!D45</f>
        <v>1.4973838876303736E-2</v>
      </c>
      <c r="M17" s="248">
        <f>'W.EUR TOWER'!E45</f>
        <v>1.5949784011688228E-2</v>
      </c>
      <c r="N17" s="248">
        <f>'W.EUR TOWER'!F45</f>
        <v>1.7085918223109533E-2</v>
      </c>
      <c r="O17" s="248">
        <f>'W.EUR TOWER'!G45</f>
        <v>3.1907513937074666E-2</v>
      </c>
      <c r="P17" s="286">
        <f>'W.EUR TOWER'!H45</f>
        <v>0.28215080054202502</v>
      </c>
      <c r="S17" s="88"/>
      <c r="T17" s="42"/>
      <c r="U17" s="42"/>
      <c r="V17" s="42"/>
      <c r="W17" s="42"/>
      <c r="X17" s="42"/>
      <c r="Y17" s="42"/>
      <c r="Z17" s="42"/>
      <c r="AA17" s="42"/>
    </row>
    <row r="18" spans="2:27" ht="12.6" thickBot="1">
      <c r="B18" s="41" t="s">
        <v>583</v>
      </c>
      <c r="C18" s="249"/>
      <c r="D18" s="534">
        <f>D11+D12+D13-D14+D15-D16-D17</f>
        <v>42218.637228481166</v>
      </c>
      <c r="E18" s="534">
        <f t="shared" ref="E18:G18" si="2">E11+E12+E13-E14+E15-E16-E17</f>
        <v>43359.789619325798</v>
      </c>
      <c r="F18" s="534">
        <f t="shared" si="2"/>
        <v>43316.190964456189</v>
      </c>
      <c r="G18" s="534">
        <f t="shared" si="2"/>
        <v>42792.246525079412</v>
      </c>
      <c r="H18" s="276">
        <f>IF(D18=0,"nm",IF(G18=0,"nm",(G18/D18)^(1/3)-1))</f>
        <v>4.5085216682134721E-3</v>
      </c>
      <c r="I18" s="254"/>
      <c r="J18" s="5" t="s">
        <v>36</v>
      </c>
      <c r="L18" s="248">
        <f>'W.EUR TOWER'!D46</f>
        <v>1.4973838876303736E-2</v>
      </c>
      <c r="M18" s="248">
        <f>'W.EUR TOWER'!E46</f>
        <v>1.5949784011688228E-2</v>
      </c>
      <c r="N18" s="248">
        <f>'W.EUR TOWER'!F46</f>
        <v>1.7085918223109533E-2</v>
      </c>
      <c r="O18" s="248">
        <f>'W.EUR TOWER'!G46</f>
        <v>3.1907513937074666E-2</v>
      </c>
      <c r="P18" s="286">
        <f>'W.EUR TOWER'!H46</f>
        <v>0.28215080054202502</v>
      </c>
      <c r="S18" s="88"/>
      <c r="T18" s="42"/>
      <c r="U18" s="42"/>
      <c r="V18" s="42"/>
      <c r="W18" s="42"/>
      <c r="X18" s="42"/>
      <c r="Y18" s="42"/>
      <c r="Z18" s="42"/>
      <c r="AA18" s="42"/>
    </row>
    <row r="19" spans="2:27" ht="12.6" thickTop="1">
      <c r="B19" s="41"/>
      <c r="C19" s="249"/>
      <c r="D19" s="229"/>
      <c r="E19" s="229"/>
      <c r="F19" s="229"/>
      <c r="G19" s="229"/>
      <c r="H19" s="276"/>
      <c r="I19" s="254"/>
      <c r="J19" s="5" t="s">
        <v>581</v>
      </c>
      <c r="L19" s="248">
        <f>'W.EUR TOWER'!D47</f>
        <v>1.1189127257642853E-2</v>
      </c>
      <c r="M19" s="248">
        <f>'W.EUR TOWER'!E47</f>
        <v>1.4783947018877695E-2</v>
      </c>
      <c r="N19" s="248">
        <f>'W.EUR TOWER'!F47</f>
        <v>1.5528618751017662E-2</v>
      </c>
      <c r="O19" s="248">
        <f>'W.EUR TOWER'!G47</f>
        <v>3.1504161632426621E-2</v>
      </c>
      <c r="P19" s="286">
        <f>'W.EUR TOWER'!H47</f>
        <v>0.40695821934634813</v>
      </c>
      <c r="S19" s="88"/>
      <c r="T19" s="42"/>
      <c r="U19" s="42"/>
      <c r="V19" s="42"/>
      <c r="W19" s="42"/>
      <c r="X19" s="42"/>
      <c r="Y19" s="42"/>
      <c r="Z19" s="42"/>
      <c r="AA19" s="42"/>
    </row>
    <row r="20" spans="2:27">
      <c r="H20" s="277"/>
      <c r="I20" s="17"/>
      <c r="J20" s="5" t="s">
        <v>604</v>
      </c>
      <c r="L20" s="305">
        <f>'W.EUR TOWER'!D48</f>
        <v>1.3342140141156451</v>
      </c>
      <c r="M20" s="305">
        <f>'W.EUR TOWER'!E48</f>
        <v>1.0755892495466599</v>
      </c>
      <c r="N20" s="305">
        <f>'W.EUR TOWER'!F48</f>
        <v>1.0969319190777573</v>
      </c>
      <c r="O20" s="305">
        <f>'W.EUR TOWER'!G48</f>
        <v>1.0097159549718457</v>
      </c>
      <c r="P20" s="286" t="str">
        <f>'W.EUR TOWER'!H48</f>
        <v>nm</v>
      </c>
      <c r="S20" s="88"/>
      <c r="T20" s="42"/>
      <c r="U20" s="42"/>
      <c r="V20" s="42"/>
      <c r="W20" s="42"/>
      <c r="X20" s="42"/>
      <c r="Y20" s="42"/>
      <c r="Z20" s="42"/>
      <c r="AA20" s="42"/>
    </row>
    <row r="21" spans="2:27" ht="12.6" thickBot="1">
      <c r="B21" s="306" t="s">
        <v>931</v>
      </c>
      <c r="C21" s="265"/>
      <c r="D21" s="265" t="str">
        <f>D$5</f>
        <v>2023E</v>
      </c>
      <c r="E21" s="265" t="str">
        <f t="shared" ref="E21:H21" si="3">E$5</f>
        <v>2024E</v>
      </c>
      <c r="F21" s="265" t="str">
        <f t="shared" si="3"/>
        <v>2025E</v>
      </c>
      <c r="G21" s="265" t="str">
        <f t="shared" si="3"/>
        <v>2026E</v>
      </c>
      <c r="H21" s="265" t="str">
        <f t="shared" si="3"/>
        <v>23E-26E</v>
      </c>
      <c r="I21" s="49"/>
      <c r="J21" s="41"/>
      <c r="L21" s="250"/>
      <c r="M21" s="250"/>
      <c r="N21" s="250"/>
      <c r="O21" s="250"/>
      <c r="P21" s="286"/>
      <c r="S21" s="88"/>
      <c r="T21" s="42"/>
      <c r="U21" s="42"/>
      <c r="V21" s="42"/>
      <c r="W21" s="42"/>
      <c r="X21" s="42"/>
      <c r="Y21" s="42"/>
      <c r="Z21" s="42"/>
      <c r="AA21" s="42"/>
    </row>
    <row r="22" spans="2:27" ht="12.6" thickTop="1">
      <c r="B22" s="5"/>
      <c r="C22" s="257"/>
      <c r="D22" s="17"/>
      <c r="E22" s="17"/>
      <c r="F22" s="17"/>
      <c r="G22" s="17"/>
      <c r="H22" s="17"/>
      <c r="I22" s="17"/>
      <c r="P22" s="277"/>
      <c r="S22" s="88"/>
      <c r="T22" s="42"/>
      <c r="U22" s="42"/>
      <c r="V22" s="42"/>
      <c r="W22" s="42"/>
      <c r="X22" s="42"/>
      <c r="Y22" s="42"/>
      <c r="Z22" s="42"/>
      <c r="AA22" s="42"/>
    </row>
    <row r="23" spans="2:27" ht="12.6" thickBot="1">
      <c r="B23" s="5" t="s">
        <v>584</v>
      </c>
      <c r="C23" s="548">
        <v>4053.2067357809319</v>
      </c>
      <c r="D23" s="540">
        <v>4302.2851448498523</v>
      </c>
      <c r="E23" s="540">
        <v>4477.2853366959189</v>
      </c>
      <c r="F23" s="540">
        <v>4699.3732911377483</v>
      </c>
      <c r="G23" s="540">
        <v>4918.1650712061319</v>
      </c>
      <c r="H23" s="279">
        <f t="shared" ref="H23:H32" si="4">IF(D23=0,"nm",IF(G23=0,"nm",(G23/D23)^(1/3)-1))</f>
        <v>4.560576732714039E-2</v>
      </c>
      <c r="I23" s="247"/>
      <c r="J23" s="306" t="s">
        <v>9</v>
      </c>
      <c r="K23" s="306"/>
      <c r="L23" s="265" t="str">
        <f>L$5</f>
        <v>2023E</v>
      </c>
      <c r="M23" s="265" t="str">
        <f t="shared" ref="M23:P23" si="5">M$5</f>
        <v>2024E</v>
      </c>
      <c r="N23" s="265" t="str">
        <f t="shared" si="5"/>
        <v>2025E</v>
      </c>
      <c r="O23" s="265" t="str">
        <f t="shared" si="5"/>
        <v>2026E</v>
      </c>
      <c r="P23" s="265" t="str">
        <f t="shared" si="5"/>
        <v>23E-26E</v>
      </c>
      <c r="S23" s="88"/>
      <c r="T23" s="42"/>
      <c r="U23" s="42"/>
      <c r="V23" s="42"/>
      <c r="W23" s="42"/>
      <c r="X23" s="42"/>
      <c r="Y23" s="42"/>
      <c r="Z23" s="42"/>
      <c r="AA23" s="42"/>
    </row>
    <row r="24" spans="2:27" ht="12.6" thickTop="1">
      <c r="B24" s="5" t="s">
        <v>483</v>
      </c>
      <c r="C24" s="549">
        <v>1684.6999999999998</v>
      </c>
      <c r="D24" s="540">
        <v>2015.9300884017689</v>
      </c>
      <c r="E24" s="540">
        <v>2230.9342562349416</v>
      </c>
      <c r="F24" s="540">
        <v>2430.625836409894</v>
      </c>
      <c r="G24" s="540">
        <v>2598.0365242340749</v>
      </c>
      <c r="H24" s="279">
        <f t="shared" si="4"/>
        <v>8.8236433655258129E-2</v>
      </c>
      <c r="I24" s="249"/>
      <c r="J24" s="17"/>
      <c r="K24" s="17"/>
      <c r="L24" s="17"/>
      <c r="M24" s="17"/>
      <c r="N24" s="17"/>
      <c r="O24" s="248"/>
      <c r="S24" s="88"/>
      <c r="T24" s="42"/>
      <c r="U24" s="42"/>
      <c r="V24" s="42"/>
      <c r="W24" s="42" t="s">
        <v>851</v>
      </c>
      <c r="X24" s="42" t="s">
        <v>860</v>
      </c>
      <c r="Y24" s="42"/>
      <c r="Z24" s="42"/>
      <c r="AA24" s="42"/>
    </row>
    <row r="25" spans="2:27">
      <c r="B25" s="5" t="s">
        <v>183</v>
      </c>
      <c r="C25" s="548">
        <v>-832.41100000000006</v>
      </c>
      <c r="D25" s="540">
        <v>512.47608840176872</v>
      </c>
      <c r="E25" s="540">
        <v>724.67569051337796</v>
      </c>
      <c r="F25" s="540">
        <v>719.67123975557661</v>
      </c>
      <c r="G25" s="540">
        <v>1239.0315682895373</v>
      </c>
      <c r="H25" s="279">
        <f t="shared" si="4"/>
        <v>0.34215576663850267</v>
      </c>
      <c r="I25" s="248"/>
      <c r="J25" s="247" t="s">
        <v>10</v>
      </c>
      <c r="K25" s="247"/>
      <c r="L25" s="321">
        <v>0</v>
      </c>
      <c r="M25" s="321">
        <v>0</v>
      </c>
      <c r="N25" s="321">
        <v>0</v>
      </c>
      <c r="O25" s="321">
        <v>0</v>
      </c>
      <c r="P25" s="279" t="str">
        <f>IF(L25=0,"nm",IF(O25=0,"nm",(O25/L25)^(1/3)-1))</f>
        <v>nm</v>
      </c>
      <c r="S25" s="88"/>
      <c r="T25" s="42"/>
      <c r="U25" s="42"/>
      <c r="V25" s="147" t="s">
        <v>273</v>
      </c>
      <c r="W25" s="288">
        <f>D37/L9</f>
        <v>0.96273887678449555</v>
      </c>
      <c r="X25" s="288">
        <v>1</v>
      </c>
      <c r="Y25" s="42"/>
      <c r="Z25" s="42"/>
      <c r="AA25" s="42"/>
    </row>
    <row r="26" spans="2:27">
      <c r="B26" s="5" t="s">
        <v>586</v>
      </c>
      <c r="C26" s="548">
        <v>-636.49415131849992</v>
      </c>
      <c r="D26" s="540">
        <v>388.68334039072386</v>
      </c>
      <c r="E26" s="540">
        <v>550.06901248529084</v>
      </c>
      <c r="F26" s="540">
        <v>546.60983955469374</v>
      </c>
      <c r="G26" s="540">
        <v>941.51244342421148</v>
      </c>
      <c r="H26" s="279">
        <f t="shared" si="4"/>
        <v>0.34300216440508646</v>
      </c>
      <c r="I26" s="249"/>
      <c r="J26" s="249" t="s">
        <v>11</v>
      </c>
      <c r="K26" s="249"/>
      <c r="L26" s="281">
        <f>D11+L25</f>
        <v>23599.790343749999</v>
      </c>
      <c r="M26" s="281">
        <f>E11+M25</f>
        <v>23599.790343749999</v>
      </c>
      <c r="N26" s="281">
        <f>F11+N25</f>
        <v>23599.790343749999</v>
      </c>
      <c r="O26" s="281">
        <f>G11+O25</f>
        <v>23599.790343749999</v>
      </c>
      <c r="P26" s="279">
        <f>IF(L26=0,"nm",IF(O26=0,"nm",(O26/L26)^(1/3)-1))</f>
        <v>0</v>
      </c>
      <c r="Q26" s="5"/>
      <c r="S26" s="88"/>
      <c r="T26" s="42"/>
      <c r="U26" s="42"/>
      <c r="V26" s="147" t="s">
        <v>184</v>
      </c>
      <c r="W26" s="288">
        <f t="shared" ref="W26:W28" si="6">D38/L10</f>
        <v>1.0384931063781093</v>
      </c>
      <c r="X26" s="288">
        <v>1</v>
      </c>
      <c r="Y26" s="42"/>
      <c r="Z26" s="42"/>
      <c r="AA26" s="42"/>
    </row>
    <row r="27" spans="2:27">
      <c r="B27" s="5" t="s">
        <v>587</v>
      </c>
      <c r="C27" s="549">
        <v>31910.351999999999</v>
      </c>
      <c r="D27" s="540">
        <v>31466.128000000001</v>
      </c>
      <c r="E27" s="540">
        <v>31886.125335370802</v>
      </c>
      <c r="F27" s="540">
        <v>31961.964226566823</v>
      </c>
      <c r="G27" s="540">
        <v>31693.493408255461</v>
      </c>
      <c r="H27" s="279">
        <f t="shared" si="4"/>
        <v>2.4027950504459383E-3</v>
      </c>
      <c r="I27" s="249"/>
      <c r="J27" s="248"/>
      <c r="K27" s="248"/>
      <c r="L27" s="248"/>
      <c r="M27" s="248"/>
      <c r="N27" s="248"/>
      <c r="O27" s="248"/>
      <c r="Q27" s="41"/>
      <c r="S27" s="88"/>
      <c r="T27" s="42"/>
      <c r="U27" s="42"/>
      <c r="V27" s="147" t="s">
        <v>185</v>
      </c>
      <c r="W27" s="288">
        <f t="shared" si="6"/>
        <v>1.3781604643517626</v>
      </c>
      <c r="X27" s="288">
        <v>1</v>
      </c>
      <c r="Y27" s="42"/>
      <c r="Z27" s="42"/>
      <c r="AA27" s="42"/>
    </row>
    <row r="28" spans="2:27">
      <c r="B28" s="5" t="s">
        <v>592</v>
      </c>
      <c r="C28" s="548">
        <v>0</v>
      </c>
      <c r="D28" s="540">
        <v>0</v>
      </c>
      <c r="E28" s="540">
        <v>0</v>
      </c>
      <c r="F28" s="540">
        <v>0</v>
      </c>
      <c r="G28" s="540">
        <v>0</v>
      </c>
      <c r="H28" s="279" t="str">
        <f t="shared" si="4"/>
        <v>nm</v>
      </c>
      <c r="I28" s="248"/>
      <c r="Q28" s="5"/>
      <c r="S28" s="88"/>
      <c r="T28" s="42"/>
      <c r="U28" s="42"/>
      <c r="V28" s="147" t="s">
        <v>466</v>
      </c>
      <c r="W28" s="288">
        <f t="shared" si="6"/>
        <v>1.3436094884159304</v>
      </c>
      <c r="X28" s="288">
        <v>1</v>
      </c>
      <c r="Y28" s="42"/>
      <c r="Z28" s="42"/>
      <c r="AA28" s="42"/>
    </row>
    <row r="29" spans="2:27" ht="12.6" thickBot="1">
      <c r="B29" s="5" t="s">
        <v>588</v>
      </c>
      <c r="C29" s="548">
        <v>-1174.1680000000003</v>
      </c>
      <c r="D29" s="540">
        <v>124.84008840176864</v>
      </c>
      <c r="E29" s="540">
        <v>213.1172689575817</v>
      </c>
      <c r="F29" s="540">
        <v>171.31463294034143</v>
      </c>
      <c r="G29" s="540">
        <v>641.66794417563244</v>
      </c>
      <c r="H29" s="279">
        <f t="shared" si="4"/>
        <v>0.72577997518462767</v>
      </c>
      <c r="I29" s="252"/>
      <c r="J29" s="306" t="s">
        <v>1363</v>
      </c>
      <c r="K29" s="306"/>
      <c r="L29" s="265" t="str">
        <f>L$5</f>
        <v>2023E</v>
      </c>
      <c r="M29" s="265" t="str">
        <f t="shared" ref="M29:P29" si="7">M$5</f>
        <v>2024E</v>
      </c>
      <c r="N29" s="265" t="str">
        <f t="shared" si="7"/>
        <v>2025E</v>
      </c>
      <c r="O29" s="265" t="str">
        <f t="shared" si="7"/>
        <v>2026E</v>
      </c>
      <c r="P29" s="265" t="str">
        <f t="shared" si="7"/>
        <v>23E-26E</v>
      </c>
      <c r="Q29" s="5"/>
      <c r="S29" s="88"/>
      <c r="T29" s="42"/>
      <c r="U29" s="42"/>
      <c r="V29" s="147" t="s">
        <v>475</v>
      </c>
      <c r="W29" s="288">
        <f>D43/L15</f>
        <v>2.1151944122315176</v>
      </c>
      <c r="X29" s="288">
        <v>1</v>
      </c>
      <c r="Y29" s="42"/>
      <c r="Z29" s="42"/>
      <c r="AA29" s="42"/>
    </row>
    <row r="30" spans="2:27" ht="12.6" thickTop="1">
      <c r="B30" s="5" t="s">
        <v>589</v>
      </c>
      <c r="C30" s="549">
        <v>-297.05800000000016</v>
      </c>
      <c r="D30" s="540">
        <v>-297.19091159823131</v>
      </c>
      <c r="E30" s="540">
        <v>-180.68539567161685</v>
      </c>
      <c r="F30" s="540">
        <v>-44.496475863637144</v>
      </c>
      <c r="G30" s="540">
        <v>87.754625864273507</v>
      </c>
      <c r="H30" s="279">
        <f t="shared" si="4"/>
        <v>-1.6659038077748842</v>
      </c>
      <c r="I30" s="254"/>
      <c r="J30" s="248"/>
      <c r="K30" s="248"/>
      <c r="L30" s="248"/>
      <c r="M30" s="248"/>
      <c r="N30" s="248"/>
      <c r="O30" s="5"/>
      <c r="Q30" s="5"/>
      <c r="S30" s="88"/>
      <c r="T30" s="42"/>
      <c r="U30" s="42"/>
      <c r="V30" s="147" t="s">
        <v>533</v>
      </c>
      <c r="W30" s="288">
        <f>D44/L16</f>
        <v>-0.10159931719568346</v>
      </c>
      <c r="X30" s="288">
        <v>1</v>
      </c>
      <c r="Y30" s="42"/>
      <c r="Z30" s="42"/>
      <c r="AA30" s="42"/>
    </row>
    <row r="31" spans="2:27">
      <c r="B31" s="5" t="s">
        <v>590</v>
      </c>
      <c r="C31" s="549">
        <v>36.636209753919999</v>
      </c>
      <c r="D31" s="540">
        <v>40.29990853124999</v>
      </c>
      <c r="E31" s="540">
        <v>44.3</v>
      </c>
      <c r="F31" s="540">
        <v>53.160000000000004</v>
      </c>
      <c r="G31" s="540">
        <v>500</v>
      </c>
      <c r="H31" s="279">
        <f t="shared" si="4"/>
        <v>1.3150230239883292</v>
      </c>
      <c r="I31" s="254"/>
      <c r="J31" s="5" t="s">
        <v>737</v>
      </c>
      <c r="K31" s="247"/>
      <c r="L31" s="322">
        <v>111917.625</v>
      </c>
      <c r="M31" s="322">
        <v>115161.92857142857</v>
      </c>
      <c r="N31" s="322">
        <v>118861.23214285716</v>
      </c>
      <c r="O31" s="322">
        <v>122343.10714285714</v>
      </c>
      <c r="Q31" s="5"/>
      <c r="S31" s="88"/>
      <c r="T31" s="42"/>
      <c r="U31" s="42"/>
      <c r="V31" s="147" t="s">
        <v>580</v>
      </c>
      <c r="W31" s="288">
        <f>D45/L17</f>
        <v>0.11404145771640399</v>
      </c>
      <c r="X31" s="288">
        <v>1</v>
      </c>
      <c r="Y31" s="42"/>
      <c r="Z31" s="42"/>
      <c r="AA31" s="42"/>
    </row>
    <row r="32" spans="2:27">
      <c r="B32" s="5" t="s">
        <v>606</v>
      </c>
      <c r="C32" s="550">
        <v>0</v>
      </c>
      <c r="D32" s="540">
        <v>0</v>
      </c>
      <c r="E32" s="540">
        <v>0</v>
      </c>
      <c r="F32" s="540">
        <v>0</v>
      </c>
      <c r="G32" s="540">
        <v>0</v>
      </c>
      <c r="H32" s="279" t="str">
        <f t="shared" si="4"/>
        <v>nm</v>
      </c>
      <c r="I32" s="254"/>
      <c r="J32" s="5" t="s">
        <v>1361</v>
      </c>
      <c r="K32" s="254"/>
      <c r="L32" s="322">
        <v>154873.67300000001</v>
      </c>
      <c r="M32" s="322">
        <v>162156.09714642854</v>
      </c>
      <c r="N32" s="322">
        <v>169868.98792751785</v>
      </c>
      <c r="O32" s="322">
        <v>177020.9377491482</v>
      </c>
      <c r="Q32" s="5"/>
      <c r="S32" s="88"/>
      <c r="T32" s="42"/>
      <c r="U32" s="42"/>
      <c r="V32" s="147" t="s">
        <v>581</v>
      </c>
      <c r="W32" s="288">
        <f>D47/L19</f>
        <v>0.4727697814523848</v>
      </c>
      <c r="X32" s="288">
        <v>1</v>
      </c>
      <c r="Y32" s="42"/>
      <c r="Z32" s="42"/>
      <c r="AA32" s="42"/>
    </row>
    <row r="33" spans="1:27">
      <c r="B33" s="5" t="s">
        <v>5</v>
      </c>
      <c r="C33" s="549">
        <v>-401.55399999999997</v>
      </c>
      <c r="D33" s="540">
        <v>-480.52500000000003</v>
      </c>
      <c r="E33" s="540">
        <v>-483.09443749999997</v>
      </c>
      <c r="F33" s="540">
        <v>-517.79718806114136</v>
      </c>
      <c r="G33" s="540">
        <v>-512.52805892408321</v>
      </c>
      <c r="H33" s="279">
        <f>IF(D33=0,"nm",IF(G33=0,"nm",(G33/D33)^(1/3)-1))</f>
        <v>2.1724685454024284E-2</v>
      </c>
      <c r="I33" s="5"/>
      <c r="J33" s="254"/>
      <c r="K33" s="254"/>
      <c r="L33" s="254"/>
      <c r="M33" s="254"/>
      <c r="N33" s="254"/>
      <c r="O33" s="251"/>
      <c r="Q33" s="5"/>
      <c r="S33" s="88"/>
      <c r="T33" s="42"/>
      <c r="U33" s="42"/>
      <c r="V33" s="42"/>
      <c r="W33" s="288"/>
      <c r="X33" s="42"/>
      <c r="Y33" s="42"/>
      <c r="Z33" s="42"/>
      <c r="AA33" s="42"/>
    </row>
    <row r="34" spans="1:27">
      <c r="H34" s="277"/>
      <c r="I34" s="49"/>
      <c r="J34" s="254"/>
      <c r="K34" s="254"/>
      <c r="L34" s="254"/>
      <c r="M34" s="254"/>
      <c r="N34" s="254"/>
      <c r="O34" s="251"/>
      <c r="Q34" s="5"/>
      <c r="S34" s="88"/>
      <c r="T34" s="42"/>
      <c r="U34" s="42"/>
      <c r="V34" s="42"/>
      <c r="W34" s="288"/>
      <c r="X34" s="42"/>
      <c r="Y34" s="288"/>
      <c r="Z34" s="288"/>
      <c r="AA34" s="42"/>
    </row>
    <row r="35" spans="1:27" ht="12.6" thickBot="1">
      <c r="B35" s="306" t="s">
        <v>853</v>
      </c>
      <c r="C35" s="265"/>
      <c r="D35" s="265" t="str">
        <f>D5</f>
        <v>2023E</v>
      </c>
      <c r="E35" s="265" t="str">
        <f t="shared" ref="E35:H35" si="8">E5</f>
        <v>2024E</v>
      </c>
      <c r="F35" s="265" t="str">
        <f t="shared" si="8"/>
        <v>2025E</v>
      </c>
      <c r="G35" s="265" t="str">
        <f t="shared" si="8"/>
        <v>2026E</v>
      </c>
      <c r="H35" s="265" t="str">
        <f t="shared" si="8"/>
        <v>23E-26E</v>
      </c>
      <c r="I35" s="254"/>
      <c r="J35" s="306" t="s">
        <v>1362</v>
      </c>
      <c r="K35" s="306"/>
      <c r="L35" s="306"/>
      <c r="M35" s="306"/>
      <c r="N35" s="266"/>
      <c r="O35" s="266"/>
      <c r="P35" s="266"/>
      <c r="Q35" s="5"/>
      <c r="S35" s="88"/>
      <c r="T35" s="42"/>
      <c r="U35" s="42"/>
      <c r="V35" s="42"/>
      <c r="W35" s="288"/>
      <c r="X35" s="42"/>
      <c r="Y35" s="288"/>
      <c r="Z35" s="288"/>
      <c r="AA35" s="42"/>
    </row>
    <row r="36" spans="1:27" ht="12.6" thickTop="1">
      <c r="B36" s="41"/>
      <c r="C36" s="249"/>
      <c r="D36" s="254"/>
      <c r="E36" s="254"/>
      <c r="F36" s="254"/>
      <c r="G36" s="254"/>
      <c r="H36" s="254"/>
      <c r="I36" s="17"/>
      <c r="J36" s="49"/>
      <c r="K36" s="49"/>
      <c r="L36" s="49"/>
      <c r="M36" s="49"/>
      <c r="N36" s="49"/>
      <c r="O36" s="49"/>
      <c r="Q36" s="5"/>
      <c r="S36" s="88"/>
      <c r="T36" s="42"/>
      <c r="U36" s="42"/>
      <c r="V36" s="42"/>
      <c r="W36" s="42"/>
      <c r="X36" s="42"/>
      <c r="Y36" s="288"/>
      <c r="Z36" s="288"/>
      <c r="AA36" s="42"/>
    </row>
    <row r="37" spans="1:27">
      <c r="A37" s="5"/>
      <c r="B37" s="5" t="s">
        <v>273</v>
      </c>
      <c r="C37" s="247"/>
      <c r="D37" s="529">
        <f>D$18/D23</f>
        <v>9.8130727757596308</v>
      </c>
      <c r="E37" s="529">
        <f t="shared" ref="E37:G40" si="9">E$18/E23</f>
        <v>9.6843927421708216</v>
      </c>
      <c r="F37" s="529">
        <f t="shared" si="9"/>
        <v>9.2174399182426008</v>
      </c>
      <c r="G37" s="529">
        <f t="shared" si="9"/>
        <v>8.7008560927754779</v>
      </c>
      <c r="H37" s="17">
        <f t="shared" ref="H37:H40" si="10">H23</f>
        <v>4.560576732714039E-2</v>
      </c>
      <c r="I37" s="5"/>
      <c r="Q37" s="5"/>
      <c r="R37" s="5"/>
      <c r="S37" s="42"/>
      <c r="T37" s="42"/>
      <c r="U37" s="42"/>
      <c r="V37" s="42"/>
      <c r="W37" s="42"/>
      <c r="X37" s="42"/>
      <c r="Y37" s="42"/>
      <c r="Z37" s="42"/>
      <c r="AA37" s="42"/>
    </row>
    <row r="38" spans="1:27">
      <c r="A38" s="5"/>
      <c r="B38" s="5" t="s">
        <v>184</v>
      </c>
      <c r="C38" s="247"/>
      <c r="D38" s="529">
        <f>D$18/D24</f>
        <v>20.942510591700199</v>
      </c>
      <c r="E38" s="529">
        <f>E$18/E24</f>
        <v>19.435709276571142</v>
      </c>
      <c r="F38" s="529">
        <f t="shared" si="9"/>
        <v>17.821003264095754</v>
      </c>
      <c r="G38" s="529">
        <f t="shared" si="9"/>
        <v>16.470994970979078</v>
      </c>
      <c r="H38" s="17">
        <f t="shared" si="10"/>
        <v>8.8236433655258129E-2</v>
      </c>
      <c r="I38" s="259"/>
      <c r="J38" s="17"/>
      <c r="K38" s="17"/>
      <c r="L38" s="17"/>
      <c r="M38" s="17"/>
      <c r="N38" s="17"/>
      <c r="O38" s="5"/>
      <c r="Q38" s="5"/>
      <c r="R38" s="5"/>
      <c r="S38" s="42"/>
      <c r="T38" s="42"/>
      <c r="U38" s="42"/>
      <c r="V38" s="42"/>
      <c r="W38" s="42"/>
      <c r="X38" s="42"/>
      <c r="Y38" s="42"/>
      <c r="Z38" s="42"/>
      <c r="AA38" s="42"/>
    </row>
    <row r="39" spans="1:27">
      <c r="A39" s="5"/>
      <c r="B39" s="5" t="s">
        <v>185</v>
      </c>
      <c r="C39" s="247"/>
      <c r="D39" s="529">
        <f>D$18/D25</f>
        <v>82.381672401820992</v>
      </c>
      <c r="E39" s="529">
        <f t="shared" si="9"/>
        <v>59.833371240324986</v>
      </c>
      <c r="F39" s="529">
        <f t="shared" si="9"/>
        <v>60.188859261859285</v>
      </c>
      <c r="G39" s="529">
        <f t="shared" si="9"/>
        <v>34.536849278306448</v>
      </c>
      <c r="H39" s="17">
        <f t="shared" si="10"/>
        <v>0.34215576663850267</v>
      </c>
      <c r="I39" s="17"/>
      <c r="J39" s="5"/>
      <c r="K39" s="5"/>
      <c r="L39" s="5"/>
      <c r="M39" s="5"/>
      <c r="N39" s="5"/>
      <c r="O39" s="5"/>
      <c r="Q39" s="5"/>
      <c r="R39" s="5"/>
      <c r="S39" s="42"/>
      <c r="T39" s="42"/>
      <c r="U39" s="42"/>
      <c r="V39" s="42"/>
      <c r="W39" s="42"/>
      <c r="X39" s="42"/>
      <c r="Y39" s="42"/>
      <c r="Z39" s="42"/>
      <c r="AA39" s="42"/>
    </row>
    <row r="40" spans="1:27">
      <c r="A40" s="5"/>
      <c r="B40" s="5" t="s">
        <v>466</v>
      </c>
      <c r="C40" s="247"/>
      <c r="D40" s="529">
        <f>D$18/D26</f>
        <v>108.61962127329895</v>
      </c>
      <c r="E40" s="529">
        <f t="shared" si="9"/>
        <v>78.826090245331287</v>
      </c>
      <c r="F40" s="529">
        <f t="shared" si="9"/>
        <v>79.245172387940471</v>
      </c>
      <c r="G40" s="529">
        <f t="shared" si="9"/>
        <v>45.450537402827266</v>
      </c>
      <c r="H40" s="17">
        <f t="shared" si="10"/>
        <v>0.34300216440508646</v>
      </c>
      <c r="I40" s="5"/>
      <c r="J40" s="259"/>
      <c r="K40" s="259"/>
      <c r="L40" s="259"/>
      <c r="M40" s="259"/>
      <c r="N40" s="259"/>
      <c r="O40" s="18"/>
      <c r="Q40" s="5"/>
      <c r="R40" s="5"/>
      <c r="S40" s="42"/>
      <c r="T40" s="42"/>
      <c r="U40" s="42"/>
      <c r="V40" s="42"/>
      <c r="W40" s="288"/>
      <c r="X40" s="288"/>
      <c r="Y40" s="42"/>
      <c r="Z40" s="42"/>
      <c r="AA40" s="42"/>
    </row>
    <row r="41" spans="1:27">
      <c r="A41" s="5"/>
      <c r="B41" s="5" t="s">
        <v>871</v>
      </c>
      <c r="D41" s="529">
        <f>D18/D27</f>
        <v>1.3417169480935551</v>
      </c>
      <c r="E41" s="529">
        <f>E18/E27</f>
        <v>1.3598325027979312</v>
      </c>
      <c r="F41" s="529">
        <f>F18/F27</f>
        <v>1.3552418323668518</v>
      </c>
      <c r="G41" s="529">
        <f>G18/G27</f>
        <v>1.3501902732481037</v>
      </c>
      <c r="H41" s="17">
        <f>H27</f>
        <v>2.4027950504459383E-3</v>
      </c>
      <c r="I41" s="247"/>
      <c r="J41" s="17"/>
      <c r="K41" s="17"/>
      <c r="L41" s="17"/>
      <c r="M41" s="17"/>
      <c r="N41" s="17"/>
      <c r="O41" s="5"/>
      <c r="Q41" s="5"/>
      <c r="R41" s="5"/>
      <c r="S41" s="42"/>
      <c r="T41" s="42"/>
      <c r="U41" s="42"/>
      <c r="V41" s="42"/>
      <c r="W41" s="288"/>
      <c r="X41" s="288"/>
      <c r="Y41" s="288"/>
      <c r="Z41" s="288"/>
      <c r="AA41" s="42"/>
    </row>
    <row r="42" spans="1:27">
      <c r="A42" s="5"/>
      <c r="B42" s="5" t="s">
        <v>593</v>
      </c>
      <c r="D42" s="529" t="str">
        <f>IFERROR(D18/D28,"na")</f>
        <v>na</v>
      </c>
      <c r="E42" s="529" t="str">
        <f>IFERROR(E18/E28,"na")</f>
        <v>na</v>
      </c>
      <c r="F42" s="529" t="str">
        <f>IFERROR(F18/F28,"na")</f>
        <v>na</v>
      </c>
      <c r="G42" s="529" t="str">
        <f>IFERROR(G18/G28,"na")</f>
        <v>na</v>
      </c>
      <c r="H42" s="17" t="str">
        <f>H28</f>
        <v>nm</v>
      </c>
      <c r="I42" s="248"/>
      <c r="J42" s="5"/>
      <c r="K42" s="5"/>
      <c r="L42" s="5"/>
      <c r="M42" s="5"/>
      <c r="N42" s="5"/>
      <c r="O42" s="5"/>
      <c r="Q42" s="5"/>
      <c r="R42" s="5"/>
      <c r="S42" s="42"/>
      <c r="T42" s="42"/>
      <c r="U42" s="42"/>
      <c r="V42" s="42"/>
      <c r="W42" s="288"/>
      <c r="X42" s="288"/>
      <c r="Y42" s="288"/>
      <c r="Z42" s="288"/>
      <c r="AA42" s="42"/>
    </row>
    <row r="43" spans="1:27">
      <c r="A43" s="5"/>
      <c r="B43" s="5" t="s">
        <v>475</v>
      </c>
      <c r="C43" s="247"/>
      <c r="D43" s="529">
        <f>L26/D29</f>
        <v>189.04016046351705</v>
      </c>
      <c r="E43" s="529">
        <f>M26/E29</f>
        <v>110.73617102538621</v>
      </c>
      <c r="F43" s="529">
        <f>N26/F29</f>
        <v>137.75700264885361</v>
      </c>
      <c r="G43" s="529">
        <f>O26/G29</f>
        <v>36.778820818405173</v>
      </c>
      <c r="H43" s="17">
        <f>H29</f>
        <v>0.72577997518462767</v>
      </c>
      <c r="I43" s="247"/>
      <c r="J43" s="247"/>
      <c r="K43" s="247"/>
      <c r="L43" s="247"/>
      <c r="M43" s="247"/>
      <c r="N43" s="247"/>
      <c r="O43" s="18"/>
      <c r="Q43" s="5"/>
      <c r="R43" s="5"/>
      <c r="S43" s="42"/>
      <c r="T43" s="42"/>
      <c r="U43" s="42"/>
      <c r="V43" s="42"/>
      <c r="W43" s="288"/>
      <c r="X43" s="288"/>
      <c r="Y43" s="288"/>
      <c r="Z43" s="288"/>
      <c r="AA43" s="42"/>
    </row>
    <row r="44" spans="1:27">
      <c r="A44" s="5"/>
      <c r="B44" s="5" t="s">
        <v>533</v>
      </c>
      <c r="C44" s="69"/>
      <c r="D44" s="529">
        <f>D11/D30</f>
        <v>-79.409529103145189</v>
      </c>
      <c r="E44" s="529">
        <f>E11/E30</f>
        <v>-130.61260571740385</v>
      </c>
      <c r="F44" s="529">
        <f>F11/F30</f>
        <v>-530.37436978320181</v>
      </c>
      <c r="G44" s="529">
        <f>G11/G30</f>
        <v>268.92930271562926</v>
      </c>
      <c r="H44" s="17">
        <f>H30</f>
        <v>-1.6659038077748842</v>
      </c>
      <c r="I44" s="247"/>
      <c r="J44" s="248"/>
      <c r="K44" s="248"/>
      <c r="L44" s="248"/>
      <c r="M44" s="248"/>
      <c r="N44" s="248"/>
      <c r="O44" s="248"/>
      <c r="Q44" s="5"/>
      <c r="R44" s="5"/>
      <c r="S44" s="42"/>
      <c r="T44" s="42"/>
      <c r="U44" s="42"/>
      <c r="V44" s="42"/>
      <c r="W44" s="325"/>
      <c r="X44" s="325"/>
      <c r="Y44" s="288"/>
      <c r="Z44" s="288"/>
      <c r="AA44" s="42"/>
    </row>
    <row r="45" spans="1:27">
      <c r="A45" s="5"/>
      <c r="B45" s="5" t="s">
        <v>580</v>
      </c>
      <c r="C45" s="247"/>
      <c r="D45" s="248">
        <f>D31/D11</f>
        <v>1.7076384130642387E-3</v>
      </c>
      <c r="E45" s="248">
        <f>E31/E11</f>
        <v>1.8771353200488111E-3</v>
      </c>
      <c r="F45" s="248">
        <f>F31/F11</f>
        <v>2.2525623840585736E-3</v>
      </c>
      <c r="G45" s="248">
        <f>G31/G11</f>
        <v>2.1186628894456109E-2</v>
      </c>
      <c r="H45" s="17">
        <f>H31</f>
        <v>1.3150230239883292</v>
      </c>
      <c r="I45" s="248"/>
      <c r="J45" s="247"/>
      <c r="K45" s="247"/>
      <c r="L45" s="247"/>
      <c r="M45" s="247"/>
      <c r="N45" s="247"/>
      <c r="O45" s="248"/>
      <c r="Q45" s="5"/>
      <c r="R45" s="5"/>
      <c r="S45" s="42"/>
      <c r="T45" s="42"/>
      <c r="U45" s="42"/>
      <c r="V45" s="42"/>
      <c r="W45" s="42"/>
      <c r="X45" s="42"/>
      <c r="Y45" s="325"/>
      <c r="Z45" s="325"/>
      <c r="AA45" s="42"/>
    </row>
    <row r="46" spans="1:27">
      <c r="A46" s="5"/>
      <c r="B46" s="5" t="s">
        <v>605</v>
      </c>
      <c r="C46" s="247"/>
      <c r="D46" s="248">
        <f>(D31+D32)/D11</f>
        <v>1.7076384130642387E-3</v>
      </c>
      <c r="E46" s="248">
        <f>(E31+E32)/E11</f>
        <v>1.8771353200488111E-3</v>
      </c>
      <c r="F46" s="248">
        <f>(F31+F32)/F11</f>
        <v>2.2525623840585736E-3</v>
      </c>
      <c r="G46" s="248">
        <f>(G31+G32)/G11</f>
        <v>2.1186628894456109E-2</v>
      </c>
      <c r="H46" s="279">
        <f>((G31+G32)/(D31+D32))^(1/3)-1</f>
        <v>1.3150230239883292</v>
      </c>
      <c r="I46" s="247"/>
      <c r="J46" s="247"/>
      <c r="K46" s="247"/>
      <c r="L46" s="247"/>
      <c r="M46" s="247"/>
      <c r="N46" s="247"/>
      <c r="O46" s="18"/>
      <c r="Q46" s="5"/>
      <c r="R46" s="5"/>
      <c r="S46" s="42"/>
      <c r="T46" s="42"/>
      <c r="U46" s="42"/>
      <c r="V46" s="42"/>
      <c r="W46" s="42"/>
      <c r="X46" s="42"/>
      <c r="Y46" s="42"/>
      <c r="Z46" s="42"/>
      <c r="AA46" s="326"/>
    </row>
    <row r="47" spans="1:27">
      <c r="A47" s="5"/>
      <c r="B47" s="5" t="s">
        <v>581</v>
      </c>
      <c r="C47" s="5"/>
      <c r="D47" s="248">
        <f>1/D43</f>
        <v>5.2898812482387331E-3</v>
      </c>
      <c r="E47" s="248">
        <f>1/E43</f>
        <v>9.0304729768085484E-3</v>
      </c>
      <c r="F47" s="248">
        <f>1/F43</f>
        <v>7.2591591045939605E-3</v>
      </c>
      <c r="G47" s="248">
        <f>1/G43</f>
        <v>2.7189561213435409E-2</v>
      </c>
      <c r="H47" s="17">
        <f>H29</f>
        <v>0.72577997518462767</v>
      </c>
      <c r="I47" s="17"/>
      <c r="J47" s="248"/>
      <c r="K47" s="248"/>
      <c r="L47" s="248"/>
      <c r="M47" s="248"/>
      <c r="N47" s="248"/>
      <c r="O47" s="248"/>
      <c r="Q47" s="5"/>
      <c r="R47" s="5"/>
      <c r="S47" s="42"/>
      <c r="T47" s="42"/>
      <c r="U47" s="42"/>
      <c r="V47" s="42"/>
      <c r="W47" s="42"/>
      <c r="X47" s="42"/>
      <c r="Y47" s="42"/>
      <c r="Z47" s="42"/>
      <c r="AA47" s="326"/>
    </row>
    <row r="48" spans="1:27">
      <c r="A48" s="5"/>
      <c r="B48" s="5" t="s">
        <v>618</v>
      </c>
      <c r="C48" s="5"/>
      <c r="D48" s="305">
        <f>D31/D29</f>
        <v>0.32281223961932931</v>
      </c>
      <c r="E48" s="305">
        <f>E31/E29</f>
        <v>0.20786677783871824</v>
      </c>
      <c r="F48" s="305">
        <f>F31/F29</f>
        <v>0.31030624230746495</v>
      </c>
      <c r="G48" s="305">
        <f>G31/G29</f>
        <v>0.77921922785524689</v>
      </c>
      <c r="H48" s="17" t="str">
        <f>H32</f>
        <v>nm</v>
      </c>
      <c r="I48" s="247"/>
      <c r="J48" s="247"/>
      <c r="K48" s="247"/>
      <c r="L48" s="247"/>
      <c r="M48" s="247"/>
      <c r="N48" s="247"/>
      <c r="O48" s="248"/>
      <c r="Q48" s="5"/>
      <c r="R48" s="5"/>
      <c r="S48" s="42"/>
      <c r="T48" s="42"/>
      <c r="U48" s="42"/>
      <c r="V48" s="42"/>
      <c r="W48" s="42"/>
      <c r="X48" s="42"/>
      <c r="Y48" s="42"/>
      <c r="Z48" s="42"/>
      <c r="AA48" s="326"/>
    </row>
    <row r="49" spans="2:27">
      <c r="I49" s="254"/>
      <c r="J49" s="17"/>
      <c r="K49" s="17"/>
      <c r="L49" s="17"/>
      <c r="M49" s="17"/>
      <c r="N49" s="17"/>
      <c r="O49" s="248"/>
      <c r="Q49" s="5"/>
      <c r="R49" s="5"/>
      <c r="S49" s="42"/>
      <c r="T49" s="42"/>
      <c r="U49" s="42"/>
      <c r="V49" s="42"/>
      <c r="W49" s="42"/>
      <c r="X49" s="42"/>
      <c r="Y49" s="42"/>
      <c r="Z49" s="42"/>
      <c r="AA49" s="326"/>
    </row>
    <row r="50" spans="2:27">
      <c r="I50" s="17"/>
      <c r="J50" s="249"/>
      <c r="K50" s="249"/>
      <c r="L50" s="249"/>
      <c r="M50" s="249"/>
      <c r="N50" s="249"/>
      <c r="O50" s="250"/>
      <c r="Q50" s="5"/>
      <c r="R50" s="5"/>
      <c r="S50" s="42"/>
      <c r="T50" s="42"/>
      <c r="U50" s="42"/>
      <c r="V50" s="42"/>
      <c r="W50" s="288"/>
      <c r="X50" s="288"/>
      <c r="Y50" s="42"/>
      <c r="Z50" s="42"/>
      <c r="AA50" s="326"/>
    </row>
    <row r="51" spans="2:27">
      <c r="B51" s="301"/>
      <c r="C51" s="301"/>
      <c r="D51" s="254"/>
      <c r="E51" s="254"/>
      <c r="F51" s="254"/>
      <c r="G51" s="254"/>
      <c r="H51" s="254"/>
      <c r="I51" s="259"/>
      <c r="J51" s="254"/>
      <c r="K51" s="254"/>
      <c r="L51" s="254"/>
      <c r="M51" s="254"/>
      <c r="N51" s="254"/>
      <c r="O51" s="251"/>
      <c r="Q51" s="5"/>
      <c r="R51" s="5"/>
      <c r="S51" s="42"/>
      <c r="T51" s="42"/>
      <c r="U51" s="42"/>
      <c r="V51" s="42"/>
      <c r="W51" s="288"/>
      <c r="X51" s="288"/>
      <c r="Y51" s="288"/>
      <c r="Z51" s="288"/>
      <c r="AA51" s="42"/>
    </row>
    <row r="52" spans="2:27">
      <c r="B52" s="5"/>
      <c r="C52" s="257"/>
      <c r="D52" s="17"/>
      <c r="E52" s="17"/>
      <c r="F52" s="17"/>
      <c r="G52" s="17"/>
      <c r="H52" s="17"/>
      <c r="I52" s="254"/>
      <c r="J52" s="17"/>
      <c r="K52" s="17"/>
      <c r="L52" s="17"/>
      <c r="M52" s="17"/>
      <c r="N52" s="17"/>
      <c r="O52" s="248"/>
      <c r="Q52" s="5"/>
      <c r="R52" s="5"/>
      <c r="S52" s="5"/>
      <c r="Y52" s="10"/>
      <c r="Z52" s="10"/>
    </row>
    <row r="53" spans="2:27">
      <c r="B53" s="5"/>
      <c r="C53" s="257"/>
      <c r="D53" s="257"/>
      <c r="E53" s="257"/>
      <c r="F53" s="5"/>
      <c r="G53" s="5"/>
      <c r="H53" s="259"/>
      <c r="I53" s="17"/>
      <c r="J53" s="259"/>
      <c r="K53" s="259"/>
      <c r="L53" s="259"/>
      <c r="M53" s="259"/>
      <c r="N53" s="259"/>
      <c r="O53" s="18"/>
      <c r="Q53" s="5"/>
      <c r="R53" s="5"/>
      <c r="S53" s="5"/>
    </row>
    <row r="54" spans="2:27">
      <c r="B54" s="41"/>
      <c r="C54" s="249"/>
      <c r="D54" s="254"/>
      <c r="E54" s="254"/>
      <c r="F54" s="254"/>
      <c r="G54" s="254"/>
      <c r="H54" s="254"/>
      <c r="I54" s="259"/>
      <c r="J54" s="254"/>
      <c r="K54" s="254"/>
      <c r="L54" s="254"/>
      <c r="M54" s="254"/>
      <c r="N54" s="254"/>
      <c r="O54" s="251"/>
      <c r="Q54" s="5"/>
      <c r="R54" s="5"/>
      <c r="S54" s="5"/>
    </row>
    <row r="55" spans="2:27">
      <c r="B55" s="5"/>
      <c r="C55" s="257"/>
      <c r="D55" s="17"/>
      <c r="E55" s="17"/>
      <c r="F55" s="17"/>
      <c r="G55" s="17"/>
      <c r="H55" s="17"/>
      <c r="I55" s="249"/>
      <c r="Q55" s="5"/>
      <c r="R55" s="5"/>
      <c r="S55" s="5"/>
    </row>
    <row r="56" spans="2:27">
      <c r="B56" s="5"/>
      <c r="C56" s="248"/>
      <c r="D56" s="248"/>
      <c r="E56" s="248"/>
      <c r="F56" s="5"/>
      <c r="G56" s="5"/>
      <c r="H56" s="259"/>
      <c r="I56" s="248"/>
      <c r="Q56" s="5"/>
      <c r="R56" s="5"/>
      <c r="S56" s="5"/>
    </row>
    <row r="57" spans="2:27">
      <c r="B57" s="41"/>
      <c r="C57" s="249"/>
      <c r="D57" s="249"/>
      <c r="E57" s="249"/>
      <c r="F57" s="249"/>
      <c r="G57" s="249"/>
      <c r="H57" s="249"/>
      <c r="I57" s="5"/>
      <c r="Q57" s="5"/>
      <c r="R57" s="5"/>
      <c r="S57" s="5"/>
    </row>
    <row r="58" spans="2:27">
      <c r="B58" s="5"/>
      <c r="C58" s="5"/>
      <c r="D58" s="248"/>
      <c r="E58" s="248"/>
      <c r="F58" s="248"/>
      <c r="G58" s="248"/>
      <c r="H58" s="248"/>
      <c r="I58" s="17"/>
      <c r="Q58" s="5"/>
      <c r="R58" s="5"/>
      <c r="S58" s="5"/>
    </row>
    <row r="59" spans="2:27">
      <c r="B59" s="5"/>
      <c r="C59" s="5"/>
      <c r="D59" s="5"/>
      <c r="E59" s="5"/>
      <c r="F59" s="5"/>
      <c r="G59" s="5"/>
      <c r="H59" s="5"/>
      <c r="I59" s="5"/>
      <c r="J59" s="5"/>
      <c r="K59" s="5"/>
      <c r="L59" s="5"/>
      <c r="M59" s="5"/>
      <c r="N59" s="5"/>
      <c r="O59" s="5"/>
      <c r="P59" s="5"/>
      <c r="Q59" s="5"/>
      <c r="R59" s="5"/>
      <c r="S59" s="5"/>
    </row>
    <row r="60" spans="2:27">
      <c r="B60" s="41"/>
      <c r="C60" s="17"/>
      <c r="D60" s="17"/>
      <c r="E60" s="17"/>
      <c r="F60" s="17"/>
      <c r="G60" s="17"/>
      <c r="H60" s="17"/>
      <c r="I60" s="249"/>
      <c r="J60" s="17"/>
      <c r="K60" s="17"/>
      <c r="L60" s="17"/>
      <c r="M60" s="17"/>
      <c r="N60" s="17"/>
      <c r="O60" s="251"/>
      <c r="Q60" s="5"/>
      <c r="R60" s="5"/>
      <c r="S60" s="5"/>
    </row>
    <row r="61" spans="2:27">
      <c r="B61" s="5"/>
      <c r="C61" s="5"/>
      <c r="D61" s="5"/>
      <c r="E61" s="5"/>
      <c r="F61" s="5"/>
      <c r="G61" s="5"/>
      <c r="H61" s="5"/>
      <c r="I61" s="5"/>
      <c r="J61" s="5"/>
      <c r="K61" s="5"/>
      <c r="L61" s="5"/>
      <c r="M61" s="5"/>
      <c r="N61" s="5"/>
      <c r="O61" s="5"/>
      <c r="Q61" s="41"/>
      <c r="R61" s="5"/>
      <c r="S61" s="5"/>
    </row>
    <row r="62" spans="2:27">
      <c r="B62" s="41"/>
      <c r="C62" s="249"/>
      <c r="D62" s="249"/>
      <c r="E62" s="249"/>
      <c r="F62" s="249"/>
      <c r="G62" s="249"/>
      <c r="H62" s="249"/>
      <c r="I62" s="5"/>
      <c r="J62" s="249"/>
      <c r="K62" s="249"/>
      <c r="L62" s="249"/>
      <c r="M62" s="249"/>
      <c r="N62" s="249"/>
      <c r="O62" s="251"/>
      <c r="Q62" s="5"/>
      <c r="R62" s="5"/>
      <c r="S62" s="5"/>
    </row>
    <row r="63" spans="2:27">
      <c r="B63" s="5"/>
      <c r="C63" s="5"/>
      <c r="D63" s="5"/>
      <c r="E63" s="5"/>
      <c r="F63" s="5"/>
      <c r="G63" s="5"/>
      <c r="H63" s="5"/>
      <c r="I63" s="254"/>
      <c r="J63" s="5"/>
      <c r="K63" s="5"/>
      <c r="L63" s="5"/>
      <c r="M63" s="5"/>
      <c r="N63" s="5"/>
      <c r="O63" s="5"/>
      <c r="Q63" s="5"/>
      <c r="R63" s="5"/>
      <c r="S63" s="5"/>
    </row>
    <row r="64" spans="2:27">
      <c r="B64" s="5"/>
      <c r="C64" s="5"/>
      <c r="D64" s="5"/>
      <c r="E64" s="5"/>
      <c r="F64" s="5"/>
      <c r="G64" s="5"/>
      <c r="H64" s="5"/>
      <c r="I64" s="17"/>
      <c r="J64" s="5"/>
      <c r="K64" s="5"/>
      <c r="L64" s="5"/>
      <c r="M64" s="5"/>
      <c r="N64" s="5"/>
      <c r="O64" s="5"/>
      <c r="Q64" s="5"/>
      <c r="R64" s="5"/>
      <c r="S64" s="5"/>
    </row>
    <row r="65" spans="2:26">
      <c r="B65" s="41"/>
      <c r="C65" s="249"/>
      <c r="D65" s="254"/>
      <c r="E65" s="254"/>
      <c r="F65" s="254"/>
      <c r="G65" s="254"/>
      <c r="H65" s="254"/>
      <c r="I65" s="254"/>
      <c r="J65" s="254"/>
      <c r="K65" s="254"/>
      <c r="L65" s="254"/>
      <c r="M65" s="254"/>
      <c r="N65" s="254"/>
      <c r="O65" s="251"/>
      <c r="Q65" s="5"/>
      <c r="R65" s="5"/>
      <c r="S65" s="5"/>
    </row>
    <row r="66" spans="2:26">
      <c r="B66" s="5"/>
      <c r="C66" s="5"/>
      <c r="D66" s="17"/>
      <c r="E66" s="17"/>
      <c r="F66" s="17"/>
      <c r="G66" s="17"/>
      <c r="H66" s="17"/>
      <c r="I66" s="248"/>
      <c r="J66" s="17"/>
      <c r="K66" s="17"/>
      <c r="L66" s="17"/>
      <c r="M66" s="17"/>
      <c r="N66" s="17"/>
      <c r="O66" s="5"/>
      <c r="Q66" s="5"/>
      <c r="R66" s="5"/>
      <c r="S66" s="5"/>
    </row>
    <row r="67" spans="2:26">
      <c r="B67" s="41"/>
      <c r="C67" s="249"/>
      <c r="D67" s="254"/>
      <c r="E67" s="254"/>
      <c r="F67" s="254"/>
      <c r="G67" s="254"/>
      <c r="H67" s="254"/>
      <c r="I67" s="5"/>
      <c r="J67" s="254"/>
      <c r="K67" s="254"/>
      <c r="L67" s="254"/>
      <c r="M67" s="254"/>
      <c r="N67" s="254"/>
      <c r="O67" s="251"/>
      <c r="Q67" s="41"/>
      <c r="R67" s="5"/>
      <c r="S67" s="5"/>
    </row>
    <row r="68" spans="2:26">
      <c r="B68" s="5"/>
      <c r="C68" s="5"/>
      <c r="D68" s="248"/>
      <c r="E68" s="248"/>
      <c r="F68" s="248"/>
      <c r="G68" s="248"/>
      <c r="H68" s="248"/>
      <c r="I68" s="245"/>
      <c r="J68" s="248"/>
      <c r="K68" s="248"/>
      <c r="L68" s="248"/>
      <c r="M68" s="248"/>
      <c r="N68" s="248"/>
      <c r="O68" s="5"/>
      <c r="Q68" s="5"/>
      <c r="R68" s="5"/>
      <c r="S68" s="5"/>
    </row>
    <row r="69" spans="2:26">
      <c r="B69" s="41"/>
      <c r="C69" s="5"/>
      <c r="D69" s="5"/>
      <c r="E69" s="5"/>
      <c r="F69" s="5"/>
      <c r="G69" s="5"/>
      <c r="H69" s="5"/>
      <c r="I69" s="248"/>
      <c r="J69" s="5"/>
      <c r="K69" s="5"/>
      <c r="L69" s="5"/>
      <c r="M69" s="5"/>
      <c r="N69" s="5"/>
      <c r="O69" s="5"/>
      <c r="Q69" s="5"/>
      <c r="R69" s="5"/>
      <c r="S69" s="5"/>
    </row>
    <row r="70" spans="2:26">
      <c r="B70" s="41"/>
      <c r="C70" s="245"/>
      <c r="D70" s="245"/>
      <c r="E70" s="245"/>
      <c r="F70" s="245"/>
      <c r="G70" s="245"/>
      <c r="H70" s="245"/>
      <c r="I70" s="5"/>
      <c r="J70" s="245"/>
      <c r="K70" s="245"/>
      <c r="L70" s="245"/>
      <c r="M70" s="245"/>
      <c r="N70" s="245"/>
      <c r="O70" s="251"/>
      <c r="Q70" s="5"/>
      <c r="R70" s="5"/>
      <c r="S70" s="5"/>
      <c r="W70" s="76"/>
      <c r="X70" s="76"/>
    </row>
    <row r="71" spans="2:26">
      <c r="B71" s="5"/>
      <c r="C71" s="5"/>
      <c r="D71" s="248"/>
      <c r="E71" s="248"/>
      <c r="F71" s="248"/>
      <c r="G71" s="248"/>
      <c r="H71" s="248"/>
      <c r="I71" s="245"/>
      <c r="J71" s="248"/>
      <c r="K71" s="248"/>
      <c r="L71" s="248"/>
      <c r="M71" s="248"/>
      <c r="N71" s="248"/>
      <c r="O71" s="5"/>
      <c r="Q71" s="5"/>
      <c r="R71" s="5"/>
      <c r="S71" s="5"/>
      <c r="W71" s="76"/>
      <c r="X71" s="76"/>
      <c r="Y71" s="76"/>
      <c r="Z71" s="76"/>
    </row>
    <row r="72" spans="2:26">
      <c r="B72" s="41"/>
      <c r="C72" s="5"/>
      <c r="D72" s="5"/>
      <c r="E72" s="5"/>
      <c r="F72" s="5"/>
      <c r="G72" s="5"/>
      <c r="H72" s="5"/>
      <c r="I72" s="18"/>
      <c r="J72" s="5"/>
      <c r="K72" s="5"/>
      <c r="L72" s="5"/>
      <c r="M72" s="5"/>
      <c r="N72" s="5"/>
      <c r="O72" s="5"/>
      <c r="Q72" s="5"/>
      <c r="R72" s="5"/>
      <c r="S72" s="5"/>
      <c r="Y72" s="76"/>
      <c r="Z72" s="76"/>
    </row>
    <row r="73" spans="2:26">
      <c r="B73" s="41"/>
      <c r="C73" s="245"/>
      <c r="D73" s="245"/>
      <c r="E73" s="245"/>
      <c r="F73" s="245"/>
      <c r="G73" s="245"/>
      <c r="H73" s="245"/>
      <c r="I73" s="5"/>
      <c r="J73" s="245"/>
      <c r="K73" s="245"/>
      <c r="L73" s="245"/>
      <c r="M73" s="245"/>
      <c r="N73" s="245"/>
      <c r="O73" s="251"/>
      <c r="Q73" s="5"/>
      <c r="R73" s="5"/>
      <c r="S73" s="5"/>
    </row>
    <row r="74" spans="2:26">
      <c r="B74" s="5"/>
      <c r="C74" s="5"/>
      <c r="D74" s="18"/>
      <c r="E74" s="18"/>
      <c r="F74" s="18"/>
      <c r="G74" s="18"/>
      <c r="H74" s="18"/>
      <c r="I74" s="249"/>
      <c r="J74" s="18"/>
      <c r="K74" s="18"/>
      <c r="L74" s="18"/>
      <c r="M74" s="18"/>
      <c r="N74" s="18"/>
      <c r="O74" s="5"/>
      <c r="Q74" s="5"/>
      <c r="R74" s="5"/>
      <c r="S74" s="5"/>
    </row>
    <row r="75" spans="2:26">
      <c r="B75" s="41"/>
      <c r="C75" s="5"/>
      <c r="D75" s="5"/>
      <c r="E75" s="5"/>
      <c r="F75" s="5"/>
      <c r="G75" s="5"/>
      <c r="H75" s="5"/>
      <c r="I75" s="248"/>
      <c r="J75" s="5"/>
      <c r="K75" s="5"/>
      <c r="L75" s="5"/>
      <c r="M75" s="5"/>
      <c r="N75" s="5"/>
      <c r="O75" s="5"/>
      <c r="Q75" s="5"/>
      <c r="R75" s="5"/>
      <c r="S75" s="5"/>
    </row>
    <row r="76" spans="2:26">
      <c r="B76" s="41"/>
      <c r="C76" s="249"/>
      <c r="D76" s="249"/>
      <c r="E76" s="249"/>
      <c r="F76" s="249"/>
      <c r="G76" s="249"/>
      <c r="H76" s="249"/>
      <c r="I76" s="5"/>
      <c r="J76" s="249"/>
      <c r="K76" s="249"/>
      <c r="L76" s="249"/>
      <c r="M76" s="249"/>
      <c r="N76" s="249"/>
      <c r="O76" s="251"/>
      <c r="Q76" s="5"/>
      <c r="R76" s="5"/>
      <c r="S76" s="5"/>
    </row>
    <row r="77" spans="2:26">
      <c r="B77" s="5"/>
      <c r="C77" s="5"/>
      <c r="D77" s="248"/>
      <c r="E77" s="248"/>
      <c r="F77" s="248"/>
      <c r="G77" s="248"/>
      <c r="H77" s="248"/>
      <c r="I77" s="245"/>
      <c r="J77" s="248"/>
      <c r="K77" s="248"/>
      <c r="L77" s="248"/>
      <c r="M77" s="248"/>
      <c r="N77" s="248"/>
      <c r="O77" s="5"/>
      <c r="Q77" s="5"/>
      <c r="R77" s="5"/>
      <c r="S77" s="5"/>
    </row>
    <row r="78" spans="2:26">
      <c r="B78" s="41"/>
      <c r="C78" s="5"/>
      <c r="D78" s="5"/>
      <c r="E78" s="5"/>
      <c r="F78" s="5"/>
      <c r="G78" s="5"/>
      <c r="H78" s="5"/>
      <c r="I78" s="248"/>
      <c r="J78" s="5"/>
      <c r="K78" s="5"/>
      <c r="L78" s="5"/>
      <c r="M78" s="5"/>
      <c r="N78" s="5"/>
      <c r="O78" s="5"/>
      <c r="Q78" s="5"/>
      <c r="R78" s="5"/>
      <c r="S78" s="5"/>
    </row>
    <row r="79" spans="2:26">
      <c r="B79" s="41"/>
      <c r="C79" s="245"/>
      <c r="D79" s="245"/>
      <c r="E79" s="245"/>
      <c r="F79" s="245"/>
      <c r="G79" s="245"/>
      <c r="H79" s="245"/>
      <c r="I79" s="5"/>
      <c r="J79" s="245"/>
      <c r="K79" s="245"/>
      <c r="L79" s="245"/>
      <c r="M79" s="245"/>
      <c r="N79" s="245"/>
      <c r="O79" s="251"/>
      <c r="Q79" s="5"/>
      <c r="R79" s="5"/>
      <c r="S79" s="5"/>
    </row>
    <row r="80" spans="2:26">
      <c r="B80" s="5"/>
      <c r="C80" s="5"/>
      <c r="D80" s="248"/>
      <c r="E80" s="248"/>
      <c r="F80" s="248"/>
      <c r="G80" s="248"/>
      <c r="H80" s="248"/>
      <c r="I80" s="249"/>
      <c r="J80" s="248"/>
      <c r="K80" s="248"/>
      <c r="L80" s="248"/>
      <c r="M80" s="248"/>
      <c r="N80" s="248"/>
      <c r="O80" s="5"/>
      <c r="Q80" s="5"/>
      <c r="R80" s="5"/>
      <c r="S80" s="5"/>
    </row>
    <row r="81" spans="2:26">
      <c r="B81" s="41"/>
      <c r="C81" s="5"/>
      <c r="D81" s="5"/>
      <c r="E81" s="5"/>
      <c r="F81" s="5"/>
      <c r="G81" s="5"/>
      <c r="H81" s="5"/>
      <c r="I81" s="248"/>
      <c r="J81" s="5"/>
      <c r="K81" s="5"/>
      <c r="L81" s="5"/>
      <c r="M81" s="5"/>
      <c r="N81" s="5"/>
      <c r="O81" s="5"/>
      <c r="Q81" s="5"/>
      <c r="R81" s="5"/>
      <c r="S81" s="5"/>
    </row>
    <row r="82" spans="2:26">
      <c r="B82" s="41"/>
      <c r="C82" s="249"/>
      <c r="D82" s="249"/>
      <c r="E82" s="249"/>
      <c r="F82" s="249"/>
      <c r="G82" s="249"/>
      <c r="H82" s="249"/>
      <c r="I82" s="259"/>
      <c r="J82" s="249"/>
      <c r="K82" s="249"/>
      <c r="L82" s="249"/>
      <c r="M82" s="249"/>
      <c r="N82" s="249"/>
      <c r="O82" s="251"/>
      <c r="Q82" s="5"/>
      <c r="R82" s="5"/>
      <c r="S82" s="5"/>
    </row>
    <row r="83" spans="2:26">
      <c r="B83" s="5"/>
      <c r="C83" s="5"/>
      <c r="D83" s="248"/>
      <c r="E83" s="248"/>
      <c r="F83" s="248"/>
      <c r="G83" s="248"/>
      <c r="H83" s="248"/>
      <c r="I83" s="5"/>
      <c r="J83" s="248"/>
      <c r="K83" s="248"/>
      <c r="L83" s="248"/>
      <c r="M83" s="248"/>
      <c r="N83" s="248"/>
      <c r="O83" s="5"/>
      <c r="Q83" s="5"/>
      <c r="R83" s="5"/>
      <c r="S83" s="5"/>
    </row>
    <row r="84" spans="2:26">
      <c r="B84" s="5"/>
      <c r="C84" s="259"/>
      <c r="D84" s="259"/>
      <c r="E84" s="259"/>
      <c r="F84" s="259"/>
      <c r="G84" s="259"/>
      <c r="H84" s="259"/>
      <c r="I84" s="245"/>
      <c r="J84" s="259"/>
      <c r="K84" s="259"/>
      <c r="L84" s="259"/>
      <c r="M84" s="259"/>
      <c r="N84" s="259"/>
      <c r="O84" s="251"/>
      <c r="Q84" s="5"/>
      <c r="R84" s="5"/>
      <c r="S84" s="5"/>
    </row>
    <row r="85" spans="2:26">
      <c r="B85" s="41"/>
      <c r="C85" s="5"/>
      <c r="D85" s="5"/>
      <c r="E85" s="5"/>
      <c r="F85" s="5"/>
      <c r="G85" s="5"/>
      <c r="H85" s="5"/>
      <c r="I85" s="248"/>
      <c r="J85" s="5"/>
      <c r="K85" s="5"/>
      <c r="L85" s="5"/>
      <c r="M85" s="5"/>
      <c r="N85" s="5"/>
      <c r="O85" s="5"/>
      <c r="Q85" s="5"/>
      <c r="R85" s="5"/>
      <c r="S85" s="5"/>
    </row>
    <row r="86" spans="2:26">
      <c r="B86" s="41"/>
      <c r="C86" s="245"/>
      <c r="D86" s="245"/>
      <c r="E86" s="245"/>
      <c r="F86" s="245"/>
      <c r="G86" s="245"/>
      <c r="H86" s="245"/>
      <c r="I86" s="5"/>
      <c r="J86" s="245"/>
      <c r="K86" s="245"/>
      <c r="L86" s="245"/>
      <c r="M86" s="245"/>
      <c r="N86" s="245"/>
      <c r="O86" s="251"/>
      <c r="Q86" s="5"/>
      <c r="R86" s="5"/>
      <c r="S86" s="5"/>
    </row>
    <row r="87" spans="2:26">
      <c r="B87" s="5"/>
      <c r="C87" s="5"/>
      <c r="D87" s="248"/>
      <c r="E87" s="248"/>
      <c r="F87" s="248"/>
      <c r="G87" s="248"/>
      <c r="H87" s="248"/>
      <c r="I87" s="5"/>
      <c r="J87" s="248"/>
      <c r="K87" s="248"/>
      <c r="L87" s="248"/>
      <c r="M87" s="248"/>
      <c r="N87" s="248"/>
      <c r="O87" s="5"/>
      <c r="Q87" s="5"/>
      <c r="R87" s="5"/>
      <c r="S87" s="5"/>
    </row>
    <row r="88" spans="2:26">
      <c r="B88" s="41"/>
      <c r="C88" s="5"/>
      <c r="D88" s="5"/>
      <c r="E88" s="5"/>
      <c r="F88" s="5"/>
      <c r="G88" s="5"/>
      <c r="H88" s="5"/>
      <c r="I88" s="5"/>
      <c r="J88" s="5"/>
      <c r="K88" s="5"/>
      <c r="L88" s="5"/>
      <c r="M88" s="5"/>
      <c r="N88" s="5"/>
      <c r="O88" s="5"/>
      <c r="Q88" s="5"/>
      <c r="R88" s="5"/>
      <c r="S88" s="5"/>
    </row>
    <row r="89" spans="2:26">
      <c r="B89" s="41"/>
      <c r="C89" s="5"/>
      <c r="D89" s="5"/>
      <c r="E89" s="5"/>
      <c r="F89" s="5"/>
      <c r="G89" s="5"/>
      <c r="H89" s="5"/>
      <c r="I89" s="5"/>
      <c r="J89" s="5"/>
      <c r="K89" s="5"/>
      <c r="L89" s="5"/>
      <c r="M89" s="5"/>
      <c r="N89" s="5"/>
      <c r="O89" s="5"/>
      <c r="Q89" s="5"/>
      <c r="R89" s="5"/>
      <c r="S89" s="5"/>
    </row>
    <row r="90" spans="2:26">
      <c r="B90" s="41"/>
      <c r="C90" s="5"/>
      <c r="D90" s="5"/>
      <c r="E90" s="5"/>
      <c r="F90" s="5"/>
      <c r="G90" s="5"/>
      <c r="H90" s="5"/>
      <c r="I90" s="49"/>
      <c r="J90" s="5"/>
      <c r="K90" s="5"/>
      <c r="L90" s="5"/>
      <c r="M90" s="5"/>
      <c r="N90" s="5"/>
      <c r="O90" s="5"/>
      <c r="Q90" s="41"/>
      <c r="R90" s="5"/>
      <c r="S90" s="5"/>
    </row>
    <row r="91" spans="2:26">
      <c r="B91" s="5"/>
      <c r="C91" s="5"/>
      <c r="D91" s="5"/>
      <c r="E91" s="5"/>
      <c r="F91" s="5"/>
      <c r="G91" s="5"/>
      <c r="H91" s="5"/>
      <c r="I91" s="5"/>
      <c r="J91" s="5"/>
      <c r="K91" s="5"/>
      <c r="L91" s="5"/>
      <c r="M91" s="5"/>
      <c r="N91" s="5"/>
      <c r="O91" s="5"/>
      <c r="Q91" s="5"/>
      <c r="R91" s="5"/>
      <c r="S91" s="5"/>
    </row>
    <row r="92" spans="2:26">
      <c r="B92" s="41"/>
      <c r="C92" s="49"/>
      <c r="D92" s="49"/>
      <c r="E92" s="49"/>
      <c r="F92" s="49"/>
      <c r="G92" s="49"/>
      <c r="H92" s="49"/>
      <c r="I92" s="247"/>
      <c r="J92" s="49"/>
      <c r="K92" s="49"/>
      <c r="L92" s="49"/>
      <c r="M92" s="49"/>
      <c r="N92" s="49"/>
      <c r="O92" s="49"/>
      <c r="Q92" s="5"/>
      <c r="R92" s="5"/>
      <c r="S92" s="5"/>
      <c r="W92" s="21"/>
      <c r="X92" s="21"/>
    </row>
    <row r="93" spans="2:26">
      <c r="B93" s="5"/>
      <c r="C93" s="5"/>
      <c r="D93" s="5"/>
      <c r="E93" s="5"/>
      <c r="F93" s="5"/>
      <c r="G93" s="5"/>
      <c r="H93" s="5"/>
      <c r="I93" s="247"/>
      <c r="J93" s="5"/>
      <c r="K93" s="5"/>
      <c r="L93" s="5"/>
      <c r="M93" s="5"/>
      <c r="N93" s="5"/>
      <c r="O93" s="5"/>
      <c r="Q93" s="5"/>
      <c r="R93" s="5"/>
      <c r="S93" s="5"/>
      <c r="W93" s="21"/>
      <c r="X93" s="21"/>
      <c r="Y93" s="21"/>
      <c r="Z93" s="21"/>
    </row>
    <row r="94" spans="2:26">
      <c r="B94" s="5"/>
      <c r="C94" s="259"/>
      <c r="D94" s="247"/>
      <c r="E94" s="247"/>
      <c r="F94" s="247"/>
      <c r="G94" s="247"/>
      <c r="H94" s="247"/>
      <c r="I94" s="247"/>
      <c r="J94" s="247"/>
      <c r="K94" s="247"/>
      <c r="L94" s="247"/>
      <c r="M94" s="247"/>
      <c r="N94" s="247"/>
      <c r="O94" s="248"/>
      <c r="Q94" s="5"/>
      <c r="R94" s="5"/>
      <c r="S94" s="5"/>
      <c r="Y94" s="21"/>
      <c r="Z94" s="21"/>
    </row>
    <row r="95" spans="2:26">
      <c r="B95" s="5"/>
      <c r="C95" s="259"/>
      <c r="D95" s="247"/>
      <c r="E95" s="247"/>
      <c r="F95" s="247"/>
      <c r="G95" s="247"/>
      <c r="H95" s="247"/>
      <c r="I95" s="248"/>
      <c r="J95" s="247"/>
      <c r="K95" s="247"/>
      <c r="L95" s="247"/>
      <c r="M95" s="247"/>
      <c r="N95" s="247"/>
      <c r="O95" s="248"/>
      <c r="Q95" s="5"/>
      <c r="R95" s="5"/>
      <c r="S95" s="5"/>
    </row>
    <row r="96" spans="2:26">
      <c r="B96" s="5"/>
      <c r="C96" s="259"/>
      <c r="D96" s="247"/>
      <c r="E96" s="247"/>
      <c r="F96" s="247"/>
      <c r="G96" s="247"/>
      <c r="H96" s="247"/>
      <c r="I96" s="247"/>
      <c r="J96" s="247"/>
      <c r="K96" s="247"/>
      <c r="L96" s="247"/>
      <c r="M96" s="247"/>
      <c r="N96" s="247"/>
      <c r="O96" s="248"/>
      <c r="Q96" s="5"/>
      <c r="R96" s="5"/>
      <c r="S96" s="5"/>
    </row>
    <row r="97" spans="2:19">
      <c r="B97" s="5"/>
      <c r="C97" s="259"/>
      <c r="D97" s="248"/>
      <c r="E97" s="248"/>
      <c r="F97" s="248"/>
      <c r="G97" s="248"/>
      <c r="H97" s="248"/>
      <c r="I97" s="249"/>
      <c r="J97" s="248"/>
      <c r="K97" s="248"/>
      <c r="L97" s="248"/>
      <c r="M97" s="248"/>
      <c r="N97" s="248"/>
      <c r="O97" s="248"/>
      <c r="Q97" s="5"/>
      <c r="R97" s="5"/>
      <c r="S97" s="5"/>
    </row>
    <row r="98" spans="2:19">
      <c r="B98" s="5"/>
      <c r="C98" s="259"/>
      <c r="D98" s="247"/>
      <c r="E98" s="247"/>
      <c r="F98" s="247"/>
      <c r="G98" s="247"/>
      <c r="H98" s="247"/>
      <c r="I98" s="248"/>
      <c r="J98" s="247"/>
      <c r="K98" s="247"/>
      <c r="L98" s="247"/>
      <c r="M98" s="247"/>
      <c r="N98" s="247"/>
      <c r="O98" s="248"/>
      <c r="Q98" s="5"/>
      <c r="R98" s="5"/>
      <c r="S98" s="5"/>
    </row>
    <row r="99" spans="2:19">
      <c r="B99" s="41"/>
      <c r="C99" s="249"/>
      <c r="D99" s="249"/>
      <c r="E99" s="249"/>
      <c r="F99" s="249"/>
      <c r="G99" s="249"/>
      <c r="H99" s="249"/>
      <c r="I99" s="5"/>
      <c r="J99" s="249"/>
      <c r="K99" s="249"/>
      <c r="L99" s="249"/>
      <c r="M99" s="249"/>
      <c r="N99" s="249"/>
      <c r="O99" s="248"/>
      <c r="Q99" s="5"/>
      <c r="R99" s="5"/>
      <c r="S99" s="5"/>
    </row>
    <row r="100" spans="2:19">
      <c r="B100" s="41"/>
      <c r="C100" s="257"/>
      <c r="D100" s="248"/>
      <c r="E100" s="248"/>
      <c r="F100" s="248"/>
      <c r="G100" s="248"/>
      <c r="H100" s="248"/>
      <c r="I100" s="259"/>
      <c r="J100" s="248"/>
      <c r="K100" s="248"/>
      <c r="L100" s="248"/>
      <c r="M100" s="248"/>
      <c r="N100" s="248"/>
      <c r="O100" s="248"/>
      <c r="Q100" s="5"/>
      <c r="R100" s="5"/>
      <c r="S100" s="5"/>
    </row>
    <row r="101" spans="2:19" s="5" customFormat="1">
      <c r="B101" s="41"/>
      <c r="I101" s="259"/>
      <c r="O101" s="248"/>
      <c r="P101" s="39"/>
    </row>
    <row r="102" spans="2:19">
      <c r="B102" s="5"/>
      <c r="C102" s="259"/>
      <c r="D102" s="259"/>
      <c r="E102" s="259"/>
      <c r="F102" s="259"/>
      <c r="G102" s="259"/>
      <c r="H102" s="259"/>
      <c r="I102" s="247"/>
      <c r="J102" s="259"/>
      <c r="K102" s="259"/>
      <c r="L102" s="259"/>
      <c r="M102" s="259"/>
      <c r="N102" s="259"/>
      <c r="O102" s="5"/>
      <c r="Q102" s="5"/>
      <c r="R102" s="5"/>
      <c r="S102" s="5"/>
    </row>
    <row r="103" spans="2:19">
      <c r="B103" s="5"/>
      <c r="C103" s="259"/>
      <c r="D103" s="259"/>
      <c r="E103" s="259"/>
      <c r="F103" s="259"/>
      <c r="G103" s="259"/>
      <c r="H103" s="259"/>
      <c r="I103" s="5"/>
      <c r="J103" s="259"/>
      <c r="K103" s="259"/>
      <c r="L103" s="259"/>
      <c r="M103" s="259"/>
      <c r="N103" s="259"/>
      <c r="O103" s="5"/>
      <c r="P103" s="5"/>
      <c r="Q103" s="5"/>
      <c r="R103" s="5"/>
      <c r="S103" s="5"/>
    </row>
    <row r="104" spans="2:19">
      <c r="B104" s="5"/>
      <c r="C104" s="247"/>
      <c r="D104" s="247"/>
      <c r="E104" s="247"/>
      <c r="F104" s="247"/>
      <c r="G104" s="247"/>
      <c r="H104" s="247"/>
      <c r="I104" s="247"/>
      <c r="J104" s="247"/>
      <c r="K104" s="247"/>
      <c r="L104" s="247"/>
      <c r="M104" s="247"/>
      <c r="N104" s="247"/>
      <c r="O104" s="5"/>
      <c r="Q104" s="5"/>
      <c r="R104" s="5"/>
      <c r="S104" s="5"/>
    </row>
    <row r="105" spans="2:19" s="5" customFormat="1">
      <c r="P105" s="39"/>
    </row>
    <row r="106" spans="2:19" s="5" customFormat="1">
      <c r="C106" s="259"/>
      <c r="D106" s="247"/>
      <c r="E106" s="247"/>
      <c r="F106" s="247"/>
      <c r="G106" s="247"/>
      <c r="H106" s="247"/>
      <c r="I106" s="259"/>
      <c r="J106" s="247"/>
      <c r="K106" s="247"/>
      <c r="L106" s="247"/>
      <c r="M106" s="247"/>
      <c r="N106" s="247"/>
      <c r="P106" s="39"/>
    </row>
    <row r="107" spans="2:19">
      <c r="B107" s="5"/>
      <c r="C107" s="259"/>
      <c r="D107" s="5"/>
      <c r="E107" s="5"/>
      <c r="F107" s="5"/>
      <c r="G107" s="5"/>
      <c r="H107" s="5"/>
      <c r="I107" s="247"/>
      <c r="J107" s="5"/>
      <c r="K107" s="5"/>
      <c r="L107" s="5"/>
      <c r="M107" s="5"/>
      <c r="N107" s="5"/>
      <c r="O107" s="5"/>
      <c r="P107" s="5"/>
      <c r="Q107" s="5"/>
      <c r="R107" s="5"/>
      <c r="S107" s="5"/>
    </row>
    <row r="108" spans="2:19">
      <c r="B108" s="5"/>
      <c r="C108" s="259"/>
      <c r="D108" s="259"/>
      <c r="E108" s="259"/>
      <c r="F108" s="259"/>
      <c r="G108" s="259"/>
      <c r="H108" s="259"/>
      <c r="I108" s="249"/>
      <c r="J108" s="259"/>
      <c r="K108" s="259"/>
      <c r="L108" s="259"/>
      <c r="M108" s="259"/>
      <c r="N108" s="259"/>
      <c r="O108" s="5"/>
      <c r="P108" s="5"/>
      <c r="Q108" s="5"/>
      <c r="R108" s="5"/>
      <c r="S108" s="5"/>
    </row>
    <row r="109" spans="2:19">
      <c r="B109" s="5"/>
      <c r="C109" s="247"/>
      <c r="D109" s="247"/>
      <c r="E109" s="247"/>
      <c r="F109" s="247"/>
      <c r="G109" s="247"/>
      <c r="H109" s="247"/>
      <c r="I109" s="249"/>
      <c r="J109" s="247"/>
      <c r="K109" s="247"/>
      <c r="L109" s="247"/>
      <c r="M109" s="247"/>
      <c r="N109" s="247"/>
      <c r="O109" s="5"/>
      <c r="Q109" s="5"/>
      <c r="R109" s="5"/>
      <c r="S109" s="5"/>
    </row>
    <row r="110" spans="2:19">
      <c r="B110" s="41"/>
      <c r="C110" s="249"/>
      <c r="D110" s="249"/>
      <c r="E110" s="249"/>
      <c r="F110" s="249"/>
      <c r="G110" s="249"/>
      <c r="H110" s="249"/>
      <c r="I110" s="247"/>
      <c r="J110" s="249"/>
      <c r="K110" s="249"/>
      <c r="L110" s="249"/>
      <c r="M110" s="249"/>
      <c r="N110" s="249"/>
      <c r="O110" s="5"/>
      <c r="Q110" s="5"/>
      <c r="R110" s="5"/>
      <c r="S110" s="5"/>
    </row>
    <row r="111" spans="2:19">
      <c r="B111" s="5"/>
      <c r="C111" s="249"/>
      <c r="D111" s="249"/>
      <c r="E111" s="249"/>
      <c r="F111" s="249"/>
      <c r="G111" s="249"/>
      <c r="H111" s="249"/>
      <c r="I111" s="5"/>
      <c r="J111" s="249"/>
      <c r="K111" s="249"/>
      <c r="L111" s="249"/>
      <c r="M111" s="249"/>
      <c r="N111" s="249"/>
      <c r="O111" s="5"/>
      <c r="Q111" s="5"/>
      <c r="R111" s="5"/>
      <c r="S111" s="5"/>
    </row>
    <row r="112" spans="2:19">
      <c r="B112" s="5"/>
      <c r="C112" s="247"/>
      <c r="D112" s="247"/>
      <c r="E112" s="247"/>
      <c r="F112" s="247"/>
      <c r="G112" s="247"/>
      <c r="H112" s="247"/>
      <c r="I112" s="5"/>
      <c r="J112" s="247"/>
      <c r="K112" s="247"/>
      <c r="L112" s="247"/>
      <c r="M112" s="247"/>
      <c r="N112" s="247"/>
      <c r="O112" s="5"/>
      <c r="Q112" s="5"/>
      <c r="R112" s="5"/>
      <c r="S112" s="5"/>
    </row>
    <row r="113" spans="2:19">
      <c r="B113" s="5"/>
      <c r="C113" s="5"/>
      <c r="D113" s="5"/>
      <c r="E113" s="5"/>
      <c r="F113" s="5"/>
      <c r="G113" s="5"/>
      <c r="H113" s="5"/>
      <c r="I113" s="5"/>
      <c r="J113" s="5"/>
      <c r="K113" s="5"/>
      <c r="L113" s="5"/>
      <c r="M113" s="5"/>
      <c r="N113" s="5"/>
      <c r="O113" s="5"/>
      <c r="Q113" s="5"/>
      <c r="R113" s="5"/>
      <c r="S113" s="5"/>
    </row>
    <row r="114" spans="2:19">
      <c r="B114" s="5"/>
      <c r="C114" s="5"/>
      <c r="D114" s="5"/>
      <c r="E114" s="5"/>
      <c r="F114" s="5"/>
      <c r="G114" s="5"/>
      <c r="H114" s="5"/>
      <c r="I114" s="5"/>
      <c r="J114" s="5"/>
      <c r="K114" s="5"/>
      <c r="L114" s="5"/>
      <c r="M114" s="5"/>
      <c r="N114" s="5"/>
      <c r="O114" s="5"/>
      <c r="Q114" s="5"/>
      <c r="R114" s="5"/>
      <c r="S114" s="5"/>
    </row>
    <row r="115" spans="2:19">
      <c r="B115" s="5"/>
      <c r="C115" s="5"/>
      <c r="D115" s="5"/>
      <c r="E115" s="5"/>
      <c r="F115" s="5"/>
      <c r="G115" s="5"/>
      <c r="H115" s="5"/>
      <c r="I115" s="49"/>
      <c r="J115" s="5"/>
      <c r="K115" s="5"/>
      <c r="L115" s="5"/>
      <c r="M115" s="5"/>
      <c r="N115" s="5"/>
      <c r="O115" s="5"/>
      <c r="Q115" s="41"/>
      <c r="R115" s="5"/>
      <c r="S115" s="5"/>
    </row>
    <row r="116" spans="2:19">
      <c r="B116" s="5"/>
      <c r="C116" s="5"/>
      <c r="D116" s="5"/>
      <c r="E116" s="5"/>
      <c r="F116" s="5"/>
      <c r="G116" s="5"/>
      <c r="H116" s="5"/>
      <c r="I116" s="5"/>
      <c r="J116" s="5"/>
      <c r="K116" s="5"/>
      <c r="L116" s="5"/>
      <c r="M116" s="5"/>
      <c r="N116" s="5"/>
      <c r="O116" s="5"/>
      <c r="Q116" s="5"/>
      <c r="R116" s="5"/>
      <c r="S116" s="5"/>
    </row>
    <row r="117" spans="2:19">
      <c r="B117" s="41"/>
      <c r="C117" s="49"/>
      <c r="D117" s="49"/>
      <c r="E117" s="49"/>
      <c r="F117" s="49"/>
      <c r="G117" s="49"/>
      <c r="H117" s="49"/>
      <c r="I117" s="254"/>
      <c r="J117" s="49"/>
      <c r="K117" s="49"/>
      <c r="L117" s="49"/>
      <c r="M117" s="49"/>
      <c r="N117" s="49"/>
      <c r="O117" s="49"/>
      <c r="Q117" s="5"/>
      <c r="R117" s="5"/>
      <c r="S117" s="5"/>
    </row>
    <row r="118" spans="2:19">
      <c r="B118" s="5"/>
      <c r="C118" s="5"/>
      <c r="D118" s="5"/>
      <c r="E118" s="5"/>
      <c r="F118" s="5"/>
      <c r="G118" s="5"/>
      <c r="H118" s="5"/>
      <c r="I118" s="249"/>
      <c r="J118" s="5"/>
      <c r="K118" s="5"/>
      <c r="L118" s="5"/>
      <c r="M118" s="5"/>
      <c r="N118" s="5"/>
      <c r="O118" s="5"/>
      <c r="Q118" s="5"/>
      <c r="R118" s="5"/>
      <c r="S118" s="5"/>
    </row>
    <row r="119" spans="2:19">
      <c r="B119" s="41"/>
      <c r="C119" s="254"/>
      <c r="D119" s="254"/>
      <c r="E119" s="254"/>
      <c r="F119" s="254"/>
      <c r="G119" s="254"/>
      <c r="H119" s="254"/>
      <c r="I119" s="254"/>
      <c r="J119" s="254"/>
      <c r="K119" s="254"/>
      <c r="L119" s="254"/>
      <c r="M119" s="254"/>
      <c r="N119" s="254"/>
      <c r="O119" s="248"/>
      <c r="Q119" s="5"/>
      <c r="R119" s="5"/>
      <c r="S119" s="5"/>
    </row>
    <row r="120" spans="2:19">
      <c r="B120" s="41"/>
      <c r="C120" s="254"/>
      <c r="D120" s="249"/>
      <c r="E120" s="249"/>
      <c r="F120" s="249"/>
      <c r="G120" s="249"/>
      <c r="H120" s="249"/>
      <c r="I120" s="254"/>
      <c r="J120" s="249"/>
      <c r="K120" s="249"/>
      <c r="L120" s="249"/>
      <c r="M120" s="249"/>
      <c r="N120" s="249"/>
      <c r="O120" s="248"/>
      <c r="Q120" s="5"/>
      <c r="R120" s="5"/>
      <c r="S120" s="5"/>
    </row>
    <row r="121" spans="2:19">
      <c r="B121" s="41"/>
      <c r="C121" s="254"/>
      <c r="D121" s="254"/>
      <c r="E121" s="254"/>
      <c r="F121" s="254"/>
      <c r="G121" s="254"/>
      <c r="H121" s="254"/>
      <c r="I121" s="254"/>
      <c r="J121" s="254"/>
      <c r="K121" s="254"/>
      <c r="L121" s="254"/>
      <c r="M121" s="254"/>
      <c r="N121" s="254"/>
      <c r="O121" s="248"/>
      <c r="Q121" s="5"/>
      <c r="R121" s="5"/>
      <c r="S121" s="5"/>
    </row>
    <row r="122" spans="2:19">
      <c r="B122" s="41"/>
      <c r="C122" s="254"/>
      <c r="D122" s="254"/>
      <c r="E122" s="254"/>
      <c r="F122" s="254"/>
      <c r="G122" s="254"/>
      <c r="H122" s="254"/>
      <c r="I122" s="254"/>
      <c r="J122" s="254"/>
      <c r="K122" s="254"/>
      <c r="L122" s="254"/>
      <c r="M122" s="254"/>
      <c r="N122" s="254"/>
      <c r="O122" s="248"/>
      <c r="Q122" s="5"/>
      <c r="R122" s="5"/>
      <c r="S122" s="5"/>
    </row>
    <row r="123" spans="2:19">
      <c r="B123" s="41"/>
      <c r="C123" s="254"/>
      <c r="D123" s="254"/>
      <c r="E123" s="254"/>
      <c r="F123" s="254"/>
      <c r="G123" s="254"/>
      <c r="H123" s="254"/>
      <c r="I123" s="254"/>
      <c r="J123" s="254"/>
      <c r="K123" s="254"/>
      <c r="L123" s="254"/>
      <c r="M123" s="254"/>
      <c r="N123" s="254"/>
      <c r="O123" s="248"/>
      <c r="Q123" s="5"/>
      <c r="R123" s="5"/>
      <c r="S123" s="5"/>
    </row>
    <row r="124" spans="2:19">
      <c r="B124" s="41"/>
      <c r="C124" s="254"/>
      <c r="D124" s="254"/>
      <c r="E124" s="254"/>
      <c r="F124" s="254"/>
      <c r="G124" s="254"/>
      <c r="H124" s="254"/>
      <c r="I124" s="254"/>
      <c r="J124" s="254"/>
      <c r="K124" s="254"/>
      <c r="L124" s="254"/>
      <c r="M124" s="254"/>
      <c r="N124" s="254"/>
      <c r="O124" s="248"/>
      <c r="Q124" s="5"/>
      <c r="R124" s="5"/>
      <c r="S124" s="5"/>
    </row>
    <row r="125" spans="2:19">
      <c r="B125" s="41"/>
      <c r="C125" s="254"/>
      <c r="D125" s="254"/>
      <c r="E125" s="254"/>
      <c r="F125" s="254"/>
      <c r="G125" s="254"/>
      <c r="H125" s="254"/>
      <c r="I125" s="254"/>
      <c r="J125" s="254"/>
      <c r="K125" s="254"/>
      <c r="L125" s="254"/>
      <c r="M125" s="254"/>
      <c r="N125" s="254"/>
      <c r="O125" s="5"/>
      <c r="Q125" s="5"/>
      <c r="R125" s="5"/>
      <c r="S125" s="5"/>
    </row>
    <row r="126" spans="2:19">
      <c r="B126" s="41"/>
      <c r="C126" s="254"/>
      <c r="D126" s="254"/>
      <c r="E126" s="254"/>
      <c r="F126" s="254"/>
      <c r="G126" s="254"/>
      <c r="H126" s="254"/>
      <c r="I126" s="254"/>
      <c r="J126" s="254"/>
      <c r="K126" s="254"/>
      <c r="L126" s="254"/>
      <c r="M126" s="254"/>
      <c r="N126" s="254"/>
      <c r="O126" s="5"/>
      <c r="Q126" s="5"/>
      <c r="R126" s="5"/>
      <c r="S126" s="5"/>
    </row>
    <row r="127" spans="2:19">
      <c r="B127" s="41"/>
      <c r="C127" s="254"/>
      <c r="D127" s="254"/>
      <c r="E127" s="254"/>
      <c r="F127" s="254"/>
      <c r="G127" s="254"/>
      <c r="H127" s="254"/>
      <c r="I127" s="18"/>
      <c r="J127" s="254"/>
      <c r="K127" s="254"/>
      <c r="L127" s="254"/>
      <c r="M127" s="254"/>
      <c r="N127" s="254"/>
      <c r="O127" s="5"/>
      <c r="Q127" s="5"/>
      <c r="R127" s="5"/>
      <c r="S127" s="5"/>
    </row>
    <row r="128" spans="2:19">
      <c r="B128" s="41"/>
      <c r="C128" s="254"/>
      <c r="D128" s="254"/>
      <c r="E128" s="254"/>
      <c r="F128" s="254"/>
      <c r="G128" s="254"/>
      <c r="H128" s="254"/>
      <c r="I128" s="5"/>
      <c r="J128" s="254"/>
      <c r="K128" s="254"/>
      <c r="L128" s="254"/>
      <c r="M128" s="254"/>
      <c r="N128" s="254"/>
      <c r="O128" s="5"/>
      <c r="Q128" s="5"/>
      <c r="R128" s="5"/>
      <c r="S128" s="5"/>
    </row>
    <row r="129" spans="2:27">
      <c r="B129" s="5"/>
      <c r="C129" s="5"/>
      <c r="D129" s="18"/>
      <c r="E129" s="18"/>
      <c r="F129" s="18"/>
      <c r="G129" s="18"/>
      <c r="H129" s="18"/>
      <c r="I129" s="254"/>
      <c r="J129" s="18"/>
      <c r="K129" s="18"/>
      <c r="L129" s="18"/>
      <c r="M129" s="18"/>
      <c r="N129" s="18"/>
      <c r="O129" s="5"/>
      <c r="Q129" s="5"/>
      <c r="R129" s="5"/>
      <c r="S129" s="5"/>
    </row>
    <row r="130" spans="2:27">
      <c r="B130" s="5"/>
      <c r="C130" s="5"/>
      <c r="D130" s="5"/>
      <c r="E130" s="5"/>
      <c r="F130" s="5"/>
      <c r="G130" s="5"/>
      <c r="H130" s="5"/>
      <c r="I130" s="18"/>
      <c r="J130" s="5"/>
      <c r="K130" s="5"/>
      <c r="L130" s="5"/>
      <c r="M130" s="5"/>
      <c r="N130" s="5"/>
      <c r="O130" s="5"/>
      <c r="Q130" s="5"/>
      <c r="R130" s="5"/>
      <c r="S130" s="5"/>
    </row>
    <row r="131" spans="2:27">
      <c r="B131" s="41"/>
      <c r="C131" s="254"/>
      <c r="D131" s="254"/>
      <c r="E131" s="254"/>
      <c r="F131" s="254"/>
      <c r="G131" s="254"/>
      <c r="H131" s="254"/>
      <c r="I131" s="5"/>
      <c r="J131" s="254"/>
      <c r="K131" s="254"/>
      <c r="L131" s="254"/>
      <c r="M131" s="254"/>
      <c r="N131" s="254"/>
      <c r="O131" s="5"/>
      <c r="Q131" s="5"/>
      <c r="R131" s="5"/>
      <c r="S131" s="5"/>
    </row>
    <row r="132" spans="2:27">
      <c r="B132" s="5"/>
      <c r="C132" s="259"/>
      <c r="D132" s="18"/>
      <c r="E132" s="18"/>
      <c r="F132" s="18"/>
      <c r="G132" s="18"/>
      <c r="H132" s="18"/>
      <c r="I132" s="5"/>
      <c r="J132" s="18"/>
      <c r="K132" s="18"/>
      <c r="L132" s="18"/>
      <c r="M132" s="18"/>
      <c r="N132" s="18"/>
      <c r="O132" s="5"/>
      <c r="Q132" s="5"/>
      <c r="R132" s="5"/>
      <c r="S132" s="5"/>
    </row>
    <row r="133" spans="2:27">
      <c r="B133" s="5"/>
      <c r="C133" s="5"/>
      <c r="D133" s="5"/>
      <c r="E133" s="5"/>
      <c r="F133" s="5"/>
      <c r="G133" s="5"/>
      <c r="H133" s="5"/>
      <c r="I133" s="17"/>
      <c r="J133" s="5"/>
      <c r="K133" s="5"/>
      <c r="L133" s="5"/>
      <c r="M133" s="5"/>
      <c r="N133" s="5"/>
      <c r="O133" s="5"/>
      <c r="Q133" s="5"/>
      <c r="R133" s="5"/>
      <c r="S133" s="5"/>
    </row>
    <row r="134" spans="2:27">
      <c r="B134" s="41"/>
      <c r="C134" s="5"/>
      <c r="D134" s="5"/>
      <c r="E134" s="5"/>
      <c r="F134" s="5"/>
      <c r="G134" s="5"/>
      <c r="H134" s="5"/>
      <c r="I134" s="17"/>
      <c r="J134" s="5"/>
      <c r="K134" s="5"/>
      <c r="L134" s="5"/>
      <c r="M134" s="5"/>
      <c r="N134" s="5"/>
      <c r="O134" s="5"/>
      <c r="Q134" s="5"/>
      <c r="R134" s="5"/>
      <c r="S134" s="5"/>
    </row>
    <row r="135" spans="2:27">
      <c r="B135" s="5"/>
      <c r="C135" s="17"/>
      <c r="D135" s="17"/>
      <c r="E135" s="17"/>
      <c r="F135" s="17"/>
      <c r="G135" s="17"/>
      <c r="H135" s="17"/>
      <c r="I135" s="17"/>
      <c r="J135" s="17"/>
      <c r="K135" s="17"/>
      <c r="L135" s="17"/>
      <c r="M135" s="17"/>
      <c r="N135" s="17"/>
      <c r="O135" s="5"/>
      <c r="Q135" s="41"/>
      <c r="R135" s="5"/>
      <c r="S135" s="5"/>
    </row>
    <row r="136" spans="2:27">
      <c r="B136" s="5"/>
      <c r="C136" s="17"/>
      <c r="D136" s="17"/>
      <c r="E136" s="17"/>
      <c r="F136" s="17"/>
      <c r="G136" s="17"/>
      <c r="H136" s="17"/>
      <c r="I136" s="17"/>
      <c r="J136" s="17"/>
      <c r="K136" s="17"/>
      <c r="L136" s="17"/>
      <c r="M136" s="17"/>
      <c r="N136" s="17"/>
      <c r="O136" s="5"/>
      <c r="Q136" s="5"/>
      <c r="R136" s="5"/>
      <c r="S136" s="5"/>
      <c r="X136" s="304"/>
    </row>
    <row r="137" spans="2:27">
      <c r="B137" s="5"/>
      <c r="C137" s="5"/>
      <c r="D137" s="17"/>
      <c r="E137" s="17"/>
      <c r="F137" s="17"/>
      <c r="G137" s="17"/>
      <c r="H137" s="17"/>
      <c r="I137" s="17"/>
      <c r="J137" s="17"/>
      <c r="K137" s="17"/>
      <c r="L137" s="17"/>
      <c r="M137" s="17"/>
      <c r="N137" s="17"/>
      <c r="O137" s="5"/>
      <c r="Q137" s="5"/>
      <c r="R137" s="5"/>
      <c r="S137" s="5"/>
      <c r="X137" s="10"/>
      <c r="Y137" s="304"/>
      <c r="Z137" s="304"/>
      <c r="AA137" s="304"/>
    </row>
    <row r="138" spans="2:27">
      <c r="B138" s="5"/>
      <c r="C138" s="5"/>
      <c r="D138" s="17"/>
      <c r="E138" s="17"/>
      <c r="F138" s="17"/>
      <c r="G138" s="17"/>
      <c r="H138" s="17"/>
      <c r="I138" s="17"/>
      <c r="J138" s="17"/>
      <c r="K138" s="17"/>
      <c r="L138" s="17"/>
      <c r="M138" s="17"/>
      <c r="N138" s="17"/>
      <c r="O138" s="5"/>
      <c r="Q138" s="5"/>
      <c r="R138" s="5"/>
      <c r="S138" s="5"/>
      <c r="Y138" s="10"/>
      <c r="Z138" s="10"/>
      <c r="AA138" s="10"/>
    </row>
    <row r="139" spans="2:27">
      <c r="B139" s="5"/>
      <c r="C139" s="5"/>
      <c r="D139" s="17"/>
      <c r="E139" s="17"/>
      <c r="F139" s="17"/>
      <c r="G139" s="17"/>
      <c r="H139" s="17"/>
      <c r="I139" s="5"/>
      <c r="J139" s="17"/>
      <c r="K139" s="17"/>
      <c r="L139" s="17"/>
      <c r="M139" s="17"/>
      <c r="N139" s="17"/>
      <c r="O139" s="5"/>
      <c r="Q139" s="5"/>
      <c r="R139" s="5"/>
      <c r="S139" s="5"/>
    </row>
    <row r="140" spans="2:27">
      <c r="B140" s="5"/>
      <c r="C140" s="17"/>
      <c r="D140" s="17"/>
      <c r="E140" s="17"/>
      <c r="F140" s="17"/>
      <c r="G140" s="17"/>
      <c r="H140" s="17"/>
      <c r="I140" s="5"/>
      <c r="J140" s="17"/>
      <c r="K140" s="17"/>
      <c r="L140" s="17"/>
      <c r="M140" s="17"/>
      <c r="N140" s="17"/>
      <c r="O140" s="5"/>
      <c r="Q140" s="5"/>
      <c r="R140" s="5"/>
      <c r="S140" s="5"/>
    </row>
    <row r="141" spans="2:27">
      <c r="B141" s="5"/>
      <c r="C141" s="5"/>
      <c r="D141" s="5"/>
      <c r="E141" s="5"/>
      <c r="F141" s="5"/>
      <c r="G141" s="5"/>
      <c r="H141" s="5"/>
      <c r="I141" s="5"/>
      <c r="J141" s="5"/>
      <c r="K141" s="5"/>
      <c r="L141" s="5"/>
      <c r="M141" s="5"/>
      <c r="N141" s="5"/>
      <c r="O141" s="5"/>
      <c r="Q141" s="5"/>
      <c r="R141" s="5"/>
      <c r="S141" s="5"/>
    </row>
    <row r="142" spans="2:27">
      <c r="B142" s="5"/>
      <c r="C142" s="5"/>
      <c r="D142" s="5"/>
      <c r="E142" s="5"/>
      <c r="F142" s="5"/>
      <c r="G142" s="5"/>
      <c r="H142" s="5"/>
      <c r="I142" s="5"/>
      <c r="J142" s="5"/>
      <c r="K142" s="5"/>
      <c r="L142" s="5"/>
      <c r="M142" s="5"/>
      <c r="N142" s="5"/>
      <c r="O142" s="5"/>
      <c r="Q142" s="5"/>
      <c r="R142" s="5"/>
      <c r="S142" s="5"/>
    </row>
    <row r="143" spans="2:27">
      <c r="B143" s="5"/>
      <c r="C143" s="5"/>
      <c r="D143" s="5"/>
      <c r="E143" s="5"/>
      <c r="F143" s="5"/>
      <c r="G143" s="5"/>
      <c r="H143" s="5"/>
      <c r="I143" s="5"/>
      <c r="J143" s="5"/>
      <c r="K143" s="5"/>
      <c r="L143" s="5"/>
      <c r="M143" s="5"/>
      <c r="N143" s="5"/>
      <c r="O143" s="5"/>
      <c r="Q143" s="5"/>
      <c r="R143" s="5"/>
      <c r="S143" s="5"/>
    </row>
    <row r="144" spans="2:27">
      <c r="B144" s="5"/>
      <c r="C144" s="5"/>
      <c r="D144" s="5"/>
      <c r="E144" s="5"/>
      <c r="F144" s="5"/>
      <c r="G144" s="5"/>
      <c r="H144" s="5"/>
      <c r="I144" s="5"/>
      <c r="J144" s="5"/>
      <c r="K144" s="5"/>
      <c r="L144" s="5"/>
      <c r="M144" s="5"/>
      <c r="N144" s="5"/>
      <c r="O144" s="5"/>
      <c r="Q144" s="5"/>
      <c r="R144" s="5"/>
      <c r="S144" s="5"/>
    </row>
    <row r="145" spans="2:19">
      <c r="B145" s="5"/>
      <c r="C145" s="5"/>
      <c r="D145" s="5"/>
      <c r="E145" s="5"/>
      <c r="F145" s="5"/>
      <c r="G145" s="5"/>
      <c r="H145" s="5"/>
      <c r="I145" s="5"/>
      <c r="J145" s="5"/>
      <c r="K145" s="5"/>
      <c r="L145" s="5"/>
      <c r="M145" s="5"/>
      <c r="N145" s="5"/>
      <c r="O145" s="5"/>
      <c r="Q145" s="5"/>
      <c r="R145" s="5"/>
      <c r="S145" s="5"/>
    </row>
    <row r="146" spans="2:19">
      <c r="B146" s="5"/>
      <c r="C146" s="5"/>
      <c r="D146" s="5"/>
      <c r="E146" s="5"/>
      <c r="F146" s="5"/>
      <c r="G146" s="5"/>
      <c r="H146" s="5"/>
      <c r="I146" s="5"/>
      <c r="J146" s="5"/>
      <c r="K146" s="5"/>
      <c r="L146" s="5"/>
      <c r="M146" s="5"/>
      <c r="N146" s="5"/>
      <c r="O146" s="5"/>
      <c r="Q146" s="5"/>
      <c r="R146" s="5"/>
      <c r="S146" s="5"/>
    </row>
    <row r="147" spans="2:19">
      <c r="B147" s="5"/>
      <c r="C147" s="5"/>
      <c r="D147" s="5"/>
      <c r="E147" s="5"/>
      <c r="F147" s="5"/>
      <c r="G147" s="5"/>
      <c r="H147" s="5"/>
      <c r="I147" s="5"/>
      <c r="J147" s="5"/>
      <c r="K147" s="5"/>
      <c r="L147" s="5"/>
      <c r="M147" s="5"/>
      <c r="N147" s="5"/>
      <c r="O147" s="5"/>
      <c r="Q147" s="5"/>
      <c r="R147" s="5"/>
      <c r="S147" s="5"/>
    </row>
    <row r="148" spans="2:19">
      <c r="B148" s="5"/>
      <c r="C148" s="5"/>
      <c r="D148" s="5"/>
      <c r="E148" s="5"/>
      <c r="F148" s="5"/>
      <c r="G148" s="5"/>
      <c r="H148" s="5"/>
      <c r="I148" s="5"/>
      <c r="J148" s="5"/>
      <c r="K148" s="5"/>
      <c r="L148" s="5"/>
      <c r="M148" s="5"/>
      <c r="N148" s="5"/>
      <c r="O148" s="5"/>
      <c r="Q148" s="5"/>
      <c r="R148" s="5"/>
      <c r="S148" s="5"/>
    </row>
    <row r="149" spans="2:19">
      <c r="B149" s="5"/>
      <c r="C149" s="5"/>
      <c r="D149" s="5"/>
      <c r="E149" s="5"/>
      <c r="F149" s="5"/>
      <c r="G149" s="5"/>
      <c r="H149" s="5"/>
      <c r="J149" s="5"/>
      <c r="K149" s="5"/>
      <c r="L149" s="5"/>
      <c r="M149" s="5"/>
      <c r="N149" s="5"/>
      <c r="O149" s="5"/>
      <c r="Q149" s="5"/>
      <c r="R149" s="5"/>
      <c r="S149" s="5"/>
    </row>
    <row r="150" spans="2:19">
      <c r="B150" s="5"/>
      <c r="C150" s="5"/>
      <c r="D150" s="5"/>
      <c r="E150" s="5"/>
      <c r="F150" s="5"/>
      <c r="G150" s="5"/>
      <c r="H150" s="5"/>
      <c r="J150" s="5"/>
      <c r="K150" s="5"/>
      <c r="L150" s="5"/>
      <c r="M150" s="5"/>
      <c r="N150" s="5"/>
      <c r="O150" s="5"/>
      <c r="Q150" s="5"/>
      <c r="R150" s="5"/>
      <c r="S150" s="5"/>
    </row>
    <row r="151" spans="2:19">
      <c r="Q151" s="5"/>
      <c r="R151" s="5"/>
      <c r="S151" s="5"/>
    </row>
    <row r="152" spans="2:19">
      <c r="Q152" s="5"/>
      <c r="R152" s="5"/>
      <c r="S152" s="5"/>
    </row>
    <row r="153" spans="2:19">
      <c r="C153" s="263"/>
      <c r="Q153" s="5"/>
      <c r="R153" s="5"/>
      <c r="S153" s="5"/>
    </row>
    <row r="154" spans="2:19">
      <c r="Q154" s="5"/>
      <c r="R154" s="5"/>
      <c r="S154" s="5"/>
    </row>
    <row r="155" spans="2:19">
      <c r="Q155" s="5"/>
      <c r="R155" s="5"/>
      <c r="S155" s="5"/>
    </row>
    <row r="156" spans="2:19">
      <c r="Q156" s="5"/>
      <c r="R156" s="5"/>
      <c r="S156" s="5"/>
    </row>
    <row r="157" spans="2:19">
      <c r="Q157" s="5"/>
      <c r="R157" s="5"/>
      <c r="S157" s="5"/>
    </row>
    <row r="158" spans="2:19">
      <c r="Q158" s="5"/>
      <c r="R158" s="5"/>
      <c r="S158" s="5"/>
    </row>
    <row r="159" spans="2:19">
      <c r="Q159" s="5"/>
      <c r="R159" s="5"/>
      <c r="S159" s="5"/>
    </row>
    <row r="160" spans="2:19">
      <c r="Q160" s="5"/>
      <c r="R160" s="5"/>
      <c r="S160" s="5"/>
    </row>
    <row r="161" spans="17:19">
      <c r="Q161" s="5"/>
      <c r="R161" s="5"/>
      <c r="S161" s="5"/>
    </row>
    <row r="162" spans="17:19">
      <c r="Q162" s="5"/>
      <c r="R162" s="5"/>
      <c r="S162" s="5"/>
    </row>
    <row r="163" spans="17:19">
      <c r="Q163" s="5"/>
      <c r="R163" s="5"/>
      <c r="S163" s="5"/>
    </row>
    <row r="164" spans="17:19">
      <c r="Q164" s="5"/>
      <c r="R164" s="5"/>
      <c r="S164" s="5"/>
    </row>
    <row r="165" spans="17:19">
      <c r="Q165" s="5"/>
      <c r="R165" s="5"/>
      <c r="S165" s="5"/>
    </row>
  </sheetData>
  <pageMargins left="0.75" right="0.75" top="1" bottom="1" header="0.5" footer="0.5"/>
  <pageSetup scale="71" orientation="landscape"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31">
    <pageSetUpPr fitToPage="1"/>
  </sheetPr>
  <dimension ref="B1:AA165"/>
  <sheetViews>
    <sheetView showGridLines="0" zoomScale="80" zoomScaleNormal="80" zoomScaleSheetLayoutView="80" workbookViewId="0"/>
  </sheetViews>
  <sheetFormatPr defaultColWidth="9.109375" defaultRowHeight="12"/>
  <cols>
    <col min="1" max="1" width="2.33203125" style="39" customWidth="1"/>
    <col min="2" max="2" width="26.5546875" style="39" customWidth="1"/>
    <col min="3" max="9" width="10" style="39" customWidth="1"/>
    <col min="10" max="10" width="26.6640625" style="39" customWidth="1"/>
    <col min="11" max="16" width="10" style="39" customWidth="1"/>
    <col min="17" max="19" width="8.6640625" style="39" customWidth="1"/>
    <col min="20" max="27" width="8.6640625" style="5" customWidth="1"/>
    <col min="28" max="28" width="8.6640625" style="39" customWidth="1"/>
    <col min="29" max="16384" width="9.109375" style="39"/>
  </cols>
  <sheetData>
    <row r="1" spans="2:27" s="312" customFormat="1">
      <c r="T1" s="149"/>
      <c r="U1" s="149"/>
      <c r="V1" s="149"/>
      <c r="W1" s="149"/>
      <c r="X1" s="149"/>
      <c r="Y1" s="149"/>
      <c r="Z1" s="149"/>
      <c r="AA1" s="149"/>
    </row>
    <row r="2" spans="2:27" s="149" customFormat="1"/>
    <row r="3" spans="2:27" s="149" customFormat="1">
      <c r="H3" s="153"/>
      <c r="P3" s="153"/>
    </row>
    <row r="4" spans="2:27" s="156" customFormat="1" ht="21">
      <c r="B4" s="129" t="s">
        <v>894</v>
      </c>
      <c r="H4" s="222"/>
      <c r="P4" s="222"/>
    </row>
    <row r="5" spans="2:27" s="149" customFormat="1">
      <c r="C5" s="153"/>
      <c r="D5" s="153" t="str" cm="1">
        <f t="array" ref="D5:H5">headings</f>
        <v>2023E</v>
      </c>
      <c r="E5" s="153" t="str">
        <v>2024E</v>
      </c>
      <c r="F5" s="153" t="str">
        <v>2025E</v>
      </c>
      <c r="G5" s="153" t="str">
        <v>2026E</v>
      </c>
      <c r="H5" s="153" t="str">
        <v>23E-26E</v>
      </c>
      <c r="I5" s="153"/>
      <c r="J5" s="153"/>
      <c r="K5" s="153"/>
      <c r="L5" s="153" t="str" cm="1">
        <f t="array" ref="L5:P5">headings</f>
        <v>2023E</v>
      </c>
      <c r="M5" s="153" t="str">
        <v>2024E</v>
      </c>
      <c r="N5" s="153" t="str">
        <v>2025E</v>
      </c>
      <c r="O5" s="153" t="str">
        <v>2026E</v>
      </c>
      <c r="P5" s="153" t="str">
        <v>23E-26E</v>
      </c>
      <c r="Q5" s="162"/>
      <c r="R5" s="162"/>
      <c r="S5" s="162"/>
      <c r="T5" s="162"/>
      <c r="U5" s="162"/>
      <c r="V5" s="162"/>
      <c r="W5" s="162"/>
      <c r="X5" s="162"/>
      <c r="Y5" s="162"/>
    </row>
    <row r="6" spans="2:27">
      <c r="I6" s="5"/>
      <c r="J6" s="5"/>
      <c r="K6" s="5"/>
      <c r="L6" s="5"/>
      <c r="M6" s="5"/>
      <c r="N6" s="5"/>
      <c r="O6" s="49"/>
    </row>
    <row r="7" spans="2:27" ht="12.6" thickBot="1">
      <c r="B7" s="306" t="s">
        <v>271</v>
      </c>
      <c r="C7" s="265"/>
      <c r="D7" s="265" t="str">
        <f>D5</f>
        <v>2023E</v>
      </c>
      <c r="E7" s="265" t="str">
        <f t="shared" ref="E7:H7" si="0">E5</f>
        <v>2024E</v>
      </c>
      <c r="F7" s="265" t="str">
        <f t="shared" si="0"/>
        <v>2025E</v>
      </c>
      <c r="G7" s="265" t="str">
        <f t="shared" si="0"/>
        <v>2026E</v>
      </c>
      <c r="H7" s="265" t="str">
        <f t="shared" si="0"/>
        <v>23E-26E</v>
      </c>
      <c r="I7" s="49"/>
      <c r="J7" s="306" t="s">
        <v>75</v>
      </c>
      <c r="K7" s="306"/>
      <c r="L7" s="265" t="str">
        <f>L5</f>
        <v>2023E</v>
      </c>
      <c r="M7" s="265" t="str">
        <f t="shared" ref="M7:P7" si="1">M5</f>
        <v>2024E</v>
      </c>
      <c r="N7" s="265" t="str">
        <f t="shared" si="1"/>
        <v>2025E</v>
      </c>
      <c r="O7" s="265" t="str">
        <f t="shared" si="1"/>
        <v>2026E</v>
      </c>
      <c r="P7" s="265" t="str">
        <f t="shared" si="1"/>
        <v>23E-26E</v>
      </c>
    </row>
    <row r="8" spans="2:27" ht="12.6" thickTop="1">
      <c r="B8" s="5"/>
      <c r="C8" s="5"/>
      <c r="D8" s="5"/>
      <c r="E8" s="5"/>
      <c r="F8" s="5"/>
      <c r="G8" s="5"/>
      <c r="H8" s="5"/>
      <c r="I8" s="5"/>
      <c r="J8" s="5"/>
      <c r="K8" s="5"/>
      <c r="L8" s="5"/>
      <c r="M8" s="5"/>
      <c r="N8" s="5"/>
      <c r="S8" s="88"/>
      <c r="T8" s="42"/>
      <c r="U8" s="42"/>
      <c r="V8" s="42"/>
      <c r="W8" s="42"/>
      <c r="X8" s="42"/>
      <c r="Y8" s="42"/>
      <c r="Z8" s="42"/>
      <c r="AA8" s="42"/>
    </row>
    <row r="9" spans="2:27">
      <c r="B9" s="41" t="s">
        <v>895</v>
      </c>
      <c r="C9" s="287">
        <f>Prices!C60</f>
        <v>7.3049999999999997</v>
      </c>
      <c r="D9" s="536"/>
      <c r="E9" s="536"/>
      <c r="F9" s="536"/>
      <c r="G9" s="536"/>
      <c r="H9" s="249"/>
      <c r="I9" s="249"/>
      <c r="J9" s="5" t="s">
        <v>273</v>
      </c>
      <c r="L9" s="529">
        <f>'AGG ASIA INCUMB'!D37</f>
        <v>63.142675059472978</v>
      </c>
      <c r="M9" s="529">
        <f>'AGG ASIA INCUMB'!E37</f>
        <v>59.736062869091825</v>
      </c>
      <c r="N9" s="529">
        <f>'AGG ASIA INCUMB'!F37</f>
        <v>51.606570083263385</v>
      </c>
      <c r="O9" s="529">
        <f>'AGG ASIA INCUMB'!G37</f>
        <v>43.869121174935444</v>
      </c>
      <c r="P9" s="286">
        <f>'AGG ASIA CELLULAR'!H37</f>
        <v>5.2823672985303771E-2</v>
      </c>
      <c r="S9" s="88"/>
      <c r="T9" s="42"/>
      <c r="U9" s="42"/>
      <c r="V9" s="42"/>
      <c r="W9" s="42"/>
      <c r="X9" s="42"/>
      <c r="Y9" s="42"/>
      <c r="Z9" s="42"/>
      <c r="AA9" s="42"/>
    </row>
    <row r="10" spans="2:27">
      <c r="B10" s="5" t="s">
        <v>274</v>
      </c>
      <c r="C10" s="5"/>
      <c r="D10" s="531">
        <v>446.04504900000006</v>
      </c>
      <c r="E10" s="531">
        <v>448.24697500000008</v>
      </c>
      <c r="F10" s="531">
        <v>450.44890100000009</v>
      </c>
      <c r="G10" s="531">
        <v>452.65082700000011</v>
      </c>
      <c r="H10" s="247"/>
      <c r="I10" s="247"/>
      <c r="J10" s="5" t="s">
        <v>184</v>
      </c>
      <c r="L10" s="529">
        <f>'AGG ASIA INCUMB'!D38</f>
        <v>229.28172666156038</v>
      </c>
      <c r="M10" s="529">
        <f>'AGG ASIA INCUMB'!E38</f>
        <v>211.1756819494743</v>
      </c>
      <c r="N10" s="529">
        <f>'AGG ASIA INCUMB'!F38</f>
        <v>182.52911660300191</v>
      </c>
      <c r="O10" s="529">
        <f>'AGG ASIA INCUMB'!G38</f>
        <v>154.31631948299164</v>
      </c>
      <c r="P10" s="286">
        <f>'AGG ASIA CELLULAR'!H38</f>
        <v>6.1901299000113985E-2</v>
      </c>
      <c r="S10" s="88"/>
      <c r="T10" s="42"/>
      <c r="U10" s="42"/>
      <c r="V10" s="42"/>
      <c r="W10" s="288"/>
      <c r="X10" s="288"/>
      <c r="Y10" s="288"/>
      <c r="Z10" s="288"/>
      <c r="AA10" s="42"/>
    </row>
    <row r="11" spans="2:27">
      <c r="B11" s="41" t="s">
        <v>888</v>
      </c>
      <c r="C11" s="5"/>
      <c r="D11" s="532">
        <f>D10*C9</f>
        <v>3258.3590829450004</v>
      </c>
      <c r="E11" s="532">
        <f>E10*$C$9</f>
        <v>3274.4441523750006</v>
      </c>
      <c r="F11" s="532">
        <f t="shared" ref="F11:G11" si="2">F10*$C$9</f>
        <v>3290.5292218050004</v>
      </c>
      <c r="G11" s="532">
        <f t="shared" si="2"/>
        <v>3306.6142912350006</v>
      </c>
      <c r="H11" s="249"/>
      <c r="I11" s="249"/>
      <c r="J11" s="5" t="s">
        <v>185</v>
      </c>
      <c r="L11" s="529">
        <f>'AGG ASIA INCUMB'!D39</f>
        <v>576.60457523629475</v>
      </c>
      <c r="M11" s="529">
        <f>'AGG ASIA INCUMB'!E39</f>
        <v>450.01446269285191</v>
      </c>
      <c r="N11" s="529">
        <f>'AGG ASIA INCUMB'!F39</f>
        <v>375.00938731825471</v>
      </c>
      <c r="O11" s="529">
        <f>'AGG ASIA INCUMB'!G39</f>
        <v>307.67151192274292</v>
      </c>
      <c r="P11" s="286">
        <f>'AGG ASIA CELLULAR'!H39</f>
        <v>0.11573327430771596</v>
      </c>
      <c r="S11" s="88"/>
      <c r="T11" s="42"/>
      <c r="U11" s="42"/>
      <c r="V11" s="42"/>
      <c r="W11" s="288"/>
      <c r="X11" s="288"/>
      <c r="Y11" s="288"/>
      <c r="Z11" s="288"/>
      <c r="AA11" s="42"/>
    </row>
    <row r="12" spans="2:27">
      <c r="B12" s="5" t="s">
        <v>24</v>
      </c>
      <c r="C12" s="249"/>
      <c r="D12" s="533">
        <v>2548.8504173325477</v>
      </c>
      <c r="E12" s="533">
        <v>2433.6391203368676</v>
      </c>
      <c r="F12" s="533">
        <v>2370.373192016536</v>
      </c>
      <c r="G12" s="533">
        <v>2067.9797469698233</v>
      </c>
      <c r="H12" s="247"/>
      <c r="I12" s="247"/>
      <c r="J12" s="5" t="s">
        <v>466</v>
      </c>
      <c r="L12" s="529">
        <f>'AGG ASIA INCUMB'!D40</f>
        <v>774.44294579435359</v>
      </c>
      <c r="M12" s="529">
        <f>'AGG ASIA INCUMB'!E40</f>
        <v>607.6245935692682</v>
      </c>
      <c r="N12" s="529">
        <f>'AGG ASIA INCUMB'!F40</f>
        <v>506.11175808827261</v>
      </c>
      <c r="O12" s="529">
        <f>'AGG ASIA INCUMB'!G40</f>
        <v>415.18806643723337</v>
      </c>
      <c r="P12" s="286">
        <f>'AGG ASIA CELLULAR'!H40</f>
        <v>0.10976572550111241</v>
      </c>
      <c r="S12" s="88"/>
      <c r="T12" s="42"/>
      <c r="U12" s="42"/>
      <c r="V12" s="42"/>
      <c r="W12" s="288"/>
      <c r="X12" s="288"/>
      <c r="Y12" s="288"/>
      <c r="Z12" s="288"/>
      <c r="AA12" s="42"/>
    </row>
    <row r="13" spans="2:27">
      <c r="B13" s="5" t="s">
        <v>529</v>
      </c>
      <c r="C13" s="257"/>
      <c r="D13" s="533">
        <v>0</v>
      </c>
      <c r="E13" s="533">
        <v>0</v>
      </c>
      <c r="F13" s="533">
        <v>0</v>
      </c>
      <c r="G13" s="533">
        <v>0</v>
      </c>
      <c r="H13" s="247"/>
      <c r="I13" s="247"/>
      <c r="J13" s="5" t="s">
        <v>530</v>
      </c>
      <c r="L13" s="529">
        <f>'AGG ASIA INCUMB'!D41</f>
        <v>56.922651872950347</v>
      </c>
      <c r="M13" s="529">
        <f>'AGG ASIA INCUMB'!E41</f>
        <v>54.508702219086139</v>
      </c>
      <c r="N13" s="529">
        <f>'AGG ASIA INCUMB'!F41</f>
        <v>47.665724006779691</v>
      </c>
      <c r="O13" s="529">
        <f>'AGG ASIA INCUMB'!G41</f>
        <v>40.716506606725353</v>
      </c>
      <c r="P13" s="286">
        <f>'AGG ASIA CELLULAR'!H41</f>
        <v>-2.0092563683029918E-2</v>
      </c>
      <c r="S13" s="88"/>
      <c r="T13" s="42"/>
      <c r="U13" s="42"/>
      <c r="V13" s="42"/>
      <c r="W13" s="42"/>
      <c r="X13" s="42"/>
      <c r="Y13" s="42"/>
      <c r="Z13" s="42"/>
      <c r="AA13" s="42"/>
    </row>
    <row r="14" spans="2:27">
      <c r="B14" s="5" t="s">
        <v>532</v>
      </c>
      <c r="C14" s="257"/>
      <c r="D14" s="533">
        <v>0</v>
      </c>
      <c r="E14" s="533">
        <v>0</v>
      </c>
      <c r="F14" s="533">
        <v>0</v>
      </c>
      <c r="G14" s="533">
        <v>0</v>
      </c>
      <c r="H14" s="247"/>
      <c r="I14" s="247"/>
      <c r="J14" s="5" t="s">
        <v>593</v>
      </c>
      <c r="L14" s="529">
        <f>'AGG ASIA INCUMB'!D42</f>
        <v>75.778591370066351</v>
      </c>
      <c r="M14" s="529">
        <f>'AGG ASIA INCUMB'!E42</f>
        <v>75.255645616199331</v>
      </c>
      <c r="N14" s="529">
        <f>'AGG ASIA INCUMB'!F42</f>
        <v>68.487733798446982</v>
      </c>
      <c r="O14" s="529">
        <f>'AGG ASIA INCUMB'!G42</f>
        <v>63.398335594210266</v>
      </c>
      <c r="P14" s="286">
        <f>'AGG ASIA CELLULAR'!H42</f>
        <v>8.7512202951403051E-3</v>
      </c>
      <c r="S14" s="88"/>
      <c r="T14" s="42"/>
      <c r="U14" s="42"/>
      <c r="V14" s="42"/>
      <c r="W14" s="42"/>
      <c r="X14" s="42"/>
      <c r="Y14" s="42"/>
      <c r="Z14" s="42"/>
      <c r="AA14" s="42"/>
    </row>
    <row r="15" spans="2:27">
      <c r="B15" s="5" t="s">
        <v>531</v>
      </c>
      <c r="C15" s="274"/>
      <c r="D15" s="533">
        <v>0</v>
      </c>
      <c r="E15" s="533">
        <v>0</v>
      </c>
      <c r="F15" s="533">
        <v>0</v>
      </c>
      <c r="G15" s="533">
        <v>0</v>
      </c>
      <c r="H15" s="247"/>
      <c r="I15" s="247"/>
      <c r="J15" s="5" t="s">
        <v>475</v>
      </c>
      <c r="L15" s="529">
        <f>'AGG ASIA INCUMB'!D43</f>
        <v>14.482023584121089</v>
      </c>
      <c r="M15" s="529">
        <f>'AGG ASIA INCUMB'!E43</f>
        <v>10.697579793360875</v>
      </c>
      <c r="N15" s="529">
        <f>'AGG ASIA INCUMB'!F43</f>
        <v>9.7604819510674972</v>
      </c>
      <c r="O15" s="529">
        <f>'AGG ASIA INCUMB'!G43</f>
        <v>8.8384338816404213</v>
      </c>
      <c r="P15" s="286">
        <f>'AGG ASIA CELLULAR'!H43</f>
        <v>0.18831027118838706</v>
      </c>
      <c r="S15" s="88"/>
      <c r="T15" s="42"/>
      <c r="U15" s="42"/>
      <c r="V15" s="42"/>
      <c r="W15" s="42"/>
      <c r="X15" s="42"/>
      <c r="Y15" s="42"/>
      <c r="Z15" s="42"/>
      <c r="AA15" s="42"/>
    </row>
    <row r="16" spans="2:27">
      <c r="B16" s="5" t="s">
        <v>534</v>
      </c>
      <c r="C16" s="257"/>
      <c r="D16" s="533">
        <v>1424.7707598173208</v>
      </c>
      <c r="E16" s="533">
        <v>1952.3217120888014</v>
      </c>
      <c r="F16" s="533">
        <v>2505.5321942850182</v>
      </c>
      <c r="G16" s="533">
        <v>3084.8270696377199</v>
      </c>
      <c r="H16" s="247"/>
      <c r="I16" s="247"/>
      <c r="J16" s="5" t="s">
        <v>533</v>
      </c>
      <c r="L16" s="529">
        <f>'AGG ASIA INCUMB'!D44</f>
        <v>401.27153945230202</v>
      </c>
      <c r="M16" s="529">
        <f>'AGG ASIA INCUMB'!E44</f>
        <v>386.42961390608417</v>
      </c>
      <c r="N16" s="529">
        <f>'AGG ASIA INCUMB'!F44</f>
        <v>362.49401680734263</v>
      </c>
      <c r="O16" s="529">
        <f>'AGG ASIA INCUMB'!G44</f>
        <v>331.65705725544359</v>
      </c>
      <c r="P16" s="286">
        <f>'AGG ASIA CELLULAR'!H44</f>
        <v>0.15839482711139796</v>
      </c>
      <c r="S16" s="88"/>
      <c r="T16" s="42"/>
      <c r="U16" s="42"/>
      <c r="V16" s="42"/>
      <c r="W16" s="42"/>
      <c r="X16" s="42"/>
      <c r="Y16" s="42"/>
      <c r="Z16" s="42"/>
      <c r="AA16" s="42"/>
    </row>
    <row r="17" spans="2:27">
      <c r="B17" s="5" t="s">
        <v>6</v>
      </c>
      <c r="C17" s="257"/>
      <c r="D17" s="533">
        <v>0</v>
      </c>
      <c r="E17" s="533">
        <v>0</v>
      </c>
      <c r="F17" s="533">
        <v>0</v>
      </c>
      <c r="G17" s="533">
        <v>0</v>
      </c>
      <c r="H17" s="247"/>
      <c r="I17" s="247"/>
      <c r="J17" s="5" t="s">
        <v>580</v>
      </c>
      <c r="L17" s="248">
        <f>'AGG ASIA INCUMB'!D45</f>
        <v>1.4187232142027291E-3</v>
      </c>
      <c r="M17" s="248">
        <f>'AGG ASIA INCUMB'!E45</f>
        <v>1.5917039348975377E-3</v>
      </c>
      <c r="N17" s="248">
        <f>'AGG ASIA INCUMB'!F45</f>
        <v>1.8207439648114264E-3</v>
      </c>
      <c r="O17" s="248">
        <f>'AGG ASIA INCUMB'!G45</f>
        <v>2.0820127660327939E-3</v>
      </c>
      <c r="P17" s="286">
        <f>'AGG ASIA CELLULAR'!H45</f>
        <v>0.11470165475568339</v>
      </c>
      <c r="S17" s="88"/>
      <c r="T17" s="42"/>
      <c r="U17" s="42"/>
      <c r="V17" s="42"/>
      <c r="W17" s="42"/>
      <c r="X17" s="42"/>
      <c r="Y17" s="42"/>
      <c r="Z17" s="42"/>
      <c r="AA17" s="42"/>
    </row>
    <row r="18" spans="2:27" ht="12.6" thickBot="1">
      <c r="B18" s="41" t="s">
        <v>583</v>
      </c>
      <c r="C18" s="249"/>
      <c r="D18" s="534">
        <f>D11+D12+D13-D14+D15-D16-D17</f>
        <v>4382.4387404602267</v>
      </c>
      <c r="E18" s="534">
        <f>E11+E12+E13-E14+E15-E16-E17</f>
        <v>3755.7615606230675</v>
      </c>
      <c r="F18" s="534">
        <f>F11+F12+F13-F14+F15-F16-F17</f>
        <v>3155.3702195365181</v>
      </c>
      <c r="G18" s="534">
        <f>G11+G12+G13-G14+G15-G16-G17</f>
        <v>2289.766968567104</v>
      </c>
      <c r="H18" s="276">
        <f>IF(D18=0,"nm",IF(G18=0,"nm",(G18/D18)^(1/3)-1))</f>
        <v>-0.19457492908267415</v>
      </c>
      <c r="I18" s="254"/>
      <c r="J18" s="5" t="s">
        <v>36</v>
      </c>
      <c r="L18" s="248">
        <f>'AGG ASIA INCUMB'!D46</f>
        <v>1.4197854397789587E-3</v>
      </c>
      <c r="M18" s="248">
        <f>'AGG ASIA INCUMB'!E46</f>
        <v>1.5927452418075944E-3</v>
      </c>
      <c r="N18" s="248">
        <f>'AGG ASIA INCUMB'!F46</f>
        <v>1.8306775739935764E-3</v>
      </c>
      <c r="O18" s="248">
        <f>'AGG ASIA INCUMB'!G46</f>
        <v>2.0980698589589679E-3</v>
      </c>
      <c r="P18" s="286" t="e">
        <f>'AGG ASIA CELLULAR'!H46</f>
        <v>#VALUE!</v>
      </c>
      <c r="S18" s="88"/>
      <c r="T18" s="42"/>
      <c r="U18" s="42"/>
      <c r="V18" s="42"/>
      <c r="W18" s="42"/>
      <c r="X18" s="42"/>
      <c r="Y18" s="42"/>
      <c r="Z18" s="42"/>
      <c r="AA18" s="42"/>
    </row>
    <row r="19" spans="2:27" ht="12.6" thickTop="1">
      <c r="B19" s="41"/>
      <c r="C19" s="249"/>
      <c r="D19" s="229"/>
      <c r="E19" s="229"/>
      <c r="F19" s="229"/>
      <c r="G19" s="229"/>
      <c r="H19" s="276"/>
      <c r="I19" s="254"/>
      <c r="J19" s="5" t="s">
        <v>581</v>
      </c>
      <c r="L19" s="248">
        <f>'AGG ASIA INCUMB'!D47</f>
        <v>6.9051123566492234E-2</v>
      </c>
      <c r="M19" s="248">
        <f>'AGG ASIA INCUMB'!E47</f>
        <v>9.3479087729789065E-2</v>
      </c>
      <c r="N19" s="248">
        <f>'AGG ASIA INCUMB'!F47</f>
        <v>0.10245395719323375</v>
      </c>
      <c r="O19" s="248">
        <f>'AGG ASIA INCUMB'!G47</f>
        <v>0.11314221652743744</v>
      </c>
      <c r="P19" s="286">
        <f>'AGG ASIA CELLULAR'!H47</f>
        <v>0.18831027118838706</v>
      </c>
      <c r="S19" s="88"/>
      <c r="T19" s="42"/>
      <c r="U19" s="42"/>
      <c r="V19" s="42"/>
      <c r="W19" s="42"/>
      <c r="X19" s="42"/>
      <c r="Y19" s="42"/>
      <c r="Z19" s="42"/>
      <c r="AA19" s="42"/>
    </row>
    <row r="20" spans="2:27">
      <c r="H20" s="277"/>
      <c r="I20" s="17"/>
      <c r="J20" s="5" t="s">
        <v>604</v>
      </c>
      <c r="L20" s="305">
        <f>'AGG ASIA INCUMB'!D48</f>
        <v>0.58020270145274866</v>
      </c>
      <c r="M20" s="305">
        <f>'AGG ASIA INCUMB'!E48</f>
        <v>0.49738583643750317</v>
      </c>
      <c r="N20" s="305">
        <f>'AGG ASIA INCUMB'!F48</f>
        <v>0.5269471278406761</v>
      </c>
      <c r="O20" s="305">
        <f>'AGG ASIA INCUMB'!G48</f>
        <v>0.55446861753269805</v>
      </c>
      <c r="P20" s="286" t="str">
        <f>'AGG ASIA CELLULAR'!H48</f>
        <v>nm</v>
      </c>
      <c r="S20" s="88"/>
      <c r="T20" s="42"/>
      <c r="U20" s="42"/>
      <c r="V20" s="42"/>
      <c r="W20" s="42"/>
      <c r="X20" s="42"/>
      <c r="Y20" s="42"/>
      <c r="Z20" s="42"/>
      <c r="AA20" s="42"/>
    </row>
    <row r="21" spans="2:27" ht="12.6" thickBot="1">
      <c r="B21" s="306" t="s">
        <v>933</v>
      </c>
      <c r="C21" s="265"/>
      <c r="D21" s="265" t="str">
        <f>D5</f>
        <v>2023E</v>
      </c>
      <c r="E21" s="265" t="str">
        <f t="shared" ref="E21:H21" si="3">E5</f>
        <v>2024E</v>
      </c>
      <c r="F21" s="265" t="str">
        <f t="shared" si="3"/>
        <v>2025E</v>
      </c>
      <c r="G21" s="265" t="str">
        <f t="shared" si="3"/>
        <v>2026E</v>
      </c>
      <c r="H21" s="265" t="str">
        <f t="shared" si="3"/>
        <v>23E-26E</v>
      </c>
      <c r="I21" s="49"/>
      <c r="J21" s="41"/>
      <c r="L21" s="250"/>
      <c r="M21" s="250"/>
      <c r="N21" s="250"/>
      <c r="O21" s="250"/>
      <c r="P21" s="286"/>
      <c r="S21" s="88"/>
      <c r="T21" s="42"/>
      <c r="U21" s="42"/>
      <c r="V21" s="42"/>
      <c r="W21" s="42"/>
      <c r="X21" s="42"/>
      <c r="Y21" s="42"/>
      <c r="Z21" s="42"/>
      <c r="AA21" s="42"/>
    </row>
    <row r="22" spans="2:27" ht="12.6" thickTop="1">
      <c r="B22" s="5"/>
      <c r="C22" s="257"/>
      <c r="D22" s="17"/>
      <c r="E22" s="17"/>
      <c r="F22" s="17"/>
      <c r="G22" s="17"/>
      <c r="H22" s="17"/>
      <c r="I22" s="17"/>
      <c r="P22" s="277"/>
      <c r="S22" s="88"/>
      <c r="T22" s="42"/>
      <c r="U22" s="42"/>
      <c r="V22" s="42"/>
      <c r="W22" s="42"/>
      <c r="X22" s="42"/>
      <c r="Y22" s="42"/>
      <c r="Z22" s="42"/>
      <c r="AA22" s="42"/>
    </row>
    <row r="23" spans="2:27" ht="12.6" thickBot="1">
      <c r="B23" s="5" t="s">
        <v>584</v>
      </c>
      <c r="C23" s="548">
        <v>967.44462130437057</v>
      </c>
      <c r="D23" s="540">
        <v>959.71460008796487</v>
      </c>
      <c r="E23" s="540">
        <v>967.2341408143584</v>
      </c>
      <c r="F23" s="540">
        <v>985.73004540337047</v>
      </c>
      <c r="G23" s="540">
        <v>1009.7588538049158</v>
      </c>
      <c r="H23" s="279">
        <f>IF(D23=0,"nm",IF(G23=0,"nm",(G23/D23)^(1/3)-1))</f>
        <v>1.7087982045796535E-2</v>
      </c>
      <c r="I23" s="247"/>
      <c r="J23" s="306" t="s">
        <v>9</v>
      </c>
      <c r="K23" s="306"/>
      <c r="L23" s="265" t="str">
        <f>D21</f>
        <v>2023E</v>
      </c>
      <c r="M23" s="265" t="str">
        <f t="shared" ref="M23:P23" si="4">E21</f>
        <v>2024E</v>
      </c>
      <c r="N23" s="265" t="str">
        <f t="shared" si="4"/>
        <v>2025E</v>
      </c>
      <c r="O23" s="265" t="str">
        <f t="shared" si="4"/>
        <v>2026E</v>
      </c>
      <c r="P23" s="265" t="str">
        <f t="shared" si="4"/>
        <v>23E-26E</v>
      </c>
      <c r="S23" s="88"/>
      <c r="T23" s="42"/>
      <c r="U23" s="42"/>
      <c r="V23" s="42"/>
      <c r="W23" s="42"/>
      <c r="X23" s="42"/>
      <c r="Y23" s="42"/>
      <c r="Z23" s="42"/>
      <c r="AA23" s="42"/>
    </row>
    <row r="24" spans="2:27" ht="12.6" thickTop="1">
      <c r="B24" s="5" t="s">
        <v>483</v>
      </c>
      <c r="C24" s="549">
        <v>627.46741200204497</v>
      </c>
      <c r="D24" s="540">
        <v>612.09245518531475</v>
      </c>
      <c r="E24" s="540">
        <v>611.1152056753258</v>
      </c>
      <c r="F24" s="540">
        <v>621.33998121293155</v>
      </c>
      <c r="G24" s="540">
        <v>636.31495140465699</v>
      </c>
      <c r="H24" s="279">
        <f>IF(D24=0,"nm",IF(G24=0,"nm",(G24/D24)^(1/3)-1))</f>
        <v>1.3020810580268938E-2</v>
      </c>
      <c r="I24" s="249"/>
      <c r="J24" s="17"/>
      <c r="K24" s="17"/>
      <c r="L24" s="17"/>
      <c r="M24" s="17"/>
      <c r="N24" s="17"/>
      <c r="O24" s="248"/>
      <c r="S24" s="88"/>
      <c r="T24" s="42"/>
      <c r="U24" s="42"/>
      <c r="V24" s="42"/>
      <c r="W24" s="42" t="s">
        <v>306</v>
      </c>
      <c r="X24" s="42" t="s">
        <v>259</v>
      </c>
      <c r="Y24" s="42"/>
      <c r="Z24" s="42"/>
      <c r="AA24" s="42"/>
    </row>
    <row r="25" spans="2:27">
      <c r="B25" s="5" t="s">
        <v>183</v>
      </c>
      <c r="C25" s="548">
        <v>-226.4960161759127</v>
      </c>
      <c r="D25" s="540">
        <v>-47.216851337992125</v>
      </c>
      <c r="E25" s="540">
        <v>87.360166838961504</v>
      </c>
      <c r="F25" s="540">
        <v>121.38669265389996</v>
      </c>
      <c r="G25" s="540">
        <v>444.86614491204955</v>
      </c>
      <c r="H25" s="279">
        <f>IF(D25=0,"nm",IF(G25=0,"nm",(G25/D25)^(1/3)-1))</f>
        <v>-3.1120820124440676</v>
      </c>
      <c r="I25" s="248"/>
      <c r="J25" s="247" t="s">
        <v>10</v>
      </c>
      <c r="K25" s="247"/>
      <c r="L25" s="321">
        <v>-227.17643988095512</v>
      </c>
      <c r="M25" s="321">
        <v>-88.943602689679437</v>
      </c>
      <c r="N25" s="321">
        <v>-58.593629607073808</v>
      </c>
      <c r="O25" s="321">
        <v>262.38103909619542</v>
      </c>
      <c r="P25" s="279">
        <f>IF(L25=0,"nm",IF(O25=0,"nm",(O25/L25)^(1/3)-1))</f>
        <v>-2.0491954199450886</v>
      </c>
      <c r="S25" s="88"/>
      <c r="T25" s="42"/>
      <c r="U25" s="42"/>
      <c r="V25" s="147" t="s">
        <v>273</v>
      </c>
      <c r="W25" s="288">
        <f>D37/L9</f>
        <v>7.2318727421206944E-2</v>
      </c>
      <c r="X25" s="288">
        <v>1</v>
      </c>
      <c r="Y25" s="42"/>
      <c r="Z25" s="42"/>
      <c r="AA25" s="42"/>
    </row>
    <row r="26" spans="2:27">
      <c r="B26" s="5" t="s">
        <v>586</v>
      </c>
      <c r="C26" s="548">
        <v>-158.54721132313887</v>
      </c>
      <c r="D26" s="540">
        <v>-33.051795936594488</v>
      </c>
      <c r="E26" s="540">
        <v>61.152116787273052</v>
      </c>
      <c r="F26" s="540">
        <v>84.970684857729964</v>
      </c>
      <c r="G26" s="540">
        <v>311.40630143843464</v>
      </c>
      <c r="H26" s="279">
        <f>IF(D26=0,"nm",IF(G26=0,"nm",(G26/D26)^(1/3)-1))</f>
        <v>-3.1120820124440676</v>
      </c>
      <c r="I26" s="249"/>
      <c r="J26" s="249" t="s">
        <v>11</v>
      </c>
      <c r="K26" s="249"/>
      <c r="L26" s="281">
        <f>D11+L25</f>
        <v>3031.1826430640454</v>
      </c>
      <c r="M26" s="281">
        <f>E11+M25</f>
        <v>3185.5005496853209</v>
      </c>
      <c r="N26" s="281">
        <f>F11+N25</f>
        <v>3231.9355921979268</v>
      </c>
      <c r="O26" s="281">
        <f>G11+O25</f>
        <v>3568.9953303311959</v>
      </c>
      <c r="P26" s="279">
        <f>IF(L26=0,"nm",IF(O26=0,"nm",(O26/L26)^(1/3)-1))</f>
        <v>5.5953088469439693E-2</v>
      </c>
      <c r="Q26" s="5"/>
      <c r="S26" s="88"/>
      <c r="T26" s="42"/>
      <c r="U26" s="42"/>
      <c r="V26" s="147" t="s">
        <v>184</v>
      </c>
      <c r="W26" s="288">
        <f t="shared" ref="W26:W33" si="5">D38/L10</f>
        <v>3.1226936788609872E-2</v>
      </c>
      <c r="X26" s="288">
        <v>1</v>
      </c>
      <c r="Y26" s="42"/>
      <c r="Z26" s="42"/>
      <c r="AA26" s="42"/>
    </row>
    <row r="27" spans="2:27">
      <c r="B27" s="5" t="s">
        <v>587</v>
      </c>
      <c r="C27" s="549">
        <v>3626.1733889042825</v>
      </c>
      <c r="D27" s="540">
        <v>3530.4129985980512</v>
      </c>
      <c r="E27" s="540">
        <v>3358.0357362268505</v>
      </c>
      <c r="F27" s="540">
        <v>3242.6410907683653</v>
      </c>
      <c r="G27" s="540">
        <v>2905.9570841186428</v>
      </c>
      <c r="H27" s="279">
        <f>IF(ISERROR((G27/D27)^(1/3)-1),"na",(G27/D27)^(1/3)-1)</f>
        <v>-6.2823850440681506E-2</v>
      </c>
      <c r="I27" s="249"/>
      <c r="J27" s="248"/>
      <c r="K27" s="248"/>
      <c r="L27" s="248"/>
      <c r="M27" s="248"/>
      <c r="N27" s="248"/>
      <c r="O27" s="248"/>
      <c r="Q27" s="41"/>
      <c r="S27" s="88"/>
      <c r="T27" s="42"/>
      <c r="U27" s="42"/>
      <c r="V27" s="147" t="s">
        <v>185</v>
      </c>
      <c r="W27" s="288">
        <f t="shared" si="5"/>
        <v>-0.1609684444691114</v>
      </c>
      <c r="X27" s="288">
        <v>1</v>
      </c>
      <c r="Y27" s="42"/>
      <c r="Z27" s="42"/>
      <c r="AA27" s="42"/>
    </row>
    <row r="28" spans="2:27" ht="12.6" thickBot="1">
      <c r="B28" s="5" t="s">
        <v>592</v>
      </c>
      <c r="C28" s="548">
        <v>4860.9634281779581</v>
      </c>
      <c r="D28" s="540">
        <v>5092.2612140202045</v>
      </c>
      <c r="E28" s="540">
        <v>5184.4521094835463</v>
      </c>
      <c r="F28" s="540">
        <v>5253.9153441906656</v>
      </c>
      <c r="G28" s="540">
        <v>5024.8361239128235</v>
      </c>
      <c r="H28" s="279">
        <f>IF(ISERROR((G28/D28)^(1/3)-1),"na",(G28/D28)^(1/3)-1)</f>
        <v>-4.4331899500845706E-3</v>
      </c>
      <c r="I28" s="248"/>
      <c r="J28" s="306" t="s">
        <v>1362</v>
      </c>
      <c r="K28" s="306"/>
      <c r="L28" s="306"/>
      <c r="M28" s="306"/>
      <c r="N28" s="266"/>
      <c r="O28" s="266"/>
      <c r="P28" s="266"/>
      <c r="Q28" s="5"/>
      <c r="S28" s="88"/>
      <c r="T28" s="42"/>
      <c r="U28" s="42"/>
      <c r="V28" s="147" t="s">
        <v>466</v>
      </c>
      <c r="W28" s="288">
        <f t="shared" si="5"/>
        <v>-0.17121088141684984</v>
      </c>
      <c r="X28" s="288">
        <v>1</v>
      </c>
      <c r="Y28" s="42"/>
      <c r="Z28" s="42"/>
      <c r="AA28" s="42"/>
    </row>
    <row r="29" spans="2:27" ht="12.6" thickTop="1">
      <c r="B29" s="5" t="s">
        <v>588</v>
      </c>
      <c r="C29" s="548">
        <v>-407.24395506723488</v>
      </c>
      <c r="D29" s="540">
        <v>-227.17643988095512</v>
      </c>
      <c r="E29" s="540">
        <v>-88.943602689679437</v>
      </c>
      <c r="F29" s="540">
        <v>-58.593629607073808</v>
      </c>
      <c r="G29" s="540">
        <v>262.38103909619542</v>
      </c>
      <c r="H29" s="279">
        <f>IF(D29=0,"nm",IF(G29=0,"nm",(G29/D29)^(1/3)-1))</f>
        <v>-2.0491954199450886</v>
      </c>
      <c r="I29" s="252"/>
      <c r="J29" s="249"/>
      <c r="K29" s="249"/>
      <c r="L29" s="249"/>
      <c r="M29" s="249"/>
      <c r="N29" s="249"/>
      <c r="O29" s="251"/>
      <c r="Q29" s="5"/>
      <c r="S29" s="88"/>
      <c r="T29" s="42"/>
      <c r="U29" s="42"/>
      <c r="V29" s="147" t="s">
        <v>530</v>
      </c>
      <c r="W29" s="288">
        <f t="shared" si="5"/>
        <v>2.1807466605568655E-2</v>
      </c>
      <c r="X29" s="288">
        <v>1</v>
      </c>
      <c r="Y29" s="42"/>
      <c r="Z29" s="42"/>
      <c r="AA29" s="42"/>
    </row>
    <row r="30" spans="2:27">
      <c r="B30" s="5" t="s">
        <v>589</v>
      </c>
      <c r="C30" s="549">
        <v>56.076622731755506</v>
      </c>
      <c r="D30" s="540">
        <v>38.943638132687724</v>
      </c>
      <c r="E30" s="540">
        <v>41.383000535653714</v>
      </c>
      <c r="F30" s="540">
        <v>51.695411883020867</v>
      </c>
      <c r="G30" s="540">
        <v>74.852769048164589</v>
      </c>
      <c r="H30" s="279">
        <f>IF(D30=0,"nm",IF(G30=0,"nm",(G30/D30)^(1/3)-1))</f>
        <v>0.24334155804344371</v>
      </c>
      <c r="I30" s="254"/>
      <c r="J30" s="248"/>
      <c r="K30" s="248"/>
      <c r="L30" s="248"/>
      <c r="M30" s="248"/>
      <c r="N30" s="248"/>
      <c r="O30" s="5"/>
      <c r="Q30" s="5"/>
      <c r="S30" s="88"/>
      <c r="T30" s="42"/>
      <c r="U30" s="42"/>
      <c r="V30" s="147" t="s">
        <v>593</v>
      </c>
      <c r="W30" s="288">
        <f t="shared" si="5"/>
        <v>1.1356869954939886E-2</v>
      </c>
      <c r="X30" s="288">
        <v>1</v>
      </c>
      <c r="Y30" s="42"/>
      <c r="Z30" s="42"/>
      <c r="AA30" s="42"/>
    </row>
    <row r="31" spans="2:27">
      <c r="B31" s="5" t="s">
        <v>590</v>
      </c>
      <c r="C31" s="549">
        <v>101.16391829000003</v>
      </c>
      <c r="D31" s="540">
        <v>107.05081176000002</v>
      </c>
      <c r="E31" s="540">
        <v>112.06174375000002</v>
      </c>
      <c r="F31" s="540">
        <v>117.11671426000002</v>
      </c>
      <c r="G31" s="540">
        <v>122.21572329000003</v>
      </c>
      <c r="H31" s="279">
        <f>IF(D31=0,"nm",IF(G31=0,"nm",(G31/D31)^(1/3)-1))</f>
        <v>4.515099693149871E-2</v>
      </c>
      <c r="I31" s="254"/>
      <c r="J31" s="252"/>
      <c r="K31" s="252"/>
      <c r="L31" s="252"/>
      <c r="M31" s="252"/>
      <c r="N31" s="252"/>
      <c r="O31" s="5"/>
      <c r="Q31" s="5"/>
      <c r="S31" s="88"/>
      <c r="T31" s="42"/>
      <c r="U31" s="42"/>
      <c r="V31" s="147" t="s">
        <v>475</v>
      </c>
      <c r="W31" s="288">
        <f t="shared" si="5"/>
        <v>-0.92133923459889866</v>
      </c>
      <c r="X31" s="288">
        <v>1</v>
      </c>
      <c r="Y31" s="42"/>
      <c r="Z31" s="42"/>
      <c r="AA31" s="42"/>
    </row>
    <row r="32" spans="2:27">
      <c r="B32" s="5" t="s">
        <v>606</v>
      </c>
      <c r="C32" s="550">
        <v>61.076882987765089</v>
      </c>
      <c r="D32" s="540">
        <v>38.680167463295334</v>
      </c>
      <c r="E32" s="540">
        <v>13.512777838825627</v>
      </c>
      <c r="F32" s="540">
        <v>13.292585238825609</v>
      </c>
      <c r="G32" s="540">
        <v>13.07239263882559</v>
      </c>
      <c r="H32" s="279">
        <f>IF(D32=0,"nm",IF(G32=0,"nm",(G32/D32)^(1/3)-1))</f>
        <v>-0.30344473481529599</v>
      </c>
      <c r="I32" s="254"/>
      <c r="J32" s="254"/>
      <c r="K32" s="254"/>
      <c r="L32" s="254"/>
      <c r="M32" s="254"/>
      <c r="N32" s="254"/>
      <c r="O32" s="251"/>
      <c r="Q32" s="5"/>
      <c r="S32" s="88"/>
      <c r="T32" s="42"/>
      <c r="U32" s="42"/>
      <c r="V32" s="147" t="s">
        <v>533</v>
      </c>
      <c r="W32" s="288">
        <f t="shared" si="5"/>
        <v>0.20850864415958836</v>
      </c>
      <c r="X32" s="288">
        <v>1</v>
      </c>
      <c r="Y32" s="42"/>
      <c r="Z32" s="42"/>
      <c r="AA32" s="42"/>
    </row>
    <row r="33" spans="2:27">
      <c r="B33" s="5" t="s">
        <v>5</v>
      </c>
      <c r="C33" s="549">
        <v>-157.36313753877837</v>
      </c>
      <c r="D33" s="540">
        <v>-169.94793394587055</v>
      </c>
      <c r="E33" s="540">
        <v>-167.4522921574455</v>
      </c>
      <c r="F33" s="540">
        <v>-167.48546509071872</v>
      </c>
      <c r="G33" s="540">
        <v>-161.75727121408292</v>
      </c>
      <c r="H33" s="279">
        <f>IF(ISERROR((G33/D33)^(1/3)-1),"na",(G33/D33)^(1/3)-1)</f>
        <v>-1.6330269315246282E-2</v>
      </c>
      <c r="I33" s="5"/>
      <c r="J33" s="254"/>
      <c r="K33" s="254"/>
      <c r="L33" s="254"/>
      <c r="M33" s="254"/>
      <c r="N33" s="254"/>
      <c r="O33" s="251"/>
      <c r="Q33" s="5"/>
      <c r="S33" s="88"/>
      <c r="T33" s="42"/>
      <c r="U33" s="42"/>
      <c r="V33" s="147" t="s">
        <v>580</v>
      </c>
      <c r="W33" s="288">
        <f t="shared" si="5"/>
        <v>23.157589244106425</v>
      </c>
      <c r="X33" s="288">
        <v>1</v>
      </c>
      <c r="Y33" s="42"/>
      <c r="Z33" s="42"/>
      <c r="AA33" s="42"/>
    </row>
    <row r="34" spans="2:27">
      <c r="D34" s="5"/>
      <c r="E34" s="5"/>
      <c r="F34" s="5"/>
      <c r="G34" s="5"/>
      <c r="I34" s="49"/>
      <c r="J34" s="254"/>
      <c r="K34" s="254"/>
      <c r="L34" s="254"/>
      <c r="M34" s="254"/>
      <c r="N34" s="254"/>
      <c r="O34" s="251"/>
      <c r="Q34" s="5"/>
      <c r="S34" s="88"/>
      <c r="T34" s="42"/>
      <c r="U34" s="42"/>
      <c r="V34" s="147" t="s">
        <v>581</v>
      </c>
      <c r="W34" s="288">
        <f>D47/L19</f>
        <v>-1.0853765501860408</v>
      </c>
      <c r="X34" s="288">
        <v>1</v>
      </c>
      <c r="Y34" s="288"/>
      <c r="Z34" s="288"/>
      <c r="AA34" s="42"/>
    </row>
    <row r="35" spans="2:27" ht="12.6" thickBot="1">
      <c r="B35" s="306" t="s">
        <v>919</v>
      </c>
      <c r="C35" s="265"/>
      <c r="D35" s="265" t="str">
        <f>D5</f>
        <v>2023E</v>
      </c>
      <c r="E35" s="265" t="str">
        <f t="shared" ref="E35:H35" si="6">E5</f>
        <v>2024E</v>
      </c>
      <c r="F35" s="265" t="str">
        <f t="shared" si="6"/>
        <v>2025E</v>
      </c>
      <c r="G35" s="265" t="str">
        <f t="shared" si="6"/>
        <v>2026E</v>
      </c>
      <c r="H35" s="265" t="str">
        <f t="shared" si="6"/>
        <v>23E-26E</v>
      </c>
      <c r="I35" s="254"/>
      <c r="J35" s="5"/>
      <c r="K35" s="5"/>
      <c r="L35" s="5"/>
      <c r="M35" s="5"/>
      <c r="N35" s="5"/>
      <c r="O35" s="5"/>
      <c r="Q35" s="5"/>
      <c r="S35" s="88"/>
      <c r="T35" s="42"/>
      <c r="U35" s="42"/>
      <c r="V35" s="42"/>
      <c r="W35" s="42"/>
      <c r="X35" s="42"/>
      <c r="Y35" s="288"/>
      <c r="Z35" s="288"/>
      <c r="AA35" s="42"/>
    </row>
    <row r="36" spans="2:27" ht="12.6" thickTop="1">
      <c r="B36" s="41"/>
      <c r="C36" s="249"/>
      <c r="D36" s="254"/>
      <c r="E36" s="254"/>
      <c r="F36" s="254"/>
      <c r="G36" s="254"/>
      <c r="H36" s="254"/>
      <c r="I36" s="17"/>
      <c r="J36" s="49"/>
      <c r="K36" s="49"/>
      <c r="L36" s="49"/>
      <c r="M36" s="49"/>
      <c r="N36" s="49"/>
      <c r="O36" s="49"/>
      <c r="Q36" s="5"/>
      <c r="S36" s="88"/>
      <c r="T36" s="42"/>
      <c r="U36" s="42"/>
      <c r="V36" s="42"/>
      <c r="W36" s="42"/>
      <c r="X36" s="42"/>
      <c r="Y36" s="288"/>
      <c r="Z36" s="288"/>
      <c r="AA36" s="42"/>
    </row>
    <row r="37" spans="2:27">
      <c r="B37" s="5" t="s">
        <v>273</v>
      </c>
      <c r="C37" s="247"/>
      <c r="D37" s="529">
        <f>D$18/D23</f>
        <v>4.5663979062718685</v>
      </c>
      <c r="E37" s="529">
        <f t="shared" ref="E37:G40" si="7">E$18/E23</f>
        <v>3.8829911002323811</v>
      </c>
      <c r="F37" s="529">
        <f t="shared" si="7"/>
        <v>3.2010490440567927</v>
      </c>
      <c r="G37" s="529">
        <f t="shared" si="7"/>
        <v>2.2676374264399213</v>
      </c>
      <c r="H37" s="17">
        <f t="shared" ref="H37:H45" si="8">H23</f>
        <v>1.7087982045796535E-2</v>
      </c>
      <c r="I37" s="5"/>
      <c r="J37" s="259"/>
      <c r="K37" s="259"/>
      <c r="L37" s="259"/>
      <c r="M37" s="259"/>
      <c r="N37" s="259"/>
      <c r="O37" s="18"/>
      <c r="Q37" s="5"/>
      <c r="R37" s="5"/>
      <c r="S37" s="42"/>
      <c r="T37" s="42"/>
      <c r="U37" s="42"/>
      <c r="V37" s="42"/>
      <c r="W37" s="42"/>
      <c r="X37" s="42"/>
      <c r="Y37" s="42"/>
      <c r="Z37" s="42"/>
      <c r="AA37" s="42"/>
    </row>
    <row r="38" spans="2:27">
      <c r="B38" s="5" t="s">
        <v>184</v>
      </c>
      <c r="C38" s="247"/>
      <c r="D38" s="529">
        <f>D$18/D24</f>
        <v>7.1597659852438733</v>
      </c>
      <c r="E38" s="529">
        <f t="shared" si="7"/>
        <v>6.1457504669233085</v>
      </c>
      <c r="F38" s="529">
        <f t="shared" si="7"/>
        <v>5.0783312114840093</v>
      </c>
      <c r="G38" s="529">
        <f t="shared" si="7"/>
        <v>3.5984805378413207</v>
      </c>
      <c r="H38" s="17">
        <f t="shared" si="8"/>
        <v>1.3020810580268938E-2</v>
      </c>
      <c r="I38" s="259"/>
      <c r="J38" s="17"/>
      <c r="K38" s="17"/>
      <c r="L38" s="17"/>
      <c r="M38" s="17"/>
      <c r="N38" s="17"/>
      <c r="O38" s="5"/>
      <c r="Q38" s="5"/>
      <c r="R38" s="5"/>
      <c r="S38" s="42"/>
      <c r="T38" s="42"/>
      <c r="U38" s="42"/>
      <c r="V38" s="42"/>
      <c r="W38" s="42"/>
      <c r="X38" s="42"/>
      <c r="Y38" s="42"/>
      <c r="Z38" s="42"/>
      <c r="AA38" s="42"/>
    </row>
    <row r="39" spans="2:27">
      <c r="B39" s="5" t="s">
        <v>185</v>
      </c>
      <c r="C39" s="247"/>
      <c r="D39" s="529">
        <f>D$18/D25</f>
        <v>-92.815141549559073</v>
      </c>
      <c r="E39" s="529">
        <f t="shared" si="7"/>
        <v>42.991694001070137</v>
      </c>
      <c r="F39" s="529">
        <f t="shared" si="7"/>
        <v>25.994366849858654</v>
      </c>
      <c r="G39" s="529">
        <f t="shared" si="7"/>
        <v>5.1470919843086573</v>
      </c>
      <c r="H39" s="17">
        <f t="shared" si="8"/>
        <v>-3.1120820124440676</v>
      </c>
      <c r="I39" s="17"/>
      <c r="J39" s="5"/>
      <c r="K39" s="5"/>
      <c r="L39" s="5"/>
      <c r="M39" s="5"/>
      <c r="N39" s="5"/>
      <c r="O39" s="5"/>
      <c r="Q39" s="5"/>
      <c r="R39" s="5"/>
      <c r="S39" s="42"/>
      <c r="T39" s="42"/>
      <c r="U39" s="42"/>
      <c r="V39" s="42"/>
      <c r="W39" s="42"/>
      <c r="X39" s="42"/>
      <c r="Y39" s="42"/>
      <c r="Z39" s="42"/>
      <c r="AA39" s="42"/>
    </row>
    <row r="40" spans="2:27">
      <c r="B40" s="5" t="s">
        <v>466</v>
      </c>
      <c r="C40" s="247"/>
      <c r="D40" s="529">
        <f>D$18/D26</f>
        <v>-132.59305935651295</v>
      </c>
      <c r="E40" s="529">
        <f t="shared" si="7"/>
        <v>61.41670571581448</v>
      </c>
      <c r="F40" s="529">
        <f t="shared" si="7"/>
        <v>37.134809785512367</v>
      </c>
      <c r="G40" s="529">
        <f t="shared" si="7"/>
        <v>7.3529885490123688</v>
      </c>
      <c r="H40" s="17">
        <f t="shared" si="8"/>
        <v>-3.1120820124440676</v>
      </c>
      <c r="I40" s="5"/>
      <c r="J40" s="259"/>
      <c r="K40" s="259"/>
      <c r="L40" s="259"/>
      <c r="M40" s="259"/>
      <c r="N40" s="259"/>
      <c r="O40" s="18"/>
      <c r="Q40" s="5"/>
      <c r="R40" s="5"/>
      <c r="S40" s="42"/>
      <c r="T40" s="42"/>
      <c r="U40" s="42"/>
      <c r="V40" s="42"/>
      <c r="W40" s="288"/>
      <c r="X40" s="288"/>
      <c r="Y40" s="42"/>
      <c r="Z40" s="42"/>
      <c r="AA40" s="42"/>
    </row>
    <row r="41" spans="2:27">
      <c r="B41" s="5" t="s">
        <v>530</v>
      </c>
      <c r="C41" s="247"/>
      <c r="D41" s="529">
        <f>D18/D27</f>
        <v>1.2413388298197747</v>
      </c>
      <c r="E41" s="529">
        <f t="shared" ref="E41:G41" si="9">E18/E27</f>
        <v>1.1184400213808054</v>
      </c>
      <c r="F41" s="529">
        <f t="shared" si="9"/>
        <v>0.97308648450785906</v>
      </c>
      <c r="G41" s="529">
        <f t="shared" si="9"/>
        <v>0.78795622312556446</v>
      </c>
      <c r="H41" s="17">
        <f t="shared" si="8"/>
        <v>-6.2823850440681506E-2</v>
      </c>
      <c r="I41" s="247"/>
      <c r="J41" s="17"/>
      <c r="K41" s="17"/>
      <c r="L41" s="17"/>
      <c r="M41" s="17"/>
      <c r="N41" s="17"/>
      <c r="O41" s="5"/>
      <c r="Q41" s="5"/>
      <c r="R41" s="5"/>
      <c r="S41" s="42"/>
      <c r="T41" s="42"/>
      <c r="U41" s="42"/>
      <c r="V41" s="42"/>
      <c r="W41" s="288"/>
      <c r="X41" s="288"/>
      <c r="Y41" s="288"/>
      <c r="Z41" s="288"/>
      <c r="AA41" s="42"/>
    </row>
    <row r="42" spans="2:27">
      <c r="B42" s="5" t="s">
        <v>593</v>
      </c>
      <c r="C42" s="247"/>
      <c r="D42" s="529">
        <f>D18/D28</f>
        <v>0.86060760755837351</v>
      </c>
      <c r="E42" s="529">
        <f t="shared" ref="E42:G42" si="10">E18/E28</f>
        <v>0.72442786263816039</v>
      </c>
      <c r="F42" s="529">
        <f t="shared" si="10"/>
        <v>0.60057500222676008</v>
      </c>
      <c r="G42" s="529">
        <f t="shared" si="10"/>
        <v>0.45568987965005908</v>
      </c>
      <c r="H42" s="17">
        <f t="shared" si="8"/>
        <v>-4.4331899500845706E-3</v>
      </c>
      <c r="I42" s="248"/>
      <c r="J42" s="5"/>
      <c r="K42" s="5"/>
      <c r="L42" s="5"/>
      <c r="M42" s="5"/>
      <c r="N42" s="5"/>
      <c r="O42" s="5"/>
      <c r="Q42" s="5"/>
      <c r="R42" s="5"/>
      <c r="S42" s="42"/>
      <c r="T42" s="42"/>
      <c r="U42" s="42"/>
      <c r="V42" s="42"/>
      <c r="W42" s="288"/>
      <c r="X42" s="288"/>
      <c r="Y42" s="288"/>
      <c r="Z42" s="288"/>
      <c r="AA42" s="42"/>
    </row>
    <row r="43" spans="2:27">
      <c r="B43" s="5" t="s">
        <v>475</v>
      </c>
      <c r="C43" s="247"/>
      <c r="D43" s="529">
        <f>L26/D29</f>
        <v>-13.342856524437323</v>
      </c>
      <c r="E43" s="529">
        <f>M26/E29</f>
        <v>-35.814836068642293</v>
      </c>
      <c r="F43" s="529">
        <f>N26/F29</f>
        <v>-55.158480774636061</v>
      </c>
      <c r="G43" s="529">
        <f>O26/G29</f>
        <v>13.602337053870395</v>
      </c>
      <c r="H43" s="17">
        <f t="shared" si="8"/>
        <v>-2.0491954199450886</v>
      </c>
      <c r="I43" s="247"/>
      <c r="J43" s="247"/>
      <c r="K43" s="247"/>
      <c r="L43" s="247"/>
      <c r="M43" s="247"/>
      <c r="N43" s="247"/>
      <c r="O43" s="18"/>
      <c r="Q43" s="5"/>
      <c r="R43" s="5"/>
      <c r="S43" s="42"/>
      <c r="T43" s="42"/>
      <c r="U43" s="42"/>
      <c r="V43" s="42"/>
      <c r="W43" s="288"/>
      <c r="X43" s="288"/>
      <c r="Y43" s="288"/>
      <c r="Z43" s="288"/>
      <c r="AA43" s="42"/>
    </row>
    <row r="44" spans="2:27">
      <c r="B44" s="5" t="s">
        <v>533</v>
      </c>
      <c r="C44" s="69"/>
      <c r="D44" s="529">
        <f>D11/D30</f>
        <v>83.668584631030271</v>
      </c>
      <c r="E44" s="529">
        <f>E11/E30</f>
        <v>79.125343981616027</v>
      </c>
      <c r="F44" s="529">
        <f>F11/F30</f>
        <v>63.652248854327446</v>
      </c>
      <c r="G44" s="529">
        <f>G11/G30</f>
        <v>44.174909402581143</v>
      </c>
      <c r="H44" s="17">
        <f t="shared" si="8"/>
        <v>0.24334155804344371</v>
      </c>
      <c r="I44" s="247"/>
      <c r="J44" s="248"/>
      <c r="K44" s="248"/>
      <c r="L44" s="248"/>
      <c r="M44" s="248"/>
      <c r="N44" s="248"/>
      <c r="O44" s="248"/>
      <c r="Q44" s="5"/>
      <c r="R44" s="5"/>
      <c r="S44" s="42"/>
      <c r="T44" s="42"/>
      <c r="U44" s="42"/>
      <c r="V44" s="42"/>
      <c r="W44" s="325"/>
      <c r="X44" s="325"/>
      <c r="Y44" s="288"/>
      <c r="Z44" s="288"/>
      <c r="AA44" s="42"/>
    </row>
    <row r="45" spans="2:27">
      <c r="B45" s="5" t="s">
        <v>580</v>
      </c>
      <c r="C45" s="247"/>
      <c r="D45" s="248">
        <f>D31/D11</f>
        <v>3.2854209445585217E-2</v>
      </c>
      <c r="E45" s="248">
        <f>E31/E11</f>
        <v>3.4223134839151265E-2</v>
      </c>
      <c r="F45" s="248">
        <f>F31/F11</f>
        <v>3.5592060232717319E-2</v>
      </c>
      <c r="G45" s="248">
        <f>G31/G11</f>
        <v>3.6960985626283367E-2</v>
      </c>
      <c r="H45" s="17">
        <f t="shared" si="8"/>
        <v>4.515099693149871E-2</v>
      </c>
      <c r="I45" s="248"/>
      <c r="J45" s="247"/>
      <c r="K45" s="247"/>
      <c r="L45" s="247"/>
      <c r="M45" s="247"/>
      <c r="N45" s="247"/>
      <c r="O45" s="248"/>
      <c r="Q45" s="5"/>
      <c r="R45" s="5"/>
      <c r="S45" s="42"/>
      <c r="T45" s="42"/>
      <c r="U45" s="42"/>
      <c r="V45" s="42"/>
      <c r="W45" s="42"/>
      <c r="X45" s="42"/>
      <c r="Y45" s="325"/>
      <c r="Z45" s="325"/>
      <c r="AA45" s="42"/>
    </row>
    <row r="46" spans="2:27">
      <c r="B46" s="5" t="s">
        <v>605</v>
      </c>
      <c r="C46" s="247"/>
      <c r="D46" s="248">
        <f>(D31+D32)/D11</f>
        <v>4.4725266771880594E-2</v>
      </c>
      <c r="E46" s="248">
        <f>(E31+E32)/E11</f>
        <v>3.8349874282554083E-2</v>
      </c>
      <c r="F46" s="248">
        <f>(F31+F32)/F11</f>
        <v>3.9631709888687874E-2</v>
      </c>
      <c r="G46" s="248">
        <f>(G31+G32)/G11</f>
        <v>4.0914392793692404E-2</v>
      </c>
      <c r="H46" s="279">
        <f>((G31+G32)/(D31+D32))^(1/3)-1</f>
        <v>-2.4480574626428719E-2</v>
      </c>
      <c r="I46" s="247"/>
      <c r="J46" s="247"/>
      <c r="K46" s="247"/>
      <c r="L46" s="247"/>
      <c r="M46" s="247"/>
      <c r="N46" s="247"/>
      <c r="O46" s="18"/>
      <c r="Q46" s="5"/>
      <c r="R46" s="5"/>
      <c r="S46" s="42"/>
      <c r="T46" s="42"/>
      <c r="U46" s="42"/>
      <c r="V46" s="42"/>
      <c r="W46" s="42"/>
      <c r="X46" s="42"/>
      <c r="Y46" s="42"/>
      <c r="Z46" s="42"/>
      <c r="AA46" s="326"/>
    </row>
    <row r="47" spans="2:27">
      <c r="B47" s="5" t="s">
        <v>581</v>
      </c>
      <c r="C47" s="5"/>
      <c r="D47" s="248">
        <f>1/D43</f>
        <v>-7.4946470283069361E-2</v>
      </c>
      <c r="E47" s="248">
        <f>1/E43</f>
        <v>-2.7921389842003236E-2</v>
      </c>
      <c r="F47" s="248">
        <f>1/F43</f>
        <v>-1.8129578370473132E-2</v>
      </c>
      <c r="G47" s="248">
        <f>1/G43</f>
        <v>7.3516778480023109E-2</v>
      </c>
      <c r="H47" s="17">
        <f>H29</f>
        <v>-2.0491954199450886</v>
      </c>
      <c r="I47" s="17"/>
      <c r="J47" s="248"/>
      <c r="K47" s="248"/>
      <c r="L47" s="248"/>
      <c r="M47" s="248"/>
      <c r="N47" s="248"/>
      <c r="O47" s="248"/>
      <c r="Q47" s="5"/>
      <c r="R47" s="5"/>
      <c r="S47" s="42"/>
      <c r="T47" s="42"/>
      <c r="U47" s="42"/>
      <c r="V47" s="42"/>
      <c r="W47" s="42"/>
      <c r="X47" s="42"/>
      <c r="Y47" s="42"/>
      <c r="Z47" s="42"/>
      <c r="AA47" s="326"/>
    </row>
    <row r="48" spans="2:27">
      <c r="B48" s="5" t="s">
        <v>618</v>
      </c>
      <c r="C48" s="5"/>
      <c r="D48" s="305">
        <f>D31/D29</f>
        <v>-0.47122321230184228</v>
      </c>
      <c r="E48" s="305">
        <f>E31/E29</f>
        <v>-1.2599190988583948</v>
      </c>
      <c r="F48" s="305">
        <f>F31/F29</f>
        <v>-1.998796030308744</v>
      </c>
      <c r="G48" s="305">
        <f>G31/G29</f>
        <v>0.46579479870568202</v>
      </c>
      <c r="H48" s="279" t="s">
        <v>607</v>
      </c>
      <c r="I48" s="247"/>
      <c r="J48" s="247"/>
      <c r="K48" s="247"/>
      <c r="L48" s="247"/>
      <c r="M48" s="247"/>
      <c r="N48" s="247"/>
      <c r="O48" s="248"/>
      <c r="Q48" s="5"/>
      <c r="R48" s="5"/>
      <c r="S48" s="42"/>
      <c r="T48" s="42"/>
      <c r="U48" s="42"/>
      <c r="V48" s="42"/>
      <c r="W48" s="42"/>
      <c r="X48" s="42"/>
      <c r="Y48" s="42"/>
      <c r="Z48" s="42"/>
      <c r="AA48" s="326"/>
    </row>
    <row r="49" spans="2:27">
      <c r="B49" s="41"/>
      <c r="C49" s="17"/>
      <c r="D49" s="17"/>
      <c r="E49" s="17"/>
      <c r="F49" s="17"/>
      <c r="G49" s="17"/>
      <c r="H49" s="17"/>
      <c r="I49" s="254"/>
      <c r="J49" s="17"/>
      <c r="K49" s="17"/>
      <c r="L49" s="17"/>
      <c r="M49" s="17"/>
      <c r="N49" s="17"/>
      <c r="O49" s="248"/>
      <c r="Q49" s="5"/>
      <c r="R49" s="5"/>
      <c r="S49" s="42"/>
      <c r="T49" s="42"/>
      <c r="U49" s="42"/>
      <c r="V49" s="42"/>
      <c r="W49" s="42"/>
      <c r="X49" s="42"/>
      <c r="Y49" s="42"/>
      <c r="Z49" s="42"/>
      <c r="AA49" s="326"/>
    </row>
    <row r="50" spans="2:27">
      <c r="B50" s="5"/>
      <c r="C50" s="257"/>
      <c r="D50" s="257"/>
      <c r="E50" s="257"/>
      <c r="F50" s="5"/>
      <c r="G50" s="41"/>
      <c r="H50" s="249"/>
      <c r="I50" s="17"/>
      <c r="J50" s="249"/>
      <c r="K50" s="249"/>
      <c r="L50" s="249"/>
      <c r="M50" s="249"/>
      <c r="N50" s="249"/>
      <c r="O50" s="250"/>
      <c r="Q50" s="5"/>
      <c r="R50" s="5"/>
      <c r="S50" s="42"/>
      <c r="T50" s="42"/>
      <c r="U50" s="42"/>
      <c r="V50" s="42"/>
      <c r="W50" s="288"/>
      <c r="X50" s="288"/>
      <c r="Y50" s="42"/>
      <c r="Z50" s="42"/>
      <c r="AA50" s="326"/>
    </row>
    <row r="51" spans="2:27">
      <c r="B51" s="41"/>
      <c r="C51" s="249"/>
      <c r="D51" s="254"/>
      <c r="E51" s="254"/>
      <c r="F51" s="254"/>
      <c r="G51" s="254"/>
      <c r="H51" s="254"/>
      <c r="I51" s="259"/>
      <c r="J51" s="254"/>
      <c r="K51" s="254"/>
      <c r="L51" s="254"/>
      <c r="M51" s="254"/>
      <c r="N51" s="254"/>
      <c r="O51" s="251"/>
      <c r="Q51" s="5"/>
      <c r="R51" s="5"/>
      <c r="S51" s="42"/>
      <c r="T51" s="42"/>
      <c r="U51" s="42"/>
      <c r="V51" s="42"/>
      <c r="W51" s="288"/>
      <c r="X51" s="288"/>
      <c r="Y51" s="288"/>
      <c r="Z51" s="288"/>
      <c r="AA51" s="42"/>
    </row>
    <row r="52" spans="2:27">
      <c r="B52" s="5"/>
      <c r="C52" s="257"/>
      <c r="D52" s="17"/>
      <c r="E52" s="17"/>
      <c r="F52" s="17"/>
      <c r="G52" s="17"/>
      <c r="H52" s="17"/>
      <c r="I52" s="254"/>
      <c r="J52" s="17"/>
      <c r="K52" s="17"/>
      <c r="L52" s="17"/>
      <c r="M52" s="17"/>
      <c r="N52" s="17"/>
      <c r="O52" s="248"/>
      <c r="Q52" s="5"/>
      <c r="R52" s="5"/>
      <c r="S52" s="5"/>
      <c r="Y52" s="10"/>
      <c r="Z52" s="10"/>
    </row>
    <row r="53" spans="2:27">
      <c r="B53" s="5"/>
      <c r="C53" s="257"/>
      <c r="D53" s="257"/>
      <c r="E53" s="257"/>
      <c r="F53" s="5"/>
      <c r="G53" s="5"/>
      <c r="H53" s="259"/>
      <c r="I53" s="17"/>
      <c r="J53" s="259"/>
      <c r="K53" s="259"/>
      <c r="L53" s="259"/>
      <c r="M53" s="259"/>
      <c r="N53" s="259"/>
      <c r="O53" s="18"/>
      <c r="Q53" s="5"/>
      <c r="R53" s="5"/>
      <c r="S53" s="5"/>
    </row>
    <row r="54" spans="2:27">
      <c r="B54" s="41"/>
      <c r="C54" s="249"/>
      <c r="D54" s="254"/>
      <c r="E54" s="254"/>
      <c r="F54" s="254"/>
      <c r="G54" s="254"/>
      <c r="H54" s="254"/>
      <c r="I54" s="259"/>
      <c r="J54" s="254"/>
      <c r="K54" s="254"/>
      <c r="L54" s="254"/>
      <c r="M54" s="254"/>
      <c r="N54" s="254"/>
      <c r="O54" s="251"/>
      <c r="Q54" s="5"/>
      <c r="R54" s="5"/>
      <c r="S54" s="5"/>
    </row>
    <row r="55" spans="2:27">
      <c r="B55" s="5"/>
      <c r="C55" s="257"/>
      <c r="D55" s="17"/>
      <c r="E55" s="17"/>
      <c r="F55" s="17"/>
      <c r="G55" s="17"/>
      <c r="H55" s="17"/>
      <c r="I55" s="249"/>
      <c r="J55" s="17"/>
      <c r="K55" s="17"/>
      <c r="L55" s="17"/>
      <c r="M55" s="17"/>
      <c r="N55" s="17"/>
      <c r="O55" s="18"/>
      <c r="Q55" s="5"/>
      <c r="R55" s="5"/>
      <c r="S55" s="5"/>
    </row>
    <row r="56" spans="2:27">
      <c r="B56" s="5"/>
      <c r="C56" s="248"/>
      <c r="D56" s="248"/>
      <c r="E56" s="248"/>
      <c r="F56" s="5"/>
      <c r="G56" s="5"/>
      <c r="H56" s="259"/>
      <c r="I56" s="248"/>
      <c r="J56" s="259"/>
      <c r="K56" s="259"/>
      <c r="L56" s="259"/>
      <c r="M56" s="259"/>
      <c r="N56" s="259"/>
      <c r="O56" s="18"/>
      <c r="Q56" s="5"/>
      <c r="R56" s="5"/>
      <c r="S56" s="5"/>
    </row>
    <row r="57" spans="2:27">
      <c r="B57" s="41"/>
      <c r="C57" s="249"/>
      <c r="D57" s="249"/>
      <c r="E57" s="249"/>
      <c r="F57" s="249"/>
      <c r="G57" s="249"/>
      <c r="H57" s="249"/>
      <c r="I57" s="5"/>
      <c r="J57" s="249"/>
      <c r="K57" s="249"/>
      <c r="L57" s="249"/>
      <c r="M57" s="249"/>
      <c r="N57" s="249"/>
      <c r="O57" s="251"/>
      <c r="Q57" s="5"/>
      <c r="R57" s="5"/>
      <c r="S57" s="5"/>
    </row>
    <row r="58" spans="2:27">
      <c r="B58" s="5"/>
      <c r="C58" s="5"/>
      <c r="D58" s="248"/>
      <c r="E58" s="248"/>
      <c r="F58" s="248"/>
      <c r="G58" s="248"/>
      <c r="H58" s="248"/>
      <c r="I58" s="17"/>
      <c r="J58" s="248"/>
      <c r="K58" s="248"/>
      <c r="L58" s="248"/>
      <c r="M58" s="248"/>
      <c r="N58" s="248"/>
      <c r="O58" s="18"/>
      <c r="Q58" s="5"/>
      <c r="R58" s="5"/>
      <c r="S58" s="5"/>
    </row>
    <row r="59" spans="2:27">
      <c r="B59" s="5"/>
      <c r="C59" s="5"/>
      <c r="D59" s="5"/>
      <c r="E59" s="5"/>
      <c r="F59" s="5"/>
      <c r="G59" s="5"/>
      <c r="H59" s="5"/>
      <c r="I59" s="5"/>
      <c r="J59" s="5"/>
      <c r="K59" s="5"/>
      <c r="L59" s="5"/>
      <c r="M59" s="5"/>
      <c r="N59" s="5"/>
      <c r="O59" s="5"/>
      <c r="Q59" s="5"/>
      <c r="R59" s="5"/>
      <c r="S59" s="5"/>
    </row>
    <row r="60" spans="2:27">
      <c r="B60" s="41"/>
      <c r="C60" s="17"/>
      <c r="D60" s="17"/>
      <c r="E60" s="17"/>
      <c r="F60" s="17"/>
      <c r="G60" s="17"/>
      <c r="H60" s="17"/>
      <c r="I60" s="249"/>
      <c r="J60" s="17"/>
      <c r="K60" s="17"/>
      <c r="L60" s="17"/>
      <c r="M60" s="17"/>
      <c r="N60" s="17"/>
      <c r="O60" s="251"/>
      <c r="Q60" s="5"/>
      <c r="R60" s="5"/>
      <c r="S60" s="5"/>
    </row>
    <row r="61" spans="2:27">
      <c r="B61" s="5"/>
      <c r="C61" s="5"/>
      <c r="D61" s="5"/>
      <c r="E61" s="5"/>
      <c r="F61" s="5"/>
      <c r="G61" s="5"/>
      <c r="H61" s="5"/>
      <c r="I61" s="5"/>
      <c r="J61" s="5"/>
      <c r="K61" s="5"/>
      <c r="L61" s="5"/>
      <c r="M61" s="5"/>
      <c r="N61" s="5"/>
      <c r="O61" s="5"/>
      <c r="Q61" s="41"/>
      <c r="R61" s="5"/>
      <c r="S61" s="5"/>
    </row>
    <row r="62" spans="2:27">
      <c r="B62" s="41"/>
      <c r="C62" s="249"/>
      <c r="D62" s="249"/>
      <c r="E62" s="249"/>
      <c r="F62" s="249"/>
      <c r="G62" s="249"/>
      <c r="H62" s="249"/>
      <c r="I62" s="5"/>
      <c r="J62" s="249"/>
      <c r="K62" s="249"/>
      <c r="L62" s="249"/>
      <c r="M62" s="249"/>
      <c r="N62" s="249"/>
      <c r="O62" s="251"/>
      <c r="Q62" s="5"/>
      <c r="R62" s="5"/>
      <c r="S62" s="5"/>
    </row>
    <row r="63" spans="2:27">
      <c r="B63" s="5"/>
      <c r="C63" s="5"/>
      <c r="D63" s="5"/>
      <c r="E63" s="5"/>
      <c r="F63" s="5"/>
      <c r="G63" s="5"/>
      <c r="H63" s="5"/>
      <c r="I63" s="254"/>
      <c r="J63" s="5"/>
      <c r="K63" s="5"/>
      <c r="L63" s="5"/>
      <c r="M63" s="5"/>
      <c r="N63" s="5"/>
      <c r="O63" s="5"/>
      <c r="Q63" s="5"/>
      <c r="R63" s="5"/>
      <c r="S63" s="5"/>
    </row>
    <row r="64" spans="2:27">
      <c r="B64" s="5"/>
      <c r="C64" s="5"/>
      <c r="D64" s="5"/>
      <c r="E64" s="5"/>
      <c r="F64" s="5"/>
      <c r="G64" s="5"/>
      <c r="H64" s="5"/>
      <c r="I64" s="17"/>
      <c r="J64" s="5"/>
      <c r="K64" s="5"/>
      <c r="L64" s="5"/>
      <c r="M64" s="5"/>
      <c r="N64" s="5"/>
      <c r="O64" s="5"/>
      <c r="Q64" s="5"/>
      <c r="R64" s="5"/>
      <c r="S64" s="5"/>
    </row>
    <row r="65" spans="2:26">
      <c r="B65" s="41"/>
      <c r="C65" s="249"/>
      <c r="D65" s="254"/>
      <c r="E65" s="254"/>
      <c r="F65" s="254"/>
      <c r="G65" s="254"/>
      <c r="H65" s="254"/>
      <c r="I65" s="254"/>
      <c r="J65" s="254"/>
      <c r="K65" s="254"/>
      <c r="L65" s="254"/>
      <c r="M65" s="254"/>
      <c r="N65" s="254"/>
      <c r="O65" s="251"/>
      <c r="Q65" s="5"/>
      <c r="R65" s="5"/>
      <c r="S65" s="5"/>
    </row>
    <row r="66" spans="2:26">
      <c r="B66" s="5"/>
      <c r="C66" s="5"/>
      <c r="D66" s="17"/>
      <c r="E66" s="17"/>
      <c r="F66" s="17"/>
      <c r="G66" s="17"/>
      <c r="H66" s="17"/>
      <c r="I66" s="248"/>
      <c r="J66" s="17"/>
      <c r="K66" s="17"/>
      <c r="L66" s="17"/>
      <c r="M66" s="17"/>
      <c r="N66" s="17"/>
      <c r="O66" s="5"/>
      <c r="Q66" s="5"/>
      <c r="R66" s="5"/>
      <c r="S66" s="5"/>
    </row>
    <row r="67" spans="2:26">
      <c r="B67" s="41"/>
      <c r="C67" s="249"/>
      <c r="D67" s="254"/>
      <c r="E67" s="254"/>
      <c r="F67" s="254"/>
      <c r="G67" s="254"/>
      <c r="H67" s="254"/>
      <c r="I67" s="5"/>
      <c r="J67" s="254"/>
      <c r="K67" s="254"/>
      <c r="L67" s="254"/>
      <c r="M67" s="254"/>
      <c r="N67" s="254"/>
      <c r="O67" s="251"/>
      <c r="Q67" s="41"/>
      <c r="R67" s="5"/>
      <c r="S67" s="5"/>
    </row>
    <row r="68" spans="2:26">
      <c r="B68" s="5"/>
      <c r="C68" s="5"/>
      <c r="D68" s="248"/>
      <c r="E68" s="248"/>
      <c r="F68" s="248"/>
      <c r="G68" s="248"/>
      <c r="H68" s="248"/>
      <c r="I68" s="245"/>
      <c r="J68" s="248"/>
      <c r="K68" s="248"/>
      <c r="L68" s="248"/>
      <c r="M68" s="248"/>
      <c r="N68" s="248"/>
      <c r="O68" s="5"/>
      <c r="Q68" s="5"/>
      <c r="R68" s="5"/>
      <c r="S68" s="5"/>
    </row>
    <row r="69" spans="2:26">
      <c r="B69" s="41"/>
      <c r="C69" s="5"/>
      <c r="D69" s="5"/>
      <c r="E69" s="5"/>
      <c r="F69" s="5"/>
      <c r="G69" s="5"/>
      <c r="H69" s="5"/>
      <c r="I69" s="248"/>
      <c r="J69" s="5"/>
      <c r="K69" s="5"/>
      <c r="L69" s="5"/>
      <c r="M69" s="5"/>
      <c r="N69" s="5"/>
      <c r="O69" s="5"/>
      <c r="Q69" s="5"/>
      <c r="R69" s="5"/>
      <c r="S69" s="5"/>
    </row>
    <row r="70" spans="2:26">
      <c r="B70" s="41"/>
      <c r="C70" s="245"/>
      <c r="D70" s="245"/>
      <c r="E70" s="245"/>
      <c r="F70" s="245"/>
      <c r="G70" s="245"/>
      <c r="H70" s="245"/>
      <c r="I70" s="5"/>
      <c r="J70" s="245"/>
      <c r="K70" s="245"/>
      <c r="L70" s="245"/>
      <c r="M70" s="245"/>
      <c r="N70" s="245"/>
      <c r="O70" s="251"/>
      <c r="Q70" s="5"/>
      <c r="R70" s="5"/>
      <c r="S70" s="5"/>
      <c r="W70" s="76"/>
      <c r="X70" s="76"/>
    </row>
    <row r="71" spans="2:26">
      <c r="B71" s="5"/>
      <c r="C71" s="5"/>
      <c r="D71" s="248"/>
      <c r="E71" s="248"/>
      <c r="F71" s="248"/>
      <c r="G71" s="248"/>
      <c r="H71" s="248"/>
      <c r="I71" s="245"/>
      <c r="J71" s="248"/>
      <c r="K71" s="248"/>
      <c r="L71" s="248"/>
      <c r="M71" s="248"/>
      <c r="N71" s="248"/>
      <c r="O71" s="5"/>
      <c r="Q71" s="5"/>
      <c r="R71" s="5"/>
      <c r="S71" s="5"/>
      <c r="W71" s="76"/>
      <c r="X71" s="76"/>
      <c r="Y71" s="76"/>
      <c r="Z71" s="76"/>
    </row>
    <row r="72" spans="2:26">
      <c r="B72" s="41"/>
      <c r="C72" s="5"/>
      <c r="D72" s="5"/>
      <c r="E72" s="5"/>
      <c r="F72" s="5"/>
      <c r="G72" s="5"/>
      <c r="H72" s="5"/>
      <c r="I72" s="18"/>
      <c r="J72" s="5"/>
      <c r="K72" s="5"/>
      <c r="L72" s="5"/>
      <c r="M72" s="5"/>
      <c r="N72" s="5"/>
      <c r="O72" s="5"/>
      <c r="Q72" s="5"/>
      <c r="R72" s="5"/>
      <c r="S72" s="5"/>
      <c r="Y72" s="76"/>
      <c r="Z72" s="76"/>
    </row>
    <row r="73" spans="2:26">
      <c r="B73" s="41"/>
      <c r="C73" s="245"/>
      <c r="D73" s="245"/>
      <c r="E73" s="245"/>
      <c r="F73" s="245"/>
      <c r="G73" s="245"/>
      <c r="H73" s="245"/>
      <c r="I73" s="5"/>
      <c r="J73" s="245"/>
      <c r="K73" s="245"/>
      <c r="L73" s="245"/>
      <c r="M73" s="245"/>
      <c r="N73" s="245"/>
      <c r="O73" s="251"/>
      <c r="Q73" s="5"/>
      <c r="R73" s="5"/>
      <c r="S73" s="5"/>
    </row>
    <row r="74" spans="2:26">
      <c r="B74" s="5"/>
      <c r="C74" s="5"/>
      <c r="D74" s="18"/>
      <c r="E74" s="18"/>
      <c r="F74" s="18"/>
      <c r="G74" s="18"/>
      <c r="H74" s="18"/>
      <c r="I74" s="249"/>
      <c r="J74" s="18"/>
      <c r="K74" s="18"/>
      <c r="L74" s="18"/>
      <c r="M74" s="18"/>
      <c r="N74" s="18"/>
      <c r="O74" s="5"/>
      <c r="Q74" s="5"/>
      <c r="R74" s="5"/>
      <c r="S74" s="5"/>
    </row>
    <row r="75" spans="2:26">
      <c r="B75" s="41"/>
      <c r="C75" s="5"/>
      <c r="D75" s="5"/>
      <c r="E75" s="5"/>
      <c r="F75" s="5"/>
      <c r="G75" s="5"/>
      <c r="H75" s="5"/>
      <c r="I75" s="248"/>
      <c r="J75" s="5"/>
      <c r="K75" s="5"/>
      <c r="L75" s="5"/>
      <c r="M75" s="5"/>
      <c r="N75" s="5"/>
      <c r="O75" s="5"/>
      <c r="Q75" s="5"/>
      <c r="R75" s="5"/>
      <c r="S75" s="5"/>
    </row>
    <row r="76" spans="2:26">
      <c r="B76" s="41"/>
      <c r="C76" s="249"/>
      <c r="D76" s="249"/>
      <c r="E76" s="249"/>
      <c r="F76" s="249"/>
      <c r="G76" s="249"/>
      <c r="H76" s="249"/>
      <c r="I76" s="5"/>
      <c r="J76" s="249"/>
      <c r="K76" s="249"/>
      <c r="L76" s="249"/>
      <c r="M76" s="249"/>
      <c r="N76" s="249"/>
      <c r="O76" s="251"/>
      <c r="Q76" s="5"/>
      <c r="R76" s="5"/>
      <c r="S76" s="5"/>
    </row>
    <row r="77" spans="2:26">
      <c r="B77" s="5"/>
      <c r="C77" s="5"/>
      <c r="D77" s="248"/>
      <c r="E77" s="248"/>
      <c r="F77" s="248"/>
      <c r="G77" s="248"/>
      <c r="H77" s="248"/>
      <c r="I77" s="245"/>
      <c r="J77" s="248"/>
      <c r="K77" s="248"/>
      <c r="L77" s="248"/>
      <c r="M77" s="248"/>
      <c r="N77" s="248"/>
      <c r="O77" s="5"/>
      <c r="Q77" s="5"/>
      <c r="R77" s="5"/>
      <c r="S77" s="5"/>
    </row>
    <row r="78" spans="2:26">
      <c r="B78" s="41"/>
      <c r="C78" s="5"/>
      <c r="D78" s="5"/>
      <c r="E78" s="5"/>
      <c r="F78" s="5"/>
      <c r="G78" s="5"/>
      <c r="H78" s="5"/>
      <c r="I78" s="248"/>
      <c r="J78" s="5"/>
      <c r="K78" s="5"/>
      <c r="L78" s="5"/>
      <c r="M78" s="5"/>
      <c r="N78" s="5"/>
      <c r="O78" s="5"/>
      <c r="Q78" s="5"/>
      <c r="R78" s="5"/>
      <c r="S78" s="5"/>
    </row>
    <row r="79" spans="2:26">
      <c r="B79" s="41"/>
      <c r="C79" s="245"/>
      <c r="D79" s="245"/>
      <c r="E79" s="245"/>
      <c r="F79" s="245"/>
      <c r="G79" s="245"/>
      <c r="H79" s="245"/>
      <c r="I79" s="5"/>
      <c r="J79" s="245"/>
      <c r="K79" s="245"/>
      <c r="L79" s="245"/>
      <c r="M79" s="245"/>
      <c r="N79" s="245"/>
      <c r="O79" s="251"/>
      <c r="Q79" s="5"/>
      <c r="R79" s="5"/>
      <c r="S79" s="5"/>
    </row>
    <row r="80" spans="2:26">
      <c r="B80" s="5"/>
      <c r="C80" s="5"/>
      <c r="D80" s="248"/>
      <c r="E80" s="248"/>
      <c r="F80" s="248"/>
      <c r="G80" s="248"/>
      <c r="H80" s="248"/>
      <c r="I80" s="249"/>
      <c r="J80" s="248"/>
      <c r="K80" s="248"/>
      <c r="L80" s="248"/>
      <c r="M80" s="248"/>
      <c r="N80" s="248"/>
      <c r="O80" s="5"/>
      <c r="Q80" s="5"/>
      <c r="R80" s="5"/>
      <c r="S80" s="5"/>
    </row>
    <row r="81" spans="2:26">
      <c r="B81" s="41"/>
      <c r="C81" s="5"/>
      <c r="D81" s="5"/>
      <c r="E81" s="5"/>
      <c r="F81" s="5"/>
      <c r="G81" s="5"/>
      <c r="H81" s="5"/>
      <c r="I81" s="248"/>
      <c r="J81" s="5"/>
      <c r="K81" s="5"/>
      <c r="L81" s="5"/>
      <c r="M81" s="5"/>
      <c r="N81" s="5"/>
      <c r="O81" s="5"/>
      <c r="Q81" s="5"/>
      <c r="R81" s="5"/>
      <c r="S81" s="5"/>
    </row>
    <row r="82" spans="2:26">
      <c r="B82" s="41"/>
      <c r="C82" s="249"/>
      <c r="D82" s="249"/>
      <c r="E82" s="249"/>
      <c r="F82" s="249"/>
      <c r="G82" s="249"/>
      <c r="H82" s="249"/>
      <c r="I82" s="259"/>
      <c r="J82" s="249"/>
      <c r="K82" s="249"/>
      <c r="L82" s="249"/>
      <c r="M82" s="249"/>
      <c r="N82" s="249"/>
      <c r="O82" s="251"/>
      <c r="Q82" s="5"/>
      <c r="R82" s="5"/>
      <c r="S82" s="5"/>
    </row>
    <row r="83" spans="2:26">
      <c r="B83" s="5"/>
      <c r="C83" s="5"/>
      <c r="D83" s="248"/>
      <c r="E83" s="248"/>
      <c r="F83" s="248"/>
      <c r="G83" s="248"/>
      <c r="H83" s="248"/>
      <c r="I83" s="5"/>
      <c r="J83" s="248"/>
      <c r="K83" s="248"/>
      <c r="L83" s="248"/>
      <c r="M83" s="248"/>
      <c r="N83" s="248"/>
      <c r="O83" s="5"/>
      <c r="Q83" s="5"/>
      <c r="R83" s="5"/>
      <c r="S83" s="5"/>
    </row>
    <row r="84" spans="2:26">
      <c r="B84" s="5"/>
      <c r="C84" s="259"/>
      <c r="D84" s="259"/>
      <c r="E84" s="259"/>
      <c r="F84" s="259"/>
      <c r="G84" s="259"/>
      <c r="H84" s="259"/>
      <c r="I84" s="245"/>
      <c r="J84" s="259"/>
      <c r="K84" s="259"/>
      <c r="L84" s="259"/>
      <c r="M84" s="259"/>
      <c r="N84" s="259"/>
      <c r="O84" s="251"/>
      <c r="Q84" s="5"/>
      <c r="R84" s="5"/>
      <c r="S84" s="5"/>
    </row>
    <row r="85" spans="2:26">
      <c r="B85" s="41"/>
      <c r="C85" s="5"/>
      <c r="D85" s="5"/>
      <c r="E85" s="5"/>
      <c r="F85" s="5"/>
      <c r="G85" s="5"/>
      <c r="H85" s="5"/>
      <c r="I85" s="248"/>
      <c r="J85" s="5"/>
      <c r="K85" s="5"/>
      <c r="L85" s="5"/>
      <c r="M85" s="5"/>
      <c r="N85" s="5"/>
      <c r="O85" s="5"/>
      <c r="Q85" s="5"/>
      <c r="R85" s="5"/>
      <c r="S85" s="5"/>
    </row>
    <row r="86" spans="2:26">
      <c r="B86" s="41"/>
      <c r="C86" s="245"/>
      <c r="D86" s="245"/>
      <c r="E86" s="245"/>
      <c r="F86" s="245"/>
      <c r="G86" s="245"/>
      <c r="H86" s="245"/>
      <c r="I86" s="5"/>
      <c r="J86" s="245"/>
      <c r="K86" s="245"/>
      <c r="L86" s="245"/>
      <c r="M86" s="245"/>
      <c r="N86" s="245"/>
      <c r="O86" s="251"/>
      <c r="Q86" s="5"/>
      <c r="R86" s="5"/>
      <c r="S86" s="5"/>
    </row>
    <row r="87" spans="2:26">
      <c r="B87" s="5"/>
      <c r="C87" s="5"/>
      <c r="D87" s="248"/>
      <c r="E87" s="248"/>
      <c r="F87" s="248"/>
      <c r="G87" s="248"/>
      <c r="H87" s="248"/>
      <c r="I87" s="5"/>
      <c r="J87" s="248"/>
      <c r="K87" s="248"/>
      <c r="L87" s="248"/>
      <c r="M87" s="248"/>
      <c r="N87" s="248"/>
      <c r="O87" s="5"/>
      <c r="Q87" s="5"/>
      <c r="R87" s="5"/>
      <c r="S87" s="5"/>
    </row>
    <row r="88" spans="2:26">
      <c r="B88" s="41"/>
      <c r="C88" s="5"/>
      <c r="D88" s="5"/>
      <c r="E88" s="5"/>
      <c r="F88" s="5"/>
      <c r="G88" s="5"/>
      <c r="H88" s="5"/>
      <c r="I88" s="5"/>
      <c r="J88" s="5"/>
      <c r="K88" s="5"/>
      <c r="L88" s="5"/>
      <c r="M88" s="5"/>
      <c r="N88" s="5"/>
      <c r="O88" s="5"/>
      <c r="Q88" s="5"/>
      <c r="R88" s="5"/>
      <c r="S88" s="5"/>
    </row>
    <row r="89" spans="2:26">
      <c r="B89" s="41"/>
      <c r="C89" s="5"/>
      <c r="D89" s="5"/>
      <c r="E89" s="5"/>
      <c r="F89" s="5"/>
      <c r="G89" s="5"/>
      <c r="H89" s="5"/>
      <c r="I89" s="5"/>
      <c r="J89" s="5"/>
      <c r="K89" s="5"/>
      <c r="L89" s="5"/>
      <c r="M89" s="5"/>
      <c r="N89" s="5"/>
      <c r="O89" s="5"/>
      <c r="Q89" s="5"/>
      <c r="R89" s="5"/>
      <c r="S89" s="5"/>
    </row>
    <row r="90" spans="2:26">
      <c r="B90" s="41"/>
      <c r="C90" s="5"/>
      <c r="D90" s="5"/>
      <c r="E90" s="5"/>
      <c r="F90" s="5"/>
      <c r="G90" s="5"/>
      <c r="H90" s="5"/>
      <c r="I90" s="49"/>
      <c r="J90" s="5"/>
      <c r="K90" s="5"/>
      <c r="L90" s="5"/>
      <c r="M90" s="5"/>
      <c r="N90" s="5"/>
      <c r="O90" s="5"/>
      <c r="Q90" s="41"/>
      <c r="R90" s="5"/>
      <c r="S90" s="5"/>
    </row>
    <row r="91" spans="2:26">
      <c r="B91" s="5"/>
      <c r="C91" s="5"/>
      <c r="D91" s="5"/>
      <c r="E91" s="5"/>
      <c r="F91" s="5"/>
      <c r="G91" s="5"/>
      <c r="H91" s="5"/>
      <c r="I91" s="5"/>
      <c r="J91" s="5"/>
      <c r="K91" s="5"/>
      <c r="L91" s="5"/>
      <c r="M91" s="5"/>
      <c r="N91" s="5"/>
      <c r="O91" s="5"/>
      <c r="Q91" s="5"/>
      <c r="R91" s="5"/>
      <c r="S91" s="5"/>
    </row>
    <row r="92" spans="2:26">
      <c r="B92" s="41"/>
      <c r="C92" s="49"/>
      <c r="D92" s="49"/>
      <c r="E92" s="49"/>
      <c r="F92" s="49"/>
      <c r="G92" s="49"/>
      <c r="H92" s="49"/>
      <c r="I92" s="247"/>
      <c r="J92" s="49"/>
      <c r="K92" s="49"/>
      <c r="L92" s="49"/>
      <c r="M92" s="49"/>
      <c r="N92" s="49"/>
      <c r="O92" s="49"/>
      <c r="Q92" s="5"/>
      <c r="R92" s="5"/>
      <c r="S92" s="5"/>
      <c r="W92" s="21"/>
      <c r="X92" s="21"/>
    </row>
    <row r="93" spans="2:26">
      <c r="B93" s="5"/>
      <c r="C93" s="5"/>
      <c r="D93" s="5"/>
      <c r="E93" s="5"/>
      <c r="F93" s="5"/>
      <c r="G93" s="5"/>
      <c r="H93" s="5"/>
      <c r="I93" s="247"/>
      <c r="J93" s="5"/>
      <c r="K93" s="5"/>
      <c r="L93" s="5"/>
      <c r="M93" s="5"/>
      <c r="N93" s="5"/>
      <c r="O93" s="5"/>
      <c r="Q93" s="5"/>
      <c r="R93" s="5"/>
      <c r="S93" s="5"/>
      <c r="W93" s="21"/>
      <c r="X93" s="21"/>
      <c r="Y93" s="21"/>
      <c r="Z93" s="21"/>
    </row>
    <row r="94" spans="2:26">
      <c r="B94" s="5"/>
      <c r="C94" s="259"/>
      <c r="D94" s="247"/>
      <c r="E94" s="247"/>
      <c r="F94" s="247"/>
      <c r="G94" s="247"/>
      <c r="H94" s="247"/>
      <c r="I94" s="247"/>
      <c r="J94" s="247"/>
      <c r="K94" s="247"/>
      <c r="L94" s="247"/>
      <c r="M94" s="247"/>
      <c r="N94" s="247"/>
      <c r="O94" s="248"/>
      <c r="Q94" s="5"/>
      <c r="R94" s="5"/>
      <c r="S94" s="5"/>
      <c r="Y94" s="21"/>
      <c r="Z94" s="21"/>
    </row>
    <row r="95" spans="2:26">
      <c r="B95" s="5"/>
      <c r="C95" s="259"/>
      <c r="D95" s="247"/>
      <c r="E95" s="247"/>
      <c r="F95" s="247"/>
      <c r="G95" s="247"/>
      <c r="H95" s="247"/>
      <c r="I95" s="248"/>
      <c r="J95" s="247"/>
      <c r="K95" s="247"/>
      <c r="L95" s="247"/>
      <c r="M95" s="247"/>
      <c r="N95" s="247"/>
      <c r="O95" s="248"/>
      <c r="Q95" s="5"/>
      <c r="R95" s="5"/>
      <c r="S95" s="5"/>
    </row>
    <row r="96" spans="2:26">
      <c r="B96" s="5"/>
      <c r="C96" s="259"/>
      <c r="D96" s="247"/>
      <c r="E96" s="247"/>
      <c r="F96" s="247"/>
      <c r="G96" s="247"/>
      <c r="H96" s="247"/>
      <c r="I96" s="247"/>
      <c r="J96" s="247"/>
      <c r="K96" s="247"/>
      <c r="L96" s="247"/>
      <c r="M96" s="247"/>
      <c r="N96" s="247"/>
      <c r="O96" s="248"/>
      <c r="Q96" s="5"/>
      <c r="R96" s="5"/>
      <c r="S96" s="5"/>
    </row>
    <row r="97" spans="2:19">
      <c r="B97" s="5"/>
      <c r="C97" s="259"/>
      <c r="D97" s="248"/>
      <c r="E97" s="248"/>
      <c r="F97" s="248"/>
      <c r="G97" s="248"/>
      <c r="H97" s="248"/>
      <c r="I97" s="249"/>
      <c r="J97" s="248"/>
      <c r="K97" s="248"/>
      <c r="L97" s="248"/>
      <c r="M97" s="248"/>
      <c r="N97" s="248"/>
      <c r="O97" s="248"/>
      <c r="Q97" s="5"/>
      <c r="R97" s="5"/>
      <c r="S97" s="5"/>
    </row>
    <row r="98" spans="2:19">
      <c r="B98" s="5"/>
      <c r="C98" s="259"/>
      <c r="D98" s="247"/>
      <c r="E98" s="247"/>
      <c r="F98" s="247"/>
      <c r="G98" s="247"/>
      <c r="H98" s="247"/>
      <c r="I98" s="248"/>
      <c r="J98" s="247"/>
      <c r="K98" s="247"/>
      <c r="L98" s="247"/>
      <c r="M98" s="247"/>
      <c r="N98" s="247"/>
      <c r="O98" s="248"/>
      <c r="Q98" s="5"/>
      <c r="R98" s="5"/>
      <c r="S98" s="5"/>
    </row>
    <row r="99" spans="2:19">
      <c r="B99" s="41"/>
      <c r="C99" s="249"/>
      <c r="D99" s="249"/>
      <c r="E99" s="249"/>
      <c r="F99" s="249"/>
      <c r="G99" s="249"/>
      <c r="H99" s="249"/>
      <c r="I99" s="5"/>
      <c r="J99" s="249"/>
      <c r="K99" s="249"/>
      <c r="L99" s="249"/>
      <c r="M99" s="249"/>
      <c r="N99" s="249"/>
      <c r="O99" s="248"/>
      <c r="Q99" s="5"/>
      <c r="R99" s="5"/>
      <c r="S99" s="5"/>
    </row>
    <row r="100" spans="2:19">
      <c r="B100" s="41"/>
      <c r="C100" s="257"/>
      <c r="D100" s="248"/>
      <c r="E100" s="248"/>
      <c r="F100" s="248"/>
      <c r="G100" s="248"/>
      <c r="H100" s="248"/>
      <c r="I100" s="259"/>
      <c r="J100" s="248"/>
      <c r="K100" s="248"/>
      <c r="L100" s="248"/>
      <c r="M100" s="248"/>
      <c r="N100" s="248"/>
      <c r="O100" s="248"/>
      <c r="Q100" s="5"/>
      <c r="R100" s="5"/>
      <c r="S100" s="5"/>
    </row>
    <row r="101" spans="2:19" s="5" customFormat="1">
      <c r="B101" s="41"/>
      <c r="I101" s="259"/>
      <c r="O101" s="248"/>
      <c r="P101" s="39"/>
    </row>
    <row r="102" spans="2:19">
      <c r="B102" s="5"/>
      <c r="C102" s="259"/>
      <c r="D102" s="259"/>
      <c r="E102" s="259"/>
      <c r="F102" s="259"/>
      <c r="G102" s="259"/>
      <c r="H102" s="259"/>
      <c r="I102" s="247"/>
      <c r="J102" s="259"/>
      <c r="K102" s="259"/>
      <c r="L102" s="259"/>
      <c r="M102" s="259"/>
      <c r="N102" s="259"/>
      <c r="O102" s="5"/>
      <c r="Q102" s="5"/>
      <c r="R102" s="5"/>
      <c r="S102" s="5"/>
    </row>
    <row r="103" spans="2:19">
      <c r="B103" s="5"/>
      <c r="C103" s="259"/>
      <c r="D103" s="259"/>
      <c r="E103" s="259"/>
      <c r="F103" s="259"/>
      <c r="G103" s="259"/>
      <c r="H103" s="259"/>
      <c r="I103" s="5"/>
      <c r="J103" s="259"/>
      <c r="K103" s="259"/>
      <c r="L103" s="259"/>
      <c r="M103" s="259"/>
      <c r="N103" s="259"/>
      <c r="O103" s="5"/>
      <c r="P103" s="5"/>
      <c r="Q103" s="5"/>
      <c r="R103" s="5"/>
      <c r="S103" s="5"/>
    </row>
    <row r="104" spans="2:19">
      <c r="B104" s="5"/>
      <c r="C104" s="247"/>
      <c r="D104" s="247"/>
      <c r="E104" s="247"/>
      <c r="F104" s="247"/>
      <c r="G104" s="247"/>
      <c r="H104" s="247"/>
      <c r="I104" s="247"/>
      <c r="J104" s="247"/>
      <c r="K104" s="247"/>
      <c r="L104" s="247"/>
      <c r="M104" s="247"/>
      <c r="N104" s="247"/>
      <c r="O104" s="5"/>
      <c r="Q104" s="5"/>
      <c r="R104" s="5"/>
      <c r="S104" s="5"/>
    </row>
    <row r="105" spans="2:19" s="5" customFormat="1">
      <c r="P105" s="39"/>
    </row>
    <row r="106" spans="2:19" s="5" customFormat="1">
      <c r="C106" s="259"/>
      <c r="D106" s="247"/>
      <c r="E106" s="247"/>
      <c r="F106" s="247"/>
      <c r="G106" s="247"/>
      <c r="H106" s="247"/>
      <c r="I106" s="259"/>
      <c r="J106" s="247"/>
      <c r="K106" s="247"/>
      <c r="L106" s="247"/>
      <c r="M106" s="247"/>
      <c r="N106" s="247"/>
      <c r="P106" s="39"/>
    </row>
    <row r="107" spans="2:19">
      <c r="B107" s="5"/>
      <c r="C107" s="259"/>
      <c r="D107" s="5"/>
      <c r="E107" s="5"/>
      <c r="F107" s="5"/>
      <c r="G107" s="5"/>
      <c r="H107" s="5"/>
      <c r="I107" s="247"/>
      <c r="J107" s="5"/>
      <c r="K107" s="5"/>
      <c r="L107" s="5"/>
      <c r="M107" s="5"/>
      <c r="N107" s="5"/>
      <c r="O107" s="5"/>
      <c r="P107" s="5"/>
      <c r="Q107" s="5"/>
      <c r="R107" s="5"/>
      <c r="S107" s="5"/>
    </row>
    <row r="108" spans="2:19">
      <c r="B108" s="5"/>
      <c r="C108" s="259"/>
      <c r="D108" s="259"/>
      <c r="E108" s="259"/>
      <c r="F108" s="259"/>
      <c r="G108" s="259"/>
      <c r="H108" s="259"/>
      <c r="I108" s="249"/>
      <c r="J108" s="259"/>
      <c r="K108" s="259"/>
      <c r="L108" s="259"/>
      <c r="M108" s="259"/>
      <c r="N108" s="259"/>
      <c r="O108" s="5"/>
      <c r="P108" s="5"/>
      <c r="Q108" s="5"/>
      <c r="R108" s="5"/>
      <c r="S108" s="5"/>
    </row>
    <row r="109" spans="2:19">
      <c r="B109" s="5"/>
      <c r="C109" s="247"/>
      <c r="D109" s="247"/>
      <c r="E109" s="247"/>
      <c r="F109" s="247"/>
      <c r="G109" s="247"/>
      <c r="H109" s="247"/>
      <c r="I109" s="249"/>
      <c r="J109" s="247"/>
      <c r="K109" s="247"/>
      <c r="L109" s="247"/>
      <c r="M109" s="247"/>
      <c r="N109" s="247"/>
      <c r="O109" s="5"/>
      <c r="Q109" s="5"/>
      <c r="R109" s="5"/>
      <c r="S109" s="5"/>
    </row>
    <row r="110" spans="2:19">
      <c r="B110" s="41"/>
      <c r="C110" s="249"/>
      <c r="D110" s="249"/>
      <c r="E110" s="249"/>
      <c r="F110" s="249"/>
      <c r="G110" s="249"/>
      <c r="H110" s="249"/>
      <c r="I110" s="247"/>
      <c r="J110" s="249"/>
      <c r="K110" s="249"/>
      <c r="L110" s="249"/>
      <c r="M110" s="249"/>
      <c r="N110" s="249"/>
      <c r="O110" s="5"/>
      <c r="Q110" s="5"/>
      <c r="R110" s="5"/>
      <c r="S110" s="5"/>
    </row>
    <row r="111" spans="2:19">
      <c r="B111" s="5"/>
      <c r="C111" s="249"/>
      <c r="D111" s="249"/>
      <c r="E111" s="249"/>
      <c r="F111" s="249"/>
      <c r="G111" s="249"/>
      <c r="H111" s="249"/>
      <c r="I111" s="5"/>
      <c r="J111" s="249"/>
      <c r="K111" s="249"/>
      <c r="L111" s="249"/>
      <c r="M111" s="249"/>
      <c r="N111" s="249"/>
      <c r="O111" s="5"/>
      <c r="Q111" s="5"/>
      <c r="R111" s="5"/>
      <c r="S111" s="5"/>
    </row>
    <row r="112" spans="2:19">
      <c r="B112" s="5"/>
      <c r="C112" s="247"/>
      <c r="D112" s="247"/>
      <c r="E112" s="247"/>
      <c r="F112" s="247"/>
      <c r="G112" s="247"/>
      <c r="H112" s="247"/>
      <c r="I112" s="5"/>
      <c r="J112" s="247"/>
      <c r="K112" s="247"/>
      <c r="L112" s="247"/>
      <c r="M112" s="247"/>
      <c r="N112" s="247"/>
      <c r="O112" s="5"/>
      <c r="Q112" s="5"/>
      <c r="R112" s="5"/>
      <c r="S112" s="5"/>
    </row>
    <row r="113" spans="2:19">
      <c r="B113" s="5"/>
      <c r="C113" s="5"/>
      <c r="D113" s="5"/>
      <c r="E113" s="5"/>
      <c r="F113" s="5"/>
      <c r="G113" s="5"/>
      <c r="H113" s="5"/>
      <c r="I113" s="5"/>
      <c r="J113" s="5"/>
      <c r="K113" s="5"/>
      <c r="L113" s="5"/>
      <c r="M113" s="5"/>
      <c r="N113" s="5"/>
      <c r="O113" s="5"/>
      <c r="Q113" s="5"/>
      <c r="R113" s="5"/>
      <c r="S113" s="5"/>
    </row>
    <row r="114" spans="2:19">
      <c r="B114" s="5"/>
      <c r="C114" s="5"/>
      <c r="D114" s="5"/>
      <c r="E114" s="5"/>
      <c r="F114" s="5"/>
      <c r="G114" s="5"/>
      <c r="H114" s="5"/>
      <c r="I114" s="5"/>
      <c r="J114" s="5"/>
      <c r="K114" s="5"/>
      <c r="L114" s="5"/>
      <c r="M114" s="5"/>
      <c r="N114" s="5"/>
      <c r="O114" s="5"/>
      <c r="Q114" s="5"/>
      <c r="R114" s="5"/>
      <c r="S114" s="5"/>
    </row>
    <row r="115" spans="2:19">
      <c r="B115" s="5"/>
      <c r="C115" s="5"/>
      <c r="D115" s="5"/>
      <c r="E115" s="5"/>
      <c r="F115" s="5"/>
      <c r="G115" s="5"/>
      <c r="H115" s="5"/>
      <c r="I115" s="49"/>
      <c r="J115" s="5"/>
      <c r="K115" s="5"/>
      <c r="L115" s="5"/>
      <c r="M115" s="5"/>
      <c r="N115" s="5"/>
      <c r="O115" s="5"/>
      <c r="Q115" s="41"/>
      <c r="R115" s="5"/>
      <c r="S115" s="5"/>
    </row>
    <row r="116" spans="2:19">
      <c r="B116" s="5"/>
      <c r="C116" s="5"/>
      <c r="D116" s="5"/>
      <c r="E116" s="5"/>
      <c r="F116" s="5"/>
      <c r="G116" s="5"/>
      <c r="H116" s="5"/>
      <c r="I116" s="5"/>
      <c r="J116" s="5"/>
      <c r="K116" s="5"/>
      <c r="L116" s="5"/>
      <c r="M116" s="5"/>
      <c r="N116" s="5"/>
      <c r="O116" s="5"/>
      <c r="Q116" s="5"/>
      <c r="R116" s="5"/>
      <c r="S116" s="5"/>
    </row>
    <row r="117" spans="2:19">
      <c r="B117" s="41"/>
      <c r="C117" s="49"/>
      <c r="D117" s="49"/>
      <c r="E117" s="49"/>
      <c r="F117" s="49"/>
      <c r="G117" s="49"/>
      <c r="H117" s="49"/>
      <c r="I117" s="254"/>
      <c r="J117" s="49"/>
      <c r="K117" s="49"/>
      <c r="L117" s="49"/>
      <c r="M117" s="49"/>
      <c r="N117" s="49"/>
      <c r="O117" s="49"/>
      <c r="Q117" s="5"/>
      <c r="R117" s="5"/>
      <c r="S117" s="5"/>
    </row>
    <row r="118" spans="2:19">
      <c r="B118" s="5"/>
      <c r="C118" s="5"/>
      <c r="D118" s="5"/>
      <c r="E118" s="5"/>
      <c r="F118" s="5"/>
      <c r="G118" s="5"/>
      <c r="H118" s="5"/>
      <c r="I118" s="249"/>
      <c r="J118" s="5"/>
      <c r="K118" s="5"/>
      <c r="L118" s="5"/>
      <c r="M118" s="5"/>
      <c r="N118" s="5"/>
      <c r="O118" s="5"/>
      <c r="Q118" s="5"/>
      <c r="R118" s="5"/>
      <c r="S118" s="5"/>
    </row>
    <row r="119" spans="2:19">
      <c r="B119" s="41"/>
      <c r="C119" s="254"/>
      <c r="D119" s="254"/>
      <c r="E119" s="254"/>
      <c r="F119" s="254"/>
      <c r="G119" s="254"/>
      <c r="H119" s="254"/>
      <c r="I119" s="254"/>
      <c r="J119" s="254"/>
      <c r="K119" s="254"/>
      <c r="L119" s="254"/>
      <c r="M119" s="254"/>
      <c r="N119" s="254"/>
      <c r="O119" s="248"/>
      <c r="Q119" s="5"/>
      <c r="R119" s="5"/>
      <c r="S119" s="5"/>
    </row>
    <row r="120" spans="2:19">
      <c r="B120" s="41"/>
      <c r="C120" s="254"/>
      <c r="D120" s="249"/>
      <c r="E120" s="249"/>
      <c r="F120" s="249"/>
      <c r="G120" s="249"/>
      <c r="H120" s="249"/>
      <c r="I120" s="254"/>
      <c r="J120" s="249"/>
      <c r="K120" s="249"/>
      <c r="L120" s="249"/>
      <c r="M120" s="249"/>
      <c r="N120" s="249"/>
      <c r="O120" s="248"/>
      <c r="Q120" s="5"/>
      <c r="R120" s="5"/>
      <c r="S120" s="5"/>
    </row>
    <row r="121" spans="2:19">
      <c r="B121" s="41"/>
      <c r="C121" s="254"/>
      <c r="D121" s="254"/>
      <c r="E121" s="254"/>
      <c r="F121" s="254"/>
      <c r="G121" s="254"/>
      <c r="H121" s="254"/>
      <c r="I121" s="254"/>
      <c r="J121" s="254"/>
      <c r="K121" s="254"/>
      <c r="L121" s="254"/>
      <c r="M121" s="254"/>
      <c r="N121" s="254"/>
      <c r="O121" s="248"/>
      <c r="Q121" s="5"/>
      <c r="R121" s="5"/>
      <c r="S121" s="5"/>
    </row>
    <row r="122" spans="2:19">
      <c r="B122" s="41"/>
      <c r="C122" s="254"/>
      <c r="D122" s="254"/>
      <c r="E122" s="254"/>
      <c r="F122" s="254"/>
      <c r="G122" s="254"/>
      <c r="H122" s="254"/>
      <c r="I122" s="254"/>
      <c r="J122" s="254"/>
      <c r="K122" s="254"/>
      <c r="L122" s="254"/>
      <c r="M122" s="254"/>
      <c r="N122" s="254"/>
      <c r="O122" s="248"/>
      <c r="Q122" s="5"/>
      <c r="R122" s="5"/>
      <c r="S122" s="5"/>
    </row>
    <row r="123" spans="2:19">
      <c r="B123" s="41"/>
      <c r="C123" s="254"/>
      <c r="D123" s="254"/>
      <c r="E123" s="254"/>
      <c r="F123" s="254"/>
      <c r="G123" s="254"/>
      <c r="H123" s="254"/>
      <c r="I123" s="254"/>
      <c r="J123" s="254"/>
      <c r="K123" s="254"/>
      <c r="L123" s="254"/>
      <c r="M123" s="254"/>
      <c r="N123" s="254"/>
      <c r="O123" s="248"/>
      <c r="Q123" s="5"/>
      <c r="R123" s="5"/>
      <c r="S123" s="5"/>
    </row>
    <row r="124" spans="2:19">
      <c r="B124" s="41"/>
      <c r="C124" s="254"/>
      <c r="D124" s="254"/>
      <c r="E124" s="254"/>
      <c r="F124" s="254"/>
      <c r="G124" s="254"/>
      <c r="H124" s="254"/>
      <c r="I124" s="254"/>
      <c r="J124" s="254"/>
      <c r="K124" s="254"/>
      <c r="L124" s="254"/>
      <c r="M124" s="254"/>
      <c r="N124" s="254"/>
      <c r="O124" s="248"/>
      <c r="Q124" s="5"/>
      <c r="R124" s="5"/>
      <c r="S124" s="5"/>
    </row>
    <row r="125" spans="2:19">
      <c r="B125" s="41"/>
      <c r="C125" s="254"/>
      <c r="D125" s="254"/>
      <c r="E125" s="254"/>
      <c r="F125" s="254"/>
      <c r="G125" s="254"/>
      <c r="H125" s="254"/>
      <c r="I125" s="254"/>
      <c r="J125" s="254"/>
      <c r="K125" s="254"/>
      <c r="L125" s="254"/>
      <c r="M125" s="254"/>
      <c r="N125" s="254"/>
      <c r="O125" s="5"/>
      <c r="Q125" s="5"/>
      <c r="R125" s="5"/>
      <c r="S125" s="5"/>
    </row>
    <row r="126" spans="2:19">
      <c r="B126" s="41"/>
      <c r="C126" s="254"/>
      <c r="D126" s="254"/>
      <c r="E126" s="254"/>
      <c r="F126" s="254"/>
      <c r="G126" s="254"/>
      <c r="H126" s="254"/>
      <c r="I126" s="254"/>
      <c r="J126" s="254"/>
      <c r="K126" s="254"/>
      <c r="L126" s="254"/>
      <c r="M126" s="254"/>
      <c r="N126" s="254"/>
      <c r="O126" s="5"/>
      <c r="Q126" s="5"/>
      <c r="R126" s="5"/>
      <c r="S126" s="5"/>
    </row>
    <row r="127" spans="2:19">
      <c r="B127" s="41"/>
      <c r="C127" s="254"/>
      <c r="D127" s="254"/>
      <c r="E127" s="254"/>
      <c r="F127" s="254"/>
      <c r="G127" s="254"/>
      <c r="H127" s="254"/>
      <c r="I127" s="18"/>
      <c r="J127" s="254"/>
      <c r="K127" s="254"/>
      <c r="L127" s="254"/>
      <c r="M127" s="254"/>
      <c r="N127" s="254"/>
      <c r="O127" s="5"/>
      <c r="Q127" s="5"/>
      <c r="R127" s="5"/>
      <c r="S127" s="5"/>
    </row>
    <row r="128" spans="2:19">
      <c r="B128" s="41"/>
      <c r="C128" s="254"/>
      <c r="D128" s="254"/>
      <c r="E128" s="254"/>
      <c r="F128" s="254"/>
      <c r="G128" s="254"/>
      <c r="H128" s="254"/>
      <c r="I128" s="5"/>
      <c r="J128" s="254"/>
      <c r="K128" s="254"/>
      <c r="L128" s="254"/>
      <c r="M128" s="254"/>
      <c r="N128" s="254"/>
      <c r="O128" s="5"/>
      <c r="Q128" s="5"/>
      <c r="R128" s="5"/>
      <c r="S128" s="5"/>
    </row>
    <row r="129" spans="2:27">
      <c r="B129" s="5"/>
      <c r="C129" s="5"/>
      <c r="D129" s="18"/>
      <c r="E129" s="18"/>
      <c r="F129" s="18"/>
      <c r="G129" s="18"/>
      <c r="H129" s="18"/>
      <c r="I129" s="254"/>
      <c r="J129" s="18"/>
      <c r="K129" s="18"/>
      <c r="L129" s="18"/>
      <c r="M129" s="18"/>
      <c r="N129" s="18"/>
      <c r="O129" s="5"/>
      <c r="Q129" s="5"/>
      <c r="R129" s="5"/>
      <c r="S129" s="5"/>
    </row>
    <row r="130" spans="2:27">
      <c r="B130" s="5"/>
      <c r="C130" s="5"/>
      <c r="D130" s="5"/>
      <c r="E130" s="5"/>
      <c r="F130" s="5"/>
      <c r="G130" s="5"/>
      <c r="H130" s="5"/>
      <c r="I130" s="18"/>
      <c r="J130" s="5"/>
      <c r="K130" s="5"/>
      <c r="L130" s="5"/>
      <c r="M130" s="5"/>
      <c r="N130" s="5"/>
      <c r="O130" s="5"/>
      <c r="Q130" s="5"/>
      <c r="R130" s="5"/>
      <c r="S130" s="5"/>
    </row>
    <row r="131" spans="2:27">
      <c r="B131" s="41"/>
      <c r="C131" s="254"/>
      <c r="D131" s="254"/>
      <c r="E131" s="254"/>
      <c r="F131" s="254"/>
      <c r="G131" s="254"/>
      <c r="H131" s="254"/>
      <c r="I131" s="5"/>
      <c r="J131" s="254"/>
      <c r="K131" s="254"/>
      <c r="L131" s="254"/>
      <c r="M131" s="254"/>
      <c r="N131" s="254"/>
      <c r="O131" s="5"/>
      <c r="Q131" s="5"/>
      <c r="R131" s="5"/>
      <c r="S131" s="5"/>
    </row>
    <row r="132" spans="2:27">
      <c r="B132" s="5"/>
      <c r="C132" s="259"/>
      <c r="D132" s="18"/>
      <c r="E132" s="18"/>
      <c r="F132" s="18"/>
      <c r="G132" s="18"/>
      <c r="H132" s="18"/>
      <c r="I132" s="5"/>
      <c r="J132" s="18"/>
      <c r="K132" s="18"/>
      <c r="L132" s="18"/>
      <c r="M132" s="18"/>
      <c r="N132" s="18"/>
      <c r="O132" s="5"/>
      <c r="Q132" s="5"/>
      <c r="R132" s="5"/>
      <c r="S132" s="5"/>
    </row>
    <row r="133" spans="2:27">
      <c r="B133" s="5"/>
      <c r="C133" s="5"/>
      <c r="D133" s="5"/>
      <c r="E133" s="5"/>
      <c r="F133" s="5"/>
      <c r="G133" s="5"/>
      <c r="H133" s="5"/>
      <c r="I133" s="17"/>
      <c r="J133" s="5"/>
      <c r="K133" s="5"/>
      <c r="L133" s="5"/>
      <c r="M133" s="5"/>
      <c r="N133" s="5"/>
      <c r="O133" s="5"/>
      <c r="Q133" s="5"/>
      <c r="R133" s="5"/>
      <c r="S133" s="5"/>
    </row>
    <row r="134" spans="2:27">
      <c r="B134" s="41"/>
      <c r="C134" s="5"/>
      <c r="D134" s="5"/>
      <c r="E134" s="5"/>
      <c r="F134" s="5"/>
      <c r="G134" s="5"/>
      <c r="H134" s="5"/>
      <c r="I134" s="17"/>
      <c r="J134" s="5"/>
      <c r="K134" s="5"/>
      <c r="L134" s="5"/>
      <c r="M134" s="5"/>
      <c r="N134" s="5"/>
      <c r="O134" s="5"/>
      <c r="Q134" s="5"/>
      <c r="R134" s="5"/>
      <c r="S134" s="5"/>
    </row>
    <row r="135" spans="2:27">
      <c r="B135" s="5"/>
      <c r="C135" s="17"/>
      <c r="D135" s="17"/>
      <c r="E135" s="17"/>
      <c r="F135" s="17"/>
      <c r="G135" s="17"/>
      <c r="H135" s="17"/>
      <c r="I135" s="17"/>
      <c r="J135" s="17"/>
      <c r="K135" s="17"/>
      <c r="L135" s="17"/>
      <c r="M135" s="17"/>
      <c r="N135" s="17"/>
      <c r="O135" s="5"/>
      <c r="Q135" s="41"/>
      <c r="R135" s="5"/>
      <c r="S135" s="5"/>
    </row>
    <row r="136" spans="2:27">
      <c r="B136" s="5"/>
      <c r="C136" s="17"/>
      <c r="D136" s="17"/>
      <c r="E136" s="17"/>
      <c r="F136" s="17"/>
      <c r="G136" s="17"/>
      <c r="H136" s="17"/>
      <c r="I136" s="17"/>
      <c r="J136" s="17"/>
      <c r="K136" s="17"/>
      <c r="L136" s="17"/>
      <c r="M136" s="17"/>
      <c r="N136" s="17"/>
      <c r="O136" s="5"/>
      <c r="Q136" s="5"/>
      <c r="R136" s="5"/>
      <c r="S136" s="5"/>
      <c r="X136" s="304"/>
    </row>
    <row r="137" spans="2:27">
      <c r="B137" s="5"/>
      <c r="C137" s="5"/>
      <c r="D137" s="17"/>
      <c r="E137" s="17"/>
      <c r="F137" s="17"/>
      <c r="G137" s="17"/>
      <c r="H137" s="17"/>
      <c r="I137" s="17"/>
      <c r="J137" s="17"/>
      <c r="K137" s="17"/>
      <c r="L137" s="17"/>
      <c r="M137" s="17"/>
      <c r="N137" s="17"/>
      <c r="O137" s="5"/>
      <c r="Q137" s="5"/>
      <c r="R137" s="5"/>
      <c r="S137" s="5"/>
      <c r="X137" s="10"/>
      <c r="Y137" s="304"/>
      <c r="Z137" s="304"/>
      <c r="AA137" s="304"/>
    </row>
    <row r="138" spans="2:27">
      <c r="B138" s="5"/>
      <c r="C138" s="5"/>
      <c r="D138" s="17"/>
      <c r="E138" s="17"/>
      <c r="F138" s="17"/>
      <c r="G138" s="17"/>
      <c r="H138" s="17"/>
      <c r="I138" s="17"/>
      <c r="J138" s="17"/>
      <c r="K138" s="17"/>
      <c r="L138" s="17"/>
      <c r="M138" s="17"/>
      <c r="N138" s="17"/>
      <c r="O138" s="5"/>
      <c r="Q138" s="5"/>
      <c r="R138" s="5"/>
      <c r="S138" s="5"/>
      <c r="Y138" s="10"/>
      <c r="Z138" s="10"/>
      <c r="AA138" s="10"/>
    </row>
    <row r="139" spans="2:27">
      <c r="B139" s="5"/>
      <c r="C139" s="5"/>
      <c r="D139" s="17"/>
      <c r="E139" s="17"/>
      <c r="F139" s="17"/>
      <c r="G139" s="17"/>
      <c r="H139" s="17"/>
      <c r="I139" s="5"/>
      <c r="J139" s="17"/>
      <c r="K139" s="17"/>
      <c r="L139" s="17"/>
      <c r="M139" s="17"/>
      <c r="N139" s="17"/>
      <c r="O139" s="5"/>
      <c r="Q139" s="5"/>
      <c r="R139" s="5"/>
      <c r="S139" s="5"/>
    </row>
    <row r="140" spans="2:27">
      <c r="B140" s="5"/>
      <c r="C140" s="17"/>
      <c r="D140" s="17"/>
      <c r="E140" s="17"/>
      <c r="F140" s="17"/>
      <c r="G140" s="17"/>
      <c r="H140" s="17"/>
      <c r="I140" s="5"/>
      <c r="J140" s="17"/>
      <c r="K140" s="17"/>
      <c r="L140" s="17"/>
      <c r="M140" s="17"/>
      <c r="N140" s="17"/>
      <c r="O140" s="5"/>
      <c r="Q140" s="5"/>
      <c r="R140" s="5"/>
      <c r="S140" s="5"/>
    </row>
    <row r="141" spans="2:27">
      <c r="B141" s="5"/>
      <c r="C141" s="5"/>
      <c r="D141" s="5"/>
      <c r="E141" s="5"/>
      <c r="F141" s="5"/>
      <c r="G141" s="5"/>
      <c r="H141" s="5"/>
      <c r="I141" s="5"/>
      <c r="J141" s="5"/>
      <c r="K141" s="5"/>
      <c r="L141" s="5"/>
      <c r="M141" s="5"/>
      <c r="N141" s="5"/>
      <c r="O141" s="5"/>
      <c r="Q141" s="5"/>
      <c r="R141" s="5"/>
      <c r="S141" s="5"/>
    </row>
    <row r="142" spans="2:27">
      <c r="B142" s="5"/>
      <c r="C142" s="5"/>
      <c r="D142" s="5"/>
      <c r="E142" s="5"/>
      <c r="F142" s="5"/>
      <c r="G142" s="5"/>
      <c r="H142" s="5"/>
      <c r="I142" s="5"/>
      <c r="J142" s="5"/>
      <c r="K142" s="5"/>
      <c r="L142" s="5"/>
      <c r="M142" s="5"/>
      <c r="N142" s="5"/>
      <c r="O142" s="5"/>
      <c r="Q142" s="5"/>
      <c r="R142" s="5"/>
      <c r="S142" s="5"/>
    </row>
    <row r="143" spans="2:27">
      <c r="B143" s="5"/>
      <c r="C143" s="5"/>
      <c r="D143" s="5"/>
      <c r="E143" s="5"/>
      <c r="F143" s="5"/>
      <c r="G143" s="5"/>
      <c r="H143" s="5"/>
      <c r="I143" s="5"/>
      <c r="J143" s="5"/>
      <c r="K143" s="5"/>
      <c r="L143" s="5"/>
      <c r="M143" s="5"/>
      <c r="N143" s="5"/>
      <c r="O143" s="5"/>
      <c r="Q143" s="5"/>
      <c r="R143" s="5"/>
      <c r="S143" s="5"/>
    </row>
    <row r="144" spans="2:27">
      <c r="B144" s="5"/>
      <c r="C144" s="5"/>
      <c r="D144" s="5"/>
      <c r="E144" s="5"/>
      <c r="F144" s="5"/>
      <c r="G144" s="5"/>
      <c r="H144" s="5"/>
      <c r="I144" s="5"/>
      <c r="J144" s="5"/>
      <c r="K144" s="5"/>
      <c r="L144" s="5"/>
      <c r="M144" s="5"/>
      <c r="N144" s="5"/>
      <c r="O144" s="5"/>
      <c r="Q144" s="5"/>
      <c r="R144" s="5"/>
      <c r="S144" s="5"/>
    </row>
    <row r="145" spans="2:19">
      <c r="B145" s="5"/>
      <c r="C145" s="5"/>
      <c r="D145" s="5"/>
      <c r="E145" s="5"/>
      <c r="F145" s="5"/>
      <c r="G145" s="5"/>
      <c r="H145" s="5"/>
      <c r="I145" s="5"/>
      <c r="J145" s="5"/>
      <c r="K145" s="5"/>
      <c r="L145" s="5"/>
      <c r="M145" s="5"/>
      <c r="N145" s="5"/>
      <c r="O145" s="5"/>
      <c r="Q145" s="5"/>
      <c r="R145" s="5"/>
      <c r="S145" s="5"/>
    </row>
    <row r="146" spans="2:19">
      <c r="B146" s="5"/>
      <c r="C146" s="5"/>
      <c r="D146" s="5"/>
      <c r="E146" s="5"/>
      <c r="F146" s="5"/>
      <c r="G146" s="5"/>
      <c r="H146" s="5"/>
      <c r="I146" s="5"/>
      <c r="J146" s="5"/>
      <c r="K146" s="5"/>
      <c r="L146" s="5"/>
      <c r="M146" s="5"/>
      <c r="N146" s="5"/>
      <c r="O146" s="5"/>
      <c r="Q146" s="5"/>
      <c r="R146" s="5"/>
      <c r="S146" s="5"/>
    </row>
    <row r="147" spans="2:19">
      <c r="B147" s="5"/>
      <c r="C147" s="5"/>
      <c r="D147" s="5"/>
      <c r="E147" s="5"/>
      <c r="F147" s="5"/>
      <c r="G147" s="5"/>
      <c r="H147" s="5"/>
      <c r="I147" s="5"/>
      <c r="J147" s="5"/>
      <c r="K147" s="5"/>
      <c r="L147" s="5"/>
      <c r="M147" s="5"/>
      <c r="N147" s="5"/>
      <c r="O147" s="5"/>
      <c r="Q147" s="5"/>
      <c r="R147" s="5"/>
      <c r="S147" s="5"/>
    </row>
    <row r="148" spans="2:19">
      <c r="B148" s="5"/>
      <c r="C148" s="5"/>
      <c r="D148" s="5"/>
      <c r="E148" s="5"/>
      <c r="F148" s="5"/>
      <c r="G148" s="5"/>
      <c r="H148" s="5"/>
      <c r="I148" s="5"/>
      <c r="J148" s="5"/>
      <c r="K148" s="5"/>
      <c r="L148" s="5"/>
      <c r="M148" s="5"/>
      <c r="N148" s="5"/>
      <c r="O148" s="5"/>
      <c r="Q148" s="5"/>
      <c r="R148" s="5"/>
      <c r="S148" s="5"/>
    </row>
    <row r="149" spans="2:19">
      <c r="B149" s="5"/>
      <c r="C149" s="5"/>
      <c r="D149" s="5"/>
      <c r="E149" s="5"/>
      <c r="F149" s="5"/>
      <c r="G149" s="5"/>
      <c r="H149" s="5"/>
      <c r="J149" s="5"/>
      <c r="K149" s="5"/>
      <c r="L149" s="5"/>
      <c r="M149" s="5"/>
      <c r="N149" s="5"/>
      <c r="O149" s="5"/>
      <c r="Q149" s="5"/>
      <c r="R149" s="5"/>
      <c r="S149" s="5"/>
    </row>
    <row r="150" spans="2:19">
      <c r="B150" s="5"/>
      <c r="C150" s="5"/>
      <c r="D150" s="5"/>
      <c r="E150" s="5"/>
      <c r="F150" s="5"/>
      <c r="G150" s="5"/>
      <c r="H150" s="5"/>
      <c r="J150" s="5"/>
      <c r="K150" s="5"/>
      <c r="L150" s="5"/>
      <c r="M150" s="5"/>
      <c r="N150" s="5"/>
      <c r="O150" s="5"/>
      <c r="Q150" s="5"/>
      <c r="R150" s="5"/>
      <c r="S150" s="5"/>
    </row>
    <row r="151" spans="2:19">
      <c r="Q151" s="5"/>
      <c r="R151" s="5"/>
      <c r="S151" s="5"/>
    </row>
    <row r="152" spans="2:19">
      <c r="Q152" s="5"/>
      <c r="R152" s="5"/>
      <c r="S152" s="5"/>
    </row>
    <row r="153" spans="2:19">
      <c r="C153" s="263"/>
      <c r="Q153" s="5"/>
      <c r="R153" s="5"/>
      <c r="S153" s="5"/>
    </row>
    <row r="154" spans="2:19">
      <c r="Q154" s="5"/>
      <c r="R154" s="5"/>
      <c r="S154" s="5"/>
    </row>
    <row r="155" spans="2:19">
      <c r="Q155" s="5"/>
      <c r="R155" s="5"/>
      <c r="S155" s="5"/>
    </row>
    <row r="156" spans="2:19">
      <c r="Q156" s="5"/>
      <c r="R156" s="5"/>
      <c r="S156" s="5"/>
    </row>
    <row r="157" spans="2:19">
      <c r="Q157" s="5"/>
      <c r="R157" s="5"/>
      <c r="S157" s="5"/>
    </row>
    <row r="158" spans="2:19">
      <c r="Q158" s="5"/>
      <c r="R158" s="5"/>
      <c r="S158" s="5"/>
    </row>
    <row r="159" spans="2:19">
      <c r="Q159" s="5"/>
      <c r="R159" s="5"/>
      <c r="S159" s="5"/>
    </row>
    <row r="160" spans="2:19">
      <c r="Q160" s="5"/>
      <c r="R160" s="5"/>
      <c r="S160" s="5"/>
    </row>
    <row r="161" spans="17:19">
      <c r="Q161" s="5"/>
      <c r="R161" s="5"/>
      <c r="S161" s="5"/>
    </row>
    <row r="162" spans="17:19">
      <c r="Q162" s="5"/>
      <c r="R162" s="5"/>
      <c r="S162" s="5"/>
    </row>
    <row r="163" spans="17:19">
      <c r="Q163" s="5"/>
      <c r="R163" s="5"/>
      <c r="S163" s="5"/>
    </row>
    <row r="164" spans="17:19">
      <c r="Q164" s="5"/>
      <c r="R164" s="5"/>
      <c r="S164" s="5"/>
    </row>
    <row r="165" spans="17:19">
      <c r="Q165" s="5"/>
      <c r="R165" s="5"/>
      <c r="S165" s="5"/>
    </row>
  </sheetData>
  <pageMargins left="0.75" right="0.75" top="1" bottom="1" header="0.5" footer="0.5"/>
  <pageSetup scale="71" orientation="landscape" r:id="rId1"/>
  <headerFooter alignWithMargins="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20">
    <pageSetUpPr fitToPage="1"/>
  </sheetPr>
  <dimension ref="B1:AA165"/>
  <sheetViews>
    <sheetView showGridLines="0" zoomScale="80" zoomScaleNormal="80" zoomScaleSheetLayoutView="80" workbookViewId="0"/>
  </sheetViews>
  <sheetFormatPr defaultColWidth="9.109375" defaultRowHeight="12"/>
  <cols>
    <col min="1" max="1" width="2.33203125" style="39" customWidth="1"/>
    <col min="2" max="2" width="26.5546875" style="39" customWidth="1"/>
    <col min="3" max="9" width="10" style="39" customWidth="1"/>
    <col min="10" max="10" width="26.6640625" style="39" customWidth="1"/>
    <col min="11" max="16" width="10" style="39" customWidth="1"/>
    <col min="17" max="19" width="8.6640625" style="39" customWidth="1"/>
    <col min="20" max="27" width="8.6640625" style="5" customWidth="1"/>
    <col min="28" max="28" width="8.6640625" style="39" customWidth="1"/>
    <col min="29" max="16384" width="9.109375" style="39"/>
  </cols>
  <sheetData>
    <row r="1" spans="2:27" s="312" customFormat="1">
      <c r="T1" s="149"/>
      <c r="U1" s="149"/>
      <c r="V1" s="149"/>
      <c r="W1" s="149"/>
      <c r="X1" s="149"/>
      <c r="Y1" s="149"/>
      <c r="Z1" s="149"/>
      <c r="AA1" s="149"/>
    </row>
    <row r="2" spans="2:27" s="149" customFormat="1"/>
    <row r="3" spans="2:27" s="149" customFormat="1">
      <c r="H3" s="153"/>
      <c r="P3" s="153"/>
    </row>
    <row r="4" spans="2:27" s="156" customFormat="1" ht="21">
      <c r="B4" s="129" t="s">
        <v>105</v>
      </c>
      <c r="H4" s="222"/>
      <c r="P4" s="222"/>
    </row>
    <row r="5" spans="2:27" s="149" customFormat="1">
      <c r="C5" s="153"/>
      <c r="D5" s="153" t="str" cm="1">
        <f t="array" ref="D5:H5">headings</f>
        <v>2023E</v>
      </c>
      <c r="E5" s="153" t="str">
        <v>2024E</v>
      </c>
      <c r="F5" s="153" t="str">
        <v>2025E</v>
      </c>
      <c r="G5" s="153" t="str">
        <v>2026E</v>
      </c>
      <c r="H5" s="153" t="str">
        <v>23E-26E</v>
      </c>
      <c r="I5" s="153"/>
      <c r="J5" s="153"/>
      <c r="K5" s="153"/>
      <c r="L5" s="153" t="str" cm="1">
        <f t="array" ref="L5:P5">headings</f>
        <v>2023E</v>
      </c>
      <c r="M5" s="153" t="str">
        <v>2024E</v>
      </c>
      <c r="N5" s="153" t="str">
        <v>2025E</v>
      </c>
      <c r="O5" s="153" t="str">
        <v>2026E</v>
      </c>
      <c r="P5" s="153" t="str">
        <v>23E-26E</v>
      </c>
      <c r="Q5" s="162"/>
      <c r="R5" s="162"/>
      <c r="S5" s="162"/>
      <c r="T5" s="162"/>
      <c r="U5" s="162"/>
      <c r="V5" s="162"/>
      <c r="W5" s="162"/>
      <c r="X5" s="162"/>
      <c r="Y5" s="162"/>
    </row>
    <row r="6" spans="2:27">
      <c r="I6" s="5"/>
      <c r="J6" s="5"/>
      <c r="K6" s="5"/>
      <c r="L6" s="5"/>
      <c r="M6" s="5"/>
      <c r="N6" s="5"/>
      <c r="O6" s="49"/>
    </row>
    <row r="7" spans="2:27" ht="12.6" thickBot="1">
      <c r="B7" s="306" t="s">
        <v>271</v>
      </c>
      <c r="C7" s="265"/>
      <c r="D7" s="265" t="str">
        <f>D5</f>
        <v>2023E</v>
      </c>
      <c r="E7" s="265" t="str">
        <f t="shared" ref="E7:H7" si="0">E5</f>
        <v>2024E</v>
      </c>
      <c r="F7" s="265" t="str">
        <f t="shared" si="0"/>
        <v>2025E</v>
      </c>
      <c r="G7" s="265" t="str">
        <f t="shared" si="0"/>
        <v>2026E</v>
      </c>
      <c r="H7" s="265" t="str">
        <f t="shared" si="0"/>
        <v>23E-26E</v>
      </c>
      <c r="I7" s="49"/>
      <c r="J7" s="306" t="s">
        <v>74</v>
      </c>
      <c r="K7" s="306"/>
      <c r="L7" s="265" t="str">
        <f>L5</f>
        <v>2023E</v>
      </c>
      <c r="M7" s="265" t="str">
        <f t="shared" ref="M7:P7" si="1">M5</f>
        <v>2024E</v>
      </c>
      <c r="N7" s="265" t="str">
        <f t="shared" si="1"/>
        <v>2025E</v>
      </c>
      <c r="O7" s="265" t="str">
        <f t="shared" si="1"/>
        <v>2026E</v>
      </c>
      <c r="P7" s="265" t="str">
        <f t="shared" si="1"/>
        <v>23E-26E</v>
      </c>
    </row>
    <row r="8" spans="2:27" ht="12.6" thickTop="1">
      <c r="B8" s="5"/>
      <c r="C8" s="5"/>
      <c r="D8" s="5"/>
      <c r="E8" s="5"/>
      <c r="F8" s="5"/>
      <c r="G8" s="5"/>
      <c r="H8" s="5"/>
      <c r="I8" s="5"/>
      <c r="J8" s="5"/>
      <c r="K8" s="5"/>
      <c r="L8" s="5"/>
      <c r="M8" s="5"/>
      <c r="N8" s="5"/>
      <c r="S8" s="88"/>
      <c r="T8" s="42"/>
      <c r="U8" s="42"/>
      <c r="V8" s="42"/>
      <c r="W8" s="42"/>
      <c r="X8" s="42"/>
      <c r="Y8" s="42"/>
      <c r="Z8" s="42"/>
      <c r="AA8" s="42"/>
    </row>
    <row r="9" spans="2:27">
      <c r="B9" s="41" t="s">
        <v>548</v>
      </c>
      <c r="C9" s="287">
        <f>Prices!C83</f>
        <v>73.2</v>
      </c>
      <c r="D9" s="535">
        <v>0</v>
      </c>
      <c r="E9" s="536">
        <v>0</v>
      </c>
      <c r="F9" s="536">
        <v>0</v>
      </c>
      <c r="G9" s="536">
        <v>0</v>
      </c>
      <c r="H9" s="249"/>
      <c r="I9" s="249"/>
      <c r="J9" s="5" t="s">
        <v>273</v>
      </c>
      <c r="L9" s="529">
        <f>'AGG ASIA CELLULAR'!D37</f>
        <v>2.0832818906884643</v>
      </c>
      <c r="M9" s="529">
        <f>'AGG ASIA CELLULAR'!E37</f>
        <v>1.9180381131180324</v>
      </c>
      <c r="N9" s="529">
        <f>'AGG ASIA CELLULAR'!F37</f>
        <v>1.6973984727138696</v>
      </c>
      <c r="O9" s="529">
        <f>'AGG ASIA CELLULAR'!G37</f>
        <v>1.4849146547081604</v>
      </c>
      <c r="P9" s="286">
        <f>'AGG ASIA CELLULAR'!H37</f>
        <v>5.2823672985303771E-2</v>
      </c>
      <c r="S9" s="88"/>
      <c r="T9" s="42"/>
      <c r="U9" s="42"/>
      <c r="V9" s="42"/>
      <c r="W9" s="42"/>
      <c r="X9" s="42"/>
      <c r="Y9" s="42"/>
      <c r="Z9" s="42"/>
      <c r="AA9" s="42"/>
    </row>
    <row r="10" spans="2:27">
      <c r="B10" s="5" t="s">
        <v>274</v>
      </c>
      <c r="C10" s="5"/>
      <c r="D10" s="531">
        <v>21.408818754999999</v>
      </c>
      <c r="E10" s="531">
        <v>21.408818754999999</v>
      </c>
      <c r="F10" s="531">
        <v>21.408818754999999</v>
      </c>
      <c r="G10" s="531">
        <v>21.408818754999999</v>
      </c>
      <c r="H10" s="247"/>
      <c r="I10" s="247"/>
      <c r="J10" s="5" t="s">
        <v>184</v>
      </c>
      <c r="L10" s="529">
        <f>'AGG ASIA CELLULAR'!D38</f>
        <v>6.3578764048835863</v>
      </c>
      <c r="M10" s="529">
        <f>'AGG ASIA CELLULAR'!E38</f>
        <v>5.8349432944863064</v>
      </c>
      <c r="N10" s="529">
        <f>'AGG ASIA CELLULAR'!F38</f>
        <v>5.103853656504258</v>
      </c>
      <c r="O10" s="529">
        <f>'AGG ASIA CELLULAR'!G38</f>
        <v>4.4165179955724438</v>
      </c>
      <c r="P10" s="286">
        <f>'AGG ASIA CELLULAR'!H38</f>
        <v>6.1901299000113985E-2</v>
      </c>
      <c r="S10" s="88"/>
      <c r="T10" s="42"/>
      <c r="U10" s="42"/>
      <c r="V10" s="42"/>
      <c r="W10" s="288"/>
      <c r="X10" s="288"/>
      <c r="Y10" s="288"/>
      <c r="Z10" s="288"/>
      <c r="AA10" s="42"/>
    </row>
    <row r="11" spans="2:27">
      <c r="B11" s="41" t="s">
        <v>477</v>
      </c>
      <c r="C11" s="5"/>
      <c r="D11" s="532">
        <f>($C$9/(Prices!$C$167/Prices!$C$175))*D10</f>
        <v>1453.0634236267479</v>
      </c>
      <c r="E11" s="532">
        <f>($C$9/(Prices!$C$167/Prices!$C$175))*E10</f>
        <v>1453.0634236267479</v>
      </c>
      <c r="F11" s="532">
        <f>($C$9/(Prices!$C$167/Prices!$C$175))*F10</f>
        <v>1453.0634236267479</v>
      </c>
      <c r="G11" s="532">
        <f>($C$9/(Prices!$C$167/Prices!$C$175))*G10</f>
        <v>1453.0634236267479</v>
      </c>
      <c r="H11" s="249"/>
      <c r="I11" s="249"/>
      <c r="J11" s="5" t="s">
        <v>185</v>
      </c>
      <c r="L11" s="529">
        <f>'AGG ASIA CELLULAR'!D39</f>
        <v>12.256315794878686</v>
      </c>
      <c r="M11" s="529">
        <f>'AGG ASIA CELLULAR'!E39</f>
        <v>10.532349001792122</v>
      </c>
      <c r="N11" s="529">
        <f>'AGG ASIA CELLULAR'!F39</f>
        <v>8.8097379743624202</v>
      </c>
      <c r="O11" s="529">
        <f>'AGG ASIA CELLULAR'!G39</f>
        <v>7.3400525025099741</v>
      </c>
      <c r="P11" s="286">
        <f>'AGG ASIA CELLULAR'!H39</f>
        <v>0.11573327430771596</v>
      </c>
      <c r="S11" s="88"/>
      <c r="T11" s="42"/>
      <c r="U11" s="42"/>
      <c r="V11" s="42"/>
      <c r="W11" s="288"/>
      <c r="X11" s="288"/>
      <c r="Y11" s="288"/>
      <c r="Z11" s="288"/>
      <c r="AA11" s="42"/>
    </row>
    <row r="12" spans="2:27">
      <c r="B12" s="5" t="s">
        <v>24</v>
      </c>
      <c r="C12" s="249"/>
      <c r="D12" s="533">
        <v>-75.837999999999994</v>
      </c>
      <c r="E12" s="533">
        <v>-122.27815073093068</v>
      </c>
      <c r="F12" s="533">
        <v>-182.35930073524162</v>
      </c>
      <c r="G12" s="533">
        <v>-240.80611218937253</v>
      </c>
      <c r="H12" s="247"/>
      <c r="I12" s="247"/>
      <c r="J12" s="5" t="s">
        <v>466</v>
      </c>
      <c r="L12" s="529">
        <f>'AGG ASIA CELLULAR'!D40</f>
        <v>15.951300793811486</v>
      </c>
      <c r="M12" s="529">
        <f>'AGG ASIA CELLULAR'!E40</f>
        <v>13.847183646795452</v>
      </c>
      <c r="N12" s="529">
        <f>'AGG ASIA CELLULAR'!F40</f>
        <v>11.626709680654198</v>
      </c>
      <c r="O12" s="529">
        <f>'AGG ASIA CELLULAR'!G40</f>
        <v>9.7078389032116537</v>
      </c>
      <c r="P12" s="286">
        <f>'AGG ASIA CELLULAR'!H40</f>
        <v>0.10976572550111241</v>
      </c>
      <c r="S12" s="88"/>
      <c r="T12" s="42"/>
      <c r="U12" s="42"/>
      <c r="V12" s="42"/>
      <c r="W12" s="288"/>
      <c r="X12" s="288"/>
      <c r="Y12" s="288"/>
      <c r="Z12" s="288"/>
      <c r="AA12" s="42"/>
    </row>
    <row r="13" spans="2:27">
      <c r="B13" s="5" t="s">
        <v>529</v>
      </c>
      <c r="C13" s="257"/>
      <c r="D13" s="533">
        <v>0</v>
      </c>
      <c r="E13" s="533">
        <v>0</v>
      </c>
      <c r="F13" s="533">
        <v>0</v>
      </c>
      <c r="G13" s="533">
        <v>0</v>
      </c>
      <c r="H13" s="247"/>
      <c r="I13" s="247"/>
      <c r="J13" s="5" t="s">
        <v>530</v>
      </c>
      <c r="L13" s="529">
        <f>'AGG ASIA CELLULAR'!D41</f>
        <v>1.4274445412547272</v>
      </c>
      <c r="M13" s="529">
        <f>'AGG ASIA CELLULAR'!E41</f>
        <v>1.4179696737537477</v>
      </c>
      <c r="N13" s="529">
        <f>'AGG ASIA CELLULAR'!F41</f>
        <v>1.3450707920768976</v>
      </c>
      <c r="O13" s="529">
        <f>'AGG ASIA CELLULAR'!G41</f>
        <v>1.2618986136137988</v>
      </c>
      <c r="P13" s="286">
        <f>'AGG ASIA CELLULAR'!H41</f>
        <v>-2.0092563683029918E-2</v>
      </c>
      <c r="S13" s="88"/>
      <c r="T13" s="42"/>
      <c r="U13" s="42"/>
      <c r="V13" s="42"/>
      <c r="W13" s="42"/>
      <c r="X13" s="42"/>
      <c r="Y13" s="42"/>
      <c r="Z13" s="42"/>
      <c r="AA13" s="42"/>
    </row>
    <row r="14" spans="2:27">
      <c r="B14" s="5" t="s">
        <v>532</v>
      </c>
      <c r="C14" s="257"/>
      <c r="D14" s="533">
        <v>104.23767216706402</v>
      </c>
      <c r="E14" s="533">
        <v>104.23767216706402</v>
      </c>
      <c r="F14" s="533">
        <v>104.23767216706402</v>
      </c>
      <c r="G14" s="533">
        <v>104.23767216706402</v>
      </c>
      <c r="H14" s="247"/>
      <c r="I14" s="247"/>
      <c r="J14" s="5" t="s">
        <v>593</v>
      </c>
      <c r="L14" s="529">
        <f>'AGG ASIA CELLULAR'!D42</f>
        <v>2.9130695199933734</v>
      </c>
      <c r="M14" s="529">
        <f>'AGG ASIA CELLULAR'!E42</f>
        <v>2.8146219035099969</v>
      </c>
      <c r="N14" s="529">
        <f>'AGG ASIA CELLULAR'!F42</f>
        <v>2.5888583636405476</v>
      </c>
      <c r="O14" s="529">
        <f>'AGG ASIA CELLULAR'!G42</f>
        <v>2.3605815546209548</v>
      </c>
      <c r="P14" s="286">
        <f>'AGG ASIA CELLULAR'!H42</f>
        <v>8.7512202951403051E-3</v>
      </c>
      <c r="S14" s="88"/>
      <c r="T14" s="42"/>
      <c r="U14" s="42"/>
      <c r="V14" s="42"/>
      <c r="W14" s="42"/>
      <c r="X14" s="42"/>
      <c r="Y14" s="42"/>
      <c r="Z14" s="42"/>
      <c r="AA14" s="42"/>
    </row>
    <row r="15" spans="2:27">
      <c r="B15" s="5" t="s">
        <v>531</v>
      </c>
      <c r="C15" s="274"/>
      <c r="D15" s="533">
        <v>0</v>
      </c>
      <c r="E15" s="533">
        <f>D15</f>
        <v>0</v>
      </c>
      <c r="F15" s="533">
        <f>E15</f>
        <v>0</v>
      </c>
      <c r="G15" s="533">
        <f>F15</f>
        <v>0</v>
      </c>
      <c r="H15" s="247"/>
      <c r="I15" s="247"/>
      <c r="J15" s="5" t="s">
        <v>475</v>
      </c>
      <c r="L15" s="529">
        <f>'AGG ASIA CELLULAR'!D43</f>
        <v>19.278364274513134</v>
      </c>
      <c r="M15" s="529">
        <f>'AGG ASIA CELLULAR'!E43</f>
        <v>15.523038202411636</v>
      </c>
      <c r="N15" s="529">
        <f>'AGG ASIA CELLULAR'!F43</f>
        <v>13.257386088679914</v>
      </c>
      <c r="O15" s="529">
        <f>'AGG ASIA CELLULAR'!G43</f>
        <v>11.466142328229227</v>
      </c>
      <c r="P15" s="286">
        <f>'AGG ASIA CELLULAR'!H43</f>
        <v>0.18831027118838706</v>
      </c>
      <c r="S15" s="88"/>
      <c r="T15" s="42"/>
      <c r="U15" s="42"/>
      <c r="V15" s="42"/>
      <c r="W15" s="42"/>
      <c r="X15" s="42"/>
      <c r="Y15" s="42"/>
      <c r="Z15" s="42"/>
      <c r="AA15" s="42"/>
    </row>
    <row r="16" spans="2:27">
      <c r="B16" s="5" t="s">
        <v>534</v>
      </c>
      <c r="C16" s="257"/>
      <c r="D16" s="533">
        <v>0</v>
      </c>
      <c r="E16" s="533">
        <v>0</v>
      </c>
      <c r="F16" s="533">
        <v>97.806203183008876</v>
      </c>
      <c r="G16" s="533">
        <v>206.08066368586231</v>
      </c>
      <c r="H16" s="247"/>
      <c r="I16" s="247"/>
      <c r="J16" s="5" t="s">
        <v>533</v>
      </c>
      <c r="L16" s="529">
        <f>'AGG ASIA CELLULAR'!D44</f>
        <v>20.50009040888548</v>
      </c>
      <c r="M16" s="529">
        <f>'AGG ASIA CELLULAR'!E44</f>
        <v>17.31807909095523</v>
      </c>
      <c r="N16" s="529">
        <f>'AGG ASIA CELLULAR'!F44</f>
        <v>14.883294016253318</v>
      </c>
      <c r="O16" s="529">
        <f>'AGG ASIA CELLULAR'!G44</f>
        <v>13.16548576425039</v>
      </c>
      <c r="P16" s="286">
        <f>'AGG ASIA CELLULAR'!H44</f>
        <v>0.15839482711139796</v>
      </c>
      <c r="S16" s="88"/>
      <c r="T16" s="42"/>
      <c r="U16" s="42"/>
      <c r="V16" s="42"/>
      <c r="W16" s="42"/>
      <c r="X16" s="42"/>
      <c r="Y16" s="42"/>
      <c r="Z16" s="42"/>
      <c r="AA16" s="42"/>
    </row>
    <row r="17" spans="2:27">
      <c r="B17" s="5" t="s">
        <v>6</v>
      </c>
      <c r="C17" s="257"/>
      <c r="D17" s="533">
        <v>0</v>
      </c>
      <c r="E17" s="533">
        <v>0</v>
      </c>
      <c r="F17" s="533">
        <v>0</v>
      </c>
      <c r="G17" s="533">
        <v>0</v>
      </c>
      <c r="H17" s="247"/>
      <c r="I17" s="247"/>
      <c r="J17" s="5" t="s">
        <v>580</v>
      </c>
      <c r="L17" s="248">
        <f>'AGG ASIA CELLULAR'!D45</f>
        <v>4.174038595528512E-2</v>
      </c>
      <c r="M17" s="248">
        <f>'AGG ASIA CELLULAR'!E45</f>
        <v>4.4792872771489058E-2</v>
      </c>
      <c r="N17" s="248">
        <f>'AGG ASIA CELLULAR'!F45</f>
        <v>5.1203391440393167E-2</v>
      </c>
      <c r="O17" s="248">
        <f>'AGG ASIA CELLULAR'!G45</f>
        <v>5.7913719466381006E-2</v>
      </c>
      <c r="P17" s="286">
        <f>'AGG ASIA CELLULAR'!H45</f>
        <v>0.11470165475568339</v>
      </c>
      <c r="S17" s="88"/>
      <c r="T17" s="42"/>
      <c r="U17" s="42"/>
      <c r="V17" s="42"/>
      <c r="W17" s="42"/>
      <c r="X17" s="42"/>
      <c r="Y17" s="42"/>
      <c r="Z17" s="42"/>
      <c r="AA17" s="42"/>
    </row>
    <row r="18" spans="2:27" ht="12.6" thickBot="1">
      <c r="B18" s="41" t="s">
        <v>583</v>
      </c>
      <c r="C18" s="249"/>
      <c r="D18" s="534">
        <f>D11+D12+D13-D14+D15-D16-D17</f>
        <v>1272.987751459684</v>
      </c>
      <c r="E18" s="534">
        <f>E11+E12+E13-E14+E15-E16-E17</f>
        <v>1226.5476007287532</v>
      </c>
      <c r="F18" s="534">
        <f>F11+F12+F13-F14+F15-F16-F17</f>
        <v>1068.6602475414336</v>
      </c>
      <c r="G18" s="534">
        <f>G11+G12+G13-G14+G15-G16-G17</f>
        <v>901.93897558444917</v>
      </c>
      <c r="H18" s="276">
        <f>IF(D18=0,"nm",IF(G18=0,"nm",(G18/D18)^(1/3)-1))</f>
        <v>-0.10850760400842352</v>
      </c>
      <c r="I18" s="254"/>
      <c r="J18" s="5" t="s">
        <v>36</v>
      </c>
      <c r="L18" s="248" t="e">
        <f>'AGG ASIA CELLULAR'!D46</f>
        <v>#VALUE!</v>
      </c>
      <c r="M18" s="248" t="e">
        <f>'AGG ASIA CELLULAR'!E46</f>
        <v>#VALUE!</v>
      </c>
      <c r="N18" s="248" t="e">
        <f>'AGG ASIA CELLULAR'!F46</f>
        <v>#VALUE!</v>
      </c>
      <c r="O18" s="248" t="e">
        <f>'AGG ASIA CELLULAR'!G46</f>
        <v>#VALUE!</v>
      </c>
      <c r="P18" s="286" t="e">
        <f>'AGG ASIA CELLULAR'!H46</f>
        <v>#VALUE!</v>
      </c>
      <c r="S18" s="88"/>
      <c r="T18" s="42"/>
      <c r="U18" s="42"/>
      <c r="V18" s="42"/>
      <c r="W18" s="42"/>
      <c r="X18" s="42"/>
      <c r="Y18" s="42"/>
      <c r="Z18" s="42"/>
      <c r="AA18" s="42"/>
    </row>
    <row r="19" spans="2:27" ht="12.6" thickTop="1">
      <c r="B19" s="41"/>
      <c r="C19" s="249"/>
      <c r="D19" s="229"/>
      <c r="E19" s="229"/>
      <c r="F19" s="229"/>
      <c r="G19" s="229"/>
      <c r="H19" s="276"/>
      <c r="I19" s="254"/>
      <c r="J19" s="5" t="s">
        <v>581</v>
      </c>
      <c r="L19" s="248">
        <f>'AGG ASIA CELLULAR'!D47</f>
        <v>5.1871620732991598E-2</v>
      </c>
      <c r="M19" s="248">
        <f>'AGG ASIA CELLULAR'!E47</f>
        <v>6.4420378727447922E-2</v>
      </c>
      <c r="N19" s="248">
        <f>'AGG ASIA CELLULAR'!F47</f>
        <v>7.5429650559386677E-2</v>
      </c>
      <c r="O19" s="248">
        <f>'AGG ASIA CELLULAR'!G47</f>
        <v>8.7213290344219457E-2</v>
      </c>
      <c r="P19" s="286">
        <f>'AGG ASIA CELLULAR'!H47</f>
        <v>0.18831027118838706</v>
      </c>
      <c r="S19" s="88"/>
      <c r="T19" s="42"/>
      <c r="U19" s="42"/>
      <c r="V19" s="42"/>
      <c r="W19" s="42"/>
      <c r="X19" s="42"/>
      <c r="Y19" s="42"/>
      <c r="Z19" s="42"/>
      <c r="AA19" s="42"/>
    </row>
    <row r="20" spans="2:27">
      <c r="H20" s="277"/>
      <c r="I20" s="17"/>
      <c r="J20" s="5" t="s">
        <v>604</v>
      </c>
      <c r="L20" s="305">
        <f>'AGG ASIA CELLULAR'!D48</f>
        <v>0.92045377326476352</v>
      </c>
      <c r="M20" s="305">
        <f>'AGG ASIA CELLULAR'!E48</f>
        <v>0.79490390762892493</v>
      </c>
      <c r="N20" s="305">
        <f>'AGG ASIA CELLULAR'!F48</f>
        <v>0.7763724496707467</v>
      </c>
      <c r="O20" s="305">
        <f>'AGG ASIA CELLULAR'!G48</f>
        <v>0.75978089170129071</v>
      </c>
      <c r="P20" s="286" t="str">
        <f>'AGG ASIA CELLULAR'!H48</f>
        <v>nm</v>
      </c>
      <c r="S20" s="88"/>
      <c r="T20" s="42"/>
      <c r="U20" s="42"/>
      <c r="V20" s="42"/>
      <c r="W20" s="42"/>
      <c r="X20" s="42"/>
      <c r="Y20" s="42"/>
      <c r="Z20" s="42"/>
      <c r="AA20" s="42"/>
    </row>
    <row r="21" spans="2:27" ht="12.6" thickBot="1">
      <c r="B21" s="306" t="s">
        <v>934</v>
      </c>
      <c r="C21" s="265"/>
      <c r="D21" s="265" t="str">
        <f>D5</f>
        <v>2023E</v>
      </c>
      <c r="E21" s="265" t="str">
        <f t="shared" ref="E21:H21" si="2">E5</f>
        <v>2024E</v>
      </c>
      <c r="F21" s="265" t="str">
        <f t="shared" si="2"/>
        <v>2025E</v>
      </c>
      <c r="G21" s="265" t="str">
        <f t="shared" si="2"/>
        <v>2026E</v>
      </c>
      <c r="H21" s="265" t="str">
        <f t="shared" si="2"/>
        <v>23E-26E</v>
      </c>
      <c r="I21" s="49"/>
      <c r="J21" s="41"/>
      <c r="L21" s="250"/>
      <c r="M21" s="250"/>
      <c r="N21" s="250"/>
      <c r="O21" s="250"/>
      <c r="P21" s="286"/>
      <c r="S21" s="88"/>
      <c r="T21" s="42"/>
      <c r="U21" s="42"/>
      <c r="V21" s="42"/>
      <c r="W21" s="42"/>
      <c r="X21" s="42"/>
      <c r="Y21" s="42"/>
      <c r="Z21" s="42"/>
      <c r="AA21" s="42"/>
    </row>
    <row r="22" spans="2:27" ht="12.6" thickTop="1">
      <c r="B22" s="5"/>
      <c r="C22" s="257"/>
      <c r="D22" s="17"/>
      <c r="E22" s="17"/>
      <c r="F22" s="17"/>
      <c r="G22" s="17"/>
      <c r="H22" s="17"/>
      <c r="I22" s="17"/>
      <c r="P22" s="277"/>
      <c r="S22" s="88"/>
      <c r="T22" s="42"/>
      <c r="U22" s="42"/>
      <c r="V22" s="42"/>
      <c r="W22" s="42"/>
      <c r="X22" s="42"/>
      <c r="Y22" s="42"/>
      <c r="Z22" s="42"/>
      <c r="AA22" s="42"/>
    </row>
    <row r="23" spans="2:27" ht="12.6" thickBot="1">
      <c r="B23" s="5" t="s">
        <v>584</v>
      </c>
      <c r="C23" s="548">
        <v>937.25900000000001</v>
      </c>
      <c r="D23" s="540">
        <v>1009.309</v>
      </c>
      <c r="E23" s="540">
        <v>1057.7240964596579</v>
      </c>
      <c r="F23" s="540">
        <v>1104.4965576487832</v>
      </c>
      <c r="G23" s="540">
        <v>1149.0081610041113</v>
      </c>
      <c r="H23" s="279">
        <f t="shared" ref="H23:H32" si="3">IF(D23=0,"nm",IF(G23=0,"nm",(G23/D23)^(1/3)-1))</f>
        <v>4.4158245805836938E-2</v>
      </c>
      <c r="I23" s="247"/>
      <c r="J23" s="306" t="s">
        <v>9</v>
      </c>
      <c r="K23" s="306"/>
      <c r="L23" s="265" t="str">
        <f>D21</f>
        <v>2023E</v>
      </c>
      <c r="M23" s="265" t="str">
        <f t="shared" ref="M23:P23" si="4">E21</f>
        <v>2024E</v>
      </c>
      <c r="N23" s="265" t="str">
        <f t="shared" si="4"/>
        <v>2025E</v>
      </c>
      <c r="O23" s="265" t="str">
        <f t="shared" si="4"/>
        <v>2026E</v>
      </c>
      <c r="P23" s="265" t="str">
        <f t="shared" si="4"/>
        <v>23E-26E</v>
      </c>
      <c r="S23" s="88"/>
      <c r="T23" s="42"/>
      <c r="U23" s="42"/>
      <c r="V23" s="42"/>
      <c r="W23" s="42"/>
      <c r="X23" s="42"/>
      <c r="Y23" s="42"/>
      <c r="Z23" s="42"/>
      <c r="AA23" s="42"/>
    </row>
    <row r="24" spans="2:27" ht="12.6" thickTop="1">
      <c r="B24" s="5" t="s">
        <v>483</v>
      </c>
      <c r="C24" s="549">
        <v>329.17599999999999</v>
      </c>
      <c r="D24" s="540">
        <v>341.47800000000001</v>
      </c>
      <c r="E24" s="540">
        <v>356.41862693835338</v>
      </c>
      <c r="F24" s="540">
        <v>371.33265746897143</v>
      </c>
      <c r="G24" s="540">
        <v>385.65195223420636</v>
      </c>
      <c r="H24" s="279">
        <f t="shared" si="3"/>
        <v>4.1384081993670385E-2</v>
      </c>
      <c r="I24" s="249"/>
      <c r="J24" s="17"/>
      <c r="K24" s="17"/>
      <c r="L24" s="17"/>
      <c r="M24" s="17"/>
      <c r="N24" s="17"/>
      <c r="O24" s="248"/>
      <c r="S24" s="88"/>
      <c r="T24" s="42"/>
      <c r="U24" s="42"/>
      <c r="V24" s="42"/>
      <c r="W24" s="42" t="s">
        <v>479</v>
      </c>
      <c r="X24" s="42" t="s">
        <v>257</v>
      </c>
      <c r="Y24" s="42"/>
      <c r="Z24" s="42"/>
      <c r="AA24" s="42"/>
    </row>
    <row r="25" spans="2:27">
      <c r="B25" s="5" t="s">
        <v>183</v>
      </c>
      <c r="C25" s="548">
        <v>153.364</v>
      </c>
      <c r="D25" s="540">
        <v>171.001</v>
      </c>
      <c r="E25" s="540">
        <v>189.08497598386199</v>
      </c>
      <c r="F25" s="540">
        <v>207.74922204650261</v>
      </c>
      <c r="G25" s="540">
        <v>219.16822762009122</v>
      </c>
      <c r="H25" s="279">
        <f t="shared" si="3"/>
        <v>8.6241310160845019E-2</v>
      </c>
      <c r="I25" s="248"/>
      <c r="J25" s="247" t="s">
        <v>10</v>
      </c>
      <c r="K25" s="247"/>
      <c r="L25" s="321">
        <v>0</v>
      </c>
      <c r="M25" s="321">
        <v>0</v>
      </c>
      <c r="N25" s="321">
        <v>0</v>
      </c>
      <c r="O25" s="321">
        <v>0</v>
      </c>
      <c r="P25" s="279" t="str">
        <f>IF(L25=0,"nm",IF(O25=0,"nm",(O25/L25)^(1/3)-1))</f>
        <v>nm</v>
      </c>
      <c r="S25" s="88"/>
      <c r="T25" s="42"/>
      <c r="U25" s="42"/>
      <c r="V25" s="147" t="s">
        <v>273</v>
      </c>
      <c r="W25" s="288">
        <f>D37/L9</f>
        <v>0.60541341552946393</v>
      </c>
      <c r="X25" s="288">
        <v>1</v>
      </c>
      <c r="Y25" s="42"/>
      <c r="Z25" s="42"/>
      <c r="AA25" s="42"/>
    </row>
    <row r="26" spans="2:27">
      <c r="B26" s="5" t="s">
        <v>586</v>
      </c>
      <c r="C26" s="548">
        <v>118.26218267105457</v>
      </c>
      <c r="D26" s="540">
        <v>132.29862567509718</v>
      </c>
      <c r="E26" s="540">
        <v>146.28968519759357</v>
      </c>
      <c r="F26" s="540">
        <v>160.72968322888696</v>
      </c>
      <c r="G26" s="540">
        <v>169.56424410257802</v>
      </c>
      <c r="H26" s="279">
        <f t="shared" si="3"/>
        <v>8.6241310160845019E-2</v>
      </c>
      <c r="I26" s="249"/>
      <c r="J26" s="249" t="s">
        <v>11</v>
      </c>
      <c r="K26" s="249"/>
      <c r="L26" s="281">
        <f>D11+L25</f>
        <v>1453.0634236267479</v>
      </c>
      <c r="M26" s="281">
        <f>E11+M25</f>
        <v>1453.0634236267479</v>
      </c>
      <c r="N26" s="281">
        <f>F11+N25</f>
        <v>1453.0634236267479</v>
      </c>
      <c r="O26" s="281">
        <f>G11+O25</f>
        <v>1453.0634236267479</v>
      </c>
      <c r="P26" s="279">
        <f>IF(L26=0,"nm",IF(O26=0,"nm",(O26/L26)^(1/3)-1))</f>
        <v>0</v>
      </c>
      <c r="Q26" s="5"/>
      <c r="S26" s="88"/>
      <c r="T26" s="42"/>
      <c r="U26" s="42"/>
      <c r="V26" s="147" t="s">
        <v>184</v>
      </c>
      <c r="W26" s="288">
        <f t="shared" ref="W26:W33" si="5">D38/L10</f>
        <v>0.5863398542016881</v>
      </c>
      <c r="X26" s="288">
        <v>1</v>
      </c>
      <c r="Y26" s="42"/>
      <c r="Z26" s="42"/>
      <c r="AA26" s="42"/>
    </row>
    <row r="27" spans="2:27">
      <c r="B27" s="5" t="s">
        <v>587</v>
      </c>
      <c r="C27" s="549">
        <v>1194.675</v>
      </c>
      <c r="D27" s="540">
        <v>1689.3619999999999</v>
      </c>
      <c r="E27" s="540">
        <v>1665.653200004466</v>
      </c>
      <c r="F27" s="540">
        <v>1637.9917522050835</v>
      </c>
      <c r="G27" s="540">
        <v>1607.0017340187546</v>
      </c>
      <c r="H27" s="279">
        <f t="shared" si="3"/>
        <v>-1.6522244423797461E-2</v>
      </c>
      <c r="I27" s="249"/>
      <c r="J27" s="248"/>
      <c r="K27" s="248"/>
      <c r="L27" s="248"/>
      <c r="M27" s="248"/>
      <c r="N27" s="248"/>
      <c r="O27" s="248"/>
      <c r="Q27" s="41"/>
      <c r="S27" s="88"/>
      <c r="T27" s="42"/>
      <c r="U27" s="42"/>
      <c r="V27" s="147" t="s">
        <v>185</v>
      </c>
      <c r="W27" s="288">
        <f t="shared" si="5"/>
        <v>0.60738719579785649</v>
      </c>
      <c r="X27" s="288">
        <v>1</v>
      </c>
      <c r="Y27" s="42"/>
      <c r="Z27" s="42"/>
      <c r="AA27" s="42"/>
    </row>
    <row r="28" spans="2:27" ht="12.6" thickBot="1">
      <c r="B28" s="5" t="s">
        <v>592</v>
      </c>
      <c r="C28" s="548">
        <v>741.029</v>
      </c>
      <c r="D28" s="540">
        <v>714.66300000000001</v>
      </c>
      <c r="E28" s="540">
        <v>770.14522528022064</v>
      </c>
      <c r="F28" s="540">
        <v>822.62102299260437</v>
      </c>
      <c r="G28" s="540">
        <v>872.7443071980565</v>
      </c>
      <c r="H28" s="279">
        <f t="shared" si="3"/>
        <v>6.8879075890788899E-2</v>
      </c>
      <c r="I28" s="248"/>
      <c r="J28" s="306" t="s">
        <v>1362</v>
      </c>
      <c r="K28" s="306"/>
      <c r="L28" s="306"/>
      <c r="M28" s="306"/>
      <c r="N28" s="266"/>
      <c r="O28" s="266"/>
      <c r="P28" s="266"/>
      <c r="Q28" s="5"/>
      <c r="S28" s="88"/>
      <c r="T28" s="42"/>
      <c r="U28" s="42"/>
      <c r="V28" s="147" t="s">
        <v>466</v>
      </c>
      <c r="W28" s="288">
        <f t="shared" si="5"/>
        <v>0.60321590991635143</v>
      </c>
      <c r="X28" s="288">
        <v>1</v>
      </c>
      <c r="Y28" s="42"/>
      <c r="Z28" s="42"/>
      <c r="AA28" s="42"/>
    </row>
    <row r="29" spans="2:27" ht="12.6" thickTop="1">
      <c r="B29" s="5" t="s">
        <v>588</v>
      </c>
      <c r="C29" s="548">
        <v>59.382480000000015</v>
      </c>
      <c r="D29" s="540">
        <v>76.83494479999996</v>
      </c>
      <c r="E29" s="540">
        <v>87.175225736702629</v>
      </c>
      <c r="F29" s="540">
        <v>102.10168710472581</v>
      </c>
      <c r="G29" s="540">
        <v>110.64458822520234</v>
      </c>
      <c r="H29" s="279">
        <f t="shared" si="3"/>
        <v>0.12925094955416516</v>
      </c>
      <c r="I29" s="252"/>
      <c r="J29" s="249"/>
      <c r="K29" s="249"/>
      <c r="L29" s="249"/>
      <c r="M29" s="249"/>
      <c r="N29" s="249"/>
      <c r="O29" s="251"/>
      <c r="Q29" s="5"/>
      <c r="S29" s="88"/>
      <c r="T29" s="42"/>
      <c r="U29" s="42"/>
      <c r="V29" s="147" t="s">
        <v>530</v>
      </c>
      <c r="W29" s="288">
        <f t="shared" si="5"/>
        <v>0.52788857134784173</v>
      </c>
      <c r="X29" s="288">
        <v>1</v>
      </c>
      <c r="Y29" s="42"/>
      <c r="Z29" s="42"/>
      <c r="AA29" s="42"/>
    </row>
    <row r="30" spans="2:27">
      <c r="B30" s="5" t="s">
        <v>589</v>
      </c>
      <c r="C30" s="549">
        <v>125.459</v>
      </c>
      <c r="D30" s="540">
        <v>131.76599999999999</v>
      </c>
      <c r="E30" s="540">
        <v>137.83333253880346</v>
      </c>
      <c r="F30" s="540">
        <v>146.47036889489743</v>
      </c>
      <c r="G30" s="540">
        <v>156.4973411785104</v>
      </c>
      <c r="H30" s="279">
        <f t="shared" si="3"/>
        <v>5.9012778158243462E-2</v>
      </c>
      <c r="I30" s="254"/>
      <c r="J30" s="248"/>
      <c r="K30" s="248"/>
      <c r="L30" s="248"/>
      <c r="M30" s="248"/>
      <c r="N30" s="248"/>
      <c r="O30" s="5"/>
      <c r="Q30" s="5"/>
      <c r="S30" s="88"/>
      <c r="T30" s="42"/>
      <c r="U30" s="42"/>
      <c r="V30" s="147" t="s">
        <v>593</v>
      </c>
      <c r="W30" s="288">
        <f t="shared" si="5"/>
        <v>0.61146566801577718</v>
      </c>
      <c r="X30" s="288">
        <v>1</v>
      </c>
      <c r="Y30" s="42"/>
      <c r="Z30" s="42"/>
      <c r="AA30" s="42"/>
    </row>
    <row r="31" spans="2:27">
      <c r="B31" s="5" t="s">
        <v>590</v>
      </c>
      <c r="C31" s="549">
        <v>82.155643920584026</v>
      </c>
      <c r="D31" s="540">
        <v>94.740969279822124</v>
      </c>
      <c r="E31" s="540">
        <v>96.322794785852636</v>
      </c>
      <c r="F31" s="540">
        <v>106.74546019295353</v>
      </c>
      <c r="G31" s="540">
        <v>117.17770970104772</v>
      </c>
      <c r="H31" s="279">
        <f t="shared" si="3"/>
        <v>7.3418461965862436E-2</v>
      </c>
      <c r="I31" s="254"/>
      <c r="J31" s="252"/>
      <c r="K31" s="252"/>
      <c r="L31" s="252"/>
      <c r="M31" s="252"/>
      <c r="N31" s="252"/>
      <c r="O31" s="5"/>
      <c r="Q31" s="5"/>
      <c r="S31" s="88"/>
      <c r="T31" s="42"/>
      <c r="U31" s="42"/>
      <c r="V31" s="147" t="s">
        <v>475</v>
      </c>
      <c r="W31" s="288">
        <f t="shared" si="5"/>
        <v>0.98096972682863193</v>
      </c>
      <c r="X31" s="288">
        <v>1</v>
      </c>
      <c r="Y31" s="42"/>
      <c r="Z31" s="42"/>
      <c r="AA31" s="42"/>
    </row>
    <row r="32" spans="2:27">
      <c r="B32" s="5" t="s">
        <v>606</v>
      </c>
      <c r="C32" s="550">
        <v>0</v>
      </c>
      <c r="D32" s="540">
        <v>0</v>
      </c>
      <c r="E32" s="540">
        <v>0</v>
      </c>
      <c r="F32" s="540">
        <v>0</v>
      </c>
      <c r="G32" s="540">
        <v>0</v>
      </c>
      <c r="H32" s="279" t="str">
        <f t="shared" si="3"/>
        <v>nm</v>
      </c>
      <c r="I32" s="254"/>
      <c r="J32" s="254"/>
      <c r="K32" s="254"/>
      <c r="L32" s="254"/>
      <c r="M32" s="254"/>
      <c r="N32" s="254"/>
      <c r="O32" s="251"/>
      <c r="Q32" s="5"/>
      <c r="S32" s="88"/>
      <c r="T32" s="42"/>
      <c r="U32" s="42"/>
      <c r="V32" s="147" t="s">
        <v>533</v>
      </c>
      <c r="W32" s="288">
        <f t="shared" si="5"/>
        <v>0.53792958743563668</v>
      </c>
      <c r="X32" s="288">
        <v>1</v>
      </c>
      <c r="Y32" s="42"/>
      <c r="Z32" s="42"/>
      <c r="AA32" s="42"/>
    </row>
    <row r="33" spans="2:27">
      <c r="B33" s="5" t="s">
        <v>5</v>
      </c>
      <c r="C33" s="549">
        <v>13.398999999999999</v>
      </c>
      <c r="D33" s="540">
        <v>17.404</v>
      </c>
      <c r="E33" s="540">
        <v>11.725439080776123</v>
      </c>
      <c r="F33" s="540">
        <v>10.879666816132735</v>
      </c>
      <c r="G33" s="540">
        <v>11.289007433812174</v>
      </c>
      <c r="H33" s="279">
        <f>IF(D33=0,"nm",IF(G33=0,"nm",(G33/D33)^(1/3)-1))</f>
        <v>-0.13436349786198232</v>
      </c>
      <c r="I33" s="5"/>
      <c r="J33" s="254"/>
      <c r="K33" s="254"/>
      <c r="L33" s="254"/>
      <c r="M33" s="254"/>
      <c r="N33" s="254"/>
      <c r="O33" s="251"/>
      <c r="Q33" s="5"/>
      <c r="S33" s="88"/>
      <c r="T33" s="42"/>
      <c r="U33" s="42"/>
      <c r="V33" s="147" t="s">
        <v>580</v>
      </c>
      <c r="W33" s="288">
        <f t="shared" si="5"/>
        <v>1.5620566937494369</v>
      </c>
      <c r="X33" s="288">
        <v>1</v>
      </c>
      <c r="Y33" s="42"/>
      <c r="Z33" s="42"/>
      <c r="AA33" s="42"/>
    </row>
    <row r="34" spans="2:27">
      <c r="B34" s="5" t="s">
        <v>265</v>
      </c>
      <c r="C34" s="249">
        <v>0</v>
      </c>
      <c r="D34" s="322">
        <v>0</v>
      </c>
      <c r="E34" s="322">
        <v>0</v>
      </c>
      <c r="F34" s="322">
        <v>0</v>
      </c>
      <c r="G34" s="322" t="e">
        <v>#VALUE!</v>
      </c>
      <c r="H34" s="279"/>
      <c r="I34" s="49"/>
      <c r="J34" s="254"/>
      <c r="K34" s="254"/>
      <c r="L34" s="254"/>
      <c r="M34" s="254"/>
      <c r="N34" s="254"/>
      <c r="O34" s="251"/>
      <c r="Q34" s="5"/>
      <c r="S34" s="88"/>
      <c r="T34" s="42"/>
      <c r="U34" s="42"/>
      <c r="V34" s="147" t="s">
        <v>581</v>
      </c>
      <c r="W34" s="288">
        <f>D47/L19</f>
        <v>1.0193994500043246</v>
      </c>
      <c r="X34" s="288">
        <v>1</v>
      </c>
      <c r="Y34" s="288"/>
      <c r="Z34" s="288"/>
      <c r="AA34" s="42"/>
    </row>
    <row r="35" spans="2:27" ht="12.6" thickBot="1">
      <c r="B35" s="306" t="s">
        <v>299</v>
      </c>
      <c r="C35" s="265"/>
      <c r="D35" s="265" t="str">
        <f>D5</f>
        <v>2023E</v>
      </c>
      <c r="E35" s="265" t="str">
        <f t="shared" ref="E35:H35" si="6">E5</f>
        <v>2024E</v>
      </c>
      <c r="F35" s="265" t="str">
        <f t="shared" si="6"/>
        <v>2025E</v>
      </c>
      <c r="G35" s="265" t="str">
        <f t="shared" si="6"/>
        <v>2026E</v>
      </c>
      <c r="H35" s="265" t="str">
        <f t="shared" si="6"/>
        <v>23E-26E</v>
      </c>
      <c r="I35" s="254"/>
      <c r="J35" s="5"/>
      <c r="K35" s="5"/>
      <c r="L35" s="5"/>
      <c r="M35" s="5"/>
      <c r="N35" s="5"/>
      <c r="O35" s="5"/>
      <c r="Q35" s="5"/>
      <c r="S35" s="88"/>
      <c r="T35" s="42"/>
      <c r="U35" s="42"/>
      <c r="V35" s="42"/>
      <c r="W35" s="42"/>
      <c r="X35" s="42"/>
      <c r="Y35" s="288"/>
      <c r="Z35" s="288"/>
      <c r="AA35" s="42"/>
    </row>
    <row r="36" spans="2:27" ht="12.6" thickTop="1">
      <c r="B36" s="41"/>
      <c r="C36" s="249"/>
      <c r="D36" s="254"/>
      <c r="E36" s="254"/>
      <c r="F36" s="254"/>
      <c r="G36" s="254"/>
      <c r="H36" s="254"/>
      <c r="I36" s="17"/>
      <c r="J36" s="49"/>
      <c r="K36" s="49"/>
      <c r="L36" s="49"/>
      <c r="M36" s="49"/>
      <c r="N36" s="49"/>
      <c r="O36" s="49"/>
      <c r="Q36" s="5"/>
      <c r="S36" s="88"/>
      <c r="T36" s="42"/>
      <c r="U36" s="42"/>
      <c r="V36" s="42"/>
      <c r="W36" s="42"/>
      <c r="X36" s="42"/>
      <c r="Y36" s="288"/>
      <c r="Z36" s="288"/>
      <c r="AA36" s="42"/>
    </row>
    <row r="37" spans="2:27">
      <c r="B37" s="5" t="s">
        <v>273</v>
      </c>
      <c r="C37" s="247"/>
      <c r="D37" s="529">
        <f>D$18/D23</f>
        <v>1.2612468049523824</v>
      </c>
      <c r="E37" s="529">
        <f t="shared" ref="E37:G41" si="7">E$18/E23</f>
        <v>1.1596101524340514</v>
      </c>
      <c r="F37" s="529">
        <f t="shared" si="7"/>
        <v>0.96755416768012681</v>
      </c>
      <c r="G37" s="529">
        <f t="shared" si="7"/>
        <v>0.7849717749578472</v>
      </c>
      <c r="H37" s="17">
        <f t="shared" ref="H37:H45" si="8">H23</f>
        <v>4.4158245805836938E-2</v>
      </c>
      <c r="I37" s="5"/>
      <c r="J37" s="259"/>
      <c r="K37" s="259"/>
      <c r="L37" s="259"/>
      <c r="M37" s="259"/>
      <c r="N37" s="259"/>
      <c r="O37" s="18"/>
      <c r="Q37" s="5"/>
      <c r="R37" s="5"/>
      <c r="S37" s="42"/>
      <c r="T37" s="42"/>
      <c r="U37" s="42"/>
      <c r="V37" s="42"/>
      <c r="W37" s="42"/>
      <c r="X37" s="42"/>
      <c r="Y37" s="42"/>
      <c r="Z37" s="42"/>
      <c r="AA37" s="42"/>
    </row>
    <row r="38" spans="2:27">
      <c r="B38" s="5" t="s">
        <v>184</v>
      </c>
      <c r="C38" s="247"/>
      <c r="D38" s="529">
        <f>D$18/D24</f>
        <v>3.7278763242717949</v>
      </c>
      <c r="E38" s="529">
        <f t="shared" si="7"/>
        <v>3.4413117273494755</v>
      </c>
      <c r="F38" s="529">
        <f t="shared" si="7"/>
        <v>2.8779053661089069</v>
      </c>
      <c r="G38" s="529">
        <f t="shared" si="7"/>
        <v>2.3387382596126516</v>
      </c>
      <c r="H38" s="17">
        <f t="shared" si="8"/>
        <v>4.1384081993670385E-2</v>
      </c>
      <c r="I38" s="259"/>
      <c r="J38" s="17"/>
      <c r="K38" s="17"/>
      <c r="L38" s="17"/>
      <c r="M38" s="17"/>
      <c r="N38" s="17"/>
      <c r="O38" s="5"/>
      <c r="Q38" s="5"/>
      <c r="R38" s="5"/>
      <c r="S38" s="42"/>
      <c r="T38" s="42"/>
      <c r="U38" s="42"/>
      <c r="V38" s="42"/>
      <c r="W38" s="42"/>
      <c r="X38" s="42"/>
      <c r="Y38" s="42"/>
      <c r="Z38" s="42"/>
      <c r="AA38" s="42"/>
    </row>
    <row r="39" spans="2:27">
      <c r="B39" s="5" t="s">
        <v>185</v>
      </c>
      <c r="C39" s="247"/>
      <c r="D39" s="529">
        <f>D$18/D25</f>
        <v>7.4443292814643423</v>
      </c>
      <c r="E39" s="529">
        <f t="shared" si="7"/>
        <v>6.4867533464606755</v>
      </c>
      <c r="F39" s="529">
        <f t="shared" si="7"/>
        <v>5.1439915731777059</v>
      </c>
      <c r="G39" s="529">
        <f t="shared" si="7"/>
        <v>4.1152816052693586</v>
      </c>
      <c r="H39" s="17">
        <f t="shared" si="8"/>
        <v>8.6241310160845019E-2</v>
      </c>
      <c r="I39" s="17"/>
      <c r="J39" s="5"/>
      <c r="K39" s="5"/>
      <c r="L39" s="5"/>
      <c r="M39" s="5"/>
      <c r="N39" s="5"/>
      <c r="O39" s="5"/>
      <c r="Q39" s="5"/>
      <c r="R39" s="5"/>
      <c r="S39" s="42"/>
      <c r="T39" s="42"/>
      <c r="U39" s="42"/>
      <c r="V39" s="42"/>
      <c r="W39" s="42"/>
      <c r="X39" s="42"/>
      <c r="Y39" s="42"/>
      <c r="Z39" s="42"/>
      <c r="AA39" s="42"/>
    </row>
    <row r="40" spans="2:27">
      <c r="B40" s="5" t="s">
        <v>466</v>
      </c>
      <c r="C40" s="247"/>
      <c r="D40" s="529">
        <f>D$18/D26</f>
        <v>9.6220784226884142</v>
      </c>
      <c r="E40" s="529">
        <f t="shared" si="7"/>
        <v>8.3843751462863185</v>
      </c>
      <c r="F40" s="529">
        <f t="shared" si="7"/>
        <v>6.6488045398534688</v>
      </c>
      <c r="G40" s="529">
        <f t="shared" si="7"/>
        <v>5.3191578233841597</v>
      </c>
      <c r="H40" s="17">
        <f t="shared" si="8"/>
        <v>8.6241310160845019E-2</v>
      </c>
      <c r="I40" s="5"/>
      <c r="J40" s="259"/>
      <c r="K40" s="259"/>
      <c r="L40" s="259"/>
      <c r="M40" s="259"/>
      <c r="N40" s="259"/>
      <c r="O40" s="18"/>
      <c r="Q40" s="5"/>
      <c r="R40" s="5"/>
      <c r="S40" s="42"/>
      <c r="T40" s="42"/>
      <c r="U40" s="42"/>
      <c r="V40" s="42"/>
      <c r="W40" s="288"/>
      <c r="X40" s="288"/>
      <c r="Y40" s="42"/>
      <c r="Z40" s="42"/>
      <c r="AA40" s="42"/>
    </row>
    <row r="41" spans="2:27">
      <c r="B41" s="5" t="s">
        <v>530</v>
      </c>
      <c r="C41" s="247"/>
      <c r="D41" s="529">
        <f>D$18/D27</f>
        <v>0.75353165956123325</v>
      </c>
      <c r="E41" s="529">
        <f t="shared" si="7"/>
        <v>0.73637633615776954</v>
      </c>
      <c r="F41" s="529">
        <f t="shared" si="7"/>
        <v>0.65242101866678559</v>
      </c>
      <c r="G41" s="529">
        <f t="shared" si="7"/>
        <v>0.56125575753356527</v>
      </c>
      <c r="H41" s="17">
        <f t="shared" si="8"/>
        <v>-1.6522244423797461E-2</v>
      </c>
      <c r="I41" s="247"/>
      <c r="J41" s="17"/>
      <c r="K41" s="17"/>
      <c r="L41" s="17"/>
      <c r="M41" s="17"/>
      <c r="N41" s="17"/>
      <c r="O41" s="5"/>
      <c r="Q41" s="5"/>
      <c r="R41" s="5"/>
      <c r="S41" s="42"/>
      <c r="T41" s="42"/>
      <c r="U41" s="42"/>
      <c r="V41" s="42"/>
      <c r="W41" s="288"/>
      <c r="X41" s="288"/>
      <c r="Y41" s="288"/>
      <c r="Z41" s="288"/>
      <c r="AA41" s="42"/>
    </row>
    <row r="42" spans="2:27">
      <c r="B42" s="5" t="s">
        <v>593</v>
      </c>
      <c r="C42" s="247"/>
      <c r="D42" s="529">
        <f>D18/D28</f>
        <v>1.7812420000191473</v>
      </c>
      <c r="E42" s="529">
        <f>E18/E28</f>
        <v>1.5926185873352245</v>
      </c>
      <c r="F42" s="529">
        <f>F18/F28</f>
        <v>1.2990918268217431</v>
      </c>
      <c r="G42" s="529">
        <f>G18/G28</f>
        <v>1.0334515712627472</v>
      </c>
      <c r="H42" s="17">
        <f t="shared" si="8"/>
        <v>6.8879075890788899E-2</v>
      </c>
      <c r="I42" s="248"/>
      <c r="J42" s="5"/>
      <c r="K42" s="5"/>
      <c r="L42" s="5"/>
      <c r="M42" s="5"/>
      <c r="N42" s="5"/>
      <c r="O42" s="5"/>
      <c r="Q42" s="5"/>
      <c r="R42" s="5"/>
      <c r="S42" s="42"/>
      <c r="T42" s="42"/>
      <c r="U42" s="42"/>
      <c r="V42" s="42"/>
      <c r="W42" s="288"/>
      <c r="X42" s="288"/>
      <c r="Y42" s="288"/>
      <c r="Z42" s="288"/>
      <c r="AA42" s="42"/>
    </row>
    <row r="43" spans="2:27">
      <c r="B43" s="5" t="s">
        <v>475</v>
      </c>
      <c r="C43" s="247"/>
      <c r="D43" s="529">
        <f>L26/D29</f>
        <v>18.911491736072005</v>
      </c>
      <c r="E43" s="529">
        <f>M26/E29</f>
        <v>16.668306979960903</v>
      </c>
      <c r="F43" s="529">
        <f>N26/F29</f>
        <v>14.231531964171554</v>
      </c>
      <c r="G43" s="529">
        <f>O26/G29</f>
        <v>13.132711205623817</v>
      </c>
      <c r="H43" s="17">
        <f t="shared" si="8"/>
        <v>0.12925094955416516</v>
      </c>
      <c r="I43" s="247"/>
      <c r="J43" s="247"/>
      <c r="K43" s="247"/>
      <c r="L43" s="247"/>
      <c r="M43" s="247"/>
      <c r="N43" s="247"/>
      <c r="O43" s="18"/>
      <c r="Q43" s="5"/>
      <c r="R43" s="5"/>
      <c r="S43" s="42"/>
      <c r="T43" s="42"/>
      <c r="U43" s="42"/>
      <c r="V43" s="42"/>
      <c r="W43" s="288"/>
      <c r="X43" s="288"/>
      <c r="Y43" s="288"/>
      <c r="Z43" s="288"/>
      <c r="AA43" s="42"/>
    </row>
    <row r="44" spans="2:27">
      <c r="B44" s="5" t="s">
        <v>533</v>
      </c>
      <c r="C44" s="69"/>
      <c r="D44" s="529">
        <f>D11/D30</f>
        <v>11.02760517604502</v>
      </c>
      <c r="E44" s="529">
        <f>E11/E30</f>
        <v>10.542177257577915</v>
      </c>
      <c r="F44" s="529">
        <f>F11/F30</f>
        <v>9.9205281900356308</v>
      </c>
      <c r="G44" s="529">
        <f>G11/G30</f>
        <v>9.2849080545674916</v>
      </c>
      <c r="H44" s="17">
        <f t="shared" si="8"/>
        <v>5.9012778158243462E-2</v>
      </c>
      <c r="I44" s="247"/>
      <c r="J44" s="248"/>
      <c r="K44" s="248"/>
      <c r="L44" s="248"/>
      <c r="M44" s="248"/>
      <c r="N44" s="248"/>
      <c r="O44" s="248"/>
      <c r="Q44" s="5"/>
      <c r="R44" s="5"/>
      <c r="S44" s="42"/>
      <c r="T44" s="42"/>
      <c r="U44" s="42"/>
      <c r="V44" s="42"/>
      <c r="W44" s="325"/>
      <c r="X44" s="325"/>
      <c r="Y44" s="288"/>
      <c r="Z44" s="288"/>
      <c r="AA44" s="42"/>
    </row>
    <row r="45" spans="2:27">
      <c r="B45" s="5" t="s">
        <v>580</v>
      </c>
      <c r="C45" s="247"/>
      <c r="D45" s="248">
        <f>D31/D11</f>
        <v>6.5200849281138104E-2</v>
      </c>
      <c r="E45" s="248">
        <f>E31/E11</f>
        <v>6.6289463501488094E-2</v>
      </c>
      <c r="F45" s="248">
        <f>F31/F11</f>
        <v>7.3462354400556096E-2</v>
      </c>
      <c r="G45" s="248">
        <f>G31/G11</f>
        <v>8.064184108948258E-2</v>
      </c>
      <c r="H45" s="17">
        <f t="shared" si="8"/>
        <v>7.3418461965862436E-2</v>
      </c>
      <c r="I45" s="248"/>
      <c r="J45" s="247"/>
      <c r="K45" s="247"/>
      <c r="L45" s="247"/>
      <c r="M45" s="247"/>
      <c r="N45" s="247"/>
      <c r="O45" s="248"/>
      <c r="Q45" s="5"/>
      <c r="R45" s="5"/>
      <c r="S45" s="42"/>
      <c r="T45" s="42"/>
      <c r="U45" s="42"/>
      <c r="V45" s="42"/>
      <c r="W45" s="42"/>
      <c r="X45" s="42"/>
      <c r="Y45" s="325"/>
      <c r="Z45" s="325"/>
      <c r="AA45" s="42"/>
    </row>
    <row r="46" spans="2:27">
      <c r="B46" s="5" t="s">
        <v>605</v>
      </c>
      <c r="C46" s="247"/>
      <c r="D46" s="248">
        <f>(D31+D32)/D11</f>
        <v>6.5200849281138104E-2</v>
      </c>
      <c r="E46" s="248">
        <f>(E31+E32)/E11</f>
        <v>6.6289463501488094E-2</v>
      </c>
      <c r="F46" s="248">
        <f>(F31+F32)/F11</f>
        <v>7.3462354400556096E-2</v>
      </c>
      <c r="G46" s="248">
        <f>(G31+G32)/G11</f>
        <v>8.064184108948258E-2</v>
      </c>
      <c r="H46" s="279">
        <f>((G31+G32)/(D31+D32))^(1/3)-1</f>
        <v>7.3418461965862436E-2</v>
      </c>
      <c r="I46" s="247"/>
      <c r="J46" s="247"/>
      <c r="K46" s="247"/>
      <c r="L46" s="247"/>
      <c r="M46" s="247"/>
      <c r="N46" s="247"/>
      <c r="O46" s="18"/>
      <c r="Q46" s="5"/>
      <c r="R46" s="5"/>
      <c r="S46" s="42"/>
      <c r="T46" s="42"/>
      <c r="U46" s="42"/>
      <c r="V46" s="42"/>
      <c r="W46" s="42"/>
      <c r="X46" s="42"/>
      <c r="Y46" s="42"/>
      <c r="Z46" s="42"/>
      <c r="AA46" s="326"/>
    </row>
    <row r="47" spans="2:27">
      <c r="B47" s="5" t="s">
        <v>581</v>
      </c>
      <c r="C47" s="5"/>
      <c r="D47" s="248">
        <f>1/D43</f>
        <v>5.2877901646044563E-2</v>
      </c>
      <c r="E47" s="248">
        <f>1/E43</f>
        <v>5.9994095453259143E-2</v>
      </c>
      <c r="F47" s="248">
        <f>1/F43</f>
        <v>7.0266504162555352E-2</v>
      </c>
      <c r="G47" s="248">
        <f>1/G43</f>
        <v>7.6145739013264088E-2</v>
      </c>
      <c r="H47" s="17">
        <f>H29</f>
        <v>0.12925094955416516</v>
      </c>
      <c r="I47" s="17"/>
      <c r="J47" s="248"/>
      <c r="K47" s="248"/>
      <c r="L47" s="248"/>
      <c r="M47" s="248"/>
      <c r="N47" s="248"/>
      <c r="O47" s="248"/>
      <c r="Q47" s="5"/>
      <c r="R47" s="5"/>
      <c r="S47" s="42"/>
      <c r="T47" s="42"/>
      <c r="U47" s="42"/>
      <c r="V47" s="42"/>
      <c r="W47" s="42"/>
      <c r="X47" s="42"/>
      <c r="Y47" s="42"/>
      <c r="Z47" s="42"/>
      <c r="AA47" s="326"/>
    </row>
    <row r="48" spans="2:27">
      <c r="B48" s="5" t="s">
        <v>618</v>
      </c>
      <c r="C48" s="5"/>
      <c r="D48" s="305">
        <f>D31/D29</f>
        <v>1.2330453223651197</v>
      </c>
      <c r="E48" s="305">
        <f>E31/E29</f>
        <v>1.1049331271797176</v>
      </c>
      <c r="F48" s="305">
        <f>F31/F29</f>
        <v>1.0454818448148129</v>
      </c>
      <c r="G48" s="305">
        <f>G31/G29</f>
        <v>1.059046010117983</v>
      </c>
      <c r="H48" s="279" t="s">
        <v>607</v>
      </c>
      <c r="I48" s="247"/>
      <c r="J48" s="247"/>
      <c r="K48" s="247"/>
      <c r="L48" s="247"/>
      <c r="M48" s="247"/>
      <c r="N48" s="247"/>
      <c r="O48" s="248"/>
      <c r="Q48" s="5"/>
      <c r="R48" s="5"/>
      <c r="S48" s="42"/>
      <c r="T48" s="42"/>
      <c r="U48" s="42"/>
      <c r="V48" s="42"/>
      <c r="W48" s="42"/>
      <c r="X48" s="42"/>
      <c r="Y48" s="42"/>
      <c r="Z48" s="42"/>
      <c r="AA48" s="326"/>
    </row>
    <row r="49" spans="2:27">
      <c r="B49" s="41"/>
      <c r="C49" s="17"/>
      <c r="D49" s="17"/>
      <c r="E49" s="17"/>
      <c r="F49" s="17"/>
      <c r="G49" s="17"/>
      <c r="H49" s="17"/>
      <c r="I49" s="254"/>
      <c r="J49" s="17"/>
      <c r="K49" s="17"/>
      <c r="L49" s="17"/>
      <c r="M49" s="17"/>
      <c r="N49" s="17"/>
      <c r="O49" s="248"/>
      <c r="Q49" s="5"/>
      <c r="R49" s="5"/>
      <c r="S49" s="42"/>
      <c r="T49" s="42"/>
      <c r="U49" s="42"/>
      <c r="V49" s="42"/>
      <c r="W49" s="42"/>
      <c r="X49" s="42"/>
      <c r="Y49" s="42"/>
      <c r="Z49" s="42"/>
      <c r="AA49" s="326"/>
    </row>
    <row r="50" spans="2:27">
      <c r="B50" s="5"/>
      <c r="C50" s="257"/>
      <c r="D50" s="257"/>
      <c r="E50" s="257"/>
      <c r="F50" s="5"/>
      <c r="G50" s="41"/>
      <c r="H50" s="249"/>
      <c r="I50" s="17"/>
      <c r="J50" s="249"/>
      <c r="K50" s="249"/>
      <c r="L50" s="249"/>
      <c r="M50" s="249"/>
      <c r="N50" s="249"/>
      <c r="O50" s="250"/>
      <c r="Q50" s="5"/>
      <c r="R50" s="5"/>
      <c r="S50" s="42"/>
      <c r="T50" s="42"/>
      <c r="U50" s="42"/>
      <c r="V50" s="42"/>
      <c r="W50" s="288"/>
      <c r="X50" s="288"/>
      <c r="Y50" s="42"/>
      <c r="Z50" s="42"/>
      <c r="AA50" s="326"/>
    </row>
    <row r="51" spans="2:27">
      <c r="B51" s="41"/>
      <c r="C51" s="249"/>
      <c r="D51" s="254"/>
      <c r="E51" s="254"/>
      <c r="F51" s="254"/>
      <c r="G51" s="254"/>
      <c r="H51" s="254"/>
      <c r="I51" s="259"/>
      <c r="J51" s="254"/>
      <c r="K51" s="254"/>
      <c r="L51" s="254"/>
      <c r="M51" s="254"/>
      <c r="N51" s="254"/>
      <c r="O51" s="251"/>
      <c r="Q51" s="5"/>
      <c r="R51" s="5"/>
      <c r="S51" s="42"/>
      <c r="T51" s="42"/>
      <c r="U51" s="42"/>
      <c r="V51" s="42"/>
      <c r="W51" s="288"/>
      <c r="X51" s="288"/>
      <c r="Y51" s="288"/>
      <c r="Z51" s="288"/>
      <c r="AA51" s="42"/>
    </row>
    <row r="52" spans="2:27">
      <c r="B52" s="5"/>
      <c r="C52" s="257"/>
      <c r="D52" s="17"/>
      <c r="E52" s="17"/>
      <c r="F52" s="17"/>
      <c r="G52" s="17"/>
      <c r="H52" s="17"/>
      <c r="I52" s="254"/>
      <c r="J52" s="17"/>
      <c r="K52" s="17"/>
      <c r="L52" s="17"/>
      <c r="M52" s="17"/>
      <c r="N52" s="17"/>
      <c r="O52" s="248"/>
      <c r="Q52" s="5"/>
      <c r="R52" s="5"/>
      <c r="S52" s="5"/>
      <c r="Y52" s="10"/>
      <c r="Z52" s="10"/>
    </row>
    <row r="53" spans="2:27">
      <c r="B53" s="5"/>
      <c r="C53" s="257"/>
      <c r="D53" s="257"/>
      <c r="E53" s="257"/>
      <c r="F53" s="5"/>
      <c r="G53" s="5"/>
      <c r="H53" s="259"/>
      <c r="I53" s="17"/>
      <c r="J53" s="259"/>
      <c r="K53" s="259"/>
      <c r="L53" s="259"/>
      <c r="M53" s="259"/>
      <c r="N53" s="259"/>
      <c r="O53" s="18"/>
      <c r="Q53" s="5"/>
      <c r="R53" s="5"/>
      <c r="S53" s="5"/>
    </row>
    <row r="54" spans="2:27">
      <c r="B54" s="41"/>
      <c r="C54" s="249"/>
      <c r="D54" s="254"/>
      <c r="E54" s="254"/>
      <c r="F54" s="254"/>
      <c r="G54" s="254"/>
      <c r="H54" s="254"/>
      <c r="I54" s="259"/>
      <c r="J54" s="254"/>
      <c r="K54" s="254"/>
      <c r="L54" s="254"/>
      <c r="M54" s="254"/>
      <c r="N54" s="254"/>
      <c r="O54" s="251"/>
      <c r="Q54" s="5"/>
      <c r="R54" s="5"/>
      <c r="S54" s="5"/>
    </row>
    <row r="55" spans="2:27">
      <c r="B55" s="5"/>
      <c r="C55" s="257"/>
      <c r="D55" s="17"/>
      <c r="E55" s="17"/>
      <c r="F55" s="17"/>
      <c r="G55" s="17"/>
      <c r="H55" s="17"/>
      <c r="I55" s="249"/>
      <c r="J55" s="17"/>
      <c r="K55" s="17"/>
      <c r="L55" s="17"/>
      <c r="M55" s="17"/>
      <c r="N55" s="17"/>
      <c r="O55" s="18"/>
      <c r="Q55" s="5"/>
      <c r="R55" s="5"/>
      <c r="S55" s="5"/>
    </row>
    <row r="56" spans="2:27">
      <c r="B56" s="5"/>
      <c r="C56" s="248"/>
      <c r="D56" s="248"/>
      <c r="E56" s="248"/>
      <c r="F56" s="5"/>
      <c r="G56" s="5"/>
      <c r="H56" s="259"/>
      <c r="I56" s="248"/>
      <c r="J56" s="259"/>
      <c r="K56" s="259"/>
      <c r="L56" s="259"/>
      <c r="M56" s="259"/>
      <c r="N56" s="259"/>
      <c r="O56" s="18"/>
      <c r="Q56" s="5"/>
      <c r="R56" s="5"/>
      <c r="S56" s="5"/>
    </row>
    <row r="57" spans="2:27">
      <c r="B57" s="41"/>
      <c r="C57" s="249"/>
      <c r="D57" s="249"/>
      <c r="E57" s="249"/>
      <c r="F57" s="249"/>
      <c r="G57" s="249"/>
      <c r="H57" s="249"/>
      <c r="I57" s="5"/>
      <c r="J57" s="249"/>
      <c r="K57" s="249"/>
      <c r="L57" s="249"/>
      <c r="M57" s="249"/>
      <c r="N57" s="249"/>
      <c r="O57" s="251"/>
      <c r="Q57" s="5"/>
      <c r="R57" s="5"/>
      <c r="S57" s="5"/>
    </row>
    <row r="58" spans="2:27">
      <c r="B58" s="5"/>
      <c r="C58" s="5"/>
      <c r="D58" s="248"/>
      <c r="E58" s="248"/>
      <c r="F58" s="248"/>
      <c r="G58" s="248"/>
      <c r="H58" s="248"/>
      <c r="I58" s="17"/>
      <c r="J58" s="248"/>
      <c r="K58" s="248"/>
      <c r="L58" s="248"/>
      <c r="M58" s="248"/>
      <c r="N58" s="248"/>
      <c r="O58" s="18"/>
      <c r="Q58" s="5"/>
      <c r="R58" s="5"/>
      <c r="S58" s="5"/>
    </row>
    <row r="59" spans="2:27">
      <c r="B59" s="5"/>
      <c r="C59" s="5"/>
      <c r="D59" s="5"/>
      <c r="E59" s="5"/>
      <c r="F59" s="5"/>
      <c r="G59" s="5"/>
      <c r="H59" s="5"/>
      <c r="I59" s="5"/>
      <c r="J59" s="5"/>
      <c r="K59" s="5"/>
      <c r="L59" s="5"/>
      <c r="M59" s="5"/>
      <c r="N59" s="5"/>
      <c r="O59" s="5"/>
      <c r="Q59" s="5"/>
      <c r="R59" s="5"/>
      <c r="S59" s="5"/>
    </row>
    <row r="60" spans="2:27">
      <c r="B60" s="41"/>
      <c r="C60" s="17"/>
      <c r="D60" s="17"/>
      <c r="E60" s="17"/>
      <c r="F60" s="17"/>
      <c r="G60" s="17"/>
      <c r="H60" s="17"/>
      <c r="I60" s="249"/>
      <c r="J60" s="17"/>
      <c r="K60" s="17"/>
      <c r="L60" s="17"/>
      <c r="M60" s="17"/>
      <c r="N60" s="17"/>
      <c r="O60" s="251"/>
      <c r="Q60" s="5"/>
      <c r="R60" s="5"/>
      <c r="S60" s="5"/>
    </row>
    <row r="61" spans="2:27">
      <c r="B61" s="5"/>
      <c r="C61" s="5"/>
      <c r="D61" s="5"/>
      <c r="E61" s="5"/>
      <c r="F61" s="5"/>
      <c r="G61" s="5"/>
      <c r="H61" s="5"/>
      <c r="I61" s="5"/>
      <c r="J61" s="5"/>
      <c r="K61" s="5"/>
      <c r="L61" s="5"/>
      <c r="M61" s="5"/>
      <c r="N61" s="5"/>
      <c r="O61" s="5"/>
      <c r="Q61" s="41"/>
      <c r="R61" s="5"/>
      <c r="S61" s="5"/>
    </row>
    <row r="62" spans="2:27">
      <c r="B62" s="41"/>
      <c r="C62" s="249"/>
      <c r="D62" s="249"/>
      <c r="E62" s="249"/>
      <c r="F62" s="249"/>
      <c r="G62" s="249"/>
      <c r="H62" s="249"/>
      <c r="I62" s="5"/>
      <c r="J62" s="249"/>
      <c r="K62" s="249"/>
      <c r="L62" s="249"/>
      <c r="M62" s="249"/>
      <c r="N62" s="249"/>
      <c r="O62" s="251"/>
      <c r="Q62" s="5"/>
      <c r="R62" s="5"/>
      <c r="S62" s="5"/>
    </row>
    <row r="63" spans="2:27">
      <c r="B63" s="5"/>
      <c r="C63" s="5"/>
      <c r="D63" s="5"/>
      <c r="E63" s="5"/>
      <c r="F63" s="5"/>
      <c r="G63" s="5"/>
      <c r="H63" s="5"/>
      <c r="I63" s="254"/>
      <c r="J63" s="5"/>
      <c r="K63" s="5"/>
      <c r="L63" s="5"/>
      <c r="M63" s="5"/>
      <c r="N63" s="5"/>
      <c r="O63" s="5"/>
      <c r="Q63" s="5"/>
      <c r="R63" s="5"/>
      <c r="S63" s="5"/>
    </row>
    <row r="64" spans="2:27">
      <c r="B64" s="5"/>
      <c r="C64" s="5"/>
      <c r="D64" s="5"/>
      <c r="E64" s="5"/>
      <c r="F64" s="5"/>
      <c r="G64" s="5"/>
      <c r="H64" s="5"/>
      <c r="I64" s="17"/>
      <c r="J64" s="5"/>
      <c r="K64" s="5"/>
      <c r="L64" s="5"/>
      <c r="M64" s="5"/>
      <c r="N64" s="5"/>
      <c r="O64" s="5"/>
      <c r="Q64" s="5"/>
      <c r="R64" s="5"/>
      <c r="S64" s="5"/>
    </row>
    <row r="65" spans="2:26">
      <c r="B65" s="41"/>
      <c r="C65" s="249"/>
      <c r="D65" s="254"/>
      <c r="E65" s="254"/>
      <c r="F65" s="254"/>
      <c r="G65" s="254"/>
      <c r="H65" s="254"/>
      <c r="I65" s="254"/>
      <c r="J65" s="254"/>
      <c r="K65" s="254"/>
      <c r="L65" s="254"/>
      <c r="M65" s="254"/>
      <c r="N65" s="254"/>
      <c r="O65" s="251"/>
      <c r="Q65" s="5"/>
      <c r="R65" s="5"/>
      <c r="S65" s="5"/>
    </row>
    <row r="66" spans="2:26">
      <c r="B66" s="5"/>
      <c r="C66" s="5"/>
      <c r="D66" s="17"/>
      <c r="E66" s="17"/>
      <c r="F66" s="17"/>
      <c r="G66" s="17"/>
      <c r="H66" s="17"/>
      <c r="I66" s="248"/>
      <c r="J66" s="17"/>
      <c r="K66" s="17"/>
      <c r="L66" s="17"/>
      <c r="M66" s="17"/>
      <c r="N66" s="17"/>
      <c r="O66" s="5"/>
      <c r="Q66" s="5"/>
      <c r="R66" s="5"/>
      <c r="S66" s="5"/>
    </row>
    <row r="67" spans="2:26">
      <c r="B67" s="41"/>
      <c r="C67" s="249"/>
      <c r="D67" s="254"/>
      <c r="E67" s="254"/>
      <c r="F67" s="254"/>
      <c r="G67" s="254"/>
      <c r="H67" s="254"/>
      <c r="I67" s="5"/>
      <c r="J67" s="254"/>
      <c r="K67" s="254"/>
      <c r="L67" s="254"/>
      <c r="M67" s="254"/>
      <c r="N67" s="254"/>
      <c r="O67" s="251"/>
      <c r="Q67" s="41"/>
      <c r="R67" s="5"/>
      <c r="S67" s="5"/>
    </row>
    <row r="68" spans="2:26">
      <c r="B68" s="5"/>
      <c r="C68" s="5"/>
      <c r="D68" s="248"/>
      <c r="E68" s="248"/>
      <c r="F68" s="248"/>
      <c r="G68" s="248"/>
      <c r="H68" s="248"/>
      <c r="I68" s="245"/>
      <c r="J68" s="248"/>
      <c r="K68" s="248"/>
      <c r="L68" s="248"/>
      <c r="M68" s="248"/>
      <c r="N68" s="248"/>
      <c r="O68" s="5"/>
      <c r="Q68" s="5"/>
      <c r="R68" s="5"/>
      <c r="S68" s="5"/>
    </row>
    <row r="69" spans="2:26">
      <c r="B69" s="41"/>
      <c r="C69" s="5"/>
      <c r="D69" s="5"/>
      <c r="E69" s="5"/>
      <c r="F69" s="5"/>
      <c r="G69" s="5"/>
      <c r="H69" s="5"/>
      <c r="I69" s="248"/>
      <c r="J69" s="5"/>
      <c r="K69" s="5"/>
      <c r="L69" s="5"/>
      <c r="M69" s="5"/>
      <c r="N69" s="5"/>
      <c r="O69" s="5"/>
      <c r="Q69" s="5"/>
      <c r="R69" s="5"/>
      <c r="S69" s="5"/>
    </row>
    <row r="70" spans="2:26">
      <c r="B70" s="41"/>
      <c r="C70" s="245"/>
      <c r="D70" s="245"/>
      <c r="E70" s="245"/>
      <c r="F70" s="245"/>
      <c r="G70" s="245"/>
      <c r="H70" s="245"/>
      <c r="I70" s="5"/>
      <c r="J70" s="245"/>
      <c r="K70" s="245"/>
      <c r="L70" s="245"/>
      <c r="M70" s="245"/>
      <c r="N70" s="245"/>
      <c r="O70" s="251"/>
      <c r="Q70" s="5"/>
      <c r="R70" s="5"/>
      <c r="S70" s="5"/>
      <c r="W70" s="76"/>
      <c r="X70" s="76"/>
    </row>
    <row r="71" spans="2:26">
      <c r="B71" s="5"/>
      <c r="C71" s="5"/>
      <c r="D71" s="248"/>
      <c r="E71" s="248"/>
      <c r="F71" s="248"/>
      <c r="G71" s="248"/>
      <c r="H71" s="248"/>
      <c r="I71" s="245"/>
      <c r="J71" s="248"/>
      <c r="K71" s="248"/>
      <c r="L71" s="248"/>
      <c r="M71" s="248"/>
      <c r="N71" s="248"/>
      <c r="O71" s="5"/>
      <c r="Q71" s="5"/>
      <c r="R71" s="5"/>
      <c r="S71" s="5"/>
      <c r="W71" s="76"/>
      <c r="X71" s="76"/>
      <c r="Y71" s="76"/>
      <c r="Z71" s="76"/>
    </row>
    <row r="72" spans="2:26">
      <c r="B72" s="41"/>
      <c r="C72" s="5"/>
      <c r="D72" s="5"/>
      <c r="E72" s="5"/>
      <c r="F72" s="5"/>
      <c r="G72" s="5"/>
      <c r="H72" s="5"/>
      <c r="I72" s="18"/>
      <c r="J72" s="5"/>
      <c r="K72" s="5"/>
      <c r="L72" s="5"/>
      <c r="M72" s="5"/>
      <c r="N72" s="5"/>
      <c r="O72" s="5"/>
      <c r="Q72" s="5"/>
      <c r="R72" s="5"/>
      <c r="S72" s="5"/>
      <c r="Y72" s="76"/>
      <c r="Z72" s="76"/>
    </row>
    <row r="73" spans="2:26">
      <c r="B73" s="41"/>
      <c r="C73" s="245"/>
      <c r="D73" s="245"/>
      <c r="E73" s="245"/>
      <c r="F73" s="245"/>
      <c r="G73" s="245"/>
      <c r="H73" s="245"/>
      <c r="I73" s="5"/>
      <c r="J73" s="245"/>
      <c r="K73" s="245"/>
      <c r="L73" s="245"/>
      <c r="M73" s="245"/>
      <c r="N73" s="245"/>
      <c r="O73" s="251"/>
      <c r="Q73" s="5"/>
      <c r="R73" s="5"/>
      <c r="S73" s="5"/>
    </row>
    <row r="74" spans="2:26">
      <c r="B74" s="5"/>
      <c r="C74" s="5"/>
      <c r="D74" s="18"/>
      <c r="E74" s="18"/>
      <c r="F74" s="18"/>
      <c r="G74" s="18"/>
      <c r="H74" s="18"/>
      <c r="I74" s="249"/>
      <c r="J74" s="18"/>
      <c r="K74" s="18"/>
      <c r="L74" s="18"/>
      <c r="M74" s="18"/>
      <c r="N74" s="18"/>
      <c r="O74" s="5"/>
      <c r="Q74" s="5"/>
      <c r="R74" s="5"/>
      <c r="S74" s="5"/>
    </row>
    <row r="75" spans="2:26">
      <c r="B75" s="41"/>
      <c r="C75" s="5"/>
      <c r="D75" s="5"/>
      <c r="E75" s="5"/>
      <c r="F75" s="5"/>
      <c r="G75" s="5"/>
      <c r="H75" s="5"/>
      <c r="I75" s="248"/>
      <c r="J75" s="5"/>
      <c r="K75" s="5"/>
      <c r="L75" s="5"/>
      <c r="M75" s="5"/>
      <c r="N75" s="5"/>
      <c r="O75" s="5"/>
      <c r="Q75" s="5"/>
      <c r="R75" s="5"/>
      <c r="S75" s="5"/>
    </row>
    <row r="76" spans="2:26">
      <c r="B76" s="41"/>
      <c r="C76" s="249"/>
      <c r="D76" s="249"/>
      <c r="E76" s="249"/>
      <c r="F76" s="249"/>
      <c r="G76" s="249"/>
      <c r="H76" s="249"/>
      <c r="I76" s="5"/>
      <c r="J76" s="249"/>
      <c r="K76" s="249"/>
      <c r="L76" s="249"/>
      <c r="M76" s="249"/>
      <c r="N76" s="249"/>
      <c r="O76" s="251"/>
      <c r="Q76" s="5"/>
      <c r="R76" s="5"/>
      <c r="S76" s="5"/>
    </row>
    <row r="77" spans="2:26">
      <c r="B77" s="5"/>
      <c r="C77" s="5"/>
      <c r="D77" s="248"/>
      <c r="E77" s="248"/>
      <c r="F77" s="248"/>
      <c r="G77" s="248"/>
      <c r="H77" s="248"/>
      <c r="I77" s="245"/>
      <c r="J77" s="248"/>
      <c r="K77" s="248"/>
      <c r="L77" s="248"/>
      <c r="M77" s="248"/>
      <c r="N77" s="248"/>
      <c r="O77" s="5"/>
      <c r="Q77" s="5"/>
      <c r="R77" s="5"/>
      <c r="S77" s="5"/>
    </row>
    <row r="78" spans="2:26">
      <c r="B78" s="41"/>
      <c r="C78" s="5"/>
      <c r="D78" s="5"/>
      <c r="E78" s="5"/>
      <c r="F78" s="5"/>
      <c r="G78" s="5"/>
      <c r="H78" s="5"/>
      <c r="I78" s="248"/>
      <c r="J78" s="5"/>
      <c r="K78" s="5"/>
      <c r="L78" s="5"/>
      <c r="M78" s="5"/>
      <c r="N78" s="5"/>
      <c r="O78" s="5"/>
      <c r="Q78" s="5"/>
      <c r="R78" s="5"/>
      <c r="S78" s="5"/>
    </row>
    <row r="79" spans="2:26">
      <c r="B79" s="41"/>
      <c r="C79" s="245"/>
      <c r="D79" s="245"/>
      <c r="E79" s="245"/>
      <c r="F79" s="245"/>
      <c r="G79" s="245"/>
      <c r="H79" s="245"/>
      <c r="I79" s="5"/>
      <c r="J79" s="245"/>
      <c r="K79" s="245"/>
      <c r="L79" s="245"/>
      <c r="M79" s="245"/>
      <c r="N79" s="245"/>
      <c r="O79" s="251"/>
      <c r="Q79" s="5"/>
      <c r="R79" s="5"/>
      <c r="S79" s="5"/>
    </row>
    <row r="80" spans="2:26">
      <c r="B80" s="5"/>
      <c r="C80" s="5"/>
      <c r="D80" s="248"/>
      <c r="E80" s="248"/>
      <c r="F80" s="248"/>
      <c r="G80" s="248"/>
      <c r="H80" s="248"/>
      <c r="I80" s="249"/>
      <c r="J80" s="248"/>
      <c r="K80" s="248"/>
      <c r="L80" s="248"/>
      <c r="M80" s="248"/>
      <c r="N80" s="248"/>
      <c r="O80" s="5"/>
      <c r="Q80" s="5"/>
      <c r="R80" s="5"/>
      <c r="S80" s="5"/>
    </row>
    <row r="81" spans="2:26">
      <c r="B81" s="41"/>
      <c r="C81" s="5"/>
      <c r="D81" s="5"/>
      <c r="E81" s="5"/>
      <c r="F81" s="5"/>
      <c r="G81" s="5"/>
      <c r="H81" s="5"/>
      <c r="I81" s="248"/>
      <c r="J81" s="5"/>
      <c r="K81" s="5"/>
      <c r="L81" s="5"/>
      <c r="M81" s="5"/>
      <c r="N81" s="5"/>
      <c r="O81" s="5"/>
      <c r="Q81" s="5"/>
      <c r="R81" s="5"/>
      <c r="S81" s="5"/>
    </row>
    <row r="82" spans="2:26">
      <c r="B82" s="41"/>
      <c r="C82" s="249"/>
      <c r="D82" s="249"/>
      <c r="E82" s="249"/>
      <c r="F82" s="249"/>
      <c r="G82" s="249"/>
      <c r="H82" s="249"/>
      <c r="I82" s="259"/>
      <c r="J82" s="249"/>
      <c r="K82" s="249"/>
      <c r="L82" s="249"/>
      <c r="M82" s="249"/>
      <c r="N82" s="249"/>
      <c r="O82" s="251"/>
      <c r="Q82" s="5"/>
      <c r="R82" s="5"/>
      <c r="S82" s="5"/>
    </row>
    <row r="83" spans="2:26">
      <c r="B83" s="5"/>
      <c r="C83" s="5"/>
      <c r="D83" s="248"/>
      <c r="E83" s="248"/>
      <c r="F83" s="248"/>
      <c r="G83" s="248"/>
      <c r="H83" s="248"/>
      <c r="I83" s="5"/>
      <c r="J83" s="248"/>
      <c r="K83" s="248"/>
      <c r="L83" s="248"/>
      <c r="M83" s="248"/>
      <c r="N83" s="248"/>
      <c r="O83" s="5"/>
      <c r="Q83" s="5"/>
      <c r="R83" s="5"/>
      <c r="S83" s="5"/>
    </row>
    <row r="84" spans="2:26">
      <c r="B84" s="5"/>
      <c r="C84" s="259"/>
      <c r="D84" s="259"/>
      <c r="E84" s="259"/>
      <c r="F84" s="259"/>
      <c r="G84" s="259"/>
      <c r="H84" s="259"/>
      <c r="I84" s="245"/>
      <c r="J84" s="259"/>
      <c r="K84" s="259"/>
      <c r="L84" s="259"/>
      <c r="M84" s="259"/>
      <c r="N84" s="259"/>
      <c r="O84" s="251"/>
      <c r="Q84" s="5"/>
      <c r="R84" s="5"/>
      <c r="S84" s="5"/>
    </row>
    <row r="85" spans="2:26">
      <c r="B85" s="41"/>
      <c r="C85" s="5"/>
      <c r="D85" s="5"/>
      <c r="E85" s="5"/>
      <c r="F85" s="5"/>
      <c r="G85" s="5"/>
      <c r="H85" s="5"/>
      <c r="I85" s="248"/>
      <c r="J85" s="5"/>
      <c r="K85" s="5"/>
      <c r="L85" s="5"/>
      <c r="M85" s="5"/>
      <c r="N85" s="5"/>
      <c r="O85" s="5"/>
      <c r="Q85" s="5"/>
      <c r="R85" s="5"/>
      <c r="S85" s="5"/>
    </row>
    <row r="86" spans="2:26">
      <c r="B86" s="41"/>
      <c r="C86" s="245"/>
      <c r="D86" s="245"/>
      <c r="E86" s="245"/>
      <c r="F86" s="245"/>
      <c r="G86" s="245"/>
      <c r="H86" s="245"/>
      <c r="I86" s="5"/>
      <c r="J86" s="245"/>
      <c r="K86" s="245"/>
      <c r="L86" s="245"/>
      <c r="M86" s="245"/>
      <c r="N86" s="245"/>
      <c r="O86" s="251"/>
      <c r="Q86" s="5"/>
      <c r="R86" s="5"/>
      <c r="S86" s="5"/>
    </row>
    <row r="87" spans="2:26">
      <c r="B87" s="5"/>
      <c r="C87" s="5"/>
      <c r="D87" s="248"/>
      <c r="E87" s="248"/>
      <c r="F87" s="248"/>
      <c r="G87" s="248"/>
      <c r="H87" s="248"/>
      <c r="I87" s="5"/>
      <c r="J87" s="248"/>
      <c r="K87" s="248"/>
      <c r="L87" s="248"/>
      <c r="M87" s="248"/>
      <c r="N87" s="248"/>
      <c r="O87" s="5"/>
      <c r="Q87" s="5"/>
      <c r="R87" s="5"/>
      <c r="S87" s="5"/>
    </row>
    <row r="88" spans="2:26">
      <c r="B88" s="41"/>
      <c r="C88" s="5"/>
      <c r="D88" s="5"/>
      <c r="E88" s="5"/>
      <c r="F88" s="5"/>
      <c r="G88" s="5"/>
      <c r="H88" s="5"/>
      <c r="I88" s="5"/>
      <c r="J88" s="5"/>
      <c r="K88" s="5"/>
      <c r="L88" s="5"/>
      <c r="M88" s="5"/>
      <c r="N88" s="5"/>
      <c r="O88" s="5"/>
      <c r="Q88" s="5"/>
      <c r="R88" s="5"/>
      <c r="S88" s="5"/>
    </row>
    <row r="89" spans="2:26">
      <c r="B89" s="41"/>
      <c r="C89" s="5"/>
      <c r="D89" s="5"/>
      <c r="E89" s="5"/>
      <c r="F89" s="5"/>
      <c r="G89" s="5"/>
      <c r="H89" s="5"/>
      <c r="I89" s="5"/>
      <c r="J89" s="5"/>
      <c r="K89" s="5"/>
      <c r="L89" s="5"/>
      <c r="M89" s="5"/>
      <c r="N89" s="5"/>
      <c r="O89" s="5"/>
      <c r="Q89" s="5"/>
      <c r="R89" s="5"/>
      <c r="S89" s="5"/>
    </row>
    <row r="90" spans="2:26">
      <c r="B90" s="41"/>
      <c r="C90" s="5"/>
      <c r="D90" s="5"/>
      <c r="E90" s="5"/>
      <c r="F90" s="5"/>
      <c r="G90" s="5"/>
      <c r="H90" s="5"/>
      <c r="I90" s="49"/>
      <c r="J90" s="5"/>
      <c r="K90" s="5"/>
      <c r="L90" s="5"/>
      <c r="M90" s="5"/>
      <c r="N90" s="5"/>
      <c r="O90" s="5"/>
      <c r="Q90" s="41"/>
      <c r="R90" s="5"/>
      <c r="S90" s="5"/>
    </row>
    <row r="91" spans="2:26">
      <c r="B91" s="5"/>
      <c r="C91" s="5"/>
      <c r="D91" s="5"/>
      <c r="E91" s="5"/>
      <c r="F91" s="5"/>
      <c r="G91" s="5"/>
      <c r="H91" s="5"/>
      <c r="I91" s="5"/>
      <c r="J91" s="5"/>
      <c r="K91" s="5"/>
      <c r="L91" s="5"/>
      <c r="M91" s="5"/>
      <c r="N91" s="5"/>
      <c r="O91" s="5"/>
      <c r="Q91" s="5"/>
      <c r="R91" s="5"/>
      <c r="S91" s="5"/>
    </row>
    <row r="92" spans="2:26">
      <c r="B92" s="41"/>
      <c r="C92" s="49"/>
      <c r="D92" s="49"/>
      <c r="E92" s="49"/>
      <c r="F92" s="49"/>
      <c r="G92" s="49"/>
      <c r="H92" s="49"/>
      <c r="I92" s="247"/>
      <c r="J92" s="49"/>
      <c r="K92" s="49"/>
      <c r="L92" s="49"/>
      <c r="M92" s="49"/>
      <c r="N92" s="49"/>
      <c r="O92" s="49"/>
      <c r="Q92" s="5"/>
      <c r="R92" s="5"/>
      <c r="S92" s="5"/>
      <c r="W92" s="21"/>
      <c r="X92" s="21"/>
    </row>
    <row r="93" spans="2:26">
      <c r="B93" s="5"/>
      <c r="C93" s="5"/>
      <c r="D93" s="5"/>
      <c r="E93" s="5"/>
      <c r="F93" s="5"/>
      <c r="G93" s="5"/>
      <c r="H93" s="5"/>
      <c r="I93" s="247"/>
      <c r="J93" s="5"/>
      <c r="K93" s="5"/>
      <c r="L93" s="5"/>
      <c r="M93" s="5"/>
      <c r="N93" s="5"/>
      <c r="O93" s="5"/>
      <c r="Q93" s="5"/>
      <c r="R93" s="5"/>
      <c r="S93" s="5"/>
      <c r="W93" s="21"/>
      <c r="X93" s="21"/>
      <c r="Y93" s="21"/>
      <c r="Z93" s="21"/>
    </row>
    <row r="94" spans="2:26">
      <c r="B94" s="5"/>
      <c r="C94" s="259"/>
      <c r="D94" s="247"/>
      <c r="E94" s="247"/>
      <c r="F94" s="247"/>
      <c r="G94" s="247"/>
      <c r="H94" s="247"/>
      <c r="I94" s="247"/>
      <c r="J94" s="247"/>
      <c r="K94" s="247"/>
      <c r="L94" s="247"/>
      <c r="M94" s="247"/>
      <c r="N94" s="247"/>
      <c r="O94" s="248"/>
      <c r="Q94" s="5"/>
      <c r="R94" s="5"/>
      <c r="S94" s="5"/>
      <c r="Y94" s="21"/>
      <c r="Z94" s="21"/>
    </row>
    <row r="95" spans="2:26">
      <c r="B95" s="5"/>
      <c r="C95" s="259"/>
      <c r="D95" s="247"/>
      <c r="E95" s="247"/>
      <c r="F95" s="247"/>
      <c r="G95" s="247"/>
      <c r="H95" s="247"/>
      <c r="I95" s="248"/>
      <c r="J95" s="247"/>
      <c r="K95" s="247"/>
      <c r="L95" s="247"/>
      <c r="M95" s="247"/>
      <c r="N95" s="247"/>
      <c r="O95" s="248"/>
      <c r="Q95" s="5"/>
      <c r="R95" s="5"/>
      <c r="S95" s="5"/>
    </row>
    <row r="96" spans="2:26">
      <c r="B96" s="5"/>
      <c r="C96" s="259"/>
      <c r="D96" s="247"/>
      <c r="E96" s="247"/>
      <c r="F96" s="247"/>
      <c r="G96" s="247"/>
      <c r="H96" s="247"/>
      <c r="I96" s="247"/>
      <c r="J96" s="247"/>
      <c r="K96" s="247"/>
      <c r="L96" s="247"/>
      <c r="M96" s="247"/>
      <c r="N96" s="247"/>
      <c r="O96" s="248"/>
      <c r="Q96" s="5"/>
      <c r="R96" s="5"/>
      <c r="S96" s="5"/>
    </row>
    <row r="97" spans="2:19">
      <c r="B97" s="5"/>
      <c r="C97" s="259"/>
      <c r="D97" s="248"/>
      <c r="E97" s="248"/>
      <c r="F97" s="248"/>
      <c r="G97" s="248"/>
      <c r="H97" s="248"/>
      <c r="I97" s="249"/>
      <c r="J97" s="248"/>
      <c r="K97" s="248"/>
      <c r="L97" s="248"/>
      <c r="M97" s="248"/>
      <c r="N97" s="248"/>
      <c r="O97" s="248"/>
      <c r="Q97" s="5"/>
      <c r="R97" s="5"/>
      <c r="S97" s="5"/>
    </row>
    <row r="98" spans="2:19">
      <c r="B98" s="5"/>
      <c r="C98" s="259"/>
      <c r="D98" s="247"/>
      <c r="E98" s="247"/>
      <c r="F98" s="247"/>
      <c r="G98" s="247"/>
      <c r="H98" s="247"/>
      <c r="I98" s="248"/>
      <c r="J98" s="247"/>
      <c r="K98" s="247"/>
      <c r="L98" s="247"/>
      <c r="M98" s="247"/>
      <c r="N98" s="247"/>
      <c r="O98" s="248"/>
      <c r="Q98" s="5"/>
      <c r="R98" s="5"/>
      <c r="S98" s="5"/>
    </row>
    <row r="99" spans="2:19">
      <c r="B99" s="41"/>
      <c r="C99" s="249"/>
      <c r="D99" s="249"/>
      <c r="E99" s="249"/>
      <c r="F99" s="249"/>
      <c r="G99" s="249"/>
      <c r="H99" s="249"/>
      <c r="I99" s="5"/>
      <c r="J99" s="249"/>
      <c r="K99" s="249"/>
      <c r="L99" s="249"/>
      <c r="M99" s="249"/>
      <c r="N99" s="249"/>
      <c r="O99" s="248"/>
      <c r="Q99" s="5"/>
      <c r="R99" s="5"/>
      <c r="S99" s="5"/>
    </row>
    <row r="100" spans="2:19">
      <c r="B100" s="41"/>
      <c r="C100" s="257"/>
      <c r="D100" s="248"/>
      <c r="E100" s="248"/>
      <c r="F100" s="248"/>
      <c r="G100" s="248"/>
      <c r="H100" s="248"/>
      <c r="I100" s="259"/>
      <c r="J100" s="248"/>
      <c r="K100" s="248"/>
      <c r="L100" s="248"/>
      <c r="M100" s="248"/>
      <c r="N100" s="248"/>
      <c r="O100" s="248"/>
      <c r="Q100" s="5"/>
      <c r="R100" s="5"/>
      <c r="S100" s="5"/>
    </row>
    <row r="101" spans="2:19" s="5" customFormat="1">
      <c r="B101" s="41"/>
      <c r="I101" s="259"/>
      <c r="O101" s="248"/>
      <c r="P101" s="39"/>
    </row>
    <row r="102" spans="2:19">
      <c r="B102" s="5"/>
      <c r="C102" s="259"/>
      <c r="D102" s="259"/>
      <c r="E102" s="259"/>
      <c r="F102" s="259"/>
      <c r="G102" s="259"/>
      <c r="H102" s="259"/>
      <c r="I102" s="247"/>
      <c r="J102" s="259"/>
      <c r="K102" s="259"/>
      <c r="L102" s="259"/>
      <c r="M102" s="259"/>
      <c r="N102" s="259"/>
      <c r="O102" s="5"/>
      <c r="Q102" s="5"/>
      <c r="R102" s="5"/>
      <c r="S102" s="5"/>
    </row>
    <row r="103" spans="2:19">
      <c r="B103" s="5"/>
      <c r="C103" s="259"/>
      <c r="D103" s="259"/>
      <c r="E103" s="259"/>
      <c r="F103" s="259"/>
      <c r="G103" s="259"/>
      <c r="H103" s="259"/>
      <c r="I103" s="5"/>
      <c r="J103" s="259"/>
      <c r="K103" s="259"/>
      <c r="L103" s="259"/>
      <c r="M103" s="259"/>
      <c r="N103" s="259"/>
      <c r="O103" s="5"/>
      <c r="P103" s="5"/>
      <c r="Q103" s="5"/>
      <c r="R103" s="5"/>
      <c r="S103" s="5"/>
    </row>
    <row r="104" spans="2:19">
      <c r="B104" s="5"/>
      <c r="C104" s="247"/>
      <c r="D104" s="247"/>
      <c r="E104" s="247"/>
      <c r="F104" s="247"/>
      <c r="G104" s="247"/>
      <c r="H104" s="247"/>
      <c r="I104" s="247"/>
      <c r="J104" s="247"/>
      <c r="K104" s="247"/>
      <c r="L104" s="247"/>
      <c r="M104" s="247"/>
      <c r="N104" s="247"/>
      <c r="O104" s="5"/>
      <c r="Q104" s="5"/>
      <c r="R104" s="5"/>
      <c r="S104" s="5"/>
    </row>
    <row r="105" spans="2:19" s="5" customFormat="1">
      <c r="P105" s="39"/>
    </row>
    <row r="106" spans="2:19" s="5" customFormat="1">
      <c r="C106" s="259"/>
      <c r="D106" s="247"/>
      <c r="E106" s="247"/>
      <c r="F106" s="247"/>
      <c r="G106" s="247"/>
      <c r="H106" s="247"/>
      <c r="I106" s="259"/>
      <c r="J106" s="247"/>
      <c r="K106" s="247"/>
      <c r="L106" s="247"/>
      <c r="M106" s="247"/>
      <c r="N106" s="247"/>
      <c r="P106" s="39"/>
    </row>
    <row r="107" spans="2:19">
      <c r="B107" s="5"/>
      <c r="C107" s="259"/>
      <c r="D107" s="5"/>
      <c r="E107" s="5"/>
      <c r="F107" s="5"/>
      <c r="G107" s="5"/>
      <c r="H107" s="5"/>
      <c r="I107" s="247"/>
      <c r="J107" s="5"/>
      <c r="K107" s="5"/>
      <c r="L107" s="5"/>
      <c r="M107" s="5"/>
      <c r="N107" s="5"/>
      <c r="O107" s="5"/>
      <c r="P107" s="5"/>
      <c r="Q107" s="5"/>
      <c r="R107" s="5"/>
      <c r="S107" s="5"/>
    </row>
    <row r="108" spans="2:19">
      <c r="B108" s="5"/>
      <c r="C108" s="259"/>
      <c r="D108" s="259"/>
      <c r="E108" s="259"/>
      <c r="F108" s="259"/>
      <c r="G108" s="259"/>
      <c r="H108" s="259"/>
      <c r="I108" s="249"/>
      <c r="J108" s="259"/>
      <c r="K108" s="259"/>
      <c r="L108" s="259"/>
      <c r="M108" s="259"/>
      <c r="N108" s="259"/>
      <c r="O108" s="5"/>
      <c r="P108" s="5"/>
      <c r="Q108" s="5"/>
      <c r="R108" s="5"/>
      <c r="S108" s="5"/>
    </row>
    <row r="109" spans="2:19">
      <c r="B109" s="5"/>
      <c r="C109" s="247"/>
      <c r="D109" s="247"/>
      <c r="E109" s="247"/>
      <c r="F109" s="247"/>
      <c r="G109" s="247"/>
      <c r="H109" s="247"/>
      <c r="I109" s="249"/>
      <c r="J109" s="247"/>
      <c r="K109" s="247"/>
      <c r="L109" s="247"/>
      <c r="M109" s="247"/>
      <c r="N109" s="247"/>
      <c r="O109" s="5"/>
      <c r="Q109" s="5"/>
      <c r="R109" s="5"/>
      <c r="S109" s="5"/>
    </row>
    <row r="110" spans="2:19">
      <c r="B110" s="41"/>
      <c r="C110" s="249"/>
      <c r="D110" s="249"/>
      <c r="E110" s="249"/>
      <c r="F110" s="249"/>
      <c r="G110" s="249"/>
      <c r="H110" s="249"/>
      <c r="I110" s="247"/>
      <c r="J110" s="249"/>
      <c r="K110" s="249"/>
      <c r="L110" s="249"/>
      <c r="M110" s="249"/>
      <c r="N110" s="249"/>
      <c r="O110" s="5"/>
      <c r="Q110" s="5"/>
      <c r="R110" s="5"/>
      <c r="S110" s="5"/>
    </row>
    <row r="111" spans="2:19">
      <c r="B111" s="5"/>
      <c r="C111" s="249"/>
      <c r="D111" s="249"/>
      <c r="E111" s="249"/>
      <c r="F111" s="249"/>
      <c r="G111" s="249"/>
      <c r="H111" s="249"/>
      <c r="I111" s="5"/>
      <c r="J111" s="249"/>
      <c r="K111" s="249"/>
      <c r="L111" s="249"/>
      <c r="M111" s="249"/>
      <c r="N111" s="249"/>
      <c r="O111" s="5"/>
      <c r="Q111" s="5"/>
      <c r="R111" s="5"/>
      <c r="S111" s="5"/>
    </row>
    <row r="112" spans="2:19">
      <c r="B112" s="5"/>
      <c r="C112" s="247"/>
      <c r="D112" s="247"/>
      <c r="E112" s="247"/>
      <c r="F112" s="247"/>
      <c r="G112" s="247"/>
      <c r="H112" s="247"/>
      <c r="I112" s="5"/>
      <c r="J112" s="247"/>
      <c r="K112" s="247"/>
      <c r="L112" s="247"/>
      <c r="M112" s="247"/>
      <c r="N112" s="247"/>
      <c r="O112" s="5"/>
      <c r="Q112" s="5"/>
      <c r="R112" s="5"/>
      <c r="S112" s="5"/>
    </row>
    <row r="113" spans="2:19">
      <c r="B113" s="5"/>
      <c r="C113" s="5"/>
      <c r="D113" s="5"/>
      <c r="E113" s="5"/>
      <c r="F113" s="5"/>
      <c r="G113" s="5"/>
      <c r="H113" s="5"/>
      <c r="I113" s="5"/>
      <c r="J113" s="5"/>
      <c r="K113" s="5"/>
      <c r="L113" s="5"/>
      <c r="M113" s="5"/>
      <c r="N113" s="5"/>
      <c r="O113" s="5"/>
      <c r="Q113" s="5"/>
      <c r="R113" s="5"/>
      <c r="S113" s="5"/>
    </row>
    <row r="114" spans="2:19">
      <c r="B114" s="5"/>
      <c r="C114" s="5"/>
      <c r="D114" s="5"/>
      <c r="E114" s="5"/>
      <c r="F114" s="5"/>
      <c r="G114" s="5"/>
      <c r="H114" s="5"/>
      <c r="I114" s="5"/>
      <c r="J114" s="5"/>
      <c r="K114" s="5"/>
      <c r="L114" s="5"/>
      <c r="M114" s="5"/>
      <c r="N114" s="5"/>
      <c r="O114" s="5"/>
      <c r="Q114" s="5"/>
      <c r="R114" s="5"/>
      <c r="S114" s="5"/>
    </row>
    <row r="115" spans="2:19">
      <c r="B115" s="5"/>
      <c r="C115" s="5"/>
      <c r="D115" s="5"/>
      <c r="E115" s="5"/>
      <c r="F115" s="5"/>
      <c r="G115" s="5"/>
      <c r="H115" s="5"/>
      <c r="I115" s="49"/>
      <c r="J115" s="5"/>
      <c r="K115" s="5"/>
      <c r="L115" s="5"/>
      <c r="M115" s="5"/>
      <c r="N115" s="5"/>
      <c r="O115" s="5"/>
      <c r="Q115" s="41"/>
      <c r="R115" s="5"/>
      <c r="S115" s="5"/>
    </row>
    <row r="116" spans="2:19">
      <c r="B116" s="5"/>
      <c r="C116" s="5"/>
      <c r="D116" s="5"/>
      <c r="E116" s="5"/>
      <c r="F116" s="5"/>
      <c r="G116" s="5"/>
      <c r="H116" s="5"/>
      <c r="I116" s="5"/>
      <c r="J116" s="5"/>
      <c r="K116" s="5"/>
      <c r="L116" s="5"/>
      <c r="M116" s="5"/>
      <c r="N116" s="5"/>
      <c r="O116" s="5"/>
      <c r="Q116" s="5"/>
      <c r="R116" s="5"/>
      <c r="S116" s="5"/>
    </row>
    <row r="117" spans="2:19">
      <c r="B117" s="41"/>
      <c r="C117" s="49"/>
      <c r="D117" s="49"/>
      <c r="E117" s="49"/>
      <c r="F117" s="49"/>
      <c r="G117" s="49"/>
      <c r="H117" s="49"/>
      <c r="I117" s="254"/>
      <c r="J117" s="49"/>
      <c r="K117" s="49"/>
      <c r="L117" s="49"/>
      <c r="M117" s="49"/>
      <c r="N117" s="49"/>
      <c r="O117" s="49"/>
      <c r="Q117" s="5"/>
      <c r="R117" s="5"/>
      <c r="S117" s="5"/>
    </row>
    <row r="118" spans="2:19">
      <c r="B118" s="5"/>
      <c r="C118" s="5"/>
      <c r="D118" s="5"/>
      <c r="E118" s="5"/>
      <c r="F118" s="5"/>
      <c r="G118" s="5"/>
      <c r="H118" s="5"/>
      <c r="I118" s="249"/>
      <c r="J118" s="5"/>
      <c r="K118" s="5"/>
      <c r="L118" s="5"/>
      <c r="M118" s="5"/>
      <c r="N118" s="5"/>
      <c r="O118" s="5"/>
      <c r="Q118" s="5"/>
      <c r="R118" s="5"/>
      <c r="S118" s="5"/>
    </row>
    <row r="119" spans="2:19">
      <c r="B119" s="41"/>
      <c r="C119" s="254"/>
      <c r="D119" s="254"/>
      <c r="E119" s="254"/>
      <c r="F119" s="254"/>
      <c r="G119" s="254"/>
      <c r="H119" s="254"/>
      <c r="I119" s="254"/>
      <c r="J119" s="254"/>
      <c r="K119" s="254"/>
      <c r="L119" s="254"/>
      <c r="M119" s="254"/>
      <c r="N119" s="254"/>
      <c r="O119" s="248"/>
      <c r="Q119" s="5"/>
      <c r="R119" s="5"/>
      <c r="S119" s="5"/>
    </row>
    <row r="120" spans="2:19">
      <c r="B120" s="41"/>
      <c r="C120" s="254"/>
      <c r="D120" s="249"/>
      <c r="E120" s="249"/>
      <c r="F120" s="249"/>
      <c r="G120" s="249"/>
      <c r="H120" s="249"/>
      <c r="I120" s="254"/>
      <c r="J120" s="249"/>
      <c r="K120" s="249"/>
      <c r="L120" s="249"/>
      <c r="M120" s="249"/>
      <c r="N120" s="249"/>
      <c r="O120" s="248"/>
      <c r="Q120" s="5"/>
      <c r="R120" s="5"/>
      <c r="S120" s="5"/>
    </row>
    <row r="121" spans="2:19">
      <c r="B121" s="41"/>
      <c r="C121" s="254"/>
      <c r="D121" s="254"/>
      <c r="E121" s="254"/>
      <c r="F121" s="254"/>
      <c r="G121" s="254"/>
      <c r="H121" s="254"/>
      <c r="I121" s="254"/>
      <c r="J121" s="254"/>
      <c r="K121" s="254"/>
      <c r="L121" s="254"/>
      <c r="M121" s="254"/>
      <c r="N121" s="254"/>
      <c r="O121" s="248"/>
      <c r="Q121" s="5"/>
      <c r="R121" s="5"/>
      <c r="S121" s="5"/>
    </row>
    <row r="122" spans="2:19">
      <c r="B122" s="41"/>
      <c r="C122" s="254"/>
      <c r="D122" s="254"/>
      <c r="E122" s="254"/>
      <c r="F122" s="254"/>
      <c r="G122" s="254"/>
      <c r="H122" s="254"/>
      <c r="I122" s="254"/>
      <c r="J122" s="254"/>
      <c r="K122" s="254"/>
      <c r="L122" s="254"/>
      <c r="M122" s="254"/>
      <c r="N122" s="254"/>
      <c r="O122" s="248"/>
      <c r="Q122" s="5"/>
      <c r="R122" s="5"/>
      <c r="S122" s="5"/>
    </row>
    <row r="123" spans="2:19">
      <c r="B123" s="41"/>
      <c r="C123" s="254"/>
      <c r="D123" s="254"/>
      <c r="E123" s="254"/>
      <c r="F123" s="254"/>
      <c r="G123" s="254"/>
      <c r="H123" s="254"/>
      <c r="I123" s="254"/>
      <c r="J123" s="254"/>
      <c r="K123" s="254"/>
      <c r="L123" s="254"/>
      <c r="M123" s="254"/>
      <c r="N123" s="254"/>
      <c r="O123" s="248"/>
      <c r="Q123" s="5"/>
      <c r="R123" s="5"/>
      <c r="S123" s="5"/>
    </row>
    <row r="124" spans="2:19">
      <c r="B124" s="41"/>
      <c r="C124" s="254"/>
      <c r="D124" s="254"/>
      <c r="E124" s="254"/>
      <c r="F124" s="254"/>
      <c r="G124" s="254"/>
      <c r="H124" s="254"/>
      <c r="I124" s="254"/>
      <c r="J124" s="254"/>
      <c r="K124" s="254"/>
      <c r="L124" s="254"/>
      <c r="M124" s="254"/>
      <c r="N124" s="254"/>
      <c r="O124" s="248"/>
      <c r="Q124" s="5"/>
      <c r="R124" s="5"/>
      <c r="S124" s="5"/>
    </row>
    <row r="125" spans="2:19">
      <c r="B125" s="41"/>
      <c r="C125" s="254"/>
      <c r="D125" s="254"/>
      <c r="E125" s="254"/>
      <c r="F125" s="254"/>
      <c r="G125" s="254"/>
      <c r="H125" s="254"/>
      <c r="I125" s="254"/>
      <c r="J125" s="254"/>
      <c r="K125" s="254"/>
      <c r="L125" s="254"/>
      <c r="M125" s="254"/>
      <c r="N125" s="254"/>
      <c r="O125" s="5"/>
      <c r="Q125" s="5"/>
      <c r="R125" s="5"/>
      <c r="S125" s="5"/>
    </row>
    <row r="126" spans="2:19">
      <c r="B126" s="41"/>
      <c r="C126" s="254"/>
      <c r="D126" s="254"/>
      <c r="E126" s="254"/>
      <c r="F126" s="254"/>
      <c r="G126" s="254"/>
      <c r="H126" s="254"/>
      <c r="I126" s="254"/>
      <c r="J126" s="254"/>
      <c r="K126" s="254"/>
      <c r="L126" s="254"/>
      <c r="M126" s="254"/>
      <c r="N126" s="254"/>
      <c r="O126" s="5"/>
      <c r="Q126" s="5"/>
      <c r="R126" s="5"/>
      <c r="S126" s="5"/>
    </row>
    <row r="127" spans="2:19">
      <c r="B127" s="41"/>
      <c r="C127" s="254"/>
      <c r="D127" s="254"/>
      <c r="E127" s="254"/>
      <c r="F127" s="254"/>
      <c r="G127" s="254"/>
      <c r="H127" s="254"/>
      <c r="I127" s="18"/>
      <c r="J127" s="254"/>
      <c r="K127" s="254"/>
      <c r="L127" s="254"/>
      <c r="M127" s="254"/>
      <c r="N127" s="254"/>
      <c r="O127" s="5"/>
      <c r="Q127" s="5"/>
      <c r="R127" s="5"/>
      <c r="S127" s="5"/>
    </row>
    <row r="128" spans="2:19">
      <c r="B128" s="41"/>
      <c r="C128" s="254"/>
      <c r="D128" s="254"/>
      <c r="E128" s="254"/>
      <c r="F128" s="254"/>
      <c r="G128" s="254"/>
      <c r="H128" s="254"/>
      <c r="I128" s="5"/>
      <c r="J128" s="254"/>
      <c r="K128" s="254"/>
      <c r="L128" s="254"/>
      <c r="M128" s="254"/>
      <c r="N128" s="254"/>
      <c r="O128" s="5"/>
      <c r="Q128" s="5"/>
      <c r="R128" s="5"/>
      <c r="S128" s="5"/>
    </row>
    <row r="129" spans="2:27">
      <c r="B129" s="5"/>
      <c r="C129" s="5"/>
      <c r="D129" s="18"/>
      <c r="E129" s="18"/>
      <c r="F129" s="18"/>
      <c r="G129" s="18"/>
      <c r="H129" s="18"/>
      <c r="I129" s="254"/>
      <c r="J129" s="18"/>
      <c r="K129" s="18"/>
      <c r="L129" s="18"/>
      <c r="M129" s="18"/>
      <c r="N129" s="18"/>
      <c r="O129" s="5"/>
      <c r="Q129" s="5"/>
      <c r="R129" s="5"/>
      <c r="S129" s="5"/>
    </row>
    <row r="130" spans="2:27">
      <c r="B130" s="5"/>
      <c r="C130" s="5"/>
      <c r="D130" s="5"/>
      <c r="E130" s="5"/>
      <c r="F130" s="5"/>
      <c r="G130" s="5"/>
      <c r="H130" s="5"/>
      <c r="I130" s="18"/>
      <c r="J130" s="5"/>
      <c r="K130" s="5"/>
      <c r="L130" s="5"/>
      <c r="M130" s="5"/>
      <c r="N130" s="5"/>
      <c r="O130" s="5"/>
      <c r="Q130" s="5"/>
      <c r="R130" s="5"/>
      <c r="S130" s="5"/>
    </row>
    <row r="131" spans="2:27">
      <c r="B131" s="41"/>
      <c r="C131" s="254"/>
      <c r="D131" s="254"/>
      <c r="E131" s="254"/>
      <c r="F131" s="254"/>
      <c r="G131" s="254"/>
      <c r="H131" s="254"/>
      <c r="I131" s="5"/>
      <c r="J131" s="254"/>
      <c r="K131" s="254"/>
      <c r="L131" s="254"/>
      <c r="M131" s="254"/>
      <c r="N131" s="254"/>
      <c r="O131" s="5"/>
      <c r="Q131" s="5"/>
      <c r="R131" s="5"/>
      <c r="S131" s="5"/>
    </row>
    <row r="132" spans="2:27">
      <c r="B132" s="5"/>
      <c r="C132" s="259"/>
      <c r="D132" s="18"/>
      <c r="E132" s="18"/>
      <c r="F132" s="18"/>
      <c r="G132" s="18"/>
      <c r="H132" s="18"/>
      <c r="I132" s="5"/>
      <c r="J132" s="18"/>
      <c r="K132" s="18"/>
      <c r="L132" s="18"/>
      <c r="M132" s="18"/>
      <c r="N132" s="18"/>
      <c r="O132" s="5"/>
      <c r="Q132" s="5"/>
      <c r="R132" s="5"/>
      <c r="S132" s="5"/>
    </row>
    <row r="133" spans="2:27">
      <c r="B133" s="5"/>
      <c r="C133" s="5"/>
      <c r="D133" s="5"/>
      <c r="E133" s="5"/>
      <c r="F133" s="5"/>
      <c r="G133" s="5"/>
      <c r="H133" s="5"/>
      <c r="I133" s="17"/>
      <c r="J133" s="5"/>
      <c r="K133" s="5"/>
      <c r="L133" s="5"/>
      <c r="M133" s="5"/>
      <c r="N133" s="5"/>
      <c r="O133" s="5"/>
      <c r="Q133" s="5"/>
      <c r="R133" s="5"/>
      <c r="S133" s="5"/>
    </row>
    <row r="134" spans="2:27">
      <c r="B134" s="41"/>
      <c r="C134" s="5"/>
      <c r="D134" s="5"/>
      <c r="E134" s="5"/>
      <c r="F134" s="5"/>
      <c r="G134" s="5"/>
      <c r="H134" s="5"/>
      <c r="I134" s="17"/>
      <c r="J134" s="5"/>
      <c r="K134" s="5"/>
      <c r="L134" s="5"/>
      <c r="M134" s="5"/>
      <c r="N134" s="5"/>
      <c r="O134" s="5"/>
      <c r="Q134" s="5"/>
      <c r="R134" s="5"/>
      <c r="S134" s="5"/>
    </row>
    <row r="135" spans="2:27">
      <c r="B135" s="5"/>
      <c r="C135" s="17"/>
      <c r="D135" s="17"/>
      <c r="E135" s="17"/>
      <c r="F135" s="17"/>
      <c r="G135" s="17"/>
      <c r="H135" s="17"/>
      <c r="I135" s="17"/>
      <c r="J135" s="17"/>
      <c r="K135" s="17"/>
      <c r="L135" s="17"/>
      <c r="M135" s="17"/>
      <c r="N135" s="17"/>
      <c r="O135" s="5"/>
      <c r="Q135" s="41"/>
      <c r="R135" s="5"/>
      <c r="S135" s="5"/>
    </row>
    <row r="136" spans="2:27">
      <c r="B136" s="5"/>
      <c r="C136" s="17"/>
      <c r="D136" s="17"/>
      <c r="E136" s="17"/>
      <c r="F136" s="17"/>
      <c r="G136" s="17"/>
      <c r="H136" s="17"/>
      <c r="I136" s="17"/>
      <c r="J136" s="17"/>
      <c r="K136" s="17"/>
      <c r="L136" s="17"/>
      <c r="M136" s="17"/>
      <c r="N136" s="17"/>
      <c r="O136" s="5"/>
      <c r="Q136" s="5"/>
      <c r="R136" s="5"/>
      <c r="S136" s="5"/>
      <c r="X136" s="304"/>
    </row>
    <row r="137" spans="2:27">
      <c r="B137" s="5"/>
      <c r="C137" s="5"/>
      <c r="D137" s="17"/>
      <c r="E137" s="17"/>
      <c r="F137" s="17"/>
      <c r="G137" s="17"/>
      <c r="H137" s="17"/>
      <c r="I137" s="17"/>
      <c r="J137" s="17"/>
      <c r="K137" s="17"/>
      <c r="L137" s="17"/>
      <c r="M137" s="17"/>
      <c r="N137" s="17"/>
      <c r="O137" s="5"/>
      <c r="Q137" s="5"/>
      <c r="R137" s="5"/>
      <c r="S137" s="5"/>
      <c r="X137" s="10"/>
      <c r="Y137" s="304"/>
      <c r="Z137" s="304"/>
      <c r="AA137" s="304"/>
    </row>
    <row r="138" spans="2:27">
      <c r="B138" s="5"/>
      <c r="C138" s="5"/>
      <c r="D138" s="17"/>
      <c r="E138" s="17"/>
      <c r="F138" s="17"/>
      <c r="G138" s="17"/>
      <c r="H138" s="17"/>
      <c r="I138" s="17"/>
      <c r="J138" s="17"/>
      <c r="K138" s="17"/>
      <c r="L138" s="17"/>
      <c r="M138" s="17"/>
      <c r="N138" s="17"/>
      <c r="O138" s="5"/>
      <c r="Q138" s="5"/>
      <c r="R138" s="5"/>
      <c r="S138" s="5"/>
      <c r="Y138" s="10"/>
      <c r="Z138" s="10"/>
      <c r="AA138" s="10"/>
    </row>
    <row r="139" spans="2:27">
      <c r="B139" s="5"/>
      <c r="C139" s="5"/>
      <c r="D139" s="17"/>
      <c r="E139" s="17"/>
      <c r="F139" s="17"/>
      <c r="G139" s="17"/>
      <c r="H139" s="17"/>
      <c r="I139" s="5"/>
      <c r="J139" s="17"/>
      <c r="K139" s="17"/>
      <c r="L139" s="17"/>
      <c r="M139" s="17"/>
      <c r="N139" s="17"/>
      <c r="O139" s="5"/>
      <c r="Q139" s="5"/>
      <c r="R139" s="5"/>
      <c r="S139" s="5"/>
    </row>
    <row r="140" spans="2:27">
      <c r="B140" s="5"/>
      <c r="C140" s="17"/>
      <c r="D140" s="17"/>
      <c r="E140" s="17"/>
      <c r="F140" s="17"/>
      <c r="G140" s="17"/>
      <c r="H140" s="17"/>
      <c r="I140" s="5"/>
      <c r="J140" s="17"/>
      <c r="K140" s="17"/>
      <c r="L140" s="17"/>
      <c r="M140" s="17"/>
      <c r="N140" s="17"/>
      <c r="O140" s="5"/>
      <c r="Q140" s="5"/>
      <c r="R140" s="5"/>
      <c r="S140" s="5"/>
    </row>
    <row r="141" spans="2:27">
      <c r="B141" s="5"/>
      <c r="C141" s="5"/>
      <c r="D141" s="5"/>
      <c r="E141" s="5"/>
      <c r="F141" s="5"/>
      <c r="G141" s="5"/>
      <c r="H141" s="5"/>
      <c r="I141" s="5"/>
      <c r="J141" s="5"/>
      <c r="K141" s="5"/>
      <c r="L141" s="5"/>
      <c r="M141" s="5"/>
      <c r="N141" s="5"/>
      <c r="O141" s="5"/>
      <c r="Q141" s="5"/>
      <c r="R141" s="5"/>
      <c r="S141" s="5"/>
    </row>
    <row r="142" spans="2:27">
      <c r="B142" s="5"/>
      <c r="C142" s="5"/>
      <c r="D142" s="5"/>
      <c r="E142" s="5"/>
      <c r="F142" s="5"/>
      <c r="G142" s="5"/>
      <c r="H142" s="5"/>
      <c r="I142" s="5"/>
      <c r="J142" s="5"/>
      <c r="K142" s="5"/>
      <c r="L142" s="5"/>
      <c r="M142" s="5"/>
      <c r="N142" s="5"/>
      <c r="O142" s="5"/>
      <c r="Q142" s="5"/>
      <c r="R142" s="5"/>
      <c r="S142" s="5"/>
    </row>
    <row r="143" spans="2:27">
      <c r="B143" s="5"/>
      <c r="C143" s="5"/>
      <c r="D143" s="5"/>
      <c r="E143" s="5"/>
      <c r="F143" s="5"/>
      <c r="G143" s="5"/>
      <c r="H143" s="5"/>
      <c r="I143" s="5"/>
      <c r="J143" s="5"/>
      <c r="K143" s="5"/>
      <c r="L143" s="5"/>
      <c r="M143" s="5"/>
      <c r="N143" s="5"/>
      <c r="O143" s="5"/>
      <c r="Q143" s="5"/>
      <c r="R143" s="5"/>
      <c r="S143" s="5"/>
    </row>
    <row r="144" spans="2:27">
      <c r="B144" s="5"/>
      <c r="C144" s="5"/>
      <c r="D144" s="5"/>
      <c r="E144" s="5"/>
      <c r="F144" s="5"/>
      <c r="G144" s="5"/>
      <c r="H144" s="5"/>
      <c r="I144" s="5"/>
      <c r="J144" s="5"/>
      <c r="K144" s="5"/>
      <c r="L144" s="5"/>
      <c r="M144" s="5"/>
      <c r="N144" s="5"/>
      <c r="O144" s="5"/>
      <c r="Q144" s="5"/>
      <c r="R144" s="5"/>
      <c r="S144" s="5"/>
    </row>
    <row r="145" spans="2:19">
      <c r="B145" s="5"/>
      <c r="C145" s="5"/>
      <c r="D145" s="5"/>
      <c r="E145" s="5"/>
      <c r="F145" s="5"/>
      <c r="G145" s="5"/>
      <c r="H145" s="5"/>
      <c r="I145" s="5"/>
      <c r="J145" s="5"/>
      <c r="K145" s="5"/>
      <c r="L145" s="5"/>
      <c r="M145" s="5"/>
      <c r="N145" s="5"/>
      <c r="O145" s="5"/>
      <c r="Q145" s="5"/>
      <c r="R145" s="5"/>
      <c r="S145" s="5"/>
    </row>
    <row r="146" spans="2:19">
      <c r="B146" s="5"/>
      <c r="C146" s="5"/>
      <c r="D146" s="5"/>
      <c r="E146" s="5"/>
      <c r="F146" s="5"/>
      <c r="G146" s="5"/>
      <c r="H146" s="5"/>
      <c r="I146" s="5"/>
      <c r="J146" s="5"/>
      <c r="K146" s="5"/>
      <c r="L146" s="5"/>
      <c r="M146" s="5"/>
      <c r="N146" s="5"/>
      <c r="O146" s="5"/>
      <c r="Q146" s="5"/>
      <c r="R146" s="5"/>
      <c r="S146" s="5"/>
    </row>
    <row r="147" spans="2:19">
      <c r="B147" s="5"/>
      <c r="C147" s="5"/>
      <c r="D147" s="5"/>
      <c r="E147" s="5"/>
      <c r="F147" s="5"/>
      <c r="G147" s="5"/>
      <c r="H147" s="5"/>
      <c r="I147" s="5"/>
      <c r="J147" s="5"/>
      <c r="K147" s="5"/>
      <c r="L147" s="5"/>
      <c r="M147" s="5"/>
      <c r="N147" s="5"/>
      <c r="O147" s="5"/>
      <c r="Q147" s="5"/>
      <c r="R147" s="5"/>
      <c r="S147" s="5"/>
    </row>
    <row r="148" spans="2:19">
      <c r="B148" s="5"/>
      <c r="C148" s="5"/>
      <c r="D148" s="5"/>
      <c r="E148" s="5"/>
      <c r="F148" s="5"/>
      <c r="G148" s="5"/>
      <c r="H148" s="5"/>
      <c r="I148" s="5"/>
      <c r="J148" s="5"/>
      <c r="K148" s="5"/>
      <c r="L148" s="5"/>
      <c r="M148" s="5"/>
      <c r="N148" s="5"/>
      <c r="O148" s="5"/>
      <c r="Q148" s="5"/>
      <c r="R148" s="5"/>
      <c r="S148" s="5"/>
    </row>
    <row r="149" spans="2:19">
      <c r="B149" s="5"/>
      <c r="C149" s="5"/>
      <c r="D149" s="5"/>
      <c r="E149" s="5"/>
      <c r="F149" s="5"/>
      <c r="G149" s="5"/>
      <c r="H149" s="5"/>
      <c r="J149" s="5"/>
      <c r="K149" s="5"/>
      <c r="L149" s="5"/>
      <c r="M149" s="5"/>
      <c r="N149" s="5"/>
      <c r="O149" s="5"/>
      <c r="Q149" s="5"/>
      <c r="R149" s="5"/>
      <c r="S149" s="5"/>
    </row>
    <row r="150" spans="2:19">
      <c r="B150" s="5"/>
      <c r="C150" s="5"/>
      <c r="D150" s="5"/>
      <c r="E150" s="5"/>
      <c r="F150" s="5"/>
      <c r="G150" s="5"/>
      <c r="H150" s="5"/>
      <c r="J150" s="5"/>
      <c r="K150" s="5"/>
      <c r="L150" s="5"/>
      <c r="M150" s="5"/>
      <c r="N150" s="5"/>
      <c r="O150" s="5"/>
      <c r="Q150" s="5"/>
      <c r="R150" s="5"/>
      <c r="S150" s="5"/>
    </row>
    <row r="151" spans="2:19">
      <c r="Q151" s="5"/>
      <c r="R151" s="5"/>
      <c r="S151" s="5"/>
    </row>
    <row r="152" spans="2:19">
      <c r="Q152" s="5"/>
      <c r="R152" s="5"/>
      <c r="S152" s="5"/>
    </row>
    <row r="153" spans="2:19">
      <c r="C153" s="263"/>
      <c r="Q153" s="5"/>
      <c r="R153" s="5"/>
      <c r="S153" s="5"/>
    </row>
    <row r="154" spans="2:19">
      <c r="Q154" s="5"/>
      <c r="R154" s="5"/>
      <c r="S154" s="5"/>
    </row>
    <row r="155" spans="2:19">
      <c r="Q155" s="5"/>
      <c r="R155" s="5"/>
      <c r="S155" s="5"/>
    </row>
    <row r="156" spans="2:19">
      <c r="Q156" s="5"/>
      <c r="R156" s="5"/>
      <c r="S156" s="5"/>
    </row>
    <row r="157" spans="2:19">
      <c r="Q157" s="5"/>
      <c r="R157" s="5"/>
      <c r="S157" s="5"/>
    </row>
    <row r="158" spans="2:19">
      <c r="Q158" s="5"/>
      <c r="R158" s="5"/>
      <c r="S158" s="5"/>
    </row>
    <row r="159" spans="2:19">
      <c r="Q159" s="5"/>
      <c r="R159" s="5"/>
      <c r="S159" s="5"/>
    </row>
    <row r="160" spans="2:19">
      <c r="Q160" s="5"/>
      <c r="R160" s="5"/>
      <c r="S160" s="5"/>
    </row>
    <row r="161" spans="17:19">
      <c r="Q161" s="5"/>
      <c r="R161" s="5"/>
      <c r="S161" s="5"/>
    </row>
    <row r="162" spans="17:19">
      <c r="Q162" s="5"/>
      <c r="R162" s="5"/>
      <c r="S162" s="5"/>
    </row>
    <row r="163" spans="17:19">
      <c r="Q163" s="5"/>
      <c r="R163" s="5"/>
      <c r="S163" s="5"/>
    </row>
    <row r="164" spans="17:19">
      <c r="Q164" s="5"/>
      <c r="R164" s="5"/>
      <c r="S164" s="5"/>
    </row>
    <row r="165" spans="17:19">
      <c r="Q165" s="5"/>
      <c r="R165" s="5"/>
      <c r="S165" s="5"/>
    </row>
  </sheetData>
  <phoneticPr fontId="7" type="noConversion"/>
  <pageMargins left="0.75" right="0.75" top="1" bottom="1" header="0.5" footer="0.5"/>
  <pageSetup scale="71" orientation="landscape"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54">
    <pageSetUpPr fitToPage="1"/>
  </sheetPr>
  <dimension ref="B1:AC165"/>
  <sheetViews>
    <sheetView showGridLines="0" zoomScale="80" zoomScaleNormal="80" zoomScaleSheetLayoutView="80" workbookViewId="0">
      <selection activeCell="D16" sqref="D16:G17"/>
    </sheetView>
  </sheetViews>
  <sheetFormatPr defaultColWidth="9.109375" defaultRowHeight="12"/>
  <cols>
    <col min="1" max="1" width="2.33203125" style="39" customWidth="1"/>
    <col min="2" max="2" width="26.5546875" style="39" customWidth="1"/>
    <col min="3" max="9" width="10" style="39" customWidth="1"/>
    <col min="10" max="10" width="26.6640625" style="39" customWidth="1"/>
    <col min="11" max="16" width="10" style="39" customWidth="1"/>
    <col min="17" max="19" width="8.6640625" style="39" customWidth="1"/>
    <col min="20" max="28" width="8.6640625" style="5" customWidth="1"/>
    <col min="29" max="29" width="9.109375" style="5"/>
    <col min="30" max="16384" width="9.109375" style="39"/>
  </cols>
  <sheetData>
    <row r="1" spans="2:29" s="312" customFormat="1">
      <c r="T1" s="149"/>
      <c r="U1" s="149"/>
      <c r="V1" s="149"/>
      <c r="W1" s="149"/>
      <c r="X1" s="149"/>
      <c r="Y1" s="149"/>
      <c r="Z1" s="149"/>
      <c r="AA1" s="149"/>
      <c r="AB1" s="149"/>
      <c r="AC1" s="149"/>
    </row>
    <row r="2" spans="2:29" s="149" customFormat="1"/>
    <row r="3" spans="2:29" s="149" customFormat="1">
      <c r="H3" s="153"/>
      <c r="P3" s="153"/>
    </row>
    <row r="4" spans="2:29" s="156" customFormat="1" ht="21">
      <c r="B4" s="129" t="s">
        <v>163</v>
      </c>
      <c r="H4" s="222"/>
      <c r="P4" s="222"/>
    </row>
    <row r="5" spans="2:29" s="149" customFormat="1">
      <c r="C5" s="153"/>
      <c r="D5" s="153" t="str" cm="1">
        <f t="array" ref="D5:H5">headings</f>
        <v>2023E</v>
      </c>
      <c r="E5" s="153" t="str">
        <v>2024E</v>
      </c>
      <c r="F5" s="153" t="str">
        <v>2025E</v>
      </c>
      <c r="G5" s="153" t="str">
        <v>2026E</v>
      </c>
      <c r="H5" s="153" t="str">
        <v>23E-26E</v>
      </c>
      <c r="I5" s="153"/>
      <c r="J5" s="153"/>
      <c r="K5" s="153"/>
      <c r="L5" s="153" t="str" cm="1">
        <f t="array" ref="L5:P5">headings</f>
        <v>2023E</v>
      </c>
      <c r="M5" s="153" t="str">
        <v>2024E</v>
      </c>
      <c r="N5" s="153" t="str">
        <v>2025E</v>
      </c>
      <c r="O5" s="153" t="str">
        <v>2026E</v>
      </c>
      <c r="P5" s="153" t="str">
        <v>23E-26E</v>
      </c>
      <c r="Q5" s="162"/>
      <c r="R5" s="162"/>
      <c r="S5" s="162"/>
      <c r="T5" s="162"/>
      <c r="U5" s="162"/>
      <c r="V5" s="162"/>
      <c r="W5" s="162"/>
      <c r="X5" s="162"/>
      <c r="Y5" s="162"/>
    </row>
    <row r="6" spans="2:29">
      <c r="I6" s="5"/>
      <c r="J6" s="5"/>
      <c r="K6" s="5"/>
      <c r="L6" s="5"/>
      <c r="M6" s="5"/>
      <c r="N6" s="5"/>
      <c r="O6" s="49"/>
      <c r="R6" s="5"/>
      <c r="S6" s="5"/>
    </row>
    <row r="7" spans="2:29" ht="12.6" thickBot="1">
      <c r="B7" s="306" t="s">
        <v>271</v>
      </c>
      <c r="C7" s="265"/>
      <c r="D7" s="265" t="str">
        <f>D5</f>
        <v>2023E</v>
      </c>
      <c r="E7" s="265" t="str">
        <f t="shared" ref="E7:H7" si="0">E5</f>
        <v>2024E</v>
      </c>
      <c r="F7" s="265" t="str">
        <f t="shared" si="0"/>
        <v>2025E</v>
      </c>
      <c r="G7" s="265" t="str">
        <f t="shared" si="0"/>
        <v>2026E</v>
      </c>
      <c r="H7" s="265" t="str">
        <f t="shared" si="0"/>
        <v>23E-26E</v>
      </c>
      <c r="I7" s="49"/>
      <c r="J7" s="306" t="s">
        <v>75</v>
      </c>
      <c r="K7" s="306"/>
      <c r="L7" s="265" t="str">
        <f>L5</f>
        <v>2023E</v>
      </c>
      <c r="M7" s="265" t="str">
        <f t="shared" ref="M7:P7" si="1">M5</f>
        <v>2024E</v>
      </c>
      <c r="N7" s="265" t="str">
        <f t="shared" si="1"/>
        <v>2025E</v>
      </c>
      <c r="O7" s="265" t="str">
        <f t="shared" si="1"/>
        <v>2026E</v>
      </c>
      <c r="P7" s="265" t="str">
        <f t="shared" si="1"/>
        <v>23E-26E</v>
      </c>
      <c r="R7" s="5"/>
      <c r="S7" s="5"/>
    </row>
    <row r="8" spans="2:29" ht="12.6" thickTop="1">
      <c r="B8" s="5"/>
      <c r="C8" s="5"/>
      <c r="D8" s="5"/>
      <c r="E8" s="5"/>
      <c r="F8" s="5"/>
      <c r="G8" s="5"/>
      <c r="H8" s="5"/>
      <c r="I8" s="5"/>
      <c r="J8" s="5"/>
      <c r="K8" s="5"/>
      <c r="L8" s="5"/>
      <c r="M8" s="5"/>
      <c r="N8" s="5"/>
      <c r="R8" s="5"/>
      <c r="S8" s="42"/>
      <c r="T8" s="42"/>
      <c r="U8" s="42"/>
      <c r="V8" s="42"/>
      <c r="W8" s="42"/>
      <c r="X8" s="42"/>
      <c r="Y8" s="42"/>
      <c r="Z8" s="42"/>
      <c r="AA8" s="42"/>
    </row>
    <row r="9" spans="2:29">
      <c r="B9" s="41" t="s">
        <v>548</v>
      </c>
      <c r="C9" s="287">
        <f>Prices!C74</f>
        <v>4.4400000000000004</v>
      </c>
      <c r="D9" s="535">
        <v>0</v>
      </c>
      <c r="E9" s="536">
        <v>0</v>
      </c>
      <c r="F9" s="536">
        <v>0</v>
      </c>
      <c r="G9" s="536">
        <v>0</v>
      </c>
      <c r="H9" s="249"/>
      <c r="I9" s="249"/>
      <c r="J9" s="5" t="s">
        <v>273</v>
      </c>
      <c r="L9" s="529">
        <f>'AGG ASIA INCUMB'!D37</f>
        <v>63.142675059472978</v>
      </c>
      <c r="M9" s="529">
        <f>'AGG ASIA INCUMB'!E37</f>
        <v>59.736062869091825</v>
      </c>
      <c r="N9" s="529">
        <f>'AGG ASIA INCUMB'!F37</f>
        <v>51.606570083263385</v>
      </c>
      <c r="O9" s="529">
        <f>'AGG ASIA INCUMB'!G37</f>
        <v>43.869121174935444</v>
      </c>
      <c r="P9" s="286">
        <f>'AGG ASIA INCUMB'!H37</f>
        <v>3.6933170504085622E-2</v>
      </c>
      <c r="R9" s="5"/>
      <c r="S9" s="42"/>
      <c r="T9" s="42"/>
      <c r="U9" s="42"/>
      <c r="V9" s="42"/>
      <c r="W9" s="42"/>
      <c r="X9" s="42"/>
      <c r="Y9" s="42"/>
      <c r="Z9" s="42"/>
      <c r="AA9" s="42"/>
    </row>
    <row r="10" spans="2:29">
      <c r="B10" s="5" t="s">
        <v>274</v>
      </c>
      <c r="C10" s="5"/>
      <c r="D10" s="531">
        <v>91507</v>
      </c>
      <c r="E10" s="531">
        <v>91507</v>
      </c>
      <c r="F10" s="531">
        <v>91507</v>
      </c>
      <c r="G10" s="531">
        <v>91507</v>
      </c>
      <c r="H10" s="247"/>
      <c r="I10" s="247"/>
      <c r="J10" s="5" t="s">
        <v>184</v>
      </c>
      <c r="L10" s="529">
        <f>'AGG ASIA INCUMB'!D38</f>
        <v>229.28172666156038</v>
      </c>
      <c r="M10" s="529">
        <f>'AGG ASIA INCUMB'!E38</f>
        <v>211.1756819494743</v>
      </c>
      <c r="N10" s="529">
        <f>'AGG ASIA INCUMB'!F38</f>
        <v>182.52911660300191</v>
      </c>
      <c r="O10" s="529">
        <f>'AGG ASIA INCUMB'!G38</f>
        <v>154.31631948299164</v>
      </c>
      <c r="P10" s="286">
        <f>'AGG ASIA INCUMB'!H38</f>
        <v>4.7969433190576227E-2</v>
      </c>
      <c r="R10" s="5"/>
      <c r="S10" s="42"/>
      <c r="T10" s="42"/>
      <c r="U10" s="42"/>
      <c r="V10" s="42"/>
      <c r="W10" s="288"/>
      <c r="X10" s="288"/>
      <c r="Y10" s="288"/>
      <c r="Z10" s="288"/>
      <c r="AA10" s="42"/>
    </row>
    <row r="11" spans="2:29">
      <c r="B11" s="41" t="s">
        <v>435</v>
      </c>
      <c r="C11" s="5"/>
      <c r="D11" s="532">
        <f>($C$9/(Prices!$C$167/Prices!$C$175))*D10</f>
        <v>376719.47480437701</v>
      </c>
      <c r="E11" s="532">
        <f>($C$9/(Prices!$C$167/Prices!$C$175))*E10</f>
        <v>376719.47480437701</v>
      </c>
      <c r="F11" s="532">
        <f>($C$9/(Prices!$C$167/Prices!$C$175))*F10</f>
        <v>376719.47480437701</v>
      </c>
      <c r="G11" s="532">
        <f>($C$9/(Prices!$C$167/Prices!$C$175))*G10</f>
        <v>376719.47480437701</v>
      </c>
      <c r="H11" s="249"/>
      <c r="I11" s="249"/>
      <c r="J11" s="5" t="s">
        <v>185</v>
      </c>
      <c r="L11" s="529">
        <f>'AGG ASIA INCUMB'!D39</f>
        <v>576.60457523629475</v>
      </c>
      <c r="M11" s="529">
        <f>'AGG ASIA INCUMB'!E39</f>
        <v>450.01446269285191</v>
      </c>
      <c r="N11" s="529">
        <f>'AGG ASIA INCUMB'!F39</f>
        <v>375.00938731825471</v>
      </c>
      <c r="O11" s="529">
        <f>'AGG ASIA INCUMB'!G39</f>
        <v>307.67151192274292</v>
      </c>
      <c r="P11" s="286">
        <f>'AGG ASIA INCUMB'!H39</f>
        <v>0.13229525132442088</v>
      </c>
      <c r="R11" s="5"/>
      <c r="S11" s="42"/>
      <c r="T11" s="42"/>
      <c r="U11" s="42"/>
      <c r="V11" s="42"/>
      <c r="W11" s="288"/>
      <c r="X11" s="288"/>
      <c r="Y11" s="288"/>
      <c r="Z11" s="288"/>
      <c r="AA11" s="42"/>
    </row>
    <row r="12" spans="2:29">
      <c r="B12" s="5" t="s">
        <v>24</v>
      </c>
      <c r="C12" s="249"/>
      <c r="D12" s="533">
        <v>-40059</v>
      </c>
      <c r="E12" s="533">
        <v>-57216.468098357538</v>
      </c>
      <c r="F12" s="533">
        <v>-74835.227789876808</v>
      </c>
      <c r="G12" s="533">
        <v>-94420.365356504801</v>
      </c>
      <c r="H12" s="247"/>
      <c r="I12" s="247"/>
      <c r="J12" s="5" t="s">
        <v>466</v>
      </c>
      <c r="L12" s="529">
        <f>'AGG ASIA INCUMB'!D40</f>
        <v>774.44294579435359</v>
      </c>
      <c r="M12" s="529">
        <f>'AGG ASIA INCUMB'!E40</f>
        <v>607.6245935692682</v>
      </c>
      <c r="N12" s="529">
        <f>'AGG ASIA INCUMB'!F40</f>
        <v>506.11175808827261</v>
      </c>
      <c r="O12" s="529">
        <f>'AGG ASIA INCUMB'!G40</f>
        <v>415.18806643723337</v>
      </c>
      <c r="P12" s="286">
        <f>'AGG ASIA INCUMB'!H40</f>
        <v>0.13051833042761229</v>
      </c>
      <c r="R12" s="5"/>
      <c r="S12" s="42"/>
      <c r="T12" s="42"/>
      <c r="U12" s="42"/>
      <c r="V12" s="42"/>
      <c r="W12" s="288"/>
      <c r="X12" s="288"/>
      <c r="Y12" s="288"/>
      <c r="Z12" s="288"/>
      <c r="AA12" s="42"/>
    </row>
    <row r="13" spans="2:29">
      <c r="B13" s="5" t="s">
        <v>529</v>
      </c>
      <c r="C13" s="257"/>
      <c r="D13" s="533">
        <v>0</v>
      </c>
      <c r="E13" s="533">
        <v>0</v>
      </c>
      <c r="F13" s="533">
        <v>0</v>
      </c>
      <c r="G13" s="533">
        <v>0</v>
      </c>
      <c r="H13" s="247"/>
      <c r="I13" s="247"/>
      <c r="J13" s="5" t="s">
        <v>530</v>
      </c>
      <c r="L13" s="529">
        <f>'AGG ASIA INCUMB'!D41</f>
        <v>56.922651872950347</v>
      </c>
      <c r="M13" s="529">
        <f>'AGG ASIA INCUMB'!E41</f>
        <v>54.508702219086139</v>
      </c>
      <c r="N13" s="529">
        <f>'AGG ASIA INCUMB'!F41</f>
        <v>47.665724006779691</v>
      </c>
      <c r="O13" s="529">
        <f>'AGG ASIA INCUMB'!G41</f>
        <v>40.716506606725353</v>
      </c>
      <c r="P13" s="286">
        <f>'AGG ASIA INCUMB'!H41</f>
        <v>2.6914512786078149E-2</v>
      </c>
      <c r="R13" s="5"/>
      <c r="S13" s="42"/>
      <c r="T13" s="42"/>
      <c r="U13" s="42"/>
      <c r="V13" s="42"/>
      <c r="W13" s="42"/>
      <c r="X13" s="42"/>
      <c r="Y13" s="42"/>
      <c r="Z13" s="42"/>
      <c r="AA13" s="42"/>
    </row>
    <row r="14" spans="2:29">
      <c r="B14" s="5" t="s">
        <v>532</v>
      </c>
      <c r="C14" s="257"/>
      <c r="D14" s="533">
        <v>87455.595153194343</v>
      </c>
      <c r="E14" s="533">
        <v>87455.595153194343</v>
      </c>
      <c r="F14" s="533">
        <v>87455.595153194343</v>
      </c>
      <c r="G14" s="533">
        <v>87455.595153194343</v>
      </c>
      <c r="H14" s="247"/>
      <c r="I14" s="247"/>
      <c r="J14" s="5" t="s">
        <v>593</v>
      </c>
      <c r="L14" s="529">
        <f>'AGG ASIA INCUMB'!D42</f>
        <v>75.778591370066351</v>
      </c>
      <c r="M14" s="529">
        <f>'AGG ASIA INCUMB'!E42</f>
        <v>75.255645616199331</v>
      </c>
      <c r="N14" s="529">
        <f>'AGG ASIA INCUMB'!F42</f>
        <v>68.487733798446982</v>
      </c>
      <c r="O14" s="529">
        <f>'AGG ASIA INCUMB'!G42</f>
        <v>63.398335594210266</v>
      </c>
      <c r="P14" s="286">
        <f>'AGG ASIA INCUMB'!H42</f>
        <v>-2.5341868686917124E-2</v>
      </c>
      <c r="R14" s="5"/>
      <c r="S14" s="42"/>
      <c r="T14" s="42"/>
      <c r="U14" s="42"/>
      <c r="V14" s="42"/>
      <c r="W14" s="42"/>
      <c r="X14" s="42"/>
      <c r="Y14" s="42"/>
      <c r="Z14" s="42"/>
      <c r="AA14" s="42"/>
    </row>
    <row r="15" spans="2:29">
      <c r="B15" s="5" t="s">
        <v>531</v>
      </c>
      <c r="C15" s="274"/>
      <c r="D15" s="533">
        <v>0</v>
      </c>
      <c r="E15" s="533">
        <v>0</v>
      </c>
      <c r="F15" s="533">
        <v>0</v>
      </c>
      <c r="G15" s="533">
        <v>0</v>
      </c>
      <c r="H15" s="247"/>
      <c r="I15" s="247"/>
      <c r="J15" s="5" t="s">
        <v>475</v>
      </c>
      <c r="L15" s="529">
        <f>'AGG ASIA INCUMB'!D43</f>
        <v>14.482023584121089</v>
      </c>
      <c r="M15" s="529">
        <f>'AGG ASIA INCUMB'!E43</f>
        <v>10.697579793360875</v>
      </c>
      <c r="N15" s="529">
        <f>'AGG ASIA INCUMB'!F43</f>
        <v>9.7604819510674972</v>
      </c>
      <c r="O15" s="529">
        <f>'AGG ASIA INCUMB'!G43</f>
        <v>8.8384338816404213</v>
      </c>
      <c r="P15" s="286">
        <f>'AGG ASIA INCUMB'!H43</f>
        <v>0.1612622626724487</v>
      </c>
      <c r="R15" s="5"/>
      <c r="S15" s="42"/>
      <c r="T15" s="42"/>
      <c r="U15" s="42"/>
      <c r="V15" s="42"/>
      <c r="W15" s="42"/>
      <c r="X15" s="42"/>
      <c r="Y15" s="42"/>
      <c r="Z15" s="42"/>
      <c r="AA15" s="42"/>
    </row>
    <row r="16" spans="2:29">
      <c r="B16" s="5" t="s">
        <v>534</v>
      </c>
      <c r="C16" s="257"/>
      <c r="D16" s="533">
        <v>28863.778023487866</v>
      </c>
      <c r="E16" s="533">
        <v>28863.778023487866</v>
      </c>
      <c r="F16" s="533">
        <v>28863.778023487866</v>
      </c>
      <c r="G16" s="533">
        <v>28863.778023487866</v>
      </c>
      <c r="H16" s="247"/>
      <c r="I16" s="247"/>
      <c r="J16" s="5" t="s">
        <v>533</v>
      </c>
      <c r="L16" s="529">
        <f>'AGG ASIA INCUMB'!D44</f>
        <v>401.27153945230202</v>
      </c>
      <c r="M16" s="529">
        <f>'AGG ASIA INCUMB'!E44</f>
        <v>386.42961390608417</v>
      </c>
      <c r="N16" s="529">
        <f>'AGG ASIA INCUMB'!F44</f>
        <v>362.49401680734263</v>
      </c>
      <c r="O16" s="529">
        <f>'AGG ASIA INCUMB'!G44</f>
        <v>331.65705725544359</v>
      </c>
      <c r="P16" s="286">
        <f>'AGG ASIA INCUMB'!H44</f>
        <v>7.2549113858280556E-2</v>
      </c>
      <c r="R16" s="5"/>
      <c r="S16" s="42"/>
      <c r="T16" s="42"/>
      <c r="U16" s="42"/>
      <c r="V16" s="42"/>
      <c r="W16" s="42"/>
      <c r="X16" s="42"/>
      <c r="Y16" s="42"/>
      <c r="Z16" s="42"/>
      <c r="AA16" s="42"/>
    </row>
    <row r="17" spans="2:27">
      <c r="B17" s="5" t="s">
        <v>6</v>
      </c>
      <c r="C17" s="257"/>
      <c r="D17" s="533">
        <v>0</v>
      </c>
      <c r="E17" s="533">
        <v>0</v>
      </c>
      <c r="F17" s="533">
        <v>0</v>
      </c>
      <c r="G17" s="533">
        <v>0</v>
      </c>
      <c r="H17" s="247"/>
      <c r="I17" s="247"/>
      <c r="J17" s="5" t="s">
        <v>580</v>
      </c>
      <c r="L17" s="248">
        <f>'AGG ASIA INCUMB'!D45</f>
        <v>1.4187232142027291E-3</v>
      </c>
      <c r="M17" s="248">
        <f>'AGG ASIA INCUMB'!E45</f>
        <v>1.5917039348975377E-3</v>
      </c>
      <c r="N17" s="248">
        <f>'AGG ASIA INCUMB'!F45</f>
        <v>1.8207439648114264E-3</v>
      </c>
      <c r="O17" s="248">
        <f>'AGG ASIA INCUMB'!G45</f>
        <v>2.0820127660327939E-3</v>
      </c>
      <c r="P17" s="286">
        <f>'AGG ASIA INCUMB'!H45</f>
        <v>0.14383326100984517</v>
      </c>
      <c r="R17" s="5"/>
      <c r="S17" s="42"/>
      <c r="T17" s="42"/>
      <c r="U17" s="42"/>
      <c r="V17" s="42"/>
      <c r="W17" s="42"/>
      <c r="X17" s="42"/>
      <c r="Y17" s="42"/>
      <c r="Z17" s="42"/>
      <c r="AA17" s="42"/>
    </row>
    <row r="18" spans="2:27" ht="12.6" thickBot="1">
      <c r="B18" s="41" t="s">
        <v>583</v>
      </c>
      <c r="C18" s="249"/>
      <c r="D18" s="534">
        <f>D11+D12+D13-D14+D15-D16-D17</f>
        <v>220341.10162769482</v>
      </c>
      <c r="E18" s="534">
        <f>E11+E12+E13-E14+E15-E16-E17</f>
        <v>203183.63352933727</v>
      </c>
      <c r="F18" s="534">
        <f>F11+F12+F13-F14+F15-F16-F17</f>
        <v>185564.87383781801</v>
      </c>
      <c r="G18" s="534">
        <f>G11+G12+G13-G14+G15-G16-G17</f>
        <v>165979.73627119002</v>
      </c>
      <c r="H18" s="276">
        <f>IF(D18=0,"nm",IF(G18=0,"nm",(G18/D18)^(1/3)-1))</f>
        <v>-9.0114973938203558E-2</v>
      </c>
      <c r="I18" s="254"/>
      <c r="J18" s="5" t="s">
        <v>36</v>
      </c>
      <c r="L18" s="248">
        <f>'AGG ASIA INCUMB'!D46</f>
        <v>1.4197854397789587E-3</v>
      </c>
      <c r="M18" s="248">
        <f>'AGG ASIA INCUMB'!E46</f>
        <v>1.5927452418075944E-3</v>
      </c>
      <c r="N18" s="248">
        <f>'AGG ASIA INCUMB'!F46</f>
        <v>1.8306775739935764E-3</v>
      </c>
      <c r="O18" s="248">
        <f>'AGG ASIA INCUMB'!G46</f>
        <v>2.0980698589589679E-3</v>
      </c>
      <c r="P18" s="286">
        <f>'AGG ASIA INCUMB'!H46</f>
        <v>0.14648020039593046</v>
      </c>
      <c r="R18" s="5"/>
      <c r="S18" s="42"/>
      <c r="T18" s="42"/>
      <c r="U18" s="42"/>
      <c r="V18" s="42"/>
      <c r="W18" s="42"/>
      <c r="X18" s="42"/>
      <c r="Y18" s="42"/>
      <c r="Z18" s="42"/>
      <c r="AA18" s="42"/>
    </row>
    <row r="19" spans="2:27" ht="12.6" thickTop="1">
      <c r="B19" s="41"/>
      <c r="C19" s="249"/>
      <c r="D19" s="229"/>
      <c r="E19" s="229"/>
      <c r="F19" s="229"/>
      <c r="G19" s="229"/>
      <c r="H19" s="276"/>
      <c r="I19" s="254"/>
      <c r="J19" s="5" t="s">
        <v>581</v>
      </c>
      <c r="L19" s="248">
        <f>'AGG ASIA INCUMB'!D47</f>
        <v>6.9051123566492234E-2</v>
      </c>
      <c r="M19" s="248">
        <f>'AGG ASIA INCUMB'!E47</f>
        <v>9.3479087729789065E-2</v>
      </c>
      <c r="N19" s="248">
        <f>'AGG ASIA INCUMB'!F47</f>
        <v>0.10245395719323375</v>
      </c>
      <c r="O19" s="248">
        <f>'AGG ASIA INCUMB'!G47</f>
        <v>0.11314221652743744</v>
      </c>
      <c r="P19" s="286">
        <f>'AGG ASIA INCUMB'!H47</f>
        <v>0.1612622626724487</v>
      </c>
      <c r="R19" s="5"/>
      <c r="S19" s="42"/>
      <c r="T19" s="42"/>
      <c r="U19" s="42"/>
      <c r="V19" s="42"/>
      <c r="W19" s="42"/>
      <c r="X19" s="42"/>
      <c r="Y19" s="42"/>
      <c r="Z19" s="42"/>
      <c r="AA19" s="42"/>
    </row>
    <row r="20" spans="2:27">
      <c r="H20" s="277"/>
      <c r="I20" s="17"/>
      <c r="J20" s="5" t="s">
        <v>604</v>
      </c>
      <c r="L20" s="305">
        <f>'AGG ASIA INCUMB'!D48</f>
        <v>0.58020270145274866</v>
      </c>
      <c r="M20" s="305">
        <f>'AGG ASIA INCUMB'!E48</f>
        <v>0.49738583643750317</v>
      </c>
      <c r="N20" s="305">
        <f>'AGG ASIA INCUMB'!F48</f>
        <v>0.5269471278406761</v>
      </c>
      <c r="O20" s="305">
        <f>'AGG ASIA INCUMB'!G48</f>
        <v>0.55446861753269805</v>
      </c>
      <c r="P20" s="286" t="str">
        <f>'AGG ASIA INCUMB'!H48</f>
        <v>nm</v>
      </c>
      <c r="R20" s="5"/>
      <c r="S20" s="42"/>
      <c r="T20" s="42"/>
      <c r="U20" s="42"/>
      <c r="V20" s="42"/>
      <c r="W20" s="42"/>
      <c r="X20" s="42"/>
      <c r="Y20" s="42"/>
      <c r="Z20" s="42"/>
      <c r="AA20" s="42"/>
    </row>
    <row r="21" spans="2:27" ht="12.6" thickBot="1">
      <c r="B21" s="306" t="s">
        <v>935</v>
      </c>
      <c r="C21" s="265"/>
      <c r="D21" s="265" t="str">
        <f>D5</f>
        <v>2023E</v>
      </c>
      <c r="E21" s="265" t="str">
        <f t="shared" ref="E21:H21" si="2">E5</f>
        <v>2024E</v>
      </c>
      <c r="F21" s="265" t="str">
        <f t="shared" si="2"/>
        <v>2025E</v>
      </c>
      <c r="G21" s="265" t="str">
        <f t="shared" si="2"/>
        <v>2026E</v>
      </c>
      <c r="H21" s="265" t="str">
        <f t="shared" si="2"/>
        <v>23E-26E</v>
      </c>
      <c r="I21" s="49"/>
      <c r="J21" s="41"/>
      <c r="L21" s="250"/>
      <c r="M21" s="250"/>
      <c r="N21" s="250"/>
      <c r="O21" s="250"/>
      <c r="P21" s="286"/>
      <c r="R21" s="5"/>
      <c r="S21" s="42"/>
      <c r="T21" s="42"/>
      <c r="U21" s="42"/>
      <c r="V21" s="42"/>
      <c r="W21" s="42"/>
      <c r="X21" s="42"/>
      <c r="Y21" s="42"/>
      <c r="Z21" s="42"/>
      <c r="AA21" s="42"/>
    </row>
    <row r="22" spans="2:27" ht="12.6" thickTop="1">
      <c r="B22" s="5"/>
      <c r="C22" s="257"/>
      <c r="D22" s="17"/>
      <c r="E22" s="17"/>
      <c r="F22" s="17"/>
      <c r="G22" s="17"/>
      <c r="H22" s="17"/>
      <c r="I22" s="17"/>
      <c r="P22" s="277"/>
      <c r="R22" s="5"/>
      <c r="S22" s="42"/>
      <c r="T22" s="42"/>
      <c r="U22" s="42"/>
      <c r="V22" s="42"/>
      <c r="W22" s="42"/>
      <c r="X22" s="42"/>
      <c r="Y22" s="42"/>
      <c r="Z22" s="42"/>
      <c r="AA22" s="42"/>
    </row>
    <row r="23" spans="2:27" ht="12.6" thickBot="1">
      <c r="B23" s="5" t="s">
        <v>584</v>
      </c>
      <c r="C23" s="548">
        <v>481448</v>
      </c>
      <c r="D23" s="540">
        <v>513551</v>
      </c>
      <c r="E23" s="540">
        <v>542112.78514631314</v>
      </c>
      <c r="F23" s="540">
        <v>568742.56400947843</v>
      </c>
      <c r="G23" s="540">
        <v>595418.27268590569</v>
      </c>
      <c r="H23" s="279">
        <f t="shared" ref="H23:H32" si="3">IF(D23=0,"nm",IF(G23=0,"nm",(G23/D23)^(1/3)-1))</f>
        <v>5.0540645025821451E-2</v>
      </c>
      <c r="I23" s="247"/>
      <c r="J23" s="306" t="s">
        <v>9</v>
      </c>
      <c r="K23" s="306"/>
      <c r="L23" s="265" t="str">
        <f>D21</f>
        <v>2023E</v>
      </c>
      <c r="M23" s="265" t="str">
        <f t="shared" ref="M23:P23" si="4">E21</f>
        <v>2024E</v>
      </c>
      <c r="N23" s="265" t="str">
        <f t="shared" si="4"/>
        <v>2025E</v>
      </c>
      <c r="O23" s="265" t="str">
        <f t="shared" si="4"/>
        <v>2026E</v>
      </c>
      <c r="P23" s="265" t="str">
        <f t="shared" si="4"/>
        <v>23E-26E</v>
      </c>
      <c r="R23" s="5"/>
      <c r="S23" s="42"/>
      <c r="T23" s="42"/>
      <c r="U23" s="42"/>
      <c r="V23" s="42"/>
      <c r="W23" s="42"/>
      <c r="X23" s="42"/>
      <c r="Y23" s="42"/>
      <c r="Z23" s="42"/>
      <c r="AA23" s="42"/>
    </row>
    <row r="24" spans="2:27" ht="12.6" thickTop="1">
      <c r="B24" s="5" t="s">
        <v>483</v>
      </c>
      <c r="C24" s="548">
        <v>130359</v>
      </c>
      <c r="D24" s="540">
        <v>136830</v>
      </c>
      <c r="E24" s="540">
        <v>143805.23892849876</v>
      </c>
      <c r="F24" s="540">
        <v>151068.8310713917</v>
      </c>
      <c r="G24" s="540">
        <v>160195.83741625864</v>
      </c>
      <c r="H24" s="279">
        <f t="shared" si="3"/>
        <v>5.395798870598334E-2</v>
      </c>
      <c r="I24" s="249"/>
      <c r="J24" s="17"/>
      <c r="K24" s="17"/>
      <c r="L24" s="17"/>
      <c r="M24" s="17"/>
      <c r="N24" s="17"/>
      <c r="O24" s="248"/>
      <c r="R24" s="5"/>
      <c r="S24" s="42"/>
      <c r="T24" s="42"/>
      <c r="U24" s="42"/>
      <c r="V24" s="42"/>
      <c r="W24" s="42" t="s">
        <v>294</v>
      </c>
      <c r="X24" s="42" t="s">
        <v>259</v>
      </c>
      <c r="Y24" s="42"/>
      <c r="Z24" s="42"/>
      <c r="AA24" s="42"/>
    </row>
    <row r="25" spans="2:27">
      <c r="B25" s="5" t="s">
        <v>183</v>
      </c>
      <c r="C25" s="548">
        <v>37831</v>
      </c>
      <c r="D25" s="540">
        <v>37992</v>
      </c>
      <c r="E25" s="540">
        <v>47056.7288069481</v>
      </c>
      <c r="F25" s="540">
        <v>52508.479019044826</v>
      </c>
      <c r="G25" s="540">
        <v>60590.236459103471</v>
      </c>
      <c r="H25" s="279">
        <f t="shared" si="3"/>
        <v>0.16834246929040142</v>
      </c>
      <c r="I25" s="248"/>
      <c r="J25" s="247" t="s">
        <v>10</v>
      </c>
      <c r="K25" s="247"/>
      <c r="L25" s="321">
        <v>0</v>
      </c>
      <c r="M25" s="321">
        <v>0</v>
      </c>
      <c r="N25" s="321">
        <v>0</v>
      </c>
      <c r="O25" s="321">
        <v>0</v>
      </c>
      <c r="P25" s="279" t="str">
        <f>IF(L25=0,"nm",IF(O25=0,"nm",(O25/L25)^(1/3)-1))</f>
        <v>nm</v>
      </c>
      <c r="R25" s="5"/>
      <c r="S25" s="42"/>
      <c r="T25" s="42"/>
      <c r="U25" s="42"/>
      <c r="V25" s="147" t="s">
        <v>273</v>
      </c>
      <c r="W25" s="288">
        <f>D37/L9</f>
        <v>6.7949921637767219E-3</v>
      </c>
      <c r="X25" s="288">
        <v>1</v>
      </c>
      <c r="Y25" s="42"/>
      <c r="Z25" s="42"/>
      <c r="AA25" s="42"/>
    </row>
    <row r="26" spans="2:27">
      <c r="B26" s="5" t="s">
        <v>586</v>
      </c>
      <c r="C26" s="548">
        <v>29316.535700285607</v>
      </c>
      <c r="D26" s="540">
        <v>29487.311906948271</v>
      </c>
      <c r="E26" s="540">
        <v>36522.858487343554</v>
      </c>
      <c r="F26" s="540">
        <v>40754.208743788797</v>
      </c>
      <c r="G26" s="540">
        <v>47026.826726293242</v>
      </c>
      <c r="H26" s="279">
        <f t="shared" si="3"/>
        <v>0.16834246929040142</v>
      </c>
      <c r="I26" s="249"/>
      <c r="J26" s="249" t="s">
        <v>11</v>
      </c>
      <c r="K26" s="249"/>
      <c r="L26" s="281">
        <f>D11+L25</f>
        <v>376719.47480437701</v>
      </c>
      <c r="M26" s="281">
        <f>E11+M25</f>
        <v>376719.47480437701</v>
      </c>
      <c r="N26" s="281">
        <f>F11+N25</f>
        <v>376719.47480437701</v>
      </c>
      <c r="O26" s="281">
        <f>G11+O25</f>
        <v>376719.47480437701</v>
      </c>
      <c r="P26" s="279">
        <f>IF(L26=0,"nm",IF(O26=0,"nm",(O26/L26)^(1/3)-1))</f>
        <v>0</v>
      </c>
      <c r="Q26" s="5"/>
      <c r="R26" s="5"/>
      <c r="S26" s="42"/>
      <c r="T26" s="42"/>
      <c r="U26" s="42"/>
      <c r="V26" s="147" t="s">
        <v>184</v>
      </c>
      <c r="W26" s="288">
        <f t="shared" ref="W26:W33" si="5">D38/L10</f>
        <v>7.0233570242238313E-3</v>
      </c>
      <c r="X26" s="288">
        <v>1</v>
      </c>
      <c r="Y26" s="42"/>
      <c r="Z26" s="42"/>
      <c r="AA26" s="42"/>
    </row>
    <row r="27" spans="2:27">
      <c r="B27" s="5" t="s">
        <v>587</v>
      </c>
      <c r="C27" s="548">
        <v>423019</v>
      </c>
      <c r="D27" s="540">
        <v>407108</v>
      </c>
      <c r="E27" s="540">
        <v>402297.06462954881</v>
      </c>
      <c r="F27" s="540">
        <v>398872.97565614711</v>
      </c>
      <c r="G27" s="540">
        <v>396095.95857934933</v>
      </c>
      <c r="H27" s="279">
        <f t="shared" si="3"/>
        <v>-9.0990194084140663E-3</v>
      </c>
      <c r="I27" s="249"/>
      <c r="J27" s="248"/>
      <c r="K27" s="248"/>
      <c r="L27" s="248"/>
      <c r="M27" s="248"/>
      <c r="N27" s="248"/>
      <c r="O27" s="248"/>
      <c r="Q27" s="41"/>
      <c r="R27" s="5"/>
      <c r="S27" s="42"/>
      <c r="T27" s="42"/>
      <c r="U27" s="42"/>
      <c r="V27" s="147" t="s">
        <v>185</v>
      </c>
      <c r="W27" s="288">
        <f t="shared" si="5"/>
        <v>1.0058316002489723E-2</v>
      </c>
      <c r="X27" s="288">
        <v>1</v>
      </c>
      <c r="Y27" s="42"/>
      <c r="Z27" s="42"/>
      <c r="AA27" s="42"/>
    </row>
    <row r="28" spans="2:27" ht="12.6" thickBot="1">
      <c r="B28" s="5" t="s">
        <v>592</v>
      </c>
      <c r="C28" s="548">
        <v>413963</v>
      </c>
      <c r="D28" s="540">
        <v>409943</v>
      </c>
      <c r="E28" s="540">
        <v>405824.86660352582</v>
      </c>
      <c r="F28" s="540">
        <v>400371.28625539318</v>
      </c>
      <c r="G28" s="540">
        <v>393085.04756415635</v>
      </c>
      <c r="H28" s="279">
        <f t="shared" si="3"/>
        <v>-1.3899869256029596E-2</v>
      </c>
      <c r="I28" s="248"/>
      <c r="J28" s="306" t="s">
        <v>1362</v>
      </c>
      <c r="K28" s="306"/>
      <c r="L28" s="306"/>
      <c r="M28" s="306"/>
      <c r="N28" s="266"/>
      <c r="O28" s="266"/>
      <c r="P28" s="266"/>
      <c r="Q28" s="5"/>
      <c r="R28" s="5"/>
      <c r="S28" s="42"/>
      <c r="T28" s="42"/>
      <c r="U28" s="42"/>
      <c r="V28" s="147" t="s">
        <v>466</v>
      </c>
      <c r="W28" s="288">
        <f t="shared" si="5"/>
        <v>9.6487466809203094E-3</v>
      </c>
      <c r="X28" s="288">
        <v>1</v>
      </c>
      <c r="Y28" s="42"/>
      <c r="Z28" s="42"/>
      <c r="AA28" s="42"/>
    </row>
    <row r="29" spans="2:27" ht="12.6" thickTop="1">
      <c r="B29" s="5" t="s">
        <v>588</v>
      </c>
      <c r="C29" s="548">
        <v>29720.000000000015</v>
      </c>
      <c r="D29" s="540">
        <v>29039</v>
      </c>
      <c r="E29" s="540">
        <v>37067.577637542425</v>
      </c>
      <c r="F29" s="540">
        <v>41686.836960114233</v>
      </c>
      <c r="G29" s="540">
        <v>48343.469846377047</v>
      </c>
      <c r="H29" s="279">
        <f t="shared" si="3"/>
        <v>0.18518292868775843</v>
      </c>
      <c r="I29" s="252"/>
      <c r="J29" s="249"/>
      <c r="K29" s="249"/>
      <c r="L29" s="249"/>
      <c r="M29" s="249"/>
      <c r="N29" s="249"/>
      <c r="O29" s="251"/>
      <c r="Q29" s="5"/>
      <c r="R29" s="5"/>
      <c r="S29" s="42"/>
      <c r="T29" s="42"/>
      <c r="U29" s="42"/>
      <c r="V29" s="147" t="s">
        <v>530</v>
      </c>
      <c r="W29" s="288">
        <f t="shared" si="5"/>
        <v>9.5082535716272953E-3</v>
      </c>
      <c r="X29" s="288">
        <v>1</v>
      </c>
      <c r="Y29" s="42"/>
      <c r="Z29" s="42"/>
      <c r="AA29" s="42"/>
    </row>
    <row r="30" spans="2:27">
      <c r="B30" s="5" t="s">
        <v>589</v>
      </c>
      <c r="C30" s="548">
        <v>25233.000000000007</v>
      </c>
      <c r="D30" s="540">
        <v>28193</v>
      </c>
      <c r="E30" s="540">
        <v>31067.084408164097</v>
      </c>
      <c r="F30" s="540">
        <v>34370.854377406358</v>
      </c>
      <c r="G30" s="540">
        <v>39214.64364291096</v>
      </c>
      <c r="H30" s="279">
        <f t="shared" si="3"/>
        <v>0.11626933345092705</v>
      </c>
      <c r="I30" s="254"/>
      <c r="J30" s="248"/>
      <c r="K30" s="248"/>
      <c r="L30" s="248"/>
      <c r="M30" s="248"/>
      <c r="N30" s="248"/>
      <c r="O30" s="5"/>
      <c r="Q30" s="5"/>
      <c r="R30" s="5"/>
      <c r="S30" s="42"/>
      <c r="T30" s="42"/>
      <c r="U30" s="42"/>
      <c r="V30" s="147" t="s">
        <v>593</v>
      </c>
      <c r="W30" s="288">
        <f t="shared" si="5"/>
        <v>7.0929273800062797E-3</v>
      </c>
      <c r="X30" s="288">
        <v>1</v>
      </c>
      <c r="Y30" s="42"/>
      <c r="Z30" s="42"/>
      <c r="AA30" s="42"/>
    </row>
    <row r="31" spans="2:27">
      <c r="B31" s="5" t="s">
        <v>590</v>
      </c>
      <c r="C31" s="548">
        <v>17935.371999999999</v>
      </c>
      <c r="D31" s="540">
        <v>21339.432399999998</v>
      </c>
      <c r="E31" s="540">
        <v>23593.405589534432</v>
      </c>
      <c r="F31" s="540">
        <v>27221.703341509467</v>
      </c>
      <c r="G31" s="540">
        <v>33037.995811004737</v>
      </c>
      <c r="H31" s="279">
        <f t="shared" si="3"/>
        <v>0.15684971358067301</v>
      </c>
      <c r="I31" s="254"/>
      <c r="J31" s="252"/>
      <c r="K31" s="252"/>
      <c r="L31" s="252"/>
      <c r="M31" s="252"/>
      <c r="N31" s="252"/>
      <c r="O31" s="5"/>
      <c r="Q31" s="5"/>
      <c r="R31" s="5"/>
      <c r="S31" s="42"/>
      <c r="T31" s="42"/>
      <c r="U31" s="42"/>
      <c r="V31" s="147" t="s">
        <v>475</v>
      </c>
      <c r="W31" s="288">
        <f t="shared" si="5"/>
        <v>0.89579196957956853</v>
      </c>
      <c r="X31" s="288">
        <v>1</v>
      </c>
      <c r="Y31" s="42"/>
      <c r="Z31" s="42"/>
      <c r="AA31" s="42"/>
    </row>
    <row r="32" spans="2:27">
      <c r="B32" s="5" t="s">
        <v>606</v>
      </c>
      <c r="C32" s="550">
        <v>0</v>
      </c>
      <c r="D32" s="540">
        <v>0</v>
      </c>
      <c r="E32" s="540">
        <v>0</v>
      </c>
      <c r="F32" s="540">
        <v>0</v>
      </c>
      <c r="G32" s="540">
        <v>0</v>
      </c>
      <c r="H32" s="279" t="str">
        <f t="shared" si="3"/>
        <v>nm</v>
      </c>
      <c r="I32" s="254"/>
      <c r="J32" s="254"/>
      <c r="K32" s="254"/>
      <c r="L32" s="254"/>
      <c r="M32" s="254"/>
      <c r="N32" s="254"/>
      <c r="O32" s="251"/>
      <c r="Q32" s="5"/>
      <c r="R32" s="5"/>
      <c r="S32" s="42"/>
      <c r="T32" s="42"/>
      <c r="U32" s="42"/>
      <c r="V32" s="147" t="s">
        <v>533</v>
      </c>
      <c r="W32" s="288">
        <f t="shared" si="5"/>
        <v>3.3299554440357065E-2</v>
      </c>
      <c r="X32" s="288">
        <v>1</v>
      </c>
      <c r="Y32" s="42"/>
      <c r="Z32" s="42"/>
      <c r="AA32" s="42"/>
    </row>
    <row r="33" spans="2:27">
      <c r="B33" s="5" t="s">
        <v>5</v>
      </c>
      <c r="C33" s="548">
        <v>-7</v>
      </c>
      <c r="D33" s="540">
        <v>-332</v>
      </c>
      <c r="E33" s="540">
        <v>-428.49355265442705</v>
      </c>
      <c r="F33" s="540">
        <v>-77.859435164516071</v>
      </c>
      <c r="G33" s="540">
        <v>297.25185525822189</v>
      </c>
      <c r="H33" s="279">
        <f>IF(D33=0,"nm",IF(G33=0,"nm",(G33/D33)^(1/3)-1))</f>
        <v>-1.9638190295738038</v>
      </c>
      <c r="I33" s="5"/>
      <c r="J33" s="254"/>
      <c r="K33" s="254"/>
      <c r="L33" s="254"/>
      <c r="M33" s="254"/>
      <c r="N33" s="254"/>
      <c r="O33" s="251"/>
      <c r="Q33" s="5"/>
      <c r="R33" s="5"/>
      <c r="S33" s="42"/>
      <c r="T33" s="42"/>
      <c r="U33" s="42"/>
      <c r="V33" s="147" t="s">
        <v>580</v>
      </c>
      <c r="W33" s="288">
        <f t="shared" si="5"/>
        <v>39.927040157480228</v>
      </c>
      <c r="X33" s="288">
        <v>1</v>
      </c>
      <c r="Y33" s="42"/>
      <c r="Z33" s="42"/>
      <c r="AA33" s="42"/>
    </row>
    <row r="34" spans="2:27">
      <c r="B34" s="5"/>
      <c r="C34" s="247"/>
      <c r="D34" s="17"/>
      <c r="E34" s="17"/>
      <c r="F34" s="17"/>
      <c r="G34" s="17"/>
      <c r="H34" s="277"/>
      <c r="I34" s="49"/>
      <c r="J34" s="254"/>
      <c r="K34" s="254"/>
      <c r="L34" s="254"/>
      <c r="M34" s="254"/>
      <c r="N34" s="254"/>
      <c r="O34" s="251"/>
      <c r="Q34" s="5"/>
      <c r="R34" s="5"/>
      <c r="S34" s="42"/>
      <c r="T34" s="42"/>
      <c r="U34" s="42"/>
      <c r="V34" s="147" t="s">
        <v>581</v>
      </c>
      <c r="W34" s="288">
        <f>D47/L19</f>
        <v>1.1163306146507883</v>
      </c>
      <c r="X34" s="288">
        <v>1</v>
      </c>
      <c r="Y34" s="288"/>
      <c r="Z34" s="288"/>
      <c r="AA34" s="42"/>
    </row>
    <row r="35" spans="2:27" ht="12.6" thickBot="1">
      <c r="B35" s="306" t="s">
        <v>293</v>
      </c>
      <c r="C35" s="265"/>
      <c r="D35" s="265" t="str">
        <f>D5</f>
        <v>2023E</v>
      </c>
      <c r="E35" s="265" t="str">
        <f t="shared" ref="E35:H35" si="6">E5</f>
        <v>2024E</v>
      </c>
      <c r="F35" s="265" t="str">
        <f t="shared" si="6"/>
        <v>2025E</v>
      </c>
      <c r="G35" s="265" t="str">
        <f t="shared" si="6"/>
        <v>2026E</v>
      </c>
      <c r="H35" s="265" t="str">
        <f t="shared" si="6"/>
        <v>23E-26E</v>
      </c>
      <c r="I35" s="254"/>
      <c r="J35" s="5"/>
      <c r="K35" s="5"/>
      <c r="L35" s="5"/>
      <c r="M35" s="5"/>
      <c r="N35" s="5"/>
      <c r="O35" s="5"/>
      <c r="Q35" s="5"/>
      <c r="R35" s="5"/>
      <c r="S35" s="42"/>
      <c r="T35" s="42"/>
      <c r="U35" s="42"/>
      <c r="V35" s="42"/>
      <c r="W35" s="42"/>
      <c r="X35" s="42"/>
      <c r="Y35" s="288"/>
      <c r="Z35" s="288"/>
      <c r="AA35" s="42"/>
    </row>
    <row r="36" spans="2:27" ht="12.6" thickTop="1">
      <c r="B36" s="41"/>
      <c r="C36" s="249"/>
      <c r="D36" s="254"/>
      <c r="E36" s="254"/>
      <c r="F36" s="254"/>
      <c r="G36" s="254"/>
      <c r="H36" s="254"/>
      <c r="I36" s="17"/>
      <c r="J36" s="49"/>
      <c r="K36" s="49"/>
      <c r="L36" s="49"/>
      <c r="M36" s="49"/>
      <c r="N36" s="49"/>
      <c r="O36" s="49"/>
      <c r="Q36" s="5"/>
      <c r="S36" s="88"/>
      <c r="T36" s="42"/>
      <c r="U36" s="42"/>
      <c r="V36" s="42"/>
      <c r="W36" s="42"/>
      <c r="X36" s="42"/>
      <c r="Y36" s="288"/>
      <c r="Z36" s="288"/>
      <c r="AA36" s="42"/>
    </row>
    <row r="37" spans="2:27">
      <c r="B37" s="5" t="s">
        <v>273</v>
      </c>
      <c r="C37" s="247"/>
      <c r="D37" s="529">
        <f>D$18/D23</f>
        <v>0.42905398222901875</v>
      </c>
      <c r="E37" s="529">
        <f>E$18/E23</f>
        <v>0.37479956034333184</v>
      </c>
      <c r="F37" s="529">
        <f t="shared" ref="E37:G41" si="7">F$18/F23</f>
        <v>0.32627217581472495</v>
      </c>
      <c r="G37" s="529">
        <f t="shared" si="7"/>
        <v>0.27876157633265558</v>
      </c>
      <c r="H37" s="17">
        <f t="shared" ref="H37:H45" si="8">H23</f>
        <v>5.0540645025821451E-2</v>
      </c>
      <c r="I37" s="5"/>
      <c r="J37" s="259"/>
      <c r="K37" s="259"/>
      <c r="L37" s="259"/>
      <c r="M37" s="259"/>
      <c r="N37" s="259"/>
      <c r="O37" s="18"/>
      <c r="Q37" s="5"/>
      <c r="R37" s="5"/>
      <c r="S37" s="42"/>
      <c r="T37" s="42"/>
      <c r="U37" s="42"/>
      <c r="V37" s="42"/>
      <c r="W37" s="42"/>
      <c r="X37" s="42"/>
      <c r="Y37" s="42"/>
      <c r="Z37" s="42"/>
      <c r="AA37" s="42"/>
    </row>
    <row r="38" spans="2:27">
      <c r="B38" s="5" t="s">
        <v>184</v>
      </c>
      <c r="C38" s="247"/>
      <c r="D38" s="529">
        <f>D$18/D24</f>
        <v>1.6103274254746387</v>
      </c>
      <c r="E38" s="529">
        <f>E$18/E24</f>
        <v>1.4129084242220269</v>
      </c>
      <c r="F38" s="529">
        <f t="shared" si="7"/>
        <v>1.2283465260290805</v>
      </c>
      <c r="G38" s="529">
        <f t="shared" si="7"/>
        <v>1.0361051756913151</v>
      </c>
      <c r="H38" s="17">
        <f t="shared" si="8"/>
        <v>5.395798870598334E-2</v>
      </c>
      <c r="I38" s="259"/>
      <c r="J38" s="17"/>
      <c r="K38" s="17"/>
      <c r="L38" s="17"/>
      <c r="M38" s="17"/>
      <c r="N38" s="17"/>
      <c r="O38" s="5"/>
      <c r="Q38" s="5"/>
      <c r="R38" s="5"/>
      <c r="S38" s="42"/>
      <c r="T38" s="42"/>
      <c r="U38" s="42"/>
      <c r="V38" s="42"/>
      <c r="W38" s="42"/>
      <c r="X38" s="42"/>
      <c r="Y38" s="42"/>
      <c r="Z38" s="42"/>
      <c r="AA38" s="42"/>
    </row>
    <row r="39" spans="2:27">
      <c r="B39" s="5" t="s">
        <v>185</v>
      </c>
      <c r="C39" s="247"/>
      <c r="D39" s="529">
        <f>D$18/D25</f>
        <v>5.7996710262080127</v>
      </c>
      <c r="E39" s="529">
        <f t="shared" si="7"/>
        <v>4.3178444120692143</v>
      </c>
      <c r="F39" s="529">
        <f t="shared" si="7"/>
        <v>3.5339982666516323</v>
      </c>
      <c r="G39" s="529">
        <f t="shared" si="7"/>
        <v>2.739380896511622</v>
      </c>
      <c r="H39" s="17">
        <f t="shared" si="8"/>
        <v>0.16834246929040142</v>
      </c>
      <c r="I39" s="17"/>
      <c r="J39" s="5"/>
      <c r="K39" s="5"/>
      <c r="L39" s="5"/>
      <c r="M39" s="5"/>
      <c r="N39" s="5"/>
      <c r="O39" s="5"/>
      <c r="Q39" s="5"/>
      <c r="R39" s="5"/>
      <c r="S39" s="42"/>
      <c r="T39" s="42"/>
      <c r="U39" s="42"/>
      <c r="V39" s="42"/>
      <c r="W39" s="42"/>
      <c r="X39" s="42"/>
      <c r="Y39" s="42"/>
      <c r="Z39" s="42"/>
      <c r="AA39" s="42"/>
    </row>
    <row r="40" spans="2:27">
      <c r="B40" s="5" t="s">
        <v>466</v>
      </c>
      <c r="C40" s="247"/>
      <c r="D40" s="529">
        <f>D$18/D26</f>
        <v>7.4724038027954167</v>
      </c>
      <c r="E40" s="529">
        <f t="shared" si="7"/>
        <v>5.5631908876942777</v>
      </c>
      <c r="F40" s="529">
        <f t="shared" si="7"/>
        <v>4.5532689643029638</v>
      </c>
      <c r="G40" s="529">
        <f t="shared" si="7"/>
        <v>3.5294691950454067</v>
      </c>
      <c r="H40" s="17">
        <f t="shared" si="8"/>
        <v>0.16834246929040142</v>
      </c>
      <c r="I40" s="5"/>
      <c r="J40" s="259"/>
      <c r="K40" s="259"/>
      <c r="L40" s="259"/>
      <c r="M40" s="259"/>
      <c r="N40" s="259"/>
      <c r="O40" s="18"/>
      <c r="Q40" s="5"/>
      <c r="R40" s="5"/>
      <c r="S40" s="42"/>
      <c r="T40" s="42"/>
      <c r="U40" s="42"/>
      <c r="V40" s="42"/>
      <c r="W40" s="288"/>
      <c r="X40" s="288"/>
      <c r="Y40" s="42"/>
      <c r="Z40" s="42"/>
      <c r="AA40" s="42"/>
    </row>
    <row r="41" spans="2:27">
      <c r="B41" s="5" t="s">
        <v>530</v>
      </c>
      <c r="C41" s="247"/>
      <c r="D41" s="529">
        <f>D$18/D27</f>
        <v>0.54123500797747726</v>
      </c>
      <c r="E41" s="529">
        <f t="shared" si="7"/>
        <v>0.50505870261926189</v>
      </c>
      <c r="F41" s="529">
        <f t="shared" si="7"/>
        <v>0.4652229786501913</v>
      </c>
      <c r="G41" s="529">
        <f t="shared" si="7"/>
        <v>0.41903920672783018</v>
      </c>
      <c r="H41" s="17">
        <f t="shared" si="8"/>
        <v>-9.0990194084140663E-3</v>
      </c>
      <c r="I41" s="247"/>
      <c r="J41" s="17"/>
      <c r="K41" s="17"/>
      <c r="L41" s="17"/>
      <c r="M41" s="17"/>
      <c r="N41" s="17"/>
      <c r="O41" s="5"/>
      <c r="Q41" s="5"/>
      <c r="R41" s="5"/>
      <c r="S41" s="42"/>
      <c r="T41" s="42"/>
      <c r="U41" s="42"/>
      <c r="V41" s="42"/>
      <c r="W41" s="288"/>
      <c r="X41" s="288"/>
      <c r="Y41" s="288"/>
      <c r="Z41" s="288"/>
      <c r="AA41" s="42"/>
    </row>
    <row r="42" spans="2:27">
      <c r="B42" s="5" t="s">
        <v>593</v>
      </c>
      <c r="C42" s="247"/>
      <c r="D42" s="529">
        <f>D18/D28</f>
        <v>0.53749204554705121</v>
      </c>
      <c r="E42" s="529">
        <f>E18/E28</f>
        <v>0.50066826912269846</v>
      </c>
      <c r="F42" s="529">
        <f>F18/F28</f>
        <v>0.46348197337870001</v>
      </c>
      <c r="G42" s="529">
        <f>G18/G28</f>
        <v>0.42224891864934155</v>
      </c>
      <c r="H42" s="17">
        <f t="shared" si="8"/>
        <v>-1.3899869256029596E-2</v>
      </c>
      <c r="I42" s="248"/>
      <c r="J42" s="5"/>
      <c r="K42" s="5"/>
      <c r="L42" s="5"/>
      <c r="M42" s="5"/>
      <c r="N42" s="5"/>
      <c r="O42" s="5"/>
      <c r="Q42" s="5"/>
      <c r="R42" s="5"/>
      <c r="S42" s="42"/>
      <c r="T42" s="42"/>
      <c r="U42" s="42"/>
      <c r="V42" s="42"/>
      <c r="W42" s="288"/>
      <c r="X42" s="288"/>
      <c r="Y42" s="288"/>
      <c r="Z42" s="288"/>
      <c r="AA42" s="42"/>
    </row>
    <row r="43" spans="2:27">
      <c r="B43" s="5" t="s">
        <v>475</v>
      </c>
      <c r="C43" s="247"/>
      <c r="D43" s="529">
        <f>L26/D29</f>
        <v>12.972880429917593</v>
      </c>
      <c r="E43" s="529">
        <f>M26/E29</f>
        <v>10.163045410953201</v>
      </c>
      <c r="F43" s="529">
        <f>N26/F29</f>
        <v>9.0368927526168612</v>
      </c>
      <c r="G43" s="529">
        <f>O26/G29</f>
        <v>7.7925617669044724</v>
      </c>
      <c r="H43" s="17">
        <f t="shared" si="8"/>
        <v>0.18518292868775843</v>
      </c>
      <c r="I43" s="247"/>
      <c r="J43" s="247"/>
      <c r="K43" s="247"/>
      <c r="L43" s="247"/>
      <c r="M43" s="247"/>
      <c r="N43" s="247"/>
      <c r="O43" s="18"/>
      <c r="Q43" s="5"/>
      <c r="R43" s="5"/>
      <c r="S43" s="42"/>
      <c r="T43" s="42"/>
      <c r="U43" s="42"/>
      <c r="V43" s="42"/>
      <c r="W43" s="288"/>
      <c r="X43" s="288"/>
      <c r="Y43" s="288"/>
      <c r="Z43" s="288"/>
      <c r="AA43" s="42"/>
    </row>
    <row r="44" spans="2:27">
      <c r="B44" s="5" t="s">
        <v>533</v>
      </c>
      <c r="C44" s="69"/>
      <c r="D44" s="529">
        <f>D11/D30</f>
        <v>13.362163473357819</v>
      </c>
      <c r="E44" s="529">
        <f>E11/E30</f>
        <v>12.126000298418063</v>
      </c>
      <c r="F44" s="529">
        <f>F11/F30</f>
        <v>10.960433821860802</v>
      </c>
      <c r="G44" s="529">
        <f>G11/G30</f>
        <v>9.606602019255595</v>
      </c>
      <c r="H44" s="17">
        <f t="shared" si="8"/>
        <v>0.11626933345092705</v>
      </c>
      <c r="I44" s="247"/>
      <c r="J44" s="248"/>
      <c r="K44" s="248"/>
      <c r="L44" s="248"/>
      <c r="M44" s="248"/>
      <c r="N44" s="248"/>
      <c r="O44" s="248"/>
      <c r="Q44" s="5"/>
      <c r="R44" s="5"/>
      <c r="S44" s="42"/>
      <c r="T44" s="42"/>
      <c r="U44" s="42"/>
      <c r="V44" s="42"/>
      <c r="W44" s="325"/>
      <c r="X44" s="325"/>
      <c r="Y44" s="288"/>
      <c r="Z44" s="288"/>
      <c r="AA44" s="42"/>
    </row>
    <row r="45" spans="2:27">
      <c r="B45" s="5" t="s">
        <v>580</v>
      </c>
      <c r="C45" s="247"/>
      <c r="D45" s="248">
        <f>D31/D11</f>
        <v>5.6645418745821789E-2</v>
      </c>
      <c r="E45" s="248">
        <f>E31/E11</f>
        <v>6.2628579533314604E-2</v>
      </c>
      <c r="F45" s="248">
        <f>F31/F11</f>
        <v>7.2259878137824335E-2</v>
      </c>
      <c r="G45" s="248">
        <f>G31/G11</f>
        <v>8.7699197999149672E-2</v>
      </c>
      <c r="H45" s="17">
        <f t="shared" si="8"/>
        <v>0.15684971358067301</v>
      </c>
      <c r="I45" s="248"/>
      <c r="J45" s="247"/>
      <c r="K45" s="247"/>
      <c r="L45" s="247"/>
      <c r="M45" s="247"/>
      <c r="N45" s="247"/>
      <c r="O45" s="248"/>
      <c r="Q45" s="5"/>
      <c r="R45" s="5"/>
      <c r="S45" s="42"/>
      <c r="T45" s="42"/>
      <c r="U45" s="42"/>
      <c r="V45" s="42"/>
      <c r="W45" s="42"/>
      <c r="X45" s="42"/>
      <c r="Y45" s="325"/>
      <c r="Z45" s="325"/>
      <c r="AA45" s="42"/>
    </row>
    <row r="46" spans="2:27">
      <c r="B46" s="5" t="s">
        <v>605</v>
      </c>
      <c r="C46" s="247"/>
      <c r="D46" s="248">
        <f>(D31+D32)/D11</f>
        <v>5.6645418745821789E-2</v>
      </c>
      <c r="E46" s="248">
        <f>(E31+E32)/E11</f>
        <v>6.2628579533314604E-2</v>
      </c>
      <c r="F46" s="248">
        <f>(F31+F32)/F11</f>
        <v>7.2259878137824335E-2</v>
      </c>
      <c r="G46" s="248">
        <f>(G31+G32)/G11</f>
        <v>8.7699197999149672E-2</v>
      </c>
      <c r="H46" s="279">
        <f>((G31+G32)/(D31+D32))^(1/3)-1</f>
        <v>0.15684971358067301</v>
      </c>
      <c r="I46" s="247"/>
      <c r="J46" s="247"/>
      <c r="K46" s="247"/>
      <c r="L46" s="247"/>
      <c r="M46" s="247"/>
      <c r="N46" s="247"/>
      <c r="O46" s="18"/>
      <c r="Q46" s="5"/>
      <c r="R46" s="5"/>
      <c r="S46" s="42"/>
      <c r="T46" s="42"/>
      <c r="U46" s="42"/>
      <c r="V46" s="42"/>
      <c r="W46" s="42"/>
      <c r="X46" s="42"/>
      <c r="Y46" s="42"/>
      <c r="Z46" s="42"/>
      <c r="AA46" s="326"/>
    </row>
    <row r="47" spans="2:27">
      <c r="B47" s="5" t="s">
        <v>581</v>
      </c>
      <c r="C47" s="5"/>
      <c r="D47" s="248">
        <f>1/D43</f>
        <v>7.7083883213309806E-2</v>
      </c>
      <c r="E47" s="248">
        <f>1/E43</f>
        <v>9.8395703213354932E-2</v>
      </c>
      <c r="F47" s="248">
        <f>1/F43</f>
        <v>0.11065750445145259</v>
      </c>
      <c r="G47" s="248">
        <f>1/G43</f>
        <v>0.12832750383154695</v>
      </c>
      <c r="H47" s="17">
        <f>H29</f>
        <v>0.18518292868775843</v>
      </c>
      <c r="I47" s="17"/>
      <c r="J47" s="248"/>
      <c r="K47" s="248"/>
      <c r="L47" s="248"/>
      <c r="M47" s="248"/>
      <c r="N47" s="248"/>
      <c r="O47" s="248"/>
      <c r="Q47" s="5"/>
      <c r="R47" s="5"/>
      <c r="S47" s="42"/>
      <c r="T47" s="42"/>
      <c r="U47" s="42"/>
      <c r="V47" s="42"/>
      <c r="W47" s="42"/>
      <c r="X47" s="42"/>
      <c r="Y47" s="42"/>
      <c r="Z47" s="42"/>
      <c r="AA47" s="326"/>
    </row>
    <row r="48" spans="2:27">
      <c r="B48" s="5" t="s">
        <v>618</v>
      </c>
      <c r="C48" s="5"/>
      <c r="D48" s="305">
        <f>D31/D29</f>
        <v>0.73485424429215873</v>
      </c>
      <c r="E48" s="305">
        <f>E31/E29</f>
        <v>0.63649709782057051</v>
      </c>
      <c r="F48" s="305">
        <f>F31/F29</f>
        <v>0.65300476904868221</v>
      </c>
      <c r="G48" s="305">
        <f>G31/G29</f>
        <v>0.68340141731635895</v>
      </c>
      <c r="H48" s="279" t="s">
        <v>607</v>
      </c>
      <c r="I48" s="247"/>
      <c r="J48" s="247"/>
      <c r="K48" s="247"/>
      <c r="L48" s="247"/>
      <c r="M48" s="247"/>
      <c r="N48" s="247"/>
      <c r="O48" s="248"/>
      <c r="Q48" s="5"/>
      <c r="R48" s="5"/>
      <c r="S48" s="42"/>
      <c r="T48" s="42"/>
      <c r="U48" s="42"/>
      <c r="V48" s="42"/>
      <c r="W48" s="42"/>
      <c r="X48" s="42"/>
      <c r="Y48" s="42"/>
      <c r="Z48" s="42"/>
      <c r="AA48" s="326"/>
    </row>
    <row r="49" spans="2:27">
      <c r="B49" s="41"/>
      <c r="C49" s="17"/>
      <c r="D49" s="17"/>
      <c r="E49" s="17"/>
      <c r="F49" s="17"/>
      <c r="G49" s="17"/>
      <c r="H49" s="17"/>
      <c r="I49" s="254"/>
      <c r="J49" s="17"/>
      <c r="K49" s="17"/>
      <c r="L49" s="17"/>
      <c r="M49" s="17"/>
      <c r="N49" s="17"/>
      <c r="O49" s="248"/>
      <c r="Q49" s="5"/>
      <c r="R49" s="5"/>
      <c r="S49" s="42"/>
      <c r="T49" s="42"/>
      <c r="U49" s="42"/>
      <c r="V49" s="42"/>
      <c r="W49" s="42"/>
      <c r="X49" s="42"/>
      <c r="Y49" s="42"/>
      <c r="Z49" s="42"/>
      <c r="AA49" s="326"/>
    </row>
    <row r="50" spans="2:27">
      <c r="B50" s="5"/>
      <c r="C50" s="257"/>
      <c r="D50" s="257"/>
      <c r="E50" s="257"/>
      <c r="F50" s="5"/>
      <c r="G50" s="41"/>
      <c r="H50" s="249"/>
      <c r="I50" s="17"/>
      <c r="J50" s="249"/>
      <c r="K50" s="249"/>
      <c r="L50" s="249"/>
      <c r="M50" s="249"/>
      <c r="N50" s="249"/>
      <c r="O50" s="250"/>
      <c r="Q50" s="5"/>
      <c r="R50" s="5"/>
      <c r="S50" s="42"/>
      <c r="T50" s="42"/>
      <c r="U50" s="42"/>
      <c r="V50" s="42"/>
      <c r="W50" s="288"/>
      <c r="X50" s="288"/>
      <c r="Y50" s="42"/>
      <c r="Z50" s="42"/>
      <c r="AA50" s="326"/>
    </row>
    <row r="51" spans="2:27">
      <c r="B51" s="41"/>
      <c r="C51" s="249"/>
      <c r="D51" s="254"/>
      <c r="E51" s="254"/>
      <c r="F51" s="254"/>
      <c r="G51" s="254"/>
      <c r="H51" s="254"/>
      <c r="I51" s="259"/>
      <c r="J51" s="254"/>
      <c r="K51" s="254"/>
      <c r="L51" s="254"/>
      <c r="M51" s="254"/>
      <c r="N51" s="254"/>
      <c r="O51" s="251"/>
      <c r="Q51" s="5"/>
      <c r="R51" s="5"/>
      <c r="S51" s="42"/>
      <c r="T51" s="42"/>
      <c r="U51" s="42"/>
      <c r="V51" s="42"/>
      <c r="W51" s="288"/>
      <c r="X51" s="288"/>
      <c r="Y51" s="288"/>
      <c r="Z51" s="288"/>
      <c r="AA51" s="42"/>
    </row>
    <row r="52" spans="2:27">
      <c r="B52" s="5"/>
      <c r="C52" s="257"/>
      <c r="D52" s="17"/>
      <c r="E52" s="17"/>
      <c r="F52" s="17"/>
      <c r="G52" s="17"/>
      <c r="H52" s="17"/>
      <c r="I52" s="254"/>
      <c r="J52" s="17"/>
      <c r="K52" s="17"/>
      <c r="L52" s="17"/>
      <c r="M52" s="17"/>
      <c r="N52" s="17"/>
      <c r="O52" s="248"/>
      <c r="Q52" s="5"/>
      <c r="R52" s="5"/>
      <c r="S52" s="5"/>
      <c r="Y52" s="10"/>
      <c r="Z52" s="10"/>
    </row>
    <row r="53" spans="2:27">
      <c r="B53" s="5"/>
      <c r="C53" s="257"/>
      <c r="D53" s="257"/>
      <c r="E53" s="257"/>
      <c r="F53" s="5"/>
      <c r="G53" s="5"/>
      <c r="H53" s="259"/>
      <c r="I53" s="17"/>
      <c r="J53" s="259"/>
      <c r="K53" s="259"/>
      <c r="L53" s="259"/>
      <c r="M53" s="259"/>
      <c r="N53" s="259"/>
      <c r="O53" s="18"/>
      <c r="Q53" s="5"/>
      <c r="R53" s="5"/>
      <c r="S53" s="5"/>
    </row>
    <row r="54" spans="2:27">
      <c r="B54" s="41"/>
      <c r="C54" s="249"/>
      <c r="D54" s="254"/>
      <c r="E54" s="254"/>
      <c r="F54" s="254"/>
      <c r="G54" s="254"/>
      <c r="H54" s="254"/>
      <c r="I54" s="259"/>
      <c r="J54" s="254"/>
      <c r="K54" s="254"/>
      <c r="L54" s="254"/>
      <c r="M54" s="254"/>
      <c r="N54" s="254"/>
      <c r="O54" s="251"/>
      <c r="Q54" s="5"/>
      <c r="R54" s="5"/>
      <c r="S54" s="5"/>
    </row>
    <row r="55" spans="2:27">
      <c r="B55" s="5"/>
      <c r="C55" s="257"/>
      <c r="D55" s="17"/>
      <c r="E55" s="17"/>
      <c r="F55" s="17"/>
      <c r="G55" s="17"/>
      <c r="H55" s="17"/>
      <c r="I55" s="249"/>
      <c r="J55" s="17"/>
      <c r="K55" s="17"/>
      <c r="L55" s="17"/>
      <c r="M55" s="17"/>
      <c r="N55" s="17"/>
      <c r="O55" s="18"/>
      <c r="Q55" s="5"/>
      <c r="R55" s="5"/>
      <c r="S55" s="5"/>
    </row>
    <row r="56" spans="2:27">
      <c r="B56" s="5"/>
      <c r="C56" s="248"/>
      <c r="D56" s="248"/>
      <c r="E56" s="248"/>
      <c r="F56" s="5"/>
      <c r="G56" s="5"/>
      <c r="H56" s="259"/>
      <c r="I56" s="248"/>
      <c r="J56" s="259"/>
      <c r="K56" s="259"/>
      <c r="L56" s="259"/>
      <c r="M56" s="259"/>
      <c r="N56" s="259"/>
      <c r="O56" s="18"/>
      <c r="Q56" s="5"/>
      <c r="R56" s="5"/>
      <c r="S56" s="5"/>
    </row>
    <row r="57" spans="2:27">
      <c r="B57" s="41"/>
      <c r="C57" s="249"/>
      <c r="D57" s="249"/>
      <c r="E57" s="249"/>
      <c r="F57" s="249"/>
      <c r="G57" s="249"/>
      <c r="H57" s="249"/>
      <c r="I57" s="5"/>
      <c r="J57" s="249"/>
      <c r="K57" s="249"/>
      <c r="L57" s="249"/>
      <c r="M57" s="249"/>
      <c r="N57" s="249"/>
      <c r="O57" s="251"/>
      <c r="Q57" s="5"/>
      <c r="R57" s="5"/>
      <c r="S57" s="5"/>
    </row>
    <row r="58" spans="2:27">
      <c r="B58" s="5"/>
      <c r="C58" s="5"/>
      <c r="D58" s="248"/>
      <c r="E58" s="248"/>
      <c r="F58" s="248"/>
      <c r="G58" s="248"/>
      <c r="H58" s="248"/>
      <c r="I58" s="17"/>
      <c r="J58" s="248"/>
      <c r="K58" s="248"/>
      <c r="L58" s="248"/>
      <c r="M58" s="248"/>
      <c r="N58" s="248"/>
      <c r="O58" s="18"/>
      <c r="Q58" s="5"/>
      <c r="R58" s="5"/>
      <c r="S58" s="5"/>
    </row>
    <row r="59" spans="2:27">
      <c r="B59" s="5"/>
      <c r="C59" s="5"/>
      <c r="D59" s="5"/>
      <c r="E59" s="5"/>
      <c r="F59" s="5"/>
      <c r="G59" s="5"/>
      <c r="H59" s="5"/>
      <c r="I59" s="5"/>
      <c r="J59" s="5"/>
      <c r="K59" s="5"/>
      <c r="L59" s="5"/>
      <c r="M59" s="5"/>
      <c r="N59" s="5"/>
      <c r="O59" s="5"/>
      <c r="Q59" s="5"/>
      <c r="R59" s="5"/>
      <c r="S59" s="5"/>
    </row>
    <row r="60" spans="2:27">
      <c r="B60" s="41"/>
      <c r="C60" s="17"/>
      <c r="D60" s="17"/>
      <c r="E60" s="17"/>
      <c r="F60" s="17"/>
      <c r="G60" s="17"/>
      <c r="H60" s="17"/>
      <c r="I60" s="249"/>
      <c r="J60" s="17"/>
      <c r="K60" s="17"/>
      <c r="L60" s="17"/>
      <c r="M60" s="17"/>
      <c r="N60" s="17"/>
      <c r="O60" s="251"/>
      <c r="Q60" s="5"/>
      <c r="R60" s="5"/>
      <c r="S60" s="5"/>
    </row>
    <row r="61" spans="2:27">
      <c r="B61" s="5"/>
      <c r="C61" s="5"/>
      <c r="D61" s="5"/>
      <c r="E61" s="5"/>
      <c r="F61" s="5"/>
      <c r="G61" s="5"/>
      <c r="H61" s="5"/>
      <c r="I61" s="5"/>
      <c r="J61" s="5"/>
      <c r="K61" s="5"/>
      <c r="L61" s="5"/>
      <c r="M61" s="5"/>
      <c r="N61" s="5"/>
      <c r="O61" s="5"/>
      <c r="Q61" s="41"/>
      <c r="R61" s="5"/>
      <c r="S61" s="5"/>
    </row>
    <row r="62" spans="2:27">
      <c r="B62" s="41"/>
      <c r="C62" s="249"/>
      <c r="D62" s="249"/>
      <c r="E62" s="249"/>
      <c r="F62" s="249"/>
      <c r="G62" s="249"/>
      <c r="H62" s="249"/>
      <c r="I62" s="5"/>
      <c r="J62" s="249"/>
      <c r="K62" s="249"/>
      <c r="L62" s="249"/>
      <c r="M62" s="249"/>
      <c r="N62" s="249"/>
      <c r="O62" s="251"/>
      <c r="Q62" s="5"/>
      <c r="R62" s="5"/>
      <c r="S62" s="5"/>
    </row>
    <row r="63" spans="2:27">
      <c r="B63" s="5"/>
      <c r="C63" s="5"/>
      <c r="D63" s="5"/>
      <c r="E63" s="5"/>
      <c r="F63" s="5"/>
      <c r="G63" s="5"/>
      <c r="H63" s="5"/>
      <c r="I63" s="254"/>
      <c r="J63" s="5"/>
      <c r="K63" s="5"/>
      <c r="L63" s="5"/>
      <c r="M63" s="5"/>
      <c r="N63" s="5"/>
      <c r="O63" s="5"/>
      <c r="Q63" s="5"/>
      <c r="R63" s="5"/>
      <c r="S63" s="5"/>
    </row>
    <row r="64" spans="2:27">
      <c r="B64" s="5"/>
      <c r="C64" s="5"/>
      <c r="D64" s="5"/>
      <c r="E64" s="5"/>
      <c r="F64" s="5"/>
      <c r="G64" s="5"/>
      <c r="H64" s="5"/>
      <c r="I64" s="17"/>
      <c r="J64" s="5"/>
      <c r="K64" s="5"/>
      <c r="L64" s="5"/>
      <c r="M64" s="5"/>
      <c r="N64" s="5"/>
      <c r="O64" s="5"/>
      <c r="Q64" s="5"/>
      <c r="R64" s="5"/>
      <c r="S64" s="5"/>
    </row>
    <row r="65" spans="2:26">
      <c r="B65" s="41"/>
      <c r="C65" s="249"/>
      <c r="D65" s="254"/>
      <c r="E65" s="254"/>
      <c r="F65" s="254"/>
      <c r="G65" s="254"/>
      <c r="H65" s="254"/>
      <c r="I65" s="254"/>
      <c r="J65" s="254"/>
      <c r="K65" s="254"/>
      <c r="L65" s="254"/>
      <c r="M65" s="254"/>
      <c r="N65" s="254"/>
      <c r="O65" s="251"/>
      <c r="Q65" s="5"/>
      <c r="R65" s="5"/>
      <c r="S65" s="5"/>
    </row>
    <row r="66" spans="2:26">
      <c r="B66" s="5"/>
      <c r="C66" s="5"/>
      <c r="D66" s="17"/>
      <c r="E66" s="17"/>
      <c r="F66" s="17"/>
      <c r="G66" s="17"/>
      <c r="H66" s="17"/>
      <c r="I66" s="248"/>
      <c r="J66" s="17"/>
      <c r="K66" s="17"/>
      <c r="L66" s="17"/>
      <c r="M66" s="17"/>
      <c r="N66" s="17"/>
      <c r="O66" s="5"/>
      <c r="Q66" s="5"/>
      <c r="R66" s="5"/>
      <c r="S66" s="5"/>
    </row>
    <row r="67" spans="2:26">
      <c r="B67" s="41"/>
      <c r="C67" s="249"/>
      <c r="D67" s="254"/>
      <c r="E67" s="254"/>
      <c r="F67" s="254"/>
      <c r="G67" s="254"/>
      <c r="H67" s="254"/>
      <c r="I67" s="5"/>
      <c r="J67" s="254"/>
      <c r="K67" s="254"/>
      <c r="L67" s="254"/>
      <c r="M67" s="254"/>
      <c r="N67" s="254"/>
      <c r="O67" s="251"/>
      <c r="Q67" s="41"/>
      <c r="R67" s="5"/>
      <c r="S67" s="5"/>
    </row>
    <row r="68" spans="2:26">
      <c r="B68" s="5"/>
      <c r="C68" s="5"/>
      <c r="D68" s="248"/>
      <c r="E68" s="248"/>
      <c r="F68" s="248"/>
      <c r="G68" s="248"/>
      <c r="H68" s="248"/>
      <c r="I68" s="245"/>
      <c r="J68" s="248"/>
      <c r="K68" s="248"/>
      <c r="L68" s="248"/>
      <c r="M68" s="248"/>
      <c r="N68" s="248"/>
      <c r="O68" s="5"/>
      <c r="Q68" s="5"/>
      <c r="R68" s="5"/>
      <c r="S68" s="5"/>
    </row>
    <row r="69" spans="2:26">
      <c r="B69" s="41"/>
      <c r="C69" s="5"/>
      <c r="D69" s="5"/>
      <c r="E69" s="5"/>
      <c r="F69" s="5"/>
      <c r="G69" s="5"/>
      <c r="H69" s="5"/>
      <c r="I69" s="248"/>
      <c r="J69" s="5"/>
      <c r="K69" s="5"/>
      <c r="L69" s="5"/>
      <c r="M69" s="5"/>
      <c r="N69" s="5"/>
      <c r="O69" s="5"/>
      <c r="Q69" s="5"/>
      <c r="R69" s="5"/>
      <c r="S69" s="5"/>
    </row>
    <row r="70" spans="2:26">
      <c r="B70" s="41"/>
      <c r="C70" s="245"/>
      <c r="D70" s="245"/>
      <c r="E70" s="245"/>
      <c r="F70" s="245"/>
      <c r="G70" s="245"/>
      <c r="H70" s="245"/>
      <c r="I70" s="5"/>
      <c r="J70" s="245"/>
      <c r="K70" s="245"/>
      <c r="L70" s="245"/>
      <c r="M70" s="245"/>
      <c r="N70" s="245"/>
      <c r="O70" s="251"/>
      <c r="Q70" s="5"/>
      <c r="R70" s="5"/>
      <c r="S70" s="5"/>
      <c r="W70" s="76"/>
      <c r="X70" s="76"/>
    </row>
    <row r="71" spans="2:26">
      <c r="B71" s="5"/>
      <c r="C71" s="5"/>
      <c r="D71" s="248"/>
      <c r="E71" s="248"/>
      <c r="F71" s="248"/>
      <c r="G71" s="248"/>
      <c r="H71" s="248"/>
      <c r="I71" s="245"/>
      <c r="J71" s="248"/>
      <c r="K71" s="248"/>
      <c r="L71" s="248"/>
      <c r="M71" s="248"/>
      <c r="N71" s="248"/>
      <c r="O71" s="5"/>
      <c r="Q71" s="5"/>
      <c r="R71" s="5"/>
      <c r="S71" s="5"/>
      <c r="W71" s="76"/>
      <c r="X71" s="76"/>
      <c r="Y71" s="76"/>
      <c r="Z71" s="76"/>
    </row>
    <row r="72" spans="2:26">
      <c r="B72" s="41"/>
      <c r="C72" s="5"/>
      <c r="D72" s="5"/>
      <c r="E72" s="5"/>
      <c r="F72" s="5"/>
      <c r="G72" s="5"/>
      <c r="H72" s="5"/>
      <c r="I72" s="18"/>
      <c r="J72" s="5"/>
      <c r="K72" s="5"/>
      <c r="L72" s="5"/>
      <c r="M72" s="5"/>
      <c r="N72" s="5"/>
      <c r="O72" s="5"/>
      <c r="Q72" s="5"/>
      <c r="R72" s="5"/>
      <c r="S72" s="5"/>
      <c r="Y72" s="76"/>
      <c r="Z72" s="76"/>
    </row>
    <row r="73" spans="2:26">
      <c r="B73" s="41"/>
      <c r="C73" s="245"/>
      <c r="D73" s="245"/>
      <c r="E73" s="245"/>
      <c r="F73" s="245"/>
      <c r="G73" s="245"/>
      <c r="H73" s="245"/>
      <c r="I73" s="5"/>
      <c r="J73" s="245"/>
      <c r="K73" s="245"/>
      <c r="L73" s="245"/>
      <c r="M73" s="245"/>
      <c r="N73" s="245"/>
      <c r="O73" s="251"/>
      <c r="Q73" s="5"/>
      <c r="R73" s="5"/>
      <c r="S73" s="5"/>
    </row>
    <row r="74" spans="2:26">
      <c r="B74" s="5"/>
      <c r="C74" s="5"/>
      <c r="D74" s="18"/>
      <c r="E74" s="18"/>
      <c r="F74" s="18"/>
      <c r="G74" s="18"/>
      <c r="H74" s="18"/>
      <c r="I74" s="249"/>
      <c r="J74" s="18"/>
      <c r="K74" s="18"/>
      <c r="L74" s="18"/>
      <c r="M74" s="18"/>
      <c r="N74" s="18"/>
      <c r="O74" s="5"/>
      <c r="Q74" s="5"/>
      <c r="R74" s="5"/>
      <c r="S74" s="5"/>
    </row>
    <row r="75" spans="2:26">
      <c r="B75" s="41"/>
      <c r="C75" s="5"/>
      <c r="D75" s="5"/>
      <c r="E75" s="5"/>
      <c r="F75" s="5"/>
      <c r="G75" s="5"/>
      <c r="H75" s="5"/>
      <c r="I75" s="248"/>
      <c r="J75" s="5"/>
      <c r="K75" s="5"/>
      <c r="L75" s="5"/>
      <c r="M75" s="5"/>
      <c r="N75" s="5"/>
      <c r="O75" s="5"/>
      <c r="Q75" s="5"/>
      <c r="R75" s="5"/>
      <c r="S75" s="5"/>
    </row>
    <row r="76" spans="2:26">
      <c r="B76" s="41"/>
      <c r="C76" s="249"/>
      <c r="D76" s="249"/>
      <c r="E76" s="249"/>
      <c r="F76" s="249"/>
      <c r="G76" s="249"/>
      <c r="H76" s="249"/>
      <c r="I76" s="5"/>
      <c r="J76" s="249"/>
      <c r="K76" s="249"/>
      <c r="L76" s="249"/>
      <c r="M76" s="249"/>
      <c r="N76" s="249"/>
      <c r="O76" s="251"/>
      <c r="Q76" s="5"/>
      <c r="R76" s="5"/>
      <c r="S76" s="5"/>
    </row>
    <row r="77" spans="2:26">
      <c r="B77" s="5"/>
      <c r="C77" s="5"/>
      <c r="D77" s="248"/>
      <c r="E77" s="248"/>
      <c r="F77" s="248"/>
      <c r="G77" s="248"/>
      <c r="H77" s="248"/>
      <c r="I77" s="245"/>
      <c r="J77" s="248"/>
      <c r="K77" s="248"/>
      <c r="L77" s="248"/>
      <c r="M77" s="248"/>
      <c r="N77" s="248"/>
      <c r="O77" s="5"/>
      <c r="Q77" s="5"/>
      <c r="R77" s="5"/>
      <c r="S77" s="5"/>
    </row>
    <row r="78" spans="2:26">
      <c r="B78" s="41"/>
      <c r="C78" s="5"/>
      <c r="D78" s="5"/>
      <c r="E78" s="5"/>
      <c r="F78" s="5"/>
      <c r="G78" s="5"/>
      <c r="H78" s="5"/>
      <c r="I78" s="248"/>
      <c r="J78" s="5"/>
      <c r="K78" s="5"/>
      <c r="L78" s="5"/>
      <c r="M78" s="5"/>
      <c r="N78" s="5"/>
      <c r="O78" s="5"/>
      <c r="Q78" s="5"/>
      <c r="R78" s="5"/>
      <c r="S78" s="5"/>
    </row>
    <row r="79" spans="2:26">
      <c r="B79" s="41"/>
      <c r="C79" s="245"/>
      <c r="D79" s="245"/>
      <c r="E79" s="245"/>
      <c r="F79" s="245"/>
      <c r="G79" s="245"/>
      <c r="H79" s="245"/>
      <c r="I79" s="5"/>
      <c r="J79" s="245"/>
      <c r="K79" s="245"/>
      <c r="L79" s="245"/>
      <c r="M79" s="245"/>
      <c r="N79" s="245"/>
      <c r="O79" s="251"/>
      <c r="Q79" s="5"/>
      <c r="R79" s="5"/>
      <c r="S79" s="5"/>
    </row>
    <row r="80" spans="2:26">
      <c r="B80" s="5"/>
      <c r="C80" s="5"/>
      <c r="D80" s="248"/>
      <c r="E80" s="248"/>
      <c r="F80" s="248"/>
      <c r="G80" s="248"/>
      <c r="H80" s="248"/>
      <c r="I80" s="249"/>
      <c r="J80" s="248"/>
      <c r="K80" s="248"/>
      <c r="L80" s="248"/>
      <c r="M80" s="248"/>
      <c r="N80" s="248"/>
      <c r="O80" s="5"/>
      <c r="Q80" s="5"/>
      <c r="R80" s="5"/>
      <c r="S80" s="5"/>
    </row>
    <row r="81" spans="2:26">
      <c r="B81" s="41"/>
      <c r="C81" s="5"/>
      <c r="D81" s="5"/>
      <c r="E81" s="5"/>
      <c r="F81" s="5"/>
      <c r="G81" s="5"/>
      <c r="H81" s="5"/>
      <c r="I81" s="248"/>
      <c r="J81" s="5"/>
      <c r="K81" s="5"/>
      <c r="L81" s="5"/>
      <c r="M81" s="5"/>
      <c r="N81" s="5"/>
      <c r="O81" s="5"/>
      <c r="Q81" s="5"/>
      <c r="R81" s="5"/>
      <c r="S81" s="5"/>
    </row>
    <row r="82" spans="2:26">
      <c r="B82" s="41"/>
      <c r="C82" s="249"/>
      <c r="D82" s="249"/>
      <c r="E82" s="249"/>
      <c r="F82" s="249"/>
      <c r="G82" s="249"/>
      <c r="H82" s="249"/>
      <c r="I82" s="259"/>
      <c r="J82" s="249"/>
      <c r="K82" s="249"/>
      <c r="L82" s="249"/>
      <c r="M82" s="249"/>
      <c r="N82" s="249"/>
      <c r="O82" s="251"/>
      <c r="Q82" s="5"/>
      <c r="R82" s="5"/>
      <c r="S82" s="5"/>
    </row>
    <row r="83" spans="2:26">
      <c r="B83" s="5"/>
      <c r="C83" s="5"/>
      <c r="D83" s="248"/>
      <c r="E83" s="248"/>
      <c r="F83" s="248"/>
      <c r="G83" s="248"/>
      <c r="H83" s="248"/>
      <c r="I83" s="5"/>
      <c r="J83" s="248"/>
      <c r="K83" s="248"/>
      <c r="L83" s="248"/>
      <c r="M83" s="248"/>
      <c r="N83" s="248"/>
      <c r="O83" s="5"/>
      <c r="Q83" s="5"/>
      <c r="R83" s="5"/>
      <c r="S83" s="5"/>
    </row>
    <row r="84" spans="2:26">
      <c r="B84" s="5"/>
      <c r="C84" s="259"/>
      <c r="D84" s="259"/>
      <c r="E84" s="259"/>
      <c r="F84" s="259"/>
      <c r="G84" s="259"/>
      <c r="H84" s="259"/>
      <c r="I84" s="245"/>
      <c r="J84" s="259"/>
      <c r="K84" s="259"/>
      <c r="L84" s="259"/>
      <c r="M84" s="259"/>
      <c r="N84" s="259"/>
      <c r="O84" s="251"/>
      <c r="Q84" s="5"/>
      <c r="R84" s="5"/>
      <c r="S84" s="5"/>
    </row>
    <row r="85" spans="2:26">
      <c r="B85" s="41"/>
      <c r="C85" s="5"/>
      <c r="D85" s="5"/>
      <c r="E85" s="5"/>
      <c r="F85" s="5"/>
      <c r="G85" s="5"/>
      <c r="H85" s="5"/>
      <c r="I85" s="248"/>
      <c r="J85" s="5"/>
      <c r="K85" s="5"/>
      <c r="L85" s="5"/>
      <c r="M85" s="5"/>
      <c r="N85" s="5"/>
      <c r="O85" s="5"/>
      <c r="Q85" s="5"/>
      <c r="R85" s="5"/>
      <c r="S85" s="5"/>
    </row>
    <row r="86" spans="2:26">
      <c r="B86" s="41"/>
      <c r="C86" s="245"/>
      <c r="D86" s="245"/>
      <c r="E86" s="245"/>
      <c r="F86" s="245"/>
      <c r="G86" s="245"/>
      <c r="H86" s="245"/>
      <c r="I86" s="5"/>
      <c r="J86" s="245"/>
      <c r="K86" s="245"/>
      <c r="L86" s="245"/>
      <c r="M86" s="245"/>
      <c r="N86" s="245"/>
      <c r="O86" s="251"/>
      <c r="Q86" s="5"/>
      <c r="R86" s="5"/>
      <c r="S86" s="5"/>
    </row>
    <row r="87" spans="2:26">
      <c r="B87" s="5"/>
      <c r="C87" s="5"/>
      <c r="D87" s="248"/>
      <c r="E87" s="248"/>
      <c r="F87" s="248"/>
      <c r="G87" s="248"/>
      <c r="H87" s="248"/>
      <c r="I87" s="5"/>
      <c r="J87" s="248"/>
      <c r="K87" s="248"/>
      <c r="L87" s="248"/>
      <c r="M87" s="248"/>
      <c r="N87" s="248"/>
      <c r="O87" s="5"/>
      <c r="Q87" s="5"/>
      <c r="R87" s="5"/>
      <c r="S87" s="5"/>
    </row>
    <row r="88" spans="2:26">
      <c r="B88" s="41"/>
      <c r="C88" s="5"/>
      <c r="D88" s="5"/>
      <c r="E88" s="5"/>
      <c r="F88" s="5"/>
      <c r="G88" s="5"/>
      <c r="H88" s="5"/>
      <c r="I88" s="5"/>
      <c r="J88" s="5"/>
      <c r="K88" s="5"/>
      <c r="L88" s="5"/>
      <c r="M88" s="5"/>
      <c r="N88" s="5"/>
      <c r="O88" s="5"/>
      <c r="Q88" s="5"/>
      <c r="R88" s="5"/>
      <c r="S88" s="5"/>
    </row>
    <row r="89" spans="2:26">
      <c r="B89" s="41"/>
      <c r="C89" s="5"/>
      <c r="D89" s="5"/>
      <c r="E89" s="5"/>
      <c r="F89" s="5"/>
      <c r="G89" s="5"/>
      <c r="H89" s="5"/>
      <c r="I89" s="5"/>
      <c r="J89" s="5"/>
      <c r="K89" s="5"/>
      <c r="L89" s="5"/>
      <c r="M89" s="5"/>
      <c r="N89" s="5"/>
      <c r="O89" s="5"/>
      <c r="Q89" s="5"/>
      <c r="R89" s="5"/>
      <c r="S89" s="5"/>
    </row>
    <row r="90" spans="2:26">
      <c r="B90" s="41"/>
      <c r="C90" s="5"/>
      <c r="D90" s="5"/>
      <c r="E90" s="5"/>
      <c r="F90" s="5"/>
      <c r="G90" s="5"/>
      <c r="H90" s="5"/>
      <c r="I90" s="49"/>
      <c r="J90" s="5"/>
      <c r="K90" s="5"/>
      <c r="L90" s="5"/>
      <c r="M90" s="5"/>
      <c r="N90" s="5"/>
      <c r="O90" s="5"/>
      <c r="Q90" s="41"/>
      <c r="R90" s="5"/>
      <c r="S90" s="5"/>
    </row>
    <row r="91" spans="2:26">
      <c r="B91" s="5"/>
      <c r="C91" s="5"/>
      <c r="D91" s="5"/>
      <c r="E91" s="5"/>
      <c r="F91" s="5"/>
      <c r="G91" s="5"/>
      <c r="H91" s="5"/>
      <c r="I91" s="5"/>
      <c r="J91" s="5"/>
      <c r="K91" s="5"/>
      <c r="L91" s="5"/>
      <c r="M91" s="5"/>
      <c r="N91" s="5"/>
      <c r="O91" s="5"/>
      <c r="Q91" s="5"/>
      <c r="R91" s="5"/>
      <c r="S91" s="5"/>
    </row>
    <row r="92" spans="2:26">
      <c r="B92" s="41"/>
      <c r="C92" s="49"/>
      <c r="D92" s="49"/>
      <c r="E92" s="49"/>
      <c r="F92" s="49"/>
      <c r="G92" s="49"/>
      <c r="H92" s="49"/>
      <c r="I92" s="247"/>
      <c r="J92" s="49"/>
      <c r="K92" s="49"/>
      <c r="L92" s="49"/>
      <c r="M92" s="49"/>
      <c r="N92" s="49"/>
      <c r="O92" s="49"/>
      <c r="Q92" s="5"/>
      <c r="R92" s="5"/>
      <c r="S92" s="5"/>
      <c r="W92" s="21"/>
      <c r="X92" s="21"/>
    </row>
    <row r="93" spans="2:26">
      <c r="B93" s="5"/>
      <c r="C93" s="5"/>
      <c r="D93" s="5"/>
      <c r="E93" s="5"/>
      <c r="F93" s="5"/>
      <c r="G93" s="5"/>
      <c r="H93" s="5"/>
      <c r="I93" s="247"/>
      <c r="J93" s="5"/>
      <c r="K93" s="5"/>
      <c r="L93" s="5"/>
      <c r="M93" s="5"/>
      <c r="N93" s="5"/>
      <c r="O93" s="5"/>
      <c r="Q93" s="5"/>
      <c r="R93" s="5"/>
      <c r="S93" s="5"/>
      <c r="W93" s="21"/>
      <c r="X93" s="21"/>
      <c r="Y93" s="21"/>
      <c r="Z93" s="21"/>
    </row>
    <row r="94" spans="2:26">
      <c r="B94" s="5"/>
      <c r="C94" s="259"/>
      <c r="D94" s="247"/>
      <c r="E94" s="247"/>
      <c r="F94" s="247"/>
      <c r="G94" s="247"/>
      <c r="H94" s="247"/>
      <c r="I94" s="247"/>
      <c r="J94" s="247"/>
      <c r="K94" s="247"/>
      <c r="L94" s="247"/>
      <c r="M94" s="247"/>
      <c r="N94" s="247"/>
      <c r="O94" s="248"/>
      <c r="Q94" s="5"/>
      <c r="R94" s="5"/>
      <c r="S94" s="5"/>
      <c r="Y94" s="21"/>
      <c r="Z94" s="21"/>
    </row>
    <row r="95" spans="2:26">
      <c r="B95" s="5"/>
      <c r="C95" s="259"/>
      <c r="D95" s="247"/>
      <c r="E95" s="247"/>
      <c r="F95" s="247"/>
      <c r="G95" s="247"/>
      <c r="H95" s="247"/>
      <c r="I95" s="248"/>
      <c r="J95" s="247"/>
      <c r="K95" s="247"/>
      <c r="L95" s="247"/>
      <c r="M95" s="247"/>
      <c r="N95" s="247"/>
      <c r="O95" s="248"/>
      <c r="Q95" s="5"/>
      <c r="R95" s="5"/>
      <c r="S95" s="5"/>
    </row>
    <row r="96" spans="2:26">
      <c r="B96" s="5"/>
      <c r="C96" s="259"/>
      <c r="D96" s="247"/>
      <c r="E96" s="247"/>
      <c r="F96" s="247"/>
      <c r="G96" s="247"/>
      <c r="H96" s="247"/>
      <c r="I96" s="247"/>
      <c r="J96" s="247"/>
      <c r="K96" s="247"/>
      <c r="L96" s="247"/>
      <c r="M96" s="247"/>
      <c r="N96" s="247"/>
      <c r="O96" s="248"/>
      <c r="Q96" s="5"/>
      <c r="R96" s="5"/>
      <c r="S96" s="5"/>
    </row>
    <row r="97" spans="2:19">
      <c r="B97" s="5"/>
      <c r="C97" s="259"/>
      <c r="D97" s="248"/>
      <c r="E97" s="248"/>
      <c r="F97" s="248"/>
      <c r="G97" s="248"/>
      <c r="H97" s="248"/>
      <c r="I97" s="249"/>
      <c r="J97" s="248"/>
      <c r="K97" s="248"/>
      <c r="L97" s="248"/>
      <c r="M97" s="248"/>
      <c r="N97" s="248"/>
      <c r="O97" s="248"/>
      <c r="Q97" s="5"/>
      <c r="R97" s="5"/>
      <c r="S97" s="5"/>
    </row>
    <row r="98" spans="2:19">
      <c r="B98" s="5"/>
      <c r="C98" s="259"/>
      <c r="D98" s="247"/>
      <c r="E98" s="247"/>
      <c r="F98" s="247"/>
      <c r="G98" s="247"/>
      <c r="H98" s="247"/>
      <c r="I98" s="248"/>
      <c r="J98" s="247"/>
      <c r="K98" s="247"/>
      <c r="L98" s="247"/>
      <c r="M98" s="247"/>
      <c r="N98" s="247"/>
      <c r="O98" s="248"/>
      <c r="Q98" s="5"/>
      <c r="R98" s="5"/>
      <c r="S98" s="5"/>
    </row>
    <row r="99" spans="2:19">
      <c r="B99" s="41"/>
      <c r="C99" s="249"/>
      <c r="D99" s="249"/>
      <c r="E99" s="249"/>
      <c r="F99" s="249"/>
      <c r="G99" s="249"/>
      <c r="H99" s="249"/>
      <c r="I99" s="5"/>
      <c r="J99" s="249"/>
      <c r="K99" s="249"/>
      <c r="L99" s="249"/>
      <c r="M99" s="249"/>
      <c r="N99" s="249"/>
      <c r="O99" s="248"/>
      <c r="Q99" s="5"/>
      <c r="R99" s="5"/>
      <c r="S99" s="5"/>
    </row>
    <row r="100" spans="2:19">
      <c r="B100" s="41"/>
      <c r="C100" s="257"/>
      <c r="D100" s="248"/>
      <c r="E100" s="248"/>
      <c r="F100" s="248"/>
      <c r="G100" s="248"/>
      <c r="H100" s="248"/>
      <c r="I100" s="259"/>
      <c r="J100" s="248"/>
      <c r="K100" s="248"/>
      <c r="L100" s="248"/>
      <c r="M100" s="248"/>
      <c r="N100" s="248"/>
      <c r="O100" s="248"/>
      <c r="Q100" s="5"/>
      <c r="R100" s="5"/>
      <c r="S100" s="5"/>
    </row>
    <row r="101" spans="2:19" s="5" customFormat="1">
      <c r="B101" s="41"/>
      <c r="I101" s="259"/>
      <c r="O101" s="248"/>
      <c r="P101" s="39"/>
    </row>
    <row r="102" spans="2:19">
      <c r="B102" s="5"/>
      <c r="C102" s="259"/>
      <c r="D102" s="259"/>
      <c r="E102" s="259"/>
      <c r="F102" s="259"/>
      <c r="G102" s="259"/>
      <c r="H102" s="259"/>
      <c r="I102" s="247"/>
      <c r="J102" s="259"/>
      <c r="K102" s="259"/>
      <c r="L102" s="259"/>
      <c r="M102" s="259"/>
      <c r="N102" s="259"/>
      <c r="O102" s="5"/>
      <c r="Q102" s="5"/>
      <c r="R102" s="5"/>
      <c r="S102" s="5"/>
    </row>
    <row r="103" spans="2:19">
      <c r="B103" s="5"/>
      <c r="C103" s="259"/>
      <c r="D103" s="259"/>
      <c r="E103" s="259"/>
      <c r="F103" s="259"/>
      <c r="G103" s="259"/>
      <c r="H103" s="259"/>
      <c r="I103" s="5"/>
      <c r="J103" s="259"/>
      <c r="K103" s="259"/>
      <c r="L103" s="259"/>
      <c r="M103" s="259"/>
      <c r="N103" s="259"/>
      <c r="O103" s="5"/>
      <c r="P103" s="5"/>
      <c r="Q103" s="5"/>
      <c r="R103" s="5"/>
      <c r="S103" s="5"/>
    </row>
    <row r="104" spans="2:19">
      <c r="B104" s="5"/>
      <c r="C104" s="247"/>
      <c r="D104" s="247"/>
      <c r="E104" s="247"/>
      <c r="F104" s="247"/>
      <c r="G104" s="247"/>
      <c r="H104" s="247"/>
      <c r="I104" s="247"/>
      <c r="J104" s="247"/>
      <c r="K104" s="247"/>
      <c r="L104" s="247"/>
      <c r="M104" s="247"/>
      <c r="N104" s="247"/>
      <c r="O104" s="5"/>
      <c r="Q104" s="5"/>
      <c r="R104" s="5"/>
      <c r="S104" s="5"/>
    </row>
    <row r="105" spans="2:19" s="5" customFormat="1">
      <c r="P105" s="39"/>
    </row>
    <row r="106" spans="2:19" s="5" customFormat="1">
      <c r="C106" s="259"/>
      <c r="D106" s="247"/>
      <c r="E106" s="247"/>
      <c r="F106" s="247"/>
      <c r="G106" s="247"/>
      <c r="H106" s="247"/>
      <c r="I106" s="259"/>
      <c r="J106" s="247"/>
      <c r="K106" s="247"/>
      <c r="L106" s="247"/>
      <c r="M106" s="247"/>
      <c r="N106" s="247"/>
      <c r="P106" s="39"/>
    </row>
    <row r="107" spans="2:19">
      <c r="B107" s="5"/>
      <c r="C107" s="259"/>
      <c r="D107" s="5"/>
      <c r="E107" s="5"/>
      <c r="F107" s="5"/>
      <c r="G107" s="5"/>
      <c r="H107" s="5"/>
      <c r="I107" s="247"/>
      <c r="J107" s="5"/>
      <c r="K107" s="5"/>
      <c r="L107" s="5"/>
      <c r="M107" s="5"/>
      <c r="N107" s="5"/>
      <c r="O107" s="5"/>
      <c r="P107" s="5"/>
      <c r="Q107" s="5"/>
      <c r="R107" s="5"/>
      <c r="S107" s="5"/>
    </row>
    <row r="108" spans="2:19">
      <c r="B108" s="5"/>
      <c r="C108" s="259"/>
      <c r="D108" s="259"/>
      <c r="E108" s="259"/>
      <c r="F108" s="259"/>
      <c r="G108" s="259"/>
      <c r="H108" s="259"/>
      <c r="I108" s="249"/>
      <c r="J108" s="259"/>
      <c r="K108" s="259"/>
      <c r="L108" s="259"/>
      <c r="M108" s="259"/>
      <c r="N108" s="259"/>
      <c r="O108" s="5"/>
      <c r="P108" s="5"/>
      <c r="Q108" s="5"/>
      <c r="R108" s="5"/>
      <c r="S108" s="5"/>
    </row>
    <row r="109" spans="2:19">
      <c r="B109" s="5"/>
      <c r="C109" s="247"/>
      <c r="D109" s="247"/>
      <c r="E109" s="247"/>
      <c r="F109" s="247"/>
      <c r="G109" s="247"/>
      <c r="H109" s="247"/>
      <c r="I109" s="249"/>
      <c r="J109" s="247"/>
      <c r="K109" s="247"/>
      <c r="L109" s="247"/>
      <c r="M109" s="247"/>
      <c r="N109" s="247"/>
      <c r="O109" s="5"/>
      <c r="Q109" s="5"/>
      <c r="R109" s="5"/>
      <c r="S109" s="5"/>
    </row>
    <row r="110" spans="2:19">
      <c r="B110" s="41"/>
      <c r="C110" s="249"/>
      <c r="D110" s="249"/>
      <c r="E110" s="249"/>
      <c r="F110" s="249"/>
      <c r="G110" s="249"/>
      <c r="H110" s="249"/>
      <c r="I110" s="247"/>
      <c r="J110" s="249"/>
      <c r="K110" s="249"/>
      <c r="L110" s="249"/>
      <c r="M110" s="249"/>
      <c r="N110" s="249"/>
      <c r="O110" s="5"/>
      <c r="Q110" s="5"/>
      <c r="R110" s="5"/>
      <c r="S110" s="5"/>
    </row>
    <row r="111" spans="2:19">
      <c r="B111" s="5"/>
      <c r="C111" s="249"/>
      <c r="D111" s="249"/>
      <c r="E111" s="249"/>
      <c r="F111" s="249"/>
      <c r="G111" s="249"/>
      <c r="H111" s="249"/>
      <c r="I111" s="5"/>
      <c r="J111" s="249"/>
      <c r="K111" s="249"/>
      <c r="L111" s="249"/>
      <c r="M111" s="249"/>
      <c r="N111" s="249"/>
      <c r="O111" s="5"/>
      <c r="Q111" s="5"/>
      <c r="R111" s="5"/>
      <c r="S111" s="5"/>
    </row>
    <row r="112" spans="2:19">
      <c r="B112" s="5"/>
      <c r="C112" s="247"/>
      <c r="D112" s="247"/>
      <c r="E112" s="247"/>
      <c r="F112" s="247"/>
      <c r="G112" s="247"/>
      <c r="H112" s="247"/>
      <c r="I112" s="5"/>
      <c r="J112" s="247"/>
      <c r="K112" s="247"/>
      <c r="L112" s="247"/>
      <c r="M112" s="247"/>
      <c r="N112" s="247"/>
      <c r="O112" s="5"/>
      <c r="Q112" s="5"/>
      <c r="R112" s="5"/>
      <c r="S112" s="5"/>
    </row>
    <row r="113" spans="2:19">
      <c r="B113" s="5"/>
      <c r="C113" s="5"/>
      <c r="D113" s="5"/>
      <c r="E113" s="5"/>
      <c r="F113" s="5"/>
      <c r="G113" s="5"/>
      <c r="H113" s="5"/>
      <c r="I113" s="5"/>
      <c r="J113" s="5"/>
      <c r="K113" s="5"/>
      <c r="L113" s="5"/>
      <c r="M113" s="5"/>
      <c r="N113" s="5"/>
      <c r="O113" s="5"/>
      <c r="Q113" s="5"/>
      <c r="R113" s="5"/>
      <c r="S113" s="5"/>
    </row>
    <row r="114" spans="2:19">
      <c r="B114" s="5"/>
      <c r="C114" s="5"/>
      <c r="D114" s="5"/>
      <c r="E114" s="5"/>
      <c r="F114" s="5"/>
      <c r="G114" s="5"/>
      <c r="H114" s="5"/>
      <c r="I114" s="5"/>
      <c r="J114" s="5"/>
      <c r="K114" s="5"/>
      <c r="L114" s="5"/>
      <c r="M114" s="5"/>
      <c r="N114" s="5"/>
      <c r="O114" s="5"/>
      <c r="Q114" s="5"/>
      <c r="R114" s="5"/>
      <c r="S114" s="5"/>
    </row>
    <row r="115" spans="2:19">
      <c r="B115" s="5"/>
      <c r="C115" s="5"/>
      <c r="D115" s="5"/>
      <c r="E115" s="5"/>
      <c r="F115" s="5"/>
      <c r="G115" s="5"/>
      <c r="H115" s="5"/>
      <c r="I115" s="49"/>
      <c r="J115" s="5"/>
      <c r="K115" s="5"/>
      <c r="L115" s="5"/>
      <c r="M115" s="5"/>
      <c r="N115" s="5"/>
      <c r="O115" s="5"/>
      <c r="Q115" s="41"/>
      <c r="R115" s="5"/>
      <c r="S115" s="5"/>
    </row>
    <row r="116" spans="2:19">
      <c r="B116" s="5"/>
      <c r="C116" s="5"/>
      <c r="D116" s="5"/>
      <c r="E116" s="5"/>
      <c r="F116" s="5"/>
      <c r="G116" s="5"/>
      <c r="H116" s="5"/>
      <c r="I116" s="5"/>
      <c r="J116" s="5"/>
      <c r="K116" s="5"/>
      <c r="L116" s="5"/>
      <c r="M116" s="5"/>
      <c r="N116" s="5"/>
      <c r="O116" s="5"/>
      <c r="Q116" s="5"/>
      <c r="R116" s="5"/>
      <c r="S116" s="5"/>
    </row>
    <row r="117" spans="2:19">
      <c r="B117" s="41"/>
      <c r="C117" s="49"/>
      <c r="D117" s="49"/>
      <c r="E117" s="49"/>
      <c r="F117" s="49"/>
      <c r="G117" s="49"/>
      <c r="H117" s="49"/>
      <c r="I117" s="254"/>
      <c r="J117" s="49"/>
      <c r="K117" s="49"/>
      <c r="L117" s="49"/>
      <c r="M117" s="49"/>
      <c r="N117" s="49"/>
      <c r="O117" s="49"/>
      <c r="Q117" s="5"/>
      <c r="R117" s="5"/>
      <c r="S117" s="5"/>
    </row>
    <row r="118" spans="2:19">
      <c r="B118" s="5"/>
      <c r="C118" s="5"/>
      <c r="D118" s="5"/>
      <c r="E118" s="5"/>
      <c r="F118" s="5"/>
      <c r="G118" s="5"/>
      <c r="H118" s="5"/>
      <c r="I118" s="249"/>
      <c r="J118" s="5"/>
      <c r="K118" s="5"/>
      <c r="L118" s="5"/>
      <c r="M118" s="5"/>
      <c r="N118" s="5"/>
      <c r="O118" s="5"/>
      <c r="Q118" s="5"/>
      <c r="R118" s="5"/>
      <c r="S118" s="5"/>
    </row>
    <row r="119" spans="2:19">
      <c r="B119" s="41"/>
      <c r="C119" s="254"/>
      <c r="D119" s="254"/>
      <c r="E119" s="254"/>
      <c r="F119" s="254"/>
      <c r="G119" s="254"/>
      <c r="H119" s="254"/>
      <c r="I119" s="254"/>
      <c r="J119" s="254"/>
      <c r="K119" s="254"/>
      <c r="L119" s="254"/>
      <c r="M119" s="254"/>
      <c r="N119" s="254"/>
      <c r="O119" s="248"/>
      <c r="Q119" s="5"/>
      <c r="R119" s="5"/>
      <c r="S119" s="5"/>
    </row>
    <row r="120" spans="2:19">
      <c r="B120" s="41"/>
      <c r="C120" s="254"/>
      <c r="D120" s="249"/>
      <c r="E120" s="249"/>
      <c r="F120" s="249"/>
      <c r="G120" s="249"/>
      <c r="H120" s="249"/>
      <c r="I120" s="254"/>
      <c r="J120" s="249"/>
      <c r="K120" s="249"/>
      <c r="L120" s="249"/>
      <c r="M120" s="249"/>
      <c r="N120" s="249"/>
      <c r="O120" s="248"/>
      <c r="Q120" s="5"/>
      <c r="R120" s="5"/>
      <c r="S120" s="5"/>
    </row>
    <row r="121" spans="2:19">
      <c r="B121" s="41"/>
      <c r="C121" s="254"/>
      <c r="D121" s="254"/>
      <c r="E121" s="254"/>
      <c r="F121" s="254"/>
      <c r="G121" s="254"/>
      <c r="H121" s="254"/>
      <c r="I121" s="254"/>
      <c r="J121" s="254"/>
      <c r="K121" s="254"/>
      <c r="L121" s="254"/>
      <c r="M121" s="254"/>
      <c r="N121" s="254"/>
      <c r="O121" s="248"/>
      <c r="Q121" s="5"/>
      <c r="R121" s="5"/>
      <c r="S121" s="5"/>
    </row>
    <row r="122" spans="2:19">
      <c r="B122" s="41"/>
      <c r="C122" s="254"/>
      <c r="D122" s="254"/>
      <c r="E122" s="254"/>
      <c r="F122" s="254"/>
      <c r="G122" s="254"/>
      <c r="H122" s="254"/>
      <c r="I122" s="254"/>
      <c r="J122" s="254"/>
      <c r="K122" s="254"/>
      <c r="L122" s="254"/>
      <c r="M122" s="254"/>
      <c r="N122" s="254"/>
      <c r="O122" s="248"/>
      <c r="Q122" s="5"/>
      <c r="R122" s="5"/>
      <c r="S122" s="5"/>
    </row>
    <row r="123" spans="2:19">
      <c r="B123" s="41"/>
      <c r="C123" s="254"/>
      <c r="D123" s="254"/>
      <c r="E123" s="254"/>
      <c r="F123" s="254"/>
      <c r="G123" s="254"/>
      <c r="H123" s="254"/>
      <c r="I123" s="254"/>
      <c r="J123" s="254"/>
      <c r="K123" s="254"/>
      <c r="L123" s="254"/>
      <c r="M123" s="254"/>
      <c r="N123" s="254"/>
      <c r="O123" s="248"/>
      <c r="Q123" s="5"/>
      <c r="R123" s="5"/>
      <c r="S123" s="5"/>
    </row>
    <row r="124" spans="2:19">
      <c r="B124" s="41"/>
      <c r="C124" s="254"/>
      <c r="D124" s="254"/>
      <c r="E124" s="254"/>
      <c r="F124" s="254"/>
      <c r="G124" s="254"/>
      <c r="H124" s="254"/>
      <c r="I124" s="254"/>
      <c r="J124" s="254"/>
      <c r="K124" s="254"/>
      <c r="L124" s="254"/>
      <c r="M124" s="254"/>
      <c r="N124" s="254"/>
      <c r="O124" s="248"/>
      <c r="Q124" s="5"/>
      <c r="R124" s="5"/>
      <c r="S124" s="5"/>
    </row>
    <row r="125" spans="2:19">
      <c r="B125" s="41"/>
      <c r="C125" s="254"/>
      <c r="D125" s="254"/>
      <c r="E125" s="254"/>
      <c r="F125" s="254"/>
      <c r="G125" s="254"/>
      <c r="H125" s="254"/>
      <c r="I125" s="254"/>
      <c r="J125" s="254"/>
      <c r="K125" s="254"/>
      <c r="L125" s="254"/>
      <c r="M125" s="254"/>
      <c r="N125" s="254"/>
      <c r="O125" s="5"/>
      <c r="Q125" s="5"/>
      <c r="R125" s="5"/>
      <c r="S125" s="5"/>
    </row>
    <row r="126" spans="2:19">
      <c r="B126" s="41"/>
      <c r="C126" s="254"/>
      <c r="D126" s="254"/>
      <c r="E126" s="254"/>
      <c r="F126" s="254"/>
      <c r="G126" s="254"/>
      <c r="H126" s="254"/>
      <c r="I126" s="254"/>
      <c r="J126" s="254"/>
      <c r="K126" s="254"/>
      <c r="L126" s="254"/>
      <c r="M126" s="254"/>
      <c r="N126" s="254"/>
      <c r="O126" s="5"/>
      <c r="Q126" s="5"/>
      <c r="R126" s="5"/>
      <c r="S126" s="5"/>
    </row>
    <row r="127" spans="2:19">
      <c r="B127" s="41"/>
      <c r="C127" s="254"/>
      <c r="D127" s="254"/>
      <c r="E127" s="254"/>
      <c r="F127" s="254"/>
      <c r="G127" s="254"/>
      <c r="H127" s="254"/>
      <c r="I127" s="18"/>
      <c r="J127" s="254"/>
      <c r="K127" s="254"/>
      <c r="L127" s="254"/>
      <c r="M127" s="254"/>
      <c r="N127" s="254"/>
      <c r="O127" s="5"/>
      <c r="Q127" s="5"/>
      <c r="R127" s="5"/>
      <c r="S127" s="5"/>
    </row>
    <row r="128" spans="2:19">
      <c r="B128" s="41"/>
      <c r="C128" s="254"/>
      <c r="D128" s="254"/>
      <c r="E128" s="254"/>
      <c r="F128" s="254"/>
      <c r="G128" s="254"/>
      <c r="H128" s="254"/>
      <c r="I128" s="5"/>
      <c r="J128" s="254"/>
      <c r="K128" s="254"/>
      <c r="L128" s="254"/>
      <c r="M128" s="254"/>
      <c r="N128" s="254"/>
      <c r="O128" s="5"/>
      <c r="Q128" s="5"/>
      <c r="R128" s="5"/>
      <c r="S128" s="5"/>
    </row>
    <row r="129" spans="2:27">
      <c r="B129" s="5"/>
      <c r="C129" s="5"/>
      <c r="D129" s="18"/>
      <c r="E129" s="18"/>
      <c r="F129" s="18"/>
      <c r="G129" s="18"/>
      <c r="H129" s="18"/>
      <c r="I129" s="254"/>
      <c r="J129" s="18"/>
      <c r="K129" s="18"/>
      <c r="L129" s="18"/>
      <c r="M129" s="18"/>
      <c r="N129" s="18"/>
      <c r="O129" s="5"/>
      <c r="Q129" s="5"/>
      <c r="R129" s="5"/>
      <c r="S129" s="5"/>
    </row>
    <row r="130" spans="2:27">
      <c r="B130" s="5"/>
      <c r="C130" s="5"/>
      <c r="D130" s="5"/>
      <c r="E130" s="5"/>
      <c r="F130" s="5"/>
      <c r="G130" s="5"/>
      <c r="H130" s="5"/>
      <c r="I130" s="18"/>
      <c r="J130" s="5"/>
      <c r="K130" s="5"/>
      <c r="L130" s="5"/>
      <c r="M130" s="5"/>
      <c r="N130" s="5"/>
      <c r="O130" s="5"/>
      <c r="Q130" s="5"/>
      <c r="R130" s="5"/>
      <c r="S130" s="5"/>
    </row>
    <row r="131" spans="2:27">
      <c r="B131" s="41"/>
      <c r="C131" s="254"/>
      <c r="D131" s="254"/>
      <c r="E131" s="254"/>
      <c r="F131" s="254"/>
      <c r="G131" s="254"/>
      <c r="H131" s="254"/>
      <c r="I131" s="5"/>
      <c r="J131" s="254"/>
      <c r="K131" s="254"/>
      <c r="L131" s="254"/>
      <c r="M131" s="254"/>
      <c r="N131" s="254"/>
      <c r="O131" s="5"/>
      <c r="Q131" s="5"/>
      <c r="R131" s="5"/>
      <c r="S131" s="5"/>
    </row>
    <row r="132" spans="2:27">
      <c r="B132" s="5"/>
      <c r="C132" s="259"/>
      <c r="D132" s="18"/>
      <c r="E132" s="18"/>
      <c r="F132" s="18"/>
      <c r="G132" s="18"/>
      <c r="H132" s="18"/>
      <c r="I132" s="5"/>
      <c r="J132" s="18"/>
      <c r="K132" s="18"/>
      <c r="L132" s="18"/>
      <c r="M132" s="18"/>
      <c r="N132" s="18"/>
      <c r="O132" s="5"/>
      <c r="Q132" s="5"/>
      <c r="R132" s="5"/>
      <c r="S132" s="5"/>
    </row>
    <row r="133" spans="2:27">
      <c r="B133" s="5"/>
      <c r="C133" s="5"/>
      <c r="D133" s="5"/>
      <c r="E133" s="5"/>
      <c r="F133" s="5"/>
      <c r="G133" s="5"/>
      <c r="H133" s="5"/>
      <c r="I133" s="17"/>
      <c r="J133" s="5"/>
      <c r="K133" s="5"/>
      <c r="L133" s="5"/>
      <c r="M133" s="5"/>
      <c r="N133" s="5"/>
      <c r="O133" s="5"/>
      <c r="Q133" s="5"/>
      <c r="R133" s="5"/>
      <c r="S133" s="5"/>
    </row>
    <row r="134" spans="2:27">
      <c r="B134" s="41"/>
      <c r="C134" s="5"/>
      <c r="D134" s="5"/>
      <c r="E134" s="5"/>
      <c r="F134" s="5"/>
      <c r="G134" s="5"/>
      <c r="H134" s="5"/>
      <c r="I134" s="17"/>
      <c r="J134" s="5"/>
      <c r="K134" s="5"/>
      <c r="L134" s="5"/>
      <c r="M134" s="5"/>
      <c r="N134" s="5"/>
      <c r="O134" s="5"/>
      <c r="Q134" s="5"/>
      <c r="R134" s="5"/>
      <c r="S134" s="5"/>
    </row>
    <row r="135" spans="2:27">
      <c r="B135" s="5"/>
      <c r="C135" s="17"/>
      <c r="D135" s="17"/>
      <c r="E135" s="17"/>
      <c r="F135" s="17"/>
      <c r="G135" s="17"/>
      <c r="H135" s="17"/>
      <c r="I135" s="17"/>
      <c r="J135" s="17"/>
      <c r="K135" s="17"/>
      <c r="L135" s="17"/>
      <c r="M135" s="17"/>
      <c r="N135" s="17"/>
      <c r="O135" s="5"/>
      <c r="Q135" s="41"/>
      <c r="R135" s="5"/>
      <c r="S135" s="5"/>
    </row>
    <row r="136" spans="2:27">
      <c r="B136" s="5"/>
      <c r="C136" s="17"/>
      <c r="D136" s="17"/>
      <c r="E136" s="17"/>
      <c r="F136" s="17"/>
      <c r="G136" s="17"/>
      <c r="H136" s="17"/>
      <c r="I136" s="17"/>
      <c r="J136" s="17"/>
      <c r="K136" s="17"/>
      <c r="L136" s="17"/>
      <c r="M136" s="17"/>
      <c r="N136" s="17"/>
      <c r="O136" s="5"/>
      <c r="Q136" s="5"/>
      <c r="R136" s="5"/>
      <c r="S136" s="5"/>
      <c r="X136" s="304"/>
    </row>
    <row r="137" spans="2:27">
      <c r="B137" s="5"/>
      <c r="C137" s="5"/>
      <c r="D137" s="17"/>
      <c r="E137" s="17"/>
      <c r="F137" s="17"/>
      <c r="G137" s="17"/>
      <c r="H137" s="17"/>
      <c r="I137" s="17"/>
      <c r="J137" s="17"/>
      <c r="K137" s="17"/>
      <c r="L137" s="17"/>
      <c r="M137" s="17"/>
      <c r="N137" s="17"/>
      <c r="O137" s="5"/>
      <c r="Q137" s="5"/>
      <c r="R137" s="5"/>
      <c r="S137" s="5"/>
      <c r="X137" s="10"/>
      <c r="Y137" s="304"/>
      <c r="Z137" s="304"/>
      <c r="AA137" s="304"/>
    </row>
    <row r="138" spans="2:27">
      <c r="B138" s="5"/>
      <c r="C138" s="5"/>
      <c r="D138" s="17"/>
      <c r="E138" s="17"/>
      <c r="F138" s="17"/>
      <c r="G138" s="17"/>
      <c r="H138" s="17"/>
      <c r="I138" s="17"/>
      <c r="J138" s="17"/>
      <c r="K138" s="17"/>
      <c r="L138" s="17"/>
      <c r="M138" s="17"/>
      <c r="N138" s="17"/>
      <c r="O138" s="5"/>
      <c r="Q138" s="5"/>
      <c r="R138" s="5"/>
      <c r="S138" s="5"/>
      <c r="Y138" s="10"/>
      <c r="Z138" s="10"/>
      <c r="AA138" s="10"/>
    </row>
    <row r="139" spans="2:27">
      <c r="B139" s="5"/>
      <c r="C139" s="5"/>
      <c r="D139" s="17"/>
      <c r="E139" s="17"/>
      <c r="F139" s="17"/>
      <c r="G139" s="17"/>
      <c r="H139" s="17"/>
      <c r="I139" s="5"/>
      <c r="J139" s="17"/>
      <c r="K139" s="17"/>
      <c r="L139" s="17"/>
      <c r="M139" s="17"/>
      <c r="N139" s="17"/>
      <c r="O139" s="5"/>
      <c r="Q139" s="5"/>
      <c r="R139" s="5"/>
      <c r="S139" s="5"/>
    </row>
    <row r="140" spans="2:27">
      <c r="B140" s="5"/>
      <c r="C140" s="17"/>
      <c r="D140" s="17"/>
      <c r="E140" s="17"/>
      <c r="F140" s="17"/>
      <c r="G140" s="17"/>
      <c r="H140" s="17"/>
      <c r="I140" s="5"/>
      <c r="J140" s="17"/>
      <c r="K140" s="17"/>
      <c r="L140" s="17"/>
      <c r="M140" s="17"/>
      <c r="N140" s="17"/>
      <c r="O140" s="5"/>
      <c r="Q140" s="5"/>
      <c r="R140" s="5"/>
      <c r="S140" s="5"/>
    </row>
    <row r="141" spans="2:27">
      <c r="B141" s="5"/>
      <c r="C141" s="5"/>
      <c r="D141" s="5"/>
      <c r="E141" s="5"/>
      <c r="F141" s="5"/>
      <c r="G141" s="5"/>
      <c r="H141" s="5"/>
      <c r="I141" s="5"/>
      <c r="J141" s="5"/>
      <c r="K141" s="5"/>
      <c r="L141" s="5"/>
      <c r="M141" s="5"/>
      <c r="N141" s="5"/>
      <c r="O141" s="5"/>
      <c r="Q141" s="5"/>
      <c r="R141" s="5"/>
      <c r="S141" s="5"/>
    </row>
    <row r="142" spans="2:27">
      <c r="B142" s="5"/>
      <c r="C142" s="5"/>
      <c r="D142" s="5"/>
      <c r="E142" s="5"/>
      <c r="F142" s="5"/>
      <c r="G142" s="5"/>
      <c r="H142" s="5"/>
      <c r="I142" s="5"/>
      <c r="J142" s="5"/>
      <c r="K142" s="5"/>
      <c r="L142" s="5"/>
      <c r="M142" s="5"/>
      <c r="N142" s="5"/>
      <c r="O142" s="5"/>
      <c r="Q142" s="5"/>
      <c r="R142" s="5"/>
      <c r="S142" s="5"/>
    </row>
    <row r="143" spans="2:27">
      <c r="B143" s="5"/>
      <c r="C143" s="5"/>
      <c r="D143" s="5"/>
      <c r="E143" s="5"/>
      <c r="F143" s="5"/>
      <c r="G143" s="5"/>
      <c r="H143" s="5"/>
      <c r="I143" s="5"/>
      <c r="J143" s="5"/>
      <c r="K143" s="5"/>
      <c r="L143" s="5"/>
      <c r="M143" s="5"/>
      <c r="N143" s="5"/>
      <c r="O143" s="5"/>
      <c r="Q143" s="5"/>
      <c r="R143" s="5"/>
      <c r="S143" s="5"/>
    </row>
    <row r="144" spans="2:27">
      <c r="B144" s="5"/>
      <c r="C144" s="5"/>
      <c r="D144" s="5"/>
      <c r="E144" s="5"/>
      <c r="F144" s="5"/>
      <c r="G144" s="5"/>
      <c r="H144" s="5"/>
      <c r="I144" s="5"/>
      <c r="J144" s="5"/>
      <c r="K144" s="5"/>
      <c r="L144" s="5"/>
      <c r="M144" s="5"/>
      <c r="N144" s="5"/>
      <c r="O144" s="5"/>
      <c r="Q144" s="5"/>
      <c r="R144" s="5"/>
      <c r="S144" s="5"/>
    </row>
    <row r="145" spans="2:19">
      <c r="B145" s="5"/>
      <c r="C145" s="5"/>
      <c r="D145" s="5"/>
      <c r="E145" s="5"/>
      <c r="F145" s="5"/>
      <c r="G145" s="5"/>
      <c r="H145" s="5"/>
      <c r="I145" s="5"/>
      <c r="J145" s="5"/>
      <c r="K145" s="5"/>
      <c r="L145" s="5"/>
      <c r="M145" s="5"/>
      <c r="N145" s="5"/>
      <c r="O145" s="5"/>
      <c r="Q145" s="5"/>
      <c r="R145" s="5"/>
      <c r="S145" s="5"/>
    </row>
    <row r="146" spans="2:19">
      <c r="B146" s="5"/>
      <c r="C146" s="5"/>
      <c r="D146" s="5"/>
      <c r="E146" s="5"/>
      <c r="F146" s="5"/>
      <c r="G146" s="5"/>
      <c r="H146" s="5"/>
      <c r="I146" s="5"/>
      <c r="J146" s="5"/>
      <c r="K146" s="5"/>
      <c r="L146" s="5"/>
      <c r="M146" s="5"/>
      <c r="N146" s="5"/>
      <c r="O146" s="5"/>
      <c r="Q146" s="5"/>
      <c r="R146" s="5"/>
      <c r="S146" s="5"/>
    </row>
    <row r="147" spans="2:19">
      <c r="B147" s="5"/>
      <c r="C147" s="5"/>
      <c r="D147" s="5"/>
      <c r="E147" s="5"/>
      <c r="F147" s="5"/>
      <c r="G147" s="5"/>
      <c r="H147" s="5"/>
      <c r="I147" s="5"/>
      <c r="J147" s="5"/>
      <c r="K147" s="5"/>
      <c r="L147" s="5"/>
      <c r="M147" s="5"/>
      <c r="N147" s="5"/>
      <c r="O147" s="5"/>
      <c r="Q147" s="5"/>
      <c r="R147" s="5"/>
      <c r="S147" s="5"/>
    </row>
    <row r="148" spans="2:19">
      <c r="B148" s="5"/>
      <c r="C148" s="5"/>
      <c r="D148" s="5"/>
      <c r="E148" s="5"/>
      <c r="F148" s="5"/>
      <c r="G148" s="5"/>
      <c r="H148" s="5"/>
      <c r="I148" s="5"/>
      <c r="J148" s="5"/>
      <c r="K148" s="5"/>
      <c r="L148" s="5"/>
      <c r="M148" s="5"/>
      <c r="N148" s="5"/>
      <c r="O148" s="5"/>
      <c r="Q148" s="5"/>
      <c r="R148" s="5"/>
      <c r="S148" s="5"/>
    </row>
    <row r="149" spans="2:19">
      <c r="B149" s="5"/>
      <c r="C149" s="5"/>
      <c r="D149" s="5"/>
      <c r="E149" s="5"/>
      <c r="F149" s="5"/>
      <c r="G149" s="5"/>
      <c r="H149" s="5"/>
      <c r="J149" s="5"/>
      <c r="K149" s="5"/>
      <c r="L149" s="5"/>
      <c r="M149" s="5"/>
      <c r="N149" s="5"/>
      <c r="O149" s="5"/>
      <c r="Q149" s="5"/>
      <c r="R149" s="5"/>
      <c r="S149" s="5"/>
    </row>
    <row r="150" spans="2:19">
      <c r="B150" s="5"/>
      <c r="C150" s="5"/>
      <c r="D150" s="5"/>
      <c r="E150" s="5"/>
      <c r="F150" s="5"/>
      <c r="G150" s="5"/>
      <c r="H150" s="5"/>
      <c r="J150" s="5"/>
      <c r="K150" s="5"/>
      <c r="L150" s="5"/>
      <c r="M150" s="5"/>
      <c r="N150" s="5"/>
      <c r="O150" s="5"/>
      <c r="Q150" s="5"/>
      <c r="R150" s="5"/>
      <c r="S150" s="5"/>
    </row>
    <row r="151" spans="2:19">
      <c r="Q151" s="5"/>
      <c r="R151" s="5"/>
      <c r="S151" s="5"/>
    </row>
    <row r="152" spans="2:19">
      <c r="Q152" s="5"/>
      <c r="R152" s="5"/>
      <c r="S152" s="5"/>
    </row>
    <row r="153" spans="2:19">
      <c r="C153" s="263"/>
      <c r="Q153" s="5"/>
      <c r="R153" s="5"/>
      <c r="S153" s="5"/>
    </row>
    <row r="154" spans="2:19">
      <c r="Q154" s="5"/>
      <c r="R154" s="5"/>
      <c r="S154" s="5"/>
    </row>
    <row r="155" spans="2:19">
      <c r="Q155" s="5"/>
      <c r="R155" s="5"/>
      <c r="S155" s="5"/>
    </row>
    <row r="156" spans="2:19">
      <c r="Q156" s="5"/>
      <c r="R156" s="5"/>
      <c r="S156" s="5"/>
    </row>
    <row r="157" spans="2:19">
      <c r="Q157" s="5"/>
      <c r="R157" s="5"/>
      <c r="S157" s="5"/>
    </row>
    <row r="158" spans="2:19">
      <c r="Q158" s="5"/>
      <c r="R158" s="5"/>
      <c r="S158" s="5"/>
    </row>
    <row r="159" spans="2:19">
      <c r="Q159" s="5"/>
      <c r="R159" s="5"/>
      <c r="S159" s="5"/>
    </row>
    <row r="160" spans="2:19">
      <c r="Q160" s="5"/>
      <c r="R160" s="5"/>
      <c r="S160" s="5"/>
    </row>
    <row r="161" spans="17:19">
      <c r="Q161" s="5"/>
      <c r="R161" s="5"/>
      <c r="S161" s="5"/>
    </row>
    <row r="162" spans="17:19">
      <c r="Q162" s="5"/>
      <c r="R162" s="5"/>
      <c r="S162" s="5"/>
    </row>
    <row r="163" spans="17:19">
      <c r="Q163" s="5"/>
      <c r="R163" s="5"/>
      <c r="S163" s="5"/>
    </row>
    <row r="164" spans="17:19">
      <c r="Q164" s="5"/>
      <c r="R164" s="5"/>
      <c r="S164" s="5"/>
    </row>
    <row r="165" spans="17:19">
      <c r="Q165" s="5"/>
      <c r="R165" s="5"/>
      <c r="S165" s="5"/>
    </row>
  </sheetData>
  <phoneticPr fontId="7" type="noConversion"/>
  <pageMargins left="0.75" right="0.75" top="1" bottom="1" header="0.5" footer="0.5"/>
  <pageSetup scale="71" orientation="landscape" r:id="rId1"/>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59">
    <pageSetUpPr fitToPage="1"/>
  </sheetPr>
  <dimension ref="B1:AA165"/>
  <sheetViews>
    <sheetView showGridLines="0" zoomScale="80" zoomScaleNormal="80" zoomScaleSheetLayoutView="80" workbookViewId="0">
      <selection activeCell="D16" sqref="D16:G16"/>
    </sheetView>
  </sheetViews>
  <sheetFormatPr defaultColWidth="9.109375" defaultRowHeight="12"/>
  <cols>
    <col min="1" max="1" width="2.33203125" style="39" customWidth="1"/>
    <col min="2" max="2" width="26.5546875" style="39" customWidth="1"/>
    <col min="3" max="9" width="10" style="39" customWidth="1"/>
    <col min="10" max="10" width="26.6640625" style="39" customWidth="1"/>
    <col min="11" max="16" width="10" style="39" customWidth="1"/>
    <col min="17" max="19" width="8.6640625" style="39" customWidth="1"/>
    <col min="20" max="27" width="8.6640625" style="5" customWidth="1"/>
    <col min="28" max="28" width="8.6640625" style="39" customWidth="1"/>
    <col min="29" max="16384" width="9.109375" style="39"/>
  </cols>
  <sheetData>
    <row r="1" spans="2:27" s="312" customFormat="1">
      <c r="T1" s="149"/>
      <c r="U1" s="149"/>
      <c r="V1" s="149"/>
      <c r="W1" s="149"/>
      <c r="X1" s="149"/>
      <c r="Y1" s="149"/>
      <c r="Z1" s="149"/>
      <c r="AA1" s="149"/>
    </row>
    <row r="2" spans="2:27" s="149" customFormat="1"/>
    <row r="3" spans="2:27" s="149" customFormat="1">
      <c r="H3" s="153"/>
      <c r="P3" s="153"/>
    </row>
    <row r="4" spans="2:27" s="156" customFormat="1" ht="21">
      <c r="B4" s="129" t="s">
        <v>295</v>
      </c>
      <c r="H4" s="222"/>
      <c r="P4" s="222"/>
    </row>
    <row r="5" spans="2:27" s="149" customFormat="1">
      <c r="C5" s="153"/>
      <c r="D5" s="153" t="str" cm="1">
        <f t="array" ref="D5:H5">headings</f>
        <v>2023E</v>
      </c>
      <c r="E5" s="153" t="str">
        <v>2024E</v>
      </c>
      <c r="F5" s="153" t="str">
        <v>2025E</v>
      </c>
      <c r="G5" s="153" t="str">
        <v>2026E</v>
      </c>
      <c r="H5" s="153" t="str">
        <v>23E-26E</v>
      </c>
      <c r="I5" s="153"/>
      <c r="J5" s="153"/>
      <c r="K5" s="153"/>
      <c r="L5" s="153" t="str" cm="1">
        <f t="array" ref="L5:P5">headings</f>
        <v>2023E</v>
      </c>
      <c r="M5" s="153" t="str">
        <v>2024E</v>
      </c>
      <c r="N5" s="153" t="str">
        <v>2025E</v>
      </c>
      <c r="O5" s="153" t="str">
        <v>2026E</v>
      </c>
      <c r="P5" s="153" t="str">
        <v>23E-26E</v>
      </c>
      <c r="Q5" s="162"/>
      <c r="R5" s="162"/>
      <c r="S5" s="162"/>
      <c r="T5" s="162"/>
      <c r="U5" s="162"/>
      <c r="V5" s="162"/>
      <c r="W5" s="162"/>
      <c r="X5" s="162"/>
      <c r="Y5" s="162"/>
    </row>
    <row r="6" spans="2:27">
      <c r="I6" s="5"/>
      <c r="J6" s="5"/>
      <c r="K6" s="5"/>
      <c r="L6" s="5"/>
      <c r="M6" s="5"/>
      <c r="N6" s="5"/>
      <c r="O6" s="49"/>
    </row>
    <row r="7" spans="2:27" ht="12.6" thickBot="1">
      <c r="B7" s="306" t="s">
        <v>271</v>
      </c>
      <c r="C7" s="265"/>
      <c r="D7" s="265" t="str">
        <f>D5</f>
        <v>2023E</v>
      </c>
      <c r="E7" s="265" t="str">
        <f t="shared" ref="E7:H7" si="0">E5</f>
        <v>2024E</v>
      </c>
      <c r="F7" s="265" t="str">
        <f t="shared" si="0"/>
        <v>2025E</v>
      </c>
      <c r="G7" s="265" t="str">
        <f t="shared" si="0"/>
        <v>2026E</v>
      </c>
      <c r="H7" s="265" t="str">
        <f t="shared" si="0"/>
        <v>23E-26E</v>
      </c>
      <c r="I7" s="49"/>
      <c r="J7" s="306" t="s">
        <v>75</v>
      </c>
      <c r="K7" s="306"/>
      <c r="L7" s="265" t="str">
        <f>L5</f>
        <v>2023E</v>
      </c>
      <c r="M7" s="265" t="str">
        <f t="shared" ref="M7:P7" si="1">M5</f>
        <v>2024E</v>
      </c>
      <c r="N7" s="265" t="str">
        <f t="shared" si="1"/>
        <v>2025E</v>
      </c>
      <c r="O7" s="265" t="str">
        <f t="shared" si="1"/>
        <v>2026E</v>
      </c>
      <c r="P7" s="265" t="str">
        <f t="shared" si="1"/>
        <v>23E-26E</v>
      </c>
    </row>
    <row r="8" spans="2:27" ht="12.6" thickTop="1">
      <c r="B8" s="5"/>
      <c r="C8" s="5"/>
      <c r="D8" s="5"/>
      <c r="E8" s="5"/>
      <c r="F8" s="5"/>
      <c r="G8" s="5"/>
      <c r="H8" s="5"/>
      <c r="I8" s="5"/>
      <c r="J8" s="5"/>
      <c r="K8" s="5"/>
      <c r="L8" s="5"/>
      <c r="M8" s="5"/>
      <c r="N8" s="5"/>
      <c r="S8" s="88"/>
      <c r="T8" s="42"/>
      <c r="U8" s="42"/>
      <c r="V8" s="42"/>
      <c r="W8" s="42"/>
      <c r="X8" s="42"/>
      <c r="Y8" s="42"/>
      <c r="Z8" s="42"/>
      <c r="AA8" s="42"/>
    </row>
    <row r="9" spans="2:27">
      <c r="B9" s="41" t="s">
        <v>548</v>
      </c>
      <c r="C9" s="287">
        <f>Prices!C75</f>
        <v>6.2</v>
      </c>
      <c r="D9" s="535">
        <v>0</v>
      </c>
      <c r="E9" s="536">
        <v>0</v>
      </c>
      <c r="F9" s="536">
        <v>0</v>
      </c>
      <c r="G9" s="536">
        <v>0</v>
      </c>
      <c r="H9" s="249"/>
      <c r="I9" s="249"/>
      <c r="J9" s="5" t="s">
        <v>273</v>
      </c>
      <c r="L9" s="529">
        <f>'AGG ASIA INCUMB'!D37</f>
        <v>63.142675059472978</v>
      </c>
      <c r="M9" s="529">
        <f>'AGG ASIA INCUMB'!E37</f>
        <v>59.736062869091825</v>
      </c>
      <c r="N9" s="529">
        <f>'AGG ASIA INCUMB'!F37</f>
        <v>51.606570083263385</v>
      </c>
      <c r="O9" s="529">
        <f>'AGG ASIA INCUMB'!G37</f>
        <v>43.869121174935444</v>
      </c>
      <c r="P9" s="286">
        <f>'AGG ASIA INCUMB'!H37</f>
        <v>3.6933170504085622E-2</v>
      </c>
      <c r="S9" s="88"/>
      <c r="T9" s="42"/>
      <c r="U9" s="42"/>
      <c r="V9" s="42"/>
      <c r="W9" s="42"/>
      <c r="X9" s="42"/>
      <c r="Y9" s="42"/>
      <c r="Z9" s="42"/>
      <c r="AA9" s="42"/>
    </row>
    <row r="10" spans="2:27">
      <c r="B10" s="5" t="s">
        <v>274</v>
      </c>
      <c r="C10" s="5"/>
      <c r="D10" s="531">
        <v>30598</v>
      </c>
      <c r="E10" s="531">
        <v>30598</v>
      </c>
      <c r="F10" s="531">
        <v>30598</v>
      </c>
      <c r="G10" s="531">
        <v>30598</v>
      </c>
      <c r="H10" s="247"/>
      <c r="I10" s="247"/>
      <c r="J10" s="5" t="s">
        <v>184</v>
      </c>
      <c r="L10" s="529">
        <f>'AGG ASIA INCUMB'!D38</f>
        <v>229.28172666156038</v>
      </c>
      <c r="M10" s="529">
        <f>'AGG ASIA INCUMB'!E38</f>
        <v>211.1756819494743</v>
      </c>
      <c r="N10" s="529">
        <f>'AGG ASIA INCUMB'!F38</f>
        <v>182.52911660300191</v>
      </c>
      <c r="O10" s="529">
        <f>'AGG ASIA INCUMB'!G38</f>
        <v>154.31631948299164</v>
      </c>
      <c r="P10" s="286">
        <f>'AGG ASIA INCUMB'!H38</f>
        <v>4.7969433190576227E-2</v>
      </c>
      <c r="S10" s="88"/>
      <c r="T10" s="42"/>
      <c r="U10" s="42"/>
      <c r="V10" s="42"/>
      <c r="W10" s="288"/>
      <c r="X10" s="288"/>
      <c r="Y10" s="288"/>
      <c r="Z10" s="288"/>
      <c r="AA10" s="42"/>
    </row>
    <row r="11" spans="2:27">
      <c r="B11" s="41" t="s">
        <v>435</v>
      </c>
      <c r="C11" s="5"/>
      <c r="D11" s="532">
        <f>($C$9/(Prices!$C$167/Prices!$C$175))*D10</f>
        <v>175899.86823830547</v>
      </c>
      <c r="E11" s="532">
        <f>($C$9/(Prices!$C$167/Prices!$C$175))*E10</f>
        <v>175899.86823830547</v>
      </c>
      <c r="F11" s="532">
        <f>($C$9/(Prices!$C$167/Prices!$C$175))*F10</f>
        <v>175899.86823830547</v>
      </c>
      <c r="G11" s="532">
        <f>($C$9/(Prices!$C$167/Prices!$C$175))*G10</f>
        <v>175899.86823830547</v>
      </c>
      <c r="H11" s="249"/>
      <c r="I11" s="249"/>
      <c r="J11" s="5" t="s">
        <v>185</v>
      </c>
      <c r="L11" s="529">
        <f>'AGG ASIA INCUMB'!D39</f>
        <v>576.60457523629475</v>
      </c>
      <c r="M11" s="529">
        <f>'AGG ASIA INCUMB'!E39</f>
        <v>450.01446269285191</v>
      </c>
      <c r="N11" s="529">
        <f>'AGG ASIA INCUMB'!F39</f>
        <v>375.00938731825471</v>
      </c>
      <c r="O11" s="529">
        <f>'AGG ASIA INCUMB'!G39</f>
        <v>307.67151192274292</v>
      </c>
      <c r="P11" s="286">
        <f>'AGG ASIA INCUMB'!H39</f>
        <v>0.13229525132442088</v>
      </c>
      <c r="S11" s="88"/>
      <c r="T11" s="42"/>
      <c r="U11" s="42"/>
      <c r="V11" s="42"/>
      <c r="W11" s="288"/>
      <c r="X11" s="288"/>
      <c r="Y11" s="288"/>
      <c r="Z11" s="288"/>
      <c r="AA11" s="42"/>
    </row>
    <row r="12" spans="2:27">
      <c r="B12" s="5" t="s">
        <v>24</v>
      </c>
      <c r="C12" s="249"/>
      <c r="D12" s="533">
        <v>-2189</v>
      </c>
      <c r="E12" s="533">
        <v>-17963.633586260068</v>
      </c>
      <c r="F12" s="533">
        <v>-30320.53128561913</v>
      </c>
      <c r="G12" s="533">
        <v>-39033.531243398611</v>
      </c>
      <c r="H12" s="247"/>
      <c r="I12" s="247"/>
      <c r="J12" s="5" t="s">
        <v>466</v>
      </c>
      <c r="L12" s="529">
        <f>'AGG ASIA INCUMB'!D40</f>
        <v>774.44294579435359</v>
      </c>
      <c r="M12" s="529">
        <f>'AGG ASIA INCUMB'!E40</f>
        <v>607.6245935692682</v>
      </c>
      <c r="N12" s="529">
        <f>'AGG ASIA INCUMB'!F40</f>
        <v>506.11175808827261</v>
      </c>
      <c r="O12" s="529">
        <f>'AGG ASIA INCUMB'!G40</f>
        <v>415.18806643723337</v>
      </c>
      <c r="P12" s="286">
        <f>'AGG ASIA INCUMB'!H40</f>
        <v>0.13051833042761229</v>
      </c>
      <c r="S12" s="88"/>
      <c r="T12" s="42"/>
      <c r="U12" s="42"/>
      <c r="V12" s="42"/>
      <c r="W12" s="288"/>
      <c r="X12" s="288"/>
      <c r="Y12" s="288"/>
      <c r="Z12" s="288"/>
      <c r="AA12" s="42"/>
    </row>
    <row r="13" spans="2:27">
      <c r="B13" s="5" t="s">
        <v>529</v>
      </c>
      <c r="C13" s="257"/>
      <c r="D13" s="533">
        <v>0</v>
      </c>
      <c r="E13" s="533">
        <v>0</v>
      </c>
      <c r="F13" s="533">
        <v>0</v>
      </c>
      <c r="G13" s="533">
        <v>0</v>
      </c>
      <c r="H13" s="247"/>
      <c r="I13" s="247"/>
      <c r="J13" s="5" t="s">
        <v>530</v>
      </c>
      <c r="L13" s="529">
        <f>'AGG ASIA INCUMB'!D41</f>
        <v>56.922651872950347</v>
      </c>
      <c r="M13" s="529">
        <f>'AGG ASIA INCUMB'!E41</f>
        <v>54.508702219086139</v>
      </c>
      <c r="N13" s="529">
        <f>'AGG ASIA INCUMB'!F41</f>
        <v>47.665724006779691</v>
      </c>
      <c r="O13" s="529">
        <f>'AGG ASIA INCUMB'!G41</f>
        <v>40.716506606725353</v>
      </c>
      <c r="P13" s="286">
        <f>'AGG ASIA INCUMB'!H41</f>
        <v>2.6914512786078149E-2</v>
      </c>
      <c r="S13" s="88"/>
      <c r="T13" s="42"/>
      <c r="U13" s="42"/>
      <c r="V13" s="42"/>
      <c r="W13" s="42"/>
      <c r="X13" s="42"/>
      <c r="Y13" s="42"/>
      <c r="Z13" s="42"/>
      <c r="AA13" s="42"/>
    </row>
    <row r="14" spans="2:27">
      <c r="B14" s="5" t="s">
        <v>532</v>
      </c>
      <c r="C14" s="257"/>
      <c r="D14" s="533">
        <v>57574.224605313582</v>
      </c>
      <c r="E14" s="533">
        <v>57574.224605313582</v>
      </c>
      <c r="F14" s="533">
        <v>57574.224605313582</v>
      </c>
      <c r="G14" s="533">
        <v>57574.224605313582</v>
      </c>
      <c r="H14" s="247"/>
      <c r="I14" s="247"/>
      <c r="J14" s="5" t="s">
        <v>593</v>
      </c>
      <c r="L14" s="529">
        <f>'AGG ASIA INCUMB'!D42</f>
        <v>75.778591370066351</v>
      </c>
      <c r="M14" s="529">
        <f>'AGG ASIA INCUMB'!E42</f>
        <v>75.255645616199331</v>
      </c>
      <c r="N14" s="529">
        <f>'AGG ASIA INCUMB'!F42</f>
        <v>68.487733798446982</v>
      </c>
      <c r="O14" s="529">
        <f>'AGG ASIA INCUMB'!G42</f>
        <v>63.398335594210266</v>
      </c>
      <c r="P14" s="286">
        <f>'AGG ASIA INCUMB'!H42</f>
        <v>-2.5341868686917124E-2</v>
      </c>
      <c r="S14" s="88"/>
      <c r="T14" s="42"/>
      <c r="U14" s="42"/>
      <c r="V14" s="42"/>
      <c r="W14" s="42"/>
      <c r="X14" s="42"/>
      <c r="Y14" s="42"/>
      <c r="Z14" s="42"/>
      <c r="AA14" s="42"/>
    </row>
    <row r="15" spans="2:27">
      <c r="B15" s="5" t="s">
        <v>531</v>
      </c>
      <c r="C15" s="274"/>
      <c r="D15" s="533">
        <v>0</v>
      </c>
      <c r="E15" s="533">
        <f t="shared" ref="E15:G15" si="2">D15</f>
        <v>0</v>
      </c>
      <c r="F15" s="533">
        <f t="shared" si="2"/>
        <v>0</v>
      </c>
      <c r="G15" s="533">
        <f t="shared" si="2"/>
        <v>0</v>
      </c>
      <c r="H15" s="247"/>
      <c r="I15" s="247"/>
      <c r="J15" s="5" t="s">
        <v>475</v>
      </c>
      <c r="L15" s="529">
        <f>'AGG ASIA INCUMB'!D43</f>
        <v>14.482023584121089</v>
      </c>
      <c r="M15" s="529">
        <f>'AGG ASIA INCUMB'!E43</f>
        <v>10.697579793360875</v>
      </c>
      <c r="N15" s="529">
        <f>'AGG ASIA INCUMB'!F43</f>
        <v>9.7604819510674972</v>
      </c>
      <c r="O15" s="529">
        <f>'AGG ASIA INCUMB'!G43</f>
        <v>8.8384338816404213</v>
      </c>
      <c r="P15" s="286">
        <f>'AGG ASIA INCUMB'!H43</f>
        <v>0.1612622626724487</v>
      </c>
      <c r="S15" s="88"/>
      <c r="T15" s="42"/>
      <c r="U15" s="42"/>
      <c r="V15" s="42"/>
      <c r="W15" s="42"/>
      <c r="X15" s="42"/>
      <c r="Y15" s="42"/>
      <c r="Z15" s="42"/>
      <c r="AA15" s="42"/>
    </row>
    <row r="16" spans="2:27">
      <c r="B16" s="5" t="s">
        <v>534</v>
      </c>
      <c r="C16" s="257"/>
      <c r="D16" s="533">
        <v>29070.686826483481</v>
      </c>
      <c r="E16" s="533">
        <v>29070.686826483481</v>
      </c>
      <c r="F16" s="533">
        <v>29070.686826483481</v>
      </c>
      <c r="G16" s="533">
        <v>29070.686826483481</v>
      </c>
      <c r="H16" s="247"/>
      <c r="I16" s="247"/>
      <c r="J16" s="5" t="s">
        <v>533</v>
      </c>
      <c r="L16" s="529">
        <f>'AGG ASIA INCUMB'!D44</f>
        <v>401.27153945230202</v>
      </c>
      <c r="M16" s="529">
        <f>'AGG ASIA INCUMB'!E44</f>
        <v>386.42961390608417</v>
      </c>
      <c r="N16" s="529">
        <f>'AGG ASIA INCUMB'!F44</f>
        <v>362.49401680734263</v>
      </c>
      <c r="O16" s="529">
        <f>'AGG ASIA INCUMB'!G44</f>
        <v>331.65705725544359</v>
      </c>
      <c r="P16" s="286">
        <f>'AGG ASIA INCUMB'!H44</f>
        <v>7.2549113858280556E-2</v>
      </c>
      <c r="S16" s="88"/>
      <c r="T16" s="42"/>
      <c r="U16" s="42"/>
      <c r="V16" s="42"/>
      <c r="W16" s="42"/>
      <c r="X16" s="42"/>
      <c r="Y16" s="42"/>
      <c r="Z16" s="42"/>
      <c r="AA16" s="42"/>
    </row>
    <row r="17" spans="2:27">
      <c r="B17" s="5" t="s">
        <v>6</v>
      </c>
      <c r="C17" s="257"/>
      <c r="D17" s="533">
        <v>0</v>
      </c>
      <c r="E17" s="533">
        <v>0</v>
      </c>
      <c r="F17" s="533">
        <v>0</v>
      </c>
      <c r="G17" s="533">
        <v>0</v>
      </c>
      <c r="H17" s="247"/>
      <c r="I17" s="247"/>
      <c r="J17" s="5" t="s">
        <v>580</v>
      </c>
      <c r="L17" s="248">
        <f>'AGG ASIA INCUMB'!D45</f>
        <v>1.4187232142027291E-3</v>
      </c>
      <c r="M17" s="248">
        <f>'AGG ASIA INCUMB'!E45</f>
        <v>1.5917039348975377E-3</v>
      </c>
      <c r="N17" s="248">
        <f>'AGG ASIA INCUMB'!F45</f>
        <v>1.8207439648114264E-3</v>
      </c>
      <c r="O17" s="248">
        <f>'AGG ASIA INCUMB'!G45</f>
        <v>2.0820127660327939E-3</v>
      </c>
      <c r="P17" s="286">
        <f>'AGG ASIA INCUMB'!H45</f>
        <v>0.14383326100984517</v>
      </c>
      <c r="S17" s="88"/>
      <c r="T17" s="42"/>
      <c r="U17" s="42"/>
      <c r="V17" s="42"/>
      <c r="W17" s="42"/>
      <c r="X17" s="42"/>
      <c r="Y17" s="42"/>
      <c r="Z17" s="42"/>
      <c r="AA17" s="42"/>
    </row>
    <row r="18" spans="2:27" ht="12.6" thickBot="1">
      <c r="B18" s="41" t="s">
        <v>583</v>
      </c>
      <c r="C18" s="249"/>
      <c r="D18" s="534">
        <f>D11+D12+D13-D14+D15-D16-D17</f>
        <v>87065.956806508402</v>
      </c>
      <c r="E18" s="534">
        <f>E11+E12+E13-E14+E15-E16-E17</f>
        <v>71291.323220248349</v>
      </c>
      <c r="F18" s="534">
        <f>F11+F12+F13-F14+F15-F16-F17</f>
        <v>58934.425520889272</v>
      </c>
      <c r="G18" s="534">
        <f>G11+G12+G13-G14+G15-G16-G17</f>
        <v>50221.425563109791</v>
      </c>
      <c r="H18" s="276">
        <f>IF(D18=0,"nm",IF(G18=0,"nm",(G18/D18)^(1/3)-1))</f>
        <v>-0.16757160428721463</v>
      </c>
      <c r="I18" s="254"/>
      <c r="J18" s="5" t="s">
        <v>36</v>
      </c>
      <c r="L18" s="248">
        <f>'AGG ASIA INCUMB'!D46</f>
        <v>1.4197854397789587E-3</v>
      </c>
      <c r="M18" s="248">
        <f>'AGG ASIA INCUMB'!E46</f>
        <v>1.5927452418075944E-3</v>
      </c>
      <c r="N18" s="248">
        <f>'AGG ASIA INCUMB'!F46</f>
        <v>1.8306775739935764E-3</v>
      </c>
      <c r="O18" s="248">
        <f>'AGG ASIA INCUMB'!G46</f>
        <v>2.0980698589589679E-3</v>
      </c>
      <c r="P18" s="286">
        <f>'AGG ASIA INCUMB'!H46</f>
        <v>0.14648020039593046</v>
      </c>
      <c r="S18" s="88"/>
      <c r="T18" s="42"/>
      <c r="U18" s="42"/>
      <c r="V18" s="42"/>
      <c r="W18" s="42"/>
      <c r="X18" s="42"/>
      <c r="Y18" s="42"/>
      <c r="Z18" s="42"/>
      <c r="AA18" s="42"/>
    </row>
    <row r="19" spans="2:27" ht="12.6" thickTop="1">
      <c r="B19" s="41"/>
      <c r="C19" s="249"/>
      <c r="D19" s="229"/>
      <c r="E19" s="229"/>
      <c r="F19" s="229"/>
      <c r="G19" s="229"/>
      <c r="H19" s="276"/>
      <c r="I19" s="254"/>
      <c r="J19" s="5" t="s">
        <v>581</v>
      </c>
      <c r="L19" s="248">
        <f>'AGG ASIA INCUMB'!D47</f>
        <v>6.9051123566492234E-2</v>
      </c>
      <c r="M19" s="248">
        <f>'AGG ASIA INCUMB'!E47</f>
        <v>9.3479087729789065E-2</v>
      </c>
      <c r="N19" s="248">
        <f>'AGG ASIA INCUMB'!F47</f>
        <v>0.10245395719323375</v>
      </c>
      <c r="O19" s="248">
        <f>'AGG ASIA INCUMB'!G47</f>
        <v>0.11314221652743744</v>
      </c>
      <c r="P19" s="286">
        <f>'AGG ASIA INCUMB'!H47</f>
        <v>0.1612622626724487</v>
      </c>
      <c r="S19" s="88"/>
      <c r="T19" s="42"/>
      <c r="U19" s="42"/>
      <c r="V19" s="42"/>
      <c r="W19" s="42"/>
      <c r="X19" s="42"/>
      <c r="Y19" s="42"/>
      <c r="Z19" s="42"/>
      <c r="AA19" s="42"/>
    </row>
    <row r="20" spans="2:27">
      <c r="H20" s="277"/>
      <c r="I20" s="17"/>
      <c r="J20" s="5" t="s">
        <v>604</v>
      </c>
      <c r="L20" s="305">
        <f>'AGG ASIA INCUMB'!D48</f>
        <v>0.58020270145274866</v>
      </c>
      <c r="M20" s="305">
        <f>'AGG ASIA INCUMB'!E48</f>
        <v>0.49738583643750317</v>
      </c>
      <c r="N20" s="305">
        <f>'AGG ASIA INCUMB'!F48</f>
        <v>0.5269471278406761</v>
      </c>
      <c r="O20" s="305">
        <f>'AGG ASIA INCUMB'!G48</f>
        <v>0.55446861753269805</v>
      </c>
      <c r="P20" s="286" t="str">
        <f>'AGG ASIA INCUMB'!H48</f>
        <v>nm</v>
      </c>
      <c r="S20" s="88"/>
      <c r="T20" s="42"/>
      <c r="U20" s="42"/>
      <c r="V20" s="42"/>
      <c r="W20" s="42"/>
      <c r="X20" s="42"/>
      <c r="Y20" s="42"/>
      <c r="Z20" s="42"/>
      <c r="AA20" s="42"/>
    </row>
    <row r="21" spans="2:27" ht="12.6" thickBot="1">
      <c r="B21" s="306" t="s">
        <v>935</v>
      </c>
      <c r="C21" s="265"/>
      <c r="D21" s="265" t="str">
        <f>D5</f>
        <v>2023E</v>
      </c>
      <c r="E21" s="265" t="str">
        <f t="shared" ref="E21:H21" si="3">E5</f>
        <v>2024E</v>
      </c>
      <c r="F21" s="265" t="str">
        <f t="shared" si="3"/>
        <v>2025E</v>
      </c>
      <c r="G21" s="265" t="str">
        <f t="shared" si="3"/>
        <v>2026E</v>
      </c>
      <c r="H21" s="265" t="str">
        <f t="shared" si="3"/>
        <v>23E-26E</v>
      </c>
      <c r="I21" s="49"/>
      <c r="J21" s="41"/>
      <c r="L21" s="250"/>
      <c r="M21" s="250"/>
      <c r="N21" s="250"/>
      <c r="O21" s="250"/>
      <c r="P21" s="286"/>
      <c r="S21" s="88"/>
      <c r="T21" s="42"/>
      <c r="U21" s="42"/>
      <c r="V21" s="42"/>
      <c r="W21" s="42"/>
      <c r="X21" s="42"/>
      <c r="Y21" s="42"/>
      <c r="Z21" s="42"/>
      <c r="AA21" s="42"/>
    </row>
    <row r="22" spans="2:27" ht="12.6" thickTop="1">
      <c r="B22" s="5"/>
      <c r="C22" s="257"/>
      <c r="D22" s="17"/>
      <c r="E22" s="17"/>
      <c r="F22" s="17"/>
      <c r="G22" s="17"/>
      <c r="H22" s="17"/>
      <c r="I22" s="17"/>
      <c r="P22" s="277"/>
      <c r="S22" s="88"/>
      <c r="T22" s="42"/>
      <c r="U22" s="42"/>
      <c r="V22" s="42"/>
      <c r="W22" s="42"/>
      <c r="X22" s="42"/>
      <c r="Y22" s="42"/>
      <c r="Z22" s="42"/>
      <c r="AA22" s="42"/>
    </row>
    <row r="23" spans="2:27" ht="12.6" thickBot="1">
      <c r="B23" s="5" t="s">
        <v>584</v>
      </c>
      <c r="C23" s="548">
        <v>354944</v>
      </c>
      <c r="D23" s="540">
        <v>372597</v>
      </c>
      <c r="E23" s="540">
        <v>390525.07619515451</v>
      </c>
      <c r="F23" s="540">
        <v>408090.59872340411</v>
      </c>
      <c r="G23" s="540">
        <v>425190.74182815774</v>
      </c>
      <c r="H23" s="279">
        <f t="shared" ref="H23:H32" si="4">IF(D23=0,"nm",IF(G23=0,"nm",(G23/D23)^(1/3)-1))</f>
        <v>4.4996450380622832E-2</v>
      </c>
      <c r="I23" s="247"/>
      <c r="J23" s="306" t="s">
        <v>9</v>
      </c>
      <c r="K23" s="306"/>
      <c r="L23" s="265" t="str">
        <f>D21</f>
        <v>2023E</v>
      </c>
      <c r="M23" s="265" t="str">
        <f t="shared" ref="M23:P23" si="5">E21</f>
        <v>2024E</v>
      </c>
      <c r="N23" s="265" t="str">
        <f t="shared" si="5"/>
        <v>2025E</v>
      </c>
      <c r="O23" s="265" t="str">
        <f t="shared" si="5"/>
        <v>2026E</v>
      </c>
      <c r="P23" s="265" t="str">
        <f t="shared" si="5"/>
        <v>23E-26E</v>
      </c>
      <c r="S23" s="88"/>
      <c r="T23" s="42"/>
      <c r="U23" s="42"/>
      <c r="V23" s="42"/>
      <c r="W23" s="42"/>
      <c r="X23" s="42"/>
      <c r="Y23" s="42"/>
      <c r="Z23" s="42"/>
      <c r="AA23" s="42"/>
    </row>
    <row r="24" spans="2:27" ht="12.6" thickTop="1">
      <c r="B24" s="5" t="s">
        <v>483</v>
      </c>
      <c r="C24" s="548">
        <v>99169</v>
      </c>
      <c r="D24" s="540">
        <v>99812</v>
      </c>
      <c r="E24" s="540">
        <v>100792.53579893964</v>
      </c>
      <c r="F24" s="540">
        <v>103127.40910758666</v>
      </c>
      <c r="G24" s="540">
        <v>105473.36178186029</v>
      </c>
      <c r="H24" s="279">
        <f t="shared" si="4"/>
        <v>1.8560140619139132E-2</v>
      </c>
      <c r="I24" s="249"/>
      <c r="J24" s="17"/>
      <c r="K24" s="17"/>
      <c r="L24" s="17"/>
      <c r="M24" s="17"/>
      <c r="N24" s="17"/>
      <c r="O24" s="248"/>
      <c r="S24" s="88"/>
      <c r="T24" s="42"/>
      <c r="U24" s="42"/>
      <c r="V24" s="42"/>
      <c r="W24" s="42" t="s">
        <v>296</v>
      </c>
      <c r="X24" s="42" t="s">
        <v>259</v>
      </c>
      <c r="Y24" s="42"/>
      <c r="Z24" s="42"/>
      <c r="AA24" s="42"/>
    </row>
    <row r="25" spans="2:27">
      <c r="B25" s="5" t="s">
        <v>183</v>
      </c>
      <c r="C25" s="548">
        <v>24969</v>
      </c>
      <c r="D25" s="540">
        <v>25912</v>
      </c>
      <c r="E25" s="540">
        <v>34653.692259524905</v>
      </c>
      <c r="F25" s="540">
        <v>35855.781891196835</v>
      </c>
      <c r="G25" s="540">
        <v>37378.566185333402</v>
      </c>
      <c r="H25" s="279">
        <f t="shared" si="4"/>
        <v>0.12990145452903046</v>
      </c>
      <c r="I25" s="248"/>
      <c r="J25" s="247" t="s">
        <v>10</v>
      </c>
      <c r="K25" s="247"/>
      <c r="L25" s="321">
        <v>0</v>
      </c>
      <c r="M25" s="321">
        <v>0</v>
      </c>
      <c r="N25" s="321">
        <v>0</v>
      </c>
      <c r="O25" s="321">
        <v>0</v>
      </c>
      <c r="P25" s="279" t="str">
        <f>IF(L25=0,"nm",IF(O25=0,"nm",(O25/L25)^(1/3)-1))</f>
        <v>nm</v>
      </c>
      <c r="S25" s="88"/>
      <c r="T25" s="42"/>
      <c r="U25" s="42"/>
      <c r="V25" s="147" t="s">
        <v>273</v>
      </c>
      <c r="W25" s="288">
        <f>D37/L9</f>
        <v>3.7007184581129308E-3</v>
      </c>
      <c r="X25" s="288">
        <v>1</v>
      </c>
      <c r="Y25" s="42"/>
      <c r="Z25" s="42"/>
      <c r="AA25" s="42"/>
    </row>
    <row r="26" spans="2:27">
      <c r="B26" s="5" t="s">
        <v>586</v>
      </c>
      <c r="C26" s="548">
        <v>20419.810229259761</v>
      </c>
      <c r="D26" s="540">
        <v>21368.78901721508</v>
      </c>
      <c r="E26" s="540">
        <v>28577.780123544573</v>
      </c>
      <c r="F26" s="540">
        <v>29569.104595564459</v>
      </c>
      <c r="G26" s="540">
        <v>30824.895592019118</v>
      </c>
      <c r="H26" s="279">
        <f t="shared" si="4"/>
        <v>0.12990145452903046</v>
      </c>
      <c r="I26" s="249"/>
      <c r="J26" s="249" t="s">
        <v>11</v>
      </c>
      <c r="K26" s="249"/>
      <c r="L26" s="281">
        <f>D11+L25</f>
        <v>175899.86823830547</v>
      </c>
      <c r="M26" s="281">
        <f>E11+M25</f>
        <v>175899.86823830547</v>
      </c>
      <c r="N26" s="281">
        <f>F11+N25</f>
        <v>175899.86823830547</v>
      </c>
      <c r="O26" s="281">
        <f>G11+O25</f>
        <v>175899.86823830547</v>
      </c>
      <c r="P26" s="279">
        <f>IF(L26=0,"nm",IF(O26=0,"nm",(O26/L26)^(1/3)-1))</f>
        <v>0</v>
      </c>
      <c r="Q26" s="5"/>
      <c r="S26" s="88"/>
      <c r="T26" s="42"/>
      <c r="U26" s="42"/>
      <c r="V26" s="147" t="s">
        <v>184</v>
      </c>
      <c r="W26" s="288">
        <f t="shared" ref="W26:W33" si="6">D38/L10</f>
        <v>3.8044876223213247E-3</v>
      </c>
      <c r="X26" s="288">
        <v>1</v>
      </c>
      <c r="Y26" s="42"/>
      <c r="Z26" s="42"/>
      <c r="AA26" s="42"/>
    </row>
    <row r="27" spans="2:27">
      <c r="B27" s="5" t="s">
        <v>587</v>
      </c>
      <c r="C27" s="548">
        <v>339390</v>
      </c>
      <c r="D27" s="540">
        <v>351709</v>
      </c>
      <c r="E27" s="540">
        <v>344798.4582450387</v>
      </c>
      <c r="F27" s="540">
        <v>341784.06535886868</v>
      </c>
      <c r="G27" s="540">
        <v>342457.61440092296</v>
      </c>
      <c r="H27" s="279">
        <f t="shared" si="4"/>
        <v>-8.8460522866237179E-3</v>
      </c>
      <c r="I27" s="249"/>
      <c r="J27" s="248"/>
      <c r="K27" s="248"/>
      <c r="L27" s="248"/>
      <c r="M27" s="248"/>
      <c r="N27" s="248"/>
      <c r="O27" s="248"/>
      <c r="Q27" s="41"/>
      <c r="S27" s="88"/>
      <c r="T27" s="42"/>
      <c r="U27" s="42"/>
      <c r="V27" s="147" t="s">
        <v>185</v>
      </c>
      <c r="W27" s="288">
        <f t="shared" si="6"/>
        <v>5.82732658081761E-3</v>
      </c>
      <c r="X27" s="288">
        <v>1</v>
      </c>
      <c r="Y27" s="42"/>
      <c r="Z27" s="42"/>
      <c r="AA27" s="42"/>
    </row>
    <row r="28" spans="2:27" ht="12.6" thickBot="1">
      <c r="B28" s="5" t="s">
        <v>592</v>
      </c>
      <c r="C28" s="548">
        <v>352433</v>
      </c>
      <c r="D28" s="540">
        <v>355995</v>
      </c>
      <c r="E28" s="540">
        <v>339543.00353941461</v>
      </c>
      <c r="F28" s="540">
        <v>325677.43463002588</v>
      </c>
      <c r="G28" s="540">
        <v>313613.63405398605</v>
      </c>
      <c r="H28" s="279">
        <f t="shared" si="4"/>
        <v>-4.1371479810563216E-2</v>
      </c>
      <c r="I28" s="248"/>
      <c r="J28" s="306" t="s">
        <v>1362</v>
      </c>
      <c r="K28" s="306"/>
      <c r="L28" s="306"/>
      <c r="M28" s="306"/>
      <c r="N28" s="266"/>
      <c r="O28" s="266"/>
      <c r="P28" s="266"/>
      <c r="Q28" s="5"/>
      <c r="S28" s="88"/>
      <c r="T28" s="42"/>
      <c r="U28" s="42"/>
      <c r="V28" s="147" t="s">
        <v>466</v>
      </c>
      <c r="W28" s="288">
        <f t="shared" si="6"/>
        <v>5.2611300549904299E-3</v>
      </c>
      <c r="X28" s="288">
        <v>1</v>
      </c>
      <c r="Y28" s="42"/>
      <c r="Z28" s="42"/>
      <c r="AA28" s="42"/>
    </row>
    <row r="29" spans="2:27" ht="12.6" thickTop="1">
      <c r="B29" s="5" t="s">
        <v>588</v>
      </c>
      <c r="C29" s="548">
        <v>28163.234262677288</v>
      </c>
      <c r="D29" s="540">
        <v>28382.124166485068</v>
      </c>
      <c r="E29" s="540">
        <v>37488.368233024696</v>
      </c>
      <c r="F29" s="540">
        <v>40638.407845731796</v>
      </c>
      <c r="G29" s="540">
        <v>43630.923627531607</v>
      </c>
      <c r="H29" s="279">
        <f t="shared" si="4"/>
        <v>0.15411699690031244</v>
      </c>
      <c r="I29" s="252"/>
      <c r="J29" s="249"/>
      <c r="K29" s="249"/>
      <c r="L29" s="249"/>
      <c r="M29" s="249"/>
      <c r="N29" s="249"/>
      <c r="O29" s="251"/>
      <c r="Q29" s="5"/>
      <c r="S29" s="88"/>
      <c r="T29" s="42"/>
      <c r="U29" s="42"/>
      <c r="V29" s="147" t="s">
        <v>530</v>
      </c>
      <c r="W29" s="288">
        <f t="shared" si="6"/>
        <v>4.3489034978348457E-3</v>
      </c>
      <c r="X29" s="288">
        <v>1</v>
      </c>
      <c r="Y29" s="42"/>
      <c r="Z29" s="42"/>
      <c r="AA29" s="42"/>
    </row>
    <row r="30" spans="2:27">
      <c r="B30" s="5" t="s">
        <v>589</v>
      </c>
      <c r="C30" s="548">
        <v>15442.234262677284</v>
      </c>
      <c r="D30" s="540">
        <v>17239.124166485068</v>
      </c>
      <c r="E30" s="540">
        <v>19402.042916940954</v>
      </c>
      <c r="F30" s="540">
        <v>17700.302789454116</v>
      </c>
      <c r="G30" s="540">
        <v>20652.766776097709</v>
      </c>
      <c r="H30" s="279">
        <f t="shared" si="4"/>
        <v>6.2072949426983159E-2</v>
      </c>
      <c r="I30" s="254"/>
      <c r="J30" s="248"/>
      <c r="K30" s="248"/>
      <c r="L30" s="248"/>
      <c r="M30" s="248"/>
      <c r="N30" s="248"/>
      <c r="O30" s="5"/>
      <c r="Q30" s="5"/>
      <c r="S30" s="88"/>
      <c r="T30" s="42"/>
      <c r="U30" s="42"/>
      <c r="V30" s="147" t="s">
        <v>593</v>
      </c>
      <c r="W30" s="288">
        <f t="shared" si="6"/>
        <v>3.2274383168208079E-3</v>
      </c>
      <c r="X30" s="288">
        <v>1</v>
      </c>
      <c r="Y30" s="42"/>
      <c r="Z30" s="42"/>
      <c r="AA30" s="42"/>
    </row>
    <row r="31" spans="2:27">
      <c r="B31" s="5" t="s">
        <v>590</v>
      </c>
      <c r="C31" s="548">
        <v>8383.8520000000008</v>
      </c>
      <c r="D31" s="540">
        <v>10299.2868</v>
      </c>
      <c r="E31" s="540">
        <v>13002.137746948136</v>
      </c>
      <c r="F31" s="540">
        <v>16986.366081636857</v>
      </c>
      <c r="G31" s="540">
        <v>21444.614332945464</v>
      </c>
      <c r="H31" s="279">
        <f t="shared" si="4"/>
        <v>0.27693962168686048</v>
      </c>
      <c r="I31" s="254"/>
      <c r="J31" s="252"/>
      <c r="K31" s="252"/>
      <c r="L31" s="252"/>
      <c r="M31" s="252"/>
      <c r="N31" s="252"/>
      <c r="O31" s="5"/>
      <c r="Q31" s="5"/>
      <c r="S31" s="88"/>
      <c r="T31" s="42"/>
      <c r="U31" s="42"/>
      <c r="V31" s="147" t="s">
        <v>475</v>
      </c>
      <c r="W31" s="288">
        <f t="shared" si="6"/>
        <v>0.4279483616450242</v>
      </c>
      <c r="X31" s="288">
        <v>1</v>
      </c>
      <c r="Y31" s="42"/>
      <c r="Z31" s="42"/>
      <c r="AA31" s="42"/>
    </row>
    <row r="32" spans="2:27">
      <c r="B32" s="5" t="s">
        <v>606</v>
      </c>
      <c r="C32" s="550">
        <v>0</v>
      </c>
      <c r="D32" s="540">
        <v>0</v>
      </c>
      <c r="E32" s="540">
        <v>0</v>
      </c>
      <c r="F32" s="540">
        <v>0</v>
      </c>
      <c r="G32" s="540">
        <v>0</v>
      </c>
      <c r="H32" s="279" t="str">
        <f t="shared" si="4"/>
        <v>nm</v>
      </c>
      <c r="I32" s="254"/>
      <c r="J32" s="254"/>
      <c r="K32" s="254"/>
      <c r="L32" s="254"/>
      <c r="M32" s="254"/>
      <c r="N32" s="254"/>
      <c r="O32" s="251"/>
      <c r="Q32" s="5"/>
      <c r="S32" s="88"/>
      <c r="T32" s="42"/>
      <c r="U32" s="42"/>
      <c r="V32" s="147" t="s">
        <v>533</v>
      </c>
      <c r="W32" s="288">
        <f t="shared" si="6"/>
        <v>2.5427985688137335E-2</v>
      </c>
      <c r="X32" s="288">
        <v>1</v>
      </c>
      <c r="Y32" s="42"/>
      <c r="Z32" s="42"/>
      <c r="AA32" s="42"/>
    </row>
    <row r="33" spans="2:27">
      <c r="B33" s="5" t="s">
        <v>5</v>
      </c>
      <c r="C33" s="548">
        <v>-124</v>
      </c>
      <c r="D33" s="540">
        <v>-586.6976519504467</v>
      </c>
      <c r="E33" s="540">
        <v>-1206.9904614975974</v>
      </c>
      <c r="F33" s="540">
        <v>-1671.576120981357</v>
      </c>
      <c r="G33" s="540">
        <v>-2034.0755506177049</v>
      </c>
      <c r="H33" s="279">
        <f>IF(D33=0,"nm",IF(G33=0,"nm",(G33/D33)^(1/3)-1))</f>
        <v>0.51350633529670575</v>
      </c>
      <c r="I33" s="5"/>
      <c r="J33" s="254"/>
      <c r="K33" s="254"/>
      <c r="L33" s="254"/>
      <c r="M33" s="254"/>
      <c r="N33" s="254"/>
      <c r="O33" s="251"/>
      <c r="Q33" s="5"/>
      <c r="S33" s="88"/>
      <c r="T33" s="42"/>
      <c r="U33" s="42"/>
      <c r="V33" s="147" t="s">
        <v>580</v>
      </c>
      <c r="W33" s="288">
        <f t="shared" si="6"/>
        <v>41.270902190778266</v>
      </c>
      <c r="X33" s="288">
        <v>1</v>
      </c>
      <c r="Y33" s="42"/>
      <c r="Z33" s="42"/>
      <c r="AA33" s="42"/>
    </row>
    <row r="34" spans="2:27">
      <c r="B34" s="5"/>
      <c r="C34" s="247"/>
      <c r="D34" s="17"/>
      <c r="E34" s="17"/>
      <c r="F34" s="17"/>
      <c r="G34" s="17"/>
      <c r="H34" s="277"/>
      <c r="I34" s="49"/>
      <c r="J34" s="254"/>
      <c r="K34" s="254"/>
      <c r="L34" s="254"/>
      <c r="M34" s="254"/>
      <c r="N34" s="254"/>
      <c r="O34" s="251"/>
      <c r="Q34" s="5"/>
      <c r="S34" s="88"/>
      <c r="T34" s="42"/>
      <c r="U34" s="42"/>
      <c r="V34" s="147" t="s">
        <v>581</v>
      </c>
      <c r="W34" s="288">
        <f>D47/L19</f>
        <v>2.336730525514858</v>
      </c>
      <c r="X34" s="288">
        <v>1</v>
      </c>
      <c r="Y34" s="288"/>
      <c r="Z34" s="288"/>
      <c r="AA34" s="42"/>
    </row>
    <row r="35" spans="2:27" ht="12.6" thickBot="1">
      <c r="B35" s="306" t="s">
        <v>525</v>
      </c>
      <c r="C35" s="265"/>
      <c r="D35" s="265" t="str">
        <f>D5</f>
        <v>2023E</v>
      </c>
      <c r="E35" s="265" t="str">
        <f t="shared" ref="E35:H35" si="7">E5</f>
        <v>2024E</v>
      </c>
      <c r="F35" s="265" t="str">
        <f t="shared" si="7"/>
        <v>2025E</v>
      </c>
      <c r="G35" s="265" t="str">
        <f t="shared" si="7"/>
        <v>2026E</v>
      </c>
      <c r="H35" s="265" t="str">
        <f t="shared" si="7"/>
        <v>23E-26E</v>
      </c>
      <c r="I35" s="254"/>
      <c r="J35" s="5"/>
      <c r="K35" s="5"/>
      <c r="L35" s="5"/>
      <c r="M35" s="5"/>
      <c r="N35" s="5"/>
      <c r="O35" s="5"/>
      <c r="Q35" s="5"/>
      <c r="S35" s="88"/>
      <c r="T35" s="42"/>
      <c r="U35" s="42"/>
      <c r="V35" s="42"/>
      <c r="W35" s="42"/>
      <c r="X35" s="42"/>
      <c r="Y35" s="288"/>
      <c r="Z35" s="288"/>
      <c r="AA35" s="42"/>
    </row>
    <row r="36" spans="2:27" ht="12.6" thickTop="1">
      <c r="B36" s="41"/>
      <c r="C36" s="249"/>
      <c r="D36" s="254"/>
      <c r="E36" s="254"/>
      <c r="F36" s="254"/>
      <c r="G36" s="254"/>
      <c r="H36" s="254"/>
      <c r="I36" s="17"/>
      <c r="J36" s="49"/>
      <c r="K36" s="49"/>
      <c r="L36" s="49"/>
      <c r="M36" s="49"/>
      <c r="N36" s="49"/>
      <c r="O36" s="49"/>
      <c r="Q36" s="5"/>
      <c r="S36" s="88"/>
      <c r="T36" s="42"/>
      <c r="U36" s="42"/>
      <c r="V36" s="42"/>
      <c r="W36" s="42"/>
      <c r="X36" s="42"/>
      <c r="Y36" s="288"/>
      <c r="Z36" s="288"/>
      <c r="AA36" s="42"/>
    </row>
    <row r="37" spans="2:27">
      <c r="B37" s="5" t="s">
        <v>273</v>
      </c>
      <c r="C37" s="247"/>
      <c r="D37" s="529">
        <f>D$18/D23</f>
        <v>0.23367326308721864</v>
      </c>
      <c r="E37" s="529">
        <f t="shared" ref="E37:G41" si="8">E$18/E23</f>
        <v>0.18255248527145132</v>
      </c>
      <c r="F37" s="529">
        <f t="shared" si="8"/>
        <v>0.14441505318977926</v>
      </c>
      <c r="G37" s="529">
        <f t="shared" si="8"/>
        <v>0.11811504960615288</v>
      </c>
      <c r="H37" s="17">
        <f t="shared" ref="H37:H45" si="9">H23</f>
        <v>4.4996450380622832E-2</v>
      </c>
      <c r="I37" s="5"/>
      <c r="J37" s="259"/>
      <c r="K37" s="259"/>
      <c r="L37" s="259"/>
      <c r="M37" s="259"/>
      <c r="N37" s="259"/>
      <c r="O37" s="18"/>
      <c r="Q37" s="5"/>
      <c r="R37" s="5"/>
      <c r="S37" s="42"/>
      <c r="T37" s="42"/>
      <c r="U37" s="42"/>
      <c r="V37" s="42"/>
      <c r="W37" s="42"/>
      <c r="X37" s="42"/>
      <c r="Y37" s="42"/>
      <c r="Z37" s="42"/>
      <c r="AA37" s="42"/>
    </row>
    <row r="38" spans="2:27">
      <c r="B38" s="5" t="s">
        <v>184</v>
      </c>
      <c r="C38" s="247"/>
      <c r="D38" s="529">
        <f>D$18/D24</f>
        <v>0.8722994911083678</v>
      </c>
      <c r="E38" s="529">
        <f t="shared" si="8"/>
        <v>0.70730756652913129</v>
      </c>
      <c r="F38" s="529">
        <f t="shared" si="8"/>
        <v>0.57147198820253997</v>
      </c>
      <c r="G38" s="529">
        <f t="shared" si="8"/>
        <v>0.47615269594779391</v>
      </c>
      <c r="H38" s="17">
        <f t="shared" si="9"/>
        <v>1.8560140619139132E-2</v>
      </c>
      <c r="I38" s="259"/>
      <c r="J38" s="17"/>
      <c r="K38" s="17"/>
      <c r="L38" s="17"/>
      <c r="M38" s="17"/>
      <c r="N38" s="17"/>
      <c r="O38" s="5"/>
      <c r="Q38" s="5"/>
      <c r="R38" s="5"/>
      <c r="S38" s="42"/>
      <c r="T38" s="42"/>
      <c r="U38" s="42"/>
      <c r="V38" s="42"/>
      <c r="W38" s="42"/>
      <c r="X38" s="42"/>
      <c r="Y38" s="42"/>
      <c r="Z38" s="42"/>
      <c r="AA38" s="42"/>
    </row>
    <row r="39" spans="2:27">
      <c r="B39" s="5" t="s">
        <v>185</v>
      </c>
      <c r="C39" s="247"/>
      <c r="D39" s="529">
        <f>D$18/D25</f>
        <v>3.360063167895508</v>
      </c>
      <c r="E39" s="529">
        <f t="shared" si="8"/>
        <v>2.0572504276410326</v>
      </c>
      <c r="F39" s="529">
        <f t="shared" si="8"/>
        <v>1.6436519415396882</v>
      </c>
      <c r="G39" s="529">
        <f t="shared" si="8"/>
        <v>1.3435888716035254</v>
      </c>
      <c r="H39" s="17">
        <f t="shared" si="9"/>
        <v>0.12990145452903046</v>
      </c>
      <c r="I39" s="17"/>
      <c r="J39" s="5"/>
      <c r="K39" s="5"/>
      <c r="L39" s="5"/>
      <c r="M39" s="5"/>
      <c r="N39" s="5"/>
      <c r="O39" s="5"/>
      <c r="Q39" s="5"/>
      <c r="R39" s="5"/>
      <c r="S39" s="42"/>
      <c r="T39" s="42"/>
      <c r="U39" s="42"/>
      <c r="V39" s="42"/>
      <c r="W39" s="42"/>
      <c r="X39" s="42"/>
      <c r="Y39" s="42"/>
      <c r="Z39" s="42"/>
      <c r="AA39" s="42"/>
    </row>
    <row r="40" spans="2:27">
      <c r="B40" s="5" t="s">
        <v>466</v>
      </c>
      <c r="C40" s="247"/>
      <c r="D40" s="529">
        <f>D$18/D26</f>
        <v>4.0744450579939979</v>
      </c>
      <c r="E40" s="529">
        <f t="shared" si="8"/>
        <v>2.4946417430622287</v>
      </c>
      <c r="F40" s="529">
        <f t="shared" si="8"/>
        <v>1.9931082231597161</v>
      </c>
      <c r="G40" s="529">
        <f t="shared" si="8"/>
        <v>1.6292488457321048</v>
      </c>
      <c r="H40" s="17">
        <f t="shared" si="9"/>
        <v>0.12990145452903046</v>
      </c>
      <c r="I40" s="5"/>
      <c r="J40" s="259"/>
      <c r="K40" s="259"/>
      <c r="L40" s="259"/>
      <c r="M40" s="259"/>
      <c r="N40" s="259"/>
      <c r="O40" s="18"/>
      <c r="Q40" s="5"/>
      <c r="R40" s="5"/>
      <c r="S40" s="42"/>
      <c r="T40" s="42"/>
      <c r="U40" s="42"/>
      <c r="V40" s="42"/>
      <c r="W40" s="288"/>
      <c r="X40" s="288"/>
      <c r="Y40" s="42"/>
      <c r="Z40" s="42"/>
      <c r="AA40" s="42"/>
    </row>
    <row r="41" spans="2:27">
      <c r="B41" s="5" t="s">
        <v>530</v>
      </c>
      <c r="C41" s="247"/>
      <c r="D41" s="529">
        <f>D$18/D27</f>
        <v>0.24755111983630901</v>
      </c>
      <c r="E41" s="529">
        <f t="shared" si="8"/>
        <v>0.20676230277568</v>
      </c>
      <c r="F41" s="529">
        <f t="shared" si="8"/>
        <v>0.17243175295199592</v>
      </c>
      <c r="G41" s="529">
        <f t="shared" si="8"/>
        <v>0.14665004792188507</v>
      </c>
      <c r="H41" s="17">
        <f t="shared" si="9"/>
        <v>-8.8460522866237179E-3</v>
      </c>
      <c r="I41" s="247"/>
      <c r="J41" s="17"/>
      <c r="K41" s="17"/>
      <c r="L41" s="17"/>
      <c r="M41" s="17"/>
      <c r="N41" s="17"/>
      <c r="O41" s="5"/>
      <c r="Q41" s="5"/>
      <c r="R41" s="5"/>
      <c r="S41" s="42"/>
      <c r="T41" s="42"/>
      <c r="U41" s="42"/>
      <c r="V41" s="42"/>
      <c r="W41" s="288"/>
      <c r="X41" s="288"/>
      <c r="Y41" s="288"/>
      <c r="Z41" s="288"/>
      <c r="AA41" s="42"/>
    </row>
    <row r="42" spans="2:27">
      <c r="B42" s="5" t="s">
        <v>593</v>
      </c>
      <c r="C42" s="247"/>
      <c r="D42" s="529">
        <f>D18/D28</f>
        <v>0.24457072938245875</v>
      </c>
      <c r="E42" s="529">
        <f>E18/E28</f>
        <v>0.20996257462855586</v>
      </c>
      <c r="F42" s="529">
        <f>F18/F28</f>
        <v>0.18095949935198796</v>
      </c>
      <c r="G42" s="529">
        <f>G18/G28</f>
        <v>0.16013788977830148</v>
      </c>
      <c r="H42" s="17">
        <f t="shared" si="9"/>
        <v>-4.1371479810563216E-2</v>
      </c>
      <c r="I42" s="248"/>
      <c r="J42" s="5"/>
      <c r="K42" s="5"/>
      <c r="L42" s="5"/>
      <c r="M42" s="5"/>
      <c r="N42" s="5"/>
      <c r="O42" s="5"/>
      <c r="Q42" s="5"/>
      <c r="R42" s="5"/>
      <c r="S42" s="42"/>
      <c r="T42" s="42"/>
      <c r="U42" s="42"/>
      <c r="V42" s="42"/>
      <c r="W42" s="288"/>
      <c r="X42" s="288"/>
      <c r="Y42" s="288"/>
      <c r="Z42" s="288"/>
      <c r="AA42" s="42"/>
    </row>
    <row r="43" spans="2:27">
      <c r="B43" s="5" t="s">
        <v>475</v>
      </c>
      <c r="C43" s="247"/>
      <c r="D43" s="529">
        <f>L26/D29</f>
        <v>6.1975582661292217</v>
      </c>
      <c r="E43" s="529">
        <f>M26/E29</f>
        <v>4.6921185564793317</v>
      </c>
      <c r="F43" s="529">
        <f>N26/F29</f>
        <v>4.3284143637231605</v>
      </c>
      <c r="G43" s="529">
        <f>O26/G29</f>
        <v>4.0315412467525817</v>
      </c>
      <c r="H43" s="17">
        <f t="shared" si="9"/>
        <v>0.15411699690031244</v>
      </c>
      <c r="I43" s="247"/>
      <c r="J43" s="247"/>
      <c r="K43" s="247"/>
      <c r="L43" s="247"/>
      <c r="M43" s="247"/>
      <c r="N43" s="247"/>
      <c r="O43" s="18"/>
      <c r="Q43" s="5"/>
      <c r="R43" s="5"/>
      <c r="S43" s="42"/>
      <c r="T43" s="42"/>
      <c r="U43" s="42"/>
      <c r="V43" s="42"/>
      <c r="W43" s="288"/>
      <c r="X43" s="288"/>
      <c r="Y43" s="288"/>
      <c r="Z43" s="288"/>
      <c r="AA43" s="42"/>
    </row>
    <row r="44" spans="2:27">
      <c r="B44" s="5" t="s">
        <v>533</v>
      </c>
      <c r="C44" s="69"/>
      <c r="D44" s="529">
        <f>D11/D30</f>
        <v>10.203526962249972</v>
      </c>
      <c r="E44" s="529">
        <f>E11/E30</f>
        <v>9.0660488171953251</v>
      </c>
      <c r="F44" s="529">
        <f>F11/F30</f>
        <v>9.9376756618596964</v>
      </c>
      <c r="G44" s="529">
        <f>G11/G30</f>
        <v>8.5170122795305847</v>
      </c>
      <c r="H44" s="17">
        <f t="shared" si="9"/>
        <v>6.2072949426983159E-2</v>
      </c>
      <c r="I44" s="247"/>
      <c r="J44" s="248"/>
      <c r="K44" s="248"/>
      <c r="L44" s="248"/>
      <c r="M44" s="248"/>
      <c r="N44" s="248"/>
      <c r="O44" s="248"/>
      <c r="Q44" s="5"/>
      <c r="R44" s="5"/>
      <c r="S44" s="42"/>
      <c r="T44" s="42"/>
      <c r="U44" s="42"/>
      <c r="V44" s="42"/>
      <c r="W44" s="325"/>
      <c r="X44" s="325"/>
      <c r="Y44" s="288"/>
      <c r="Z44" s="288"/>
      <c r="AA44" s="42"/>
    </row>
    <row r="45" spans="2:27">
      <c r="B45" s="5" t="s">
        <v>580</v>
      </c>
      <c r="C45" s="247"/>
      <c r="D45" s="248">
        <f>D31/D11</f>
        <v>5.8551987009147391E-2</v>
      </c>
      <c r="E45" s="248">
        <f>E31/E11</f>
        <v>7.3917836762294284E-2</v>
      </c>
      <c r="F45" s="248">
        <f>F31/F11</f>
        <v>9.6568384341391797E-2</v>
      </c>
      <c r="G45" s="248">
        <f>G31/G11</f>
        <v>0.12191376007111471</v>
      </c>
      <c r="H45" s="17">
        <f t="shared" si="9"/>
        <v>0.27693962168686048</v>
      </c>
      <c r="I45" s="248"/>
      <c r="J45" s="247"/>
      <c r="K45" s="247"/>
      <c r="L45" s="247"/>
      <c r="M45" s="247"/>
      <c r="N45" s="247"/>
      <c r="O45" s="248"/>
      <c r="Q45" s="5"/>
      <c r="R45" s="5"/>
      <c r="S45" s="42"/>
      <c r="T45" s="42"/>
      <c r="U45" s="42"/>
      <c r="V45" s="42"/>
      <c r="W45" s="42"/>
      <c r="X45" s="42"/>
      <c r="Y45" s="325"/>
      <c r="Z45" s="325"/>
      <c r="AA45" s="42"/>
    </row>
    <row r="46" spans="2:27">
      <c r="B46" s="5" t="s">
        <v>605</v>
      </c>
      <c r="C46" s="247"/>
      <c r="D46" s="248">
        <f>(D31+D32)/D11</f>
        <v>5.8551987009147391E-2</v>
      </c>
      <c r="E46" s="248">
        <f>(E31+E32)/E11</f>
        <v>7.3917836762294284E-2</v>
      </c>
      <c r="F46" s="248">
        <f>(F31+F32)/F11</f>
        <v>9.6568384341391797E-2</v>
      </c>
      <c r="G46" s="248">
        <f>(G31+G32)/G11</f>
        <v>0.12191376007111471</v>
      </c>
      <c r="H46" s="279">
        <f>((G31+G32)/(D31+D32))^(1/3)-1</f>
        <v>0.27693962168686048</v>
      </c>
      <c r="I46" s="247"/>
      <c r="J46" s="247"/>
      <c r="K46" s="247"/>
      <c r="L46" s="247"/>
      <c r="M46" s="247"/>
      <c r="N46" s="247"/>
      <c r="O46" s="18"/>
      <c r="Q46" s="5"/>
      <c r="R46" s="5"/>
      <c r="S46" s="42"/>
      <c r="T46" s="42"/>
      <c r="U46" s="42"/>
      <c r="V46" s="42"/>
      <c r="W46" s="42"/>
      <c r="X46" s="42"/>
      <c r="Y46" s="42"/>
      <c r="Z46" s="42"/>
      <c r="AA46" s="326"/>
    </row>
    <row r="47" spans="2:27">
      <c r="B47" s="5" t="s">
        <v>581</v>
      </c>
      <c r="C47" s="5"/>
      <c r="D47" s="248">
        <f>1/D43</f>
        <v>0.16135386825892079</v>
      </c>
      <c r="E47" s="248">
        <f>1/E43</f>
        <v>0.21312334459646232</v>
      </c>
      <c r="F47" s="248">
        <f>1/F43</f>
        <v>0.23103148542826493</v>
      </c>
      <c r="G47" s="248">
        <f>1/G43</f>
        <v>0.24804409499853261</v>
      </c>
      <c r="H47" s="17">
        <f>H29</f>
        <v>0.15411699690031244</v>
      </c>
      <c r="I47" s="17"/>
      <c r="J47" s="248"/>
      <c r="K47" s="248"/>
      <c r="L47" s="248"/>
      <c r="M47" s="248"/>
      <c r="N47" s="248"/>
      <c r="O47" s="248"/>
      <c r="Q47" s="5"/>
      <c r="R47" s="5"/>
      <c r="S47" s="42"/>
      <c r="T47" s="42"/>
      <c r="U47" s="42"/>
      <c r="V47" s="42"/>
      <c r="W47" s="42"/>
      <c r="X47" s="42"/>
      <c r="Y47" s="42"/>
      <c r="Z47" s="42"/>
      <c r="AA47" s="326"/>
    </row>
    <row r="48" spans="2:27">
      <c r="B48" s="5" t="s">
        <v>618</v>
      </c>
      <c r="C48" s="5"/>
      <c r="D48" s="305">
        <f>D31/D29</f>
        <v>0.36287935108683222</v>
      </c>
      <c r="E48" s="305">
        <f>E31/E29</f>
        <v>0.34683125352717109</v>
      </c>
      <c r="F48" s="305">
        <f>F31/F29</f>
        <v>0.41798798186481895</v>
      </c>
      <c r="G48" s="305">
        <f>G31/G29</f>
        <v>0.491500352273397</v>
      </c>
      <c r="H48" s="279" t="s">
        <v>607</v>
      </c>
      <c r="I48" s="247"/>
      <c r="J48" s="247"/>
      <c r="K48" s="247"/>
      <c r="L48" s="247"/>
      <c r="M48" s="247"/>
      <c r="N48" s="247"/>
      <c r="O48" s="248"/>
      <c r="Q48" s="5"/>
      <c r="R48" s="5"/>
      <c r="S48" s="42"/>
      <c r="T48" s="42"/>
      <c r="U48" s="42"/>
      <c r="V48" s="42"/>
      <c r="W48" s="42"/>
      <c r="X48" s="42"/>
      <c r="Y48" s="42"/>
      <c r="Z48" s="42"/>
      <c r="AA48" s="326"/>
    </row>
    <row r="49" spans="2:27">
      <c r="B49" s="41"/>
      <c r="C49" s="17"/>
      <c r="D49" s="17"/>
      <c r="E49" s="17"/>
      <c r="F49" s="17"/>
      <c r="G49" s="17"/>
      <c r="H49" s="17"/>
      <c r="I49" s="254"/>
      <c r="J49" s="17"/>
      <c r="K49" s="17"/>
      <c r="L49" s="17"/>
      <c r="M49" s="17"/>
      <c r="N49" s="17"/>
      <c r="O49" s="248"/>
      <c r="Q49" s="5"/>
      <c r="R49" s="5"/>
      <c r="S49" s="42"/>
      <c r="T49" s="42"/>
      <c r="U49" s="42"/>
      <c r="V49" s="42"/>
      <c r="W49" s="42"/>
      <c r="X49" s="42"/>
      <c r="Y49" s="42"/>
      <c r="Z49" s="42"/>
      <c r="AA49" s="326"/>
    </row>
    <row r="50" spans="2:27">
      <c r="B50" s="5"/>
      <c r="C50" s="257"/>
      <c r="D50" s="257"/>
      <c r="E50" s="257"/>
      <c r="F50" s="5"/>
      <c r="G50" s="41"/>
      <c r="H50" s="249"/>
      <c r="I50" s="17"/>
      <c r="J50" s="249"/>
      <c r="K50" s="249"/>
      <c r="L50" s="249"/>
      <c r="M50" s="249"/>
      <c r="N50" s="249"/>
      <c r="O50" s="250"/>
      <c r="Q50" s="5"/>
      <c r="R50" s="5"/>
      <c r="S50" s="42"/>
      <c r="T50" s="42"/>
      <c r="U50" s="42"/>
      <c r="V50" s="42"/>
      <c r="W50" s="288"/>
      <c r="X50" s="288"/>
      <c r="Y50" s="42"/>
      <c r="Z50" s="42"/>
      <c r="AA50" s="326"/>
    </row>
    <row r="51" spans="2:27">
      <c r="B51" s="41"/>
      <c r="C51" s="249"/>
      <c r="D51" s="254"/>
      <c r="E51" s="254"/>
      <c r="F51" s="254"/>
      <c r="G51" s="254"/>
      <c r="H51" s="254"/>
      <c r="I51" s="259"/>
      <c r="J51" s="254"/>
      <c r="K51" s="254"/>
      <c r="L51" s="254"/>
      <c r="M51" s="254"/>
      <c r="N51" s="254"/>
      <c r="O51" s="251"/>
      <c r="Q51" s="5"/>
      <c r="R51" s="5"/>
      <c r="S51" s="42"/>
      <c r="T51" s="42"/>
      <c r="U51" s="42"/>
      <c r="V51" s="42"/>
      <c r="W51" s="288"/>
      <c r="X51" s="288"/>
      <c r="Y51" s="288"/>
      <c r="Z51" s="288"/>
      <c r="AA51" s="42"/>
    </row>
    <row r="52" spans="2:27">
      <c r="B52" s="5"/>
      <c r="C52" s="257"/>
      <c r="D52" s="17"/>
      <c r="E52" s="17"/>
      <c r="F52" s="17"/>
      <c r="G52" s="17"/>
      <c r="H52" s="17"/>
      <c r="I52" s="254"/>
      <c r="J52" s="17"/>
      <c r="K52" s="17"/>
      <c r="L52" s="17"/>
      <c r="M52" s="17"/>
      <c r="N52" s="17"/>
      <c r="O52" s="248"/>
      <c r="Q52" s="5"/>
      <c r="R52" s="5"/>
      <c r="S52" s="5"/>
      <c r="Y52" s="10"/>
      <c r="Z52" s="10"/>
    </row>
    <row r="53" spans="2:27">
      <c r="B53" s="5"/>
      <c r="C53" s="257"/>
      <c r="D53" s="257"/>
      <c r="E53" s="257"/>
      <c r="F53" s="5"/>
      <c r="G53" s="5"/>
      <c r="H53" s="259"/>
      <c r="I53" s="17"/>
      <c r="J53" s="259"/>
      <c r="K53" s="259"/>
      <c r="L53" s="259"/>
      <c r="M53" s="259"/>
      <c r="N53" s="259"/>
      <c r="O53" s="18"/>
      <c r="Q53" s="5"/>
      <c r="R53" s="5"/>
      <c r="S53" s="5"/>
    </row>
    <row r="54" spans="2:27">
      <c r="B54" s="41"/>
      <c r="C54" s="249"/>
      <c r="D54" s="254"/>
      <c r="E54" s="254"/>
      <c r="F54" s="254"/>
      <c r="G54" s="254"/>
      <c r="H54" s="254"/>
      <c r="I54" s="259"/>
      <c r="J54" s="254"/>
      <c r="K54" s="254"/>
      <c r="L54" s="254"/>
      <c r="M54" s="254"/>
      <c r="N54" s="254"/>
      <c r="O54" s="251"/>
      <c r="Q54" s="5"/>
      <c r="R54" s="5"/>
      <c r="S54" s="5"/>
    </row>
    <row r="55" spans="2:27">
      <c r="B55" s="5"/>
      <c r="C55" s="257"/>
      <c r="D55" s="17"/>
      <c r="E55" s="17"/>
      <c r="F55" s="17"/>
      <c r="G55" s="17"/>
      <c r="H55" s="17"/>
      <c r="I55" s="249"/>
      <c r="J55" s="17"/>
      <c r="K55" s="17"/>
      <c r="L55" s="17"/>
      <c r="M55" s="17"/>
      <c r="N55" s="17"/>
      <c r="O55" s="18"/>
      <c r="Q55" s="5"/>
      <c r="R55" s="5"/>
      <c r="S55" s="5"/>
    </row>
    <row r="56" spans="2:27">
      <c r="B56" s="5"/>
      <c r="C56" s="248"/>
      <c r="D56" s="248"/>
      <c r="E56" s="248"/>
      <c r="F56" s="5"/>
      <c r="G56" s="5"/>
      <c r="H56" s="259"/>
      <c r="I56" s="248"/>
      <c r="J56" s="259"/>
      <c r="K56" s="259"/>
      <c r="L56" s="259"/>
      <c r="M56" s="259"/>
      <c r="N56" s="259"/>
      <c r="O56" s="18"/>
      <c r="Q56" s="5"/>
      <c r="R56" s="5"/>
      <c r="S56" s="5"/>
    </row>
    <row r="57" spans="2:27">
      <c r="B57" s="41"/>
      <c r="C57" s="249"/>
      <c r="D57" s="249"/>
      <c r="E57" s="249"/>
      <c r="F57" s="249"/>
      <c r="G57" s="249"/>
      <c r="H57" s="249"/>
      <c r="I57" s="5"/>
      <c r="J57" s="249"/>
      <c r="K57" s="249"/>
      <c r="L57" s="249"/>
      <c r="M57" s="249"/>
      <c r="N57" s="249"/>
      <c r="O57" s="251"/>
      <c r="Q57" s="5"/>
      <c r="R57" s="5"/>
      <c r="S57" s="5"/>
    </row>
    <row r="58" spans="2:27">
      <c r="B58" s="5"/>
      <c r="C58" s="5"/>
      <c r="D58" s="248"/>
      <c r="E58" s="248"/>
      <c r="F58" s="248"/>
      <c r="G58" s="248"/>
      <c r="H58" s="248"/>
      <c r="I58" s="17"/>
      <c r="J58" s="248"/>
      <c r="K58" s="248"/>
      <c r="L58" s="248"/>
      <c r="M58" s="248"/>
      <c r="N58" s="248"/>
      <c r="O58" s="18"/>
      <c r="Q58" s="5"/>
      <c r="R58" s="5"/>
      <c r="S58" s="5"/>
    </row>
    <row r="59" spans="2:27">
      <c r="B59" s="5"/>
      <c r="C59" s="5"/>
      <c r="D59" s="5"/>
      <c r="E59" s="5"/>
      <c r="F59" s="5"/>
      <c r="G59" s="5"/>
      <c r="H59" s="5"/>
      <c r="I59" s="5"/>
      <c r="J59" s="5"/>
      <c r="K59" s="5"/>
      <c r="L59" s="5"/>
      <c r="M59" s="5"/>
      <c r="N59" s="5"/>
      <c r="O59" s="5"/>
      <c r="Q59" s="5"/>
      <c r="R59" s="5"/>
      <c r="S59" s="5"/>
    </row>
    <row r="60" spans="2:27">
      <c r="B60" s="41"/>
      <c r="C60" s="17"/>
      <c r="D60" s="17"/>
      <c r="E60" s="17"/>
      <c r="F60" s="17"/>
      <c r="G60" s="17"/>
      <c r="H60" s="17"/>
      <c r="I60" s="249"/>
      <c r="J60" s="17"/>
      <c r="K60" s="17"/>
      <c r="L60" s="17"/>
      <c r="M60" s="17"/>
      <c r="N60" s="17"/>
      <c r="O60" s="251"/>
      <c r="Q60" s="5"/>
      <c r="R60" s="5"/>
      <c r="S60" s="5"/>
    </row>
    <row r="61" spans="2:27">
      <c r="B61" s="5"/>
      <c r="C61" s="5"/>
      <c r="D61" s="5"/>
      <c r="E61" s="5"/>
      <c r="F61" s="5"/>
      <c r="G61" s="5"/>
      <c r="H61" s="5"/>
      <c r="I61" s="5"/>
      <c r="J61" s="5"/>
      <c r="K61" s="5"/>
      <c r="L61" s="5"/>
      <c r="M61" s="5"/>
      <c r="N61" s="5"/>
      <c r="O61" s="5"/>
      <c r="Q61" s="41"/>
      <c r="R61" s="5"/>
      <c r="S61" s="5"/>
    </row>
    <row r="62" spans="2:27">
      <c r="B62" s="41"/>
      <c r="C62" s="249"/>
      <c r="D62" s="249"/>
      <c r="E62" s="249"/>
      <c r="F62" s="249"/>
      <c r="G62" s="249"/>
      <c r="H62" s="249"/>
      <c r="I62" s="5"/>
      <c r="J62" s="249"/>
      <c r="K62" s="249"/>
      <c r="L62" s="249"/>
      <c r="M62" s="249"/>
      <c r="N62" s="249"/>
      <c r="O62" s="251"/>
      <c r="Q62" s="5"/>
      <c r="R62" s="5"/>
      <c r="S62" s="5"/>
    </row>
    <row r="63" spans="2:27">
      <c r="B63" s="5"/>
      <c r="C63" s="5"/>
      <c r="D63" s="5"/>
      <c r="E63" s="5"/>
      <c r="F63" s="5"/>
      <c r="G63" s="5"/>
      <c r="H63" s="5"/>
      <c r="I63" s="254"/>
      <c r="J63" s="5"/>
      <c r="K63" s="5"/>
      <c r="L63" s="5"/>
      <c r="M63" s="5"/>
      <c r="N63" s="5"/>
      <c r="O63" s="5"/>
      <c r="Q63" s="5"/>
      <c r="R63" s="5"/>
      <c r="S63" s="5"/>
    </row>
    <row r="64" spans="2:27">
      <c r="B64" s="5"/>
      <c r="C64" s="5"/>
      <c r="D64" s="5"/>
      <c r="E64" s="5"/>
      <c r="F64" s="5"/>
      <c r="G64" s="5"/>
      <c r="H64" s="5"/>
      <c r="I64" s="17"/>
      <c r="J64" s="5"/>
      <c r="K64" s="5"/>
      <c r="L64" s="5"/>
      <c r="M64" s="5"/>
      <c r="N64" s="5"/>
      <c r="O64" s="5"/>
      <c r="Q64" s="5"/>
      <c r="R64" s="5"/>
      <c r="S64" s="5"/>
    </row>
    <row r="65" spans="2:26">
      <c r="B65" s="41"/>
      <c r="C65" s="249"/>
      <c r="D65" s="254"/>
      <c r="E65" s="254"/>
      <c r="F65" s="254"/>
      <c r="G65" s="254"/>
      <c r="H65" s="254"/>
      <c r="I65" s="254"/>
      <c r="J65" s="254"/>
      <c r="K65" s="254"/>
      <c r="L65" s="254"/>
      <c r="M65" s="254"/>
      <c r="N65" s="254"/>
      <c r="O65" s="251"/>
      <c r="Q65" s="5"/>
      <c r="R65" s="5"/>
      <c r="S65" s="5"/>
    </row>
    <row r="66" spans="2:26">
      <c r="B66" s="5"/>
      <c r="C66" s="5"/>
      <c r="D66" s="17"/>
      <c r="E66" s="17"/>
      <c r="F66" s="17"/>
      <c r="G66" s="17"/>
      <c r="H66" s="17"/>
      <c r="I66" s="248"/>
      <c r="J66" s="17"/>
      <c r="K66" s="17"/>
      <c r="L66" s="17"/>
      <c r="M66" s="17"/>
      <c r="N66" s="17"/>
      <c r="O66" s="5"/>
      <c r="Q66" s="5"/>
      <c r="R66" s="5"/>
      <c r="S66" s="5"/>
    </row>
    <row r="67" spans="2:26">
      <c r="B67" s="41"/>
      <c r="C67" s="249"/>
      <c r="D67" s="254"/>
      <c r="E67" s="254"/>
      <c r="F67" s="254"/>
      <c r="G67" s="254"/>
      <c r="H67" s="254"/>
      <c r="I67" s="5"/>
      <c r="J67" s="254"/>
      <c r="K67" s="254"/>
      <c r="L67" s="254"/>
      <c r="M67" s="254"/>
      <c r="N67" s="254"/>
      <c r="O67" s="251"/>
      <c r="Q67" s="41"/>
      <c r="R67" s="5"/>
      <c r="S67" s="5"/>
    </row>
    <row r="68" spans="2:26">
      <c r="B68" s="5"/>
      <c r="C68" s="5"/>
      <c r="D68" s="248"/>
      <c r="E68" s="248"/>
      <c r="F68" s="248"/>
      <c r="G68" s="248"/>
      <c r="H68" s="248"/>
      <c r="I68" s="245"/>
      <c r="J68" s="248"/>
      <c r="K68" s="248"/>
      <c r="L68" s="248"/>
      <c r="M68" s="248"/>
      <c r="N68" s="248"/>
      <c r="O68" s="5"/>
      <c r="Q68" s="5"/>
      <c r="R68" s="5"/>
      <c r="S68" s="5"/>
    </row>
    <row r="69" spans="2:26">
      <c r="B69" s="41"/>
      <c r="C69" s="5"/>
      <c r="D69" s="5"/>
      <c r="E69" s="5"/>
      <c r="F69" s="5"/>
      <c r="G69" s="5"/>
      <c r="H69" s="5"/>
      <c r="I69" s="248"/>
      <c r="J69" s="5"/>
      <c r="K69" s="5"/>
      <c r="L69" s="5"/>
      <c r="M69" s="5"/>
      <c r="N69" s="5"/>
      <c r="O69" s="5"/>
      <c r="Q69" s="5"/>
      <c r="R69" s="5"/>
      <c r="S69" s="5"/>
    </row>
    <row r="70" spans="2:26">
      <c r="B70" s="41"/>
      <c r="C70" s="245"/>
      <c r="D70" s="245"/>
      <c r="E70" s="245"/>
      <c r="F70" s="245"/>
      <c r="G70" s="245"/>
      <c r="H70" s="245"/>
      <c r="I70" s="5"/>
      <c r="J70" s="245"/>
      <c r="K70" s="245"/>
      <c r="L70" s="245"/>
      <c r="M70" s="245"/>
      <c r="N70" s="245"/>
      <c r="O70" s="251"/>
      <c r="Q70" s="5"/>
      <c r="R70" s="5"/>
      <c r="S70" s="5"/>
      <c r="W70" s="76"/>
      <c r="X70" s="76"/>
    </row>
    <row r="71" spans="2:26">
      <c r="B71" s="5"/>
      <c r="C71" s="5"/>
      <c r="D71" s="248"/>
      <c r="E71" s="248"/>
      <c r="F71" s="248"/>
      <c r="G71" s="248"/>
      <c r="H71" s="248"/>
      <c r="I71" s="245"/>
      <c r="J71" s="248"/>
      <c r="K71" s="248"/>
      <c r="L71" s="248"/>
      <c r="M71" s="248"/>
      <c r="N71" s="248"/>
      <c r="O71" s="5"/>
      <c r="Q71" s="5"/>
      <c r="R71" s="5"/>
      <c r="S71" s="5"/>
      <c r="W71" s="76"/>
      <c r="X71" s="76"/>
      <c r="Y71" s="76"/>
      <c r="Z71" s="76"/>
    </row>
    <row r="72" spans="2:26">
      <c r="B72" s="41"/>
      <c r="C72" s="5"/>
      <c r="D72" s="5"/>
      <c r="E72" s="5"/>
      <c r="F72" s="5"/>
      <c r="G72" s="5"/>
      <c r="H72" s="5"/>
      <c r="I72" s="18"/>
      <c r="J72" s="5"/>
      <c r="K72" s="5"/>
      <c r="L72" s="5"/>
      <c r="M72" s="5"/>
      <c r="N72" s="5"/>
      <c r="O72" s="5"/>
      <c r="Q72" s="5"/>
      <c r="R72" s="5"/>
      <c r="S72" s="5"/>
      <c r="Y72" s="76"/>
      <c r="Z72" s="76"/>
    </row>
    <row r="73" spans="2:26">
      <c r="B73" s="41"/>
      <c r="C73" s="245"/>
      <c r="D73" s="245"/>
      <c r="E73" s="245"/>
      <c r="F73" s="245"/>
      <c r="G73" s="245"/>
      <c r="H73" s="245"/>
      <c r="I73" s="5"/>
      <c r="J73" s="245"/>
      <c r="K73" s="245"/>
      <c r="L73" s="245"/>
      <c r="M73" s="245"/>
      <c r="N73" s="245"/>
      <c r="O73" s="251"/>
      <c r="Q73" s="5"/>
      <c r="R73" s="5"/>
      <c r="S73" s="5"/>
    </row>
    <row r="74" spans="2:26">
      <c r="B74" s="5"/>
      <c r="C74" s="5"/>
      <c r="D74" s="18"/>
      <c r="E74" s="18"/>
      <c r="F74" s="18"/>
      <c r="G74" s="18"/>
      <c r="H74" s="18"/>
      <c r="I74" s="249"/>
      <c r="J74" s="18"/>
      <c r="K74" s="18"/>
      <c r="L74" s="18"/>
      <c r="M74" s="18"/>
      <c r="N74" s="18"/>
      <c r="O74" s="5"/>
      <c r="Q74" s="5"/>
      <c r="R74" s="5"/>
      <c r="S74" s="5"/>
    </row>
    <row r="75" spans="2:26">
      <c r="B75" s="41"/>
      <c r="C75" s="5"/>
      <c r="D75" s="5"/>
      <c r="E75" s="5"/>
      <c r="F75" s="5"/>
      <c r="G75" s="5"/>
      <c r="H75" s="5"/>
      <c r="I75" s="248"/>
      <c r="J75" s="5"/>
      <c r="K75" s="5"/>
      <c r="L75" s="5"/>
      <c r="M75" s="5"/>
      <c r="N75" s="5"/>
      <c r="O75" s="5"/>
      <c r="Q75" s="5"/>
      <c r="R75" s="5"/>
      <c r="S75" s="5"/>
    </row>
    <row r="76" spans="2:26">
      <c r="B76" s="41"/>
      <c r="C76" s="249"/>
      <c r="D76" s="249"/>
      <c r="E76" s="249"/>
      <c r="F76" s="249"/>
      <c r="G76" s="249"/>
      <c r="H76" s="249"/>
      <c r="I76" s="5"/>
      <c r="J76" s="249"/>
      <c r="K76" s="249"/>
      <c r="L76" s="249"/>
      <c r="M76" s="249"/>
      <c r="N76" s="249"/>
      <c r="O76" s="251"/>
      <c r="Q76" s="5"/>
      <c r="R76" s="5"/>
      <c r="S76" s="5"/>
    </row>
    <row r="77" spans="2:26">
      <c r="B77" s="5"/>
      <c r="C77" s="5"/>
      <c r="D77" s="248"/>
      <c r="E77" s="248"/>
      <c r="F77" s="248"/>
      <c r="G77" s="248"/>
      <c r="H77" s="248"/>
      <c r="I77" s="245"/>
      <c r="J77" s="248"/>
      <c r="K77" s="248"/>
      <c r="L77" s="248"/>
      <c r="M77" s="248"/>
      <c r="N77" s="248"/>
      <c r="O77" s="5"/>
      <c r="Q77" s="5"/>
      <c r="R77" s="5"/>
      <c r="S77" s="5"/>
    </row>
    <row r="78" spans="2:26">
      <c r="B78" s="41"/>
      <c r="C78" s="5"/>
      <c r="D78" s="5"/>
      <c r="E78" s="5"/>
      <c r="F78" s="5"/>
      <c r="G78" s="5"/>
      <c r="H78" s="5"/>
      <c r="I78" s="248"/>
      <c r="J78" s="5"/>
      <c r="K78" s="5"/>
      <c r="L78" s="5"/>
      <c r="M78" s="5"/>
      <c r="N78" s="5"/>
      <c r="O78" s="5"/>
      <c r="Q78" s="5"/>
      <c r="R78" s="5"/>
      <c r="S78" s="5"/>
    </row>
    <row r="79" spans="2:26">
      <c r="B79" s="41"/>
      <c r="C79" s="245"/>
      <c r="D79" s="245"/>
      <c r="E79" s="245"/>
      <c r="F79" s="245"/>
      <c r="G79" s="245"/>
      <c r="H79" s="245"/>
      <c r="I79" s="5"/>
      <c r="J79" s="245"/>
      <c r="K79" s="245"/>
      <c r="L79" s="245"/>
      <c r="M79" s="245"/>
      <c r="N79" s="245"/>
      <c r="O79" s="251"/>
      <c r="Q79" s="5"/>
      <c r="R79" s="5"/>
      <c r="S79" s="5"/>
    </row>
    <row r="80" spans="2:26">
      <c r="B80" s="5"/>
      <c r="C80" s="5"/>
      <c r="D80" s="248"/>
      <c r="E80" s="248"/>
      <c r="F80" s="248"/>
      <c r="G80" s="248"/>
      <c r="H80" s="248"/>
      <c r="I80" s="249"/>
      <c r="J80" s="248"/>
      <c r="K80" s="248"/>
      <c r="L80" s="248"/>
      <c r="M80" s="248"/>
      <c r="N80" s="248"/>
      <c r="O80" s="5"/>
      <c r="Q80" s="5"/>
      <c r="R80" s="5"/>
      <c r="S80" s="5"/>
    </row>
    <row r="81" spans="2:26">
      <c r="B81" s="41"/>
      <c r="C81" s="5"/>
      <c r="D81" s="5"/>
      <c r="E81" s="5"/>
      <c r="F81" s="5"/>
      <c r="G81" s="5"/>
      <c r="H81" s="5"/>
      <c r="I81" s="248"/>
      <c r="J81" s="5"/>
      <c r="K81" s="5"/>
      <c r="L81" s="5"/>
      <c r="M81" s="5"/>
      <c r="N81" s="5"/>
      <c r="O81" s="5"/>
      <c r="Q81" s="5"/>
      <c r="R81" s="5"/>
      <c r="S81" s="5"/>
    </row>
    <row r="82" spans="2:26">
      <c r="B82" s="41"/>
      <c r="C82" s="249"/>
      <c r="D82" s="249"/>
      <c r="E82" s="249"/>
      <c r="F82" s="249"/>
      <c r="G82" s="249"/>
      <c r="H82" s="249"/>
      <c r="I82" s="259"/>
      <c r="J82" s="249"/>
      <c r="K82" s="249"/>
      <c r="L82" s="249"/>
      <c r="M82" s="249"/>
      <c r="N82" s="249"/>
      <c r="O82" s="251"/>
      <c r="Q82" s="5"/>
      <c r="R82" s="5"/>
      <c r="S82" s="5"/>
    </row>
    <row r="83" spans="2:26">
      <c r="B83" s="5"/>
      <c r="C83" s="5"/>
      <c r="D83" s="248"/>
      <c r="E83" s="248"/>
      <c r="F83" s="248"/>
      <c r="G83" s="248"/>
      <c r="H83" s="248"/>
      <c r="I83" s="5"/>
      <c r="J83" s="248"/>
      <c r="K83" s="248"/>
      <c r="L83" s="248"/>
      <c r="M83" s="248"/>
      <c r="N83" s="248"/>
      <c r="O83" s="5"/>
      <c r="Q83" s="5"/>
      <c r="R83" s="5"/>
      <c r="S83" s="5"/>
    </row>
    <row r="84" spans="2:26">
      <c r="B84" s="5"/>
      <c r="C84" s="259"/>
      <c r="D84" s="259"/>
      <c r="E84" s="259"/>
      <c r="F84" s="259"/>
      <c r="G84" s="259"/>
      <c r="H84" s="259"/>
      <c r="I84" s="245"/>
      <c r="J84" s="259"/>
      <c r="K84" s="259"/>
      <c r="L84" s="259"/>
      <c r="M84" s="259"/>
      <c r="N84" s="259"/>
      <c r="O84" s="251"/>
      <c r="Q84" s="5"/>
      <c r="R84" s="5"/>
      <c r="S84" s="5"/>
    </row>
    <row r="85" spans="2:26">
      <c r="B85" s="41"/>
      <c r="C85" s="5"/>
      <c r="D85" s="5"/>
      <c r="E85" s="5"/>
      <c r="F85" s="5"/>
      <c r="G85" s="5"/>
      <c r="H85" s="5"/>
      <c r="I85" s="248"/>
      <c r="J85" s="5"/>
      <c r="K85" s="5"/>
      <c r="L85" s="5"/>
      <c r="M85" s="5"/>
      <c r="N85" s="5"/>
      <c r="O85" s="5"/>
      <c r="Q85" s="5"/>
      <c r="R85" s="5"/>
      <c r="S85" s="5"/>
    </row>
    <row r="86" spans="2:26">
      <c r="B86" s="41"/>
      <c r="C86" s="245"/>
      <c r="D86" s="245"/>
      <c r="E86" s="245"/>
      <c r="F86" s="245"/>
      <c r="G86" s="245"/>
      <c r="H86" s="245"/>
      <c r="I86" s="5"/>
      <c r="J86" s="245"/>
      <c r="K86" s="245"/>
      <c r="L86" s="245"/>
      <c r="M86" s="245"/>
      <c r="N86" s="245"/>
      <c r="O86" s="251"/>
      <c r="Q86" s="5"/>
      <c r="R86" s="5"/>
      <c r="S86" s="5"/>
    </row>
    <row r="87" spans="2:26">
      <c r="B87" s="5"/>
      <c r="C87" s="5"/>
      <c r="D87" s="248"/>
      <c r="E87" s="248"/>
      <c r="F87" s="248"/>
      <c r="G87" s="248"/>
      <c r="H87" s="248"/>
      <c r="I87" s="5"/>
      <c r="J87" s="248"/>
      <c r="K87" s="248"/>
      <c r="L87" s="248"/>
      <c r="M87" s="248"/>
      <c r="N87" s="248"/>
      <c r="O87" s="5"/>
      <c r="Q87" s="5"/>
      <c r="R87" s="5"/>
      <c r="S87" s="5"/>
    </row>
    <row r="88" spans="2:26">
      <c r="B88" s="41"/>
      <c r="C88" s="5"/>
      <c r="D88" s="5"/>
      <c r="E88" s="5"/>
      <c r="F88" s="5"/>
      <c r="G88" s="5"/>
      <c r="H88" s="5"/>
      <c r="I88" s="5"/>
      <c r="J88" s="5"/>
      <c r="K88" s="5"/>
      <c r="L88" s="5"/>
      <c r="M88" s="5"/>
      <c r="N88" s="5"/>
      <c r="O88" s="5"/>
      <c r="Q88" s="5"/>
      <c r="R88" s="5"/>
      <c r="S88" s="5"/>
    </row>
    <row r="89" spans="2:26">
      <c r="B89" s="41"/>
      <c r="C89" s="5"/>
      <c r="D89" s="5"/>
      <c r="E89" s="5"/>
      <c r="F89" s="5"/>
      <c r="G89" s="5"/>
      <c r="H89" s="5"/>
      <c r="I89" s="5"/>
      <c r="J89" s="5"/>
      <c r="K89" s="5"/>
      <c r="L89" s="5"/>
      <c r="M89" s="5"/>
      <c r="N89" s="5"/>
      <c r="O89" s="5"/>
      <c r="Q89" s="5"/>
      <c r="R89" s="5"/>
      <c r="S89" s="5"/>
    </row>
    <row r="90" spans="2:26">
      <c r="B90" s="41"/>
      <c r="C90" s="5"/>
      <c r="D90" s="5"/>
      <c r="E90" s="5"/>
      <c r="F90" s="5"/>
      <c r="G90" s="5"/>
      <c r="H90" s="5"/>
      <c r="I90" s="49"/>
      <c r="J90" s="5"/>
      <c r="K90" s="5"/>
      <c r="L90" s="5"/>
      <c r="M90" s="5"/>
      <c r="N90" s="5"/>
      <c r="O90" s="5"/>
      <c r="Q90" s="41"/>
      <c r="R90" s="5"/>
      <c r="S90" s="5"/>
    </row>
    <row r="91" spans="2:26">
      <c r="B91" s="5"/>
      <c r="C91" s="5"/>
      <c r="D91" s="5"/>
      <c r="E91" s="5"/>
      <c r="F91" s="5"/>
      <c r="G91" s="5"/>
      <c r="H91" s="5"/>
      <c r="I91" s="5"/>
      <c r="J91" s="5"/>
      <c r="K91" s="5"/>
      <c r="L91" s="5"/>
      <c r="M91" s="5"/>
      <c r="N91" s="5"/>
      <c r="O91" s="5"/>
      <c r="Q91" s="5"/>
      <c r="R91" s="5"/>
      <c r="S91" s="5"/>
    </row>
    <row r="92" spans="2:26">
      <c r="B92" s="41"/>
      <c r="C92" s="49"/>
      <c r="D92" s="49"/>
      <c r="E92" s="49"/>
      <c r="F92" s="49"/>
      <c r="G92" s="49"/>
      <c r="H92" s="49"/>
      <c r="I92" s="247"/>
      <c r="J92" s="49"/>
      <c r="K92" s="49"/>
      <c r="L92" s="49"/>
      <c r="M92" s="49"/>
      <c r="N92" s="49"/>
      <c r="O92" s="49"/>
      <c r="Q92" s="5"/>
      <c r="R92" s="5"/>
      <c r="S92" s="5"/>
      <c r="W92" s="21"/>
      <c r="X92" s="21"/>
    </row>
    <row r="93" spans="2:26">
      <c r="B93" s="5"/>
      <c r="C93" s="5"/>
      <c r="D93" s="5"/>
      <c r="E93" s="5"/>
      <c r="F93" s="5"/>
      <c r="G93" s="5"/>
      <c r="H93" s="5"/>
      <c r="I93" s="247"/>
      <c r="J93" s="5"/>
      <c r="K93" s="5"/>
      <c r="L93" s="5"/>
      <c r="M93" s="5"/>
      <c r="N93" s="5"/>
      <c r="O93" s="5"/>
      <c r="Q93" s="5"/>
      <c r="R93" s="5"/>
      <c r="S93" s="5"/>
      <c r="W93" s="21"/>
      <c r="X93" s="21"/>
      <c r="Y93" s="21"/>
      <c r="Z93" s="21"/>
    </row>
    <row r="94" spans="2:26">
      <c r="B94" s="5"/>
      <c r="C94" s="259"/>
      <c r="D94" s="247"/>
      <c r="E94" s="247"/>
      <c r="F94" s="247"/>
      <c r="G94" s="247"/>
      <c r="H94" s="247"/>
      <c r="I94" s="247"/>
      <c r="J94" s="247"/>
      <c r="K94" s="247"/>
      <c r="L94" s="247"/>
      <c r="M94" s="247"/>
      <c r="N94" s="247"/>
      <c r="O94" s="248"/>
      <c r="Q94" s="5"/>
      <c r="R94" s="5"/>
      <c r="S94" s="5"/>
      <c r="Y94" s="21"/>
      <c r="Z94" s="21"/>
    </row>
    <row r="95" spans="2:26">
      <c r="B95" s="5"/>
      <c r="C95" s="259"/>
      <c r="D95" s="247"/>
      <c r="E95" s="247"/>
      <c r="F95" s="247"/>
      <c r="G95" s="247"/>
      <c r="H95" s="247"/>
      <c r="I95" s="248"/>
      <c r="J95" s="247"/>
      <c r="K95" s="247"/>
      <c r="L95" s="247"/>
      <c r="M95" s="247"/>
      <c r="N95" s="247"/>
      <c r="O95" s="248"/>
      <c r="Q95" s="5"/>
      <c r="R95" s="5"/>
      <c r="S95" s="5"/>
    </row>
    <row r="96" spans="2:26">
      <c r="B96" s="5"/>
      <c r="C96" s="259"/>
      <c r="D96" s="247"/>
      <c r="E96" s="247"/>
      <c r="F96" s="247"/>
      <c r="G96" s="247"/>
      <c r="H96" s="247"/>
      <c r="I96" s="247"/>
      <c r="J96" s="247"/>
      <c r="K96" s="247"/>
      <c r="L96" s="247"/>
      <c r="M96" s="247"/>
      <c r="N96" s="247"/>
      <c r="O96" s="248"/>
      <c r="Q96" s="5"/>
      <c r="R96" s="5"/>
      <c r="S96" s="5"/>
    </row>
    <row r="97" spans="2:19">
      <c r="B97" s="5"/>
      <c r="C97" s="259"/>
      <c r="D97" s="248"/>
      <c r="E97" s="248"/>
      <c r="F97" s="248"/>
      <c r="G97" s="248"/>
      <c r="H97" s="248"/>
      <c r="I97" s="249"/>
      <c r="J97" s="248"/>
      <c r="K97" s="248"/>
      <c r="L97" s="248"/>
      <c r="M97" s="248"/>
      <c r="N97" s="248"/>
      <c r="O97" s="248"/>
      <c r="Q97" s="5"/>
      <c r="R97" s="5"/>
      <c r="S97" s="5"/>
    </row>
    <row r="98" spans="2:19">
      <c r="B98" s="5"/>
      <c r="C98" s="259"/>
      <c r="D98" s="247"/>
      <c r="E98" s="247"/>
      <c r="F98" s="247"/>
      <c r="G98" s="247"/>
      <c r="H98" s="247"/>
      <c r="I98" s="248"/>
      <c r="J98" s="247"/>
      <c r="K98" s="247"/>
      <c r="L98" s="247"/>
      <c r="M98" s="247"/>
      <c r="N98" s="247"/>
      <c r="O98" s="248"/>
      <c r="Q98" s="5"/>
      <c r="R98" s="5"/>
      <c r="S98" s="5"/>
    </row>
    <row r="99" spans="2:19">
      <c r="B99" s="41"/>
      <c r="C99" s="249"/>
      <c r="D99" s="249"/>
      <c r="E99" s="249"/>
      <c r="F99" s="249"/>
      <c r="G99" s="249"/>
      <c r="H99" s="249"/>
      <c r="I99" s="5"/>
      <c r="J99" s="249"/>
      <c r="K99" s="249"/>
      <c r="L99" s="249"/>
      <c r="M99" s="249"/>
      <c r="N99" s="249"/>
      <c r="O99" s="248"/>
      <c r="Q99" s="5"/>
      <c r="R99" s="5"/>
      <c r="S99" s="5"/>
    </row>
    <row r="100" spans="2:19">
      <c r="B100" s="41"/>
      <c r="C100" s="257"/>
      <c r="D100" s="248"/>
      <c r="E100" s="248"/>
      <c r="F100" s="248"/>
      <c r="G100" s="248"/>
      <c r="H100" s="248"/>
      <c r="I100" s="259"/>
      <c r="J100" s="248"/>
      <c r="K100" s="248"/>
      <c r="L100" s="248"/>
      <c r="M100" s="248"/>
      <c r="N100" s="248"/>
      <c r="O100" s="248"/>
      <c r="Q100" s="5"/>
      <c r="R100" s="5"/>
      <c r="S100" s="5"/>
    </row>
    <row r="101" spans="2:19" s="5" customFormat="1">
      <c r="B101" s="41"/>
      <c r="I101" s="259"/>
      <c r="O101" s="248"/>
      <c r="P101" s="39"/>
    </row>
    <row r="102" spans="2:19">
      <c r="B102" s="5"/>
      <c r="C102" s="259"/>
      <c r="D102" s="259"/>
      <c r="E102" s="259"/>
      <c r="F102" s="259"/>
      <c r="G102" s="259"/>
      <c r="H102" s="259"/>
      <c r="I102" s="247"/>
      <c r="J102" s="259"/>
      <c r="K102" s="259"/>
      <c r="L102" s="259"/>
      <c r="M102" s="259"/>
      <c r="N102" s="259"/>
      <c r="O102" s="5"/>
      <c r="Q102" s="5"/>
      <c r="R102" s="5"/>
      <c r="S102" s="5"/>
    </row>
    <row r="103" spans="2:19">
      <c r="B103" s="5"/>
      <c r="C103" s="259"/>
      <c r="D103" s="259"/>
      <c r="E103" s="259"/>
      <c r="F103" s="259"/>
      <c r="G103" s="259"/>
      <c r="H103" s="259"/>
      <c r="I103" s="5"/>
      <c r="J103" s="259"/>
      <c r="K103" s="259"/>
      <c r="L103" s="259"/>
      <c r="M103" s="259"/>
      <c r="N103" s="259"/>
      <c r="O103" s="5"/>
      <c r="P103" s="5"/>
      <c r="Q103" s="5"/>
      <c r="R103" s="5"/>
      <c r="S103" s="5"/>
    </row>
    <row r="104" spans="2:19">
      <c r="B104" s="5"/>
      <c r="C104" s="247"/>
      <c r="D104" s="247"/>
      <c r="E104" s="247"/>
      <c r="F104" s="247"/>
      <c r="G104" s="247"/>
      <c r="H104" s="247"/>
      <c r="I104" s="247"/>
      <c r="J104" s="247"/>
      <c r="K104" s="247"/>
      <c r="L104" s="247"/>
      <c r="M104" s="247"/>
      <c r="N104" s="247"/>
      <c r="O104" s="5"/>
      <c r="Q104" s="5"/>
      <c r="R104" s="5"/>
      <c r="S104" s="5"/>
    </row>
    <row r="105" spans="2:19" s="5" customFormat="1">
      <c r="P105" s="39"/>
    </row>
    <row r="106" spans="2:19" s="5" customFormat="1">
      <c r="C106" s="259"/>
      <c r="D106" s="247"/>
      <c r="E106" s="247"/>
      <c r="F106" s="247"/>
      <c r="G106" s="247"/>
      <c r="H106" s="247"/>
      <c r="I106" s="259"/>
      <c r="J106" s="247"/>
      <c r="K106" s="247"/>
      <c r="L106" s="247"/>
      <c r="M106" s="247"/>
      <c r="N106" s="247"/>
      <c r="P106" s="39"/>
    </row>
    <row r="107" spans="2:19">
      <c r="B107" s="5"/>
      <c r="C107" s="259"/>
      <c r="D107" s="5"/>
      <c r="E107" s="5"/>
      <c r="F107" s="5"/>
      <c r="G107" s="5"/>
      <c r="H107" s="5"/>
      <c r="I107" s="247"/>
      <c r="J107" s="5"/>
      <c r="K107" s="5"/>
      <c r="L107" s="5"/>
      <c r="M107" s="5"/>
      <c r="N107" s="5"/>
      <c r="O107" s="5"/>
      <c r="P107" s="5"/>
      <c r="Q107" s="5"/>
      <c r="R107" s="5"/>
      <c r="S107" s="5"/>
    </row>
    <row r="108" spans="2:19">
      <c r="B108" s="5"/>
      <c r="C108" s="259"/>
      <c r="D108" s="259"/>
      <c r="E108" s="259"/>
      <c r="F108" s="259"/>
      <c r="G108" s="259"/>
      <c r="H108" s="259"/>
      <c r="I108" s="249"/>
      <c r="J108" s="259"/>
      <c r="K108" s="259"/>
      <c r="L108" s="259"/>
      <c r="M108" s="259"/>
      <c r="N108" s="259"/>
      <c r="O108" s="5"/>
      <c r="P108" s="5"/>
      <c r="Q108" s="5"/>
      <c r="R108" s="5"/>
      <c r="S108" s="5"/>
    </row>
    <row r="109" spans="2:19">
      <c r="B109" s="5"/>
      <c r="C109" s="247"/>
      <c r="D109" s="247"/>
      <c r="E109" s="247"/>
      <c r="F109" s="247"/>
      <c r="G109" s="247"/>
      <c r="H109" s="247"/>
      <c r="I109" s="249"/>
      <c r="J109" s="247"/>
      <c r="K109" s="247"/>
      <c r="L109" s="247"/>
      <c r="M109" s="247"/>
      <c r="N109" s="247"/>
      <c r="O109" s="5"/>
      <c r="Q109" s="5"/>
      <c r="R109" s="5"/>
      <c r="S109" s="5"/>
    </row>
    <row r="110" spans="2:19">
      <c r="B110" s="41"/>
      <c r="C110" s="249"/>
      <c r="D110" s="249"/>
      <c r="E110" s="249"/>
      <c r="F110" s="249"/>
      <c r="G110" s="249"/>
      <c r="H110" s="249"/>
      <c r="I110" s="247"/>
      <c r="J110" s="249"/>
      <c r="K110" s="249"/>
      <c r="L110" s="249"/>
      <c r="M110" s="249"/>
      <c r="N110" s="249"/>
      <c r="O110" s="5"/>
      <c r="Q110" s="5"/>
      <c r="R110" s="5"/>
      <c r="S110" s="5"/>
    </row>
    <row r="111" spans="2:19">
      <c r="B111" s="5"/>
      <c r="C111" s="249"/>
      <c r="D111" s="249"/>
      <c r="E111" s="249"/>
      <c r="F111" s="249"/>
      <c r="G111" s="249"/>
      <c r="H111" s="249"/>
      <c r="I111" s="5"/>
      <c r="J111" s="249"/>
      <c r="K111" s="249"/>
      <c r="L111" s="249"/>
      <c r="M111" s="249"/>
      <c r="N111" s="249"/>
      <c r="O111" s="5"/>
      <c r="Q111" s="5"/>
      <c r="R111" s="5"/>
      <c r="S111" s="5"/>
    </row>
    <row r="112" spans="2:19">
      <c r="B112" s="5"/>
      <c r="C112" s="247"/>
      <c r="D112" s="247"/>
      <c r="E112" s="247"/>
      <c r="F112" s="247"/>
      <c r="G112" s="247"/>
      <c r="H112" s="247"/>
      <c r="I112" s="5"/>
      <c r="J112" s="247"/>
      <c r="K112" s="247"/>
      <c r="L112" s="247"/>
      <c r="M112" s="247"/>
      <c r="N112" s="247"/>
      <c r="O112" s="5"/>
      <c r="Q112" s="5"/>
      <c r="R112" s="5"/>
      <c r="S112" s="5"/>
    </row>
    <row r="113" spans="2:19">
      <c r="B113" s="5"/>
      <c r="C113" s="5"/>
      <c r="D113" s="5"/>
      <c r="E113" s="5"/>
      <c r="F113" s="5"/>
      <c r="G113" s="5"/>
      <c r="H113" s="5"/>
      <c r="I113" s="5"/>
      <c r="J113" s="5"/>
      <c r="K113" s="5"/>
      <c r="L113" s="5"/>
      <c r="M113" s="5"/>
      <c r="N113" s="5"/>
      <c r="O113" s="5"/>
      <c r="Q113" s="5"/>
      <c r="R113" s="5"/>
      <c r="S113" s="5"/>
    </row>
    <row r="114" spans="2:19">
      <c r="B114" s="5"/>
      <c r="C114" s="5"/>
      <c r="D114" s="5"/>
      <c r="E114" s="5"/>
      <c r="F114" s="5"/>
      <c r="G114" s="5"/>
      <c r="H114" s="5"/>
      <c r="I114" s="5"/>
      <c r="J114" s="5"/>
      <c r="K114" s="5"/>
      <c r="L114" s="5"/>
      <c r="M114" s="5"/>
      <c r="N114" s="5"/>
      <c r="O114" s="5"/>
      <c r="Q114" s="5"/>
      <c r="R114" s="5"/>
      <c r="S114" s="5"/>
    </row>
    <row r="115" spans="2:19">
      <c r="B115" s="5"/>
      <c r="C115" s="5"/>
      <c r="D115" s="5"/>
      <c r="E115" s="5"/>
      <c r="F115" s="5"/>
      <c r="G115" s="5"/>
      <c r="H115" s="5"/>
      <c r="I115" s="49"/>
      <c r="J115" s="5"/>
      <c r="K115" s="5"/>
      <c r="L115" s="5"/>
      <c r="M115" s="5"/>
      <c r="N115" s="5"/>
      <c r="O115" s="5"/>
      <c r="Q115" s="41"/>
      <c r="R115" s="5"/>
      <c r="S115" s="5"/>
    </row>
    <row r="116" spans="2:19">
      <c r="B116" s="5"/>
      <c r="C116" s="5"/>
      <c r="D116" s="5"/>
      <c r="E116" s="5"/>
      <c r="F116" s="5"/>
      <c r="G116" s="5"/>
      <c r="H116" s="5"/>
      <c r="I116" s="5"/>
      <c r="J116" s="5"/>
      <c r="K116" s="5"/>
      <c r="L116" s="5"/>
      <c r="M116" s="5"/>
      <c r="N116" s="5"/>
      <c r="O116" s="5"/>
      <c r="Q116" s="5"/>
      <c r="R116" s="5"/>
      <c r="S116" s="5"/>
    </row>
    <row r="117" spans="2:19">
      <c r="B117" s="41"/>
      <c r="C117" s="49"/>
      <c r="D117" s="49"/>
      <c r="E117" s="49"/>
      <c r="F117" s="49"/>
      <c r="G117" s="49"/>
      <c r="H117" s="49"/>
      <c r="I117" s="254"/>
      <c r="J117" s="49"/>
      <c r="K117" s="49"/>
      <c r="L117" s="49"/>
      <c r="M117" s="49"/>
      <c r="N117" s="49"/>
      <c r="O117" s="49"/>
      <c r="Q117" s="5"/>
      <c r="R117" s="5"/>
      <c r="S117" s="5"/>
    </row>
    <row r="118" spans="2:19">
      <c r="B118" s="5"/>
      <c r="C118" s="5"/>
      <c r="D118" s="5"/>
      <c r="E118" s="5"/>
      <c r="F118" s="5"/>
      <c r="G118" s="5"/>
      <c r="H118" s="5"/>
      <c r="I118" s="249"/>
      <c r="J118" s="5"/>
      <c r="K118" s="5"/>
      <c r="L118" s="5"/>
      <c r="M118" s="5"/>
      <c r="N118" s="5"/>
      <c r="O118" s="5"/>
      <c r="Q118" s="5"/>
      <c r="R118" s="5"/>
      <c r="S118" s="5"/>
    </row>
    <row r="119" spans="2:19">
      <c r="B119" s="41"/>
      <c r="C119" s="254"/>
      <c r="D119" s="254"/>
      <c r="E119" s="254"/>
      <c r="F119" s="254"/>
      <c r="G119" s="254"/>
      <c r="H119" s="254"/>
      <c r="I119" s="254"/>
      <c r="J119" s="254"/>
      <c r="K119" s="254"/>
      <c r="L119" s="254"/>
      <c r="M119" s="254"/>
      <c r="N119" s="254"/>
      <c r="O119" s="248"/>
      <c r="Q119" s="5"/>
      <c r="R119" s="5"/>
      <c r="S119" s="5"/>
    </row>
    <row r="120" spans="2:19">
      <c r="B120" s="41"/>
      <c r="C120" s="254"/>
      <c r="D120" s="249"/>
      <c r="E120" s="249"/>
      <c r="F120" s="249"/>
      <c r="G120" s="249"/>
      <c r="H120" s="249"/>
      <c r="I120" s="254"/>
      <c r="J120" s="249"/>
      <c r="K120" s="249"/>
      <c r="L120" s="249"/>
      <c r="M120" s="249"/>
      <c r="N120" s="249"/>
      <c r="O120" s="248"/>
      <c r="Q120" s="5"/>
      <c r="R120" s="5"/>
      <c r="S120" s="5"/>
    </row>
    <row r="121" spans="2:19">
      <c r="B121" s="41"/>
      <c r="C121" s="254"/>
      <c r="D121" s="254"/>
      <c r="E121" s="254"/>
      <c r="F121" s="254"/>
      <c r="G121" s="254"/>
      <c r="H121" s="254"/>
      <c r="I121" s="254"/>
      <c r="J121" s="254"/>
      <c r="K121" s="254"/>
      <c r="L121" s="254"/>
      <c r="M121" s="254"/>
      <c r="N121" s="254"/>
      <c r="O121" s="248"/>
      <c r="Q121" s="5"/>
      <c r="R121" s="5"/>
      <c r="S121" s="5"/>
    </row>
    <row r="122" spans="2:19">
      <c r="B122" s="41"/>
      <c r="C122" s="254"/>
      <c r="D122" s="254"/>
      <c r="E122" s="254"/>
      <c r="F122" s="254"/>
      <c r="G122" s="254"/>
      <c r="H122" s="254"/>
      <c r="I122" s="254"/>
      <c r="J122" s="254"/>
      <c r="K122" s="254"/>
      <c r="L122" s="254"/>
      <c r="M122" s="254"/>
      <c r="N122" s="254"/>
      <c r="O122" s="248"/>
      <c r="Q122" s="5"/>
      <c r="R122" s="5"/>
      <c r="S122" s="5"/>
    </row>
    <row r="123" spans="2:19">
      <c r="B123" s="41"/>
      <c r="C123" s="254"/>
      <c r="D123" s="254"/>
      <c r="E123" s="254"/>
      <c r="F123" s="254"/>
      <c r="G123" s="254"/>
      <c r="H123" s="254"/>
      <c r="I123" s="254"/>
      <c r="J123" s="254"/>
      <c r="K123" s="254"/>
      <c r="L123" s="254"/>
      <c r="M123" s="254"/>
      <c r="N123" s="254"/>
      <c r="O123" s="248"/>
      <c r="Q123" s="5"/>
      <c r="R123" s="5"/>
      <c r="S123" s="5"/>
    </row>
    <row r="124" spans="2:19">
      <c r="B124" s="41"/>
      <c r="C124" s="254"/>
      <c r="D124" s="254"/>
      <c r="E124" s="254"/>
      <c r="F124" s="254"/>
      <c r="G124" s="254"/>
      <c r="H124" s="254"/>
      <c r="I124" s="254"/>
      <c r="J124" s="254"/>
      <c r="K124" s="254"/>
      <c r="L124" s="254"/>
      <c r="M124" s="254"/>
      <c r="N124" s="254"/>
      <c r="O124" s="248"/>
      <c r="Q124" s="5"/>
      <c r="R124" s="5"/>
      <c r="S124" s="5"/>
    </row>
    <row r="125" spans="2:19">
      <c r="B125" s="41"/>
      <c r="C125" s="254"/>
      <c r="D125" s="254"/>
      <c r="E125" s="254"/>
      <c r="F125" s="254"/>
      <c r="G125" s="254"/>
      <c r="H125" s="254"/>
      <c r="I125" s="254"/>
      <c r="J125" s="254"/>
      <c r="K125" s="254"/>
      <c r="L125" s="254"/>
      <c r="M125" s="254"/>
      <c r="N125" s="254"/>
      <c r="O125" s="5"/>
      <c r="Q125" s="5"/>
      <c r="R125" s="5"/>
      <c r="S125" s="5"/>
    </row>
    <row r="126" spans="2:19">
      <c r="B126" s="41"/>
      <c r="C126" s="254"/>
      <c r="D126" s="254"/>
      <c r="E126" s="254"/>
      <c r="F126" s="254"/>
      <c r="G126" s="254"/>
      <c r="H126" s="254"/>
      <c r="I126" s="254"/>
      <c r="J126" s="254"/>
      <c r="K126" s="254"/>
      <c r="L126" s="254"/>
      <c r="M126" s="254"/>
      <c r="N126" s="254"/>
      <c r="O126" s="5"/>
      <c r="Q126" s="5"/>
      <c r="R126" s="5"/>
      <c r="S126" s="5"/>
    </row>
    <row r="127" spans="2:19">
      <c r="B127" s="41"/>
      <c r="C127" s="254"/>
      <c r="D127" s="254"/>
      <c r="E127" s="254"/>
      <c r="F127" s="254"/>
      <c r="G127" s="254"/>
      <c r="H127" s="254"/>
      <c r="I127" s="18"/>
      <c r="J127" s="254"/>
      <c r="K127" s="254"/>
      <c r="L127" s="254"/>
      <c r="M127" s="254"/>
      <c r="N127" s="254"/>
      <c r="O127" s="5"/>
      <c r="Q127" s="5"/>
      <c r="R127" s="5"/>
      <c r="S127" s="5"/>
    </row>
    <row r="128" spans="2:19">
      <c r="B128" s="41"/>
      <c r="C128" s="254"/>
      <c r="D128" s="254"/>
      <c r="E128" s="254"/>
      <c r="F128" s="254"/>
      <c r="G128" s="254"/>
      <c r="H128" s="254"/>
      <c r="I128" s="5"/>
      <c r="J128" s="254"/>
      <c r="K128" s="254"/>
      <c r="L128" s="254"/>
      <c r="M128" s="254"/>
      <c r="N128" s="254"/>
      <c r="O128" s="5"/>
      <c r="Q128" s="5"/>
      <c r="R128" s="5"/>
      <c r="S128" s="5"/>
    </row>
    <row r="129" spans="2:27">
      <c r="B129" s="5"/>
      <c r="C129" s="5"/>
      <c r="D129" s="18"/>
      <c r="E129" s="18"/>
      <c r="F129" s="18"/>
      <c r="G129" s="18"/>
      <c r="H129" s="18"/>
      <c r="I129" s="254"/>
      <c r="J129" s="18"/>
      <c r="K129" s="18"/>
      <c r="L129" s="18"/>
      <c r="M129" s="18"/>
      <c r="N129" s="18"/>
      <c r="O129" s="5"/>
      <c r="Q129" s="5"/>
      <c r="R129" s="5"/>
      <c r="S129" s="5"/>
    </row>
    <row r="130" spans="2:27">
      <c r="B130" s="5"/>
      <c r="C130" s="5"/>
      <c r="D130" s="5"/>
      <c r="E130" s="5"/>
      <c r="F130" s="5"/>
      <c r="G130" s="5"/>
      <c r="H130" s="5"/>
      <c r="I130" s="18"/>
      <c r="J130" s="5"/>
      <c r="K130" s="5"/>
      <c r="L130" s="5"/>
      <c r="M130" s="5"/>
      <c r="N130" s="5"/>
      <c r="O130" s="5"/>
      <c r="Q130" s="5"/>
      <c r="R130" s="5"/>
      <c r="S130" s="5"/>
    </row>
    <row r="131" spans="2:27">
      <c r="B131" s="41"/>
      <c r="C131" s="254"/>
      <c r="D131" s="254"/>
      <c r="E131" s="254"/>
      <c r="F131" s="254"/>
      <c r="G131" s="254"/>
      <c r="H131" s="254"/>
      <c r="I131" s="5"/>
      <c r="J131" s="254"/>
      <c r="K131" s="254"/>
      <c r="L131" s="254"/>
      <c r="M131" s="254"/>
      <c r="N131" s="254"/>
      <c r="O131" s="5"/>
      <c r="Q131" s="5"/>
      <c r="R131" s="5"/>
      <c r="S131" s="5"/>
    </row>
    <row r="132" spans="2:27">
      <c r="B132" s="5"/>
      <c r="C132" s="259"/>
      <c r="D132" s="18"/>
      <c r="E132" s="18"/>
      <c r="F132" s="18"/>
      <c r="G132" s="18"/>
      <c r="H132" s="18"/>
      <c r="I132" s="5"/>
      <c r="J132" s="18"/>
      <c r="K132" s="18"/>
      <c r="L132" s="18"/>
      <c r="M132" s="18"/>
      <c r="N132" s="18"/>
      <c r="O132" s="5"/>
      <c r="Q132" s="5"/>
      <c r="R132" s="5"/>
      <c r="S132" s="5"/>
    </row>
    <row r="133" spans="2:27">
      <c r="B133" s="5"/>
      <c r="C133" s="5"/>
      <c r="D133" s="5"/>
      <c r="E133" s="5"/>
      <c r="F133" s="5"/>
      <c r="G133" s="5"/>
      <c r="H133" s="5"/>
      <c r="I133" s="17"/>
      <c r="J133" s="5"/>
      <c r="K133" s="5"/>
      <c r="L133" s="5"/>
      <c r="M133" s="5"/>
      <c r="N133" s="5"/>
      <c r="O133" s="5"/>
      <c r="Q133" s="5"/>
      <c r="R133" s="5"/>
      <c r="S133" s="5"/>
    </row>
    <row r="134" spans="2:27">
      <c r="B134" s="41"/>
      <c r="C134" s="5"/>
      <c r="D134" s="5"/>
      <c r="E134" s="5"/>
      <c r="F134" s="5"/>
      <c r="G134" s="5"/>
      <c r="H134" s="5"/>
      <c r="I134" s="17"/>
      <c r="J134" s="5"/>
      <c r="K134" s="5"/>
      <c r="L134" s="5"/>
      <c r="M134" s="5"/>
      <c r="N134" s="5"/>
      <c r="O134" s="5"/>
      <c r="Q134" s="5"/>
      <c r="R134" s="5"/>
      <c r="S134" s="5"/>
    </row>
    <row r="135" spans="2:27">
      <c r="B135" s="5"/>
      <c r="C135" s="17"/>
      <c r="D135" s="17"/>
      <c r="E135" s="17"/>
      <c r="F135" s="17"/>
      <c r="G135" s="17"/>
      <c r="H135" s="17"/>
      <c r="I135" s="17"/>
      <c r="J135" s="17"/>
      <c r="K135" s="17"/>
      <c r="L135" s="17"/>
      <c r="M135" s="17"/>
      <c r="N135" s="17"/>
      <c r="O135" s="5"/>
      <c r="Q135" s="41"/>
      <c r="R135" s="5"/>
      <c r="S135" s="5"/>
    </row>
    <row r="136" spans="2:27">
      <c r="B136" s="5"/>
      <c r="C136" s="17"/>
      <c r="D136" s="17"/>
      <c r="E136" s="17"/>
      <c r="F136" s="17"/>
      <c r="G136" s="17"/>
      <c r="H136" s="17"/>
      <c r="I136" s="17"/>
      <c r="J136" s="17"/>
      <c r="K136" s="17"/>
      <c r="L136" s="17"/>
      <c r="M136" s="17"/>
      <c r="N136" s="17"/>
      <c r="O136" s="5"/>
      <c r="Q136" s="5"/>
      <c r="R136" s="5"/>
      <c r="S136" s="5"/>
      <c r="X136" s="304"/>
    </row>
    <row r="137" spans="2:27">
      <c r="B137" s="5"/>
      <c r="C137" s="5"/>
      <c r="D137" s="17"/>
      <c r="E137" s="17"/>
      <c r="F137" s="17"/>
      <c r="G137" s="17"/>
      <c r="H137" s="17"/>
      <c r="I137" s="17"/>
      <c r="J137" s="17"/>
      <c r="K137" s="17"/>
      <c r="L137" s="17"/>
      <c r="M137" s="17"/>
      <c r="N137" s="17"/>
      <c r="O137" s="5"/>
      <c r="Q137" s="5"/>
      <c r="R137" s="5"/>
      <c r="S137" s="5"/>
      <c r="X137" s="10"/>
      <c r="Y137" s="304"/>
      <c r="Z137" s="304"/>
      <c r="AA137" s="304"/>
    </row>
    <row r="138" spans="2:27">
      <c r="B138" s="5"/>
      <c r="C138" s="5"/>
      <c r="D138" s="17"/>
      <c r="E138" s="17"/>
      <c r="F138" s="17"/>
      <c r="G138" s="17"/>
      <c r="H138" s="17"/>
      <c r="I138" s="17"/>
      <c r="J138" s="17"/>
      <c r="K138" s="17"/>
      <c r="L138" s="17"/>
      <c r="M138" s="17"/>
      <c r="N138" s="17"/>
      <c r="O138" s="5"/>
      <c r="Q138" s="5"/>
      <c r="R138" s="5"/>
      <c r="S138" s="5"/>
      <c r="Y138" s="10"/>
      <c r="Z138" s="10"/>
      <c r="AA138" s="10"/>
    </row>
    <row r="139" spans="2:27">
      <c r="B139" s="5"/>
      <c r="C139" s="5"/>
      <c r="D139" s="17"/>
      <c r="E139" s="17"/>
      <c r="F139" s="17"/>
      <c r="G139" s="17"/>
      <c r="H139" s="17"/>
      <c r="I139" s="5"/>
      <c r="J139" s="17"/>
      <c r="K139" s="17"/>
      <c r="L139" s="17"/>
      <c r="M139" s="17"/>
      <c r="N139" s="17"/>
      <c r="O139" s="5"/>
      <c r="Q139" s="5"/>
      <c r="R139" s="5"/>
      <c r="S139" s="5"/>
    </row>
    <row r="140" spans="2:27">
      <c r="B140" s="5"/>
      <c r="C140" s="17"/>
      <c r="D140" s="17"/>
      <c r="E140" s="17"/>
      <c r="F140" s="17"/>
      <c r="G140" s="17"/>
      <c r="H140" s="17"/>
      <c r="I140" s="5"/>
      <c r="J140" s="17"/>
      <c r="K140" s="17"/>
      <c r="L140" s="17"/>
      <c r="M140" s="17"/>
      <c r="N140" s="17"/>
      <c r="O140" s="5"/>
      <c r="Q140" s="5"/>
      <c r="R140" s="5"/>
      <c r="S140" s="5"/>
    </row>
    <row r="141" spans="2:27">
      <c r="B141" s="5"/>
      <c r="C141" s="5"/>
      <c r="D141" s="5"/>
      <c r="E141" s="5"/>
      <c r="F141" s="5"/>
      <c r="G141" s="5"/>
      <c r="H141" s="5"/>
      <c r="I141" s="5"/>
      <c r="J141" s="5"/>
      <c r="K141" s="5"/>
      <c r="L141" s="5"/>
      <c r="M141" s="5"/>
      <c r="N141" s="5"/>
      <c r="O141" s="5"/>
      <c r="Q141" s="5"/>
      <c r="R141" s="5"/>
      <c r="S141" s="5"/>
    </row>
    <row r="142" spans="2:27">
      <c r="B142" s="5"/>
      <c r="C142" s="5"/>
      <c r="D142" s="5"/>
      <c r="E142" s="5"/>
      <c r="F142" s="5"/>
      <c r="G142" s="5"/>
      <c r="H142" s="5"/>
      <c r="I142" s="5"/>
      <c r="J142" s="5"/>
      <c r="K142" s="5"/>
      <c r="L142" s="5"/>
      <c r="M142" s="5"/>
      <c r="N142" s="5"/>
      <c r="O142" s="5"/>
      <c r="Q142" s="5"/>
      <c r="R142" s="5"/>
      <c r="S142" s="5"/>
    </row>
    <row r="143" spans="2:27">
      <c r="B143" s="5"/>
      <c r="C143" s="5"/>
      <c r="D143" s="5"/>
      <c r="E143" s="5"/>
      <c r="F143" s="5"/>
      <c r="G143" s="5"/>
      <c r="H143" s="5"/>
      <c r="I143" s="5"/>
      <c r="J143" s="5"/>
      <c r="K143" s="5"/>
      <c r="L143" s="5"/>
      <c r="M143" s="5"/>
      <c r="N143" s="5"/>
      <c r="O143" s="5"/>
      <c r="Q143" s="5"/>
      <c r="R143" s="5"/>
      <c r="S143" s="5"/>
    </row>
    <row r="144" spans="2:27">
      <c r="B144" s="5"/>
      <c r="C144" s="5"/>
      <c r="D144" s="5"/>
      <c r="E144" s="5"/>
      <c r="F144" s="5"/>
      <c r="G144" s="5"/>
      <c r="H144" s="5"/>
      <c r="I144" s="5"/>
      <c r="J144" s="5"/>
      <c r="K144" s="5"/>
      <c r="L144" s="5"/>
      <c r="M144" s="5"/>
      <c r="N144" s="5"/>
      <c r="O144" s="5"/>
      <c r="Q144" s="5"/>
      <c r="R144" s="5"/>
      <c r="S144" s="5"/>
    </row>
    <row r="145" spans="2:19">
      <c r="B145" s="5"/>
      <c r="C145" s="5"/>
      <c r="D145" s="5"/>
      <c r="E145" s="5"/>
      <c r="F145" s="5"/>
      <c r="G145" s="5"/>
      <c r="H145" s="5"/>
      <c r="I145" s="5"/>
      <c r="J145" s="5"/>
      <c r="K145" s="5"/>
      <c r="L145" s="5"/>
      <c r="M145" s="5"/>
      <c r="N145" s="5"/>
      <c r="O145" s="5"/>
      <c r="Q145" s="5"/>
      <c r="R145" s="5"/>
      <c r="S145" s="5"/>
    </row>
    <row r="146" spans="2:19">
      <c r="B146" s="5"/>
      <c r="C146" s="5"/>
      <c r="D146" s="5"/>
      <c r="E146" s="5"/>
      <c r="F146" s="5"/>
      <c r="G146" s="5"/>
      <c r="H146" s="5"/>
      <c r="I146" s="5"/>
      <c r="J146" s="5"/>
      <c r="K146" s="5"/>
      <c r="L146" s="5"/>
      <c r="M146" s="5"/>
      <c r="N146" s="5"/>
      <c r="O146" s="5"/>
      <c r="Q146" s="5"/>
      <c r="R146" s="5"/>
      <c r="S146" s="5"/>
    </row>
    <row r="147" spans="2:19">
      <c r="B147" s="5"/>
      <c r="C147" s="5"/>
      <c r="D147" s="5"/>
      <c r="E147" s="5"/>
      <c r="F147" s="5"/>
      <c r="G147" s="5"/>
      <c r="H147" s="5"/>
      <c r="I147" s="5"/>
      <c r="J147" s="5"/>
      <c r="K147" s="5"/>
      <c r="L147" s="5"/>
      <c r="M147" s="5"/>
      <c r="N147" s="5"/>
      <c r="O147" s="5"/>
      <c r="Q147" s="5"/>
      <c r="R147" s="5"/>
      <c r="S147" s="5"/>
    </row>
    <row r="148" spans="2:19">
      <c r="B148" s="5"/>
      <c r="C148" s="5"/>
      <c r="D148" s="5"/>
      <c r="E148" s="5"/>
      <c r="F148" s="5"/>
      <c r="G148" s="5"/>
      <c r="H148" s="5"/>
      <c r="I148" s="5"/>
      <c r="J148" s="5"/>
      <c r="K148" s="5"/>
      <c r="L148" s="5"/>
      <c r="M148" s="5"/>
      <c r="N148" s="5"/>
      <c r="O148" s="5"/>
      <c r="Q148" s="5"/>
      <c r="R148" s="5"/>
      <c r="S148" s="5"/>
    </row>
    <row r="149" spans="2:19">
      <c r="B149" s="5"/>
      <c r="C149" s="5"/>
      <c r="D149" s="5"/>
      <c r="E149" s="5"/>
      <c r="F149" s="5"/>
      <c r="G149" s="5"/>
      <c r="H149" s="5"/>
      <c r="J149" s="5"/>
      <c r="K149" s="5"/>
      <c r="L149" s="5"/>
      <c r="M149" s="5"/>
      <c r="N149" s="5"/>
      <c r="O149" s="5"/>
      <c r="Q149" s="5"/>
      <c r="R149" s="5"/>
      <c r="S149" s="5"/>
    </row>
    <row r="150" spans="2:19">
      <c r="B150" s="5"/>
      <c r="C150" s="5"/>
      <c r="D150" s="5"/>
      <c r="E150" s="5"/>
      <c r="F150" s="5"/>
      <c r="G150" s="5"/>
      <c r="H150" s="5"/>
      <c r="J150" s="5"/>
      <c r="K150" s="5"/>
      <c r="L150" s="5"/>
      <c r="M150" s="5"/>
      <c r="N150" s="5"/>
      <c r="O150" s="5"/>
      <c r="Q150" s="5"/>
      <c r="R150" s="5"/>
      <c r="S150" s="5"/>
    </row>
    <row r="151" spans="2:19">
      <c r="Q151" s="5"/>
      <c r="R151" s="5"/>
      <c r="S151" s="5"/>
    </row>
    <row r="152" spans="2:19">
      <c r="Q152" s="5"/>
      <c r="R152" s="5"/>
      <c r="S152" s="5"/>
    </row>
    <row r="153" spans="2:19">
      <c r="C153" s="263"/>
      <c r="Q153" s="5"/>
      <c r="R153" s="5"/>
      <c r="S153" s="5"/>
    </row>
    <row r="154" spans="2:19">
      <c r="Q154" s="5"/>
      <c r="R154" s="5"/>
      <c r="S154" s="5"/>
    </row>
    <row r="155" spans="2:19">
      <c r="Q155" s="5"/>
      <c r="R155" s="5"/>
      <c r="S155" s="5"/>
    </row>
    <row r="156" spans="2:19">
      <c r="Q156" s="5"/>
      <c r="R156" s="5"/>
      <c r="S156" s="5"/>
    </row>
    <row r="157" spans="2:19">
      <c r="Q157" s="5"/>
      <c r="R157" s="5"/>
      <c r="S157" s="5"/>
    </row>
    <row r="158" spans="2:19">
      <c r="Q158" s="5"/>
      <c r="R158" s="5"/>
      <c r="S158" s="5"/>
    </row>
    <row r="159" spans="2:19">
      <c r="Q159" s="5"/>
      <c r="R159" s="5"/>
      <c r="S159" s="5"/>
    </row>
    <row r="160" spans="2:19">
      <c r="Q160" s="5"/>
      <c r="R160" s="5"/>
      <c r="S160" s="5"/>
    </row>
    <row r="161" spans="17:19">
      <c r="Q161" s="5"/>
      <c r="R161" s="5"/>
      <c r="S161" s="5"/>
    </row>
    <row r="162" spans="17:19">
      <c r="Q162" s="5"/>
      <c r="R162" s="5"/>
      <c r="S162" s="5"/>
    </row>
    <row r="163" spans="17:19">
      <c r="Q163" s="5"/>
      <c r="R163" s="5"/>
      <c r="S163" s="5"/>
    </row>
    <row r="164" spans="17:19">
      <c r="Q164" s="5"/>
      <c r="R164" s="5"/>
      <c r="S164" s="5"/>
    </row>
    <row r="165" spans="17:19">
      <c r="Q165" s="5"/>
      <c r="R165" s="5"/>
      <c r="S165" s="5"/>
    </row>
  </sheetData>
  <phoneticPr fontId="7" type="noConversion"/>
  <pageMargins left="0.75" right="0.75" top="1" bottom="1" header="0.5" footer="0.5"/>
  <pageSetup scale="71"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7">
    <tabColor theme="3" tint="0.79998168889431442"/>
    <pageSetUpPr autoPageBreaks="0" fitToPage="1"/>
  </sheetPr>
  <dimension ref="A1:BG190"/>
  <sheetViews>
    <sheetView showGridLines="0" zoomScale="80" zoomScaleNormal="80" zoomScaleSheetLayoutView="70" workbookViewId="0"/>
  </sheetViews>
  <sheetFormatPr defaultColWidth="9.109375" defaultRowHeight="12"/>
  <cols>
    <col min="1" max="1" width="2.33203125" style="39" customWidth="1"/>
    <col min="2" max="2" width="33.33203125" style="39" customWidth="1"/>
    <col min="3" max="5" width="11.109375" style="40" customWidth="1"/>
    <col min="6" max="6" width="11.109375" style="39" customWidth="1"/>
    <col min="7" max="8" width="11" style="5" customWidth="1"/>
    <col min="9" max="10" width="11" style="39" customWidth="1"/>
    <col min="11" max="11" width="11" style="5" customWidth="1"/>
    <col min="12" max="17" width="11" style="39" customWidth="1"/>
    <col min="18" max="18" width="6" style="39" customWidth="1"/>
    <col min="19" max="59" width="9.109375" style="5"/>
    <col min="60" max="16384" width="9.109375" style="39"/>
  </cols>
  <sheetData>
    <row r="1" spans="1:22" s="80" customFormat="1">
      <c r="A1" s="610"/>
      <c r="C1" s="81"/>
      <c r="D1" s="81"/>
      <c r="E1" s="81"/>
    </row>
    <row r="2" spans="1:22" s="80" customFormat="1">
      <c r="C2" s="81"/>
      <c r="D2" s="81"/>
      <c r="E2" s="81"/>
    </row>
    <row r="3" spans="1:22" s="80" customFormat="1">
      <c r="C3" s="81"/>
      <c r="D3" s="81"/>
      <c r="E3" s="81"/>
    </row>
    <row r="4" spans="1:22" s="128" customFormat="1" ht="21">
      <c r="B4" s="129" t="s">
        <v>591</v>
      </c>
      <c r="C4" s="130"/>
      <c r="D4" s="130"/>
      <c r="E4" s="130"/>
    </row>
    <row r="5" spans="1:22" s="131" customFormat="1">
      <c r="B5" s="132"/>
      <c r="C5" s="133"/>
      <c r="D5" s="133"/>
      <c r="E5" s="133"/>
    </row>
    <row r="6" spans="1:22" s="1" customFormat="1">
      <c r="C6" s="2"/>
      <c r="D6" s="2"/>
      <c r="E6" s="2"/>
      <c r="I6" s="3"/>
      <c r="L6" s="3"/>
    </row>
    <row r="7" spans="1:22" s="1" customFormat="1">
      <c r="B7" s="113" t="s">
        <v>357</v>
      </c>
      <c r="C7" s="114" t="s">
        <v>464</v>
      </c>
      <c r="D7" s="114" t="s">
        <v>56</v>
      </c>
      <c r="E7" s="614" t="s">
        <v>57</v>
      </c>
      <c r="F7" s="115" t="s">
        <v>59</v>
      </c>
      <c r="H7" s="86"/>
      <c r="I7" s="87" t="s">
        <v>464</v>
      </c>
      <c r="J7" s="86"/>
      <c r="K7" s="86"/>
      <c r="L7" s="87" t="s">
        <v>464</v>
      </c>
      <c r="P7" s="4"/>
      <c r="S7" s="5"/>
      <c r="T7" s="5"/>
    </row>
    <row r="8" spans="1:22" s="1" customFormat="1">
      <c r="B8" s="39" t="s">
        <v>186</v>
      </c>
      <c r="C8" s="109">
        <v>127.1</v>
      </c>
      <c r="D8" s="110" t="s">
        <v>58</v>
      </c>
      <c r="E8" s="109">
        <v>195</v>
      </c>
      <c r="F8" s="6">
        <f t="shared" ref="F8:F13" si="0">IFERROR(E8/C8-1,"-")</f>
        <v>0.53422501966955149</v>
      </c>
      <c r="H8" s="86" t="s">
        <v>222</v>
      </c>
      <c r="I8" s="86" t="e">
        <f ca="1">BDP($H8,"PX_LAST")</f>
        <v>#NAME?</v>
      </c>
      <c r="J8" s="86"/>
      <c r="K8" s="88" t="s">
        <v>1229</v>
      </c>
      <c r="L8" s="89" cm="1">
        <f t="array" ref="L8">_xll.FDS($K8,"FG_PRICE")*100</f>
        <v>127.1</v>
      </c>
      <c r="M8" s="7"/>
      <c r="S8" s="5"/>
      <c r="T8" s="5"/>
    </row>
    <row r="9" spans="1:22" s="1" customFormat="1">
      <c r="B9" s="39" t="s">
        <v>187</v>
      </c>
      <c r="C9" s="110">
        <v>21.76</v>
      </c>
      <c r="D9" s="110" t="s">
        <v>58</v>
      </c>
      <c r="E9" s="110">
        <v>32</v>
      </c>
      <c r="F9" s="6">
        <f t="shared" si="0"/>
        <v>0.47058823529411753</v>
      </c>
      <c r="H9" s="86" t="s">
        <v>223</v>
      </c>
      <c r="I9" s="86" t="e">
        <f t="shared" ref="I9:I17" ca="1" si="1">BDP($H9,"PX_LAST")</f>
        <v>#NAME?</v>
      </c>
      <c r="J9" s="86"/>
      <c r="K9" s="86" t="s">
        <v>1230</v>
      </c>
      <c r="L9" s="90" cm="1">
        <f t="array" ref="L9">_xll.FDS($K9,"FG_PRICE")</f>
        <v>21.76</v>
      </c>
      <c r="M9" s="7"/>
      <c r="S9" s="5"/>
      <c r="T9" s="5"/>
    </row>
    <row r="10" spans="1:22" s="1" customFormat="1">
      <c r="B10" s="39" t="s">
        <v>458</v>
      </c>
      <c r="C10" s="110">
        <v>3.444</v>
      </c>
      <c r="D10" s="110" t="s">
        <v>61</v>
      </c>
      <c r="E10" s="110">
        <v>3.7</v>
      </c>
      <c r="F10" s="6">
        <f t="shared" si="0"/>
        <v>7.4332171893147558E-2</v>
      </c>
      <c r="H10" s="86" t="s">
        <v>502</v>
      </c>
      <c r="I10" s="86" t="e">
        <f t="shared" ca="1" si="1"/>
        <v>#NAME?</v>
      </c>
      <c r="J10" s="86"/>
      <c r="K10" s="86" t="s">
        <v>1231</v>
      </c>
      <c r="L10" s="90" cm="1">
        <f t="array" ref="L10">_xll.FDS($K10,"FG_PRICE")</f>
        <v>3.444</v>
      </c>
      <c r="M10" s="7"/>
      <c r="R10" s="8"/>
      <c r="S10" s="5"/>
      <c r="T10" s="5"/>
    </row>
    <row r="11" spans="1:22" s="1" customFormat="1">
      <c r="B11" s="39" t="s">
        <v>728</v>
      </c>
      <c r="C11" s="110">
        <v>10.675000000000001</v>
      </c>
      <c r="D11" s="110" t="s">
        <v>58</v>
      </c>
      <c r="E11" s="110">
        <v>14</v>
      </c>
      <c r="F11" s="6">
        <f t="shared" si="0"/>
        <v>0.31147540983606548</v>
      </c>
      <c r="H11" s="86" t="s">
        <v>913</v>
      </c>
      <c r="I11" s="86" t="e">
        <f t="shared" ca="1" si="1"/>
        <v>#NAME?</v>
      </c>
      <c r="J11" s="86"/>
      <c r="K11" s="86" t="s">
        <v>1232</v>
      </c>
      <c r="L11" s="90" cm="1">
        <f t="array" ref="L11">_xll.FDS($K11,"FG_PRICE")</f>
        <v>10.675000000000001</v>
      </c>
      <c r="M11" s="7"/>
      <c r="R11" s="8"/>
      <c r="S11" s="5"/>
      <c r="T11" s="5"/>
    </row>
    <row r="12" spans="1:22" s="1" customFormat="1">
      <c r="B12" s="39" t="s">
        <v>459</v>
      </c>
      <c r="C12" s="110">
        <v>13.75</v>
      </c>
      <c r="D12" s="110" t="s">
        <v>61</v>
      </c>
      <c r="E12" s="110">
        <v>22</v>
      </c>
      <c r="F12" s="6">
        <f t="shared" si="0"/>
        <v>0.60000000000000009</v>
      </c>
      <c r="H12" s="86" t="s">
        <v>503</v>
      </c>
      <c r="I12" s="86" t="e">
        <f t="shared" ca="1" si="1"/>
        <v>#NAME?</v>
      </c>
      <c r="J12" s="86"/>
      <c r="K12" s="86" t="s">
        <v>1239</v>
      </c>
      <c r="L12" s="90" cm="1">
        <f t="array" ref="L12">_xll.FDS($K12,"FG_PRICE")</f>
        <v>13.75</v>
      </c>
      <c r="M12" s="7"/>
      <c r="N12" s="9"/>
      <c r="S12" s="5"/>
      <c r="T12" s="5"/>
    </row>
    <row r="13" spans="1:22" s="1" customFormat="1">
      <c r="B13" s="39" t="s">
        <v>817</v>
      </c>
      <c r="C13" s="110">
        <v>7.4</v>
      </c>
      <c r="D13" s="110" t="s">
        <v>61</v>
      </c>
      <c r="E13" s="110">
        <v>10</v>
      </c>
      <c r="F13" s="6">
        <f t="shared" si="0"/>
        <v>0.35135135135135132</v>
      </c>
      <c r="H13" s="86" t="s">
        <v>816</v>
      </c>
      <c r="I13" s="86" t="e">
        <f t="shared" ca="1" si="1"/>
        <v>#NAME?</v>
      </c>
      <c r="J13" s="86" t="s">
        <v>694</v>
      </c>
      <c r="K13" s="88" t="s">
        <v>1412</v>
      </c>
      <c r="L13" s="90" cm="1">
        <f t="array" ref="L13">_xll.FDS($K13,"FG_PRICE")</f>
        <v>7.4</v>
      </c>
      <c r="M13" s="7"/>
      <c r="S13" s="10"/>
      <c r="T13" s="10"/>
      <c r="U13" s="11"/>
      <c r="V13" s="11"/>
    </row>
    <row r="14" spans="1:22" s="1" customFormat="1">
      <c r="B14" s="39" t="s">
        <v>463</v>
      </c>
      <c r="C14" s="109">
        <v>492</v>
      </c>
      <c r="D14" s="110" t="s">
        <v>61</v>
      </c>
      <c r="E14" s="109">
        <v>620</v>
      </c>
      <c r="F14" s="6">
        <f t="shared" ref="F14" si="2">IFERROR(E14/C14-1,"-")</f>
        <v>0.26016260162601634</v>
      </c>
      <c r="H14" s="86" t="s">
        <v>998</v>
      </c>
      <c r="I14" s="86" t="e">
        <f t="shared" ca="1" si="1"/>
        <v>#NAME?</v>
      </c>
      <c r="J14" s="86"/>
      <c r="K14" s="86" t="s">
        <v>1233</v>
      </c>
      <c r="L14" s="90" cm="1">
        <f t="array" ref="L14">_xll.FDS($K14,"FG_PRICE")</f>
        <v>492</v>
      </c>
      <c r="M14" s="7"/>
      <c r="S14" s="10"/>
      <c r="T14" s="10"/>
      <c r="U14" s="11"/>
      <c r="V14" s="11"/>
    </row>
    <row r="15" spans="1:22" s="1" customFormat="1">
      <c r="B15" s="39" t="s">
        <v>286</v>
      </c>
      <c r="C15" s="111">
        <v>0.24629999999999999</v>
      </c>
      <c r="D15" s="110" t="s">
        <v>58</v>
      </c>
      <c r="E15" s="111">
        <v>0.35</v>
      </c>
      <c r="F15" s="6">
        <f t="shared" ref="F15:F19" si="3">IFERROR(E15/C15-1,"-")</f>
        <v>0.42103126268777902</v>
      </c>
      <c r="H15" s="86" t="s">
        <v>505</v>
      </c>
      <c r="I15" s="86" t="e">
        <f t="shared" ca="1" si="1"/>
        <v>#NAME?</v>
      </c>
      <c r="J15" s="86"/>
      <c r="K15" s="86" t="s">
        <v>1234</v>
      </c>
      <c r="L15" s="90" cm="1">
        <f t="array" ref="L15">_xll.FDS($K15,"FG_PRICE")</f>
        <v>0.24629999999999999</v>
      </c>
      <c r="M15" s="7"/>
      <c r="S15" s="10"/>
      <c r="T15" s="10"/>
      <c r="U15" s="11"/>
      <c r="V15" s="11"/>
    </row>
    <row r="16" spans="1:22" s="1" customFormat="1">
      <c r="B16" s="39" t="s">
        <v>287</v>
      </c>
      <c r="C16" s="111">
        <v>0.27050000000000002</v>
      </c>
      <c r="D16" s="110" t="s">
        <v>58</v>
      </c>
      <c r="E16" s="111">
        <v>0.35</v>
      </c>
      <c r="F16" s="6">
        <f t="shared" si="3"/>
        <v>0.29390018484288327</v>
      </c>
      <c r="H16" s="86" t="s">
        <v>678</v>
      </c>
      <c r="I16" s="86" t="e">
        <f t="shared" ca="1" si="1"/>
        <v>#NAME?</v>
      </c>
      <c r="J16" s="86"/>
      <c r="K16" s="86" t="s">
        <v>1235</v>
      </c>
      <c r="L16" s="90" cm="1">
        <f t="array" ref="L16">_xll.FDS($K16,"FG_PRICE")</f>
        <v>0.27050000000000002</v>
      </c>
      <c r="M16" s="7"/>
      <c r="S16" s="5"/>
      <c r="T16" s="5"/>
    </row>
    <row r="17" spans="2:38" s="1" customFormat="1">
      <c r="B17" s="39" t="s">
        <v>461</v>
      </c>
      <c r="C17" s="110">
        <v>4.1550000000000002</v>
      </c>
      <c r="D17" s="110" t="s">
        <v>58</v>
      </c>
      <c r="E17" s="110">
        <v>4.8</v>
      </c>
      <c r="F17" s="6">
        <f t="shared" si="3"/>
        <v>0.15523465703971118</v>
      </c>
      <c r="H17" s="86" t="s">
        <v>386</v>
      </c>
      <c r="I17" s="86" t="e">
        <f t="shared" ca="1" si="1"/>
        <v>#NAME?</v>
      </c>
      <c r="J17" s="86"/>
      <c r="K17" s="86" t="s">
        <v>1236</v>
      </c>
      <c r="L17" s="90" cm="1">
        <f t="array" ref="L17">_xll.FDS($K17,"FG_PRICE")</f>
        <v>4.1550000000000002</v>
      </c>
      <c r="M17" s="7"/>
      <c r="S17" s="5"/>
      <c r="T17" s="5"/>
    </row>
    <row r="18" spans="2:38" s="1" customFormat="1">
      <c r="B18" s="39" t="s">
        <v>462</v>
      </c>
      <c r="C18" s="109">
        <v>123.7</v>
      </c>
      <c r="D18" s="110" t="s">
        <v>58</v>
      </c>
      <c r="E18" s="109">
        <v>136</v>
      </c>
      <c r="F18" s="6">
        <f t="shared" si="3"/>
        <v>9.9434114793855999E-2</v>
      </c>
      <c r="H18" s="86" t="s">
        <v>387</v>
      </c>
      <c r="I18" s="86" t="e">
        <f t="shared" ref="I18:I19" ca="1" si="4">BDP($H18,"PX_LAST")</f>
        <v>#NAME?</v>
      </c>
      <c r="J18" s="86"/>
      <c r="K18" s="86" t="s">
        <v>1237</v>
      </c>
      <c r="L18" s="90" cm="1">
        <f t="array" ref="L18">_xll.FDS($K18,"FG_PRICE")</f>
        <v>123.7</v>
      </c>
      <c r="M18" s="7"/>
      <c r="S18" s="5"/>
      <c r="T18" s="5"/>
    </row>
    <row r="19" spans="2:38" s="1" customFormat="1">
      <c r="B19" s="39" t="s">
        <v>1039</v>
      </c>
      <c r="C19" s="110">
        <v>26.39</v>
      </c>
      <c r="D19" s="110" t="s">
        <v>58</v>
      </c>
      <c r="E19" s="110">
        <v>36</v>
      </c>
      <c r="F19" s="6">
        <f t="shared" si="3"/>
        <v>0.36415308829101933</v>
      </c>
      <c r="H19" s="86" t="s">
        <v>1002</v>
      </c>
      <c r="I19" s="86" t="e">
        <f t="shared" ca="1" si="4"/>
        <v>#NAME?</v>
      </c>
      <c r="J19" s="86"/>
      <c r="K19" s="86" t="s">
        <v>1238</v>
      </c>
      <c r="L19" s="90" cm="1">
        <f t="array" ref="L19">_xll.FDS($K19,"FG_PRICE")</f>
        <v>26.39</v>
      </c>
      <c r="M19" s="7"/>
      <c r="S19" s="5"/>
      <c r="T19" s="5"/>
    </row>
    <row r="20" spans="2:38" s="1" customFormat="1">
      <c r="C20" s="2"/>
      <c r="H20" s="86"/>
      <c r="I20" s="86"/>
      <c r="J20" s="91"/>
      <c r="K20" s="86"/>
      <c r="L20" s="86"/>
      <c r="M20" s="7"/>
      <c r="S20" s="5"/>
      <c r="T20" s="5"/>
    </row>
    <row r="21" spans="2:38" s="1" customFormat="1">
      <c r="B21" s="113" t="s">
        <v>1394</v>
      </c>
      <c r="C21" s="114" t="s">
        <v>464</v>
      </c>
      <c r="D21" s="114" t="s">
        <v>56</v>
      </c>
      <c r="E21" s="614" t="s">
        <v>57</v>
      </c>
      <c r="F21" s="115" t="s">
        <v>59</v>
      </c>
      <c r="H21" s="86"/>
      <c r="I21" s="87" t="s">
        <v>464</v>
      </c>
      <c r="J21" s="91"/>
      <c r="K21" s="92"/>
      <c r="L21" s="93" t="s">
        <v>464</v>
      </c>
      <c r="M21" s="7"/>
      <c r="S21" s="5"/>
      <c r="T21" s="5"/>
    </row>
    <row r="22" spans="2:38" s="1" customFormat="1">
      <c r="B22" s="39" t="s">
        <v>1380</v>
      </c>
      <c r="C22" s="110">
        <v>17.5</v>
      </c>
      <c r="D22" s="110" t="s">
        <v>58</v>
      </c>
      <c r="E22" s="110">
        <v>28</v>
      </c>
      <c r="F22" s="6">
        <f>IFERROR(E22/C22-1,"-")</f>
        <v>0.60000000000000009</v>
      </c>
      <c r="H22" s="86" t="s">
        <v>901</v>
      </c>
      <c r="I22" s="86" t="e">
        <f ca="1">BDP($H22,"PX_LAST")</f>
        <v>#NAME?</v>
      </c>
      <c r="J22" s="86"/>
      <c r="K22" s="92" t="s">
        <v>1381</v>
      </c>
      <c r="L22" s="90" cm="1">
        <f t="array" ref="L22">_xll.FDS($K22,"FG_PRICE")</f>
        <v>17.5</v>
      </c>
      <c r="M22" s="7"/>
      <c r="N22" s="9"/>
      <c r="S22" s="5"/>
      <c r="T22" s="5"/>
    </row>
    <row r="23" spans="2:38" s="1" customFormat="1">
      <c r="B23" s="39" t="s">
        <v>354</v>
      </c>
      <c r="C23" s="109">
        <v>41.62</v>
      </c>
      <c r="D23" s="110" t="s">
        <v>61</v>
      </c>
      <c r="E23" s="110">
        <v>54</v>
      </c>
      <c r="F23" s="6">
        <f t="shared" ref="F23:F32" si="5">IFERROR(E23/C23-1,"-")</f>
        <v>0.29745314752522845</v>
      </c>
      <c r="H23" s="86" t="s">
        <v>914</v>
      </c>
      <c r="I23" s="86" t="e">
        <f t="shared" ref="I23:I32" ca="1" si="6">BDP($H23,"PX_LAST")</f>
        <v>#NAME?</v>
      </c>
      <c r="J23" s="42"/>
      <c r="K23" s="86" t="s">
        <v>1240</v>
      </c>
      <c r="L23" s="90" cm="1">
        <f t="array" ref="L23">_xll.FDS($K23,"FG_PRICE")</f>
        <v>41.62</v>
      </c>
      <c r="M23" s="7"/>
      <c r="S23" s="5"/>
      <c r="T23" s="5"/>
    </row>
    <row r="24" spans="2:38" s="1" customFormat="1">
      <c r="B24" s="39" t="s">
        <v>401</v>
      </c>
      <c r="C24" s="110">
        <v>16.239999999999998</v>
      </c>
      <c r="D24" s="110" t="s">
        <v>58</v>
      </c>
      <c r="E24" s="112">
        <v>24</v>
      </c>
      <c r="F24" s="6">
        <f t="shared" ref="F24:F26" si="7">IFERROR(E24/C24-1,"-")</f>
        <v>0.47783251231527113</v>
      </c>
      <c r="H24" s="86" t="s">
        <v>164</v>
      </c>
      <c r="I24" s="86" t="e">
        <f ca="1">BDP($H24,"PX_LAST")</f>
        <v>#NAME?</v>
      </c>
      <c r="J24" s="86"/>
      <c r="K24" s="86" t="s">
        <v>1246</v>
      </c>
      <c r="L24" s="90" cm="1">
        <f t="array" ref="L24">_xll.FDS($K24,"FG_PRICE")</f>
        <v>16.239999999999998</v>
      </c>
      <c r="M24" s="7"/>
      <c r="S24" s="5"/>
      <c r="T24" s="5"/>
    </row>
    <row r="25" spans="2:38" s="1" customFormat="1">
      <c r="B25" s="39" t="s">
        <v>402</v>
      </c>
      <c r="C25" s="110">
        <v>16.899999999999999</v>
      </c>
      <c r="D25" s="110" t="s">
        <v>58</v>
      </c>
      <c r="E25" s="112">
        <v>24</v>
      </c>
      <c r="F25" s="6">
        <f t="shared" si="7"/>
        <v>0.42011834319526642</v>
      </c>
      <c r="H25" s="86" t="s">
        <v>680</v>
      </c>
      <c r="I25" s="86" t="e">
        <f ca="1">BDP($H25,"PX_LAST")</f>
        <v>#NAME?</v>
      </c>
      <c r="J25" s="86"/>
      <c r="K25" s="86" t="s">
        <v>1247</v>
      </c>
      <c r="L25" s="90" cm="1">
        <f t="array" ref="L25">_xll.FDS($K25,"FG_PRICE")</f>
        <v>16.899999999999999</v>
      </c>
      <c r="M25" s="7"/>
      <c r="N25" s="9"/>
      <c r="O25" s="9"/>
      <c r="P25" s="9"/>
      <c r="S25" s="10"/>
      <c r="T25" s="10"/>
      <c r="U25" s="11"/>
      <c r="V25" s="11"/>
    </row>
    <row r="26" spans="2:38" s="1" customFormat="1">
      <c r="B26" s="39" t="s">
        <v>428</v>
      </c>
      <c r="C26" s="110">
        <v>16.649999999999999</v>
      </c>
      <c r="D26" s="110" t="s">
        <v>58</v>
      </c>
      <c r="E26" s="112">
        <v>24</v>
      </c>
      <c r="F26" s="6">
        <f t="shared" si="7"/>
        <v>0.4414414414414416</v>
      </c>
      <c r="H26" s="86" t="s">
        <v>961</v>
      </c>
      <c r="I26" s="86" t="e">
        <f ca="1">BDP($H26,"PX_LAST")</f>
        <v>#NAME?</v>
      </c>
      <c r="J26" s="86"/>
      <c r="K26" s="86" t="s">
        <v>1248</v>
      </c>
      <c r="L26" s="90" cm="1">
        <f t="array" ref="L26">_xll.FDS($K26,"FG_PRICE")</f>
        <v>16.649999999999999</v>
      </c>
      <c r="M26" s="7"/>
      <c r="S26" s="10"/>
      <c r="T26" s="10"/>
      <c r="U26" s="11"/>
      <c r="V26" s="11"/>
    </row>
    <row r="27" spans="2:38" s="1" customFormat="1">
      <c r="B27" s="39" t="s">
        <v>769</v>
      </c>
      <c r="C27" s="110">
        <v>3.3450000000000002</v>
      </c>
      <c r="D27" s="110" t="s">
        <v>61</v>
      </c>
      <c r="E27" s="110">
        <v>4</v>
      </c>
      <c r="F27" s="6">
        <f>IFERROR(E27/C27-1,"-")</f>
        <v>0.19581464872944676</v>
      </c>
      <c r="H27" s="86" t="s">
        <v>766</v>
      </c>
      <c r="I27" s="86" t="e">
        <f ca="1">BDP($H27,"PX_LAST")</f>
        <v>#NAME?</v>
      </c>
      <c r="J27" s="86"/>
      <c r="K27" s="86" t="s">
        <v>1249</v>
      </c>
      <c r="L27" s="90" cm="1">
        <f t="array" ref="L27">_xll.FDS($K27,"FG_PRICE")</f>
        <v>3.3450000000000002</v>
      </c>
      <c r="M27" s="7"/>
      <c r="P27" s="9"/>
      <c r="Q27" s="9"/>
      <c r="R27" s="9"/>
      <c r="S27" s="10"/>
      <c r="T27" s="10"/>
      <c r="U27" s="11"/>
      <c r="V27" s="11"/>
    </row>
    <row r="28" spans="2:38" s="1" customFormat="1">
      <c r="B28" s="39" t="s">
        <v>916</v>
      </c>
      <c r="C28" s="110">
        <v>14.92</v>
      </c>
      <c r="D28" s="110" t="s">
        <v>61</v>
      </c>
      <c r="E28" s="110">
        <v>13</v>
      </c>
      <c r="F28" s="6">
        <f>IFERROR(E28/C28-1,"-")</f>
        <v>-0.12868632707774796</v>
      </c>
      <c r="H28" s="86" t="s">
        <v>912</v>
      </c>
      <c r="I28" s="86" t="e">
        <f ca="1">BDP($H28,"PX_LAST")</f>
        <v>#NAME?</v>
      </c>
      <c r="J28" s="42"/>
      <c r="K28" s="92" t="s">
        <v>1243</v>
      </c>
      <c r="L28" s="90" cm="1">
        <f t="array" ref="L28">_xll.FDS($K28,"FG_PRICE")</f>
        <v>14.92</v>
      </c>
      <c r="M28" s="7"/>
      <c r="S28" s="5"/>
      <c r="T28" s="5"/>
    </row>
    <row r="29" spans="2:38" s="1" customFormat="1">
      <c r="B29" s="39" t="s">
        <v>118</v>
      </c>
      <c r="C29" s="109">
        <v>104</v>
      </c>
      <c r="D29" s="110" t="s">
        <v>61</v>
      </c>
      <c r="E29" s="109">
        <v>110</v>
      </c>
      <c r="F29" s="6">
        <f t="shared" si="5"/>
        <v>5.7692307692307709E-2</v>
      </c>
      <c r="H29" s="86" t="s">
        <v>195</v>
      </c>
      <c r="I29" s="86" t="e">
        <f t="shared" ca="1" si="6"/>
        <v>#NAME?</v>
      </c>
      <c r="J29" s="42"/>
      <c r="K29" s="92" t="s">
        <v>1242</v>
      </c>
      <c r="L29" s="90" cm="1">
        <f t="array" ref="L29">_xll.FDS($K29,"FG_PRICE")</f>
        <v>104</v>
      </c>
      <c r="M29" s="7"/>
      <c r="S29" s="5"/>
      <c r="T29" s="5"/>
    </row>
    <row r="30" spans="2:38" s="1" customFormat="1">
      <c r="B30" s="39" t="s">
        <v>119</v>
      </c>
      <c r="C30" s="109">
        <v>101.05</v>
      </c>
      <c r="D30" s="110" t="s">
        <v>61</v>
      </c>
      <c r="E30" s="109">
        <v>110</v>
      </c>
      <c r="F30" s="6">
        <f t="shared" si="5"/>
        <v>8.8570014844136624E-2</v>
      </c>
      <c r="H30" s="86" t="s">
        <v>679</v>
      </c>
      <c r="I30" s="86" t="e">
        <f t="shared" ca="1" si="6"/>
        <v>#NAME?</v>
      </c>
      <c r="J30" s="42"/>
      <c r="K30" s="92" t="s">
        <v>1241</v>
      </c>
      <c r="L30" s="90" cm="1">
        <f t="array" ref="L30">_xll.FDS($K30,"FG_PRICE")</f>
        <v>101.05</v>
      </c>
      <c r="M30" s="7"/>
      <c r="S30" s="5"/>
      <c r="T30" s="5"/>
    </row>
    <row r="31" spans="2:38" s="1" customFormat="1">
      <c r="B31" s="39" t="s">
        <v>898</v>
      </c>
      <c r="C31" s="110">
        <v>22.08</v>
      </c>
      <c r="D31" s="110" t="s">
        <v>58</v>
      </c>
      <c r="E31" s="110">
        <v>30</v>
      </c>
      <c r="F31" s="6">
        <f t="shared" ref="F31" si="8">IFERROR(E31/C31-1,"-")</f>
        <v>0.35869565217391308</v>
      </c>
      <c r="H31" s="86" t="s">
        <v>899</v>
      </c>
      <c r="I31" s="86" t="e">
        <f ca="1">BDP($H31,"PX_LAST")</f>
        <v>#NAME?</v>
      </c>
      <c r="J31" s="86"/>
      <c r="K31" s="92" t="s">
        <v>1245</v>
      </c>
      <c r="L31" s="90" cm="1">
        <f t="array" ref="L31">_xll.FDS($K31,"FG_PRICE")</f>
        <v>22.08</v>
      </c>
      <c r="M31" s="7"/>
      <c r="S31" s="10"/>
      <c r="T31" s="10"/>
      <c r="U31" s="11"/>
      <c r="V31" s="11"/>
      <c r="Y31" s="11"/>
      <c r="Z31" s="11"/>
      <c r="AA31" s="11"/>
      <c r="AB31" s="11"/>
      <c r="AD31" s="11"/>
      <c r="AE31" s="11"/>
      <c r="AF31" s="11"/>
      <c r="AG31" s="11"/>
      <c r="AI31" s="11"/>
      <c r="AJ31" s="11"/>
      <c r="AK31" s="11"/>
      <c r="AL31" s="11"/>
    </row>
    <row r="32" spans="2:38" s="1" customFormat="1">
      <c r="B32" s="39" t="s">
        <v>281</v>
      </c>
      <c r="C32" s="109">
        <v>73.5</v>
      </c>
      <c r="D32" s="110" t="s">
        <v>58</v>
      </c>
      <c r="E32" s="109">
        <v>135</v>
      </c>
      <c r="F32" s="6">
        <f t="shared" si="5"/>
        <v>0.83673469387755106</v>
      </c>
      <c r="H32" s="86" t="s">
        <v>194</v>
      </c>
      <c r="I32" s="86" t="e">
        <f t="shared" ca="1" si="6"/>
        <v>#NAME?</v>
      </c>
      <c r="J32" s="94"/>
      <c r="K32" s="86" t="s">
        <v>1244</v>
      </c>
      <c r="L32" s="89" cm="1">
        <f t="array" ref="L32">_xll.FDS($K32,"FG_PRICE")*100</f>
        <v>73.5</v>
      </c>
      <c r="M32" s="7"/>
      <c r="S32" s="5"/>
      <c r="T32" s="5"/>
    </row>
    <row r="33" spans="2:24" s="1" customFormat="1">
      <c r="H33" s="86"/>
      <c r="I33" s="87"/>
      <c r="J33" s="86"/>
      <c r="K33" s="92"/>
      <c r="L33" s="93"/>
      <c r="M33" s="7"/>
      <c r="S33" s="5"/>
      <c r="T33" s="5"/>
    </row>
    <row r="34" spans="2:24" s="1" customFormat="1">
      <c r="B34" s="113" t="s">
        <v>856</v>
      </c>
      <c r="C34" s="114" t="s">
        <v>464</v>
      </c>
      <c r="D34" s="114" t="s">
        <v>56</v>
      </c>
      <c r="E34" s="614" t="s">
        <v>57</v>
      </c>
      <c r="F34" s="115" t="s">
        <v>59</v>
      </c>
      <c r="H34" s="86"/>
      <c r="I34" s="87" t="s">
        <v>464</v>
      </c>
      <c r="J34" s="86"/>
      <c r="K34" s="86"/>
      <c r="L34" s="87" t="s">
        <v>464</v>
      </c>
      <c r="M34" s="7"/>
      <c r="S34" s="5"/>
      <c r="T34" s="5"/>
      <c r="W34" s="7"/>
      <c r="X34" s="7"/>
    </row>
    <row r="35" spans="2:24" s="1" customFormat="1">
      <c r="B35" s="39" t="s">
        <v>851</v>
      </c>
      <c r="C35" s="110">
        <v>33.450000000000003</v>
      </c>
      <c r="D35" s="110" t="s">
        <v>61</v>
      </c>
      <c r="E35" s="110">
        <v>32</v>
      </c>
      <c r="F35" s="6">
        <f t="shared" ref="F35" si="9">IFERROR(E35/C35-1,"-")</f>
        <v>-4.3348281016442503E-2</v>
      </c>
      <c r="H35" s="86" t="s">
        <v>857</v>
      </c>
      <c r="I35" s="86" t="e">
        <f t="shared" ref="I35:I36" ca="1" si="10">BDP($H35,"PX_LAST")</f>
        <v>#NAME?</v>
      </c>
      <c r="J35" s="86"/>
      <c r="K35" s="86" t="s">
        <v>1250</v>
      </c>
      <c r="L35" s="90" cm="1">
        <f t="array" ref="L35">_xll.FDS($K35,"FG_PRICE")</f>
        <v>33.450000000000003</v>
      </c>
      <c r="M35" s="7"/>
      <c r="S35" s="5"/>
      <c r="T35" s="5"/>
      <c r="W35" s="7"/>
      <c r="X35" s="7"/>
    </row>
    <row r="36" spans="2:24" s="1" customFormat="1">
      <c r="B36" s="39" t="s">
        <v>849</v>
      </c>
      <c r="C36" s="110">
        <v>9.99</v>
      </c>
      <c r="D36" s="110" t="s">
        <v>61</v>
      </c>
      <c r="E36" s="110">
        <v>12.1</v>
      </c>
      <c r="F36" s="6">
        <f>IFERROR(E36/C36-1,"-")</f>
        <v>0.21121121121121122</v>
      </c>
      <c r="H36" s="86" t="s">
        <v>858</v>
      </c>
      <c r="I36" s="86" t="e">
        <f t="shared" ca="1" si="10"/>
        <v>#NAME?</v>
      </c>
      <c r="J36" s="86"/>
      <c r="K36" s="86" t="s">
        <v>1251</v>
      </c>
      <c r="L36" s="90" cm="1">
        <f t="array" ref="L36">_xll.FDS($K36,"FG_PRICE")</f>
        <v>9.99</v>
      </c>
      <c r="M36" s="7"/>
      <c r="S36" s="5"/>
      <c r="T36" s="5"/>
      <c r="W36" s="7"/>
      <c r="X36" s="7"/>
    </row>
    <row r="37" spans="2:24" s="1" customFormat="1">
      <c r="C37" s="2"/>
      <c r="D37" s="2"/>
      <c r="E37" s="2"/>
      <c r="H37" s="86"/>
      <c r="I37" s="86"/>
      <c r="J37" s="86"/>
      <c r="K37" s="86"/>
      <c r="L37" s="86"/>
      <c r="M37" s="7"/>
      <c r="S37" s="10"/>
      <c r="T37" s="10"/>
      <c r="U37" s="11"/>
      <c r="V37" s="11"/>
    </row>
    <row r="38" spans="2:24" s="1" customFormat="1">
      <c r="B38" s="113" t="s">
        <v>68</v>
      </c>
      <c r="C38" s="114" t="s">
        <v>464</v>
      </c>
      <c r="D38" s="114" t="s">
        <v>56</v>
      </c>
      <c r="E38" s="614" t="s">
        <v>57</v>
      </c>
      <c r="F38" s="115" t="s">
        <v>59</v>
      </c>
      <c r="H38" s="86"/>
      <c r="I38" s="87" t="s">
        <v>464</v>
      </c>
      <c r="J38" s="86"/>
      <c r="K38" s="86"/>
      <c r="L38" s="87" t="s">
        <v>464</v>
      </c>
      <c r="M38" s="7"/>
      <c r="Q38" s="13"/>
      <c r="S38" s="5"/>
      <c r="T38" s="5"/>
    </row>
    <row r="39" spans="2:24" s="1" customFormat="1">
      <c r="B39" s="39" t="s">
        <v>33</v>
      </c>
      <c r="C39" s="112">
        <v>39.74</v>
      </c>
      <c r="D39" s="110" t="s">
        <v>61</v>
      </c>
      <c r="E39" s="112">
        <v>45</v>
      </c>
      <c r="F39" s="14">
        <f>IFERROR(E39/C39-1,"-")</f>
        <v>0.13236034222445903</v>
      </c>
      <c r="H39" s="86" t="s">
        <v>409</v>
      </c>
      <c r="I39" s="86" t="e">
        <f ca="1">BDP($H39,"PX_LAST")</f>
        <v>#NAME?</v>
      </c>
      <c r="J39" s="86"/>
      <c r="K39" s="86" t="s">
        <v>1348</v>
      </c>
      <c r="L39" s="90" cm="1">
        <f t="array" ref="L39">_xll.FDS($K39,"FG_PRICE")</f>
        <v>39.74</v>
      </c>
      <c r="M39" s="7"/>
      <c r="O39" s="13"/>
      <c r="P39" s="13"/>
      <c r="Q39" s="13"/>
      <c r="S39" s="5"/>
      <c r="T39" s="5"/>
    </row>
    <row r="40" spans="2:24" s="1" customFormat="1">
      <c r="B40" s="39" t="s">
        <v>410</v>
      </c>
      <c r="C40" s="112">
        <v>17.5</v>
      </c>
      <c r="D40" s="110" t="s">
        <v>61</v>
      </c>
      <c r="E40" s="110">
        <v>21</v>
      </c>
      <c r="F40" s="14">
        <f>IFERROR(E40/C40-1,"-")</f>
        <v>0.19999999999999996</v>
      </c>
      <c r="H40" s="86" t="s">
        <v>303</v>
      </c>
      <c r="I40" s="86" t="e">
        <f t="shared" ref="I40:I41" ca="1" si="11">BDP($H40,"PX_LAST")</f>
        <v>#NAME?</v>
      </c>
      <c r="J40" s="86"/>
      <c r="K40" s="86" t="s">
        <v>1347</v>
      </c>
      <c r="L40" s="90" cm="1">
        <f t="array" ref="L40">_xll.FDS($K40,"FG_PRICE")</f>
        <v>17.5</v>
      </c>
      <c r="M40" s="7"/>
      <c r="Q40" s="13"/>
      <c r="S40" s="5"/>
      <c r="T40" s="5"/>
    </row>
    <row r="41" spans="2:24" s="1" customFormat="1">
      <c r="B41" s="39" t="s">
        <v>693</v>
      </c>
      <c r="C41" s="112">
        <v>166</v>
      </c>
      <c r="D41" s="110" t="s">
        <v>58</v>
      </c>
      <c r="E41" s="112">
        <v>205</v>
      </c>
      <c r="F41" s="14">
        <f>IFERROR(E41/C41-1,"-")</f>
        <v>0.23493975903614461</v>
      </c>
      <c r="H41" s="86" t="s">
        <v>722</v>
      </c>
      <c r="I41" s="86" t="e">
        <f t="shared" ca="1" si="11"/>
        <v>#NAME?</v>
      </c>
      <c r="J41" s="86"/>
      <c r="K41" s="86" t="s">
        <v>1252</v>
      </c>
      <c r="L41" s="90" cm="1">
        <f t="array" ref="L41">_xll.FDS($K41,"FG_PRICE")</f>
        <v>166</v>
      </c>
      <c r="M41" s="7"/>
      <c r="S41" s="5"/>
      <c r="T41" s="5"/>
    </row>
    <row r="42" spans="2:24" s="1" customFormat="1">
      <c r="H42" s="86"/>
      <c r="I42" s="86"/>
      <c r="J42" s="86"/>
      <c r="K42" s="86"/>
      <c r="L42" s="86"/>
      <c r="M42" s="7"/>
      <c r="S42" s="5"/>
      <c r="T42" s="5"/>
    </row>
    <row r="43" spans="2:24" s="1" customFormat="1">
      <c r="B43" s="113" t="s">
        <v>1620</v>
      </c>
      <c r="C43" s="114" t="s">
        <v>464</v>
      </c>
      <c r="D43" s="114" t="s">
        <v>56</v>
      </c>
      <c r="E43" s="614" t="s">
        <v>57</v>
      </c>
      <c r="F43" s="115" t="s">
        <v>59</v>
      </c>
      <c r="H43" s="86"/>
      <c r="I43" s="87" t="s">
        <v>464</v>
      </c>
      <c r="J43" s="86"/>
      <c r="K43" s="86"/>
      <c r="L43" s="87" t="s">
        <v>464</v>
      </c>
      <c r="M43" s="7"/>
      <c r="P43" s="12"/>
      <c r="Q43" s="13"/>
      <c r="S43" s="5"/>
      <c r="T43" s="5"/>
    </row>
    <row r="44" spans="2:24" s="5" customFormat="1">
      <c r="B44" s="39" t="s">
        <v>990</v>
      </c>
      <c r="C44" s="112">
        <v>2.33</v>
      </c>
      <c r="D44" s="116" t="s">
        <v>61</v>
      </c>
      <c r="E44" s="116">
        <v>4</v>
      </c>
      <c r="F44" s="14">
        <f>IFERROR(E44/C44-1,"-")</f>
        <v>0.71673819742489275</v>
      </c>
      <c r="H44" s="86" t="s">
        <v>991</v>
      </c>
      <c r="I44" s="86" t="e">
        <f ca="1">BDP($H44,"PX_LAST")</f>
        <v>#NAME?</v>
      </c>
      <c r="J44" s="42"/>
      <c r="K44" s="92" t="s">
        <v>1255</v>
      </c>
      <c r="L44" s="90" cm="1">
        <f t="array" ref="L44">_xll.FDS($K44,"FG_PRICE")</f>
        <v>2.33</v>
      </c>
      <c r="M44" s="7"/>
      <c r="P44" s="17"/>
      <c r="U44" s="1"/>
      <c r="V44" s="1"/>
    </row>
    <row r="45" spans="2:24" s="5" customFormat="1">
      <c r="B45" s="39" t="s">
        <v>311</v>
      </c>
      <c r="C45" s="117">
        <v>271.45999999999998</v>
      </c>
      <c r="D45" s="110" t="s">
        <v>58</v>
      </c>
      <c r="E45" s="117">
        <v>581</v>
      </c>
      <c r="F45" s="14">
        <f>IFERROR(E45/C45-1,"-")</f>
        <v>1.1402784940691078</v>
      </c>
      <c r="H45" s="86" t="s">
        <v>312</v>
      </c>
      <c r="I45" s="86" t="e">
        <f t="shared" ref="I45:I46" ca="1" si="12">BDP($H45,"PX_LAST")</f>
        <v>#NAME?</v>
      </c>
      <c r="J45" s="95"/>
      <c r="K45" s="92" t="s">
        <v>1253</v>
      </c>
      <c r="L45" s="90" cm="1">
        <f t="array" ref="L45">_xll.FDS($K45,"FG_PRICE")</f>
        <v>271.45999999999998</v>
      </c>
      <c r="M45" s="7"/>
      <c r="P45" s="17"/>
      <c r="Q45" s="18"/>
    </row>
    <row r="46" spans="2:24" s="5" customFormat="1">
      <c r="B46" s="39" t="s">
        <v>1617</v>
      </c>
      <c r="C46" s="112">
        <v>38.54</v>
      </c>
      <c r="D46" s="110" t="s">
        <v>58</v>
      </c>
      <c r="E46" s="112">
        <v>50</v>
      </c>
      <c r="F46" s="14">
        <f>IFERROR(E46/C46-1,"-")</f>
        <v>0.29735339906590563</v>
      </c>
      <c r="H46" s="86" t="s">
        <v>310</v>
      </c>
      <c r="I46" s="86" t="e">
        <f t="shared" ca="1" si="12"/>
        <v>#NAME?</v>
      </c>
      <c r="J46" s="96"/>
      <c r="K46" s="92" t="s">
        <v>1254</v>
      </c>
      <c r="L46" s="90" cm="1">
        <f t="array" ref="L46">_xll.FDS($K46,"FG_PRICE")</f>
        <v>38.54</v>
      </c>
      <c r="M46" s="7"/>
      <c r="P46" s="17"/>
      <c r="Q46" s="18"/>
    </row>
    <row r="47" spans="2:24" s="1" customFormat="1">
      <c r="B47" s="1" t="s">
        <v>1615</v>
      </c>
      <c r="C47" s="112">
        <v>25.58</v>
      </c>
      <c r="D47" s="110" t="s">
        <v>58</v>
      </c>
      <c r="E47" s="112">
        <v>54</v>
      </c>
      <c r="F47" s="14">
        <f>IFERROR(E47/C47-1,"-")</f>
        <v>1.111024237685692</v>
      </c>
      <c r="H47" s="86"/>
      <c r="I47" s="86"/>
      <c r="J47" s="86"/>
      <c r="K47" s="92" t="s">
        <v>1619</v>
      </c>
      <c r="L47" s="90" cm="1">
        <f t="array" ref="L47">_xll.FDS($K47,"FG_PRICE")</f>
        <v>25.58</v>
      </c>
      <c r="M47" s="7"/>
      <c r="S47" s="5"/>
      <c r="T47" s="5"/>
    </row>
    <row r="48" spans="2:24" s="5" customFormat="1">
      <c r="B48" s="39" t="s">
        <v>1616</v>
      </c>
      <c r="C48" s="112">
        <v>18.489999999999998</v>
      </c>
      <c r="D48" s="110" t="s">
        <v>58</v>
      </c>
      <c r="E48" s="112">
        <v>100</v>
      </c>
      <c r="F48" s="14">
        <f>IFERROR(E48/C48-1,"-")</f>
        <v>4.408328826392645</v>
      </c>
      <c r="H48" s="86"/>
      <c r="I48" s="86"/>
      <c r="J48" s="42"/>
      <c r="K48" s="92" t="s">
        <v>1618</v>
      </c>
      <c r="L48" s="90" cm="1">
        <f t="array" ref="L48">_xll.FDS($K48,"FG_PRICE")</f>
        <v>18.489999999999998</v>
      </c>
      <c r="M48" s="7"/>
      <c r="P48" s="17"/>
      <c r="Q48" s="18"/>
    </row>
    <row r="49" spans="2:21" s="5" customFormat="1">
      <c r="B49" s="1"/>
      <c r="C49" s="1"/>
      <c r="D49" s="1"/>
      <c r="E49" s="1"/>
      <c r="F49" s="1"/>
      <c r="H49" s="86"/>
      <c r="I49" s="86"/>
      <c r="J49" s="42"/>
      <c r="K49" s="86"/>
      <c r="L49" s="86"/>
      <c r="M49" s="7"/>
      <c r="P49" s="17"/>
      <c r="Q49" s="18"/>
    </row>
    <row r="50" spans="2:21" s="5" customFormat="1">
      <c r="B50" s="113" t="s">
        <v>686</v>
      </c>
      <c r="C50" s="114" t="s">
        <v>464</v>
      </c>
      <c r="D50" s="114" t="s">
        <v>56</v>
      </c>
      <c r="E50" s="614" t="s">
        <v>57</v>
      </c>
      <c r="F50" s="115" t="s">
        <v>59</v>
      </c>
      <c r="H50" s="86"/>
      <c r="I50" s="87" t="s">
        <v>464</v>
      </c>
      <c r="J50" s="42"/>
      <c r="K50" s="86"/>
      <c r="L50" s="87" t="s">
        <v>464</v>
      </c>
      <c r="M50" s="7"/>
      <c r="P50" s="17"/>
      <c r="Q50" s="18"/>
    </row>
    <row r="51" spans="2:21" s="5" customFormat="1">
      <c r="B51" s="39" t="s">
        <v>690</v>
      </c>
      <c r="C51" s="109">
        <v>185.93</v>
      </c>
      <c r="D51" s="110" t="s">
        <v>61</v>
      </c>
      <c r="E51" s="109">
        <v>239</v>
      </c>
      <c r="F51" s="14">
        <f>IFERROR(E51/C51-1,"-")</f>
        <v>0.28543000053783674</v>
      </c>
      <c r="H51" s="86" t="s">
        <v>687</v>
      </c>
      <c r="I51" s="86" t="e">
        <f t="shared" ref="I51:I53" ca="1" si="13">BDP($H51,"PX_LAST")</f>
        <v>#NAME?</v>
      </c>
      <c r="J51" s="42"/>
      <c r="K51" s="92" t="s">
        <v>1256</v>
      </c>
      <c r="L51" s="90" cm="1">
        <f t="array" ref="L51">_xll.FDS($K51,"FG_PRICE")</f>
        <v>185.93</v>
      </c>
      <c r="M51" s="7"/>
      <c r="P51" s="17"/>
      <c r="Q51" s="18"/>
    </row>
    <row r="52" spans="2:21" s="1" customFormat="1">
      <c r="B52" s="39" t="s">
        <v>685</v>
      </c>
      <c r="C52" s="109">
        <v>98.12</v>
      </c>
      <c r="D52" s="110" t="s">
        <v>61</v>
      </c>
      <c r="E52" s="109">
        <v>123</v>
      </c>
      <c r="F52" s="14">
        <f>IFERROR(E52/C52-1,"-")</f>
        <v>0.25356706074194868</v>
      </c>
      <c r="H52" s="86" t="s">
        <v>688</v>
      </c>
      <c r="I52" s="86" t="e">
        <f t="shared" ca="1" si="13"/>
        <v>#NAME?</v>
      </c>
      <c r="J52" s="42"/>
      <c r="K52" s="86" t="s">
        <v>1257</v>
      </c>
      <c r="L52" s="90" cm="1">
        <f t="array" ref="L52">_xll.FDS($K52,"FG_PRICE")</f>
        <v>98.12</v>
      </c>
      <c r="M52" s="7"/>
      <c r="O52" s="16"/>
      <c r="P52" s="16"/>
      <c r="S52" s="5"/>
      <c r="T52" s="5"/>
    </row>
    <row r="53" spans="2:21" s="5" customFormat="1">
      <c r="B53" s="39" t="s">
        <v>711</v>
      </c>
      <c r="C53" s="109">
        <v>188.09</v>
      </c>
      <c r="D53" s="110" t="s">
        <v>61</v>
      </c>
      <c r="E53" s="109">
        <v>244</v>
      </c>
      <c r="F53" s="14">
        <f>IFERROR(E53/C53-1,"-")</f>
        <v>0.29725131585942899</v>
      </c>
      <c r="H53" s="86" t="s">
        <v>689</v>
      </c>
      <c r="I53" s="86" t="e">
        <f t="shared" ca="1" si="13"/>
        <v>#NAME?</v>
      </c>
      <c r="J53" s="42"/>
      <c r="K53" s="86" t="s">
        <v>1269</v>
      </c>
      <c r="L53" s="90" cm="1">
        <f t="array" ref="L53">_xll.FDS($K53,"FG_PRICE")</f>
        <v>188.09</v>
      </c>
      <c r="M53" s="7"/>
      <c r="P53" s="17"/>
      <c r="Q53" s="18"/>
    </row>
    <row r="54" spans="2:21" s="5" customFormat="1">
      <c r="H54" s="86"/>
      <c r="I54" s="42"/>
      <c r="J54" s="42"/>
      <c r="K54" s="86"/>
      <c r="L54" s="42"/>
      <c r="M54" s="7"/>
      <c r="P54" s="17"/>
      <c r="Q54" s="18"/>
    </row>
    <row r="55" spans="2:21" s="1" customFormat="1">
      <c r="B55" s="113" t="s">
        <v>1049</v>
      </c>
      <c r="C55" s="114" t="s">
        <v>464</v>
      </c>
      <c r="D55" s="114" t="s">
        <v>56</v>
      </c>
      <c r="E55" s="614" t="s">
        <v>57</v>
      </c>
      <c r="F55" s="115" t="s">
        <v>59</v>
      </c>
      <c r="H55" s="86"/>
      <c r="I55" s="87" t="s">
        <v>464</v>
      </c>
      <c r="J55" s="42"/>
      <c r="K55" s="86"/>
      <c r="L55" s="87" t="s">
        <v>464</v>
      </c>
      <c r="M55" s="7"/>
      <c r="N55" s="9"/>
      <c r="O55" s="20"/>
      <c r="P55" s="19"/>
      <c r="Q55" s="13"/>
      <c r="S55" s="5"/>
      <c r="T55" s="5"/>
    </row>
    <row r="56" spans="2:21" s="1" customFormat="1">
      <c r="B56" s="39" t="s">
        <v>412</v>
      </c>
      <c r="C56" s="117">
        <v>152.6</v>
      </c>
      <c r="D56" s="110" t="s">
        <v>58</v>
      </c>
      <c r="E56" s="117">
        <v>240</v>
      </c>
      <c r="F56" s="6">
        <f t="shared" ref="F56:F59" si="14">IFERROR(E56/C56-1,"-")</f>
        <v>0.57273918741808649</v>
      </c>
      <c r="H56" s="86" t="s">
        <v>683</v>
      </c>
      <c r="I56" s="86" t="e">
        <f t="shared" ref="I56:I60" ca="1" si="15">BDP($H56,"PX_LAST")</f>
        <v>#NAME?</v>
      </c>
      <c r="J56" s="86"/>
      <c r="K56" s="86" t="s">
        <v>1258</v>
      </c>
      <c r="L56" s="90" cm="1">
        <f t="array" ref="L56">_xll.FDS($K56,"FG_PRICE")</f>
        <v>152.6</v>
      </c>
      <c r="M56" s="7"/>
      <c r="S56" s="5"/>
      <c r="T56" s="5"/>
    </row>
    <row r="57" spans="2:21" s="1" customFormat="1">
      <c r="B57" s="39" t="s">
        <v>892</v>
      </c>
      <c r="C57" s="110">
        <v>4.1900000000000004</v>
      </c>
      <c r="D57" s="110" t="s">
        <v>61</v>
      </c>
      <c r="E57" s="110">
        <v>5</v>
      </c>
      <c r="F57" s="6">
        <f t="shared" si="14"/>
        <v>0.19331742243436745</v>
      </c>
      <c r="H57" s="86" t="s">
        <v>893</v>
      </c>
      <c r="I57" s="86" t="e">
        <f t="shared" ca="1" si="15"/>
        <v>#NAME?</v>
      </c>
      <c r="J57" s="42"/>
      <c r="K57" s="92" t="s">
        <v>1267</v>
      </c>
      <c r="L57" s="90" cm="1">
        <f t="array" ref="L57">_xll.FDS($K57,"FG_PRICE")</f>
        <v>4.1900000000000004</v>
      </c>
      <c r="M57" s="7"/>
      <c r="N57" s="23"/>
      <c r="O57" s="23"/>
      <c r="P57" s="23"/>
      <c r="Q57" s="9"/>
      <c r="S57" s="21"/>
      <c r="T57" s="21"/>
      <c r="U57" s="22"/>
    </row>
    <row r="58" spans="2:21" s="5" customFormat="1">
      <c r="B58" s="39" t="s">
        <v>215</v>
      </c>
      <c r="C58" s="112">
        <v>2.42</v>
      </c>
      <c r="D58" s="110" t="s">
        <v>58</v>
      </c>
      <c r="E58" s="112">
        <v>4.4000000000000004</v>
      </c>
      <c r="F58" s="6">
        <f t="shared" si="14"/>
        <v>0.81818181818181834</v>
      </c>
      <c r="H58" s="86" t="s">
        <v>371</v>
      </c>
      <c r="I58" s="86" t="e">
        <f t="shared" ca="1" si="15"/>
        <v>#NAME?</v>
      </c>
      <c r="J58" s="42"/>
      <c r="K58" s="92" t="s">
        <v>1268</v>
      </c>
      <c r="L58" s="90" cm="1">
        <f t="array" ref="L58">_xll.FDS($K58,"FG_PRICE")</f>
        <v>2.42</v>
      </c>
      <c r="M58" s="7"/>
      <c r="P58" s="17"/>
      <c r="Q58" s="18"/>
    </row>
    <row r="59" spans="2:21" s="5" customFormat="1">
      <c r="B59" s="39" t="s">
        <v>306</v>
      </c>
      <c r="C59" s="112">
        <v>3.45</v>
      </c>
      <c r="D59" s="110" t="s">
        <v>58</v>
      </c>
      <c r="E59" s="118">
        <v>3.5</v>
      </c>
      <c r="F59" s="6">
        <f t="shared" si="14"/>
        <v>1.4492753623188248E-2</v>
      </c>
      <c r="H59" s="86" t="s">
        <v>307</v>
      </c>
      <c r="I59" s="86" t="e">
        <f t="shared" ca="1" si="15"/>
        <v>#NAME?</v>
      </c>
      <c r="J59" s="42"/>
      <c r="K59" s="86" t="s">
        <v>1259</v>
      </c>
      <c r="L59" s="90" cm="1">
        <f t="array" ref="L59">_xll.FDS($K59,"FG_PRICE")</f>
        <v>3.45</v>
      </c>
      <c r="M59" s="7"/>
      <c r="P59" s="17"/>
      <c r="Q59" s="18"/>
    </row>
    <row r="60" spans="2:21" s="5" customFormat="1">
      <c r="B60" s="39" t="s">
        <v>894</v>
      </c>
      <c r="C60" s="112">
        <v>7.3049999999999997</v>
      </c>
      <c r="D60" s="110" t="s">
        <v>58</v>
      </c>
      <c r="E60" s="112">
        <v>8.3000000000000007</v>
      </c>
      <c r="F60" s="6">
        <f t="shared" ref="F60" si="16">IFERROR(E60/C60-1,"-")</f>
        <v>0.13620807665982215</v>
      </c>
      <c r="H60" s="86" t="s">
        <v>1061</v>
      </c>
      <c r="I60" s="86" t="e">
        <f t="shared" ca="1" si="15"/>
        <v>#NAME?</v>
      </c>
      <c r="J60" s="42"/>
      <c r="K60" s="86" t="s">
        <v>1260</v>
      </c>
      <c r="L60" s="90" cm="1">
        <f t="array" ref="L60">_xll.FDS($K60,"FG_PRICE")</f>
        <v>7.3049999999999997</v>
      </c>
      <c r="M60" s="7"/>
      <c r="P60" s="17"/>
      <c r="Q60" s="18"/>
    </row>
    <row r="61" spans="2:21" s="5" customFormat="1">
      <c r="B61" s="1"/>
      <c r="C61" s="82"/>
      <c r="D61" s="25"/>
      <c r="E61" s="82"/>
      <c r="F61" s="26"/>
      <c r="H61" s="86"/>
      <c r="I61" s="97"/>
      <c r="J61" s="42"/>
      <c r="K61" s="86"/>
      <c r="L61" s="97"/>
      <c r="M61" s="7"/>
      <c r="P61" s="17"/>
      <c r="Q61" s="18"/>
    </row>
    <row r="62" spans="2:21" s="5" customFormat="1">
      <c r="B62" s="113" t="s">
        <v>1050</v>
      </c>
      <c r="C62" s="114" t="s">
        <v>464</v>
      </c>
      <c r="D62" s="114" t="s">
        <v>56</v>
      </c>
      <c r="E62" s="614" t="s">
        <v>57</v>
      </c>
      <c r="F62" s="115" t="s">
        <v>59</v>
      </c>
      <c r="H62" s="86"/>
      <c r="I62" s="87" t="s">
        <v>464</v>
      </c>
      <c r="J62" s="98"/>
      <c r="K62" s="86"/>
      <c r="L62" s="87" t="s">
        <v>464</v>
      </c>
      <c r="M62" s="7"/>
      <c r="P62" s="17"/>
      <c r="Q62" s="18"/>
    </row>
    <row r="63" spans="2:21" s="1" customFormat="1">
      <c r="B63" s="39" t="s">
        <v>302</v>
      </c>
      <c r="C63" s="117">
        <v>4302</v>
      </c>
      <c r="D63" s="110" t="s">
        <v>58</v>
      </c>
      <c r="E63" s="117">
        <v>6600</v>
      </c>
      <c r="F63" s="6">
        <f t="shared" ref="F63:F65" si="17">IFERROR(E63/C63-1,"-")</f>
        <v>0.53417015341701535</v>
      </c>
      <c r="H63" s="86" t="s">
        <v>684</v>
      </c>
      <c r="I63" s="86" t="e">
        <f t="shared" ref="I63:I65" ca="1" si="18">BDP($H63,"PX_LAST")</f>
        <v>#NAME?</v>
      </c>
      <c r="J63" s="86"/>
      <c r="K63" s="86" t="s">
        <v>1261</v>
      </c>
      <c r="L63" s="90" cm="1">
        <f t="array" ref="L63">_xll.FDS($K63,"FG_PRICE")</f>
        <v>4302</v>
      </c>
      <c r="M63" s="7"/>
      <c r="N63" s="9"/>
      <c r="O63" s="9"/>
      <c r="P63" s="9"/>
      <c r="Q63" s="9"/>
      <c r="R63" s="9"/>
      <c r="S63" s="5"/>
      <c r="T63" s="5"/>
    </row>
    <row r="64" spans="2:21" s="1" customFormat="1">
      <c r="B64" s="39" t="s">
        <v>1052</v>
      </c>
      <c r="C64" s="117">
        <v>775.9</v>
      </c>
      <c r="D64" s="110" t="s">
        <v>60</v>
      </c>
      <c r="E64" s="117">
        <v>400</v>
      </c>
      <c r="F64" s="6">
        <f t="shared" si="17"/>
        <v>-0.48446964815053484</v>
      </c>
      <c r="H64" s="86" t="s">
        <v>1054</v>
      </c>
      <c r="I64" s="86" t="e">
        <f t="shared" ca="1" si="18"/>
        <v>#NAME?</v>
      </c>
      <c r="J64" s="86"/>
      <c r="K64" s="86" t="s">
        <v>1262</v>
      </c>
      <c r="L64" s="90" cm="1">
        <f t="array" ref="L64">_xll.FDS($K64,"FG_PRICE")</f>
        <v>775.9</v>
      </c>
      <c r="M64" s="7"/>
      <c r="S64" s="5"/>
      <c r="T64" s="5"/>
    </row>
    <row r="65" spans="2:21" s="1" customFormat="1">
      <c r="B65" s="39" t="s">
        <v>1045</v>
      </c>
      <c r="C65" s="117">
        <v>1897.5</v>
      </c>
      <c r="D65" s="110" t="s">
        <v>58</v>
      </c>
      <c r="E65" s="117">
        <v>2500</v>
      </c>
      <c r="F65" s="6">
        <f t="shared" si="17"/>
        <v>0.31752305665349145</v>
      </c>
      <c r="H65" s="86" t="s">
        <v>1046</v>
      </c>
      <c r="I65" s="86" t="e">
        <f t="shared" ca="1" si="18"/>
        <v>#NAME?</v>
      </c>
      <c r="J65" s="96"/>
      <c r="K65" s="86" t="s">
        <v>1263</v>
      </c>
      <c r="L65" s="90" cm="1">
        <f t="array" ref="L65">_xll.FDS($K65,"FG_PRICE")</f>
        <v>1897.5</v>
      </c>
      <c r="M65" s="7"/>
      <c r="S65" s="5"/>
      <c r="T65" s="5"/>
    </row>
    <row r="66" spans="2:21" s="1" customFormat="1">
      <c r="H66" s="86"/>
      <c r="I66" s="86"/>
      <c r="J66" s="86"/>
      <c r="K66" s="86"/>
      <c r="L66" s="86"/>
      <c r="M66" s="7"/>
      <c r="S66" s="5"/>
      <c r="T66" s="5"/>
    </row>
    <row r="67" spans="2:21" s="1" customFormat="1">
      <c r="B67" s="113" t="s">
        <v>1051</v>
      </c>
      <c r="C67" s="114" t="s">
        <v>464</v>
      </c>
      <c r="D67" s="114" t="s">
        <v>56</v>
      </c>
      <c r="E67" s="614" t="s">
        <v>57</v>
      </c>
      <c r="F67" s="115" t="s">
        <v>59</v>
      </c>
      <c r="H67" s="86"/>
      <c r="I67" s="87" t="s">
        <v>464</v>
      </c>
      <c r="J67" s="86"/>
      <c r="K67" s="86"/>
      <c r="L67" s="87" t="s">
        <v>464</v>
      </c>
      <c r="M67" s="7"/>
      <c r="S67" s="5"/>
      <c r="T67" s="5"/>
    </row>
    <row r="68" spans="2:21" s="5" customFormat="1">
      <c r="B68" s="39" t="s">
        <v>836</v>
      </c>
      <c r="C68" s="112">
        <v>2.57</v>
      </c>
      <c r="D68" s="110" t="s">
        <v>58</v>
      </c>
      <c r="E68" s="112">
        <v>16</v>
      </c>
      <c r="F68" s="6">
        <f>IFERROR(E68/C68-1,"-")</f>
        <v>5.2256809338521402</v>
      </c>
      <c r="H68" s="86" t="s">
        <v>841</v>
      </c>
      <c r="I68" s="86" t="e">
        <f t="shared" ref="I68:I71" ca="1" si="19">BDP($H68,"PX_LAST")</f>
        <v>#NAME?</v>
      </c>
      <c r="J68" s="42"/>
      <c r="K68" s="86" t="s">
        <v>1264</v>
      </c>
      <c r="L68" s="90" cm="1">
        <f t="array" ref="L68">_xll.FDS($K68,"FG_PRICE")</f>
        <v>2.57</v>
      </c>
      <c r="M68" s="7"/>
      <c r="P68" s="17"/>
      <c r="Q68" s="18"/>
    </row>
    <row r="69" spans="2:21" s="1" customFormat="1">
      <c r="B69" s="39" t="s">
        <v>978</v>
      </c>
      <c r="C69" s="111">
        <v>4.1000000000000002E-2</v>
      </c>
      <c r="D69" s="110" t="s">
        <v>992</v>
      </c>
      <c r="E69" s="119" t="s">
        <v>992</v>
      </c>
      <c r="F69" s="6" t="str">
        <f>IFERROR(E69/C69-1,"-")</f>
        <v>-</v>
      </c>
      <c r="H69" s="42" t="s">
        <v>982</v>
      </c>
      <c r="I69" s="86" t="e">
        <f t="shared" ca="1" si="19"/>
        <v>#NAME?</v>
      </c>
      <c r="J69" s="86"/>
      <c r="K69" s="42" t="s">
        <v>1265</v>
      </c>
      <c r="L69" s="90" cm="1">
        <f t="array" ref="L69">_xll.FDS($K69,"FG_PRICE")</f>
        <v>4.1000000000000002E-2</v>
      </c>
      <c r="M69" s="7"/>
      <c r="O69" s="19"/>
      <c r="P69" s="19"/>
      <c r="Q69" s="13"/>
      <c r="S69" s="5"/>
      <c r="T69" s="5"/>
    </row>
    <row r="70" spans="2:21" s="1" customFormat="1">
      <c r="B70" s="39" t="s">
        <v>970</v>
      </c>
      <c r="C70" s="112">
        <v>4.5999999999999996</v>
      </c>
      <c r="D70" s="110" t="s">
        <v>61</v>
      </c>
      <c r="E70" s="112">
        <v>7.5</v>
      </c>
      <c r="F70" s="6">
        <f>IFERROR(E70/C70-1,"-")</f>
        <v>0.63043478260869579</v>
      </c>
      <c r="H70" s="86" t="s">
        <v>1134</v>
      </c>
      <c r="I70" s="86" t="e">
        <f t="shared" ca="1" si="19"/>
        <v>#NAME?</v>
      </c>
      <c r="J70" s="86"/>
      <c r="K70" s="86" t="s">
        <v>1266</v>
      </c>
      <c r="L70" s="90" cm="1">
        <f t="array" ref="L70">_xll.FDS($K70,"FG_PRICE")</f>
        <v>4.5999999999999996</v>
      </c>
      <c r="M70" s="7"/>
      <c r="O70" s="9"/>
      <c r="P70" s="9"/>
      <c r="Q70" s="9"/>
      <c r="R70" s="9"/>
      <c r="S70" s="5"/>
      <c r="T70" s="5"/>
    </row>
    <row r="71" spans="2:21" s="1" customFormat="1">
      <c r="B71" s="39" t="s">
        <v>1063</v>
      </c>
      <c r="C71" s="112">
        <v>85.2</v>
      </c>
      <c r="D71" s="110" t="s">
        <v>61</v>
      </c>
      <c r="E71" s="112">
        <v>28</v>
      </c>
      <c r="F71" s="6">
        <f>IFERROR(E71/C71-1,"-")</f>
        <v>-0.67136150234741787</v>
      </c>
      <c r="H71" s="86" t="s">
        <v>1062</v>
      </c>
      <c r="I71" s="86" t="e">
        <f t="shared" ca="1" si="19"/>
        <v>#NAME?</v>
      </c>
      <c r="J71" s="86"/>
      <c r="K71" s="86" t="s">
        <v>1349</v>
      </c>
      <c r="L71" s="90" cm="1">
        <f t="array" ref="L71">_xll.FDS($K71,"FG_PRICE")</f>
        <v>85.2</v>
      </c>
      <c r="M71" s="7"/>
      <c r="S71" s="5"/>
      <c r="T71" s="5"/>
    </row>
    <row r="72" spans="2:21" s="1" customFormat="1">
      <c r="H72" s="86"/>
      <c r="I72" s="86"/>
      <c r="J72" s="86"/>
      <c r="K72" s="86"/>
      <c r="L72" s="86"/>
      <c r="M72" s="7"/>
      <c r="S72" s="5"/>
      <c r="T72" s="5"/>
    </row>
    <row r="73" spans="2:21" s="1" customFormat="1">
      <c r="B73" s="113" t="s">
        <v>368</v>
      </c>
      <c r="C73" s="114" t="s">
        <v>464</v>
      </c>
      <c r="D73" s="114" t="s">
        <v>56</v>
      </c>
      <c r="E73" s="614" t="s">
        <v>57</v>
      </c>
      <c r="F73" s="115" t="s">
        <v>59</v>
      </c>
      <c r="H73" s="86"/>
      <c r="I73" s="87" t="s">
        <v>464</v>
      </c>
      <c r="J73" s="99"/>
      <c r="K73" s="86"/>
      <c r="L73" s="87" t="s">
        <v>464</v>
      </c>
      <c r="M73" s="7"/>
      <c r="O73" s="19"/>
      <c r="P73" s="19"/>
      <c r="Q73" s="13"/>
      <c r="S73" s="5"/>
      <c r="T73" s="5"/>
    </row>
    <row r="74" spans="2:21" s="1" customFormat="1">
      <c r="B74" s="39" t="s">
        <v>297</v>
      </c>
      <c r="C74" s="110">
        <v>4.4400000000000004</v>
      </c>
      <c r="D74" s="110" t="s">
        <v>58</v>
      </c>
      <c r="E74" s="111">
        <v>8.75</v>
      </c>
      <c r="F74" s="6">
        <f t="shared" ref="F74:F77" si="20">IFERROR(E74/C74-1,"-")</f>
        <v>0.97072072072072046</v>
      </c>
      <c r="H74" s="86" t="s">
        <v>372</v>
      </c>
      <c r="I74" s="86" t="e">
        <f t="shared" ref="I74:I77" ca="1" si="21">BDP($H74,"PX_LAST")</f>
        <v>#NAME?</v>
      </c>
      <c r="J74" s="86"/>
      <c r="K74" s="92" t="s">
        <v>1270</v>
      </c>
      <c r="L74" s="90" cm="1">
        <f t="array" ref="L74">_xll.FDS($K74,"FG_PRICE")</f>
        <v>4.4400000000000004</v>
      </c>
      <c r="M74" s="7"/>
      <c r="N74" s="9"/>
      <c r="O74" s="20"/>
      <c r="P74" s="20"/>
      <c r="Q74" s="28"/>
      <c r="R74" s="9"/>
      <c r="S74" s="5"/>
      <c r="T74" s="5"/>
    </row>
    <row r="75" spans="2:21" s="1" customFormat="1">
      <c r="B75" s="39" t="s">
        <v>239</v>
      </c>
      <c r="C75" s="110">
        <v>6.2</v>
      </c>
      <c r="D75" s="110" t="s">
        <v>58</v>
      </c>
      <c r="E75" s="110">
        <v>13.2</v>
      </c>
      <c r="F75" s="6">
        <f t="shared" si="20"/>
        <v>1.129032258064516</v>
      </c>
      <c r="H75" s="86" t="s">
        <v>373</v>
      </c>
      <c r="I75" s="86" t="e">
        <f t="shared" ca="1" si="21"/>
        <v>#NAME?</v>
      </c>
      <c r="J75" s="42"/>
      <c r="K75" s="92" t="s">
        <v>1271</v>
      </c>
      <c r="L75" s="90" cm="1">
        <f t="array" ref="L75">_xll.FDS($K75,"FG_PRICE")</f>
        <v>6.2</v>
      </c>
      <c r="M75" s="7"/>
      <c r="N75" s="9"/>
      <c r="O75" s="20"/>
      <c r="P75" s="20"/>
      <c r="Q75" s="28"/>
      <c r="R75" s="9"/>
      <c r="S75" s="5"/>
      <c r="T75" s="5"/>
    </row>
    <row r="76" spans="2:21" s="1" customFormat="1">
      <c r="B76" s="39" t="s">
        <v>420</v>
      </c>
      <c r="C76" s="109">
        <v>127</v>
      </c>
      <c r="D76" s="110" t="s">
        <v>1525</v>
      </c>
      <c r="E76" s="110" t="s">
        <v>1525</v>
      </c>
      <c r="F76" s="6" t="str">
        <f t="shared" si="20"/>
        <v>-</v>
      </c>
      <c r="H76" s="86" t="s">
        <v>374</v>
      </c>
      <c r="I76" s="86" t="e">
        <f t="shared" ca="1" si="21"/>
        <v>#NAME?</v>
      </c>
      <c r="J76" s="100"/>
      <c r="K76" s="92" t="s">
        <v>1272</v>
      </c>
      <c r="L76" s="90" cm="1">
        <f t="array" ref="L76">_xll.FDS($K76,"FG_PRICE")</f>
        <v>127</v>
      </c>
      <c r="M76" s="7"/>
      <c r="N76" s="9"/>
      <c r="O76" s="9"/>
      <c r="P76" s="9"/>
      <c r="Q76" s="9"/>
      <c r="R76" s="9"/>
      <c r="S76" s="5"/>
      <c r="T76" s="5"/>
    </row>
    <row r="77" spans="2:21" s="1" customFormat="1">
      <c r="B77" s="39" t="s">
        <v>444</v>
      </c>
      <c r="C77" s="117">
        <v>2940</v>
      </c>
      <c r="D77" s="110" t="s">
        <v>58</v>
      </c>
      <c r="E77" s="117">
        <v>5000</v>
      </c>
      <c r="F77" s="6">
        <f t="shared" si="20"/>
        <v>0.70068027210884343</v>
      </c>
      <c r="H77" s="86" t="s">
        <v>64</v>
      </c>
      <c r="I77" s="86" t="e">
        <f t="shared" ca="1" si="21"/>
        <v>#NAME?</v>
      </c>
      <c r="J77" s="98"/>
      <c r="K77" s="92" t="s">
        <v>1273</v>
      </c>
      <c r="L77" s="90" cm="1">
        <f t="array" ref="L77">_xll.FDS($K77,"FG_PRICE")</f>
        <v>2940</v>
      </c>
      <c r="M77" s="7"/>
      <c r="N77" s="9"/>
      <c r="O77" s="9"/>
      <c r="P77" s="27"/>
      <c r="Q77" s="28"/>
      <c r="R77" s="9"/>
      <c r="S77" s="5"/>
      <c r="T77" s="5"/>
    </row>
    <row r="78" spans="2:21" s="1" customFormat="1">
      <c r="B78" s="5"/>
      <c r="C78" s="29"/>
      <c r="D78" s="30"/>
      <c r="E78" s="29"/>
      <c r="F78" s="31"/>
      <c r="H78" s="86"/>
      <c r="I78" s="42"/>
      <c r="J78" s="98"/>
      <c r="K78" s="86"/>
      <c r="L78" s="42"/>
      <c r="M78" s="7"/>
      <c r="O78" s="32"/>
      <c r="P78" s="32"/>
      <c r="Q78" s="28"/>
      <c r="R78" s="9"/>
      <c r="S78" s="5"/>
      <c r="T78" s="5"/>
      <c r="U78" s="9"/>
    </row>
    <row r="79" spans="2:21" s="1" customFormat="1">
      <c r="B79" s="113" t="s">
        <v>369</v>
      </c>
      <c r="C79" s="114" t="s">
        <v>464</v>
      </c>
      <c r="D79" s="114" t="s">
        <v>56</v>
      </c>
      <c r="E79" s="614" t="s">
        <v>57</v>
      </c>
      <c r="F79" s="115" t="s">
        <v>59</v>
      </c>
      <c r="H79" s="86"/>
      <c r="I79" s="87" t="s">
        <v>464</v>
      </c>
      <c r="J79" s="86"/>
      <c r="K79" s="86"/>
      <c r="L79" s="93" t="s">
        <v>464</v>
      </c>
      <c r="M79" s="7"/>
      <c r="N79" s="9"/>
      <c r="O79" s="27"/>
      <c r="P79" s="27"/>
      <c r="Q79" s="28"/>
      <c r="R79" s="9"/>
      <c r="S79" s="5"/>
      <c r="T79" s="5"/>
    </row>
    <row r="80" spans="2:21" s="1" customFormat="1">
      <c r="B80" s="39" t="s">
        <v>560</v>
      </c>
      <c r="C80" s="117">
        <v>207</v>
      </c>
      <c r="D80" s="110" t="s">
        <v>58</v>
      </c>
      <c r="E80" s="117">
        <v>300</v>
      </c>
      <c r="F80" s="6">
        <f t="shared" ref="F80:F94" si="22">IFERROR(E80/C80-1,"-")</f>
        <v>0.44927536231884058</v>
      </c>
      <c r="H80" s="86" t="s">
        <v>44</v>
      </c>
      <c r="I80" s="86" t="e">
        <f t="shared" ref="I80:I94" ca="1" si="23">BDP($H80,"PX_LAST")</f>
        <v>#NAME?</v>
      </c>
      <c r="J80" s="86"/>
      <c r="K80" s="92" t="s">
        <v>1275</v>
      </c>
      <c r="L80" s="90" cm="1">
        <f t="array" ref="L80">_xll.FDS($K80,"FG_PRICE")</f>
        <v>207</v>
      </c>
      <c r="M80" s="7"/>
      <c r="N80" s="9"/>
      <c r="O80" s="9"/>
      <c r="P80" s="9"/>
      <c r="Q80" s="9"/>
      <c r="R80" s="9"/>
      <c r="S80" s="5"/>
      <c r="T80" s="5"/>
      <c r="U80" s="9"/>
    </row>
    <row r="81" spans="2:21" s="1" customFormat="1">
      <c r="B81" s="39" t="s">
        <v>329</v>
      </c>
      <c r="C81" s="112">
        <v>2.87</v>
      </c>
      <c r="D81" s="110" t="s">
        <v>58</v>
      </c>
      <c r="E81" s="112">
        <v>4.5</v>
      </c>
      <c r="F81" s="6">
        <f t="shared" si="22"/>
        <v>0.56794425087108014</v>
      </c>
      <c r="H81" s="86" t="s">
        <v>221</v>
      </c>
      <c r="I81" s="86" t="e">
        <f t="shared" ca="1" si="23"/>
        <v>#NAME?</v>
      </c>
      <c r="J81" s="86"/>
      <c r="K81" s="86" t="s">
        <v>1277</v>
      </c>
      <c r="L81" s="90" cm="1">
        <f t="array" ref="L81">_xll.FDS($K81,"FG_PRICE")</f>
        <v>2.87</v>
      </c>
      <c r="M81" s="7"/>
      <c r="N81" s="33"/>
      <c r="O81" s="33"/>
      <c r="P81" s="4"/>
      <c r="S81" s="5"/>
      <c r="T81" s="5"/>
    </row>
    <row r="82" spans="2:21" s="1" customFormat="1">
      <c r="B82" s="39" t="s">
        <v>343</v>
      </c>
      <c r="C82" s="109">
        <v>1388.6</v>
      </c>
      <c r="D82" s="110" t="s">
        <v>58</v>
      </c>
      <c r="E82" s="109">
        <v>1500</v>
      </c>
      <c r="F82" s="6">
        <f t="shared" si="22"/>
        <v>8.0224686734840844E-2</v>
      </c>
      <c r="H82" s="86" t="s">
        <v>66</v>
      </c>
      <c r="I82" s="86" t="e">
        <f t="shared" ca="1" si="23"/>
        <v>#NAME?</v>
      </c>
      <c r="J82" s="96"/>
      <c r="K82" s="92" t="s">
        <v>1278</v>
      </c>
      <c r="L82" s="90" cm="1">
        <f t="array" ref="L82">_xll.FDS($K82,"FG_PRICE")</f>
        <v>1388.6</v>
      </c>
      <c r="M82" s="7"/>
      <c r="N82" s="23"/>
      <c r="O82" s="15"/>
      <c r="P82" s="15"/>
      <c r="S82" s="21"/>
      <c r="T82" s="21"/>
      <c r="U82" s="22"/>
    </row>
    <row r="83" spans="2:21" s="1" customFormat="1">
      <c r="B83" s="39" t="s">
        <v>478</v>
      </c>
      <c r="C83" s="110">
        <v>73.2</v>
      </c>
      <c r="D83" s="110" t="s">
        <v>58</v>
      </c>
      <c r="E83" s="110">
        <v>115</v>
      </c>
      <c r="F83" s="6">
        <f t="shared" si="22"/>
        <v>0.57103825136612008</v>
      </c>
      <c r="H83" s="86" t="s">
        <v>106</v>
      </c>
      <c r="I83" s="86" t="e">
        <f t="shared" ca="1" si="23"/>
        <v>#NAME?</v>
      </c>
      <c r="J83" s="96"/>
      <c r="K83" s="86" t="s">
        <v>1276</v>
      </c>
      <c r="L83" s="90" cm="1">
        <f t="array" ref="L83">_xll.FDS($K83,"FG_PRICE")</f>
        <v>73.2</v>
      </c>
      <c r="M83" s="7"/>
      <c r="N83" s="23"/>
      <c r="O83" s="23"/>
      <c r="P83" s="15"/>
      <c r="S83" s="5"/>
      <c r="T83" s="5"/>
    </row>
    <row r="84" spans="2:21" s="1" customFormat="1">
      <c r="B84" s="39" t="s">
        <v>363</v>
      </c>
      <c r="C84" s="112">
        <v>4.05</v>
      </c>
      <c r="D84" s="110" t="s">
        <v>58</v>
      </c>
      <c r="E84" s="112">
        <v>6</v>
      </c>
      <c r="F84" s="6">
        <f t="shared" si="22"/>
        <v>0.48148148148148162</v>
      </c>
      <c r="H84" s="86" t="s">
        <v>1569</v>
      </c>
      <c r="I84" s="86" t="e">
        <f t="shared" ca="1" si="23"/>
        <v>#NAME?</v>
      </c>
      <c r="J84" s="99"/>
      <c r="K84" s="92" t="s">
        <v>1279</v>
      </c>
      <c r="L84" s="90" cm="1">
        <f t="array" ref="L84">_xll.FDS($K84,"FG_PRICE")</f>
        <v>4.05</v>
      </c>
      <c r="M84" s="7"/>
      <c r="N84" s="23"/>
      <c r="O84" s="23"/>
      <c r="P84" s="23"/>
      <c r="S84" s="5"/>
      <c r="T84" s="5"/>
    </row>
    <row r="85" spans="2:21" s="1" customFormat="1">
      <c r="B85" s="39" t="s">
        <v>421</v>
      </c>
      <c r="C85" s="112">
        <v>84</v>
      </c>
      <c r="D85" s="110" t="s">
        <v>1525</v>
      </c>
      <c r="E85" s="112" t="s">
        <v>1525</v>
      </c>
      <c r="F85" s="6" t="str">
        <f t="shared" si="22"/>
        <v>-</v>
      </c>
      <c r="H85" s="86" t="s">
        <v>102</v>
      </c>
      <c r="I85" s="86" t="e">
        <f t="shared" ca="1" si="23"/>
        <v>#NAME?</v>
      </c>
      <c r="J85" s="86"/>
      <c r="K85" s="92" t="s">
        <v>1280</v>
      </c>
      <c r="L85" s="90" cm="1">
        <f t="array" ref="L85">_xll.FDS($K85,"FG_PRICE")</f>
        <v>84</v>
      </c>
      <c r="M85" s="7"/>
      <c r="N85" s="27"/>
      <c r="O85" s="27"/>
      <c r="P85" s="27"/>
      <c r="S85" s="5"/>
      <c r="T85" s="5"/>
    </row>
    <row r="86" spans="2:21" s="1" customFormat="1">
      <c r="B86" s="39" t="s">
        <v>1281</v>
      </c>
      <c r="C86" s="110">
        <v>15.11</v>
      </c>
      <c r="D86" s="110" t="s">
        <v>60</v>
      </c>
      <c r="E86" s="112">
        <v>5</v>
      </c>
      <c r="F86" s="34">
        <f t="shared" si="22"/>
        <v>-0.66909331568497676</v>
      </c>
      <c r="G86" s="9"/>
      <c r="H86" s="92" t="s">
        <v>67</v>
      </c>
      <c r="I86" s="92" t="e">
        <f t="shared" ca="1" si="23"/>
        <v>#NAME?</v>
      </c>
      <c r="J86" s="101"/>
      <c r="K86" s="92" t="s">
        <v>1282</v>
      </c>
      <c r="L86" s="90" cm="1">
        <f t="array" ref="L86">_xll.FDS($K86,"FG_PRICE")</f>
        <v>15.11</v>
      </c>
      <c r="M86" s="7"/>
      <c r="P86" s="15"/>
      <c r="Q86" s="13"/>
      <c r="S86" s="5"/>
      <c r="T86" s="5"/>
    </row>
    <row r="87" spans="2:21" s="1" customFormat="1">
      <c r="B87" s="39" t="s">
        <v>558</v>
      </c>
      <c r="C87" s="117">
        <v>10075</v>
      </c>
      <c r="D87" s="110" t="s">
        <v>58</v>
      </c>
      <c r="E87" s="117">
        <v>12500</v>
      </c>
      <c r="F87" s="6">
        <f t="shared" si="22"/>
        <v>0.2406947890818858</v>
      </c>
      <c r="H87" s="86" t="s">
        <v>113</v>
      </c>
      <c r="I87" s="86" t="e">
        <f t="shared" ca="1" si="23"/>
        <v>#NAME?</v>
      </c>
      <c r="J87" s="98"/>
      <c r="K87" s="92" t="s">
        <v>1283</v>
      </c>
      <c r="L87" s="90" cm="1">
        <f t="array" ref="L87">_xll.FDS($K87,"FG_PRICE")</f>
        <v>10075</v>
      </c>
      <c r="M87" s="7"/>
      <c r="N87" s="9"/>
      <c r="O87" s="9"/>
      <c r="P87" s="27"/>
      <c r="Q87" s="28"/>
      <c r="R87" s="9"/>
      <c r="S87" s="5"/>
      <c r="T87" s="5"/>
    </row>
    <row r="88" spans="2:21" s="1" customFormat="1">
      <c r="B88" s="39" t="s">
        <v>364</v>
      </c>
      <c r="C88" s="112">
        <v>36350</v>
      </c>
      <c r="D88" s="110" t="s">
        <v>58</v>
      </c>
      <c r="E88" s="112">
        <v>70000</v>
      </c>
      <c r="F88" s="6">
        <f t="shared" si="22"/>
        <v>0.92572214580467671</v>
      </c>
      <c r="H88" s="86" t="s">
        <v>994</v>
      </c>
      <c r="I88" s="86" t="e">
        <f t="shared" ca="1" si="23"/>
        <v>#NAME?</v>
      </c>
      <c r="J88" s="96"/>
      <c r="K88" s="86" t="s">
        <v>1568</v>
      </c>
      <c r="L88" s="90" cm="1">
        <f t="array" ref="L88">_xll.FDS($K88,"FG_PRICE")</f>
        <v>36350</v>
      </c>
      <c r="M88" s="7"/>
      <c r="P88" s="32"/>
      <c r="Q88" s="13"/>
      <c r="S88" s="5"/>
      <c r="T88" s="5"/>
    </row>
    <row r="89" spans="2:21" s="1" customFormat="1">
      <c r="B89" s="39" t="s">
        <v>224</v>
      </c>
      <c r="C89" s="117">
        <v>9770</v>
      </c>
      <c r="D89" s="110" t="s">
        <v>58</v>
      </c>
      <c r="E89" s="117">
        <v>21000</v>
      </c>
      <c r="F89" s="6">
        <f t="shared" si="22"/>
        <v>1.1494370522006143</v>
      </c>
      <c r="H89" s="86" t="s">
        <v>109</v>
      </c>
      <c r="I89" s="86" t="e">
        <f t="shared" ca="1" si="23"/>
        <v>#NAME?</v>
      </c>
      <c r="J89" s="96"/>
      <c r="K89" s="92" t="s">
        <v>1284</v>
      </c>
      <c r="L89" s="90" cm="1">
        <f t="array" ref="L89">_xll.FDS($K89,"FG_PRICE")</f>
        <v>9770</v>
      </c>
      <c r="M89" s="7"/>
      <c r="N89" s="9"/>
      <c r="O89" s="9"/>
      <c r="P89" s="27"/>
      <c r="Q89" s="28"/>
      <c r="R89" s="9"/>
      <c r="S89" s="5"/>
      <c r="T89" s="5"/>
    </row>
    <row r="90" spans="2:21" s="1" customFormat="1">
      <c r="B90" s="39" t="s">
        <v>362</v>
      </c>
      <c r="C90" s="110">
        <v>3.71</v>
      </c>
      <c r="D90" s="110" t="s">
        <v>58</v>
      </c>
      <c r="E90" s="110">
        <v>5.6</v>
      </c>
      <c r="F90" s="6">
        <f t="shared" si="22"/>
        <v>0.50943396226415083</v>
      </c>
      <c r="H90" s="86" t="s">
        <v>487</v>
      </c>
      <c r="I90" s="86" t="e">
        <f t="shared" ca="1" si="23"/>
        <v>#NAME?</v>
      </c>
      <c r="J90" s="96"/>
      <c r="K90" s="92" t="s">
        <v>1285</v>
      </c>
      <c r="L90" s="90" cm="1">
        <f t="array" ref="L90">_xll.FDS($K90,"FG_PRICE")</f>
        <v>3.71</v>
      </c>
      <c r="M90" s="7"/>
      <c r="O90" s="13"/>
      <c r="P90" s="13"/>
      <c r="Q90" s="13"/>
      <c r="S90" s="5"/>
      <c r="T90" s="5"/>
    </row>
    <row r="91" spans="2:21" s="1" customFormat="1">
      <c r="B91" s="39" t="s">
        <v>441</v>
      </c>
      <c r="C91" s="117">
        <v>51800</v>
      </c>
      <c r="D91" s="110" t="s">
        <v>58</v>
      </c>
      <c r="E91" s="117">
        <v>116000</v>
      </c>
      <c r="F91" s="6">
        <f t="shared" si="22"/>
        <v>1.2393822393822393</v>
      </c>
      <c r="H91" s="86" t="s">
        <v>210</v>
      </c>
      <c r="I91" s="86" t="e">
        <f t="shared" ca="1" si="23"/>
        <v>#NAME?</v>
      </c>
      <c r="J91" s="86"/>
      <c r="K91" s="92" t="s">
        <v>1286</v>
      </c>
      <c r="L91" s="90" cm="1">
        <f t="array" ref="L91">_xll.FDS($K91,"FG_PRICE")</f>
        <v>51800</v>
      </c>
      <c r="M91" s="7"/>
      <c r="N91" s="9"/>
      <c r="S91" s="5"/>
      <c r="T91" s="5"/>
    </row>
    <row r="92" spans="2:21" s="1" customFormat="1">
      <c r="B92" s="39" t="s">
        <v>247</v>
      </c>
      <c r="C92" s="117">
        <v>106.5</v>
      </c>
      <c r="D92" s="110" t="s">
        <v>1525</v>
      </c>
      <c r="E92" s="117" t="s">
        <v>1525</v>
      </c>
      <c r="F92" s="6" t="str">
        <f t="shared" si="22"/>
        <v>-</v>
      </c>
      <c r="H92" s="86" t="s">
        <v>438</v>
      </c>
      <c r="I92" s="86" t="e">
        <f t="shared" ca="1" si="23"/>
        <v>#NAME?</v>
      </c>
      <c r="J92" s="96"/>
      <c r="K92" s="92" t="s">
        <v>1287</v>
      </c>
      <c r="L92" s="90" cm="1">
        <f t="array" ref="L92">_xll.FDS($K92,"FG_PRICE")</f>
        <v>106.5</v>
      </c>
      <c r="M92" s="7"/>
      <c r="N92" s="9"/>
      <c r="O92" s="9"/>
      <c r="S92" s="5"/>
      <c r="T92" s="5"/>
    </row>
    <row r="93" spans="2:21" s="1" customFormat="1">
      <c r="B93" s="39" t="s">
        <v>37</v>
      </c>
      <c r="C93" s="110">
        <v>8</v>
      </c>
      <c r="D93" s="110" t="s">
        <v>58</v>
      </c>
      <c r="E93" s="110">
        <v>15</v>
      </c>
      <c r="F93" s="6">
        <f t="shared" si="22"/>
        <v>0.875</v>
      </c>
      <c r="H93" s="86" t="s">
        <v>43</v>
      </c>
      <c r="I93" s="86" t="e">
        <f t="shared" ca="1" si="23"/>
        <v>#NAME?</v>
      </c>
      <c r="J93" s="42"/>
      <c r="K93" s="92" t="s">
        <v>1288</v>
      </c>
      <c r="L93" s="90" cm="1">
        <f t="array" ref="L93">_xll.FDS($K93,"FG_PRICE")</f>
        <v>8</v>
      </c>
      <c r="M93" s="7"/>
      <c r="N93" s="9"/>
      <c r="O93" s="9"/>
      <c r="P93" s="9"/>
      <c r="S93" s="5"/>
      <c r="T93" s="5"/>
    </row>
    <row r="94" spans="2:21" s="1" customFormat="1">
      <c r="B94" s="39" t="s">
        <v>358</v>
      </c>
      <c r="C94" s="117">
        <v>2470</v>
      </c>
      <c r="D94" s="110" t="s">
        <v>58</v>
      </c>
      <c r="E94" s="117">
        <v>5000</v>
      </c>
      <c r="F94" s="6">
        <f t="shared" si="22"/>
        <v>1.0242914979757085</v>
      </c>
      <c r="H94" s="86" t="s">
        <v>209</v>
      </c>
      <c r="I94" s="86" t="e">
        <f t="shared" ca="1" si="23"/>
        <v>#NAME?</v>
      </c>
      <c r="J94" s="42"/>
      <c r="K94" s="92" t="s">
        <v>1289</v>
      </c>
      <c r="L94" s="90" cm="1">
        <f t="array" ref="L94">_xll.FDS($K94,"FG_PRICE")</f>
        <v>2470</v>
      </c>
      <c r="M94" s="7"/>
      <c r="N94" s="9"/>
      <c r="O94" s="9"/>
      <c r="P94" s="9"/>
      <c r="Q94" s="9"/>
      <c r="S94" s="5"/>
      <c r="T94" s="5"/>
    </row>
    <row r="95" spans="2:21" s="1" customFormat="1">
      <c r="F95" s="6"/>
      <c r="H95" s="86"/>
      <c r="I95" s="86"/>
      <c r="J95" s="42"/>
      <c r="K95" s="86"/>
      <c r="L95" s="86"/>
      <c r="M95" s="7"/>
      <c r="S95" s="5"/>
      <c r="T95" s="5"/>
    </row>
    <row r="96" spans="2:21" s="1" customFormat="1">
      <c r="B96" s="113" t="s">
        <v>773</v>
      </c>
      <c r="C96" s="114" t="s">
        <v>464</v>
      </c>
      <c r="D96" s="114" t="s">
        <v>56</v>
      </c>
      <c r="E96" s="614" t="s">
        <v>57</v>
      </c>
      <c r="F96" s="115" t="s">
        <v>59</v>
      </c>
      <c r="H96" s="86"/>
      <c r="I96" s="87" t="s">
        <v>464</v>
      </c>
      <c r="J96" s="86"/>
      <c r="K96" s="86"/>
      <c r="L96" s="87" t="s">
        <v>464</v>
      </c>
      <c r="M96" s="7"/>
      <c r="S96" s="5"/>
      <c r="T96" s="5"/>
    </row>
    <row r="97" spans="2:20" s="1" customFormat="1">
      <c r="B97" s="39" t="s">
        <v>757</v>
      </c>
      <c r="C97" s="120">
        <v>346.65</v>
      </c>
      <c r="D97" s="119" t="s">
        <v>61</v>
      </c>
      <c r="E97" s="120">
        <v>265</v>
      </c>
      <c r="F97" s="6">
        <f t="shared" ref="F97:F101" si="24">IFERROR(E97/C97-1,"-")</f>
        <v>-0.23554017020049034</v>
      </c>
      <c r="H97" s="86" t="s">
        <v>1153</v>
      </c>
      <c r="I97" s="86" t="e">
        <f t="shared" ref="I97:I101" ca="1" si="25">BDP($H97,"PX_LAST")</f>
        <v>#NAME?</v>
      </c>
      <c r="J97" s="86"/>
      <c r="K97" s="92" t="s">
        <v>1290</v>
      </c>
      <c r="L97" s="90" cm="1">
        <f t="array" ref="L97">_xll.FDS($K97,"FG_PRICE")</f>
        <v>346.65</v>
      </c>
      <c r="M97" s="7"/>
      <c r="N97" s="9"/>
      <c r="O97" s="9"/>
      <c r="P97" s="9"/>
      <c r="Q97" s="9"/>
      <c r="R97" s="9"/>
      <c r="S97" s="5"/>
      <c r="T97" s="5"/>
    </row>
    <row r="98" spans="2:20" s="1" customFormat="1">
      <c r="B98" s="39" t="s">
        <v>1027</v>
      </c>
      <c r="C98" s="119">
        <v>0.92</v>
      </c>
      <c r="D98" s="119" t="s">
        <v>58</v>
      </c>
      <c r="E98" s="119">
        <v>1.4</v>
      </c>
      <c r="F98" s="6">
        <f t="shared" si="24"/>
        <v>0.52173913043478248</v>
      </c>
      <c r="H98" s="86" t="s">
        <v>1028</v>
      </c>
      <c r="I98" s="86" t="e">
        <f t="shared" ca="1" si="25"/>
        <v>#NAME?</v>
      </c>
      <c r="J98" s="86"/>
      <c r="K98" s="92" t="s">
        <v>1291</v>
      </c>
      <c r="L98" s="90" cm="1">
        <f t="array" ref="L98">_xll.FDS($K98,"FG_PRICE")</f>
        <v>0.92</v>
      </c>
      <c r="M98" s="7"/>
      <c r="N98" s="9"/>
      <c r="O98" s="9"/>
      <c r="P98" s="9"/>
      <c r="Q98" s="9"/>
      <c r="R98" s="9"/>
      <c r="S98" s="5"/>
      <c r="T98" s="5"/>
    </row>
    <row r="99" spans="2:20" s="1" customFormat="1">
      <c r="B99" s="39" t="s">
        <v>772</v>
      </c>
      <c r="C99" s="117">
        <v>765</v>
      </c>
      <c r="D99" s="119" t="s">
        <v>58</v>
      </c>
      <c r="E99" s="117">
        <v>1900</v>
      </c>
      <c r="F99" s="6">
        <f t="shared" si="24"/>
        <v>1.4836601307189543</v>
      </c>
      <c r="H99" s="86" t="s">
        <v>796</v>
      </c>
      <c r="I99" s="86" t="e">
        <f t="shared" ca="1" si="25"/>
        <v>#NAME?</v>
      </c>
      <c r="J99" s="86"/>
      <c r="K99" s="92" t="s">
        <v>1292</v>
      </c>
      <c r="L99" s="90" cm="1">
        <f t="array" ref="L99">_xll.FDS($K99,"FG_PRICE")</f>
        <v>765</v>
      </c>
      <c r="M99" s="7"/>
      <c r="N99" s="9"/>
      <c r="O99" s="9"/>
      <c r="P99" s="9"/>
      <c r="Q99" s="9"/>
      <c r="R99" s="9"/>
      <c r="S99" s="5"/>
      <c r="T99" s="5"/>
    </row>
    <row r="100" spans="2:20" s="1" customFormat="1">
      <c r="B100" s="39" t="s">
        <v>771</v>
      </c>
      <c r="C100" s="117">
        <v>1850</v>
      </c>
      <c r="D100" s="119" t="s">
        <v>61</v>
      </c>
      <c r="E100" s="117">
        <v>2200</v>
      </c>
      <c r="F100" s="6">
        <f t="shared" si="24"/>
        <v>0.18918918918918926</v>
      </c>
      <c r="H100" s="86" t="s">
        <v>797</v>
      </c>
      <c r="I100" s="86" t="e">
        <f t="shared" ca="1" si="25"/>
        <v>#NAME?</v>
      </c>
      <c r="J100" s="99"/>
      <c r="K100" s="92" t="s">
        <v>1293</v>
      </c>
      <c r="L100" s="90" cm="1">
        <f t="array" ref="L100">_xll.FDS($K100,"FG_PRICE")</f>
        <v>1850</v>
      </c>
      <c r="M100" s="7"/>
      <c r="N100" s="16"/>
      <c r="O100" s="16"/>
      <c r="P100" s="16"/>
      <c r="S100" s="5"/>
      <c r="T100" s="5"/>
    </row>
    <row r="101" spans="2:20" s="1" customFormat="1">
      <c r="B101" s="39" t="s">
        <v>1408</v>
      </c>
      <c r="C101" s="117">
        <v>605</v>
      </c>
      <c r="D101" s="110" t="s">
        <v>58</v>
      </c>
      <c r="E101" s="119">
        <v>1135</v>
      </c>
      <c r="F101" s="6">
        <f t="shared" si="24"/>
        <v>0.87603305785123964</v>
      </c>
      <c r="H101" s="86" t="s">
        <v>1410</v>
      </c>
      <c r="I101" s="86" t="e">
        <f t="shared" ca="1" si="25"/>
        <v>#NAME?</v>
      </c>
      <c r="J101" s="99"/>
      <c r="K101" s="92" t="s">
        <v>1411</v>
      </c>
      <c r="L101" s="90" cm="1">
        <f t="array" ref="L101">_xll.FDS($K101,"FG_PRICE")</f>
        <v>605</v>
      </c>
      <c r="M101" s="7"/>
      <c r="N101" s="16"/>
      <c r="O101" s="16"/>
      <c r="P101" s="16"/>
      <c r="S101" s="5"/>
      <c r="T101" s="5"/>
    </row>
    <row r="102" spans="2:20" s="1" customFormat="1">
      <c r="B102" s="83"/>
      <c r="C102" s="84"/>
      <c r="D102" s="35"/>
      <c r="E102" s="84"/>
      <c r="F102" s="31"/>
      <c r="H102" s="86"/>
      <c r="I102" s="42"/>
      <c r="J102" s="99"/>
      <c r="K102" s="86"/>
      <c r="L102" s="42"/>
      <c r="M102" s="7"/>
      <c r="N102" s="16"/>
      <c r="O102" s="24"/>
      <c r="P102" s="24"/>
      <c r="Q102" s="9"/>
      <c r="S102" s="5"/>
      <c r="T102" s="5"/>
    </row>
    <row r="103" spans="2:20" s="1" customFormat="1">
      <c r="B103" s="113" t="s">
        <v>114</v>
      </c>
      <c r="C103" s="114" t="s">
        <v>464</v>
      </c>
      <c r="D103" s="114" t="s">
        <v>56</v>
      </c>
      <c r="E103" s="614" t="s">
        <v>57</v>
      </c>
      <c r="F103" s="115" t="s">
        <v>59</v>
      </c>
      <c r="H103" s="86"/>
      <c r="I103" s="87" t="s">
        <v>464</v>
      </c>
      <c r="J103" s="86"/>
      <c r="K103" s="86"/>
      <c r="L103" s="87" t="s">
        <v>464</v>
      </c>
      <c r="M103" s="7"/>
      <c r="P103" s="15"/>
      <c r="Q103" s="13"/>
      <c r="S103" s="5"/>
      <c r="T103" s="5"/>
    </row>
    <row r="104" spans="2:20" s="1" customFormat="1">
      <c r="B104" s="39" t="s">
        <v>405</v>
      </c>
      <c r="C104" s="117">
        <v>2527</v>
      </c>
      <c r="D104" s="110" t="s">
        <v>61</v>
      </c>
      <c r="E104" s="117">
        <v>5600</v>
      </c>
      <c r="F104" s="6">
        <f t="shared" ref="F104:F105" si="26">IFERROR(E104/C104-1,"-")</f>
        <v>1.21606648199446</v>
      </c>
      <c r="H104" s="86" t="s">
        <v>65</v>
      </c>
      <c r="I104" s="86" t="e">
        <f t="shared" ref="I104:I105" ca="1" si="27">BDP($H104,"PX_LAST")</f>
        <v>#NAME?</v>
      </c>
      <c r="J104" s="100"/>
      <c r="K104" s="86" t="s">
        <v>1294</v>
      </c>
      <c r="L104" s="90" cm="1">
        <f t="array" ref="L104">_xll.FDS($K104,"FG_PRICE")*100</f>
        <v>2527</v>
      </c>
      <c r="M104" s="7"/>
      <c r="N104" s="9"/>
      <c r="P104" s="15"/>
      <c r="Q104" s="13"/>
      <c r="S104" s="5"/>
      <c r="T104" s="5"/>
    </row>
    <row r="105" spans="2:20" s="1" customFormat="1">
      <c r="B105" s="39" t="s">
        <v>327</v>
      </c>
      <c r="C105" s="110">
        <v>45.9</v>
      </c>
      <c r="D105" s="110" t="s">
        <v>58</v>
      </c>
      <c r="E105" s="110">
        <v>9.1</v>
      </c>
      <c r="F105" s="6">
        <f t="shared" si="26"/>
        <v>-0.80174291938997821</v>
      </c>
      <c r="H105" s="86" t="s">
        <v>520</v>
      </c>
      <c r="I105" s="86" t="e">
        <f t="shared" ca="1" si="27"/>
        <v>#NAME?</v>
      </c>
      <c r="J105" s="100"/>
      <c r="K105" s="92" t="s">
        <v>1382</v>
      </c>
      <c r="L105" s="90" cm="1">
        <f t="array" ref="L105">_xll.FDS($K105,"FG_PRICE")</f>
        <v>45.9</v>
      </c>
      <c r="M105" s="7"/>
      <c r="N105" s="16"/>
      <c r="O105" s="16"/>
      <c r="P105" s="16"/>
      <c r="S105" s="5"/>
      <c r="T105" s="5"/>
    </row>
    <row r="106" spans="2:20" s="1" customFormat="1">
      <c r="H106" s="86"/>
      <c r="I106" s="86"/>
      <c r="J106" s="86"/>
      <c r="K106" s="86"/>
      <c r="L106" s="86"/>
      <c r="M106" s="7"/>
      <c r="N106" s="9"/>
      <c r="O106" s="9"/>
      <c r="P106" s="9"/>
      <c r="Q106" s="9"/>
      <c r="R106" s="9"/>
      <c r="S106" s="5"/>
      <c r="T106" s="5"/>
    </row>
    <row r="107" spans="2:20" s="1" customFormat="1">
      <c r="B107" s="113" t="s">
        <v>366</v>
      </c>
      <c r="C107" s="114" t="s">
        <v>464</v>
      </c>
      <c r="D107" s="114" t="s">
        <v>56</v>
      </c>
      <c r="E107" s="614" t="s">
        <v>57</v>
      </c>
      <c r="F107" s="115" t="s">
        <v>59</v>
      </c>
      <c r="H107" s="86"/>
      <c r="I107" s="87" t="s">
        <v>464</v>
      </c>
      <c r="J107" s="86"/>
      <c r="K107" s="86"/>
      <c r="L107" s="87" t="s">
        <v>464</v>
      </c>
      <c r="M107" s="7"/>
      <c r="N107" s="36"/>
      <c r="S107" s="5"/>
      <c r="T107" s="5"/>
    </row>
    <row r="108" spans="2:20" s="1" customFormat="1">
      <c r="B108" s="39" t="s">
        <v>1084</v>
      </c>
      <c r="C108" s="112">
        <v>1.21</v>
      </c>
      <c r="D108" s="110" t="s">
        <v>58</v>
      </c>
      <c r="E108" s="112">
        <v>1.5</v>
      </c>
      <c r="F108" s="6">
        <f t="shared" ref="F108" si="28">IFERROR(E108/C108-1,"-")</f>
        <v>0.2396694214876034</v>
      </c>
      <c r="H108" s="86" t="s">
        <v>1372</v>
      </c>
      <c r="I108" s="86" t="e">
        <f ca="1">BDP($H108,"PX_LAST")</f>
        <v>#NAME?</v>
      </c>
      <c r="J108" s="86"/>
      <c r="K108" s="86" t="s">
        <v>1373</v>
      </c>
      <c r="L108" s="90" cm="1">
        <f t="array" ref="L108">_xll.FDS($K108,"FG_PRICE")</f>
        <v>1.21</v>
      </c>
      <c r="M108" s="7"/>
      <c r="O108" s="27"/>
      <c r="P108" s="27"/>
      <c r="Q108" s="13"/>
      <c r="S108" s="5"/>
      <c r="T108" s="5"/>
    </row>
    <row r="109" spans="2:20" s="1" customFormat="1">
      <c r="B109" s="39" t="s">
        <v>80</v>
      </c>
      <c r="C109" s="112">
        <v>10</v>
      </c>
      <c r="D109" s="110" t="s">
        <v>58</v>
      </c>
      <c r="E109" s="112">
        <v>10.1</v>
      </c>
      <c r="F109" s="6">
        <f t="shared" ref="F109:F114" si="29">IFERROR(E109/C109-1,"-")</f>
        <v>1.0000000000000009E-2</v>
      </c>
      <c r="H109" s="86" t="s">
        <v>681</v>
      </c>
      <c r="I109" s="86" t="e">
        <f t="shared" ref="I109:I114" ca="1" si="30">BDP($H109,"PX_LAST")</f>
        <v>#NAME?</v>
      </c>
      <c r="J109" s="86"/>
      <c r="K109" s="86" t="s">
        <v>1350</v>
      </c>
      <c r="L109" s="90">
        <v>10</v>
      </c>
      <c r="M109" s="7"/>
      <c r="O109" s="27"/>
      <c r="P109" s="27"/>
      <c r="Q109" s="13"/>
      <c r="S109" s="5"/>
      <c r="T109" s="5"/>
    </row>
    <row r="110" spans="2:20" s="1" customFormat="1">
      <c r="B110" s="39" t="s">
        <v>404</v>
      </c>
      <c r="C110" s="117">
        <v>8608</v>
      </c>
      <c r="D110" s="110" t="s">
        <v>58</v>
      </c>
      <c r="E110" s="117">
        <v>13000</v>
      </c>
      <c r="F110" s="6">
        <f t="shared" si="29"/>
        <v>0.5102230483271375</v>
      </c>
      <c r="H110" s="86" t="s">
        <v>201</v>
      </c>
      <c r="I110" s="86" t="e">
        <f t="shared" ca="1" si="30"/>
        <v>#NAME?</v>
      </c>
      <c r="J110" s="99"/>
      <c r="K110" s="92" t="s">
        <v>1295</v>
      </c>
      <c r="L110" s="90" cm="1">
        <f t="array" ref="L110">_xll.FDS($K110,"FG_PRICE")*100</f>
        <v>8608</v>
      </c>
      <c r="M110" s="7"/>
      <c r="S110" s="5"/>
      <c r="T110" s="5"/>
    </row>
    <row r="111" spans="2:20" s="1" customFormat="1">
      <c r="B111" s="39" t="s">
        <v>414</v>
      </c>
      <c r="C111" s="112">
        <v>17.75</v>
      </c>
      <c r="D111" s="110" t="s">
        <v>61</v>
      </c>
      <c r="E111" s="112">
        <v>17</v>
      </c>
      <c r="F111" s="6">
        <f t="shared" si="29"/>
        <v>-4.2253521126760618E-2</v>
      </c>
      <c r="H111" s="86" t="s">
        <v>624</v>
      </c>
      <c r="I111" s="86" t="e">
        <f t="shared" ca="1" si="30"/>
        <v>#NAME?</v>
      </c>
      <c r="J111" s="86"/>
      <c r="K111" s="92" t="s">
        <v>1296</v>
      </c>
      <c r="L111" s="90" cm="1">
        <f t="array" ref="L111">_xll.FDS($K111,"FG_PRICE")</f>
        <v>17.75</v>
      </c>
      <c r="M111" s="7"/>
      <c r="N111" s="23"/>
      <c r="O111" s="23"/>
      <c r="P111" s="15"/>
      <c r="S111" s="5"/>
      <c r="T111" s="5"/>
    </row>
    <row r="112" spans="2:20" s="1" customFormat="1">
      <c r="B112" s="39" t="s">
        <v>392</v>
      </c>
      <c r="C112" s="112">
        <v>91.8</v>
      </c>
      <c r="D112" s="110" t="s">
        <v>58</v>
      </c>
      <c r="E112" s="112">
        <v>16.899999999999999</v>
      </c>
      <c r="F112" s="6">
        <f t="shared" si="29"/>
        <v>-0.81590413943355122</v>
      </c>
      <c r="H112" s="86" t="s">
        <v>907</v>
      </c>
      <c r="I112" s="86" t="e">
        <f t="shared" ca="1" si="30"/>
        <v>#NAME?</v>
      </c>
      <c r="J112" s="86"/>
      <c r="K112" s="86" t="s">
        <v>1383</v>
      </c>
      <c r="L112" s="90" cm="1">
        <f t="array" ref="L112">_xll.FDS($K112,"FG_PRICE")</f>
        <v>91.8</v>
      </c>
      <c r="M112" s="7"/>
      <c r="O112" s="9"/>
      <c r="P112" s="9"/>
      <c r="Q112" s="9"/>
      <c r="R112" s="9"/>
      <c r="S112" s="5"/>
      <c r="T112" s="5"/>
    </row>
    <row r="113" spans="2:23" s="1" customFormat="1">
      <c r="B113" s="39" t="s">
        <v>986</v>
      </c>
      <c r="C113" s="110">
        <v>25.53</v>
      </c>
      <c r="D113" s="110" t="s">
        <v>58</v>
      </c>
      <c r="E113" s="110">
        <v>40</v>
      </c>
      <c r="F113" s="6">
        <f t="shared" si="29"/>
        <v>0.56678417547982751</v>
      </c>
      <c r="H113" s="86" t="s">
        <v>983</v>
      </c>
      <c r="I113" s="86" t="e">
        <f t="shared" ca="1" si="30"/>
        <v>#NAME?</v>
      </c>
      <c r="J113" s="96"/>
      <c r="K113" s="92" t="s">
        <v>1359</v>
      </c>
      <c r="L113" s="90" cm="1">
        <f t="array" ref="L113">_xll.FDS($K113,"FG_PRICE")</f>
        <v>25.53</v>
      </c>
      <c r="M113" s="7"/>
      <c r="N113" s="9"/>
      <c r="O113" s="9"/>
      <c r="P113" s="9"/>
      <c r="S113" s="5"/>
      <c r="T113" s="5"/>
    </row>
    <row r="114" spans="2:23" s="1" customFormat="1">
      <c r="B114" s="39" t="s">
        <v>381</v>
      </c>
      <c r="C114" s="117">
        <v>9581</v>
      </c>
      <c r="D114" s="110" t="s">
        <v>61</v>
      </c>
      <c r="E114" s="117">
        <v>13000</v>
      </c>
      <c r="F114" s="6">
        <f t="shared" si="29"/>
        <v>0.35685210312075988</v>
      </c>
      <c r="H114" s="86" t="s">
        <v>208</v>
      </c>
      <c r="I114" s="86" t="e">
        <f t="shared" ca="1" si="30"/>
        <v>#NAME?</v>
      </c>
      <c r="J114" s="86"/>
      <c r="K114" s="92" t="s">
        <v>1297</v>
      </c>
      <c r="L114" s="90" cm="1">
        <f t="array" ref="L114">_xll.FDS($K114,"FG_PRICE")*100</f>
        <v>9581</v>
      </c>
      <c r="M114" s="7"/>
      <c r="N114" s="9"/>
      <c r="O114" s="9"/>
      <c r="P114" s="9"/>
      <c r="Q114" s="9"/>
      <c r="S114" s="5"/>
      <c r="T114" s="5"/>
    </row>
    <row r="115" spans="2:23" s="1" customFormat="1">
      <c r="C115" s="2"/>
      <c r="D115" s="2"/>
      <c r="E115" s="2"/>
      <c r="H115" s="86"/>
      <c r="I115" s="99"/>
      <c r="J115" s="103"/>
      <c r="K115" s="86"/>
      <c r="L115" s="99"/>
      <c r="M115" s="7"/>
      <c r="N115" s="4"/>
      <c r="O115" s="4"/>
      <c r="P115" s="4"/>
      <c r="Q115" s="4"/>
      <c r="S115" s="5"/>
      <c r="T115" s="5"/>
    </row>
    <row r="116" spans="2:23" s="1" customFormat="1">
      <c r="B116" s="113" t="s">
        <v>1059</v>
      </c>
      <c r="C116" s="114" t="s">
        <v>464</v>
      </c>
      <c r="D116" s="114" t="s">
        <v>56</v>
      </c>
      <c r="E116" s="614" t="s">
        <v>57</v>
      </c>
      <c r="F116" s="115" t="s">
        <v>59</v>
      </c>
      <c r="H116" s="86"/>
      <c r="I116" s="87" t="s">
        <v>464</v>
      </c>
      <c r="J116" s="103"/>
      <c r="K116" s="86"/>
      <c r="L116" s="87" t="s">
        <v>464</v>
      </c>
      <c r="M116" s="7"/>
      <c r="N116" s="4"/>
      <c r="O116" s="4"/>
      <c r="P116" s="4"/>
      <c r="Q116" s="4"/>
      <c r="S116" s="5"/>
      <c r="T116" s="5"/>
    </row>
    <row r="117" spans="2:23" s="1" customFormat="1">
      <c r="B117" s="39" t="s">
        <v>1053</v>
      </c>
      <c r="C117" s="110">
        <v>115.5</v>
      </c>
      <c r="D117" s="110" t="s">
        <v>61</v>
      </c>
      <c r="E117" s="119">
        <v>142</v>
      </c>
      <c r="F117" s="6">
        <f t="shared" ref="F117" si="31">IFERROR(E117/C117-1,"-")</f>
        <v>0.22943722943722933</v>
      </c>
      <c r="H117" s="86" t="s">
        <v>1055</v>
      </c>
      <c r="I117" s="86" t="e">
        <f t="shared" ref="I117" ca="1" si="32">BDP($H117,"PX_LAST")</f>
        <v>#NAME?</v>
      </c>
      <c r="J117" s="103"/>
      <c r="K117" s="86" t="s">
        <v>1298</v>
      </c>
      <c r="L117" s="90" cm="1">
        <f t="array" ref="L117">_xll.FDS($K117,"FG_PRICE")</f>
        <v>115.5</v>
      </c>
      <c r="M117" s="7"/>
      <c r="N117" s="4"/>
      <c r="O117" s="33"/>
      <c r="P117" s="33"/>
      <c r="Q117" s="33"/>
      <c r="R117" s="9"/>
      <c r="S117" s="5"/>
      <c r="T117" s="5"/>
    </row>
    <row r="118" spans="2:23" s="1" customFormat="1">
      <c r="C118" s="2"/>
      <c r="D118" s="2"/>
      <c r="E118" s="2"/>
      <c r="H118" s="86"/>
      <c r="I118" s="99"/>
      <c r="J118" s="103"/>
      <c r="K118" s="86"/>
      <c r="L118" s="99"/>
      <c r="M118" s="7"/>
      <c r="N118" s="4"/>
      <c r="O118" s="4"/>
      <c r="P118" s="4"/>
      <c r="Q118" s="4"/>
      <c r="S118" s="5"/>
      <c r="T118" s="5"/>
    </row>
    <row r="119" spans="2:23" s="1" customFormat="1">
      <c r="B119" s="113" t="s">
        <v>1396</v>
      </c>
      <c r="C119" s="114" t="s">
        <v>464</v>
      </c>
      <c r="D119" s="114" t="s">
        <v>56</v>
      </c>
      <c r="E119" s="614" t="s">
        <v>57</v>
      </c>
      <c r="F119" s="115" t="s">
        <v>59</v>
      </c>
      <c r="H119" s="86"/>
      <c r="I119" s="87" t="s">
        <v>464</v>
      </c>
      <c r="J119" s="86"/>
      <c r="K119" s="86"/>
      <c r="L119" s="87" t="s">
        <v>464</v>
      </c>
      <c r="M119" s="7"/>
      <c r="N119" s="12"/>
      <c r="O119" s="12"/>
      <c r="P119" s="12"/>
      <c r="S119" s="5"/>
      <c r="T119" s="10"/>
      <c r="U119" s="11"/>
      <c r="V119" s="11"/>
      <c r="W119" s="11"/>
    </row>
    <row r="120" spans="2:23" s="1" customFormat="1">
      <c r="B120" s="39" t="s">
        <v>1397</v>
      </c>
      <c r="C120" s="121">
        <v>3.34</v>
      </c>
      <c r="D120" s="121" t="s">
        <v>58</v>
      </c>
      <c r="E120" s="121">
        <v>8</v>
      </c>
      <c r="F120" s="6">
        <f>IFERROR(E120/C120-1,"-")</f>
        <v>1.3952095808383236</v>
      </c>
      <c r="H120" s="86" t="s">
        <v>1398</v>
      </c>
      <c r="I120" s="86" t="e">
        <f t="shared" ref="I120" ca="1" si="33">BDP($H120,"PX_LAST")</f>
        <v>#NAME?</v>
      </c>
      <c r="J120" s="99"/>
      <c r="K120" s="86" t="s">
        <v>1407</v>
      </c>
      <c r="L120" s="90" cm="1">
        <f t="array" ref="L120">_xll.FDS($K120,"FG_PRICE")</f>
        <v>3.34</v>
      </c>
      <c r="M120" s="7"/>
      <c r="S120" s="5"/>
      <c r="T120" s="5"/>
    </row>
    <row r="121" spans="2:23" s="1" customFormat="1">
      <c r="C121" s="2"/>
      <c r="D121" s="2"/>
      <c r="E121" s="2"/>
      <c r="H121" s="86"/>
      <c r="I121" s="99"/>
      <c r="J121" s="103"/>
      <c r="K121" s="86"/>
      <c r="L121" s="99"/>
      <c r="M121" s="7"/>
      <c r="N121" s="4"/>
      <c r="O121" s="4"/>
      <c r="P121" s="4"/>
      <c r="Q121" s="4"/>
      <c r="S121" s="5"/>
      <c r="T121" s="5"/>
    </row>
    <row r="122" spans="2:23" s="1" customFormat="1">
      <c r="B122" s="113" t="s">
        <v>365</v>
      </c>
      <c r="C122" s="114" t="s">
        <v>464</v>
      </c>
      <c r="D122" s="114" t="s">
        <v>56</v>
      </c>
      <c r="E122" s="614" t="s">
        <v>57</v>
      </c>
      <c r="F122" s="115" t="s">
        <v>59</v>
      </c>
      <c r="H122" s="42"/>
      <c r="I122" s="87" t="s">
        <v>464</v>
      </c>
      <c r="J122" s="104"/>
      <c r="K122" s="42"/>
      <c r="L122" s="87" t="s">
        <v>464</v>
      </c>
      <c r="M122" s="7"/>
      <c r="S122" s="5"/>
      <c r="T122" s="5"/>
    </row>
    <row r="123" spans="2:23" s="1" customFormat="1">
      <c r="B123" s="39" t="s">
        <v>344</v>
      </c>
      <c r="C123" s="110">
        <v>16.22</v>
      </c>
      <c r="D123" s="110" t="s">
        <v>58</v>
      </c>
      <c r="E123" s="119">
        <v>24</v>
      </c>
      <c r="F123" s="6">
        <f t="shared" ref="F123:F127" si="34">IFERROR(E123/C123-1,"-")</f>
        <v>0.47965474722564738</v>
      </c>
      <c r="H123" s="86" t="s">
        <v>579</v>
      </c>
      <c r="I123" s="86" t="e">
        <f t="shared" ref="I123:I127" ca="1" si="35">BDP($H123,"PX_LAST")</f>
        <v>#NAME?</v>
      </c>
      <c r="J123" s="104"/>
      <c r="K123" s="92" t="s">
        <v>1570</v>
      </c>
      <c r="L123" s="90" cm="1">
        <f t="array" ref="L123">_xll.FDS($K123,"FG_PRICE")</f>
        <v>16.22</v>
      </c>
      <c r="M123" s="7"/>
      <c r="N123" s="27"/>
      <c r="O123" s="27"/>
      <c r="P123" s="27"/>
      <c r="Q123" s="24"/>
      <c r="R123" s="9"/>
      <c r="S123" s="5"/>
      <c r="T123" s="5"/>
    </row>
    <row r="124" spans="2:23" s="1" customFormat="1">
      <c r="B124" s="39" t="s">
        <v>673</v>
      </c>
      <c r="C124" s="110">
        <v>3.14</v>
      </c>
      <c r="D124" s="110" t="s">
        <v>61</v>
      </c>
      <c r="E124" s="119">
        <v>3.7</v>
      </c>
      <c r="F124" s="6">
        <f t="shared" si="34"/>
        <v>0.17834394904458595</v>
      </c>
      <c r="H124" s="86" t="s">
        <v>677</v>
      </c>
      <c r="I124" s="86" t="e">
        <f t="shared" ca="1" si="35"/>
        <v>#NAME?</v>
      </c>
      <c r="J124" s="105"/>
      <c r="K124" s="86" t="s">
        <v>1299</v>
      </c>
      <c r="L124" s="90" cm="1">
        <f t="array" ref="L124">_xll.FDS($K124,"FG_PRICE")</f>
        <v>3.14</v>
      </c>
      <c r="M124" s="7"/>
      <c r="N124" s="32"/>
      <c r="O124" s="32"/>
      <c r="P124" s="32"/>
      <c r="Q124" s="16"/>
      <c r="S124" s="5"/>
      <c r="T124" s="5"/>
    </row>
    <row r="125" spans="2:23" s="1" customFormat="1">
      <c r="B125" s="39" t="s">
        <v>691</v>
      </c>
      <c r="C125" s="112">
        <v>45.9</v>
      </c>
      <c r="D125" s="110" t="s">
        <v>58</v>
      </c>
      <c r="E125" s="119">
        <v>61</v>
      </c>
      <c r="F125" s="6">
        <f t="shared" si="34"/>
        <v>0.32897603485838789</v>
      </c>
      <c r="H125" s="86" t="s">
        <v>664</v>
      </c>
      <c r="I125" s="86" t="e">
        <f t="shared" ca="1" si="35"/>
        <v>#NAME?</v>
      </c>
      <c r="J125" s="106"/>
      <c r="K125" s="86" t="s">
        <v>1307</v>
      </c>
      <c r="L125" s="90" cm="1">
        <f t="array" ref="L125">_xll.FDS($K125,"FG_PRICE")</f>
        <v>45.9</v>
      </c>
      <c r="M125" s="7"/>
      <c r="N125" s="32"/>
      <c r="O125" s="32"/>
      <c r="P125" s="32"/>
      <c r="Q125" s="16"/>
      <c r="S125" s="5"/>
      <c r="T125" s="5"/>
    </row>
    <row r="126" spans="2:23" s="1" customFormat="1">
      <c r="B126" s="39" t="s">
        <v>885</v>
      </c>
      <c r="C126" s="112">
        <v>0.59</v>
      </c>
      <c r="D126" s="110" t="s">
        <v>61</v>
      </c>
      <c r="E126" s="110">
        <v>0.9</v>
      </c>
      <c r="F126" s="6">
        <f t="shared" si="34"/>
        <v>0.52542372881355948</v>
      </c>
      <c r="H126" s="86" t="s">
        <v>682</v>
      </c>
      <c r="I126" s="86" t="e">
        <f t="shared" ca="1" si="35"/>
        <v>#NAME?</v>
      </c>
      <c r="J126" s="107"/>
      <c r="K126" s="86" t="s">
        <v>1301</v>
      </c>
      <c r="L126" s="90" cm="1">
        <f t="array" ref="L126">_xll.FDS($K126,"FG_PRICE")</f>
        <v>0.59</v>
      </c>
      <c r="M126" s="7"/>
      <c r="N126" s="27"/>
      <c r="O126" s="27"/>
      <c r="P126" s="27"/>
      <c r="S126" s="5"/>
      <c r="T126" s="5"/>
    </row>
    <row r="127" spans="2:23" s="1" customFormat="1">
      <c r="B127" s="39" t="s">
        <v>886</v>
      </c>
      <c r="C127" s="116">
        <v>1.78</v>
      </c>
      <c r="D127" s="110" t="s">
        <v>61</v>
      </c>
      <c r="E127" s="110">
        <v>0.9</v>
      </c>
      <c r="F127" s="6">
        <f t="shared" si="34"/>
        <v>-0.4943820224719101</v>
      </c>
      <c r="H127" s="86" t="s">
        <v>663</v>
      </c>
      <c r="I127" s="86" t="e">
        <f t="shared" ca="1" si="35"/>
        <v>#NAME?</v>
      </c>
      <c r="J127" s="103"/>
      <c r="K127" s="86" t="s">
        <v>1300</v>
      </c>
      <c r="L127" s="90" cm="1">
        <f t="array" ref="L127">_xll.FDS($K127,"FG_PRICE")</f>
        <v>1.78</v>
      </c>
      <c r="M127" s="7"/>
      <c r="N127" s="32"/>
      <c r="O127" s="32"/>
      <c r="P127" s="32"/>
      <c r="S127" s="5"/>
      <c r="T127" s="5"/>
    </row>
    <row r="128" spans="2:23" s="1" customFormat="1">
      <c r="F128" s="85"/>
      <c r="H128" s="86"/>
      <c r="I128" s="42"/>
      <c r="J128" s="103"/>
      <c r="K128" s="86"/>
      <c r="L128" s="42"/>
      <c r="M128" s="7"/>
      <c r="N128" s="32"/>
      <c r="O128" s="32"/>
      <c r="P128" s="32"/>
      <c r="S128" s="5"/>
      <c r="T128" s="5"/>
    </row>
    <row r="129" spans="2:23" s="1" customFormat="1">
      <c r="B129" s="113" t="s">
        <v>367</v>
      </c>
      <c r="C129" s="114" t="s">
        <v>464</v>
      </c>
      <c r="D129" s="114" t="s">
        <v>56</v>
      </c>
      <c r="E129" s="614" t="s">
        <v>57</v>
      </c>
      <c r="F129" s="115" t="s">
        <v>59</v>
      </c>
      <c r="H129" s="86"/>
      <c r="I129" s="87" t="s">
        <v>464</v>
      </c>
      <c r="J129" s="104"/>
      <c r="K129" s="86"/>
      <c r="L129" s="87" t="s">
        <v>464</v>
      </c>
      <c r="M129" s="7"/>
      <c r="N129" s="27"/>
      <c r="O129" s="27"/>
      <c r="P129" s="27"/>
      <c r="Q129" s="9"/>
      <c r="R129" s="9"/>
      <c r="S129" s="5"/>
      <c r="T129" s="5"/>
    </row>
    <row r="130" spans="2:23" s="1" customFormat="1">
      <c r="B130" s="39" t="s">
        <v>634</v>
      </c>
      <c r="C130" s="117">
        <v>3022</v>
      </c>
      <c r="D130" s="110" t="s">
        <v>61</v>
      </c>
      <c r="E130" s="120">
        <v>3150</v>
      </c>
      <c r="F130" s="6">
        <f>IFERROR(E130/C130-1,"-")</f>
        <v>4.2356055592323028E-2</v>
      </c>
      <c r="H130" s="86" t="s">
        <v>638</v>
      </c>
      <c r="I130" s="86" t="e">
        <f t="shared" ref="I130:I132" ca="1" si="36">BDP($H130,"PX_LAST")</f>
        <v>#NAME?</v>
      </c>
      <c r="J130" s="87"/>
      <c r="K130" s="86" t="s">
        <v>1302</v>
      </c>
      <c r="L130" s="90" cm="1">
        <f t="array" ref="L130">_xll.FDS($K130,"FG_PRICE")</f>
        <v>3022</v>
      </c>
      <c r="M130" s="7"/>
      <c r="N130" s="13"/>
      <c r="O130" s="13"/>
      <c r="P130" s="13"/>
      <c r="S130" s="5"/>
      <c r="T130" s="5"/>
    </row>
    <row r="131" spans="2:23" s="1" customFormat="1">
      <c r="B131" s="39" t="s">
        <v>403</v>
      </c>
      <c r="C131" s="117">
        <v>24.09</v>
      </c>
      <c r="D131" s="110" t="s">
        <v>61</v>
      </c>
      <c r="E131" s="120">
        <v>18</v>
      </c>
      <c r="F131" s="6">
        <f>IFERROR(E131/C131-1,"-")</f>
        <v>-0.25280199252801994</v>
      </c>
      <c r="H131" s="86" t="s">
        <v>1073</v>
      </c>
      <c r="I131" s="86" t="e">
        <f t="shared" ca="1" si="36"/>
        <v>#NAME?</v>
      </c>
      <c r="J131" s="86"/>
      <c r="K131" s="92" t="s">
        <v>1351</v>
      </c>
      <c r="L131" s="90" cm="1">
        <f t="array" ref="L131">_xll.FDS($K131,"FG_PRICE")</f>
        <v>24.09</v>
      </c>
      <c r="M131" s="7"/>
      <c r="N131" s="9"/>
      <c r="O131" s="9"/>
      <c r="S131" s="5"/>
      <c r="T131" s="5"/>
    </row>
    <row r="132" spans="2:23" s="1" customFormat="1">
      <c r="B132" s="39" t="s">
        <v>111</v>
      </c>
      <c r="C132" s="112">
        <v>16.420000000000002</v>
      </c>
      <c r="D132" s="110" t="s">
        <v>58</v>
      </c>
      <c r="E132" s="119">
        <v>23</v>
      </c>
      <c r="F132" s="6">
        <f>IFERROR(E132/C132-1,"-")</f>
        <v>0.40073081607795347</v>
      </c>
      <c r="H132" s="86" t="s">
        <v>1152</v>
      </c>
      <c r="I132" s="86" t="e">
        <f t="shared" ca="1" si="36"/>
        <v>#NAME?</v>
      </c>
      <c r="J132" s="99"/>
      <c r="K132" s="92" t="s">
        <v>1303</v>
      </c>
      <c r="L132" s="90" cm="1">
        <f t="array" ref="L132">_xll.FDS($K132,"FG_PRICE")</f>
        <v>16.420000000000002</v>
      </c>
      <c r="M132" s="7"/>
      <c r="N132" s="27"/>
      <c r="O132" s="27"/>
      <c r="P132" s="27"/>
      <c r="S132" s="5"/>
      <c r="T132" s="5"/>
    </row>
    <row r="133" spans="2:23" s="1" customFormat="1">
      <c r="C133" s="2"/>
      <c r="D133" s="2"/>
      <c r="E133" s="2"/>
      <c r="H133" s="86"/>
      <c r="I133" s="99"/>
      <c r="J133" s="96"/>
      <c r="K133" s="86"/>
      <c r="L133" s="99"/>
      <c r="M133" s="7"/>
      <c r="N133" s="13"/>
      <c r="O133" s="13"/>
      <c r="P133" s="13"/>
      <c r="S133" s="5"/>
      <c r="T133" s="5"/>
    </row>
    <row r="134" spans="2:23" s="1" customFormat="1">
      <c r="B134" s="113" t="s">
        <v>1360</v>
      </c>
      <c r="C134" s="114" t="s">
        <v>464</v>
      </c>
      <c r="D134" s="114" t="s">
        <v>56</v>
      </c>
      <c r="E134" s="614" t="s">
        <v>57</v>
      </c>
      <c r="F134" s="115" t="s">
        <v>59</v>
      </c>
      <c r="H134" s="86"/>
      <c r="I134" s="87" t="s">
        <v>464</v>
      </c>
      <c r="J134" s="99"/>
      <c r="K134" s="86"/>
      <c r="L134" s="87" t="s">
        <v>464</v>
      </c>
      <c r="M134" s="7"/>
      <c r="S134" s="5"/>
      <c r="T134" s="5"/>
    </row>
    <row r="135" spans="2:23" s="1" customFormat="1">
      <c r="B135" s="39" t="s">
        <v>819</v>
      </c>
      <c r="C135" s="116">
        <v>52.16</v>
      </c>
      <c r="D135" s="119" t="s">
        <v>58</v>
      </c>
      <c r="E135" s="112">
        <v>55</v>
      </c>
      <c r="F135" s="6">
        <f>IFERROR(E135/C135-1,"-")</f>
        <v>5.444785276073616E-2</v>
      </c>
      <c r="H135" s="86" t="s">
        <v>823</v>
      </c>
      <c r="I135" s="86" t="e">
        <f t="shared" ref="I135:I138" ca="1" si="37">BDP($H135,"PX_LAST")</f>
        <v>#NAME?</v>
      </c>
      <c r="J135" s="99"/>
      <c r="K135" s="92" t="s">
        <v>1304</v>
      </c>
      <c r="L135" s="90" cm="1">
        <f t="array" ref="L135">_xll.FDS($K135,"FG_PRICE")</f>
        <v>52.16</v>
      </c>
      <c r="M135" s="7"/>
      <c r="N135" s="9"/>
      <c r="O135" s="9"/>
      <c r="P135" s="9"/>
      <c r="Q135" s="9"/>
      <c r="R135" s="9"/>
      <c r="S135" s="5"/>
      <c r="T135" s="5"/>
    </row>
    <row r="136" spans="2:23" s="1" customFormat="1">
      <c r="B136" s="39" t="s">
        <v>832</v>
      </c>
      <c r="C136" s="116">
        <v>8.5399999999999991</v>
      </c>
      <c r="D136" s="119" t="s">
        <v>58</v>
      </c>
      <c r="E136" s="116">
        <v>14</v>
      </c>
      <c r="F136" s="6">
        <f>IFERROR(E136/C136-1,"-")</f>
        <v>0.63934426229508223</v>
      </c>
      <c r="H136" s="86" t="s">
        <v>835</v>
      </c>
      <c r="I136" s="86" t="e">
        <f t="shared" ca="1" si="37"/>
        <v>#NAME?</v>
      </c>
      <c r="J136" s="99"/>
      <c r="K136" s="92" t="s">
        <v>1308</v>
      </c>
      <c r="L136" s="90" cm="1">
        <f t="array" ref="L136">_xll.FDS($K136,"FG_PRICE")</f>
        <v>8.5399999999999991</v>
      </c>
      <c r="M136" s="7"/>
      <c r="N136" s="37"/>
      <c r="O136" s="37"/>
      <c r="P136" s="37"/>
      <c r="Q136" s="9"/>
      <c r="R136" s="9"/>
      <c r="S136" s="5"/>
      <c r="T136" s="5"/>
    </row>
    <row r="137" spans="2:23" s="1" customFormat="1">
      <c r="B137" s="39" t="s">
        <v>833</v>
      </c>
      <c r="C137" s="116">
        <v>16</v>
      </c>
      <c r="D137" s="119" t="s">
        <v>58</v>
      </c>
      <c r="E137" s="116">
        <v>14</v>
      </c>
      <c r="F137" s="6">
        <f>IFERROR(E137/C137-1,"-")</f>
        <v>-0.125</v>
      </c>
      <c r="H137" s="86" t="s">
        <v>839</v>
      </c>
      <c r="I137" s="86" t="e">
        <f t="shared" ca="1" si="37"/>
        <v>#NAME?</v>
      </c>
      <c r="J137" s="99"/>
      <c r="K137" s="92" t="s">
        <v>1305</v>
      </c>
      <c r="L137" s="90" cm="1">
        <f t="array" ref="L137">_xll.FDS($K137,"FG_PRICE")</f>
        <v>16</v>
      </c>
      <c r="M137" s="7"/>
      <c r="N137" s="12"/>
      <c r="O137" s="12"/>
      <c r="P137" s="12"/>
      <c r="S137" s="5"/>
      <c r="T137" s="5"/>
    </row>
    <row r="138" spans="2:23" s="1" customFormat="1">
      <c r="B138" s="39" t="s">
        <v>834</v>
      </c>
      <c r="C138" s="116">
        <v>8.5500000000000007</v>
      </c>
      <c r="D138" s="119" t="s">
        <v>58</v>
      </c>
      <c r="E138" s="116">
        <v>14</v>
      </c>
      <c r="F138" s="6">
        <f>IFERROR(E138/C138-1,"-")</f>
        <v>0.63742690058479523</v>
      </c>
      <c r="H138" s="86" t="s">
        <v>840</v>
      </c>
      <c r="I138" s="86" t="e">
        <f t="shared" ca="1" si="37"/>
        <v>#NAME?</v>
      </c>
      <c r="J138" s="99"/>
      <c r="K138" s="92" t="s">
        <v>1306</v>
      </c>
      <c r="L138" s="90" cm="1">
        <f t="array" ref="L138">_xll.FDS($K138,"FG_PRICE")</f>
        <v>8.5500000000000007</v>
      </c>
      <c r="M138" s="7"/>
      <c r="N138" s="12"/>
      <c r="O138" s="12"/>
      <c r="P138" s="12"/>
      <c r="S138" s="5"/>
      <c r="T138" s="5"/>
    </row>
    <row r="139" spans="2:23" s="1" customFormat="1">
      <c r="C139" s="2"/>
      <c r="D139" s="2"/>
      <c r="E139" s="2"/>
      <c r="H139" s="86"/>
      <c r="I139" s="99"/>
      <c r="J139" s="99"/>
      <c r="K139" s="86"/>
      <c r="L139" s="99"/>
      <c r="M139" s="7"/>
      <c r="N139" s="12"/>
      <c r="O139" s="12"/>
      <c r="P139" s="12"/>
      <c r="S139" s="5"/>
      <c r="T139" s="5"/>
    </row>
    <row r="140" spans="2:23" s="1" customFormat="1">
      <c r="B140" s="113" t="s">
        <v>1395</v>
      </c>
      <c r="C140" s="114" t="s">
        <v>464</v>
      </c>
      <c r="D140" s="114" t="s">
        <v>56</v>
      </c>
      <c r="E140" s="614" t="s">
        <v>57</v>
      </c>
      <c r="F140" s="115" t="s">
        <v>59</v>
      </c>
      <c r="H140" s="86"/>
      <c r="I140" s="87" t="s">
        <v>464</v>
      </c>
      <c r="J140" s="86"/>
      <c r="K140" s="86"/>
      <c r="L140" s="87" t="s">
        <v>464</v>
      </c>
      <c r="M140" s="7"/>
      <c r="N140" s="12"/>
      <c r="O140" s="12"/>
      <c r="P140" s="12"/>
      <c r="S140" s="5"/>
      <c r="T140" s="10"/>
      <c r="U140" s="11"/>
      <c r="V140" s="11"/>
      <c r="W140" s="11"/>
    </row>
    <row r="141" spans="2:23" s="1" customFormat="1">
      <c r="B141" s="39" t="s">
        <v>879</v>
      </c>
      <c r="C141" s="121">
        <v>19.260000000000002</v>
      </c>
      <c r="D141" s="121" t="s">
        <v>61</v>
      </c>
      <c r="E141" s="121">
        <v>17</v>
      </c>
      <c r="F141" s="6">
        <f>IFERROR(E141/C141-1,"-")</f>
        <v>-0.11734164070612674</v>
      </c>
      <c r="H141" s="86" t="s">
        <v>922</v>
      </c>
      <c r="I141" s="86" t="e">
        <f t="shared" ref="I141" ca="1" si="38">BDP($H141,"PX_LAST")</f>
        <v>#NAME?</v>
      </c>
      <c r="J141" s="99"/>
      <c r="K141" s="92" t="s">
        <v>1435</v>
      </c>
      <c r="L141" s="90" cm="1">
        <f t="array" ref="L141">_xll.FDS($K141,"FG_PRICE")</f>
        <v>19.260000000000002</v>
      </c>
      <c r="M141" s="7"/>
      <c r="N141" s="9"/>
      <c r="S141" s="5"/>
      <c r="T141" s="5"/>
    </row>
    <row r="142" spans="2:23" s="1" customFormat="1">
      <c r="C142" s="2"/>
      <c r="D142" s="2"/>
      <c r="E142" s="2"/>
      <c r="H142" s="86"/>
      <c r="I142" s="100"/>
      <c r="J142" s="95"/>
      <c r="K142" s="86"/>
      <c r="L142" s="100"/>
      <c r="M142" s="7"/>
      <c r="S142" s="5"/>
      <c r="T142" s="5"/>
    </row>
    <row r="143" spans="2:23" s="1" customFormat="1">
      <c r="B143" s="113" t="s">
        <v>544</v>
      </c>
      <c r="C143" s="114" t="s">
        <v>464</v>
      </c>
      <c r="D143" s="2"/>
      <c r="E143" s="2"/>
      <c r="H143" s="86"/>
      <c r="I143" s="87" t="s">
        <v>464</v>
      </c>
      <c r="J143" s="95"/>
      <c r="K143" s="86"/>
      <c r="L143" s="87" t="s">
        <v>464</v>
      </c>
      <c r="M143" s="7"/>
      <c r="S143" s="5"/>
      <c r="T143" s="5"/>
    </row>
    <row r="144" spans="2:23" s="1" customFormat="1">
      <c r="B144" s="38" t="s">
        <v>528</v>
      </c>
      <c r="C144" s="122">
        <v>9.9640000000000004</v>
      </c>
      <c r="H144" s="86" t="s">
        <v>1227</v>
      </c>
      <c r="I144" s="86" t="e">
        <f t="shared" ref="I144:I145" ca="1" si="39">BDP($H144,"PX_LAST")</f>
        <v>#NAME?</v>
      </c>
      <c r="J144" s="86"/>
      <c r="K144" s="92" t="s">
        <v>1309</v>
      </c>
      <c r="L144" s="90" cm="1">
        <f t="array" ref="L144">_xll.FDS($K144,"FG_PRICE")</f>
        <v>9.9640000000000004</v>
      </c>
      <c r="M144" s="7"/>
      <c r="N144" s="9"/>
      <c r="O144" s="9"/>
      <c r="P144" s="9"/>
      <c r="Q144" s="9"/>
      <c r="R144" s="9"/>
      <c r="S144" s="5"/>
      <c r="T144" s="5"/>
    </row>
    <row r="145" spans="2:20" s="1" customFormat="1">
      <c r="B145" s="1" t="s">
        <v>406</v>
      </c>
      <c r="C145" s="123">
        <v>8</v>
      </c>
      <c r="H145" s="86" t="s">
        <v>1228</v>
      </c>
      <c r="I145" s="86" t="e">
        <f t="shared" ca="1" si="39"/>
        <v>#NAME?</v>
      </c>
      <c r="J145" s="100"/>
      <c r="K145" s="92" t="s">
        <v>1352</v>
      </c>
      <c r="L145" s="90" cm="1">
        <f t="array" ref="L145">_xll.FDS($K145,"FG_PRICE")</f>
        <v>8</v>
      </c>
      <c r="M145" s="7"/>
      <c r="N145" s="9"/>
      <c r="O145" s="9"/>
      <c r="P145" s="9"/>
      <c r="Q145" s="9"/>
      <c r="R145" s="9"/>
      <c r="S145" s="5"/>
      <c r="T145" s="5"/>
    </row>
    <row r="146" spans="2:20" s="1" customFormat="1">
      <c r="H146" s="86"/>
      <c r="I146" s="86"/>
      <c r="J146" s="100"/>
      <c r="K146" s="86"/>
      <c r="L146" s="92"/>
      <c r="M146" s="7"/>
      <c r="N146" s="9"/>
      <c r="S146" s="5"/>
      <c r="T146" s="5"/>
    </row>
    <row r="147" spans="2:20" s="1" customFormat="1">
      <c r="B147" s="113" t="s">
        <v>1358</v>
      </c>
      <c r="C147" s="114" t="s">
        <v>464</v>
      </c>
      <c r="E147" s="613" t="s">
        <v>1575</v>
      </c>
      <c r="F147" s="614"/>
      <c r="H147" s="86"/>
      <c r="I147" s="87" t="s">
        <v>464</v>
      </c>
      <c r="J147" s="86"/>
      <c r="K147" s="86"/>
      <c r="L147" s="87" t="s">
        <v>464</v>
      </c>
      <c r="M147" s="7"/>
      <c r="P147" s="9"/>
      <c r="Q147" s="9"/>
      <c r="R147" s="9"/>
      <c r="S147" s="5"/>
      <c r="T147" s="5"/>
    </row>
    <row r="148" spans="2:20" s="1" customFormat="1">
      <c r="B148" s="38" t="s">
        <v>1154</v>
      </c>
      <c r="C148" s="124">
        <v>0.91454999999999997</v>
      </c>
      <c r="E148" s="615" t="s">
        <v>1576</v>
      </c>
      <c r="F148" s="616">
        <f>C148*C$155</f>
        <v>0.99192093000000003</v>
      </c>
      <c r="H148" s="86" t="s">
        <v>1188</v>
      </c>
      <c r="I148" s="86" t="e">
        <f ca="1">BDP(H148,"PX_LAST")</f>
        <v>#NAME?</v>
      </c>
      <c r="J148" s="86"/>
      <c r="K148" s="86" t="s">
        <v>1310</v>
      </c>
      <c r="L148" s="90" cm="1">
        <f t="array" ref="L148">_xll.FDS($K148,"FG_PRICE")</f>
        <v>0.91454999999999997</v>
      </c>
      <c r="M148" s="7"/>
      <c r="S148" s="5"/>
      <c r="T148" s="5"/>
    </row>
    <row r="149" spans="2:20" s="1" customFormat="1">
      <c r="B149" s="38" t="s">
        <v>1155</v>
      </c>
      <c r="C149" s="124">
        <v>6.8792999999999997</v>
      </c>
      <c r="E149" s="615" t="s">
        <v>1577</v>
      </c>
      <c r="F149" s="616">
        <f t="shared" ref="F149:F187" si="40">C149*C$155</f>
        <v>7.4612887799999994</v>
      </c>
      <c r="H149" s="86" t="s">
        <v>1189</v>
      </c>
      <c r="I149" s="86" t="e">
        <f t="shared" ref="I149:I187" ca="1" si="41">BDP(H149,"PX_LAST")</f>
        <v>#NAME?</v>
      </c>
      <c r="J149" s="86"/>
      <c r="K149" s="86" t="s">
        <v>1311</v>
      </c>
      <c r="L149" s="90" cm="1">
        <f t="array" ref="L149">_xll.FDS($K149,"FG_PRICE")</f>
        <v>6.8792999999999997</v>
      </c>
      <c r="M149" s="7"/>
      <c r="S149" s="5"/>
      <c r="T149" s="5"/>
    </row>
    <row r="150" spans="2:20" s="1" customFormat="1">
      <c r="B150" s="38" t="s">
        <v>1156</v>
      </c>
      <c r="C150" s="125">
        <v>32.213999999999999</v>
      </c>
      <c r="E150" s="615" t="s">
        <v>1578</v>
      </c>
      <c r="F150" s="616">
        <f t="shared" si="40"/>
        <v>34.939304399999997</v>
      </c>
      <c r="G150" s="1" t="s">
        <v>694</v>
      </c>
      <c r="H150" s="86" t="s">
        <v>1190</v>
      </c>
      <c r="I150" s="86" t="e">
        <f t="shared" ca="1" si="41"/>
        <v>#NAME?</v>
      </c>
      <c r="J150" s="86"/>
      <c r="K150" s="86" t="s">
        <v>1312</v>
      </c>
      <c r="L150" s="90" cm="1">
        <f t="array" ref="L150">_xll.FDS($K150,"FG_PRICE")</f>
        <v>32.213999999999999</v>
      </c>
      <c r="M150" s="7"/>
      <c r="S150" s="5"/>
      <c r="T150" s="5"/>
    </row>
    <row r="151" spans="2:20" s="1" customFormat="1">
      <c r="B151" s="38" t="s">
        <v>1157</v>
      </c>
      <c r="C151" s="124">
        <v>0.30709999999999998</v>
      </c>
      <c r="E151" s="615" t="s">
        <v>1579</v>
      </c>
      <c r="F151" s="616">
        <f t="shared" si="40"/>
        <v>0.33308065999999997</v>
      </c>
      <c r="H151" s="86" t="s">
        <v>1191</v>
      </c>
      <c r="I151" s="86" t="e">
        <f t="shared" ca="1" si="41"/>
        <v>#NAME?</v>
      </c>
      <c r="J151" s="86"/>
      <c r="K151" s="86" t="s">
        <v>1313</v>
      </c>
      <c r="L151" s="90" cm="1">
        <f t="array" ref="L151">_xll.FDS($K151,"FG_PRICE")</f>
        <v>0.30709999999999998</v>
      </c>
      <c r="M151" s="7"/>
      <c r="S151" s="5"/>
      <c r="T151" s="5"/>
    </row>
    <row r="152" spans="2:20" s="1" customFormat="1">
      <c r="B152" s="38" t="s">
        <v>1158</v>
      </c>
      <c r="C152" s="124">
        <v>83.097499999999997</v>
      </c>
      <c r="E152" s="615" t="s">
        <v>1580</v>
      </c>
      <c r="F152" s="616">
        <f t="shared" si="40"/>
        <v>90.127548500000003</v>
      </c>
      <c r="H152" s="86" t="s">
        <v>1192</v>
      </c>
      <c r="I152" s="86" t="e">
        <f t="shared" ca="1" si="41"/>
        <v>#NAME?</v>
      </c>
      <c r="J152" s="86"/>
      <c r="K152" s="86" t="s">
        <v>1314</v>
      </c>
      <c r="L152" s="90" cm="1">
        <f t="array" ref="L152">_xll.FDS($K152,"FG_PRICE")</f>
        <v>83.097499999999997</v>
      </c>
      <c r="M152" s="7"/>
      <c r="S152" s="5"/>
      <c r="T152" s="5"/>
    </row>
    <row r="153" spans="2:20" s="1" customFormat="1">
      <c r="B153" s="38" t="s">
        <v>1159</v>
      </c>
      <c r="C153" s="126">
        <v>0.78502179999999999</v>
      </c>
      <c r="E153" s="615" t="s">
        <v>1581</v>
      </c>
      <c r="F153" s="616">
        <f t="shared" si="40"/>
        <v>0.85143464428000004</v>
      </c>
      <c r="H153" s="86" t="s">
        <v>1193</v>
      </c>
      <c r="I153" s="108" t="e">
        <f ca="1">1/BDP(H153,"PX_LAST")</f>
        <v>#NAME?</v>
      </c>
      <c r="J153" s="86"/>
      <c r="K153" s="86" t="s">
        <v>1315</v>
      </c>
      <c r="L153" s="90" cm="1">
        <f t="array" ref="L153">_xll.FDS($K153,"FG_PRICE")</f>
        <v>0.78502179999999999</v>
      </c>
      <c r="M153" s="7"/>
      <c r="S153" s="5"/>
      <c r="T153" s="5"/>
    </row>
    <row r="154" spans="2:20" s="1" customFormat="1">
      <c r="B154" s="38" t="s">
        <v>1160</v>
      </c>
      <c r="C154" s="124">
        <v>22.744800000000001</v>
      </c>
      <c r="E154" s="615" t="s">
        <v>1582</v>
      </c>
      <c r="F154" s="616">
        <f t="shared" si="40"/>
        <v>24.669010080000003</v>
      </c>
      <c r="H154" s="86" t="s">
        <v>1194</v>
      </c>
      <c r="I154" s="86" t="e">
        <f t="shared" ca="1" si="41"/>
        <v>#NAME?</v>
      </c>
      <c r="J154" s="86"/>
      <c r="K154" s="86" t="s">
        <v>1316</v>
      </c>
      <c r="L154" s="90" cm="1">
        <f t="array" ref="L154">_xll.FDS($K154,"FG_PRICE")</f>
        <v>22.744800000000001</v>
      </c>
      <c r="M154" s="7"/>
      <c r="S154" s="5"/>
      <c r="T154" s="5"/>
    </row>
    <row r="155" spans="2:20" s="1" customFormat="1">
      <c r="B155" s="38" t="s">
        <v>672</v>
      </c>
      <c r="C155" s="124">
        <v>1.0846</v>
      </c>
      <c r="E155" s="617" t="s">
        <v>1583</v>
      </c>
      <c r="F155" s="618">
        <f>1/C155</f>
        <v>0.9219988936013277</v>
      </c>
      <c r="H155" s="86" t="s">
        <v>1195</v>
      </c>
      <c r="I155" s="86" t="e">
        <f t="shared" ca="1" si="41"/>
        <v>#NAME?</v>
      </c>
      <c r="J155" s="86"/>
      <c r="K155" s="86" t="s">
        <v>1353</v>
      </c>
      <c r="L155" s="90" cm="1">
        <f t="array" ref="L155">_xll.FDS($K155,"FG_PRICE")</f>
        <v>1.0846</v>
      </c>
      <c r="M155" s="7"/>
      <c r="S155" s="5"/>
      <c r="T155" s="5"/>
    </row>
    <row r="156" spans="2:20" s="1" customFormat="1">
      <c r="B156" s="38" t="s">
        <v>1161</v>
      </c>
      <c r="C156" s="127">
        <v>354.60079999999999</v>
      </c>
      <c r="E156" s="615" t="s">
        <v>1584</v>
      </c>
      <c r="F156" s="616">
        <f t="shared" si="40"/>
        <v>384.60002767999998</v>
      </c>
      <c r="H156" s="86" t="s">
        <v>1196</v>
      </c>
      <c r="I156" s="86" t="e">
        <f t="shared" ca="1" si="41"/>
        <v>#NAME?</v>
      </c>
      <c r="J156" s="86"/>
      <c r="K156" s="86" t="s">
        <v>1317</v>
      </c>
      <c r="L156" s="90" cm="1">
        <f t="array" ref="L156">_xll.FDS($K156,"FG_PRICE")</f>
        <v>354.60079999999999</v>
      </c>
      <c r="M156" s="7"/>
      <c r="S156" s="5"/>
      <c r="T156" s="5"/>
    </row>
    <row r="157" spans="2:20" s="1" customFormat="1">
      <c r="B157" s="38" t="s">
        <v>1162</v>
      </c>
      <c r="C157" s="124">
        <v>10.568849999999999</v>
      </c>
      <c r="E157" s="615" t="s">
        <v>1585</v>
      </c>
      <c r="F157" s="616">
        <f t="shared" si="40"/>
        <v>11.462974709999999</v>
      </c>
      <c r="H157" s="86" t="s">
        <v>1197</v>
      </c>
      <c r="I157" s="86" t="e">
        <f t="shared" ca="1" si="41"/>
        <v>#NAME?</v>
      </c>
      <c r="J157" s="86"/>
      <c r="K157" s="86" t="s">
        <v>1318</v>
      </c>
      <c r="L157" s="90" cm="1">
        <f t="array" ref="L157">_xll.FDS($K157,"FG_PRICE")</f>
        <v>10.568849999999999</v>
      </c>
      <c r="M157" s="7"/>
      <c r="S157" s="5"/>
      <c r="T157" s="5"/>
    </row>
    <row r="158" spans="2:20" s="1" customFormat="1">
      <c r="B158" s="38" t="s">
        <v>805</v>
      </c>
      <c r="C158" s="124">
        <v>10.6539</v>
      </c>
      <c r="E158" s="615" t="s">
        <v>1586</v>
      </c>
      <c r="F158" s="616">
        <f t="shared" si="40"/>
        <v>11.555219940000001</v>
      </c>
      <c r="H158" s="86" t="s">
        <v>1198</v>
      </c>
      <c r="I158" s="86" t="e">
        <f t="shared" ca="1" si="41"/>
        <v>#NAME?</v>
      </c>
      <c r="J158" s="86"/>
      <c r="K158" s="86" t="s">
        <v>1319</v>
      </c>
      <c r="L158" s="90" cm="1">
        <f t="array" ref="L158">_xll.FDS($K158,"FG_PRICE")</f>
        <v>10.6539</v>
      </c>
      <c r="M158" s="7"/>
      <c r="S158" s="5"/>
      <c r="T158" s="5"/>
    </row>
    <row r="159" spans="2:20" s="1" customFormat="1">
      <c r="B159" s="38" t="s">
        <v>1163</v>
      </c>
      <c r="C159" s="124">
        <v>4.7115</v>
      </c>
      <c r="E159" s="615" t="s">
        <v>1587</v>
      </c>
      <c r="F159" s="616">
        <f t="shared" si="40"/>
        <v>5.1100928999999997</v>
      </c>
      <c r="H159" s="86" t="s">
        <v>1199</v>
      </c>
      <c r="I159" s="86" t="e">
        <f t="shared" ca="1" si="41"/>
        <v>#NAME?</v>
      </c>
      <c r="J159" s="86"/>
      <c r="K159" s="86" t="s">
        <v>1320</v>
      </c>
      <c r="L159" s="90" cm="1">
        <f t="array" ref="L159">_xll.FDS($K159,"FG_PRICE")</f>
        <v>4.7115</v>
      </c>
      <c r="M159" s="7"/>
      <c r="S159" s="5"/>
      <c r="T159" s="5"/>
    </row>
    <row r="160" spans="2:20" s="1" customFormat="1">
      <c r="B160" s="38" t="s">
        <v>1164</v>
      </c>
      <c r="C160" s="124">
        <v>5.1515000000000004</v>
      </c>
      <c r="E160" s="615" t="s">
        <v>1588</v>
      </c>
      <c r="F160" s="616">
        <f t="shared" si="40"/>
        <v>5.5873169000000003</v>
      </c>
      <c r="H160" s="86" t="s">
        <v>1200</v>
      </c>
      <c r="I160" s="86" t="e">
        <f t="shared" ca="1" si="41"/>
        <v>#NAME?</v>
      </c>
      <c r="J160" s="86"/>
      <c r="K160" s="86" t="s">
        <v>1321</v>
      </c>
      <c r="L160" s="90" cm="1">
        <f t="array" ref="L160">_xll.FDS($K160,"FG_PRICE")</f>
        <v>5.1515000000000004</v>
      </c>
      <c r="M160" s="7"/>
      <c r="S160" s="5"/>
      <c r="T160" s="5"/>
    </row>
    <row r="161" spans="2:20" s="1" customFormat="1">
      <c r="B161" s="38" t="s">
        <v>1165</v>
      </c>
      <c r="C161" s="127">
        <v>156.97499999999999</v>
      </c>
      <c r="E161" s="615" t="s">
        <v>1589</v>
      </c>
      <c r="F161" s="616">
        <f t="shared" si="40"/>
        <v>170.25508500000001</v>
      </c>
      <c r="H161" s="86" t="s">
        <v>1201</v>
      </c>
      <c r="I161" s="86" t="e">
        <f t="shared" ca="1" si="41"/>
        <v>#NAME?</v>
      </c>
      <c r="J161" s="86"/>
      <c r="K161" s="86" t="s">
        <v>1322</v>
      </c>
      <c r="L161" s="90" cm="1">
        <f t="array" ref="L161">_xll.FDS($K161,"FG_PRICE")</f>
        <v>156.97499999999999</v>
      </c>
      <c r="M161" s="7"/>
      <c r="S161" s="5"/>
      <c r="T161" s="5"/>
    </row>
    <row r="162" spans="2:20" s="1" customFormat="1">
      <c r="B162" s="38" t="s">
        <v>1166</v>
      </c>
      <c r="C162" s="124">
        <v>3.9260999999999999</v>
      </c>
      <c r="E162" s="615" t="s">
        <v>1590</v>
      </c>
      <c r="F162" s="616">
        <f t="shared" si="40"/>
        <v>4.2582480599999997</v>
      </c>
      <c r="H162" s="86" t="s">
        <v>1202</v>
      </c>
      <c r="I162" s="86" t="e">
        <f t="shared" ca="1" si="41"/>
        <v>#NAME?</v>
      </c>
      <c r="J162" s="86"/>
      <c r="K162" s="86" t="s">
        <v>1323</v>
      </c>
      <c r="L162" s="90" cm="1">
        <f t="array" ref="L162">_xll.FDS($K162,"FG_PRICE")</f>
        <v>3.9260999999999999</v>
      </c>
      <c r="M162" s="7"/>
      <c r="S162" s="5"/>
      <c r="T162" s="5"/>
    </row>
    <row r="163" spans="2:20" s="1" customFormat="1">
      <c r="B163" s="38" t="s">
        <v>1167</v>
      </c>
      <c r="C163" s="124">
        <v>36.685000000000002</v>
      </c>
      <c r="E163" s="615" t="s">
        <v>1591</v>
      </c>
      <c r="F163" s="616">
        <f t="shared" si="40"/>
        <v>39.788551000000005</v>
      </c>
      <c r="H163" s="86" t="s">
        <v>1203</v>
      </c>
      <c r="I163" s="86" t="e">
        <f t="shared" ca="1" si="41"/>
        <v>#NAME?</v>
      </c>
      <c r="J163" s="86"/>
      <c r="K163" s="86" t="s">
        <v>1324</v>
      </c>
      <c r="L163" s="90" cm="1">
        <f t="array" ref="L163">_xll.FDS($K163,"FG_PRICE")</f>
        <v>36.685000000000002</v>
      </c>
      <c r="M163" s="7"/>
      <c r="S163" s="5"/>
      <c r="T163" s="5"/>
    </row>
    <row r="164" spans="2:20" s="1" customFormat="1">
      <c r="B164" s="38" t="s">
        <v>1168</v>
      </c>
      <c r="C164" s="124">
        <v>1.3669500000000001</v>
      </c>
      <c r="E164" s="615" t="s">
        <v>1592</v>
      </c>
      <c r="F164" s="616">
        <f t="shared" si="40"/>
        <v>1.4825939700000001</v>
      </c>
      <c r="H164" s="86" t="s">
        <v>1204</v>
      </c>
      <c r="I164" s="86" t="e">
        <f t="shared" ca="1" si="41"/>
        <v>#NAME?</v>
      </c>
      <c r="J164" s="86"/>
      <c r="K164" s="86" t="s">
        <v>1325</v>
      </c>
      <c r="L164" s="90" cm="1">
        <f t="array" ref="L164">_xll.FDS($K164,"FG_PRICE")</f>
        <v>1.3669500000000001</v>
      </c>
      <c r="M164" s="7"/>
      <c r="O164" s="9"/>
      <c r="P164" s="9"/>
      <c r="Q164" s="9"/>
      <c r="S164" s="5"/>
      <c r="T164" s="5"/>
    </row>
    <row r="165" spans="2:20" s="1" customFormat="1">
      <c r="B165" s="38" t="s">
        <v>1169</v>
      </c>
      <c r="C165" s="127">
        <v>899.85</v>
      </c>
      <c r="E165" s="615" t="s">
        <v>1593</v>
      </c>
      <c r="F165" s="616">
        <f t="shared" si="40"/>
        <v>975.97730999999999</v>
      </c>
      <c r="H165" s="86" t="s">
        <v>1205</v>
      </c>
      <c r="I165" s="86" t="e">
        <f t="shared" ca="1" si="41"/>
        <v>#NAME?</v>
      </c>
      <c r="J165" s="86"/>
      <c r="K165" s="86" t="s">
        <v>1326</v>
      </c>
      <c r="L165" s="90" cm="1">
        <f t="array" ref="L165">_xll.FDS($K165,"FG_PRICE")</f>
        <v>899.85</v>
      </c>
      <c r="M165" s="7"/>
      <c r="S165" s="5"/>
      <c r="T165" s="5"/>
    </row>
    <row r="166" spans="2:20" s="1" customFormat="1">
      <c r="B166" s="38" t="s">
        <v>1170</v>
      </c>
      <c r="C166" s="124">
        <v>3.1834779000000002</v>
      </c>
      <c r="E166" s="615" t="s">
        <v>1594</v>
      </c>
      <c r="F166" s="616">
        <f t="shared" si="40"/>
        <v>3.4528001303400004</v>
      </c>
      <c r="H166" s="86" t="s">
        <v>1206</v>
      </c>
      <c r="I166" s="86" t="e">
        <f t="shared" ca="1" si="41"/>
        <v>#NAME?</v>
      </c>
      <c r="J166" s="86"/>
      <c r="K166" s="86" t="s">
        <v>1327</v>
      </c>
      <c r="L166" s="90" cm="1">
        <f t="array" ref="L166">_xll.FDS($K166,"FG_PRICE")</f>
        <v>3.1834779000000002</v>
      </c>
      <c r="M166" s="7"/>
      <c r="S166" s="5"/>
      <c r="T166" s="5"/>
    </row>
    <row r="167" spans="2:20" s="1" customFormat="1">
      <c r="B167" s="38" t="s">
        <v>1357</v>
      </c>
      <c r="C167" s="124">
        <v>7.8135000000000003</v>
      </c>
      <c r="E167" s="615" t="s">
        <v>1595</v>
      </c>
      <c r="F167" s="616">
        <f t="shared" si="40"/>
        <v>8.4745220999999997</v>
      </c>
      <c r="H167" s="86" t="s">
        <v>1207</v>
      </c>
      <c r="I167" s="86" t="e">
        <f t="shared" ca="1" si="41"/>
        <v>#NAME?</v>
      </c>
      <c r="J167" s="86"/>
      <c r="K167" s="86" t="s">
        <v>1328</v>
      </c>
      <c r="L167" s="90" cm="1">
        <f t="array" ref="L167">_xll.FDS($K167,"FG_PRICE")</f>
        <v>7.8135000000000003</v>
      </c>
      <c r="M167" s="7"/>
      <c r="S167" s="5"/>
      <c r="T167" s="5"/>
    </row>
    <row r="168" spans="2:20" s="1" customFormat="1">
      <c r="B168" s="38" t="s">
        <v>1356</v>
      </c>
      <c r="C168" s="124">
        <v>1.5084093999999999</v>
      </c>
      <c r="E168" s="615" t="s">
        <v>1596</v>
      </c>
      <c r="F168" s="616">
        <f t="shared" si="40"/>
        <v>1.6360208352399999</v>
      </c>
      <c r="H168" s="86" t="s">
        <v>1208</v>
      </c>
      <c r="I168" s="108" t="e">
        <f ca="1">1/BDP(H168,"PX_LAST")</f>
        <v>#NAME?</v>
      </c>
      <c r="J168" s="86"/>
      <c r="K168" s="86" t="s">
        <v>1329</v>
      </c>
      <c r="L168" s="90" cm="1">
        <f t="array" ref="L168">_xll.FDS($K168,"FG_PRICE")</f>
        <v>1.5084093999999999</v>
      </c>
      <c r="M168" s="7"/>
      <c r="S168" s="5"/>
      <c r="T168" s="5"/>
    </row>
    <row r="169" spans="2:20" s="1" customFormat="1">
      <c r="B169" s="38" t="s">
        <v>1171</v>
      </c>
      <c r="C169" s="124">
        <v>9.9572500000000002</v>
      </c>
      <c r="E169" s="615" t="s">
        <v>1597</v>
      </c>
      <c r="F169" s="616">
        <f t="shared" si="40"/>
        <v>10.799633350000001</v>
      </c>
      <c r="H169" s="86" t="s">
        <v>1209</v>
      </c>
      <c r="I169" s="86" t="e">
        <f t="shared" ca="1" si="41"/>
        <v>#NAME?</v>
      </c>
      <c r="J169" s="86"/>
      <c r="K169" s="86" t="s">
        <v>1330</v>
      </c>
      <c r="L169" s="90" cm="1">
        <f t="array" ref="L169">_xll.FDS($K169,"FG_PRICE")</f>
        <v>9.9572500000000002</v>
      </c>
      <c r="M169" s="7"/>
      <c r="S169" s="5"/>
      <c r="T169" s="5"/>
    </row>
    <row r="170" spans="2:20" s="1" customFormat="1">
      <c r="B170" s="38" t="s">
        <v>1172</v>
      </c>
      <c r="C170" s="124">
        <v>18.423749999999998</v>
      </c>
      <c r="E170" s="615" t="s">
        <v>1598</v>
      </c>
      <c r="F170" s="616">
        <f t="shared" si="40"/>
        <v>19.982399249999997</v>
      </c>
      <c r="H170" s="86" t="s">
        <v>1210</v>
      </c>
      <c r="I170" s="86" t="e">
        <f t="shared" ca="1" si="41"/>
        <v>#NAME?</v>
      </c>
      <c r="J170" s="86"/>
      <c r="K170" s="86" t="s">
        <v>1331</v>
      </c>
      <c r="L170" s="90" cm="1">
        <f t="array" ref="L170">_xll.FDS($K170,"FG_PRICE")</f>
        <v>18.423749999999998</v>
      </c>
      <c r="M170" s="7"/>
      <c r="S170" s="5"/>
      <c r="T170" s="5"/>
    </row>
    <row r="171" spans="2:20" s="1" customFormat="1">
      <c r="B171" s="38" t="s">
        <v>1173</v>
      </c>
      <c r="C171" s="124">
        <v>47.15</v>
      </c>
      <c r="E171" s="615" t="s">
        <v>1599</v>
      </c>
      <c r="F171" s="616">
        <f t="shared" si="40"/>
        <v>51.138889999999996</v>
      </c>
      <c r="H171" s="86" t="s">
        <v>1211</v>
      </c>
      <c r="I171" s="86" t="e">
        <f t="shared" ca="1" si="41"/>
        <v>#NAME?</v>
      </c>
      <c r="J171" s="86"/>
      <c r="K171" s="86" t="s">
        <v>1332</v>
      </c>
      <c r="L171" s="90" cm="1">
        <f t="array" ref="L171">_xll.FDS($K171,"FG_PRICE")</f>
        <v>47.15</v>
      </c>
      <c r="M171" s="7"/>
      <c r="S171" s="5"/>
      <c r="T171" s="5"/>
    </row>
    <row r="172" spans="2:20" s="1" customFormat="1">
      <c r="B172" s="38" t="s">
        <v>1174</v>
      </c>
      <c r="C172" s="127">
        <v>15992.5</v>
      </c>
      <c r="E172" s="615" t="s">
        <v>1600</v>
      </c>
      <c r="F172" s="616">
        <f t="shared" si="40"/>
        <v>17345.465499999998</v>
      </c>
      <c r="H172" s="86" t="s">
        <v>1212</v>
      </c>
      <c r="I172" s="86" t="e">
        <f t="shared" ca="1" si="41"/>
        <v>#NAME?</v>
      </c>
      <c r="J172" s="86"/>
      <c r="K172" s="86" t="s">
        <v>1333</v>
      </c>
      <c r="L172" s="90" cm="1">
        <f t="array" ref="L172">_xll.FDS($K172,"FG_PRICE")</f>
        <v>15992.5</v>
      </c>
      <c r="M172" s="7"/>
      <c r="S172" s="5"/>
      <c r="T172" s="5"/>
    </row>
    <row r="173" spans="2:20" s="1" customFormat="1">
      <c r="B173" s="38" t="s">
        <v>1175</v>
      </c>
      <c r="C173" s="127">
        <v>1369.5</v>
      </c>
      <c r="E173" s="615" t="s">
        <v>1601</v>
      </c>
      <c r="F173" s="616">
        <f t="shared" si="40"/>
        <v>1485.3597</v>
      </c>
      <c r="H173" s="86" t="s">
        <v>1213</v>
      </c>
      <c r="I173" s="86" t="e">
        <f t="shared" ca="1" si="41"/>
        <v>#NAME?</v>
      </c>
      <c r="J173" s="86"/>
      <c r="K173" s="86" t="s">
        <v>1334</v>
      </c>
      <c r="L173" s="90" cm="1">
        <f t="array" ref="L173">_xll.FDS($K173,"FG_PRICE")</f>
        <v>1369.5</v>
      </c>
      <c r="M173" s="7"/>
      <c r="S173" s="5"/>
      <c r="T173" s="5"/>
    </row>
    <row r="174" spans="2:20" s="1" customFormat="1">
      <c r="B174" s="38" t="s">
        <v>1176</v>
      </c>
      <c r="C174" s="124">
        <v>89.3</v>
      </c>
      <c r="E174" s="615" t="s">
        <v>1602</v>
      </c>
      <c r="F174" s="616">
        <f t="shared" si="40"/>
        <v>96.854779999999991</v>
      </c>
      <c r="H174" s="86" t="s">
        <v>1214</v>
      </c>
      <c r="I174" s="86" t="e">
        <f t="shared" ca="1" si="41"/>
        <v>#NAME?</v>
      </c>
      <c r="J174" s="86"/>
      <c r="K174" s="86" t="s">
        <v>1335</v>
      </c>
      <c r="L174" s="90" cm="1">
        <f t="array" ref="L174">_xll.FDS($K174,"FG_PRICE")</f>
        <v>89.3</v>
      </c>
      <c r="M174" s="7"/>
      <c r="S174" s="5"/>
      <c r="T174" s="5"/>
    </row>
    <row r="175" spans="2:20" s="1" customFormat="1">
      <c r="B175" s="38" t="s">
        <v>1177</v>
      </c>
      <c r="C175" s="124">
        <v>7.2447999999999997</v>
      </c>
      <c r="E175" s="615" t="s">
        <v>1603</v>
      </c>
      <c r="F175" s="616">
        <f t="shared" si="40"/>
        <v>7.8577100799999995</v>
      </c>
      <c r="H175" s="86" t="s">
        <v>1215</v>
      </c>
      <c r="I175" s="86" t="e">
        <f t="shared" ca="1" si="41"/>
        <v>#NAME?</v>
      </c>
      <c r="J175" s="86"/>
      <c r="K175" s="86" t="s">
        <v>1336</v>
      </c>
      <c r="L175" s="90" cm="1">
        <f t="array" ref="L175">_xll.FDS($K175,"FG_PRICE")</f>
        <v>7.2447999999999997</v>
      </c>
      <c r="M175" s="7"/>
      <c r="S175" s="5"/>
      <c r="T175" s="5"/>
    </row>
    <row r="176" spans="2:20" s="1" customFormat="1">
      <c r="B176" s="38" t="s">
        <v>1178</v>
      </c>
      <c r="C176" s="124">
        <v>1.34995</v>
      </c>
      <c r="E176" s="615" t="s">
        <v>1604</v>
      </c>
      <c r="F176" s="616">
        <f t="shared" si="40"/>
        <v>1.4641557700000001</v>
      </c>
      <c r="H176" s="86" t="s">
        <v>1216</v>
      </c>
      <c r="I176" s="86" t="e">
        <f t="shared" ca="1" si="41"/>
        <v>#NAME?</v>
      </c>
      <c r="J176" s="86"/>
      <c r="K176" s="86" t="s">
        <v>1337</v>
      </c>
      <c r="L176" s="90" cm="1">
        <f t="array" ref="L176">_xll.FDS($K176,"FG_PRICE")</f>
        <v>1.34995</v>
      </c>
      <c r="M176" s="7"/>
      <c r="S176" s="5"/>
      <c r="T176" s="5"/>
    </row>
    <row r="177" spans="2:20" s="1" customFormat="1">
      <c r="B177" s="38" t="s">
        <v>1179</v>
      </c>
      <c r="C177" s="124">
        <v>58.192500000000003</v>
      </c>
      <c r="E177" s="615" t="s">
        <v>1605</v>
      </c>
      <c r="F177" s="616">
        <f t="shared" si="40"/>
        <v>63.115585500000002</v>
      </c>
      <c r="H177" s="86" t="s">
        <v>1217</v>
      </c>
      <c r="I177" s="86" t="e">
        <f t="shared" ca="1" si="41"/>
        <v>#NAME?</v>
      </c>
      <c r="J177" s="86"/>
      <c r="K177" s="86" t="s">
        <v>1338</v>
      </c>
      <c r="L177" s="90" cm="1">
        <f t="array" ref="L177">_xll.FDS($K177,"FG_PRICE")</f>
        <v>58.192500000000003</v>
      </c>
      <c r="M177" s="7"/>
      <c r="S177" s="5"/>
      <c r="T177" s="5"/>
    </row>
    <row r="178" spans="2:20" s="1" customFormat="1">
      <c r="B178" s="38" t="s">
        <v>1180</v>
      </c>
      <c r="C178" s="127">
        <v>299.995</v>
      </c>
      <c r="E178" s="615" t="s">
        <v>1606</v>
      </c>
      <c r="F178" s="616">
        <f t="shared" si="40"/>
        <v>325.37457699999999</v>
      </c>
      <c r="H178" s="86" t="s">
        <v>1218</v>
      </c>
      <c r="I178" s="86" t="e">
        <f t="shared" ca="1" si="41"/>
        <v>#NAME?</v>
      </c>
      <c r="J178" s="86"/>
      <c r="K178" s="86" t="s">
        <v>1339</v>
      </c>
      <c r="L178" s="90" cm="1">
        <f t="array" ref="L178">_xll.FDS($K178,"FG_PRICE")</f>
        <v>299.995</v>
      </c>
      <c r="M178" s="7"/>
    </row>
    <row r="179" spans="2:20" s="1" customFormat="1">
      <c r="B179" s="38" t="s">
        <v>1181</v>
      </c>
      <c r="C179" s="127">
        <v>133</v>
      </c>
      <c r="E179" s="615" t="s">
        <v>1607</v>
      </c>
      <c r="F179" s="616">
        <f t="shared" si="40"/>
        <v>144.2518</v>
      </c>
      <c r="H179" s="86" t="s">
        <v>1219</v>
      </c>
      <c r="I179" s="86" t="e">
        <f t="shared" ca="1" si="41"/>
        <v>#NAME?</v>
      </c>
      <c r="J179" s="86"/>
      <c r="K179" s="86" t="s">
        <v>1340</v>
      </c>
      <c r="L179" s="90" cm="1">
        <f t="array" ref="L179">_xll.FDS($K179,"FG_PRICE")</f>
        <v>133</v>
      </c>
      <c r="M179" s="7"/>
    </row>
    <row r="180" spans="2:20" s="1" customFormat="1">
      <c r="B180" s="38" t="s">
        <v>1182</v>
      </c>
      <c r="C180" s="124">
        <v>16.7225</v>
      </c>
      <c r="E180" s="615" t="s">
        <v>1608</v>
      </c>
      <c r="F180" s="616">
        <f t="shared" si="40"/>
        <v>18.137223500000001</v>
      </c>
      <c r="H180" s="86" t="s">
        <v>1220</v>
      </c>
      <c r="I180" s="86" t="e">
        <f t="shared" ca="1" si="41"/>
        <v>#NAME?</v>
      </c>
      <c r="J180" s="86"/>
      <c r="K180" s="86" t="s">
        <v>1341</v>
      </c>
      <c r="L180" s="90" cm="1">
        <f t="array" ref="L180">_xll.FDS($K180,"FG_PRICE")</f>
        <v>16.7225</v>
      </c>
      <c r="M180" s="7"/>
    </row>
    <row r="181" spans="2:20" s="1" customFormat="1">
      <c r="B181" s="38" t="s">
        <v>1183</v>
      </c>
      <c r="C181" s="124">
        <v>32.268000000000001</v>
      </c>
      <c r="E181" s="615" t="s">
        <v>1609</v>
      </c>
      <c r="F181" s="616">
        <f t="shared" si="40"/>
        <v>34.997872800000003</v>
      </c>
      <c r="H181" s="86" t="s">
        <v>1221</v>
      </c>
      <c r="I181" s="86" t="e">
        <f t="shared" ca="1" si="41"/>
        <v>#NAME?</v>
      </c>
      <c r="J181" s="86"/>
      <c r="K181" s="86" t="s">
        <v>1342</v>
      </c>
      <c r="L181" s="90" cm="1">
        <f t="array" ref="L181">_xll.FDS($K181,"FG_PRICE")</f>
        <v>32.268000000000001</v>
      </c>
      <c r="M181" s="7"/>
    </row>
    <row r="182" spans="2:20" s="1" customFormat="1">
      <c r="B182" s="38" t="s">
        <v>1184</v>
      </c>
      <c r="C182" s="124">
        <v>890.74789999999996</v>
      </c>
      <c r="E182" s="615" t="s">
        <v>1610</v>
      </c>
      <c r="F182" s="616">
        <f t="shared" si="40"/>
        <v>966.10517233999997</v>
      </c>
      <c r="H182" s="86" t="s">
        <v>1222</v>
      </c>
      <c r="I182" s="86" t="e">
        <f t="shared" ca="1" si="41"/>
        <v>#NAME?</v>
      </c>
      <c r="J182" s="86"/>
      <c r="K182" s="86" t="s">
        <v>1343</v>
      </c>
      <c r="L182" s="90" cm="1">
        <f t="array" ref="L182">_xll.FDS($K182,"FG_PRICE")</f>
        <v>890.74789999999996</v>
      </c>
      <c r="M182" s="7"/>
    </row>
    <row r="183" spans="2:20" s="1" customFormat="1">
      <c r="B183" s="5" t="s">
        <v>1185</v>
      </c>
      <c r="C183" s="127">
        <v>278.2</v>
      </c>
      <c r="E183" s="192" t="s">
        <v>1611</v>
      </c>
      <c r="F183" s="616">
        <f t="shared" si="40"/>
        <v>301.73572000000001</v>
      </c>
      <c r="H183" s="86" t="s">
        <v>1223</v>
      </c>
      <c r="I183" s="86" t="e">
        <f t="shared" ca="1" si="41"/>
        <v>#NAME?</v>
      </c>
      <c r="J183" s="86"/>
      <c r="K183" s="86" t="s">
        <v>1344</v>
      </c>
      <c r="L183" s="90" cm="1">
        <f t="array" ref="L183">_xll.FDS($K183,"FG_PRICE")</f>
        <v>278.2</v>
      </c>
      <c r="M183" s="7"/>
    </row>
    <row r="184" spans="2:20" s="1" customFormat="1">
      <c r="B184" s="5" t="s">
        <v>1186</v>
      </c>
      <c r="C184" s="124">
        <v>117.7</v>
      </c>
      <c r="E184" s="192" t="s">
        <v>1612</v>
      </c>
      <c r="F184" s="616">
        <f t="shared" si="40"/>
        <v>127.65742</v>
      </c>
      <c r="H184" s="86" t="s">
        <v>1224</v>
      </c>
      <c r="I184" s="86" t="e">
        <f t="shared" ca="1" si="41"/>
        <v>#NAME?</v>
      </c>
      <c r="J184" s="86"/>
      <c r="K184" s="86" t="s">
        <v>1345</v>
      </c>
      <c r="L184" s="90" cm="1">
        <f t="array" ref="L184">_xll.FDS($K184,"FG_PRICE")</f>
        <v>117.7</v>
      </c>
      <c r="M184" s="7"/>
    </row>
    <row r="185" spans="2:20" s="1" customFormat="1">
      <c r="B185" s="5" t="s">
        <v>1180</v>
      </c>
      <c r="C185" s="127">
        <v>299.995</v>
      </c>
      <c r="E185" s="192" t="s">
        <v>1606</v>
      </c>
      <c r="F185" s="616">
        <f t="shared" si="40"/>
        <v>325.37457699999999</v>
      </c>
      <c r="H185" s="86" t="s">
        <v>1218</v>
      </c>
      <c r="I185" s="86" t="e">
        <f t="shared" ca="1" si="41"/>
        <v>#NAME?</v>
      </c>
      <c r="J185" s="86"/>
      <c r="K185" s="86" t="s">
        <v>1339</v>
      </c>
      <c r="L185" s="90" cm="1">
        <f t="array" ref="L185">_xll.FDS($K185,"FG_PRICE")</f>
        <v>299.995</v>
      </c>
      <c r="M185" s="7"/>
    </row>
    <row r="186" spans="2:20" s="1" customFormat="1">
      <c r="B186" s="5" t="s">
        <v>1187</v>
      </c>
      <c r="C186" s="124">
        <v>3.641</v>
      </c>
      <c r="E186" s="192" t="s">
        <v>1613</v>
      </c>
      <c r="F186" s="616">
        <f t="shared" si="40"/>
        <v>3.9490286000000001</v>
      </c>
      <c r="H186" s="86" t="s">
        <v>1225</v>
      </c>
      <c r="I186" s="86" t="e">
        <f t="shared" ca="1" si="41"/>
        <v>#NAME?</v>
      </c>
      <c r="J186" s="86"/>
      <c r="K186" s="86" t="s">
        <v>1346</v>
      </c>
      <c r="L186" s="90" cm="1">
        <f t="array" ref="L186">_xll.FDS($K186,"FG_PRICE")</f>
        <v>3.641</v>
      </c>
      <c r="M186" s="7"/>
    </row>
    <row r="187" spans="2:20" s="1" customFormat="1">
      <c r="B187" s="5" t="s">
        <v>1355</v>
      </c>
      <c r="C187" s="124">
        <v>0.61175000000000002</v>
      </c>
      <c r="E187" s="192" t="s">
        <v>1614</v>
      </c>
      <c r="F187" s="616">
        <f t="shared" si="40"/>
        <v>0.66350405000000001</v>
      </c>
      <c r="H187" s="86" t="s">
        <v>1226</v>
      </c>
      <c r="I187" s="86" t="e">
        <f t="shared" ca="1" si="41"/>
        <v>#NAME?</v>
      </c>
      <c r="J187" s="86"/>
      <c r="K187" s="86" t="s">
        <v>1354</v>
      </c>
      <c r="L187" s="90" cm="1">
        <f t="array" ref="L187">_xll.FDS($K187,"FG_PRICE")</f>
        <v>0.61175000000000002</v>
      </c>
      <c r="M187" s="7"/>
    </row>
    <row r="188" spans="2:20" s="1" customFormat="1">
      <c r="C188" s="4"/>
      <c r="D188" s="2"/>
      <c r="E188" s="2"/>
    </row>
    <row r="189" spans="2:20" s="1" customFormat="1">
      <c r="D189" s="2"/>
      <c r="E189" s="2"/>
    </row>
    <row r="190" spans="2:20" s="1" customFormat="1">
      <c r="D190" s="2"/>
      <c r="E190" s="2"/>
      <c r="L190" s="20"/>
      <c r="M190" s="7"/>
    </row>
  </sheetData>
  <phoneticPr fontId="7" type="noConversion"/>
  <pageMargins left="0.74803149606299213" right="0.74803149606299213" top="0.98425196850393704" bottom="0.98425196850393704" header="0.51181102362204722" footer="0.51181102362204722"/>
  <pageSetup scale="60" fitToHeight="0" orientation="portrait" r:id="rId1"/>
  <headerFooter alignWithMargins="0"/>
  <rowBreaks count="2" manualBreakCount="2">
    <brk id="77" max="12" man="1"/>
    <brk id="145" max="12" man="1"/>
  </rowBreaks>
  <ignoredErrors>
    <ignoredError sqref="G1:G3 G4 G6" evalError="1"/>
  </ignoredErrors>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41">
    <pageSetUpPr fitToPage="1"/>
  </sheetPr>
  <dimension ref="B1:AA165"/>
  <sheetViews>
    <sheetView showGridLines="0" zoomScale="80" zoomScaleNormal="80" zoomScaleSheetLayoutView="80" workbookViewId="0"/>
  </sheetViews>
  <sheetFormatPr defaultColWidth="9.109375" defaultRowHeight="12"/>
  <cols>
    <col min="1" max="1" width="2.33203125" style="39" customWidth="1"/>
    <col min="2" max="2" width="26.5546875" style="39" customWidth="1"/>
    <col min="3" max="9" width="10" style="39" customWidth="1"/>
    <col min="10" max="10" width="26.6640625" style="39" customWidth="1"/>
    <col min="11" max="16" width="10" style="39" customWidth="1"/>
    <col min="17" max="18" width="8.6640625" style="39" customWidth="1"/>
    <col min="19" max="27" width="8.6640625" style="5" customWidth="1"/>
    <col min="28" max="28" width="8.6640625" style="39" customWidth="1"/>
    <col min="29" max="16384" width="9.109375" style="39"/>
  </cols>
  <sheetData>
    <row r="1" spans="2:27" s="312" customFormat="1">
      <c r="S1" s="149"/>
      <c r="T1" s="149"/>
      <c r="U1" s="149"/>
      <c r="V1" s="149"/>
      <c r="W1" s="149"/>
      <c r="X1" s="149"/>
      <c r="Y1" s="149"/>
      <c r="Z1" s="149"/>
      <c r="AA1" s="149"/>
    </row>
    <row r="2" spans="2:27" s="149" customFormat="1"/>
    <row r="3" spans="2:27" s="149" customFormat="1">
      <c r="H3" s="153"/>
      <c r="P3" s="153"/>
    </row>
    <row r="4" spans="2:27" s="156" customFormat="1" ht="21">
      <c r="B4" s="129" t="s">
        <v>166</v>
      </c>
      <c r="H4" s="222"/>
      <c r="P4" s="222"/>
    </row>
    <row r="5" spans="2:27" s="149" customFormat="1">
      <c r="C5" s="153"/>
      <c r="D5" s="153" t="str" cm="1">
        <f t="array" ref="D5:H5">headings</f>
        <v>2023E</v>
      </c>
      <c r="E5" s="153" t="str">
        <v>2024E</v>
      </c>
      <c r="F5" s="153" t="str">
        <v>2025E</v>
      </c>
      <c r="G5" s="153" t="str">
        <v>2026E</v>
      </c>
      <c r="H5" s="153" t="str">
        <v>23E-26E</v>
      </c>
      <c r="I5" s="153"/>
      <c r="J5" s="153"/>
      <c r="K5" s="153"/>
      <c r="L5" s="153" t="str" cm="1">
        <f t="array" ref="L5:P5">headings</f>
        <v>2023E</v>
      </c>
      <c r="M5" s="153" t="str">
        <v>2024E</v>
      </c>
      <c r="N5" s="153" t="str">
        <v>2025E</v>
      </c>
      <c r="O5" s="153" t="str">
        <v>2026E</v>
      </c>
      <c r="P5" s="153" t="str">
        <v>23E-26E</v>
      </c>
      <c r="Q5" s="162"/>
      <c r="R5" s="162"/>
      <c r="S5" s="162"/>
      <c r="T5" s="162"/>
      <c r="U5" s="162"/>
      <c r="V5" s="162"/>
      <c r="W5" s="162"/>
      <c r="X5" s="162"/>
      <c r="Y5" s="162"/>
    </row>
    <row r="6" spans="2:27">
      <c r="I6" s="5"/>
      <c r="J6" s="5"/>
      <c r="K6" s="5"/>
      <c r="L6" s="5"/>
      <c r="M6" s="5"/>
      <c r="N6" s="5"/>
      <c r="O6" s="49"/>
    </row>
    <row r="7" spans="2:27" ht="12.6" thickBot="1">
      <c r="B7" s="306" t="s">
        <v>271</v>
      </c>
      <c r="C7" s="265"/>
      <c r="D7" s="265" t="str">
        <f>D5</f>
        <v>2023E</v>
      </c>
      <c r="E7" s="265" t="str">
        <f t="shared" ref="E7:H7" si="0">E5</f>
        <v>2024E</v>
      </c>
      <c r="F7" s="265" t="str">
        <f t="shared" si="0"/>
        <v>2025E</v>
      </c>
      <c r="G7" s="265" t="str">
        <f t="shared" si="0"/>
        <v>2026E</v>
      </c>
      <c r="H7" s="265" t="str">
        <f t="shared" si="0"/>
        <v>23E-26E</v>
      </c>
      <c r="I7" s="49"/>
      <c r="J7" s="306" t="s">
        <v>74</v>
      </c>
      <c r="K7" s="306"/>
      <c r="L7" s="265" t="str">
        <f>L5</f>
        <v>2023E</v>
      </c>
      <c r="M7" s="265" t="str">
        <f t="shared" ref="M7:P7" si="1">M5</f>
        <v>2024E</v>
      </c>
      <c r="N7" s="265" t="str">
        <f t="shared" si="1"/>
        <v>2025E</v>
      </c>
      <c r="O7" s="265" t="str">
        <f t="shared" si="1"/>
        <v>2026E</v>
      </c>
      <c r="P7" s="265" t="str">
        <f t="shared" si="1"/>
        <v>23E-26E</v>
      </c>
    </row>
    <row r="8" spans="2:27" ht="12.6" thickTop="1">
      <c r="B8" s="5"/>
      <c r="C8" s="5"/>
      <c r="D8" s="5"/>
      <c r="E8" s="5"/>
      <c r="F8" s="5"/>
      <c r="G8" s="5"/>
      <c r="H8" s="5"/>
      <c r="I8" s="5"/>
      <c r="J8" s="5"/>
      <c r="K8" s="5"/>
      <c r="L8" s="5"/>
      <c r="M8" s="5"/>
      <c r="N8" s="5"/>
      <c r="S8" s="42"/>
      <c r="T8" s="42"/>
      <c r="U8" s="42"/>
      <c r="V8" s="42"/>
      <c r="W8" s="42"/>
      <c r="X8" s="42"/>
      <c r="Y8" s="42"/>
      <c r="Z8" s="42"/>
      <c r="AA8" s="42"/>
    </row>
    <row r="9" spans="2:27">
      <c r="B9" s="41" t="s">
        <v>14</v>
      </c>
      <c r="C9" s="287">
        <f>Prices!$C$84</f>
        <v>4.05</v>
      </c>
      <c r="D9" s="535">
        <v>0</v>
      </c>
      <c r="E9" s="536">
        <v>0</v>
      </c>
      <c r="F9" s="536">
        <v>0</v>
      </c>
      <c r="G9" s="536">
        <v>0</v>
      </c>
      <c r="H9" s="249"/>
      <c r="I9" s="249"/>
      <c r="J9" s="5" t="s">
        <v>273</v>
      </c>
      <c r="L9" s="529">
        <f>'AGG ASIA CELLULAR'!D37</f>
        <v>2.0832818906884643</v>
      </c>
      <c r="M9" s="529">
        <f>'AGG ASIA CELLULAR'!E37</f>
        <v>1.9180381131180324</v>
      </c>
      <c r="N9" s="529">
        <f>'AGG ASIA CELLULAR'!F37</f>
        <v>1.6973984727138696</v>
      </c>
      <c r="O9" s="529">
        <f>'AGG ASIA CELLULAR'!G37</f>
        <v>1.4849146547081604</v>
      </c>
      <c r="P9" s="286">
        <f>'AGG ASIA CELLULAR'!H37</f>
        <v>5.2823672985303771E-2</v>
      </c>
      <c r="S9" s="42"/>
      <c r="T9" s="42"/>
      <c r="U9" s="42"/>
      <c r="V9" s="42"/>
      <c r="W9" s="42"/>
      <c r="X9" s="42"/>
      <c r="Y9" s="42"/>
      <c r="Z9" s="42"/>
      <c r="AA9" s="42"/>
    </row>
    <row r="10" spans="2:27">
      <c r="B10" s="5" t="s">
        <v>274</v>
      </c>
      <c r="C10" s="5"/>
      <c r="D10" s="531">
        <v>11732.007987999999</v>
      </c>
      <c r="E10" s="531">
        <v>11732.007987999999</v>
      </c>
      <c r="F10" s="531">
        <v>11732.007987999999</v>
      </c>
      <c r="G10" s="531">
        <v>11732.007987999999</v>
      </c>
      <c r="H10" s="247"/>
      <c r="I10" s="247"/>
      <c r="J10" s="5" t="s">
        <v>184</v>
      </c>
      <c r="L10" s="529">
        <f>'AGG ASIA CELLULAR'!D38</f>
        <v>6.3578764048835863</v>
      </c>
      <c r="M10" s="529">
        <f>'AGG ASIA CELLULAR'!E38</f>
        <v>5.8349432944863064</v>
      </c>
      <c r="N10" s="529">
        <f>'AGG ASIA CELLULAR'!F38</f>
        <v>5.103853656504258</v>
      </c>
      <c r="O10" s="529">
        <f>'AGG ASIA CELLULAR'!G38</f>
        <v>4.4165179955724438</v>
      </c>
      <c r="P10" s="286">
        <f>'AGG ASIA CELLULAR'!H38</f>
        <v>6.1901299000113985E-2</v>
      </c>
      <c r="S10" s="42"/>
      <c r="T10" s="42"/>
      <c r="U10" s="42"/>
      <c r="V10" s="42"/>
      <c r="W10" s="288"/>
      <c r="X10" s="288"/>
      <c r="Y10" s="288"/>
      <c r="Z10" s="288"/>
      <c r="AA10" s="42"/>
    </row>
    <row r="11" spans="2:27">
      <c r="B11" s="41" t="s">
        <v>275</v>
      </c>
      <c r="C11" s="5"/>
      <c r="D11" s="532">
        <f>$C$9*D10</f>
        <v>47514.632351399996</v>
      </c>
      <c r="E11" s="532">
        <f>$C$9*E10</f>
        <v>47514.632351399996</v>
      </c>
      <c r="F11" s="532">
        <f>$C$9*F10</f>
        <v>47514.632351399996</v>
      </c>
      <c r="G11" s="532">
        <f>$C$9*G10</f>
        <v>47514.632351399996</v>
      </c>
      <c r="H11" s="249"/>
      <c r="I11" s="249"/>
      <c r="J11" s="5" t="s">
        <v>185</v>
      </c>
      <c r="L11" s="529">
        <f>'AGG ASIA CELLULAR'!D39</f>
        <v>12.256315794878686</v>
      </c>
      <c r="M11" s="529">
        <f>'AGG ASIA CELLULAR'!E39</f>
        <v>10.532349001792122</v>
      </c>
      <c r="N11" s="529">
        <f>'AGG ASIA CELLULAR'!F39</f>
        <v>8.8097379743624202</v>
      </c>
      <c r="O11" s="529">
        <f>'AGG ASIA CELLULAR'!G39</f>
        <v>7.3400525025099741</v>
      </c>
      <c r="P11" s="286">
        <f>'AGG ASIA CELLULAR'!H39</f>
        <v>0.11573327430771596</v>
      </c>
      <c r="S11" s="42"/>
      <c r="T11" s="42"/>
      <c r="U11" s="42"/>
      <c r="V11" s="42"/>
      <c r="W11" s="288"/>
      <c r="X11" s="288"/>
      <c r="Y11" s="288"/>
      <c r="Z11" s="288"/>
      <c r="AA11" s="42"/>
    </row>
    <row r="12" spans="2:27">
      <c r="B12" s="5" t="s">
        <v>24</v>
      </c>
      <c r="C12" s="249"/>
      <c r="D12" s="533">
        <v>15179.921557472646</v>
      </c>
      <c r="E12" s="533">
        <v>13672.728127430222</v>
      </c>
      <c r="F12" s="533">
        <v>12336.606010460926</v>
      </c>
      <c r="G12" s="533">
        <v>11136.00427742934</v>
      </c>
      <c r="H12" s="247"/>
      <c r="I12" s="247"/>
      <c r="J12" s="5" t="s">
        <v>466</v>
      </c>
      <c r="L12" s="529">
        <f>'AGG ASIA CELLULAR'!D40</f>
        <v>15.951300793811486</v>
      </c>
      <c r="M12" s="529">
        <f>'AGG ASIA CELLULAR'!E40</f>
        <v>13.847183646795452</v>
      </c>
      <c r="N12" s="529">
        <f>'AGG ASIA CELLULAR'!F40</f>
        <v>11.626709680654198</v>
      </c>
      <c r="O12" s="529">
        <f>'AGG ASIA CELLULAR'!G40</f>
        <v>9.7078389032116537</v>
      </c>
      <c r="P12" s="286">
        <f>'AGG ASIA CELLULAR'!H40</f>
        <v>0.10976572550111241</v>
      </c>
      <c r="S12" s="42"/>
      <c r="T12" s="42"/>
      <c r="U12" s="42"/>
      <c r="V12" s="42"/>
      <c r="W12" s="288"/>
      <c r="X12" s="288"/>
      <c r="Y12" s="288"/>
      <c r="Z12" s="288"/>
      <c r="AA12" s="42"/>
    </row>
    <row r="13" spans="2:27">
      <c r="B13" s="5" t="s">
        <v>529</v>
      </c>
      <c r="C13" s="257"/>
      <c r="D13" s="533">
        <v>0</v>
      </c>
      <c r="E13" s="533">
        <v>0</v>
      </c>
      <c r="F13" s="533">
        <v>0</v>
      </c>
      <c r="G13" s="533">
        <v>0</v>
      </c>
      <c r="H13" s="247"/>
      <c r="I13" s="247"/>
      <c r="J13" s="5" t="s">
        <v>530</v>
      </c>
      <c r="L13" s="529">
        <f>'AGG ASIA CELLULAR'!D41</f>
        <v>1.4274445412547272</v>
      </c>
      <c r="M13" s="529">
        <f>'AGG ASIA CELLULAR'!E41</f>
        <v>1.4179696737537477</v>
      </c>
      <c r="N13" s="529">
        <f>'AGG ASIA CELLULAR'!F41</f>
        <v>1.3450707920768976</v>
      </c>
      <c r="O13" s="529">
        <f>'AGG ASIA CELLULAR'!G41</f>
        <v>1.2618986136137988</v>
      </c>
      <c r="P13" s="286">
        <f>'AGG ASIA CELLULAR'!H41</f>
        <v>-2.0092563683029918E-2</v>
      </c>
      <c r="S13" s="42"/>
      <c r="T13" s="42"/>
      <c r="U13" s="42"/>
      <c r="V13" s="42"/>
      <c r="W13" s="42"/>
      <c r="X13" s="42"/>
      <c r="Y13" s="42"/>
      <c r="Z13" s="42"/>
      <c r="AA13" s="42"/>
    </row>
    <row r="14" spans="2:27">
      <c r="B14" s="5" t="s">
        <v>532</v>
      </c>
      <c r="C14" s="257"/>
      <c r="D14" s="533">
        <v>0</v>
      </c>
      <c r="E14" s="533">
        <v>0</v>
      </c>
      <c r="F14" s="533">
        <v>0</v>
      </c>
      <c r="G14" s="533">
        <v>0</v>
      </c>
      <c r="H14" s="247"/>
      <c r="I14" s="247"/>
      <c r="J14" s="5" t="s">
        <v>593</v>
      </c>
      <c r="L14" s="529">
        <f>'AGG ASIA CELLULAR'!D42</f>
        <v>2.9130695199933734</v>
      </c>
      <c r="M14" s="529">
        <f>'AGG ASIA CELLULAR'!E42</f>
        <v>2.8146219035099969</v>
      </c>
      <c r="N14" s="529">
        <f>'AGG ASIA CELLULAR'!F42</f>
        <v>2.5888583636405476</v>
      </c>
      <c r="O14" s="529">
        <f>'AGG ASIA CELLULAR'!G42</f>
        <v>2.3605815546209548</v>
      </c>
      <c r="P14" s="286">
        <f>'AGG ASIA CELLULAR'!H42</f>
        <v>8.7512202951403051E-3</v>
      </c>
      <c r="S14" s="42"/>
      <c r="T14" s="42"/>
      <c r="U14" s="42"/>
      <c r="V14" s="42"/>
      <c r="W14" s="42"/>
      <c r="X14" s="42"/>
      <c r="Y14" s="42"/>
      <c r="Z14" s="42"/>
      <c r="AA14" s="42"/>
    </row>
    <row r="15" spans="2:27">
      <c r="B15" s="5" t="s">
        <v>531</v>
      </c>
      <c r="C15" s="274"/>
      <c r="D15" s="533">
        <v>0</v>
      </c>
      <c r="E15" s="533">
        <v>0</v>
      </c>
      <c r="F15" s="533">
        <v>0</v>
      </c>
      <c r="G15" s="533">
        <v>0</v>
      </c>
      <c r="H15" s="247"/>
      <c r="I15" s="247"/>
      <c r="J15" s="5" t="s">
        <v>475</v>
      </c>
      <c r="L15" s="529">
        <f>'AGG ASIA CELLULAR'!D43</f>
        <v>19.278364274513134</v>
      </c>
      <c r="M15" s="529">
        <f>'AGG ASIA CELLULAR'!E43</f>
        <v>15.523038202411636</v>
      </c>
      <c r="N15" s="529">
        <f>'AGG ASIA CELLULAR'!F43</f>
        <v>13.257386088679914</v>
      </c>
      <c r="O15" s="529">
        <f>'AGG ASIA CELLULAR'!G43</f>
        <v>11.466142328229227</v>
      </c>
      <c r="P15" s="286">
        <f>'AGG ASIA CELLULAR'!H43</f>
        <v>0.18831027118838706</v>
      </c>
      <c r="S15" s="42"/>
      <c r="T15" s="42"/>
      <c r="U15" s="42"/>
      <c r="V15" s="42"/>
      <c r="W15" s="42"/>
      <c r="X15" s="42"/>
      <c r="Y15" s="42"/>
      <c r="Z15" s="42"/>
      <c r="AA15" s="42"/>
    </row>
    <row r="16" spans="2:27">
      <c r="B16" s="5" t="s">
        <v>534</v>
      </c>
      <c r="C16" s="257"/>
      <c r="D16" s="533">
        <v>0</v>
      </c>
      <c r="E16" s="533">
        <v>0</v>
      </c>
      <c r="F16" s="533">
        <v>2278.4376139415349</v>
      </c>
      <c r="G16" s="533">
        <v>4934.0471447425243</v>
      </c>
      <c r="H16" s="247"/>
      <c r="I16" s="247"/>
      <c r="J16" s="5" t="s">
        <v>533</v>
      </c>
      <c r="L16" s="529">
        <f>'AGG ASIA CELLULAR'!D44</f>
        <v>20.50009040888548</v>
      </c>
      <c r="M16" s="529">
        <f>'AGG ASIA CELLULAR'!E44</f>
        <v>17.31807909095523</v>
      </c>
      <c r="N16" s="529">
        <f>'AGG ASIA CELLULAR'!F44</f>
        <v>14.883294016253318</v>
      </c>
      <c r="O16" s="529">
        <f>'AGG ASIA CELLULAR'!G44</f>
        <v>13.16548576425039</v>
      </c>
      <c r="P16" s="286">
        <f>'AGG ASIA CELLULAR'!H44</f>
        <v>0.15839482711139796</v>
      </c>
      <c r="S16" s="42"/>
      <c r="T16" s="42"/>
      <c r="U16" s="42"/>
      <c r="V16" s="42"/>
      <c r="W16" s="42"/>
      <c r="X16" s="42"/>
      <c r="Y16" s="42"/>
      <c r="Z16" s="42"/>
      <c r="AA16" s="42"/>
    </row>
    <row r="17" spans="2:27">
      <c r="B17" s="5" t="s">
        <v>6</v>
      </c>
      <c r="C17" s="257"/>
      <c r="D17" s="533">
        <v>0</v>
      </c>
      <c r="E17" s="533">
        <v>0</v>
      </c>
      <c r="F17" s="533">
        <v>0</v>
      </c>
      <c r="G17" s="533">
        <v>0</v>
      </c>
      <c r="H17" s="247"/>
      <c r="I17" s="247"/>
      <c r="J17" s="5" t="s">
        <v>580</v>
      </c>
      <c r="L17" s="248">
        <f>'AGG ASIA CELLULAR'!D45</f>
        <v>4.174038595528512E-2</v>
      </c>
      <c r="M17" s="248">
        <f>'AGG ASIA CELLULAR'!E45</f>
        <v>4.4792872771489058E-2</v>
      </c>
      <c r="N17" s="248">
        <f>'AGG ASIA CELLULAR'!F45</f>
        <v>5.1203391440393167E-2</v>
      </c>
      <c r="O17" s="248">
        <f>'AGG ASIA CELLULAR'!G45</f>
        <v>5.7913719466381006E-2</v>
      </c>
      <c r="P17" s="286">
        <f>'AGG ASIA CELLULAR'!H45</f>
        <v>0.11470165475568339</v>
      </c>
      <c r="S17" s="42"/>
      <c r="T17" s="42"/>
      <c r="U17" s="42"/>
      <c r="V17" s="42"/>
      <c r="W17" s="42"/>
      <c r="X17" s="42"/>
      <c r="Y17" s="42"/>
      <c r="Z17" s="42"/>
      <c r="AA17" s="42"/>
    </row>
    <row r="18" spans="2:27" ht="12.6" thickBot="1">
      <c r="B18" s="41" t="s">
        <v>583</v>
      </c>
      <c r="C18" s="249"/>
      <c r="D18" s="534">
        <f>D11+D12+D13-D14+D15-D16-D17</f>
        <v>62694.553908872644</v>
      </c>
      <c r="E18" s="534">
        <f>E11+E12+E13-E14+E15-E16-E17</f>
        <v>61187.360478830218</v>
      </c>
      <c r="F18" s="534">
        <f>F11+F12+F13-F14+F15-F16-F17</f>
        <v>57572.800747919391</v>
      </c>
      <c r="G18" s="534">
        <f>G11+G12+G13-G14+G15-G16-G17</f>
        <v>53716.589484086813</v>
      </c>
      <c r="H18" s="276">
        <f>IF(D18=0,"nm",IF(G18=0,"nm",(G18/D18)^(1/3)-1))</f>
        <v>-5.0213035285878282E-2</v>
      </c>
      <c r="I18" s="254"/>
      <c r="J18" s="5" t="s">
        <v>36</v>
      </c>
      <c r="L18" s="248" t="e">
        <f>'AGG ASIA CELLULAR'!D46</f>
        <v>#VALUE!</v>
      </c>
      <c r="M18" s="248" t="e">
        <f>'AGG ASIA CELLULAR'!E46</f>
        <v>#VALUE!</v>
      </c>
      <c r="N18" s="248" t="e">
        <f>'AGG ASIA CELLULAR'!F46</f>
        <v>#VALUE!</v>
      </c>
      <c r="O18" s="248" t="e">
        <f>'AGG ASIA CELLULAR'!G46</f>
        <v>#VALUE!</v>
      </c>
      <c r="P18" s="286" t="e">
        <f>'AGG ASIA CELLULAR'!H46</f>
        <v>#VALUE!</v>
      </c>
      <c r="S18" s="42"/>
      <c r="T18" s="42"/>
      <c r="U18" s="42"/>
      <c r="V18" s="42"/>
      <c r="W18" s="42"/>
      <c r="X18" s="42"/>
      <c r="Y18" s="42"/>
      <c r="Z18" s="42"/>
      <c r="AA18" s="42"/>
    </row>
    <row r="19" spans="2:27" ht="12.6" thickTop="1">
      <c r="B19" s="41"/>
      <c r="C19" s="249"/>
      <c r="D19" s="229"/>
      <c r="E19" s="229"/>
      <c r="F19" s="229"/>
      <c r="G19" s="229"/>
      <c r="H19" s="276"/>
      <c r="I19" s="254"/>
      <c r="J19" s="5" t="s">
        <v>581</v>
      </c>
      <c r="L19" s="248">
        <f>'AGG ASIA CELLULAR'!D47</f>
        <v>5.1871620732991598E-2</v>
      </c>
      <c r="M19" s="248">
        <f>'AGG ASIA CELLULAR'!E47</f>
        <v>6.4420378727447922E-2</v>
      </c>
      <c r="N19" s="248">
        <f>'AGG ASIA CELLULAR'!F47</f>
        <v>7.5429650559386677E-2</v>
      </c>
      <c r="O19" s="248">
        <f>'AGG ASIA CELLULAR'!G47</f>
        <v>8.7213290344219457E-2</v>
      </c>
      <c r="P19" s="286">
        <f>'AGG ASIA CELLULAR'!H47</f>
        <v>0.18831027118838706</v>
      </c>
      <c r="S19" s="42"/>
      <c r="T19" s="42"/>
      <c r="U19" s="42"/>
      <c r="V19" s="42"/>
      <c r="W19" s="42"/>
      <c r="X19" s="42"/>
      <c r="Y19" s="42"/>
      <c r="Z19" s="42"/>
      <c r="AA19" s="42"/>
    </row>
    <row r="20" spans="2:27">
      <c r="H20" s="277"/>
      <c r="I20" s="17"/>
      <c r="J20" s="5" t="s">
        <v>604</v>
      </c>
      <c r="L20" s="305">
        <f>'AGG ASIA CELLULAR'!D48</f>
        <v>0.92045377326476352</v>
      </c>
      <c r="M20" s="305">
        <f>'AGG ASIA CELLULAR'!E48</f>
        <v>0.79490390762892493</v>
      </c>
      <c r="N20" s="305">
        <f>'AGG ASIA CELLULAR'!F48</f>
        <v>0.7763724496707467</v>
      </c>
      <c r="O20" s="305">
        <f>'AGG ASIA CELLULAR'!G48</f>
        <v>0.75978089170129071</v>
      </c>
      <c r="P20" s="286" t="str">
        <f>'AGG ASIA CELLULAR'!H48</f>
        <v>nm</v>
      </c>
      <c r="S20" s="42"/>
      <c r="T20" s="42"/>
      <c r="U20" s="42"/>
      <c r="V20" s="42"/>
      <c r="W20" s="42"/>
      <c r="X20" s="42"/>
      <c r="Y20" s="42"/>
      <c r="Z20" s="42"/>
      <c r="AA20" s="42"/>
    </row>
    <row r="21" spans="2:27" ht="12.6" thickBot="1">
      <c r="B21" s="306" t="s">
        <v>928</v>
      </c>
      <c r="C21" s="265"/>
      <c r="D21" s="265" t="str">
        <f>D5</f>
        <v>2023E</v>
      </c>
      <c r="E21" s="265" t="str">
        <f t="shared" ref="E21:H21" si="2">E5</f>
        <v>2024E</v>
      </c>
      <c r="F21" s="265" t="str">
        <f t="shared" si="2"/>
        <v>2025E</v>
      </c>
      <c r="G21" s="265" t="str">
        <f t="shared" si="2"/>
        <v>2026E</v>
      </c>
      <c r="H21" s="265" t="str">
        <f t="shared" si="2"/>
        <v>23E-26E</v>
      </c>
      <c r="I21" s="49"/>
      <c r="J21" s="41"/>
      <c r="L21" s="250"/>
      <c r="M21" s="250"/>
      <c r="N21" s="250"/>
      <c r="O21" s="250"/>
      <c r="P21" s="286"/>
      <c r="S21" s="42"/>
      <c r="T21" s="42"/>
      <c r="U21" s="42"/>
      <c r="V21" s="42"/>
      <c r="W21" s="42"/>
      <c r="X21" s="42"/>
      <c r="Y21" s="42"/>
      <c r="Z21" s="42"/>
      <c r="AA21" s="42"/>
    </row>
    <row r="22" spans="2:27" ht="12.6" thickTop="1">
      <c r="B22" s="5"/>
      <c r="C22" s="257"/>
      <c r="D22" s="17"/>
      <c r="E22" s="17"/>
      <c r="F22" s="17"/>
      <c r="G22" s="17"/>
      <c r="H22" s="17"/>
      <c r="I22" s="17"/>
      <c r="P22" s="277"/>
      <c r="S22" s="42"/>
      <c r="T22" s="42"/>
      <c r="U22" s="42"/>
      <c r="V22" s="42"/>
      <c r="W22" s="42"/>
      <c r="X22" s="42"/>
      <c r="Y22" s="42"/>
      <c r="Z22" s="42"/>
      <c r="AA22" s="42"/>
    </row>
    <row r="23" spans="2:27" ht="12.6" thickBot="1">
      <c r="B23" s="5" t="s">
        <v>584</v>
      </c>
      <c r="C23" s="548">
        <v>6224</v>
      </c>
      <c r="D23" s="540">
        <v>12683</v>
      </c>
      <c r="E23" s="540">
        <v>12870.19038666378</v>
      </c>
      <c r="F23" s="540">
        <v>13134.505023722222</v>
      </c>
      <c r="G23" s="540">
        <v>13403.775336129753</v>
      </c>
      <c r="H23" s="279">
        <f t="shared" ref="H23:H32" si="3">IF(D23=0,"nm",IF(G23=0,"nm",(G23/D23)^(1/3)-1))</f>
        <v>1.8595412333380024E-2</v>
      </c>
      <c r="I23" s="247"/>
      <c r="J23" s="306" t="s">
        <v>9</v>
      </c>
      <c r="K23" s="306"/>
      <c r="L23" s="265" t="str">
        <f>D21</f>
        <v>2023E</v>
      </c>
      <c r="M23" s="265" t="str">
        <f t="shared" ref="M23:P23" si="4">E21</f>
        <v>2024E</v>
      </c>
      <c r="N23" s="265" t="str">
        <f t="shared" si="4"/>
        <v>2025E</v>
      </c>
      <c r="O23" s="265" t="str">
        <f t="shared" si="4"/>
        <v>2026E</v>
      </c>
      <c r="P23" s="265" t="str">
        <f t="shared" si="4"/>
        <v>23E-26E</v>
      </c>
      <c r="S23" s="42"/>
      <c r="T23" s="42"/>
      <c r="U23" s="42"/>
      <c r="V23" s="42"/>
      <c r="W23" s="42"/>
      <c r="X23" s="42"/>
      <c r="Y23" s="42"/>
      <c r="Z23" s="42"/>
      <c r="AA23" s="42"/>
    </row>
    <row r="24" spans="2:27" ht="12.6" thickTop="1">
      <c r="B24" s="5" t="s">
        <v>483</v>
      </c>
      <c r="C24" s="549">
        <v>2795</v>
      </c>
      <c r="D24" s="540">
        <v>6154.85</v>
      </c>
      <c r="E24" s="540">
        <v>6420.5048849201739</v>
      </c>
      <c r="F24" s="540">
        <v>6643.6537457862942</v>
      </c>
      <c r="G24" s="540">
        <v>6891.3980197988394</v>
      </c>
      <c r="H24" s="279">
        <f t="shared" si="3"/>
        <v>3.8396670293431745E-2</v>
      </c>
      <c r="I24" s="249"/>
      <c r="J24" s="17"/>
      <c r="K24" s="17"/>
      <c r="L24" s="17"/>
      <c r="M24" s="17"/>
      <c r="N24" s="17"/>
      <c r="O24" s="248"/>
      <c r="S24" s="42"/>
      <c r="T24" s="42"/>
      <c r="U24" s="42"/>
      <c r="V24" s="42"/>
      <c r="W24" s="42" t="s">
        <v>276</v>
      </c>
      <c r="X24" s="42" t="s">
        <v>257</v>
      </c>
      <c r="Y24" s="42"/>
      <c r="Z24" s="42"/>
      <c r="AA24" s="42"/>
    </row>
    <row r="25" spans="2:27">
      <c r="B25" s="5" t="s">
        <v>183</v>
      </c>
      <c r="C25" s="548">
        <v>2040</v>
      </c>
      <c r="D25" s="540">
        <v>4399.5300000000007</v>
      </c>
      <c r="E25" s="540">
        <v>4361.2744230539693</v>
      </c>
      <c r="F25" s="540">
        <v>4673.4779922279613</v>
      </c>
      <c r="G25" s="540">
        <v>5014.8694727406737</v>
      </c>
      <c r="H25" s="279">
        <f t="shared" si="3"/>
        <v>4.460263434813605E-2</v>
      </c>
      <c r="I25" s="248"/>
      <c r="J25" s="247" t="s">
        <v>10</v>
      </c>
      <c r="K25" s="247"/>
      <c r="L25" s="321">
        <v>0</v>
      </c>
      <c r="M25" s="321">
        <v>0</v>
      </c>
      <c r="N25" s="321">
        <v>0</v>
      </c>
      <c r="O25" s="321">
        <v>0</v>
      </c>
      <c r="P25" s="279" t="str">
        <f>IF(L25=0,"nm",IF(O25=0,"nm",(O25/L25)^(1/3)-1))</f>
        <v>nm</v>
      </c>
      <c r="S25" s="42"/>
      <c r="T25" s="42"/>
      <c r="U25" s="42"/>
      <c r="V25" s="147" t="s">
        <v>273</v>
      </c>
      <c r="W25" s="288">
        <f>D37/L9</f>
        <v>2.3727926338107563</v>
      </c>
      <c r="X25" s="288">
        <v>1</v>
      </c>
      <c r="Y25" s="42"/>
      <c r="Z25" s="42"/>
      <c r="AA25" s="42"/>
    </row>
    <row r="26" spans="2:27">
      <c r="B26" s="5" t="s">
        <v>586</v>
      </c>
      <c r="C26" s="548">
        <v>1501.7937219730941</v>
      </c>
      <c r="D26" s="540">
        <v>3299.6475000000005</v>
      </c>
      <c r="E26" s="540">
        <v>3270.9558172904772</v>
      </c>
      <c r="F26" s="540">
        <v>3505.108494170971</v>
      </c>
      <c r="G26" s="540">
        <v>3761.1521045555055</v>
      </c>
      <c r="H26" s="279">
        <f t="shared" si="3"/>
        <v>4.460263434813605E-2</v>
      </c>
      <c r="I26" s="249"/>
      <c r="J26" s="249" t="s">
        <v>11</v>
      </c>
      <c r="K26" s="249"/>
      <c r="L26" s="281">
        <f>D11+L25</f>
        <v>47514.632351399996</v>
      </c>
      <c r="M26" s="281">
        <f>E11+M25</f>
        <v>47514.632351399996</v>
      </c>
      <c r="N26" s="281">
        <f>F11+N25</f>
        <v>47514.632351399996</v>
      </c>
      <c r="O26" s="281">
        <f>G11+O25</f>
        <v>47514.632351399996</v>
      </c>
      <c r="P26" s="279">
        <f>IF(L26=0,"nm",IF(O26=0,"nm",(O26/L26)^(1/3)-1))</f>
        <v>0</v>
      </c>
      <c r="Q26" s="5"/>
      <c r="S26" s="42"/>
      <c r="T26" s="42"/>
      <c r="U26" s="42"/>
      <c r="V26" s="147" t="s">
        <v>184</v>
      </c>
      <c r="W26" s="288">
        <f t="shared" ref="W26:W33" si="5">D38/L10</f>
        <v>1.6021392579982079</v>
      </c>
      <c r="X26" s="288">
        <v>1</v>
      </c>
      <c r="Y26" s="42"/>
      <c r="Z26" s="42"/>
      <c r="AA26" s="42"/>
    </row>
    <row r="27" spans="2:27">
      <c r="B27" s="5" t="s">
        <v>587</v>
      </c>
      <c r="C27" s="549">
        <v>29981</v>
      </c>
      <c r="D27" s="540">
        <v>31513.456503056645</v>
      </c>
      <c r="E27" s="540">
        <v>30028.986861315174</v>
      </c>
      <c r="F27" s="540">
        <v>28720.234398239725</v>
      </c>
      <c r="G27" s="540">
        <v>27551.533083850496</v>
      </c>
      <c r="H27" s="279">
        <f t="shared" si="3"/>
        <v>-4.379742317685642E-2</v>
      </c>
      <c r="I27" s="249"/>
      <c r="J27" s="248"/>
      <c r="K27" s="248"/>
      <c r="L27" s="248"/>
      <c r="M27" s="248"/>
      <c r="N27" s="248"/>
      <c r="O27" s="248"/>
      <c r="Q27" s="41"/>
      <c r="S27" s="42"/>
      <c r="T27" s="42"/>
      <c r="U27" s="42"/>
      <c r="V27" s="147" t="s">
        <v>185</v>
      </c>
      <c r="W27" s="288">
        <f t="shared" si="5"/>
        <v>1.1626890723104113</v>
      </c>
      <c r="X27" s="288">
        <v>1</v>
      </c>
      <c r="Y27" s="42"/>
      <c r="Z27" s="42"/>
      <c r="AA27" s="42"/>
    </row>
    <row r="28" spans="2:27" ht="12.6" thickBot="1">
      <c r="B28" s="5" t="s">
        <v>592</v>
      </c>
      <c r="C28" s="548">
        <v>6409</v>
      </c>
      <c r="D28" s="540">
        <v>6256.52</v>
      </c>
      <c r="E28" s="540">
        <v>5938.2728618662059</v>
      </c>
      <c r="F28" s="540">
        <v>5651.9049279153805</v>
      </c>
      <c r="G28" s="540">
        <v>5380.7096023657014</v>
      </c>
      <c r="H28" s="279">
        <f t="shared" si="3"/>
        <v>-4.902542586759473E-2</v>
      </c>
      <c r="I28" s="248"/>
      <c r="J28" s="306" t="s">
        <v>1362</v>
      </c>
      <c r="K28" s="306"/>
      <c r="L28" s="306"/>
      <c r="M28" s="306"/>
      <c r="N28" s="266"/>
      <c r="O28" s="266"/>
      <c r="P28" s="266"/>
      <c r="Q28" s="5"/>
      <c r="S28" s="42"/>
      <c r="T28" s="42"/>
      <c r="U28" s="42"/>
      <c r="V28" s="147" t="s">
        <v>466</v>
      </c>
      <c r="W28" s="288">
        <f t="shared" si="5"/>
        <v>1.1911492047527996</v>
      </c>
      <c r="X28" s="288">
        <v>1</v>
      </c>
      <c r="Y28" s="42"/>
      <c r="Z28" s="42"/>
      <c r="AA28" s="42"/>
    </row>
    <row r="29" spans="2:27" ht="12.6" thickTop="1">
      <c r="B29" s="5" t="s">
        <v>588</v>
      </c>
      <c r="C29" s="548">
        <v>1592</v>
      </c>
      <c r="D29" s="540">
        <v>2830.1</v>
      </c>
      <c r="E29" s="540">
        <v>2232.6548401933005</v>
      </c>
      <c r="F29" s="540">
        <v>2592.1752017862077</v>
      </c>
      <c r="G29" s="540">
        <v>2958.7052749930244</v>
      </c>
      <c r="H29" s="279">
        <f t="shared" si="3"/>
        <v>1.4923499405633978E-2</v>
      </c>
      <c r="I29" s="252"/>
      <c r="J29" s="249"/>
      <c r="K29" s="249"/>
      <c r="L29" s="249"/>
      <c r="M29" s="249"/>
      <c r="N29" s="249"/>
      <c r="O29" s="251"/>
      <c r="Q29" s="5"/>
      <c r="S29" s="42"/>
      <c r="T29" s="42"/>
      <c r="U29" s="42"/>
      <c r="V29" s="147" t="s">
        <v>530</v>
      </c>
      <c r="W29" s="288">
        <f t="shared" si="5"/>
        <v>1.3937167893034073</v>
      </c>
      <c r="X29" s="288">
        <v>1</v>
      </c>
      <c r="Y29" s="42"/>
      <c r="Z29" s="42"/>
      <c r="AA29" s="42"/>
    </row>
    <row r="30" spans="2:27">
      <c r="B30" s="5" t="s">
        <v>589</v>
      </c>
      <c r="C30" s="549">
        <v>1122</v>
      </c>
      <c r="D30" s="540">
        <v>2150</v>
      </c>
      <c r="E30" s="540">
        <v>1914.407702059505</v>
      </c>
      <c r="F30" s="540">
        <v>2305.8072678353828</v>
      </c>
      <c r="G30" s="540">
        <v>2687.5099494433457</v>
      </c>
      <c r="H30" s="279">
        <f t="shared" si="3"/>
        <v>7.7218674343038751E-2</v>
      </c>
      <c r="I30" s="254"/>
      <c r="J30" s="248"/>
      <c r="K30" s="248"/>
      <c r="L30" s="248"/>
      <c r="M30" s="248"/>
      <c r="N30" s="248"/>
      <c r="O30" s="5"/>
      <c r="Q30" s="5"/>
      <c r="S30" s="42"/>
      <c r="T30" s="42"/>
      <c r="U30" s="42"/>
      <c r="V30" s="147" t="s">
        <v>593</v>
      </c>
      <c r="W30" s="288">
        <f t="shared" si="5"/>
        <v>3.4399024768975464</v>
      </c>
      <c r="X30" s="288">
        <v>1</v>
      </c>
      <c r="Y30" s="42"/>
      <c r="Z30" s="42"/>
      <c r="AA30" s="42"/>
    </row>
    <row r="31" spans="2:27">
      <c r="B31" s="5" t="s">
        <v>590</v>
      </c>
      <c r="C31" s="549">
        <v>948.61099999999999</v>
      </c>
      <c r="D31" s="540">
        <v>1548.625054416</v>
      </c>
      <c r="E31" s="540">
        <v>1891.6839137585539</v>
      </c>
      <c r="F31" s="540">
        <v>2278.4376139415349</v>
      </c>
      <c r="G31" s="540">
        <v>2655.609530800989</v>
      </c>
      <c r="H31" s="279">
        <f t="shared" si="3"/>
        <v>0.19694073060847783</v>
      </c>
      <c r="I31" s="254"/>
      <c r="J31" s="252"/>
      <c r="K31" s="252"/>
      <c r="L31" s="252"/>
      <c r="M31" s="252"/>
      <c r="N31" s="252"/>
      <c r="O31" s="5"/>
      <c r="Q31" s="5"/>
      <c r="S31" s="42"/>
      <c r="T31" s="42"/>
      <c r="U31" s="42"/>
      <c r="V31" s="147" t="s">
        <v>475</v>
      </c>
      <c r="W31" s="288">
        <f t="shared" si="5"/>
        <v>0.87087417002909917</v>
      </c>
      <c r="X31" s="288">
        <v>1</v>
      </c>
      <c r="Y31" s="42"/>
      <c r="Z31" s="42"/>
      <c r="AA31" s="42"/>
    </row>
    <row r="32" spans="2:27">
      <c r="B32" s="5" t="s">
        <v>606</v>
      </c>
      <c r="C32" s="550">
        <v>0</v>
      </c>
      <c r="D32" s="540">
        <v>0</v>
      </c>
      <c r="E32" s="540">
        <v>0</v>
      </c>
      <c r="F32" s="540">
        <v>0</v>
      </c>
      <c r="G32" s="540">
        <v>0</v>
      </c>
      <c r="H32" s="279" t="str">
        <f t="shared" si="3"/>
        <v>nm</v>
      </c>
      <c r="I32" s="254"/>
      <c r="J32" s="254"/>
      <c r="K32" s="254"/>
      <c r="L32" s="254"/>
      <c r="M32" s="254"/>
      <c r="N32" s="254"/>
      <c r="O32" s="251"/>
      <c r="Q32" s="5"/>
      <c r="S32" s="42"/>
      <c r="T32" s="42"/>
      <c r="U32" s="42"/>
      <c r="V32" s="147" t="s">
        <v>533</v>
      </c>
      <c r="W32" s="288">
        <f t="shared" si="5"/>
        <v>1.0780356847144585</v>
      </c>
      <c r="X32" s="288">
        <v>1</v>
      </c>
      <c r="Y32" s="42"/>
      <c r="Z32" s="42"/>
      <c r="AA32" s="42"/>
    </row>
    <row r="33" spans="2:27">
      <c r="B33" s="5" t="s">
        <v>5</v>
      </c>
      <c r="C33" s="549">
        <v>224</v>
      </c>
      <c r="D33" s="540">
        <v>326.96540374119451</v>
      </c>
      <c r="E33" s="540">
        <v>324.37868217416752</v>
      </c>
      <c r="F33" s="540">
        <v>293.46861782995876</v>
      </c>
      <c r="G33" s="540">
        <v>265.93806043320097</v>
      </c>
      <c r="H33" s="279">
        <f>IF(D33=0,"nm",IF(G33=0,"nm",(G33/D33)^(1/3)-1))</f>
        <v>-6.6546049100663751E-2</v>
      </c>
      <c r="I33" s="5"/>
      <c r="J33" s="254"/>
      <c r="K33" s="254"/>
      <c r="L33" s="254"/>
      <c r="M33" s="254"/>
      <c r="N33" s="254"/>
      <c r="O33" s="251"/>
      <c r="Q33" s="5"/>
      <c r="S33" s="42"/>
      <c r="T33" s="42"/>
      <c r="U33" s="42"/>
      <c r="V33" s="147" t="s">
        <v>580</v>
      </c>
      <c r="W33" s="288">
        <f t="shared" si="5"/>
        <v>0.78084070970277553</v>
      </c>
      <c r="X33" s="288">
        <v>1</v>
      </c>
      <c r="Y33" s="42"/>
      <c r="Z33" s="42"/>
      <c r="AA33" s="42"/>
    </row>
    <row r="34" spans="2:27">
      <c r="D34" s="5"/>
      <c r="E34" s="5"/>
      <c r="F34" s="5"/>
      <c r="G34" s="5"/>
      <c r="I34" s="49"/>
      <c r="J34" s="254"/>
      <c r="K34" s="254"/>
      <c r="L34" s="254"/>
      <c r="M34" s="254"/>
      <c r="N34" s="254"/>
      <c r="O34" s="251"/>
      <c r="Q34" s="5"/>
      <c r="S34" s="42"/>
      <c r="T34" s="42"/>
      <c r="U34" s="42"/>
      <c r="V34" s="147" t="s">
        <v>581</v>
      </c>
      <c r="W34" s="288">
        <f>D47/L19</f>
        <v>1.1482715120217497</v>
      </c>
      <c r="X34" s="288">
        <v>1</v>
      </c>
      <c r="Y34" s="288"/>
      <c r="Z34" s="288"/>
      <c r="AA34" s="42"/>
    </row>
    <row r="35" spans="2:27" ht="12.6" thickBot="1">
      <c r="B35" s="306" t="s">
        <v>174</v>
      </c>
      <c r="C35" s="265"/>
      <c r="D35" s="265" t="str">
        <f>D5</f>
        <v>2023E</v>
      </c>
      <c r="E35" s="265" t="str">
        <f t="shared" ref="E35:H35" si="6">E5</f>
        <v>2024E</v>
      </c>
      <c r="F35" s="265" t="str">
        <f t="shared" si="6"/>
        <v>2025E</v>
      </c>
      <c r="G35" s="265" t="str">
        <f t="shared" si="6"/>
        <v>2026E</v>
      </c>
      <c r="H35" s="265" t="str">
        <f t="shared" si="6"/>
        <v>23E-26E</v>
      </c>
      <c r="I35" s="254"/>
      <c r="J35" s="5"/>
      <c r="K35" s="5"/>
      <c r="L35" s="5"/>
      <c r="M35" s="5"/>
      <c r="N35" s="5"/>
      <c r="O35" s="5"/>
      <c r="Q35" s="5"/>
      <c r="S35" s="42"/>
      <c r="T35" s="42"/>
      <c r="U35" s="42"/>
      <c r="V35" s="42"/>
      <c r="W35" s="42"/>
      <c r="X35" s="42"/>
      <c r="Y35" s="288"/>
      <c r="Z35" s="288"/>
      <c r="AA35" s="42"/>
    </row>
    <row r="36" spans="2:27" ht="12.6" thickTop="1">
      <c r="B36" s="41"/>
      <c r="C36" s="249"/>
      <c r="D36" s="254"/>
      <c r="E36" s="254"/>
      <c r="F36" s="254"/>
      <c r="G36" s="254"/>
      <c r="H36" s="254"/>
      <c r="I36" s="17"/>
      <c r="J36" s="49"/>
      <c r="K36" s="49"/>
      <c r="L36" s="49"/>
      <c r="M36" s="49"/>
      <c r="N36" s="49"/>
      <c r="O36" s="49"/>
      <c r="Q36" s="5"/>
      <c r="S36" s="42"/>
      <c r="T36" s="42"/>
      <c r="U36" s="42"/>
      <c r="V36" s="42"/>
      <c r="W36" s="42"/>
      <c r="X36" s="42"/>
      <c r="Y36" s="288"/>
      <c r="Z36" s="288"/>
      <c r="AA36" s="42"/>
    </row>
    <row r="37" spans="2:27">
      <c r="B37" s="5" t="s">
        <v>273</v>
      </c>
      <c r="C37" s="247"/>
      <c r="D37" s="529">
        <f>D$18/D23</f>
        <v>4.9431959243769334</v>
      </c>
      <c r="E37" s="529">
        <f>E$18/E23</f>
        <v>4.7541923344221209</v>
      </c>
      <c r="F37" s="529">
        <f>F$18/F23</f>
        <v>4.3833247346540416</v>
      </c>
      <c r="G37" s="529">
        <f>G$18/G23</f>
        <v>4.007571608522432</v>
      </c>
      <c r="H37" s="17">
        <f t="shared" ref="H37:H45" si="7">H23</f>
        <v>1.8595412333380024E-2</v>
      </c>
      <c r="I37" s="5"/>
      <c r="J37" s="259"/>
      <c r="K37" s="259"/>
      <c r="L37" s="259"/>
      <c r="M37" s="259"/>
      <c r="N37" s="259"/>
      <c r="O37" s="18"/>
      <c r="Q37" s="5"/>
      <c r="R37" s="5"/>
      <c r="S37" s="42"/>
      <c r="T37" s="42"/>
      <c r="U37" s="42"/>
      <c r="V37" s="42"/>
      <c r="W37" s="42"/>
      <c r="X37" s="42"/>
      <c r="Y37" s="42"/>
      <c r="Z37" s="42"/>
      <c r="AA37" s="42"/>
    </row>
    <row r="38" spans="2:27">
      <c r="B38" s="5" t="s">
        <v>184</v>
      </c>
      <c r="C38" s="247"/>
      <c r="D38" s="529">
        <f>D$18/D24</f>
        <v>10.186203385764502</v>
      </c>
      <c r="E38" s="529">
        <f>E$18/E24</f>
        <v>9.5299920451023787</v>
      </c>
      <c r="F38" s="529">
        <f t="shared" ref="E38:G41" si="8">F$18/F24</f>
        <v>8.6658340351398753</v>
      </c>
      <c r="G38" s="529">
        <f>G$18/G24</f>
        <v>7.7947303768785661</v>
      </c>
      <c r="H38" s="17">
        <f t="shared" si="7"/>
        <v>3.8396670293431745E-2</v>
      </c>
      <c r="I38" s="259"/>
      <c r="J38" s="17"/>
      <c r="K38" s="17"/>
      <c r="L38" s="17"/>
      <c r="M38" s="17"/>
      <c r="N38" s="17"/>
      <c r="O38" s="5"/>
      <c r="Q38" s="5"/>
      <c r="R38" s="5"/>
      <c r="S38" s="42"/>
      <c r="T38" s="42"/>
      <c r="U38" s="42"/>
      <c r="V38" s="42"/>
      <c r="W38" s="42"/>
      <c r="X38" s="42"/>
      <c r="Y38" s="42"/>
      <c r="Z38" s="42"/>
      <c r="AA38" s="42"/>
    </row>
    <row r="39" spans="2:27">
      <c r="B39" s="5" t="s">
        <v>185</v>
      </c>
      <c r="C39" s="247"/>
      <c r="D39" s="529">
        <f>D$18/D25</f>
        <v>14.25028444149094</v>
      </c>
      <c r="E39" s="529">
        <f t="shared" si="8"/>
        <v>14.029697410323461</v>
      </c>
      <c r="F39" s="529">
        <f t="shared" si="8"/>
        <v>12.319048221402456</v>
      </c>
      <c r="G39" s="529">
        <f t="shared" si="8"/>
        <v>10.711463134997647</v>
      </c>
      <c r="H39" s="17">
        <f t="shared" si="7"/>
        <v>4.460263434813605E-2</v>
      </c>
      <c r="I39" s="17"/>
      <c r="J39" s="5"/>
      <c r="K39" s="5"/>
      <c r="L39" s="5"/>
      <c r="M39" s="5"/>
      <c r="N39" s="5"/>
      <c r="O39" s="5"/>
      <c r="Q39" s="5"/>
      <c r="R39" s="5"/>
      <c r="S39" s="42"/>
      <c r="T39" s="42"/>
      <c r="U39" s="42"/>
      <c r="V39" s="42"/>
      <c r="W39" s="42"/>
      <c r="X39" s="42"/>
      <c r="Y39" s="42"/>
      <c r="Z39" s="42"/>
      <c r="AA39" s="42"/>
    </row>
    <row r="40" spans="2:27">
      <c r="B40" s="5" t="s">
        <v>466</v>
      </c>
      <c r="C40" s="247"/>
      <c r="D40" s="529">
        <f>D$18/D26</f>
        <v>19.000379255321253</v>
      </c>
      <c r="E40" s="529">
        <f t="shared" si="8"/>
        <v>18.706263213764615</v>
      </c>
      <c r="F40" s="529">
        <f t="shared" si="8"/>
        <v>16.425397628536608</v>
      </c>
      <c r="G40" s="529">
        <f t="shared" si="8"/>
        <v>14.281950846663529</v>
      </c>
      <c r="H40" s="17">
        <f t="shared" si="7"/>
        <v>4.460263434813605E-2</v>
      </c>
      <c r="I40" s="5"/>
      <c r="J40" s="259"/>
      <c r="K40" s="259"/>
      <c r="L40" s="259"/>
      <c r="M40" s="259"/>
      <c r="N40" s="259"/>
      <c r="O40" s="18"/>
      <c r="Q40" s="5"/>
      <c r="R40" s="5"/>
      <c r="S40" s="42"/>
      <c r="T40" s="42"/>
      <c r="U40" s="42"/>
      <c r="V40" s="42"/>
      <c r="W40" s="288"/>
      <c r="X40" s="288"/>
      <c r="Y40" s="42"/>
      <c r="Z40" s="42"/>
      <c r="AA40" s="42"/>
    </row>
    <row r="41" spans="2:27">
      <c r="B41" s="5" t="s">
        <v>530</v>
      </c>
      <c r="C41" s="247"/>
      <c r="D41" s="529">
        <f>D$18/D27</f>
        <v>1.9894534229462133</v>
      </c>
      <c r="E41" s="529">
        <f t="shared" si="8"/>
        <v>2.0376098854555362</v>
      </c>
      <c r="F41" s="529">
        <f t="shared" si="8"/>
        <v>2.0046076208712296</v>
      </c>
      <c r="G41" s="529">
        <f t="shared" si="8"/>
        <v>1.949676967906121</v>
      </c>
      <c r="H41" s="17">
        <f t="shared" si="7"/>
        <v>-4.379742317685642E-2</v>
      </c>
      <c r="I41" s="247"/>
      <c r="J41" s="17"/>
      <c r="K41" s="17"/>
      <c r="L41" s="17"/>
      <c r="M41" s="17"/>
      <c r="N41" s="17"/>
      <c r="O41" s="5"/>
      <c r="Q41" s="5"/>
      <c r="R41" s="5"/>
      <c r="S41" s="42"/>
      <c r="T41" s="42"/>
      <c r="U41" s="42"/>
      <c r="V41" s="42"/>
      <c r="W41" s="288"/>
      <c r="X41" s="288"/>
      <c r="Y41" s="288"/>
      <c r="Z41" s="288"/>
      <c r="AA41" s="42"/>
    </row>
    <row r="42" spans="2:27">
      <c r="B42" s="5" t="s">
        <v>593</v>
      </c>
      <c r="C42" s="247"/>
      <c r="D42" s="529">
        <f>D18/D28</f>
        <v>10.020675057199952</v>
      </c>
      <c r="E42" s="529">
        <f>E18/E28</f>
        <v>10.303898440194111</v>
      </c>
      <c r="F42" s="529">
        <f>F18/F28</f>
        <v>10.186441824872352</v>
      </c>
      <c r="G42" s="529">
        <f>G18/G28</f>
        <v>9.9831794416984696</v>
      </c>
      <c r="H42" s="17">
        <f t="shared" si="7"/>
        <v>-4.902542586759473E-2</v>
      </c>
      <c r="I42" s="248"/>
      <c r="J42" s="5"/>
      <c r="K42" s="5"/>
      <c r="L42" s="5"/>
      <c r="M42" s="5"/>
      <c r="N42" s="5"/>
      <c r="O42" s="5"/>
      <c r="Q42" s="5"/>
      <c r="R42" s="5"/>
      <c r="S42" s="42"/>
      <c r="T42" s="42"/>
      <c r="U42" s="42"/>
      <c r="V42" s="42"/>
      <c r="W42" s="288"/>
      <c r="X42" s="288"/>
      <c r="Y42" s="288"/>
      <c r="Z42" s="288"/>
      <c r="AA42" s="42"/>
    </row>
    <row r="43" spans="2:27">
      <c r="B43" s="5" t="s">
        <v>475</v>
      </c>
      <c r="C43" s="247"/>
      <c r="D43" s="529">
        <f>L26/D29</f>
        <v>16.789029487085262</v>
      </c>
      <c r="E43" s="529">
        <f>M26/E29</f>
        <v>21.281673949783585</v>
      </c>
      <c r="F43" s="529">
        <f>N26/F29</f>
        <v>18.330023494808053</v>
      </c>
      <c r="G43" s="529">
        <f>O26/G29</f>
        <v>16.05926509578147</v>
      </c>
      <c r="H43" s="17">
        <f t="shared" si="7"/>
        <v>1.4923499405633978E-2</v>
      </c>
      <c r="I43" s="247"/>
      <c r="J43" s="247"/>
      <c r="K43" s="247"/>
      <c r="L43" s="247"/>
      <c r="M43" s="247"/>
      <c r="N43" s="247"/>
      <c r="O43" s="18"/>
      <c r="Q43" s="5"/>
      <c r="R43" s="5"/>
      <c r="S43" s="42"/>
      <c r="T43" s="42"/>
      <c r="U43" s="42"/>
      <c r="V43" s="42"/>
      <c r="W43" s="288"/>
      <c r="X43" s="288"/>
      <c r="Y43" s="288"/>
      <c r="Z43" s="288"/>
      <c r="AA43" s="42"/>
    </row>
    <row r="44" spans="2:27">
      <c r="B44" s="5" t="s">
        <v>533</v>
      </c>
      <c r="C44" s="69"/>
      <c r="D44" s="529">
        <f>D11/D30</f>
        <v>22.099829000651162</v>
      </c>
      <c r="E44" s="529">
        <f>E11/E30</f>
        <v>24.819494980240687</v>
      </c>
      <c r="F44" s="529">
        <f>F11/F30</f>
        <v>20.606506456198829</v>
      </c>
      <c r="G44" s="529">
        <f>G11/G30</f>
        <v>17.679797747815421</v>
      </c>
      <c r="H44" s="17">
        <f t="shared" si="7"/>
        <v>7.7218674343038751E-2</v>
      </c>
      <c r="I44" s="247"/>
      <c r="J44" s="248"/>
      <c r="K44" s="248"/>
      <c r="L44" s="248"/>
      <c r="M44" s="248"/>
      <c r="N44" s="248"/>
      <c r="O44" s="248"/>
      <c r="Q44" s="5"/>
      <c r="R44" s="5"/>
      <c r="S44" s="42"/>
      <c r="T44" s="42"/>
      <c r="U44" s="42"/>
      <c r="V44" s="42"/>
      <c r="W44" s="325"/>
      <c r="X44" s="325"/>
      <c r="Y44" s="288"/>
      <c r="Z44" s="288"/>
      <c r="AA44" s="42"/>
    </row>
    <row r="45" spans="2:27">
      <c r="B45" s="5" t="s">
        <v>580</v>
      </c>
      <c r="C45" s="247"/>
      <c r="D45" s="248">
        <f>D31/D11</f>
        <v>3.2592592592592597E-2</v>
      </c>
      <c r="E45" s="248">
        <f>E31/E11</f>
        <v>3.981266022997685E-2</v>
      </c>
      <c r="F45" s="248">
        <f>F31/F11</f>
        <v>4.7952335968656647E-2</v>
      </c>
      <c r="G45" s="248">
        <f>G31/G11</f>
        <v>5.5890352074306697E-2</v>
      </c>
      <c r="H45" s="17">
        <f t="shared" si="7"/>
        <v>0.19694073060847783</v>
      </c>
      <c r="I45" s="248"/>
      <c r="J45" s="247"/>
      <c r="K45" s="247"/>
      <c r="L45" s="247"/>
      <c r="M45" s="247"/>
      <c r="N45" s="247"/>
      <c r="O45" s="248"/>
      <c r="Q45" s="5"/>
      <c r="R45" s="5"/>
      <c r="S45" s="42"/>
      <c r="T45" s="42"/>
      <c r="U45" s="42"/>
      <c r="V45" s="42"/>
      <c r="W45" s="42"/>
      <c r="X45" s="42"/>
      <c r="Y45" s="325"/>
      <c r="Z45" s="325"/>
      <c r="AA45" s="42"/>
    </row>
    <row r="46" spans="2:27">
      <c r="B46" s="5" t="s">
        <v>605</v>
      </c>
      <c r="C46" s="247"/>
      <c r="D46" s="248">
        <f>(D31+D32)/D11</f>
        <v>3.2592592592592597E-2</v>
      </c>
      <c r="E46" s="248">
        <f>(E31+E32)/E11</f>
        <v>3.981266022997685E-2</v>
      </c>
      <c r="F46" s="248">
        <f>(F31+F32)/F11</f>
        <v>4.7952335968656647E-2</v>
      </c>
      <c r="G46" s="248">
        <f>(G31+G32)/G11</f>
        <v>5.5890352074306697E-2</v>
      </c>
      <c r="H46" s="279">
        <f>((G31+G32)/(D31+D32))^(1/3)-1</f>
        <v>0.19694073060847783</v>
      </c>
      <c r="I46" s="247"/>
      <c r="J46" s="247"/>
      <c r="K46" s="247"/>
      <c r="L46" s="247"/>
      <c r="M46" s="247"/>
      <c r="N46" s="247"/>
      <c r="O46" s="18"/>
      <c r="Q46" s="5"/>
      <c r="R46" s="5"/>
      <c r="S46" s="42"/>
      <c r="T46" s="42"/>
      <c r="U46" s="42"/>
      <c r="V46" s="42"/>
      <c r="W46" s="42"/>
      <c r="X46" s="42"/>
      <c r="Y46" s="42"/>
      <c r="Z46" s="42"/>
      <c r="AA46" s="326"/>
    </row>
    <row r="47" spans="2:27">
      <c r="B47" s="5" t="s">
        <v>581</v>
      </c>
      <c r="C47" s="5"/>
      <c r="D47" s="248">
        <f>1/D43</f>
        <v>5.9562704370091001E-2</v>
      </c>
      <c r="E47" s="248">
        <f>1/E43</f>
        <v>4.6988784921694053E-2</v>
      </c>
      <c r="F47" s="248">
        <f>1/F43</f>
        <v>5.4555303777065439E-2</v>
      </c>
      <c r="G47" s="248">
        <f>1/G43</f>
        <v>6.2269350062767514E-2</v>
      </c>
      <c r="H47" s="17">
        <f>H29</f>
        <v>1.4923499405633978E-2</v>
      </c>
      <c r="I47" s="17"/>
      <c r="J47" s="248"/>
      <c r="K47" s="248"/>
      <c r="L47" s="248"/>
      <c r="M47" s="248"/>
      <c r="N47" s="248"/>
      <c r="O47" s="248"/>
      <c r="Q47" s="5"/>
      <c r="R47" s="5"/>
      <c r="S47" s="42"/>
      <c r="T47" s="42"/>
      <c r="U47" s="42"/>
      <c r="V47" s="42"/>
      <c r="W47" s="42"/>
      <c r="X47" s="42"/>
      <c r="Y47" s="42"/>
      <c r="Z47" s="42"/>
      <c r="AA47" s="326"/>
    </row>
    <row r="48" spans="2:27">
      <c r="B48" s="5" t="s">
        <v>618</v>
      </c>
      <c r="C48" s="5"/>
      <c r="D48" s="305">
        <f>D31/D29</f>
        <v>0.54719799809759373</v>
      </c>
      <c r="E48" s="305">
        <f>E31/E29</f>
        <v>0.84728005408788321</v>
      </c>
      <c r="F48" s="305">
        <f>F31/F29</f>
        <v>0.87896744493640566</v>
      </c>
      <c r="G48" s="305">
        <f>G31/G29</f>
        <v>0.89755798025785116</v>
      </c>
      <c r="H48" s="279" t="s">
        <v>607</v>
      </c>
      <c r="I48" s="247"/>
      <c r="J48" s="247"/>
      <c r="K48" s="247"/>
      <c r="L48" s="247"/>
      <c r="M48" s="247"/>
      <c r="N48" s="247"/>
      <c r="O48" s="248"/>
      <c r="Q48" s="5"/>
      <c r="R48" s="5"/>
      <c r="S48" s="42"/>
      <c r="T48" s="42"/>
      <c r="U48" s="42"/>
      <c r="V48" s="42"/>
      <c r="W48" s="42"/>
      <c r="X48" s="42"/>
      <c r="Y48" s="42"/>
      <c r="Z48" s="42"/>
      <c r="AA48" s="326"/>
    </row>
    <row r="49" spans="2:27">
      <c r="B49" s="41"/>
      <c r="C49" s="17"/>
      <c r="D49" s="17"/>
      <c r="E49" s="17"/>
      <c r="F49" s="17"/>
      <c r="G49" s="17"/>
      <c r="H49" s="17"/>
      <c r="I49" s="254"/>
      <c r="J49" s="17"/>
      <c r="K49" s="17"/>
      <c r="L49" s="17"/>
      <c r="M49" s="17"/>
      <c r="N49" s="17"/>
      <c r="O49" s="248"/>
      <c r="Q49" s="5"/>
      <c r="R49" s="5"/>
      <c r="S49" s="42"/>
      <c r="T49" s="42"/>
      <c r="U49" s="42"/>
      <c r="V49" s="42"/>
      <c r="W49" s="42"/>
      <c r="X49" s="42"/>
      <c r="Y49" s="42"/>
      <c r="Z49" s="42"/>
      <c r="AA49" s="326"/>
    </row>
    <row r="50" spans="2:27">
      <c r="B50" s="5"/>
      <c r="C50" s="257"/>
      <c r="D50" s="257"/>
      <c r="E50" s="257"/>
      <c r="F50" s="5"/>
      <c r="G50" s="41"/>
      <c r="H50" s="249"/>
      <c r="I50" s="17"/>
      <c r="J50" s="249"/>
      <c r="K50" s="249"/>
      <c r="L50" s="249"/>
      <c r="M50" s="249"/>
      <c r="N50" s="249"/>
      <c r="O50" s="250"/>
      <c r="Q50" s="5"/>
      <c r="R50" s="5"/>
      <c r="S50" s="42"/>
      <c r="T50" s="42"/>
      <c r="U50" s="42"/>
      <c r="V50" s="42"/>
      <c r="W50" s="288"/>
      <c r="X50" s="288"/>
      <c r="Y50" s="42"/>
      <c r="Z50" s="42"/>
      <c r="AA50" s="326"/>
    </row>
    <row r="51" spans="2:27">
      <c r="B51" s="41"/>
      <c r="C51" s="249"/>
      <c r="D51" s="254"/>
      <c r="E51" s="254"/>
      <c r="F51" s="254"/>
      <c r="G51" s="254"/>
      <c r="H51" s="254"/>
      <c r="I51" s="259"/>
      <c r="J51" s="254"/>
      <c r="K51" s="254"/>
      <c r="L51" s="254"/>
      <c r="M51" s="254"/>
      <c r="N51" s="254"/>
      <c r="O51" s="251"/>
      <c r="Q51" s="5"/>
      <c r="R51" s="5"/>
      <c r="S51" s="42"/>
      <c r="T51" s="42"/>
      <c r="U51" s="42"/>
      <c r="V51" s="42"/>
      <c r="W51" s="288"/>
      <c r="X51" s="288"/>
      <c r="Y51" s="288"/>
      <c r="Z51" s="288"/>
      <c r="AA51" s="42"/>
    </row>
    <row r="52" spans="2:27">
      <c r="B52" s="5"/>
      <c r="C52" s="257"/>
      <c r="D52" s="17"/>
      <c r="E52" s="17"/>
      <c r="F52" s="17"/>
      <c r="G52" s="17"/>
      <c r="H52" s="17"/>
      <c r="I52" s="254"/>
      <c r="J52" s="17"/>
      <c r="K52" s="17"/>
      <c r="L52" s="17"/>
      <c r="M52" s="17"/>
      <c r="N52" s="17"/>
      <c r="O52" s="248"/>
      <c r="Q52" s="5"/>
      <c r="R52" s="5"/>
      <c r="Y52" s="10"/>
      <c r="Z52" s="10"/>
    </row>
    <row r="53" spans="2:27">
      <c r="B53" s="5"/>
      <c r="C53" s="257"/>
      <c r="D53" s="257"/>
      <c r="E53" s="257"/>
      <c r="F53" s="5"/>
      <c r="G53" s="5"/>
      <c r="H53" s="259"/>
      <c r="I53" s="17"/>
      <c r="J53" s="259"/>
      <c r="K53" s="259"/>
      <c r="L53" s="259"/>
      <c r="M53" s="259"/>
      <c r="N53" s="259"/>
      <c r="O53" s="18"/>
      <c r="Q53" s="5"/>
      <c r="R53" s="5"/>
    </row>
    <row r="54" spans="2:27">
      <c r="B54" s="41"/>
      <c r="C54" s="249"/>
      <c r="D54" s="254"/>
      <c r="E54" s="254"/>
      <c r="F54" s="254"/>
      <c r="G54" s="254"/>
      <c r="H54" s="254"/>
      <c r="I54" s="259"/>
      <c r="J54" s="254"/>
      <c r="K54" s="254"/>
      <c r="L54" s="254"/>
      <c r="M54" s="254"/>
      <c r="N54" s="254"/>
      <c r="O54" s="251"/>
      <c r="Q54" s="5"/>
      <c r="R54" s="5"/>
    </row>
    <row r="55" spans="2:27">
      <c r="B55" s="5"/>
      <c r="C55" s="257"/>
      <c r="D55" s="17"/>
      <c r="E55" s="17"/>
      <c r="F55" s="17"/>
      <c r="G55" s="17"/>
      <c r="H55" s="17"/>
      <c r="I55" s="249"/>
      <c r="J55" s="17"/>
      <c r="K55" s="17"/>
      <c r="L55" s="17"/>
      <c r="M55" s="17"/>
      <c r="N55" s="17"/>
      <c r="O55" s="18"/>
      <c r="Q55" s="5"/>
      <c r="R55" s="5"/>
    </row>
    <row r="56" spans="2:27">
      <c r="B56" s="5"/>
      <c r="C56" s="248"/>
      <c r="D56" s="248"/>
      <c r="E56" s="248"/>
      <c r="F56" s="5"/>
      <c r="G56" s="5"/>
      <c r="H56" s="259"/>
      <c r="I56" s="248"/>
      <c r="J56" s="259"/>
      <c r="K56" s="259"/>
      <c r="L56" s="259"/>
      <c r="M56" s="259"/>
      <c r="N56" s="259"/>
      <c r="O56" s="18"/>
      <c r="Q56" s="5"/>
      <c r="R56" s="5"/>
    </row>
    <row r="57" spans="2:27">
      <c r="B57" s="41"/>
      <c r="C57" s="249"/>
      <c r="D57" s="249"/>
      <c r="E57" s="249"/>
      <c r="F57" s="249"/>
      <c r="G57" s="249"/>
      <c r="H57" s="249"/>
      <c r="I57" s="5"/>
      <c r="J57" s="249"/>
      <c r="K57" s="249"/>
      <c r="L57" s="249"/>
      <c r="M57" s="249"/>
      <c r="N57" s="249"/>
      <c r="O57" s="251"/>
      <c r="Q57" s="5"/>
      <c r="R57" s="5"/>
    </row>
    <row r="58" spans="2:27">
      <c r="B58" s="5"/>
      <c r="C58" s="5"/>
      <c r="D58" s="248"/>
      <c r="E58" s="248"/>
      <c r="F58" s="248"/>
      <c r="G58" s="248"/>
      <c r="H58" s="248"/>
      <c r="I58" s="17"/>
      <c r="J58" s="248"/>
      <c r="K58" s="248"/>
      <c r="L58" s="248"/>
      <c r="M58" s="248"/>
      <c r="N58" s="248"/>
      <c r="O58" s="18"/>
      <c r="Q58" s="5"/>
      <c r="R58" s="5"/>
    </row>
    <row r="59" spans="2:27">
      <c r="B59" s="5"/>
      <c r="C59" s="5"/>
      <c r="D59" s="5"/>
      <c r="E59" s="5"/>
      <c r="F59" s="5"/>
      <c r="G59" s="5"/>
      <c r="H59" s="5"/>
      <c r="I59" s="5"/>
      <c r="J59" s="5"/>
      <c r="K59" s="5"/>
      <c r="L59" s="5"/>
      <c r="M59" s="5"/>
      <c r="N59" s="5"/>
      <c r="O59" s="5"/>
      <c r="Q59" s="5"/>
      <c r="R59" s="5"/>
    </row>
    <row r="60" spans="2:27">
      <c r="B60" s="41"/>
      <c r="C60" s="17"/>
      <c r="D60" s="17"/>
      <c r="E60" s="17"/>
      <c r="F60" s="17"/>
      <c r="G60" s="17"/>
      <c r="H60" s="17"/>
      <c r="I60" s="249"/>
      <c r="J60" s="17"/>
      <c r="K60" s="17"/>
      <c r="L60" s="17"/>
      <c r="M60" s="17"/>
      <c r="N60" s="17"/>
      <c r="O60" s="251"/>
      <c r="Q60" s="5"/>
      <c r="R60" s="5"/>
    </row>
    <row r="61" spans="2:27">
      <c r="B61" s="5"/>
      <c r="C61" s="5"/>
      <c r="D61" s="5"/>
      <c r="E61" s="5"/>
      <c r="F61" s="5"/>
      <c r="G61" s="5"/>
      <c r="H61" s="5"/>
      <c r="I61" s="5"/>
      <c r="J61" s="5"/>
      <c r="K61" s="5"/>
      <c r="L61" s="5"/>
      <c r="M61" s="5"/>
      <c r="N61" s="5"/>
      <c r="O61" s="5"/>
      <c r="Q61" s="41"/>
      <c r="R61" s="5"/>
    </row>
    <row r="62" spans="2:27">
      <c r="B62" s="41"/>
      <c r="C62" s="249"/>
      <c r="D62" s="249"/>
      <c r="E62" s="249"/>
      <c r="F62" s="249"/>
      <c r="G62" s="249"/>
      <c r="H62" s="249"/>
      <c r="I62" s="5"/>
      <c r="J62" s="249"/>
      <c r="K62" s="249"/>
      <c r="L62" s="249"/>
      <c r="M62" s="249"/>
      <c r="N62" s="249"/>
      <c r="O62" s="251"/>
      <c r="Q62" s="5"/>
      <c r="R62" s="5"/>
    </row>
    <row r="63" spans="2:27">
      <c r="B63" s="5"/>
      <c r="C63" s="5"/>
      <c r="D63" s="5"/>
      <c r="E63" s="5"/>
      <c r="F63" s="5"/>
      <c r="G63" s="5"/>
      <c r="H63" s="5"/>
      <c r="I63" s="254"/>
      <c r="J63" s="5"/>
      <c r="K63" s="5"/>
      <c r="L63" s="5"/>
      <c r="M63" s="5"/>
      <c r="N63" s="5"/>
      <c r="O63" s="5"/>
      <c r="Q63" s="5"/>
      <c r="R63" s="5"/>
    </row>
    <row r="64" spans="2:27">
      <c r="B64" s="5"/>
      <c r="C64" s="5"/>
      <c r="D64" s="5"/>
      <c r="E64" s="5"/>
      <c r="F64" s="5"/>
      <c r="G64" s="5"/>
      <c r="H64" s="5"/>
      <c r="I64" s="17"/>
      <c r="J64" s="5"/>
      <c r="K64" s="5"/>
      <c r="L64" s="5"/>
      <c r="M64" s="5"/>
      <c r="N64" s="5"/>
      <c r="O64" s="5"/>
      <c r="Q64" s="5"/>
      <c r="R64" s="5"/>
    </row>
    <row r="65" spans="2:26">
      <c r="B65" s="41"/>
      <c r="C65" s="249"/>
      <c r="D65" s="254"/>
      <c r="E65" s="254"/>
      <c r="F65" s="254"/>
      <c r="G65" s="254"/>
      <c r="H65" s="254"/>
      <c r="I65" s="254"/>
      <c r="J65" s="254"/>
      <c r="K65" s="254"/>
      <c r="L65" s="254"/>
      <c r="M65" s="254"/>
      <c r="N65" s="254"/>
      <c r="O65" s="251"/>
      <c r="Q65" s="5"/>
      <c r="R65" s="5"/>
    </row>
    <row r="66" spans="2:26">
      <c r="B66" s="5"/>
      <c r="C66" s="5"/>
      <c r="D66" s="17"/>
      <c r="E66" s="17"/>
      <c r="F66" s="17"/>
      <c r="G66" s="17"/>
      <c r="H66" s="17"/>
      <c r="I66" s="248"/>
      <c r="J66" s="17"/>
      <c r="K66" s="17"/>
      <c r="L66" s="17"/>
      <c r="M66" s="17"/>
      <c r="N66" s="17"/>
      <c r="O66" s="5"/>
      <c r="Q66" s="5"/>
      <c r="R66" s="5"/>
    </row>
    <row r="67" spans="2:26">
      <c r="B67" s="41"/>
      <c r="C67" s="249"/>
      <c r="D67" s="254"/>
      <c r="E67" s="254"/>
      <c r="F67" s="254"/>
      <c r="G67" s="254"/>
      <c r="H67" s="254"/>
      <c r="I67" s="5"/>
      <c r="J67" s="254"/>
      <c r="K67" s="254"/>
      <c r="L67" s="254"/>
      <c r="M67" s="254"/>
      <c r="N67" s="254"/>
      <c r="O67" s="251"/>
      <c r="Q67" s="41"/>
      <c r="R67" s="5"/>
    </row>
    <row r="68" spans="2:26">
      <c r="B68" s="5"/>
      <c r="C68" s="5"/>
      <c r="D68" s="248"/>
      <c r="E68" s="248"/>
      <c r="F68" s="248"/>
      <c r="G68" s="248"/>
      <c r="H68" s="248"/>
      <c r="I68" s="245"/>
      <c r="J68" s="248"/>
      <c r="K68" s="248"/>
      <c r="L68" s="248"/>
      <c r="M68" s="248"/>
      <c r="N68" s="248"/>
      <c r="O68" s="5"/>
      <c r="Q68" s="5"/>
      <c r="R68" s="5"/>
    </row>
    <row r="69" spans="2:26">
      <c r="B69" s="41"/>
      <c r="C69" s="5"/>
      <c r="D69" s="5"/>
      <c r="E69" s="5"/>
      <c r="F69" s="5"/>
      <c r="G69" s="5"/>
      <c r="H69" s="5"/>
      <c r="I69" s="248"/>
      <c r="J69" s="5"/>
      <c r="K69" s="5"/>
      <c r="L69" s="5"/>
      <c r="M69" s="5"/>
      <c r="N69" s="5"/>
      <c r="O69" s="5"/>
      <c r="Q69" s="5"/>
      <c r="R69" s="5"/>
    </row>
    <row r="70" spans="2:26">
      <c r="B70" s="41"/>
      <c r="C70" s="245"/>
      <c r="D70" s="245"/>
      <c r="E70" s="245"/>
      <c r="F70" s="245"/>
      <c r="G70" s="245"/>
      <c r="H70" s="245"/>
      <c r="I70" s="5"/>
      <c r="J70" s="245"/>
      <c r="K70" s="245"/>
      <c r="L70" s="245"/>
      <c r="M70" s="245"/>
      <c r="N70" s="245"/>
      <c r="O70" s="251"/>
      <c r="Q70" s="5"/>
      <c r="R70" s="5"/>
      <c r="W70" s="76"/>
      <c r="X70" s="76"/>
    </row>
    <row r="71" spans="2:26">
      <c r="B71" s="5"/>
      <c r="C71" s="5"/>
      <c r="D71" s="248"/>
      <c r="E71" s="248"/>
      <c r="F71" s="248"/>
      <c r="G71" s="248"/>
      <c r="H71" s="248"/>
      <c r="I71" s="245"/>
      <c r="J71" s="248"/>
      <c r="K71" s="248"/>
      <c r="L71" s="248"/>
      <c r="M71" s="248"/>
      <c r="N71" s="248"/>
      <c r="O71" s="5"/>
      <c r="Q71" s="5"/>
      <c r="R71" s="5"/>
      <c r="W71" s="76"/>
      <c r="X71" s="76"/>
      <c r="Y71" s="76"/>
      <c r="Z71" s="76"/>
    </row>
    <row r="72" spans="2:26">
      <c r="B72" s="41"/>
      <c r="C72" s="5"/>
      <c r="D72" s="5"/>
      <c r="E72" s="5"/>
      <c r="F72" s="5"/>
      <c r="G72" s="5"/>
      <c r="H72" s="5"/>
      <c r="I72" s="18"/>
      <c r="J72" s="5"/>
      <c r="K72" s="5"/>
      <c r="L72" s="5"/>
      <c r="M72" s="5"/>
      <c r="N72" s="5"/>
      <c r="O72" s="5"/>
      <c r="Q72" s="5"/>
      <c r="R72" s="5"/>
      <c r="Y72" s="76"/>
      <c r="Z72" s="76"/>
    </row>
    <row r="73" spans="2:26">
      <c r="B73" s="41"/>
      <c r="C73" s="245"/>
      <c r="D73" s="245"/>
      <c r="E73" s="245"/>
      <c r="F73" s="245"/>
      <c r="G73" s="245"/>
      <c r="H73" s="245"/>
      <c r="I73" s="5"/>
      <c r="J73" s="245"/>
      <c r="K73" s="245"/>
      <c r="L73" s="245"/>
      <c r="M73" s="245"/>
      <c r="N73" s="245"/>
      <c r="O73" s="251"/>
      <c r="Q73" s="5"/>
      <c r="R73" s="5"/>
    </row>
    <row r="74" spans="2:26">
      <c r="B74" s="5"/>
      <c r="C74" s="5"/>
      <c r="D74" s="18"/>
      <c r="E74" s="18"/>
      <c r="F74" s="18"/>
      <c r="G74" s="18"/>
      <c r="H74" s="18"/>
      <c r="I74" s="249"/>
      <c r="J74" s="18"/>
      <c r="K74" s="18"/>
      <c r="L74" s="18"/>
      <c r="M74" s="18"/>
      <c r="N74" s="18"/>
      <c r="O74" s="5"/>
      <c r="Q74" s="5"/>
      <c r="R74" s="5"/>
    </row>
    <row r="75" spans="2:26">
      <c r="B75" s="41"/>
      <c r="C75" s="5"/>
      <c r="D75" s="5"/>
      <c r="E75" s="5"/>
      <c r="F75" s="5"/>
      <c r="G75" s="5"/>
      <c r="H75" s="5"/>
      <c r="I75" s="248"/>
      <c r="J75" s="5"/>
      <c r="K75" s="5"/>
      <c r="L75" s="5"/>
      <c r="M75" s="5"/>
      <c r="N75" s="5"/>
      <c r="O75" s="5"/>
      <c r="Q75" s="5"/>
      <c r="R75" s="5"/>
    </row>
    <row r="76" spans="2:26">
      <c r="B76" s="41"/>
      <c r="C76" s="249"/>
      <c r="D76" s="249"/>
      <c r="E76" s="249"/>
      <c r="F76" s="249"/>
      <c r="G76" s="249"/>
      <c r="H76" s="249"/>
      <c r="I76" s="5"/>
      <c r="J76" s="249"/>
      <c r="K76" s="249"/>
      <c r="L76" s="249"/>
      <c r="M76" s="249"/>
      <c r="N76" s="249"/>
      <c r="O76" s="251"/>
      <c r="Q76" s="5"/>
      <c r="R76" s="5"/>
    </row>
    <row r="77" spans="2:26">
      <c r="B77" s="5"/>
      <c r="C77" s="5"/>
      <c r="D77" s="248"/>
      <c r="E77" s="248"/>
      <c r="F77" s="248"/>
      <c r="G77" s="248"/>
      <c r="H77" s="248"/>
      <c r="I77" s="245"/>
      <c r="J77" s="248"/>
      <c r="K77" s="248"/>
      <c r="L77" s="248"/>
      <c r="M77" s="248"/>
      <c r="N77" s="248"/>
      <c r="O77" s="5"/>
      <c r="Q77" s="5"/>
      <c r="R77" s="5"/>
    </row>
    <row r="78" spans="2:26">
      <c r="B78" s="41"/>
      <c r="C78" s="5"/>
      <c r="D78" s="5"/>
      <c r="E78" s="5"/>
      <c r="F78" s="5"/>
      <c r="G78" s="5"/>
      <c r="H78" s="5"/>
      <c r="I78" s="248"/>
      <c r="J78" s="5"/>
      <c r="K78" s="5"/>
      <c r="L78" s="5"/>
      <c r="M78" s="5"/>
      <c r="N78" s="5"/>
      <c r="O78" s="5"/>
      <c r="Q78" s="5"/>
      <c r="R78" s="5"/>
    </row>
    <row r="79" spans="2:26">
      <c r="B79" s="41"/>
      <c r="C79" s="245"/>
      <c r="D79" s="245"/>
      <c r="E79" s="245"/>
      <c r="F79" s="245"/>
      <c r="G79" s="245"/>
      <c r="H79" s="245"/>
      <c r="I79" s="5"/>
      <c r="J79" s="245"/>
      <c r="K79" s="245"/>
      <c r="L79" s="245"/>
      <c r="M79" s="245"/>
      <c r="N79" s="245"/>
      <c r="O79" s="251"/>
      <c r="Q79" s="5"/>
      <c r="R79" s="5"/>
    </row>
    <row r="80" spans="2:26">
      <c r="B80" s="5"/>
      <c r="C80" s="5"/>
      <c r="D80" s="248"/>
      <c r="E80" s="248"/>
      <c r="F80" s="248"/>
      <c r="G80" s="248"/>
      <c r="H80" s="248"/>
      <c r="I80" s="249"/>
      <c r="J80" s="248"/>
      <c r="K80" s="248"/>
      <c r="L80" s="248"/>
      <c r="M80" s="248"/>
      <c r="N80" s="248"/>
      <c r="O80" s="5"/>
      <c r="Q80" s="5"/>
      <c r="R80" s="5"/>
    </row>
    <row r="81" spans="2:26">
      <c r="B81" s="41"/>
      <c r="C81" s="5"/>
      <c r="D81" s="5"/>
      <c r="E81" s="5"/>
      <c r="F81" s="5"/>
      <c r="G81" s="5"/>
      <c r="H81" s="5"/>
      <c r="I81" s="248"/>
      <c r="J81" s="5"/>
      <c r="K81" s="5"/>
      <c r="L81" s="5"/>
      <c r="M81" s="5"/>
      <c r="N81" s="5"/>
      <c r="O81" s="5"/>
      <c r="Q81" s="5"/>
      <c r="R81" s="5"/>
    </row>
    <row r="82" spans="2:26">
      <c r="B82" s="41"/>
      <c r="C82" s="249"/>
      <c r="D82" s="249"/>
      <c r="E82" s="249"/>
      <c r="F82" s="249"/>
      <c r="G82" s="249"/>
      <c r="H82" s="249"/>
      <c r="I82" s="259"/>
      <c r="J82" s="249"/>
      <c r="K82" s="249"/>
      <c r="L82" s="249"/>
      <c r="M82" s="249"/>
      <c r="N82" s="249"/>
      <c r="O82" s="251"/>
      <c r="Q82" s="5"/>
      <c r="R82" s="5"/>
    </row>
    <row r="83" spans="2:26">
      <c r="B83" s="5"/>
      <c r="C83" s="5"/>
      <c r="D83" s="248"/>
      <c r="E83" s="248"/>
      <c r="F83" s="248"/>
      <c r="G83" s="248"/>
      <c r="H83" s="248"/>
      <c r="I83" s="5"/>
      <c r="J83" s="248"/>
      <c r="K83" s="248"/>
      <c r="L83" s="248"/>
      <c r="M83" s="248"/>
      <c r="N83" s="248"/>
      <c r="O83" s="5"/>
      <c r="Q83" s="5"/>
      <c r="R83" s="5"/>
    </row>
    <row r="84" spans="2:26">
      <c r="B84" s="5"/>
      <c r="C84" s="259"/>
      <c r="D84" s="259"/>
      <c r="E84" s="259"/>
      <c r="F84" s="259"/>
      <c r="G84" s="259"/>
      <c r="H84" s="259"/>
      <c r="I84" s="245"/>
      <c r="J84" s="259"/>
      <c r="K84" s="259"/>
      <c r="L84" s="259"/>
      <c r="M84" s="259"/>
      <c r="N84" s="259"/>
      <c r="O84" s="251"/>
      <c r="Q84" s="5"/>
      <c r="R84" s="5"/>
    </row>
    <row r="85" spans="2:26">
      <c r="B85" s="41"/>
      <c r="C85" s="5"/>
      <c r="D85" s="5"/>
      <c r="E85" s="5"/>
      <c r="F85" s="5"/>
      <c r="G85" s="5"/>
      <c r="H85" s="5"/>
      <c r="I85" s="248"/>
      <c r="J85" s="5"/>
      <c r="K85" s="5"/>
      <c r="L85" s="5"/>
      <c r="M85" s="5"/>
      <c r="N85" s="5"/>
      <c r="O85" s="5"/>
      <c r="Q85" s="5"/>
      <c r="R85" s="5"/>
    </row>
    <row r="86" spans="2:26">
      <c r="B86" s="41"/>
      <c r="C86" s="245"/>
      <c r="D86" s="245"/>
      <c r="E86" s="245"/>
      <c r="F86" s="245"/>
      <c r="G86" s="245"/>
      <c r="H86" s="245"/>
      <c r="I86" s="5"/>
      <c r="J86" s="245"/>
      <c r="K86" s="245"/>
      <c r="L86" s="245"/>
      <c r="M86" s="245"/>
      <c r="N86" s="245"/>
      <c r="O86" s="251"/>
      <c r="Q86" s="5"/>
      <c r="R86" s="5"/>
    </row>
    <row r="87" spans="2:26">
      <c r="B87" s="5"/>
      <c r="C87" s="5"/>
      <c r="D87" s="248"/>
      <c r="E87" s="248"/>
      <c r="F87" s="248"/>
      <c r="G87" s="248"/>
      <c r="H87" s="248"/>
      <c r="I87" s="5"/>
      <c r="J87" s="248"/>
      <c r="K87" s="248"/>
      <c r="L87" s="248"/>
      <c r="M87" s="248"/>
      <c r="N87" s="248"/>
      <c r="O87" s="5"/>
      <c r="Q87" s="5"/>
      <c r="R87" s="5"/>
    </row>
    <row r="88" spans="2:26">
      <c r="B88" s="41"/>
      <c r="C88" s="5"/>
      <c r="D88" s="5"/>
      <c r="E88" s="5"/>
      <c r="F88" s="5"/>
      <c r="G88" s="5"/>
      <c r="H88" s="5"/>
      <c r="I88" s="5"/>
      <c r="J88" s="5"/>
      <c r="K88" s="5"/>
      <c r="L88" s="5"/>
      <c r="M88" s="5"/>
      <c r="N88" s="5"/>
      <c r="O88" s="5"/>
      <c r="Q88" s="5"/>
      <c r="R88" s="5"/>
    </row>
    <row r="89" spans="2:26">
      <c r="B89" s="41"/>
      <c r="C89" s="5"/>
      <c r="D89" s="5"/>
      <c r="E89" s="5"/>
      <c r="F89" s="5"/>
      <c r="G89" s="5"/>
      <c r="H89" s="5"/>
      <c r="I89" s="5"/>
      <c r="J89" s="5"/>
      <c r="K89" s="5"/>
      <c r="L89" s="5"/>
      <c r="M89" s="5"/>
      <c r="N89" s="5"/>
      <c r="O89" s="5"/>
      <c r="Q89" s="5"/>
      <c r="R89" s="5"/>
    </row>
    <row r="90" spans="2:26">
      <c r="B90" s="41"/>
      <c r="C90" s="5"/>
      <c r="D90" s="5"/>
      <c r="E90" s="5"/>
      <c r="F90" s="5"/>
      <c r="G90" s="5"/>
      <c r="H90" s="5"/>
      <c r="I90" s="49"/>
      <c r="J90" s="5"/>
      <c r="K90" s="5"/>
      <c r="L90" s="5"/>
      <c r="M90" s="5"/>
      <c r="N90" s="5"/>
      <c r="O90" s="5"/>
      <c r="Q90" s="41"/>
      <c r="R90" s="5"/>
    </row>
    <row r="91" spans="2:26">
      <c r="B91" s="5"/>
      <c r="C91" s="5"/>
      <c r="D91" s="5"/>
      <c r="E91" s="5"/>
      <c r="F91" s="5"/>
      <c r="G91" s="5"/>
      <c r="H91" s="5"/>
      <c r="I91" s="5"/>
      <c r="J91" s="5"/>
      <c r="K91" s="5"/>
      <c r="L91" s="5"/>
      <c r="M91" s="5"/>
      <c r="N91" s="5"/>
      <c r="O91" s="5"/>
      <c r="Q91" s="5"/>
      <c r="R91" s="5"/>
    </row>
    <row r="92" spans="2:26">
      <c r="B92" s="41"/>
      <c r="C92" s="49"/>
      <c r="D92" s="49"/>
      <c r="E92" s="49"/>
      <c r="F92" s="49"/>
      <c r="G92" s="49"/>
      <c r="H92" s="49"/>
      <c r="I92" s="247"/>
      <c r="J92" s="49"/>
      <c r="K92" s="49"/>
      <c r="L92" s="49"/>
      <c r="M92" s="49"/>
      <c r="N92" s="49"/>
      <c r="O92" s="49"/>
      <c r="Q92" s="5"/>
      <c r="R92" s="5"/>
      <c r="W92" s="21"/>
      <c r="X92" s="21"/>
    </row>
    <row r="93" spans="2:26">
      <c r="B93" s="5"/>
      <c r="C93" s="5"/>
      <c r="D93" s="5"/>
      <c r="E93" s="5"/>
      <c r="F93" s="5"/>
      <c r="G93" s="5"/>
      <c r="H93" s="5"/>
      <c r="I93" s="247"/>
      <c r="J93" s="5"/>
      <c r="K93" s="5"/>
      <c r="L93" s="5"/>
      <c r="M93" s="5"/>
      <c r="N93" s="5"/>
      <c r="O93" s="5"/>
      <c r="Q93" s="5"/>
      <c r="R93" s="5"/>
      <c r="W93" s="21"/>
      <c r="X93" s="21"/>
      <c r="Y93" s="21"/>
      <c r="Z93" s="21"/>
    </row>
    <row r="94" spans="2:26">
      <c r="B94" s="5"/>
      <c r="C94" s="259"/>
      <c r="D94" s="247"/>
      <c r="E94" s="247"/>
      <c r="F94" s="247"/>
      <c r="G94" s="247"/>
      <c r="H94" s="247"/>
      <c r="I94" s="247"/>
      <c r="J94" s="247"/>
      <c r="K94" s="247"/>
      <c r="L94" s="247"/>
      <c r="M94" s="247"/>
      <c r="N94" s="247"/>
      <c r="O94" s="248"/>
      <c r="Q94" s="5"/>
      <c r="R94" s="5"/>
      <c r="Y94" s="21"/>
      <c r="Z94" s="21"/>
    </row>
    <row r="95" spans="2:26">
      <c r="B95" s="5"/>
      <c r="C95" s="259"/>
      <c r="D95" s="247"/>
      <c r="E95" s="247"/>
      <c r="F95" s="247"/>
      <c r="G95" s="247"/>
      <c r="H95" s="247"/>
      <c r="I95" s="248"/>
      <c r="J95" s="247"/>
      <c r="K95" s="247"/>
      <c r="L95" s="247"/>
      <c r="M95" s="247"/>
      <c r="N95" s="247"/>
      <c r="O95" s="248"/>
      <c r="Q95" s="5"/>
      <c r="R95" s="5"/>
    </row>
    <row r="96" spans="2:26">
      <c r="B96" s="5"/>
      <c r="C96" s="259"/>
      <c r="D96" s="247"/>
      <c r="E96" s="247"/>
      <c r="F96" s="247"/>
      <c r="G96" s="247"/>
      <c r="H96" s="247"/>
      <c r="I96" s="247"/>
      <c r="J96" s="247"/>
      <c r="K96" s="247"/>
      <c r="L96" s="247"/>
      <c r="M96" s="247"/>
      <c r="N96" s="247"/>
      <c r="O96" s="248"/>
      <c r="Q96" s="5"/>
      <c r="R96" s="5"/>
    </row>
    <row r="97" spans="2:18">
      <c r="B97" s="5"/>
      <c r="C97" s="259"/>
      <c r="D97" s="248"/>
      <c r="E97" s="248"/>
      <c r="F97" s="248"/>
      <c r="G97" s="248"/>
      <c r="H97" s="248"/>
      <c r="I97" s="249"/>
      <c r="J97" s="248"/>
      <c r="K97" s="248"/>
      <c r="L97" s="248"/>
      <c r="M97" s="248"/>
      <c r="N97" s="248"/>
      <c r="O97" s="248"/>
      <c r="Q97" s="5"/>
      <c r="R97" s="5"/>
    </row>
    <row r="98" spans="2:18">
      <c r="B98" s="5"/>
      <c r="C98" s="259"/>
      <c r="D98" s="247"/>
      <c r="E98" s="247"/>
      <c r="F98" s="247"/>
      <c r="G98" s="247"/>
      <c r="H98" s="247"/>
      <c r="I98" s="248"/>
      <c r="J98" s="247"/>
      <c r="K98" s="247"/>
      <c r="L98" s="247"/>
      <c r="M98" s="247"/>
      <c r="N98" s="247"/>
      <c r="O98" s="248"/>
      <c r="Q98" s="5"/>
      <c r="R98" s="5"/>
    </row>
    <row r="99" spans="2:18">
      <c r="B99" s="41"/>
      <c r="C99" s="249"/>
      <c r="D99" s="249"/>
      <c r="E99" s="249"/>
      <c r="F99" s="249"/>
      <c r="G99" s="249"/>
      <c r="H99" s="249"/>
      <c r="I99" s="5"/>
      <c r="J99" s="249"/>
      <c r="K99" s="249"/>
      <c r="L99" s="249"/>
      <c r="M99" s="249"/>
      <c r="N99" s="249"/>
      <c r="O99" s="248"/>
      <c r="Q99" s="5"/>
      <c r="R99" s="5"/>
    </row>
    <row r="100" spans="2:18">
      <c r="B100" s="41"/>
      <c r="C100" s="257"/>
      <c r="D100" s="248"/>
      <c r="E100" s="248"/>
      <c r="F100" s="248"/>
      <c r="G100" s="248"/>
      <c r="H100" s="248"/>
      <c r="I100" s="259"/>
      <c r="J100" s="248"/>
      <c r="K100" s="248"/>
      <c r="L100" s="248"/>
      <c r="M100" s="248"/>
      <c r="N100" s="248"/>
      <c r="O100" s="248"/>
      <c r="Q100" s="5"/>
      <c r="R100" s="5"/>
    </row>
    <row r="101" spans="2:18" s="5" customFormat="1">
      <c r="B101" s="41"/>
      <c r="I101" s="259"/>
      <c r="O101" s="248"/>
      <c r="P101" s="39"/>
    </row>
    <row r="102" spans="2:18">
      <c r="B102" s="5"/>
      <c r="C102" s="259"/>
      <c r="D102" s="259"/>
      <c r="E102" s="259"/>
      <c r="F102" s="259"/>
      <c r="G102" s="259"/>
      <c r="H102" s="259"/>
      <c r="I102" s="247"/>
      <c r="J102" s="259"/>
      <c r="K102" s="259"/>
      <c r="L102" s="259"/>
      <c r="M102" s="259"/>
      <c r="N102" s="259"/>
      <c r="O102" s="5"/>
      <c r="Q102" s="5"/>
      <c r="R102" s="5"/>
    </row>
    <row r="103" spans="2:18">
      <c r="B103" s="5"/>
      <c r="C103" s="259"/>
      <c r="D103" s="259"/>
      <c r="E103" s="259"/>
      <c r="F103" s="259"/>
      <c r="G103" s="259"/>
      <c r="H103" s="259"/>
      <c r="I103" s="5"/>
      <c r="J103" s="259"/>
      <c r="K103" s="259"/>
      <c r="L103" s="259"/>
      <c r="M103" s="259"/>
      <c r="N103" s="259"/>
      <c r="O103" s="5"/>
      <c r="P103" s="5"/>
      <c r="Q103" s="5"/>
      <c r="R103" s="5"/>
    </row>
    <row r="104" spans="2:18">
      <c r="B104" s="5"/>
      <c r="C104" s="247"/>
      <c r="D104" s="247"/>
      <c r="E104" s="247"/>
      <c r="F104" s="247"/>
      <c r="G104" s="247"/>
      <c r="H104" s="247"/>
      <c r="I104" s="247"/>
      <c r="J104" s="247"/>
      <c r="K104" s="247"/>
      <c r="L104" s="247"/>
      <c r="M104" s="247"/>
      <c r="N104" s="247"/>
      <c r="O104" s="5"/>
      <c r="Q104" s="5"/>
      <c r="R104" s="5"/>
    </row>
    <row r="105" spans="2:18" s="5" customFormat="1">
      <c r="P105" s="39"/>
    </row>
    <row r="106" spans="2:18" s="5" customFormat="1">
      <c r="C106" s="259"/>
      <c r="D106" s="247"/>
      <c r="E106" s="247"/>
      <c r="F106" s="247"/>
      <c r="G106" s="247"/>
      <c r="H106" s="247"/>
      <c r="I106" s="259"/>
      <c r="J106" s="247"/>
      <c r="K106" s="247"/>
      <c r="L106" s="247"/>
      <c r="M106" s="247"/>
      <c r="N106" s="247"/>
      <c r="P106" s="39"/>
    </row>
    <row r="107" spans="2:18">
      <c r="B107" s="5"/>
      <c r="C107" s="259"/>
      <c r="D107" s="5"/>
      <c r="E107" s="5"/>
      <c r="F107" s="5"/>
      <c r="G107" s="5"/>
      <c r="H107" s="5"/>
      <c r="I107" s="247"/>
      <c r="J107" s="5"/>
      <c r="K107" s="5"/>
      <c r="L107" s="5"/>
      <c r="M107" s="5"/>
      <c r="N107" s="5"/>
      <c r="O107" s="5"/>
      <c r="P107" s="5"/>
      <c r="Q107" s="5"/>
      <c r="R107" s="5"/>
    </row>
    <row r="108" spans="2:18">
      <c r="B108" s="5"/>
      <c r="C108" s="259"/>
      <c r="D108" s="259"/>
      <c r="E108" s="259"/>
      <c r="F108" s="259"/>
      <c r="G108" s="259"/>
      <c r="H108" s="259"/>
      <c r="I108" s="249"/>
      <c r="J108" s="259"/>
      <c r="K108" s="259"/>
      <c r="L108" s="259"/>
      <c r="M108" s="259"/>
      <c r="N108" s="259"/>
      <c r="O108" s="5"/>
      <c r="P108" s="5"/>
      <c r="Q108" s="5"/>
      <c r="R108" s="5"/>
    </row>
    <row r="109" spans="2:18">
      <c r="B109" s="5"/>
      <c r="C109" s="247"/>
      <c r="D109" s="247"/>
      <c r="E109" s="247"/>
      <c r="F109" s="247"/>
      <c r="G109" s="247"/>
      <c r="H109" s="247"/>
      <c r="I109" s="249"/>
      <c r="J109" s="247"/>
      <c r="K109" s="247"/>
      <c r="L109" s="247"/>
      <c r="M109" s="247"/>
      <c r="N109" s="247"/>
      <c r="O109" s="5"/>
      <c r="Q109" s="5"/>
      <c r="R109" s="5"/>
    </row>
    <row r="110" spans="2:18">
      <c r="B110" s="41"/>
      <c r="C110" s="249"/>
      <c r="D110" s="249"/>
      <c r="E110" s="249"/>
      <c r="F110" s="249"/>
      <c r="G110" s="249"/>
      <c r="H110" s="249"/>
      <c r="I110" s="247"/>
      <c r="J110" s="249"/>
      <c r="K110" s="249"/>
      <c r="L110" s="249"/>
      <c r="M110" s="249"/>
      <c r="N110" s="249"/>
      <c r="O110" s="5"/>
      <c r="Q110" s="5"/>
      <c r="R110" s="5"/>
    </row>
    <row r="111" spans="2:18">
      <c r="B111" s="5"/>
      <c r="C111" s="249"/>
      <c r="D111" s="249"/>
      <c r="E111" s="249"/>
      <c r="F111" s="249"/>
      <c r="G111" s="249"/>
      <c r="H111" s="249"/>
      <c r="I111" s="5"/>
      <c r="J111" s="249"/>
      <c r="K111" s="249"/>
      <c r="L111" s="249"/>
      <c r="M111" s="249"/>
      <c r="N111" s="249"/>
      <c r="O111" s="5"/>
      <c r="Q111" s="5"/>
      <c r="R111" s="5"/>
    </row>
    <row r="112" spans="2:18">
      <c r="B112" s="5"/>
      <c r="C112" s="247"/>
      <c r="D112" s="247"/>
      <c r="E112" s="247"/>
      <c r="F112" s="247"/>
      <c r="G112" s="247"/>
      <c r="H112" s="247"/>
      <c r="I112" s="5"/>
      <c r="J112" s="247"/>
      <c r="K112" s="247"/>
      <c r="L112" s="247"/>
      <c r="M112" s="247"/>
      <c r="N112" s="247"/>
      <c r="O112" s="5"/>
      <c r="Q112" s="5"/>
      <c r="R112" s="5"/>
    </row>
    <row r="113" spans="2:18">
      <c r="B113" s="5"/>
      <c r="C113" s="5"/>
      <c r="D113" s="5"/>
      <c r="E113" s="5"/>
      <c r="F113" s="5"/>
      <c r="G113" s="5"/>
      <c r="H113" s="5"/>
      <c r="I113" s="5"/>
      <c r="J113" s="5"/>
      <c r="K113" s="5"/>
      <c r="L113" s="5"/>
      <c r="M113" s="5"/>
      <c r="N113" s="5"/>
      <c r="O113" s="5"/>
      <c r="Q113" s="5"/>
      <c r="R113" s="5"/>
    </row>
    <row r="114" spans="2:18">
      <c r="B114" s="5"/>
      <c r="C114" s="5"/>
      <c r="D114" s="5"/>
      <c r="E114" s="5"/>
      <c r="F114" s="5"/>
      <c r="G114" s="5"/>
      <c r="H114" s="5"/>
      <c r="I114" s="5"/>
      <c r="J114" s="5"/>
      <c r="K114" s="5"/>
      <c r="L114" s="5"/>
      <c r="M114" s="5"/>
      <c r="N114" s="5"/>
      <c r="O114" s="5"/>
      <c r="Q114" s="5"/>
      <c r="R114" s="5"/>
    </row>
    <row r="115" spans="2:18">
      <c r="B115" s="5"/>
      <c r="C115" s="5"/>
      <c r="D115" s="5"/>
      <c r="E115" s="5"/>
      <c r="F115" s="5"/>
      <c r="G115" s="5"/>
      <c r="H115" s="5"/>
      <c r="I115" s="49"/>
      <c r="J115" s="5"/>
      <c r="K115" s="5"/>
      <c r="L115" s="5"/>
      <c r="M115" s="5"/>
      <c r="N115" s="5"/>
      <c r="O115" s="5"/>
      <c r="Q115" s="41"/>
      <c r="R115" s="5"/>
    </row>
    <row r="116" spans="2:18">
      <c r="B116" s="5"/>
      <c r="C116" s="5"/>
      <c r="D116" s="5"/>
      <c r="E116" s="5"/>
      <c r="F116" s="5"/>
      <c r="G116" s="5"/>
      <c r="H116" s="5"/>
      <c r="I116" s="5"/>
      <c r="J116" s="5"/>
      <c r="K116" s="5"/>
      <c r="L116" s="5"/>
      <c r="M116" s="5"/>
      <c r="N116" s="5"/>
      <c r="O116" s="5"/>
      <c r="Q116" s="5"/>
      <c r="R116" s="5"/>
    </row>
    <row r="117" spans="2:18">
      <c r="B117" s="41"/>
      <c r="C117" s="49"/>
      <c r="D117" s="49"/>
      <c r="E117" s="49"/>
      <c r="F117" s="49"/>
      <c r="G117" s="49"/>
      <c r="H117" s="49"/>
      <c r="I117" s="254"/>
      <c r="J117" s="49"/>
      <c r="K117" s="49"/>
      <c r="L117" s="49"/>
      <c r="M117" s="49"/>
      <c r="N117" s="49"/>
      <c r="O117" s="49"/>
      <c r="Q117" s="5"/>
      <c r="R117" s="5"/>
    </row>
    <row r="118" spans="2:18">
      <c r="B118" s="5"/>
      <c r="C118" s="5"/>
      <c r="D118" s="5"/>
      <c r="E118" s="5"/>
      <c r="F118" s="5"/>
      <c r="G118" s="5"/>
      <c r="H118" s="5"/>
      <c r="I118" s="249"/>
      <c r="J118" s="5"/>
      <c r="K118" s="5"/>
      <c r="L118" s="5"/>
      <c r="M118" s="5"/>
      <c r="N118" s="5"/>
      <c r="O118" s="5"/>
      <c r="Q118" s="5"/>
      <c r="R118" s="5"/>
    </row>
    <row r="119" spans="2:18">
      <c r="B119" s="41"/>
      <c r="C119" s="254"/>
      <c r="D119" s="254"/>
      <c r="E119" s="254"/>
      <c r="F119" s="254"/>
      <c r="G119" s="254"/>
      <c r="H119" s="254"/>
      <c r="I119" s="254"/>
      <c r="J119" s="254"/>
      <c r="K119" s="254"/>
      <c r="L119" s="254"/>
      <c r="M119" s="254"/>
      <c r="N119" s="254"/>
      <c r="O119" s="248"/>
      <c r="Q119" s="5"/>
      <c r="R119" s="5"/>
    </row>
    <row r="120" spans="2:18">
      <c r="B120" s="41"/>
      <c r="C120" s="254"/>
      <c r="D120" s="249"/>
      <c r="E120" s="249"/>
      <c r="F120" s="249"/>
      <c r="G120" s="249"/>
      <c r="H120" s="249"/>
      <c r="I120" s="254"/>
      <c r="J120" s="249"/>
      <c r="K120" s="249"/>
      <c r="L120" s="249"/>
      <c r="M120" s="249"/>
      <c r="N120" s="249"/>
      <c r="O120" s="248"/>
      <c r="Q120" s="5"/>
      <c r="R120" s="5"/>
    </row>
    <row r="121" spans="2:18">
      <c r="B121" s="41"/>
      <c r="C121" s="254"/>
      <c r="D121" s="254"/>
      <c r="E121" s="254"/>
      <c r="F121" s="254"/>
      <c r="G121" s="254"/>
      <c r="H121" s="254"/>
      <c r="I121" s="254"/>
      <c r="J121" s="254"/>
      <c r="K121" s="254"/>
      <c r="L121" s="254"/>
      <c r="M121" s="254"/>
      <c r="N121" s="254"/>
      <c r="O121" s="248"/>
      <c r="Q121" s="5"/>
      <c r="R121" s="5"/>
    </row>
    <row r="122" spans="2:18">
      <c r="B122" s="41"/>
      <c r="C122" s="254"/>
      <c r="D122" s="254"/>
      <c r="E122" s="254"/>
      <c r="F122" s="254"/>
      <c r="G122" s="254"/>
      <c r="H122" s="254"/>
      <c r="I122" s="254"/>
      <c r="J122" s="254"/>
      <c r="K122" s="254"/>
      <c r="L122" s="254"/>
      <c r="M122" s="254"/>
      <c r="N122" s="254"/>
      <c r="O122" s="248"/>
      <c r="Q122" s="5"/>
      <c r="R122" s="5"/>
    </row>
    <row r="123" spans="2:18">
      <c r="B123" s="41"/>
      <c r="C123" s="254"/>
      <c r="D123" s="254"/>
      <c r="E123" s="254"/>
      <c r="F123" s="254"/>
      <c r="G123" s="254"/>
      <c r="H123" s="254"/>
      <c r="I123" s="254"/>
      <c r="J123" s="254"/>
      <c r="K123" s="254"/>
      <c r="L123" s="254"/>
      <c r="M123" s="254"/>
      <c r="N123" s="254"/>
      <c r="O123" s="248"/>
      <c r="Q123" s="5"/>
      <c r="R123" s="5"/>
    </row>
    <row r="124" spans="2:18">
      <c r="B124" s="41"/>
      <c r="C124" s="254"/>
      <c r="D124" s="254"/>
      <c r="E124" s="254"/>
      <c r="F124" s="254"/>
      <c r="G124" s="254"/>
      <c r="H124" s="254"/>
      <c r="I124" s="254"/>
      <c r="J124" s="254"/>
      <c r="K124" s="254"/>
      <c r="L124" s="254"/>
      <c r="M124" s="254"/>
      <c r="N124" s="254"/>
      <c r="O124" s="248"/>
      <c r="Q124" s="5"/>
      <c r="R124" s="5"/>
    </row>
    <row r="125" spans="2:18">
      <c r="B125" s="41"/>
      <c r="C125" s="254"/>
      <c r="D125" s="254"/>
      <c r="E125" s="254"/>
      <c r="F125" s="254"/>
      <c r="G125" s="254"/>
      <c r="H125" s="254"/>
      <c r="I125" s="254"/>
      <c r="J125" s="254"/>
      <c r="K125" s="254"/>
      <c r="L125" s="254"/>
      <c r="M125" s="254"/>
      <c r="N125" s="254"/>
      <c r="O125" s="5"/>
      <c r="Q125" s="5"/>
      <c r="R125" s="5"/>
    </row>
    <row r="126" spans="2:18">
      <c r="B126" s="41"/>
      <c r="C126" s="254"/>
      <c r="D126" s="254"/>
      <c r="E126" s="254"/>
      <c r="F126" s="254"/>
      <c r="G126" s="254"/>
      <c r="H126" s="254"/>
      <c r="I126" s="254"/>
      <c r="J126" s="254"/>
      <c r="K126" s="254"/>
      <c r="L126" s="254"/>
      <c r="M126" s="254"/>
      <c r="N126" s="254"/>
      <c r="O126" s="5"/>
      <c r="Q126" s="5"/>
      <c r="R126" s="5"/>
    </row>
    <row r="127" spans="2:18">
      <c r="B127" s="41"/>
      <c r="C127" s="254"/>
      <c r="D127" s="254"/>
      <c r="E127" s="254"/>
      <c r="F127" s="254"/>
      <c r="G127" s="254"/>
      <c r="H127" s="254"/>
      <c r="I127" s="18"/>
      <c r="J127" s="254"/>
      <c r="K127" s="254"/>
      <c r="L127" s="254"/>
      <c r="M127" s="254"/>
      <c r="N127" s="254"/>
      <c r="O127" s="5"/>
      <c r="Q127" s="5"/>
      <c r="R127" s="5"/>
    </row>
    <row r="128" spans="2:18">
      <c r="B128" s="41"/>
      <c r="C128" s="254"/>
      <c r="D128" s="254"/>
      <c r="E128" s="254"/>
      <c r="F128" s="254"/>
      <c r="G128" s="254"/>
      <c r="H128" s="254"/>
      <c r="I128" s="5"/>
      <c r="J128" s="254"/>
      <c r="K128" s="254"/>
      <c r="L128" s="254"/>
      <c r="M128" s="254"/>
      <c r="N128" s="254"/>
      <c r="O128" s="5"/>
      <c r="Q128" s="5"/>
      <c r="R128" s="5"/>
    </row>
    <row r="129" spans="2:27">
      <c r="B129" s="5"/>
      <c r="C129" s="5"/>
      <c r="D129" s="18"/>
      <c r="E129" s="18"/>
      <c r="F129" s="18"/>
      <c r="G129" s="18"/>
      <c r="H129" s="18"/>
      <c r="I129" s="254"/>
      <c r="J129" s="18"/>
      <c r="K129" s="18"/>
      <c r="L129" s="18"/>
      <c r="M129" s="18"/>
      <c r="N129" s="18"/>
      <c r="O129" s="5"/>
      <c r="Q129" s="5"/>
      <c r="R129" s="5"/>
    </row>
    <row r="130" spans="2:27">
      <c r="B130" s="5"/>
      <c r="C130" s="5"/>
      <c r="D130" s="5"/>
      <c r="E130" s="5"/>
      <c r="F130" s="5"/>
      <c r="G130" s="5"/>
      <c r="H130" s="5"/>
      <c r="I130" s="18"/>
      <c r="J130" s="5"/>
      <c r="K130" s="5"/>
      <c r="L130" s="5"/>
      <c r="M130" s="5"/>
      <c r="N130" s="5"/>
      <c r="O130" s="5"/>
      <c r="Q130" s="5"/>
      <c r="R130" s="5"/>
    </row>
    <row r="131" spans="2:27">
      <c r="B131" s="41"/>
      <c r="C131" s="254"/>
      <c r="D131" s="254"/>
      <c r="E131" s="254"/>
      <c r="F131" s="254"/>
      <c r="G131" s="254"/>
      <c r="H131" s="254"/>
      <c r="I131" s="5"/>
      <c r="J131" s="254"/>
      <c r="K131" s="254"/>
      <c r="L131" s="254"/>
      <c r="M131" s="254"/>
      <c r="N131" s="254"/>
      <c r="O131" s="5"/>
      <c r="Q131" s="5"/>
      <c r="R131" s="5"/>
    </row>
    <row r="132" spans="2:27">
      <c r="B132" s="5"/>
      <c r="C132" s="259"/>
      <c r="D132" s="18"/>
      <c r="E132" s="18"/>
      <c r="F132" s="18"/>
      <c r="G132" s="18"/>
      <c r="H132" s="18"/>
      <c r="I132" s="5"/>
      <c r="J132" s="18"/>
      <c r="K132" s="18"/>
      <c r="L132" s="18"/>
      <c r="M132" s="18"/>
      <c r="N132" s="18"/>
      <c r="O132" s="5"/>
      <c r="Q132" s="5"/>
      <c r="R132" s="5"/>
    </row>
    <row r="133" spans="2:27">
      <c r="B133" s="5"/>
      <c r="C133" s="5"/>
      <c r="D133" s="5"/>
      <c r="E133" s="5"/>
      <c r="F133" s="5"/>
      <c r="G133" s="5"/>
      <c r="H133" s="5"/>
      <c r="I133" s="17"/>
      <c r="J133" s="5"/>
      <c r="K133" s="5"/>
      <c r="L133" s="5"/>
      <c r="M133" s="5"/>
      <c r="N133" s="5"/>
      <c r="O133" s="5"/>
      <c r="Q133" s="5"/>
      <c r="R133" s="5"/>
    </row>
    <row r="134" spans="2:27">
      <c r="B134" s="41"/>
      <c r="C134" s="5"/>
      <c r="D134" s="5"/>
      <c r="E134" s="5"/>
      <c r="F134" s="5"/>
      <c r="G134" s="5"/>
      <c r="H134" s="5"/>
      <c r="I134" s="17"/>
      <c r="J134" s="5"/>
      <c r="K134" s="5"/>
      <c r="L134" s="5"/>
      <c r="M134" s="5"/>
      <c r="N134" s="5"/>
      <c r="O134" s="5"/>
      <c r="Q134" s="5"/>
      <c r="R134" s="5"/>
    </row>
    <row r="135" spans="2:27">
      <c r="B135" s="5"/>
      <c r="C135" s="17"/>
      <c r="D135" s="17"/>
      <c r="E135" s="17"/>
      <c r="F135" s="17"/>
      <c r="G135" s="17"/>
      <c r="H135" s="17"/>
      <c r="I135" s="17"/>
      <c r="J135" s="17"/>
      <c r="K135" s="17"/>
      <c r="L135" s="17"/>
      <c r="M135" s="17"/>
      <c r="N135" s="17"/>
      <c r="O135" s="5"/>
      <c r="Q135" s="41"/>
      <c r="R135" s="5"/>
    </row>
    <row r="136" spans="2:27">
      <c r="B136" s="5"/>
      <c r="C136" s="17"/>
      <c r="D136" s="17"/>
      <c r="E136" s="17"/>
      <c r="F136" s="17"/>
      <c r="G136" s="17"/>
      <c r="H136" s="17"/>
      <c r="I136" s="17"/>
      <c r="J136" s="17"/>
      <c r="K136" s="17"/>
      <c r="L136" s="17"/>
      <c r="M136" s="17"/>
      <c r="N136" s="17"/>
      <c r="O136" s="5"/>
      <c r="Q136" s="5"/>
      <c r="R136" s="5"/>
      <c r="X136" s="304"/>
    </row>
    <row r="137" spans="2:27">
      <c r="B137" s="5"/>
      <c r="C137" s="5"/>
      <c r="D137" s="17"/>
      <c r="E137" s="17"/>
      <c r="F137" s="17"/>
      <c r="G137" s="17"/>
      <c r="H137" s="17"/>
      <c r="I137" s="17"/>
      <c r="J137" s="17"/>
      <c r="K137" s="17"/>
      <c r="L137" s="17"/>
      <c r="M137" s="17"/>
      <c r="N137" s="17"/>
      <c r="O137" s="5"/>
      <c r="Q137" s="5"/>
      <c r="R137" s="5"/>
      <c r="X137" s="10"/>
      <c r="Y137" s="304"/>
      <c r="Z137" s="304"/>
      <c r="AA137" s="304"/>
    </row>
    <row r="138" spans="2:27">
      <c r="B138" s="5"/>
      <c r="C138" s="5"/>
      <c r="D138" s="17"/>
      <c r="E138" s="17"/>
      <c r="F138" s="17"/>
      <c r="G138" s="17"/>
      <c r="H138" s="17"/>
      <c r="I138" s="17"/>
      <c r="J138" s="17"/>
      <c r="K138" s="17"/>
      <c r="L138" s="17"/>
      <c r="M138" s="17"/>
      <c r="N138" s="17"/>
      <c r="O138" s="5"/>
      <c r="Q138" s="5"/>
      <c r="R138" s="5"/>
      <c r="Y138" s="10"/>
      <c r="Z138" s="10"/>
      <c r="AA138" s="10"/>
    </row>
    <row r="139" spans="2:27">
      <c r="B139" s="5"/>
      <c r="C139" s="5"/>
      <c r="D139" s="17"/>
      <c r="E139" s="17"/>
      <c r="F139" s="17"/>
      <c r="G139" s="17"/>
      <c r="H139" s="17"/>
      <c r="I139" s="5"/>
      <c r="J139" s="17"/>
      <c r="K139" s="17"/>
      <c r="L139" s="17"/>
      <c r="M139" s="17"/>
      <c r="N139" s="17"/>
      <c r="O139" s="5"/>
      <c r="Q139" s="5"/>
      <c r="R139" s="5"/>
    </row>
    <row r="140" spans="2:27">
      <c r="B140" s="5"/>
      <c r="C140" s="17"/>
      <c r="D140" s="17"/>
      <c r="E140" s="17"/>
      <c r="F140" s="17"/>
      <c r="G140" s="17"/>
      <c r="H140" s="17"/>
      <c r="I140" s="5"/>
      <c r="J140" s="17"/>
      <c r="K140" s="17"/>
      <c r="L140" s="17"/>
      <c r="M140" s="17"/>
      <c r="N140" s="17"/>
      <c r="O140" s="5"/>
      <c r="Q140" s="5"/>
      <c r="R140" s="5"/>
    </row>
    <row r="141" spans="2:27">
      <c r="B141" s="5"/>
      <c r="C141" s="5"/>
      <c r="D141" s="5"/>
      <c r="E141" s="5"/>
      <c r="F141" s="5"/>
      <c r="G141" s="5"/>
      <c r="H141" s="5"/>
      <c r="I141" s="5"/>
      <c r="J141" s="5"/>
      <c r="K141" s="5"/>
      <c r="L141" s="5"/>
      <c r="M141" s="5"/>
      <c r="N141" s="5"/>
      <c r="O141" s="5"/>
      <c r="Q141" s="5"/>
      <c r="R141" s="5"/>
    </row>
    <row r="142" spans="2:27">
      <c r="B142" s="5"/>
      <c r="C142" s="5"/>
      <c r="D142" s="5"/>
      <c r="E142" s="5"/>
      <c r="F142" s="5"/>
      <c r="G142" s="5"/>
      <c r="H142" s="5"/>
      <c r="I142" s="5"/>
      <c r="J142" s="5"/>
      <c r="K142" s="5"/>
      <c r="L142" s="5"/>
      <c r="M142" s="5"/>
      <c r="N142" s="5"/>
      <c r="O142" s="5"/>
      <c r="Q142" s="5"/>
      <c r="R142" s="5"/>
    </row>
    <row r="143" spans="2:27">
      <c r="B143" s="5"/>
      <c r="C143" s="5"/>
      <c r="D143" s="5"/>
      <c r="E143" s="5"/>
      <c r="F143" s="5"/>
      <c r="G143" s="5"/>
      <c r="H143" s="5"/>
      <c r="I143" s="5"/>
      <c r="J143" s="5"/>
      <c r="K143" s="5"/>
      <c r="L143" s="5"/>
      <c r="M143" s="5"/>
      <c r="N143" s="5"/>
      <c r="O143" s="5"/>
      <c r="Q143" s="5"/>
      <c r="R143" s="5"/>
    </row>
    <row r="144" spans="2:27">
      <c r="B144" s="5"/>
      <c r="C144" s="5"/>
      <c r="D144" s="5"/>
      <c r="E144" s="5"/>
      <c r="F144" s="5"/>
      <c r="G144" s="5"/>
      <c r="H144" s="5"/>
      <c r="I144" s="5"/>
      <c r="J144" s="5"/>
      <c r="K144" s="5"/>
      <c r="L144" s="5"/>
      <c r="M144" s="5"/>
      <c r="N144" s="5"/>
      <c r="O144" s="5"/>
      <c r="Q144" s="5"/>
      <c r="R144" s="5"/>
    </row>
    <row r="145" spans="2:18">
      <c r="B145" s="5"/>
      <c r="C145" s="5"/>
      <c r="D145" s="5"/>
      <c r="E145" s="5"/>
      <c r="F145" s="5"/>
      <c r="G145" s="5"/>
      <c r="H145" s="5"/>
      <c r="I145" s="5"/>
      <c r="J145" s="5"/>
      <c r="K145" s="5"/>
      <c r="L145" s="5"/>
      <c r="M145" s="5"/>
      <c r="N145" s="5"/>
      <c r="O145" s="5"/>
      <c r="Q145" s="5"/>
      <c r="R145" s="5"/>
    </row>
    <row r="146" spans="2:18">
      <c r="B146" s="5"/>
      <c r="C146" s="5"/>
      <c r="D146" s="5"/>
      <c r="E146" s="5"/>
      <c r="F146" s="5"/>
      <c r="G146" s="5"/>
      <c r="H146" s="5"/>
      <c r="I146" s="5"/>
      <c r="J146" s="5"/>
      <c r="K146" s="5"/>
      <c r="L146" s="5"/>
      <c r="M146" s="5"/>
      <c r="N146" s="5"/>
      <c r="O146" s="5"/>
      <c r="Q146" s="5"/>
      <c r="R146" s="5"/>
    </row>
    <row r="147" spans="2:18">
      <c r="B147" s="5"/>
      <c r="C147" s="5"/>
      <c r="D147" s="5"/>
      <c r="E147" s="5"/>
      <c r="F147" s="5"/>
      <c r="G147" s="5"/>
      <c r="H147" s="5"/>
      <c r="I147" s="5"/>
      <c r="J147" s="5"/>
      <c r="K147" s="5"/>
      <c r="L147" s="5"/>
      <c r="M147" s="5"/>
      <c r="N147" s="5"/>
      <c r="O147" s="5"/>
      <c r="Q147" s="5"/>
      <c r="R147" s="5"/>
    </row>
    <row r="148" spans="2:18">
      <c r="B148" s="5"/>
      <c r="C148" s="5"/>
      <c r="D148" s="5"/>
      <c r="E148" s="5"/>
      <c r="F148" s="5"/>
      <c r="G148" s="5"/>
      <c r="H148" s="5"/>
      <c r="I148" s="5"/>
      <c r="J148" s="5"/>
      <c r="K148" s="5"/>
      <c r="L148" s="5"/>
      <c r="M148" s="5"/>
      <c r="N148" s="5"/>
      <c r="O148" s="5"/>
      <c r="Q148" s="5"/>
      <c r="R148" s="5"/>
    </row>
    <row r="149" spans="2:18">
      <c r="B149" s="5"/>
      <c r="C149" s="5"/>
      <c r="D149" s="5"/>
      <c r="E149" s="5"/>
      <c r="F149" s="5"/>
      <c r="G149" s="5"/>
      <c r="H149" s="5"/>
      <c r="J149" s="5"/>
      <c r="K149" s="5"/>
      <c r="L149" s="5"/>
      <c r="M149" s="5"/>
      <c r="N149" s="5"/>
      <c r="O149" s="5"/>
      <c r="Q149" s="5"/>
      <c r="R149" s="5"/>
    </row>
    <row r="150" spans="2:18">
      <c r="B150" s="5"/>
      <c r="C150" s="5"/>
      <c r="D150" s="5"/>
      <c r="E150" s="5"/>
      <c r="F150" s="5"/>
      <c r="G150" s="5"/>
      <c r="H150" s="5"/>
      <c r="J150" s="5"/>
      <c r="K150" s="5"/>
      <c r="L150" s="5"/>
      <c r="M150" s="5"/>
      <c r="N150" s="5"/>
      <c r="O150" s="5"/>
      <c r="Q150" s="5"/>
      <c r="R150" s="5"/>
    </row>
    <row r="151" spans="2:18">
      <c r="Q151" s="5"/>
      <c r="R151" s="5"/>
    </row>
    <row r="152" spans="2:18">
      <c r="Q152" s="5"/>
      <c r="R152" s="5"/>
    </row>
    <row r="153" spans="2:18">
      <c r="C153" s="263"/>
      <c r="Q153" s="5"/>
      <c r="R153" s="5"/>
    </row>
    <row r="154" spans="2:18">
      <c r="Q154" s="5"/>
      <c r="R154" s="5"/>
    </row>
    <row r="155" spans="2:18">
      <c r="Q155" s="5"/>
      <c r="R155" s="5"/>
    </row>
    <row r="156" spans="2:18">
      <c r="Q156" s="5"/>
      <c r="R156" s="5"/>
    </row>
    <row r="157" spans="2:18">
      <c r="Q157" s="5"/>
      <c r="R157" s="5"/>
    </row>
    <row r="158" spans="2:18">
      <c r="Q158" s="5"/>
      <c r="R158" s="5"/>
    </row>
    <row r="159" spans="2:18">
      <c r="Q159" s="5"/>
      <c r="R159" s="5"/>
    </row>
    <row r="160" spans="2:18">
      <c r="Q160" s="5"/>
      <c r="R160" s="5"/>
    </row>
    <row r="161" spans="17:18">
      <c r="Q161" s="5"/>
      <c r="R161" s="5"/>
    </row>
    <row r="162" spans="17:18">
      <c r="Q162" s="5"/>
      <c r="R162" s="5"/>
    </row>
    <row r="163" spans="17:18">
      <c r="Q163" s="5"/>
      <c r="R163" s="5"/>
    </row>
    <row r="164" spans="17:18">
      <c r="Q164" s="5"/>
      <c r="R164" s="5"/>
    </row>
    <row r="165" spans="17:18">
      <c r="Q165" s="5"/>
      <c r="R165" s="5"/>
    </row>
  </sheetData>
  <phoneticPr fontId="7" type="noConversion"/>
  <pageMargins left="0.75" right="0.75" top="1" bottom="1" header="0.5" footer="0.5"/>
  <pageSetup scale="71" orientation="landscape" r:id="rId1"/>
  <headerFooter alignWithMargins="0"/>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24">
    <pageSetUpPr fitToPage="1"/>
  </sheetPr>
  <dimension ref="B1:AR165"/>
  <sheetViews>
    <sheetView showGridLines="0" zoomScale="80" zoomScaleNormal="80" zoomScaleSheetLayoutView="80" workbookViewId="0"/>
  </sheetViews>
  <sheetFormatPr defaultColWidth="9.109375" defaultRowHeight="12"/>
  <cols>
    <col min="1" max="1" width="2.33203125" style="39" customWidth="1"/>
    <col min="2" max="2" width="26.5546875" style="39" customWidth="1"/>
    <col min="3" max="9" width="10" style="39" customWidth="1"/>
    <col min="10" max="10" width="26.6640625" style="39" customWidth="1"/>
    <col min="11" max="16" width="10" style="39" customWidth="1"/>
    <col min="17" max="19" width="8.6640625" style="39" customWidth="1"/>
    <col min="20" max="28" width="8.6640625" style="5" customWidth="1"/>
    <col min="29" max="44" width="9.109375" style="5"/>
    <col min="45" max="16384" width="9.109375" style="39"/>
  </cols>
  <sheetData>
    <row r="1" spans="2:44" s="312" customFormat="1">
      <c r="T1" s="149"/>
      <c r="U1" s="149"/>
      <c r="V1" s="149"/>
      <c r="W1" s="149"/>
      <c r="X1" s="149"/>
      <c r="Y1" s="149"/>
      <c r="Z1" s="149"/>
      <c r="AA1" s="149"/>
      <c r="AB1" s="149"/>
      <c r="AC1" s="149"/>
      <c r="AD1" s="149"/>
      <c r="AE1" s="149"/>
      <c r="AF1" s="149"/>
      <c r="AG1" s="149"/>
      <c r="AH1" s="149"/>
      <c r="AI1" s="149"/>
      <c r="AJ1" s="149"/>
      <c r="AK1" s="149"/>
      <c r="AL1" s="149"/>
      <c r="AM1" s="149"/>
      <c r="AN1" s="149"/>
      <c r="AO1" s="149"/>
      <c r="AP1" s="149"/>
      <c r="AQ1" s="149"/>
      <c r="AR1" s="149"/>
    </row>
    <row r="2" spans="2:44" s="149" customFormat="1"/>
    <row r="3" spans="2:44" s="149" customFormat="1">
      <c r="H3" s="153"/>
      <c r="P3" s="153"/>
    </row>
    <row r="4" spans="2:44" s="156" customFormat="1" ht="21">
      <c r="B4" s="129" t="s">
        <v>1380</v>
      </c>
      <c r="H4" s="222"/>
      <c r="P4" s="222"/>
    </row>
    <row r="5" spans="2:44" s="149" customFormat="1">
      <c r="C5" s="153"/>
      <c r="D5" s="153" t="str" cm="1">
        <f t="array" ref="D5:H5">headings</f>
        <v>2023E</v>
      </c>
      <c r="E5" s="153" t="str">
        <v>2024E</v>
      </c>
      <c r="F5" s="153" t="str">
        <v>2025E</v>
      </c>
      <c r="G5" s="153" t="str">
        <v>2026E</v>
      </c>
      <c r="H5" s="153" t="str">
        <v>23E-26E</v>
      </c>
      <c r="I5" s="153"/>
      <c r="J5" s="153"/>
      <c r="K5" s="153"/>
      <c r="L5" s="153" t="str" cm="1">
        <f t="array" ref="L5:P5">headings</f>
        <v>2023E</v>
      </c>
      <c r="M5" s="153" t="str">
        <v>2024E</v>
      </c>
      <c r="N5" s="153" t="str">
        <v>2025E</v>
      </c>
      <c r="O5" s="153" t="str">
        <v>2026E</v>
      </c>
      <c r="P5" s="153" t="str">
        <v>23E-26E</v>
      </c>
      <c r="Q5" s="162"/>
      <c r="R5" s="162"/>
      <c r="S5" s="162"/>
      <c r="T5" s="162"/>
      <c r="U5" s="162"/>
      <c r="V5" s="162"/>
      <c r="W5" s="162"/>
      <c r="X5" s="162"/>
      <c r="Y5" s="162"/>
    </row>
    <row r="6" spans="2:44">
      <c r="I6" s="5"/>
      <c r="J6" s="5"/>
      <c r="K6" s="5"/>
      <c r="L6" s="5"/>
      <c r="M6" s="5"/>
      <c r="N6" s="5"/>
      <c r="O6" s="49"/>
    </row>
    <row r="7" spans="2:44" ht="12.6" thickBot="1">
      <c r="B7" s="306" t="s">
        <v>271</v>
      </c>
      <c r="C7" s="265"/>
      <c r="D7" s="265" t="str">
        <f>D5</f>
        <v>2023E</v>
      </c>
      <c r="E7" s="265" t="str">
        <f t="shared" ref="E7:H7" si="0">E5</f>
        <v>2024E</v>
      </c>
      <c r="F7" s="265" t="str">
        <f t="shared" si="0"/>
        <v>2025E</v>
      </c>
      <c r="G7" s="265" t="str">
        <f t="shared" si="0"/>
        <v>2026E</v>
      </c>
      <c r="H7" s="265" t="str">
        <f t="shared" si="0"/>
        <v>23E-26E</v>
      </c>
      <c r="I7" s="49"/>
      <c r="J7" s="306" t="s">
        <v>1389</v>
      </c>
      <c r="K7" s="306"/>
      <c r="L7" s="265" t="str">
        <f>L5</f>
        <v>2023E</v>
      </c>
      <c r="M7" s="265" t="str">
        <f t="shared" ref="M7:P7" si="1">M5</f>
        <v>2024E</v>
      </c>
      <c r="N7" s="265" t="str">
        <f t="shared" si="1"/>
        <v>2025E</v>
      </c>
      <c r="O7" s="265" t="str">
        <f t="shared" si="1"/>
        <v>2026E</v>
      </c>
      <c r="P7" s="265" t="str">
        <f t="shared" si="1"/>
        <v>23E-26E</v>
      </c>
    </row>
    <row r="8" spans="2:44" ht="12.6" thickTop="1">
      <c r="B8" s="5"/>
      <c r="C8" s="5"/>
      <c r="D8" s="5"/>
      <c r="E8" s="5"/>
      <c r="F8" s="5"/>
      <c r="G8" s="5"/>
      <c r="H8" s="5"/>
      <c r="I8" s="5"/>
      <c r="J8" s="5"/>
      <c r="K8" s="5"/>
      <c r="L8" s="5"/>
      <c r="M8" s="5"/>
      <c r="N8" s="5"/>
      <c r="S8" s="88"/>
      <c r="T8" s="42"/>
      <c r="U8" s="42"/>
      <c r="V8" s="42"/>
      <c r="W8" s="42"/>
      <c r="X8" s="42"/>
      <c r="Y8" s="42"/>
      <c r="Z8" s="42"/>
      <c r="AA8" s="42"/>
    </row>
    <row r="9" spans="2:44">
      <c r="B9" s="41" t="s">
        <v>852</v>
      </c>
      <c r="C9" s="267">
        <f>Prices!C22</f>
        <v>17.5</v>
      </c>
      <c r="D9" s="535">
        <v>0</v>
      </c>
      <c r="E9" s="536">
        <v>0</v>
      </c>
      <c r="F9" s="536">
        <v>0</v>
      </c>
      <c r="G9" s="536">
        <v>0</v>
      </c>
      <c r="H9" s="249"/>
      <c r="I9" s="249"/>
      <c r="J9" s="5" t="s">
        <v>273</v>
      </c>
      <c r="L9" s="529">
        <f>'W.EUR OTHER'!D37</f>
        <v>1.625740200561925</v>
      </c>
      <c r="M9" s="529">
        <f>'W.EUR OTHER'!E37</f>
        <v>1.4744355877361912</v>
      </c>
      <c r="N9" s="529">
        <f>'W.EUR OTHER'!F37</f>
        <v>1.3838130671688169</v>
      </c>
      <c r="O9" s="529">
        <f>'W.EUR OTHER'!G37</f>
        <v>1.2773151297065752</v>
      </c>
      <c r="P9" s="279">
        <f>'W.EUR OTHER'!H37</f>
        <v>1.5716493135688125E-2</v>
      </c>
      <c r="S9" s="88"/>
      <c r="T9" s="42"/>
      <c r="U9" s="42"/>
      <c r="V9" s="42"/>
      <c r="W9" s="42"/>
      <c r="X9" s="42"/>
      <c r="Y9" s="42"/>
      <c r="Z9" s="42"/>
      <c r="AA9" s="42"/>
    </row>
    <row r="10" spans="2:44">
      <c r="B10" s="5" t="s">
        <v>274</v>
      </c>
      <c r="C10" s="5"/>
      <c r="D10" s="531">
        <v>176.29964899999999</v>
      </c>
      <c r="E10" s="531">
        <v>176.29964899999999</v>
      </c>
      <c r="F10" s="531">
        <v>176.29964899999999</v>
      </c>
      <c r="G10" s="531">
        <v>176.29964899999999</v>
      </c>
      <c r="H10" s="247"/>
      <c r="I10" s="247"/>
      <c r="J10" s="5" t="s">
        <v>184</v>
      </c>
      <c r="L10" s="529">
        <f>'W.EUR OTHER'!D38</f>
        <v>5.2795254299348739</v>
      </c>
      <c r="M10" s="529">
        <f>'W.EUR OTHER'!E38</f>
        <v>4.974469712304483</v>
      </c>
      <c r="N10" s="529">
        <f>'W.EUR OTHER'!F38</f>
        <v>4.5174816735135677</v>
      </c>
      <c r="O10" s="529">
        <f>'W.EUR OTHER'!G38</f>
        <v>4.0920709682728358</v>
      </c>
      <c r="P10" s="279">
        <f>'W.EUR OTHER'!H38</f>
        <v>2.0325446875936182E-2</v>
      </c>
      <c r="S10" s="88"/>
      <c r="T10" s="42"/>
      <c r="U10" s="42"/>
      <c r="V10" s="42"/>
      <c r="W10" s="288"/>
      <c r="X10" s="288"/>
      <c r="Y10" s="288"/>
      <c r="Z10" s="288"/>
      <c r="AA10" s="42"/>
    </row>
    <row r="11" spans="2:44">
      <c r="B11" s="41" t="s">
        <v>275</v>
      </c>
      <c r="C11" s="5"/>
      <c r="D11" s="532">
        <f>$C$9*D10</f>
        <v>3085.2438574999996</v>
      </c>
      <c r="E11" s="532">
        <f>$C$9*E10</f>
        <v>3085.2438574999996</v>
      </c>
      <c r="F11" s="532">
        <f>$C$9*F10</f>
        <v>3085.2438574999996</v>
      </c>
      <c r="G11" s="532">
        <f>$C$9*G10</f>
        <v>3085.2438574999996</v>
      </c>
      <c r="H11" s="249"/>
      <c r="I11" s="249"/>
      <c r="J11" s="5" t="s">
        <v>185</v>
      </c>
      <c r="L11" s="529">
        <f>'W.EUR OTHER'!D39</f>
        <v>12.736189476818824</v>
      </c>
      <c r="M11" s="529">
        <f>'W.EUR OTHER'!E39</f>
        <v>12.065966967777575</v>
      </c>
      <c r="N11" s="529">
        <f>'W.EUR OTHER'!F39</f>
        <v>9.9478093470125</v>
      </c>
      <c r="O11" s="529">
        <f>'W.EUR OTHER'!G39</f>
        <v>8.473000290176449</v>
      </c>
      <c r="P11" s="279">
        <f>'W.EUR OTHER'!H39</f>
        <v>7.3632307659955432E-2</v>
      </c>
      <c r="S11" s="88"/>
      <c r="T11" s="42"/>
      <c r="U11" s="42"/>
      <c r="V11" s="42"/>
      <c r="W11" s="288"/>
      <c r="X11" s="288"/>
      <c r="Y11" s="288"/>
      <c r="Z11" s="288"/>
      <c r="AA11" s="42"/>
    </row>
    <row r="12" spans="2:44">
      <c r="B12" s="5" t="s">
        <v>24</v>
      </c>
      <c r="C12" s="249"/>
      <c r="D12" s="533">
        <v>-220.89799999999991</v>
      </c>
      <c r="E12" s="533">
        <v>23.633768451120631</v>
      </c>
      <c r="F12" s="533">
        <v>647.17549209542915</v>
      </c>
      <c r="G12" s="533">
        <v>617.76406661734347</v>
      </c>
      <c r="H12" s="247"/>
      <c r="I12" s="247"/>
      <c r="J12" s="5" t="s">
        <v>466</v>
      </c>
      <c r="L12" s="529">
        <f>'W.EUR OTHER'!D40</f>
        <v>17.537055550367363</v>
      </c>
      <c r="M12" s="529">
        <f>'W.EUR OTHER'!E40</f>
        <v>16.571844500633869</v>
      </c>
      <c r="N12" s="529">
        <f>'W.EUR OTHER'!F40</f>
        <v>13.70048405868403</v>
      </c>
      <c r="O12" s="529">
        <f>'W.EUR OTHER'!G40</f>
        <v>11.681030567966248</v>
      </c>
      <c r="P12" s="279">
        <f>'W.EUR OTHER'!H40</f>
        <v>7.319831169942681E-2</v>
      </c>
      <c r="S12" s="88"/>
      <c r="T12" s="42"/>
      <c r="U12" s="42"/>
      <c r="V12" s="42"/>
      <c r="W12" s="288"/>
      <c r="X12" s="288"/>
      <c r="Y12" s="288"/>
      <c r="Z12" s="288"/>
      <c r="AA12" s="42"/>
    </row>
    <row r="13" spans="2:44">
      <c r="B13" s="5" t="s">
        <v>529</v>
      </c>
      <c r="C13" s="257"/>
      <c r="D13" s="533">
        <v>1401.4150623957446</v>
      </c>
      <c r="E13" s="533">
        <v>1451.3285865138637</v>
      </c>
      <c r="F13" s="533">
        <v>935.51627322377874</v>
      </c>
      <c r="G13" s="533">
        <v>908.30034725654821</v>
      </c>
      <c r="H13" s="247"/>
      <c r="I13" s="247"/>
      <c r="J13" s="5" t="s">
        <v>530</v>
      </c>
      <c r="L13" s="529">
        <f>'W.EUR OTHER'!D41</f>
        <v>0.73407860349270371</v>
      </c>
      <c r="M13" s="529">
        <f>'W.EUR OTHER'!E41</f>
        <v>0.70658465772315859</v>
      </c>
      <c r="N13" s="529">
        <f>'W.EUR OTHER'!F41</f>
        <v>0.66539496043406632</v>
      </c>
      <c r="O13" s="529">
        <f>'W.EUR OTHER'!G41</f>
        <v>0.63140864888435067</v>
      </c>
      <c r="P13" s="279">
        <f>'W.EUR OTHER'!H41</f>
        <v>-1.4479895812281707E-2</v>
      </c>
      <c r="S13" s="88"/>
      <c r="T13" s="42"/>
      <c r="U13" s="42"/>
      <c r="V13" s="42"/>
      <c r="W13" s="42"/>
      <c r="X13" s="42"/>
      <c r="Y13" s="42"/>
      <c r="Z13" s="42"/>
      <c r="AA13" s="42"/>
    </row>
    <row r="14" spans="2:44">
      <c r="B14" s="5" t="s">
        <v>532</v>
      </c>
      <c r="C14" s="257"/>
      <c r="D14" s="533">
        <v>0</v>
      </c>
      <c r="E14" s="533">
        <v>0</v>
      </c>
      <c r="F14" s="533">
        <v>0</v>
      </c>
      <c r="G14" s="533">
        <v>0</v>
      </c>
      <c r="H14" s="247"/>
      <c r="I14" s="247"/>
      <c r="J14" s="5" t="s">
        <v>593</v>
      </c>
      <c r="L14" s="529">
        <f>'W.EUR OTHER'!D42</f>
        <v>1.7744255045715212</v>
      </c>
      <c r="M14" s="529">
        <f>'W.EUR OTHER'!E42</f>
        <v>1.6143851746135043</v>
      </c>
      <c r="N14" s="529">
        <f>'W.EUR OTHER'!F42</f>
        <v>1.516251557360391</v>
      </c>
      <c r="O14" s="529">
        <f>'W.EUR OTHER'!G42</f>
        <v>1.4124281433920347</v>
      </c>
      <c r="P14" s="279">
        <f>'W.EUR OTHER'!H42</f>
        <v>1.1312273411797191E-2</v>
      </c>
      <c r="S14" s="88"/>
      <c r="T14" s="42"/>
      <c r="U14" s="42"/>
      <c r="V14" s="42"/>
      <c r="W14" s="42"/>
      <c r="X14" s="42"/>
      <c r="Y14" s="42"/>
      <c r="Z14" s="42"/>
      <c r="AA14" s="42"/>
    </row>
    <row r="15" spans="2:44">
      <c r="B15" s="5" t="s">
        <v>531</v>
      </c>
      <c r="C15" s="274"/>
      <c r="D15" s="533">
        <v>0</v>
      </c>
      <c r="E15" s="533">
        <v>0</v>
      </c>
      <c r="F15" s="533">
        <v>0</v>
      </c>
      <c r="G15" s="533">
        <v>0</v>
      </c>
      <c r="H15" s="247"/>
      <c r="I15" s="247"/>
      <c r="J15" s="5" t="s">
        <v>475</v>
      </c>
      <c r="L15" s="529">
        <f>'W.EUR OTHER'!D43</f>
        <v>16.766632642192913</v>
      </c>
      <c r="M15" s="529">
        <f>'W.EUR OTHER'!E43</f>
        <v>18.03434445713204</v>
      </c>
      <c r="N15" s="529">
        <f>'W.EUR OTHER'!F43</f>
        <v>10.571394482468753</v>
      </c>
      <c r="O15" s="529">
        <f>'W.EUR OTHER'!G43</f>
        <v>8.2021597370687243</v>
      </c>
      <c r="P15" s="279">
        <f>'W.EUR OTHER'!H43</f>
        <v>0.21960762754614027</v>
      </c>
      <c r="S15" s="88"/>
      <c r="T15" s="42"/>
      <c r="U15" s="42"/>
      <c r="V15" s="42"/>
      <c r="W15" s="42"/>
      <c r="X15" s="42"/>
      <c r="Y15" s="42"/>
      <c r="Z15" s="42"/>
      <c r="AA15" s="42"/>
    </row>
    <row r="16" spans="2:44">
      <c r="B16" s="5" t="s">
        <v>534</v>
      </c>
      <c r="C16" s="257"/>
      <c r="D16" s="533">
        <v>0</v>
      </c>
      <c r="E16" s="533">
        <v>8.8149824500000005</v>
      </c>
      <c r="F16" s="533">
        <v>17.629964900000001</v>
      </c>
      <c r="G16" s="533">
        <v>193.92961389999999</v>
      </c>
      <c r="H16" s="247"/>
      <c r="I16" s="247"/>
      <c r="J16" s="5" t="s">
        <v>533</v>
      </c>
      <c r="L16" s="529">
        <f>'W.EUR OTHER'!D44</f>
        <v>14.93276596244098</v>
      </c>
      <c r="M16" s="529">
        <f>'W.EUR OTHER'!E44</f>
        <v>11.776896223765881</v>
      </c>
      <c r="N16" s="529">
        <f>'W.EUR OTHER'!F44</f>
        <v>9.7753259947195836</v>
      </c>
      <c r="O16" s="529">
        <f>'W.EUR OTHER'!G44</f>
        <v>8.6831119730060706</v>
      </c>
      <c r="P16" s="279">
        <f>'W.EUR OTHER'!H44</f>
        <v>0.16793708979658639</v>
      </c>
      <c r="S16" s="88"/>
      <c r="T16" s="42"/>
      <c r="U16" s="42"/>
      <c r="V16" s="42"/>
      <c r="W16" s="42"/>
      <c r="X16" s="42"/>
      <c r="Y16" s="42"/>
      <c r="Z16" s="42"/>
      <c r="AA16" s="42"/>
    </row>
    <row r="17" spans="2:27">
      <c r="B17" s="5" t="s">
        <v>6</v>
      </c>
      <c r="C17" s="257"/>
      <c r="D17" s="533">
        <v>0</v>
      </c>
      <c r="E17" s="533">
        <v>0</v>
      </c>
      <c r="F17" s="533">
        <v>0</v>
      </c>
      <c r="G17" s="533">
        <v>0</v>
      </c>
      <c r="H17" s="247"/>
      <c r="I17" s="247"/>
      <c r="J17" s="5" t="s">
        <v>580</v>
      </c>
      <c r="L17" s="248">
        <f>'W.EUR OTHER'!D45</f>
        <v>7.0241435315537989E-2</v>
      </c>
      <c r="M17" s="248">
        <f>'W.EUR OTHER'!E45</f>
        <v>4.5697904024259245E-2</v>
      </c>
      <c r="N17" s="248">
        <f>'W.EUR OTHER'!F45</f>
        <v>4.7170150494817063E-2</v>
      </c>
      <c r="O17" s="248">
        <f>'W.EUR OTHER'!G45</f>
        <v>4.8241300976334903E-2</v>
      </c>
      <c r="P17" s="279">
        <f>'W.EUR OTHER'!H45</f>
        <v>-0.13991829578276849</v>
      </c>
      <c r="S17" s="88"/>
      <c r="T17" s="42"/>
      <c r="U17" s="42"/>
      <c r="V17" s="42"/>
      <c r="W17" s="42"/>
      <c r="X17" s="42"/>
      <c r="Y17" s="42"/>
      <c r="Z17" s="42"/>
      <c r="AA17" s="42"/>
    </row>
    <row r="18" spans="2:27" ht="12.6" thickBot="1">
      <c r="B18" s="41" t="s">
        <v>583</v>
      </c>
      <c r="C18" s="249"/>
      <c r="D18" s="534">
        <f>D11+D12+D13-D14+D15-D16-D17</f>
        <v>4265.7609198957443</v>
      </c>
      <c r="E18" s="534">
        <f>E11+E12+E13-E14+E15-E16-E17</f>
        <v>4551.3912300149841</v>
      </c>
      <c r="F18" s="534">
        <f>F11+F12+F13-F14+F15-F16-F17</f>
        <v>4650.3056579192071</v>
      </c>
      <c r="G18" s="534">
        <f>G11+G12+G13-G14+G15-G16-G17</f>
        <v>4417.3786574738915</v>
      </c>
      <c r="H18" s="276">
        <f>IF(D18=0,"nm",IF(G18=0,"nm",(G18/D18)^(1/3)-1))</f>
        <v>1.1709991674779596E-2</v>
      </c>
      <c r="I18" s="254"/>
      <c r="J18" s="5" t="s">
        <v>36</v>
      </c>
      <c r="L18" s="248">
        <f>'W.EUR OTHER'!D46</f>
        <v>7.0241435315537989E-2</v>
      </c>
      <c r="M18" s="248">
        <f>'W.EUR OTHER'!E46</f>
        <v>4.5697904024259245E-2</v>
      </c>
      <c r="N18" s="248">
        <f>'W.EUR OTHER'!F46</f>
        <v>4.7170150494817063E-2</v>
      </c>
      <c r="O18" s="248">
        <f>'W.EUR OTHER'!G46</f>
        <v>4.8241300976334903E-2</v>
      </c>
      <c r="P18" s="279">
        <f>'W.EUR OTHER'!H46</f>
        <v>-0.13991829578276849</v>
      </c>
      <c r="S18" s="88"/>
      <c r="T18" s="42"/>
      <c r="U18" s="42"/>
      <c r="V18" s="42"/>
      <c r="W18" s="42"/>
      <c r="X18" s="42"/>
      <c r="Y18" s="42"/>
      <c r="Z18" s="42"/>
      <c r="AA18" s="42"/>
    </row>
    <row r="19" spans="2:27" ht="12.6" thickTop="1">
      <c r="B19" s="41"/>
      <c r="C19" s="249"/>
      <c r="D19" s="229"/>
      <c r="E19" s="229"/>
      <c r="F19" s="229"/>
      <c r="G19" s="229"/>
      <c r="H19" s="276"/>
      <c r="I19" s="254"/>
      <c r="J19" s="5" t="s">
        <v>581</v>
      </c>
      <c r="L19" s="248">
        <f>'W.EUR OTHER'!D47</f>
        <v>5.9642268148913748E-2</v>
      </c>
      <c r="M19" s="248">
        <f>'W.EUR OTHER'!E47</f>
        <v>5.5449756012868556E-2</v>
      </c>
      <c r="N19" s="248">
        <f>'W.EUR OTHER'!F47</f>
        <v>9.4594899628271986E-2</v>
      </c>
      <c r="O19" s="248">
        <f>'W.EUR OTHER'!G47</f>
        <v>0.12191910814423843</v>
      </c>
      <c r="P19" s="279">
        <f>'W.EUR OTHER'!H47</f>
        <v>0.21960762754614027</v>
      </c>
      <c r="S19" s="88"/>
      <c r="T19" s="42"/>
      <c r="U19" s="42"/>
      <c r="V19" s="42"/>
      <c r="W19" s="42"/>
      <c r="X19" s="42"/>
      <c r="Y19" s="42"/>
      <c r="Z19" s="42"/>
      <c r="AA19" s="42"/>
    </row>
    <row r="20" spans="2:27">
      <c r="H20" s="277"/>
      <c r="I20" s="17"/>
      <c r="J20" s="5" t="s">
        <v>604</v>
      </c>
      <c r="L20" s="305">
        <f>'W.EUR OTHER'!D48</f>
        <v>1.1058218246883247</v>
      </c>
      <c r="M20" s="305">
        <f>'W.EUR OTHER'!E48</f>
        <v>0.7720587558994737</v>
      </c>
      <c r="N20" s="305">
        <f>'W.EUR OTHER'!F48</f>
        <v>0.47387935381738827</v>
      </c>
      <c r="O20" s="305">
        <f>'W.EUR OTHER'!G48</f>
        <v>0.38783222312893756</v>
      </c>
      <c r="P20" s="279" t="str">
        <f>'W.EUR OTHER'!H48</f>
        <v>nm</v>
      </c>
      <c r="S20" s="88"/>
      <c r="T20" s="42"/>
      <c r="U20" s="42"/>
      <c r="V20" s="42"/>
      <c r="W20" s="42"/>
      <c r="X20" s="42"/>
      <c r="Y20" s="42"/>
      <c r="Z20" s="42"/>
      <c r="AA20" s="42"/>
    </row>
    <row r="21" spans="2:27" ht="12.6" thickBot="1">
      <c r="B21" s="306" t="s">
        <v>936</v>
      </c>
      <c r="C21" s="265"/>
      <c r="D21" s="265" t="str">
        <f>D5</f>
        <v>2023E</v>
      </c>
      <c r="E21" s="265" t="str">
        <f t="shared" ref="E21:H21" si="2">E5</f>
        <v>2024E</v>
      </c>
      <c r="F21" s="265" t="str">
        <f t="shared" si="2"/>
        <v>2025E</v>
      </c>
      <c r="G21" s="265" t="str">
        <f t="shared" si="2"/>
        <v>2026E</v>
      </c>
      <c r="H21" s="265" t="str">
        <f t="shared" si="2"/>
        <v>23E-26E</v>
      </c>
      <c r="I21" s="49"/>
      <c r="J21" s="41"/>
      <c r="L21" s="251"/>
      <c r="M21" s="251"/>
      <c r="N21" s="251"/>
      <c r="O21" s="251"/>
      <c r="P21" s="18"/>
      <c r="S21" s="88"/>
      <c r="T21" s="42"/>
      <c r="U21" s="42"/>
      <c r="V21" s="42"/>
      <c r="W21" s="42"/>
      <c r="X21" s="42"/>
      <c r="Y21" s="42"/>
      <c r="Z21" s="42"/>
      <c r="AA21" s="42"/>
    </row>
    <row r="22" spans="2:27" ht="12.6" thickTop="1">
      <c r="B22" s="5"/>
      <c r="C22" s="257"/>
      <c r="D22" s="17"/>
      <c r="E22" s="17"/>
      <c r="F22" s="17"/>
      <c r="G22" s="17"/>
      <c r="H22" s="17"/>
      <c r="I22" s="17"/>
      <c r="P22" s="277"/>
      <c r="S22" s="88"/>
      <c r="T22" s="42"/>
      <c r="U22" s="42"/>
      <c r="V22" s="42"/>
      <c r="W22" s="42"/>
      <c r="X22" s="42"/>
      <c r="Y22" s="42"/>
      <c r="Z22" s="42"/>
      <c r="AA22" s="42"/>
    </row>
    <row r="23" spans="2:27" ht="12.6" thickBot="1">
      <c r="B23" s="5" t="s">
        <v>584</v>
      </c>
      <c r="C23" s="548">
        <v>4096.701</v>
      </c>
      <c r="D23" s="533">
        <v>4220.1147592799016</v>
      </c>
      <c r="E23" s="533">
        <v>4331.4284806690994</v>
      </c>
      <c r="F23" s="533">
        <v>4412.9810071349457</v>
      </c>
      <c r="G23" s="533">
        <v>4487.4724208849457</v>
      </c>
      <c r="H23" s="279">
        <f>IF(D23=0,"nm",IF(G23=0,"nm",(G23/D23)^(1/3)-1))</f>
        <v>2.0686828607944685E-2</v>
      </c>
      <c r="I23" s="247"/>
      <c r="J23" s="306" t="s">
        <v>9</v>
      </c>
      <c r="K23" s="306"/>
      <c r="L23" s="265" t="str">
        <f>D21</f>
        <v>2023E</v>
      </c>
      <c r="M23" s="265" t="str">
        <f t="shared" ref="M23:P23" si="3">E21</f>
        <v>2024E</v>
      </c>
      <c r="N23" s="265" t="str">
        <f t="shared" si="3"/>
        <v>2025E</v>
      </c>
      <c r="O23" s="265" t="str">
        <f t="shared" si="3"/>
        <v>2026E</v>
      </c>
      <c r="P23" s="265" t="str">
        <f t="shared" si="3"/>
        <v>23E-26E</v>
      </c>
      <c r="S23" s="88"/>
      <c r="T23" s="42"/>
      <c r="U23" s="42"/>
      <c r="V23" s="42"/>
      <c r="W23" s="42"/>
      <c r="X23" s="42"/>
      <c r="Y23" s="42"/>
      <c r="Z23" s="42"/>
      <c r="AA23" s="42"/>
    </row>
    <row r="24" spans="2:27" ht="12.6" thickTop="1">
      <c r="B24" s="5" t="s">
        <v>483</v>
      </c>
      <c r="C24" s="549">
        <v>678.64400000000001</v>
      </c>
      <c r="D24" s="533">
        <v>633.97299999999996</v>
      </c>
      <c r="E24" s="533">
        <v>676.5368796845172</v>
      </c>
      <c r="F24" s="533">
        <v>716.47881517867393</v>
      </c>
      <c r="G24" s="533">
        <v>769.36991289912805</v>
      </c>
      <c r="H24" s="279">
        <f>IF(D24=0,"nm",IF(G24=0,"nm",(G24/D24)^(1/3)-1))</f>
        <v>6.6648872942429715E-2</v>
      </c>
      <c r="I24" s="249"/>
      <c r="J24" s="17"/>
      <c r="K24" s="17"/>
      <c r="L24" s="17"/>
      <c r="M24" s="17"/>
      <c r="N24" s="17"/>
      <c r="O24" s="248"/>
      <c r="S24" s="88"/>
      <c r="T24" s="42"/>
      <c r="U24" s="42"/>
      <c r="V24" s="42"/>
      <c r="W24" s="42" t="s">
        <v>897</v>
      </c>
      <c r="X24" s="42" t="s">
        <v>904</v>
      </c>
      <c r="Y24" s="42"/>
      <c r="Z24" s="42"/>
      <c r="AA24" s="42"/>
    </row>
    <row r="25" spans="2:27">
      <c r="B25" s="5" t="s">
        <v>183</v>
      </c>
      <c r="C25" s="548">
        <v>428.87400000000002</v>
      </c>
      <c r="D25" s="533">
        <v>334.90499999999997</v>
      </c>
      <c r="E25" s="533">
        <v>296.5368796845172</v>
      </c>
      <c r="F25" s="533">
        <v>367.29538422803114</v>
      </c>
      <c r="G25" s="533">
        <v>432.2179208837249</v>
      </c>
      <c r="H25" s="279">
        <f>IF(D25=0,"nm",IF(G25=0,"nm",(G25/D25)^(1/3)-1))</f>
        <v>8.8747187570624275E-2</v>
      </c>
      <c r="I25" s="248"/>
      <c r="J25" s="247" t="s">
        <v>10</v>
      </c>
      <c r="K25" s="247"/>
      <c r="L25" s="321">
        <v>1401.4150623957446</v>
      </c>
      <c r="M25" s="321">
        <v>1451.3285865138637</v>
      </c>
      <c r="N25" s="321">
        <v>935.51627322377874</v>
      </c>
      <c r="O25" s="321">
        <v>908.30034725654821</v>
      </c>
      <c r="P25" s="279">
        <f>IF(L25=0,"nm",IF(O25=0,"nm",(O25/L25)^(1/3)-1))</f>
        <v>-0.13459201162526258</v>
      </c>
      <c r="S25" s="88"/>
      <c r="T25" s="42"/>
      <c r="U25" s="42"/>
      <c r="V25" s="147" t="s">
        <v>273</v>
      </c>
      <c r="W25" s="288">
        <f>D37/L9</f>
        <v>0.62175760385829859</v>
      </c>
      <c r="X25" s="288">
        <v>1</v>
      </c>
      <c r="Y25" s="42"/>
      <c r="Z25" s="42"/>
      <c r="AA25" s="42"/>
    </row>
    <row r="26" spans="2:27">
      <c r="B26" s="5" t="s">
        <v>586</v>
      </c>
      <c r="C26" s="548">
        <v>298.06743000000006</v>
      </c>
      <c r="D26" s="533">
        <v>232.75897499999999</v>
      </c>
      <c r="E26" s="533">
        <v>206.09313138073946</v>
      </c>
      <c r="F26" s="533">
        <v>255.27029203848167</v>
      </c>
      <c r="G26" s="533">
        <v>300.39145501418881</v>
      </c>
      <c r="H26" s="279">
        <f>IF(D26=0,"nm",IF(G26=0,"nm",(G26/D26)^(1/3)-1))</f>
        <v>8.8747187570624275E-2</v>
      </c>
      <c r="I26" s="249"/>
      <c r="J26" s="249" t="s">
        <v>11</v>
      </c>
      <c r="K26" s="249"/>
      <c r="L26" s="281">
        <f>D11+L25</f>
        <v>4486.6589198957445</v>
      </c>
      <c r="M26" s="281">
        <f>E11+M25</f>
        <v>4536.5724440138638</v>
      </c>
      <c r="N26" s="281">
        <f>F11+N25</f>
        <v>4020.7601307237783</v>
      </c>
      <c r="O26" s="281">
        <f>G11+O25</f>
        <v>3993.544204756548</v>
      </c>
      <c r="P26" s="279">
        <f>IF(L26=0,"nm",IF(O26=0,"nm",(O26/L26)^(1/3)-1))</f>
        <v>-3.8066284482317858E-2</v>
      </c>
      <c r="Q26" s="5"/>
      <c r="S26" s="88"/>
      <c r="T26" s="42"/>
      <c r="U26" s="42"/>
      <c r="V26" s="147" t="s">
        <v>184</v>
      </c>
      <c r="W26" s="288">
        <f t="shared" ref="W26:W33" si="4">D38/L10</f>
        <v>1.274473655983213</v>
      </c>
      <c r="X26" s="288">
        <v>1</v>
      </c>
      <c r="Y26" s="42"/>
      <c r="Z26" s="42"/>
      <c r="AA26" s="42"/>
    </row>
    <row r="27" spans="2:27">
      <c r="B27" s="5" t="s">
        <v>587</v>
      </c>
      <c r="C27" s="549">
        <v>5133.6369999999997</v>
      </c>
      <c r="D27" s="533">
        <v>5666.1759999999995</v>
      </c>
      <c r="E27" s="533">
        <v>6227.5951393818605</v>
      </c>
      <c r="F27" s="533">
        <v>7168.1749652591707</v>
      </c>
      <c r="G27" s="533">
        <v>7264.523264215667</v>
      </c>
      <c r="H27" s="279">
        <f>IF(ISERROR((G27/D27)^(1/3)-1),"na",(G27/D27)^(1/3)-1)</f>
        <v>8.6356464154934365E-2</v>
      </c>
      <c r="I27" s="249"/>
      <c r="J27" s="248"/>
      <c r="K27" s="248"/>
      <c r="L27" s="248"/>
      <c r="M27" s="248"/>
      <c r="N27" s="248"/>
      <c r="O27" s="248"/>
      <c r="Q27" s="41"/>
      <c r="S27" s="88"/>
      <c r="T27" s="42"/>
      <c r="U27" s="42"/>
      <c r="V27" s="147" t="s">
        <v>185</v>
      </c>
      <c r="W27" s="288">
        <f t="shared" si="4"/>
        <v>1.0000814418481925</v>
      </c>
      <c r="X27" s="288">
        <v>1</v>
      </c>
      <c r="Y27" s="42"/>
      <c r="Z27" s="42"/>
      <c r="AA27" s="42"/>
    </row>
    <row r="28" spans="2:27" ht="12.6" thickBot="1">
      <c r="B28" s="5" t="s">
        <v>592</v>
      </c>
      <c r="C28" s="548">
        <v>1853.1959999999999</v>
      </c>
      <c r="D28" s="533">
        <v>2061.1729999999998</v>
      </c>
      <c r="E28" s="533">
        <v>2470.2187644002065</v>
      </c>
      <c r="F28" s="533">
        <v>3619.0020346755628</v>
      </c>
      <c r="G28" s="533">
        <v>3960.3541624563431</v>
      </c>
      <c r="H28" s="279">
        <f>IF(ISERROR((G28/D28)^(1/3)-1),"na",(G28/D28)^(1/3)-1)</f>
        <v>0.24319673292305488</v>
      </c>
      <c r="I28" s="248"/>
      <c r="J28" s="306" t="s">
        <v>1362</v>
      </c>
      <c r="K28" s="306"/>
      <c r="L28" s="306"/>
      <c r="M28" s="306"/>
      <c r="N28" s="266"/>
      <c r="O28" s="266"/>
      <c r="P28" s="266"/>
      <c r="Q28" s="5"/>
      <c r="S28" s="88"/>
      <c r="T28" s="42"/>
      <c r="U28" s="42"/>
      <c r="V28" s="147" t="s">
        <v>466</v>
      </c>
      <c r="W28" s="288">
        <f t="shared" si="4"/>
        <v>1.0450411638780948</v>
      </c>
      <c r="X28" s="288">
        <v>1</v>
      </c>
      <c r="Y28" s="42"/>
      <c r="Z28" s="42"/>
      <c r="AA28" s="42"/>
    </row>
    <row r="29" spans="2:27" ht="12.6" thickTop="1">
      <c r="B29" s="5" t="s">
        <v>588</v>
      </c>
      <c r="C29" s="548">
        <v>-115.452</v>
      </c>
      <c r="D29" s="533">
        <v>-125.28300000000007</v>
      </c>
      <c r="E29" s="533">
        <v>-174.45078600112055</v>
      </c>
      <c r="F29" s="533">
        <v>265.27325880569151</v>
      </c>
      <c r="G29" s="533">
        <v>333.71107447808566</v>
      </c>
      <c r="H29" s="279">
        <f>IF(D29=0,"nm",IF(G29=0,"nm",(G29/D29)^(1/3)-1))</f>
        <v>-2.3862008420308625</v>
      </c>
      <c r="I29" s="252"/>
      <c r="J29" s="249"/>
      <c r="K29" s="249"/>
      <c r="L29" s="249"/>
      <c r="M29" s="249"/>
      <c r="N29" s="249"/>
      <c r="O29" s="251"/>
      <c r="Q29" s="5"/>
      <c r="S29" s="88"/>
      <c r="T29" s="42"/>
      <c r="U29" s="42"/>
      <c r="V29" s="147" t="s">
        <v>530</v>
      </c>
      <c r="W29" s="288">
        <f t="shared" si="4"/>
        <v>1.0255666394243126</v>
      </c>
      <c r="X29" s="288">
        <v>1</v>
      </c>
      <c r="Y29" s="42"/>
      <c r="Z29" s="42"/>
      <c r="AA29" s="42"/>
    </row>
    <row r="30" spans="2:27">
      <c r="B30" s="5" t="s">
        <v>589</v>
      </c>
      <c r="C30" s="549">
        <v>367.32799999999997</v>
      </c>
      <c r="D30" s="533">
        <v>314.95</v>
      </c>
      <c r="E30" s="533">
        <v>325.70235338073945</v>
      </c>
      <c r="F30" s="533">
        <v>325.85308468300195</v>
      </c>
      <c r="G30" s="533">
        <v>302.05937343458095</v>
      </c>
      <c r="H30" s="279">
        <f>IF(D30=0,"nm",IF(G30=0,"nm",(G30/D30)^(1/3)-1))</f>
        <v>-1.3833524202328418E-2</v>
      </c>
      <c r="I30" s="254"/>
      <c r="J30" s="248"/>
      <c r="K30" s="248"/>
      <c r="L30" s="248"/>
      <c r="M30" s="248"/>
      <c r="N30" s="248"/>
      <c r="O30" s="5"/>
      <c r="Q30" s="5"/>
      <c r="S30" s="88"/>
      <c r="T30" s="42"/>
      <c r="U30" s="42"/>
      <c r="V30" s="147" t="s">
        <v>593</v>
      </c>
      <c r="W30" s="288">
        <f t="shared" si="4"/>
        <v>1.166337650223725</v>
      </c>
      <c r="X30" s="288">
        <v>1</v>
      </c>
      <c r="Y30" s="42"/>
      <c r="Z30" s="42"/>
      <c r="AA30" s="42"/>
    </row>
    <row r="31" spans="2:27">
      <c r="B31" s="5" t="s">
        <v>590</v>
      </c>
      <c r="C31" s="549">
        <v>8.8149824500000005</v>
      </c>
      <c r="D31" s="533">
        <v>8.8149824500000005</v>
      </c>
      <c r="E31" s="533">
        <v>8.8149824500000005</v>
      </c>
      <c r="F31" s="533">
        <v>176.29964899999999</v>
      </c>
      <c r="G31" s="533">
        <v>176.29964899999999</v>
      </c>
      <c r="H31" s="279">
        <f>IF(D31=0,"nm",IF(G31=0,"nm",(G31/D31)^(1/3)-1))</f>
        <v>1.7144176165949063</v>
      </c>
      <c r="I31" s="254"/>
      <c r="J31" s="252"/>
      <c r="K31" s="252"/>
      <c r="L31" s="252"/>
      <c r="M31" s="252"/>
      <c r="N31" s="252"/>
      <c r="O31" s="5"/>
      <c r="Q31" s="5"/>
      <c r="S31" s="88"/>
      <c r="T31" s="42"/>
      <c r="U31" s="42"/>
      <c r="V31" s="147" t="s">
        <v>902</v>
      </c>
      <c r="W31" s="288">
        <f t="shared" si="4"/>
        <v>-2.1359203913790186</v>
      </c>
      <c r="X31" s="288">
        <v>1</v>
      </c>
      <c r="Y31" s="42"/>
      <c r="Z31" s="42"/>
      <c r="AA31" s="42"/>
    </row>
    <row r="32" spans="2:27">
      <c r="B32" s="5" t="s">
        <v>606</v>
      </c>
      <c r="C32" s="550">
        <v>0</v>
      </c>
      <c r="D32" s="533">
        <v>0</v>
      </c>
      <c r="E32" s="533">
        <v>0</v>
      </c>
      <c r="F32" s="533">
        <v>0</v>
      </c>
      <c r="G32" s="533">
        <v>0</v>
      </c>
      <c r="H32" s="279" t="str">
        <f>IF(D32=0,"nm",IF(G32=0,"nm",(G32/D32)^(1/3)-1))</f>
        <v>nm</v>
      </c>
      <c r="I32" s="254"/>
      <c r="J32" s="254"/>
      <c r="K32" s="254"/>
      <c r="L32" s="254"/>
      <c r="M32" s="254"/>
      <c r="N32" s="254"/>
      <c r="O32" s="251"/>
      <c r="Q32" s="5"/>
      <c r="S32" s="88"/>
      <c r="T32" s="42"/>
      <c r="U32" s="42"/>
      <c r="V32" s="147" t="s">
        <v>533</v>
      </c>
      <c r="W32" s="288">
        <f t="shared" si="4"/>
        <v>0.65600571833254262</v>
      </c>
      <c r="X32" s="288">
        <v>1</v>
      </c>
      <c r="Y32" s="42"/>
      <c r="Z32" s="42"/>
      <c r="AA32" s="42"/>
    </row>
    <row r="33" spans="2:27">
      <c r="B33" s="5" t="s">
        <v>5</v>
      </c>
      <c r="C33" s="549">
        <v>3.3540000000000001</v>
      </c>
      <c r="D33" s="533">
        <v>-9.0649999999999977</v>
      </c>
      <c r="E33" s="533">
        <v>0.40072520748799967</v>
      </c>
      <c r="F33" s="533">
        <v>16.072298418396034</v>
      </c>
      <c r="G33" s="533">
        <v>50.053208248406655</v>
      </c>
      <c r="H33" s="279">
        <f>IF(ISERROR((G33/D33)^(1/3)-1),"na",(G33/D33)^(1/3)-1)</f>
        <v>-2.7674807956285696</v>
      </c>
      <c r="I33" s="5"/>
      <c r="J33" s="254"/>
      <c r="K33" s="254"/>
      <c r="L33" s="254"/>
      <c r="M33" s="254"/>
      <c r="N33" s="254"/>
      <c r="O33" s="251"/>
      <c r="Q33" s="5"/>
      <c r="S33" s="88"/>
      <c r="T33" s="42"/>
      <c r="U33" s="42"/>
      <c r="V33" s="147" t="s">
        <v>580</v>
      </c>
      <c r="W33" s="288">
        <f t="shared" si="4"/>
        <v>4.067603180812044E-2</v>
      </c>
      <c r="X33" s="288">
        <v>1</v>
      </c>
      <c r="Y33" s="42"/>
      <c r="Z33" s="42"/>
      <c r="AA33" s="42"/>
    </row>
    <row r="34" spans="2:27">
      <c r="D34" s="5"/>
      <c r="E34" s="5"/>
      <c r="F34" s="5"/>
      <c r="G34" s="5"/>
      <c r="I34" s="49"/>
      <c r="J34" s="254"/>
      <c r="K34" s="254"/>
      <c r="L34" s="254"/>
      <c r="M34" s="254"/>
      <c r="N34" s="254"/>
      <c r="O34" s="251"/>
      <c r="Q34" s="5"/>
      <c r="S34" s="88"/>
      <c r="T34" s="42"/>
      <c r="U34" s="42"/>
      <c r="V34" s="147" t="s">
        <v>145</v>
      </c>
      <c r="W34" s="288">
        <f>D47/L19</f>
        <v>-0.46818224313798884</v>
      </c>
      <c r="X34" s="288">
        <v>1</v>
      </c>
      <c r="Y34" s="288"/>
      <c r="Z34" s="288"/>
      <c r="AA34" s="42"/>
    </row>
    <row r="35" spans="2:27" ht="12.6" thickBot="1">
      <c r="B35" s="306" t="s">
        <v>905</v>
      </c>
      <c r="C35" s="265"/>
      <c r="D35" s="265" t="str">
        <f>D5</f>
        <v>2023E</v>
      </c>
      <c r="E35" s="265" t="str">
        <f t="shared" ref="E35:H35" si="5">E5</f>
        <v>2024E</v>
      </c>
      <c r="F35" s="265" t="str">
        <f t="shared" si="5"/>
        <v>2025E</v>
      </c>
      <c r="G35" s="265" t="str">
        <f t="shared" si="5"/>
        <v>2026E</v>
      </c>
      <c r="H35" s="265" t="str">
        <f t="shared" si="5"/>
        <v>23E-26E</v>
      </c>
      <c r="I35" s="254"/>
      <c r="J35" s="5"/>
      <c r="K35" s="5"/>
      <c r="L35" s="5"/>
      <c r="M35" s="5"/>
      <c r="N35" s="5"/>
      <c r="O35" s="5"/>
      <c r="Q35" s="5"/>
      <c r="S35" s="88"/>
      <c r="T35" s="42"/>
      <c r="U35" s="42"/>
      <c r="V35" s="42"/>
      <c r="W35" s="42"/>
      <c r="X35" s="42"/>
      <c r="Y35" s="288"/>
      <c r="Z35" s="288"/>
      <c r="AA35" s="42"/>
    </row>
    <row r="36" spans="2:27" ht="12.6" thickTop="1">
      <c r="B36" s="41"/>
      <c r="C36" s="249"/>
      <c r="D36" s="254"/>
      <c r="E36" s="254"/>
      <c r="F36" s="254"/>
      <c r="G36" s="254"/>
      <c r="H36" s="254"/>
      <c r="I36" s="17"/>
      <c r="J36" s="49"/>
      <c r="K36" s="49"/>
      <c r="L36" s="49"/>
      <c r="M36" s="49"/>
      <c r="N36" s="49"/>
      <c r="O36" s="49"/>
      <c r="Q36" s="5"/>
      <c r="S36" s="88"/>
      <c r="T36" s="42"/>
      <c r="U36" s="42"/>
      <c r="V36" s="42"/>
      <c r="W36" s="42"/>
      <c r="X36" s="42"/>
      <c r="Y36" s="288"/>
      <c r="Z36" s="288"/>
      <c r="AA36" s="42"/>
    </row>
    <row r="37" spans="2:27">
      <c r="B37" s="5" t="s">
        <v>273</v>
      </c>
      <c r="C37" s="247"/>
      <c r="D37" s="529">
        <f>D$18/D23</f>
        <v>1.0108163315974923</v>
      </c>
      <c r="E37" s="529">
        <f t="shared" ref="E37:G41" si="6">E$18/E23</f>
        <v>1.0507829577072703</v>
      </c>
      <c r="F37" s="529">
        <f t="shared" si="6"/>
        <v>1.0537787609782487</v>
      </c>
      <c r="G37" s="529">
        <f t="shared" si="6"/>
        <v>0.98438012385662055</v>
      </c>
      <c r="H37" s="17">
        <f t="shared" ref="H37:H45" si="7">H23</f>
        <v>2.0686828607944685E-2</v>
      </c>
      <c r="I37" s="5"/>
      <c r="J37" s="259"/>
      <c r="K37" s="259"/>
      <c r="L37" s="259"/>
      <c r="M37" s="259"/>
      <c r="N37" s="259"/>
      <c r="O37" s="18"/>
      <c r="Q37" s="5"/>
      <c r="R37" s="5"/>
      <c r="S37" s="42"/>
      <c r="T37" s="42"/>
      <c r="U37" s="42"/>
      <c r="V37" s="42"/>
      <c r="W37" s="42"/>
      <c r="X37" s="42"/>
      <c r="Y37" s="42"/>
      <c r="Z37" s="42"/>
      <c r="AA37" s="42"/>
    </row>
    <row r="38" spans="2:27">
      <c r="B38" s="5" t="s">
        <v>184</v>
      </c>
      <c r="C38" s="247"/>
      <c r="D38" s="529">
        <f>D$18/D24</f>
        <v>6.7286160765454435</v>
      </c>
      <c r="E38" s="529">
        <f t="shared" si="6"/>
        <v>6.7274842904904011</v>
      </c>
      <c r="F38" s="529">
        <f t="shared" si="6"/>
        <v>6.4904998715970743</v>
      </c>
      <c r="G38" s="529">
        <f t="shared" si="6"/>
        <v>5.7415536836219552</v>
      </c>
      <c r="H38" s="17">
        <f t="shared" si="7"/>
        <v>6.6648872942429715E-2</v>
      </c>
      <c r="I38" s="259"/>
      <c r="J38" s="17"/>
      <c r="K38" s="17"/>
      <c r="L38" s="17"/>
      <c r="M38" s="17"/>
      <c r="N38" s="17"/>
      <c r="O38" s="5"/>
      <c r="Q38" s="5"/>
      <c r="R38" s="5"/>
      <c r="S38" s="42"/>
      <c r="T38" s="42"/>
      <c r="U38" s="42"/>
      <c r="V38" s="42"/>
      <c r="W38" s="42"/>
      <c r="X38" s="42"/>
      <c r="Y38" s="42"/>
      <c r="Z38" s="42"/>
      <c r="AA38" s="42"/>
    </row>
    <row r="39" spans="2:27">
      <c r="B39" s="5" t="s">
        <v>185</v>
      </c>
      <c r="C39" s="247"/>
      <c r="D39" s="529">
        <f>D$18/D25</f>
        <v>12.737226735628745</v>
      </c>
      <c r="E39" s="529">
        <f t="shared" si="6"/>
        <v>15.348482909974525</v>
      </c>
      <c r="F39" s="529">
        <f t="shared" si="6"/>
        <v>12.660942275909784</v>
      </c>
      <c r="G39" s="529">
        <f t="shared" si="6"/>
        <v>10.220257985698499</v>
      </c>
      <c r="H39" s="17">
        <f t="shared" si="7"/>
        <v>8.8747187570624275E-2</v>
      </c>
      <c r="I39" s="17"/>
      <c r="J39" s="5"/>
      <c r="K39" s="5"/>
      <c r="L39" s="5"/>
      <c r="M39" s="5"/>
      <c r="N39" s="5"/>
      <c r="O39" s="5"/>
      <c r="Q39" s="5"/>
      <c r="R39" s="5"/>
      <c r="S39" s="42"/>
      <c r="T39" s="42"/>
      <c r="U39" s="42"/>
      <c r="V39" s="42"/>
      <c r="W39" s="42"/>
      <c r="X39" s="42"/>
      <c r="Y39" s="42"/>
      <c r="Z39" s="42"/>
      <c r="AA39" s="42"/>
    </row>
    <row r="40" spans="2:27">
      <c r="B40" s="5" t="s">
        <v>466</v>
      </c>
      <c r="C40" s="247"/>
      <c r="D40" s="529">
        <f>D$18/D26</f>
        <v>18.326944943350711</v>
      </c>
      <c r="E40" s="529">
        <f t="shared" si="6"/>
        <v>22.084148071905791</v>
      </c>
      <c r="F40" s="529">
        <f t="shared" si="6"/>
        <v>18.217183130805441</v>
      </c>
      <c r="G40" s="529">
        <f t="shared" si="6"/>
        <v>14.705407173666906</v>
      </c>
      <c r="H40" s="17">
        <f t="shared" si="7"/>
        <v>8.8747187570624275E-2</v>
      </c>
      <c r="I40" s="5"/>
      <c r="J40" s="259"/>
      <c r="K40" s="259"/>
      <c r="L40" s="259"/>
      <c r="M40" s="259"/>
      <c r="N40" s="259"/>
      <c r="O40" s="18"/>
      <c r="Q40" s="5"/>
      <c r="R40" s="5"/>
      <c r="S40" s="42"/>
      <c r="T40" s="42"/>
      <c r="U40" s="42"/>
      <c r="V40" s="42"/>
      <c r="W40" s="288"/>
      <c r="X40" s="288"/>
      <c r="Y40" s="42"/>
      <c r="Z40" s="42"/>
      <c r="AA40" s="42"/>
    </row>
    <row r="41" spans="2:27">
      <c r="B41" s="5" t="s">
        <v>530</v>
      </c>
      <c r="C41" s="247"/>
      <c r="D41" s="529">
        <f>D$18/D27</f>
        <v>0.75284652645730465</v>
      </c>
      <c r="E41" s="529">
        <f t="shared" si="6"/>
        <v>0.73084250471470869</v>
      </c>
      <c r="F41" s="529">
        <f t="shared" si="6"/>
        <v>0.6487433245501244</v>
      </c>
      <c r="G41" s="529">
        <f t="shared" si="6"/>
        <v>0.60807550568851065</v>
      </c>
      <c r="H41" s="17">
        <f t="shared" si="7"/>
        <v>8.6356464154934365E-2</v>
      </c>
      <c r="I41" s="247"/>
      <c r="J41" s="17"/>
      <c r="K41" s="17"/>
      <c r="L41" s="17"/>
      <c r="M41" s="17"/>
      <c r="N41" s="17"/>
      <c r="O41" s="5"/>
      <c r="Q41" s="5"/>
      <c r="R41" s="5"/>
      <c r="S41" s="42"/>
      <c r="T41" s="42"/>
      <c r="U41" s="42"/>
      <c r="V41" s="42"/>
      <c r="W41" s="288"/>
      <c r="X41" s="288"/>
      <c r="Y41" s="288"/>
      <c r="Z41" s="288"/>
      <c r="AA41" s="42"/>
    </row>
    <row r="42" spans="2:27">
      <c r="B42" s="5" t="s">
        <v>593</v>
      </c>
      <c r="C42" s="247"/>
      <c r="D42" s="529">
        <f>D18/D28</f>
        <v>2.0695792734989955</v>
      </c>
      <c r="E42" s="529">
        <f>E18/E28</f>
        <v>1.8425053260900586</v>
      </c>
      <c r="F42" s="529">
        <f>F18/F28</f>
        <v>1.2849690642232807</v>
      </c>
      <c r="G42" s="529">
        <f>G18/G28</f>
        <v>1.1153999052281947</v>
      </c>
      <c r="H42" s="17">
        <f t="shared" si="7"/>
        <v>0.24319673292305488</v>
      </c>
      <c r="I42" s="248"/>
      <c r="J42" s="5"/>
      <c r="K42" s="5"/>
      <c r="L42" s="5"/>
      <c r="M42" s="5"/>
      <c r="N42" s="5"/>
      <c r="O42" s="5"/>
      <c r="Q42" s="5"/>
      <c r="R42" s="5"/>
      <c r="S42" s="42"/>
      <c r="T42" s="42"/>
      <c r="U42" s="42"/>
      <c r="V42" s="42"/>
      <c r="W42" s="288"/>
      <c r="X42" s="288"/>
      <c r="Y42" s="288"/>
      <c r="Z42" s="288"/>
      <c r="AA42" s="42"/>
    </row>
    <row r="43" spans="2:27">
      <c r="B43" s="5" t="s">
        <v>475</v>
      </c>
      <c r="C43" s="247"/>
      <c r="D43" s="529">
        <f>L26/D29</f>
        <v>-35.812192555220918</v>
      </c>
      <c r="E43" s="529">
        <f>M26/E29</f>
        <v>-26.004883944660037</v>
      </c>
      <c r="F43" s="529">
        <f>N26/F29</f>
        <v>15.157050314177811</v>
      </c>
      <c r="G43" s="529">
        <f>O26/G29</f>
        <v>11.967071248691203</v>
      </c>
      <c r="H43" s="17">
        <f t="shared" si="7"/>
        <v>-2.3862008420308625</v>
      </c>
      <c r="I43" s="247"/>
      <c r="J43" s="247"/>
      <c r="K43" s="247"/>
      <c r="L43" s="247"/>
      <c r="M43" s="247"/>
      <c r="N43" s="247"/>
      <c r="O43" s="18"/>
      <c r="Q43" s="5"/>
      <c r="R43" s="5"/>
      <c r="S43" s="42"/>
      <c r="T43" s="42"/>
      <c r="U43" s="42"/>
      <c r="V43" s="42"/>
      <c r="W43" s="288"/>
      <c r="X43" s="288"/>
      <c r="Y43" s="288"/>
      <c r="Z43" s="288"/>
      <c r="AA43" s="42"/>
    </row>
    <row r="44" spans="2:27">
      <c r="B44" s="5" t="s">
        <v>533</v>
      </c>
      <c r="C44" s="69"/>
      <c r="D44" s="529">
        <f>D11/D30</f>
        <v>9.795979861882838</v>
      </c>
      <c r="E44" s="529">
        <f>E11/E30</f>
        <v>9.4725869355122896</v>
      </c>
      <c r="F44" s="529">
        <f>F11/F30</f>
        <v>9.4682051590869616</v>
      </c>
      <c r="G44" s="529">
        <f>G11/G30</f>
        <v>10.214031176781845</v>
      </c>
      <c r="H44" s="17">
        <f t="shared" si="7"/>
        <v>-1.3833524202328418E-2</v>
      </c>
      <c r="I44" s="247"/>
      <c r="J44" s="248"/>
      <c r="K44" s="248"/>
      <c r="L44" s="248"/>
      <c r="M44" s="248"/>
      <c r="N44" s="248"/>
      <c r="O44" s="248"/>
      <c r="Q44" s="5"/>
      <c r="R44" s="5"/>
      <c r="S44" s="42"/>
      <c r="T44" s="42"/>
      <c r="U44" s="42"/>
      <c r="V44" s="42"/>
      <c r="W44" s="325"/>
      <c r="X44" s="325"/>
      <c r="Y44" s="288"/>
      <c r="Z44" s="288"/>
      <c r="AA44" s="42"/>
    </row>
    <row r="45" spans="2:27">
      <c r="B45" s="5" t="s">
        <v>580</v>
      </c>
      <c r="C45" s="247"/>
      <c r="D45" s="248">
        <f>D31/D11</f>
        <v>2.8571428571428576E-3</v>
      </c>
      <c r="E45" s="248">
        <f>E31/E11</f>
        <v>2.8571428571428576E-3</v>
      </c>
      <c r="F45" s="248">
        <f>F31/F11</f>
        <v>5.7142857142857148E-2</v>
      </c>
      <c r="G45" s="248">
        <f>G31/G11</f>
        <v>5.7142857142857148E-2</v>
      </c>
      <c r="H45" s="17">
        <f t="shared" si="7"/>
        <v>1.7144176165949063</v>
      </c>
      <c r="I45" s="248"/>
      <c r="J45" s="247"/>
      <c r="K45" s="247"/>
      <c r="L45" s="247"/>
      <c r="M45" s="247"/>
      <c r="N45" s="247"/>
      <c r="O45" s="248"/>
      <c r="Q45" s="5"/>
      <c r="R45" s="5"/>
      <c r="S45" s="42"/>
      <c r="T45" s="42"/>
      <c r="U45" s="42"/>
      <c r="V45" s="42"/>
      <c r="W45" s="42"/>
      <c r="X45" s="42"/>
      <c r="Y45" s="325"/>
      <c r="Z45" s="325"/>
      <c r="AA45" s="42"/>
    </row>
    <row r="46" spans="2:27">
      <c r="B46" s="5" t="s">
        <v>605</v>
      </c>
      <c r="C46" s="247"/>
      <c r="D46" s="248">
        <f>(D31+D32)/D11</f>
        <v>2.8571428571428576E-3</v>
      </c>
      <c r="E46" s="248">
        <f>(E31+E32)/E11</f>
        <v>2.8571428571428576E-3</v>
      </c>
      <c r="F46" s="248">
        <f>(F31+F32)/F11</f>
        <v>5.7142857142857148E-2</v>
      </c>
      <c r="G46" s="248">
        <f>(G31+G32)/G11</f>
        <v>5.7142857142857148E-2</v>
      </c>
      <c r="H46" s="279">
        <f>((G31+G32)/(D31+D32))^(1/3)-1</f>
        <v>1.7144176165949063</v>
      </c>
      <c r="I46" s="247"/>
      <c r="J46" s="247"/>
      <c r="K46" s="247"/>
      <c r="L46" s="247"/>
      <c r="M46" s="247"/>
      <c r="N46" s="247"/>
      <c r="O46" s="18"/>
      <c r="Q46" s="5"/>
      <c r="R46" s="5"/>
      <c r="S46" s="42"/>
      <c r="T46" s="42"/>
      <c r="U46" s="42"/>
      <c r="V46" s="42"/>
      <c r="W46" s="42"/>
      <c r="X46" s="42"/>
      <c r="Y46" s="42"/>
      <c r="Z46" s="42"/>
      <c r="AA46" s="326"/>
    </row>
    <row r="47" spans="2:27">
      <c r="B47" s="5" t="s">
        <v>581</v>
      </c>
      <c r="C47" s="5"/>
      <c r="D47" s="248">
        <f>1/D43</f>
        <v>-2.7923450887795864E-2</v>
      </c>
      <c r="E47" s="248">
        <f>1/E43</f>
        <v>-3.8454315048206344E-2</v>
      </c>
      <c r="F47" s="248">
        <f>1/F43</f>
        <v>6.5975897636534608E-2</v>
      </c>
      <c r="G47" s="248">
        <f>1/G43</f>
        <v>8.356263443399875E-2</v>
      </c>
      <c r="H47" s="17">
        <f>H29</f>
        <v>-2.3862008420308625</v>
      </c>
      <c r="I47" s="17"/>
      <c r="J47" s="248"/>
      <c r="K47" s="248"/>
      <c r="L47" s="248"/>
      <c r="M47" s="248"/>
      <c r="N47" s="248"/>
      <c r="O47" s="248"/>
      <c r="Q47" s="5"/>
      <c r="R47" s="5"/>
      <c r="S47" s="42"/>
      <c r="T47" s="42"/>
      <c r="U47" s="42"/>
      <c r="V47" s="42"/>
      <c r="W47" s="42"/>
      <c r="X47" s="42"/>
      <c r="Y47" s="42"/>
      <c r="Z47" s="42"/>
      <c r="AA47" s="326"/>
    </row>
    <row r="48" spans="2:27">
      <c r="B48" s="5" t="s">
        <v>618</v>
      </c>
      <c r="C48" s="5"/>
      <c r="D48" s="305">
        <f>D31/D29</f>
        <v>-7.0360563284723343E-2</v>
      </c>
      <c r="E48" s="305">
        <f>E31/E29</f>
        <v>-5.0529909621292154E-2</v>
      </c>
      <c r="F48" s="305">
        <f>F31/F29</f>
        <v>0.66459638560529277</v>
      </c>
      <c r="G48" s="305">
        <f>G31/G29</f>
        <v>0.5283002647596502</v>
      </c>
      <c r="H48" s="279" t="s">
        <v>607</v>
      </c>
      <c r="I48" s="247"/>
      <c r="J48" s="247"/>
      <c r="K48" s="247"/>
      <c r="L48" s="247"/>
      <c r="M48" s="247"/>
      <c r="N48" s="247"/>
      <c r="O48" s="248"/>
      <c r="Q48" s="5"/>
      <c r="R48" s="5"/>
      <c r="S48" s="42"/>
      <c r="T48" s="42"/>
      <c r="U48" s="42"/>
      <c r="V48" s="42"/>
      <c r="W48" s="42"/>
      <c r="X48" s="42"/>
      <c r="Y48" s="42"/>
      <c r="Z48" s="42"/>
      <c r="AA48" s="326"/>
    </row>
    <row r="49" spans="2:27">
      <c r="B49" s="41"/>
      <c r="C49" s="17"/>
      <c r="D49" s="17"/>
      <c r="E49" s="17"/>
      <c r="F49" s="17"/>
      <c r="G49" s="17"/>
      <c r="H49" s="17"/>
      <c r="I49" s="254"/>
      <c r="J49" s="17"/>
      <c r="K49" s="17"/>
      <c r="L49" s="17"/>
      <c r="M49" s="17"/>
      <c r="N49" s="17"/>
      <c r="O49" s="248"/>
      <c r="Q49" s="5"/>
      <c r="R49" s="5"/>
      <c r="S49" s="42"/>
      <c r="T49" s="42"/>
      <c r="U49" s="42"/>
      <c r="V49" s="42"/>
      <c r="W49" s="42"/>
      <c r="X49" s="42"/>
      <c r="Y49" s="42"/>
      <c r="Z49" s="42"/>
      <c r="AA49" s="326"/>
    </row>
    <row r="50" spans="2:27">
      <c r="B50" s="5"/>
      <c r="C50" s="257"/>
      <c r="D50" s="257"/>
      <c r="E50" s="257"/>
      <c r="F50" s="5"/>
      <c r="G50" s="41"/>
      <c r="H50" s="249"/>
      <c r="I50" s="17"/>
      <c r="J50" s="249"/>
      <c r="K50" s="249"/>
      <c r="L50" s="249"/>
      <c r="M50" s="249"/>
      <c r="N50" s="249"/>
      <c r="O50" s="250"/>
      <c r="Q50" s="5"/>
      <c r="R50" s="5"/>
      <c r="S50" s="42"/>
      <c r="T50" s="42"/>
      <c r="U50" s="42"/>
      <c r="V50" s="42"/>
      <c r="W50" s="288"/>
      <c r="X50" s="288"/>
      <c r="Y50" s="42"/>
      <c r="Z50" s="42"/>
      <c r="AA50" s="326"/>
    </row>
    <row r="51" spans="2:27">
      <c r="B51" s="41"/>
      <c r="C51" s="249"/>
      <c r="D51" s="254"/>
      <c r="E51" s="254"/>
      <c r="F51" s="254"/>
      <c r="G51" s="254"/>
      <c r="H51" s="254"/>
      <c r="I51" s="259"/>
      <c r="J51" s="254"/>
      <c r="K51" s="254"/>
      <c r="L51" s="254"/>
      <c r="M51" s="254"/>
      <c r="N51" s="254"/>
      <c r="O51" s="251"/>
      <c r="Q51" s="5"/>
      <c r="R51" s="5"/>
      <c r="S51" s="42"/>
      <c r="T51" s="42"/>
      <c r="U51" s="42"/>
      <c r="V51" s="42"/>
      <c r="W51" s="288"/>
      <c r="X51" s="288"/>
      <c r="Y51" s="288"/>
      <c r="Z51" s="288"/>
      <c r="AA51" s="42"/>
    </row>
    <row r="52" spans="2:27">
      <c r="B52" s="5"/>
      <c r="C52" s="257"/>
      <c r="D52" s="17"/>
      <c r="E52" s="17"/>
      <c r="F52" s="17"/>
      <c r="G52" s="17"/>
      <c r="H52" s="17"/>
      <c r="I52" s="254"/>
      <c r="J52" s="17"/>
      <c r="K52" s="17"/>
      <c r="L52" s="17"/>
      <c r="M52" s="17"/>
      <c r="N52" s="17"/>
      <c r="O52" s="248"/>
      <c r="Q52" s="5"/>
      <c r="R52" s="5"/>
      <c r="S52" s="5"/>
      <c r="Y52" s="10"/>
      <c r="Z52" s="10"/>
    </row>
    <row r="53" spans="2:27">
      <c r="B53" s="5"/>
      <c r="C53" s="257"/>
      <c r="D53" s="257"/>
      <c r="E53" s="257"/>
      <c r="F53" s="5"/>
      <c r="G53" s="5"/>
      <c r="H53" s="259"/>
      <c r="I53" s="17"/>
      <c r="J53" s="259"/>
      <c r="K53" s="259"/>
      <c r="L53" s="259"/>
      <c r="M53" s="259"/>
      <c r="N53" s="259"/>
      <c r="O53" s="18"/>
      <c r="Q53" s="5"/>
      <c r="R53" s="5"/>
      <c r="S53" s="5"/>
    </row>
    <row r="54" spans="2:27">
      <c r="B54" s="41"/>
      <c r="C54" s="249"/>
      <c r="D54" s="254"/>
      <c r="E54" s="254"/>
      <c r="F54" s="254"/>
      <c r="G54" s="254"/>
      <c r="H54" s="254"/>
      <c r="I54" s="259"/>
      <c r="J54" s="254"/>
      <c r="K54" s="254"/>
      <c r="L54" s="254"/>
      <c r="M54" s="254"/>
      <c r="N54" s="254"/>
      <c r="O54" s="251"/>
      <c r="Q54" s="5"/>
      <c r="R54" s="5"/>
      <c r="S54" s="5"/>
    </row>
    <row r="55" spans="2:27">
      <c r="B55" s="5"/>
      <c r="C55" s="257"/>
      <c r="D55" s="17"/>
      <c r="E55" s="17"/>
      <c r="F55" s="17"/>
      <c r="G55" s="17"/>
      <c r="H55" s="17"/>
      <c r="I55" s="249"/>
      <c r="J55" s="17"/>
      <c r="K55" s="17"/>
      <c r="L55" s="17"/>
      <c r="M55" s="17"/>
      <c r="N55" s="17"/>
      <c r="O55" s="18"/>
      <c r="Q55" s="5"/>
      <c r="R55" s="5"/>
      <c r="S55" s="5"/>
    </row>
    <row r="56" spans="2:27">
      <c r="B56" s="5"/>
      <c r="C56" s="248"/>
      <c r="D56" s="248"/>
      <c r="E56" s="248"/>
      <c r="F56" s="5"/>
      <c r="G56" s="5"/>
      <c r="H56" s="259"/>
      <c r="I56" s="248"/>
      <c r="J56" s="259"/>
      <c r="K56" s="259"/>
      <c r="L56" s="259"/>
      <c r="M56" s="259"/>
      <c r="N56" s="259"/>
      <c r="O56" s="18"/>
      <c r="Q56" s="5"/>
      <c r="R56" s="5"/>
      <c r="S56" s="5"/>
    </row>
    <row r="57" spans="2:27">
      <c r="B57" s="41"/>
      <c r="C57" s="249"/>
      <c r="D57" s="249"/>
      <c r="E57" s="249"/>
      <c r="F57" s="249"/>
      <c r="G57" s="249"/>
      <c r="H57" s="249"/>
      <c r="I57" s="5"/>
      <c r="J57" s="249"/>
      <c r="K57" s="249"/>
      <c r="L57" s="249"/>
      <c r="M57" s="249"/>
      <c r="N57" s="249"/>
      <c r="O57" s="251"/>
      <c r="Q57" s="5"/>
      <c r="R57" s="5"/>
      <c r="S57" s="5"/>
    </row>
    <row r="58" spans="2:27">
      <c r="B58" s="5"/>
      <c r="C58" s="5"/>
      <c r="D58" s="248"/>
      <c r="E58" s="248"/>
      <c r="F58" s="248"/>
      <c r="G58" s="248"/>
      <c r="H58" s="248"/>
      <c r="I58" s="17"/>
      <c r="J58" s="248"/>
      <c r="K58" s="248"/>
      <c r="L58" s="248"/>
      <c r="M58" s="248"/>
      <c r="N58" s="248"/>
      <c r="O58" s="18"/>
      <c r="Q58" s="5"/>
      <c r="R58" s="5"/>
      <c r="S58" s="5"/>
    </row>
    <row r="59" spans="2:27">
      <c r="B59" s="5"/>
      <c r="C59" s="5"/>
      <c r="D59" s="5"/>
      <c r="E59" s="5"/>
      <c r="F59" s="5"/>
      <c r="G59" s="5"/>
      <c r="H59" s="5"/>
      <c r="I59" s="5"/>
      <c r="J59" s="5"/>
      <c r="K59" s="5"/>
      <c r="L59" s="5"/>
      <c r="M59" s="5"/>
      <c r="N59" s="5"/>
      <c r="O59" s="5"/>
      <c r="Q59" s="5"/>
      <c r="R59" s="5"/>
      <c r="S59" s="5"/>
    </row>
    <row r="60" spans="2:27">
      <c r="B60" s="41"/>
      <c r="C60" s="17"/>
      <c r="D60" s="17"/>
      <c r="E60" s="17"/>
      <c r="F60" s="17"/>
      <c r="G60" s="17"/>
      <c r="H60" s="17"/>
      <c r="I60" s="249"/>
      <c r="J60" s="17"/>
      <c r="K60" s="17"/>
      <c r="L60" s="17"/>
      <c r="M60" s="17"/>
      <c r="N60" s="17"/>
      <c r="O60" s="251"/>
      <c r="Q60" s="5"/>
      <c r="R60" s="5"/>
      <c r="S60" s="5"/>
    </row>
    <row r="61" spans="2:27">
      <c r="B61" s="5"/>
      <c r="C61" s="5"/>
      <c r="D61" s="5"/>
      <c r="E61" s="5"/>
      <c r="F61" s="5"/>
      <c r="G61" s="5"/>
      <c r="H61" s="5"/>
      <c r="I61" s="5"/>
      <c r="J61" s="5"/>
      <c r="K61" s="5"/>
      <c r="L61" s="5"/>
      <c r="M61" s="5"/>
      <c r="N61" s="5"/>
      <c r="O61" s="5"/>
      <c r="Q61" s="41"/>
      <c r="R61" s="5"/>
      <c r="S61" s="5"/>
    </row>
    <row r="62" spans="2:27">
      <c r="B62" s="41"/>
      <c r="C62" s="249"/>
      <c r="D62" s="249"/>
      <c r="E62" s="249"/>
      <c r="F62" s="249"/>
      <c r="G62" s="249"/>
      <c r="H62" s="249"/>
      <c r="I62" s="5"/>
      <c r="J62" s="249"/>
      <c r="K62" s="249"/>
      <c r="L62" s="249"/>
      <c r="M62" s="249"/>
      <c r="N62" s="249"/>
      <c r="O62" s="251"/>
      <c r="Q62" s="5"/>
      <c r="R62" s="5"/>
      <c r="S62" s="5"/>
    </row>
    <row r="63" spans="2:27">
      <c r="B63" s="5"/>
      <c r="C63" s="5"/>
      <c r="D63" s="5"/>
      <c r="E63" s="5"/>
      <c r="F63" s="5"/>
      <c r="G63" s="5"/>
      <c r="H63" s="5"/>
      <c r="I63" s="254"/>
      <c r="J63" s="5"/>
      <c r="K63" s="5"/>
      <c r="L63" s="5"/>
      <c r="M63" s="5"/>
      <c r="N63" s="5"/>
      <c r="O63" s="5"/>
      <c r="Q63" s="5"/>
      <c r="R63" s="5"/>
      <c r="S63" s="5"/>
    </row>
    <row r="64" spans="2:27">
      <c r="B64" s="5"/>
      <c r="C64" s="5"/>
      <c r="D64" s="5"/>
      <c r="E64" s="5"/>
      <c r="F64" s="5"/>
      <c r="G64" s="5"/>
      <c r="H64" s="5"/>
      <c r="I64" s="17"/>
      <c r="J64" s="5"/>
      <c r="K64" s="5"/>
      <c r="L64" s="5"/>
      <c r="M64" s="5"/>
      <c r="N64" s="5"/>
      <c r="O64" s="5"/>
      <c r="Q64" s="5"/>
      <c r="R64" s="5"/>
      <c r="S64" s="5"/>
    </row>
    <row r="65" spans="2:26">
      <c r="B65" s="41"/>
      <c r="C65" s="249"/>
      <c r="D65" s="254"/>
      <c r="E65" s="254"/>
      <c r="F65" s="254"/>
      <c r="G65" s="254"/>
      <c r="H65" s="254"/>
      <c r="I65" s="254"/>
      <c r="J65" s="254"/>
      <c r="K65" s="254"/>
      <c r="L65" s="254"/>
      <c r="M65" s="254"/>
      <c r="N65" s="254"/>
      <c r="O65" s="251"/>
      <c r="Q65" s="5"/>
      <c r="R65" s="5"/>
      <c r="S65" s="5"/>
    </row>
    <row r="66" spans="2:26">
      <c r="B66" s="5"/>
      <c r="C66" s="5"/>
      <c r="D66" s="17"/>
      <c r="E66" s="17"/>
      <c r="F66" s="17"/>
      <c r="G66" s="17"/>
      <c r="H66" s="17"/>
      <c r="I66" s="248"/>
      <c r="J66" s="17"/>
      <c r="K66" s="17"/>
      <c r="L66" s="17"/>
      <c r="M66" s="17"/>
      <c r="N66" s="17"/>
      <c r="O66" s="5"/>
      <c r="Q66" s="5"/>
      <c r="R66" s="5"/>
      <c r="S66" s="5"/>
    </row>
    <row r="67" spans="2:26">
      <c r="B67" s="41"/>
      <c r="C67" s="249"/>
      <c r="D67" s="254"/>
      <c r="E67" s="254"/>
      <c r="F67" s="254"/>
      <c r="G67" s="254"/>
      <c r="H67" s="254"/>
      <c r="I67" s="5"/>
      <c r="J67" s="254"/>
      <c r="K67" s="254"/>
      <c r="L67" s="254"/>
      <c r="M67" s="254"/>
      <c r="N67" s="254"/>
      <c r="O67" s="251"/>
      <c r="Q67" s="41"/>
      <c r="R67" s="5"/>
      <c r="S67" s="5"/>
    </row>
    <row r="68" spans="2:26">
      <c r="B68" s="5"/>
      <c r="C68" s="5"/>
      <c r="D68" s="248"/>
      <c r="E68" s="248"/>
      <c r="F68" s="248"/>
      <c r="G68" s="248"/>
      <c r="H68" s="248"/>
      <c r="I68" s="245"/>
      <c r="J68" s="248"/>
      <c r="K68" s="248"/>
      <c r="L68" s="248"/>
      <c r="M68" s="248"/>
      <c r="N68" s="248"/>
      <c r="O68" s="5"/>
      <c r="Q68" s="5"/>
      <c r="R68" s="5"/>
      <c r="S68" s="5"/>
    </row>
    <row r="69" spans="2:26">
      <c r="B69" s="41"/>
      <c r="C69" s="5"/>
      <c r="D69" s="5"/>
      <c r="E69" s="5"/>
      <c r="F69" s="5"/>
      <c r="G69" s="5"/>
      <c r="H69" s="5"/>
      <c r="I69" s="248"/>
      <c r="J69" s="5"/>
      <c r="K69" s="5"/>
      <c r="L69" s="5"/>
      <c r="M69" s="5"/>
      <c r="N69" s="5"/>
      <c r="O69" s="5"/>
      <c r="Q69" s="5"/>
      <c r="R69" s="5"/>
      <c r="S69" s="5"/>
    </row>
    <row r="70" spans="2:26">
      <c r="B70" s="41"/>
      <c r="C70" s="245"/>
      <c r="D70" s="245"/>
      <c r="E70" s="245"/>
      <c r="F70" s="245"/>
      <c r="G70" s="245"/>
      <c r="H70" s="245"/>
      <c r="I70" s="5"/>
      <c r="J70" s="245"/>
      <c r="K70" s="245"/>
      <c r="L70" s="245"/>
      <c r="M70" s="245"/>
      <c r="N70" s="245"/>
      <c r="O70" s="251"/>
      <c r="Q70" s="5"/>
      <c r="R70" s="5"/>
      <c r="S70" s="5"/>
      <c r="W70" s="76"/>
      <c r="X70" s="76"/>
    </row>
    <row r="71" spans="2:26">
      <c r="B71" s="5"/>
      <c r="C71" s="5"/>
      <c r="D71" s="248"/>
      <c r="E71" s="248"/>
      <c r="F71" s="248"/>
      <c r="G71" s="248"/>
      <c r="H71" s="248"/>
      <c r="I71" s="245"/>
      <c r="J71" s="248"/>
      <c r="K71" s="248"/>
      <c r="L71" s="248"/>
      <c r="M71" s="248"/>
      <c r="N71" s="248"/>
      <c r="O71" s="5"/>
      <c r="Q71" s="5"/>
      <c r="R71" s="5"/>
      <c r="S71" s="5"/>
      <c r="W71" s="76"/>
      <c r="X71" s="76"/>
      <c r="Y71" s="76"/>
      <c r="Z71" s="76"/>
    </row>
    <row r="72" spans="2:26">
      <c r="B72" s="41"/>
      <c r="C72" s="5"/>
      <c r="D72" s="5"/>
      <c r="E72" s="5"/>
      <c r="F72" s="5"/>
      <c r="G72" s="5"/>
      <c r="H72" s="5"/>
      <c r="I72" s="18"/>
      <c r="J72" s="5"/>
      <c r="K72" s="5"/>
      <c r="L72" s="5"/>
      <c r="M72" s="5"/>
      <c r="N72" s="5"/>
      <c r="O72" s="5"/>
      <c r="Q72" s="5"/>
      <c r="R72" s="5"/>
      <c r="S72" s="5"/>
      <c r="Y72" s="76"/>
      <c r="Z72" s="76"/>
    </row>
    <row r="73" spans="2:26">
      <c r="B73" s="41"/>
      <c r="C73" s="245"/>
      <c r="D73" s="245"/>
      <c r="E73" s="245"/>
      <c r="F73" s="245"/>
      <c r="G73" s="245"/>
      <c r="H73" s="245"/>
      <c r="I73" s="5"/>
      <c r="J73" s="245"/>
      <c r="K73" s="245"/>
      <c r="L73" s="245"/>
      <c r="M73" s="245"/>
      <c r="N73" s="245"/>
      <c r="O73" s="251"/>
      <c r="Q73" s="5"/>
      <c r="R73" s="5"/>
      <c r="S73" s="5"/>
    </row>
    <row r="74" spans="2:26">
      <c r="B74" s="5"/>
      <c r="C74" s="5"/>
      <c r="D74" s="18"/>
      <c r="E74" s="18"/>
      <c r="F74" s="18"/>
      <c r="G74" s="18"/>
      <c r="H74" s="18"/>
      <c r="I74" s="249"/>
      <c r="J74" s="18"/>
      <c r="K74" s="18"/>
      <c r="L74" s="18"/>
      <c r="M74" s="18"/>
      <c r="N74" s="18"/>
      <c r="O74" s="5"/>
      <c r="Q74" s="5"/>
      <c r="R74" s="5"/>
      <c r="S74" s="5"/>
    </row>
    <row r="75" spans="2:26">
      <c r="B75" s="41"/>
      <c r="C75" s="5"/>
      <c r="D75" s="5"/>
      <c r="E75" s="5"/>
      <c r="F75" s="5"/>
      <c r="G75" s="5"/>
      <c r="H75" s="5"/>
      <c r="I75" s="248"/>
      <c r="J75" s="5"/>
      <c r="K75" s="5"/>
      <c r="L75" s="5"/>
      <c r="M75" s="5"/>
      <c r="N75" s="5"/>
      <c r="O75" s="5"/>
      <c r="Q75" s="5"/>
      <c r="R75" s="5"/>
      <c r="S75" s="5"/>
    </row>
    <row r="76" spans="2:26">
      <c r="B76" s="41"/>
      <c r="C76" s="249"/>
      <c r="D76" s="249"/>
      <c r="E76" s="249"/>
      <c r="F76" s="249"/>
      <c r="G76" s="249"/>
      <c r="H76" s="249"/>
      <c r="I76" s="5"/>
      <c r="J76" s="249"/>
      <c r="K76" s="249"/>
      <c r="L76" s="249"/>
      <c r="M76" s="249"/>
      <c r="N76" s="249"/>
      <c r="O76" s="251"/>
      <c r="Q76" s="5"/>
      <c r="R76" s="5"/>
      <c r="S76" s="5"/>
    </row>
    <row r="77" spans="2:26">
      <c r="B77" s="5"/>
      <c r="C77" s="5"/>
      <c r="D77" s="248"/>
      <c r="E77" s="248"/>
      <c r="F77" s="248"/>
      <c r="G77" s="248"/>
      <c r="H77" s="248"/>
      <c r="I77" s="245"/>
      <c r="J77" s="248"/>
      <c r="K77" s="248"/>
      <c r="L77" s="248"/>
      <c r="M77" s="248"/>
      <c r="N77" s="248"/>
      <c r="O77" s="5"/>
      <c r="Q77" s="5"/>
      <c r="R77" s="5"/>
      <c r="S77" s="5"/>
    </row>
    <row r="78" spans="2:26">
      <c r="B78" s="41"/>
      <c r="C78" s="5"/>
      <c r="D78" s="5"/>
      <c r="E78" s="5"/>
      <c r="F78" s="5"/>
      <c r="G78" s="5"/>
      <c r="H78" s="5"/>
      <c r="I78" s="248"/>
      <c r="J78" s="5"/>
      <c r="K78" s="5"/>
      <c r="L78" s="5"/>
      <c r="M78" s="5"/>
      <c r="N78" s="5"/>
      <c r="O78" s="5"/>
      <c r="Q78" s="5"/>
      <c r="R78" s="5"/>
      <c r="S78" s="5"/>
    </row>
    <row r="79" spans="2:26">
      <c r="B79" s="41"/>
      <c r="C79" s="245"/>
      <c r="D79" s="245"/>
      <c r="E79" s="245"/>
      <c r="F79" s="245"/>
      <c r="G79" s="245"/>
      <c r="H79" s="245"/>
      <c r="I79" s="5"/>
      <c r="J79" s="245"/>
      <c r="K79" s="245"/>
      <c r="L79" s="245"/>
      <c r="M79" s="245"/>
      <c r="N79" s="245"/>
      <c r="O79" s="251"/>
      <c r="Q79" s="5"/>
      <c r="R79" s="5"/>
      <c r="S79" s="5"/>
    </row>
    <row r="80" spans="2:26">
      <c r="B80" s="5"/>
      <c r="C80" s="5"/>
      <c r="D80" s="248"/>
      <c r="E80" s="248"/>
      <c r="F80" s="248"/>
      <c r="G80" s="248"/>
      <c r="H80" s="248"/>
      <c r="I80" s="249"/>
      <c r="J80" s="248"/>
      <c r="K80" s="248"/>
      <c r="L80" s="248"/>
      <c r="M80" s="248"/>
      <c r="N80" s="248"/>
      <c r="O80" s="5"/>
      <c r="Q80" s="5"/>
      <c r="R80" s="5"/>
      <c r="S80" s="5"/>
    </row>
    <row r="81" spans="2:26">
      <c r="B81" s="41"/>
      <c r="C81" s="5"/>
      <c r="D81" s="5"/>
      <c r="E81" s="5"/>
      <c r="F81" s="5"/>
      <c r="G81" s="5"/>
      <c r="H81" s="5"/>
      <c r="I81" s="248"/>
      <c r="J81" s="5"/>
      <c r="K81" s="5"/>
      <c r="L81" s="5"/>
      <c r="M81" s="5"/>
      <c r="N81" s="5"/>
      <c r="O81" s="5"/>
      <c r="Q81" s="5"/>
      <c r="R81" s="5"/>
      <c r="S81" s="5"/>
    </row>
    <row r="82" spans="2:26">
      <c r="B82" s="41"/>
      <c r="C82" s="249"/>
      <c r="D82" s="249"/>
      <c r="E82" s="249"/>
      <c r="F82" s="249"/>
      <c r="G82" s="249"/>
      <c r="H82" s="249"/>
      <c r="I82" s="259"/>
      <c r="J82" s="249"/>
      <c r="K82" s="249"/>
      <c r="L82" s="249"/>
      <c r="M82" s="249"/>
      <c r="N82" s="249"/>
      <c r="O82" s="251"/>
      <c r="Q82" s="5"/>
      <c r="R82" s="5"/>
      <c r="S82" s="5"/>
    </row>
    <row r="83" spans="2:26">
      <c r="B83" s="5"/>
      <c r="C83" s="5"/>
      <c r="D83" s="248"/>
      <c r="E83" s="248"/>
      <c r="F83" s="248"/>
      <c r="G83" s="248"/>
      <c r="H83" s="248"/>
      <c r="I83" s="5"/>
      <c r="J83" s="248"/>
      <c r="K83" s="248"/>
      <c r="L83" s="248"/>
      <c r="M83" s="248"/>
      <c r="N83" s="248"/>
      <c r="O83" s="5"/>
      <c r="Q83" s="5"/>
      <c r="R83" s="5"/>
      <c r="S83" s="5"/>
    </row>
    <row r="84" spans="2:26">
      <c r="B84" s="5"/>
      <c r="C84" s="259"/>
      <c r="D84" s="259"/>
      <c r="E84" s="259"/>
      <c r="F84" s="259"/>
      <c r="G84" s="259"/>
      <c r="H84" s="259"/>
      <c r="I84" s="245"/>
      <c r="J84" s="259"/>
      <c r="K84" s="259"/>
      <c r="L84" s="259"/>
      <c r="M84" s="259"/>
      <c r="N84" s="259"/>
      <c r="O84" s="251"/>
      <c r="Q84" s="5"/>
      <c r="R84" s="5"/>
      <c r="S84" s="5"/>
    </row>
    <row r="85" spans="2:26">
      <c r="B85" s="41"/>
      <c r="C85" s="5"/>
      <c r="D85" s="5"/>
      <c r="E85" s="5"/>
      <c r="F85" s="5"/>
      <c r="G85" s="5"/>
      <c r="H85" s="5"/>
      <c r="I85" s="248"/>
      <c r="J85" s="5"/>
      <c r="K85" s="5"/>
      <c r="L85" s="5"/>
      <c r="M85" s="5"/>
      <c r="N85" s="5"/>
      <c r="O85" s="5"/>
      <c r="Q85" s="5"/>
      <c r="R85" s="5"/>
      <c r="S85" s="5"/>
    </row>
    <row r="86" spans="2:26">
      <c r="B86" s="41"/>
      <c r="C86" s="245"/>
      <c r="D86" s="245"/>
      <c r="E86" s="245"/>
      <c r="F86" s="245"/>
      <c r="G86" s="245"/>
      <c r="H86" s="245"/>
      <c r="I86" s="5"/>
      <c r="J86" s="245"/>
      <c r="K86" s="245"/>
      <c r="L86" s="245"/>
      <c r="M86" s="245"/>
      <c r="N86" s="245"/>
      <c r="O86" s="251"/>
      <c r="Q86" s="5"/>
      <c r="R86" s="5"/>
      <c r="S86" s="5"/>
    </row>
    <row r="87" spans="2:26">
      <c r="B87" s="5"/>
      <c r="C87" s="5"/>
      <c r="D87" s="248"/>
      <c r="E87" s="248"/>
      <c r="F87" s="248"/>
      <c r="G87" s="248"/>
      <c r="H87" s="248"/>
      <c r="I87" s="5"/>
      <c r="J87" s="248"/>
      <c r="K87" s="248"/>
      <c r="L87" s="248"/>
      <c r="M87" s="248"/>
      <c r="N87" s="248"/>
      <c r="O87" s="5"/>
      <c r="Q87" s="5"/>
      <c r="R87" s="5"/>
      <c r="S87" s="5"/>
    </row>
    <row r="88" spans="2:26">
      <c r="B88" s="41"/>
      <c r="C88" s="5"/>
      <c r="D88" s="5"/>
      <c r="E88" s="5"/>
      <c r="F88" s="5"/>
      <c r="G88" s="5"/>
      <c r="H88" s="5"/>
      <c r="I88" s="5"/>
      <c r="J88" s="5"/>
      <c r="K88" s="5"/>
      <c r="L88" s="5"/>
      <c r="M88" s="5"/>
      <c r="N88" s="5"/>
      <c r="O88" s="5"/>
      <c r="Q88" s="5"/>
      <c r="R88" s="5"/>
      <c r="S88" s="5"/>
    </row>
    <row r="89" spans="2:26">
      <c r="B89" s="41"/>
      <c r="C89" s="5"/>
      <c r="D89" s="5"/>
      <c r="E89" s="5"/>
      <c r="F89" s="5"/>
      <c r="G89" s="5"/>
      <c r="H89" s="5"/>
      <c r="I89" s="5"/>
      <c r="J89" s="5"/>
      <c r="K89" s="5"/>
      <c r="L89" s="5"/>
      <c r="M89" s="5"/>
      <c r="N89" s="5"/>
      <c r="O89" s="5"/>
      <c r="Q89" s="5"/>
      <c r="R89" s="5"/>
      <c r="S89" s="5"/>
    </row>
    <row r="90" spans="2:26">
      <c r="B90" s="41"/>
      <c r="C90" s="5"/>
      <c r="D90" s="5"/>
      <c r="E90" s="5"/>
      <c r="F90" s="5"/>
      <c r="G90" s="5"/>
      <c r="H90" s="5"/>
      <c r="I90" s="49"/>
      <c r="J90" s="5"/>
      <c r="K90" s="5"/>
      <c r="L90" s="5"/>
      <c r="M90" s="5"/>
      <c r="N90" s="5"/>
      <c r="O90" s="5"/>
      <c r="Q90" s="41"/>
      <c r="R90" s="5"/>
      <c r="S90" s="5"/>
    </row>
    <row r="91" spans="2:26">
      <c r="B91" s="5"/>
      <c r="C91" s="5"/>
      <c r="D91" s="5"/>
      <c r="E91" s="5"/>
      <c r="F91" s="5"/>
      <c r="G91" s="5"/>
      <c r="H91" s="5"/>
      <c r="I91" s="5"/>
      <c r="J91" s="5"/>
      <c r="K91" s="5"/>
      <c r="L91" s="5"/>
      <c r="M91" s="5"/>
      <c r="N91" s="5"/>
      <c r="O91" s="5"/>
      <c r="Q91" s="5"/>
      <c r="R91" s="5"/>
      <c r="S91" s="5"/>
    </row>
    <row r="92" spans="2:26">
      <c r="B92" s="41"/>
      <c r="C92" s="49"/>
      <c r="D92" s="49"/>
      <c r="E92" s="49"/>
      <c r="F92" s="49"/>
      <c r="G92" s="49"/>
      <c r="H92" s="49"/>
      <c r="I92" s="247"/>
      <c r="J92" s="49"/>
      <c r="K92" s="49"/>
      <c r="L92" s="49"/>
      <c r="M92" s="49"/>
      <c r="N92" s="49"/>
      <c r="O92" s="49"/>
      <c r="Q92" s="5"/>
      <c r="R92" s="5"/>
      <c r="S92" s="5"/>
      <c r="W92" s="21"/>
      <c r="X92" s="21"/>
    </row>
    <row r="93" spans="2:26">
      <c r="B93" s="5"/>
      <c r="C93" s="5"/>
      <c r="D93" s="5"/>
      <c r="E93" s="5"/>
      <c r="F93" s="5"/>
      <c r="G93" s="5"/>
      <c r="H93" s="5"/>
      <c r="I93" s="247"/>
      <c r="J93" s="5"/>
      <c r="K93" s="5"/>
      <c r="L93" s="5"/>
      <c r="M93" s="5"/>
      <c r="N93" s="5"/>
      <c r="O93" s="5"/>
      <c r="Q93" s="5"/>
      <c r="R93" s="5"/>
      <c r="S93" s="5"/>
      <c r="W93" s="21"/>
      <c r="X93" s="21"/>
      <c r="Y93" s="21"/>
      <c r="Z93" s="21"/>
    </row>
    <row r="94" spans="2:26">
      <c r="B94" s="5"/>
      <c r="C94" s="259"/>
      <c r="D94" s="247"/>
      <c r="E94" s="247"/>
      <c r="F94" s="247"/>
      <c r="G94" s="247"/>
      <c r="H94" s="247"/>
      <c r="I94" s="247"/>
      <c r="J94" s="247"/>
      <c r="K94" s="247"/>
      <c r="L94" s="247"/>
      <c r="M94" s="247"/>
      <c r="N94" s="247"/>
      <c r="O94" s="248"/>
      <c r="Q94" s="5"/>
      <c r="R94" s="5"/>
      <c r="S94" s="5"/>
      <c r="Y94" s="21"/>
      <c r="Z94" s="21"/>
    </row>
    <row r="95" spans="2:26">
      <c r="B95" s="5"/>
      <c r="C95" s="259"/>
      <c r="D95" s="247"/>
      <c r="E95" s="247"/>
      <c r="F95" s="247"/>
      <c r="G95" s="247"/>
      <c r="H95" s="247"/>
      <c r="I95" s="248"/>
      <c r="J95" s="247"/>
      <c r="K95" s="247"/>
      <c r="L95" s="247"/>
      <c r="M95" s="247"/>
      <c r="N95" s="247"/>
      <c r="O95" s="248"/>
      <c r="Q95" s="5"/>
      <c r="R95" s="5"/>
      <c r="S95" s="5"/>
    </row>
    <row r="96" spans="2:26">
      <c r="B96" s="5"/>
      <c r="C96" s="259"/>
      <c r="D96" s="247"/>
      <c r="E96" s="247"/>
      <c r="F96" s="247"/>
      <c r="G96" s="247"/>
      <c r="H96" s="247"/>
      <c r="I96" s="247"/>
      <c r="J96" s="247"/>
      <c r="K96" s="247"/>
      <c r="L96" s="247"/>
      <c r="M96" s="247"/>
      <c r="N96" s="247"/>
      <c r="O96" s="248"/>
      <c r="Q96" s="5"/>
      <c r="R96" s="5"/>
      <c r="S96" s="5"/>
    </row>
    <row r="97" spans="2:19">
      <c r="B97" s="5"/>
      <c r="C97" s="259"/>
      <c r="D97" s="248"/>
      <c r="E97" s="248"/>
      <c r="F97" s="248"/>
      <c r="G97" s="248"/>
      <c r="H97" s="248"/>
      <c r="I97" s="249"/>
      <c r="J97" s="248"/>
      <c r="K97" s="248"/>
      <c r="L97" s="248"/>
      <c r="M97" s="248"/>
      <c r="N97" s="248"/>
      <c r="O97" s="248"/>
      <c r="Q97" s="5"/>
      <c r="R97" s="5"/>
      <c r="S97" s="5"/>
    </row>
    <row r="98" spans="2:19">
      <c r="B98" s="5"/>
      <c r="C98" s="259"/>
      <c r="D98" s="247"/>
      <c r="E98" s="247"/>
      <c r="F98" s="247"/>
      <c r="G98" s="247"/>
      <c r="H98" s="247"/>
      <c r="I98" s="248"/>
      <c r="J98" s="247"/>
      <c r="K98" s="247"/>
      <c r="L98" s="247"/>
      <c r="M98" s="247"/>
      <c r="N98" s="247"/>
      <c r="O98" s="248"/>
      <c r="Q98" s="5"/>
      <c r="R98" s="5"/>
      <c r="S98" s="5"/>
    </row>
    <row r="99" spans="2:19">
      <c r="B99" s="41"/>
      <c r="C99" s="249"/>
      <c r="D99" s="249"/>
      <c r="E99" s="249"/>
      <c r="F99" s="249"/>
      <c r="G99" s="249"/>
      <c r="H99" s="249"/>
      <c r="I99" s="5"/>
      <c r="J99" s="249"/>
      <c r="K99" s="249"/>
      <c r="L99" s="249"/>
      <c r="M99" s="249"/>
      <c r="N99" s="249"/>
      <c r="O99" s="248"/>
      <c r="Q99" s="5"/>
      <c r="R99" s="5"/>
      <c r="S99" s="5"/>
    </row>
    <row r="100" spans="2:19">
      <c r="B100" s="41"/>
      <c r="C100" s="257"/>
      <c r="D100" s="248"/>
      <c r="E100" s="248"/>
      <c r="F100" s="248"/>
      <c r="G100" s="248"/>
      <c r="H100" s="248"/>
      <c r="I100" s="259"/>
      <c r="J100" s="248"/>
      <c r="K100" s="248"/>
      <c r="L100" s="248"/>
      <c r="M100" s="248"/>
      <c r="N100" s="248"/>
      <c r="O100" s="248"/>
      <c r="Q100" s="5"/>
      <c r="R100" s="5"/>
      <c r="S100" s="5"/>
    </row>
    <row r="101" spans="2:19" s="5" customFormat="1">
      <c r="B101" s="41"/>
      <c r="I101" s="259"/>
      <c r="O101" s="248"/>
      <c r="P101" s="39"/>
    </row>
    <row r="102" spans="2:19">
      <c r="B102" s="5"/>
      <c r="C102" s="259"/>
      <c r="D102" s="259"/>
      <c r="E102" s="259"/>
      <c r="F102" s="259"/>
      <c r="G102" s="259"/>
      <c r="H102" s="259"/>
      <c r="I102" s="247"/>
      <c r="J102" s="259"/>
      <c r="K102" s="259"/>
      <c r="L102" s="259"/>
      <c r="M102" s="259"/>
      <c r="N102" s="259"/>
      <c r="O102" s="5"/>
      <c r="Q102" s="5"/>
      <c r="R102" s="5"/>
      <c r="S102" s="5"/>
    </row>
    <row r="103" spans="2:19">
      <c r="B103" s="5"/>
      <c r="C103" s="259"/>
      <c r="D103" s="259"/>
      <c r="E103" s="259"/>
      <c r="F103" s="259"/>
      <c r="G103" s="259"/>
      <c r="H103" s="259"/>
      <c r="I103" s="5"/>
      <c r="J103" s="259"/>
      <c r="K103" s="259"/>
      <c r="L103" s="259"/>
      <c r="M103" s="259"/>
      <c r="N103" s="259"/>
      <c r="O103" s="5"/>
      <c r="P103" s="5"/>
      <c r="Q103" s="5"/>
      <c r="R103" s="5"/>
      <c r="S103" s="5"/>
    </row>
    <row r="104" spans="2:19">
      <c r="B104" s="5"/>
      <c r="C104" s="247"/>
      <c r="D104" s="247"/>
      <c r="E104" s="247"/>
      <c r="F104" s="247"/>
      <c r="G104" s="247"/>
      <c r="H104" s="247"/>
      <c r="I104" s="247"/>
      <c r="J104" s="247"/>
      <c r="K104" s="247"/>
      <c r="L104" s="247"/>
      <c r="M104" s="247"/>
      <c r="N104" s="247"/>
      <c r="O104" s="5"/>
      <c r="Q104" s="5"/>
      <c r="R104" s="5"/>
      <c r="S104" s="5"/>
    </row>
    <row r="105" spans="2:19" s="5" customFormat="1">
      <c r="P105" s="39"/>
    </row>
    <row r="106" spans="2:19" s="5" customFormat="1">
      <c r="C106" s="259"/>
      <c r="D106" s="247"/>
      <c r="E106" s="247"/>
      <c r="F106" s="247"/>
      <c r="G106" s="247"/>
      <c r="H106" s="247"/>
      <c r="I106" s="259"/>
      <c r="J106" s="247"/>
      <c r="K106" s="247"/>
      <c r="L106" s="247"/>
      <c r="M106" s="247"/>
      <c r="N106" s="247"/>
      <c r="P106" s="39"/>
    </row>
    <row r="107" spans="2:19">
      <c r="B107" s="5"/>
      <c r="C107" s="259"/>
      <c r="D107" s="5"/>
      <c r="E107" s="5"/>
      <c r="F107" s="5"/>
      <c r="G107" s="5"/>
      <c r="H107" s="5"/>
      <c r="I107" s="247"/>
      <c r="J107" s="5"/>
      <c r="K107" s="5"/>
      <c r="L107" s="5"/>
      <c r="M107" s="5"/>
      <c r="N107" s="5"/>
      <c r="O107" s="5"/>
      <c r="P107" s="5"/>
      <c r="Q107" s="5"/>
      <c r="R107" s="5"/>
      <c r="S107" s="5"/>
    </row>
    <row r="108" spans="2:19">
      <c r="B108" s="5"/>
      <c r="C108" s="259"/>
      <c r="D108" s="259"/>
      <c r="E108" s="259"/>
      <c r="F108" s="259"/>
      <c r="G108" s="259"/>
      <c r="H108" s="259"/>
      <c r="I108" s="249"/>
      <c r="J108" s="259"/>
      <c r="K108" s="259"/>
      <c r="L108" s="259"/>
      <c r="M108" s="259"/>
      <c r="N108" s="259"/>
      <c r="O108" s="5"/>
      <c r="P108" s="5"/>
      <c r="Q108" s="5"/>
      <c r="R108" s="5"/>
      <c r="S108" s="5"/>
    </row>
    <row r="109" spans="2:19">
      <c r="B109" s="5"/>
      <c r="C109" s="247"/>
      <c r="D109" s="247"/>
      <c r="E109" s="247"/>
      <c r="F109" s="247"/>
      <c r="G109" s="247"/>
      <c r="H109" s="247"/>
      <c r="I109" s="249"/>
      <c r="J109" s="247"/>
      <c r="K109" s="247"/>
      <c r="L109" s="247"/>
      <c r="M109" s="247"/>
      <c r="N109" s="247"/>
      <c r="O109" s="5"/>
      <c r="Q109" s="5"/>
      <c r="R109" s="5"/>
      <c r="S109" s="5"/>
    </row>
    <row r="110" spans="2:19">
      <c r="B110" s="41"/>
      <c r="C110" s="249"/>
      <c r="D110" s="249"/>
      <c r="E110" s="249"/>
      <c r="F110" s="249"/>
      <c r="G110" s="249"/>
      <c r="H110" s="249"/>
      <c r="I110" s="247"/>
      <c r="J110" s="249"/>
      <c r="K110" s="249"/>
      <c r="L110" s="249"/>
      <c r="M110" s="249"/>
      <c r="N110" s="249"/>
      <c r="O110" s="5"/>
      <c r="Q110" s="5"/>
      <c r="R110" s="5"/>
      <c r="S110" s="5"/>
    </row>
    <row r="111" spans="2:19">
      <c r="B111" s="5"/>
      <c r="C111" s="249"/>
      <c r="D111" s="249"/>
      <c r="E111" s="249"/>
      <c r="F111" s="249"/>
      <c r="G111" s="249"/>
      <c r="H111" s="249"/>
      <c r="I111" s="5"/>
      <c r="J111" s="249"/>
      <c r="K111" s="249"/>
      <c r="L111" s="249"/>
      <c r="M111" s="249"/>
      <c r="N111" s="249"/>
      <c r="O111" s="5"/>
      <c r="Q111" s="5"/>
      <c r="R111" s="5"/>
      <c r="S111" s="5"/>
    </row>
    <row r="112" spans="2:19">
      <c r="B112" s="5"/>
      <c r="C112" s="247"/>
      <c r="D112" s="247"/>
      <c r="E112" s="247"/>
      <c r="F112" s="247"/>
      <c r="G112" s="247"/>
      <c r="H112" s="247"/>
      <c r="I112" s="5"/>
      <c r="J112" s="247"/>
      <c r="K112" s="247"/>
      <c r="L112" s="247"/>
      <c r="M112" s="247"/>
      <c r="N112" s="247"/>
      <c r="O112" s="5"/>
      <c r="Q112" s="5"/>
      <c r="R112" s="5"/>
      <c r="S112" s="5"/>
    </row>
    <row r="113" spans="2:19">
      <c r="B113" s="5"/>
      <c r="C113" s="5"/>
      <c r="D113" s="5"/>
      <c r="E113" s="5"/>
      <c r="F113" s="5"/>
      <c r="G113" s="5"/>
      <c r="H113" s="5"/>
      <c r="I113" s="5"/>
      <c r="J113" s="5"/>
      <c r="K113" s="5"/>
      <c r="L113" s="5"/>
      <c r="M113" s="5"/>
      <c r="N113" s="5"/>
      <c r="O113" s="5"/>
      <c r="Q113" s="5"/>
      <c r="R113" s="5"/>
      <c r="S113" s="5"/>
    </row>
    <row r="114" spans="2:19">
      <c r="B114" s="5"/>
      <c r="C114" s="5"/>
      <c r="D114" s="5"/>
      <c r="E114" s="5"/>
      <c r="F114" s="5"/>
      <c r="G114" s="5"/>
      <c r="H114" s="5"/>
      <c r="I114" s="5"/>
      <c r="J114" s="5"/>
      <c r="K114" s="5"/>
      <c r="L114" s="5"/>
      <c r="M114" s="5"/>
      <c r="N114" s="5"/>
      <c r="O114" s="5"/>
      <c r="Q114" s="5"/>
      <c r="R114" s="5"/>
      <c r="S114" s="5"/>
    </row>
    <row r="115" spans="2:19">
      <c r="B115" s="5"/>
      <c r="C115" s="5"/>
      <c r="D115" s="5"/>
      <c r="E115" s="5"/>
      <c r="F115" s="5"/>
      <c r="G115" s="5"/>
      <c r="H115" s="5"/>
      <c r="I115" s="49"/>
      <c r="J115" s="5"/>
      <c r="K115" s="5"/>
      <c r="L115" s="5"/>
      <c r="M115" s="5"/>
      <c r="N115" s="5"/>
      <c r="O115" s="5"/>
      <c r="Q115" s="41"/>
      <c r="R115" s="5"/>
      <c r="S115" s="5"/>
    </row>
    <row r="116" spans="2:19">
      <c r="B116" s="5"/>
      <c r="C116" s="5"/>
      <c r="D116" s="5"/>
      <c r="E116" s="5"/>
      <c r="F116" s="5"/>
      <c r="G116" s="5"/>
      <c r="H116" s="5"/>
      <c r="I116" s="5"/>
      <c r="J116" s="5"/>
      <c r="K116" s="5"/>
      <c r="L116" s="5"/>
      <c r="M116" s="5"/>
      <c r="N116" s="5"/>
      <c r="O116" s="5"/>
      <c r="Q116" s="5"/>
      <c r="R116" s="5"/>
      <c r="S116" s="5"/>
    </row>
    <row r="117" spans="2:19">
      <c r="B117" s="41"/>
      <c r="C117" s="49"/>
      <c r="D117" s="49"/>
      <c r="E117" s="49"/>
      <c r="F117" s="49"/>
      <c r="G117" s="49"/>
      <c r="H117" s="49"/>
      <c r="I117" s="254"/>
      <c r="J117" s="49"/>
      <c r="K117" s="49"/>
      <c r="L117" s="49"/>
      <c r="M117" s="49"/>
      <c r="N117" s="49"/>
      <c r="O117" s="49"/>
      <c r="Q117" s="5"/>
      <c r="R117" s="5"/>
      <c r="S117" s="5"/>
    </row>
    <row r="118" spans="2:19">
      <c r="B118" s="5"/>
      <c r="C118" s="5"/>
      <c r="D118" s="5"/>
      <c r="E118" s="5"/>
      <c r="F118" s="5"/>
      <c r="G118" s="5"/>
      <c r="H118" s="5"/>
      <c r="I118" s="249"/>
      <c r="J118" s="5"/>
      <c r="K118" s="5"/>
      <c r="L118" s="5"/>
      <c r="M118" s="5"/>
      <c r="N118" s="5"/>
      <c r="O118" s="5"/>
      <c r="Q118" s="5"/>
      <c r="R118" s="5"/>
      <c r="S118" s="5"/>
    </row>
    <row r="119" spans="2:19">
      <c r="B119" s="41"/>
      <c r="C119" s="254"/>
      <c r="D119" s="254"/>
      <c r="E119" s="254"/>
      <c r="F119" s="254"/>
      <c r="G119" s="254"/>
      <c r="H119" s="254"/>
      <c r="I119" s="254"/>
      <c r="J119" s="254"/>
      <c r="K119" s="254"/>
      <c r="L119" s="254"/>
      <c r="M119" s="254"/>
      <c r="N119" s="254"/>
      <c r="O119" s="248"/>
      <c r="Q119" s="5"/>
      <c r="R119" s="5"/>
      <c r="S119" s="5"/>
    </row>
    <row r="120" spans="2:19">
      <c r="B120" s="41"/>
      <c r="C120" s="254"/>
      <c r="D120" s="249"/>
      <c r="E120" s="249"/>
      <c r="F120" s="249"/>
      <c r="G120" s="249"/>
      <c r="H120" s="249"/>
      <c r="I120" s="254"/>
      <c r="J120" s="249"/>
      <c r="K120" s="249"/>
      <c r="L120" s="249"/>
      <c r="M120" s="249"/>
      <c r="N120" s="249"/>
      <c r="O120" s="248"/>
      <c r="Q120" s="5"/>
      <c r="R120" s="5"/>
      <c r="S120" s="5"/>
    </row>
    <row r="121" spans="2:19">
      <c r="B121" s="41"/>
      <c r="C121" s="254"/>
      <c r="D121" s="254"/>
      <c r="E121" s="254"/>
      <c r="F121" s="254"/>
      <c r="G121" s="254"/>
      <c r="H121" s="254"/>
      <c r="I121" s="254"/>
      <c r="J121" s="254"/>
      <c r="K121" s="254"/>
      <c r="L121" s="254"/>
      <c r="M121" s="254"/>
      <c r="N121" s="254"/>
      <c r="O121" s="248"/>
      <c r="Q121" s="5"/>
      <c r="R121" s="5"/>
      <c r="S121" s="5"/>
    </row>
    <row r="122" spans="2:19">
      <c r="B122" s="41"/>
      <c r="C122" s="254"/>
      <c r="D122" s="254"/>
      <c r="E122" s="254"/>
      <c r="F122" s="254"/>
      <c r="G122" s="254"/>
      <c r="H122" s="254"/>
      <c r="I122" s="254"/>
      <c r="J122" s="254"/>
      <c r="K122" s="254"/>
      <c r="L122" s="254"/>
      <c r="M122" s="254"/>
      <c r="N122" s="254"/>
      <c r="O122" s="248"/>
      <c r="Q122" s="5"/>
      <c r="R122" s="5"/>
      <c r="S122" s="5"/>
    </row>
    <row r="123" spans="2:19">
      <c r="B123" s="41"/>
      <c r="C123" s="254"/>
      <c r="D123" s="254"/>
      <c r="E123" s="254"/>
      <c r="F123" s="254"/>
      <c r="G123" s="254"/>
      <c r="H123" s="254"/>
      <c r="I123" s="254"/>
      <c r="J123" s="254"/>
      <c r="K123" s="254"/>
      <c r="L123" s="254"/>
      <c r="M123" s="254"/>
      <c r="N123" s="254"/>
      <c r="O123" s="248"/>
      <c r="Q123" s="5"/>
      <c r="R123" s="5"/>
      <c r="S123" s="5"/>
    </row>
    <row r="124" spans="2:19">
      <c r="B124" s="41"/>
      <c r="C124" s="254"/>
      <c r="D124" s="254"/>
      <c r="E124" s="254"/>
      <c r="F124" s="254"/>
      <c r="G124" s="254"/>
      <c r="H124" s="254"/>
      <c r="I124" s="254"/>
      <c r="J124" s="254"/>
      <c r="K124" s="254"/>
      <c r="L124" s="254"/>
      <c r="M124" s="254"/>
      <c r="N124" s="254"/>
      <c r="O124" s="248"/>
      <c r="Q124" s="5"/>
      <c r="R124" s="5"/>
      <c r="S124" s="5"/>
    </row>
    <row r="125" spans="2:19">
      <c r="B125" s="41"/>
      <c r="C125" s="254"/>
      <c r="D125" s="254"/>
      <c r="E125" s="254"/>
      <c r="F125" s="254"/>
      <c r="G125" s="254"/>
      <c r="H125" s="254"/>
      <c r="I125" s="254"/>
      <c r="J125" s="254"/>
      <c r="K125" s="254"/>
      <c r="L125" s="254"/>
      <c r="M125" s="254"/>
      <c r="N125" s="254"/>
      <c r="O125" s="5"/>
      <c r="Q125" s="5"/>
      <c r="R125" s="5"/>
      <c r="S125" s="5"/>
    </row>
    <row r="126" spans="2:19">
      <c r="B126" s="41"/>
      <c r="C126" s="254"/>
      <c r="D126" s="254"/>
      <c r="E126" s="254"/>
      <c r="F126" s="254"/>
      <c r="G126" s="254"/>
      <c r="H126" s="254"/>
      <c r="I126" s="254"/>
      <c r="J126" s="254"/>
      <c r="K126" s="254"/>
      <c r="L126" s="254"/>
      <c r="M126" s="254"/>
      <c r="N126" s="254"/>
      <c r="O126" s="5"/>
      <c r="Q126" s="5"/>
      <c r="R126" s="5"/>
      <c r="S126" s="5"/>
    </row>
    <row r="127" spans="2:19">
      <c r="B127" s="41"/>
      <c r="C127" s="254"/>
      <c r="D127" s="254"/>
      <c r="E127" s="254"/>
      <c r="F127" s="254"/>
      <c r="G127" s="254"/>
      <c r="H127" s="254"/>
      <c r="I127" s="18"/>
      <c r="J127" s="254"/>
      <c r="K127" s="254"/>
      <c r="L127" s="254"/>
      <c r="M127" s="254"/>
      <c r="N127" s="254"/>
      <c r="O127" s="5"/>
      <c r="Q127" s="5"/>
      <c r="R127" s="5"/>
      <c r="S127" s="5"/>
    </row>
    <row r="128" spans="2:19">
      <c r="B128" s="41"/>
      <c r="C128" s="254"/>
      <c r="D128" s="254"/>
      <c r="E128" s="254"/>
      <c r="F128" s="254"/>
      <c r="G128" s="254"/>
      <c r="H128" s="254"/>
      <c r="I128" s="5"/>
      <c r="J128" s="254"/>
      <c r="K128" s="254"/>
      <c r="L128" s="254"/>
      <c r="M128" s="254"/>
      <c r="N128" s="254"/>
      <c r="O128" s="5"/>
      <c r="Q128" s="5"/>
      <c r="R128" s="5"/>
      <c r="S128" s="5"/>
    </row>
    <row r="129" spans="2:27">
      <c r="B129" s="5"/>
      <c r="C129" s="5"/>
      <c r="D129" s="18"/>
      <c r="E129" s="18"/>
      <c r="F129" s="18"/>
      <c r="G129" s="18"/>
      <c r="H129" s="18"/>
      <c r="I129" s="254"/>
      <c r="J129" s="18"/>
      <c r="K129" s="18"/>
      <c r="L129" s="18"/>
      <c r="M129" s="18"/>
      <c r="N129" s="18"/>
      <c r="O129" s="5"/>
      <c r="Q129" s="5"/>
      <c r="R129" s="5"/>
      <c r="S129" s="5"/>
    </row>
    <row r="130" spans="2:27">
      <c r="B130" s="5"/>
      <c r="C130" s="5"/>
      <c r="D130" s="5"/>
      <c r="E130" s="5"/>
      <c r="F130" s="5"/>
      <c r="G130" s="5"/>
      <c r="H130" s="5"/>
      <c r="I130" s="18"/>
      <c r="J130" s="5"/>
      <c r="K130" s="5"/>
      <c r="L130" s="5"/>
      <c r="M130" s="5"/>
      <c r="N130" s="5"/>
      <c r="O130" s="5"/>
      <c r="Q130" s="5"/>
      <c r="R130" s="5"/>
      <c r="S130" s="5"/>
    </row>
    <row r="131" spans="2:27">
      <c r="B131" s="41"/>
      <c r="C131" s="254"/>
      <c r="D131" s="254"/>
      <c r="E131" s="254"/>
      <c r="F131" s="254"/>
      <c r="G131" s="254"/>
      <c r="H131" s="254"/>
      <c r="I131" s="5"/>
      <c r="J131" s="254"/>
      <c r="K131" s="254"/>
      <c r="L131" s="254"/>
      <c r="M131" s="254"/>
      <c r="N131" s="254"/>
      <c r="O131" s="5"/>
      <c r="Q131" s="5"/>
      <c r="R131" s="5"/>
      <c r="S131" s="5"/>
    </row>
    <row r="132" spans="2:27">
      <c r="B132" s="5"/>
      <c r="C132" s="259"/>
      <c r="D132" s="18"/>
      <c r="E132" s="18"/>
      <c r="F132" s="18"/>
      <c r="G132" s="18"/>
      <c r="H132" s="18"/>
      <c r="I132" s="5"/>
      <c r="J132" s="18"/>
      <c r="K132" s="18"/>
      <c r="L132" s="18"/>
      <c r="M132" s="18"/>
      <c r="N132" s="18"/>
      <c r="O132" s="5"/>
      <c r="Q132" s="5"/>
      <c r="R132" s="5"/>
      <c r="S132" s="5"/>
    </row>
    <row r="133" spans="2:27">
      <c r="B133" s="5"/>
      <c r="C133" s="5"/>
      <c r="D133" s="5"/>
      <c r="E133" s="5"/>
      <c r="F133" s="5"/>
      <c r="G133" s="5"/>
      <c r="H133" s="5"/>
      <c r="I133" s="17"/>
      <c r="J133" s="5"/>
      <c r="K133" s="5"/>
      <c r="L133" s="5"/>
      <c r="M133" s="5"/>
      <c r="N133" s="5"/>
      <c r="O133" s="5"/>
      <c r="Q133" s="5"/>
      <c r="R133" s="5"/>
      <c r="S133" s="5"/>
    </row>
    <row r="134" spans="2:27">
      <c r="B134" s="41"/>
      <c r="C134" s="5"/>
      <c r="D134" s="5"/>
      <c r="E134" s="5"/>
      <c r="F134" s="5"/>
      <c r="G134" s="5"/>
      <c r="H134" s="5"/>
      <c r="I134" s="17"/>
      <c r="J134" s="5"/>
      <c r="K134" s="5"/>
      <c r="L134" s="5"/>
      <c r="M134" s="5"/>
      <c r="N134" s="5"/>
      <c r="O134" s="5"/>
      <c r="Q134" s="5"/>
      <c r="R134" s="5"/>
      <c r="S134" s="5"/>
    </row>
    <row r="135" spans="2:27">
      <c r="B135" s="5"/>
      <c r="C135" s="17"/>
      <c r="D135" s="17"/>
      <c r="E135" s="17"/>
      <c r="F135" s="17"/>
      <c r="G135" s="17"/>
      <c r="H135" s="17"/>
      <c r="I135" s="17"/>
      <c r="J135" s="17"/>
      <c r="K135" s="17"/>
      <c r="L135" s="17"/>
      <c r="M135" s="17"/>
      <c r="N135" s="17"/>
      <c r="O135" s="5"/>
      <c r="Q135" s="41"/>
      <c r="R135" s="5"/>
      <c r="S135" s="5"/>
    </row>
    <row r="136" spans="2:27">
      <c r="B136" s="5"/>
      <c r="C136" s="17"/>
      <c r="D136" s="17"/>
      <c r="E136" s="17"/>
      <c r="F136" s="17"/>
      <c r="G136" s="17"/>
      <c r="H136" s="17"/>
      <c r="I136" s="17"/>
      <c r="J136" s="17"/>
      <c r="K136" s="17"/>
      <c r="L136" s="17"/>
      <c r="M136" s="17"/>
      <c r="N136" s="17"/>
      <c r="O136" s="5"/>
      <c r="Q136" s="5"/>
      <c r="R136" s="5"/>
      <c r="S136" s="5"/>
      <c r="X136" s="304"/>
    </row>
    <row r="137" spans="2:27">
      <c r="B137" s="5"/>
      <c r="C137" s="5"/>
      <c r="D137" s="17"/>
      <c r="E137" s="17"/>
      <c r="F137" s="17"/>
      <c r="G137" s="17"/>
      <c r="H137" s="17"/>
      <c r="I137" s="17"/>
      <c r="J137" s="17"/>
      <c r="K137" s="17"/>
      <c r="L137" s="17"/>
      <c r="M137" s="17"/>
      <c r="N137" s="17"/>
      <c r="O137" s="5"/>
      <c r="Q137" s="5"/>
      <c r="R137" s="5"/>
      <c r="S137" s="5"/>
      <c r="X137" s="10"/>
      <c r="Y137" s="304"/>
      <c r="Z137" s="304"/>
      <c r="AA137" s="304"/>
    </row>
    <row r="138" spans="2:27">
      <c r="B138" s="5"/>
      <c r="C138" s="5"/>
      <c r="D138" s="17"/>
      <c r="E138" s="17"/>
      <c r="F138" s="17"/>
      <c r="G138" s="17"/>
      <c r="H138" s="17"/>
      <c r="I138" s="17"/>
      <c r="J138" s="17"/>
      <c r="K138" s="17"/>
      <c r="L138" s="17"/>
      <c r="M138" s="17"/>
      <c r="N138" s="17"/>
      <c r="O138" s="5"/>
      <c r="Q138" s="5"/>
      <c r="R138" s="5"/>
      <c r="S138" s="5"/>
      <c r="Y138" s="10"/>
      <c r="Z138" s="10"/>
      <c r="AA138" s="10"/>
    </row>
    <row r="139" spans="2:27">
      <c r="B139" s="5"/>
      <c r="C139" s="5"/>
      <c r="D139" s="17"/>
      <c r="E139" s="17"/>
      <c r="F139" s="17"/>
      <c r="G139" s="17"/>
      <c r="H139" s="17"/>
      <c r="I139" s="5"/>
      <c r="J139" s="17"/>
      <c r="K139" s="17"/>
      <c r="L139" s="17"/>
      <c r="M139" s="17"/>
      <c r="N139" s="17"/>
      <c r="O139" s="5"/>
      <c r="Q139" s="5"/>
      <c r="R139" s="5"/>
      <c r="S139" s="5"/>
    </row>
    <row r="140" spans="2:27">
      <c r="B140" s="5"/>
      <c r="C140" s="17"/>
      <c r="D140" s="17"/>
      <c r="E140" s="17"/>
      <c r="F140" s="17"/>
      <c r="G140" s="17"/>
      <c r="H140" s="17"/>
      <c r="I140" s="5"/>
      <c r="J140" s="17"/>
      <c r="K140" s="17"/>
      <c r="L140" s="17"/>
      <c r="M140" s="17"/>
      <c r="N140" s="17"/>
      <c r="O140" s="5"/>
      <c r="Q140" s="5"/>
      <c r="R140" s="5"/>
      <c r="S140" s="5"/>
    </row>
    <row r="141" spans="2:27">
      <c r="B141" s="5"/>
      <c r="C141" s="5"/>
      <c r="D141" s="5"/>
      <c r="E141" s="5"/>
      <c r="F141" s="5"/>
      <c r="G141" s="5"/>
      <c r="H141" s="5"/>
      <c r="I141" s="5"/>
      <c r="J141" s="5"/>
      <c r="K141" s="5"/>
      <c r="L141" s="5"/>
      <c r="M141" s="5"/>
      <c r="N141" s="5"/>
      <c r="O141" s="5"/>
      <c r="Q141" s="5"/>
      <c r="R141" s="5"/>
      <c r="S141" s="5"/>
    </row>
    <row r="142" spans="2:27">
      <c r="B142" s="5"/>
      <c r="C142" s="5"/>
      <c r="D142" s="5"/>
      <c r="E142" s="5"/>
      <c r="F142" s="5"/>
      <c r="G142" s="5"/>
      <c r="H142" s="5"/>
      <c r="I142" s="5"/>
      <c r="J142" s="5"/>
      <c r="K142" s="5"/>
      <c r="L142" s="5"/>
      <c r="M142" s="5"/>
      <c r="N142" s="5"/>
      <c r="O142" s="5"/>
      <c r="Q142" s="5"/>
      <c r="R142" s="5"/>
      <c r="S142" s="5"/>
    </row>
    <row r="143" spans="2:27">
      <c r="B143" s="5"/>
      <c r="C143" s="5"/>
      <c r="D143" s="5"/>
      <c r="E143" s="5"/>
      <c r="F143" s="5"/>
      <c r="G143" s="5"/>
      <c r="H143" s="5"/>
      <c r="I143" s="5"/>
      <c r="J143" s="5"/>
      <c r="K143" s="5"/>
      <c r="L143" s="5"/>
      <c r="M143" s="5"/>
      <c r="N143" s="5"/>
      <c r="O143" s="5"/>
      <c r="Q143" s="5"/>
      <c r="R143" s="5"/>
      <c r="S143" s="5"/>
    </row>
    <row r="144" spans="2:27">
      <c r="B144" s="5"/>
      <c r="C144" s="5"/>
      <c r="D144" s="5"/>
      <c r="E144" s="5"/>
      <c r="F144" s="5"/>
      <c r="G144" s="5"/>
      <c r="H144" s="5"/>
      <c r="I144" s="5"/>
      <c r="J144" s="5"/>
      <c r="K144" s="5"/>
      <c r="L144" s="5"/>
      <c r="M144" s="5"/>
      <c r="N144" s="5"/>
      <c r="O144" s="5"/>
      <c r="Q144" s="5"/>
      <c r="R144" s="5"/>
      <c r="S144" s="5"/>
    </row>
    <row r="145" spans="2:19">
      <c r="B145" s="5"/>
      <c r="C145" s="5"/>
      <c r="D145" s="5"/>
      <c r="E145" s="5"/>
      <c r="F145" s="5"/>
      <c r="G145" s="5"/>
      <c r="H145" s="5"/>
      <c r="I145" s="5"/>
      <c r="J145" s="5"/>
      <c r="K145" s="5"/>
      <c r="L145" s="5"/>
      <c r="M145" s="5"/>
      <c r="N145" s="5"/>
      <c r="O145" s="5"/>
      <c r="Q145" s="5"/>
      <c r="R145" s="5"/>
      <c r="S145" s="5"/>
    </row>
    <row r="146" spans="2:19">
      <c r="B146" s="5"/>
      <c r="C146" s="5"/>
      <c r="D146" s="5"/>
      <c r="E146" s="5"/>
      <c r="F146" s="5"/>
      <c r="G146" s="5"/>
      <c r="H146" s="5"/>
      <c r="I146" s="5"/>
      <c r="J146" s="5"/>
      <c r="K146" s="5"/>
      <c r="L146" s="5"/>
      <c r="M146" s="5"/>
      <c r="N146" s="5"/>
      <c r="O146" s="5"/>
      <c r="Q146" s="5"/>
      <c r="R146" s="5"/>
      <c r="S146" s="5"/>
    </row>
    <row r="147" spans="2:19">
      <c r="B147" s="5"/>
      <c r="C147" s="5"/>
      <c r="D147" s="5"/>
      <c r="E147" s="5"/>
      <c r="F147" s="5"/>
      <c r="G147" s="5"/>
      <c r="H147" s="5"/>
      <c r="I147" s="5"/>
      <c r="J147" s="5"/>
      <c r="K147" s="5"/>
      <c r="L147" s="5"/>
      <c r="M147" s="5"/>
      <c r="N147" s="5"/>
      <c r="O147" s="5"/>
      <c r="Q147" s="5"/>
      <c r="R147" s="5"/>
      <c r="S147" s="5"/>
    </row>
    <row r="148" spans="2:19">
      <c r="B148" s="5"/>
      <c r="C148" s="5"/>
      <c r="D148" s="5"/>
      <c r="E148" s="5"/>
      <c r="F148" s="5"/>
      <c r="G148" s="5"/>
      <c r="H148" s="5"/>
      <c r="I148" s="5"/>
      <c r="J148" s="5"/>
      <c r="K148" s="5"/>
      <c r="L148" s="5"/>
      <c r="M148" s="5"/>
      <c r="N148" s="5"/>
      <c r="O148" s="5"/>
      <c r="Q148" s="5"/>
      <c r="R148" s="5"/>
      <c r="S148" s="5"/>
    </row>
    <row r="149" spans="2:19">
      <c r="B149" s="5"/>
      <c r="C149" s="5"/>
      <c r="D149" s="5"/>
      <c r="E149" s="5"/>
      <c r="F149" s="5"/>
      <c r="G149" s="5"/>
      <c r="H149" s="5"/>
      <c r="J149" s="5"/>
      <c r="K149" s="5"/>
      <c r="L149" s="5"/>
      <c r="M149" s="5"/>
      <c r="N149" s="5"/>
      <c r="O149" s="5"/>
      <c r="Q149" s="5"/>
      <c r="R149" s="5"/>
      <c r="S149" s="5"/>
    </row>
    <row r="150" spans="2:19">
      <c r="B150" s="5"/>
      <c r="C150" s="5"/>
      <c r="D150" s="5"/>
      <c r="E150" s="5"/>
      <c r="F150" s="5"/>
      <c r="G150" s="5"/>
      <c r="H150" s="5"/>
      <c r="J150" s="5"/>
      <c r="K150" s="5"/>
      <c r="L150" s="5"/>
      <c r="M150" s="5"/>
      <c r="N150" s="5"/>
      <c r="O150" s="5"/>
      <c r="Q150" s="5"/>
      <c r="R150" s="5"/>
      <c r="S150" s="5"/>
    </row>
    <row r="151" spans="2:19">
      <c r="Q151" s="5"/>
      <c r="R151" s="5"/>
      <c r="S151" s="5"/>
    </row>
    <row r="152" spans="2:19">
      <c r="Q152" s="5"/>
      <c r="R152" s="5"/>
      <c r="S152" s="5"/>
    </row>
    <row r="153" spans="2:19">
      <c r="C153" s="263"/>
      <c r="Q153" s="5"/>
      <c r="R153" s="5"/>
      <c r="S153" s="5"/>
    </row>
    <row r="154" spans="2:19">
      <c r="Q154" s="5"/>
      <c r="R154" s="5"/>
      <c r="S154" s="5"/>
    </row>
    <row r="155" spans="2:19">
      <c r="Q155" s="5"/>
      <c r="R155" s="5"/>
      <c r="S155" s="5"/>
    </row>
    <row r="156" spans="2:19">
      <c r="Q156" s="5"/>
      <c r="R156" s="5"/>
      <c r="S156" s="5"/>
    </row>
    <row r="157" spans="2:19">
      <c r="Q157" s="5"/>
      <c r="R157" s="5"/>
      <c r="S157" s="5"/>
    </row>
    <row r="158" spans="2:19">
      <c r="Q158" s="5"/>
      <c r="R158" s="5"/>
      <c r="S158" s="5"/>
    </row>
    <row r="159" spans="2:19">
      <c r="Q159" s="5"/>
      <c r="R159" s="5"/>
      <c r="S159" s="5"/>
    </row>
    <row r="160" spans="2:19">
      <c r="Q160" s="5"/>
      <c r="R160" s="5"/>
      <c r="S160" s="5"/>
    </row>
    <row r="161" spans="17:19">
      <c r="Q161" s="5"/>
      <c r="R161" s="5"/>
      <c r="S161" s="5"/>
    </row>
    <row r="162" spans="17:19">
      <c r="Q162" s="5"/>
      <c r="R162" s="5"/>
      <c r="S162" s="5"/>
    </row>
    <row r="163" spans="17:19">
      <c r="Q163" s="5"/>
      <c r="R163" s="5"/>
      <c r="S163" s="5"/>
    </row>
    <row r="164" spans="17:19">
      <c r="Q164" s="5"/>
      <c r="R164" s="5"/>
      <c r="S164" s="5"/>
    </row>
    <row r="165" spans="17:19">
      <c r="Q165" s="5"/>
      <c r="R165" s="5"/>
      <c r="S165" s="5"/>
    </row>
  </sheetData>
  <pageMargins left="0.75" right="0.75" top="1" bottom="1" header="0.5" footer="0.5"/>
  <pageSetup scale="67" orientation="landscape" r:id="rId1"/>
  <headerFooter alignWithMargins="0"/>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7">
    <pageSetUpPr fitToPage="1"/>
  </sheetPr>
  <dimension ref="B1:AR165"/>
  <sheetViews>
    <sheetView showGridLines="0" zoomScale="80" zoomScaleNormal="80" zoomScaleSheetLayoutView="80" workbookViewId="0">
      <selection activeCell="B31" sqref="B31:G31"/>
    </sheetView>
  </sheetViews>
  <sheetFormatPr defaultColWidth="9.109375" defaultRowHeight="12"/>
  <cols>
    <col min="1" max="1" width="2.33203125" style="39" customWidth="1"/>
    <col min="2" max="2" width="26.5546875" style="39" customWidth="1"/>
    <col min="3" max="9" width="10" style="39" customWidth="1"/>
    <col min="10" max="10" width="26.6640625" style="39" customWidth="1"/>
    <col min="11" max="16" width="10" style="39" customWidth="1"/>
    <col min="17" max="19" width="8.6640625" style="39" customWidth="1"/>
    <col min="20" max="28" width="8.6640625" style="5" customWidth="1"/>
    <col min="29" max="44" width="9.109375" style="5"/>
    <col min="45" max="16384" width="9.109375" style="39"/>
  </cols>
  <sheetData>
    <row r="1" spans="2:44" s="312" customFormat="1">
      <c r="T1" s="149"/>
      <c r="U1" s="149"/>
      <c r="V1" s="149"/>
      <c r="W1" s="149"/>
      <c r="X1" s="149"/>
      <c r="Y1" s="149"/>
      <c r="Z1" s="149"/>
      <c r="AA1" s="149"/>
      <c r="AB1" s="149"/>
      <c r="AC1" s="149"/>
      <c r="AD1" s="149"/>
      <c r="AE1" s="149"/>
      <c r="AF1" s="149"/>
      <c r="AG1" s="149"/>
      <c r="AH1" s="149"/>
      <c r="AI1" s="149"/>
      <c r="AJ1" s="149"/>
      <c r="AK1" s="149"/>
      <c r="AL1" s="149"/>
      <c r="AM1" s="149"/>
      <c r="AN1" s="149"/>
      <c r="AO1" s="149"/>
      <c r="AP1" s="149"/>
      <c r="AQ1" s="149"/>
      <c r="AR1" s="149"/>
    </row>
    <row r="2" spans="2:44" s="149" customFormat="1"/>
    <row r="3" spans="2:44" s="149" customFormat="1">
      <c r="H3" s="153"/>
      <c r="P3" s="153"/>
    </row>
    <row r="4" spans="2:44" s="156" customFormat="1" ht="21">
      <c r="B4" s="129" t="s">
        <v>595</v>
      </c>
      <c r="H4" s="222"/>
      <c r="P4" s="222"/>
    </row>
    <row r="5" spans="2:44" s="149" customFormat="1">
      <c r="C5" s="153"/>
      <c r="D5" s="153" t="str" cm="1">
        <f t="array" ref="D5:H5">headings</f>
        <v>2023E</v>
      </c>
      <c r="E5" s="153" t="str">
        <v>2024E</v>
      </c>
      <c r="F5" s="153" t="str">
        <v>2025E</v>
      </c>
      <c r="G5" s="153" t="str">
        <v>2026E</v>
      </c>
      <c r="H5" s="153" t="str">
        <v>23E-26E</v>
      </c>
      <c r="I5" s="153"/>
      <c r="J5" s="153"/>
      <c r="K5" s="153"/>
      <c r="L5" s="153" t="str" cm="1">
        <f t="array" ref="L5:P5">headings</f>
        <v>2023E</v>
      </c>
      <c r="M5" s="153" t="str">
        <v>2024E</v>
      </c>
      <c r="N5" s="153" t="str">
        <v>2025E</v>
      </c>
      <c r="O5" s="153" t="str">
        <v>2026E</v>
      </c>
      <c r="P5" s="153" t="str">
        <v>23E-26E</v>
      </c>
      <c r="Q5" s="162"/>
      <c r="R5" s="162"/>
      <c r="S5" s="162"/>
      <c r="T5" s="162"/>
      <c r="U5" s="162"/>
      <c r="V5" s="162"/>
      <c r="W5" s="162"/>
      <c r="X5" s="162"/>
      <c r="Y5" s="162"/>
    </row>
    <row r="6" spans="2:44">
      <c r="I6" s="5"/>
      <c r="J6" s="5"/>
      <c r="K6" s="5"/>
      <c r="L6" s="5"/>
      <c r="M6" s="5"/>
      <c r="N6" s="5"/>
      <c r="O6" s="49"/>
    </row>
    <row r="7" spans="2:44" ht="12.6" thickBot="1">
      <c r="B7" s="306" t="s">
        <v>271</v>
      </c>
      <c r="C7" s="265"/>
      <c r="D7" s="265" t="str">
        <f>D5</f>
        <v>2023E</v>
      </c>
      <c r="E7" s="265" t="str">
        <f t="shared" ref="E7:H7" si="0">E5</f>
        <v>2024E</v>
      </c>
      <c r="F7" s="265" t="str">
        <f t="shared" si="0"/>
        <v>2025E</v>
      </c>
      <c r="G7" s="265" t="str">
        <f t="shared" si="0"/>
        <v>2026E</v>
      </c>
      <c r="H7" s="265" t="str">
        <f t="shared" si="0"/>
        <v>23E-26E</v>
      </c>
      <c r="I7" s="49"/>
      <c r="J7" s="306" t="s">
        <v>35</v>
      </c>
      <c r="K7" s="306"/>
      <c r="L7" s="265" t="str">
        <f>L5</f>
        <v>2023E</v>
      </c>
      <c r="M7" s="265" t="str">
        <f t="shared" ref="M7:P7" si="1">M5</f>
        <v>2024E</v>
      </c>
      <c r="N7" s="265" t="str">
        <f t="shared" si="1"/>
        <v>2025E</v>
      </c>
      <c r="O7" s="265" t="str">
        <f t="shared" si="1"/>
        <v>2026E</v>
      </c>
      <c r="P7" s="265" t="str">
        <f t="shared" si="1"/>
        <v>23E-26E</v>
      </c>
    </row>
    <row r="8" spans="2:44" ht="12.6" thickTop="1">
      <c r="B8" s="5"/>
      <c r="C8" s="5"/>
      <c r="D8" s="5"/>
      <c r="E8" s="5"/>
      <c r="F8" s="5"/>
      <c r="G8" s="5"/>
      <c r="H8" s="5"/>
      <c r="I8" s="5"/>
      <c r="J8" s="5"/>
      <c r="K8" s="5"/>
      <c r="L8" s="5"/>
      <c r="M8" s="5"/>
      <c r="N8" s="5"/>
      <c r="S8" s="88"/>
      <c r="T8" s="42"/>
      <c r="U8" s="42"/>
      <c r="V8" s="42"/>
      <c r="W8" s="42"/>
      <c r="X8" s="42"/>
      <c r="Y8" s="42"/>
      <c r="Z8" s="42"/>
      <c r="AA8" s="42"/>
    </row>
    <row r="9" spans="2:44">
      <c r="B9" s="41" t="s">
        <v>272</v>
      </c>
      <c r="C9" s="287">
        <f>Prices!C9</f>
        <v>21.76</v>
      </c>
      <c r="D9" s="535">
        <v>0</v>
      </c>
      <c r="E9" s="536">
        <v>0</v>
      </c>
      <c r="F9" s="536">
        <v>0</v>
      </c>
      <c r="G9" s="536">
        <v>0</v>
      </c>
      <c r="H9" s="249"/>
      <c r="I9" s="249"/>
      <c r="J9" s="5" t="s">
        <v>273</v>
      </c>
      <c r="L9" s="529">
        <f>'W.EUR INCUMB'!D37</f>
        <v>2.1820368783030246</v>
      </c>
      <c r="M9" s="529">
        <f>'W.EUR INCUMB'!E37</f>
        <v>2.0995807894380842</v>
      </c>
      <c r="N9" s="529">
        <f>'W.EUR INCUMB'!F37</f>
        <v>2.0073776110351829</v>
      </c>
      <c r="O9" s="529">
        <f>'W.EUR INCUMB'!G37</f>
        <v>1.9004321192081457</v>
      </c>
      <c r="P9" s="279">
        <f>'W.EUR INCUMB'!H37</f>
        <v>1.5546449189376421E-2</v>
      </c>
      <c r="S9" s="88"/>
      <c r="T9" s="42"/>
      <c r="U9" s="42"/>
      <c r="V9" s="42"/>
      <c r="W9" s="42"/>
      <c r="X9" s="42"/>
      <c r="Y9" s="42"/>
      <c r="Z9" s="42"/>
      <c r="AA9" s="42"/>
    </row>
    <row r="10" spans="2:44">
      <c r="B10" s="5" t="s">
        <v>274</v>
      </c>
      <c r="C10" s="5"/>
      <c r="D10" s="531">
        <v>4986.4589999999998</v>
      </c>
      <c r="E10" s="531">
        <v>4886.4589999999998</v>
      </c>
      <c r="F10" s="531">
        <v>4886.4589999999998</v>
      </c>
      <c r="G10" s="531">
        <v>4886.4589999999998</v>
      </c>
      <c r="H10" s="247"/>
      <c r="I10" s="247"/>
      <c r="J10" s="5" t="s">
        <v>184</v>
      </c>
      <c r="L10" s="529">
        <f>'W.EUR INCUMB'!D38</f>
        <v>6.6561389315824204</v>
      </c>
      <c r="M10" s="529">
        <f>'W.EUR INCUMB'!E38</f>
        <v>6.276659180358183</v>
      </c>
      <c r="N10" s="529">
        <f>'W.EUR INCUMB'!F38</f>
        <v>5.9086011977805715</v>
      </c>
      <c r="O10" s="529">
        <f>'W.EUR INCUMB'!G38</f>
        <v>5.5249848727361259</v>
      </c>
      <c r="P10" s="279">
        <f>'W.EUR INCUMB'!H38</f>
        <v>3.1953936851226938E-2</v>
      </c>
      <c r="S10" s="88"/>
      <c r="T10" s="42"/>
      <c r="U10" s="42"/>
      <c r="V10" s="42"/>
      <c r="W10" s="288"/>
      <c r="X10" s="288"/>
      <c r="Y10" s="288"/>
      <c r="Z10" s="288"/>
      <c r="AA10" s="42"/>
    </row>
    <row r="11" spans="2:44">
      <c r="B11" s="41" t="s">
        <v>275</v>
      </c>
      <c r="C11" s="5"/>
      <c r="D11" s="532">
        <f>$C$9*D10</f>
        <v>108505.34784</v>
      </c>
      <c r="E11" s="532">
        <f>$C$9*E10</f>
        <v>106329.34784</v>
      </c>
      <c r="F11" s="532">
        <f>$C$9*F10</f>
        <v>106329.34784</v>
      </c>
      <c r="G11" s="532">
        <f>$C$9*G10</f>
        <v>106329.34784</v>
      </c>
      <c r="H11" s="249"/>
      <c r="I11" s="249"/>
      <c r="J11" s="5" t="s">
        <v>185</v>
      </c>
      <c r="L11" s="529">
        <f>'W.EUR INCUMB'!D39</f>
        <v>13.860323858751276</v>
      </c>
      <c r="M11" s="529">
        <f>'W.EUR INCUMB'!E39</f>
        <v>12.09622383745986</v>
      </c>
      <c r="N11" s="529">
        <f>'W.EUR INCUMB'!F39</f>
        <v>10.876080155020103</v>
      </c>
      <c r="O11" s="529">
        <f>'W.EUR INCUMB'!G39</f>
        <v>9.7993857809910292</v>
      </c>
      <c r="P11" s="279">
        <f>'W.EUR INCUMB'!H39</f>
        <v>8.864945159447446E-2</v>
      </c>
      <c r="S11" s="88"/>
      <c r="T11" s="42"/>
      <c r="U11" s="42"/>
      <c r="V11" s="42"/>
      <c r="W11" s="288"/>
      <c r="X11" s="288"/>
      <c r="Y11" s="288"/>
      <c r="Z11" s="288"/>
      <c r="AA11" s="42"/>
    </row>
    <row r="12" spans="2:44">
      <c r="B12" s="5" t="s">
        <v>24</v>
      </c>
      <c r="C12" s="249"/>
      <c r="D12" s="533">
        <v>93746</v>
      </c>
      <c r="E12" s="533">
        <v>99370.944570084714</v>
      </c>
      <c r="F12" s="533">
        <v>99119.249880591713</v>
      </c>
      <c r="G12" s="533">
        <v>96215.227629497691</v>
      </c>
      <c r="H12" s="247"/>
      <c r="I12" s="247"/>
      <c r="J12" s="5" t="s">
        <v>466</v>
      </c>
      <c r="L12" s="529">
        <f>'W.EUR INCUMB'!D40</f>
        <v>18.773170831659439</v>
      </c>
      <c r="M12" s="529">
        <f>'W.EUR INCUMB'!E40</f>
        <v>16.316100899802951</v>
      </c>
      <c r="N12" s="529">
        <f>'W.EUR INCUMB'!F40</f>
        <v>14.678691432593167</v>
      </c>
      <c r="O12" s="529">
        <f>'W.EUR INCUMB'!G40</f>
        <v>13.250660214807615</v>
      </c>
      <c r="P12" s="279">
        <f>'W.EUR INCUMB'!H40</f>
        <v>8.9255902689365119E-2</v>
      </c>
      <c r="S12" s="88"/>
      <c r="T12" s="42"/>
      <c r="U12" s="42"/>
      <c r="V12" s="42"/>
      <c r="W12" s="288"/>
      <c r="X12" s="288"/>
      <c r="Y12" s="288"/>
      <c r="Z12" s="288"/>
      <c r="AA12" s="42"/>
    </row>
    <row r="13" spans="2:44">
      <c r="B13" s="5" t="s">
        <v>529</v>
      </c>
      <c r="C13" s="257"/>
      <c r="D13" s="533">
        <v>13561.282649247863</v>
      </c>
      <c r="E13" s="533">
        <v>13198.933515949309</v>
      </c>
      <c r="F13" s="533">
        <v>12569.821734518249</v>
      </c>
      <c r="G13" s="533">
        <v>12093.49135735538</v>
      </c>
      <c r="H13" s="247"/>
      <c r="I13" s="247"/>
      <c r="J13" s="5" t="s">
        <v>530</v>
      </c>
      <c r="L13" s="529">
        <f>'W.EUR INCUMB'!D41</f>
        <v>1.4554049615742648</v>
      </c>
      <c r="M13" s="529">
        <f>'W.EUR INCUMB'!E41</f>
        <v>1.3652506578772214</v>
      </c>
      <c r="N13" s="529">
        <f>'W.EUR INCUMB'!F41</f>
        <v>1.2968813123150413</v>
      </c>
      <c r="O13" s="529">
        <f>'W.EUR INCUMB'!G41</f>
        <v>1.2281427713802577</v>
      </c>
      <c r="P13" s="279">
        <f>'W.EUR INCUMB'!H41</f>
        <v>2.6301307293472354E-2</v>
      </c>
      <c r="S13" s="88"/>
      <c r="T13" s="42"/>
      <c r="U13" s="42"/>
      <c r="V13" s="42"/>
      <c r="W13" s="42"/>
      <c r="X13" s="42"/>
      <c r="Y13" s="42"/>
      <c r="Z13" s="42"/>
      <c r="AA13" s="42"/>
    </row>
    <row r="14" spans="2:44">
      <c r="B14" s="5" t="s">
        <v>532</v>
      </c>
      <c r="C14" s="257"/>
      <c r="D14" s="530">
        <f>DTSOP!R32</f>
        <v>6909.6571510765898</v>
      </c>
      <c r="E14" s="530">
        <f t="shared" ref="E14:G14" si="2">D14</f>
        <v>6909.6571510765898</v>
      </c>
      <c r="F14" s="530">
        <f t="shared" si="2"/>
        <v>6909.6571510765898</v>
      </c>
      <c r="G14" s="530">
        <f t="shared" si="2"/>
        <v>6909.6571510765898</v>
      </c>
      <c r="H14" s="247"/>
      <c r="I14" s="247"/>
      <c r="J14" s="5" t="s">
        <v>593</v>
      </c>
      <c r="L14" s="529">
        <f>'W.EUR INCUMB'!D42</f>
        <v>3.3234793761102739</v>
      </c>
      <c r="M14" s="529">
        <f>'W.EUR INCUMB'!E42</f>
        <v>3.2424169171692641</v>
      </c>
      <c r="N14" s="529">
        <f>'W.EUR INCUMB'!F42</f>
        <v>3.1662515332190617</v>
      </c>
      <c r="O14" s="529">
        <f>'W.EUR INCUMB'!G42</f>
        <v>3.0630241710617754</v>
      </c>
      <c r="P14" s="279">
        <f>'W.EUR INCUMB'!H42</f>
        <v>-3.4232783193558491E-3</v>
      </c>
      <c r="S14" s="88"/>
      <c r="T14" s="42"/>
      <c r="U14" s="42"/>
      <c r="V14" s="42"/>
      <c r="W14" s="42"/>
      <c r="X14" s="42"/>
      <c r="Y14" s="42"/>
      <c r="Z14" s="42"/>
      <c r="AA14" s="42"/>
    </row>
    <row r="15" spans="2:44">
      <c r="B15" s="5" t="s">
        <v>531</v>
      </c>
      <c r="C15" s="274"/>
      <c r="D15" s="546">
        <v>88253.317298446796</v>
      </c>
      <c r="E15" s="546">
        <v>85189.849021628077</v>
      </c>
      <c r="F15" s="546">
        <v>82943.900918270287</v>
      </c>
      <c r="G15" s="546">
        <v>80352.540878018408</v>
      </c>
      <c r="H15" s="247"/>
      <c r="I15" s="247"/>
      <c r="J15" s="5" t="s">
        <v>475</v>
      </c>
      <c r="L15" s="529">
        <f>'W.EUR INCUMB'!D43</f>
        <v>15.36919487731438</v>
      </c>
      <c r="M15" s="529">
        <f>'W.EUR INCUMB'!E43</f>
        <v>13.900480990887658</v>
      </c>
      <c r="N15" s="529">
        <f>'W.EUR INCUMB'!F43</f>
        <v>11.808036199618913</v>
      </c>
      <c r="O15" s="529">
        <f>'W.EUR INCUMB'!G43</f>
        <v>10.77079458313478</v>
      </c>
      <c r="P15" s="279">
        <f>'W.EUR INCUMB'!H43</f>
        <v>0.11736524628436351</v>
      </c>
      <c r="S15" s="88"/>
      <c r="T15" s="42"/>
      <c r="U15" s="42"/>
      <c r="V15" s="42"/>
      <c r="W15" s="42"/>
      <c r="X15" s="42"/>
      <c r="Y15" s="42"/>
      <c r="Z15" s="42"/>
      <c r="AA15" s="42"/>
    </row>
    <row r="16" spans="2:44">
      <c r="B16" s="5" t="s">
        <v>534</v>
      </c>
      <c r="C16" s="257"/>
      <c r="D16" s="533">
        <v>0</v>
      </c>
      <c r="E16" s="533">
        <v>3812.6234300000001</v>
      </c>
      <c r="F16" s="533">
        <v>8082.7616716000011</v>
      </c>
      <c r="G16" s="533">
        <v>12768.727702192002</v>
      </c>
      <c r="H16" s="247"/>
      <c r="I16" s="247"/>
      <c r="J16" s="5" t="s">
        <v>533</v>
      </c>
      <c r="L16" s="529">
        <f>'W.EUR INCUMB'!D44</f>
        <v>13.849445280082518</v>
      </c>
      <c r="M16" s="529">
        <f>'W.EUR INCUMB'!E44</f>
        <v>12.437286696089576</v>
      </c>
      <c r="N16" s="529">
        <f>'W.EUR INCUMB'!F44</f>
        <v>11.380437598490861</v>
      </c>
      <c r="O16" s="529">
        <f>'W.EUR INCUMB'!G44</f>
        <v>10.478743141097034</v>
      </c>
      <c r="P16" s="279">
        <f>'W.EUR INCUMB'!H44</f>
        <v>9.2323853476973694E-2</v>
      </c>
      <c r="S16" s="88"/>
      <c r="T16" s="42"/>
      <c r="U16" s="42"/>
      <c r="V16" s="42"/>
      <c r="W16" s="42"/>
      <c r="X16" s="42"/>
      <c r="Y16" s="42"/>
      <c r="Z16" s="42"/>
      <c r="AA16" s="42"/>
    </row>
    <row r="17" spans="2:27">
      <c r="B17" s="5" t="s">
        <v>6</v>
      </c>
      <c r="C17" s="257"/>
      <c r="D17" s="533">
        <v>1228.8526558991982</v>
      </c>
      <c r="E17" s="533">
        <v>1228.8526558991982</v>
      </c>
      <c r="F17" s="533">
        <v>1228.8526558991982</v>
      </c>
      <c r="G17" s="533">
        <v>1228.8526558991982</v>
      </c>
      <c r="H17" s="247"/>
      <c r="I17" s="247"/>
      <c r="J17" s="5" t="s">
        <v>580</v>
      </c>
      <c r="L17" s="248">
        <f>'W.EUR INCUMB'!D45</f>
        <v>4.9929768285127372E-2</v>
      </c>
      <c r="M17" s="248">
        <f>'W.EUR INCUMB'!E45</f>
        <v>5.2540326500089954E-2</v>
      </c>
      <c r="N17" s="248">
        <f>'W.EUR INCUMB'!F45</f>
        <v>5.4852141769022943E-2</v>
      </c>
      <c r="O17" s="248">
        <f>'W.EUR INCUMB'!G45</f>
        <v>5.8322596586761276E-2</v>
      </c>
      <c r="P17" s="279">
        <f>'W.EUR INCUMB'!H45</f>
        <v>4.8261067786518064E-2</v>
      </c>
      <c r="S17" s="88"/>
      <c r="T17" s="42"/>
      <c r="U17" s="42"/>
      <c r="V17" s="42"/>
      <c r="W17" s="42"/>
      <c r="X17" s="42"/>
      <c r="Y17" s="42"/>
      <c r="Z17" s="42"/>
      <c r="AA17" s="42"/>
    </row>
    <row r="18" spans="2:27" ht="12.6" thickBot="1">
      <c r="B18" s="41" t="s">
        <v>583</v>
      </c>
      <c r="C18" s="249"/>
      <c r="D18" s="534">
        <f>D11+D12+D13-D14+D15-D16-D17</f>
        <v>295927.43798071885</v>
      </c>
      <c r="E18" s="534">
        <f>E11+E12+E13-E14+E15-E16-E17</f>
        <v>292137.94171068637</v>
      </c>
      <c r="F18" s="534">
        <f>F11+F12+F13-F14+F15-F16-F17</f>
        <v>284741.04889480444</v>
      </c>
      <c r="G18" s="534">
        <f>G11+G12+G13-G14+G15-G16-G17</f>
        <v>274083.37019570376</v>
      </c>
      <c r="H18" s="276">
        <f>IF(D18=0,"nm",IF(G18=0,"nm",(G18/D18)^(1/3)-1))</f>
        <v>-2.5236742680221136E-2</v>
      </c>
      <c r="I18" s="254"/>
      <c r="J18" s="5" t="s">
        <v>36</v>
      </c>
      <c r="L18" s="248">
        <f>'W.EUR INCUMB'!D46</f>
        <v>4.9929768285127372E-2</v>
      </c>
      <c r="M18" s="248">
        <f>'W.EUR INCUMB'!E46</f>
        <v>5.2540326500089954E-2</v>
      </c>
      <c r="N18" s="248">
        <f>'W.EUR INCUMB'!F46</f>
        <v>5.4852141769022943E-2</v>
      </c>
      <c r="O18" s="248">
        <f>'W.EUR INCUMB'!G46</f>
        <v>5.8322596586761276E-2</v>
      </c>
      <c r="P18" s="279">
        <f>'W.EUR INCUMB'!H46</f>
        <v>4.8261067786518064E-2</v>
      </c>
      <c r="S18" s="88"/>
      <c r="T18" s="42"/>
      <c r="U18" s="42"/>
      <c r="V18" s="42"/>
      <c r="W18" s="42"/>
      <c r="X18" s="42"/>
      <c r="Y18" s="42"/>
      <c r="Z18" s="42"/>
      <c r="AA18" s="42"/>
    </row>
    <row r="19" spans="2:27" ht="12.6" thickTop="1">
      <c r="B19" s="41"/>
      <c r="C19" s="249"/>
      <c r="D19" s="229"/>
      <c r="E19" s="229"/>
      <c r="F19" s="229"/>
      <c r="G19" s="229"/>
      <c r="H19" s="276"/>
      <c r="I19" s="254"/>
      <c r="J19" s="5" t="s">
        <v>581</v>
      </c>
      <c r="L19" s="248">
        <f>'W.EUR INCUMB'!D47</f>
        <v>6.5065217012508891E-2</v>
      </c>
      <c r="M19" s="248">
        <f>'W.EUR INCUMB'!E47</f>
        <v>7.1939956657294191E-2</v>
      </c>
      <c r="N19" s="248">
        <f>'W.EUR INCUMB'!F47</f>
        <v>8.4688087256395234E-2</v>
      </c>
      <c r="O19" s="248">
        <f>'W.EUR INCUMB'!G47</f>
        <v>9.2843660909272999E-2</v>
      </c>
      <c r="P19" s="279">
        <f>'W.EUR INCUMB'!H47</f>
        <v>0.11736524628436351</v>
      </c>
      <c r="S19" s="88"/>
      <c r="T19" s="42"/>
      <c r="U19" s="42"/>
      <c r="V19" s="42"/>
      <c r="W19" s="42"/>
      <c r="X19" s="42"/>
      <c r="Y19" s="42"/>
      <c r="Z19" s="42"/>
      <c r="AA19" s="42"/>
    </row>
    <row r="20" spans="2:27">
      <c r="H20" s="277"/>
      <c r="I20" s="17"/>
      <c r="J20" s="5" t="s">
        <v>604</v>
      </c>
      <c r="L20" s="305">
        <f>'W.EUR INCUMB'!D48</f>
        <v>0.69753103513272863</v>
      </c>
      <c r="M20" s="305">
        <f>'W.EUR INCUMB'!E48</f>
        <v>0.66278263399293669</v>
      </c>
      <c r="N20" s="305">
        <f>'W.EUR INCUMB'!F48</f>
        <v>0.5878425682239502</v>
      </c>
      <c r="O20" s="305">
        <f>'W.EUR INCUMB'!G48</f>
        <v>0.5759521808171526</v>
      </c>
      <c r="P20" s="279" t="str">
        <f>'W.EUR INCUMB'!H48</f>
        <v>nm</v>
      </c>
      <c r="S20" s="88"/>
      <c r="T20" s="42"/>
      <c r="U20" s="42"/>
      <c r="V20" s="42"/>
      <c r="W20" s="42"/>
      <c r="X20" s="42"/>
      <c r="Y20" s="42"/>
      <c r="Z20" s="42"/>
      <c r="AA20" s="42"/>
    </row>
    <row r="21" spans="2:27" ht="12.6" thickBot="1">
      <c r="B21" s="306" t="s">
        <v>926</v>
      </c>
      <c r="C21" s="265"/>
      <c r="D21" s="265" t="str">
        <f>D5</f>
        <v>2023E</v>
      </c>
      <c r="E21" s="265" t="str">
        <f t="shared" ref="E21:H21" si="3">E5</f>
        <v>2024E</v>
      </c>
      <c r="F21" s="265" t="str">
        <f t="shared" si="3"/>
        <v>2025E</v>
      </c>
      <c r="G21" s="265" t="str">
        <f t="shared" si="3"/>
        <v>2026E</v>
      </c>
      <c r="H21" s="265" t="str">
        <f t="shared" si="3"/>
        <v>23E-26E</v>
      </c>
      <c r="I21" s="49"/>
      <c r="J21" s="41"/>
      <c r="L21" s="250"/>
      <c r="M21" s="250"/>
      <c r="N21" s="250"/>
      <c r="O21" s="250"/>
      <c r="P21" s="279"/>
      <c r="S21" s="88"/>
      <c r="T21" s="42"/>
      <c r="U21" s="42"/>
      <c r="V21" s="42"/>
      <c r="W21" s="42"/>
      <c r="X21" s="42"/>
      <c r="Y21" s="42"/>
      <c r="Z21" s="42"/>
      <c r="AA21" s="42"/>
    </row>
    <row r="22" spans="2:27" ht="12.6" thickTop="1">
      <c r="B22" s="5"/>
      <c r="C22" s="257"/>
      <c r="D22" s="17"/>
      <c r="E22" s="17"/>
      <c r="F22" s="17"/>
      <c r="G22" s="17"/>
      <c r="H22" s="17"/>
      <c r="I22" s="17"/>
      <c r="P22" s="277"/>
      <c r="S22" s="88"/>
      <c r="T22" s="42"/>
      <c r="U22" s="42"/>
      <c r="V22" s="42"/>
      <c r="W22" s="42"/>
      <c r="X22" s="42"/>
      <c r="Y22" s="42"/>
      <c r="Z22" s="42"/>
      <c r="AA22" s="42"/>
    </row>
    <row r="23" spans="2:27" ht="12.6" thickBot="1">
      <c r="B23" s="5" t="s">
        <v>584</v>
      </c>
      <c r="C23" s="548">
        <v>111830.31390766318</v>
      </c>
      <c r="D23" s="540">
        <v>114948.15027406147</v>
      </c>
      <c r="E23" s="540">
        <v>118649.89925044625</v>
      </c>
      <c r="F23" s="540">
        <v>122008.72510268698</v>
      </c>
      <c r="G23" s="540">
        <v>125136.19449164464</v>
      </c>
      <c r="H23" s="279">
        <f t="shared" ref="H23:H32" si="4">IF(D23=0,"nm",IF(G23=0,"nm",(G23/D23)^(1/3)-1))</f>
        <v>2.8711635734588237E-2</v>
      </c>
      <c r="I23" s="247"/>
      <c r="J23" s="306" t="s">
        <v>9</v>
      </c>
      <c r="K23" s="306"/>
      <c r="L23" s="265" t="str">
        <f>D21</f>
        <v>2023E</v>
      </c>
      <c r="M23" s="265" t="str">
        <f t="shared" ref="M23:P23" si="5">E21</f>
        <v>2024E</v>
      </c>
      <c r="N23" s="265" t="str">
        <f t="shared" si="5"/>
        <v>2025E</v>
      </c>
      <c r="O23" s="265" t="str">
        <f t="shared" si="5"/>
        <v>2026E</v>
      </c>
      <c r="P23" s="265" t="str">
        <f t="shared" si="5"/>
        <v>23E-26E</v>
      </c>
      <c r="S23" s="88"/>
      <c r="T23" s="42"/>
      <c r="U23" s="42"/>
      <c r="V23" s="42"/>
      <c r="W23" s="42"/>
      <c r="X23" s="42"/>
      <c r="Y23" s="42"/>
      <c r="Z23" s="42"/>
      <c r="AA23" s="42"/>
    </row>
    <row r="24" spans="2:27" ht="12.6" thickTop="1">
      <c r="B24" s="5" t="s">
        <v>483</v>
      </c>
      <c r="C24" s="549">
        <v>39858</v>
      </c>
      <c r="D24" s="540">
        <v>40141.797483160597</v>
      </c>
      <c r="E24" s="540">
        <v>42549.213705691524</v>
      </c>
      <c r="F24" s="540">
        <v>44891.561614555489</v>
      </c>
      <c r="G24" s="540">
        <v>46951.790380500039</v>
      </c>
      <c r="H24" s="279">
        <f>IF(D24=0,"nm",IF(G24=0,"nm",(G24/D24)^(1/3)-1))</f>
        <v>5.3622688341299352E-2</v>
      </c>
      <c r="I24" s="249"/>
      <c r="J24" s="17"/>
      <c r="K24" s="17"/>
      <c r="L24" s="17"/>
      <c r="M24" s="17"/>
      <c r="N24" s="17"/>
      <c r="O24" s="248"/>
      <c r="S24" s="88"/>
      <c r="T24" s="42"/>
      <c r="U24" s="42"/>
      <c r="V24" s="42"/>
      <c r="W24" s="42" t="s">
        <v>284</v>
      </c>
      <c r="X24" s="42" t="s">
        <v>251</v>
      </c>
      <c r="Y24" s="42"/>
      <c r="Z24" s="42"/>
      <c r="AA24" s="42"/>
    </row>
    <row r="25" spans="2:27">
      <c r="B25" s="5" t="s">
        <v>183</v>
      </c>
      <c r="C25" s="548">
        <v>17141.016488689784</v>
      </c>
      <c r="D25" s="540">
        <v>22065.340136618579</v>
      </c>
      <c r="E25" s="540">
        <v>26175.886730979328</v>
      </c>
      <c r="F25" s="540">
        <v>28659.781284737917</v>
      </c>
      <c r="G25" s="540">
        <v>30741.646764914552</v>
      </c>
      <c r="H25" s="279">
        <f t="shared" si="4"/>
        <v>0.11687739339856962</v>
      </c>
      <c r="I25" s="249"/>
      <c r="J25" s="247" t="s">
        <v>10</v>
      </c>
      <c r="K25" s="247"/>
      <c r="L25" s="321">
        <v>6756</v>
      </c>
      <c r="M25" s="321">
        <v>6756</v>
      </c>
      <c r="N25" s="321">
        <v>6756</v>
      </c>
      <c r="O25" s="321">
        <v>6756</v>
      </c>
      <c r="P25" s="279">
        <f>IF(L25=0,"nm",IF(O25=0,"nm",(O25/L25)^(1/3)-1))</f>
        <v>0</v>
      </c>
      <c r="S25" s="88"/>
      <c r="T25" s="42"/>
      <c r="U25" s="42"/>
      <c r="V25" s="147" t="s">
        <v>273</v>
      </c>
      <c r="W25" s="288">
        <f>D37/L9</f>
        <v>1.1798346887569013</v>
      </c>
      <c r="X25" s="288">
        <v>1</v>
      </c>
      <c r="Y25" s="42"/>
      <c r="Z25" s="42"/>
      <c r="AA25" s="42"/>
    </row>
    <row r="26" spans="2:27">
      <c r="B26" s="5" t="s">
        <v>586</v>
      </c>
      <c r="C26" s="548">
        <v>12465.48102235359</v>
      </c>
      <c r="D26" s="540">
        <v>15936.047663073827</v>
      </c>
      <c r="E26" s="540">
        <v>19049.104546295144</v>
      </c>
      <c r="F26" s="540">
        <v>20863.840096641794</v>
      </c>
      <c r="G26" s="540">
        <v>22353.113727371609</v>
      </c>
      <c r="H26" s="279">
        <f t="shared" si="4"/>
        <v>0.11940128874654476</v>
      </c>
      <c r="I26" s="249"/>
      <c r="J26" s="249" t="s">
        <v>11</v>
      </c>
      <c r="K26" s="249"/>
      <c r="L26" s="281">
        <f>D11+L25</f>
        <v>115261.34784</v>
      </c>
      <c r="M26" s="281">
        <f>E11+M25</f>
        <v>113085.34784</v>
      </c>
      <c r="N26" s="281">
        <f>F11+N25</f>
        <v>113085.34784</v>
      </c>
      <c r="O26" s="281">
        <f>G11+O25</f>
        <v>113085.34784</v>
      </c>
      <c r="P26" s="279">
        <f>IF(L26=0,"nm",IF(O26=0,"nm",(O26/L26)^(1/3)-1))</f>
        <v>-6.3329668986941146E-3</v>
      </c>
      <c r="Q26" s="5"/>
      <c r="S26" s="88"/>
      <c r="T26" s="42"/>
      <c r="U26" s="42"/>
      <c r="V26" s="147" t="s">
        <v>184</v>
      </c>
      <c r="W26" s="288">
        <f t="shared" ref="W26:W33" si="6">D38/L10</f>
        <v>1.1075568829141988</v>
      </c>
      <c r="X26" s="288">
        <v>1</v>
      </c>
      <c r="Y26" s="42"/>
      <c r="Z26" s="42"/>
      <c r="AA26" s="42"/>
    </row>
    <row r="27" spans="2:27">
      <c r="B27" s="5" t="s">
        <v>587</v>
      </c>
      <c r="C27" s="549">
        <v>191053</v>
      </c>
      <c r="D27" s="540">
        <v>189157.41258398682</v>
      </c>
      <c r="E27" s="540">
        <v>207550.17282716653</v>
      </c>
      <c r="F27" s="540">
        <v>217353.0279511587</v>
      </c>
      <c r="G27" s="540">
        <v>225057.7052021944</v>
      </c>
      <c r="H27" s="279">
        <f t="shared" si="4"/>
        <v>5.9636331626160555E-2</v>
      </c>
      <c r="I27" s="249"/>
      <c r="Q27" s="41"/>
      <c r="S27" s="88"/>
      <c r="T27" s="42"/>
      <c r="U27" s="42"/>
      <c r="V27" s="147" t="s">
        <v>185</v>
      </c>
      <c r="W27" s="288">
        <f t="shared" si="6"/>
        <v>0.96761196428048479</v>
      </c>
      <c r="X27" s="288">
        <v>1</v>
      </c>
      <c r="Y27" s="42"/>
      <c r="Z27" s="42"/>
      <c r="AA27" s="42"/>
    </row>
    <row r="28" spans="2:27" ht="12.6" thickBot="1">
      <c r="B28" s="5" t="s">
        <v>592</v>
      </c>
      <c r="C28" s="548">
        <v>65729</v>
      </c>
      <c r="D28" s="540">
        <v>67349.218105656124</v>
      </c>
      <c r="E28" s="540">
        <v>67478.483632039861</v>
      </c>
      <c r="F28" s="540">
        <v>67615.318473815307</v>
      </c>
      <c r="G28" s="540">
        <v>67409.546909944096</v>
      </c>
      <c r="H28" s="279">
        <f t="shared" si="4"/>
        <v>2.984978967148777E-4</v>
      </c>
      <c r="I28" s="248"/>
      <c r="J28" s="306" t="s">
        <v>1362</v>
      </c>
      <c r="K28" s="306"/>
      <c r="L28" s="306"/>
      <c r="M28" s="306"/>
      <c r="N28" s="266"/>
      <c r="O28" s="266"/>
      <c r="P28" s="266"/>
      <c r="Q28" s="5"/>
      <c r="S28" s="88"/>
      <c r="T28" s="42"/>
      <c r="U28" s="42"/>
      <c r="V28" s="147" t="s">
        <v>466</v>
      </c>
      <c r="W28" s="288">
        <f t="shared" si="6"/>
        <v>0.98916099339425989</v>
      </c>
      <c r="X28" s="288">
        <v>1</v>
      </c>
      <c r="Y28" s="42"/>
      <c r="Z28" s="42"/>
      <c r="AA28" s="42"/>
    </row>
    <row r="29" spans="2:27" ht="12.6" thickTop="1">
      <c r="B29" s="5" t="s">
        <v>588</v>
      </c>
      <c r="C29" s="548">
        <v>7612.932835277692</v>
      </c>
      <c r="D29" s="540">
        <v>9653.2381594029794</v>
      </c>
      <c r="E29" s="540">
        <v>11374.490057058631</v>
      </c>
      <c r="F29" s="540">
        <v>12348.141947986729</v>
      </c>
      <c r="G29" s="540">
        <v>13158.411499755046</v>
      </c>
      <c r="H29" s="279">
        <f t="shared" si="4"/>
        <v>0.10877514243241104</v>
      </c>
      <c r="I29" s="252"/>
      <c r="J29" s="249"/>
      <c r="K29" s="249"/>
      <c r="L29" s="249"/>
      <c r="M29" s="249"/>
      <c r="N29" s="249"/>
      <c r="O29" s="251"/>
      <c r="Q29" s="5"/>
      <c r="S29" s="88"/>
      <c r="T29" s="42"/>
      <c r="U29" s="42"/>
      <c r="V29" s="147" t="s">
        <v>530</v>
      </c>
      <c r="W29" s="288">
        <f t="shared" si="6"/>
        <v>1.0749246403048542</v>
      </c>
      <c r="X29" s="288">
        <v>1</v>
      </c>
      <c r="Y29" s="42"/>
      <c r="Z29" s="42"/>
      <c r="AA29" s="42"/>
    </row>
    <row r="30" spans="2:27">
      <c r="B30" s="5" t="s">
        <v>589</v>
      </c>
      <c r="C30" s="549">
        <v>8766</v>
      </c>
      <c r="D30" s="540">
        <v>7468.4810548423884</v>
      </c>
      <c r="E30" s="540">
        <v>8649.0237769905289</v>
      </c>
      <c r="F30" s="540">
        <v>9739.3713942864651</v>
      </c>
      <c r="G30" s="540">
        <v>10609.757491180026</v>
      </c>
      <c r="H30" s="279">
        <f t="shared" si="4"/>
        <v>0.12415032715482788</v>
      </c>
      <c r="I30" s="254"/>
      <c r="J30" s="248"/>
      <c r="K30" s="248"/>
      <c r="L30" s="248"/>
      <c r="M30" s="248"/>
      <c r="N30" s="248"/>
      <c r="O30" s="5"/>
      <c r="Q30" s="5"/>
      <c r="S30" s="88"/>
      <c r="T30" s="42"/>
      <c r="U30" s="42"/>
      <c r="V30" s="147" t="s">
        <v>593</v>
      </c>
      <c r="W30" s="288">
        <f t="shared" si="6"/>
        <v>1.3220859440408099</v>
      </c>
      <c r="X30" s="288">
        <v>1</v>
      </c>
      <c r="Y30" s="42"/>
      <c r="Z30" s="42"/>
      <c r="AA30" s="42"/>
    </row>
    <row r="31" spans="2:27">
      <c r="B31" s="5" t="s">
        <v>590</v>
      </c>
      <c r="C31" s="549">
        <v>3490.5212999999999</v>
      </c>
      <c r="D31" s="540">
        <v>3839.5734299999999</v>
      </c>
      <c r="E31" s="540">
        <v>4214.0822416000001</v>
      </c>
      <c r="F31" s="540">
        <v>4719.7721105920009</v>
      </c>
      <c r="G31" s="540">
        <v>5191.7493216512012</v>
      </c>
      <c r="H31" s="279">
        <f t="shared" si="4"/>
        <v>0.10580083205039381</v>
      </c>
      <c r="I31" s="254"/>
      <c r="J31" s="252"/>
      <c r="K31" s="252"/>
      <c r="L31" s="252"/>
      <c r="M31" s="252"/>
      <c r="N31" s="252"/>
      <c r="O31" s="5"/>
      <c r="Q31" s="5"/>
      <c r="S31" s="88"/>
      <c r="T31" s="42"/>
      <c r="U31" s="42"/>
      <c r="V31" s="147" t="s">
        <v>475</v>
      </c>
      <c r="W31" s="288">
        <f t="shared" si="6"/>
        <v>0.77689004316741028</v>
      </c>
      <c r="X31" s="288">
        <v>1</v>
      </c>
      <c r="Y31" s="42"/>
      <c r="Z31" s="42"/>
      <c r="AA31" s="42"/>
    </row>
    <row r="32" spans="2:27">
      <c r="B32" s="5" t="s">
        <v>606</v>
      </c>
      <c r="C32" s="550">
        <v>0</v>
      </c>
      <c r="D32" s="540">
        <v>0</v>
      </c>
      <c r="E32" s="540">
        <v>0</v>
      </c>
      <c r="F32" s="540">
        <v>0</v>
      </c>
      <c r="G32" s="540">
        <v>0</v>
      </c>
      <c r="H32" s="279" t="str">
        <f t="shared" si="4"/>
        <v>nm</v>
      </c>
      <c r="I32" s="254"/>
      <c r="J32" s="254"/>
      <c r="K32" s="254"/>
      <c r="L32" s="254"/>
      <c r="M32" s="254"/>
      <c r="N32" s="254"/>
      <c r="O32" s="251"/>
      <c r="Q32" s="5"/>
      <c r="S32" s="88"/>
      <c r="T32" s="42"/>
      <c r="U32" s="42"/>
      <c r="V32" s="147" t="s">
        <v>533</v>
      </c>
      <c r="W32" s="288">
        <f t="shared" si="6"/>
        <v>1.0490265528947378</v>
      </c>
      <c r="X32" s="288">
        <v>1</v>
      </c>
      <c r="Y32" s="42"/>
      <c r="Z32" s="42"/>
      <c r="AA32" s="42"/>
    </row>
    <row r="33" spans="2:27">
      <c r="B33" s="5" t="s">
        <v>5</v>
      </c>
      <c r="C33" s="549">
        <v>3913</v>
      </c>
      <c r="D33" s="540">
        <v>5694.369646612402</v>
      </c>
      <c r="E33" s="540">
        <v>5621.259178224911</v>
      </c>
      <c r="F33" s="540">
        <v>5562.4480584770736</v>
      </c>
      <c r="G33" s="540">
        <v>5220.1974802184723</v>
      </c>
      <c r="H33" s="279">
        <f>IF(D33=0,"nm",IF(G33=0,"nm",(G33/D33)^(1/3)-1))</f>
        <v>-2.8564972470919381E-2</v>
      </c>
      <c r="I33" s="5"/>
      <c r="J33" s="254"/>
      <c r="K33" s="254"/>
      <c r="L33" s="254"/>
      <c r="M33" s="254"/>
      <c r="N33" s="254"/>
      <c r="O33" s="251"/>
      <c r="Q33" s="5"/>
      <c r="S33" s="88"/>
      <c r="T33" s="42"/>
      <c r="U33" s="42"/>
      <c r="V33" s="147" t="s">
        <v>580</v>
      </c>
      <c r="W33" s="288">
        <f t="shared" si="6"/>
        <v>0.70871607514159396</v>
      </c>
      <c r="X33" s="288">
        <v>1</v>
      </c>
      <c r="Y33" s="42"/>
      <c r="Z33" s="42"/>
      <c r="AA33" s="42"/>
    </row>
    <row r="34" spans="2:27">
      <c r="H34" s="277"/>
      <c r="I34" s="49"/>
      <c r="J34" s="254"/>
      <c r="K34" s="254"/>
      <c r="L34" s="254"/>
      <c r="M34" s="254"/>
      <c r="N34" s="254"/>
      <c r="O34" s="251"/>
      <c r="Q34" s="5"/>
      <c r="S34" s="88"/>
      <c r="T34" s="42"/>
      <c r="U34" s="42"/>
      <c r="V34" s="147" t="s">
        <v>581</v>
      </c>
      <c r="W34" s="288">
        <f>D47/L19</f>
        <v>1.2871834422320072</v>
      </c>
      <c r="X34" s="288">
        <v>1</v>
      </c>
      <c r="Y34" s="288"/>
      <c r="Z34" s="288"/>
      <c r="AA34" s="42"/>
    </row>
    <row r="35" spans="2:27" ht="12.6" thickBot="1">
      <c r="B35" s="306" t="s">
        <v>601</v>
      </c>
      <c r="C35" s="265"/>
      <c r="D35" s="265" t="str">
        <f>D5</f>
        <v>2023E</v>
      </c>
      <c r="E35" s="265" t="str">
        <f t="shared" ref="E35:H35" si="7">E5</f>
        <v>2024E</v>
      </c>
      <c r="F35" s="265" t="str">
        <f t="shared" si="7"/>
        <v>2025E</v>
      </c>
      <c r="G35" s="265" t="str">
        <f t="shared" si="7"/>
        <v>2026E</v>
      </c>
      <c r="H35" s="265" t="str">
        <f t="shared" si="7"/>
        <v>23E-26E</v>
      </c>
      <c r="I35" s="254"/>
      <c r="J35" s="5"/>
      <c r="K35" s="5"/>
      <c r="L35" s="5"/>
      <c r="M35" s="5"/>
      <c r="N35" s="5"/>
      <c r="O35" s="5"/>
      <c r="Q35" s="5"/>
      <c r="S35" s="88"/>
      <c r="T35" s="42"/>
      <c r="U35" s="42"/>
      <c r="V35" s="42"/>
      <c r="W35" s="42"/>
      <c r="X35" s="42"/>
      <c r="Y35" s="288"/>
      <c r="Z35" s="288"/>
      <c r="AA35" s="42"/>
    </row>
    <row r="36" spans="2:27" ht="12.6" thickTop="1">
      <c r="B36" s="41"/>
      <c r="C36" s="249"/>
      <c r="D36" s="254"/>
      <c r="E36" s="254"/>
      <c r="F36" s="254"/>
      <c r="G36" s="254"/>
      <c r="H36" s="254"/>
      <c r="I36" s="17"/>
      <c r="J36" s="49"/>
      <c r="K36" s="49"/>
      <c r="L36" s="49"/>
      <c r="M36" s="49"/>
      <c r="N36" s="49"/>
      <c r="O36" s="49"/>
      <c r="Q36" s="5"/>
      <c r="S36" s="88"/>
      <c r="T36" s="42"/>
      <c r="U36" s="42"/>
      <c r="V36" s="42"/>
      <c r="W36" s="42"/>
      <c r="X36" s="42"/>
      <c r="Y36" s="288"/>
      <c r="Z36" s="288"/>
      <c r="AA36" s="42"/>
    </row>
    <row r="37" spans="2:27">
      <c r="B37" s="5" t="s">
        <v>273</v>
      </c>
      <c r="C37" s="247"/>
      <c r="D37" s="529">
        <f>D$18/D23</f>
        <v>2.5744428011687295</v>
      </c>
      <c r="E37" s="529">
        <f t="shared" ref="E37:G41" si="8">E$18/E23</f>
        <v>2.4621844903048884</v>
      </c>
      <c r="F37" s="529">
        <f t="shared" si="8"/>
        <v>2.3337761185124752</v>
      </c>
      <c r="G37" s="529">
        <f t="shared" si="8"/>
        <v>2.1902805284206108</v>
      </c>
      <c r="H37" s="17">
        <f t="shared" ref="H37:H45" si="9">H23</f>
        <v>2.8711635734588237E-2</v>
      </c>
      <c r="I37" s="5"/>
      <c r="J37" s="259"/>
      <c r="K37" s="259"/>
      <c r="L37" s="259"/>
      <c r="M37" s="259"/>
      <c r="N37" s="259"/>
      <c r="O37" s="18"/>
      <c r="Q37" s="5"/>
      <c r="R37" s="5"/>
      <c r="S37" s="42"/>
      <c r="T37" s="42"/>
      <c r="U37" s="42"/>
      <c r="V37" s="42"/>
      <c r="W37" s="42"/>
      <c r="X37" s="42"/>
      <c r="Y37" s="42"/>
      <c r="Z37" s="42"/>
      <c r="AA37" s="42"/>
    </row>
    <row r="38" spans="2:27">
      <c r="B38" s="5" t="s">
        <v>184</v>
      </c>
      <c r="C38" s="247"/>
      <c r="D38" s="529">
        <f>D$18/D24</f>
        <v>7.3720524873072719</v>
      </c>
      <c r="E38" s="529">
        <f t="shared" si="8"/>
        <v>6.8658834386781873</v>
      </c>
      <c r="F38" s="529">
        <f t="shared" si="8"/>
        <v>6.3428635283313684</v>
      </c>
      <c r="G38" s="529">
        <f t="shared" si="8"/>
        <v>5.8375488554220443</v>
      </c>
      <c r="H38" s="17">
        <f t="shared" si="9"/>
        <v>5.3622688341299352E-2</v>
      </c>
      <c r="I38" s="259"/>
      <c r="J38" s="17"/>
      <c r="K38" s="17"/>
      <c r="L38" s="17"/>
      <c r="M38" s="17"/>
      <c r="N38" s="17"/>
      <c r="O38" s="5"/>
      <c r="Q38" s="5"/>
      <c r="R38" s="5"/>
      <c r="S38" s="42"/>
      <c r="T38" s="42"/>
      <c r="U38" s="42"/>
      <c r="V38" s="42"/>
      <c r="W38" s="42"/>
      <c r="X38" s="42"/>
      <c r="Y38" s="42"/>
      <c r="Z38" s="42"/>
      <c r="AA38" s="42"/>
    </row>
    <row r="39" spans="2:27">
      <c r="B39" s="5" t="s">
        <v>185</v>
      </c>
      <c r="C39" s="247"/>
      <c r="D39" s="529">
        <f>D$18/D25</f>
        <v>13.41141519452999</v>
      </c>
      <c r="E39" s="529">
        <f t="shared" si="8"/>
        <v>11.160574795922358</v>
      </c>
      <c r="F39" s="529">
        <f t="shared" si="8"/>
        <v>9.9352136035468099</v>
      </c>
      <c r="G39" s="529">
        <f t="shared" si="8"/>
        <v>8.9157022813922637</v>
      </c>
      <c r="H39" s="17">
        <f t="shared" si="9"/>
        <v>0.11687739339856962</v>
      </c>
      <c r="I39" s="17"/>
      <c r="J39" s="5"/>
      <c r="K39" s="5"/>
      <c r="L39" s="5"/>
      <c r="M39" s="5"/>
      <c r="N39" s="5"/>
      <c r="O39" s="5"/>
      <c r="Q39" s="5"/>
      <c r="R39" s="5"/>
      <c r="S39" s="42"/>
      <c r="T39" s="42"/>
      <c r="U39" s="42"/>
      <c r="V39" s="42"/>
      <c r="W39" s="42"/>
      <c r="X39" s="42"/>
      <c r="Y39" s="42"/>
      <c r="Z39" s="42"/>
      <c r="AA39" s="42"/>
    </row>
    <row r="40" spans="2:27">
      <c r="B40" s="5" t="s">
        <v>466</v>
      </c>
      <c r="C40" s="247"/>
      <c r="D40" s="529">
        <f>D$18/D26</f>
        <v>18.569688309004395</v>
      </c>
      <c r="E40" s="529">
        <f t="shared" si="8"/>
        <v>15.33604590182714</v>
      </c>
      <c r="F40" s="529">
        <f t="shared" si="8"/>
        <v>13.647585850729168</v>
      </c>
      <c r="G40" s="529">
        <f t="shared" si="8"/>
        <v>12.261529804686045</v>
      </c>
      <c r="H40" s="17">
        <f t="shared" si="9"/>
        <v>0.11940128874654476</v>
      </c>
      <c r="I40" s="5"/>
      <c r="J40" s="259"/>
      <c r="K40" s="259"/>
      <c r="L40" s="259"/>
      <c r="M40" s="259"/>
      <c r="N40" s="259"/>
      <c r="O40" s="18"/>
      <c r="Q40" s="5"/>
      <c r="R40" s="5"/>
      <c r="S40" s="42"/>
      <c r="T40" s="42"/>
      <c r="U40" s="42"/>
      <c r="V40" s="42"/>
      <c r="W40" s="288"/>
      <c r="X40" s="288"/>
      <c r="Y40" s="42"/>
      <c r="Z40" s="42"/>
      <c r="AA40" s="42"/>
    </row>
    <row r="41" spans="2:27">
      <c r="B41" s="5" t="s">
        <v>530</v>
      </c>
      <c r="C41" s="247"/>
      <c r="D41" s="529">
        <f>D$18/D27</f>
        <v>1.5644506548181167</v>
      </c>
      <c r="E41" s="529">
        <f t="shared" si="8"/>
        <v>1.4075533531545583</v>
      </c>
      <c r="F41" s="529">
        <f t="shared" si="8"/>
        <v>1.3100394854346749</v>
      </c>
      <c r="G41" s="529">
        <f t="shared" si="8"/>
        <v>1.217835976553054</v>
      </c>
      <c r="H41" s="17">
        <f t="shared" si="9"/>
        <v>5.9636331626160555E-2</v>
      </c>
      <c r="I41" s="247"/>
      <c r="J41" s="17"/>
      <c r="K41" s="17"/>
      <c r="L41" s="17"/>
      <c r="M41" s="17"/>
      <c r="N41" s="17"/>
      <c r="O41" s="5"/>
      <c r="Q41" s="5"/>
      <c r="R41" s="5"/>
      <c r="S41" s="42"/>
      <c r="T41" s="42"/>
      <c r="U41" s="42"/>
      <c r="V41" s="42"/>
      <c r="W41" s="288"/>
      <c r="X41" s="288"/>
      <c r="Y41" s="288"/>
      <c r="Z41" s="288"/>
      <c r="AA41" s="42"/>
    </row>
    <row r="42" spans="2:27">
      <c r="B42" s="5" t="s">
        <v>593</v>
      </c>
      <c r="C42" s="247"/>
      <c r="D42" s="529">
        <f>D18/D28</f>
        <v>4.3939253684649131</v>
      </c>
      <c r="E42" s="529">
        <f>E18/E28</f>
        <v>4.3293495346415076</v>
      </c>
      <c r="F42" s="529">
        <f>F18/F28</f>
        <v>4.2111914181854102</v>
      </c>
      <c r="G42" s="529">
        <f>G18/G28</f>
        <v>4.0659429229195965</v>
      </c>
      <c r="H42" s="17">
        <f t="shared" si="9"/>
        <v>2.984978967148777E-4</v>
      </c>
      <c r="I42" s="248"/>
      <c r="J42" s="5"/>
      <c r="K42" s="5"/>
      <c r="L42" s="5"/>
      <c r="M42" s="5"/>
      <c r="N42" s="5"/>
      <c r="O42" s="5"/>
      <c r="Q42" s="5"/>
      <c r="R42" s="5"/>
      <c r="S42" s="42"/>
      <c r="T42" s="42"/>
      <c r="U42" s="42"/>
      <c r="V42" s="42"/>
      <c r="W42" s="288"/>
      <c r="X42" s="288"/>
      <c r="Y42" s="288"/>
      <c r="Z42" s="288"/>
      <c r="AA42" s="42"/>
    </row>
    <row r="43" spans="2:27">
      <c r="B43" s="5" t="s">
        <v>475</v>
      </c>
      <c r="C43" s="247"/>
      <c r="D43" s="529">
        <f>L26/D29</f>
        <v>11.940174471685109</v>
      </c>
      <c r="E43" s="529">
        <f>M26/E29</f>
        <v>9.9420147428783405</v>
      </c>
      <c r="F43" s="529">
        <f>N26/F29</f>
        <v>9.1580861571191861</v>
      </c>
      <c r="G43" s="529">
        <f>O26/G29</f>
        <v>8.5941489093957255</v>
      </c>
      <c r="H43" s="17">
        <f t="shared" si="9"/>
        <v>0.10877514243241104</v>
      </c>
      <c r="I43" s="247"/>
      <c r="J43" s="247"/>
      <c r="K43" s="247"/>
      <c r="L43" s="247"/>
      <c r="M43" s="247"/>
      <c r="N43" s="247"/>
      <c r="O43" s="18"/>
      <c r="Q43" s="5"/>
      <c r="R43" s="5"/>
      <c r="S43" s="42"/>
      <c r="T43" s="42"/>
      <c r="U43" s="42"/>
      <c r="V43" s="42"/>
      <c r="W43" s="288"/>
      <c r="X43" s="288"/>
      <c r="Y43" s="288"/>
      <c r="Z43" s="288"/>
      <c r="AA43" s="42"/>
    </row>
    <row r="44" spans="2:27">
      <c r="B44" s="5" t="s">
        <v>533</v>
      </c>
      <c r="C44" s="69"/>
      <c r="D44" s="529">
        <f>D11/D30</f>
        <v>14.52843584166926</v>
      </c>
      <c r="E44" s="529">
        <f>E11/E30</f>
        <v>12.293797610185068</v>
      </c>
      <c r="F44" s="529">
        <f>F11/F30</f>
        <v>10.917475423760653</v>
      </c>
      <c r="G44" s="529">
        <f>G11/G30</f>
        <v>10.021845261627556</v>
      </c>
      <c r="H44" s="17">
        <f t="shared" si="9"/>
        <v>0.12415032715482788</v>
      </c>
      <c r="I44" s="247"/>
      <c r="J44" s="248"/>
      <c r="K44" s="248"/>
      <c r="L44" s="248"/>
      <c r="M44" s="248"/>
      <c r="N44" s="248"/>
      <c r="O44" s="248"/>
      <c r="Q44" s="5"/>
      <c r="R44" s="5"/>
      <c r="S44" s="42"/>
      <c r="T44" s="42"/>
      <c r="U44" s="42"/>
      <c r="V44" s="42"/>
      <c r="W44" s="325"/>
      <c r="X44" s="325"/>
      <c r="Y44" s="288"/>
      <c r="Z44" s="288"/>
      <c r="AA44" s="42"/>
    </row>
    <row r="45" spans="2:27">
      <c r="B45" s="5" t="s">
        <v>580</v>
      </c>
      <c r="C45" s="247"/>
      <c r="D45" s="248">
        <f>D31/D11</f>
        <v>3.5386029411764705E-2</v>
      </c>
      <c r="E45" s="248">
        <f>E31/E11</f>
        <v>3.9632352941176473E-2</v>
      </c>
      <c r="F45" s="248">
        <f>F31/F11</f>
        <v>4.4388235294117652E-2</v>
      </c>
      <c r="G45" s="248">
        <f>G31/G11</f>
        <v>4.8827058823529425E-2</v>
      </c>
      <c r="H45" s="17">
        <f t="shared" si="9"/>
        <v>0.10580083205039381</v>
      </c>
      <c r="I45" s="248"/>
      <c r="J45" s="247"/>
      <c r="K45" s="247"/>
      <c r="L45" s="247"/>
      <c r="M45" s="247"/>
      <c r="N45" s="247"/>
      <c r="O45" s="248"/>
      <c r="Q45" s="5"/>
      <c r="R45" s="5"/>
      <c r="S45" s="42"/>
      <c r="T45" s="42"/>
      <c r="U45" s="42"/>
      <c r="V45" s="42"/>
      <c r="W45" s="42"/>
      <c r="X45" s="42"/>
      <c r="Y45" s="325"/>
      <c r="Z45" s="325"/>
      <c r="AA45" s="42"/>
    </row>
    <row r="46" spans="2:27">
      <c r="B46" s="5" t="s">
        <v>605</v>
      </c>
      <c r="C46" s="247"/>
      <c r="D46" s="248">
        <f>(D31+D32)/D11</f>
        <v>3.5386029411764705E-2</v>
      </c>
      <c r="E46" s="248">
        <f>(E31+E32)/E11</f>
        <v>3.9632352941176473E-2</v>
      </c>
      <c r="F46" s="248">
        <f>(F31+F32)/F11</f>
        <v>4.4388235294117652E-2</v>
      </c>
      <c r="G46" s="248">
        <f>(G31+G32)/G11</f>
        <v>4.8827058823529425E-2</v>
      </c>
      <c r="H46" s="279">
        <f>((G31+G32)/(D31+D32))^(1/3)-1</f>
        <v>0.10580083205039381</v>
      </c>
      <c r="I46" s="247"/>
      <c r="J46" s="247"/>
      <c r="K46" s="247"/>
      <c r="L46" s="247"/>
      <c r="M46" s="247"/>
      <c r="N46" s="247"/>
      <c r="O46" s="18"/>
      <c r="Q46" s="5"/>
      <c r="R46" s="5"/>
      <c r="S46" s="42"/>
      <c r="T46" s="42"/>
      <c r="U46" s="42"/>
      <c r="V46" s="42"/>
      <c r="W46" s="42"/>
      <c r="X46" s="42"/>
      <c r="Y46" s="42"/>
      <c r="Z46" s="42"/>
      <c r="AA46" s="326"/>
    </row>
    <row r="47" spans="2:27">
      <c r="B47" s="5" t="s">
        <v>581</v>
      </c>
      <c r="C47" s="5"/>
      <c r="D47" s="248">
        <f>1/D43</f>
        <v>8.3750870003733754E-2</v>
      </c>
      <c r="E47" s="248">
        <f>1/E43</f>
        <v>0.10058323447129462</v>
      </c>
      <c r="F47" s="248">
        <f>1/F43</f>
        <v>0.10919311992087276</v>
      </c>
      <c r="G47" s="248">
        <f>1/G43</f>
        <v>0.11635823518332687</v>
      </c>
      <c r="H47" s="17">
        <f>H29</f>
        <v>0.10877514243241104</v>
      </c>
      <c r="I47" s="17"/>
      <c r="J47" s="248"/>
      <c r="K47" s="248"/>
      <c r="L47" s="248"/>
      <c r="M47" s="248"/>
      <c r="N47" s="248"/>
      <c r="O47" s="248"/>
      <c r="Q47" s="5"/>
      <c r="R47" s="5"/>
      <c r="S47" s="42"/>
      <c r="T47" s="42"/>
      <c r="U47" s="42"/>
      <c r="V47" s="42"/>
      <c r="W47" s="42"/>
      <c r="X47" s="42"/>
      <c r="Y47" s="42"/>
      <c r="Z47" s="42"/>
      <c r="AA47" s="326"/>
    </row>
    <row r="48" spans="2:27">
      <c r="B48" s="5" t="s">
        <v>618</v>
      </c>
      <c r="C48" s="5"/>
      <c r="D48" s="305">
        <f>D31/D29</f>
        <v>0.39774978785330878</v>
      </c>
      <c r="E48" s="305">
        <f>E31/E29</f>
        <v>0.37048537740686499</v>
      </c>
      <c r="F48" s="305">
        <f>F31/F29</f>
        <v>0.38222528785891741</v>
      </c>
      <c r="G48" s="305">
        <f>G31/G29</f>
        <v>0.39455745260344305</v>
      </c>
      <c r="H48" s="279" t="s">
        <v>607</v>
      </c>
      <c r="I48" s="247"/>
      <c r="J48" s="247"/>
      <c r="K48" s="247"/>
      <c r="L48" s="247"/>
      <c r="M48" s="247"/>
      <c r="N48" s="247"/>
      <c r="O48" s="248"/>
      <c r="Q48" s="5"/>
      <c r="R48" s="5"/>
      <c r="S48" s="42"/>
      <c r="T48" s="42"/>
      <c r="U48" s="42"/>
      <c r="V48" s="42"/>
      <c r="W48" s="42"/>
      <c r="X48" s="42"/>
      <c r="Y48" s="42"/>
      <c r="Z48" s="42"/>
      <c r="AA48" s="326"/>
    </row>
    <row r="49" spans="2:27">
      <c r="B49" s="41"/>
      <c r="C49" s="17"/>
      <c r="D49" s="17"/>
      <c r="E49" s="17"/>
      <c r="F49" s="17"/>
      <c r="G49" s="17"/>
      <c r="H49" s="17"/>
      <c r="I49" s="254"/>
      <c r="J49" s="17"/>
      <c r="K49" s="17"/>
      <c r="L49" s="17"/>
      <c r="M49" s="17"/>
      <c r="N49" s="17"/>
      <c r="O49" s="248"/>
      <c r="Q49" s="5"/>
      <c r="R49" s="5"/>
      <c r="S49" s="42"/>
      <c r="T49" s="42"/>
      <c r="U49" s="42"/>
      <c r="V49" s="42"/>
      <c r="W49" s="42"/>
      <c r="X49" s="42"/>
      <c r="Y49" s="42"/>
      <c r="Z49" s="42"/>
      <c r="AA49" s="326"/>
    </row>
    <row r="50" spans="2:27">
      <c r="B50" s="5"/>
      <c r="C50" s="257"/>
      <c r="D50" s="257"/>
      <c r="E50" s="257"/>
      <c r="F50" s="5"/>
      <c r="G50" s="41"/>
      <c r="H50" s="249"/>
      <c r="I50" s="17"/>
      <c r="J50" s="249"/>
      <c r="K50" s="249"/>
      <c r="L50" s="249"/>
      <c r="M50" s="249"/>
      <c r="N50" s="249"/>
      <c r="O50" s="250"/>
      <c r="Q50" s="5"/>
      <c r="R50" s="5"/>
      <c r="S50" s="42"/>
      <c r="T50" s="42"/>
      <c r="U50" s="42"/>
      <c r="V50" s="42"/>
      <c r="W50" s="288"/>
      <c r="X50" s="288"/>
      <c r="Y50" s="42"/>
      <c r="Z50" s="42"/>
      <c r="AA50" s="326"/>
    </row>
    <row r="51" spans="2:27">
      <c r="B51" s="41"/>
      <c r="C51" s="249"/>
      <c r="D51" s="254"/>
      <c r="E51" s="254"/>
      <c r="F51" s="254"/>
      <c r="G51" s="254"/>
      <c r="H51" s="254"/>
      <c r="I51" s="259"/>
      <c r="J51" s="254"/>
      <c r="K51" s="254"/>
      <c r="L51" s="254"/>
      <c r="M51" s="254"/>
      <c r="N51" s="254"/>
      <c r="O51" s="251"/>
      <c r="Q51" s="5"/>
      <c r="R51" s="5"/>
      <c r="S51" s="42"/>
      <c r="T51" s="42"/>
      <c r="U51" s="42"/>
      <c r="V51" s="42"/>
      <c r="W51" s="288"/>
      <c r="X51" s="288"/>
      <c r="Y51" s="288"/>
      <c r="Z51" s="288"/>
      <c r="AA51" s="42"/>
    </row>
    <row r="52" spans="2:27">
      <c r="B52" s="5"/>
      <c r="C52" s="257"/>
      <c r="D52" s="17"/>
      <c r="E52" s="17"/>
      <c r="F52" s="17"/>
      <c r="G52" s="17"/>
      <c r="H52" s="17"/>
      <c r="I52" s="254"/>
      <c r="J52" s="17"/>
      <c r="K52" s="17"/>
      <c r="L52" s="17"/>
      <c r="M52" s="17"/>
      <c r="N52" s="17"/>
      <c r="O52" s="248"/>
      <c r="Q52" s="5"/>
      <c r="R52" s="5"/>
      <c r="S52" s="5"/>
      <c r="Y52" s="10"/>
      <c r="Z52" s="10"/>
    </row>
    <row r="53" spans="2:27">
      <c r="B53" s="5"/>
      <c r="C53" s="257"/>
      <c r="D53" s="257"/>
      <c r="E53" s="257"/>
      <c r="F53" s="5"/>
      <c r="G53" s="5"/>
      <c r="H53" s="259"/>
      <c r="I53" s="17"/>
      <c r="J53" s="259"/>
      <c r="K53" s="259"/>
      <c r="L53" s="259"/>
      <c r="M53" s="259"/>
      <c r="N53" s="259"/>
      <c r="O53" s="18"/>
      <c r="Q53" s="5"/>
      <c r="R53" s="5"/>
      <c r="S53" s="5"/>
    </row>
    <row r="54" spans="2:27">
      <c r="B54" s="41"/>
      <c r="C54" s="249"/>
      <c r="D54" s="254"/>
      <c r="E54" s="254"/>
      <c r="F54" s="254"/>
      <c r="G54" s="254"/>
      <c r="H54" s="254"/>
      <c r="I54" s="259"/>
      <c r="J54" s="254"/>
      <c r="K54" s="254"/>
      <c r="L54" s="254"/>
      <c r="M54" s="254"/>
      <c r="N54" s="254"/>
      <c r="O54" s="251"/>
      <c r="Q54" s="5"/>
      <c r="R54" s="5"/>
      <c r="S54" s="5"/>
    </row>
    <row r="55" spans="2:27">
      <c r="B55" s="5"/>
      <c r="C55" s="257"/>
      <c r="D55" s="17"/>
      <c r="E55" s="17"/>
      <c r="F55" s="17"/>
      <c r="G55" s="17"/>
      <c r="H55" s="17"/>
      <c r="I55" s="249"/>
      <c r="J55" s="17"/>
      <c r="K55" s="17"/>
      <c r="L55" s="17"/>
      <c r="M55" s="17"/>
      <c r="N55" s="17"/>
      <c r="O55" s="18"/>
      <c r="Q55" s="5"/>
      <c r="R55" s="5"/>
      <c r="S55" s="5"/>
    </row>
    <row r="56" spans="2:27">
      <c r="B56" s="5"/>
      <c r="C56" s="248"/>
      <c r="D56" s="248"/>
      <c r="E56" s="248"/>
      <c r="F56" s="5"/>
      <c r="G56" s="5"/>
      <c r="H56" s="259"/>
      <c r="I56" s="248"/>
      <c r="J56" s="259"/>
      <c r="K56" s="259"/>
      <c r="L56" s="259"/>
      <c r="M56" s="259"/>
      <c r="N56" s="259"/>
      <c r="O56" s="18"/>
      <c r="Q56" s="5"/>
      <c r="R56" s="5"/>
      <c r="S56" s="5"/>
    </row>
    <row r="57" spans="2:27">
      <c r="B57" s="41"/>
      <c r="C57" s="249"/>
      <c r="D57" s="249"/>
      <c r="E57" s="249"/>
      <c r="F57" s="249"/>
      <c r="G57" s="249"/>
      <c r="H57" s="249"/>
      <c r="I57" s="5"/>
      <c r="J57" s="249"/>
      <c r="K57" s="249"/>
      <c r="L57" s="249"/>
      <c r="M57" s="249"/>
      <c r="N57" s="249"/>
      <c r="O57" s="251"/>
      <c r="Q57" s="5"/>
      <c r="R57" s="5"/>
      <c r="S57" s="5"/>
    </row>
    <row r="58" spans="2:27">
      <c r="B58" s="5"/>
      <c r="C58" s="5"/>
      <c r="D58" s="248"/>
      <c r="E58" s="248"/>
      <c r="F58" s="248"/>
      <c r="G58" s="248"/>
      <c r="H58" s="248"/>
      <c r="I58" s="17"/>
      <c r="J58" s="248"/>
      <c r="K58" s="248"/>
      <c r="L58" s="248"/>
      <c r="M58" s="248"/>
      <c r="N58" s="248"/>
      <c r="O58" s="18"/>
      <c r="Q58" s="5"/>
      <c r="R58" s="5"/>
      <c r="S58" s="5"/>
    </row>
    <row r="59" spans="2:27">
      <c r="B59" s="5"/>
      <c r="C59" s="5"/>
      <c r="D59" s="5"/>
      <c r="E59" s="5"/>
      <c r="F59" s="5"/>
      <c r="G59" s="5"/>
      <c r="H59" s="5"/>
      <c r="I59" s="5"/>
      <c r="J59" s="5"/>
      <c r="K59" s="5"/>
      <c r="L59" s="5"/>
      <c r="M59" s="5"/>
      <c r="N59" s="5"/>
      <c r="O59" s="5"/>
      <c r="Q59" s="5"/>
      <c r="R59" s="5"/>
      <c r="S59" s="5"/>
    </row>
    <row r="60" spans="2:27">
      <c r="B60" s="41"/>
      <c r="C60" s="17"/>
      <c r="D60" s="17"/>
      <c r="E60" s="17"/>
      <c r="F60" s="17"/>
      <c r="G60" s="17"/>
      <c r="H60" s="17"/>
      <c r="I60" s="249"/>
      <c r="J60" s="17"/>
      <c r="K60" s="17"/>
      <c r="L60" s="17"/>
      <c r="M60" s="17"/>
      <c r="N60" s="17"/>
      <c r="O60" s="251"/>
      <c r="Q60" s="5"/>
      <c r="R60" s="5"/>
      <c r="S60" s="5"/>
    </row>
    <row r="61" spans="2:27">
      <c r="B61" s="5"/>
      <c r="C61" s="5"/>
      <c r="D61" s="5"/>
      <c r="E61" s="5"/>
      <c r="F61" s="5"/>
      <c r="G61" s="5"/>
      <c r="H61" s="5"/>
      <c r="I61" s="5"/>
      <c r="J61" s="5"/>
      <c r="K61" s="5"/>
      <c r="L61" s="5"/>
      <c r="M61" s="5"/>
      <c r="N61" s="5"/>
      <c r="O61" s="5"/>
      <c r="Q61" s="41"/>
      <c r="R61" s="5"/>
      <c r="S61" s="5"/>
    </row>
    <row r="62" spans="2:27">
      <c r="B62" s="41"/>
      <c r="C62" s="249"/>
      <c r="D62" s="249"/>
      <c r="E62" s="249"/>
      <c r="F62" s="249"/>
      <c r="G62" s="249"/>
      <c r="H62" s="249"/>
      <c r="I62" s="5"/>
      <c r="J62" s="249"/>
      <c r="K62" s="249"/>
      <c r="L62" s="249"/>
      <c r="M62" s="249"/>
      <c r="N62" s="249"/>
      <c r="O62" s="251"/>
      <c r="Q62" s="5"/>
      <c r="R62" s="5"/>
      <c r="S62" s="5"/>
    </row>
    <row r="63" spans="2:27">
      <c r="B63" s="5"/>
      <c r="C63" s="5"/>
      <c r="D63" s="5"/>
      <c r="E63" s="5"/>
      <c r="F63" s="5"/>
      <c r="G63" s="5"/>
      <c r="H63" s="5"/>
      <c r="I63" s="254"/>
      <c r="J63" s="5"/>
      <c r="K63" s="5"/>
      <c r="L63" s="5"/>
      <c r="M63" s="5"/>
      <c r="N63" s="5"/>
      <c r="O63" s="5"/>
      <c r="Q63" s="5"/>
      <c r="R63" s="5"/>
      <c r="S63" s="5"/>
    </row>
    <row r="64" spans="2:27">
      <c r="B64" s="5"/>
      <c r="C64" s="5"/>
      <c r="D64" s="5"/>
      <c r="E64" s="5"/>
      <c r="F64" s="5"/>
      <c r="G64" s="5"/>
      <c r="H64" s="5"/>
      <c r="I64" s="17"/>
      <c r="J64" s="5"/>
      <c r="K64" s="5"/>
      <c r="L64" s="5"/>
      <c r="M64" s="5"/>
      <c r="N64" s="5"/>
      <c r="O64" s="5"/>
      <c r="Q64" s="5"/>
      <c r="R64" s="5"/>
      <c r="S64" s="5"/>
    </row>
    <row r="65" spans="2:26">
      <c r="B65" s="41"/>
      <c r="C65" s="249"/>
      <c r="D65" s="254"/>
      <c r="E65" s="254"/>
      <c r="F65" s="254"/>
      <c r="G65" s="254"/>
      <c r="H65" s="254"/>
      <c r="I65" s="254"/>
      <c r="J65" s="254"/>
      <c r="K65" s="254"/>
      <c r="L65" s="254"/>
      <c r="M65" s="254"/>
      <c r="N65" s="254"/>
      <c r="O65" s="251"/>
      <c r="Q65" s="5"/>
      <c r="R65" s="5"/>
      <c r="S65" s="5"/>
    </row>
    <row r="66" spans="2:26">
      <c r="B66" s="5"/>
      <c r="C66" s="5"/>
      <c r="D66" s="17"/>
      <c r="E66" s="17"/>
      <c r="F66" s="17"/>
      <c r="G66" s="17"/>
      <c r="H66" s="17"/>
      <c r="I66" s="248"/>
      <c r="J66" s="17"/>
      <c r="K66" s="17"/>
      <c r="L66" s="17"/>
      <c r="M66" s="17"/>
      <c r="N66" s="17"/>
      <c r="O66" s="5"/>
      <c r="Q66" s="5"/>
      <c r="R66" s="5"/>
      <c r="S66" s="5"/>
    </row>
    <row r="67" spans="2:26">
      <c r="B67" s="41"/>
      <c r="C67" s="249"/>
      <c r="D67" s="254"/>
      <c r="E67" s="254"/>
      <c r="F67" s="254"/>
      <c r="G67" s="254"/>
      <c r="H67" s="254"/>
      <c r="I67" s="5"/>
      <c r="J67" s="254"/>
      <c r="K67" s="254"/>
      <c r="L67" s="254"/>
      <c r="M67" s="254"/>
      <c r="N67" s="254"/>
      <c r="O67" s="251"/>
      <c r="Q67" s="41"/>
      <c r="R67" s="5"/>
      <c r="S67" s="5"/>
    </row>
    <row r="68" spans="2:26">
      <c r="B68" s="5"/>
      <c r="C68" s="5"/>
      <c r="D68" s="248"/>
      <c r="E68" s="248"/>
      <c r="F68" s="248"/>
      <c r="G68" s="248"/>
      <c r="H68" s="248"/>
      <c r="I68" s="245"/>
      <c r="J68" s="248"/>
      <c r="K68" s="248"/>
      <c r="L68" s="248"/>
      <c r="M68" s="248"/>
      <c r="N68" s="248"/>
      <c r="O68" s="5"/>
      <c r="Q68" s="5"/>
      <c r="R68" s="5"/>
      <c r="S68" s="5"/>
    </row>
    <row r="69" spans="2:26">
      <c r="B69" s="41"/>
      <c r="C69" s="5"/>
      <c r="D69" s="5"/>
      <c r="E69" s="5"/>
      <c r="F69" s="5"/>
      <c r="G69" s="5"/>
      <c r="H69" s="5"/>
      <c r="I69" s="248"/>
      <c r="J69" s="5"/>
      <c r="K69" s="5"/>
      <c r="L69" s="5"/>
      <c r="M69" s="5"/>
      <c r="N69" s="5"/>
      <c r="O69" s="5"/>
      <c r="Q69" s="5"/>
      <c r="R69" s="5"/>
      <c r="S69" s="5"/>
    </row>
    <row r="70" spans="2:26">
      <c r="B70" s="41"/>
      <c r="C70" s="245"/>
      <c r="D70" s="245"/>
      <c r="E70" s="245"/>
      <c r="F70" s="245"/>
      <c r="G70" s="245"/>
      <c r="H70" s="245"/>
      <c r="I70" s="5"/>
      <c r="J70" s="245"/>
      <c r="K70" s="245"/>
      <c r="L70" s="245"/>
      <c r="M70" s="245"/>
      <c r="N70" s="245"/>
      <c r="O70" s="251"/>
      <c r="Q70" s="5"/>
      <c r="R70" s="5"/>
      <c r="S70" s="5"/>
      <c r="W70" s="76"/>
      <c r="X70" s="76"/>
    </row>
    <row r="71" spans="2:26">
      <c r="B71" s="5"/>
      <c r="C71" s="5"/>
      <c r="D71" s="248"/>
      <c r="E71" s="248"/>
      <c r="F71" s="248"/>
      <c r="G71" s="248"/>
      <c r="H71" s="248"/>
      <c r="I71" s="245"/>
      <c r="J71" s="248"/>
      <c r="K71" s="248"/>
      <c r="L71" s="248"/>
      <c r="M71" s="248"/>
      <c r="N71" s="248"/>
      <c r="O71" s="5"/>
      <c r="Q71" s="5"/>
      <c r="R71" s="5"/>
      <c r="S71" s="5"/>
      <c r="W71" s="76"/>
      <c r="X71" s="76"/>
      <c r="Y71" s="76"/>
      <c r="Z71" s="76"/>
    </row>
    <row r="72" spans="2:26">
      <c r="B72" s="41"/>
      <c r="C72" s="5"/>
      <c r="D72" s="5"/>
      <c r="E72" s="5"/>
      <c r="F72" s="5"/>
      <c r="G72" s="5"/>
      <c r="H72" s="5"/>
      <c r="I72" s="18"/>
      <c r="J72" s="5"/>
      <c r="K72" s="5"/>
      <c r="L72" s="5"/>
      <c r="M72" s="5"/>
      <c r="N72" s="5"/>
      <c r="O72" s="5"/>
      <c r="Q72" s="5"/>
      <c r="R72" s="5"/>
      <c r="S72" s="5"/>
      <c r="Y72" s="76"/>
      <c r="Z72" s="76"/>
    </row>
    <row r="73" spans="2:26">
      <c r="B73" s="41"/>
      <c r="C73" s="245"/>
      <c r="D73" s="245"/>
      <c r="E73" s="245"/>
      <c r="F73" s="245"/>
      <c r="G73" s="245"/>
      <c r="H73" s="245"/>
      <c r="I73" s="5"/>
      <c r="J73" s="245"/>
      <c r="K73" s="245"/>
      <c r="L73" s="245"/>
      <c r="M73" s="245"/>
      <c r="N73" s="245"/>
      <c r="O73" s="251"/>
      <c r="Q73" s="5"/>
      <c r="R73" s="5"/>
      <c r="S73" s="5"/>
    </row>
    <row r="74" spans="2:26">
      <c r="B74" s="5"/>
      <c r="C74" s="5"/>
      <c r="D74" s="18"/>
      <c r="E74" s="18"/>
      <c r="F74" s="18"/>
      <c r="G74" s="18"/>
      <c r="H74" s="18"/>
      <c r="I74" s="249"/>
      <c r="J74" s="18"/>
      <c r="K74" s="18"/>
      <c r="L74" s="18"/>
      <c r="M74" s="18"/>
      <c r="N74" s="18"/>
      <c r="O74" s="5"/>
      <c r="Q74" s="5"/>
      <c r="R74" s="5"/>
      <c r="S74" s="5"/>
    </row>
    <row r="75" spans="2:26">
      <c r="B75" s="41"/>
      <c r="C75" s="5"/>
      <c r="D75" s="5"/>
      <c r="E75" s="5"/>
      <c r="F75" s="5"/>
      <c r="G75" s="5"/>
      <c r="H75" s="5"/>
      <c r="I75" s="248"/>
      <c r="J75" s="5"/>
      <c r="K75" s="5"/>
      <c r="L75" s="5"/>
      <c r="M75" s="5"/>
      <c r="N75" s="5"/>
      <c r="O75" s="5"/>
      <c r="Q75" s="5"/>
      <c r="R75" s="5"/>
      <c r="S75" s="5"/>
    </row>
    <row r="76" spans="2:26">
      <c r="B76" s="41"/>
      <c r="C76" s="249"/>
      <c r="D76" s="249"/>
      <c r="E76" s="249"/>
      <c r="F76" s="249"/>
      <c r="G76" s="249"/>
      <c r="H76" s="249"/>
      <c r="I76" s="5"/>
      <c r="J76" s="249"/>
      <c r="K76" s="249"/>
      <c r="L76" s="249"/>
      <c r="M76" s="249"/>
      <c r="N76" s="249"/>
      <c r="O76" s="251"/>
      <c r="Q76" s="5"/>
      <c r="R76" s="5"/>
      <c r="S76" s="5"/>
    </row>
    <row r="77" spans="2:26">
      <c r="B77" s="5"/>
      <c r="C77" s="5"/>
      <c r="D77" s="248"/>
      <c r="E77" s="248"/>
      <c r="F77" s="248"/>
      <c r="G77" s="248"/>
      <c r="H77" s="248"/>
      <c r="I77" s="245"/>
      <c r="J77" s="248"/>
      <c r="K77" s="248"/>
      <c r="L77" s="248"/>
      <c r="M77" s="248"/>
      <c r="N77" s="248"/>
      <c r="O77" s="5"/>
      <c r="Q77" s="5"/>
      <c r="R77" s="5"/>
      <c r="S77" s="5"/>
    </row>
    <row r="78" spans="2:26">
      <c r="B78" s="41"/>
      <c r="C78" s="5"/>
      <c r="D78" s="5"/>
      <c r="E78" s="5"/>
      <c r="F78" s="5"/>
      <c r="G78" s="5"/>
      <c r="H78" s="5"/>
      <c r="I78" s="248"/>
      <c r="J78" s="5"/>
      <c r="K78" s="5"/>
      <c r="L78" s="5"/>
      <c r="M78" s="5"/>
      <c r="N78" s="5"/>
      <c r="O78" s="5"/>
      <c r="Q78" s="5"/>
      <c r="R78" s="5"/>
      <c r="S78" s="5"/>
    </row>
    <row r="79" spans="2:26">
      <c r="B79" s="41"/>
      <c r="C79" s="245"/>
      <c r="D79" s="245"/>
      <c r="E79" s="245"/>
      <c r="F79" s="245"/>
      <c r="G79" s="245"/>
      <c r="H79" s="245"/>
      <c r="I79" s="5"/>
      <c r="J79" s="245"/>
      <c r="K79" s="245"/>
      <c r="L79" s="245"/>
      <c r="M79" s="245"/>
      <c r="N79" s="245"/>
      <c r="O79" s="251"/>
      <c r="Q79" s="5"/>
      <c r="R79" s="5"/>
      <c r="S79" s="5"/>
    </row>
    <row r="80" spans="2:26">
      <c r="B80" s="5"/>
      <c r="C80" s="5"/>
      <c r="D80" s="248"/>
      <c r="E80" s="248"/>
      <c r="F80" s="248"/>
      <c r="G80" s="248"/>
      <c r="H80" s="248"/>
      <c r="I80" s="249"/>
      <c r="J80" s="248"/>
      <c r="K80" s="248"/>
      <c r="L80" s="248"/>
      <c r="M80" s="248"/>
      <c r="N80" s="248"/>
      <c r="O80" s="5"/>
      <c r="Q80" s="5"/>
      <c r="R80" s="5"/>
      <c r="S80" s="5"/>
    </row>
    <row r="81" spans="2:26">
      <c r="B81" s="41"/>
      <c r="C81" s="5"/>
      <c r="D81" s="5"/>
      <c r="E81" s="5"/>
      <c r="F81" s="5"/>
      <c r="G81" s="5"/>
      <c r="H81" s="5"/>
      <c r="I81" s="248"/>
      <c r="J81" s="5"/>
      <c r="K81" s="5"/>
      <c r="L81" s="5"/>
      <c r="M81" s="5"/>
      <c r="N81" s="5"/>
      <c r="O81" s="5"/>
      <c r="Q81" s="5"/>
      <c r="R81" s="5"/>
      <c r="S81" s="5"/>
    </row>
    <row r="82" spans="2:26">
      <c r="B82" s="41"/>
      <c r="C82" s="249"/>
      <c r="D82" s="249"/>
      <c r="E82" s="249"/>
      <c r="F82" s="249"/>
      <c r="G82" s="249"/>
      <c r="H82" s="249"/>
      <c r="I82" s="259"/>
      <c r="J82" s="249"/>
      <c r="K82" s="249"/>
      <c r="L82" s="249"/>
      <c r="M82" s="249"/>
      <c r="N82" s="249"/>
      <c r="O82" s="251"/>
      <c r="Q82" s="5"/>
      <c r="R82" s="5"/>
      <c r="S82" s="5"/>
    </row>
    <row r="83" spans="2:26">
      <c r="B83" s="5"/>
      <c r="C83" s="5"/>
      <c r="D83" s="248"/>
      <c r="E83" s="248"/>
      <c r="F83" s="248"/>
      <c r="G83" s="248"/>
      <c r="H83" s="248"/>
      <c r="I83" s="5"/>
      <c r="J83" s="248"/>
      <c r="K83" s="248"/>
      <c r="L83" s="248"/>
      <c r="M83" s="248"/>
      <c r="N83" s="248"/>
      <c r="O83" s="5"/>
      <c r="Q83" s="5"/>
      <c r="R83" s="5"/>
      <c r="S83" s="5"/>
    </row>
    <row r="84" spans="2:26">
      <c r="B84" s="5"/>
      <c r="C84" s="259"/>
      <c r="D84" s="259"/>
      <c r="E84" s="259"/>
      <c r="F84" s="259"/>
      <c r="G84" s="259"/>
      <c r="H84" s="259"/>
      <c r="I84" s="245"/>
      <c r="J84" s="259"/>
      <c r="K84" s="259"/>
      <c r="L84" s="259"/>
      <c r="M84" s="259"/>
      <c r="N84" s="259"/>
      <c r="O84" s="251"/>
      <c r="Q84" s="5"/>
      <c r="R84" s="5"/>
      <c r="S84" s="5"/>
    </row>
    <row r="85" spans="2:26">
      <c r="B85" s="41"/>
      <c r="C85" s="5"/>
      <c r="D85" s="5"/>
      <c r="E85" s="5"/>
      <c r="F85" s="5"/>
      <c r="G85" s="5"/>
      <c r="H85" s="5"/>
      <c r="I85" s="248"/>
      <c r="J85" s="5"/>
      <c r="K85" s="5"/>
      <c r="L85" s="5"/>
      <c r="M85" s="5"/>
      <c r="N85" s="5"/>
      <c r="O85" s="5"/>
      <c r="Q85" s="5"/>
      <c r="R85" s="5"/>
      <c r="S85" s="5"/>
    </row>
    <row r="86" spans="2:26">
      <c r="B86" s="41"/>
      <c r="C86" s="245"/>
      <c r="D86" s="245"/>
      <c r="E86" s="245"/>
      <c r="F86" s="245"/>
      <c r="G86" s="245"/>
      <c r="H86" s="245"/>
      <c r="I86" s="5"/>
      <c r="J86" s="245"/>
      <c r="K86" s="245"/>
      <c r="L86" s="245"/>
      <c r="M86" s="245"/>
      <c r="N86" s="245"/>
      <c r="O86" s="251"/>
      <c r="Q86" s="5"/>
      <c r="R86" s="5"/>
      <c r="S86" s="5"/>
    </row>
    <row r="87" spans="2:26">
      <c r="B87" s="5"/>
      <c r="C87" s="5"/>
      <c r="D87" s="248"/>
      <c r="E87" s="248"/>
      <c r="F87" s="248"/>
      <c r="G87" s="248"/>
      <c r="H87" s="248"/>
      <c r="I87" s="5"/>
      <c r="J87" s="248"/>
      <c r="K87" s="248"/>
      <c r="L87" s="248"/>
      <c r="M87" s="248"/>
      <c r="N87" s="248"/>
      <c r="O87" s="5"/>
      <c r="Q87" s="5"/>
      <c r="R87" s="5"/>
      <c r="S87" s="5"/>
    </row>
    <row r="88" spans="2:26">
      <c r="B88" s="41"/>
      <c r="C88" s="5"/>
      <c r="D88" s="5"/>
      <c r="E88" s="5"/>
      <c r="F88" s="5"/>
      <c r="G88" s="5"/>
      <c r="H88" s="5"/>
      <c r="I88" s="5"/>
      <c r="J88" s="5"/>
      <c r="K88" s="5"/>
      <c r="L88" s="5"/>
      <c r="M88" s="5"/>
      <c r="N88" s="5"/>
      <c r="O88" s="5"/>
      <c r="Q88" s="5"/>
      <c r="R88" s="5"/>
      <c r="S88" s="5"/>
    </row>
    <row r="89" spans="2:26">
      <c r="B89" s="41"/>
      <c r="C89" s="5"/>
      <c r="D89" s="5"/>
      <c r="E89" s="5"/>
      <c r="F89" s="5"/>
      <c r="G89" s="5"/>
      <c r="H89" s="5"/>
      <c r="I89" s="5"/>
      <c r="J89" s="5"/>
      <c r="K89" s="5"/>
      <c r="L89" s="5"/>
      <c r="M89" s="5"/>
      <c r="N89" s="5"/>
      <c r="O89" s="5"/>
      <c r="Q89" s="5"/>
      <c r="R89" s="5"/>
      <c r="S89" s="5"/>
    </row>
    <row r="90" spans="2:26">
      <c r="B90" s="41"/>
      <c r="C90" s="5"/>
      <c r="D90" s="5"/>
      <c r="E90" s="5"/>
      <c r="F90" s="5"/>
      <c r="G90" s="5"/>
      <c r="H90" s="5"/>
      <c r="I90" s="49"/>
      <c r="J90" s="5"/>
      <c r="K90" s="5"/>
      <c r="L90" s="5"/>
      <c r="M90" s="5"/>
      <c r="N90" s="5"/>
      <c r="O90" s="5"/>
      <c r="Q90" s="41"/>
      <c r="R90" s="5"/>
      <c r="S90" s="5"/>
    </row>
    <row r="91" spans="2:26">
      <c r="B91" s="5"/>
      <c r="C91" s="5"/>
      <c r="D91" s="5"/>
      <c r="E91" s="5"/>
      <c r="F91" s="5"/>
      <c r="G91" s="5"/>
      <c r="H91" s="5"/>
      <c r="I91" s="5"/>
      <c r="J91" s="5"/>
      <c r="K91" s="5"/>
      <c r="L91" s="5"/>
      <c r="M91" s="5"/>
      <c r="N91" s="5"/>
      <c r="O91" s="5"/>
      <c r="Q91" s="5"/>
      <c r="R91" s="5"/>
      <c r="S91" s="5"/>
    </row>
    <row r="92" spans="2:26">
      <c r="B92" s="41"/>
      <c r="C92" s="49"/>
      <c r="D92" s="49"/>
      <c r="E92" s="49"/>
      <c r="F92" s="49"/>
      <c r="G92" s="49"/>
      <c r="H92" s="49"/>
      <c r="I92" s="247"/>
      <c r="J92" s="49"/>
      <c r="K92" s="49"/>
      <c r="L92" s="49"/>
      <c r="M92" s="49"/>
      <c r="N92" s="49"/>
      <c r="O92" s="49"/>
      <c r="Q92" s="5"/>
      <c r="R92" s="5"/>
      <c r="S92" s="5"/>
      <c r="W92" s="21"/>
      <c r="X92" s="21"/>
    </row>
    <row r="93" spans="2:26">
      <c r="B93" s="5"/>
      <c r="C93" s="5"/>
      <c r="D93" s="5"/>
      <c r="E93" s="5"/>
      <c r="F93" s="5"/>
      <c r="G93" s="5"/>
      <c r="H93" s="5"/>
      <c r="I93" s="247"/>
      <c r="J93" s="5"/>
      <c r="K93" s="5"/>
      <c r="L93" s="5"/>
      <c r="M93" s="5"/>
      <c r="N93" s="5"/>
      <c r="O93" s="5"/>
      <c r="Q93" s="5"/>
      <c r="R93" s="5"/>
      <c r="S93" s="5"/>
      <c r="W93" s="21"/>
      <c r="X93" s="21"/>
      <c r="Y93" s="21"/>
      <c r="Z93" s="21"/>
    </row>
    <row r="94" spans="2:26">
      <c r="B94" s="5"/>
      <c r="C94" s="259"/>
      <c r="D94" s="247"/>
      <c r="E94" s="247"/>
      <c r="F94" s="247"/>
      <c r="G94" s="247"/>
      <c r="H94" s="247"/>
      <c r="I94" s="247"/>
      <c r="J94" s="247"/>
      <c r="K94" s="247"/>
      <c r="L94" s="247"/>
      <c r="M94" s="247"/>
      <c r="N94" s="247"/>
      <c r="O94" s="248"/>
      <c r="Q94" s="5"/>
      <c r="R94" s="5"/>
      <c r="S94" s="5"/>
      <c r="Y94" s="21"/>
      <c r="Z94" s="21"/>
    </row>
    <row r="95" spans="2:26">
      <c r="B95" s="5"/>
      <c r="C95" s="259"/>
      <c r="D95" s="247"/>
      <c r="E95" s="247"/>
      <c r="F95" s="247"/>
      <c r="G95" s="247"/>
      <c r="H95" s="247"/>
      <c r="I95" s="248"/>
      <c r="J95" s="247"/>
      <c r="K95" s="247"/>
      <c r="L95" s="247"/>
      <c r="M95" s="247"/>
      <c r="N95" s="247"/>
      <c r="O95" s="248"/>
      <c r="Q95" s="5"/>
      <c r="R95" s="5"/>
      <c r="S95" s="5"/>
    </row>
    <row r="96" spans="2:26">
      <c r="B96" s="5"/>
      <c r="C96" s="259"/>
      <c r="D96" s="247"/>
      <c r="E96" s="247"/>
      <c r="F96" s="247"/>
      <c r="G96" s="247"/>
      <c r="H96" s="247"/>
      <c r="I96" s="247"/>
      <c r="J96" s="247"/>
      <c r="K96" s="247"/>
      <c r="L96" s="247"/>
      <c r="M96" s="247"/>
      <c r="N96" s="247"/>
      <c r="O96" s="248"/>
      <c r="Q96" s="5"/>
      <c r="R96" s="5"/>
      <c r="S96" s="5"/>
    </row>
    <row r="97" spans="2:19">
      <c r="B97" s="5"/>
      <c r="C97" s="259"/>
      <c r="D97" s="248"/>
      <c r="E97" s="248"/>
      <c r="F97" s="248"/>
      <c r="G97" s="248"/>
      <c r="H97" s="248"/>
      <c r="I97" s="249"/>
      <c r="J97" s="248"/>
      <c r="K97" s="248"/>
      <c r="L97" s="248"/>
      <c r="M97" s="248"/>
      <c r="N97" s="248"/>
      <c r="O97" s="248"/>
      <c r="Q97" s="5"/>
      <c r="R97" s="5"/>
      <c r="S97" s="5"/>
    </row>
    <row r="98" spans="2:19">
      <c r="B98" s="5"/>
      <c r="C98" s="259"/>
      <c r="D98" s="247"/>
      <c r="E98" s="247"/>
      <c r="F98" s="247"/>
      <c r="G98" s="247"/>
      <c r="H98" s="247"/>
      <c r="I98" s="248"/>
      <c r="J98" s="247"/>
      <c r="K98" s="247"/>
      <c r="L98" s="247"/>
      <c r="M98" s="247"/>
      <c r="N98" s="247"/>
      <c r="O98" s="248"/>
      <c r="Q98" s="5"/>
      <c r="R98" s="5"/>
      <c r="S98" s="5"/>
    </row>
    <row r="99" spans="2:19">
      <c r="B99" s="41"/>
      <c r="C99" s="249"/>
      <c r="D99" s="249"/>
      <c r="E99" s="249"/>
      <c r="F99" s="249"/>
      <c r="G99" s="249"/>
      <c r="H99" s="249"/>
      <c r="I99" s="5"/>
      <c r="J99" s="249"/>
      <c r="K99" s="249"/>
      <c r="L99" s="249"/>
      <c r="M99" s="249"/>
      <c r="N99" s="249"/>
      <c r="O99" s="248"/>
      <c r="Q99" s="5"/>
      <c r="R99" s="5"/>
      <c r="S99" s="5"/>
    </row>
    <row r="100" spans="2:19">
      <c r="B100" s="41"/>
      <c r="C100" s="257"/>
      <c r="D100" s="248"/>
      <c r="E100" s="248"/>
      <c r="F100" s="248"/>
      <c r="G100" s="248"/>
      <c r="H100" s="248"/>
      <c r="I100" s="259"/>
      <c r="J100" s="248"/>
      <c r="K100" s="248"/>
      <c r="L100" s="248"/>
      <c r="M100" s="248"/>
      <c r="N100" s="248"/>
      <c r="O100" s="248"/>
      <c r="Q100" s="5"/>
      <c r="R100" s="5"/>
      <c r="S100" s="5"/>
    </row>
    <row r="101" spans="2:19" s="5" customFormat="1">
      <c r="B101" s="41"/>
      <c r="I101" s="259"/>
      <c r="O101" s="248"/>
      <c r="P101" s="39"/>
    </row>
    <row r="102" spans="2:19">
      <c r="B102" s="5"/>
      <c r="C102" s="259"/>
      <c r="D102" s="259"/>
      <c r="E102" s="259"/>
      <c r="F102" s="259"/>
      <c r="G102" s="259"/>
      <c r="H102" s="259"/>
      <c r="I102" s="247"/>
      <c r="J102" s="259"/>
      <c r="K102" s="259"/>
      <c r="L102" s="259"/>
      <c r="M102" s="259"/>
      <c r="N102" s="259"/>
      <c r="O102" s="5"/>
      <c r="Q102" s="5"/>
      <c r="R102" s="5"/>
      <c r="S102" s="5"/>
    </row>
    <row r="103" spans="2:19">
      <c r="B103" s="5"/>
      <c r="C103" s="259"/>
      <c r="D103" s="259"/>
      <c r="E103" s="259"/>
      <c r="F103" s="259"/>
      <c r="G103" s="259"/>
      <c r="H103" s="259"/>
      <c r="I103" s="5"/>
      <c r="J103" s="259"/>
      <c r="K103" s="259"/>
      <c r="L103" s="259"/>
      <c r="M103" s="259"/>
      <c r="N103" s="259"/>
      <c r="O103" s="5"/>
      <c r="P103" s="5"/>
      <c r="Q103" s="5"/>
      <c r="R103" s="5"/>
      <c r="S103" s="5"/>
    </row>
    <row r="104" spans="2:19">
      <c r="B104" s="5"/>
      <c r="C104" s="247"/>
      <c r="D104" s="247"/>
      <c r="E104" s="247"/>
      <c r="F104" s="247"/>
      <c r="G104" s="247"/>
      <c r="H104" s="247"/>
      <c r="I104" s="247"/>
      <c r="J104" s="247"/>
      <c r="K104" s="247"/>
      <c r="L104" s="247"/>
      <c r="M104" s="247"/>
      <c r="N104" s="247"/>
      <c r="O104" s="5"/>
      <c r="Q104" s="5"/>
      <c r="R104" s="5"/>
      <c r="S104" s="5"/>
    </row>
    <row r="105" spans="2:19" s="5" customFormat="1">
      <c r="P105" s="39"/>
    </row>
    <row r="106" spans="2:19" s="5" customFormat="1">
      <c r="C106" s="259"/>
      <c r="D106" s="247"/>
      <c r="E106" s="247"/>
      <c r="F106" s="247"/>
      <c r="G106" s="247"/>
      <c r="H106" s="247"/>
      <c r="I106" s="259"/>
      <c r="J106" s="247"/>
      <c r="K106" s="247"/>
      <c r="L106" s="247"/>
      <c r="M106" s="247"/>
      <c r="N106" s="247"/>
      <c r="P106" s="39"/>
    </row>
    <row r="107" spans="2:19">
      <c r="B107" s="5"/>
      <c r="C107" s="259"/>
      <c r="D107" s="5"/>
      <c r="E107" s="5"/>
      <c r="F107" s="5"/>
      <c r="G107" s="5"/>
      <c r="H107" s="5"/>
      <c r="I107" s="247"/>
      <c r="J107" s="5"/>
      <c r="K107" s="5"/>
      <c r="L107" s="5"/>
      <c r="M107" s="5"/>
      <c r="N107" s="5"/>
      <c r="O107" s="5"/>
      <c r="P107" s="5"/>
      <c r="Q107" s="5"/>
      <c r="R107" s="5"/>
      <c r="S107" s="5"/>
    </row>
    <row r="108" spans="2:19">
      <c r="B108" s="5"/>
      <c r="C108" s="259"/>
      <c r="D108" s="259"/>
      <c r="E108" s="259"/>
      <c r="F108" s="259"/>
      <c r="G108" s="259"/>
      <c r="H108" s="259"/>
      <c r="I108" s="249"/>
      <c r="J108" s="259"/>
      <c r="K108" s="259"/>
      <c r="L108" s="259"/>
      <c r="M108" s="259"/>
      <c r="N108" s="259"/>
      <c r="O108" s="5"/>
      <c r="P108" s="5"/>
      <c r="Q108" s="5"/>
      <c r="R108" s="5"/>
      <c r="S108" s="5"/>
    </row>
    <row r="109" spans="2:19">
      <c r="B109" s="5"/>
      <c r="C109" s="247"/>
      <c r="D109" s="247"/>
      <c r="E109" s="247"/>
      <c r="F109" s="247"/>
      <c r="G109" s="247"/>
      <c r="H109" s="247"/>
      <c r="I109" s="249"/>
      <c r="J109" s="247"/>
      <c r="K109" s="247"/>
      <c r="L109" s="247"/>
      <c r="M109" s="247"/>
      <c r="N109" s="247"/>
      <c r="O109" s="5"/>
      <c r="Q109" s="5"/>
      <c r="R109" s="5"/>
      <c r="S109" s="5"/>
    </row>
    <row r="110" spans="2:19">
      <c r="B110" s="41"/>
      <c r="C110" s="249"/>
      <c r="D110" s="249"/>
      <c r="E110" s="249"/>
      <c r="F110" s="249"/>
      <c r="G110" s="249"/>
      <c r="H110" s="249"/>
      <c r="I110" s="247"/>
      <c r="J110" s="249"/>
      <c r="K110" s="249"/>
      <c r="L110" s="249"/>
      <c r="M110" s="249"/>
      <c r="N110" s="249"/>
      <c r="O110" s="5"/>
      <c r="Q110" s="5"/>
      <c r="R110" s="5"/>
      <c r="S110" s="5"/>
    </row>
    <row r="111" spans="2:19">
      <c r="B111" s="5"/>
      <c r="C111" s="249"/>
      <c r="D111" s="249"/>
      <c r="E111" s="249"/>
      <c r="F111" s="249"/>
      <c r="G111" s="249"/>
      <c r="H111" s="249"/>
      <c r="I111" s="5"/>
      <c r="J111" s="249"/>
      <c r="K111" s="249"/>
      <c r="L111" s="249"/>
      <c r="M111" s="249"/>
      <c r="N111" s="249"/>
      <c r="O111" s="5"/>
      <c r="Q111" s="5"/>
      <c r="R111" s="5"/>
      <c r="S111" s="5"/>
    </row>
    <row r="112" spans="2:19">
      <c r="B112" s="5"/>
      <c r="C112" s="247"/>
      <c r="D112" s="247"/>
      <c r="E112" s="247"/>
      <c r="F112" s="247"/>
      <c r="G112" s="247"/>
      <c r="H112" s="247"/>
      <c r="I112" s="5"/>
      <c r="J112" s="247"/>
      <c r="K112" s="247"/>
      <c r="L112" s="247"/>
      <c r="M112" s="247"/>
      <c r="N112" s="247"/>
      <c r="O112" s="5"/>
      <c r="Q112" s="5"/>
      <c r="R112" s="5"/>
      <c r="S112" s="5"/>
    </row>
    <row r="113" spans="2:19">
      <c r="B113" s="5"/>
      <c r="C113" s="5"/>
      <c r="D113" s="5"/>
      <c r="E113" s="5"/>
      <c r="F113" s="5"/>
      <c r="G113" s="5"/>
      <c r="H113" s="5"/>
      <c r="I113" s="5"/>
      <c r="J113" s="5"/>
      <c r="K113" s="5"/>
      <c r="L113" s="5"/>
      <c r="M113" s="5"/>
      <c r="N113" s="5"/>
      <c r="O113" s="5"/>
      <c r="Q113" s="5"/>
      <c r="R113" s="5"/>
      <c r="S113" s="5"/>
    </row>
    <row r="114" spans="2:19">
      <c r="B114" s="5"/>
      <c r="C114" s="5"/>
      <c r="D114" s="5"/>
      <c r="E114" s="5"/>
      <c r="F114" s="5"/>
      <c r="G114" s="5"/>
      <c r="H114" s="5"/>
      <c r="I114" s="5"/>
      <c r="J114" s="5"/>
      <c r="K114" s="5"/>
      <c r="L114" s="5"/>
      <c r="M114" s="5"/>
      <c r="N114" s="5"/>
      <c r="O114" s="5"/>
      <c r="Q114" s="5"/>
      <c r="R114" s="5"/>
      <c r="S114" s="5"/>
    </row>
    <row r="115" spans="2:19">
      <c r="B115" s="5"/>
      <c r="C115" s="5"/>
      <c r="D115" s="5"/>
      <c r="E115" s="5"/>
      <c r="F115" s="5"/>
      <c r="G115" s="5"/>
      <c r="H115" s="5"/>
      <c r="I115" s="49"/>
      <c r="J115" s="5"/>
      <c r="K115" s="5"/>
      <c r="L115" s="5"/>
      <c r="M115" s="5"/>
      <c r="N115" s="5"/>
      <c r="O115" s="5"/>
      <c r="Q115" s="41"/>
      <c r="R115" s="5"/>
      <c r="S115" s="5"/>
    </row>
    <row r="116" spans="2:19">
      <c r="B116" s="5"/>
      <c r="C116" s="5"/>
      <c r="D116" s="5"/>
      <c r="E116" s="5"/>
      <c r="F116" s="5"/>
      <c r="G116" s="5"/>
      <c r="H116" s="5"/>
      <c r="I116" s="5"/>
      <c r="J116" s="5"/>
      <c r="K116" s="5"/>
      <c r="L116" s="5"/>
      <c r="M116" s="5"/>
      <c r="N116" s="5"/>
      <c r="O116" s="5"/>
      <c r="Q116" s="5"/>
      <c r="R116" s="5"/>
      <c r="S116" s="5"/>
    </row>
    <row r="117" spans="2:19">
      <c r="B117" s="41"/>
      <c r="C117" s="49"/>
      <c r="D117" s="49"/>
      <c r="E117" s="49"/>
      <c r="F117" s="49"/>
      <c r="G117" s="49"/>
      <c r="H117" s="49"/>
      <c r="I117" s="254"/>
      <c r="J117" s="49"/>
      <c r="K117" s="49"/>
      <c r="L117" s="49"/>
      <c r="M117" s="49"/>
      <c r="N117" s="49"/>
      <c r="O117" s="49"/>
      <c r="Q117" s="5"/>
      <c r="R117" s="5"/>
      <c r="S117" s="5"/>
    </row>
    <row r="118" spans="2:19">
      <c r="B118" s="5"/>
      <c r="C118" s="5"/>
      <c r="D118" s="5"/>
      <c r="E118" s="5"/>
      <c r="F118" s="5"/>
      <c r="G118" s="5"/>
      <c r="H118" s="5"/>
      <c r="I118" s="249"/>
      <c r="J118" s="5"/>
      <c r="K118" s="5"/>
      <c r="L118" s="5"/>
      <c r="M118" s="5"/>
      <c r="N118" s="5"/>
      <c r="O118" s="5"/>
      <c r="Q118" s="5"/>
      <c r="R118" s="5"/>
      <c r="S118" s="5"/>
    </row>
    <row r="119" spans="2:19">
      <c r="B119" s="41"/>
      <c r="C119" s="254"/>
      <c r="D119" s="254"/>
      <c r="E119" s="254"/>
      <c r="F119" s="254"/>
      <c r="G119" s="254"/>
      <c r="H119" s="254"/>
      <c r="I119" s="254"/>
      <c r="J119" s="254"/>
      <c r="K119" s="254"/>
      <c r="L119" s="254"/>
      <c r="M119" s="254"/>
      <c r="N119" s="254"/>
      <c r="O119" s="248"/>
      <c r="Q119" s="5"/>
      <c r="R119" s="5"/>
      <c r="S119" s="5"/>
    </row>
    <row r="120" spans="2:19">
      <c r="B120" s="41"/>
      <c r="C120" s="254"/>
      <c r="D120" s="249"/>
      <c r="E120" s="249"/>
      <c r="F120" s="249"/>
      <c r="G120" s="249"/>
      <c r="H120" s="249"/>
      <c r="I120" s="254"/>
      <c r="J120" s="249"/>
      <c r="K120" s="249"/>
      <c r="L120" s="249"/>
      <c r="M120" s="249"/>
      <c r="N120" s="249"/>
      <c r="O120" s="248"/>
      <c r="Q120" s="5"/>
      <c r="R120" s="5"/>
      <c r="S120" s="5"/>
    </row>
    <row r="121" spans="2:19">
      <c r="B121" s="41"/>
      <c r="C121" s="254"/>
      <c r="D121" s="254"/>
      <c r="E121" s="254"/>
      <c r="F121" s="254"/>
      <c r="G121" s="254"/>
      <c r="H121" s="254"/>
      <c r="I121" s="254"/>
      <c r="J121" s="254"/>
      <c r="K121" s="254"/>
      <c r="L121" s="254"/>
      <c r="M121" s="254"/>
      <c r="N121" s="254"/>
      <c r="O121" s="248"/>
      <c r="Q121" s="5"/>
      <c r="R121" s="5"/>
      <c r="S121" s="5"/>
    </row>
    <row r="122" spans="2:19">
      <c r="B122" s="41"/>
      <c r="C122" s="254"/>
      <c r="D122" s="254"/>
      <c r="E122" s="254"/>
      <c r="F122" s="254"/>
      <c r="G122" s="254"/>
      <c r="H122" s="254"/>
      <c r="I122" s="254"/>
      <c r="J122" s="254"/>
      <c r="K122" s="254"/>
      <c r="L122" s="254"/>
      <c r="M122" s="254"/>
      <c r="N122" s="254"/>
      <c r="O122" s="248"/>
      <c r="Q122" s="5"/>
      <c r="R122" s="5"/>
      <c r="S122" s="5"/>
    </row>
    <row r="123" spans="2:19">
      <c r="B123" s="41"/>
      <c r="C123" s="254"/>
      <c r="D123" s="254"/>
      <c r="E123" s="254"/>
      <c r="F123" s="254"/>
      <c r="G123" s="254"/>
      <c r="H123" s="254"/>
      <c r="I123" s="254"/>
      <c r="J123" s="254"/>
      <c r="K123" s="254"/>
      <c r="L123" s="254"/>
      <c r="M123" s="254"/>
      <c r="N123" s="254"/>
      <c r="O123" s="248"/>
      <c r="Q123" s="5"/>
      <c r="R123" s="5"/>
      <c r="S123" s="5"/>
    </row>
    <row r="124" spans="2:19">
      <c r="B124" s="41"/>
      <c r="C124" s="254"/>
      <c r="D124" s="254"/>
      <c r="E124" s="254"/>
      <c r="F124" s="254"/>
      <c r="G124" s="254"/>
      <c r="H124" s="254"/>
      <c r="I124" s="254"/>
      <c r="J124" s="254"/>
      <c r="K124" s="254"/>
      <c r="L124" s="254"/>
      <c r="M124" s="254"/>
      <c r="N124" s="254"/>
      <c r="O124" s="248"/>
      <c r="Q124" s="5"/>
      <c r="R124" s="5"/>
      <c r="S124" s="5"/>
    </row>
    <row r="125" spans="2:19">
      <c r="B125" s="41"/>
      <c r="C125" s="254"/>
      <c r="D125" s="254"/>
      <c r="E125" s="254"/>
      <c r="F125" s="254"/>
      <c r="G125" s="254"/>
      <c r="H125" s="254"/>
      <c r="I125" s="254"/>
      <c r="J125" s="254"/>
      <c r="K125" s="254"/>
      <c r="L125" s="254"/>
      <c r="M125" s="254"/>
      <c r="N125" s="254"/>
      <c r="O125" s="5"/>
      <c r="Q125" s="5"/>
      <c r="R125" s="5"/>
      <c r="S125" s="5"/>
    </row>
    <row r="126" spans="2:19">
      <c r="B126" s="41"/>
      <c r="C126" s="254"/>
      <c r="D126" s="254"/>
      <c r="E126" s="254"/>
      <c r="F126" s="254"/>
      <c r="G126" s="254"/>
      <c r="H126" s="254"/>
      <c r="I126" s="254"/>
      <c r="J126" s="254"/>
      <c r="K126" s="254"/>
      <c r="L126" s="254"/>
      <c r="M126" s="254"/>
      <c r="N126" s="254"/>
      <c r="O126" s="5"/>
      <c r="Q126" s="5"/>
      <c r="R126" s="5"/>
      <c r="S126" s="5"/>
    </row>
    <row r="127" spans="2:19">
      <c r="B127" s="41"/>
      <c r="C127" s="254"/>
      <c r="D127" s="254"/>
      <c r="E127" s="254"/>
      <c r="F127" s="254"/>
      <c r="G127" s="254"/>
      <c r="H127" s="254"/>
      <c r="I127" s="18"/>
      <c r="J127" s="254"/>
      <c r="K127" s="254"/>
      <c r="L127" s="254"/>
      <c r="M127" s="254"/>
      <c r="N127" s="254"/>
      <c r="O127" s="5"/>
      <c r="Q127" s="5"/>
      <c r="R127" s="5"/>
      <c r="S127" s="5"/>
    </row>
    <row r="128" spans="2:19">
      <c r="B128" s="41"/>
      <c r="C128" s="254"/>
      <c r="D128" s="254"/>
      <c r="E128" s="254"/>
      <c r="F128" s="254"/>
      <c r="G128" s="254"/>
      <c r="H128" s="254"/>
      <c r="I128" s="5"/>
      <c r="J128" s="254"/>
      <c r="K128" s="254"/>
      <c r="L128" s="254"/>
      <c r="M128" s="254"/>
      <c r="N128" s="254"/>
      <c r="O128" s="5"/>
      <c r="Q128" s="5"/>
      <c r="R128" s="5"/>
      <c r="S128" s="5"/>
    </row>
    <row r="129" spans="2:27">
      <c r="B129" s="5"/>
      <c r="C129" s="5"/>
      <c r="D129" s="18"/>
      <c r="E129" s="18"/>
      <c r="F129" s="18"/>
      <c r="G129" s="18"/>
      <c r="H129" s="18"/>
      <c r="I129" s="254"/>
      <c r="J129" s="18"/>
      <c r="K129" s="18"/>
      <c r="L129" s="18"/>
      <c r="M129" s="18"/>
      <c r="N129" s="18"/>
      <c r="O129" s="5"/>
      <c r="Q129" s="5"/>
      <c r="R129" s="5"/>
      <c r="S129" s="5"/>
    </row>
    <row r="130" spans="2:27">
      <c r="B130" s="5"/>
      <c r="C130" s="5"/>
      <c r="D130" s="5"/>
      <c r="E130" s="5"/>
      <c r="F130" s="5"/>
      <c r="G130" s="5"/>
      <c r="H130" s="5"/>
      <c r="I130" s="18"/>
      <c r="J130" s="5"/>
      <c r="K130" s="5"/>
      <c r="L130" s="5"/>
      <c r="M130" s="5"/>
      <c r="N130" s="5"/>
      <c r="O130" s="5"/>
      <c r="Q130" s="5"/>
      <c r="R130" s="5"/>
      <c r="S130" s="5"/>
    </row>
    <row r="131" spans="2:27">
      <c r="B131" s="41"/>
      <c r="C131" s="254"/>
      <c r="D131" s="254"/>
      <c r="E131" s="254"/>
      <c r="F131" s="254"/>
      <c r="G131" s="254"/>
      <c r="H131" s="254"/>
      <c r="I131" s="5"/>
      <c r="J131" s="254"/>
      <c r="K131" s="254"/>
      <c r="L131" s="254"/>
      <c r="M131" s="254"/>
      <c r="N131" s="254"/>
      <c r="O131" s="5"/>
      <c r="Q131" s="5"/>
      <c r="R131" s="5"/>
      <c r="S131" s="5"/>
    </row>
    <row r="132" spans="2:27">
      <c r="B132" s="5"/>
      <c r="C132" s="259"/>
      <c r="D132" s="18"/>
      <c r="E132" s="18"/>
      <c r="F132" s="18"/>
      <c r="G132" s="18"/>
      <c r="H132" s="18"/>
      <c r="I132" s="5"/>
      <c r="J132" s="18"/>
      <c r="K132" s="18"/>
      <c r="L132" s="18"/>
      <c r="M132" s="18"/>
      <c r="N132" s="18"/>
      <c r="O132" s="5"/>
      <c r="Q132" s="5"/>
      <c r="R132" s="5"/>
      <c r="S132" s="5"/>
    </row>
    <row r="133" spans="2:27">
      <c r="B133" s="5"/>
      <c r="C133" s="5"/>
      <c r="D133" s="5"/>
      <c r="E133" s="5"/>
      <c r="F133" s="5"/>
      <c r="G133" s="5"/>
      <c r="H133" s="5"/>
      <c r="I133" s="17"/>
      <c r="J133" s="5"/>
      <c r="K133" s="5"/>
      <c r="L133" s="5"/>
      <c r="M133" s="5"/>
      <c r="N133" s="5"/>
      <c r="O133" s="5"/>
      <c r="Q133" s="5"/>
      <c r="R133" s="5"/>
      <c r="S133" s="5"/>
    </row>
    <row r="134" spans="2:27">
      <c r="B134" s="41"/>
      <c r="C134" s="5"/>
      <c r="D134" s="5"/>
      <c r="E134" s="5"/>
      <c r="F134" s="5"/>
      <c r="G134" s="5"/>
      <c r="H134" s="5"/>
      <c r="I134" s="17"/>
      <c r="J134" s="5"/>
      <c r="K134" s="5"/>
      <c r="L134" s="5"/>
      <c r="M134" s="5"/>
      <c r="N134" s="5"/>
      <c r="O134" s="5"/>
      <c r="Q134" s="5"/>
      <c r="R134" s="5"/>
      <c r="S134" s="5"/>
    </row>
    <row r="135" spans="2:27">
      <c r="B135" s="5"/>
      <c r="C135" s="17"/>
      <c r="D135" s="17"/>
      <c r="E135" s="17"/>
      <c r="F135" s="17"/>
      <c r="G135" s="17"/>
      <c r="H135" s="17"/>
      <c r="I135" s="17"/>
      <c r="J135" s="17"/>
      <c r="K135" s="17"/>
      <c r="L135" s="17"/>
      <c r="M135" s="17"/>
      <c r="N135" s="17"/>
      <c r="O135" s="5"/>
      <c r="Q135" s="41"/>
      <c r="R135" s="5"/>
      <c r="S135" s="5"/>
    </row>
    <row r="136" spans="2:27">
      <c r="B136" s="5"/>
      <c r="C136" s="17"/>
      <c r="D136" s="17"/>
      <c r="E136" s="17"/>
      <c r="F136" s="17"/>
      <c r="G136" s="17"/>
      <c r="H136" s="17"/>
      <c r="I136" s="17"/>
      <c r="J136" s="17"/>
      <c r="K136" s="17"/>
      <c r="L136" s="17"/>
      <c r="M136" s="17"/>
      <c r="N136" s="17"/>
      <c r="O136" s="5"/>
      <c r="Q136" s="5"/>
      <c r="R136" s="5"/>
      <c r="S136" s="5"/>
      <c r="X136" s="304"/>
    </row>
    <row r="137" spans="2:27">
      <c r="B137" s="5"/>
      <c r="C137" s="5"/>
      <c r="D137" s="17"/>
      <c r="E137" s="17"/>
      <c r="F137" s="17"/>
      <c r="G137" s="17"/>
      <c r="H137" s="17"/>
      <c r="I137" s="17"/>
      <c r="J137" s="17"/>
      <c r="K137" s="17"/>
      <c r="L137" s="17"/>
      <c r="M137" s="17"/>
      <c r="N137" s="17"/>
      <c r="O137" s="5"/>
      <c r="Q137" s="5"/>
      <c r="R137" s="5"/>
      <c r="S137" s="5"/>
      <c r="X137" s="10"/>
      <c r="Y137" s="304"/>
      <c r="Z137" s="304"/>
      <c r="AA137" s="304"/>
    </row>
    <row r="138" spans="2:27">
      <c r="B138" s="5"/>
      <c r="C138" s="5"/>
      <c r="D138" s="17"/>
      <c r="E138" s="17"/>
      <c r="F138" s="17"/>
      <c r="G138" s="17"/>
      <c r="H138" s="17"/>
      <c r="I138" s="17"/>
      <c r="J138" s="17"/>
      <c r="K138" s="17"/>
      <c r="L138" s="17"/>
      <c r="M138" s="17"/>
      <c r="N138" s="17"/>
      <c r="O138" s="5"/>
      <c r="Q138" s="5"/>
      <c r="R138" s="5"/>
      <c r="S138" s="5"/>
      <c r="Y138" s="10"/>
      <c r="Z138" s="10"/>
      <c r="AA138" s="10"/>
    </row>
    <row r="139" spans="2:27">
      <c r="B139" s="5"/>
      <c r="C139" s="5"/>
      <c r="D139" s="17"/>
      <c r="E139" s="17"/>
      <c r="F139" s="17"/>
      <c r="G139" s="17"/>
      <c r="H139" s="17"/>
      <c r="I139" s="5"/>
      <c r="J139" s="17"/>
      <c r="K139" s="17"/>
      <c r="L139" s="17"/>
      <c r="M139" s="17"/>
      <c r="N139" s="17"/>
      <c r="O139" s="5"/>
      <c r="Q139" s="5"/>
      <c r="R139" s="5"/>
      <c r="S139" s="5"/>
    </row>
    <row r="140" spans="2:27">
      <c r="B140" s="5"/>
      <c r="C140" s="17"/>
      <c r="D140" s="17"/>
      <c r="E140" s="17"/>
      <c r="F140" s="17"/>
      <c r="G140" s="17"/>
      <c r="H140" s="17"/>
      <c r="I140" s="5"/>
      <c r="J140" s="17"/>
      <c r="K140" s="17"/>
      <c r="L140" s="17"/>
      <c r="M140" s="17"/>
      <c r="N140" s="17"/>
      <c r="O140" s="5"/>
      <c r="Q140" s="5"/>
      <c r="R140" s="5"/>
      <c r="S140" s="5"/>
    </row>
    <row r="141" spans="2:27">
      <c r="B141" s="5"/>
      <c r="C141" s="5"/>
      <c r="D141" s="5"/>
      <c r="E141" s="5"/>
      <c r="F141" s="5"/>
      <c r="G141" s="5"/>
      <c r="H141" s="5"/>
      <c r="I141" s="5"/>
      <c r="J141" s="5"/>
      <c r="K141" s="5"/>
      <c r="L141" s="5"/>
      <c r="M141" s="5"/>
      <c r="N141" s="5"/>
      <c r="O141" s="5"/>
      <c r="Q141" s="5"/>
      <c r="R141" s="5"/>
      <c r="S141" s="5"/>
    </row>
    <row r="142" spans="2:27">
      <c r="B142" s="5"/>
      <c r="C142" s="5"/>
      <c r="D142" s="5"/>
      <c r="E142" s="5"/>
      <c r="F142" s="5"/>
      <c r="G142" s="5"/>
      <c r="H142" s="5"/>
      <c r="I142" s="5"/>
      <c r="J142" s="5"/>
      <c r="K142" s="5"/>
      <c r="L142" s="5"/>
      <c r="M142" s="5"/>
      <c r="N142" s="5"/>
      <c r="O142" s="5"/>
      <c r="Q142" s="5"/>
      <c r="R142" s="5"/>
      <c r="S142" s="5"/>
    </row>
    <row r="143" spans="2:27">
      <c r="B143" s="5"/>
      <c r="C143" s="5"/>
      <c r="D143" s="5"/>
      <c r="E143" s="5"/>
      <c r="F143" s="5"/>
      <c r="G143" s="5"/>
      <c r="H143" s="5"/>
      <c r="I143" s="5"/>
      <c r="J143" s="5"/>
      <c r="K143" s="5"/>
      <c r="L143" s="5"/>
      <c r="M143" s="5"/>
      <c r="N143" s="5"/>
      <c r="O143" s="5"/>
      <c r="Q143" s="5"/>
      <c r="R143" s="5"/>
      <c r="S143" s="5"/>
    </row>
    <row r="144" spans="2:27">
      <c r="B144" s="5"/>
      <c r="C144" s="5"/>
      <c r="D144" s="5"/>
      <c r="E144" s="5"/>
      <c r="F144" s="5"/>
      <c r="G144" s="5"/>
      <c r="H144" s="5"/>
      <c r="I144" s="5"/>
      <c r="J144" s="5"/>
      <c r="K144" s="5"/>
      <c r="L144" s="5"/>
      <c r="M144" s="5"/>
      <c r="N144" s="5"/>
      <c r="O144" s="5"/>
      <c r="Q144" s="5"/>
      <c r="R144" s="5"/>
      <c r="S144" s="5"/>
    </row>
    <row r="145" spans="2:19">
      <c r="B145" s="5"/>
      <c r="C145" s="5"/>
      <c r="D145" s="5"/>
      <c r="E145" s="5"/>
      <c r="F145" s="5"/>
      <c r="G145" s="5"/>
      <c r="H145" s="5"/>
      <c r="I145" s="5"/>
      <c r="J145" s="5"/>
      <c r="K145" s="5"/>
      <c r="L145" s="5"/>
      <c r="M145" s="5"/>
      <c r="N145" s="5"/>
      <c r="O145" s="5"/>
      <c r="Q145" s="5"/>
      <c r="R145" s="5"/>
      <c r="S145" s="5"/>
    </row>
    <row r="146" spans="2:19">
      <c r="B146" s="5"/>
      <c r="C146" s="5"/>
      <c r="D146" s="5"/>
      <c r="E146" s="5"/>
      <c r="F146" s="5"/>
      <c r="G146" s="5"/>
      <c r="H146" s="5"/>
      <c r="I146" s="5"/>
      <c r="J146" s="5"/>
      <c r="K146" s="5"/>
      <c r="L146" s="5"/>
      <c r="M146" s="5"/>
      <c r="N146" s="5"/>
      <c r="O146" s="5"/>
      <c r="Q146" s="5"/>
      <c r="R146" s="5"/>
      <c r="S146" s="5"/>
    </row>
    <row r="147" spans="2:19">
      <c r="B147" s="5"/>
      <c r="C147" s="5"/>
      <c r="D147" s="5"/>
      <c r="E147" s="5"/>
      <c r="F147" s="5"/>
      <c r="G147" s="5"/>
      <c r="H147" s="5"/>
      <c r="I147" s="5"/>
      <c r="J147" s="5"/>
      <c r="K147" s="5"/>
      <c r="L147" s="5"/>
      <c r="M147" s="5"/>
      <c r="N147" s="5"/>
      <c r="O147" s="5"/>
      <c r="Q147" s="5"/>
      <c r="R147" s="5"/>
      <c r="S147" s="5"/>
    </row>
    <row r="148" spans="2:19">
      <c r="B148" s="5"/>
      <c r="C148" s="5"/>
      <c r="D148" s="5"/>
      <c r="E148" s="5"/>
      <c r="F148" s="5"/>
      <c r="G148" s="5"/>
      <c r="H148" s="5"/>
      <c r="I148" s="5"/>
      <c r="J148" s="5"/>
      <c r="K148" s="5"/>
      <c r="L148" s="5"/>
      <c r="M148" s="5"/>
      <c r="N148" s="5"/>
      <c r="O148" s="5"/>
      <c r="Q148" s="5"/>
      <c r="R148" s="5"/>
      <c r="S148" s="5"/>
    </row>
    <row r="149" spans="2:19">
      <c r="B149" s="5"/>
      <c r="C149" s="5"/>
      <c r="D149" s="5"/>
      <c r="E149" s="5"/>
      <c r="F149" s="5"/>
      <c r="G149" s="5"/>
      <c r="H149" s="5"/>
      <c r="J149" s="5"/>
      <c r="K149" s="5"/>
      <c r="L149" s="5"/>
      <c r="M149" s="5"/>
      <c r="N149" s="5"/>
      <c r="O149" s="5"/>
      <c r="Q149" s="5"/>
      <c r="R149" s="5"/>
      <c r="S149" s="5"/>
    </row>
    <row r="150" spans="2:19">
      <c r="B150" s="5"/>
      <c r="C150" s="5"/>
      <c r="D150" s="5"/>
      <c r="E150" s="5"/>
      <c r="F150" s="5"/>
      <c r="G150" s="5"/>
      <c r="H150" s="5"/>
      <c r="J150" s="5"/>
      <c r="K150" s="5"/>
      <c r="L150" s="5"/>
      <c r="M150" s="5"/>
      <c r="N150" s="5"/>
      <c r="O150" s="5"/>
      <c r="Q150" s="5"/>
      <c r="R150" s="5"/>
      <c r="S150" s="5"/>
    </row>
    <row r="151" spans="2:19">
      <c r="Q151" s="5"/>
      <c r="R151" s="5"/>
      <c r="S151" s="5"/>
    </row>
    <row r="152" spans="2:19">
      <c r="Q152" s="5"/>
      <c r="R152" s="5"/>
      <c r="S152" s="5"/>
    </row>
    <row r="153" spans="2:19">
      <c r="C153" s="263"/>
      <c r="Q153" s="5"/>
      <c r="R153" s="5"/>
      <c r="S153" s="5"/>
    </row>
    <row r="154" spans="2:19">
      <c r="Q154" s="5"/>
      <c r="R154" s="5"/>
      <c r="S154" s="5"/>
    </row>
    <row r="155" spans="2:19">
      <c r="Q155" s="5"/>
      <c r="R155" s="5"/>
      <c r="S155" s="5"/>
    </row>
    <row r="156" spans="2:19">
      <c r="Q156" s="5"/>
      <c r="R156" s="5"/>
      <c r="S156" s="5"/>
    </row>
    <row r="157" spans="2:19">
      <c r="Q157" s="5"/>
      <c r="R157" s="5"/>
      <c r="S157" s="5"/>
    </row>
    <row r="158" spans="2:19">
      <c r="Q158" s="5"/>
      <c r="R158" s="5"/>
      <c r="S158" s="5"/>
    </row>
    <row r="159" spans="2:19">
      <c r="Q159" s="5"/>
      <c r="R159" s="5"/>
      <c r="S159" s="5"/>
    </row>
    <row r="160" spans="2:19">
      <c r="Q160" s="5"/>
      <c r="R160" s="5"/>
      <c r="S160" s="5"/>
    </row>
    <row r="161" spans="17:19">
      <c r="Q161" s="5"/>
      <c r="R161" s="5"/>
      <c r="S161" s="5"/>
    </row>
    <row r="162" spans="17:19">
      <c r="Q162" s="5"/>
      <c r="R162" s="5"/>
      <c r="S162" s="5"/>
    </row>
    <row r="163" spans="17:19">
      <c r="Q163" s="5"/>
      <c r="R163" s="5"/>
      <c r="S163" s="5"/>
    </row>
    <row r="164" spans="17:19">
      <c r="Q164" s="5"/>
      <c r="R164" s="5"/>
      <c r="S164" s="5"/>
    </row>
    <row r="165" spans="17:19">
      <c r="Q165" s="5"/>
      <c r="R165" s="5"/>
      <c r="S165" s="5"/>
    </row>
  </sheetData>
  <phoneticPr fontId="7" type="noConversion"/>
  <hyperlinks>
    <hyperlink ref="C2" location="DTSOP!A1" display="Jump to DT SOP" xr:uid="{00000000-0004-0000-2000-000001000000}"/>
  </hyperlinks>
  <pageMargins left="0.75" right="0.75" top="1" bottom="1" header="0.5" footer="0.5"/>
  <pageSetup scale="71" orientation="landscape" r:id="rId1"/>
  <headerFooter alignWithMargins="0"/>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7">
    <pageSetUpPr fitToPage="1"/>
  </sheetPr>
  <dimension ref="B1:AR165"/>
  <sheetViews>
    <sheetView showGridLines="0" zoomScale="80" zoomScaleNormal="80" zoomScaleSheetLayoutView="80" workbookViewId="0"/>
  </sheetViews>
  <sheetFormatPr defaultColWidth="9.109375" defaultRowHeight="12"/>
  <cols>
    <col min="1" max="1" width="2.33203125" style="39" customWidth="1"/>
    <col min="2" max="2" width="26.5546875" style="39" customWidth="1"/>
    <col min="3" max="9" width="10" style="39" customWidth="1"/>
    <col min="10" max="10" width="26.6640625" style="39" customWidth="1"/>
    <col min="11" max="16" width="10" style="39" customWidth="1"/>
    <col min="17" max="17" width="8.6640625" style="39" customWidth="1"/>
    <col min="18" max="28" width="8.6640625" style="5" customWidth="1"/>
    <col min="29" max="44" width="9.109375" style="5"/>
    <col min="45" max="16384" width="9.109375" style="39"/>
  </cols>
  <sheetData>
    <row r="1" spans="2:44" s="312" customFormat="1">
      <c r="R1" s="149"/>
      <c r="S1" s="149"/>
      <c r="T1" s="149"/>
      <c r="U1" s="149"/>
      <c r="V1" s="149"/>
      <c r="W1" s="149"/>
      <c r="X1" s="149"/>
      <c r="Y1" s="149"/>
      <c r="Z1" s="149"/>
      <c r="AA1" s="149"/>
      <c r="AB1" s="149"/>
      <c r="AC1" s="149"/>
      <c r="AD1" s="149"/>
      <c r="AE1" s="149"/>
      <c r="AF1" s="149"/>
      <c r="AG1" s="149"/>
      <c r="AH1" s="149"/>
      <c r="AI1" s="149"/>
      <c r="AJ1" s="149"/>
      <c r="AK1" s="149"/>
      <c r="AL1" s="149"/>
      <c r="AM1" s="149"/>
      <c r="AN1" s="149"/>
      <c r="AO1" s="149"/>
      <c r="AP1" s="149"/>
      <c r="AQ1" s="149"/>
      <c r="AR1" s="149"/>
    </row>
    <row r="2" spans="2:44" s="149" customFormat="1"/>
    <row r="3" spans="2:44" s="149" customFormat="1">
      <c r="H3" s="153"/>
      <c r="P3" s="153"/>
    </row>
    <row r="4" spans="2:44" s="156" customFormat="1" ht="21">
      <c r="B4" s="129" t="s">
        <v>353</v>
      </c>
      <c r="H4" s="222"/>
      <c r="P4" s="222"/>
    </row>
    <row r="5" spans="2:44" s="149" customFormat="1">
      <c r="C5" s="153"/>
      <c r="D5" s="153" t="str" cm="1">
        <f t="array" ref="D5:H5">headings</f>
        <v>2023E</v>
      </c>
      <c r="E5" s="153" t="str">
        <v>2024E</v>
      </c>
      <c r="F5" s="153" t="str">
        <v>2025E</v>
      </c>
      <c r="G5" s="153" t="str">
        <v>2026E</v>
      </c>
      <c r="H5" s="153" t="str">
        <v>23E-26E</v>
      </c>
      <c r="I5" s="153"/>
      <c r="J5" s="153"/>
      <c r="K5" s="153"/>
      <c r="L5" s="153" t="str" cm="1">
        <f t="array" ref="L5:P5">headings</f>
        <v>2023E</v>
      </c>
      <c r="M5" s="153" t="str">
        <v>2024E</v>
      </c>
      <c r="N5" s="153" t="str">
        <v>2025E</v>
      </c>
      <c r="O5" s="153" t="str">
        <v>2026E</v>
      </c>
      <c r="P5" s="153" t="str">
        <v>23E-26E</v>
      </c>
      <c r="Q5" s="162"/>
      <c r="R5" s="162"/>
      <c r="S5" s="162"/>
      <c r="T5" s="162"/>
      <c r="U5" s="162"/>
      <c r="V5" s="162"/>
      <c r="W5" s="162"/>
      <c r="X5" s="162"/>
      <c r="Y5" s="162"/>
    </row>
    <row r="6" spans="2:44">
      <c r="I6" s="5"/>
      <c r="J6" s="5"/>
      <c r="K6" s="5"/>
      <c r="L6" s="5"/>
      <c r="M6" s="5"/>
      <c r="N6" s="5"/>
      <c r="O6" s="49"/>
    </row>
    <row r="7" spans="2:44" ht="12.6" thickBot="1">
      <c r="B7" s="306" t="s">
        <v>271</v>
      </c>
      <c r="C7" s="265"/>
      <c r="D7" s="265" t="str">
        <f>D5</f>
        <v>2023E</v>
      </c>
      <c r="E7" s="265" t="str">
        <f t="shared" ref="E7:H7" si="0">E5</f>
        <v>2024E</v>
      </c>
      <c r="F7" s="265" t="str">
        <f t="shared" si="0"/>
        <v>2025E</v>
      </c>
      <c r="G7" s="265" t="str">
        <f t="shared" si="0"/>
        <v>2026E</v>
      </c>
      <c r="H7" s="265" t="str">
        <f t="shared" si="0"/>
        <v>23E-26E</v>
      </c>
      <c r="I7" s="49"/>
      <c r="J7" s="306" t="s">
        <v>492</v>
      </c>
      <c r="K7" s="306"/>
      <c r="L7" s="265" t="str">
        <f>L5</f>
        <v>2023E</v>
      </c>
      <c r="M7" s="265" t="str">
        <f t="shared" ref="M7:P7" si="1">M5</f>
        <v>2024E</v>
      </c>
      <c r="N7" s="265" t="str">
        <f t="shared" si="1"/>
        <v>2025E</v>
      </c>
      <c r="O7" s="265" t="str">
        <f t="shared" si="1"/>
        <v>2026E</v>
      </c>
      <c r="P7" s="265" t="str">
        <f t="shared" si="1"/>
        <v>23E-26E</v>
      </c>
    </row>
    <row r="8" spans="2:44" ht="12.6" thickTop="1">
      <c r="B8" s="5"/>
      <c r="C8" s="5"/>
      <c r="D8" s="5"/>
      <c r="E8" s="5"/>
      <c r="F8" s="5"/>
      <c r="G8" s="5"/>
      <c r="H8" s="5"/>
      <c r="I8" s="5"/>
      <c r="J8" s="5"/>
      <c r="K8" s="5"/>
      <c r="L8" s="5"/>
      <c r="M8" s="5"/>
      <c r="N8" s="5"/>
      <c r="S8" s="42"/>
      <c r="T8" s="42"/>
      <c r="U8" s="42"/>
      <c r="V8" s="42"/>
      <c r="W8" s="42"/>
      <c r="X8" s="42"/>
      <c r="Y8" s="42"/>
      <c r="Z8" s="42"/>
      <c r="AA8" s="42"/>
    </row>
    <row r="9" spans="2:44">
      <c r="B9" s="41" t="s">
        <v>272</v>
      </c>
      <c r="C9" s="287">
        <f>Prices!C23</f>
        <v>41.62</v>
      </c>
      <c r="D9" s="535">
        <v>0</v>
      </c>
      <c r="E9" s="536">
        <v>0</v>
      </c>
      <c r="F9" s="536">
        <v>0</v>
      </c>
      <c r="G9" s="536">
        <v>0</v>
      </c>
      <c r="H9" s="249"/>
      <c r="I9" s="249"/>
      <c r="J9" s="5" t="s">
        <v>273</v>
      </c>
      <c r="L9" s="529">
        <f>'W.EUR OTHER'!D37</f>
        <v>1.625740200561925</v>
      </c>
      <c r="M9" s="529">
        <f>'W.EUR OTHER'!E37</f>
        <v>1.4744355877361912</v>
      </c>
      <c r="N9" s="529">
        <f>'W.EUR OTHER'!F37</f>
        <v>1.3838130671688169</v>
      </c>
      <c r="O9" s="529">
        <f>'W.EUR OTHER'!G37</f>
        <v>1.2773151297065752</v>
      </c>
      <c r="P9" s="279">
        <f>'W.EUR OTHER'!H37</f>
        <v>1.5716493135688125E-2</v>
      </c>
      <c r="S9" s="42"/>
      <c r="T9" s="42"/>
      <c r="U9" s="42"/>
      <c r="V9" s="42"/>
      <c r="W9" s="42"/>
      <c r="X9" s="42"/>
      <c r="Y9" s="42"/>
      <c r="Z9" s="42"/>
      <c r="AA9" s="42"/>
    </row>
    <row r="10" spans="2:44">
      <c r="B10" s="5" t="s">
        <v>274</v>
      </c>
      <c r="C10" s="5"/>
      <c r="D10" s="531">
        <v>160.066</v>
      </c>
      <c r="E10" s="531">
        <v>160.066</v>
      </c>
      <c r="F10" s="531">
        <v>160.066</v>
      </c>
      <c r="G10" s="531">
        <v>160.066</v>
      </c>
      <c r="H10" s="247"/>
      <c r="I10" s="247"/>
      <c r="J10" s="5" t="s">
        <v>184</v>
      </c>
      <c r="L10" s="529">
        <f>'W.EUR OTHER'!D38</f>
        <v>5.2795254299348739</v>
      </c>
      <c r="M10" s="529">
        <f>'W.EUR OTHER'!E38</f>
        <v>4.974469712304483</v>
      </c>
      <c r="N10" s="529">
        <f>'W.EUR OTHER'!F38</f>
        <v>4.5174816735135677</v>
      </c>
      <c r="O10" s="529">
        <f>'W.EUR OTHER'!G38</f>
        <v>4.0920709682728358</v>
      </c>
      <c r="P10" s="279">
        <f>'W.EUR OTHER'!H38</f>
        <v>2.0325446875936182E-2</v>
      </c>
      <c r="S10" s="42"/>
      <c r="T10" s="42"/>
      <c r="U10" s="42"/>
      <c r="V10" s="42"/>
      <c r="W10" s="288"/>
      <c r="X10" s="288"/>
      <c r="Y10" s="288"/>
      <c r="Z10" s="288"/>
      <c r="AA10" s="42"/>
    </row>
    <row r="11" spans="2:44">
      <c r="B11" s="41" t="s">
        <v>275</v>
      </c>
      <c r="C11" s="5"/>
      <c r="D11" s="532">
        <f>$C$9*D10</f>
        <v>6661.9469199999994</v>
      </c>
      <c r="E11" s="532">
        <f>$C$9*E10</f>
        <v>6661.9469199999994</v>
      </c>
      <c r="F11" s="532">
        <f>$C$9*F10</f>
        <v>6661.9469199999994</v>
      </c>
      <c r="G11" s="532">
        <f>$C$9*G10</f>
        <v>6661.9469199999994</v>
      </c>
      <c r="H11" s="249"/>
      <c r="I11" s="249"/>
      <c r="J11" s="5" t="s">
        <v>185</v>
      </c>
      <c r="L11" s="529">
        <f>'W.EUR OTHER'!D39</f>
        <v>12.736189476818824</v>
      </c>
      <c r="M11" s="529">
        <f>'W.EUR OTHER'!E39</f>
        <v>12.065966967777575</v>
      </c>
      <c r="N11" s="529">
        <f>'W.EUR OTHER'!F39</f>
        <v>9.9478093470125</v>
      </c>
      <c r="O11" s="529">
        <f>'W.EUR OTHER'!G39</f>
        <v>8.473000290176449</v>
      </c>
      <c r="P11" s="279">
        <f>'W.EUR OTHER'!H39</f>
        <v>7.3632307659955432E-2</v>
      </c>
      <c r="S11" s="42"/>
      <c r="T11" s="42"/>
      <c r="U11" s="42"/>
      <c r="V11" s="42"/>
      <c r="W11" s="288"/>
      <c r="X11" s="288"/>
      <c r="Y11" s="288"/>
      <c r="Z11" s="288"/>
      <c r="AA11" s="42"/>
    </row>
    <row r="12" spans="2:44">
      <c r="B12" s="5" t="s">
        <v>24</v>
      </c>
      <c r="C12" s="249"/>
      <c r="D12" s="533">
        <v>1285.8112828063831</v>
      </c>
      <c r="E12" s="533">
        <v>1278.6347180832465</v>
      </c>
      <c r="F12" s="533">
        <v>1250.7170332562982</v>
      </c>
      <c r="G12" s="533">
        <v>1221.7954956566061</v>
      </c>
      <c r="H12" s="247"/>
      <c r="I12" s="247"/>
      <c r="J12" s="5" t="s">
        <v>466</v>
      </c>
      <c r="L12" s="529">
        <f>'W.EUR OTHER'!D40</f>
        <v>17.537055550367363</v>
      </c>
      <c r="M12" s="529">
        <f>'W.EUR OTHER'!E40</f>
        <v>16.571844500633869</v>
      </c>
      <c r="N12" s="529">
        <f>'W.EUR OTHER'!F40</f>
        <v>13.70048405868403</v>
      </c>
      <c r="O12" s="529">
        <f>'W.EUR OTHER'!G40</f>
        <v>11.681030567966248</v>
      </c>
      <c r="P12" s="279">
        <f>'W.EUR OTHER'!H40</f>
        <v>7.319831169942681E-2</v>
      </c>
      <c r="S12" s="42"/>
      <c r="T12" s="42"/>
      <c r="U12" s="42"/>
      <c r="V12" s="42"/>
      <c r="W12" s="288"/>
      <c r="X12" s="288"/>
      <c r="Y12" s="288"/>
      <c r="Z12" s="288"/>
      <c r="AA12" s="42"/>
    </row>
    <row r="13" spans="2:44">
      <c r="B13" s="5" t="s">
        <v>529</v>
      </c>
      <c r="C13" s="257"/>
      <c r="D13" s="533">
        <v>330.00698230875508</v>
      </c>
      <c r="E13" s="533">
        <v>330.00698230875508</v>
      </c>
      <c r="F13" s="533">
        <v>330.00698230875508</v>
      </c>
      <c r="G13" s="533">
        <v>0</v>
      </c>
      <c r="H13" s="247"/>
      <c r="I13" s="247"/>
      <c r="J13" s="5" t="s">
        <v>530</v>
      </c>
      <c r="L13" s="529">
        <f>'W.EUR OTHER'!D41</f>
        <v>0.73407860349270371</v>
      </c>
      <c r="M13" s="529">
        <f>'W.EUR OTHER'!E41</f>
        <v>0.70658465772315859</v>
      </c>
      <c r="N13" s="529">
        <f>'W.EUR OTHER'!F41</f>
        <v>0.66539496043406632</v>
      </c>
      <c r="O13" s="529">
        <f>'W.EUR OTHER'!G41</f>
        <v>0.63140864888435067</v>
      </c>
      <c r="P13" s="279">
        <f>'W.EUR OTHER'!H41</f>
        <v>-1.4479895812281707E-2</v>
      </c>
      <c r="S13" s="42"/>
      <c r="T13" s="42"/>
      <c r="U13" s="42"/>
      <c r="V13" s="42"/>
      <c r="W13" s="42"/>
      <c r="X13" s="42"/>
      <c r="Y13" s="42"/>
      <c r="Z13" s="42"/>
      <c r="AA13" s="42"/>
    </row>
    <row r="14" spans="2:44">
      <c r="B14" s="5" t="s">
        <v>532</v>
      </c>
      <c r="C14" s="257"/>
      <c r="D14" s="530">
        <f>ELISASOP!J25</f>
        <v>0</v>
      </c>
      <c r="E14" s="530">
        <f t="shared" ref="E14:G15" si="2">D14</f>
        <v>0</v>
      </c>
      <c r="F14" s="530">
        <f t="shared" si="2"/>
        <v>0</v>
      </c>
      <c r="G14" s="530">
        <f t="shared" si="2"/>
        <v>0</v>
      </c>
      <c r="H14" s="247"/>
      <c r="I14" s="247"/>
      <c r="J14" s="5" t="s">
        <v>593</v>
      </c>
      <c r="L14" s="529">
        <f>'W.EUR OTHER'!D42</f>
        <v>1.7744255045715212</v>
      </c>
      <c r="M14" s="529">
        <f>'W.EUR OTHER'!E42</f>
        <v>1.6143851746135043</v>
      </c>
      <c r="N14" s="529">
        <f>'W.EUR OTHER'!F42</f>
        <v>1.516251557360391</v>
      </c>
      <c r="O14" s="529">
        <f>'W.EUR OTHER'!G42</f>
        <v>1.4124281433920347</v>
      </c>
      <c r="P14" s="279">
        <f>'W.EUR OTHER'!H42</f>
        <v>1.1312273411797191E-2</v>
      </c>
      <c r="S14" s="42"/>
      <c r="T14" s="42"/>
      <c r="U14" s="42"/>
      <c r="V14" s="42"/>
      <c r="W14" s="42"/>
      <c r="X14" s="42"/>
      <c r="Y14" s="42"/>
      <c r="Z14" s="42"/>
      <c r="AA14" s="42"/>
    </row>
    <row r="15" spans="2:44">
      <c r="B15" s="5" t="s">
        <v>531</v>
      </c>
      <c r="C15" s="274"/>
      <c r="D15" s="612">
        <f>ELISASOP!T16</f>
        <v>0</v>
      </c>
      <c r="E15" s="533">
        <f t="shared" si="2"/>
        <v>0</v>
      </c>
      <c r="F15" s="533">
        <f t="shared" si="2"/>
        <v>0</v>
      </c>
      <c r="G15" s="533">
        <f t="shared" si="2"/>
        <v>0</v>
      </c>
      <c r="H15" s="247"/>
      <c r="I15" s="247"/>
      <c r="J15" s="5" t="s">
        <v>475</v>
      </c>
      <c r="L15" s="529">
        <f>'W.EUR OTHER'!D43</f>
        <v>16.766632642192913</v>
      </c>
      <c r="M15" s="529">
        <f>'W.EUR OTHER'!E43</f>
        <v>18.03434445713204</v>
      </c>
      <c r="N15" s="529">
        <f>'W.EUR OTHER'!F43</f>
        <v>10.571394482468753</v>
      </c>
      <c r="O15" s="529">
        <f>'W.EUR OTHER'!G43</f>
        <v>8.2021597370687243</v>
      </c>
      <c r="P15" s="279">
        <f>'W.EUR OTHER'!H43</f>
        <v>0.21960762754614027</v>
      </c>
      <c r="S15" s="42"/>
      <c r="T15" s="42"/>
      <c r="U15" s="42"/>
      <c r="V15" s="42"/>
      <c r="W15" s="42"/>
      <c r="X15" s="42"/>
      <c r="Y15" s="42"/>
      <c r="Z15" s="42"/>
      <c r="AA15" s="42"/>
    </row>
    <row r="16" spans="2:44">
      <c r="B16" s="5" t="s">
        <v>534</v>
      </c>
      <c r="C16" s="257"/>
      <c r="D16" s="533">
        <v>0</v>
      </c>
      <c r="E16" s="533">
        <v>360.14850000000001</v>
      </c>
      <c r="F16" s="533">
        <v>736.30359999999996</v>
      </c>
      <c r="G16" s="533">
        <v>0</v>
      </c>
      <c r="H16" s="247"/>
      <c r="I16" s="247"/>
      <c r="J16" s="5" t="s">
        <v>533</v>
      </c>
      <c r="L16" s="529">
        <f>'W.EUR OTHER'!D44</f>
        <v>14.93276596244098</v>
      </c>
      <c r="M16" s="529">
        <f>'W.EUR OTHER'!E44</f>
        <v>11.776896223765881</v>
      </c>
      <c r="N16" s="529">
        <f>'W.EUR OTHER'!F44</f>
        <v>9.7753259947195836</v>
      </c>
      <c r="O16" s="529">
        <f>'W.EUR OTHER'!G44</f>
        <v>8.6831119730060706</v>
      </c>
      <c r="P16" s="279">
        <f>'W.EUR OTHER'!H44</f>
        <v>0.16793708979658639</v>
      </c>
      <c r="S16" s="42"/>
      <c r="T16" s="42"/>
      <c r="U16" s="42"/>
      <c r="V16" s="42"/>
      <c r="W16" s="42"/>
      <c r="X16" s="42"/>
      <c r="Y16" s="42"/>
      <c r="Z16" s="42"/>
      <c r="AA16" s="42"/>
    </row>
    <row r="17" spans="2:27">
      <c r="B17" s="5" t="s">
        <v>6</v>
      </c>
      <c r="C17" s="257"/>
      <c r="D17" s="533">
        <v>37.089342284886605</v>
      </c>
      <c r="E17" s="533">
        <v>37.089342284886605</v>
      </c>
      <c r="F17" s="533">
        <v>37.089342284886605</v>
      </c>
      <c r="G17" s="533">
        <v>0</v>
      </c>
      <c r="H17" s="247"/>
      <c r="I17" s="247"/>
      <c r="J17" s="5" t="s">
        <v>580</v>
      </c>
      <c r="L17" s="248">
        <f>'W.EUR OTHER'!D45</f>
        <v>7.0241435315537989E-2</v>
      </c>
      <c r="M17" s="248">
        <f>'W.EUR OTHER'!E45</f>
        <v>4.5697904024259245E-2</v>
      </c>
      <c r="N17" s="248">
        <f>'W.EUR OTHER'!F45</f>
        <v>4.7170150494817063E-2</v>
      </c>
      <c r="O17" s="248">
        <f>'W.EUR OTHER'!G45</f>
        <v>4.8241300976334903E-2</v>
      </c>
      <c r="P17" s="279">
        <f>'W.EUR OTHER'!H45</f>
        <v>-0.13991829578276849</v>
      </c>
      <c r="S17" s="42"/>
      <c r="T17" s="42"/>
      <c r="U17" s="42"/>
      <c r="V17" s="42"/>
      <c r="W17" s="42"/>
      <c r="X17" s="42"/>
      <c r="Y17" s="42"/>
      <c r="Z17" s="42"/>
      <c r="AA17" s="42"/>
    </row>
    <row r="18" spans="2:27" ht="12.6" thickBot="1">
      <c r="B18" s="41" t="s">
        <v>583</v>
      </c>
      <c r="C18" s="249"/>
      <c r="D18" s="534">
        <f>D11+D12+D13-D14+D15-D16-D17</f>
        <v>8240.675842830251</v>
      </c>
      <c r="E18" s="534">
        <f>E11+E12+E13-E14+E15-E16-E17</f>
        <v>7873.350778107113</v>
      </c>
      <c r="F18" s="534">
        <f>F11+F12+F13-F14+F15-F16-F17</f>
        <v>7469.2779932801659</v>
      </c>
      <c r="G18" s="534">
        <f>G11+G12+G13-G14+G15-G16-G17</f>
        <v>7883.7424156566058</v>
      </c>
      <c r="H18" s="276">
        <f>IF(D18=0,"nm",IF(G18=0,"nm",(G18/D18)^(1/3)-1))</f>
        <v>-1.4651488015098857E-2</v>
      </c>
      <c r="I18" s="254"/>
      <c r="J18" s="5" t="s">
        <v>36</v>
      </c>
      <c r="L18" s="248">
        <f>'W.EUR OTHER'!D46</f>
        <v>7.0241435315537989E-2</v>
      </c>
      <c r="M18" s="248">
        <f>'W.EUR OTHER'!E46</f>
        <v>4.5697904024259245E-2</v>
      </c>
      <c r="N18" s="248">
        <f>'W.EUR OTHER'!F46</f>
        <v>4.7170150494817063E-2</v>
      </c>
      <c r="O18" s="248">
        <f>'W.EUR OTHER'!G46</f>
        <v>4.8241300976334903E-2</v>
      </c>
      <c r="P18" s="279">
        <f>'W.EUR OTHER'!H46</f>
        <v>-0.13991829578276849</v>
      </c>
      <c r="S18" s="42"/>
      <c r="T18" s="42"/>
      <c r="U18" s="42"/>
      <c r="V18" s="42"/>
      <c r="W18" s="42"/>
      <c r="X18" s="42"/>
      <c r="Y18" s="42"/>
      <c r="Z18" s="42"/>
      <c r="AA18" s="42"/>
    </row>
    <row r="19" spans="2:27" ht="12.6" thickTop="1">
      <c r="B19" s="41"/>
      <c r="C19" s="249"/>
      <c r="D19" s="229"/>
      <c r="E19" s="229"/>
      <c r="F19" s="229"/>
      <c r="G19" s="229"/>
      <c r="H19" s="276"/>
      <c r="I19" s="254"/>
      <c r="J19" s="5" t="s">
        <v>581</v>
      </c>
      <c r="L19" s="248">
        <f>'W.EUR OTHER'!D47</f>
        <v>5.9642268148913748E-2</v>
      </c>
      <c r="M19" s="248">
        <f>'W.EUR OTHER'!E47</f>
        <v>5.5449756012868556E-2</v>
      </c>
      <c r="N19" s="248">
        <f>'W.EUR OTHER'!F47</f>
        <v>9.4594899628271986E-2</v>
      </c>
      <c r="O19" s="248">
        <f>'W.EUR OTHER'!G47</f>
        <v>0.12191910814423843</v>
      </c>
      <c r="P19" s="279">
        <f>'W.EUR OTHER'!H47</f>
        <v>0.21960762754614027</v>
      </c>
      <c r="S19" s="42"/>
      <c r="T19" s="42"/>
      <c r="U19" s="42"/>
      <c r="V19" s="42"/>
      <c r="W19" s="42"/>
      <c r="X19" s="42"/>
      <c r="Y19" s="42"/>
      <c r="Z19" s="42"/>
      <c r="AA19" s="42"/>
    </row>
    <row r="20" spans="2:27">
      <c r="H20" s="277"/>
      <c r="I20" s="17"/>
      <c r="J20" s="5" t="s">
        <v>604</v>
      </c>
      <c r="L20" s="305">
        <f>'W.EUR OTHER'!D48</f>
        <v>1.1058218246883247</v>
      </c>
      <c r="M20" s="305">
        <f>'W.EUR OTHER'!E48</f>
        <v>0.7720587558994737</v>
      </c>
      <c r="N20" s="305">
        <f>'W.EUR OTHER'!F48</f>
        <v>0.47387935381738827</v>
      </c>
      <c r="O20" s="305">
        <f>'W.EUR OTHER'!G48</f>
        <v>0.38783222312893756</v>
      </c>
      <c r="P20" s="279" t="str">
        <f>'W.EUR OTHER'!H48</f>
        <v>nm</v>
      </c>
      <c r="S20" s="42"/>
      <c r="T20" s="42"/>
      <c r="U20" s="42"/>
      <c r="V20" s="42"/>
      <c r="W20" s="42"/>
      <c r="X20" s="42"/>
      <c r="Y20" s="42"/>
      <c r="Z20" s="42"/>
      <c r="AA20" s="42"/>
    </row>
    <row r="21" spans="2:27" ht="12.6" thickBot="1">
      <c r="B21" s="306" t="s">
        <v>926</v>
      </c>
      <c r="C21" s="265"/>
      <c r="D21" s="265" t="str">
        <f>D5</f>
        <v>2023E</v>
      </c>
      <c r="E21" s="265" t="str">
        <f t="shared" ref="E21:H21" si="3">E5</f>
        <v>2024E</v>
      </c>
      <c r="F21" s="265" t="str">
        <f t="shared" si="3"/>
        <v>2025E</v>
      </c>
      <c r="G21" s="265" t="str">
        <f t="shared" si="3"/>
        <v>2026E</v>
      </c>
      <c r="H21" s="265" t="str">
        <f t="shared" si="3"/>
        <v>23E-26E</v>
      </c>
      <c r="I21" s="49"/>
      <c r="J21" s="41"/>
      <c r="L21" s="250"/>
      <c r="M21" s="250"/>
      <c r="N21" s="250"/>
      <c r="O21" s="250"/>
      <c r="P21" s="279"/>
      <c r="S21" s="42"/>
      <c r="T21" s="42"/>
      <c r="U21" s="42"/>
      <c r="V21" s="42"/>
      <c r="W21" s="42"/>
      <c r="X21" s="42"/>
      <c r="Y21" s="42"/>
      <c r="Z21" s="42"/>
      <c r="AA21" s="42"/>
    </row>
    <row r="22" spans="2:27" ht="12.6" thickTop="1">
      <c r="B22" s="5"/>
      <c r="C22" s="257"/>
      <c r="D22" s="17"/>
      <c r="E22" s="17"/>
      <c r="F22" s="17"/>
      <c r="G22" s="17"/>
      <c r="H22" s="17"/>
      <c r="I22" s="17"/>
      <c r="P22" s="277"/>
      <c r="S22" s="42"/>
      <c r="T22" s="42"/>
      <c r="U22" s="42"/>
      <c r="V22" s="42"/>
      <c r="W22" s="42"/>
      <c r="X22" s="42"/>
      <c r="Y22" s="42"/>
      <c r="Z22" s="42"/>
      <c r="AA22" s="42"/>
    </row>
    <row r="23" spans="2:27" ht="12.6" thickBot="1">
      <c r="B23" s="5" t="s">
        <v>584</v>
      </c>
      <c r="C23" s="548">
        <v>2230.9267432407264</v>
      </c>
      <c r="D23" s="540">
        <v>2325.2620526870155</v>
      </c>
      <c r="E23" s="540">
        <v>2409.8703517078252</v>
      </c>
      <c r="F23" s="540">
        <v>2483.8727413724814</v>
      </c>
      <c r="G23" s="540">
        <v>2561.6216226683018</v>
      </c>
      <c r="H23" s="279">
        <f t="shared" ref="H23:H32" si="4">IF(D23=0,"nm",IF(G23=0,"nm",(G23/D23)^(1/3)-1))</f>
        <v>3.2795551785379518E-2</v>
      </c>
      <c r="I23" s="247"/>
      <c r="J23" s="306" t="s">
        <v>9</v>
      </c>
      <c r="K23" s="306"/>
      <c r="L23" s="265" t="str">
        <f>D21</f>
        <v>2023E</v>
      </c>
      <c r="M23" s="265" t="str">
        <f t="shared" ref="M23:P23" si="5">E21</f>
        <v>2024E</v>
      </c>
      <c r="N23" s="265" t="str">
        <f t="shared" si="5"/>
        <v>2025E</v>
      </c>
      <c r="O23" s="265" t="str">
        <f t="shared" si="5"/>
        <v>2026E</v>
      </c>
      <c r="P23" s="265" t="str">
        <f t="shared" si="5"/>
        <v>23E-26E</v>
      </c>
      <c r="S23" s="42"/>
      <c r="T23" s="42"/>
      <c r="U23" s="42"/>
      <c r="V23" s="42"/>
      <c r="W23" s="42"/>
      <c r="X23" s="42"/>
      <c r="Y23" s="42"/>
      <c r="Z23" s="42"/>
      <c r="AA23" s="42"/>
    </row>
    <row r="24" spans="2:27" ht="12.6" thickTop="1">
      <c r="B24" s="5" t="s">
        <v>483</v>
      </c>
      <c r="C24" s="548">
        <v>735.3</v>
      </c>
      <c r="D24" s="540">
        <v>749.98268114198163</v>
      </c>
      <c r="E24" s="540">
        <v>784.37169744866901</v>
      </c>
      <c r="F24" s="540">
        <v>814.94839603297817</v>
      </c>
      <c r="G24" s="540">
        <v>843.34961270371184</v>
      </c>
      <c r="H24" s="279">
        <f t="shared" si="4"/>
        <v>3.9885378402768179E-2</v>
      </c>
      <c r="I24" s="249"/>
      <c r="J24" s="17"/>
      <c r="K24" s="17"/>
      <c r="L24" s="17"/>
      <c r="M24" s="17"/>
      <c r="N24" s="17"/>
      <c r="O24" s="248"/>
      <c r="S24" s="42"/>
      <c r="T24" s="42"/>
      <c r="U24" s="42"/>
      <c r="V24" s="42"/>
      <c r="W24" s="42" t="s">
        <v>354</v>
      </c>
      <c r="X24" s="42" t="s">
        <v>253</v>
      </c>
      <c r="Y24" s="42"/>
      <c r="Z24" s="42"/>
      <c r="AA24" s="42"/>
    </row>
    <row r="25" spans="2:27">
      <c r="B25" s="5" t="s">
        <v>183</v>
      </c>
      <c r="C25" s="548">
        <v>480.49999999999994</v>
      </c>
      <c r="D25" s="540">
        <v>491.69811333797094</v>
      </c>
      <c r="E25" s="540">
        <v>524.90234097211714</v>
      </c>
      <c r="F25" s="540">
        <v>566.23972417120729</v>
      </c>
      <c r="G25" s="540">
        <v>593.98079242069173</v>
      </c>
      <c r="H25" s="279">
        <f t="shared" si="4"/>
        <v>6.5020465226544477E-2</v>
      </c>
      <c r="I25" s="248"/>
      <c r="J25" s="247" t="s">
        <v>10</v>
      </c>
      <c r="K25" s="247"/>
      <c r="L25" s="321">
        <v>292.9176400238685</v>
      </c>
      <c r="M25" s="321">
        <v>292.9176400238685</v>
      </c>
      <c r="N25" s="321">
        <v>292.9176400238685</v>
      </c>
      <c r="O25" s="321">
        <v>0</v>
      </c>
      <c r="P25" s="279" t="str">
        <f>IF(L25=0,"nm",IF(O25=0,"nm",(O25/L25)^(1/3)-1))</f>
        <v>nm</v>
      </c>
      <c r="S25" s="42"/>
      <c r="T25" s="42"/>
      <c r="U25" s="42"/>
      <c r="V25" s="147" t="s">
        <v>273</v>
      </c>
      <c r="W25" s="288">
        <f>D37/L9</f>
        <v>2.1799161149726967</v>
      </c>
      <c r="X25" s="288">
        <v>1</v>
      </c>
      <c r="Y25" s="42"/>
      <c r="Z25" s="42"/>
      <c r="AA25" s="42"/>
    </row>
    <row r="26" spans="2:27">
      <c r="B26" s="5" t="s">
        <v>586</v>
      </c>
      <c r="C26" s="548">
        <v>384.4</v>
      </c>
      <c r="D26" s="540">
        <v>393.3584906703768</v>
      </c>
      <c r="E26" s="540">
        <v>419.92187277769375</v>
      </c>
      <c r="F26" s="540">
        <v>452.99177933696586</v>
      </c>
      <c r="G26" s="540">
        <v>475.18463393655338</v>
      </c>
      <c r="H26" s="279">
        <f t="shared" si="4"/>
        <v>6.5020465226544477E-2</v>
      </c>
      <c r="I26" s="249"/>
      <c r="J26" s="249" t="s">
        <v>11</v>
      </c>
      <c r="K26" s="249"/>
      <c r="L26" s="281">
        <f>D11+L25</f>
        <v>6954.8645600238679</v>
      </c>
      <c r="M26" s="281">
        <f>E11+M25</f>
        <v>6954.8645600238679</v>
      </c>
      <c r="N26" s="281">
        <f>F11+N25</f>
        <v>6954.8645600238679</v>
      </c>
      <c r="O26" s="281">
        <f>G11+O25</f>
        <v>6661.9469199999994</v>
      </c>
      <c r="P26" s="279">
        <f>IF(L26=0,"nm",IF(O26=0,"nm",(O26/L26)^(1/3)-1))</f>
        <v>-1.424081953399492E-2</v>
      </c>
      <c r="Q26" s="5"/>
      <c r="S26" s="42"/>
      <c r="T26" s="42"/>
      <c r="U26" s="42"/>
      <c r="V26" s="147" t="s">
        <v>184</v>
      </c>
      <c r="W26" s="288">
        <f t="shared" ref="W26:W33" si="6">D38/L10</f>
        <v>2.0812138638131921</v>
      </c>
      <c r="X26" s="288">
        <v>1</v>
      </c>
      <c r="Y26" s="42"/>
      <c r="Z26" s="42"/>
      <c r="AA26" s="42"/>
    </row>
    <row r="27" spans="2:27">
      <c r="B27" s="5" t="s">
        <v>587</v>
      </c>
      <c r="C27" s="548">
        <v>2527.9</v>
      </c>
      <c r="D27" s="540">
        <v>2493.9392162593876</v>
      </c>
      <c r="E27" s="540">
        <v>2513.2862431579119</v>
      </c>
      <c r="F27" s="540">
        <v>2516.3947855484184</v>
      </c>
      <c r="G27" s="540">
        <v>2519.4314435658471</v>
      </c>
      <c r="H27" s="279">
        <f t="shared" si="4"/>
        <v>3.3956801245842438E-3</v>
      </c>
      <c r="I27" s="249"/>
      <c r="J27" s="248"/>
      <c r="K27" s="248"/>
      <c r="L27" s="248"/>
      <c r="M27" s="248"/>
      <c r="N27" s="248"/>
      <c r="O27" s="248"/>
      <c r="Q27" s="41"/>
      <c r="S27" s="42"/>
      <c r="T27" s="42"/>
      <c r="U27" s="42"/>
      <c r="V27" s="147" t="s">
        <v>185</v>
      </c>
      <c r="W27" s="288">
        <f t="shared" si="6"/>
        <v>1.3159057287580695</v>
      </c>
      <c r="X27" s="288">
        <v>1</v>
      </c>
      <c r="Y27" s="42"/>
      <c r="Z27" s="42"/>
      <c r="AA27" s="42"/>
    </row>
    <row r="28" spans="2:27" ht="12.6" thickBot="1">
      <c r="B28" s="5" t="s">
        <v>592</v>
      </c>
      <c r="C28" s="548">
        <v>857.1</v>
      </c>
      <c r="D28" s="540">
        <v>861.58657257750065</v>
      </c>
      <c r="E28" s="540">
        <v>856.63757353416031</v>
      </c>
      <c r="F28" s="540">
        <v>834.63918965935272</v>
      </c>
      <c r="G28" s="540">
        <v>809.94742368736297</v>
      </c>
      <c r="H28" s="279">
        <f t="shared" si="4"/>
        <v>-2.039129562383335E-2</v>
      </c>
      <c r="I28" s="248"/>
      <c r="J28" s="306" t="s">
        <v>1362</v>
      </c>
      <c r="K28" s="306"/>
      <c r="L28" s="306"/>
      <c r="M28" s="306"/>
      <c r="N28" s="266"/>
      <c r="O28" s="266"/>
      <c r="P28" s="266"/>
      <c r="Q28" s="5"/>
      <c r="S28" s="42"/>
      <c r="T28" s="42"/>
      <c r="U28" s="42"/>
      <c r="V28" s="147" t="s">
        <v>466</v>
      </c>
      <c r="W28" s="288">
        <f t="shared" si="6"/>
        <v>1.1945865603663903</v>
      </c>
      <c r="X28" s="288">
        <v>1</v>
      </c>
      <c r="Y28" s="42"/>
      <c r="Z28" s="42"/>
      <c r="AA28" s="42"/>
    </row>
    <row r="29" spans="2:27" ht="12.6" thickTop="1">
      <c r="B29" s="5" t="s">
        <v>588</v>
      </c>
      <c r="C29" s="548">
        <v>368.67731592050018</v>
      </c>
      <c r="D29" s="540">
        <v>379.40706412439386</v>
      </c>
      <c r="E29" s="540">
        <v>402.91484658036063</v>
      </c>
      <c r="F29" s="540">
        <v>439.18217708914568</v>
      </c>
      <c r="G29" s="540">
        <v>458.43353585877736</v>
      </c>
      <c r="H29" s="279">
        <f t="shared" si="4"/>
        <v>6.5099847442706915E-2</v>
      </c>
      <c r="I29" s="252"/>
      <c r="J29" s="249"/>
      <c r="K29" s="249"/>
      <c r="L29" s="249"/>
      <c r="M29" s="249"/>
      <c r="N29" s="249"/>
      <c r="O29" s="251"/>
      <c r="Q29" s="5"/>
      <c r="S29" s="42"/>
      <c r="T29" s="42"/>
      <c r="U29" s="42"/>
      <c r="V29" s="147" t="s">
        <v>530</v>
      </c>
      <c r="W29" s="288">
        <f t="shared" si="6"/>
        <v>4.5012631267456591</v>
      </c>
      <c r="X29" s="288">
        <v>1</v>
      </c>
      <c r="Y29" s="42"/>
      <c r="Z29" s="42"/>
      <c r="AA29" s="42"/>
    </row>
    <row r="30" spans="2:27">
      <c r="B30" s="5" t="s">
        <v>589</v>
      </c>
      <c r="C30" s="548">
        <v>376.1907363179991</v>
      </c>
      <c r="D30" s="540">
        <v>375.66983345300434</v>
      </c>
      <c r="E30" s="540">
        <v>391.9720916216607</v>
      </c>
      <c r="F30" s="540">
        <v>413.4813272174548</v>
      </c>
      <c r="G30" s="540">
        <v>433.22105061712085</v>
      </c>
      <c r="H30" s="279">
        <f t="shared" si="4"/>
        <v>4.8659292548237865E-2</v>
      </c>
      <c r="I30" s="254"/>
      <c r="J30" s="248"/>
      <c r="K30" s="248"/>
      <c r="L30" s="248"/>
      <c r="M30" s="248"/>
      <c r="N30" s="248"/>
      <c r="O30" s="5"/>
      <c r="Q30" s="5"/>
      <c r="S30" s="42"/>
      <c r="T30" s="42"/>
      <c r="U30" s="42"/>
      <c r="V30" s="147" t="s">
        <v>593</v>
      </c>
      <c r="W30" s="288">
        <f t="shared" si="6"/>
        <v>5.3902156140429645</v>
      </c>
      <c r="X30" s="288">
        <v>1</v>
      </c>
      <c r="Y30" s="42"/>
      <c r="Z30" s="42"/>
      <c r="AA30" s="42"/>
    </row>
    <row r="31" spans="2:27">
      <c r="B31" s="5" t="s">
        <v>590</v>
      </c>
      <c r="C31" s="548">
        <v>344.14189999999996</v>
      </c>
      <c r="D31" s="540">
        <v>360.14850000000001</v>
      </c>
      <c r="E31" s="540">
        <v>376.1551</v>
      </c>
      <c r="F31" s="540">
        <v>394.96285500000005</v>
      </c>
      <c r="G31" s="540">
        <v>414.7109977500001</v>
      </c>
      <c r="H31" s="279">
        <f t="shared" si="4"/>
        <v>4.8144872461113764E-2</v>
      </c>
      <c r="I31" s="254"/>
      <c r="J31" s="252"/>
      <c r="K31" s="252"/>
      <c r="L31" s="252"/>
      <c r="M31" s="252"/>
      <c r="N31" s="252"/>
      <c r="O31" s="5"/>
      <c r="Q31" s="5"/>
      <c r="S31" s="42"/>
      <c r="T31" s="42"/>
      <c r="U31" s="42"/>
      <c r="V31" s="147" t="s">
        <v>475</v>
      </c>
      <c r="W31" s="288">
        <f t="shared" si="6"/>
        <v>1.0932951340418937</v>
      </c>
      <c r="X31" s="288">
        <v>1</v>
      </c>
      <c r="Y31" s="42"/>
      <c r="Z31" s="42"/>
      <c r="AA31" s="42"/>
    </row>
    <row r="32" spans="2:27">
      <c r="B32" s="5" t="s">
        <v>606</v>
      </c>
      <c r="C32" s="550">
        <v>0</v>
      </c>
      <c r="D32" s="540">
        <v>0</v>
      </c>
      <c r="E32" s="540">
        <v>0</v>
      </c>
      <c r="F32" s="540">
        <v>0</v>
      </c>
      <c r="G32" s="540">
        <v>0</v>
      </c>
      <c r="H32" s="279" t="str">
        <f t="shared" si="4"/>
        <v>nm</v>
      </c>
      <c r="I32" s="254"/>
      <c r="J32" s="254"/>
      <c r="K32" s="254"/>
      <c r="L32" s="254"/>
      <c r="M32" s="254"/>
      <c r="N32" s="254"/>
      <c r="O32" s="251"/>
      <c r="Q32" s="5"/>
      <c r="S32" s="42"/>
      <c r="T32" s="42"/>
      <c r="U32" s="42"/>
      <c r="V32" s="147" t="s">
        <v>533</v>
      </c>
      <c r="W32" s="288">
        <f t="shared" si="6"/>
        <v>1.1875573370429005</v>
      </c>
      <c r="X32" s="288">
        <v>1</v>
      </c>
      <c r="Y32" s="42"/>
      <c r="Z32" s="42"/>
      <c r="AA32" s="42"/>
    </row>
    <row r="33" spans="2:27">
      <c r="B33" s="5" t="s">
        <v>5</v>
      </c>
      <c r="C33" s="548">
        <v>13.1</v>
      </c>
      <c r="D33" s="540">
        <v>18.698590850326003</v>
      </c>
      <c r="E33" s="540">
        <v>24.319471486341204</v>
      </c>
      <c r="F33" s="540">
        <v>24.012215277697891</v>
      </c>
      <c r="G33" s="540">
        <v>27.5669939076341</v>
      </c>
      <c r="H33" s="279">
        <f>IF(D33=0,"nm",IF(G33=0,"nm",(G33/D33)^(1/3)-1))</f>
        <v>0.13813429634231178</v>
      </c>
      <c r="I33" s="5"/>
      <c r="J33" s="254"/>
      <c r="K33" s="254"/>
      <c r="L33" s="254"/>
      <c r="M33" s="254"/>
      <c r="N33" s="254"/>
      <c r="O33" s="251"/>
      <c r="Q33" s="5"/>
      <c r="S33" s="42"/>
      <c r="T33" s="42"/>
      <c r="U33" s="42"/>
      <c r="V33" s="147" t="s">
        <v>580</v>
      </c>
      <c r="W33" s="288">
        <f t="shared" si="6"/>
        <v>0.76963899684994819</v>
      </c>
      <c r="X33" s="288">
        <v>1</v>
      </c>
      <c r="Y33" s="42"/>
      <c r="Z33" s="42"/>
      <c r="AA33" s="42"/>
    </row>
    <row r="34" spans="2:27">
      <c r="B34" s="5"/>
      <c r="C34" s="247"/>
      <c r="D34" s="17"/>
      <c r="E34" s="17"/>
      <c r="F34" s="17"/>
      <c r="G34" s="17"/>
      <c r="H34" s="277"/>
      <c r="I34" s="49"/>
      <c r="J34" s="254"/>
      <c r="K34" s="254"/>
      <c r="L34" s="254"/>
      <c r="M34" s="254"/>
      <c r="N34" s="254"/>
      <c r="O34" s="251"/>
      <c r="Q34" s="5"/>
      <c r="S34" s="42"/>
      <c r="T34" s="42"/>
      <c r="U34" s="42"/>
      <c r="V34" s="147" t="s">
        <v>581</v>
      </c>
      <c r="W34" s="288">
        <f>D47/L19</f>
        <v>0.91466610328998432</v>
      </c>
      <c r="X34" s="288">
        <v>1</v>
      </c>
      <c r="Y34" s="288"/>
      <c r="Z34" s="288"/>
      <c r="AA34" s="42"/>
    </row>
    <row r="35" spans="2:27" ht="12.6" thickBot="1">
      <c r="B35" s="306" t="s">
        <v>355</v>
      </c>
      <c r="C35" s="265"/>
      <c r="D35" s="265" t="str">
        <f>D5</f>
        <v>2023E</v>
      </c>
      <c r="E35" s="265" t="str">
        <f t="shared" ref="E35:H35" si="7">E5</f>
        <v>2024E</v>
      </c>
      <c r="F35" s="265" t="str">
        <f t="shared" si="7"/>
        <v>2025E</v>
      </c>
      <c r="G35" s="265" t="str">
        <f t="shared" si="7"/>
        <v>2026E</v>
      </c>
      <c r="H35" s="265" t="str">
        <f t="shared" si="7"/>
        <v>23E-26E</v>
      </c>
      <c r="I35" s="254"/>
      <c r="J35" s="5"/>
      <c r="K35" s="5"/>
      <c r="L35" s="5"/>
      <c r="M35" s="5"/>
      <c r="N35" s="5"/>
      <c r="O35" s="5"/>
      <c r="Q35" s="5"/>
      <c r="S35" s="42"/>
      <c r="T35" s="42"/>
      <c r="U35" s="42"/>
      <c r="V35" s="42"/>
      <c r="W35" s="42"/>
      <c r="X35" s="42"/>
      <c r="Y35" s="288"/>
      <c r="Z35" s="288"/>
      <c r="AA35" s="42"/>
    </row>
    <row r="36" spans="2:27" ht="12.6" thickTop="1">
      <c r="B36" s="41"/>
      <c r="C36" s="249"/>
      <c r="D36" s="254"/>
      <c r="E36" s="254"/>
      <c r="F36" s="254"/>
      <c r="G36" s="254"/>
      <c r="H36" s="254"/>
      <c r="I36" s="17"/>
      <c r="J36" s="49"/>
      <c r="K36" s="49"/>
      <c r="L36" s="49"/>
      <c r="M36" s="49"/>
      <c r="N36" s="49"/>
      <c r="O36" s="49"/>
      <c r="Q36" s="5"/>
      <c r="S36" s="42"/>
      <c r="T36" s="42"/>
      <c r="U36" s="42"/>
      <c r="V36" s="42"/>
      <c r="W36" s="42"/>
      <c r="X36" s="42"/>
      <c r="Y36" s="288"/>
      <c r="Z36" s="288"/>
      <c r="AA36" s="42"/>
    </row>
    <row r="37" spans="2:27">
      <c r="B37" s="5" t="s">
        <v>273</v>
      </c>
      <c r="C37" s="247"/>
      <c r="D37" s="529">
        <f>D$18/D23</f>
        <v>3.5439772619638843</v>
      </c>
      <c r="E37" s="529">
        <f t="shared" ref="E37:G41" si="8">E$18/E23</f>
        <v>3.267126288568774</v>
      </c>
      <c r="F37" s="529">
        <f t="shared" si="8"/>
        <v>3.0071097721185844</v>
      </c>
      <c r="G37" s="529">
        <f t="shared" si="8"/>
        <v>3.0776373629468901</v>
      </c>
      <c r="H37" s="17">
        <f t="shared" ref="H37:H45" si="9">H23</f>
        <v>3.2795551785379518E-2</v>
      </c>
      <c r="I37" s="5"/>
      <c r="J37" s="259"/>
      <c r="K37" s="259"/>
      <c r="L37" s="259"/>
      <c r="M37" s="259"/>
      <c r="N37" s="259"/>
      <c r="O37" s="18"/>
      <c r="Q37" s="5"/>
      <c r="S37" s="42"/>
      <c r="T37" s="42"/>
      <c r="U37" s="42"/>
      <c r="V37" s="42"/>
      <c r="W37" s="42"/>
      <c r="X37" s="42"/>
      <c r="Y37" s="42"/>
      <c r="Z37" s="42"/>
      <c r="AA37" s="42"/>
    </row>
    <row r="38" spans="2:27">
      <c r="B38" s="5" t="s">
        <v>184</v>
      </c>
      <c r="C38" s="247"/>
      <c r="D38" s="529">
        <f>D$18/D24</f>
        <v>10.987821519134762</v>
      </c>
      <c r="E38" s="529">
        <f t="shared" si="8"/>
        <v>10.037780307113085</v>
      </c>
      <c r="F38" s="529">
        <f t="shared" si="8"/>
        <v>9.1653386025903778</v>
      </c>
      <c r="G38" s="529">
        <f t="shared" si="8"/>
        <v>9.3481307122226021</v>
      </c>
      <c r="H38" s="17">
        <f t="shared" si="9"/>
        <v>3.9885378402768179E-2</v>
      </c>
      <c r="I38" s="259"/>
      <c r="J38" s="17"/>
      <c r="K38" s="17"/>
      <c r="L38" s="17"/>
      <c r="M38" s="17"/>
      <c r="N38" s="17"/>
      <c r="O38" s="5"/>
      <c r="Q38" s="5"/>
      <c r="S38" s="42"/>
      <c r="T38" s="42"/>
      <c r="U38" s="42"/>
      <c r="V38" s="42"/>
      <c r="W38" s="42"/>
      <c r="X38" s="42"/>
      <c r="Y38" s="42"/>
      <c r="Z38" s="42"/>
      <c r="AA38" s="42"/>
    </row>
    <row r="39" spans="2:27">
      <c r="B39" s="5" t="s">
        <v>185</v>
      </c>
      <c r="C39" s="247"/>
      <c r="D39" s="529">
        <f>D$18/D25</f>
        <v>16.759624695094132</v>
      </c>
      <c r="E39" s="529">
        <f t="shared" si="8"/>
        <v>14.999648817579471</v>
      </c>
      <c r="F39" s="529">
        <f t="shared" si="8"/>
        <v>13.191017292565945</v>
      </c>
      <c r="G39" s="529">
        <f t="shared" si="8"/>
        <v>13.272722815711658</v>
      </c>
      <c r="H39" s="17">
        <f t="shared" si="9"/>
        <v>6.5020465226544477E-2</v>
      </c>
      <c r="I39" s="17"/>
      <c r="J39" s="5"/>
      <c r="K39" s="5"/>
      <c r="L39" s="5"/>
      <c r="M39" s="5"/>
      <c r="N39" s="5"/>
      <c r="O39" s="5"/>
      <c r="Q39" s="5"/>
      <c r="S39" s="42"/>
      <c r="T39" s="42"/>
      <c r="U39" s="42"/>
      <c r="V39" s="42"/>
      <c r="W39" s="42"/>
      <c r="X39" s="42"/>
      <c r="Y39" s="42"/>
      <c r="Z39" s="42"/>
      <c r="AA39" s="42"/>
    </row>
    <row r="40" spans="2:27">
      <c r="B40" s="5" t="s">
        <v>466</v>
      </c>
      <c r="C40" s="247"/>
      <c r="D40" s="529">
        <f>D$18/D26</f>
        <v>20.949530868867662</v>
      </c>
      <c r="E40" s="529">
        <f t="shared" si="8"/>
        <v>18.749561021974337</v>
      </c>
      <c r="F40" s="529">
        <f t="shared" si="8"/>
        <v>16.488771615707428</v>
      </c>
      <c r="G40" s="529">
        <f t="shared" si="8"/>
        <v>16.590903519639575</v>
      </c>
      <c r="H40" s="17">
        <f t="shared" si="9"/>
        <v>6.5020465226544477E-2</v>
      </c>
      <c r="I40" s="5"/>
      <c r="J40" s="259"/>
      <c r="K40" s="259"/>
      <c r="L40" s="259"/>
      <c r="M40" s="259"/>
      <c r="N40" s="259"/>
      <c r="O40" s="18"/>
      <c r="Q40" s="5"/>
      <c r="S40" s="42"/>
      <c r="T40" s="42"/>
      <c r="U40" s="42"/>
      <c r="V40" s="42"/>
      <c r="W40" s="288"/>
      <c r="X40" s="288"/>
      <c r="Y40" s="42"/>
      <c r="Z40" s="42"/>
      <c r="AA40" s="42"/>
    </row>
    <row r="41" spans="2:27">
      <c r="B41" s="5" t="s">
        <v>530</v>
      </c>
      <c r="C41" s="247"/>
      <c r="D41" s="529">
        <f>D$18/D27</f>
        <v>3.3042809500346544</v>
      </c>
      <c r="E41" s="529">
        <f t="shared" si="8"/>
        <v>3.1326916301480838</v>
      </c>
      <c r="F41" s="529">
        <f t="shared" si="8"/>
        <v>2.9682456966514201</v>
      </c>
      <c r="G41" s="529">
        <f t="shared" si="8"/>
        <v>3.1291752096649414</v>
      </c>
      <c r="H41" s="17">
        <f t="shared" si="9"/>
        <v>3.3956801245842438E-3</v>
      </c>
      <c r="I41" s="247"/>
      <c r="J41" s="17"/>
      <c r="K41" s="17"/>
      <c r="L41" s="17"/>
      <c r="M41" s="17"/>
      <c r="N41" s="17"/>
      <c r="O41" s="5"/>
      <c r="Q41" s="5"/>
      <c r="S41" s="42"/>
      <c r="T41" s="42"/>
      <c r="U41" s="42"/>
      <c r="V41" s="42"/>
      <c r="W41" s="288"/>
      <c r="X41" s="288"/>
      <c r="Y41" s="288"/>
      <c r="Z41" s="288"/>
      <c r="AA41" s="42"/>
    </row>
    <row r="42" spans="2:27">
      <c r="B42" s="5" t="s">
        <v>593</v>
      </c>
      <c r="C42" s="247"/>
      <c r="D42" s="529">
        <f>D18/D28</f>
        <v>9.5645360606974794</v>
      </c>
      <c r="E42" s="529">
        <f>E18/E28</f>
        <v>9.1909939761627157</v>
      </c>
      <c r="F42" s="529">
        <f>F18/F28</f>
        <v>8.9491100895090447</v>
      </c>
      <c r="G42" s="529">
        <f>G18/G28</f>
        <v>9.7336471295446749</v>
      </c>
      <c r="H42" s="17">
        <f t="shared" si="9"/>
        <v>-2.039129562383335E-2</v>
      </c>
      <c r="I42" s="248"/>
      <c r="J42" s="5"/>
      <c r="K42" s="5"/>
      <c r="L42" s="5"/>
      <c r="M42" s="5"/>
      <c r="N42" s="5"/>
      <c r="O42" s="5"/>
      <c r="Q42" s="5"/>
      <c r="S42" s="42"/>
      <c r="T42" s="42"/>
      <c r="U42" s="42"/>
      <c r="V42" s="42"/>
      <c r="W42" s="288"/>
      <c r="X42" s="288"/>
      <c r="Y42" s="288"/>
      <c r="Z42" s="288"/>
      <c r="AA42" s="42"/>
    </row>
    <row r="43" spans="2:27">
      <c r="B43" s="5" t="s">
        <v>475</v>
      </c>
      <c r="C43" s="247"/>
      <c r="D43" s="529">
        <f>L26/D29</f>
        <v>18.330877881977493</v>
      </c>
      <c r="E43" s="529">
        <f>M26/E29</f>
        <v>17.261375744903788</v>
      </c>
      <c r="F43" s="529">
        <f>N26/F29</f>
        <v>15.835944450478376</v>
      </c>
      <c r="G43" s="529">
        <f>O26/G29</f>
        <v>14.531979881271697</v>
      </c>
      <c r="H43" s="17">
        <f t="shared" si="9"/>
        <v>6.5099847442706915E-2</v>
      </c>
      <c r="I43" s="247"/>
      <c r="J43" s="247"/>
      <c r="K43" s="247"/>
      <c r="L43" s="247"/>
      <c r="M43" s="247"/>
      <c r="N43" s="247"/>
      <c r="O43" s="18"/>
      <c r="Q43" s="5"/>
      <c r="S43" s="42"/>
      <c r="T43" s="42"/>
      <c r="U43" s="42"/>
      <c r="V43" s="42"/>
      <c r="W43" s="288"/>
      <c r="X43" s="288"/>
      <c r="Y43" s="288"/>
      <c r="Z43" s="288"/>
      <c r="AA43" s="42"/>
    </row>
    <row r="44" spans="2:27">
      <c r="B44" s="5" t="s">
        <v>533</v>
      </c>
      <c r="C44" s="69"/>
      <c r="D44" s="529">
        <f>D11/D30</f>
        <v>17.733515781041273</v>
      </c>
      <c r="E44" s="529">
        <f>E11/E30</f>
        <v>16.995972576614573</v>
      </c>
      <c r="F44" s="529">
        <f>F11/F30</f>
        <v>16.111844674660244</v>
      </c>
      <c r="G44" s="529">
        <f>G11/G30</f>
        <v>15.377708240423901</v>
      </c>
      <c r="H44" s="17">
        <f t="shared" si="9"/>
        <v>4.8659292548237865E-2</v>
      </c>
      <c r="I44" s="247"/>
      <c r="J44" s="248"/>
      <c r="K44" s="248"/>
      <c r="L44" s="248"/>
      <c r="M44" s="248"/>
      <c r="N44" s="248"/>
      <c r="O44" s="248"/>
      <c r="Q44" s="5"/>
      <c r="S44" s="42"/>
      <c r="T44" s="42"/>
      <c r="U44" s="42"/>
      <c r="V44" s="42"/>
      <c r="W44" s="325"/>
      <c r="X44" s="325"/>
      <c r="Y44" s="288"/>
      <c r="Z44" s="288"/>
      <c r="AA44" s="42"/>
    </row>
    <row r="45" spans="2:27">
      <c r="B45" s="5" t="s">
        <v>580</v>
      </c>
      <c r="C45" s="247"/>
      <c r="D45" s="248">
        <f>D31/D11</f>
        <v>5.4060547813551185E-2</v>
      </c>
      <c r="E45" s="248">
        <f>E31/E11</f>
        <v>5.6463238827486793E-2</v>
      </c>
      <c r="F45" s="248">
        <f>F31/F11</f>
        <v>5.9286400768861137E-2</v>
      </c>
      <c r="G45" s="248">
        <f>G31/G11</f>
        <v>6.2250720807304205E-2</v>
      </c>
      <c r="H45" s="17">
        <f t="shared" si="9"/>
        <v>4.8144872461113764E-2</v>
      </c>
      <c r="I45" s="248"/>
      <c r="J45" s="247"/>
      <c r="K45" s="247"/>
      <c r="L45" s="247"/>
      <c r="M45" s="247"/>
      <c r="N45" s="247"/>
      <c r="O45" s="248"/>
      <c r="Q45" s="5"/>
      <c r="S45" s="42"/>
      <c r="T45" s="42"/>
      <c r="U45" s="42"/>
      <c r="V45" s="42"/>
      <c r="W45" s="42"/>
      <c r="X45" s="42"/>
      <c r="Y45" s="325"/>
      <c r="Z45" s="325"/>
      <c r="AA45" s="42"/>
    </row>
    <row r="46" spans="2:27">
      <c r="B46" s="5" t="s">
        <v>605</v>
      </c>
      <c r="C46" s="247"/>
      <c r="D46" s="248">
        <f>(D31+D32)/D11</f>
        <v>5.4060547813551185E-2</v>
      </c>
      <c r="E46" s="248">
        <f>(E31+E32)/E11</f>
        <v>5.6463238827486793E-2</v>
      </c>
      <c r="F46" s="248">
        <f>(F31+F32)/F11</f>
        <v>5.9286400768861137E-2</v>
      </c>
      <c r="G46" s="248">
        <f>(G31+G32)/G11</f>
        <v>6.2250720807304205E-2</v>
      </c>
      <c r="H46" s="279">
        <f>((G31+G32)/(D31+D32))^(1/3)-1</f>
        <v>4.8144872461113764E-2</v>
      </c>
      <c r="I46" s="247"/>
      <c r="J46" s="247"/>
      <c r="K46" s="247"/>
      <c r="L46" s="247"/>
      <c r="M46" s="247"/>
      <c r="N46" s="247"/>
      <c r="O46" s="18"/>
      <c r="Q46" s="5"/>
      <c r="S46" s="42"/>
      <c r="T46" s="42"/>
      <c r="U46" s="42"/>
      <c r="V46" s="42"/>
      <c r="W46" s="42"/>
      <c r="X46" s="42"/>
      <c r="Y46" s="42"/>
      <c r="Z46" s="42"/>
      <c r="AA46" s="326"/>
    </row>
    <row r="47" spans="2:27">
      <c r="B47" s="5" t="s">
        <v>581</v>
      </c>
      <c r="C47" s="5"/>
      <c r="D47" s="248">
        <f>1/D43</f>
        <v>5.4552760999143281E-2</v>
      </c>
      <c r="E47" s="248">
        <f>1/E43</f>
        <v>5.7932809920740985E-2</v>
      </c>
      <c r="F47" s="248">
        <f>1/F43</f>
        <v>6.3147480917678495E-2</v>
      </c>
      <c r="G47" s="248">
        <f>1/G43</f>
        <v>6.8813747897405547E-2</v>
      </c>
      <c r="H47" s="17">
        <f>H29</f>
        <v>6.5099847442706915E-2</v>
      </c>
      <c r="I47" s="17"/>
      <c r="J47" s="248"/>
      <c r="K47" s="248"/>
      <c r="L47" s="248"/>
      <c r="M47" s="248"/>
      <c r="N47" s="248"/>
      <c r="O47" s="248"/>
      <c r="Q47" s="5"/>
      <c r="S47" s="42"/>
      <c r="T47" s="42"/>
      <c r="U47" s="42"/>
      <c r="V47" s="42"/>
      <c r="W47" s="42"/>
      <c r="X47" s="42"/>
      <c r="Y47" s="42"/>
      <c r="Z47" s="42"/>
      <c r="AA47" s="326"/>
    </row>
    <row r="48" spans="2:27">
      <c r="B48" s="5" t="s">
        <v>618</v>
      </c>
      <c r="C48" s="5"/>
      <c r="D48" s="305">
        <f>D31/D29</f>
        <v>0.9492403649129747</v>
      </c>
      <c r="E48" s="305">
        <f>E31/E29</f>
        <v>0.93358461022849537</v>
      </c>
      <c r="F48" s="305">
        <f>F31/F29</f>
        <v>0.89931439754175191</v>
      </c>
      <c r="G48" s="305">
        <f>G31/G29</f>
        <v>0.904626222366406</v>
      </c>
      <c r="H48" s="279" t="s">
        <v>607</v>
      </c>
      <c r="I48" s="247"/>
      <c r="J48" s="247"/>
      <c r="K48" s="247"/>
      <c r="L48" s="247"/>
      <c r="M48" s="247"/>
      <c r="N48" s="247"/>
      <c r="O48" s="248"/>
      <c r="Q48" s="5"/>
      <c r="S48" s="42"/>
      <c r="T48" s="42"/>
      <c r="U48" s="42"/>
      <c r="V48" s="42"/>
      <c r="W48" s="42"/>
      <c r="X48" s="42"/>
      <c r="Y48" s="42"/>
      <c r="Z48" s="42"/>
      <c r="AA48" s="326"/>
    </row>
    <row r="49" spans="2:27">
      <c r="B49" s="41"/>
      <c r="C49" s="17"/>
      <c r="D49" s="17"/>
      <c r="E49" s="17"/>
      <c r="F49" s="17"/>
      <c r="G49" s="17"/>
      <c r="H49" s="17"/>
      <c r="I49" s="254"/>
      <c r="J49" s="17"/>
      <c r="K49" s="17"/>
      <c r="L49" s="17"/>
      <c r="M49" s="17"/>
      <c r="N49" s="17"/>
      <c r="O49" s="248"/>
      <c r="Q49" s="5"/>
      <c r="S49" s="42"/>
      <c r="T49" s="42"/>
      <c r="U49" s="42"/>
      <c r="V49" s="42"/>
      <c r="W49" s="42"/>
      <c r="X49" s="42"/>
      <c r="Y49" s="42"/>
      <c r="Z49" s="42"/>
      <c r="AA49" s="326"/>
    </row>
    <row r="50" spans="2:27">
      <c r="B50" s="5"/>
      <c r="C50" s="257"/>
      <c r="D50" s="257"/>
      <c r="E50" s="257"/>
      <c r="F50" s="5"/>
      <c r="G50" s="41"/>
      <c r="H50" s="249"/>
      <c r="I50" s="17"/>
      <c r="J50" s="249"/>
      <c r="K50" s="249"/>
      <c r="L50" s="249"/>
      <c r="M50" s="249"/>
      <c r="N50" s="249"/>
      <c r="O50" s="250"/>
      <c r="Q50" s="5"/>
      <c r="S50" s="42"/>
      <c r="T50" s="42"/>
      <c r="U50" s="42"/>
      <c r="V50" s="42"/>
      <c r="W50" s="288"/>
      <c r="X50" s="288"/>
      <c r="Y50" s="42"/>
      <c r="Z50" s="42"/>
      <c r="AA50" s="326"/>
    </row>
    <row r="51" spans="2:27">
      <c r="B51" s="41"/>
      <c r="C51" s="249"/>
      <c r="D51" s="254"/>
      <c r="E51" s="254"/>
      <c r="F51" s="254"/>
      <c r="G51" s="254"/>
      <c r="H51" s="254"/>
      <c r="I51" s="259"/>
      <c r="J51" s="254"/>
      <c r="K51" s="254"/>
      <c r="L51" s="254"/>
      <c r="M51" s="254"/>
      <c r="N51" s="254"/>
      <c r="O51" s="251"/>
      <c r="Q51" s="5"/>
      <c r="S51" s="42"/>
      <c r="T51" s="42"/>
      <c r="U51" s="42"/>
      <c r="V51" s="42"/>
      <c r="W51" s="288"/>
      <c r="X51" s="288"/>
      <c r="Y51" s="288"/>
      <c r="Z51" s="288"/>
      <c r="AA51" s="42"/>
    </row>
    <row r="52" spans="2:27">
      <c r="B52" s="5"/>
      <c r="C52" s="257"/>
      <c r="D52" s="17"/>
      <c r="E52" s="17"/>
      <c r="F52" s="17"/>
      <c r="G52" s="17"/>
      <c r="H52" s="17"/>
      <c r="I52" s="254"/>
      <c r="J52" s="17"/>
      <c r="K52" s="17"/>
      <c r="L52" s="17"/>
      <c r="M52" s="17"/>
      <c r="N52" s="17"/>
      <c r="O52" s="248"/>
      <c r="Q52" s="5"/>
      <c r="Y52" s="10"/>
      <c r="Z52" s="10"/>
    </row>
    <row r="53" spans="2:27">
      <c r="B53" s="5"/>
      <c r="C53" s="257"/>
      <c r="D53" s="257"/>
      <c r="E53" s="257"/>
      <c r="F53" s="5"/>
      <c r="G53" s="5"/>
      <c r="H53" s="259"/>
      <c r="I53" s="17"/>
      <c r="J53" s="259"/>
      <c r="K53" s="259"/>
      <c r="L53" s="259"/>
      <c r="M53" s="259"/>
      <c r="N53" s="259"/>
      <c r="O53" s="18"/>
      <c r="Q53" s="5"/>
    </row>
    <row r="54" spans="2:27">
      <c r="B54" s="41"/>
      <c r="C54" s="249"/>
      <c r="D54" s="254"/>
      <c r="E54" s="254"/>
      <c r="F54" s="254"/>
      <c r="G54" s="254"/>
      <c r="H54" s="254"/>
      <c r="I54" s="259"/>
      <c r="J54" s="254"/>
      <c r="K54" s="254"/>
      <c r="L54" s="254"/>
      <c r="M54" s="254"/>
      <c r="N54" s="254"/>
      <c r="O54" s="251"/>
      <c r="Q54" s="5"/>
    </row>
    <row r="55" spans="2:27">
      <c r="B55" s="5"/>
      <c r="C55" s="257"/>
      <c r="D55" s="17"/>
      <c r="E55" s="17"/>
      <c r="F55" s="17"/>
      <c r="G55" s="17"/>
      <c r="H55" s="17"/>
      <c r="I55" s="249"/>
      <c r="J55" s="17"/>
      <c r="K55" s="17"/>
      <c r="L55" s="17"/>
      <c r="M55" s="17"/>
      <c r="N55" s="17"/>
      <c r="O55" s="18"/>
      <c r="Q55" s="5"/>
    </row>
    <row r="56" spans="2:27">
      <c r="B56" s="5"/>
      <c r="C56" s="248"/>
      <c r="D56" s="248"/>
      <c r="E56" s="248"/>
      <c r="F56" s="5"/>
      <c r="G56" s="5"/>
      <c r="H56" s="259"/>
      <c r="I56" s="248"/>
      <c r="J56" s="259"/>
      <c r="K56" s="259"/>
      <c r="L56" s="259"/>
      <c r="M56" s="259"/>
      <c r="N56" s="259"/>
      <c r="O56" s="18"/>
      <c r="Q56" s="5"/>
    </row>
    <row r="57" spans="2:27">
      <c r="B57" s="41"/>
      <c r="C57" s="249"/>
      <c r="D57" s="249"/>
      <c r="E57" s="249"/>
      <c r="F57" s="249"/>
      <c r="G57" s="249"/>
      <c r="H57" s="249"/>
      <c r="I57" s="5"/>
      <c r="J57" s="249"/>
      <c r="K57" s="249"/>
      <c r="L57" s="249"/>
      <c r="M57" s="249"/>
      <c r="N57" s="249"/>
      <c r="O57" s="251"/>
      <c r="Q57" s="5"/>
    </row>
    <row r="58" spans="2:27">
      <c r="B58" s="5"/>
      <c r="C58" s="5"/>
      <c r="D58" s="248"/>
      <c r="E58" s="248"/>
      <c r="F58" s="248"/>
      <c r="G58" s="248"/>
      <c r="H58" s="248"/>
      <c r="I58" s="17"/>
      <c r="J58" s="248"/>
      <c r="K58" s="248"/>
      <c r="L58" s="248"/>
      <c r="M58" s="248"/>
      <c r="N58" s="248"/>
      <c r="O58" s="18"/>
      <c r="Q58" s="5"/>
    </row>
    <row r="59" spans="2:27">
      <c r="B59" s="5"/>
      <c r="C59" s="5"/>
      <c r="D59" s="5"/>
      <c r="E59" s="5"/>
      <c r="F59" s="5"/>
      <c r="G59" s="5"/>
      <c r="H59" s="5"/>
      <c r="I59" s="5"/>
      <c r="J59" s="5"/>
      <c r="K59" s="5"/>
      <c r="L59" s="5"/>
      <c r="M59" s="5"/>
      <c r="N59" s="5"/>
      <c r="O59" s="5"/>
      <c r="Q59" s="5"/>
    </row>
    <row r="60" spans="2:27">
      <c r="B60" s="41"/>
      <c r="C60" s="17"/>
      <c r="D60" s="17"/>
      <c r="E60" s="17"/>
      <c r="F60" s="17"/>
      <c r="G60" s="17"/>
      <c r="H60" s="17"/>
      <c r="I60" s="249"/>
      <c r="J60" s="17"/>
      <c r="K60" s="17"/>
      <c r="L60" s="17"/>
      <c r="M60" s="17"/>
      <c r="N60" s="17"/>
      <c r="O60" s="251"/>
      <c r="Q60" s="5"/>
    </row>
    <row r="61" spans="2:27">
      <c r="B61" s="5"/>
      <c r="C61" s="5"/>
      <c r="D61" s="5"/>
      <c r="E61" s="5"/>
      <c r="F61" s="5"/>
      <c r="G61" s="5"/>
      <c r="H61" s="5"/>
      <c r="I61" s="5"/>
      <c r="J61" s="5"/>
      <c r="K61" s="5"/>
      <c r="L61" s="5"/>
      <c r="M61" s="5"/>
      <c r="N61" s="5"/>
      <c r="O61" s="5"/>
      <c r="Q61" s="41"/>
    </row>
    <row r="62" spans="2:27">
      <c r="B62" s="41"/>
      <c r="C62" s="249"/>
      <c r="D62" s="249"/>
      <c r="E62" s="249"/>
      <c r="F62" s="249"/>
      <c r="G62" s="249"/>
      <c r="H62" s="249"/>
      <c r="I62" s="5"/>
      <c r="J62" s="249"/>
      <c r="K62" s="249"/>
      <c r="L62" s="249"/>
      <c r="M62" s="249"/>
      <c r="N62" s="249"/>
      <c r="O62" s="251"/>
      <c r="Q62" s="5"/>
    </row>
    <row r="63" spans="2:27">
      <c r="B63" s="5"/>
      <c r="C63" s="5"/>
      <c r="D63" s="5"/>
      <c r="E63" s="5"/>
      <c r="F63" s="5"/>
      <c r="G63" s="5"/>
      <c r="H63" s="5"/>
      <c r="I63" s="254"/>
      <c r="J63" s="5"/>
      <c r="K63" s="5"/>
      <c r="L63" s="5"/>
      <c r="M63" s="5"/>
      <c r="N63" s="5"/>
      <c r="O63" s="5"/>
      <c r="Q63" s="5"/>
    </row>
    <row r="64" spans="2:27">
      <c r="B64" s="5"/>
      <c r="C64" s="5"/>
      <c r="D64" s="5"/>
      <c r="E64" s="5"/>
      <c r="F64" s="5"/>
      <c r="G64" s="5"/>
      <c r="H64" s="5"/>
      <c r="I64" s="17"/>
      <c r="J64" s="5"/>
      <c r="K64" s="5"/>
      <c r="L64" s="5"/>
      <c r="M64" s="5"/>
      <c r="N64" s="5"/>
      <c r="O64" s="5"/>
      <c r="Q64" s="5"/>
    </row>
    <row r="65" spans="2:26">
      <c r="B65" s="41"/>
      <c r="C65" s="249"/>
      <c r="D65" s="254"/>
      <c r="E65" s="254"/>
      <c r="F65" s="254"/>
      <c r="G65" s="254"/>
      <c r="H65" s="254"/>
      <c r="I65" s="254"/>
      <c r="J65" s="254"/>
      <c r="K65" s="254"/>
      <c r="L65" s="254"/>
      <c r="M65" s="254"/>
      <c r="N65" s="254"/>
      <c r="O65" s="251"/>
      <c r="Q65" s="5"/>
    </row>
    <row r="66" spans="2:26">
      <c r="B66" s="5"/>
      <c r="C66" s="5"/>
      <c r="D66" s="17"/>
      <c r="E66" s="17"/>
      <c r="F66" s="17"/>
      <c r="G66" s="17"/>
      <c r="H66" s="17"/>
      <c r="I66" s="248"/>
      <c r="J66" s="17"/>
      <c r="K66" s="17"/>
      <c r="L66" s="17"/>
      <c r="M66" s="17"/>
      <c r="N66" s="17"/>
      <c r="O66" s="5"/>
      <c r="Q66" s="5"/>
    </row>
    <row r="67" spans="2:26">
      <c r="B67" s="41"/>
      <c r="C67" s="249"/>
      <c r="D67" s="254"/>
      <c r="E67" s="254"/>
      <c r="F67" s="254"/>
      <c r="G67" s="254"/>
      <c r="H67" s="254"/>
      <c r="I67" s="5"/>
      <c r="J67" s="254"/>
      <c r="K67" s="254"/>
      <c r="L67" s="254"/>
      <c r="M67" s="254"/>
      <c r="N67" s="254"/>
      <c r="O67" s="251"/>
      <c r="Q67" s="41"/>
    </row>
    <row r="68" spans="2:26">
      <c r="B68" s="5"/>
      <c r="C68" s="5"/>
      <c r="D68" s="248"/>
      <c r="E68" s="248"/>
      <c r="F68" s="248"/>
      <c r="G68" s="248"/>
      <c r="H68" s="248"/>
      <c r="I68" s="245"/>
      <c r="J68" s="248"/>
      <c r="K68" s="248"/>
      <c r="L68" s="248"/>
      <c r="M68" s="248"/>
      <c r="N68" s="248"/>
      <c r="O68" s="5"/>
      <c r="Q68" s="5"/>
    </row>
    <row r="69" spans="2:26">
      <c r="B69" s="41"/>
      <c r="C69" s="5"/>
      <c r="D69" s="5"/>
      <c r="E69" s="5"/>
      <c r="F69" s="5"/>
      <c r="G69" s="5"/>
      <c r="H69" s="5"/>
      <c r="I69" s="248"/>
      <c r="J69" s="5"/>
      <c r="K69" s="5"/>
      <c r="L69" s="5"/>
      <c r="M69" s="5"/>
      <c r="N69" s="5"/>
      <c r="O69" s="5"/>
      <c r="Q69" s="5"/>
    </row>
    <row r="70" spans="2:26">
      <c r="B70" s="41"/>
      <c r="C70" s="245"/>
      <c r="D70" s="245"/>
      <c r="E70" s="245"/>
      <c r="F70" s="245"/>
      <c r="G70" s="245"/>
      <c r="H70" s="245"/>
      <c r="I70" s="5"/>
      <c r="J70" s="245"/>
      <c r="K70" s="245"/>
      <c r="L70" s="245"/>
      <c r="M70" s="245"/>
      <c r="N70" s="245"/>
      <c r="O70" s="251"/>
      <c r="Q70" s="5"/>
      <c r="W70" s="76"/>
      <c r="X70" s="76"/>
    </row>
    <row r="71" spans="2:26">
      <c r="B71" s="5"/>
      <c r="C71" s="5"/>
      <c r="D71" s="248"/>
      <c r="E71" s="248"/>
      <c r="F71" s="248"/>
      <c r="G71" s="248"/>
      <c r="H71" s="248"/>
      <c r="I71" s="245"/>
      <c r="J71" s="248"/>
      <c r="K71" s="248"/>
      <c r="L71" s="248"/>
      <c r="M71" s="248"/>
      <c r="N71" s="248"/>
      <c r="O71" s="5"/>
      <c r="Q71" s="5"/>
      <c r="W71" s="76"/>
      <c r="X71" s="76"/>
      <c r="Y71" s="76"/>
      <c r="Z71" s="76"/>
    </row>
    <row r="72" spans="2:26">
      <c r="B72" s="41"/>
      <c r="C72" s="5"/>
      <c r="D72" s="5"/>
      <c r="E72" s="5"/>
      <c r="F72" s="5"/>
      <c r="G72" s="5"/>
      <c r="H72" s="5"/>
      <c r="I72" s="18"/>
      <c r="J72" s="5"/>
      <c r="K72" s="5"/>
      <c r="L72" s="5"/>
      <c r="M72" s="5"/>
      <c r="N72" s="5"/>
      <c r="O72" s="5"/>
      <c r="Q72" s="5"/>
      <c r="Y72" s="76"/>
      <c r="Z72" s="76"/>
    </row>
    <row r="73" spans="2:26">
      <c r="B73" s="41"/>
      <c r="C73" s="245"/>
      <c r="D73" s="245"/>
      <c r="E73" s="245"/>
      <c r="F73" s="245"/>
      <c r="G73" s="245"/>
      <c r="H73" s="245"/>
      <c r="I73" s="5"/>
      <c r="J73" s="245"/>
      <c r="K73" s="245"/>
      <c r="L73" s="245"/>
      <c r="M73" s="245"/>
      <c r="N73" s="245"/>
      <c r="O73" s="251"/>
      <c r="Q73" s="5"/>
    </row>
    <row r="74" spans="2:26">
      <c r="B74" s="5"/>
      <c r="C74" s="5"/>
      <c r="D74" s="18"/>
      <c r="E74" s="18"/>
      <c r="F74" s="18"/>
      <c r="G74" s="18"/>
      <c r="H74" s="18"/>
      <c r="I74" s="249"/>
      <c r="J74" s="18"/>
      <c r="K74" s="18"/>
      <c r="L74" s="18"/>
      <c r="M74" s="18"/>
      <c r="N74" s="18"/>
      <c r="O74" s="5"/>
      <c r="Q74" s="5"/>
    </row>
    <row r="75" spans="2:26">
      <c r="B75" s="41"/>
      <c r="C75" s="5"/>
      <c r="D75" s="5"/>
      <c r="E75" s="5"/>
      <c r="F75" s="5"/>
      <c r="G75" s="5"/>
      <c r="H75" s="5"/>
      <c r="I75" s="248"/>
      <c r="J75" s="5"/>
      <c r="K75" s="5"/>
      <c r="L75" s="5"/>
      <c r="M75" s="5"/>
      <c r="N75" s="5"/>
      <c r="O75" s="5"/>
      <c r="Q75" s="5"/>
    </row>
    <row r="76" spans="2:26">
      <c r="B76" s="41"/>
      <c r="C76" s="249"/>
      <c r="D76" s="249"/>
      <c r="E76" s="249"/>
      <c r="F76" s="249"/>
      <c r="G76" s="249"/>
      <c r="H76" s="249"/>
      <c r="I76" s="5"/>
      <c r="J76" s="249"/>
      <c r="K76" s="249"/>
      <c r="L76" s="249"/>
      <c r="M76" s="249"/>
      <c r="N76" s="249"/>
      <c r="O76" s="251"/>
      <c r="Q76" s="5"/>
    </row>
    <row r="77" spans="2:26">
      <c r="B77" s="5"/>
      <c r="C77" s="5"/>
      <c r="D77" s="248"/>
      <c r="E77" s="248"/>
      <c r="F77" s="248"/>
      <c r="G77" s="248"/>
      <c r="H77" s="248"/>
      <c r="I77" s="245"/>
      <c r="J77" s="248"/>
      <c r="K77" s="248"/>
      <c r="L77" s="248"/>
      <c r="M77" s="248"/>
      <c r="N77" s="248"/>
      <c r="O77" s="5"/>
      <c r="Q77" s="5"/>
    </row>
    <row r="78" spans="2:26">
      <c r="B78" s="41"/>
      <c r="C78" s="5"/>
      <c r="D78" s="5"/>
      <c r="E78" s="5"/>
      <c r="F78" s="5"/>
      <c r="G78" s="5"/>
      <c r="H78" s="5"/>
      <c r="I78" s="248"/>
      <c r="J78" s="5"/>
      <c r="K78" s="5"/>
      <c r="L78" s="5"/>
      <c r="M78" s="5"/>
      <c r="N78" s="5"/>
      <c r="O78" s="5"/>
      <c r="Q78" s="5"/>
    </row>
    <row r="79" spans="2:26">
      <c r="B79" s="41"/>
      <c r="C79" s="245"/>
      <c r="D79" s="245"/>
      <c r="E79" s="245"/>
      <c r="F79" s="245"/>
      <c r="G79" s="245"/>
      <c r="H79" s="245"/>
      <c r="I79" s="5"/>
      <c r="J79" s="245"/>
      <c r="K79" s="245"/>
      <c r="L79" s="245"/>
      <c r="M79" s="245"/>
      <c r="N79" s="245"/>
      <c r="O79" s="251"/>
      <c r="Q79" s="5"/>
    </row>
    <row r="80" spans="2:26">
      <c r="B80" s="5"/>
      <c r="C80" s="5"/>
      <c r="D80" s="248"/>
      <c r="E80" s="248"/>
      <c r="F80" s="248"/>
      <c r="G80" s="248"/>
      <c r="H80" s="248"/>
      <c r="I80" s="249"/>
      <c r="J80" s="248"/>
      <c r="K80" s="248"/>
      <c r="L80" s="248"/>
      <c r="M80" s="248"/>
      <c r="N80" s="248"/>
      <c r="O80" s="5"/>
      <c r="Q80" s="5"/>
    </row>
    <row r="81" spans="2:26">
      <c r="B81" s="41"/>
      <c r="C81" s="5"/>
      <c r="D81" s="5"/>
      <c r="E81" s="5"/>
      <c r="F81" s="5"/>
      <c r="G81" s="5"/>
      <c r="H81" s="5"/>
      <c r="I81" s="248"/>
      <c r="J81" s="5"/>
      <c r="K81" s="5"/>
      <c r="L81" s="5"/>
      <c r="M81" s="5"/>
      <c r="N81" s="5"/>
      <c r="O81" s="5"/>
      <c r="Q81" s="5"/>
    </row>
    <row r="82" spans="2:26">
      <c r="B82" s="41"/>
      <c r="C82" s="249"/>
      <c r="D82" s="249"/>
      <c r="E82" s="249"/>
      <c r="F82" s="249"/>
      <c r="G82" s="249"/>
      <c r="H82" s="249"/>
      <c r="I82" s="259"/>
      <c r="J82" s="249"/>
      <c r="K82" s="249"/>
      <c r="L82" s="249"/>
      <c r="M82" s="249"/>
      <c r="N82" s="249"/>
      <c r="O82" s="251"/>
      <c r="Q82" s="5"/>
    </row>
    <row r="83" spans="2:26">
      <c r="B83" s="5"/>
      <c r="C83" s="5"/>
      <c r="D83" s="248"/>
      <c r="E83" s="248"/>
      <c r="F83" s="248"/>
      <c r="G83" s="248"/>
      <c r="H83" s="248"/>
      <c r="I83" s="5"/>
      <c r="J83" s="248"/>
      <c r="K83" s="248"/>
      <c r="L83" s="248"/>
      <c r="M83" s="248"/>
      <c r="N83" s="248"/>
      <c r="O83" s="5"/>
      <c r="Q83" s="5"/>
    </row>
    <row r="84" spans="2:26">
      <c r="B84" s="5"/>
      <c r="C84" s="259"/>
      <c r="D84" s="259"/>
      <c r="E84" s="259"/>
      <c r="F84" s="259"/>
      <c r="G84" s="259"/>
      <c r="H84" s="259"/>
      <c r="I84" s="245"/>
      <c r="J84" s="259"/>
      <c r="K84" s="259"/>
      <c r="L84" s="259"/>
      <c r="M84" s="259"/>
      <c r="N84" s="259"/>
      <c r="O84" s="251"/>
      <c r="Q84" s="5"/>
    </row>
    <row r="85" spans="2:26">
      <c r="B85" s="41"/>
      <c r="C85" s="5"/>
      <c r="D85" s="5"/>
      <c r="E85" s="5"/>
      <c r="F85" s="5"/>
      <c r="G85" s="5"/>
      <c r="H85" s="5"/>
      <c r="I85" s="248"/>
      <c r="J85" s="5"/>
      <c r="K85" s="5"/>
      <c r="L85" s="5"/>
      <c r="M85" s="5"/>
      <c r="N85" s="5"/>
      <c r="O85" s="5"/>
      <c r="Q85" s="5"/>
    </row>
    <row r="86" spans="2:26">
      <c r="B86" s="41"/>
      <c r="C86" s="245"/>
      <c r="D86" s="245"/>
      <c r="E86" s="245"/>
      <c r="F86" s="245"/>
      <c r="G86" s="245"/>
      <c r="H86" s="245"/>
      <c r="I86" s="5"/>
      <c r="J86" s="245"/>
      <c r="K86" s="245"/>
      <c r="L86" s="245"/>
      <c r="M86" s="245"/>
      <c r="N86" s="245"/>
      <c r="O86" s="251"/>
      <c r="Q86" s="5"/>
    </row>
    <row r="87" spans="2:26">
      <c r="B87" s="5"/>
      <c r="C87" s="5"/>
      <c r="D87" s="248"/>
      <c r="E87" s="248"/>
      <c r="F87" s="248"/>
      <c r="G87" s="248"/>
      <c r="H87" s="248"/>
      <c r="I87" s="5"/>
      <c r="J87" s="248"/>
      <c r="K87" s="248"/>
      <c r="L87" s="248"/>
      <c r="M87" s="248"/>
      <c r="N87" s="248"/>
      <c r="O87" s="5"/>
      <c r="Q87" s="5"/>
    </row>
    <row r="88" spans="2:26">
      <c r="B88" s="41"/>
      <c r="C88" s="5"/>
      <c r="D88" s="5"/>
      <c r="E88" s="5"/>
      <c r="F88" s="5"/>
      <c r="G88" s="5"/>
      <c r="H88" s="5"/>
      <c r="I88" s="5"/>
      <c r="J88" s="5"/>
      <c r="K88" s="5"/>
      <c r="L88" s="5"/>
      <c r="M88" s="5"/>
      <c r="N88" s="5"/>
      <c r="O88" s="5"/>
      <c r="Q88" s="5"/>
    </row>
    <row r="89" spans="2:26">
      <c r="B89" s="41"/>
      <c r="C89" s="5"/>
      <c r="D89" s="5"/>
      <c r="E89" s="5"/>
      <c r="F89" s="5"/>
      <c r="G89" s="5"/>
      <c r="H89" s="5"/>
      <c r="I89" s="5"/>
      <c r="J89" s="5"/>
      <c r="K89" s="5"/>
      <c r="L89" s="5"/>
      <c r="M89" s="5"/>
      <c r="N89" s="5"/>
      <c r="O89" s="5"/>
      <c r="Q89" s="5"/>
    </row>
    <row r="90" spans="2:26">
      <c r="B90" s="41"/>
      <c r="C90" s="5"/>
      <c r="D90" s="5"/>
      <c r="E90" s="5"/>
      <c r="F90" s="5"/>
      <c r="G90" s="5"/>
      <c r="H90" s="5"/>
      <c r="I90" s="49"/>
      <c r="J90" s="5"/>
      <c r="K90" s="5"/>
      <c r="L90" s="5"/>
      <c r="M90" s="5"/>
      <c r="N90" s="5"/>
      <c r="O90" s="5"/>
      <c r="Q90" s="41"/>
    </row>
    <row r="91" spans="2:26">
      <c r="B91" s="5"/>
      <c r="C91" s="5"/>
      <c r="D91" s="5"/>
      <c r="E91" s="5"/>
      <c r="F91" s="5"/>
      <c r="G91" s="5"/>
      <c r="H91" s="5"/>
      <c r="I91" s="5"/>
      <c r="J91" s="5"/>
      <c r="K91" s="5"/>
      <c r="L91" s="5"/>
      <c r="M91" s="5"/>
      <c r="N91" s="5"/>
      <c r="O91" s="5"/>
      <c r="Q91" s="5"/>
    </row>
    <row r="92" spans="2:26">
      <c r="B92" s="41"/>
      <c r="C92" s="49"/>
      <c r="D92" s="49"/>
      <c r="E92" s="49"/>
      <c r="F92" s="49"/>
      <c r="G92" s="49"/>
      <c r="H92" s="49"/>
      <c r="I92" s="247"/>
      <c r="J92" s="49"/>
      <c r="K92" s="49"/>
      <c r="L92" s="49"/>
      <c r="M92" s="49"/>
      <c r="N92" s="49"/>
      <c r="O92" s="49"/>
      <c r="Q92" s="5"/>
      <c r="W92" s="21"/>
      <c r="X92" s="21"/>
    </row>
    <row r="93" spans="2:26">
      <c r="B93" s="5"/>
      <c r="C93" s="5"/>
      <c r="D93" s="5"/>
      <c r="E93" s="5"/>
      <c r="F93" s="5"/>
      <c r="G93" s="5"/>
      <c r="H93" s="5"/>
      <c r="I93" s="247"/>
      <c r="J93" s="5"/>
      <c r="K93" s="5"/>
      <c r="L93" s="5"/>
      <c r="M93" s="5"/>
      <c r="N93" s="5"/>
      <c r="O93" s="5"/>
      <c r="Q93" s="5"/>
      <c r="W93" s="21"/>
      <c r="X93" s="21"/>
      <c r="Y93" s="21"/>
      <c r="Z93" s="21"/>
    </row>
    <row r="94" spans="2:26">
      <c r="B94" s="5"/>
      <c r="C94" s="259"/>
      <c r="D94" s="247"/>
      <c r="E94" s="247"/>
      <c r="F94" s="247"/>
      <c r="G94" s="247"/>
      <c r="H94" s="247"/>
      <c r="I94" s="247"/>
      <c r="J94" s="247"/>
      <c r="K94" s="247"/>
      <c r="L94" s="247"/>
      <c r="M94" s="247"/>
      <c r="N94" s="247"/>
      <c r="O94" s="248"/>
      <c r="Q94" s="5"/>
      <c r="Y94" s="21"/>
      <c r="Z94" s="21"/>
    </row>
    <row r="95" spans="2:26">
      <c r="B95" s="5"/>
      <c r="C95" s="259"/>
      <c r="D95" s="247"/>
      <c r="E95" s="247"/>
      <c r="F95" s="247"/>
      <c r="G95" s="247"/>
      <c r="H95" s="247"/>
      <c r="I95" s="248"/>
      <c r="J95" s="247"/>
      <c r="K95" s="247"/>
      <c r="L95" s="247"/>
      <c r="M95" s="247"/>
      <c r="N95" s="247"/>
      <c r="O95" s="248"/>
      <c r="Q95" s="5"/>
    </row>
    <row r="96" spans="2:26">
      <c r="B96" s="5"/>
      <c r="C96" s="259"/>
      <c r="D96" s="247"/>
      <c r="E96" s="247"/>
      <c r="F96" s="247"/>
      <c r="G96" s="247"/>
      <c r="H96" s="247"/>
      <c r="I96" s="247"/>
      <c r="J96" s="247"/>
      <c r="K96" s="247"/>
      <c r="L96" s="247"/>
      <c r="M96" s="247"/>
      <c r="N96" s="247"/>
      <c r="O96" s="248"/>
      <c r="Q96" s="5"/>
    </row>
    <row r="97" spans="2:17">
      <c r="B97" s="5"/>
      <c r="C97" s="259"/>
      <c r="D97" s="248"/>
      <c r="E97" s="248"/>
      <c r="F97" s="248"/>
      <c r="G97" s="248"/>
      <c r="H97" s="248"/>
      <c r="I97" s="249"/>
      <c r="J97" s="248"/>
      <c r="K97" s="248"/>
      <c r="L97" s="248"/>
      <c r="M97" s="248"/>
      <c r="N97" s="248"/>
      <c r="O97" s="248"/>
      <c r="Q97" s="5"/>
    </row>
    <row r="98" spans="2:17">
      <c r="B98" s="5"/>
      <c r="C98" s="259"/>
      <c r="D98" s="247"/>
      <c r="E98" s="247"/>
      <c r="F98" s="247"/>
      <c r="G98" s="247"/>
      <c r="H98" s="247"/>
      <c r="I98" s="248"/>
      <c r="J98" s="247"/>
      <c r="K98" s="247"/>
      <c r="L98" s="247"/>
      <c r="M98" s="247"/>
      <c r="N98" s="247"/>
      <c r="O98" s="248"/>
      <c r="Q98" s="5"/>
    </row>
    <row r="99" spans="2:17">
      <c r="B99" s="41"/>
      <c r="C99" s="249"/>
      <c r="D99" s="249"/>
      <c r="E99" s="249"/>
      <c r="F99" s="249"/>
      <c r="G99" s="249"/>
      <c r="H99" s="249"/>
      <c r="I99" s="5"/>
      <c r="J99" s="249"/>
      <c r="K99" s="249"/>
      <c r="L99" s="249"/>
      <c r="M99" s="249"/>
      <c r="N99" s="249"/>
      <c r="O99" s="248"/>
      <c r="Q99" s="5"/>
    </row>
    <row r="100" spans="2:17">
      <c r="B100" s="41"/>
      <c r="C100" s="257"/>
      <c r="D100" s="248"/>
      <c r="E100" s="248"/>
      <c r="F100" s="248"/>
      <c r="G100" s="248"/>
      <c r="H100" s="248"/>
      <c r="I100" s="259"/>
      <c r="J100" s="248"/>
      <c r="K100" s="248"/>
      <c r="L100" s="248"/>
      <c r="M100" s="248"/>
      <c r="N100" s="248"/>
      <c r="O100" s="248"/>
      <c r="Q100" s="5"/>
    </row>
    <row r="101" spans="2:17" s="5" customFormat="1">
      <c r="B101" s="41"/>
      <c r="I101" s="259"/>
      <c r="O101" s="248"/>
      <c r="P101" s="39"/>
    </row>
    <row r="102" spans="2:17">
      <c r="B102" s="5"/>
      <c r="C102" s="259"/>
      <c r="D102" s="259"/>
      <c r="E102" s="259"/>
      <c r="F102" s="259"/>
      <c r="G102" s="259"/>
      <c r="H102" s="259"/>
      <c r="I102" s="247"/>
      <c r="J102" s="259"/>
      <c r="K102" s="259"/>
      <c r="L102" s="259"/>
      <c r="M102" s="259"/>
      <c r="N102" s="259"/>
      <c r="O102" s="5"/>
      <c r="Q102" s="5"/>
    </row>
    <row r="103" spans="2:17">
      <c r="B103" s="5"/>
      <c r="C103" s="259"/>
      <c r="D103" s="259"/>
      <c r="E103" s="259"/>
      <c r="F103" s="259"/>
      <c r="G103" s="259"/>
      <c r="H103" s="259"/>
      <c r="I103" s="5"/>
      <c r="J103" s="259"/>
      <c r="K103" s="259"/>
      <c r="L103" s="259"/>
      <c r="M103" s="259"/>
      <c r="N103" s="259"/>
      <c r="O103" s="5"/>
      <c r="P103" s="5"/>
      <c r="Q103" s="5"/>
    </row>
    <row r="104" spans="2:17">
      <c r="B104" s="5"/>
      <c r="C104" s="247"/>
      <c r="D104" s="247"/>
      <c r="E104" s="247"/>
      <c r="F104" s="247"/>
      <c r="G104" s="247"/>
      <c r="H104" s="247"/>
      <c r="I104" s="247"/>
      <c r="J104" s="247"/>
      <c r="K104" s="247"/>
      <c r="L104" s="247"/>
      <c r="M104" s="247"/>
      <c r="N104" s="247"/>
      <c r="O104" s="5"/>
      <c r="Q104" s="5"/>
    </row>
    <row r="105" spans="2:17" s="5" customFormat="1">
      <c r="P105" s="39"/>
    </row>
    <row r="106" spans="2:17" s="5" customFormat="1">
      <c r="C106" s="259"/>
      <c r="D106" s="247"/>
      <c r="E106" s="247"/>
      <c r="F106" s="247"/>
      <c r="G106" s="247"/>
      <c r="H106" s="247"/>
      <c r="I106" s="259"/>
      <c r="J106" s="247"/>
      <c r="K106" s="247"/>
      <c r="L106" s="247"/>
      <c r="M106" s="247"/>
      <c r="N106" s="247"/>
      <c r="P106" s="39"/>
    </row>
    <row r="107" spans="2:17">
      <c r="B107" s="5"/>
      <c r="C107" s="259"/>
      <c r="D107" s="5"/>
      <c r="E107" s="5"/>
      <c r="F107" s="5"/>
      <c r="G107" s="5"/>
      <c r="H107" s="5"/>
      <c r="I107" s="247"/>
      <c r="J107" s="5"/>
      <c r="K107" s="5"/>
      <c r="L107" s="5"/>
      <c r="M107" s="5"/>
      <c r="N107" s="5"/>
      <c r="O107" s="5"/>
      <c r="P107" s="5"/>
      <c r="Q107" s="5"/>
    </row>
    <row r="108" spans="2:17">
      <c r="B108" s="5"/>
      <c r="C108" s="259"/>
      <c r="D108" s="259"/>
      <c r="E108" s="259"/>
      <c r="F108" s="259"/>
      <c r="G108" s="259"/>
      <c r="H108" s="259"/>
      <c r="I108" s="249"/>
      <c r="J108" s="259"/>
      <c r="K108" s="259"/>
      <c r="L108" s="259"/>
      <c r="M108" s="259"/>
      <c r="N108" s="259"/>
      <c r="O108" s="5"/>
      <c r="P108" s="5"/>
      <c r="Q108" s="5"/>
    </row>
    <row r="109" spans="2:17">
      <c r="B109" s="5"/>
      <c r="C109" s="247"/>
      <c r="D109" s="247"/>
      <c r="E109" s="247"/>
      <c r="F109" s="247"/>
      <c r="G109" s="247"/>
      <c r="H109" s="247"/>
      <c r="I109" s="249"/>
      <c r="J109" s="247"/>
      <c r="K109" s="247"/>
      <c r="L109" s="247"/>
      <c r="M109" s="247"/>
      <c r="N109" s="247"/>
      <c r="O109" s="5"/>
      <c r="Q109" s="5"/>
    </row>
    <row r="110" spans="2:17">
      <c r="B110" s="41"/>
      <c r="C110" s="249"/>
      <c r="D110" s="249"/>
      <c r="E110" s="249"/>
      <c r="F110" s="249"/>
      <c r="G110" s="249"/>
      <c r="H110" s="249"/>
      <c r="I110" s="247"/>
      <c r="J110" s="249"/>
      <c r="K110" s="249"/>
      <c r="L110" s="249"/>
      <c r="M110" s="249"/>
      <c r="N110" s="249"/>
      <c r="O110" s="5"/>
      <c r="Q110" s="5"/>
    </row>
    <row r="111" spans="2:17">
      <c r="B111" s="5"/>
      <c r="C111" s="249"/>
      <c r="D111" s="249"/>
      <c r="E111" s="249"/>
      <c r="F111" s="249"/>
      <c r="G111" s="249"/>
      <c r="H111" s="249"/>
      <c r="I111" s="5"/>
      <c r="J111" s="249"/>
      <c r="K111" s="249"/>
      <c r="L111" s="249"/>
      <c r="M111" s="249"/>
      <c r="N111" s="249"/>
      <c r="O111" s="5"/>
      <c r="Q111" s="5"/>
    </row>
    <row r="112" spans="2:17">
      <c r="B112" s="5"/>
      <c r="C112" s="247"/>
      <c r="D112" s="247"/>
      <c r="E112" s="247"/>
      <c r="F112" s="247"/>
      <c r="G112" s="247"/>
      <c r="H112" s="247"/>
      <c r="I112" s="5"/>
      <c r="J112" s="247"/>
      <c r="K112" s="247"/>
      <c r="L112" s="247"/>
      <c r="M112" s="247"/>
      <c r="N112" s="247"/>
      <c r="O112" s="5"/>
      <c r="Q112" s="5"/>
    </row>
    <row r="113" spans="2:17">
      <c r="B113" s="5"/>
      <c r="C113" s="5"/>
      <c r="D113" s="5"/>
      <c r="E113" s="5"/>
      <c r="F113" s="5"/>
      <c r="G113" s="5"/>
      <c r="H113" s="5"/>
      <c r="I113" s="5"/>
      <c r="J113" s="5"/>
      <c r="K113" s="5"/>
      <c r="L113" s="5"/>
      <c r="M113" s="5"/>
      <c r="N113" s="5"/>
      <c r="O113" s="5"/>
      <c r="Q113" s="5"/>
    </row>
    <row r="114" spans="2:17">
      <c r="B114" s="5"/>
      <c r="C114" s="5"/>
      <c r="D114" s="5"/>
      <c r="E114" s="5"/>
      <c r="F114" s="5"/>
      <c r="G114" s="5"/>
      <c r="H114" s="5"/>
      <c r="I114" s="5"/>
      <c r="J114" s="5"/>
      <c r="K114" s="5"/>
      <c r="L114" s="5"/>
      <c r="M114" s="5"/>
      <c r="N114" s="5"/>
      <c r="O114" s="5"/>
      <c r="Q114" s="5"/>
    </row>
    <row r="115" spans="2:17">
      <c r="B115" s="5"/>
      <c r="C115" s="5"/>
      <c r="D115" s="5"/>
      <c r="E115" s="5"/>
      <c r="F115" s="5"/>
      <c r="G115" s="5"/>
      <c r="H115" s="5"/>
      <c r="I115" s="49"/>
      <c r="J115" s="5"/>
      <c r="K115" s="5"/>
      <c r="L115" s="5"/>
      <c r="M115" s="5"/>
      <c r="N115" s="5"/>
      <c r="O115" s="5"/>
      <c r="Q115" s="41"/>
    </row>
    <row r="116" spans="2:17">
      <c r="B116" s="5"/>
      <c r="C116" s="5"/>
      <c r="D116" s="5"/>
      <c r="E116" s="5"/>
      <c r="F116" s="5"/>
      <c r="G116" s="5"/>
      <c r="H116" s="5"/>
      <c r="I116" s="5"/>
      <c r="J116" s="5"/>
      <c r="K116" s="5"/>
      <c r="L116" s="5"/>
      <c r="M116" s="5"/>
      <c r="N116" s="5"/>
      <c r="O116" s="5"/>
      <c r="Q116" s="5"/>
    </row>
    <row r="117" spans="2:17">
      <c r="B117" s="41"/>
      <c r="C117" s="49"/>
      <c r="D117" s="49"/>
      <c r="E117" s="49"/>
      <c r="F117" s="49"/>
      <c r="G117" s="49"/>
      <c r="H117" s="49"/>
      <c r="I117" s="254"/>
      <c r="J117" s="49"/>
      <c r="K117" s="49"/>
      <c r="L117" s="49"/>
      <c r="M117" s="49"/>
      <c r="N117" s="49"/>
      <c r="O117" s="49"/>
      <c r="Q117" s="5"/>
    </row>
    <row r="118" spans="2:17">
      <c r="B118" s="5"/>
      <c r="C118" s="5"/>
      <c r="D118" s="5"/>
      <c r="E118" s="5"/>
      <c r="F118" s="5"/>
      <c r="G118" s="5"/>
      <c r="H118" s="5"/>
      <c r="I118" s="249"/>
      <c r="J118" s="5"/>
      <c r="K118" s="5"/>
      <c r="L118" s="5"/>
      <c r="M118" s="5"/>
      <c r="N118" s="5"/>
      <c r="O118" s="5"/>
      <c r="Q118" s="5"/>
    </row>
    <row r="119" spans="2:17">
      <c r="B119" s="41"/>
      <c r="C119" s="254"/>
      <c r="D119" s="254"/>
      <c r="E119" s="254"/>
      <c r="F119" s="254"/>
      <c r="G119" s="254"/>
      <c r="H119" s="254"/>
      <c r="I119" s="254"/>
      <c r="J119" s="254"/>
      <c r="K119" s="254"/>
      <c r="L119" s="254"/>
      <c r="M119" s="254"/>
      <c r="N119" s="254"/>
      <c r="O119" s="248"/>
      <c r="Q119" s="5"/>
    </row>
    <row r="120" spans="2:17">
      <c r="B120" s="41"/>
      <c r="C120" s="254"/>
      <c r="D120" s="249"/>
      <c r="E120" s="249"/>
      <c r="F120" s="249"/>
      <c r="G120" s="249"/>
      <c r="H120" s="249"/>
      <c r="I120" s="254"/>
      <c r="J120" s="249"/>
      <c r="K120" s="249"/>
      <c r="L120" s="249"/>
      <c r="M120" s="249"/>
      <c r="N120" s="249"/>
      <c r="O120" s="248"/>
      <c r="Q120" s="5"/>
    </row>
    <row r="121" spans="2:17">
      <c r="B121" s="41"/>
      <c r="C121" s="254"/>
      <c r="D121" s="254"/>
      <c r="E121" s="254"/>
      <c r="F121" s="254"/>
      <c r="G121" s="254"/>
      <c r="H121" s="254"/>
      <c r="I121" s="254"/>
      <c r="J121" s="254"/>
      <c r="K121" s="254"/>
      <c r="L121" s="254"/>
      <c r="M121" s="254"/>
      <c r="N121" s="254"/>
      <c r="O121" s="248"/>
      <c r="Q121" s="5"/>
    </row>
    <row r="122" spans="2:17">
      <c r="B122" s="41"/>
      <c r="C122" s="254"/>
      <c r="D122" s="254"/>
      <c r="E122" s="254"/>
      <c r="F122" s="254"/>
      <c r="G122" s="254"/>
      <c r="H122" s="254"/>
      <c r="I122" s="254"/>
      <c r="J122" s="254"/>
      <c r="K122" s="254"/>
      <c r="L122" s="254"/>
      <c r="M122" s="254"/>
      <c r="N122" s="254"/>
      <c r="O122" s="248"/>
      <c r="Q122" s="5"/>
    </row>
    <row r="123" spans="2:17">
      <c r="B123" s="41"/>
      <c r="C123" s="254"/>
      <c r="D123" s="254"/>
      <c r="E123" s="254"/>
      <c r="F123" s="254"/>
      <c r="G123" s="254"/>
      <c r="H123" s="254"/>
      <c r="I123" s="254"/>
      <c r="J123" s="254"/>
      <c r="K123" s="254"/>
      <c r="L123" s="254"/>
      <c r="M123" s="254"/>
      <c r="N123" s="254"/>
      <c r="O123" s="248"/>
      <c r="Q123" s="5"/>
    </row>
    <row r="124" spans="2:17">
      <c r="B124" s="41"/>
      <c r="C124" s="254"/>
      <c r="D124" s="254"/>
      <c r="E124" s="254"/>
      <c r="F124" s="254"/>
      <c r="G124" s="254"/>
      <c r="H124" s="254"/>
      <c r="I124" s="254"/>
      <c r="J124" s="254"/>
      <c r="K124" s="254"/>
      <c r="L124" s="254"/>
      <c r="M124" s="254"/>
      <c r="N124" s="254"/>
      <c r="O124" s="248"/>
      <c r="Q124" s="5"/>
    </row>
    <row r="125" spans="2:17">
      <c r="B125" s="41"/>
      <c r="C125" s="254"/>
      <c r="D125" s="254"/>
      <c r="E125" s="254"/>
      <c r="F125" s="254"/>
      <c r="G125" s="254"/>
      <c r="H125" s="254"/>
      <c r="I125" s="254"/>
      <c r="J125" s="254"/>
      <c r="K125" s="254"/>
      <c r="L125" s="254"/>
      <c r="M125" s="254"/>
      <c r="N125" s="254"/>
      <c r="O125" s="5"/>
      <c r="Q125" s="5"/>
    </row>
    <row r="126" spans="2:17">
      <c r="B126" s="41"/>
      <c r="C126" s="254"/>
      <c r="D126" s="254"/>
      <c r="E126" s="254"/>
      <c r="F126" s="254"/>
      <c r="G126" s="254"/>
      <c r="H126" s="254"/>
      <c r="I126" s="254"/>
      <c r="J126" s="254"/>
      <c r="K126" s="254"/>
      <c r="L126" s="254"/>
      <c r="M126" s="254"/>
      <c r="N126" s="254"/>
      <c r="O126" s="5"/>
      <c r="Q126" s="5"/>
    </row>
    <row r="127" spans="2:17">
      <c r="B127" s="41"/>
      <c r="C127" s="254"/>
      <c r="D127" s="254"/>
      <c r="E127" s="254"/>
      <c r="F127" s="254"/>
      <c r="G127" s="254"/>
      <c r="H127" s="254"/>
      <c r="I127" s="18"/>
      <c r="J127" s="254"/>
      <c r="K127" s="254"/>
      <c r="L127" s="254"/>
      <c r="M127" s="254"/>
      <c r="N127" s="254"/>
      <c r="O127" s="5"/>
      <c r="Q127" s="5"/>
    </row>
    <row r="128" spans="2:17">
      <c r="B128" s="41"/>
      <c r="C128" s="254"/>
      <c r="D128" s="254"/>
      <c r="E128" s="254"/>
      <c r="F128" s="254"/>
      <c r="G128" s="254"/>
      <c r="H128" s="254"/>
      <c r="I128" s="5"/>
      <c r="J128" s="254"/>
      <c r="K128" s="254"/>
      <c r="L128" s="254"/>
      <c r="M128" s="254"/>
      <c r="N128" s="254"/>
      <c r="O128" s="5"/>
      <c r="Q128" s="5"/>
    </row>
    <row r="129" spans="2:27">
      <c r="B129" s="5"/>
      <c r="C129" s="5"/>
      <c r="D129" s="18"/>
      <c r="E129" s="18"/>
      <c r="F129" s="18"/>
      <c r="G129" s="18"/>
      <c r="H129" s="18"/>
      <c r="I129" s="254"/>
      <c r="J129" s="18"/>
      <c r="K129" s="18"/>
      <c r="L129" s="18"/>
      <c r="M129" s="18"/>
      <c r="N129" s="18"/>
      <c r="O129" s="5"/>
      <c r="Q129" s="5"/>
    </row>
    <row r="130" spans="2:27">
      <c r="B130" s="5"/>
      <c r="C130" s="5"/>
      <c r="D130" s="5"/>
      <c r="E130" s="5"/>
      <c r="F130" s="5"/>
      <c r="G130" s="5"/>
      <c r="H130" s="5"/>
      <c r="I130" s="18"/>
      <c r="J130" s="5"/>
      <c r="K130" s="5"/>
      <c r="L130" s="5"/>
      <c r="M130" s="5"/>
      <c r="N130" s="5"/>
      <c r="O130" s="5"/>
      <c r="Q130" s="5"/>
    </row>
    <row r="131" spans="2:27">
      <c r="B131" s="41"/>
      <c r="C131" s="254"/>
      <c r="D131" s="254"/>
      <c r="E131" s="254"/>
      <c r="F131" s="254"/>
      <c r="G131" s="254"/>
      <c r="H131" s="254"/>
      <c r="I131" s="5"/>
      <c r="J131" s="254"/>
      <c r="K131" s="254"/>
      <c r="L131" s="254"/>
      <c r="M131" s="254"/>
      <c r="N131" s="254"/>
      <c r="O131" s="5"/>
      <c r="Q131" s="5"/>
    </row>
    <row r="132" spans="2:27">
      <c r="B132" s="5"/>
      <c r="C132" s="259"/>
      <c r="D132" s="18"/>
      <c r="E132" s="18"/>
      <c r="F132" s="18"/>
      <c r="G132" s="18"/>
      <c r="H132" s="18"/>
      <c r="I132" s="5"/>
      <c r="J132" s="18"/>
      <c r="K132" s="18"/>
      <c r="L132" s="18"/>
      <c r="M132" s="18"/>
      <c r="N132" s="18"/>
      <c r="O132" s="5"/>
      <c r="Q132" s="5"/>
    </row>
    <row r="133" spans="2:27">
      <c r="B133" s="5"/>
      <c r="C133" s="5"/>
      <c r="D133" s="5"/>
      <c r="E133" s="5"/>
      <c r="F133" s="5"/>
      <c r="G133" s="5"/>
      <c r="H133" s="5"/>
      <c r="I133" s="17"/>
      <c r="J133" s="5"/>
      <c r="K133" s="5"/>
      <c r="L133" s="5"/>
      <c r="M133" s="5"/>
      <c r="N133" s="5"/>
      <c r="O133" s="5"/>
      <c r="Q133" s="5"/>
    </row>
    <row r="134" spans="2:27">
      <c r="B134" s="41"/>
      <c r="C134" s="5"/>
      <c r="D134" s="5"/>
      <c r="E134" s="5"/>
      <c r="F134" s="5"/>
      <c r="G134" s="5"/>
      <c r="H134" s="5"/>
      <c r="I134" s="17"/>
      <c r="J134" s="5"/>
      <c r="K134" s="5"/>
      <c r="L134" s="5"/>
      <c r="M134" s="5"/>
      <c r="N134" s="5"/>
      <c r="O134" s="5"/>
      <c r="Q134" s="5"/>
    </row>
    <row r="135" spans="2:27">
      <c r="B135" s="5"/>
      <c r="C135" s="17"/>
      <c r="D135" s="17"/>
      <c r="E135" s="17"/>
      <c r="F135" s="17"/>
      <c r="G135" s="17"/>
      <c r="H135" s="17"/>
      <c r="I135" s="17"/>
      <c r="J135" s="17"/>
      <c r="K135" s="17"/>
      <c r="L135" s="17"/>
      <c r="M135" s="17"/>
      <c r="N135" s="17"/>
      <c r="O135" s="5"/>
      <c r="Q135" s="41"/>
    </row>
    <row r="136" spans="2:27">
      <c r="B136" s="5"/>
      <c r="C136" s="17"/>
      <c r="D136" s="17"/>
      <c r="E136" s="17"/>
      <c r="F136" s="17"/>
      <c r="G136" s="17"/>
      <c r="H136" s="17"/>
      <c r="I136" s="17"/>
      <c r="J136" s="17"/>
      <c r="K136" s="17"/>
      <c r="L136" s="17"/>
      <c r="M136" s="17"/>
      <c r="N136" s="17"/>
      <c r="O136" s="5"/>
      <c r="Q136" s="5"/>
      <c r="X136" s="304"/>
    </row>
    <row r="137" spans="2:27">
      <c r="B137" s="5"/>
      <c r="C137" s="5"/>
      <c r="D137" s="17"/>
      <c r="E137" s="17"/>
      <c r="F137" s="17"/>
      <c r="G137" s="17"/>
      <c r="H137" s="17"/>
      <c r="I137" s="17"/>
      <c r="J137" s="17"/>
      <c r="K137" s="17"/>
      <c r="L137" s="17"/>
      <c r="M137" s="17"/>
      <c r="N137" s="17"/>
      <c r="O137" s="5"/>
      <c r="Q137" s="5"/>
      <c r="X137" s="10"/>
      <c r="Y137" s="304"/>
      <c r="Z137" s="304"/>
      <c r="AA137" s="304"/>
    </row>
    <row r="138" spans="2:27">
      <c r="B138" s="5"/>
      <c r="C138" s="5"/>
      <c r="D138" s="17"/>
      <c r="E138" s="17"/>
      <c r="F138" s="17"/>
      <c r="G138" s="17"/>
      <c r="H138" s="17"/>
      <c r="I138" s="17"/>
      <c r="J138" s="17"/>
      <c r="K138" s="17"/>
      <c r="L138" s="17"/>
      <c r="M138" s="17"/>
      <c r="N138" s="17"/>
      <c r="O138" s="5"/>
      <c r="Q138" s="5"/>
      <c r="Y138" s="10"/>
      <c r="Z138" s="10"/>
      <c r="AA138" s="10"/>
    </row>
    <row r="139" spans="2:27">
      <c r="B139" s="5"/>
      <c r="C139" s="5"/>
      <c r="D139" s="17"/>
      <c r="E139" s="17"/>
      <c r="F139" s="17"/>
      <c r="G139" s="17"/>
      <c r="H139" s="17"/>
      <c r="I139" s="5"/>
      <c r="J139" s="17"/>
      <c r="K139" s="17"/>
      <c r="L139" s="17"/>
      <c r="M139" s="17"/>
      <c r="N139" s="17"/>
      <c r="O139" s="5"/>
      <c r="Q139" s="5"/>
    </row>
    <row r="140" spans="2:27">
      <c r="B140" s="5"/>
      <c r="C140" s="17"/>
      <c r="D140" s="17"/>
      <c r="E140" s="17"/>
      <c r="F140" s="17"/>
      <c r="G140" s="17"/>
      <c r="H140" s="17"/>
      <c r="I140" s="5"/>
      <c r="J140" s="17"/>
      <c r="K140" s="17"/>
      <c r="L140" s="17"/>
      <c r="M140" s="17"/>
      <c r="N140" s="17"/>
      <c r="O140" s="5"/>
      <c r="Q140" s="5"/>
    </row>
    <row r="141" spans="2:27">
      <c r="B141" s="5"/>
      <c r="C141" s="5"/>
      <c r="D141" s="5"/>
      <c r="E141" s="5"/>
      <c r="F141" s="5"/>
      <c r="G141" s="5"/>
      <c r="H141" s="5"/>
      <c r="I141" s="5"/>
      <c r="J141" s="5"/>
      <c r="K141" s="5"/>
      <c r="L141" s="5"/>
      <c r="M141" s="5"/>
      <c r="N141" s="5"/>
      <c r="O141" s="5"/>
      <c r="Q141" s="5"/>
    </row>
    <row r="142" spans="2:27">
      <c r="B142" s="5"/>
      <c r="C142" s="5"/>
      <c r="D142" s="5"/>
      <c r="E142" s="5"/>
      <c r="F142" s="5"/>
      <c r="G142" s="5"/>
      <c r="H142" s="5"/>
      <c r="I142" s="5"/>
      <c r="J142" s="5"/>
      <c r="K142" s="5"/>
      <c r="L142" s="5"/>
      <c r="M142" s="5"/>
      <c r="N142" s="5"/>
      <c r="O142" s="5"/>
      <c r="Q142" s="5"/>
    </row>
    <row r="143" spans="2:27">
      <c r="B143" s="5"/>
      <c r="C143" s="5"/>
      <c r="D143" s="5"/>
      <c r="E143" s="5"/>
      <c r="F143" s="5"/>
      <c r="G143" s="5"/>
      <c r="H143" s="5"/>
      <c r="I143" s="5"/>
      <c r="J143" s="5"/>
      <c r="K143" s="5"/>
      <c r="L143" s="5"/>
      <c r="M143" s="5"/>
      <c r="N143" s="5"/>
      <c r="O143" s="5"/>
      <c r="Q143" s="5"/>
    </row>
    <row r="144" spans="2:27">
      <c r="B144" s="5"/>
      <c r="C144" s="5"/>
      <c r="D144" s="5"/>
      <c r="E144" s="5"/>
      <c r="F144" s="5"/>
      <c r="G144" s="5"/>
      <c r="H144" s="5"/>
      <c r="I144" s="5"/>
      <c r="J144" s="5"/>
      <c r="K144" s="5"/>
      <c r="L144" s="5"/>
      <c r="M144" s="5"/>
      <c r="N144" s="5"/>
      <c r="O144" s="5"/>
      <c r="Q144" s="5"/>
    </row>
    <row r="145" spans="2:17">
      <c r="B145" s="5"/>
      <c r="C145" s="5"/>
      <c r="D145" s="5"/>
      <c r="E145" s="5"/>
      <c r="F145" s="5"/>
      <c r="G145" s="5"/>
      <c r="H145" s="5"/>
      <c r="I145" s="5"/>
      <c r="J145" s="5"/>
      <c r="K145" s="5"/>
      <c r="L145" s="5"/>
      <c r="M145" s="5"/>
      <c r="N145" s="5"/>
      <c r="O145" s="5"/>
      <c r="Q145" s="5"/>
    </row>
    <row r="146" spans="2:17">
      <c r="B146" s="5"/>
      <c r="C146" s="5"/>
      <c r="D146" s="5"/>
      <c r="E146" s="5"/>
      <c r="F146" s="5"/>
      <c r="G146" s="5"/>
      <c r="H146" s="5"/>
      <c r="I146" s="5"/>
      <c r="J146" s="5"/>
      <c r="K146" s="5"/>
      <c r="L146" s="5"/>
      <c r="M146" s="5"/>
      <c r="N146" s="5"/>
      <c r="O146" s="5"/>
      <c r="Q146" s="5"/>
    </row>
    <row r="147" spans="2:17">
      <c r="B147" s="5"/>
      <c r="C147" s="5"/>
      <c r="D147" s="5"/>
      <c r="E147" s="5"/>
      <c r="F147" s="5"/>
      <c r="G147" s="5"/>
      <c r="H147" s="5"/>
      <c r="I147" s="5"/>
      <c r="J147" s="5"/>
      <c r="K147" s="5"/>
      <c r="L147" s="5"/>
      <c r="M147" s="5"/>
      <c r="N147" s="5"/>
      <c r="O147" s="5"/>
      <c r="Q147" s="5"/>
    </row>
    <row r="148" spans="2:17">
      <c r="B148" s="5"/>
      <c r="C148" s="5"/>
      <c r="D148" s="5"/>
      <c r="E148" s="5"/>
      <c r="F148" s="5"/>
      <c r="G148" s="5"/>
      <c r="H148" s="5"/>
      <c r="I148" s="5"/>
      <c r="J148" s="5"/>
      <c r="K148" s="5"/>
      <c r="L148" s="5"/>
      <c r="M148" s="5"/>
      <c r="N148" s="5"/>
      <c r="O148" s="5"/>
      <c r="Q148" s="5"/>
    </row>
    <row r="149" spans="2:17">
      <c r="B149" s="5"/>
      <c r="C149" s="5"/>
      <c r="D149" s="5"/>
      <c r="E149" s="5"/>
      <c r="F149" s="5"/>
      <c r="G149" s="5"/>
      <c r="H149" s="5"/>
      <c r="J149" s="5"/>
      <c r="K149" s="5"/>
      <c r="L149" s="5"/>
      <c r="M149" s="5"/>
      <c r="N149" s="5"/>
      <c r="O149" s="5"/>
      <c r="Q149" s="5"/>
    </row>
    <row r="150" spans="2:17">
      <c r="B150" s="5"/>
      <c r="C150" s="5"/>
      <c r="D150" s="5"/>
      <c r="E150" s="5"/>
      <c r="F150" s="5"/>
      <c r="G150" s="5"/>
      <c r="H150" s="5"/>
      <c r="J150" s="5"/>
      <c r="K150" s="5"/>
      <c r="L150" s="5"/>
      <c r="M150" s="5"/>
      <c r="N150" s="5"/>
      <c r="O150" s="5"/>
      <c r="Q150" s="5"/>
    </row>
    <row r="151" spans="2:17">
      <c r="Q151" s="5"/>
    </row>
    <row r="152" spans="2:17">
      <c r="Q152" s="5"/>
    </row>
    <row r="153" spans="2:17">
      <c r="C153" s="263"/>
      <c r="Q153" s="5"/>
    </row>
    <row r="154" spans="2:17">
      <c r="Q154" s="5"/>
    </row>
    <row r="155" spans="2:17">
      <c r="Q155" s="5"/>
    </row>
    <row r="156" spans="2:17">
      <c r="Q156" s="5"/>
    </row>
    <row r="157" spans="2:17">
      <c r="Q157" s="5"/>
    </row>
    <row r="158" spans="2:17">
      <c r="Q158" s="5"/>
    </row>
    <row r="159" spans="2:17">
      <c r="Q159" s="5"/>
    </row>
    <row r="160" spans="2:17">
      <c r="Q160" s="5"/>
    </row>
    <row r="161" spans="17:17">
      <c r="Q161" s="5"/>
    </row>
    <row r="162" spans="17:17">
      <c r="Q162" s="5"/>
    </row>
    <row r="163" spans="17:17">
      <c r="Q163" s="5"/>
    </row>
    <row r="164" spans="17:17">
      <c r="Q164" s="5"/>
    </row>
    <row r="165" spans="17:17">
      <c r="Q165" s="5"/>
    </row>
  </sheetData>
  <phoneticPr fontId="7" type="noConversion"/>
  <hyperlinks>
    <hyperlink ref="C2" location="ELISASOP!A1" display="Jump to Elisa SOP" xr:uid="{00000000-0004-0000-2200-000001000000}"/>
  </hyperlinks>
  <pageMargins left="0.75" right="0.75" top="1" bottom="1" header="0.5" footer="0.5"/>
  <pageSetup scale="71" orientation="landscape" r:id="rId1"/>
  <headerFooter alignWithMargins="0"/>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05">
    <pageSetUpPr fitToPage="1"/>
  </sheetPr>
  <dimension ref="B1:AR165"/>
  <sheetViews>
    <sheetView showGridLines="0" zoomScale="80" zoomScaleNormal="80" workbookViewId="0"/>
  </sheetViews>
  <sheetFormatPr defaultColWidth="9.109375" defaultRowHeight="12"/>
  <cols>
    <col min="1" max="1" width="2.33203125" style="39" customWidth="1"/>
    <col min="2" max="2" width="26.5546875" style="39" customWidth="1"/>
    <col min="3" max="9" width="10" style="39" customWidth="1"/>
    <col min="10" max="10" width="26.6640625" style="39" customWidth="1"/>
    <col min="11" max="16" width="10" style="39" customWidth="1"/>
    <col min="17" max="19" width="8.6640625" style="39" customWidth="1"/>
    <col min="20" max="28" width="8.6640625" style="5" customWidth="1"/>
    <col min="29" max="44" width="9.109375" style="5"/>
    <col min="45" max="16384" width="9.109375" style="39"/>
  </cols>
  <sheetData>
    <row r="1" spans="2:44" s="312" customFormat="1">
      <c r="T1" s="149"/>
      <c r="U1" s="149"/>
      <c r="V1" s="149"/>
      <c r="W1" s="149"/>
      <c r="X1" s="149"/>
      <c r="Y1" s="149"/>
      <c r="Z1" s="149"/>
      <c r="AA1" s="149"/>
      <c r="AB1" s="149"/>
      <c r="AC1" s="149"/>
      <c r="AD1" s="149"/>
      <c r="AE1" s="149"/>
      <c r="AF1" s="149"/>
      <c r="AG1" s="149"/>
      <c r="AH1" s="149"/>
      <c r="AI1" s="149"/>
      <c r="AJ1" s="149"/>
      <c r="AK1" s="149"/>
      <c r="AL1" s="149"/>
      <c r="AM1" s="149"/>
      <c r="AN1" s="149"/>
      <c r="AO1" s="149"/>
      <c r="AP1" s="149"/>
      <c r="AQ1" s="149"/>
      <c r="AR1" s="149"/>
    </row>
    <row r="2" spans="2:44" s="149" customFormat="1"/>
    <row r="3" spans="2:44" s="149" customFormat="1">
      <c r="H3" s="153"/>
      <c r="P3" s="153"/>
    </row>
    <row r="4" spans="2:44" s="156" customFormat="1" ht="21">
      <c r="B4" s="129" t="s">
        <v>635</v>
      </c>
      <c r="H4" s="222"/>
      <c r="P4" s="222"/>
    </row>
    <row r="5" spans="2:44" s="149" customFormat="1">
      <c r="C5" s="153"/>
      <c r="D5" s="153" t="str" cm="1">
        <f t="array" ref="D5:H5">headings</f>
        <v>2023E</v>
      </c>
      <c r="E5" s="153" t="str">
        <v>2024E</v>
      </c>
      <c r="F5" s="153" t="str">
        <v>2025E</v>
      </c>
      <c r="G5" s="153" t="str">
        <v>2026E</v>
      </c>
      <c r="H5" s="153" t="str">
        <v>23E-26E</v>
      </c>
      <c r="I5" s="153"/>
      <c r="J5" s="153"/>
      <c r="K5" s="153"/>
      <c r="L5" s="153" t="str" cm="1">
        <f t="array" ref="L5:P5">headings</f>
        <v>2023E</v>
      </c>
      <c r="M5" s="153" t="str">
        <v>2024E</v>
      </c>
      <c r="N5" s="153" t="str">
        <v>2025E</v>
      </c>
      <c r="O5" s="153" t="str">
        <v>2026E</v>
      </c>
      <c r="P5" s="153" t="str">
        <v>23E-26E</v>
      </c>
      <c r="Q5" s="162"/>
      <c r="R5" s="162"/>
      <c r="S5" s="162"/>
      <c r="T5" s="162"/>
      <c r="U5" s="162"/>
      <c r="V5" s="162"/>
      <c r="W5" s="162"/>
      <c r="X5" s="162"/>
      <c r="Y5" s="162"/>
    </row>
    <row r="6" spans="2:44">
      <c r="I6" s="5"/>
      <c r="J6" s="5"/>
      <c r="K6" s="5"/>
      <c r="L6" s="5"/>
      <c r="M6" s="5"/>
      <c r="N6" s="5"/>
      <c r="O6" s="49"/>
    </row>
    <row r="7" spans="2:44" ht="12.6" thickBot="1">
      <c r="B7" s="306" t="s">
        <v>271</v>
      </c>
      <c r="C7" s="265"/>
      <c r="D7" s="265" t="str">
        <f>D5</f>
        <v>2023E</v>
      </c>
      <c r="E7" s="265" t="str">
        <f t="shared" ref="E7:H7" si="0">E5</f>
        <v>2024E</v>
      </c>
      <c r="F7" s="265" t="str">
        <f t="shared" si="0"/>
        <v>2025E</v>
      </c>
      <c r="G7" s="265" t="str">
        <f t="shared" si="0"/>
        <v>2026E</v>
      </c>
      <c r="H7" s="265" t="str">
        <f t="shared" si="0"/>
        <v>23E-26E</v>
      </c>
      <c r="I7" s="49"/>
      <c r="J7" s="306" t="s">
        <v>445</v>
      </c>
      <c r="K7" s="306"/>
      <c r="L7" s="265" t="str">
        <f>L5</f>
        <v>2023E</v>
      </c>
      <c r="M7" s="265" t="str">
        <f t="shared" ref="M7:P7" si="1">M5</f>
        <v>2024E</v>
      </c>
      <c r="N7" s="265" t="str">
        <f t="shared" si="1"/>
        <v>2025E</v>
      </c>
      <c r="O7" s="265" t="str">
        <f t="shared" si="1"/>
        <v>2026E</v>
      </c>
      <c r="P7" s="265" t="str">
        <f t="shared" si="1"/>
        <v>23E-26E</v>
      </c>
    </row>
    <row r="8" spans="2:44" ht="12.6" thickTop="1">
      <c r="B8" s="5"/>
      <c r="C8" s="5"/>
      <c r="D8" s="5"/>
      <c r="E8" s="5"/>
      <c r="F8" s="5"/>
      <c r="G8" s="5"/>
      <c r="H8" s="5"/>
      <c r="I8" s="5"/>
      <c r="J8" s="5"/>
      <c r="K8" s="5"/>
      <c r="L8" s="5"/>
      <c r="M8" s="5"/>
      <c r="N8" s="5"/>
      <c r="S8" s="88"/>
      <c r="T8" s="42"/>
      <c r="U8" s="42"/>
      <c r="V8" s="42"/>
      <c r="W8" s="42"/>
      <c r="X8" s="42"/>
      <c r="Y8" s="42"/>
      <c r="Z8" s="42"/>
      <c r="AA8" s="42"/>
    </row>
    <row r="9" spans="2:44">
      <c r="B9" s="41" t="s">
        <v>639</v>
      </c>
      <c r="C9" s="285">
        <f>Prices!C130</f>
        <v>3022</v>
      </c>
      <c r="D9" s="535">
        <v>0</v>
      </c>
      <c r="E9" s="536">
        <v>0</v>
      </c>
      <c r="F9" s="536">
        <v>0</v>
      </c>
      <c r="G9" s="536">
        <v>0</v>
      </c>
      <c r="H9" s="249"/>
      <c r="I9" s="249"/>
      <c r="J9" s="5" t="s">
        <v>273</v>
      </c>
      <c r="L9" s="529">
        <f>'LATAM CELLULAR'!D37</f>
        <v>2.1756139095100253</v>
      </c>
      <c r="M9" s="529">
        <f>'LATAM CELLULAR'!E37</f>
        <v>2.008321324080522</v>
      </c>
      <c r="N9" s="529">
        <f>'LATAM CELLULAR'!F37</f>
        <v>1.8102479294249028</v>
      </c>
      <c r="O9" s="529">
        <f>'LATAM CELLULAR'!G37</f>
        <v>1.5971586695816715</v>
      </c>
      <c r="P9" s="286">
        <f>'LATAM CELLULAR'!H37</f>
        <v>3.5265696156160375E-2</v>
      </c>
      <c r="S9" s="88"/>
      <c r="T9" s="42"/>
      <c r="U9" s="42"/>
      <c r="V9" s="42"/>
      <c r="W9" s="42"/>
      <c r="X9" s="42"/>
      <c r="Y9" s="42"/>
      <c r="Z9" s="42"/>
      <c r="AA9" s="42"/>
    </row>
    <row r="10" spans="2:44">
      <c r="B10" s="5" t="s">
        <v>274</v>
      </c>
      <c r="C10" s="5"/>
      <c r="D10" s="531">
        <v>300.157625</v>
      </c>
      <c r="E10" s="531">
        <v>300.157625</v>
      </c>
      <c r="F10" s="531">
        <v>300.157625</v>
      </c>
      <c r="G10" s="531">
        <v>300.157625</v>
      </c>
      <c r="H10" s="247"/>
      <c r="I10" s="247"/>
      <c r="J10" s="5" t="s">
        <v>184</v>
      </c>
      <c r="L10" s="529">
        <f>'LATAM CELLULAR'!D38</f>
        <v>5.410957038933323</v>
      </c>
      <c r="M10" s="529">
        <f>'LATAM CELLULAR'!E38</f>
        <v>4.895893420940304</v>
      </c>
      <c r="N10" s="529">
        <f>'LATAM CELLULAR'!F38</f>
        <v>4.3252495010822969</v>
      </c>
      <c r="O10" s="529">
        <f>'LATAM CELLULAR'!G38</f>
        <v>3.7846351492189108</v>
      </c>
      <c r="P10" s="286">
        <f>'LATAM CELLULAR'!H38</f>
        <v>5.2100575988367481E-2</v>
      </c>
      <c r="S10" s="88"/>
      <c r="T10" s="42"/>
      <c r="U10" s="42"/>
      <c r="V10" s="42"/>
      <c r="W10" s="288"/>
      <c r="X10" s="288"/>
      <c r="Y10" s="288"/>
      <c r="Z10" s="288"/>
      <c r="AA10" s="42"/>
    </row>
    <row r="11" spans="2:44">
      <c r="B11" s="41" t="s">
        <v>314</v>
      </c>
      <c r="C11" s="5"/>
      <c r="D11" s="532">
        <f>($C$9*D10)</f>
        <v>907076.34274999995</v>
      </c>
      <c r="E11" s="532">
        <f>($C$9*E10)</f>
        <v>907076.34274999995</v>
      </c>
      <c r="F11" s="532">
        <f>($C$9*F10)</f>
        <v>907076.34274999995</v>
      </c>
      <c r="G11" s="532">
        <f>($C$9*G10)</f>
        <v>907076.34274999995</v>
      </c>
      <c r="H11" s="249"/>
      <c r="I11" s="249"/>
      <c r="J11" s="5" t="s">
        <v>185</v>
      </c>
      <c r="L11" s="529">
        <f>'LATAM CELLULAR'!D39</f>
        <v>9.4014895625729391</v>
      </c>
      <c r="M11" s="529">
        <f>'LATAM CELLULAR'!E39</f>
        <v>8.1257141265924719</v>
      </c>
      <c r="N11" s="529">
        <f>'LATAM CELLULAR'!F39</f>
        <v>6.9046540387491486</v>
      </c>
      <c r="O11" s="529">
        <f>'LATAM CELLULAR'!G39</f>
        <v>5.9878977182280968</v>
      </c>
      <c r="P11" s="286">
        <f>'LATAM CELLULAR'!H39</f>
        <v>8.5462108298754558E-2</v>
      </c>
      <c r="S11" s="88"/>
      <c r="T11" s="42"/>
      <c r="U11" s="42"/>
      <c r="V11" s="42"/>
      <c r="W11" s="288"/>
      <c r="X11" s="288"/>
      <c r="Y11" s="288"/>
      <c r="Z11" s="288"/>
      <c r="AA11" s="42"/>
    </row>
    <row r="12" spans="2:44">
      <c r="B12" s="5" t="s">
        <v>24</v>
      </c>
      <c r="C12" s="249"/>
      <c r="D12" s="533">
        <v>1572011.4020452877</v>
      </c>
      <c r="E12" s="533">
        <v>1443221.4983064022</v>
      </c>
      <c r="F12" s="533">
        <v>1269169.9822329853</v>
      </c>
      <c r="G12" s="533">
        <v>1062133.3650582659</v>
      </c>
      <c r="H12" s="247"/>
      <c r="I12" s="247"/>
      <c r="J12" s="5" t="s">
        <v>466</v>
      </c>
      <c r="L12" s="529">
        <f>'LATAM CELLULAR'!D40</f>
        <v>11.750204897305654</v>
      </c>
      <c r="M12" s="529">
        <f>'LATAM CELLULAR'!E40</f>
        <v>10.233905229978822</v>
      </c>
      <c r="N12" s="529">
        <f>'LATAM CELLULAR'!F40</f>
        <v>8.9634490411779844</v>
      </c>
      <c r="O12" s="529">
        <f>'LATAM CELLULAR'!G40</f>
        <v>7.9316802112853138</v>
      </c>
      <c r="P12" s="286">
        <f>'LATAM CELLULAR'!H40</f>
        <v>6.4634781721076617E-2</v>
      </c>
      <c r="S12" s="88"/>
      <c r="T12" s="42"/>
      <c r="U12" s="42"/>
      <c r="V12" s="42"/>
      <c r="W12" s="288"/>
      <c r="X12" s="288"/>
      <c r="Y12" s="288"/>
      <c r="Z12" s="288"/>
      <c r="AA12" s="42"/>
    </row>
    <row r="13" spans="2:44">
      <c r="B13" s="5" t="s">
        <v>529</v>
      </c>
      <c r="C13" s="257"/>
      <c r="D13" s="533">
        <v>0</v>
      </c>
      <c r="E13" s="533">
        <v>0</v>
      </c>
      <c r="F13" s="533">
        <v>0</v>
      </c>
      <c r="G13" s="533">
        <v>0</v>
      </c>
      <c r="H13" s="247"/>
      <c r="I13" s="247"/>
      <c r="J13" s="5" t="s">
        <v>530</v>
      </c>
      <c r="L13" s="529">
        <f>'LATAM CELLULAR'!D41</f>
        <v>1.8452675851036058</v>
      </c>
      <c r="M13" s="529">
        <f>'LATAM CELLULAR'!E41</f>
        <v>1.7730353181200462</v>
      </c>
      <c r="N13" s="529">
        <f>'LATAM CELLULAR'!F41</f>
        <v>1.6572553203995799</v>
      </c>
      <c r="O13" s="529">
        <f>'LATAM CELLULAR'!G41</f>
        <v>1.5038178651110559</v>
      </c>
      <c r="P13" s="286">
        <f>'LATAM CELLULAR'!H41</f>
        <v>-1.6437518757150826E-4</v>
      </c>
      <c r="S13" s="88"/>
      <c r="T13" s="42"/>
      <c r="U13" s="42"/>
      <c r="V13" s="42"/>
      <c r="W13" s="42"/>
      <c r="X13" s="42"/>
      <c r="Y13" s="42"/>
      <c r="Z13" s="42"/>
      <c r="AA13" s="42"/>
    </row>
    <row r="14" spans="2:44">
      <c r="B14" s="5" t="s">
        <v>532</v>
      </c>
      <c r="C14" s="257"/>
      <c r="D14" s="533">
        <v>0</v>
      </c>
      <c r="E14" s="533">
        <v>0</v>
      </c>
      <c r="F14" s="533">
        <v>0</v>
      </c>
      <c r="G14" s="533">
        <v>0</v>
      </c>
      <c r="H14" s="247"/>
      <c r="I14" s="247"/>
      <c r="J14" s="5" t="s">
        <v>593</v>
      </c>
      <c r="L14" s="529">
        <f>'LATAM CELLULAR'!D42</f>
        <v>1.4224453262374004</v>
      </c>
      <c r="M14" s="529">
        <f>'LATAM CELLULAR'!E42</f>
        <v>1.3526818761660755</v>
      </c>
      <c r="N14" s="529">
        <f>'LATAM CELLULAR'!F42</f>
        <v>1.2556841877250959</v>
      </c>
      <c r="O14" s="529">
        <f>'LATAM CELLULAR'!G42</f>
        <v>1.1313245250649355</v>
      </c>
      <c r="P14" s="286">
        <f>'LATAM CELLULAR'!H42</f>
        <v>7.9910967777558906E-3</v>
      </c>
      <c r="S14" s="88"/>
      <c r="T14" s="42"/>
      <c r="U14" s="42"/>
      <c r="V14" s="42"/>
      <c r="W14" s="42"/>
      <c r="X14" s="42"/>
      <c r="Y14" s="42"/>
      <c r="Z14" s="42"/>
      <c r="AA14" s="42"/>
    </row>
    <row r="15" spans="2:44">
      <c r="B15" s="5" t="s">
        <v>531</v>
      </c>
      <c r="C15" s="274"/>
      <c r="D15" s="533">
        <v>0</v>
      </c>
      <c r="E15" s="533">
        <v>0</v>
      </c>
      <c r="F15" s="533">
        <v>0</v>
      </c>
      <c r="G15" s="533">
        <v>0</v>
      </c>
      <c r="H15" s="247"/>
      <c r="I15" s="247"/>
      <c r="J15" s="5" t="s">
        <v>475</v>
      </c>
      <c r="L15" s="529">
        <f>'LATAM CELLULAR'!D43</f>
        <v>12.198175825942503</v>
      </c>
      <c r="M15" s="529">
        <f>'LATAM CELLULAR'!E43</f>
        <v>9.3458936264556165</v>
      </c>
      <c r="N15" s="529">
        <f>'LATAM CELLULAR'!F43</f>
        <v>7.6258135361355679</v>
      </c>
      <c r="O15" s="529">
        <f>'LATAM CELLULAR'!G43</f>
        <v>6.2032208195897276</v>
      </c>
      <c r="P15" s="286">
        <f>'LATAM CELLULAR'!H43</f>
        <v>0.20384371568002635</v>
      </c>
      <c r="S15" s="88"/>
      <c r="T15" s="42"/>
      <c r="U15" s="42"/>
      <c r="V15" s="42"/>
      <c r="W15" s="42"/>
      <c r="X15" s="42"/>
      <c r="Y15" s="42"/>
      <c r="Z15" s="42"/>
      <c r="AA15" s="42"/>
    </row>
    <row r="16" spans="2:44">
      <c r="B16" s="5" t="s">
        <v>534</v>
      </c>
      <c r="C16" s="257"/>
      <c r="D16" s="533">
        <v>31581.818528663654</v>
      </c>
      <c r="E16" s="533">
        <v>63163.637057327309</v>
      </c>
      <c r="F16" s="533">
        <v>133679.90952593333</v>
      </c>
      <c r="G16" s="533">
        <v>248155.52637971658</v>
      </c>
      <c r="H16" s="247"/>
      <c r="I16" s="247"/>
      <c r="J16" s="5" t="s">
        <v>533</v>
      </c>
      <c r="L16" s="529">
        <f>'LATAM CELLULAR'!D44</f>
        <v>11.611494042146568</v>
      </c>
      <c r="M16" s="529">
        <f>'LATAM CELLULAR'!E44</f>
        <v>8.7734417852019941</v>
      </c>
      <c r="N16" s="529">
        <f>'LATAM CELLULAR'!F44</f>
        <v>6.5638259943661907</v>
      </c>
      <c r="O16" s="529">
        <f>'LATAM CELLULAR'!G44</f>
        <v>5.5476326994737466</v>
      </c>
      <c r="P16" s="286">
        <f>'LATAM CELLULAR'!H44</f>
        <v>0.26086654067969706</v>
      </c>
      <c r="S16" s="88"/>
      <c r="T16" s="42"/>
      <c r="U16" s="42"/>
      <c r="V16" s="42"/>
      <c r="W16" s="42"/>
      <c r="X16" s="42"/>
      <c r="Y16" s="42"/>
      <c r="Z16" s="42"/>
      <c r="AA16" s="42"/>
    </row>
    <row r="17" spans="2:27">
      <c r="B17" s="5" t="s">
        <v>6</v>
      </c>
      <c r="C17" s="257"/>
      <c r="D17" s="533">
        <v>0</v>
      </c>
      <c r="E17" s="533">
        <v>0</v>
      </c>
      <c r="F17" s="533">
        <v>0</v>
      </c>
      <c r="G17" s="533">
        <v>0</v>
      </c>
      <c r="H17" s="247"/>
      <c r="I17" s="247"/>
      <c r="J17" s="5" t="s">
        <v>580</v>
      </c>
      <c r="L17" s="248">
        <f>'LATAM CELLULAR'!D45</f>
        <v>3.6607801523391964E-2</v>
      </c>
      <c r="M17" s="248">
        <f>'LATAM CELLULAR'!E45</f>
        <v>5.220008637227537E-2</v>
      </c>
      <c r="N17" s="248">
        <f>'LATAM CELLULAR'!F45</f>
        <v>6.1185872972349648E-2</v>
      </c>
      <c r="O17" s="248">
        <f>'LATAM CELLULAR'!G45</f>
        <v>6.5823217763140832E-2</v>
      </c>
      <c r="P17" s="286">
        <f>'LATAM CELLULAR'!H45</f>
        <v>0.19860882859561735</v>
      </c>
      <c r="S17" s="88"/>
      <c r="T17" s="42"/>
      <c r="U17" s="42"/>
      <c r="V17" s="42"/>
      <c r="W17" s="42"/>
      <c r="X17" s="42"/>
      <c r="Y17" s="42"/>
      <c r="Z17" s="42"/>
      <c r="AA17" s="42"/>
    </row>
    <row r="18" spans="2:27" ht="12.6" thickBot="1">
      <c r="B18" s="41" t="s">
        <v>583</v>
      </c>
      <c r="C18" s="249"/>
      <c r="D18" s="534">
        <f>D11+D12+D13-D14+D15-D16-D17</f>
        <v>2447505.9262666237</v>
      </c>
      <c r="E18" s="534">
        <f>E11+E12+E13-E14+E15-E16-E17</f>
        <v>2287134.2039990751</v>
      </c>
      <c r="F18" s="534">
        <f>F11+F12+F13-F14+F15-F16-F17</f>
        <v>2042566.4154570522</v>
      </c>
      <c r="G18" s="534">
        <f>G11+G12+G13-G14+G15-G16-G17</f>
        <v>1721054.1814285493</v>
      </c>
      <c r="H18" s="276">
        <f>IF(D18=0,"nm",IF(G18=0,"nm",(G18/D18)^(1/3)-1))</f>
        <v>-0.1107505670607285</v>
      </c>
      <c r="I18" s="254"/>
      <c r="J18" s="5" t="s">
        <v>36</v>
      </c>
      <c r="L18" s="248">
        <f>'LATAM CELLULAR'!D46</f>
        <v>3.6607801523391964E-2</v>
      </c>
      <c r="M18" s="248">
        <f>'LATAM CELLULAR'!E46</f>
        <v>5.220008637227537E-2</v>
      </c>
      <c r="N18" s="248">
        <f>'LATAM CELLULAR'!F46</f>
        <v>6.1661667551027928E-2</v>
      </c>
      <c r="O18" s="248">
        <f>'LATAM CELLULAR'!G46</f>
        <v>6.7253522322466938E-2</v>
      </c>
      <c r="P18" s="286">
        <f>'LATAM CELLULAR'!H46</f>
        <v>0.20722841094750266</v>
      </c>
      <c r="S18" s="88"/>
      <c r="T18" s="42"/>
      <c r="U18" s="42"/>
      <c r="V18" s="42"/>
      <c r="W18" s="42"/>
      <c r="X18" s="42"/>
      <c r="Y18" s="42"/>
      <c r="Z18" s="42"/>
      <c r="AA18" s="42"/>
    </row>
    <row r="19" spans="2:27" ht="12.6" thickTop="1">
      <c r="B19" s="41"/>
      <c r="C19" s="249"/>
      <c r="D19" s="229"/>
      <c r="E19" s="229"/>
      <c r="F19" s="229"/>
      <c r="G19" s="229"/>
      <c r="H19" s="276"/>
      <c r="I19" s="254"/>
      <c r="J19" s="5" t="s">
        <v>581</v>
      </c>
      <c r="L19" s="248">
        <f>'LATAM CELLULAR'!D47</f>
        <v>8.1979470887216382E-2</v>
      </c>
      <c r="M19" s="248">
        <f>'LATAM CELLULAR'!E47</f>
        <v>0.10699886388277298</v>
      </c>
      <c r="N19" s="248">
        <f>'LATAM CELLULAR'!F47</f>
        <v>0.13113354991718781</v>
      </c>
      <c r="O19" s="248">
        <f>'LATAM CELLULAR'!G47</f>
        <v>0.16120657785420231</v>
      </c>
      <c r="P19" s="286">
        <f>'LATAM CELLULAR'!H47</f>
        <v>0.20384371568002635</v>
      </c>
      <c r="S19" s="88"/>
      <c r="T19" s="42"/>
      <c r="U19" s="42"/>
      <c r="V19" s="42"/>
      <c r="W19" s="42"/>
      <c r="X19" s="42"/>
      <c r="Y19" s="42"/>
      <c r="Z19" s="42"/>
      <c r="AA19" s="42"/>
    </row>
    <row r="20" spans="2:27">
      <c r="H20" s="277"/>
      <c r="I20" s="17"/>
      <c r="J20" s="5" t="s">
        <v>604</v>
      </c>
      <c r="L20" s="305">
        <f>'LATAM CELLULAR'!D48</f>
        <v>0.35102265274711397</v>
      </c>
      <c r="M20" s="305">
        <f>'LATAM CELLULAR'!E48</f>
        <v>0.3806830741352234</v>
      </c>
      <c r="N20" s="305">
        <f>'LATAM CELLULAR'!F48</f>
        <v>0.35990941341841803</v>
      </c>
      <c r="O20" s="305">
        <f>'LATAM CELLULAR'!G48</f>
        <v>0.34646329449020286</v>
      </c>
      <c r="P20" s="286" t="str">
        <f>'LATAM CELLULAR'!H48</f>
        <v>nm</v>
      </c>
      <c r="S20" s="88"/>
      <c r="T20" s="42"/>
      <c r="U20" s="42"/>
      <c r="V20" s="42"/>
      <c r="W20" s="42"/>
      <c r="X20" s="42"/>
      <c r="Y20" s="42"/>
      <c r="Z20" s="42"/>
      <c r="AA20" s="42"/>
    </row>
    <row r="21" spans="2:27" ht="12.6" thickBot="1">
      <c r="B21" s="306" t="s">
        <v>937</v>
      </c>
      <c r="C21" s="265"/>
      <c r="D21" s="265" t="str">
        <f>D5</f>
        <v>2023E</v>
      </c>
      <c r="E21" s="265" t="str">
        <f t="shared" ref="E21:H21" si="2">E5</f>
        <v>2024E</v>
      </c>
      <c r="F21" s="265" t="str">
        <f t="shared" si="2"/>
        <v>2025E</v>
      </c>
      <c r="G21" s="265" t="str">
        <f t="shared" si="2"/>
        <v>2026E</v>
      </c>
      <c r="H21" s="265" t="str">
        <f t="shared" si="2"/>
        <v>23E-26E</v>
      </c>
      <c r="I21" s="49"/>
      <c r="J21" s="41"/>
      <c r="L21" s="250"/>
      <c r="M21" s="250"/>
      <c r="N21" s="250"/>
      <c r="O21" s="250"/>
      <c r="P21" s="286"/>
      <c r="S21" s="88"/>
      <c r="T21" s="42"/>
      <c r="U21" s="42"/>
      <c r="V21" s="42"/>
      <c r="W21" s="42"/>
      <c r="X21" s="42"/>
      <c r="Y21" s="42"/>
      <c r="Z21" s="42"/>
      <c r="AA21" s="42"/>
    </row>
    <row r="22" spans="2:27" ht="12.6" thickTop="1">
      <c r="B22" s="5"/>
      <c r="C22" s="257"/>
      <c r="D22" s="17"/>
      <c r="E22" s="17"/>
      <c r="F22" s="17"/>
      <c r="G22" s="17"/>
      <c r="H22" s="17"/>
      <c r="I22" s="17"/>
      <c r="P22" s="277"/>
      <c r="S22" s="88"/>
      <c r="T22" s="42"/>
      <c r="U22" s="42"/>
      <c r="V22" s="42"/>
      <c r="W22" s="42"/>
      <c r="X22" s="42"/>
      <c r="Y22" s="42"/>
      <c r="Z22" s="42"/>
      <c r="AA22" s="42"/>
    </row>
    <row r="23" spans="2:27" ht="12.6" thickBot="1">
      <c r="B23" s="5" t="s">
        <v>584</v>
      </c>
      <c r="C23" s="548">
        <v>2219673.1682425952</v>
      </c>
      <c r="D23" s="540">
        <v>2274803.4363927725</v>
      </c>
      <c r="E23" s="540">
        <v>2335603.3308694656</v>
      </c>
      <c r="F23" s="540">
        <v>2401986.6576730232</v>
      </c>
      <c r="G23" s="540">
        <v>2473879.3809229173</v>
      </c>
      <c r="H23" s="279">
        <f t="shared" ref="H23:H32" si="3">IF(D23=0,"nm",IF(G23=0,"nm",(G23/D23)^(1/3)-1))</f>
        <v>2.8359304202485891E-2</v>
      </c>
      <c r="I23" s="247"/>
      <c r="J23" s="306" t="s">
        <v>9</v>
      </c>
      <c r="K23" s="306"/>
      <c r="L23" s="265" t="str">
        <f>D21</f>
        <v>2023E</v>
      </c>
      <c r="M23" s="265" t="str">
        <f t="shared" ref="M23:P23" si="4">E21</f>
        <v>2024E</v>
      </c>
      <c r="N23" s="265" t="str">
        <f t="shared" si="4"/>
        <v>2025E</v>
      </c>
      <c r="O23" s="265" t="str">
        <f t="shared" si="4"/>
        <v>2026E</v>
      </c>
      <c r="P23" s="265" t="str">
        <f t="shared" si="4"/>
        <v>23E-26E</v>
      </c>
      <c r="S23" s="88"/>
      <c r="T23" s="42"/>
      <c r="U23" s="42"/>
      <c r="V23" s="42"/>
      <c r="W23" s="42"/>
      <c r="X23" s="42"/>
      <c r="Y23" s="42"/>
      <c r="Z23" s="42"/>
      <c r="AA23" s="42"/>
    </row>
    <row r="24" spans="2:27" ht="12.6" thickTop="1">
      <c r="B24" s="5" t="s">
        <v>483</v>
      </c>
      <c r="C24" s="549">
        <v>640285.73474473308</v>
      </c>
      <c r="D24" s="540">
        <v>687442.14456965355</v>
      </c>
      <c r="E24" s="540">
        <v>731672.37889562442</v>
      </c>
      <c r="F24" s="540">
        <v>777844.1324523146</v>
      </c>
      <c r="G24" s="540">
        <v>825435.1885312947</v>
      </c>
      <c r="H24" s="279">
        <f t="shared" si="3"/>
        <v>6.28752032525417E-2</v>
      </c>
      <c r="I24" s="249"/>
      <c r="J24" s="17"/>
      <c r="K24" s="17"/>
      <c r="L24" s="17"/>
      <c r="M24" s="17"/>
      <c r="N24" s="17"/>
      <c r="O24" s="248"/>
      <c r="S24" s="88"/>
      <c r="T24" s="42"/>
      <c r="U24" s="42"/>
      <c r="V24" s="42"/>
      <c r="W24" s="42" t="s">
        <v>637</v>
      </c>
      <c r="X24" s="42" t="s">
        <v>514</v>
      </c>
      <c r="Y24" s="42"/>
      <c r="Z24" s="42"/>
      <c r="AA24" s="42"/>
    </row>
    <row r="25" spans="2:27">
      <c r="B25" s="5" t="s">
        <v>183</v>
      </c>
      <c r="C25" s="548">
        <v>212179.60336482478</v>
      </c>
      <c r="D25" s="540">
        <v>275735.49362281361</v>
      </c>
      <c r="E25" s="540">
        <v>320393.08426332497</v>
      </c>
      <c r="F25" s="540">
        <v>371405.74579653842</v>
      </c>
      <c r="G25" s="540">
        <v>413414.21653858037</v>
      </c>
      <c r="H25" s="279">
        <f t="shared" si="3"/>
        <v>0.1445398311886632</v>
      </c>
      <c r="I25" s="248"/>
      <c r="J25" s="247" t="s">
        <v>10</v>
      </c>
      <c r="K25" s="247"/>
      <c r="L25" s="321">
        <v>177881.32547728566</v>
      </c>
      <c r="M25" s="321">
        <v>274146.79312103172</v>
      </c>
      <c r="N25" s="321">
        <v>362444.73244053661</v>
      </c>
      <c r="O25" s="321">
        <v>446651.77713919431</v>
      </c>
      <c r="P25" s="279">
        <f>IF(L25=0,"nm",IF(O25=0,"nm",(O25/L25)^(1/3)-1))</f>
        <v>0.35918811959808106</v>
      </c>
      <c r="S25" s="88"/>
      <c r="T25" s="42"/>
      <c r="U25" s="42"/>
      <c r="V25" s="147" t="s">
        <v>273</v>
      </c>
      <c r="W25" s="288">
        <f>D37/L9</f>
        <v>0.49453615701074688</v>
      </c>
      <c r="X25" s="288">
        <v>1</v>
      </c>
      <c r="Y25" s="42"/>
      <c r="Z25" s="42"/>
      <c r="AA25" s="42"/>
    </row>
    <row r="26" spans="2:27">
      <c r="B26" s="5" t="s">
        <v>586</v>
      </c>
      <c r="C26" s="548">
        <v>154891.11045632209</v>
      </c>
      <c r="D26" s="540">
        <v>201286.91034465394</v>
      </c>
      <c r="E26" s="540">
        <v>233886.95151222721</v>
      </c>
      <c r="F26" s="540">
        <v>271126.19443147304</v>
      </c>
      <c r="G26" s="540">
        <v>301792.37807316368</v>
      </c>
      <c r="H26" s="279">
        <f t="shared" si="3"/>
        <v>0.1445398311886632</v>
      </c>
      <c r="I26" s="249"/>
      <c r="J26" s="249" t="s">
        <v>11</v>
      </c>
      <c r="K26" s="249"/>
      <c r="L26" s="281">
        <f>D11+L25</f>
        <v>1084957.6682272856</v>
      </c>
      <c r="M26" s="281">
        <f>E11+M25</f>
        <v>1181223.1358710318</v>
      </c>
      <c r="N26" s="281">
        <f>F11+N25</f>
        <v>1269521.0751905367</v>
      </c>
      <c r="O26" s="281">
        <f>G11+O25</f>
        <v>1353728.1198891941</v>
      </c>
      <c r="P26" s="279">
        <f>IF(L26=0,"nm",IF(O26=0,"nm",(O26/L26)^(1/3)-1))</f>
        <v>7.6563254260282099E-2</v>
      </c>
      <c r="Q26" s="5"/>
      <c r="S26" s="88"/>
      <c r="T26" s="42"/>
      <c r="U26" s="42"/>
      <c r="V26" s="147" t="s">
        <v>184</v>
      </c>
      <c r="W26" s="288">
        <f t="shared" ref="W26:W33" si="5">D38/L10</f>
        <v>0.65798124181785855</v>
      </c>
      <c r="X26" s="288">
        <v>1</v>
      </c>
      <c r="Y26" s="42"/>
      <c r="Z26" s="42"/>
      <c r="AA26" s="42"/>
    </row>
    <row r="27" spans="2:27">
      <c r="B27" s="5" t="s">
        <v>587</v>
      </c>
      <c r="C27" s="549">
        <v>3353752.4676415147</v>
      </c>
      <c r="D27" s="540">
        <v>3401490.5687655113</v>
      </c>
      <c r="E27" s="540">
        <v>3439073.330458696</v>
      </c>
      <c r="F27" s="540">
        <v>3461193.8518867884</v>
      </c>
      <c r="G27" s="540">
        <v>3477394.1229318362</v>
      </c>
      <c r="H27" s="279">
        <f t="shared" si="3"/>
        <v>7.3836120578982811E-3</v>
      </c>
      <c r="I27" s="249"/>
      <c r="J27" s="248"/>
      <c r="K27" s="248"/>
      <c r="L27" s="248"/>
      <c r="M27" s="248"/>
      <c r="N27" s="248"/>
      <c r="O27" s="248"/>
      <c r="Q27" s="41"/>
      <c r="S27" s="88"/>
      <c r="T27" s="42"/>
      <c r="U27" s="42"/>
      <c r="V27" s="147" t="s">
        <v>185</v>
      </c>
      <c r="W27" s="288">
        <f t="shared" si="5"/>
        <v>0.94413567954835909</v>
      </c>
      <c r="X27" s="288">
        <v>1</v>
      </c>
      <c r="Y27" s="42"/>
      <c r="Z27" s="42"/>
      <c r="AA27" s="42"/>
    </row>
    <row r="28" spans="2:27" ht="12.6" thickBot="1">
      <c r="B28" s="5" t="s">
        <v>592</v>
      </c>
      <c r="C28" s="548">
        <v>2384398.4676415147</v>
      </c>
      <c r="D28" s="540">
        <v>2432136.5687655108</v>
      </c>
      <c r="E28" s="540">
        <v>2469719.3304586955</v>
      </c>
      <c r="F28" s="540">
        <v>2491839.8518867879</v>
      </c>
      <c r="G28" s="540">
        <v>2508040.1229318352</v>
      </c>
      <c r="H28" s="279">
        <f t="shared" si="3"/>
        <v>1.0296482080886182E-2</v>
      </c>
      <c r="I28" s="248"/>
      <c r="J28" s="306" t="s">
        <v>1362</v>
      </c>
      <c r="K28" s="306"/>
      <c r="L28" s="306"/>
      <c r="M28" s="306"/>
      <c r="N28" s="266"/>
      <c r="O28" s="266"/>
      <c r="P28" s="266"/>
      <c r="Q28" s="5"/>
      <c r="S28" s="88"/>
      <c r="T28" s="42"/>
      <c r="U28" s="42"/>
      <c r="V28" s="147" t="s">
        <v>466</v>
      </c>
      <c r="W28" s="288">
        <f t="shared" si="5"/>
        <v>1.0348151506168666</v>
      </c>
      <c r="X28" s="288">
        <v>1</v>
      </c>
      <c r="Y28" s="42"/>
      <c r="Z28" s="42"/>
      <c r="AA28" s="42"/>
    </row>
    <row r="29" spans="2:27" ht="12.6" thickTop="1">
      <c r="B29" s="5" t="s">
        <v>588</v>
      </c>
      <c r="C29" s="548">
        <v>60906.965918107846</v>
      </c>
      <c r="D29" s="540">
        <v>116974.3595591778</v>
      </c>
      <c r="E29" s="540">
        <v>157172.43356185395</v>
      </c>
      <c r="F29" s="540">
        <v>205272.29887868263</v>
      </c>
      <c r="G29" s="540">
        <v>241379.47826051168</v>
      </c>
      <c r="H29" s="279">
        <f t="shared" si="3"/>
        <v>0.2731216083954402</v>
      </c>
      <c r="I29" s="252"/>
      <c r="J29" s="249"/>
      <c r="K29" s="249"/>
      <c r="L29" s="249"/>
      <c r="M29" s="249"/>
      <c r="N29" s="249"/>
      <c r="O29" s="251"/>
      <c r="Q29" s="5"/>
      <c r="S29" s="88"/>
      <c r="T29" s="42"/>
      <c r="U29" s="42"/>
      <c r="V29" s="147" t="s">
        <v>530</v>
      </c>
      <c r="W29" s="288">
        <f t="shared" si="5"/>
        <v>0.38993761238125074</v>
      </c>
      <c r="X29" s="288">
        <v>1</v>
      </c>
      <c r="Y29" s="42"/>
      <c r="Z29" s="42"/>
      <c r="AA29" s="42"/>
    </row>
    <row r="30" spans="2:27">
      <c r="B30" s="5" t="s">
        <v>589</v>
      </c>
      <c r="C30" s="549">
        <v>133865.39037920092</v>
      </c>
      <c r="D30" s="540">
        <v>164712.46068317417</v>
      </c>
      <c r="E30" s="540">
        <v>194755.19525503891</v>
      </c>
      <c r="F30" s="540">
        <v>227392.82030677507</v>
      </c>
      <c r="G30" s="540">
        <v>257579.74930555923</v>
      </c>
      <c r="H30" s="279">
        <f t="shared" si="3"/>
        <v>0.16072254598340718</v>
      </c>
      <c r="I30" s="254"/>
      <c r="J30" s="248"/>
      <c r="K30" s="248"/>
      <c r="L30" s="248"/>
      <c r="M30" s="248"/>
      <c r="N30" s="248"/>
      <c r="O30" s="5"/>
      <c r="Q30" s="5"/>
      <c r="S30" s="88"/>
      <c r="T30" s="42"/>
      <c r="U30" s="42"/>
      <c r="V30" s="147" t="s">
        <v>593</v>
      </c>
      <c r="W30" s="288">
        <f t="shared" si="5"/>
        <v>0.70745726651827079</v>
      </c>
      <c r="X30" s="288">
        <v>1</v>
      </c>
      <c r="Y30" s="42"/>
      <c r="Z30" s="42"/>
      <c r="AA30" s="42"/>
    </row>
    <row r="31" spans="2:27">
      <c r="B31" s="5" t="s">
        <v>590</v>
      </c>
      <c r="C31" s="549">
        <v>22436.78246875</v>
      </c>
      <c r="D31" s="540">
        <v>25802.299839062496</v>
      </c>
      <c r="E31" s="540">
        <v>28382.529822968751</v>
      </c>
      <c r="F31" s="540">
        <v>31220.782805265626</v>
      </c>
      <c r="G31" s="540">
        <v>34342.861085792196</v>
      </c>
      <c r="H31" s="279">
        <f t="shared" si="3"/>
        <v>0.10000000000000009</v>
      </c>
      <c r="I31" s="254"/>
      <c r="J31" s="252"/>
      <c r="K31" s="252"/>
      <c r="L31" s="252"/>
      <c r="M31" s="252"/>
      <c r="N31" s="252"/>
      <c r="O31" s="5"/>
      <c r="Q31" s="5"/>
      <c r="S31" s="88"/>
      <c r="T31" s="42"/>
      <c r="U31" s="42"/>
      <c r="V31" s="147" t="s">
        <v>475</v>
      </c>
      <c r="W31" s="288">
        <f t="shared" si="5"/>
        <v>0.76037394785909196</v>
      </c>
      <c r="X31" s="288">
        <v>1</v>
      </c>
      <c r="Y31" s="42"/>
      <c r="Z31" s="42"/>
      <c r="AA31" s="42"/>
    </row>
    <row r="32" spans="2:27">
      <c r="B32" s="5" t="s">
        <v>606</v>
      </c>
      <c r="C32" s="550">
        <v>0</v>
      </c>
      <c r="D32" s="540">
        <v>0</v>
      </c>
      <c r="E32" s="540">
        <v>0</v>
      </c>
      <c r="F32" s="540">
        <v>0</v>
      </c>
      <c r="G32" s="540">
        <v>0</v>
      </c>
      <c r="H32" s="279" t="str">
        <f t="shared" si="3"/>
        <v>nm</v>
      </c>
      <c r="I32" s="254"/>
      <c r="J32" s="254"/>
      <c r="K32" s="254"/>
      <c r="L32" s="254"/>
      <c r="M32" s="254"/>
      <c r="N32" s="254"/>
      <c r="O32" s="251"/>
      <c r="Q32" s="5"/>
      <c r="S32" s="88"/>
      <c r="T32" s="42"/>
      <c r="U32" s="42"/>
      <c r="V32" s="147" t="s">
        <v>533</v>
      </c>
      <c r="W32" s="288">
        <f t="shared" si="5"/>
        <v>0.47427396111648751</v>
      </c>
      <c r="X32" s="288">
        <v>1</v>
      </c>
      <c r="Y32" s="42"/>
      <c r="Z32" s="42"/>
      <c r="AA32" s="42"/>
    </row>
    <row r="33" spans="2:27">
      <c r="B33" s="5" t="s">
        <v>5</v>
      </c>
      <c r="C33" s="549">
        <v>101760.78073112207</v>
      </c>
      <c r="D33" s="540">
        <v>97840.086961639885</v>
      </c>
      <c r="E33" s="540">
        <v>91187.907250977165</v>
      </c>
      <c r="F33" s="540">
        <v>82029.253105760901</v>
      </c>
      <c r="G33" s="540">
        <v>76765.515932176888</v>
      </c>
      <c r="H33" s="279">
        <f>IF(D33=0,"nm",IF(G33=0,"nm",(G33/D33)^(1/3)-1))</f>
        <v>-7.7676839512281659E-2</v>
      </c>
      <c r="I33" s="5"/>
      <c r="J33" s="254"/>
      <c r="K33" s="254"/>
      <c r="L33" s="254"/>
      <c r="M33" s="254"/>
      <c r="N33" s="254"/>
      <c r="O33" s="251"/>
      <c r="Q33" s="5"/>
      <c r="S33" s="88"/>
      <c r="T33" s="42"/>
      <c r="U33" s="42"/>
      <c r="V33" s="147" t="s">
        <v>580</v>
      </c>
      <c r="W33" s="288">
        <f t="shared" si="5"/>
        <v>0.77703562264600312</v>
      </c>
      <c r="X33" s="288">
        <v>1</v>
      </c>
      <c r="Y33" s="42"/>
      <c r="Z33" s="42"/>
      <c r="AA33" s="42"/>
    </row>
    <row r="34" spans="2:27">
      <c r="D34" s="5"/>
      <c r="E34" s="5"/>
      <c r="F34" s="5"/>
      <c r="G34" s="5"/>
      <c r="I34" s="49"/>
      <c r="J34" s="254"/>
      <c r="K34" s="254"/>
      <c r="L34" s="254"/>
      <c r="M34" s="254"/>
      <c r="N34" s="254"/>
      <c r="O34" s="251"/>
      <c r="Q34" s="5"/>
      <c r="S34" s="88"/>
      <c r="T34" s="42"/>
      <c r="U34" s="42"/>
      <c r="V34" s="147" t="s">
        <v>581</v>
      </c>
      <c r="W34" s="288">
        <f>D47/L19</f>
        <v>1.3151423754267213</v>
      </c>
      <c r="X34" s="288">
        <v>1</v>
      </c>
      <c r="Y34" s="288"/>
      <c r="Z34" s="288"/>
      <c r="AA34" s="42"/>
    </row>
    <row r="35" spans="2:27" ht="12.6" thickBot="1">
      <c r="B35" s="306" t="s">
        <v>636</v>
      </c>
      <c r="C35" s="265"/>
      <c r="D35" s="265" t="str">
        <f>D5</f>
        <v>2023E</v>
      </c>
      <c r="E35" s="265" t="str">
        <f t="shared" ref="E35:H35" si="6">E5</f>
        <v>2024E</v>
      </c>
      <c r="F35" s="265" t="str">
        <f t="shared" si="6"/>
        <v>2025E</v>
      </c>
      <c r="G35" s="265" t="str">
        <f t="shared" si="6"/>
        <v>2026E</v>
      </c>
      <c r="H35" s="265" t="str">
        <f t="shared" si="6"/>
        <v>23E-26E</v>
      </c>
      <c r="I35" s="254"/>
      <c r="J35" s="5"/>
      <c r="K35" s="5"/>
      <c r="L35" s="5"/>
      <c r="M35" s="5"/>
      <c r="N35" s="5"/>
      <c r="O35" s="5"/>
      <c r="Q35" s="5"/>
      <c r="S35" s="88"/>
      <c r="T35" s="42"/>
      <c r="U35" s="42"/>
      <c r="V35" s="42"/>
      <c r="W35" s="42"/>
      <c r="X35" s="42"/>
      <c r="Y35" s="288"/>
      <c r="Z35" s="288"/>
      <c r="AA35" s="42"/>
    </row>
    <row r="36" spans="2:27" ht="12.6" thickTop="1">
      <c r="B36" s="41"/>
      <c r="C36" s="249"/>
      <c r="D36" s="254"/>
      <c r="E36" s="254"/>
      <c r="F36" s="254"/>
      <c r="G36" s="254"/>
      <c r="H36" s="254"/>
      <c r="I36" s="17"/>
      <c r="J36" s="49"/>
      <c r="K36" s="49"/>
      <c r="L36" s="49"/>
      <c r="M36" s="49"/>
      <c r="N36" s="49"/>
      <c r="O36" s="49"/>
      <c r="Q36" s="5"/>
      <c r="S36" s="88"/>
      <c r="T36" s="42"/>
      <c r="U36" s="42"/>
      <c r="V36" s="42"/>
      <c r="W36" s="42"/>
      <c r="X36" s="42"/>
      <c r="Y36" s="288"/>
      <c r="Z36" s="288"/>
      <c r="AA36" s="42"/>
    </row>
    <row r="37" spans="2:27">
      <c r="B37" s="5" t="s">
        <v>273</v>
      </c>
      <c r="C37" s="247"/>
      <c r="D37" s="529">
        <f>D$18/D23</f>
        <v>1.0759197419482147</v>
      </c>
      <c r="E37" s="529">
        <f t="shared" ref="E37:G41" si="7">E$18/E23</f>
        <v>0.97924770605103262</v>
      </c>
      <c r="F37" s="529">
        <f t="shared" si="7"/>
        <v>0.85036542935497939</v>
      </c>
      <c r="G37" s="529">
        <f t="shared" si="7"/>
        <v>0.69569041833659839</v>
      </c>
      <c r="H37" s="17">
        <f t="shared" ref="H37:H45" si="8">H23</f>
        <v>2.8359304202485891E-2</v>
      </c>
      <c r="I37" s="5"/>
      <c r="J37" s="259"/>
      <c r="K37" s="259"/>
      <c r="L37" s="259"/>
      <c r="M37" s="259"/>
      <c r="N37" s="259"/>
      <c r="O37" s="18"/>
      <c r="Q37" s="5"/>
      <c r="R37" s="5"/>
      <c r="S37" s="42"/>
      <c r="T37" s="42"/>
      <c r="U37" s="42"/>
      <c r="V37" s="42"/>
      <c r="W37" s="42"/>
      <c r="X37" s="42"/>
      <c r="Y37" s="42"/>
      <c r="Z37" s="42"/>
      <c r="AA37" s="42"/>
    </row>
    <row r="38" spans="2:27">
      <c r="B38" s="5" t="s">
        <v>184</v>
      </c>
      <c r="C38" s="247"/>
      <c r="D38" s="529">
        <f>D$18/D24</f>
        <v>3.5603082319004309</v>
      </c>
      <c r="E38" s="529">
        <f t="shared" si="7"/>
        <v>3.1258993368743018</v>
      </c>
      <c r="F38" s="529">
        <f t="shared" si="7"/>
        <v>2.6259327932672565</v>
      </c>
      <c r="G38" s="529">
        <f t="shared" si="7"/>
        <v>2.0850264264730933</v>
      </c>
      <c r="H38" s="17">
        <f t="shared" si="8"/>
        <v>6.28752032525417E-2</v>
      </c>
      <c r="I38" s="259"/>
      <c r="J38" s="17"/>
      <c r="K38" s="17"/>
      <c r="L38" s="17"/>
      <c r="M38" s="17"/>
      <c r="N38" s="17"/>
      <c r="O38" s="5"/>
      <c r="Q38" s="5"/>
      <c r="R38" s="5"/>
      <c r="S38" s="42"/>
      <c r="T38" s="42"/>
      <c r="U38" s="42"/>
      <c r="V38" s="42"/>
      <c r="W38" s="42"/>
      <c r="X38" s="42"/>
      <c r="Y38" s="42"/>
      <c r="Z38" s="42"/>
      <c r="AA38" s="42"/>
    </row>
    <row r="39" spans="2:27">
      <c r="B39" s="5" t="s">
        <v>185</v>
      </c>
      <c r="C39" s="247"/>
      <c r="D39" s="529">
        <f>D$18/D25</f>
        <v>8.8762817369266074</v>
      </c>
      <c r="E39" s="529">
        <f t="shared" si="7"/>
        <v>7.1385255061227326</v>
      </c>
      <c r="F39" s="529">
        <f t="shared" si="7"/>
        <v>5.4995552399881298</v>
      </c>
      <c r="G39" s="529">
        <f t="shared" si="7"/>
        <v>4.1630261190302784</v>
      </c>
      <c r="H39" s="17">
        <f t="shared" si="8"/>
        <v>0.1445398311886632</v>
      </c>
      <c r="I39" s="17"/>
      <c r="J39" s="5"/>
      <c r="K39" s="5"/>
      <c r="L39" s="5"/>
      <c r="M39" s="5"/>
      <c r="N39" s="5"/>
      <c r="O39" s="5"/>
      <c r="Q39" s="5"/>
      <c r="R39" s="5"/>
      <c r="S39" s="42"/>
      <c r="T39" s="42"/>
      <c r="U39" s="42"/>
      <c r="V39" s="42"/>
      <c r="W39" s="42"/>
      <c r="X39" s="42"/>
      <c r="Y39" s="42"/>
      <c r="Z39" s="42"/>
      <c r="AA39" s="42"/>
    </row>
    <row r="40" spans="2:27">
      <c r="B40" s="5" t="s">
        <v>466</v>
      </c>
      <c r="C40" s="247"/>
      <c r="D40" s="529">
        <f>D$18/D26</f>
        <v>12.159290050584394</v>
      </c>
      <c r="E40" s="529">
        <f t="shared" si="7"/>
        <v>9.7788020631818249</v>
      </c>
      <c r="F40" s="529">
        <f t="shared" si="7"/>
        <v>7.5336373150522329</v>
      </c>
      <c r="G40" s="529">
        <f t="shared" si="7"/>
        <v>5.702775505520929</v>
      </c>
      <c r="H40" s="17">
        <f t="shared" si="8"/>
        <v>0.1445398311886632</v>
      </c>
      <c r="I40" s="5"/>
      <c r="J40" s="259"/>
      <c r="K40" s="259"/>
      <c r="L40" s="259"/>
      <c r="M40" s="259"/>
      <c r="N40" s="259"/>
      <c r="O40" s="18"/>
      <c r="Q40" s="5"/>
      <c r="R40" s="5"/>
      <c r="S40" s="42"/>
      <c r="T40" s="42"/>
      <c r="U40" s="42"/>
      <c r="V40" s="42"/>
      <c r="W40" s="288"/>
      <c r="X40" s="288"/>
      <c r="Y40" s="42"/>
      <c r="Z40" s="42"/>
      <c r="AA40" s="42"/>
    </row>
    <row r="41" spans="2:27">
      <c r="B41" s="5" t="s">
        <v>530</v>
      </c>
      <c r="C41" s="247"/>
      <c r="D41" s="529">
        <f>D$18/D27</f>
        <v>0.71953923633981642</v>
      </c>
      <c r="E41" s="529">
        <f t="shared" si="7"/>
        <v>0.66504374412220579</v>
      </c>
      <c r="F41" s="529">
        <f t="shared" si="7"/>
        <v>0.59013349233346035</v>
      </c>
      <c r="G41" s="529">
        <f t="shared" si="7"/>
        <v>0.49492640770253166</v>
      </c>
      <c r="H41" s="17">
        <f t="shared" si="8"/>
        <v>7.3836120578982811E-3</v>
      </c>
      <c r="I41" s="247"/>
      <c r="J41" s="17"/>
      <c r="K41" s="17"/>
      <c r="L41" s="17"/>
      <c r="M41" s="17"/>
      <c r="N41" s="17"/>
      <c r="O41" s="5"/>
      <c r="Q41" s="5"/>
      <c r="R41" s="5"/>
      <c r="S41" s="42"/>
      <c r="T41" s="42"/>
      <c r="U41" s="42"/>
      <c r="V41" s="42"/>
      <c r="W41" s="288"/>
      <c r="X41" s="288"/>
      <c r="Y41" s="288"/>
      <c r="Z41" s="288"/>
      <c r="AA41" s="42"/>
    </row>
    <row r="42" spans="2:27">
      <c r="B42" s="5" t="s">
        <v>593</v>
      </c>
      <c r="C42" s="247"/>
      <c r="D42" s="529">
        <f>D18/D28</f>
        <v>1.0063192822716012</v>
      </c>
      <c r="E42" s="529">
        <f>E18/E28</f>
        <v>0.92607049545759146</v>
      </c>
      <c r="F42" s="529">
        <f>F18/F28</f>
        <v>0.81970212247406193</v>
      </c>
      <c r="G42" s="529">
        <f>G18/G28</f>
        <v>0.68621477212122139</v>
      </c>
      <c r="H42" s="17">
        <f t="shared" si="8"/>
        <v>1.0296482080886182E-2</v>
      </c>
      <c r="I42" s="248"/>
      <c r="J42" s="5"/>
      <c r="K42" s="5"/>
      <c r="L42" s="5"/>
      <c r="M42" s="5"/>
      <c r="N42" s="5"/>
      <c r="O42" s="5"/>
      <c r="Q42" s="5"/>
      <c r="R42" s="5"/>
      <c r="S42" s="42"/>
      <c r="T42" s="42"/>
      <c r="U42" s="42"/>
      <c r="V42" s="42"/>
      <c r="W42" s="288"/>
      <c r="X42" s="288"/>
      <c r="Y42" s="288"/>
      <c r="Z42" s="288"/>
      <c r="AA42" s="42"/>
    </row>
    <row r="43" spans="2:27">
      <c r="B43" s="5" t="s">
        <v>475</v>
      </c>
      <c r="C43" s="247"/>
      <c r="D43" s="529">
        <f>L26/D29</f>
        <v>9.27517510945124</v>
      </c>
      <c r="E43" s="529">
        <f>M26/E29</f>
        <v>7.5154599894018368</v>
      </c>
      <c r="F43" s="529">
        <f>N26/F29</f>
        <v>6.1845708462632487</v>
      </c>
      <c r="G43" s="529">
        <f>O26/G29</f>
        <v>5.6082983095529233</v>
      </c>
      <c r="H43" s="17">
        <f t="shared" si="8"/>
        <v>0.2731216083954402</v>
      </c>
      <c r="I43" s="247"/>
      <c r="J43" s="247"/>
      <c r="K43" s="247"/>
      <c r="L43" s="247"/>
      <c r="M43" s="247"/>
      <c r="N43" s="247"/>
      <c r="O43" s="18"/>
      <c r="Q43" s="5"/>
      <c r="R43" s="5"/>
      <c r="S43" s="42"/>
      <c r="T43" s="42"/>
      <c r="U43" s="42"/>
      <c r="V43" s="42"/>
      <c r="W43" s="288"/>
      <c r="X43" s="288"/>
      <c r="Y43" s="288"/>
      <c r="Z43" s="288"/>
      <c r="AA43" s="42"/>
    </row>
    <row r="44" spans="2:27">
      <c r="B44" s="5" t="s">
        <v>533</v>
      </c>
      <c r="C44" s="69"/>
      <c r="D44" s="529">
        <f>D11/D30</f>
        <v>5.5070292738493478</v>
      </c>
      <c r="E44" s="529">
        <f>E11/E30</f>
        <v>4.6575206456605738</v>
      </c>
      <c r="F44" s="529">
        <f>F11/F30</f>
        <v>3.9890280683720163</v>
      </c>
      <c r="G44" s="529">
        <f>G11/G30</f>
        <v>3.5215359328343863</v>
      </c>
      <c r="H44" s="17">
        <f t="shared" si="8"/>
        <v>0.16072254598340718</v>
      </c>
      <c r="I44" s="247"/>
      <c r="J44" s="248"/>
      <c r="K44" s="248"/>
      <c r="L44" s="248"/>
      <c r="M44" s="248"/>
      <c r="N44" s="248"/>
      <c r="O44" s="248"/>
      <c r="Q44" s="5"/>
      <c r="R44" s="5"/>
      <c r="S44" s="42"/>
      <c r="T44" s="42"/>
      <c r="U44" s="42"/>
      <c r="V44" s="42"/>
      <c r="W44" s="325"/>
      <c r="X44" s="325"/>
      <c r="Y44" s="288"/>
      <c r="Z44" s="288"/>
      <c r="AA44" s="42"/>
    </row>
    <row r="45" spans="2:27">
      <c r="B45" s="5" t="s">
        <v>580</v>
      </c>
      <c r="C45" s="247"/>
      <c r="D45" s="248">
        <f>D31/D11</f>
        <v>2.8445565850430177E-2</v>
      </c>
      <c r="E45" s="248">
        <f>E31/E11</f>
        <v>3.1290122435473196E-2</v>
      </c>
      <c r="F45" s="248">
        <f>F31/F11</f>
        <v>3.4419134679020517E-2</v>
      </c>
      <c r="G45" s="248">
        <f>G31/G11</f>
        <v>3.786104814692258E-2</v>
      </c>
      <c r="H45" s="17">
        <f t="shared" si="8"/>
        <v>0.10000000000000009</v>
      </c>
      <c r="I45" s="248"/>
      <c r="J45" s="247"/>
      <c r="K45" s="247"/>
      <c r="L45" s="247"/>
      <c r="M45" s="247"/>
      <c r="N45" s="247"/>
      <c r="O45" s="248"/>
      <c r="Q45" s="5"/>
      <c r="R45" s="5"/>
      <c r="S45" s="42"/>
      <c r="T45" s="42"/>
      <c r="U45" s="42"/>
      <c r="V45" s="42"/>
      <c r="W45" s="42"/>
      <c r="X45" s="42"/>
      <c r="Y45" s="325"/>
      <c r="Z45" s="325"/>
      <c r="AA45" s="42"/>
    </row>
    <row r="46" spans="2:27">
      <c r="B46" s="5" t="s">
        <v>605</v>
      </c>
      <c r="C46" s="247"/>
      <c r="D46" s="248">
        <f>(D31+D32)/D11</f>
        <v>2.8445565850430177E-2</v>
      </c>
      <c r="E46" s="248">
        <f>(E31+E32)/E11</f>
        <v>3.1290122435473196E-2</v>
      </c>
      <c r="F46" s="248">
        <f>(F31+F32)/F11</f>
        <v>3.4419134679020517E-2</v>
      </c>
      <c r="G46" s="248">
        <f>(G31+G32)/G11</f>
        <v>3.786104814692258E-2</v>
      </c>
      <c r="H46" s="279">
        <f>((G31+G32)/(D31+D32))^(1/3)-1</f>
        <v>0.10000000000000009</v>
      </c>
      <c r="I46" s="247"/>
      <c r="J46" s="247"/>
      <c r="K46" s="247"/>
      <c r="L46" s="247"/>
      <c r="M46" s="247"/>
      <c r="N46" s="247"/>
      <c r="O46" s="18"/>
      <c r="Q46" s="5"/>
      <c r="R46" s="5"/>
      <c r="S46" s="42"/>
      <c r="T46" s="42"/>
      <c r="U46" s="42"/>
      <c r="V46" s="42"/>
      <c r="W46" s="42"/>
      <c r="X46" s="42"/>
      <c r="Y46" s="42"/>
      <c r="Z46" s="42"/>
      <c r="AA46" s="326"/>
    </row>
    <row r="47" spans="2:27">
      <c r="B47" s="5" t="s">
        <v>581</v>
      </c>
      <c r="C47" s="5"/>
      <c r="D47" s="248">
        <f>1/D43</f>
        <v>0.10781467607883949</v>
      </c>
      <c r="E47" s="248">
        <f>1/E43</f>
        <v>0.13305905445710331</v>
      </c>
      <c r="F47" s="248">
        <f>1/F43</f>
        <v>0.16169270671451769</v>
      </c>
      <c r="G47" s="248">
        <f>1/G43</f>
        <v>0.17830720564500732</v>
      </c>
      <c r="H47" s="17">
        <f>H29</f>
        <v>0.2731216083954402</v>
      </c>
      <c r="I47" s="17"/>
      <c r="J47" s="248"/>
      <c r="K47" s="248"/>
      <c r="L47" s="248"/>
      <c r="M47" s="248"/>
      <c r="N47" s="248"/>
      <c r="O47" s="248"/>
      <c r="Q47" s="5"/>
      <c r="R47" s="5"/>
      <c r="S47" s="42"/>
      <c r="T47" s="42"/>
      <c r="U47" s="42"/>
      <c r="V47" s="42"/>
      <c r="W47" s="42"/>
      <c r="X47" s="42"/>
      <c r="Y47" s="42"/>
      <c r="Z47" s="42"/>
      <c r="AA47" s="326"/>
    </row>
    <row r="48" spans="2:27">
      <c r="B48" s="5" t="s">
        <v>618</v>
      </c>
      <c r="C48" s="5"/>
      <c r="D48" s="305">
        <f>D31/D29</f>
        <v>0.22058081733723028</v>
      </c>
      <c r="E48" s="305">
        <f>E31/E29</f>
        <v>0.18058211086869144</v>
      </c>
      <c r="F48" s="305">
        <f>F31/F29</f>
        <v>0.15209447634099585</v>
      </c>
      <c r="G48" s="305">
        <f>G31/G29</f>
        <v>0.14227746838000557</v>
      </c>
      <c r="H48" s="279" t="s">
        <v>607</v>
      </c>
      <c r="I48" s="247"/>
      <c r="J48" s="247"/>
      <c r="K48" s="247"/>
      <c r="L48" s="247"/>
      <c r="M48" s="247"/>
      <c r="N48" s="247"/>
      <c r="O48" s="248"/>
      <c r="Q48" s="5"/>
      <c r="R48" s="5"/>
      <c r="S48" s="42"/>
      <c r="T48" s="42"/>
      <c r="U48" s="42"/>
      <c r="V48" s="42"/>
      <c r="W48" s="42"/>
      <c r="X48" s="42"/>
      <c r="Y48" s="42"/>
      <c r="Z48" s="42"/>
      <c r="AA48" s="326"/>
    </row>
    <row r="49" spans="2:27">
      <c r="B49" s="41"/>
      <c r="C49" s="17"/>
      <c r="D49" s="17"/>
      <c r="E49" s="17"/>
      <c r="F49" s="17"/>
      <c r="G49" s="17"/>
      <c r="H49" s="17"/>
      <c r="I49" s="254"/>
      <c r="J49" s="17"/>
      <c r="K49" s="17"/>
      <c r="L49" s="17"/>
      <c r="M49" s="17"/>
      <c r="N49" s="17"/>
      <c r="O49" s="248"/>
      <c r="Q49" s="5"/>
      <c r="R49" s="5"/>
      <c r="S49" s="42"/>
      <c r="T49" s="42"/>
      <c r="U49" s="42"/>
      <c r="V49" s="42"/>
      <c r="W49" s="42"/>
      <c r="X49" s="42"/>
      <c r="Y49" s="42"/>
      <c r="Z49" s="42"/>
      <c r="AA49" s="326"/>
    </row>
    <row r="50" spans="2:27">
      <c r="B50" s="5"/>
      <c r="C50" s="257"/>
      <c r="D50" s="257"/>
      <c r="E50" s="257"/>
      <c r="F50" s="5"/>
      <c r="G50" s="41"/>
      <c r="H50" s="249"/>
      <c r="I50" s="17"/>
      <c r="J50" s="249"/>
      <c r="K50" s="249"/>
      <c r="L50" s="249"/>
      <c r="M50" s="249"/>
      <c r="N50" s="249"/>
      <c r="O50" s="250"/>
      <c r="Q50" s="5"/>
      <c r="R50" s="5"/>
      <c r="S50" s="42"/>
      <c r="T50" s="42"/>
      <c r="U50" s="42"/>
      <c r="V50" s="42"/>
      <c r="W50" s="288"/>
      <c r="X50" s="288"/>
      <c r="Y50" s="42"/>
      <c r="Z50" s="42"/>
      <c r="AA50" s="326"/>
    </row>
    <row r="51" spans="2:27">
      <c r="B51" s="41"/>
      <c r="C51" s="249"/>
      <c r="D51" s="254"/>
      <c r="E51" s="254"/>
      <c r="F51" s="254"/>
      <c r="G51" s="254"/>
      <c r="H51" s="254"/>
      <c r="I51" s="259"/>
      <c r="J51" s="254"/>
      <c r="K51" s="254"/>
      <c r="L51" s="254"/>
      <c r="M51" s="254"/>
      <c r="N51" s="254"/>
      <c r="O51" s="251"/>
      <c r="Q51" s="5"/>
      <c r="R51" s="5"/>
      <c r="S51" s="42"/>
      <c r="T51" s="42"/>
      <c r="U51" s="42"/>
      <c r="V51" s="42"/>
      <c r="W51" s="288"/>
      <c r="X51" s="288"/>
      <c r="Y51" s="288"/>
      <c r="Z51" s="288"/>
      <c r="AA51" s="42"/>
    </row>
    <row r="52" spans="2:27">
      <c r="B52" s="5"/>
      <c r="C52" s="257"/>
      <c r="D52" s="17"/>
      <c r="E52" s="17"/>
      <c r="F52" s="17"/>
      <c r="G52" s="17"/>
      <c r="H52" s="17"/>
      <c r="I52" s="254"/>
      <c r="J52" s="17"/>
      <c r="K52" s="17"/>
      <c r="L52" s="17"/>
      <c r="M52" s="17"/>
      <c r="N52" s="17"/>
      <c r="O52" s="248"/>
      <c r="Q52" s="5"/>
      <c r="R52" s="5"/>
      <c r="S52" s="5"/>
      <c r="Y52" s="10"/>
      <c r="Z52" s="10"/>
    </row>
    <row r="53" spans="2:27">
      <c r="B53" s="5"/>
      <c r="C53" s="257"/>
      <c r="D53" s="257"/>
      <c r="E53" s="257"/>
      <c r="F53" s="5"/>
      <c r="G53" s="5"/>
      <c r="H53" s="259"/>
      <c r="I53" s="17"/>
      <c r="J53" s="259"/>
      <c r="K53" s="259"/>
      <c r="L53" s="259"/>
      <c r="M53" s="259"/>
      <c r="N53" s="259"/>
      <c r="O53" s="18"/>
      <c r="Q53" s="5"/>
      <c r="R53" s="5"/>
      <c r="S53" s="5"/>
    </row>
    <row r="54" spans="2:27">
      <c r="B54" s="41"/>
      <c r="C54" s="249"/>
      <c r="D54" s="254"/>
      <c r="E54" s="254"/>
      <c r="F54" s="254"/>
      <c r="G54" s="254"/>
      <c r="H54" s="254"/>
      <c r="I54" s="259"/>
      <c r="J54" s="254"/>
      <c r="K54" s="254"/>
      <c r="L54" s="254"/>
      <c r="M54" s="254"/>
      <c r="N54" s="254"/>
      <c r="O54" s="251"/>
      <c r="Q54" s="5"/>
      <c r="R54" s="5"/>
      <c r="S54" s="5"/>
    </row>
    <row r="55" spans="2:27">
      <c r="B55" s="5"/>
      <c r="C55" s="257"/>
      <c r="D55" s="17"/>
      <c r="E55" s="17"/>
      <c r="F55" s="17"/>
      <c r="G55" s="17"/>
      <c r="H55" s="17"/>
      <c r="I55" s="249"/>
      <c r="J55" s="17"/>
      <c r="K55" s="17"/>
      <c r="L55" s="17"/>
      <c r="M55" s="17"/>
      <c r="N55" s="17"/>
      <c r="O55" s="18"/>
      <c r="Q55" s="5"/>
      <c r="R55" s="5"/>
      <c r="S55" s="5"/>
    </row>
    <row r="56" spans="2:27">
      <c r="B56" s="5"/>
      <c r="C56" s="248"/>
      <c r="D56" s="248"/>
      <c r="E56" s="248"/>
      <c r="F56" s="5"/>
      <c r="G56" s="5"/>
      <c r="H56" s="259"/>
      <c r="I56" s="248"/>
      <c r="J56" s="259"/>
      <c r="K56" s="259"/>
      <c r="L56" s="259"/>
      <c r="M56" s="259"/>
      <c r="N56" s="259"/>
      <c r="O56" s="18"/>
      <c r="Q56" s="5"/>
      <c r="R56" s="5"/>
      <c r="S56" s="5"/>
    </row>
    <row r="57" spans="2:27">
      <c r="B57" s="41"/>
      <c r="C57" s="249"/>
      <c r="D57" s="249"/>
      <c r="E57" s="249"/>
      <c r="F57" s="249"/>
      <c r="G57" s="249"/>
      <c r="H57" s="249"/>
      <c r="I57" s="5"/>
      <c r="J57" s="249"/>
      <c r="K57" s="249"/>
      <c r="L57" s="249"/>
      <c r="M57" s="249"/>
      <c r="N57" s="249"/>
      <c r="O57" s="251"/>
      <c r="Q57" s="5"/>
      <c r="R57" s="5"/>
      <c r="S57" s="5"/>
    </row>
    <row r="58" spans="2:27">
      <c r="B58" s="5"/>
      <c r="C58" s="5"/>
      <c r="D58" s="248"/>
      <c r="E58" s="248"/>
      <c r="F58" s="248"/>
      <c r="G58" s="248"/>
      <c r="H58" s="248"/>
      <c r="I58" s="17"/>
      <c r="J58" s="248"/>
      <c r="K58" s="248"/>
      <c r="L58" s="248"/>
      <c r="M58" s="248"/>
      <c r="N58" s="248"/>
      <c r="O58" s="18"/>
      <c r="Q58" s="5"/>
      <c r="R58" s="5"/>
      <c r="S58" s="5"/>
    </row>
    <row r="59" spans="2:27">
      <c r="B59" s="5"/>
      <c r="C59" s="5"/>
      <c r="D59" s="5"/>
      <c r="E59" s="5"/>
      <c r="F59" s="5"/>
      <c r="G59" s="5"/>
      <c r="H59" s="5"/>
      <c r="I59" s="5"/>
      <c r="J59" s="5"/>
      <c r="K59" s="5"/>
      <c r="L59" s="5"/>
      <c r="M59" s="5"/>
      <c r="N59" s="5"/>
      <c r="O59" s="5"/>
      <c r="Q59" s="5"/>
      <c r="R59" s="5"/>
      <c r="S59" s="5"/>
    </row>
    <row r="60" spans="2:27">
      <c r="B60" s="41"/>
      <c r="C60" s="17"/>
      <c r="D60" s="17"/>
      <c r="E60" s="17"/>
      <c r="F60" s="17"/>
      <c r="G60" s="17"/>
      <c r="H60" s="17"/>
      <c r="I60" s="249"/>
      <c r="J60" s="17"/>
      <c r="K60" s="17"/>
      <c r="L60" s="17"/>
      <c r="M60" s="17"/>
      <c r="N60" s="17"/>
      <c r="O60" s="251"/>
      <c r="Q60" s="5"/>
      <c r="R60" s="5"/>
      <c r="S60" s="5"/>
    </row>
    <row r="61" spans="2:27">
      <c r="B61" s="5"/>
      <c r="C61" s="5"/>
      <c r="D61" s="5"/>
      <c r="E61" s="5"/>
      <c r="F61" s="5"/>
      <c r="G61" s="5"/>
      <c r="H61" s="5"/>
      <c r="I61" s="5"/>
      <c r="J61" s="5"/>
      <c r="K61" s="5"/>
      <c r="L61" s="5"/>
      <c r="M61" s="5"/>
      <c r="N61" s="5"/>
      <c r="O61" s="5"/>
      <c r="Q61" s="41"/>
      <c r="R61" s="5"/>
      <c r="S61" s="5"/>
    </row>
    <row r="62" spans="2:27">
      <c r="B62" s="41"/>
      <c r="C62" s="249"/>
      <c r="D62" s="249"/>
      <c r="E62" s="249"/>
      <c r="F62" s="249"/>
      <c r="G62" s="249"/>
      <c r="H62" s="249"/>
      <c r="I62" s="5"/>
      <c r="J62" s="249"/>
      <c r="K62" s="249"/>
      <c r="L62" s="249"/>
      <c r="M62" s="249"/>
      <c r="N62" s="249"/>
      <c r="O62" s="251"/>
      <c r="Q62" s="5"/>
      <c r="R62" s="5"/>
      <c r="S62" s="5"/>
    </row>
    <row r="63" spans="2:27">
      <c r="B63" s="5"/>
      <c r="C63" s="5"/>
      <c r="D63" s="5"/>
      <c r="E63" s="5"/>
      <c r="F63" s="5"/>
      <c r="G63" s="5"/>
      <c r="H63" s="5"/>
      <c r="I63" s="254"/>
      <c r="J63" s="5"/>
      <c r="K63" s="5"/>
      <c r="L63" s="5"/>
      <c r="M63" s="5"/>
      <c r="N63" s="5"/>
      <c r="O63" s="5"/>
      <c r="Q63" s="5"/>
      <c r="R63" s="5"/>
      <c r="S63" s="5"/>
    </row>
    <row r="64" spans="2:27">
      <c r="B64" s="5"/>
      <c r="C64" s="5"/>
      <c r="D64" s="5"/>
      <c r="E64" s="5"/>
      <c r="F64" s="5"/>
      <c r="G64" s="5"/>
      <c r="H64" s="5"/>
      <c r="I64" s="17"/>
      <c r="J64" s="5"/>
      <c r="K64" s="5"/>
      <c r="L64" s="5"/>
      <c r="M64" s="5"/>
      <c r="N64" s="5"/>
      <c r="O64" s="5"/>
      <c r="Q64" s="5"/>
      <c r="R64" s="5"/>
      <c r="S64" s="5"/>
    </row>
    <row r="65" spans="2:26">
      <c r="B65" s="41"/>
      <c r="C65" s="249"/>
      <c r="D65" s="254"/>
      <c r="E65" s="254"/>
      <c r="F65" s="254"/>
      <c r="G65" s="254"/>
      <c r="H65" s="254"/>
      <c r="I65" s="254"/>
      <c r="J65" s="254"/>
      <c r="K65" s="254"/>
      <c r="L65" s="254"/>
      <c r="M65" s="254"/>
      <c r="N65" s="254"/>
      <c r="O65" s="251"/>
      <c r="Q65" s="5"/>
      <c r="R65" s="5"/>
      <c r="S65" s="5"/>
    </row>
    <row r="66" spans="2:26">
      <c r="B66" s="5"/>
      <c r="C66" s="5"/>
      <c r="D66" s="17"/>
      <c r="E66" s="17"/>
      <c r="F66" s="17"/>
      <c r="G66" s="17"/>
      <c r="H66" s="17"/>
      <c r="I66" s="248"/>
      <c r="J66" s="17"/>
      <c r="K66" s="17"/>
      <c r="L66" s="17"/>
      <c r="M66" s="17"/>
      <c r="N66" s="17"/>
      <c r="O66" s="5"/>
      <c r="Q66" s="5"/>
      <c r="R66" s="5"/>
      <c r="S66" s="5"/>
    </row>
    <row r="67" spans="2:26">
      <c r="B67" s="41"/>
      <c r="C67" s="249"/>
      <c r="D67" s="254"/>
      <c r="E67" s="254"/>
      <c r="F67" s="254"/>
      <c r="G67" s="254"/>
      <c r="H67" s="254"/>
      <c r="I67" s="5"/>
      <c r="J67" s="254"/>
      <c r="K67" s="254"/>
      <c r="L67" s="254"/>
      <c r="M67" s="254"/>
      <c r="N67" s="254"/>
      <c r="O67" s="251"/>
      <c r="Q67" s="41"/>
      <c r="R67" s="5"/>
      <c r="S67" s="5"/>
    </row>
    <row r="68" spans="2:26">
      <c r="B68" s="5"/>
      <c r="C68" s="5"/>
      <c r="D68" s="248"/>
      <c r="E68" s="248"/>
      <c r="F68" s="248"/>
      <c r="G68" s="248"/>
      <c r="H68" s="248"/>
      <c r="I68" s="245"/>
      <c r="J68" s="248"/>
      <c r="K68" s="248"/>
      <c r="L68" s="248"/>
      <c r="M68" s="248"/>
      <c r="N68" s="248"/>
      <c r="O68" s="5"/>
      <c r="Q68" s="5"/>
      <c r="R68" s="5"/>
      <c r="S68" s="5"/>
    </row>
    <row r="69" spans="2:26">
      <c r="B69" s="41"/>
      <c r="C69" s="5"/>
      <c r="D69" s="5"/>
      <c r="E69" s="5"/>
      <c r="F69" s="5"/>
      <c r="G69" s="5"/>
      <c r="H69" s="5"/>
      <c r="I69" s="248"/>
      <c r="J69" s="5"/>
      <c r="K69" s="5"/>
      <c r="L69" s="5"/>
      <c r="M69" s="5"/>
      <c r="N69" s="5"/>
      <c r="O69" s="5"/>
      <c r="Q69" s="5"/>
      <c r="R69" s="5"/>
      <c r="S69" s="5"/>
    </row>
    <row r="70" spans="2:26">
      <c r="B70" s="41"/>
      <c r="C70" s="245"/>
      <c r="D70" s="245"/>
      <c r="E70" s="245"/>
      <c r="F70" s="245"/>
      <c r="G70" s="245"/>
      <c r="H70" s="245"/>
      <c r="I70" s="5"/>
      <c r="J70" s="245"/>
      <c r="K70" s="245"/>
      <c r="L70" s="245"/>
      <c r="M70" s="245"/>
      <c r="N70" s="245"/>
      <c r="O70" s="251"/>
      <c r="Q70" s="5"/>
      <c r="R70" s="5"/>
      <c r="S70" s="5"/>
      <c r="W70" s="76"/>
      <c r="X70" s="76"/>
    </row>
    <row r="71" spans="2:26">
      <c r="B71" s="5"/>
      <c r="C71" s="5"/>
      <c r="D71" s="248"/>
      <c r="E71" s="248"/>
      <c r="F71" s="248"/>
      <c r="G71" s="248"/>
      <c r="H71" s="248"/>
      <c r="I71" s="245"/>
      <c r="J71" s="248"/>
      <c r="K71" s="248"/>
      <c r="L71" s="248"/>
      <c r="M71" s="248"/>
      <c r="N71" s="248"/>
      <c r="O71" s="5"/>
      <c r="Q71" s="5"/>
      <c r="R71" s="5"/>
      <c r="S71" s="5"/>
      <c r="W71" s="76"/>
      <c r="X71" s="76"/>
      <c r="Y71" s="76"/>
      <c r="Z71" s="76"/>
    </row>
    <row r="72" spans="2:26">
      <c r="B72" s="41"/>
      <c r="C72" s="5"/>
      <c r="D72" s="5"/>
      <c r="E72" s="5"/>
      <c r="F72" s="5"/>
      <c r="G72" s="5"/>
      <c r="H72" s="5"/>
      <c r="I72" s="18"/>
      <c r="J72" s="5"/>
      <c r="K72" s="5"/>
      <c r="L72" s="5"/>
      <c r="M72" s="5"/>
      <c r="N72" s="5"/>
      <c r="O72" s="5"/>
      <c r="Q72" s="5"/>
      <c r="R72" s="5"/>
      <c r="S72" s="5"/>
      <c r="Y72" s="76"/>
      <c r="Z72" s="76"/>
    </row>
    <row r="73" spans="2:26">
      <c r="B73" s="41"/>
      <c r="C73" s="245"/>
      <c r="D73" s="245"/>
      <c r="E73" s="245"/>
      <c r="F73" s="245"/>
      <c r="G73" s="245"/>
      <c r="H73" s="245"/>
      <c r="I73" s="5"/>
      <c r="J73" s="245"/>
      <c r="K73" s="245"/>
      <c r="L73" s="245"/>
      <c r="M73" s="245"/>
      <c r="N73" s="245"/>
      <c r="O73" s="251"/>
      <c r="Q73" s="5"/>
      <c r="R73" s="5"/>
      <c r="S73" s="5"/>
    </row>
    <row r="74" spans="2:26">
      <c r="B74" s="5"/>
      <c r="C74" s="5"/>
      <c r="D74" s="18"/>
      <c r="E74" s="18"/>
      <c r="F74" s="18"/>
      <c r="G74" s="18"/>
      <c r="H74" s="18"/>
      <c r="I74" s="249"/>
      <c r="J74" s="18"/>
      <c r="K74" s="18"/>
      <c r="L74" s="18"/>
      <c r="M74" s="18"/>
      <c r="N74" s="18"/>
      <c r="O74" s="5"/>
      <c r="Q74" s="5"/>
      <c r="R74" s="5"/>
      <c r="S74" s="5"/>
    </row>
    <row r="75" spans="2:26">
      <c r="B75" s="41"/>
      <c r="C75" s="5"/>
      <c r="D75" s="5"/>
      <c r="E75" s="5"/>
      <c r="F75" s="5"/>
      <c r="G75" s="5"/>
      <c r="H75" s="5"/>
      <c r="I75" s="248"/>
      <c r="J75" s="5"/>
      <c r="K75" s="5"/>
      <c r="L75" s="5"/>
      <c r="M75" s="5"/>
      <c r="N75" s="5"/>
      <c r="O75" s="5"/>
      <c r="Q75" s="5"/>
      <c r="R75" s="5"/>
      <c r="S75" s="5"/>
    </row>
    <row r="76" spans="2:26">
      <c r="B76" s="41"/>
      <c r="C76" s="249"/>
      <c r="D76" s="249"/>
      <c r="E76" s="249"/>
      <c r="F76" s="249"/>
      <c r="G76" s="249"/>
      <c r="H76" s="249"/>
      <c r="I76" s="5"/>
      <c r="J76" s="249"/>
      <c r="K76" s="249"/>
      <c r="L76" s="249"/>
      <c r="M76" s="249"/>
      <c r="N76" s="249"/>
      <c r="O76" s="251"/>
      <c r="Q76" s="5"/>
      <c r="R76" s="5"/>
      <c r="S76" s="5"/>
    </row>
    <row r="77" spans="2:26">
      <c r="B77" s="5"/>
      <c r="C77" s="5"/>
      <c r="D77" s="248"/>
      <c r="E77" s="248"/>
      <c r="F77" s="248"/>
      <c r="G77" s="248"/>
      <c r="H77" s="248"/>
      <c r="I77" s="245"/>
      <c r="J77" s="248"/>
      <c r="K77" s="248"/>
      <c r="L77" s="248"/>
      <c r="M77" s="248"/>
      <c r="N77" s="248"/>
      <c r="O77" s="5"/>
      <c r="Q77" s="5"/>
      <c r="R77" s="5"/>
      <c r="S77" s="5"/>
    </row>
    <row r="78" spans="2:26">
      <c r="B78" s="41"/>
      <c r="C78" s="5"/>
      <c r="D78" s="5"/>
      <c r="E78" s="5"/>
      <c r="F78" s="5"/>
      <c r="G78" s="5"/>
      <c r="H78" s="5"/>
      <c r="I78" s="248"/>
      <c r="J78" s="5"/>
      <c r="K78" s="5"/>
      <c r="L78" s="5"/>
      <c r="M78" s="5"/>
      <c r="N78" s="5"/>
      <c r="O78" s="5"/>
      <c r="Q78" s="5"/>
      <c r="R78" s="5"/>
      <c r="S78" s="5"/>
    </row>
    <row r="79" spans="2:26">
      <c r="B79" s="41"/>
      <c r="C79" s="245"/>
      <c r="D79" s="245"/>
      <c r="E79" s="245"/>
      <c r="F79" s="245"/>
      <c r="G79" s="245"/>
      <c r="H79" s="245"/>
      <c r="I79" s="5"/>
      <c r="J79" s="245"/>
      <c r="K79" s="245"/>
      <c r="L79" s="245"/>
      <c r="M79" s="245"/>
      <c r="N79" s="245"/>
      <c r="O79" s="251"/>
      <c r="Q79" s="5"/>
      <c r="R79" s="5"/>
      <c r="S79" s="5"/>
    </row>
    <row r="80" spans="2:26">
      <c r="B80" s="5"/>
      <c r="C80" s="5"/>
      <c r="D80" s="248"/>
      <c r="E80" s="248"/>
      <c r="F80" s="248"/>
      <c r="G80" s="248"/>
      <c r="H80" s="248"/>
      <c r="I80" s="249"/>
      <c r="J80" s="248"/>
      <c r="K80" s="248"/>
      <c r="L80" s="248"/>
      <c r="M80" s="248"/>
      <c r="N80" s="248"/>
      <c r="O80" s="5"/>
      <c r="Q80" s="5"/>
      <c r="R80" s="5"/>
      <c r="S80" s="5"/>
    </row>
    <row r="81" spans="2:26">
      <c r="B81" s="41"/>
      <c r="C81" s="5"/>
      <c r="D81" s="5"/>
      <c r="E81" s="5"/>
      <c r="F81" s="5"/>
      <c r="G81" s="5"/>
      <c r="H81" s="5"/>
      <c r="I81" s="248"/>
      <c r="J81" s="5"/>
      <c r="K81" s="5"/>
      <c r="L81" s="5"/>
      <c r="M81" s="5"/>
      <c r="N81" s="5"/>
      <c r="O81" s="5"/>
      <c r="Q81" s="5"/>
      <c r="R81" s="5"/>
      <c r="S81" s="5"/>
    </row>
    <row r="82" spans="2:26">
      <c r="B82" s="41"/>
      <c r="C82" s="249"/>
      <c r="D82" s="249"/>
      <c r="E82" s="249"/>
      <c r="F82" s="249"/>
      <c r="G82" s="249"/>
      <c r="H82" s="249"/>
      <c r="I82" s="259"/>
      <c r="J82" s="249"/>
      <c r="K82" s="249"/>
      <c r="L82" s="249"/>
      <c r="M82" s="249"/>
      <c r="N82" s="249"/>
      <c r="O82" s="251"/>
      <c r="Q82" s="5"/>
      <c r="R82" s="5"/>
      <c r="S82" s="5"/>
    </row>
    <row r="83" spans="2:26">
      <c r="B83" s="5"/>
      <c r="C83" s="5"/>
      <c r="D83" s="248"/>
      <c r="E83" s="248"/>
      <c r="F83" s="248"/>
      <c r="G83" s="248"/>
      <c r="H83" s="248"/>
      <c r="I83" s="5"/>
      <c r="J83" s="248"/>
      <c r="K83" s="248"/>
      <c r="L83" s="248"/>
      <c r="M83" s="248"/>
      <c r="N83" s="248"/>
      <c r="O83" s="5"/>
      <c r="Q83" s="5"/>
      <c r="R83" s="5"/>
      <c r="S83" s="5"/>
    </row>
    <row r="84" spans="2:26">
      <c r="B84" s="5"/>
      <c r="C84" s="259"/>
      <c r="D84" s="259"/>
      <c r="E84" s="259"/>
      <c r="F84" s="259"/>
      <c r="G84" s="259"/>
      <c r="H84" s="259"/>
      <c r="I84" s="245"/>
      <c r="J84" s="259"/>
      <c r="K84" s="259"/>
      <c r="L84" s="259"/>
      <c r="M84" s="259"/>
      <c r="N84" s="259"/>
      <c r="O84" s="251"/>
      <c r="Q84" s="5"/>
      <c r="R84" s="5"/>
      <c r="S84" s="5"/>
    </row>
    <row r="85" spans="2:26">
      <c r="B85" s="41"/>
      <c r="C85" s="5"/>
      <c r="D85" s="5"/>
      <c r="E85" s="5"/>
      <c r="F85" s="5"/>
      <c r="G85" s="5"/>
      <c r="H85" s="5"/>
      <c r="I85" s="248"/>
      <c r="J85" s="5"/>
      <c r="K85" s="5"/>
      <c r="L85" s="5"/>
      <c r="M85" s="5"/>
      <c r="N85" s="5"/>
      <c r="O85" s="5"/>
      <c r="Q85" s="5"/>
      <c r="R85" s="5"/>
      <c r="S85" s="5"/>
    </row>
    <row r="86" spans="2:26">
      <c r="B86" s="41"/>
      <c r="C86" s="245"/>
      <c r="D86" s="245"/>
      <c r="E86" s="245"/>
      <c r="F86" s="245"/>
      <c r="G86" s="245"/>
      <c r="H86" s="245"/>
      <c r="I86" s="5"/>
      <c r="J86" s="245"/>
      <c r="K86" s="245"/>
      <c r="L86" s="245"/>
      <c r="M86" s="245"/>
      <c r="N86" s="245"/>
      <c r="O86" s="251"/>
      <c r="Q86" s="5"/>
      <c r="R86" s="5"/>
      <c r="S86" s="5"/>
    </row>
    <row r="87" spans="2:26">
      <c r="B87" s="5"/>
      <c r="C87" s="5"/>
      <c r="D87" s="248"/>
      <c r="E87" s="248"/>
      <c r="F87" s="248"/>
      <c r="G87" s="248"/>
      <c r="H87" s="248"/>
      <c r="I87" s="5"/>
      <c r="J87" s="248"/>
      <c r="K87" s="248"/>
      <c r="L87" s="248"/>
      <c r="M87" s="248"/>
      <c r="N87" s="248"/>
      <c r="O87" s="5"/>
      <c r="Q87" s="5"/>
      <c r="R87" s="5"/>
      <c r="S87" s="5"/>
    </row>
    <row r="88" spans="2:26">
      <c r="B88" s="41"/>
      <c r="C88" s="5"/>
      <c r="D88" s="5"/>
      <c r="E88" s="5"/>
      <c r="F88" s="5"/>
      <c r="G88" s="5"/>
      <c r="H88" s="5"/>
      <c r="I88" s="5"/>
      <c r="J88" s="5"/>
      <c r="K88" s="5"/>
      <c r="L88" s="5"/>
      <c r="M88" s="5"/>
      <c r="N88" s="5"/>
      <c r="O88" s="5"/>
      <c r="Q88" s="5"/>
      <c r="R88" s="5"/>
      <c r="S88" s="5"/>
    </row>
    <row r="89" spans="2:26">
      <c r="B89" s="41"/>
      <c r="C89" s="5"/>
      <c r="D89" s="5"/>
      <c r="E89" s="5"/>
      <c r="F89" s="5"/>
      <c r="G89" s="5"/>
      <c r="H89" s="5"/>
      <c r="I89" s="5"/>
      <c r="J89" s="5"/>
      <c r="K89" s="5"/>
      <c r="L89" s="5"/>
      <c r="M89" s="5"/>
      <c r="N89" s="5"/>
      <c r="O89" s="5"/>
      <c r="Q89" s="5"/>
      <c r="R89" s="5"/>
      <c r="S89" s="5"/>
    </row>
    <row r="90" spans="2:26">
      <c r="B90" s="41"/>
      <c r="C90" s="5"/>
      <c r="D90" s="5"/>
      <c r="E90" s="5"/>
      <c r="F90" s="5"/>
      <c r="G90" s="5"/>
      <c r="H90" s="5"/>
      <c r="I90" s="49"/>
      <c r="J90" s="5"/>
      <c r="K90" s="5"/>
      <c r="L90" s="5"/>
      <c r="M90" s="5"/>
      <c r="N90" s="5"/>
      <c r="O90" s="5"/>
      <c r="Q90" s="41"/>
      <c r="R90" s="5"/>
      <c r="S90" s="5"/>
    </row>
    <row r="91" spans="2:26">
      <c r="B91" s="5"/>
      <c r="C91" s="5"/>
      <c r="D91" s="5"/>
      <c r="E91" s="5"/>
      <c r="F91" s="5"/>
      <c r="G91" s="5"/>
      <c r="H91" s="5"/>
      <c r="I91" s="5"/>
      <c r="J91" s="5"/>
      <c r="K91" s="5"/>
      <c r="L91" s="5"/>
      <c r="M91" s="5"/>
      <c r="N91" s="5"/>
      <c r="O91" s="5"/>
      <c r="Q91" s="5"/>
      <c r="R91" s="5"/>
      <c r="S91" s="5"/>
    </row>
    <row r="92" spans="2:26">
      <c r="B92" s="41"/>
      <c r="C92" s="49"/>
      <c r="D92" s="49"/>
      <c r="E92" s="49"/>
      <c r="F92" s="49"/>
      <c r="G92" s="49"/>
      <c r="H92" s="49"/>
      <c r="I92" s="247"/>
      <c r="J92" s="49"/>
      <c r="K92" s="49"/>
      <c r="L92" s="49"/>
      <c r="M92" s="49"/>
      <c r="N92" s="49"/>
      <c r="O92" s="49"/>
      <c r="Q92" s="5"/>
      <c r="R92" s="5"/>
      <c r="S92" s="5"/>
      <c r="W92" s="21"/>
      <c r="X92" s="21"/>
    </row>
    <row r="93" spans="2:26">
      <c r="B93" s="5"/>
      <c r="C93" s="5"/>
      <c r="D93" s="5"/>
      <c r="E93" s="5"/>
      <c r="F93" s="5"/>
      <c r="G93" s="5"/>
      <c r="H93" s="5"/>
      <c r="I93" s="247"/>
      <c r="J93" s="5"/>
      <c r="K93" s="5"/>
      <c r="L93" s="5"/>
      <c r="M93" s="5"/>
      <c r="N93" s="5"/>
      <c r="O93" s="5"/>
      <c r="Q93" s="5"/>
      <c r="R93" s="5"/>
      <c r="S93" s="5"/>
      <c r="W93" s="21"/>
      <c r="X93" s="21"/>
      <c r="Y93" s="21"/>
      <c r="Z93" s="21"/>
    </row>
    <row r="94" spans="2:26">
      <c r="B94" s="5"/>
      <c r="C94" s="259"/>
      <c r="D94" s="247"/>
      <c r="E94" s="247"/>
      <c r="F94" s="247"/>
      <c r="G94" s="247"/>
      <c r="H94" s="247"/>
      <c r="I94" s="247"/>
      <c r="J94" s="247"/>
      <c r="K94" s="247"/>
      <c r="L94" s="247"/>
      <c r="M94" s="247"/>
      <c r="N94" s="247"/>
      <c r="O94" s="248"/>
      <c r="Q94" s="5"/>
      <c r="R94" s="5"/>
      <c r="S94" s="5"/>
      <c r="Y94" s="21"/>
      <c r="Z94" s="21"/>
    </row>
    <row r="95" spans="2:26">
      <c r="B95" s="5"/>
      <c r="C95" s="259"/>
      <c r="D95" s="247"/>
      <c r="E95" s="247"/>
      <c r="F95" s="247"/>
      <c r="G95" s="247"/>
      <c r="H95" s="247"/>
      <c r="I95" s="248"/>
      <c r="J95" s="247"/>
      <c r="K95" s="247"/>
      <c r="L95" s="247"/>
      <c r="M95" s="247"/>
      <c r="N95" s="247"/>
      <c r="O95" s="248"/>
      <c r="Q95" s="5"/>
      <c r="R95" s="5"/>
      <c r="S95" s="5"/>
    </row>
    <row r="96" spans="2:26">
      <c r="B96" s="5"/>
      <c r="C96" s="259"/>
      <c r="D96" s="247"/>
      <c r="E96" s="247"/>
      <c r="F96" s="247"/>
      <c r="G96" s="247"/>
      <c r="H96" s="247"/>
      <c r="I96" s="247"/>
      <c r="J96" s="247"/>
      <c r="K96" s="247"/>
      <c r="L96" s="247"/>
      <c r="M96" s="247"/>
      <c r="N96" s="247"/>
      <c r="O96" s="248"/>
      <c r="Q96" s="5"/>
      <c r="R96" s="5"/>
      <c r="S96" s="5"/>
    </row>
    <row r="97" spans="2:19">
      <c r="B97" s="5"/>
      <c r="C97" s="259"/>
      <c r="D97" s="248"/>
      <c r="E97" s="248"/>
      <c r="F97" s="248"/>
      <c r="G97" s="248"/>
      <c r="H97" s="248"/>
      <c r="I97" s="249"/>
      <c r="J97" s="248"/>
      <c r="K97" s="248"/>
      <c r="L97" s="248"/>
      <c r="M97" s="248"/>
      <c r="N97" s="248"/>
      <c r="O97" s="248"/>
      <c r="Q97" s="5"/>
      <c r="R97" s="5"/>
      <c r="S97" s="5"/>
    </row>
    <row r="98" spans="2:19">
      <c r="B98" s="5"/>
      <c r="C98" s="259"/>
      <c r="D98" s="247"/>
      <c r="E98" s="247"/>
      <c r="F98" s="247"/>
      <c r="G98" s="247"/>
      <c r="H98" s="247"/>
      <c r="I98" s="248"/>
      <c r="J98" s="247"/>
      <c r="K98" s="247"/>
      <c r="L98" s="247"/>
      <c r="M98" s="247"/>
      <c r="N98" s="247"/>
      <c r="O98" s="248"/>
      <c r="Q98" s="5"/>
      <c r="R98" s="5"/>
      <c r="S98" s="5"/>
    </row>
    <row r="99" spans="2:19">
      <c r="B99" s="41"/>
      <c r="C99" s="249"/>
      <c r="D99" s="249"/>
      <c r="E99" s="249"/>
      <c r="F99" s="249"/>
      <c r="G99" s="249"/>
      <c r="H99" s="249"/>
      <c r="I99" s="5"/>
      <c r="J99" s="249"/>
      <c r="K99" s="249"/>
      <c r="L99" s="249"/>
      <c r="M99" s="249"/>
      <c r="N99" s="249"/>
      <c r="O99" s="248"/>
      <c r="Q99" s="5"/>
      <c r="R99" s="5"/>
      <c r="S99" s="5"/>
    </row>
    <row r="100" spans="2:19">
      <c r="B100" s="41"/>
      <c r="C100" s="257"/>
      <c r="D100" s="248"/>
      <c r="E100" s="248"/>
      <c r="F100" s="248"/>
      <c r="G100" s="248"/>
      <c r="H100" s="248"/>
      <c r="I100" s="259"/>
      <c r="J100" s="248"/>
      <c r="K100" s="248"/>
      <c r="L100" s="248"/>
      <c r="M100" s="248"/>
      <c r="N100" s="248"/>
      <c r="O100" s="248"/>
      <c r="Q100" s="5"/>
      <c r="R100" s="5"/>
      <c r="S100" s="5"/>
    </row>
    <row r="101" spans="2:19" s="5" customFormat="1">
      <c r="B101" s="41"/>
      <c r="I101" s="259"/>
      <c r="O101" s="248"/>
      <c r="P101" s="39"/>
    </row>
    <row r="102" spans="2:19">
      <c r="B102" s="5"/>
      <c r="C102" s="259"/>
      <c r="D102" s="259"/>
      <c r="E102" s="259"/>
      <c r="F102" s="259"/>
      <c r="G102" s="259"/>
      <c r="H102" s="259"/>
      <c r="I102" s="247"/>
      <c r="J102" s="259"/>
      <c r="K102" s="259"/>
      <c r="L102" s="259"/>
      <c r="M102" s="259"/>
      <c r="N102" s="259"/>
      <c r="O102" s="5"/>
      <c r="Q102" s="5"/>
      <c r="R102" s="5"/>
      <c r="S102" s="5"/>
    </row>
    <row r="103" spans="2:19">
      <c r="B103" s="5"/>
      <c r="C103" s="259"/>
      <c r="D103" s="259"/>
      <c r="E103" s="259"/>
      <c r="F103" s="259"/>
      <c r="G103" s="259"/>
      <c r="H103" s="259"/>
      <c r="I103" s="5"/>
      <c r="J103" s="259"/>
      <c r="K103" s="259"/>
      <c r="L103" s="259"/>
      <c r="M103" s="259"/>
      <c r="N103" s="259"/>
      <c r="O103" s="5"/>
      <c r="P103" s="5"/>
      <c r="Q103" s="5"/>
      <c r="R103" s="5"/>
      <c r="S103" s="5"/>
    </row>
    <row r="104" spans="2:19">
      <c r="B104" s="5"/>
      <c r="C104" s="247"/>
      <c r="D104" s="247"/>
      <c r="E104" s="247"/>
      <c r="F104" s="247"/>
      <c r="G104" s="247"/>
      <c r="H104" s="247"/>
      <c r="I104" s="247"/>
      <c r="J104" s="247"/>
      <c r="K104" s="247"/>
      <c r="L104" s="247"/>
      <c r="M104" s="247"/>
      <c r="N104" s="247"/>
      <c r="O104" s="5"/>
      <c r="Q104" s="5"/>
      <c r="R104" s="5"/>
      <c r="S104" s="5"/>
    </row>
    <row r="105" spans="2:19" s="5" customFormat="1">
      <c r="P105" s="39"/>
    </row>
    <row r="106" spans="2:19" s="5" customFormat="1">
      <c r="C106" s="259"/>
      <c r="D106" s="247"/>
      <c r="E106" s="247"/>
      <c r="F106" s="247"/>
      <c r="G106" s="247"/>
      <c r="H106" s="247"/>
      <c r="I106" s="259"/>
      <c r="J106" s="247"/>
      <c r="K106" s="247"/>
      <c r="L106" s="247"/>
      <c r="M106" s="247"/>
      <c r="N106" s="247"/>
      <c r="P106" s="39"/>
    </row>
    <row r="107" spans="2:19">
      <c r="B107" s="5"/>
      <c r="C107" s="259"/>
      <c r="D107" s="5"/>
      <c r="E107" s="5"/>
      <c r="F107" s="5"/>
      <c r="G107" s="5"/>
      <c r="H107" s="5"/>
      <c r="I107" s="247"/>
      <c r="J107" s="5"/>
      <c r="K107" s="5"/>
      <c r="L107" s="5"/>
      <c r="M107" s="5"/>
      <c r="N107" s="5"/>
      <c r="O107" s="5"/>
      <c r="P107" s="5"/>
      <c r="Q107" s="5"/>
      <c r="R107" s="5"/>
      <c r="S107" s="5"/>
    </row>
    <row r="108" spans="2:19">
      <c r="B108" s="5"/>
      <c r="C108" s="259"/>
      <c r="D108" s="259"/>
      <c r="E108" s="259"/>
      <c r="F108" s="259"/>
      <c r="G108" s="259"/>
      <c r="H108" s="259"/>
      <c r="I108" s="249"/>
      <c r="J108" s="259"/>
      <c r="K108" s="259"/>
      <c r="L108" s="259"/>
      <c r="M108" s="259"/>
      <c r="N108" s="259"/>
      <c r="O108" s="5"/>
      <c r="P108" s="5"/>
      <c r="Q108" s="5"/>
      <c r="R108" s="5"/>
      <c r="S108" s="5"/>
    </row>
    <row r="109" spans="2:19">
      <c r="B109" s="5"/>
      <c r="C109" s="247"/>
      <c r="D109" s="247"/>
      <c r="E109" s="247"/>
      <c r="F109" s="247"/>
      <c r="G109" s="247"/>
      <c r="H109" s="247"/>
      <c r="I109" s="249"/>
      <c r="J109" s="247"/>
      <c r="K109" s="247"/>
      <c r="L109" s="247"/>
      <c r="M109" s="247"/>
      <c r="N109" s="247"/>
      <c r="O109" s="5"/>
      <c r="Q109" s="5"/>
      <c r="R109" s="5"/>
      <c r="S109" s="5"/>
    </row>
    <row r="110" spans="2:19">
      <c r="B110" s="41"/>
      <c r="C110" s="249"/>
      <c r="D110" s="249"/>
      <c r="E110" s="249"/>
      <c r="F110" s="249"/>
      <c r="G110" s="249"/>
      <c r="H110" s="249"/>
      <c r="I110" s="247"/>
      <c r="J110" s="249"/>
      <c r="K110" s="249"/>
      <c r="L110" s="249"/>
      <c r="M110" s="249"/>
      <c r="N110" s="249"/>
      <c r="O110" s="5"/>
      <c r="Q110" s="5"/>
      <c r="R110" s="5"/>
      <c r="S110" s="5"/>
    </row>
    <row r="111" spans="2:19">
      <c r="B111" s="5"/>
      <c r="C111" s="249"/>
      <c r="D111" s="249"/>
      <c r="E111" s="249"/>
      <c r="F111" s="249"/>
      <c r="G111" s="249"/>
      <c r="H111" s="249"/>
      <c r="I111" s="5"/>
      <c r="J111" s="249"/>
      <c r="K111" s="249"/>
      <c r="L111" s="249"/>
      <c r="M111" s="249"/>
      <c r="N111" s="249"/>
      <c r="O111" s="5"/>
      <c r="Q111" s="5"/>
      <c r="R111" s="5"/>
      <c r="S111" s="5"/>
    </row>
    <row r="112" spans="2:19">
      <c r="B112" s="5"/>
      <c r="C112" s="247"/>
      <c r="D112" s="247"/>
      <c r="E112" s="247"/>
      <c r="F112" s="247"/>
      <c r="G112" s="247"/>
      <c r="H112" s="247"/>
      <c r="I112" s="5"/>
      <c r="J112" s="247"/>
      <c r="K112" s="247"/>
      <c r="L112" s="247"/>
      <c r="M112" s="247"/>
      <c r="N112" s="247"/>
      <c r="O112" s="5"/>
      <c r="Q112" s="5"/>
      <c r="R112" s="5"/>
      <c r="S112" s="5"/>
    </row>
    <row r="113" spans="2:19">
      <c r="B113" s="5"/>
      <c r="C113" s="5"/>
      <c r="D113" s="5"/>
      <c r="E113" s="5"/>
      <c r="F113" s="5"/>
      <c r="G113" s="5"/>
      <c r="H113" s="5"/>
      <c r="I113" s="5"/>
      <c r="J113" s="5"/>
      <c r="K113" s="5"/>
      <c r="L113" s="5"/>
      <c r="M113" s="5"/>
      <c r="N113" s="5"/>
      <c r="O113" s="5"/>
      <c r="Q113" s="5"/>
      <c r="R113" s="5"/>
      <c r="S113" s="5"/>
    </row>
    <row r="114" spans="2:19">
      <c r="B114" s="5"/>
      <c r="C114" s="5"/>
      <c r="D114" s="5"/>
      <c r="E114" s="5"/>
      <c r="F114" s="5"/>
      <c r="G114" s="5"/>
      <c r="H114" s="5"/>
      <c r="I114" s="5"/>
      <c r="J114" s="5"/>
      <c r="K114" s="5"/>
      <c r="L114" s="5"/>
      <c r="M114" s="5"/>
      <c r="N114" s="5"/>
      <c r="O114" s="5"/>
      <c r="Q114" s="5"/>
      <c r="R114" s="5"/>
      <c r="S114" s="5"/>
    </row>
    <row r="115" spans="2:19">
      <c r="B115" s="5"/>
      <c r="C115" s="5"/>
      <c r="D115" s="5"/>
      <c r="E115" s="5"/>
      <c r="F115" s="5"/>
      <c r="G115" s="5"/>
      <c r="H115" s="5"/>
      <c r="I115" s="49"/>
      <c r="J115" s="5"/>
      <c r="K115" s="5"/>
      <c r="L115" s="5"/>
      <c r="M115" s="5"/>
      <c r="N115" s="5"/>
      <c r="O115" s="5"/>
      <c r="Q115" s="41"/>
      <c r="R115" s="5"/>
      <c r="S115" s="5"/>
    </row>
    <row r="116" spans="2:19">
      <c r="B116" s="5"/>
      <c r="C116" s="5"/>
      <c r="D116" s="5"/>
      <c r="E116" s="5"/>
      <c r="F116" s="5"/>
      <c r="G116" s="5"/>
      <c r="H116" s="5"/>
      <c r="I116" s="5"/>
      <c r="J116" s="5"/>
      <c r="K116" s="5"/>
      <c r="L116" s="5"/>
      <c r="M116" s="5"/>
      <c r="N116" s="5"/>
      <c r="O116" s="5"/>
      <c r="Q116" s="5"/>
      <c r="R116" s="5"/>
      <c r="S116" s="5"/>
    </row>
    <row r="117" spans="2:19">
      <c r="B117" s="41"/>
      <c r="C117" s="49"/>
      <c r="D117" s="49"/>
      <c r="E117" s="49"/>
      <c r="F117" s="49"/>
      <c r="G117" s="49"/>
      <c r="H117" s="49"/>
      <c r="I117" s="254"/>
      <c r="J117" s="49"/>
      <c r="K117" s="49"/>
      <c r="L117" s="49"/>
      <c r="M117" s="49"/>
      <c r="N117" s="49"/>
      <c r="O117" s="49"/>
      <c r="Q117" s="5"/>
      <c r="R117" s="5"/>
      <c r="S117" s="5"/>
    </row>
    <row r="118" spans="2:19">
      <c r="B118" s="5"/>
      <c r="C118" s="5"/>
      <c r="D118" s="5"/>
      <c r="E118" s="5"/>
      <c r="F118" s="5"/>
      <c r="G118" s="5"/>
      <c r="H118" s="5"/>
      <c r="I118" s="249"/>
      <c r="J118" s="5"/>
      <c r="K118" s="5"/>
      <c r="L118" s="5"/>
      <c r="M118" s="5"/>
      <c r="N118" s="5"/>
      <c r="O118" s="5"/>
      <c r="Q118" s="5"/>
      <c r="R118" s="5"/>
      <c r="S118" s="5"/>
    </row>
    <row r="119" spans="2:19">
      <c r="B119" s="41"/>
      <c r="C119" s="254"/>
      <c r="D119" s="254"/>
      <c r="E119" s="254"/>
      <c r="F119" s="254"/>
      <c r="G119" s="254"/>
      <c r="H119" s="254"/>
      <c r="I119" s="254"/>
      <c r="J119" s="254"/>
      <c r="K119" s="254"/>
      <c r="L119" s="254"/>
      <c r="M119" s="254"/>
      <c r="N119" s="254"/>
      <c r="O119" s="248"/>
      <c r="Q119" s="5"/>
      <c r="R119" s="5"/>
      <c r="S119" s="5"/>
    </row>
    <row r="120" spans="2:19">
      <c r="B120" s="41"/>
      <c r="C120" s="254"/>
      <c r="D120" s="249"/>
      <c r="E120" s="249"/>
      <c r="F120" s="249"/>
      <c r="G120" s="249"/>
      <c r="H120" s="249"/>
      <c r="I120" s="254"/>
      <c r="J120" s="249"/>
      <c r="K120" s="249"/>
      <c r="L120" s="249"/>
      <c r="M120" s="249"/>
      <c r="N120" s="249"/>
      <c r="O120" s="248"/>
      <c r="Q120" s="5"/>
      <c r="R120" s="5"/>
      <c r="S120" s="5"/>
    </row>
    <row r="121" spans="2:19">
      <c r="B121" s="41"/>
      <c r="C121" s="254"/>
      <c r="D121" s="254"/>
      <c r="E121" s="254"/>
      <c r="F121" s="254"/>
      <c r="G121" s="254"/>
      <c r="H121" s="254"/>
      <c r="I121" s="254"/>
      <c r="J121" s="254"/>
      <c r="K121" s="254"/>
      <c r="L121" s="254"/>
      <c r="M121" s="254"/>
      <c r="N121" s="254"/>
      <c r="O121" s="248"/>
      <c r="Q121" s="5"/>
      <c r="R121" s="5"/>
      <c r="S121" s="5"/>
    </row>
    <row r="122" spans="2:19">
      <c r="B122" s="41"/>
      <c r="C122" s="254"/>
      <c r="D122" s="254"/>
      <c r="E122" s="254"/>
      <c r="F122" s="254"/>
      <c r="G122" s="254"/>
      <c r="H122" s="254"/>
      <c r="I122" s="254"/>
      <c r="J122" s="254"/>
      <c r="K122" s="254"/>
      <c r="L122" s="254"/>
      <c r="M122" s="254"/>
      <c r="N122" s="254"/>
      <c r="O122" s="248"/>
      <c r="Q122" s="5"/>
      <c r="R122" s="5"/>
      <c r="S122" s="5"/>
    </row>
    <row r="123" spans="2:19">
      <c r="B123" s="41"/>
      <c r="C123" s="254"/>
      <c r="D123" s="254"/>
      <c r="E123" s="254"/>
      <c r="F123" s="254"/>
      <c r="G123" s="254"/>
      <c r="H123" s="254"/>
      <c r="I123" s="254"/>
      <c r="J123" s="254"/>
      <c r="K123" s="254"/>
      <c r="L123" s="254"/>
      <c r="M123" s="254"/>
      <c r="N123" s="254"/>
      <c r="O123" s="248"/>
      <c r="Q123" s="5"/>
      <c r="R123" s="5"/>
      <c r="S123" s="5"/>
    </row>
    <row r="124" spans="2:19">
      <c r="B124" s="41"/>
      <c r="C124" s="254"/>
      <c r="D124" s="254"/>
      <c r="E124" s="254"/>
      <c r="F124" s="254"/>
      <c r="G124" s="254"/>
      <c r="H124" s="254"/>
      <c r="I124" s="254"/>
      <c r="J124" s="254"/>
      <c r="K124" s="254"/>
      <c r="L124" s="254"/>
      <c r="M124" s="254"/>
      <c r="N124" s="254"/>
      <c r="O124" s="248"/>
      <c r="Q124" s="5"/>
      <c r="R124" s="5"/>
      <c r="S124" s="5"/>
    </row>
    <row r="125" spans="2:19">
      <c r="B125" s="41"/>
      <c r="C125" s="254"/>
      <c r="D125" s="254"/>
      <c r="E125" s="254"/>
      <c r="F125" s="254"/>
      <c r="G125" s="254"/>
      <c r="H125" s="254"/>
      <c r="I125" s="254"/>
      <c r="J125" s="254"/>
      <c r="K125" s="254"/>
      <c r="L125" s="254"/>
      <c r="M125" s="254"/>
      <c r="N125" s="254"/>
      <c r="O125" s="5"/>
      <c r="Q125" s="5"/>
      <c r="R125" s="5"/>
      <c r="S125" s="5"/>
    </row>
    <row r="126" spans="2:19">
      <c r="B126" s="41"/>
      <c r="C126" s="254"/>
      <c r="D126" s="254"/>
      <c r="E126" s="254"/>
      <c r="F126" s="254"/>
      <c r="G126" s="254"/>
      <c r="H126" s="254"/>
      <c r="I126" s="254"/>
      <c r="J126" s="254"/>
      <c r="K126" s="254"/>
      <c r="L126" s="254"/>
      <c r="M126" s="254"/>
      <c r="N126" s="254"/>
      <c r="O126" s="5"/>
      <c r="Q126" s="5"/>
      <c r="R126" s="5"/>
      <c r="S126" s="5"/>
    </row>
    <row r="127" spans="2:19">
      <c r="B127" s="41"/>
      <c r="C127" s="254"/>
      <c r="D127" s="254"/>
      <c r="E127" s="254"/>
      <c r="F127" s="254"/>
      <c r="G127" s="254"/>
      <c r="H127" s="254"/>
      <c r="I127" s="18"/>
      <c r="J127" s="254"/>
      <c r="K127" s="254"/>
      <c r="L127" s="254"/>
      <c r="M127" s="254"/>
      <c r="N127" s="254"/>
      <c r="O127" s="5"/>
      <c r="Q127" s="5"/>
      <c r="R127" s="5"/>
      <c r="S127" s="5"/>
    </row>
    <row r="128" spans="2:19">
      <c r="B128" s="41"/>
      <c r="C128" s="254"/>
      <c r="D128" s="254"/>
      <c r="E128" s="254"/>
      <c r="F128" s="254"/>
      <c r="G128" s="254"/>
      <c r="H128" s="254"/>
      <c r="I128" s="5"/>
      <c r="J128" s="254"/>
      <c r="K128" s="254"/>
      <c r="L128" s="254"/>
      <c r="M128" s="254"/>
      <c r="N128" s="254"/>
      <c r="O128" s="5"/>
      <c r="Q128" s="5"/>
      <c r="R128" s="5"/>
      <c r="S128" s="5"/>
    </row>
    <row r="129" spans="2:27">
      <c r="B129" s="5"/>
      <c r="C129" s="5"/>
      <c r="D129" s="18"/>
      <c r="E129" s="18"/>
      <c r="F129" s="18"/>
      <c r="G129" s="18"/>
      <c r="H129" s="18"/>
      <c r="I129" s="254"/>
      <c r="J129" s="18"/>
      <c r="K129" s="18"/>
      <c r="L129" s="18"/>
      <c r="M129" s="18"/>
      <c r="N129" s="18"/>
      <c r="O129" s="5"/>
      <c r="Q129" s="5"/>
      <c r="R129" s="5"/>
      <c r="S129" s="5"/>
    </row>
    <row r="130" spans="2:27">
      <c r="B130" s="5"/>
      <c r="C130" s="5"/>
      <c r="D130" s="5"/>
      <c r="E130" s="5"/>
      <c r="F130" s="5"/>
      <c r="G130" s="5"/>
      <c r="H130" s="5"/>
      <c r="I130" s="18"/>
      <c r="J130" s="5"/>
      <c r="K130" s="5"/>
      <c r="L130" s="5"/>
      <c r="M130" s="5"/>
      <c r="N130" s="5"/>
      <c r="O130" s="5"/>
      <c r="Q130" s="5"/>
      <c r="R130" s="5"/>
      <c r="S130" s="5"/>
    </row>
    <row r="131" spans="2:27">
      <c r="B131" s="41"/>
      <c r="C131" s="254"/>
      <c r="D131" s="254"/>
      <c r="E131" s="254"/>
      <c r="F131" s="254"/>
      <c r="G131" s="254"/>
      <c r="H131" s="254"/>
      <c r="I131" s="5"/>
      <c r="J131" s="254"/>
      <c r="K131" s="254"/>
      <c r="L131" s="254"/>
      <c r="M131" s="254"/>
      <c r="N131" s="254"/>
      <c r="O131" s="5"/>
      <c r="Q131" s="5"/>
      <c r="R131" s="5"/>
      <c r="S131" s="5"/>
    </row>
    <row r="132" spans="2:27">
      <c r="B132" s="5"/>
      <c r="C132" s="259"/>
      <c r="D132" s="18"/>
      <c r="E132" s="18"/>
      <c r="F132" s="18"/>
      <c r="G132" s="18"/>
      <c r="H132" s="18"/>
      <c r="I132" s="5"/>
      <c r="J132" s="18"/>
      <c r="K132" s="18"/>
      <c r="L132" s="18"/>
      <c r="M132" s="18"/>
      <c r="N132" s="18"/>
      <c r="O132" s="5"/>
      <c r="Q132" s="5"/>
      <c r="R132" s="5"/>
      <c r="S132" s="5"/>
    </row>
    <row r="133" spans="2:27">
      <c r="B133" s="5"/>
      <c r="C133" s="5"/>
      <c r="D133" s="5"/>
      <c r="E133" s="5"/>
      <c r="F133" s="5"/>
      <c r="G133" s="5"/>
      <c r="H133" s="5"/>
      <c r="I133" s="17"/>
      <c r="J133" s="5"/>
      <c r="K133" s="5"/>
      <c r="L133" s="5"/>
      <c r="M133" s="5"/>
      <c r="N133" s="5"/>
      <c r="O133" s="5"/>
      <c r="Q133" s="5"/>
      <c r="R133" s="5"/>
      <c r="S133" s="5"/>
    </row>
    <row r="134" spans="2:27">
      <c r="B134" s="41"/>
      <c r="C134" s="5"/>
      <c r="D134" s="5"/>
      <c r="E134" s="5"/>
      <c r="F134" s="5"/>
      <c r="G134" s="5"/>
      <c r="H134" s="5"/>
      <c r="I134" s="17"/>
      <c r="J134" s="5"/>
      <c r="K134" s="5"/>
      <c r="L134" s="5"/>
      <c r="M134" s="5"/>
      <c r="N134" s="5"/>
      <c r="O134" s="5"/>
      <c r="Q134" s="5"/>
      <c r="R134" s="5"/>
      <c r="S134" s="5"/>
    </row>
    <row r="135" spans="2:27">
      <c r="B135" s="5"/>
      <c r="C135" s="17"/>
      <c r="D135" s="17"/>
      <c r="E135" s="17"/>
      <c r="F135" s="17"/>
      <c r="G135" s="17"/>
      <c r="H135" s="17"/>
      <c r="I135" s="17"/>
      <c r="J135" s="17"/>
      <c r="K135" s="17"/>
      <c r="L135" s="17"/>
      <c r="M135" s="17"/>
      <c r="N135" s="17"/>
      <c r="O135" s="5"/>
      <c r="Q135" s="41"/>
      <c r="R135" s="5"/>
      <c r="S135" s="5"/>
    </row>
    <row r="136" spans="2:27">
      <c r="B136" s="5"/>
      <c r="C136" s="17"/>
      <c r="D136" s="17"/>
      <c r="E136" s="17"/>
      <c r="F136" s="17"/>
      <c r="G136" s="17"/>
      <c r="H136" s="17"/>
      <c r="I136" s="17"/>
      <c r="J136" s="17"/>
      <c r="K136" s="17"/>
      <c r="L136" s="17"/>
      <c r="M136" s="17"/>
      <c r="N136" s="17"/>
      <c r="O136" s="5"/>
      <c r="Q136" s="5"/>
      <c r="R136" s="5"/>
      <c r="S136" s="5"/>
      <c r="X136" s="304"/>
    </row>
    <row r="137" spans="2:27">
      <c r="B137" s="5"/>
      <c r="C137" s="5"/>
      <c r="D137" s="17"/>
      <c r="E137" s="17"/>
      <c r="F137" s="17"/>
      <c r="G137" s="17"/>
      <c r="H137" s="17"/>
      <c r="I137" s="17"/>
      <c r="J137" s="17"/>
      <c r="K137" s="17"/>
      <c r="L137" s="17"/>
      <c r="M137" s="17"/>
      <c r="N137" s="17"/>
      <c r="O137" s="5"/>
      <c r="Q137" s="5"/>
      <c r="R137" s="5"/>
      <c r="S137" s="5"/>
      <c r="X137" s="10"/>
      <c r="Y137" s="304"/>
      <c r="Z137" s="304"/>
      <c r="AA137" s="304"/>
    </row>
    <row r="138" spans="2:27">
      <c r="B138" s="5"/>
      <c r="C138" s="5"/>
      <c r="D138" s="17"/>
      <c r="E138" s="17"/>
      <c r="F138" s="17"/>
      <c r="G138" s="17"/>
      <c r="H138" s="17"/>
      <c r="I138" s="17"/>
      <c r="J138" s="17"/>
      <c r="K138" s="17"/>
      <c r="L138" s="17"/>
      <c r="M138" s="17"/>
      <c r="N138" s="17"/>
      <c r="O138" s="5"/>
      <c r="Q138" s="5"/>
      <c r="R138" s="5"/>
      <c r="S138" s="5"/>
      <c r="Y138" s="10"/>
      <c r="Z138" s="10"/>
      <c r="AA138" s="10"/>
    </row>
    <row r="139" spans="2:27">
      <c r="B139" s="5"/>
      <c r="C139" s="5"/>
      <c r="D139" s="17"/>
      <c r="E139" s="17"/>
      <c r="F139" s="17"/>
      <c r="G139" s="17"/>
      <c r="H139" s="17"/>
      <c r="I139" s="5"/>
      <c r="J139" s="17"/>
      <c r="K139" s="17"/>
      <c r="L139" s="17"/>
      <c r="M139" s="17"/>
      <c r="N139" s="17"/>
      <c r="O139" s="5"/>
      <c r="Q139" s="5"/>
      <c r="R139" s="5"/>
      <c r="S139" s="5"/>
    </row>
    <row r="140" spans="2:27">
      <c r="B140" s="5"/>
      <c r="C140" s="17"/>
      <c r="D140" s="17"/>
      <c r="E140" s="17"/>
      <c r="F140" s="17"/>
      <c r="G140" s="17"/>
      <c r="H140" s="17"/>
      <c r="I140" s="5"/>
      <c r="J140" s="17"/>
      <c r="K140" s="17"/>
      <c r="L140" s="17"/>
      <c r="M140" s="17"/>
      <c r="N140" s="17"/>
      <c r="O140" s="5"/>
      <c r="Q140" s="5"/>
      <c r="R140" s="5"/>
      <c r="S140" s="5"/>
    </row>
    <row r="141" spans="2:27">
      <c r="B141" s="5"/>
      <c r="C141" s="5"/>
      <c r="D141" s="5"/>
      <c r="E141" s="5"/>
      <c r="F141" s="5"/>
      <c r="G141" s="5"/>
      <c r="H141" s="5"/>
      <c r="I141" s="5"/>
      <c r="J141" s="5"/>
      <c r="K141" s="5"/>
      <c r="L141" s="5"/>
      <c r="M141" s="5"/>
      <c r="N141" s="5"/>
      <c r="O141" s="5"/>
      <c r="Q141" s="5"/>
      <c r="R141" s="5"/>
      <c r="S141" s="5"/>
    </row>
    <row r="142" spans="2:27">
      <c r="B142" s="5"/>
      <c r="C142" s="5"/>
      <c r="D142" s="5"/>
      <c r="E142" s="5"/>
      <c r="F142" s="5"/>
      <c r="G142" s="5"/>
      <c r="H142" s="5"/>
      <c r="I142" s="5"/>
      <c r="J142" s="5"/>
      <c r="K142" s="5"/>
      <c r="L142" s="5"/>
      <c r="M142" s="5"/>
      <c r="N142" s="5"/>
      <c r="O142" s="5"/>
      <c r="Q142" s="5"/>
      <c r="R142" s="5"/>
      <c r="S142" s="5"/>
    </row>
    <row r="143" spans="2:27">
      <c r="B143" s="5"/>
      <c r="C143" s="5"/>
      <c r="D143" s="5"/>
      <c r="E143" s="5"/>
      <c r="F143" s="5"/>
      <c r="G143" s="5"/>
      <c r="H143" s="5"/>
      <c r="I143" s="5"/>
      <c r="J143" s="5"/>
      <c r="K143" s="5"/>
      <c r="L143" s="5"/>
      <c r="M143" s="5"/>
      <c r="N143" s="5"/>
      <c r="O143" s="5"/>
      <c r="Q143" s="5"/>
      <c r="R143" s="5"/>
      <c r="S143" s="5"/>
    </row>
    <row r="144" spans="2:27">
      <c r="B144" s="5"/>
      <c r="C144" s="5"/>
      <c r="D144" s="5"/>
      <c r="E144" s="5"/>
      <c r="F144" s="5"/>
      <c r="G144" s="5"/>
      <c r="H144" s="5"/>
      <c r="I144" s="5"/>
      <c r="J144" s="5"/>
      <c r="K144" s="5"/>
      <c r="L144" s="5"/>
      <c r="M144" s="5"/>
      <c r="N144" s="5"/>
      <c r="O144" s="5"/>
      <c r="Q144" s="5"/>
      <c r="R144" s="5"/>
      <c r="S144" s="5"/>
    </row>
    <row r="145" spans="2:19">
      <c r="B145" s="5"/>
      <c r="C145" s="5"/>
      <c r="D145" s="5"/>
      <c r="E145" s="5"/>
      <c r="F145" s="5"/>
      <c r="G145" s="5"/>
      <c r="H145" s="5"/>
      <c r="I145" s="5"/>
      <c r="J145" s="5"/>
      <c r="K145" s="5"/>
      <c r="L145" s="5"/>
      <c r="M145" s="5"/>
      <c r="N145" s="5"/>
      <c r="O145" s="5"/>
      <c r="Q145" s="5"/>
      <c r="R145" s="5"/>
      <c r="S145" s="5"/>
    </row>
    <row r="146" spans="2:19">
      <c r="B146" s="5"/>
      <c r="C146" s="5"/>
      <c r="D146" s="5"/>
      <c r="E146" s="5"/>
      <c r="F146" s="5"/>
      <c r="G146" s="5"/>
      <c r="H146" s="5"/>
      <c r="I146" s="5"/>
      <c r="J146" s="5"/>
      <c r="K146" s="5"/>
      <c r="L146" s="5"/>
      <c r="M146" s="5"/>
      <c r="N146" s="5"/>
      <c r="O146" s="5"/>
      <c r="Q146" s="5"/>
      <c r="R146" s="5"/>
      <c r="S146" s="5"/>
    </row>
    <row r="147" spans="2:19">
      <c r="B147" s="5"/>
      <c r="C147" s="5"/>
      <c r="D147" s="5"/>
      <c r="E147" s="5"/>
      <c r="F147" s="5"/>
      <c r="G147" s="5"/>
      <c r="H147" s="5"/>
      <c r="I147" s="5"/>
      <c r="J147" s="5"/>
      <c r="K147" s="5"/>
      <c r="L147" s="5"/>
      <c r="M147" s="5"/>
      <c r="N147" s="5"/>
      <c r="O147" s="5"/>
      <c r="Q147" s="5"/>
      <c r="R147" s="5"/>
      <c r="S147" s="5"/>
    </row>
    <row r="148" spans="2:19">
      <c r="B148" s="5"/>
      <c r="C148" s="5"/>
      <c r="D148" s="5"/>
      <c r="E148" s="5"/>
      <c r="F148" s="5"/>
      <c r="G148" s="5"/>
      <c r="H148" s="5"/>
      <c r="I148" s="5"/>
      <c r="J148" s="5"/>
      <c r="K148" s="5"/>
      <c r="L148" s="5"/>
      <c r="M148" s="5"/>
      <c r="N148" s="5"/>
      <c r="O148" s="5"/>
      <c r="Q148" s="5"/>
      <c r="R148" s="5"/>
      <c r="S148" s="5"/>
    </row>
    <row r="149" spans="2:19">
      <c r="B149" s="5"/>
      <c r="C149" s="5"/>
      <c r="D149" s="5"/>
      <c r="E149" s="5"/>
      <c r="F149" s="5"/>
      <c r="G149" s="5"/>
      <c r="H149" s="5"/>
      <c r="J149" s="5"/>
      <c r="K149" s="5"/>
      <c r="L149" s="5"/>
      <c r="M149" s="5"/>
      <c r="N149" s="5"/>
      <c r="O149" s="5"/>
      <c r="Q149" s="5"/>
      <c r="R149" s="5"/>
      <c r="S149" s="5"/>
    </row>
    <row r="150" spans="2:19">
      <c r="B150" s="5"/>
      <c r="C150" s="5"/>
      <c r="D150" s="5"/>
      <c r="E150" s="5"/>
      <c r="F150" s="5"/>
      <c r="G150" s="5"/>
      <c r="H150" s="5"/>
      <c r="J150" s="5"/>
      <c r="K150" s="5"/>
      <c r="L150" s="5"/>
      <c r="M150" s="5"/>
      <c r="N150" s="5"/>
      <c r="O150" s="5"/>
      <c r="Q150" s="5"/>
      <c r="R150" s="5"/>
      <c r="S150" s="5"/>
    </row>
    <row r="151" spans="2:19">
      <c r="Q151" s="5"/>
      <c r="R151" s="5"/>
      <c r="S151" s="5"/>
    </row>
    <row r="152" spans="2:19">
      <c r="Q152" s="5"/>
      <c r="R152" s="5"/>
      <c r="S152" s="5"/>
    </row>
    <row r="153" spans="2:19">
      <c r="C153" s="263"/>
      <c r="Q153" s="5"/>
      <c r="R153" s="5"/>
      <c r="S153" s="5"/>
    </row>
    <row r="154" spans="2:19">
      <c r="Q154" s="5"/>
      <c r="R154" s="5"/>
      <c r="S154" s="5"/>
    </row>
    <row r="155" spans="2:19">
      <c r="Q155" s="5"/>
      <c r="R155" s="5"/>
      <c r="S155" s="5"/>
    </row>
    <row r="156" spans="2:19">
      <c r="Q156" s="5"/>
      <c r="R156" s="5"/>
      <c r="S156" s="5"/>
    </row>
    <row r="157" spans="2:19">
      <c r="Q157" s="5"/>
      <c r="R157" s="5"/>
      <c r="S157" s="5"/>
    </row>
    <row r="158" spans="2:19">
      <c r="Q158" s="5"/>
      <c r="R158" s="5"/>
      <c r="S158" s="5"/>
    </row>
    <row r="159" spans="2:19">
      <c r="Q159" s="5"/>
      <c r="R159" s="5"/>
      <c r="S159" s="5"/>
    </row>
    <row r="160" spans="2:19">
      <c r="Q160" s="5"/>
      <c r="R160" s="5"/>
      <c r="S160" s="5"/>
    </row>
    <row r="161" spans="17:19">
      <c r="Q161" s="5"/>
      <c r="R161" s="5"/>
      <c r="S161" s="5"/>
    </row>
    <row r="162" spans="17:19">
      <c r="Q162" s="5"/>
      <c r="R162" s="5"/>
      <c r="S162" s="5"/>
    </row>
    <row r="163" spans="17:19">
      <c r="Q163" s="5"/>
      <c r="R163" s="5"/>
      <c r="S163" s="5"/>
    </row>
    <row r="164" spans="17:19">
      <c r="Q164" s="5"/>
      <c r="R164" s="5"/>
      <c r="S164" s="5"/>
    </row>
    <row r="165" spans="17:19">
      <c r="Q165" s="5"/>
      <c r="R165" s="5"/>
      <c r="S165" s="5"/>
    </row>
  </sheetData>
  <pageMargins left="0.75" right="0.75" top="1" bottom="1" header="0.5" footer="0.5"/>
  <pageSetup scale="70" orientation="landscape" r:id="rId1"/>
  <headerFooter alignWithMargins="0"/>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151">
    <pageSetUpPr fitToPage="1"/>
  </sheetPr>
  <dimension ref="B1:AR165"/>
  <sheetViews>
    <sheetView showGridLines="0" zoomScale="80" zoomScaleNormal="80" workbookViewId="0"/>
  </sheetViews>
  <sheetFormatPr defaultColWidth="9.109375" defaultRowHeight="12"/>
  <cols>
    <col min="1" max="1" width="2.33203125" style="39" customWidth="1"/>
    <col min="2" max="2" width="26.5546875" style="39" customWidth="1"/>
    <col min="3" max="9" width="10" style="39" customWidth="1"/>
    <col min="10" max="10" width="26.6640625" style="39" customWidth="1"/>
    <col min="11" max="16" width="10" style="39" customWidth="1"/>
    <col min="17" max="19" width="8.6640625" style="39" customWidth="1"/>
    <col min="20" max="28" width="8.6640625" style="5" customWidth="1"/>
    <col min="29" max="44" width="9.109375" style="5"/>
    <col min="45" max="16384" width="9.109375" style="39"/>
  </cols>
  <sheetData>
    <row r="1" spans="2:44" s="312" customFormat="1">
      <c r="T1" s="149"/>
      <c r="U1" s="149"/>
      <c r="V1" s="149"/>
      <c r="W1" s="149"/>
      <c r="X1" s="149"/>
      <c r="Y1" s="149"/>
      <c r="Z1" s="149"/>
      <c r="AA1" s="149"/>
      <c r="AB1" s="149"/>
      <c r="AC1" s="149"/>
      <c r="AD1" s="149"/>
      <c r="AE1" s="149"/>
      <c r="AF1" s="149"/>
      <c r="AG1" s="149"/>
      <c r="AH1" s="149"/>
      <c r="AI1" s="149"/>
      <c r="AJ1" s="149"/>
      <c r="AK1" s="149"/>
      <c r="AL1" s="149"/>
      <c r="AM1" s="149"/>
      <c r="AN1" s="149"/>
      <c r="AO1" s="149"/>
      <c r="AP1" s="149"/>
      <c r="AQ1" s="149"/>
      <c r="AR1" s="149"/>
    </row>
    <row r="2" spans="2:44" s="149" customFormat="1"/>
    <row r="3" spans="2:44" s="149" customFormat="1">
      <c r="H3" s="153"/>
      <c r="P3" s="153"/>
    </row>
    <row r="4" spans="2:44" s="156" customFormat="1" ht="21">
      <c r="B4" s="129" t="s">
        <v>341</v>
      </c>
      <c r="H4" s="222"/>
      <c r="P4" s="222"/>
    </row>
    <row r="5" spans="2:44" s="149" customFormat="1">
      <c r="C5" s="153"/>
      <c r="D5" s="153" t="str" cm="1">
        <f t="array" ref="D5:H5">headings</f>
        <v>2023E</v>
      </c>
      <c r="E5" s="153" t="str">
        <v>2024E</v>
      </c>
      <c r="F5" s="153" t="str">
        <v>2025E</v>
      </c>
      <c r="G5" s="153" t="str">
        <v>2026E</v>
      </c>
      <c r="H5" s="153" t="str">
        <v>23E-26E</v>
      </c>
      <c r="I5" s="153"/>
      <c r="J5" s="153"/>
      <c r="K5" s="153"/>
      <c r="L5" s="153" t="str" cm="1">
        <f t="array" ref="L5:P5">headings</f>
        <v>2023E</v>
      </c>
      <c r="M5" s="153" t="str">
        <v>2024E</v>
      </c>
      <c r="N5" s="153" t="str">
        <v>2025E</v>
      </c>
      <c r="O5" s="153" t="str">
        <v>2026E</v>
      </c>
      <c r="P5" s="153" t="str">
        <v>23E-26E</v>
      </c>
      <c r="Q5" s="162"/>
      <c r="R5" s="162"/>
      <c r="S5" s="162"/>
      <c r="T5" s="162"/>
      <c r="U5" s="162"/>
      <c r="V5" s="162"/>
      <c r="W5" s="162"/>
      <c r="X5" s="162"/>
      <c r="Y5" s="162"/>
    </row>
    <row r="6" spans="2:44">
      <c r="I6" s="5"/>
      <c r="J6" s="5"/>
      <c r="K6" s="5"/>
      <c r="L6" s="5"/>
      <c r="M6" s="5"/>
      <c r="N6" s="5"/>
      <c r="O6" s="49"/>
    </row>
    <row r="7" spans="2:44" ht="12.6" thickBot="1">
      <c r="B7" s="306" t="s">
        <v>271</v>
      </c>
      <c r="C7" s="265"/>
      <c r="D7" s="265" t="str">
        <f>D5</f>
        <v>2023E</v>
      </c>
      <c r="E7" s="265" t="str">
        <f t="shared" ref="E7:H7" si="0">E5</f>
        <v>2024E</v>
      </c>
      <c r="F7" s="265" t="str">
        <f t="shared" si="0"/>
        <v>2025E</v>
      </c>
      <c r="G7" s="265" t="str">
        <f t="shared" si="0"/>
        <v>2026E</v>
      </c>
      <c r="H7" s="265" t="str">
        <f t="shared" si="0"/>
        <v>23E-26E</v>
      </c>
      <c r="I7" s="49"/>
      <c r="J7" s="306" t="s">
        <v>74</v>
      </c>
      <c r="K7" s="306"/>
      <c r="L7" s="265" t="str">
        <f>L5</f>
        <v>2023E</v>
      </c>
      <c r="M7" s="265" t="str">
        <f t="shared" ref="M7:P7" si="1">M5</f>
        <v>2024E</v>
      </c>
      <c r="N7" s="265" t="str">
        <f t="shared" si="1"/>
        <v>2025E</v>
      </c>
      <c r="O7" s="265" t="str">
        <f t="shared" si="1"/>
        <v>2026E</v>
      </c>
      <c r="P7" s="265" t="str">
        <f t="shared" si="1"/>
        <v>23E-26E</v>
      </c>
    </row>
    <row r="8" spans="2:44" ht="12.6" thickTop="1">
      <c r="B8" s="5"/>
      <c r="C8" s="5"/>
      <c r="D8" s="5"/>
      <c r="E8" s="5"/>
      <c r="F8" s="5"/>
      <c r="G8" s="5"/>
      <c r="H8" s="5"/>
      <c r="I8" s="5"/>
      <c r="J8" s="5"/>
      <c r="K8" s="5"/>
      <c r="L8" s="5"/>
      <c r="M8" s="5"/>
      <c r="N8" s="5"/>
      <c r="S8" s="88"/>
      <c r="T8" s="42"/>
      <c r="U8" s="42"/>
      <c r="V8" s="42"/>
      <c r="W8" s="42"/>
      <c r="X8" s="42"/>
      <c r="Y8" s="42"/>
      <c r="Z8" s="42"/>
      <c r="AA8" s="42"/>
    </row>
    <row r="9" spans="2:44">
      <c r="B9" s="41" t="s">
        <v>345</v>
      </c>
      <c r="C9" s="287">
        <f>Prices!C85</f>
        <v>84</v>
      </c>
      <c r="D9" s="535">
        <v>0</v>
      </c>
      <c r="E9" s="536">
        <v>0</v>
      </c>
      <c r="F9" s="536">
        <v>0</v>
      </c>
      <c r="G9" s="536">
        <v>0</v>
      </c>
      <c r="H9" s="249"/>
      <c r="I9" s="249"/>
      <c r="J9" s="5" t="s">
        <v>273</v>
      </c>
      <c r="L9" s="529">
        <f>'AGG ASIA CELLULAR'!D37</f>
        <v>2.0832818906884643</v>
      </c>
      <c r="M9" s="529">
        <f>'AGG ASIA CELLULAR'!E37</f>
        <v>1.9180381131180324</v>
      </c>
      <c r="N9" s="529">
        <f>'AGG ASIA CELLULAR'!F37</f>
        <v>1.6973984727138696</v>
      </c>
      <c r="O9" s="529">
        <f>'AGG ASIA CELLULAR'!G37</f>
        <v>1.4849146547081604</v>
      </c>
      <c r="P9" s="286">
        <f>'AGG ASIA CELLULAR'!H37</f>
        <v>5.2823672985303771E-2</v>
      </c>
      <c r="S9" s="88"/>
      <c r="T9" s="42"/>
      <c r="U9" s="42"/>
      <c r="V9" s="42"/>
      <c r="W9" s="42"/>
      <c r="X9" s="42"/>
      <c r="Y9" s="42"/>
      <c r="Z9" s="42"/>
      <c r="AA9" s="42"/>
    </row>
    <row r="10" spans="2:44">
      <c r="B10" s="5" t="s">
        <v>274</v>
      </c>
      <c r="C10" s="5"/>
      <c r="D10" s="531">
        <v>3258</v>
      </c>
      <c r="E10" s="531">
        <v>3258</v>
      </c>
      <c r="F10" s="531">
        <v>3258</v>
      </c>
      <c r="G10" s="531">
        <v>3258</v>
      </c>
      <c r="H10" s="247"/>
      <c r="I10" s="247"/>
      <c r="J10" s="5" t="s">
        <v>184</v>
      </c>
      <c r="L10" s="529">
        <f>'AGG ASIA CELLULAR'!D38</f>
        <v>6.3578764048835863</v>
      </c>
      <c r="M10" s="529">
        <f>'AGG ASIA CELLULAR'!E38</f>
        <v>5.8349432944863064</v>
      </c>
      <c r="N10" s="529">
        <f>'AGG ASIA CELLULAR'!F38</f>
        <v>5.103853656504258</v>
      </c>
      <c r="O10" s="529">
        <f>'AGG ASIA CELLULAR'!G38</f>
        <v>4.4165179955724438</v>
      </c>
      <c r="P10" s="286">
        <f>'AGG ASIA CELLULAR'!H38</f>
        <v>6.1901299000113985E-2</v>
      </c>
      <c r="S10" s="88"/>
      <c r="T10" s="42"/>
      <c r="U10" s="42"/>
      <c r="V10" s="42"/>
      <c r="W10" s="288"/>
      <c r="X10" s="288"/>
      <c r="Y10" s="288"/>
      <c r="Z10" s="288"/>
      <c r="AA10" s="42"/>
    </row>
    <row r="11" spans="2:44">
      <c r="B11" s="41" t="s">
        <v>275</v>
      </c>
      <c r="C11" s="5"/>
      <c r="D11" s="532">
        <f>$C$9*D10</f>
        <v>273672</v>
      </c>
      <c r="E11" s="532">
        <f>$C$9*E10</f>
        <v>273672</v>
      </c>
      <c r="F11" s="532">
        <f>$C$9*F10</f>
        <v>273672</v>
      </c>
      <c r="G11" s="532">
        <f>$C$9*G10</f>
        <v>273672</v>
      </c>
      <c r="H11" s="249"/>
      <c r="I11" s="249"/>
      <c r="J11" s="5" t="s">
        <v>185</v>
      </c>
      <c r="L11" s="529">
        <f>'AGG ASIA CELLULAR'!D39</f>
        <v>12.256315794878686</v>
      </c>
      <c r="M11" s="529">
        <f>'AGG ASIA CELLULAR'!E39</f>
        <v>10.532349001792122</v>
      </c>
      <c r="N11" s="529">
        <f>'AGG ASIA CELLULAR'!F39</f>
        <v>8.8097379743624202</v>
      </c>
      <c r="O11" s="529">
        <f>'AGG ASIA CELLULAR'!G39</f>
        <v>7.3400525025099741</v>
      </c>
      <c r="P11" s="286">
        <f>'AGG ASIA CELLULAR'!H39</f>
        <v>0.11573327430771596</v>
      </c>
      <c r="S11" s="88"/>
      <c r="T11" s="42"/>
      <c r="U11" s="42"/>
      <c r="V11" s="42"/>
      <c r="W11" s="288"/>
      <c r="X11" s="288"/>
      <c r="Y11" s="288"/>
      <c r="Z11" s="288"/>
      <c r="AA11" s="42"/>
    </row>
    <row r="12" spans="2:44">
      <c r="B12" s="5" t="s">
        <v>24</v>
      </c>
      <c r="C12" s="249"/>
      <c r="D12" s="533">
        <v>72874.292113621952</v>
      </c>
      <c r="E12" s="533">
        <v>70398.689085324935</v>
      </c>
      <c r="F12" s="533">
        <v>67987.58948612021</v>
      </c>
      <c r="G12" s="533">
        <v>65625.980211614486</v>
      </c>
      <c r="H12" s="247"/>
      <c r="I12" s="247"/>
      <c r="J12" s="5" t="s">
        <v>466</v>
      </c>
      <c r="L12" s="529">
        <f>'AGG ASIA CELLULAR'!D40</f>
        <v>15.951300793811486</v>
      </c>
      <c r="M12" s="529">
        <f>'AGG ASIA CELLULAR'!E40</f>
        <v>13.847183646795452</v>
      </c>
      <c r="N12" s="529">
        <f>'AGG ASIA CELLULAR'!F40</f>
        <v>11.626709680654198</v>
      </c>
      <c r="O12" s="529">
        <f>'AGG ASIA CELLULAR'!G40</f>
        <v>9.7078389032116537</v>
      </c>
      <c r="P12" s="286">
        <f>'AGG ASIA CELLULAR'!H40</f>
        <v>0.10976572550111241</v>
      </c>
      <c r="S12" s="88"/>
      <c r="T12" s="42"/>
      <c r="U12" s="42"/>
      <c r="V12" s="42"/>
      <c r="W12" s="288"/>
      <c r="X12" s="288"/>
      <c r="Y12" s="288"/>
      <c r="Z12" s="288"/>
      <c r="AA12" s="42"/>
    </row>
    <row r="13" spans="2:44">
      <c r="B13" s="5" t="s">
        <v>529</v>
      </c>
      <c r="C13" s="257"/>
      <c r="D13" s="533">
        <v>0</v>
      </c>
      <c r="E13" s="533">
        <v>0</v>
      </c>
      <c r="F13" s="533">
        <v>0</v>
      </c>
      <c r="G13" s="533">
        <v>0</v>
      </c>
      <c r="H13" s="247"/>
      <c r="I13" s="247"/>
      <c r="J13" s="5" t="s">
        <v>530</v>
      </c>
      <c r="L13" s="529">
        <f>'AGG ASIA CELLULAR'!D41</f>
        <v>1.4274445412547272</v>
      </c>
      <c r="M13" s="529">
        <f>'AGG ASIA CELLULAR'!E41</f>
        <v>1.4179696737537477</v>
      </c>
      <c r="N13" s="529">
        <f>'AGG ASIA CELLULAR'!F41</f>
        <v>1.3450707920768976</v>
      </c>
      <c r="O13" s="529">
        <f>'AGG ASIA CELLULAR'!G41</f>
        <v>1.2618986136137988</v>
      </c>
      <c r="P13" s="286">
        <f>'AGG ASIA CELLULAR'!H41</f>
        <v>-2.0092563683029918E-2</v>
      </c>
      <c r="S13" s="88"/>
      <c r="T13" s="42"/>
      <c r="U13" s="42"/>
      <c r="V13" s="42"/>
      <c r="W13" s="42"/>
      <c r="X13" s="42"/>
      <c r="Y13" s="42"/>
      <c r="Z13" s="42"/>
      <c r="AA13" s="42"/>
    </row>
    <row r="14" spans="2:44">
      <c r="B14" s="5" t="s">
        <v>532</v>
      </c>
      <c r="C14" s="257"/>
      <c r="D14" s="533">
        <v>0</v>
      </c>
      <c r="E14" s="533">
        <f t="shared" ref="E14:G15" si="2">D14</f>
        <v>0</v>
      </c>
      <c r="F14" s="533">
        <f t="shared" si="2"/>
        <v>0</v>
      </c>
      <c r="G14" s="533">
        <f t="shared" si="2"/>
        <v>0</v>
      </c>
      <c r="H14" s="247"/>
      <c r="I14" s="247"/>
      <c r="J14" s="5" t="s">
        <v>593</v>
      </c>
      <c r="L14" s="529">
        <f>'AGG ASIA CELLULAR'!D42</f>
        <v>2.9130695199933734</v>
      </c>
      <c r="M14" s="529">
        <f>'AGG ASIA CELLULAR'!E42</f>
        <v>2.8146219035099969</v>
      </c>
      <c r="N14" s="529">
        <f>'AGG ASIA CELLULAR'!F42</f>
        <v>2.5888583636405476</v>
      </c>
      <c r="O14" s="529">
        <f>'AGG ASIA CELLULAR'!G42</f>
        <v>2.3605815546209548</v>
      </c>
      <c r="P14" s="286">
        <f>'AGG ASIA CELLULAR'!H42</f>
        <v>8.7512202951403051E-3</v>
      </c>
      <c r="S14" s="88"/>
      <c r="T14" s="42"/>
      <c r="U14" s="42"/>
      <c r="V14" s="42"/>
      <c r="W14" s="42"/>
      <c r="X14" s="42"/>
      <c r="Y14" s="42"/>
      <c r="Z14" s="42"/>
      <c r="AA14" s="42"/>
    </row>
    <row r="15" spans="2:44">
      <c r="B15" s="5" t="s">
        <v>531</v>
      </c>
      <c r="C15" s="274"/>
      <c r="D15" s="533">
        <v>0</v>
      </c>
      <c r="E15" s="533">
        <f t="shared" si="2"/>
        <v>0</v>
      </c>
      <c r="F15" s="533">
        <f t="shared" si="2"/>
        <v>0</v>
      </c>
      <c r="G15" s="533">
        <f t="shared" si="2"/>
        <v>0</v>
      </c>
      <c r="H15" s="247"/>
      <c r="I15" s="247"/>
      <c r="J15" s="5" t="s">
        <v>475</v>
      </c>
      <c r="L15" s="529">
        <f>'AGG ASIA CELLULAR'!D43</f>
        <v>19.278364274513134</v>
      </c>
      <c r="M15" s="529">
        <f>'AGG ASIA CELLULAR'!E43</f>
        <v>15.523038202411636</v>
      </c>
      <c r="N15" s="529">
        <f>'AGG ASIA CELLULAR'!F43</f>
        <v>13.257386088679914</v>
      </c>
      <c r="O15" s="529">
        <f>'AGG ASIA CELLULAR'!G43</f>
        <v>11.466142328229227</v>
      </c>
      <c r="P15" s="286">
        <f>'AGG ASIA CELLULAR'!H43</f>
        <v>0.18831027118838706</v>
      </c>
      <c r="S15" s="88"/>
      <c r="T15" s="42"/>
      <c r="U15" s="42"/>
      <c r="V15" s="42"/>
      <c r="W15" s="42"/>
      <c r="X15" s="42"/>
      <c r="Y15" s="42"/>
      <c r="Z15" s="42"/>
      <c r="AA15" s="42"/>
    </row>
    <row r="16" spans="2:44">
      <c r="B16" s="5" t="s">
        <v>534</v>
      </c>
      <c r="C16" s="257"/>
      <c r="D16" s="533">
        <v>41651.697375000003</v>
      </c>
      <c r="E16" s="533">
        <v>52528.077309375003</v>
      </c>
      <c r="F16" s="533">
        <v>63676.366742109371</v>
      </c>
      <c r="G16" s="533">
        <v>75103.363410662103</v>
      </c>
      <c r="H16" s="247"/>
      <c r="I16" s="247"/>
      <c r="J16" s="5" t="s">
        <v>533</v>
      </c>
      <c r="L16" s="529">
        <f>'AGG ASIA CELLULAR'!D44</f>
        <v>20.50009040888548</v>
      </c>
      <c r="M16" s="529">
        <f>'AGG ASIA CELLULAR'!E44</f>
        <v>17.31807909095523</v>
      </c>
      <c r="N16" s="529">
        <f>'AGG ASIA CELLULAR'!F44</f>
        <v>14.883294016253318</v>
      </c>
      <c r="O16" s="529">
        <f>'AGG ASIA CELLULAR'!G44</f>
        <v>13.16548576425039</v>
      </c>
      <c r="P16" s="286">
        <f>'AGG ASIA CELLULAR'!H44</f>
        <v>0.15839482711139796</v>
      </c>
      <c r="S16" s="88"/>
      <c r="T16" s="42"/>
      <c r="U16" s="42"/>
      <c r="V16" s="42"/>
      <c r="W16" s="42"/>
      <c r="X16" s="42"/>
      <c r="Y16" s="42"/>
      <c r="Z16" s="42"/>
      <c r="AA16" s="42"/>
    </row>
    <row r="17" spans="2:27">
      <c r="B17" s="5" t="s">
        <v>6</v>
      </c>
      <c r="C17" s="257"/>
      <c r="D17" s="533">
        <v>0</v>
      </c>
      <c r="E17" s="533">
        <v>0</v>
      </c>
      <c r="F17" s="533">
        <v>0</v>
      </c>
      <c r="G17" s="533">
        <v>0</v>
      </c>
      <c r="H17" s="247"/>
      <c r="I17" s="247"/>
      <c r="J17" s="5" t="s">
        <v>580</v>
      </c>
      <c r="L17" s="248">
        <f>'AGG ASIA CELLULAR'!D45</f>
        <v>4.174038595528512E-2</v>
      </c>
      <c r="M17" s="248">
        <f>'AGG ASIA CELLULAR'!E45</f>
        <v>4.4792872771489058E-2</v>
      </c>
      <c r="N17" s="248">
        <f>'AGG ASIA CELLULAR'!F45</f>
        <v>5.1203391440393167E-2</v>
      </c>
      <c r="O17" s="248">
        <f>'AGG ASIA CELLULAR'!G45</f>
        <v>5.7913719466381006E-2</v>
      </c>
      <c r="P17" s="286">
        <f>'AGG ASIA CELLULAR'!H45</f>
        <v>0.11470165475568339</v>
      </c>
      <c r="S17" s="88"/>
      <c r="T17" s="42"/>
      <c r="U17" s="42"/>
      <c r="V17" s="42"/>
      <c r="W17" s="42"/>
      <c r="X17" s="42"/>
      <c r="Y17" s="42"/>
      <c r="Z17" s="42"/>
      <c r="AA17" s="42"/>
    </row>
    <row r="18" spans="2:27" ht="12.6" thickBot="1">
      <c r="B18" s="41" t="s">
        <v>583</v>
      </c>
      <c r="C18" s="249"/>
      <c r="D18" s="534">
        <f>D11+D12+D13-D14+D15-D16-D17</f>
        <v>304894.59473862196</v>
      </c>
      <c r="E18" s="534">
        <f>E11+E12+E13-E14+E15-E16-E17</f>
        <v>291542.61177594995</v>
      </c>
      <c r="F18" s="534">
        <f>F11+F12+F13-F14+F15-F16-F17</f>
        <v>277983.22274401085</v>
      </c>
      <c r="G18" s="534">
        <f>G11+G12+G13-G14+G15-G16-G17</f>
        <v>264194.61680095241</v>
      </c>
      <c r="H18" s="276">
        <f>IF(D18=0,"nm",IF(G18=0,"nm",(G18/D18)^(1/3)-1))</f>
        <v>-4.6637468141415006E-2</v>
      </c>
      <c r="I18" s="254"/>
      <c r="J18" s="5" t="s">
        <v>36</v>
      </c>
      <c r="L18" s="248" t="e">
        <f>'AGG ASIA CELLULAR'!D46</f>
        <v>#VALUE!</v>
      </c>
      <c r="M18" s="248" t="e">
        <f>'AGG ASIA CELLULAR'!E46</f>
        <v>#VALUE!</v>
      </c>
      <c r="N18" s="248" t="e">
        <f>'AGG ASIA CELLULAR'!F46</f>
        <v>#VALUE!</v>
      </c>
      <c r="O18" s="248" t="e">
        <f>'AGG ASIA CELLULAR'!G46</f>
        <v>#VALUE!</v>
      </c>
      <c r="P18" s="286" t="e">
        <f>'AGG ASIA CELLULAR'!H46</f>
        <v>#VALUE!</v>
      </c>
      <c r="S18" s="88"/>
      <c r="T18" s="42"/>
      <c r="U18" s="42"/>
      <c r="V18" s="42"/>
      <c r="W18" s="42"/>
      <c r="X18" s="42"/>
      <c r="Y18" s="42"/>
      <c r="Z18" s="42"/>
      <c r="AA18" s="42"/>
    </row>
    <row r="19" spans="2:27" ht="12.6" thickTop="1">
      <c r="B19" s="41"/>
      <c r="C19" s="249"/>
      <c r="D19" s="229"/>
      <c r="E19" s="229"/>
      <c r="F19" s="229"/>
      <c r="G19" s="229"/>
      <c r="H19" s="276"/>
      <c r="I19" s="254"/>
      <c r="J19" s="5" t="s">
        <v>581</v>
      </c>
      <c r="L19" s="248">
        <f>'AGG ASIA CELLULAR'!D47</f>
        <v>5.1871620732991598E-2</v>
      </c>
      <c r="M19" s="248">
        <f>'AGG ASIA CELLULAR'!E47</f>
        <v>6.4420378727447922E-2</v>
      </c>
      <c r="N19" s="248">
        <f>'AGG ASIA CELLULAR'!F47</f>
        <v>7.5429650559386677E-2</v>
      </c>
      <c r="O19" s="248">
        <f>'AGG ASIA CELLULAR'!G47</f>
        <v>8.7213290344219457E-2</v>
      </c>
      <c r="P19" s="286">
        <f>'AGG ASIA CELLULAR'!H47</f>
        <v>0.18831027118838706</v>
      </c>
      <c r="S19" s="88"/>
      <c r="T19" s="42"/>
      <c r="U19" s="42"/>
      <c r="V19" s="42"/>
      <c r="W19" s="42"/>
      <c r="X19" s="42"/>
      <c r="Y19" s="42"/>
      <c r="Z19" s="42"/>
      <c r="AA19" s="42"/>
    </row>
    <row r="20" spans="2:27">
      <c r="H20" s="277"/>
      <c r="I20" s="17"/>
      <c r="J20" s="5" t="s">
        <v>604</v>
      </c>
      <c r="L20" s="305">
        <f>'AGG ASIA CELLULAR'!D48</f>
        <v>0.92045377326476352</v>
      </c>
      <c r="M20" s="305">
        <f>'AGG ASIA CELLULAR'!E48</f>
        <v>0.79490390762892493</v>
      </c>
      <c r="N20" s="305">
        <f>'AGG ASIA CELLULAR'!F48</f>
        <v>0.7763724496707467</v>
      </c>
      <c r="O20" s="305">
        <f>'AGG ASIA CELLULAR'!G48</f>
        <v>0.75978089170129071</v>
      </c>
      <c r="P20" s="286" t="str">
        <f>'AGG ASIA CELLULAR'!H48</f>
        <v>nm</v>
      </c>
      <c r="S20" s="88"/>
      <c r="T20" s="42"/>
      <c r="U20" s="42"/>
      <c r="V20" s="42"/>
      <c r="W20" s="42"/>
      <c r="X20" s="42"/>
      <c r="Y20" s="42"/>
      <c r="Z20" s="42"/>
      <c r="AA20" s="42"/>
    </row>
    <row r="21" spans="2:27" ht="12.6" thickBot="1">
      <c r="B21" s="306" t="s">
        <v>932</v>
      </c>
      <c r="C21" s="265"/>
      <c r="D21" s="265" t="str">
        <f>D5</f>
        <v>2023E</v>
      </c>
      <c r="E21" s="265" t="str">
        <f t="shared" ref="E21:H21" si="3">E5</f>
        <v>2024E</v>
      </c>
      <c r="F21" s="265" t="str">
        <f t="shared" si="3"/>
        <v>2025E</v>
      </c>
      <c r="G21" s="265" t="str">
        <f t="shared" si="3"/>
        <v>2026E</v>
      </c>
      <c r="H21" s="265" t="str">
        <f t="shared" si="3"/>
        <v>23E-26E</v>
      </c>
      <c r="I21" s="49"/>
      <c r="J21" s="41"/>
      <c r="L21" s="250"/>
      <c r="M21" s="250"/>
      <c r="N21" s="250"/>
      <c r="O21" s="250"/>
      <c r="P21" s="286"/>
      <c r="S21" s="88"/>
      <c r="T21" s="42"/>
      <c r="U21" s="42"/>
      <c r="V21" s="42"/>
      <c r="W21" s="42"/>
      <c r="X21" s="42"/>
      <c r="Y21" s="42"/>
      <c r="Z21" s="42"/>
      <c r="AA21" s="42"/>
    </row>
    <row r="22" spans="2:27" ht="12.6" thickTop="1">
      <c r="B22" s="5"/>
      <c r="C22" s="257"/>
      <c r="D22" s="17"/>
      <c r="E22" s="17"/>
      <c r="F22" s="17"/>
      <c r="G22" s="17"/>
      <c r="H22" s="17"/>
      <c r="I22" s="17"/>
      <c r="P22" s="277"/>
      <c r="S22" s="88"/>
      <c r="T22" s="42"/>
      <c r="U22" s="42"/>
      <c r="V22" s="42"/>
      <c r="W22" s="42"/>
      <c r="X22" s="42"/>
      <c r="Y22" s="42"/>
      <c r="Z22" s="42"/>
      <c r="AA22" s="42"/>
    </row>
    <row r="23" spans="2:27" ht="12.6" thickBot="1">
      <c r="B23" s="5" t="s">
        <v>584</v>
      </c>
      <c r="C23" s="548">
        <v>84790.394314910794</v>
      </c>
      <c r="D23" s="540">
        <v>86766.01676563191</v>
      </c>
      <c r="E23" s="540">
        <v>89054.746945292252</v>
      </c>
      <c r="F23" s="540">
        <v>91442.504266707576</v>
      </c>
      <c r="G23" s="540">
        <v>93933.702262604129</v>
      </c>
      <c r="H23" s="279">
        <f t="shared" ref="H23:H32" si="4">IF(D23=0,"nm",IF(G23=0,"nm",(G23/D23)^(1/3)-1))</f>
        <v>2.6811190545072972E-2</v>
      </c>
      <c r="I23" s="247"/>
      <c r="J23" s="306" t="s">
        <v>9</v>
      </c>
      <c r="K23" s="306"/>
      <c r="L23" s="265" t="str">
        <f>D21</f>
        <v>2023E</v>
      </c>
      <c r="M23" s="265" t="str">
        <f t="shared" ref="M23:P23" si="5">E21</f>
        <v>2024E</v>
      </c>
      <c r="N23" s="265" t="str">
        <f t="shared" si="5"/>
        <v>2025E</v>
      </c>
      <c r="O23" s="265" t="str">
        <f t="shared" si="5"/>
        <v>2026E</v>
      </c>
      <c r="P23" s="265" t="str">
        <f t="shared" si="5"/>
        <v>23E-26E</v>
      </c>
      <c r="S23" s="88"/>
      <c r="T23" s="42"/>
      <c r="U23" s="42"/>
      <c r="V23" s="42"/>
      <c r="W23" s="42"/>
      <c r="X23" s="42"/>
      <c r="Y23" s="42"/>
      <c r="Z23" s="42"/>
      <c r="AA23" s="42"/>
    </row>
    <row r="24" spans="2:27" ht="12.6" thickTop="1">
      <c r="B24" s="5" t="s">
        <v>483</v>
      </c>
      <c r="C24" s="549">
        <v>28893.068981070959</v>
      </c>
      <c r="D24" s="540">
        <v>29327.072503634168</v>
      </c>
      <c r="E24" s="540">
        <v>29853.060560922397</v>
      </c>
      <c r="F24" s="540">
        <v>30395.288142723537</v>
      </c>
      <c r="G24" s="540">
        <v>30954.240004920895</v>
      </c>
      <c r="H24" s="279">
        <f t="shared" si="4"/>
        <v>1.8162609649959416E-2</v>
      </c>
      <c r="I24" s="249"/>
      <c r="J24" s="17"/>
      <c r="K24" s="17"/>
      <c r="L24" s="17"/>
      <c r="M24" s="17"/>
      <c r="N24" s="17"/>
      <c r="O24" s="248"/>
      <c r="S24" s="88"/>
      <c r="T24" s="42"/>
      <c r="U24" s="42"/>
      <c r="V24" s="42"/>
      <c r="W24" s="42" t="s">
        <v>347</v>
      </c>
      <c r="X24" s="42" t="s">
        <v>257</v>
      </c>
      <c r="Y24" s="42"/>
      <c r="Z24" s="42"/>
      <c r="AA24" s="42"/>
    </row>
    <row r="25" spans="2:27">
      <c r="B25" s="5" t="s">
        <v>183</v>
      </c>
      <c r="C25" s="548">
        <v>18718.221663281663</v>
      </c>
      <c r="D25" s="540">
        <v>20650.470827070974</v>
      </c>
      <c r="E25" s="540">
        <v>21392.859601119635</v>
      </c>
      <c r="F25" s="540">
        <v>21708.250237386317</v>
      </c>
      <c r="G25" s="540">
        <v>22030.538289973505</v>
      </c>
      <c r="H25" s="279">
        <f t="shared" si="4"/>
        <v>2.1798004661201187E-2</v>
      </c>
      <c r="I25" s="248"/>
      <c r="J25" s="247" t="s">
        <v>10</v>
      </c>
      <c r="K25" s="247"/>
      <c r="L25" s="321">
        <v>0</v>
      </c>
      <c r="M25" s="321">
        <v>0</v>
      </c>
      <c r="N25" s="321">
        <v>0</v>
      </c>
      <c r="O25" s="321">
        <v>0</v>
      </c>
      <c r="P25" s="279" t="str">
        <f>IF(L25=0,"nm",IF(O25=0,"nm",(O25/L25)^(1/3)-1))</f>
        <v>nm</v>
      </c>
      <c r="S25" s="88"/>
      <c r="T25" s="42"/>
      <c r="U25" s="42"/>
      <c r="V25" s="147" t="s">
        <v>273</v>
      </c>
      <c r="W25" s="288">
        <f>D37/L9</f>
        <v>1.68675507701743</v>
      </c>
      <c r="X25" s="288">
        <v>1</v>
      </c>
      <c r="Y25" s="42"/>
      <c r="Z25" s="42"/>
      <c r="AA25" s="42"/>
    </row>
    <row r="26" spans="2:27">
      <c r="B26" s="5" t="s">
        <v>586</v>
      </c>
      <c r="C26" s="548">
        <v>15348.941763890965</v>
      </c>
      <c r="D26" s="540">
        <v>16933.3860781982</v>
      </c>
      <c r="E26" s="540">
        <v>17542.144872918103</v>
      </c>
      <c r="F26" s="540">
        <v>17800.765194656782</v>
      </c>
      <c r="G26" s="540">
        <v>18065.041397778274</v>
      </c>
      <c r="H26" s="279">
        <f t="shared" si="4"/>
        <v>2.1798004661201187E-2</v>
      </c>
      <c r="I26" s="249"/>
      <c r="J26" s="249" t="s">
        <v>11</v>
      </c>
      <c r="K26" s="249"/>
      <c r="L26" s="281">
        <f>D11+L25</f>
        <v>273672</v>
      </c>
      <c r="M26" s="281">
        <f>E11+M25</f>
        <v>273672</v>
      </c>
      <c r="N26" s="281">
        <f>F11+N25</f>
        <v>273672</v>
      </c>
      <c r="O26" s="281">
        <f>G11+O25</f>
        <v>273672</v>
      </c>
      <c r="P26" s="279">
        <f>IF(L26=0,"nm",IF(O26=0,"nm",(O26/L26)^(1/3)-1))</f>
        <v>0</v>
      </c>
      <c r="Q26" s="5"/>
      <c r="S26" s="88"/>
      <c r="T26" s="42"/>
      <c r="U26" s="42"/>
      <c r="V26" s="147" t="s">
        <v>184</v>
      </c>
      <c r="W26" s="288">
        <f t="shared" ref="W26:W33" si="6">D38/L10</f>
        <v>1.6351926680799449</v>
      </c>
      <c r="X26" s="288">
        <v>1</v>
      </c>
      <c r="Y26" s="42"/>
      <c r="Z26" s="42"/>
      <c r="AA26" s="42"/>
    </row>
    <row r="27" spans="2:27">
      <c r="B27" s="5" t="s">
        <v>587</v>
      </c>
      <c r="C27" s="549">
        <v>128283.76226142133</v>
      </c>
      <c r="D27" s="540">
        <v>124673.12402066632</v>
      </c>
      <c r="E27" s="540">
        <v>121016.65009702384</v>
      </c>
      <c r="F27" s="540">
        <v>117769.48470420385</v>
      </c>
      <c r="G27" s="540">
        <v>114840.16232513895</v>
      </c>
      <c r="H27" s="279">
        <f t="shared" si="4"/>
        <v>-2.7013117648623908E-2</v>
      </c>
      <c r="I27" s="249"/>
      <c r="J27" s="248"/>
      <c r="K27" s="248"/>
      <c r="L27" s="248"/>
      <c r="M27" s="248"/>
      <c r="N27" s="248"/>
      <c r="O27" s="248"/>
      <c r="Q27" s="41"/>
      <c r="S27" s="88"/>
      <c r="T27" s="42"/>
      <c r="U27" s="42"/>
      <c r="V27" s="147" t="s">
        <v>185</v>
      </c>
      <c r="W27" s="288">
        <f t="shared" si="6"/>
        <v>1.2046470592439065</v>
      </c>
      <c r="X27" s="288">
        <v>1</v>
      </c>
      <c r="Y27" s="42"/>
      <c r="Z27" s="42"/>
      <c r="AA27" s="42"/>
    </row>
    <row r="28" spans="2:27" ht="12.6" thickBot="1">
      <c r="B28" s="5" t="s">
        <v>592</v>
      </c>
      <c r="C28" s="548">
        <v>41701.413424392318</v>
      </c>
      <c r="D28" s="540">
        <v>40135.034608821181</v>
      </c>
      <c r="E28" s="540">
        <v>38535.811042660731</v>
      </c>
      <c r="F28" s="540">
        <v>37367.138794820872</v>
      </c>
      <c r="G28" s="540">
        <v>36538.986556984601</v>
      </c>
      <c r="H28" s="279">
        <f t="shared" si="4"/>
        <v>-3.0805475439947272E-2</v>
      </c>
      <c r="I28" s="248"/>
      <c r="J28" s="306" t="s">
        <v>1362</v>
      </c>
      <c r="K28" s="306"/>
      <c r="L28" s="306"/>
      <c r="M28" s="306"/>
      <c r="N28" s="266"/>
      <c r="O28" s="266"/>
      <c r="P28" s="266"/>
      <c r="Q28" s="5"/>
      <c r="S28" s="88"/>
      <c r="T28" s="42"/>
      <c r="U28" s="42"/>
      <c r="V28" s="147" t="s">
        <v>466</v>
      </c>
      <c r="W28" s="288">
        <f t="shared" si="6"/>
        <v>1.128781310791001</v>
      </c>
      <c r="X28" s="288">
        <v>1</v>
      </c>
      <c r="Y28" s="42"/>
      <c r="Z28" s="42"/>
      <c r="AA28" s="42"/>
    </row>
    <row r="29" spans="2:27" ht="12.6" thickTop="1">
      <c r="B29" s="5" t="s">
        <v>588</v>
      </c>
      <c r="C29" s="548">
        <v>14109.469557250661</v>
      </c>
      <c r="D29" s="540">
        <v>16027.759076233278</v>
      </c>
      <c r="E29" s="540">
        <v>16680.131776102346</v>
      </c>
      <c r="F29" s="540">
        <v>16901.720780877415</v>
      </c>
      <c r="G29" s="540">
        <v>17144.108684451785</v>
      </c>
      <c r="H29" s="279">
        <f t="shared" si="4"/>
        <v>2.2697910262943655E-2</v>
      </c>
      <c r="I29" s="252"/>
      <c r="J29" s="249"/>
      <c r="K29" s="249"/>
      <c r="L29" s="249"/>
      <c r="M29" s="249"/>
      <c r="N29" s="249"/>
      <c r="O29" s="251"/>
      <c r="Q29" s="5"/>
      <c r="S29" s="88"/>
      <c r="T29" s="42"/>
      <c r="U29" s="42"/>
      <c r="V29" s="147" t="s">
        <v>530</v>
      </c>
      <c r="W29" s="288">
        <f t="shared" si="6"/>
        <v>1.7132377648280226</v>
      </c>
      <c r="X29" s="288">
        <v>1</v>
      </c>
      <c r="Y29" s="42"/>
      <c r="Z29" s="42"/>
      <c r="AA29" s="42"/>
    </row>
    <row r="30" spans="2:27">
      <c r="B30" s="5" t="s">
        <v>589</v>
      </c>
      <c r="C30" s="549">
        <v>12616.66924686012</v>
      </c>
      <c r="D30" s="540">
        <v>12788.507533704391</v>
      </c>
      <c r="E30" s="540">
        <v>13408.035483880756</v>
      </c>
      <c r="F30" s="540">
        <v>14060.17580939763</v>
      </c>
      <c r="G30" s="540">
        <v>14643.083728481855</v>
      </c>
      <c r="H30" s="279">
        <f t="shared" si="4"/>
        <v>4.6174734223593417E-2</v>
      </c>
      <c r="I30" s="254"/>
      <c r="J30" s="248"/>
      <c r="K30" s="248"/>
      <c r="L30" s="248"/>
      <c r="M30" s="248"/>
      <c r="N30" s="248"/>
      <c r="O30" s="5"/>
      <c r="Q30" s="5"/>
      <c r="S30" s="88"/>
      <c r="T30" s="42"/>
      <c r="U30" s="42"/>
      <c r="V30" s="147" t="s">
        <v>593</v>
      </c>
      <c r="W30" s="288">
        <f t="shared" si="6"/>
        <v>2.6078057236955607</v>
      </c>
      <c r="X30" s="288">
        <v>1</v>
      </c>
      <c r="Y30" s="42"/>
      <c r="Z30" s="42"/>
      <c r="AA30" s="42"/>
    </row>
    <row r="31" spans="2:27">
      <c r="B31" s="5" t="s">
        <v>590</v>
      </c>
      <c r="C31" s="549">
        <v>10611.102374999999</v>
      </c>
      <c r="D31" s="540">
        <v>10876.379934374998</v>
      </c>
      <c r="E31" s="540">
        <v>11148.289432734371</v>
      </c>
      <c r="F31" s="540">
        <v>11426.996668552731</v>
      </c>
      <c r="G31" s="540">
        <v>11712.671585266547</v>
      </c>
      <c r="H31" s="279">
        <f t="shared" si="4"/>
        <v>2.4999999999999911E-2</v>
      </c>
      <c r="I31" s="254"/>
      <c r="J31" s="252"/>
      <c r="K31" s="252"/>
      <c r="L31" s="252"/>
      <c r="M31" s="252"/>
      <c r="N31" s="252"/>
      <c r="O31" s="5"/>
      <c r="Q31" s="5"/>
      <c r="S31" s="88"/>
      <c r="T31" s="42"/>
      <c r="U31" s="42"/>
      <c r="V31" s="147" t="s">
        <v>475</v>
      </c>
      <c r="W31" s="288">
        <f t="shared" si="6"/>
        <v>0.88570149586847091</v>
      </c>
      <c r="X31" s="288">
        <v>1</v>
      </c>
      <c r="Y31" s="42"/>
      <c r="Z31" s="42"/>
      <c r="AA31" s="42"/>
    </row>
    <row r="32" spans="2:27">
      <c r="B32" s="5" t="s">
        <v>606</v>
      </c>
      <c r="C32" s="550">
        <v>0</v>
      </c>
      <c r="D32" s="540">
        <v>0</v>
      </c>
      <c r="E32" s="540">
        <v>0</v>
      </c>
      <c r="F32" s="540">
        <v>0</v>
      </c>
      <c r="G32" s="540">
        <v>0</v>
      </c>
      <c r="H32" s="279" t="str">
        <f t="shared" si="4"/>
        <v>nm</v>
      </c>
      <c r="I32" s="254"/>
      <c r="J32" s="254"/>
      <c r="K32" s="254"/>
      <c r="L32" s="254"/>
      <c r="M32" s="254"/>
      <c r="N32" s="254"/>
      <c r="O32" s="251"/>
      <c r="Q32" s="5"/>
      <c r="S32" s="88"/>
      <c r="T32" s="42"/>
      <c r="U32" s="42"/>
      <c r="V32" s="147" t="s">
        <v>533</v>
      </c>
      <c r="W32" s="288">
        <f t="shared" si="6"/>
        <v>1.0438899729485753</v>
      </c>
      <c r="X32" s="288">
        <v>1</v>
      </c>
      <c r="Y32" s="42"/>
      <c r="Z32" s="42"/>
      <c r="AA32" s="42"/>
    </row>
    <row r="33" spans="2:27">
      <c r="B33" s="5" t="s">
        <v>5</v>
      </c>
      <c r="C33" s="549">
        <v>-1693.1113506430709</v>
      </c>
      <c r="D33" s="540">
        <v>-1663.7290891725713</v>
      </c>
      <c r="E33" s="540">
        <v>-1612.1254402240502</v>
      </c>
      <c r="F33" s="540">
        <v>-1557.1396510433729</v>
      </c>
      <c r="G33" s="540">
        <v>-1503.4365308401782</v>
      </c>
      <c r="H33" s="279">
        <f>IF(D33=0,"nm",IF(G33=0,"nm",(G33/D33)^(1/3)-1))</f>
        <v>-3.3205518290544411E-2</v>
      </c>
      <c r="I33" s="5"/>
      <c r="J33" s="254"/>
      <c r="K33" s="254"/>
      <c r="L33" s="254"/>
      <c r="M33" s="254"/>
      <c r="N33" s="254"/>
      <c r="O33" s="251"/>
      <c r="Q33" s="5"/>
      <c r="S33" s="88"/>
      <c r="T33" s="42"/>
      <c r="U33" s="42"/>
      <c r="V33" s="147" t="s">
        <v>580</v>
      </c>
      <c r="W33" s="288">
        <f t="shared" si="6"/>
        <v>0.95213283738367283</v>
      </c>
      <c r="X33" s="288">
        <v>1</v>
      </c>
      <c r="Y33" s="42"/>
      <c r="Z33" s="42"/>
      <c r="AA33" s="42"/>
    </row>
    <row r="34" spans="2:27">
      <c r="D34" s="5"/>
      <c r="E34" s="5"/>
      <c r="F34" s="5"/>
      <c r="G34" s="5"/>
      <c r="I34" s="49"/>
      <c r="J34" s="254"/>
      <c r="K34" s="254"/>
      <c r="L34" s="254"/>
      <c r="M34" s="254"/>
      <c r="N34" s="254"/>
      <c r="O34" s="251"/>
      <c r="Q34" s="5"/>
      <c r="S34" s="88"/>
      <c r="T34" s="42"/>
      <c r="U34" s="42"/>
      <c r="V34" s="147" t="s">
        <v>581</v>
      </c>
      <c r="W34" s="288">
        <f>D47/L19</f>
        <v>1.1290485616934114</v>
      </c>
      <c r="X34" s="288">
        <v>1</v>
      </c>
      <c r="Y34" s="288"/>
      <c r="Z34" s="288"/>
      <c r="AA34" s="42"/>
    </row>
    <row r="35" spans="2:27" ht="12.6" thickBot="1">
      <c r="B35" s="306" t="s">
        <v>346</v>
      </c>
      <c r="C35" s="265"/>
      <c r="D35" s="265" t="str">
        <f>D5</f>
        <v>2023E</v>
      </c>
      <c r="E35" s="265" t="str">
        <f t="shared" ref="E35:H35" si="7">E5</f>
        <v>2024E</v>
      </c>
      <c r="F35" s="265" t="str">
        <f t="shared" si="7"/>
        <v>2025E</v>
      </c>
      <c r="G35" s="265" t="str">
        <f t="shared" si="7"/>
        <v>2026E</v>
      </c>
      <c r="H35" s="265" t="str">
        <f t="shared" si="7"/>
        <v>23E-26E</v>
      </c>
      <c r="I35" s="254"/>
      <c r="J35" s="5"/>
      <c r="K35" s="5"/>
      <c r="L35" s="5"/>
      <c r="M35" s="5"/>
      <c r="N35" s="5"/>
      <c r="O35" s="5"/>
      <c r="Q35" s="5"/>
      <c r="S35" s="88"/>
      <c r="T35" s="42"/>
      <c r="U35" s="42"/>
      <c r="V35" s="42"/>
      <c r="W35" s="42"/>
      <c r="X35" s="42"/>
      <c r="Y35" s="288"/>
      <c r="Z35" s="288"/>
      <c r="AA35" s="42"/>
    </row>
    <row r="36" spans="2:27" ht="12.6" thickTop="1">
      <c r="B36" s="41"/>
      <c r="C36" s="249"/>
      <c r="D36" s="254"/>
      <c r="E36" s="254"/>
      <c r="F36" s="254"/>
      <c r="G36" s="254"/>
      <c r="H36" s="254"/>
      <c r="I36" s="17"/>
      <c r="J36" s="49"/>
      <c r="K36" s="49"/>
      <c r="L36" s="49"/>
      <c r="M36" s="49"/>
      <c r="N36" s="49"/>
      <c r="O36" s="49"/>
      <c r="Q36" s="5"/>
      <c r="S36" s="88"/>
      <c r="T36" s="42"/>
      <c r="U36" s="42"/>
      <c r="V36" s="42"/>
      <c r="W36" s="42"/>
      <c r="X36" s="42"/>
      <c r="Y36" s="288"/>
      <c r="Z36" s="288"/>
      <c r="AA36" s="42"/>
    </row>
    <row r="37" spans="2:27">
      <c r="B37" s="5" t="s">
        <v>273</v>
      </c>
      <c r="C37" s="247"/>
      <c r="D37" s="529">
        <f>D$18/D23</f>
        <v>3.5139863059772378</v>
      </c>
      <c r="E37" s="529">
        <f t="shared" ref="E37:G41" si="8">E$18/E23</f>
        <v>3.2737458897620497</v>
      </c>
      <c r="F37" s="529">
        <f t="shared" si="8"/>
        <v>3.0399782352113371</v>
      </c>
      <c r="G37" s="529">
        <f t="shared" si="8"/>
        <v>2.812564717851334</v>
      </c>
      <c r="H37" s="17">
        <f t="shared" ref="H37:H45" si="9">H23</f>
        <v>2.6811190545072972E-2</v>
      </c>
      <c r="I37" s="5"/>
      <c r="J37" s="259"/>
      <c r="K37" s="259"/>
      <c r="L37" s="259"/>
      <c r="M37" s="259"/>
      <c r="N37" s="259"/>
      <c r="O37" s="18"/>
      <c r="Q37" s="5"/>
      <c r="R37" s="5"/>
      <c r="S37" s="42"/>
      <c r="T37" s="42"/>
      <c r="U37" s="42"/>
      <c r="V37" s="42"/>
      <c r="W37" s="42"/>
      <c r="X37" s="42"/>
      <c r="Y37" s="42"/>
      <c r="Z37" s="42"/>
      <c r="AA37" s="42"/>
    </row>
    <row r="38" spans="2:27">
      <c r="B38" s="5" t="s">
        <v>184</v>
      </c>
      <c r="C38" s="247"/>
      <c r="D38" s="529">
        <f>D$18/D24</f>
        <v>10.39635288182412</v>
      </c>
      <c r="E38" s="529">
        <f t="shared" si="8"/>
        <v>9.7659203544972097</v>
      </c>
      <c r="F38" s="529">
        <f t="shared" si="8"/>
        <v>9.1456024841323469</v>
      </c>
      <c r="G38" s="529">
        <f t="shared" si="8"/>
        <v>8.5350057620200825</v>
      </c>
      <c r="H38" s="17">
        <f t="shared" si="9"/>
        <v>1.8162609649959416E-2</v>
      </c>
      <c r="I38" s="259"/>
      <c r="J38" s="17"/>
      <c r="K38" s="17"/>
      <c r="L38" s="17"/>
      <c r="M38" s="17"/>
      <c r="N38" s="17"/>
      <c r="O38" s="5"/>
      <c r="Q38" s="5"/>
      <c r="R38" s="5"/>
      <c r="S38" s="42"/>
      <c r="T38" s="42"/>
      <c r="U38" s="42"/>
      <c r="V38" s="42"/>
      <c r="W38" s="42"/>
      <c r="X38" s="42"/>
      <c r="Y38" s="42"/>
      <c r="Z38" s="42"/>
      <c r="AA38" s="42"/>
    </row>
    <row r="39" spans="2:27">
      <c r="B39" s="5" t="s">
        <v>185</v>
      </c>
      <c r="C39" s="247"/>
      <c r="D39" s="529">
        <f>D$18/D25</f>
        <v>14.764534779465253</v>
      </c>
      <c r="E39" s="529">
        <f t="shared" si="8"/>
        <v>13.628033708999405</v>
      </c>
      <c r="F39" s="529">
        <f t="shared" si="8"/>
        <v>12.805418202949561</v>
      </c>
      <c r="G39" s="529">
        <f t="shared" si="8"/>
        <v>11.992199796642833</v>
      </c>
      <c r="H39" s="17">
        <f t="shared" si="9"/>
        <v>2.1798004661201187E-2</v>
      </c>
      <c r="I39" s="17"/>
      <c r="J39" s="5"/>
      <c r="K39" s="5"/>
      <c r="L39" s="5"/>
      <c r="M39" s="5"/>
      <c r="N39" s="5"/>
      <c r="O39" s="5"/>
      <c r="Q39" s="5"/>
      <c r="R39" s="5"/>
      <c r="S39" s="42"/>
      <c r="T39" s="42"/>
      <c r="U39" s="42"/>
      <c r="V39" s="42"/>
      <c r="W39" s="42"/>
      <c r="X39" s="42"/>
      <c r="Y39" s="42"/>
      <c r="Z39" s="42"/>
      <c r="AA39" s="42"/>
    </row>
    <row r="40" spans="2:27">
      <c r="B40" s="5" t="s">
        <v>466</v>
      </c>
      <c r="C40" s="247"/>
      <c r="D40" s="529">
        <f>D$18/D26</f>
        <v>18.005530218860063</v>
      </c>
      <c r="E40" s="529">
        <f t="shared" si="8"/>
        <v>16.61955330365781</v>
      </c>
      <c r="F40" s="529">
        <f t="shared" si="8"/>
        <v>15.616363662133608</v>
      </c>
      <c r="G40" s="529">
        <f t="shared" si="8"/>
        <v>14.624633898344918</v>
      </c>
      <c r="H40" s="17">
        <f t="shared" si="9"/>
        <v>2.1798004661201187E-2</v>
      </c>
      <c r="I40" s="5"/>
      <c r="J40" s="259"/>
      <c r="K40" s="259"/>
      <c r="L40" s="259"/>
      <c r="M40" s="259"/>
      <c r="N40" s="259"/>
      <c r="O40" s="18"/>
      <c r="Q40" s="5"/>
      <c r="R40" s="5"/>
      <c r="S40" s="42"/>
      <c r="T40" s="42"/>
      <c r="U40" s="42"/>
      <c r="V40" s="42"/>
      <c r="W40" s="288"/>
      <c r="X40" s="288"/>
      <c r="Y40" s="42"/>
      <c r="Z40" s="42"/>
      <c r="AA40" s="42"/>
    </row>
    <row r="41" spans="2:27">
      <c r="B41" s="5" t="s">
        <v>530</v>
      </c>
      <c r="C41" s="247"/>
      <c r="D41" s="529">
        <f>D$18/D27</f>
        <v>2.4455518952752109</v>
      </c>
      <c r="E41" s="529">
        <f t="shared" si="8"/>
        <v>2.4091115688808826</v>
      </c>
      <c r="F41" s="529">
        <f t="shared" si="8"/>
        <v>2.3604011127518172</v>
      </c>
      <c r="G41" s="529">
        <f t="shared" si="8"/>
        <v>2.3005420007414878</v>
      </c>
      <c r="H41" s="17">
        <f t="shared" si="9"/>
        <v>-2.7013117648623908E-2</v>
      </c>
      <c r="I41" s="247"/>
      <c r="J41" s="17"/>
      <c r="K41" s="17"/>
      <c r="L41" s="17"/>
      <c r="M41" s="17"/>
      <c r="N41" s="17"/>
      <c r="O41" s="5"/>
      <c r="Q41" s="5"/>
      <c r="R41" s="5"/>
      <c r="S41" s="42"/>
      <c r="T41" s="42"/>
      <c r="U41" s="42"/>
      <c r="V41" s="42"/>
      <c r="W41" s="288"/>
      <c r="X41" s="288"/>
      <c r="Y41" s="288"/>
      <c r="Z41" s="288"/>
      <c r="AA41" s="42"/>
    </row>
    <row r="42" spans="2:27">
      <c r="B42" s="5" t="s">
        <v>593</v>
      </c>
      <c r="C42" s="247"/>
      <c r="D42" s="529">
        <f>D18/D28</f>
        <v>7.596719367761799</v>
      </c>
      <c r="E42" s="529">
        <f>E18/E28</f>
        <v>7.5654982699910027</v>
      </c>
      <c r="F42" s="529">
        <f>F18/F28</f>
        <v>7.4392429206418029</v>
      </c>
      <c r="G42" s="529">
        <f>G18/G28</f>
        <v>7.2304856181198698</v>
      </c>
      <c r="H42" s="17">
        <f t="shared" si="9"/>
        <v>-3.0805475439947272E-2</v>
      </c>
      <c r="I42" s="248"/>
      <c r="J42" s="5"/>
      <c r="K42" s="5"/>
      <c r="L42" s="5"/>
      <c r="M42" s="5"/>
      <c r="N42" s="5"/>
      <c r="O42" s="5"/>
      <c r="Q42" s="5"/>
      <c r="R42" s="5"/>
      <c r="S42" s="42"/>
      <c r="T42" s="42"/>
      <c r="U42" s="42"/>
      <c r="V42" s="42"/>
      <c r="W42" s="288"/>
      <c r="X42" s="288"/>
      <c r="Y42" s="288"/>
      <c r="Z42" s="288"/>
      <c r="AA42" s="42"/>
    </row>
    <row r="43" spans="2:27">
      <c r="B43" s="5" t="s">
        <v>475</v>
      </c>
      <c r="C43" s="247"/>
      <c r="D43" s="529">
        <f>L26/D29</f>
        <v>17.074876075833572</v>
      </c>
      <c r="E43" s="529">
        <f>M26/E29</f>
        <v>16.407064624758561</v>
      </c>
      <c r="F43" s="529">
        <f>N26/F29</f>
        <v>16.191960780090046</v>
      </c>
      <c r="G43" s="529">
        <f>O26/G29</f>
        <v>15.963034593230075</v>
      </c>
      <c r="H43" s="17">
        <f t="shared" si="9"/>
        <v>2.2697910262943655E-2</v>
      </c>
      <c r="I43" s="247"/>
      <c r="J43" s="247"/>
      <c r="K43" s="247"/>
      <c r="L43" s="247"/>
      <c r="M43" s="247"/>
      <c r="N43" s="247"/>
      <c r="O43" s="18"/>
      <c r="Q43" s="5"/>
      <c r="R43" s="5"/>
      <c r="S43" s="42"/>
      <c r="T43" s="42"/>
      <c r="U43" s="42"/>
      <c r="V43" s="42"/>
      <c r="W43" s="288"/>
      <c r="X43" s="288"/>
      <c r="Y43" s="288"/>
      <c r="Z43" s="288"/>
      <c r="AA43" s="42"/>
    </row>
    <row r="44" spans="2:27">
      <c r="B44" s="5" t="s">
        <v>533</v>
      </c>
      <c r="C44" s="69"/>
      <c r="D44" s="529">
        <f>D11/D30</f>
        <v>21.399838822374814</v>
      </c>
      <c r="E44" s="529">
        <f>E11/E30</f>
        <v>20.411043834796722</v>
      </c>
      <c r="F44" s="529">
        <f>F11/F30</f>
        <v>19.464336983402539</v>
      </c>
      <c r="G44" s="529">
        <f>G11/G30</f>
        <v>18.689505917915923</v>
      </c>
      <c r="H44" s="17">
        <f t="shared" si="9"/>
        <v>4.6174734223593417E-2</v>
      </c>
      <c r="I44" s="247"/>
      <c r="J44" s="248"/>
      <c r="K44" s="248"/>
      <c r="L44" s="248"/>
      <c r="M44" s="248"/>
      <c r="N44" s="248"/>
      <c r="O44" s="248"/>
      <c r="Q44" s="5"/>
      <c r="R44" s="5"/>
      <c r="S44" s="42"/>
      <c r="T44" s="42"/>
      <c r="U44" s="42"/>
      <c r="V44" s="42"/>
      <c r="W44" s="325"/>
      <c r="X44" s="325"/>
      <c r="Y44" s="288"/>
      <c r="Z44" s="288"/>
      <c r="AA44" s="42"/>
    </row>
    <row r="45" spans="2:27">
      <c r="B45" s="5" t="s">
        <v>580</v>
      </c>
      <c r="C45" s="247"/>
      <c r="D45" s="248">
        <f>D31/D11</f>
        <v>3.9742392113095229E-2</v>
      </c>
      <c r="E45" s="248">
        <f>E31/E11</f>
        <v>4.0735951915922608E-2</v>
      </c>
      <c r="F45" s="248">
        <f>F31/F11</f>
        <v>4.1754350713820672E-2</v>
      </c>
      <c r="G45" s="248">
        <f>G31/G11</f>
        <v>4.2798209481666183E-2</v>
      </c>
      <c r="H45" s="17">
        <f t="shared" si="9"/>
        <v>2.4999999999999911E-2</v>
      </c>
      <c r="I45" s="248"/>
      <c r="J45" s="247"/>
      <c r="K45" s="247"/>
      <c r="L45" s="247"/>
      <c r="M45" s="247"/>
      <c r="N45" s="247"/>
      <c r="O45" s="248"/>
      <c r="Q45" s="5"/>
      <c r="R45" s="5"/>
      <c r="S45" s="42"/>
      <c r="T45" s="42"/>
      <c r="U45" s="42"/>
      <c r="V45" s="42"/>
      <c r="W45" s="42"/>
      <c r="X45" s="42"/>
      <c r="Y45" s="325"/>
      <c r="Z45" s="325"/>
      <c r="AA45" s="42"/>
    </row>
    <row r="46" spans="2:27">
      <c r="B46" s="5" t="s">
        <v>605</v>
      </c>
      <c r="C46" s="247"/>
      <c r="D46" s="248">
        <f>(D31+D32)/D11</f>
        <v>3.9742392113095229E-2</v>
      </c>
      <c r="E46" s="248">
        <f>(E31+E32)/E11</f>
        <v>4.0735951915922608E-2</v>
      </c>
      <c r="F46" s="248">
        <f>(F31+F32)/F11</f>
        <v>4.1754350713820672E-2</v>
      </c>
      <c r="G46" s="248">
        <f>(G31+G32)/G11</f>
        <v>4.2798209481666183E-2</v>
      </c>
      <c r="H46" s="279">
        <f>((G31+G32)/(D31+D32))^(1/3)-1</f>
        <v>2.4999999999999911E-2</v>
      </c>
      <c r="I46" s="247"/>
      <c r="J46" s="247"/>
      <c r="K46" s="247"/>
      <c r="L46" s="247"/>
      <c r="M46" s="247"/>
      <c r="N46" s="247"/>
      <c r="O46" s="18"/>
      <c r="Q46" s="5"/>
      <c r="R46" s="5"/>
      <c r="S46" s="42"/>
      <c r="T46" s="42"/>
      <c r="U46" s="42"/>
      <c r="V46" s="42"/>
      <c r="W46" s="42"/>
      <c r="X46" s="42"/>
      <c r="Y46" s="42"/>
      <c r="Z46" s="42"/>
      <c r="AA46" s="326"/>
    </row>
    <row r="47" spans="2:27">
      <c r="B47" s="5" t="s">
        <v>581</v>
      </c>
      <c r="C47" s="5"/>
      <c r="D47" s="248">
        <f>1/D43</f>
        <v>5.8565578781290296E-2</v>
      </c>
      <c r="E47" s="248">
        <f>1/E43</f>
        <v>6.0949354614656767E-2</v>
      </c>
      <c r="F47" s="248">
        <f>1/F43</f>
        <v>6.1759042872041765E-2</v>
      </c>
      <c r="G47" s="248">
        <f>1/G43</f>
        <v>6.2644730496549825E-2</v>
      </c>
      <c r="H47" s="17">
        <f>H29</f>
        <v>2.2697910262943655E-2</v>
      </c>
      <c r="I47" s="17"/>
      <c r="J47" s="248"/>
      <c r="K47" s="248"/>
      <c r="L47" s="248"/>
      <c r="M47" s="248"/>
      <c r="N47" s="248"/>
      <c r="O47" s="248"/>
      <c r="Q47" s="5"/>
      <c r="R47" s="5"/>
      <c r="S47" s="42"/>
      <c r="T47" s="42"/>
      <c r="U47" s="42"/>
      <c r="V47" s="42"/>
      <c r="W47" s="42"/>
      <c r="X47" s="42"/>
      <c r="Y47" s="42"/>
      <c r="Z47" s="42"/>
      <c r="AA47" s="326"/>
    </row>
    <row r="48" spans="2:27">
      <c r="B48" s="5" t="s">
        <v>618</v>
      </c>
      <c r="C48" s="5"/>
      <c r="D48" s="305">
        <f>D31/D29</f>
        <v>0.67859642028828659</v>
      </c>
      <c r="E48" s="305">
        <f>E31/E29</f>
        <v>0.66835739563559959</v>
      </c>
      <c r="F48" s="305">
        <f>F31/F29</f>
        <v>0.67608480915630909</v>
      </c>
      <c r="G48" s="305">
        <f>G31/G29</f>
        <v>0.68318929848414467</v>
      </c>
      <c r="H48" s="279" t="s">
        <v>607</v>
      </c>
      <c r="I48" s="247"/>
      <c r="J48" s="247"/>
      <c r="K48" s="247"/>
      <c r="L48" s="247"/>
      <c r="M48" s="247"/>
      <c r="N48" s="247"/>
      <c r="O48" s="248"/>
      <c r="Q48" s="5"/>
      <c r="R48" s="5"/>
      <c r="S48" s="42"/>
      <c r="T48" s="42"/>
      <c r="U48" s="42"/>
      <c r="V48" s="42"/>
      <c r="W48" s="42"/>
      <c r="X48" s="42"/>
      <c r="Y48" s="42"/>
      <c r="Z48" s="42"/>
      <c r="AA48" s="326"/>
    </row>
    <row r="49" spans="2:27">
      <c r="B49" s="41"/>
      <c r="C49" s="17"/>
      <c r="D49" s="17"/>
      <c r="E49" s="17"/>
      <c r="F49" s="17"/>
      <c r="G49" s="17"/>
      <c r="H49" s="17"/>
      <c r="I49" s="254"/>
      <c r="J49" s="17"/>
      <c r="K49" s="17"/>
      <c r="L49" s="17"/>
      <c r="M49" s="17"/>
      <c r="N49" s="17"/>
      <c r="O49" s="248"/>
      <c r="Q49" s="5"/>
      <c r="R49" s="5"/>
      <c r="S49" s="42"/>
      <c r="T49" s="42"/>
      <c r="U49" s="42"/>
      <c r="V49" s="42"/>
      <c r="W49" s="42"/>
      <c r="X49" s="42"/>
      <c r="Y49" s="42"/>
      <c r="Z49" s="42"/>
      <c r="AA49" s="326"/>
    </row>
    <row r="50" spans="2:27">
      <c r="B50" s="5"/>
      <c r="C50" s="257"/>
      <c r="D50" s="257"/>
      <c r="E50" s="257"/>
      <c r="F50" s="5"/>
      <c r="G50" s="41"/>
      <c r="H50" s="249"/>
      <c r="I50" s="17"/>
      <c r="J50" s="249"/>
      <c r="K50" s="249"/>
      <c r="L50" s="249"/>
      <c r="M50" s="249"/>
      <c r="N50" s="249"/>
      <c r="O50" s="250"/>
      <c r="Q50" s="5"/>
      <c r="R50" s="5"/>
      <c r="S50" s="42"/>
      <c r="T50" s="42"/>
      <c r="U50" s="42"/>
      <c r="V50" s="42"/>
      <c r="W50" s="288"/>
      <c r="X50" s="288"/>
      <c r="Y50" s="42"/>
      <c r="Z50" s="42"/>
      <c r="AA50" s="326"/>
    </row>
    <row r="51" spans="2:27">
      <c r="B51" s="41"/>
      <c r="C51" s="249"/>
      <c r="D51" s="254"/>
      <c r="E51" s="254"/>
      <c r="F51" s="254"/>
      <c r="G51" s="254"/>
      <c r="H51" s="254"/>
      <c r="I51" s="259"/>
      <c r="J51" s="254"/>
      <c r="K51" s="254"/>
      <c r="L51" s="254"/>
      <c r="M51" s="254"/>
      <c r="N51" s="254"/>
      <c r="O51" s="251"/>
      <c r="Q51" s="5"/>
      <c r="R51" s="5"/>
      <c r="S51" s="42"/>
      <c r="T51" s="42"/>
      <c r="U51" s="42"/>
      <c r="V51" s="42"/>
      <c r="W51" s="288"/>
      <c r="X51" s="288"/>
      <c r="Y51" s="288"/>
      <c r="Z51" s="288"/>
      <c r="AA51" s="42"/>
    </row>
    <row r="52" spans="2:27">
      <c r="B52" s="5"/>
      <c r="C52" s="257"/>
      <c r="D52" s="17"/>
      <c r="E52" s="17"/>
      <c r="F52" s="17"/>
      <c r="G52" s="17"/>
      <c r="H52" s="17"/>
      <c r="I52" s="254"/>
      <c r="J52" s="17"/>
      <c r="K52" s="17"/>
      <c r="L52" s="17"/>
      <c r="M52" s="17"/>
      <c r="N52" s="17"/>
      <c r="O52" s="248"/>
      <c r="Q52" s="5"/>
      <c r="R52" s="5"/>
      <c r="S52" s="5"/>
      <c r="Y52" s="10"/>
      <c r="Z52" s="10"/>
    </row>
    <row r="53" spans="2:27">
      <c r="B53" s="5"/>
      <c r="C53" s="257"/>
      <c r="D53" s="257"/>
      <c r="E53" s="257"/>
      <c r="F53" s="5"/>
      <c r="G53" s="5"/>
      <c r="H53" s="259"/>
      <c r="I53" s="17"/>
      <c r="J53" s="259"/>
      <c r="K53" s="259"/>
      <c r="L53" s="259"/>
      <c r="M53" s="259"/>
      <c r="N53" s="259"/>
      <c r="O53" s="18"/>
      <c r="Q53" s="5"/>
      <c r="R53" s="5"/>
      <c r="S53" s="5"/>
    </row>
    <row r="54" spans="2:27">
      <c r="B54" s="41"/>
      <c r="C54" s="249"/>
      <c r="D54" s="254"/>
      <c r="E54" s="254"/>
      <c r="F54" s="254"/>
      <c r="G54" s="254"/>
      <c r="H54" s="254"/>
      <c r="I54" s="259"/>
      <c r="J54" s="254"/>
      <c r="K54" s="254"/>
      <c r="L54" s="254"/>
      <c r="M54" s="254"/>
      <c r="N54" s="254"/>
      <c r="O54" s="251"/>
      <c r="Q54" s="5"/>
      <c r="R54" s="5"/>
      <c r="S54" s="5"/>
    </row>
    <row r="55" spans="2:27">
      <c r="B55" s="5"/>
      <c r="C55" s="257"/>
      <c r="D55" s="17"/>
      <c r="E55" s="17"/>
      <c r="F55" s="17"/>
      <c r="G55" s="17"/>
      <c r="H55" s="17"/>
      <c r="I55" s="249"/>
      <c r="J55" s="17"/>
      <c r="K55" s="17"/>
      <c r="L55" s="17"/>
      <c r="M55" s="17"/>
      <c r="N55" s="17"/>
      <c r="O55" s="18"/>
      <c r="Q55" s="5"/>
      <c r="R55" s="5"/>
      <c r="S55" s="5"/>
    </row>
    <row r="56" spans="2:27">
      <c r="B56" s="5"/>
      <c r="C56" s="248"/>
      <c r="D56" s="248"/>
      <c r="E56" s="248"/>
      <c r="F56" s="5"/>
      <c r="G56" s="5"/>
      <c r="H56" s="259"/>
      <c r="I56" s="248"/>
      <c r="J56" s="259"/>
      <c r="K56" s="259"/>
      <c r="L56" s="259"/>
      <c r="M56" s="259"/>
      <c r="N56" s="259"/>
      <c r="O56" s="18"/>
      <c r="Q56" s="5"/>
      <c r="R56" s="5"/>
      <c r="S56" s="5"/>
    </row>
    <row r="57" spans="2:27">
      <c r="B57" s="41"/>
      <c r="C57" s="249"/>
      <c r="D57" s="249"/>
      <c r="E57" s="249"/>
      <c r="F57" s="249"/>
      <c r="G57" s="249"/>
      <c r="H57" s="249"/>
      <c r="I57" s="5"/>
      <c r="J57" s="249"/>
      <c r="K57" s="249"/>
      <c r="L57" s="249"/>
      <c r="M57" s="249"/>
      <c r="N57" s="249"/>
      <c r="O57" s="251"/>
      <c r="Q57" s="5"/>
      <c r="R57" s="5"/>
      <c r="S57" s="5"/>
    </row>
    <row r="58" spans="2:27">
      <c r="B58" s="5"/>
      <c r="C58" s="5"/>
      <c r="D58" s="248"/>
      <c r="E58" s="248"/>
      <c r="F58" s="248"/>
      <c r="G58" s="248"/>
      <c r="H58" s="248"/>
      <c r="I58" s="17"/>
      <c r="J58" s="248"/>
      <c r="K58" s="248"/>
      <c r="L58" s="248"/>
      <c r="M58" s="248"/>
      <c r="N58" s="248"/>
      <c r="O58" s="18"/>
      <c r="Q58" s="5"/>
      <c r="R58" s="5"/>
      <c r="S58" s="5"/>
    </row>
    <row r="59" spans="2:27">
      <c r="B59" s="5"/>
      <c r="C59" s="5"/>
      <c r="D59" s="5"/>
      <c r="E59" s="5"/>
      <c r="F59" s="5"/>
      <c r="G59" s="5"/>
      <c r="H59" s="5"/>
      <c r="I59" s="5"/>
      <c r="J59" s="5"/>
      <c r="K59" s="5"/>
      <c r="L59" s="5"/>
      <c r="M59" s="5"/>
      <c r="N59" s="5"/>
      <c r="O59" s="5"/>
      <c r="Q59" s="5"/>
      <c r="R59" s="5"/>
      <c r="S59" s="5"/>
    </row>
    <row r="60" spans="2:27">
      <c r="B60" s="41"/>
      <c r="C60" s="17"/>
      <c r="D60" s="17"/>
      <c r="E60" s="17"/>
      <c r="F60" s="17"/>
      <c r="G60" s="17"/>
      <c r="H60" s="17"/>
      <c r="I60" s="249"/>
      <c r="J60" s="17"/>
      <c r="K60" s="17"/>
      <c r="L60" s="17"/>
      <c r="M60" s="17"/>
      <c r="N60" s="17"/>
      <c r="O60" s="251"/>
      <c r="Q60" s="5"/>
      <c r="R60" s="5"/>
      <c r="S60" s="5"/>
    </row>
    <row r="61" spans="2:27">
      <c r="B61" s="5"/>
      <c r="C61" s="5"/>
      <c r="D61" s="5"/>
      <c r="E61" s="5"/>
      <c r="F61" s="5"/>
      <c r="G61" s="5"/>
      <c r="H61" s="5"/>
      <c r="I61" s="5"/>
      <c r="J61" s="5"/>
      <c r="K61" s="5"/>
      <c r="L61" s="5"/>
      <c r="M61" s="5"/>
      <c r="N61" s="5"/>
      <c r="O61" s="5"/>
      <c r="Q61" s="41"/>
      <c r="R61" s="5"/>
      <c r="S61" s="5"/>
    </row>
    <row r="62" spans="2:27">
      <c r="B62" s="41"/>
      <c r="C62" s="249"/>
      <c r="D62" s="249"/>
      <c r="E62" s="249"/>
      <c r="F62" s="249"/>
      <c r="G62" s="249"/>
      <c r="H62" s="249"/>
      <c r="I62" s="5"/>
      <c r="J62" s="249"/>
      <c r="K62" s="249"/>
      <c r="L62" s="249"/>
      <c r="M62" s="249"/>
      <c r="N62" s="249"/>
      <c r="O62" s="251"/>
      <c r="Q62" s="5"/>
      <c r="R62" s="5"/>
      <c r="S62" s="5"/>
    </row>
    <row r="63" spans="2:27">
      <c r="B63" s="5"/>
      <c r="C63" s="5"/>
      <c r="D63" s="5"/>
      <c r="E63" s="5"/>
      <c r="F63" s="5"/>
      <c r="G63" s="5"/>
      <c r="H63" s="5"/>
      <c r="I63" s="254"/>
      <c r="J63" s="5"/>
      <c r="K63" s="5"/>
      <c r="L63" s="5"/>
      <c r="M63" s="5"/>
      <c r="N63" s="5"/>
      <c r="O63" s="5"/>
      <c r="Q63" s="5"/>
      <c r="R63" s="5"/>
      <c r="S63" s="5"/>
    </row>
    <row r="64" spans="2:27">
      <c r="B64" s="5"/>
      <c r="C64" s="5"/>
      <c r="D64" s="5"/>
      <c r="E64" s="5"/>
      <c r="F64" s="5"/>
      <c r="G64" s="5"/>
      <c r="H64" s="5"/>
      <c r="I64" s="17"/>
      <c r="J64" s="5"/>
      <c r="K64" s="5"/>
      <c r="L64" s="5"/>
      <c r="M64" s="5"/>
      <c r="N64" s="5"/>
      <c r="O64" s="5"/>
      <c r="Q64" s="5"/>
      <c r="R64" s="5"/>
      <c r="S64" s="5"/>
    </row>
    <row r="65" spans="2:26">
      <c r="B65" s="41"/>
      <c r="C65" s="249"/>
      <c r="D65" s="254"/>
      <c r="E65" s="254"/>
      <c r="F65" s="254"/>
      <c r="G65" s="254"/>
      <c r="H65" s="254"/>
      <c r="I65" s="254"/>
      <c r="J65" s="254"/>
      <c r="K65" s="254"/>
      <c r="L65" s="254"/>
      <c r="M65" s="254"/>
      <c r="N65" s="254"/>
      <c r="O65" s="251"/>
      <c r="Q65" s="5"/>
      <c r="R65" s="5"/>
      <c r="S65" s="5"/>
    </row>
    <row r="66" spans="2:26">
      <c r="B66" s="5"/>
      <c r="C66" s="5"/>
      <c r="D66" s="17"/>
      <c r="E66" s="17"/>
      <c r="F66" s="17"/>
      <c r="G66" s="17"/>
      <c r="H66" s="17"/>
      <c r="I66" s="248"/>
      <c r="J66" s="17"/>
      <c r="K66" s="17"/>
      <c r="L66" s="17"/>
      <c r="M66" s="17"/>
      <c r="N66" s="17"/>
      <c r="O66" s="5"/>
      <c r="Q66" s="5"/>
      <c r="R66" s="5"/>
      <c r="S66" s="5"/>
    </row>
    <row r="67" spans="2:26">
      <c r="B67" s="41"/>
      <c r="C67" s="249"/>
      <c r="D67" s="254"/>
      <c r="E67" s="254"/>
      <c r="F67" s="254"/>
      <c r="G67" s="254"/>
      <c r="H67" s="254"/>
      <c r="I67" s="5"/>
      <c r="J67" s="254"/>
      <c r="K67" s="254"/>
      <c r="L67" s="254"/>
      <c r="M67" s="254"/>
      <c r="N67" s="254"/>
      <c r="O67" s="251"/>
      <c r="Q67" s="41"/>
      <c r="R67" s="5"/>
      <c r="S67" s="5"/>
    </row>
    <row r="68" spans="2:26">
      <c r="B68" s="5"/>
      <c r="C68" s="5"/>
      <c r="D68" s="248"/>
      <c r="E68" s="248"/>
      <c r="F68" s="248"/>
      <c r="G68" s="248"/>
      <c r="H68" s="248"/>
      <c r="I68" s="245"/>
      <c r="J68" s="248"/>
      <c r="K68" s="248"/>
      <c r="L68" s="248"/>
      <c r="M68" s="248"/>
      <c r="N68" s="248"/>
      <c r="O68" s="5"/>
      <c r="Q68" s="5"/>
      <c r="R68" s="5"/>
      <c r="S68" s="5"/>
    </row>
    <row r="69" spans="2:26">
      <c r="B69" s="41"/>
      <c r="C69" s="5"/>
      <c r="D69" s="5"/>
      <c r="E69" s="5"/>
      <c r="F69" s="5"/>
      <c r="G69" s="5"/>
      <c r="H69" s="5"/>
      <c r="I69" s="248"/>
      <c r="J69" s="5"/>
      <c r="K69" s="5"/>
      <c r="L69" s="5"/>
      <c r="M69" s="5"/>
      <c r="N69" s="5"/>
      <c r="O69" s="5"/>
      <c r="Q69" s="5"/>
      <c r="R69" s="5"/>
      <c r="S69" s="5"/>
    </row>
    <row r="70" spans="2:26">
      <c r="B70" s="41"/>
      <c r="C70" s="245"/>
      <c r="D70" s="245"/>
      <c r="E70" s="245"/>
      <c r="F70" s="245"/>
      <c r="G70" s="245"/>
      <c r="H70" s="245"/>
      <c r="I70" s="5"/>
      <c r="J70" s="245"/>
      <c r="K70" s="245"/>
      <c r="L70" s="245"/>
      <c r="M70" s="245"/>
      <c r="N70" s="245"/>
      <c r="O70" s="251"/>
      <c r="Q70" s="5"/>
      <c r="R70" s="5"/>
      <c r="S70" s="5"/>
      <c r="W70" s="76"/>
      <c r="X70" s="76"/>
    </row>
    <row r="71" spans="2:26">
      <c r="B71" s="5"/>
      <c r="C71" s="5"/>
      <c r="D71" s="248"/>
      <c r="E71" s="248"/>
      <c r="F71" s="248"/>
      <c r="G71" s="248"/>
      <c r="H71" s="248"/>
      <c r="I71" s="245"/>
      <c r="J71" s="248"/>
      <c r="K71" s="248"/>
      <c r="L71" s="248"/>
      <c r="M71" s="248"/>
      <c r="N71" s="248"/>
      <c r="O71" s="5"/>
      <c r="Q71" s="5"/>
      <c r="R71" s="5"/>
      <c r="S71" s="5"/>
      <c r="W71" s="76"/>
      <c r="X71" s="76"/>
      <c r="Y71" s="76"/>
      <c r="Z71" s="76"/>
    </row>
    <row r="72" spans="2:26">
      <c r="B72" s="41"/>
      <c r="C72" s="5"/>
      <c r="D72" s="5"/>
      <c r="E72" s="5"/>
      <c r="F72" s="5"/>
      <c r="G72" s="5"/>
      <c r="H72" s="5"/>
      <c r="I72" s="18"/>
      <c r="J72" s="5"/>
      <c r="K72" s="5"/>
      <c r="L72" s="5"/>
      <c r="M72" s="5"/>
      <c r="N72" s="5"/>
      <c r="O72" s="5"/>
      <c r="Q72" s="5"/>
      <c r="R72" s="5"/>
      <c r="S72" s="5"/>
      <c r="Y72" s="76"/>
      <c r="Z72" s="76"/>
    </row>
    <row r="73" spans="2:26">
      <c r="B73" s="41"/>
      <c r="C73" s="245"/>
      <c r="D73" s="245"/>
      <c r="E73" s="245"/>
      <c r="F73" s="245"/>
      <c r="G73" s="245"/>
      <c r="H73" s="245"/>
      <c r="I73" s="5"/>
      <c r="J73" s="245"/>
      <c r="K73" s="245"/>
      <c r="L73" s="245"/>
      <c r="M73" s="245"/>
      <c r="N73" s="245"/>
      <c r="O73" s="251"/>
      <c r="Q73" s="5"/>
      <c r="R73" s="5"/>
      <c r="S73" s="5"/>
    </row>
    <row r="74" spans="2:26">
      <c r="B74" s="5"/>
      <c r="C74" s="5"/>
      <c r="D74" s="18"/>
      <c r="E74" s="18"/>
      <c r="F74" s="18"/>
      <c r="G74" s="18"/>
      <c r="H74" s="18"/>
      <c r="I74" s="249"/>
      <c r="J74" s="18"/>
      <c r="K74" s="18"/>
      <c r="L74" s="18"/>
      <c r="M74" s="18"/>
      <c r="N74" s="18"/>
      <c r="O74" s="5"/>
      <c r="Q74" s="5"/>
      <c r="R74" s="5"/>
      <c r="S74" s="5"/>
    </row>
    <row r="75" spans="2:26">
      <c r="B75" s="41"/>
      <c r="C75" s="5"/>
      <c r="D75" s="5"/>
      <c r="E75" s="5"/>
      <c r="F75" s="5"/>
      <c r="G75" s="5"/>
      <c r="H75" s="5"/>
      <c r="I75" s="248"/>
      <c r="J75" s="5"/>
      <c r="K75" s="5"/>
      <c r="L75" s="5"/>
      <c r="M75" s="5"/>
      <c r="N75" s="5"/>
      <c r="O75" s="5"/>
      <c r="Q75" s="5"/>
      <c r="R75" s="5"/>
      <c r="S75" s="5"/>
    </row>
    <row r="76" spans="2:26">
      <c r="B76" s="41"/>
      <c r="C76" s="249"/>
      <c r="D76" s="249"/>
      <c r="E76" s="249"/>
      <c r="F76" s="249"/>
      <c r="G76" s="249"/>
      <c r="H76" s="249"/>
      <c r="I76" s="5"/>
      <c r="J76" s="249"/>
      <c r="K76" s="249"/>
      <c r="L76" s="249"/>
      <c r="M76" s="249"/>
      <c r="N76" s="249"/>
      <c r="O76" s="251"/>
      <c r="Q76" s="5"/>
      <c r="R76" s="5"/>
      <c r="S76" s="5"/>
    </row>
    <row r="77" spans="2:26">
      <c r="B77" s="5"/>
      <c r="C77" s="5"/>
      <c r="D77" s="248"/>
      <c r="E77" s="248"/>
      <c r="F77" s="248"/>
      <c r="G77" s="248"/>
      <c r="H77" s="248"/>
      <c r="I77" s="245"/>
      <c r="J77" s="248"/>
      <c r="K77" s="248"/>
      <c r="L77" s="248"/>
      <c r="M77" s="248"/>
      <c r="N77" s="248"/>
      <c r="O77" s="5"/>
      <c r="Q77" s="5"/>
      <c r="R77" s="5"/>
      <c r="S77" s="5"/>
    </row>
    <row r="78" spans="2:26">
      <c r="B78" s="41"/>
      <c r="C78" s="5"/>
      <c r="D78" s="5"/>
      <c r="E78" s="5"/>
      <c r="F78" s="5"/>
      <c r="G78" s="5"/>
      <c r="H78" s="5"/>
      <c r="I78" s="248"/>
      <c r="J78" s="5"/>
      <c r="K78" s="5"/>
      <c r="L78" s="5"/>
      <c r="M78" s="5"/>
      <c r="N78" s="5"/>
      <c r="O78" s="5"/>
      <c r="Q78" s="5"/>
      <c r="R78" s="5"/>
      <c r="S78" s="5"/>
    </row>
    <row r="79" spans="2:26">
      <c r="B79" s="41"/>
      <c r="C79" s="245"/>
      <c r="D79" s="245"/>
      <c r="E79" s="245"/>
      <c r="F79" s="245"/>
      <c r="G79" s="245"/>
      <c r="H79" s="245"/>
      <c r="I79" s="5"/>
      <c r="J79" s="245"/>
      <c r="K79" s="245"/>
      <c r="L79" s="245"/>
      <c r="M79" s="245"/>
      <c r="N79" s="245"/>
      <c r="O79" s="251"/>
      <c r="Q79" s="5"/>
      <c r="R79" s="5"/>
      <c r="S79" s="5"/>
    </row>
    <row r="80" spans="2:26">
      <c r="B80" s="5"/>
      <c r="C80" s="5"/>
      <c r="D80" s="248"/>
      <c r="E80" s="248"/>
      <c r="F80" s="248"/>
      <c r="G80" s="248"/>
      <c r="H80" s="248"/>
      <c r="I80" s="249"/>
      <c r="J80" s="248"/>
      <c r="K80" s="248"/>
      <c r="L80" s="248"/>
      <c r="M80" s="248"/>
      <c r="N80" s="248"/>
      <c r="O80" s="5"/>
      <c r="Q80" s="5"/>
      <c r="R80" s="5"/>
      <c r="S80" s="5"/>
    </row>
    <row r="81" spans="2:26">
      <c r="B81" s="41"/>
      <c r="C81" s="5"/>
      <c r="D81" s="5"/>
      <c r="E81" s="5"/>
      <c r="F81" s="5"/>
      <c r="G81" s="5"/>
      <c r="H81" s="5"/>
      <c r="I81" s="248"/>
      <c r="J81" s="5"/>
      <c r="K81" s="5"/>
      <c r="L81" s="5"/>
      <c r="M81" s="5"/>
      <c r="N81" s="5"/>
      <c r="O81" s="5"/>
      <c r="Q81" s="5"/>
      <c r="R81" s="5"/>
      <c r="S81" s="5"/>
    </row>
    <row r="82" spans="2:26">
      <c r="B82" s="41"/>
      <c r="C82" s="249"/>
      <c r="D82" s="249"/>
      <c r="E82" s="249"/>
      <c r="F82" s="249"/>
      <c r="G82" s="249"/>
      <c r="H82" s="249"/>
      <c r="I82" s="259"/>
      <c r="J82" s="249"/>
      <c r="K82" s="249"/>
      <c r="L82" s="249"/>
      <c r="M82" s="249"/>
      <c r="N82" s="249"/>
      <c r="O82" s="251"/>
      <c r="Q82" s="5"/>
      <c r="R82" s="5"/>
      <c r="S82" s="5"/>
    </row>
    <row r="83" spans="2:26">
      <c r="B83" s="5"/>
      <c r="C83" s="5"/>
      <c r="D83" s="248"/>
      <c r="E83" s="248"/>
      <c r="F83" s="248"/>
      <c r="G83" s="248"/>
      <c r="H83" s="248"/>
      <c r="I83" s="5"/>
      <c r="J83" s="248"/>
      <c r="K83" s="248"/>
      <c r="L83" s="248"/>
      <c r="M83" s="248"/>
      <c r="N83" s="248"/>
      <c r="O83" s="5"/>
      <c r="Q83" s="5"/>
      <c r="R83" s="5"/>
      <c r="S83" s="5"/>
    </row>
    <row r="84" spans="2:26">
      <c r="B84" s="5"/>
      <c r="C84" s="259"/>
      <c r="D84" s="259"/>
      <c r="E84" s="259"/>
      <c r="F84" s="259"/>
      <c r="G84" s="259"/>
      <c r="H84" s="259"/>
      <c r="I84" s="245"/>
      <c r="J84" s="259"/>
      <c r="K84" s="259"/>
      <c r="L84" s="259"/>
      <c r="M84" s="259"/>
      <c r="N84" s="259"/>
      <c r="O84" s="251"/>
      <c r="Q84" s="5"/>
      <c r="R84" s="5"/>
      <c r="S84" s="5"/>
    </row>
    <row r="85" spans="2:26">
      <c r="B85" s="41"/>
      <c r="C85" s="5"/>
      <c r="D85" s="5"/>
      <c r="E85" s="5"/>
      <c r="F85" s="5"/>
      <c r="G85" s="5"/>
      <c r="H85" s="5"/>
      <c r="I85" s="248"/>
      <c r="J85" s="5"/>
      <c r="K85" s="5"/>
      <c r="L85" s="5"/>
      <c r="M85" s="5"/>
      <c r="N85" s="5"/>
      <c r="O85" s="5"/>
      <c r="Q85" s="5"/>
      <c r="R85" s="5"/>
      <c r="S85" s="5"/>
    </row>
    <row r="86" spans="2:26">
      <c r="B86" s="41"/>
      <c r="C86" s="245"/>
      <c r="D86" s="245"/>
      <c r="E86" s="245"/>
      <c r="F86" s="245"/>
      <c r="G86" s="245"/>
      <c r="H86" s="245"/>
      <c r="I86" s="5"/>
      <c r="J86" s="245"/>
      <c r="K86" s="245"/>
      <c r="L86" s="245"/>
      <c r="M86" s="245"/>
      <c r="N86" s="245"/>
      <c r="O86" s="251"/>
      <c r="Q86" s="5"/>
      <c r="R86" s="5"/>
      <c r="S86" s="5"/>
    </row>
    <row r="87" spans="2:26">
      <c r="B87" s="5"/>
      <c r="C87" s="5"/>
      <c r="D87" s="248"/>
      <c r="E87" s="248"/>
      <c r="F87" s="248"/>
      <c r="G87" s="248"/>
      <c r="H87" s="248"/>
      <c r="I87" s="5"/>
      <c r="J87" s="248"/>
      <c r="K87" s="248"/>
      <c r="L87" s="248"/>
      <c r="M87" s="248"/>
      <c r="N87" s="248"/>
      <c r="O87" s="5"/>
      <c r="Q87" s="5"/>
      <c r="R87" s="5"/>
      <c r="S87" s="5"/>
    </row>
    <row r="88" spans="2:26">
      <c r="B88" s="41"/>
      <c r="C88" s="5"/>
      <c r="D88" s="5"/>
      <c r="E88" s="5"/>
      <c r="F88" s="5"/>
      <c r="G88" s="5"/>
      <c r="H88" s="5"/>
      <c r="I88" s="5"/>
      <c r="J88" s="5"/>
      <c r="K88" s="5"/>
      <c r="L88" s="5"/>
      <c r="M88" s="5"/>
      <c r="N88" s="5"/>
      <c r="O88" s="5"/>
      <c r="Q88" s="5"/>
      <c r="R88" s="5"/>
      <c r="S88" s="5"/>
    </row>
    <row r="89" spans="2:26">
      <c r="B89" s="41"/>
      <c r="C89" s="5"/>
      <c r="D89" s="5"/>
      <c r="E89" s="5"/>
      <c r="F89" s="5"/>
      <c r="G89" s="5"/>
      <c r="H89" s="5"/>
      <c r="I89" s="5"/>
      <c r="J89" s="5"/>
      <c r="K89" s="5"/>
      <c r="L89" s="5"/>
      <c r="M89" s="5"/>
      <c r="N89" s="5"/>
      <c r="O89" s="5"/>
      <c r="Q89" s="5"/>
      <c r="R89" s="5"/>
      <c r="S89" s="5"/>
    </row>
    <row r="90" spans="2:26">
      <c r="B90" s="41"/>
      <c r="C90" s="5"/>
      <c r="D90" s="5"/>
      <c r="E90" s="5"/>
      <c r="F90" s="5"/>
      <c r="G90" s="5"/>
      <c r="H90" s="5"/>
      <c r="I90" s="49"/>
      <c r="J90" s="5"/>
      <c r="K90" s="5"/>
      <c r="L90" s="5"/>
      <c r="M90" s="5"/>
      <c r="N90" s="5"/>
      <c r="O90" s="5"/>
      <c r="Q90" s="41"/>
      <c r="R90" s="5"/>
      <c r="S90" s="5"/>
    </row>
    <row r="91" spans="2:26">
      <c r="B91" s="5"/>
      <c r="C91" s="5"/>
      <c r="D91" s="5"/>
      <c r="E91" s="5"/>
      <c r="F91" s="5"/>
      <c r="G91" s="5"/>
      <c r="H91" s="5"/>
      <c r="I91" s="5"/>
      <c r="J91" s="5"/>
      <c r="K91" s="5"/>
      <c r="L91" s="5"/>
      <c r="M91" s="5"/>
      <c r="N91" s="5"/>
      <c r="O91" s="5"/>
      <c r="Q91" s="5"/>
      <c r="R91" s="5"/>
      <c r="S91" s="5"/>
    </row>
    <row r="92" spans="2:26">
      <c r="B92" s="41"/>
      <c r="C92" s="49"/>
      <c r="D92" s="49"/>
      <c r="E92" s="49"/>
      <c r="F92" s="49"/>
      <c r="G92" s="49"/>
      <c r="H92" s="49"/>
      <c r="I92" s="247"/>
      <c r="J92" s="49"/>
      <c r="K92" s="49"/>
      <c r="L92" s="49"/>
      <c r="M92" s="49"/>
      <c r="N92" s="49"/>
      <c r="O92" s="49"/>
      <c r="Q92" s="5"/>
      <c r="R92" s="5"/>
      <c r="S92" s="5"/>
      <c r="W92" s="21"/>
      <c r="X92" s="21"/>
    </row>
    <row r="93" spans="2:26">
      <c r="B93" s="5"/>
      <c r="C93" s="5"/>
      <c r="D93" s="5"/>
      <c r="E93" s="5"/>
      <c r="F93" s="5"/>
      <c r="G93" s="5"/>
      <c r="H93" s="5"/>
      <c r="I93" s="247"/>
      <c r="J93" s="5"/>
      <c r="K93" s="5"/>
      <c r="L93" s="5"/>
      <c r="M93" s="5"/>
      <c r="N93" s="5"/>
      <c r="O93" s="5"/>
      <c r="Q93" s="5"/>
      <c r="R93" s="5"/>
      <c r="S93" s="5"/>
      <c r="W93" s="21"/>
      <c r="X93" s="21"/>
      <c r="Y93" s="21"/>
      <c r="Z93" s="21"/>
    </row>
    <row r="94" spans="2:26">
      <c r="B94" s="5"/>
      <c r="C94" s="259"/>
      <c r="D94" s="247"/>
      <c r="E94" s="247"/>
      <c r="F94" s="247"/>
      <c r="G94" s="247"/>
      <c r="H94" s="247"/>
      <c r="I94" s="247"/>
      <c r="J94" s="247"/>
      <c r="K94" s="247"/>
      <c r="L94" s="247"/>
      <c r="M94" s="247"/>
      <c r="N94" s="247"/>
      <c r="O94" s="248"/>
      <c r="Q94" s="5"/>
      <c r="R94" s="5"/>
      <c r="S94" s="5"/>
      <c r="Y94" s="21"/>
      <c r="Z94" s="21"/>
    </row>
    <row r="95" spans="2:26">
      <c r="B95" s="5"/>
      <c r="C95" s="259"/>
      <c r="D95" s="247"/>
      <c r="E95" s="247"/>
      <c r="F95" s="247"/>
      <c r="G95" s="247"/>
      <c r="H95" s="247"/>
      <c r="I95" s="248"/>
      <c r="J95" s="247"/>
      <c r="K95" s="247"/>
      <c r="L95" s="247"/>
      <c r="M95" s="247"/>
      <c r="N95" s="247"/>
      <c r="O95" s="248"/>
      <c r="Q95" s="5"/>
      <c r="R95" s="5"/>
      <c r="S95" s="5"/>
    </row>
    <row r="96" spans="2:26">
      <c r="B96" s="5"/>
      <c r="C96" s="259"/>
      <c r="D96" s="247"/>
      <c r="E96" s="247"/>
      <c r="F96" s="247"/>
      <c r="G96" s="247"/>
      <c r="H96" s="247"/>
      <c r="I96" s="247"/>
      <c r="J96" s="247"/>
      <c r="K96" s="247"/>
      <c r="L96" s="247"/>
      <c r="M96" s="247"/>
      <c r="N96" s="247"/>
      <c r="O96" s="248"/>
      <c r="Q96" s="5"/>
      <c r="R96" s="5"/>
      <c r="S96" s="5"/>
    </row>
    <row r="97" spans="2:19">
      <c r="B97" s="5"/>
      <c r="C97" s="259"/>
      <c r="D97" s="248"/>
      <c r="E97" s="248"/>
      <c r="F97" s="248"/>
      <c r="G97" s="248"/>
      <c r="H97" s="248"/>
      <c r="I97" s="249"/>
      <c r="J97" s="248"/>
      <c r="K97" s="248"/>
      <c r="L97" s="248"/>
      <c r="M97" s="248"/>
      <c r="N97" s="248"/>
      <c r="O97" s="248"/>
      <c r="Q97" s="5"/>
      <c r="R97" s="5"/>
      <c r="S97" s="5"/>
    </row>
    <row r="98" spans="2:19">
      <c r="B98" s="5"/>
      <c r="C98" s="259"/>
      <c r="D98" s="247"/>
      <c r="E98" s="247"/>
      <c r="F98" s="247"/>
      <c r="G98" s="247"/>
      <c r="H98" s="247"/>
      <c r="I98" s="248"/>
      <c r="J98" s="247"/>
      <c r="K98" s="247"/>
      <c r="L98" s="247"/>
      <c r="M98" s="247"/>
      <c r="N98" s="247"/>
      <c r="O98" s="248"/>
      <c r="Q98" s="5"/>
      <c r="R98" s="5"/>
      <c r="S98" s="5"/>
    </row>
    <row r="99" spans="2:19">
      <c r="B99" s="41"/>
      <c r="C99" s="249"/>
      <c r="D99" s="249"/>
      <c r="E99" s="249"/>
      <c r="F99" s="249"/>
      <c r="G99" s="249"/>
      <c r="H99" s="249"/>
      <c r="I99" s="5"/>
      <c r="J99" s="249"/>
      <c r="K99" s="249"/>
      <c r="L99" s="249"/>
      <c r="M99" s="249"/>
      <c r="N99" s="249"/>
      <c r="O99" s="248"/>
      <c r="Q99" s="5"/>
      <c r="R99" s="5"/>
      <c r="S99" s="5"/>
    </row>
    <row r="100" spans="2:19">
      <c r="B100" s="41"/>
      <c r="C100" s="257"/>
      <c r="D100" s="248"/>
      <c r="E100" s="248"/>
      <c r="F100" s="248"/>
      <c r="G100" s="248"/>
      <c r="H100" s="248"/>
      <c r="I100" s="259"/>
      <c r="J100" s="248"/>
      <c r="K100" s="248"/>
      <c r="L100" s="248"/>
      <c r="M100" s="248"/>
      <c r="N100" s="248"/>
      <c r="O100" s="248"/>
      <c r="Q100" s="5"/>
      <c r="R100" s="5"/>
      <c r="S100" s="5"/>
    </row>
    <row r="101" spans="2:19" s="5" customFormat="1">
      <c r="B101" s="41"/>
      <c r="I101" s="259"/>
      <c r="O101" s="248"/>
      <c r="P101" s="39"/>
    </row>
    <row r="102" spans="2:19">
      <c r="B102" s="5"/>
      <c r="C102" s="259"/>
      <c r="D102" s="259"/>
      <c r="E102" s="259"/>
      <c r="F102" s="259"/>
      <c r="G102" s="259"/>
      <c r="H102" s="259"/>
      <c r="I102" s="247"/>
      <c r="J102" s="259"/>
      <c r="K102" s="259"/>
      <c r="L102" s="259"/>
      <c r="M102" s="259"/>
      <c r="N102" s="259"/>
      <c r="O102" s="5"/>
      <c r="Q102" s="5"/>
      <c r="R102" s="5"/>
      <c r="S102" s="5"/>
    </row>
    <row r="103" spans="2:19">
      <c r="B103" s="5"/>
      <c r="C103" s="259"/>
      <c r="D103" s="259"/>
      <c r="E103" s="259"/>
      <c r="F103" s="259"/>
      <c r="G103" s="259"/>
      <c r="H103" s="259"/>
      <c r="I103" s="5"/>
      <c r="J103" s="259"/>
      <c r="K103" s="259"/>
      <c r="L103" s="259"/>
      <c r="M103" s="259"/>
      <c r="N103" s="259"/>
      <c r="O103" s="5"/>
      <c r="P103" s="5"/>
      <c r="Q103" s="5"/>
      <c r="R103" s="5"/>
      <c r="S103" s="5"/>
    </row>
    <row r="104" spans="2:19">
      <c r="B104" s="5"/>
      <c r="C104" s="247"/>
      <c r="D104" s="247"/>
      <c r="E104" s="247"/>
      <c r="F104" s="247"/>
      <c r="G104" s="247"/>
      <c r="H104" s="247"/>
      <c r="I104" s="247"/>
      <c r="J104" s="247"/>
      <c r="K104" s="247"/>
      <c r="L104" s="247"/>
      <c r="M104" s="247"/>
      <c r="N104" s="247"/>
      <c r="O104" s="5"/>
      <c r="Q104" s="5"/>
      <c r="R104" s="5"/>
      <c r="S104" s="5"/>
    </row>
    <row r="105" spans="2:19" s="5" customFormat="1">
      <c r="P105" s="39"/>
    </row>
    <row r="106" spans="2:19" s="5" customFormat="1">
      <c r="C106" s="259"/>
      <c r="D106" s="247"/>
      <c r="E106" s="247"/>
      <c r="F106" s="247"/>
      <c r="G106" s="247"/>
      <c r="H106" s="247"/>
      <c r="I106" s="259"/>
      <c r="J106" s="247"/>
      <c r="K106" s="247"/>
      <c r="L106" s="247"/>
      <c r="M106" s="247"/>
      <c r="N106" s="247"/>
      <c r="P106" s="39"/>
    </row>
    <row r="107" spans="2:19">
      <c r="B107" s="5"/>
      <c r="C107" s="259"/>
      <c r="D107" s="5"/>
      <c r="E107" s="5"/>
      <c r="F107" s="5"/>
      <c r="G107" s="5"/>
      <c r="H107" s="5"/>
      <c r="I107" s="247"/>
      <c r="J107" s="5"/>
      <c r="K107" s="5"/>
      <c r="L107" s="5"/>
      <c r="M107" s="5"/>
      <c r="N107" s="5"/>
      <c r="O107" s="5"/>
      <c r="P107" s="5"/>
      <c r="Q107" s="5"/>
      <c r="R107" s="5"/>
      <c r="S107" s="5"/>
    </row>
    <row r="108" spans="2:19">
      <c r="B108" s="5"/>
      <c r="C108" s="259"/>
      <c r="D108" s="259"/>
      <c r="E108" s="259"/>
      <c r="F108" s="259"/>
      <c r="G108" s="259"/>
      <c r="H108" s="259"/>
      <c r="I108" s="249"/>
      <c r="J108" s="259"/>
      <c r="K108" s="259"/>
      <c r="L108" s="259"/>
      <c r="M108" s="259"/>
      <c r="N108" s="259"/>
      <c r="O108" s="5"/>
      <c r="P108" s="5"/>
      <c r="Q108" s="5"/>
      <c r="R108" s="5"/>
      <c r="S108" s="5"/>
    </row>
    <row r="109" spans="2:19">
      <c r="B109" s="5"/>
      <c r="C109" s="247"/>
      <c r="D109" s="247"/>
      <c r="E109" s="247"/>
      <c r="F109" s="247"/>
      <c r="G109" s="247"/>
      <c r="H109" s="247"/>
      <c r="I109" s="249"/>
      <c r="J109" s="247"/>
      <c r="K109" s="247"/>
      <c r="L109" s="247"/>
      <c r="M109" s="247"/>
      <c r="N109" s="247"/>
      <c r="O109" s="5"/>
      <c r="Q109" s="5"/>
      <c r="R109" s="5"/>
      <c r="S109" s="5"/>
    </row>
    <row r="110" spans="2:19">
      <c r="B110" s="41"/>
      <c r="C110" s="249"/>
      <c r="D110" s="249"/>
      <c r="E110" s="249"/>
      <c r="F110" s="249"/>
      <c r="G110" s="249"/>
      <c r="H110" s="249"/>
      <c r="I110" s="247"/>
      <c r="J110" s="249"/>
      <c r="K110" s="249"/>
      <c r="L110" s="249"/>
      <c r="M110" s="249"/>
      <c r="N110" s="249"/>
      <c r="O110" s="5"/>
      <c r="Q110" s="5"/>
      <c r="R110" s="5"/>
      <c r="S110" s="5"/>
    </row>
    <row r="111" spans="2:19">
      <c r="B111" s="5"/>
      <c r="C111" s="249"/>
      <c r="D111" s="249"/>
      <c r="E111" s="249"/>
      <c r="F111" s="249"/>
      <c r="G111" s="249"/>
      <c r="H111" s="249"/>
      <c r="I111" s="5"/>
      <c r="J111" s="249"/>
      <c r="K111" s="249"/>
      <c r="L111" s="249"/>
      <c r="M111" s="249"/>
      <c r="N111" s="249"/>
      <c r="O111" s="5"/>
      <c r="Q111" s="5"/>
      <c r="R111" s="5"/>
      <c r="S111" s="5"/>
    </row>
    <row r="112" spans="2:19">
      <c r="B112" s="5"/>
      <c r="C112" s="247"/>
      <c r="D112" s="247"/>
      <c r="E112" s="247"/>
      <c r="F112" s="247"/>
      <c r="G112" s="247"/>
      <c r="H112" s="247"/>
      <c r="I112" s="5"/>
      <c r="J112" s="247"/>
      <c r="K112" s="247"/>
      <c r="L112" s="247"/>
      <c r="M112" s="247"/>
      <c r="N112" s="247"/>
      <c r="O112" s="5"/>
      <c r="Q112" s="5"/>
      <c r="R112" s="5"/>
      <c r="S112" s="5"/>
    </row>
    <row r="113" spans="2:19">
      <c r="B113" s="5"/>
      <c r="C113" s="5"/>
      <c r="D113" s="5"/>
      <c r="E113" s="5"/>
      <c r="F113" s="5"/>
      <c r="G113" s="5"/>
      <c r="H113" s="5"/>
      <c r="I113" s="5"/>
      <c r="J113" s="5"/>
      <c r="K113" s="5"/>
      <c r="L113" s="5"/>
      <c r="M113" s="5"/>
      <c r="N113" s="5"/>
      <c r="O113" s="5"/>
      <c r="Q113" s="5"/>
      <c r="R113" s="5"/>
      <c r="S113" s="5"/>
    </row>
    <row r="114" spans="2:19">
      <c r="B114" s="5"/>
      <c r="C114" s="5"/>
      <c r="D114" s="5"/>
      <c r="E114" s="5"/>
      <c r="F114" s="5"/>
      <c r="G114" s="5"/>
      <c r="H114" s="5"/>
      <c r="I114" s="5"/>
      <c r="J114" s="5"/>
      <c r="K114" s="5"/>
      <c r="L114" s="5"/>
      <c r="M114" s="5"/>
      <c r="N114" s="5"/>
      <c r="O114" s="5"/>
      <c r="Q114" s="5"/>
      <c r="R114" s="5"/>
      <c r="S114" s="5"/>
    </row>
    <row r="115" spans="2:19">
      <c r="B115" s="5"/>
      <c r="C115" s="5"/>
      <c r="D115" s="5"/>
      <c r="E115" s="5"/>
      <c r="F115" s="5"/>
      <c r="G115" s="5"/>
      <c r="H115" s="5"/>
      <c r="I115" s="49"/>
      <c r="J115" s="5"/>
      <c r="K115" s="5"/>
      <c r="L115" s="5"/>
      <c r="M115" s="5"/>
      <c r="N115" s="5"/>
      <c r="O115" s="5"/>
      <c r="Q115" s="41"/>
      <c r="R115" s="5"/>
      <c r="S115" s="5"/>
    </row>
    <row r="116" spans="2:19">
      <c r="B116" s="5"/>
      <c r="C116" s="5"/>
      <c r="D116" s="5"/>
      <c r="E116" s="5"/>
      <c r="F116" s="5"/>
      <c r="G116" s="5"/>
      <c r="H116" s="5"/>
      <c r="I116" s="5"/>
      <c r="J116" s="5"/>
      <c r="K116" s="5"/>
      <c r="L116" s="5"/>
      <c r="M116" s="5"/>
      <c r="N116" s="5"/>
      <c r="O116" s="5"/>
      <c r="Q116" s="5"/>
      <c r="R116" s="5"/>
      <c r="S116" s="5"/>
    </row>
    <row r="117" spans="2:19">
      <c r="B117" s="41"/>
      <c r="C117" s="49"/>
      <c r="D117" s="49"/>
      <c r="E117" s="49"/>
      <c r="F117" s="49"/>
      <c r="G117" s="49"/>
      <c r="H117" s="49"/>
      <c r="I117" s="254"/>
      <c r="J117" s="49"/>
      <c r="K117" s="49"/>
      <c r="L117" s="49"/>
      <c r="M117" s="49"/>
      <c r="N117" s="49"/>
      <c r="O117" s="49"/>
      <c r="Q117" s="5"/>
      <c r="R117" s="5"/>
      <c r="S117" s="5"/>
    </row>
    <row r="118" spans="2:19">
      <c r="B118" s="5"/>
      <c r="C118" s="5"/>
      <c r="D118" s="5"/>
      <c r="E118" s="5"/>
      <c r="F118" s="5"/>
      <c r="G118" s="5"/>
      <c r="H118" s="5"/>
      <c r="I118" s="249"/>
      <c r="J118" s="5"/>
      <c r="K118" s="5"/>
      <c r="L118" s="5"/>
      <c r="M118" s="5"/>
      <c r="N118" s="5"/>
      <c r="O118" s="5"/>
      <c r="Q118" s="5"/>
      <c r="R118" s="5"/>
      <c r="S118" s="5"/>
    </row>
    <row r="119" spans="2:19">
      <c r="B119" s="41"/>
      <c r="C119" s="254"/>
      <c r="D119" s="254"/>
      <c r="E119" s="254"/>
      <c r="F119" s="254"/>
      <c r="G119" s="254"/>
      <c r="H119" s="254"/>
      <c r="I119" s="254"/>
      <c r="J119" s="254"/>
      <c r="K119" s="254"/>
      <c r="L119" s="254"/>
      <c r="M119" s="254"/>
      <c r="N119" s="254"/>
      <c r="O119" s="248"/>
      <c r="Q119" s="5"/>
      <c r="R119" s="5"/>
      <c r="S119" s="5"/>
    </row>
    <row r="120" spans="2:19">
      <c r="B120" s="41"/>
      <c r="C120" s="254"/>
      <c r="D120" s="249"/>
      <c r="E120" s="249"/>
      <c r="F120" s="249"/>
      <c r="G120" s="249"/>
      <c r="H120" s="249"/>
      <c r="I120" s="254"/>
      <c r="J120" s="249"/>
      <c r="K120" s="249"/>
      <c r="L120" s="249"/>
      <c r="M120" s="249"/>
      <c r="N120" s="249"/>
      <c r="O120" s="248"/>
      <c r="Q120" s="5"/>
      <c r="R120" s="5"/>
      <c r="S120" s="5"/>
    </row>
    <row r="121" spans="2:19">
      <c r="B121" s="41"/>
      <c r="C121" s="254"/>
      <c r="D121" s="254"/>
      <c r="E121" s="254"/>
      <c r="F121" s="254"/>
      <c r="G121" s="254"/>
      <c r="H121" s="254"/>
      <c r="I121" s="254"/>
      <c r="J121" s="254"/>
      <c r="K121" s="254"/>
      <c r="L121" s="254"/>
      <c r="M121" s="254"/>
      <c r="N121" s="254"/>
      <c r="O121" s="248"/>
      <c r="Q121" s="5"/>
      <c r="R121" s="5"/>
      <c r="S121" s="5"/>
    </row>
    <row r="122" spans="2:19">
      <c r="B122" s="41"/>
      <c r="C122" s="254"/>
      <c r="D122" s="254"/>
      <c r="E122" s="254"/>
      <c r="F122" s="254"/>
      <c r="G122" s="254"/>
      <c r="H122" s="254"/>
      <c r="I122" s="254"/>
      <c r="J122" s="254"/>
      <c r="K122" s="254"/>
      <c r="L122" s="254"/>
      <c r="M122" s="254"/>
      <c r="N122" s="254"/>
      <c r="O122" s="248"/>
      <c r="Q122" s="5"/>
      <c r="R122" s="5"/>
      <c r="S122" s="5"/>
    </row>
    <row r="123" spans="2:19">
      <c r="B123" s="41"/>
      <c r="C123" s="254"/>
      <c r="D123" s="254"/>
      <c r="E123" s="254"/>
      <c r="F123" s="254"/>
      <c r="G123" s="254"/>
      <c r="H123" s="254"/>
      <c r="I123" s="254"/>
      <c r="J123" s="254"/>
      <c r="K123" s="254"/>
      <c r="L123" s="254"/>
      <c r="M123" s="254"/>
      <c r="N123" s="254"/>
      <c r="O123" s="248"/>
      <c r="Q123" s="5"/>
      <c r="R123" s="5"/>
      <c r="S123" s="5"/>
    </row>
    <row r="124" spans="2:19">
      <c r="B124" s="41"/>
      <c r="C124" s="254"/>
      <c r="D124" s="254"/>
      <c r="E124" s="254"/>
      <c r="F124" s="254"/>
      <c r="G124" s="254"/>
      <c r="H124" s="254"/>
      <c r="I124" s="254"/>
      <c r="J124" s="254"/>
      <c r="K124" s="254"/>
      <c r="L124" s="254"/>
      <c r="M124" s="254"/>
      <c r="N124" s="254"/>
      <c r="O124" s="248"/>
      <c r="Q124" s="5"/>
      <c r="R124" s="5"/>
      <c r="S124" s="5"/>
    </row>
    <row r="125" spans="2:19">
      <c r="B125" s="41"/>
      <c r="C125" s="254"/>
      <c r="D125" s="254"/>
      <c r="E125" s="254"/>
      <c r="F125" s="254"/>
      <c r="G125" s="254"/>
      <c r="H125" s="254"/>
      <c r="I125" s="254"/>
      <c r="J125" s="254"/>
      <c r="K125" s="254"/>
      <c r="L125" s="254"/>
      <c r="M125" s="254"/>
      <c r="N125" s="254"/>
      <c r="O125" s="5"/>
      <c r="Q125" s="5"/>
      <c r="R125" s="5"/>
      <c r="S125" s="5"/>
    </row>
    <row r="126" spans="2:19">
      <c r="B126" s="41"/>
      <c r="C126" s="254"/>
      <c r="D126" s="254"/>
      <c r="E126" s="254"/>
      <c r="F126" s="254"/>
      <c r="G126" s="254"/>
      <c r="H126" s="254"/>
      <c r="I126" s="254"/>
      <c r="J126" s="254"/>
      <c r="K126" s="254"/>
      <c r="L126" s="254"/>
      <c r="M126" s="254"/>
      <c r="N126" s="254"/>
      <c r="O126" s="5"/>
      <c r="Q126" s="5"/>
      <c r="R126" s="5"/>
      <c r="S126" s="5"/>
    </row>
    <row r="127" spans="2:19">
      <c r="B127" s="41"/>
      <c r="C127" s="254"/>
      <c r="D127" s="254"/>
      <c r="E127" s="254"/>
      <c r="F127" s="254"/>
      <c r="G127" s="254"/>
      <c r="H127" s="254"/>
      <c r="I127" s="18"/>
      <c r="J127" s="254"/>
      <c r="K127" s="254"/>
      <c r="L127" s="254"/>
      <c r="M127" s="254"/>
      <c r="N127" s="254"/>
      <c r="O127" s="5"/>
      <c r="Q127" s="5"/>
      <c r="R127" s="5"/>
      <c r="S127" s="5"/>
    </row>
    <row r="128" spans="2:19">
      <c r="B128" s="41"/>
      <c r="C128" s="254"/>
      <c r="D128" s="254"/>
      <c r="E128" s="254"/>
      <c r="F128" s="254"/>
      <c r="G128" s="254"/>
      <c r="H128" s="254"/>
      <c r="I128" s="5"/>
      <c r="J128" s="254"/>
      <c r="K128" s="254"/>
      <c r="L128" s="254"/>
      <c r="M128" s="254"/>
      <c r="N128" s="254"/>
      <c r="O128" s="5"/>
      <c r="Q128" s="5"/>
      <c r="R128" s="5"/>
      <c r="S128" s="5"/>
    </row>
    <row r="129" spans="2:27">
      <c r="B129" s="5"/>
      <c r="C129" s="5"/>
      <c r="D129" s="18"/>
      <c r="E129" s="18"/>
      <c r="F129" s="18"/>
      <c r="G129" s="18"/>
      <c r="H129" s="18"/>
      <c r="I129" s="254"/>
      <c r="J129" s="18"/>
      <c r="K129" s="18"/>
      <c r="L129" s="18"/>
      <c r="M129" s="18"/>
      <c r="N129" s="18"/>
      <c r="O129" s="5"/>
      <c r="Q129" s="5"/>
      <c r="R129" s="5"/>
      <c r="S129" s="5"/>
    </row>
    <row r="130" spans="2:27">
      <c r="B130" s="5"/>
      <c r="C130" s="5"/>
      <c r="D130" s="5"/>
      <c r="E130" s="5"/>
      <c r="F130" s="5"/>
      <c r="G130" s="5"/>
      <c r="H130" s="5"/>
      <c r="I130" s="18"/>
      <c r="J130" s="5"/>
      <c r="K130" s="5"/>
      <c r="L130" s="5"/>
      <c r="M130" s="5"/>
      <c r="N130" s="5"/>
      <c r="O130" s="5"/>
      <c r="Q130" s="5"/>
      <c r="R130" s="5"/>
      <c r="S130" s="5"/>
    </row>
    <row r="131" spans="2:27">
      <c r="B131" s="41"/>
      <c r="C131" s="254"/>
      <c r="D131" s="254"/>
      <c r="E131" s="254"/>
      <c r="F131" s="254"/>
      <c r="G131" s="254"/>
      <c r="H131" s="254"/>
      <c r="I131" s="5"/>
      <c r="J131" s="254"/>
      <c r="K131" s="254"/>
      <c r="L131" s="254"/>
      <c r="M131" s="254"/>
      <c r="N131" s="254"/>
      <c r="O131" s="5"/>
      <c r="Q131" s="5"/>
      <c r="R131" s="5"/>
      <c r="S131" s="5"/>
    </row>
    <row r="132" spans="2:27">
      <c r="B132" s="5"/>
      <c r="C132" s="259"/>
      <c r="D132" s="18"/>
      <c r="E132" s="18"/>
      <c r="F132" s="18"/>
      <c r="G132" s="18"/>
      <c r="H132" s="18"/>
      <c r="I132" s="5"/>
      <c r="J132" s="18"/>
      <c r="K132" s="18"/>
      <c r="L132" s="18"/>
      <c r="M132" s="18"/>
      <c r="N132" s="18"/>
      <c r="O132" s="5"/>
      <c r="Q132" s="5"/>
      <c r="R132" s="5"/>
      <c r="S132" s="5"/>
    </row>
    <row r="133" spans="2:27">
      <c r="B133" s="5"/>
      <c r="C133" s="5"/>
      <c r="D133" s="5"/>
      <c r="E133" s="5"/>
      <c r="F133" s="5"/>
      <c r="G133" s="5"/>
      <c r="H133" s="5"/>
      <c r="I133" s="17"/>
      <c r="J133" s="5"/>
      <c r="K133" s="5"/>
      <c r="L133" s="5"/>
      <c r="M133" s="5"/>
      <c r="N133" s="5"/>
      <c r="O133" s="5"/>
      <c r="Q133" s="5"/>
      <c r="R133" s="5"/>
      <c r="S133" s="5"/>
    </row>
    <row r="134" spans="2:27">
      <c r="B134" s="41"/>
      <c r="C134" s="5"/>
      <c r="D134" s="5"/>
      <c r="E134" s="5"/>
      <c r="F134" s="5"/>
      <c r="G134" s="5"/>
      <c r="H134" s="5"/>
      <c r="I134" s="17"/>
      <c r="J134" s="5"/>
      <c r="K134" s="5"/>
      <c r="L134" s="5"/>
      <c r="M134" s="5"/>
      <c r="N134" s="5"/>
      <c r="O134" s="5"/>
      <c r="Q134" s="5"/>
      <c r="R134" s="5"/>
      <c r="S134" s="5"/>
    </row>
    <row r="135" spans="2:27">
      <c r="B135" s="5"/>
      <c r="C135" s="17"/>
      <c r="D135" s="17"/>
      <c r="E135" s="17"/>
      <c r="F135" s="17"/>
      <c r="G135" s="17"/>
      <c r="H135" s="17"/>
      <c r="I135" s="17"/>
      <c r="J135" s="17"/>
      <c r="K135" s="17"/>
      <c r="L135" s="17"/>
      <c r="M135" s="17"/>
      <c r="N135" s="17"/>
      <c r="O135" s="5"/>
      <c r="Q135" s="41"/>
      <c r="R135" s="5"/>
      <c r="S135" s="5"/>
    </row>
    <row r="136" spans="2:27">
      <c r="B136" s="5"/>
      <c r="C136" s="17"/>
      <c r="D136" s="17"/>
      <c r="E136" s="17"/>
      <c r="F136" s="17"/>
      <c r="G136" s="17"/>
      <c r="H136" s="17"/>
      <c r="I136" s="17"/>
      <c r="J136" s="17"/>
      <c r="K136" s="17"/>
      <c r="L136" s="17"/>
      <c r="M136" s="17"/>
      <c r="N136" s="17"/>
      <c r="O136" s="5"/>
      <c r="Q136" s="5"/>
      <c r="R136" s="5"/>
      <c r="S136" s="5"/>
      <c r="X136" s="304"/>
    </row>
    <row r="137" spans="2:27">
      <c r="B137" s="5"/>
      <c r="C137" s="5"/>
      <c r="D137" s="17"/>
      <c r="E137" s="17"/>
      <c r="F137" s="17"/>
      <c r="G137" s="17"/>
      <c r="H137" s="17"/>
      <c r="I137" s="17"/>
      <c r="J137" s="17"/>
      <c r="K137" s="17"/>
      <c r="L137" s="17"/>
      <c r="M137" s="17"/>
      <c r="N137" s="17"/>
      <c r="O137" s="5"/>
      <c r="Q137" s="5"/>
      <c r="R137" s="5"/>
      <c r="S137" s="5"/>
      <c r="X137" s="10"/>
      <c r="Y137" s="304"/>
      <c r="Z137" s="304"/>
      <c r="AA137" s="304"/>
    </row>
    <row r="138" spans="2:27">
      <c r="B138" s="5"/>
      <c r="C138" s="5"/>
      <c r="D138" s="17"/>
      <c r="E138" s="17"/>
      <c r="F138" s="17"/>
      <c r="G138" s="17"/>
      <c r="H138" s="17"/>
      <c r="I138" s="17"/>
      <c r="J138" s="17"/>
      <c r="K138" s="17"/>
      <c r="L138" s="17"/>
      <c r="M138" s="17"/>
      <c r="N138" s="17"/>
      <c r="O138" s="5"/>
      <c r="Q138" s="5"/>
      <c r="R138" s="5"/>
      <c r="S138" s="5"/>
      <c r="Y138" s="10"/>
      <c r="Z138" s="10"/>
      <c r="AA138" s="10"/>
    </row>
    <row r="139" spans="2:27">
      <c r="B139" s="5"/>
      <c r="C139" s="5"/>
      <c r="D139" s="17"/>
      <c r="E139" s="17"/>
      <c r="F139" s="17"/>
      <c r="G139" s="17"/>
      <c r="H139" s="17"/>
      <c r="I139" s="5"/>
      <c r="J139" s="17"/>
      <c r="K139" s="17"/>
      <c r="L139" s="17"/>
      <c r="M139" s="17"/>
      <c r="N139" s="17"/>
      <c r="O139" s="5"/>
      <c r="Q139" s="5"/>
      <c r="R139" s="5"/>
      <c r="S139" s="5"/>
    </row>
    <row r="140" spans="2:27">
      <c r="B140" s="5"/>
      <c r="C140" s="17"/>
      <c r="D140" s="17"/>
      <c r="E140" s="17"/>
      <c r="F140" s="17"/>
      <c r="G140" s="17"/>
      <c r="H140" s="17"/>
      <c r="I140" s="5"/>
      <c r="J140" s="17"/>
      <c r="K140" s="17"/>
      <c r="L140" s="17"/>
      <c r="M140" s="17"/>
      <c r="N140" s="17"/>
      <c r="O140" s="5"/>
      <c r="Q140" s="5"/>
      <c r="R140" s="5"/>
      <c r="S140" s="5"/>
    </row>
    <row r="141" spans="2:27">
      <c r="B141" s="5"/>
      <c r="C141" s="5"/>
      <c r="D141" s="5"/>
      <c r="E141" s="5"/>
      <c r="F141" s="5"/>
      <c r="G141" s="5"/>
      <c r="H141" s="5"/>
      <c r="I141" s="5"/>
      <c r="J141" s="5"/>
      <c r="K141" s="5"/>
      <c r="L141" s="5"/>
      <c r="M141" s="5"/>
      <c r="N141" s="5"/>
      <c r="O141" s="5"/>
      <c r="Q141" s="5"/>
      <c r="R141" s="5"/>
      <c r="S141" s="5"/>
    </row>
    <row r="142" spans="2:27">
      <c r="B142" s="5"/>
      <c r="C142" s="5"/>
      <c r="D142" s="5"/>
      <c r="E142" s="5"/>
      <c r="F142" s="5"/>
      <c r="G142" s="5"/>
      <c r="H142" s="5"/>
      <c r="I142" s="5"/>
      <c r="J142" s="5"/>
      <c r="K142" s="5"/>
      <c r="L142" s="5"/>
      <c r="M142" s="5"/>
      <c r="N142" s="5"/>
      <c r="O142" s="5"/>
      <c r="Q142" s="5"/>
      <c r="R142" s="5"/>
      <c r="S142" s="5"/>
    </row>
    <row r="143" spans="2:27">
      <c r="B143" s="5"/>
      <c r="C143" s="5"/>
      <c r="D143" s="5"/>
      <c r="E143" s="5"/>
      <c r="F143" s="5"/>
      <c r="G143" s="5"/>
      <c r="H143" s="5"/>
      <c r="I143" s="5"/>
      <c r="J143" s="5"/>
      <c r="K143" s="5"/>
      <c r="L143" s="5"/>
      <c r="M143" s="5"/>
      <c r="N143" s="5"/>
      <c r="O143" s="5"/>
      <c r="Q143" s="5"/>
      <c r="R143" s="5"/>
      <c r="S143" s="5"/>
    </row>
    <row r="144" spans="2:27">
      <c r="B144" s="5"/>
      <c r="C144" s="5"/>
      <c r="D144" s="5"/>
      <c r="E144" s="5"/>
      <c r="F144" s="5"/>
      <c r="G144" s="5"/>
      <c r="H144" s="5"/>
      <c r="I144" s="5"/>
      <c r="J144" s="5"/>
      <c r="K144" s="5"/>
      <c r="L144" s="5"/>
      <c r="M144" s="5"/>
      <c r="N144" s="5"/>
      <c r="O144" s="5"/>
      <c r="Q144" s="5"/>
      <c r="R144" s="5"/>
      <c r="S144" s="5"/>
    </row>
    <row r="145" spans="2:19">
      <c r="B145" s="5"/>
      <c r="C145" s="5"/>
      <c r="D145" s="5"/>
      <c r="E145" s="5"/>
      <c r="F145" s="5"/>
      <c r="G145" s="5"/>
      <c r="H145" s="5"/>
      <c r="I145" s="5"/>
      <c r="J145" s="5"/>
      <c r="K145" s="5"/>
      <c r="L145" s="5"/>
      <c r="M145" s="5"/>
      <c r="N145" s="5"/>
      <c r="O145" s="5"/>
      <c r="Q145" s="5"/>
      <c r="R145" s="5"/>
      <c r="S145" s="5"/>
    </row>
    <row r="146" spans="2:19">
      <c r="B146" s="5"/>
      <c r="C146" s="5"/>
      <c r="D146" s="5"/>
      <c r="E146" s="5"/>
      <c r="F146" s="5"/>
      <c r="G146" s="5"/>
      <c r="H146" s="5"/>
      <c r="I146" s="5"/>
      <c r="J146" s="5"/>
      <c r="K146" s="5"/>
      <c r="L146" s="5"/>
      <c r="M146" s="5"/>
      <c r="N146" s="5"/>
      <c r="O146" s="5"/>
      <c r="Q146" s="5"/>
      <c r="R146" s="5"/>
      <c r="S146" s="5"/>
    </row>
    <row r="147" spans="2:19">
      <c r="B147" s="5"/>
      <c r="C147" s="5"/>
      <c r="D147" s="5"/>
      <c r="E147" s="5"/>
      <c r="F147" s="5"/>
      <c r="G147" s="5"/>
      <c r="H147" s="5"/>
      <c r="I147" s="5"/>
      <c r="J147" s="5"/>
      <c r="K147" s="5"/>
      <c r="L147" s="5"/>
      <c r="M147" s="5"/>
      <c r="N147" s="5"/>
      <c r="O147" s="5"/>
      <c r="Q147" s="5"/>
      <c r="R147" s="5"/>
      <c r="S147" s="5"/>
    </row>
    <row r="148" spans="2:19">
      <c r="B148" s="5"/>
      <c r="C148" s="5"/>
      <c r="D148" s="5"/>
      <c r="E148" s="5"/>
      <c r="F148" s="5"/>
      <c r="G148" s="5"/>
      <c r="H148" s="5"/>
      <c r="I148" s="5"/>
      <c r="J148" s="5"/>
      <c r="K148" s="5"/>
      <c r="L148" s="5"/>
      <c r="M148" s="5"/>
      <c r="N148" s="5"/>
      <c r="O148" s="5"/>
      <c r="Q148" s="5"/>
      <c r="R148" s="5"/>
      <c r="S148" s="5"/>
    </row>
    <row r="149" spans="2:19">
      <c r="B149" s="5"/>
      <c r="C149" s="5"/>
      <c r="D149" s="5"/>
      <c r="E149" s="5"/>
      <c r="F149" s="5"/>
      <c r="G149" s="5"/>
      <c r="H149" s="5"/>
      <c r="J149" s="5"/>
      <c r="K149" s="5"/>
      <c r="L149" s="5"/>
      <c r="M149" s="5"/>
      <c r="N149" s="5"/>
      <c r="O149" s="5"/>
      <c r="Q149" s="5"/>
      <c r="R149" s="5"/>
      <c r="S149" s="5"/>
    </row>
    <row r="150" spans="2:19">
      <c r="B150" s="5"/>
      <c r="C150" s="5"/>
      <c r="D150" s="5"/>
      <c r="E150" s="5"/>
      <c r="F150" s="5"/>
      <c r="G150" s="5"/>
      <c r="H150" s="5"/>
      <c r="J150" s="5"/>
      <c r="K150" s="5"/>
      <c r="L150" s="5"/>
      <c r="M150" s="5"/>
      <c r="N150" s="5"/>
      <c r="O150" s="5"/>
      <c r="Q150" s="5"/>
      <c r="R150" s="5"/>
      <c r="S150" s="5"/>
    </row>
    <row r="151" spans="2:19">
      <c r="Q151" s="5"/>
      <c r="R151" s="5"/>
      <c r="S151" s="5"/>
    </row>
    <row r="152" spans="2:19">
      <c r="Q152" s="5"/>
      <c r="R152" s="5"/>
      <c r="S152" s="5"/>
    </row>
    <row r="153" spans="2:19">
      <c r="C153" s="263"/>
      <c r="Q153" s="5"/>
      <c r="R153" s="5"/>
      <c r="S153" s="5"/>
    </row>
    <row r="154" spans="2:19">
      <c r="Q154" s="5"/>
      <c r="R154" s="5"/>
      <c r="S154" s="5"/>
    </row>
    <row r="155" spans="2:19">
      <c r="Q155" s="5"/>
      <c r="R155" s="5"/>
      <c r="S155" s="5"/>
    </row>
    <row r="156" spans="2:19">
      <c r="Q156" s="5"/>
      <c r="R156" s="5"/>
      <c r="S156" s="5"/>
    </row>
    <row r="157" spans="2:19">
      <c r="Q157" s="5"/>
      <c r="R157" s="5"/>
      <c r="S157" s="5"/>
    </row>
    <row r="158" spans="2:19">
      <c r="Q158" s="5"/>
      <c r="R158" s="5"/>
      <c r="S158" s="5"/>
    </row>
    <row r="159" spans="2:19">
      <c r="Q159" s="5"/>
      <c r="R159" s="5"/>
      <c r="S159" s="5"/>
    </row>
    <row r="160" spans="2:19">
      <c r="Q160" s="5"/>
      <c r="R160" s="5"/>
      <c r="S160" s="5"/>
    </row>
    <row r="161" spans="17:19">
      <c r="Q161" s="5"/>
      <c r="R161" s="5"/>
      <c r="S161" s="5"/>
    </row>
    <row r="162" spans="17:19">
      <c r="Q162" s="5"/>
      <c r="R162" s="5"/>
      <c r="S162" s="5"/>
    </row>
    <row r="163" spans="17:19">
      <c r="Q163" s="5"/>
      <c r="R163" s="5"/>
      <c r="S163" s="5"/>
    </row>
    <row r="164" spans="17:19">
      <c r="Q164" s="5"/>
      <c r="R164" s="5"/>
      <c r="S164" s="5"/>
    </row>
    <row r="165" spans="17:19">
      <c r="Q165" s="5"/>
      <c r="R165" s="5"/>
      <c r="S165" s="5"/>
    </row>
  </sheetData>
  <phoneticPr fontId="7" type="noConversion"/>
  <pageMargins left="0.75" right="0.75" top="1" bottom="1" header="0.5" footer="0.5"/>
  <pageSetup scale="71" orientation="landscape" r:id="rId1"/>
  <headerFooter alignWithMargins="0"/>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208">
    <pageSetUpPr fitToPage="1"/>
  </sheetPr>
  <dimension ref="B1:AR165"/>
  <sheetViews>
    <sheetView showGridLines="0" zoomScale="80" zoomScaleNormal="80" workbookViewId="0"/>
  </sheetViews>
  <sheetFormatPr defaultColWidth="9.109375" defaultRowHeight="12"/>
  <cols>
    <col min="1" max="1" width="2.33203125" style="39" customWidth="1"/>
    <col min="2" max="2" width="26.5546875" style="39" customWidth="1"/>
    <col min="3" max="9" width="10" style="39" customWidth="1"/>
    <col min="10" max="10" width="26.6640625" style="39" customWidth="1"/>
    <col min="11" max="16" width="10" style="39" customWidth="1"/>
    <col min="17" max="19" width="8.6640625" style="39" customWidth="1"/>
    <col min="20" max="28" width="8.6640625" style="5" customWidth="1"/>
    <col min="29" max="44" width="9.109375" style="5"/>
    <col min="45" max="16384" width="9.109375" style="39"/>
  </cols>
  <sheetData>
    <row r="1" spans="2:44" s="312" customFormat="1">
      <c r="T1" s="149"/>
      <c r="U1" s="149"/>
      <c r="V1" s="149"/>
      <c r="W1" s="149"/>
      <c r="X1" s="149"/>
      <c r="Y1" s="149"/>
      <c r="Z1" s="149"/>
      <c r="AA1" s="149"/>
      <c r="AB1" s="149"/>
      <c r="AC1" s="149"/>
      <c r="AD1" s="149"/>
      <c r="AE1" s="149"/>
      <c r="AF1" s="149"/>
      <c r="AG1" s="149"/>
      <c r="AH1" s="149"/>
      <c r="AI1" s="149"/>
      <c r="AJ1" s="149"/>
      <c r="AK1" s="149"/>
      <c r="AL1" s="149"/>
      <c r="AM1" s="149"/>
      <c r="AN1" s="149"/>
      <c r="AO1" s="149"/>
      <c r="AP1" s="149"/>
      <c r="AQ1" s="149"/>
      <c r="AR1" s="149"/>
    </row>
    <row r="2" spans="2:44" s="149" customFormat="1"/>
    <row r="3" spans="2:44" s="149" customFormat="1">
      <c r="H3" s="153"/>
      <c r="P3" s="153"/>
    </row>
    <row r="4" spans="2:44" s="156" customFormat="1" ht="21">
      <c r="B4" s="129" t="s">
        <v>836</v>
      </c>
      <c r="H4" s="222"/>
      <c r="P4" s="222"/>
    </row>
    <row r="5" spans="2:44" s="149" customFormat="1">
      <c r="C5" s="153"/>
      <c r="D5" s="153" t="str" cm="1">
        <f t="array" ref="D5:H5">headings</f>
        <v>2023E</v>
      </c>
      <c r="E5" s="153" t="str">
        <v>2024E</v>
      </c>
      <c r="F5" s="153" t="str">
        <v>2025E</v>
      </c>
      <c r="G5" s="153" t="str">
        <v>2026E</v>
      </c>
      <c r="H5" s="153" t="str">
        <v>23E-26E</v>
      </c>
      <c r="I5" s="153"/>
      <c r="J5" s="153"/>
      <c r="K5" s="153"/>
      <c r="L5" s="153" t="str" cm="1">
        <f t="array" ref="L5:P5">headings</f>
        <v>2023E</v>
      </c>
      <c r="M5" s="153" t="str">
        <v>2024E</v>
      </c>
      <c r="N5" s="153" t="str">
        <v>2025E</v>
      </c>
      <c r="O5" s="153" t="str">
        <v>2026E</v>
      </c>
      <c r="P5" s="153" t="str">
        <v>23E-26E</v>
      </c>
      <c r="Q5" s="162"/>
      <c r="R5" s="162"/>
      <c r="S5" s="162"/>
      <c r="T5" s="162"/>
      <c r="U5" s="162"/>
      <c r="V5" s="162"/>
      <c r="W5" s="162"/>
      <c r="X5" s="162"/>
      <c r="Y5" s="162"/>
    </row>
    <row r="6" spans="2:44">
      <c r="I6" s="5"/>
      <c r="J6" s="5"/>
      <c r="K6" s="5"/>
      <c r="L6" s="5"/>
      <c r="M6" s="5"/>
      <c r="N6" s="5"/>
      <c r="O6" s="49"/>
    </row>
    <row r="7" spans="2:44" ht="12.6" thickBot="1">
      <c r="B7" s="306" t="s">
        <v>271</v>
      </c>
      <c r="C7" s="265"/>
      <c r="D7" s="265" t="str">
        <f>D5</f>
        <v>2023E</v>
      </c>
      <c r="E7" s="265" t="str">
        <f t="shared" ref="E7:H7" si="0">E5</f>
        <v>2024E</v>
      </c>
      <c r="F7" s="265" t="str">
        <f t="shared" si="0"/>
        <v>2025E</v>
      </c>
      <c r="G7" s="265" t="str">
        <f t="shared" si="0"/>
        <v>2026E</v>
      </c>
      <c r="H7" s="265" t="str">
        <f t="shared" si="0"/>
        <v>23E-26E</v>
      </c>
      <c r="I7" s="49"/>
      <c r="J7" s="306" t="s">
        <v>838</v>
      </c>
      <c r="K7" s="306"/>
      <c r="L7" s="265" t="str">
        <f>L5</f>
        <v>2023E</v>
      </c>
      <c r="M7" s="265" t="str">
        <f t="shared" ref="M7:P7" si="1">M5</f>
        <v>2024E</v>
      </c>
      <c r="N7" s="265" t="str">
        <f t="shared" si="1"/>
        <v>2025E</v>
      </c>
      <c r="O7" s="265" t="str">
        <f t="shared" si="1"/>
        <v>2026E</v>
      </c>
      <c r="P7" s="265" t="str">
        <f t="shared" si="1"/>
        <v>23E-26E</v>
      </c>
    </row>
    <row r="8" spans="2:44" ht="12.6" thickTop="1">
      <c r="B8" s="5"/>
      <c r="C8" s="5"/>
      <c r="D8" s="5"/>
      <c r="E8" s="5"/>
      <c r="F8" s="5"/>
      <c r="G8" s="5"/>
      <c r="H8" s="5"/>
      <c r="I8" s="5"/>
      <c r="J8" s="5"/>
      <c r="K8" s="5"/>
      <c r="L8" s="5"/>
      <c r="M8" s="5"/>
      <c r="N8" s="5"/>
      <c r="S8" s="88"/>
      <c r="T8" s="42"/>
      <c r="U8" s="42"/>
      <c r="V8" s="42"/>
      <c r="W8" s="42"/>
      <c r="X8" s="42"/>
      <c r="Y8" s="42"/>
      <c r="Z8" s="42"/>
      <c r="AA8" s="42"/>
    </row>
    <row r="9" spans="2:44">
      <c r="B9" s="41" t="s">
        <v>843</v>
      </c>
      <c r="C9" s="285">
        <f>Prices!C68</f>
        <v>2.57</v>
      </c>
      <c r="D9" s="530">
        <v>0</v>
      </c>
      <c r="E9" s="530">
        <v>0</v>
      </c>
      <c r="F9" s="530">
        <v>0</v>
      </c>
      <c r="G9" s="530">
        <v>0</v>
      </c>
      <c r="H9" s="249"/>
      <c r="I9" s="249"/>
      <c r="J9" s="5" t="s">
        <v>273</v>
      </c>
      <c r="L9" s="529">
        <v>4.7994619717954237</v>
      </c>
      <c r="M9" s="529">
        <v>3.903327210355731</v>
      </c>
      <c r="N9" s="529">
        <v>3.3479234241965061</v>
      </c>
      <c r="O9" s="529">
        <v>2.846349535283093</v>
      </c>
      <c r="P9" s="286">
        <v>0.11349924841093761</v>
      </c>
      <c r="S9" s="88"/>
      <c r="T9" s="42"/>
      <c r="U9" s="42"/>
      <c r="V9" s="42"/>
      <c r="W9" s="42"/>
      <c r="X9" s="42"/>
      <c r="Y9" s="42"/>
      <c r="Z9" s="42"/>
      <c r="AA9" s="42"/>
    </row>
    <row r="10" spans="2:44">
      <c r="B10" s="5" t="s">
        <v>274</v>
      </c>
      <c r="C10" s="5"/>
      <c r="D10" s="531">
        <v>1538.914901724138</v>
      </c>
      <c r="E10" s="531">
        <v>1538.914901724138</v>
      </c>
      <c r="F10" s="531">
        <v>1538.914901724138</v>
      </c>
      <c r="G10" s="531">
        <v>1538.914901724138</v>
      </c>
      <c r="H10" s="249"/>
      <c r="I10" s="247"/>
      <c r="J10" s="5" t="s">
        <v>184</v>
      </c>
      <c r="L10" s="529">
        <v>11.923965387429364</v>
      </c>
      <c r="M10" s="529">
        <v>9.4982417751711701</v>
      </c>
      <c r="N10" s="529">
        <v>7.9778553837478272</v>
      </c>
      <c r="O10" s="529">
        <v>6.6407224347584357</v>
      </c>
      <c r="P10" s="286">
        <v>0.13707805962491371</v>
      </c>
      <c r="S10" s="88"/>
      <c r="T10" s="42"/>
      <c r="U10" s="42"/>
      <c r="V10" s="42"/>
      <c r="W10" s="288"/>
      <c r="X10" s="288"/>
      <c r="Y10" s="288"/>
      <c r="Z10" s="288"/>
      <c r="AA10" s="42"/>
    </row>
    <row r="11" spans="2:44">
      <c r="B11" s="41" t="s">
        <v>314</v>
      </c>
      <c r="C11" s="5"/>
      <c r="D11" s="532">
        <f>($C$9*D10)</f>
        <v>3955.0112974310341</v>
      </c>
      <c r="E11" s="532">
        <f>($C$9*E10)</f>
        <v>3955.0112974310341</v>
      </c>
      <c r="F11" s="532">
        <f>($C$9*F10)</f>
        <v>3955.0112974310341</v>
      </c>
      <c r="G11" s="532">
        <f>($C$9*G10)</f>
        <v>3955.0112974310341</v>
      </c>
      <c r="H11" s="249"/>
      <c r="I11" s="249"/>
      <c r="J11" s="5" t="s">
        <v>185</v>
      </c>
      <c r="L11" s="529">
        <v>19.757952140183111</v>
      </c>
      <c r="M11" s="529">
        <v>15.130826512191861</v>
      </c>
      <c r="N11" s="529">
        <v>11.728688015717669</v>
      </c>
      <c r="O11" s="529">
        <v>9.4769800418991377</v>
      </c>
      <c r="P11" s="286">
        <v>0.19512264272148294</v>
      </c>
      <c r="S11" s="88"/>
      <c r="T11" s="42"/>
      <c r="U11" s="42"/>
      <c r="V11" s="42"/>
      <c r="W11" s="288"/>
      <c r="X11" s="288"/>
      <c r="Y11" s="288"/>
      <c r="Z11" s="288"/>
      <c r="AA11" s="42"/>
    </row>
    <row r="12" spans="2:44">
      <c r="B12" s="5" t="s">
        <v>24</v>
      </c>
      <c r="C12" s="249"/>
      <c r="D12" s="533">
        <v>11083.829019784915</v>
      </c>
      <c r="E12" s="533">
        <v>11004.292244507285</v>
      </c>
      <c r="F12" s="533">
        <v>10947.993888430483</v>
      </c>
      <c r="G12" s="533">
        <v>10847.948800360113</v>
      </c>
      <c r="H12" s="247"/>
      <c r="I12" s="247"/>
      <c r="J12" s="5" t="s">
        <v>466</v>
      </c>
      <c r="L12" s="529">
        <v>24.697440175228884</v>
      </c>
      <c r="M12" s="529">
        <v>18.913533140239828</v>
      </c>
      <c r="N12" s="529">
        <v>14.660860019647085</v>
      </c>
      <c r="O12" s="529">
        <v>11.846225052373923</v>
      </c>
      <c r="P12" s="286">
        <v>0.19512264272148294</v>
      </c>
      <c r="S12" s="88"/>
      <c r="T12" s="42"/>
      <c r="U12" s="42"/>
      <c r="V12" s="42"/>
      <c r="W12" s="288"/>
      <c r="X12" s="288"/>
      <c r="Y12" s="288"/>
      <c r="Z12" s="288"/>
      <c r="AA12" s="42"/>
    </row>
    <row r="13" spans="2:44">
      <c r="B13" s="5" t="s">
        <v>529</v>
      </c>
      <c r="C13" s="257"/>
      <c r="D13" s="533">
        <v>0</v>
      </c>
      <c r="E13" s="533">
        <v>0</v>
      </c>
      <c r="F13" s="533">
        <v>0</v>
      </c>
      <c r="G13" s="533">
        <v>0</v>
      </c>
      <c r="H13" s="247"/>
      <c r="I13" s="247"/>
      <c r="J13" s="5" t="s">
        <v>530</v>
      </c>
      <c r="L13" s="529">
        <v>2.5872815779914995</v>
      </c>
      <c r="M13" s="529">
        <v>2.7018374749487801</v>
      </c>
      <c r="N13" s="529">
        <v>2.6133368515775306</v>
      </c>
      <c r="O13" s="529">
        <v>2.4728123976242489</v>
      </c>
      <c r="P13" s="286">
        <v>-5.0257230642949624E-2</v>
      </c>
      <c r="S13" s="88"/>
      <c r="T13" s="42"/>
      <c r="U13" s="42"/>
      <c r="V13" s="42"/>
      <c r="W13" s="42"/>
      <c r="X13" s="42"/>
      <c r="Y13" s="42"/>
      <c r="Z13" s="42"/>
      <c r="AA13" s="42"/>
    </row>
    <row r="14" spans="2:44">
      <c r="B14" s="5" t="s">
        <v>532</v>
      </c>
      <c r="C14" s="257"/>
      <c r="D14" s="533">
        <v>0</v>
      </c>
      <c r="E14" s="533">
        <v>0</v>
      </c>
      <c r="F14" s="533">
        <v>0</v>
      </c>
      <c r="G14" s="533">
        <v>0</v>
      </c>
      <c r="H14" s="247"/>
      <c r="I14" s="247"/>
      <c r="J14" s="5" t="s">
        <v>593</v>
      </c>
      <c r="L14" s="529">
        <v>5.6569258563903331</v>
      </c>
      <c r="M14" s="529">
        <v>5.1637585378336448</v>
      </c>
      <c r="N14" s="529">
        <v>4.8591807670388789</v>
      </c>
      <c r="O14" s="529">
        <v>4.4699445368536619</v>
      </c>
      <c r="P14" s="286">
        <v>1.1924096340950152E-2</v>
      </c>
      <c r="S14" s="88"/>
      <c r="T14" s="42"/>
      <c r="U14" s="42"/>
      <c r="V14" s="42"/>
      <c r="W14" s="42"/>
      <c r="X14" s="42"/>
      <c r="Y14" s="42"/>
      <c r="Z14" s="42"/>
      <c r="AA14" s="42"/>
    </row>
    <row r="15" spans="2:44">
      <c r="B15" s="5" t="s">
        <v>531</v>
      </c>
      <c r="C15" s="274"/>
      <c r="D15" s="533">
        <v>0</v>
      </c>
      <c r="E15" s="533">
        <v>0</v>
      </c>
      <c r="F15" s="533">
        <v>0</v>
      </c>
      <c r="G15" s="533">
        <v>0</v>
      </c>
      <c r="H15" s="247"/>
      <c r="I15" s="247"/>
      <c r="J15" s="5" t="s">
        <v>475</v>
      </c>
      <c r="L15" s="529">
        <v>32.444347205339341</v>
      </c>
      <c r="M15" s="529">
        <v>20.615333376119054</v>
      </c>
      <c r="N15" s="529">
        <v>15.22605019621888</v>
      </c>
      <c r="O15" s="529">
        <v>12.832038789785191</v>
      </c>
      <c r="P15" s="286">
        <v>0.36232625197733515</v>
      </c>
      <c r="S15" s="88"/>
      <c r="T15" s="42"/>
      <c r="U15" s="42"/>
      <c r="V15" s="42"/>
      <c r="W15" s="42"/>
      <c r="X15" s="42"/>
      <c r="Y15" s="42"/>
      <c r="Z15" s="42"/>
      <c r="AA15" s="42"/>
    </row>
    <row r="16" spans="2:44">
      <c r="B16" s="5" t="s">
        <v>534</v>
      </c>
      <c r="C16" s="257"/>
      <c r="D16" s="533">
        <v>3760.8878059850676</v>
      </c>
      <c r="E16" s="533">
        <v>5282.3060471232056</v>
      </c>
      <c r="F16" s="533">
        <v>6897.1969784846742</v>
      </c>
      <c r="G16" s="533">
        <v>8582.6008991675608</v>
      </c>
      <c r="H16" s="247"/>
      <c r="I16" s="247"/>
      <c r="J16" s="5" t="s">
        <v>533</v>
      </c>
      <c r="L16" s="529">
        <v>33.016706571912756</v>
      </c>
      <c r="M16" s="529">
        <v>19.211289421330676</v>
      </c>
      <c r="N16" s="529">
        <v>14.913078679515767</v>
      </c>
      <c r="O16" s="529">
        <v>12.303926922546617</v>
      </c>
      <c r="P16" s="286">
        <v>0.38962196134715321</v>
      </c>
      <c r="S16" s="88"/>
      <c r="T16" s="42"/>
      <c r="U16" s="42"/>
      <c r="V16" s="42"/>
      <c r="W16" s="42"/>
      <c r="X16" s="42"/>
      <c r="Y16" s="42"/>
      <c r="Z16" s="42"/>
      <c r="AA16" s="42"/>
    </row>
    <row r="17" spans="2:27">
      <c r="B17" s="5" t="s">
        <v>6</v>
      </c>
      <c r="C17" s="257"/>
      <c r="D17" s="533">
        <v>0</v>
      </c>
      <c r="E17" s="533">
        <v>0</v>
      </c>
      <c r="F17" s="533">
        <v>0</v>
      </c>
      <c r="G17" s="533">
        <v>0</v>
      </c>
      <c r="H17" s="247"/>
      <c r="I17" s="247"/>
      <c r="J17" s="5" t="s">
        <v>580</v>
      </c>
      <c r="L17" s="248">
        <v>1.1336941535745116E-2</v>
      </c>
      <c r="M17" s="248">
        <v>2.8684808800633229E-2</v>
      </c>
      <c r="N17" s="248">
        <v>4.0868616437691449E-2</v>
      </c>
      <c r="O17" s="248">
        <v>5.2381391635972017E-2</v>
      </c>
      <c r="P17" s="286">
        <v>0.66556035591055229</v>
      </c>
      <c r="S17" s="88"/>
      <c r="T17" s="42"/>
      <c r="U17" s="42"/>
      <c r="V17" s="42"/>
      <c r="W17" s="42"/>
      <c r="X17" s="42"/>
      <c r="Y17" s="42"/>
      <c r="Z17" s="42"/>
      <c r="AA17" s="42"/>
    </row>
    <row r="18" spans="2:27" ht="12.6" thickBot="1">
      <c r="B18" s="41" t="s">
        <v>583</v>
      </c>
      <c r="C18" s="249"/>
      <c r="D18" s="534">
        <f>D11+D12+D13-D14+D15-D16-D17</f>
        <v>11277.95251123088</v>
      </c>
      <c r="E18" s="534">
        <f>E11+E12+E13-E14+E15-E16-E17</f>
        <v>9676.9974948151139</v>
      </c>
      <c r="F18" s="534">
        <f>F11+F12+F13-F14+F15-F16-F17</f>
        <v>8005.8082073768428</v>
      </c>
      <c r="G18" s="534">
        <f>G11+G12+G13-G14+G15-G16-G17</f>
        <v>6220.3591986235861</v>
      </c>
      <c r="H18" s="276">
        <f>IF(D18=0,"nm",IF(G18=0,"nm",(G18/D18)^(1/3)-1))</f>
        <v>-0.17990958848601513</v>
      </c>
      <c r="I18" s="254"/>
      <c r="J18" s="5" t="s">
        <v>36</v>
      </c>
      <c r="L18" s="248">
        <v>1.1336941535745116E-2</v>
      </c>
      <c r="M18" s="248">
        <v>2.8684808800633229E-2</v>
      </c>
      <c r="N18" s="248">
        <v>4.0868616437691449E-2</v>
      </c>
      <c r="O18" s="248">
        <v>5.2381391635972017E-2</v>
      </c>
      <c r="P18" s="286">
        <v>0.66556035591055229</v>
      </c>
      <c r="S18" s="88"/>
      <c r="T18" s="42"/>
      <c r="U18" s="42"/>
      <c r="V18" s="42"/>
      <c r="W18" s="42"/>
      <c r="X18" s="42"/>
      <c r="Y18" s="42"/>
      <c r="Z18" s="42"/>
      <c r="AA18" s="42"/>
    </row>
    <row r="19" spans="2:27" ht="12.6" thickTop="1">
      <c r="B19" s="41"/>
      <c r="C19" s="249"/>
      <c r="D19" s="229"/>
      <c r="E19" s="229"/>
      <c r="F19" s="229"/>
      <c r="G19" s="229"/>
      <c r="H19" s="276"/>
      <c r="I19" s="254"/>
      <c r="J19" s="5" t="s">
        <v>581</v>
      </c>
      <c r="L19" s="248">
        <v>3.0822010184733531E-2</v>
      </c>
      <c r="M19" s="248">
        <v>4.8507583251523205E-2</v>
      </c>
      <c r="N19" s="248">
        <v>6.5676914702956404E-2</v>
      </c>
      <c r="O19" s="248">
        <v>7.7929938989589054E-2</v>
      </c>
      <c r="P19" s="286">
        <v>0.36232625197733515</v>
      </c>
      <c r="S19" s="88"/>
      <c r="T19" s="42"/>
      <c r="U19" s="42"/>
      <c r="V19" s="42"/>
      <c r="W19" s="42"/>
      <c r="X19" s="42"/>
      <c r="Y19" s="42"/>
      <c r="Z19" s="42"/>
      <c r="AA19" s="42"/>
    </row>
    <row r="20" spans="2:27">
      <c r="H20" s="277"/>
      <c r="I20" s="17"/>
      <c r="J20" s="5" t="s">
        <v>604</v>
      </c>
      <c r="L20" s="305">
        <v>0.36781966743234756</v>
      </c>
      <c r="M20" s="305">
        <v>0.5913468962552878</v>
      </c>
      <c r="N20" s="305">
        <v>0.62226760533030601</v>
      </c>
      <c r="O20" s="305">
        <v>0.67216004933572249</v>
      </c>
      <c r="P20" s="286" t="s">
        <v>607</v>
      </c>
      <c r="S20" s="88"/>
      <c r="T20" s="42"/>
      <c r="U20" s="42"/>
      <c r="V20" s="42"/>
      <c r="W20" s="42"/>
      <c r="X20" s="42"/>
      <c r="Y20" s="42"/>
      <c r="Z20" s="42"/>
      <c r="AA20" s="42"/>
    </row>
    <row r="21" spans="2:27" ht="12.6" thickBot="1">
      <c r="B21" s="306" t="s">
        <v>938</v>
      </c>
      <c r="C21" s="265"/>
      <c r="D21" s="265" t="str">
        <f>D5</f>
        <v>2023E</v>
      </c>
      <c r="E21" s="265" t="str">
        <f t="shared" ref="E21:H21" si="2">E5</f>
        <v>2024E</v>
      </c>
      <c r="F21" s="265" t="str">
        <f t="shared" si="2"/>
        <v>2025E</v>
      </c>
      <c r="G21" s="265" t="str">
        <f t="shared" si="2"/>
        <v>2026E</v>
      </c>
      <c r="H21" s="265" t="str">
        <f t="shared" si="2"/>
        <v>23E-26E</v>
      </c>
      <c r="I21" s="49"/>
      <c r="J21" s="41"/>
      <c r="L21" s="250"/>
      <c r="M21" s="250"/>
      <c r="N21" s="250"/>
      <c r="O21" s="250"/>
      <c r="P21" s="286"/>
      <c r="R21" s="5"/>
      <c r="S21" s="42"/>
      <c r="T21" s="42"/>
      <c r="U21" s="42"/>
      <c r="V21" s="42"/>
      <c r="W21" s="42"/>
      <c r="X21" s="42"/>
      <c r="Y21" s="42"/>
      <c r="Z21" s="42"/>
      <c r="AA21" s="42"/>
    </row>
    <row r="22" spans="2:27" ht="12.6" thickTop="1">
      <c r="B22" s="5"/>
      <c r="C22" s="257"/>
      <c r="D22" s="17"/>
      <c r="E22" s="17"/>
      <c r="F22" s="17"/>
      <c r="G22" s="17"/>
      <c r="H22" s="17"/>
      <c r="I22" s="17"/>
      <c r="P22" s="277"/>
      <c r="R22" s="5"/>
      <c r="S22" s="42"/>
      <c r="T22" s="42"/>
      <c r="U22" s="42"/>
      <c r="V22" s="42"/>
      <c r="W22" s="42"/>
      <c r="X22" s="42"/>
      <c r="Y22" s="42"/>
      <c r="Z22" s="42"/>
      <c r="AA22" s="42"/>
    </row>
    <row r="23" spans="2:27" ht="12.6" thickBot="1">
      <c r="B23" s="5" t="s">
        <v>584</v>
      </c>
      <c r="C23" s="548">
        <v>10955.145341281739</v>
      </c>
      <c r="D23" s="540">
        <v>11351.235827260976</v>
      </c>
      <c r="E23" s="540">
        <v>11745.997095869123</v>
      </c>
      <c r="F23" s="540">
        <v>12137.58780146778</v>
      </c>
      <c r="G23" s="540">
        <v>12524.008022020535</v>
      </c>
      <c r="H23" s="279">
        <f t="shared" ref="H23:H32" si="3">IF(D23=0,"nm",IF(G23=0,"nm",(G23/D23)^(1/3)-1))</f>
        <v>3.3316577648039525E-2</v>
      </c>
      <c r="I23" s="247"/>
      <c r="J23" s="306" t="s">
        <v>9</v>
      </c>
      <c r="K23" s="306"/>
      <c r="L23" s="265" t="str">
        <f>D21</f>
        <v>2023E</v>
      </c>
      <c r="M23" s="265" t="str">
        <f t="shared" ref="M23:P23" si="4">E21</f>
        <v>2024E</v>
      </c>
      <c r="N23" s="265" t="str">
        <f t="shared" si="4"/>
        <v>2025E</v>
      </c>
      <c r="O23" s="265" t="str">
        <f t="shared" si="4"/>
        <v>2026E</v>
      </c>
      <c r="P23" s="265" t="str">
        <f t="shared" si="4"/>
        <v>23E-26E</v>
      </c>
      <c r="R23" s="5"/>
      <c r="S23" s="42"/>
      <c r="T23" s="42"/>
      <c r="U23" s="42"/>
      <c r="V23" s="42"/>
      <c r="W23" s="42"/>
      <c r="X23" s="42"/>
      <c r="Y23" s="42"/>
      <c r="Z23" s="42"/>
      <c r="AA23" s="42"/>
    </row>
    <row r="24" spans="2:27" ht="12.6" thickTop="1">
      <c r="B24" s="5" t="s">
        <v>483</v>
      </c>
      <c r="C24" s="549">
        <v>3040.052832205683</v>
      </c>
      <c r="D24" s="540">
        <v>3206.7241212012264</v>
      </c>
      <c r="E24" s="540">
        <v>3318.2441795830277</v>
      </c>
      <c r="F24" s="540">
        <v>3428.8685539146481</v>
      </c>
      <c r="G24" s="540">
        <v>3538.0322662208014</v>
      </c>
      <c r="H24" s="279">
        <f t="shared" si="3"/>
        <v>3.3316577648039525E-2</v>
      </c>
      <c r="I24" s="249"/>
      <c r="J24" s="17"/>
      <c r="K24" s="17"/>
      <c r="L24" s="17"/>
      <c r="M24" s="17"/>
      <c r="N24" s="17"/>
      <c r="O24" s="248"/>
      <c r="R24" s="5"/>
      <c r="S24" s="42"/>
      <c r="T24" s="42"/>
      <c r="U24" s="42"/>
      <c r="V24" s="42"/>
      <c r="W24" s="42" t="s">
        <v>836</v>
      </c>
      <c r="X24" s="42"/>
      <c r="Y24" s="42"/>
      <c r="Z24" s="42"/>
      <c r="AA24" s="42"/>
    </row>
    <row r="25" spans="2:27">
      <c r="B25" s="5" t="s">
        <v>183</v>
      </c>
      <c r="C25" s="548">
        <v>2433.8953099663368</v>
      </c>
      <c r="D25" s="540">
        <v>2568.3417523042735</v>
      </c>
      <c r="E25" s="540">
        <v>2688.6462832905058</v>
      </c>
      <c r="F25" s="540">
        <v>2767.2640194917722</v>
      </c>
      <c r="G25" s="540">
        <v>2889.8395853509401</v>
      </c>
      <c r="H25" s="279">
        <f t="shared" si="3"/>
        <v>4.009651517345092E-2</v>
      </c>
      <c r="I25" s="248"/>
      <c r="J25" s="247" t="s">
        <v>10</v>
      </c>
      <c r="K25" s="247"/>
      <c r="L25" s="321">
        <v>0</v>
      </c>
      <c r="M25" s="321">
        <v>0</v>
      </c>
      <c r="N25" s="321">
        <v>0</v>
      </c>
      <c r="O25" s="321">
        <v>0</v>
      </c>
      <c r="P25" s="279" t="str">
        <f>IF(L25=0,"nm",IF(O25=0,"nm",(O25/L25)^(1/3)-1))</f>
        <v>nm</v>
      </c>
      <c r="R25" s="5"/>
      <c r="S25" s="42"/>
      <c r="T25" s="42"/>
      <c r="U25" s="42"/>
      <c r="V25" s="147" t="s">
        <v>273</v>
      </c>
      <c r="W25" s="288">
        <f>D37/L9</f>
        <v>0.20701154191059895</v>
      </c>
      <c r="X25" s="288">
        <v>1</v>
      </c>
      <c r="Y25" s="42"/>
      <c r="Z25" s="42"/>
      <c r="AA25" s="42"/>
    </row>
    <row r="26" spans="2:27">
      <c r="B26" s="5" t="s">
        <v>586</v>
      </c>
      <c r="C26" s="548">
        <v>2032.3025838218912</v>
      </c>
      <c r="D26" s="540">
        <v>2144.5653631740684</v>
      </c>
      <c r="E26" s="540">
        <v>2245.0196465475724</v>
      </c>
      <c r="F26" s="540">
        <v>2310.6654562756298</v>
      </c>
      <c r="G26" s="540">
        <v>2413.0160537680349</v>
      </c>
      <c r="H26" s="279">
        <f t="shared" si="3"/>
        <v>4.009651517345092E-2</v>
      </c>
      <c r="I26" s="249"/>
      <c r="J26" s="249" t="s">
        <v>11</v>
      </c>
      <c r="K26" s="249"/>
      <c r="L26" s="281">
        <f>D11+L25</f>
        <v>3955.0112974310341</v>
      </c>
      <c r="M26" s="281">
        <f>E11+M25</f>
        <v>3955.0112974310341</v>
      </c>
      <c r="N26" s="281">
        <f>F11+N25</f>
        <v>3955.0112974310341</v>
      </c>
      <c r="O26" s="281">
        <f>G11+O25</f>
        <v>3955.0112974310341</v>
      </c>
      <c r="P26" s="279">
        <f>IF(L26=0,"nm",IF(O26=0,"nm",(O26/L26)^(1/3)-1))</f>
        <v>0</v>
      </c>
      <c r="Q26" s="5"/>
      <c r="R26" s="5"/>
      <c r="S26" s="42"/>
      <c r="T26" s="42"/>
      <c r="U26" s="42"/>
      <c r="V26" s="147" t="s">
        <v>184</v>
      </c>
      <c r="W26" s="288">
        <f t="shared" ref="W26:W33" si="5">D38/L10</f>
        <v>0.29494969828260598</v>
      </c>
      <c r="X26" s="288">
        <v>1</v>
      </c>
      <c r="Y26" s="42"/>
      <c r="Z26" s="42"/>
      <c r="AA26" s="42"/>
    </row>
    <row r="27" spans="2:27">
      <c r="B27" s="5" t="s">
        <v>587</v>
      </c>
      <c r="C27" s="549">
        <v>15289.725392769029</v>
      </c>
      <c r="D27" s="540">
        <v>14047.681514008114</v>
      </c>
      <c r="E27" s="540">
        <v>12754.231565874934</v>
      </c>
      <c r="F27" s="540">
        <v>11453.667472345143</v>
      </c>
      <c r="G27" s="540">
        <v>10101.103794344775</v>
      </c>
      <c r="H27" s="279">
        <f t="shared" si="3"/>
        <v>-0.10410992137637043</v>
      </c>
      <c r="I27" s="249"/>
      <c r="J27" s="248"/>
      <c r="K27" s="248"/>
      <c r="L27" s="248"/>
      <c r="M27" s="248"/>
      <c r="N27" s="248"/>
      <c r="O27" s="248"/>
      <c r="Q27" s="41"/>
      <c r="R27" s="5"/>
      <c r="S27" s="42"/>
      <c r="T27" s="42"/>
      <c r="U27" s="42"/>
      <c r="V27" s="147" t="s">
        <v>185</v>
      </c>
      <c r="W27" s="288">
        <f t="shared" si="5"/>
        <v>0.2222468020262317</v>
      </c>
      <c r="X27" s="288">
        <v>1</v>
      </c>
      <c r="Y27" s="42"/>
      <c r="Z27" s="42"/>
      <c r="AA27" s="42"/>
    </row>
    <row r="28" spans="2:27" ht="12.6" thickBot="1">
      <c r="B28" s="5" t="s">
        <v>592</v>
      </c>
      <c r="C28" s="548">
        <v>4219.917771056922</v>
      </c>
      <c r="D28" s="540">
        <v>3750.4983702414302</v>
      </c>
      <c r="E28" s="540">
        <v>3278.7244318765152</v>
      </c>
      <c r="F28" s="540">
        <v>2847.8937827008813</v>
      </c>
      <c r="G28" s="540">
        <v>2412.127707976475</v>
      </c>
      <c r="H28" s="279">
        <f t="shared" si="3"/>
        <v>-0.13681522394659529</v>
      </c>
      <c r="I28" s="248"/>
      <c r="J28" s="306" t="s">
        <v>1362</v>
      </c>
      <c r="K28" s="306"/>
      <c r="L28" s="306"/>
      <c r="M28" s="306"/>
      <c r="N28" s="266"/>
      <c r="O28" s="266"/>
      <c r="P28" s="266"/>
      <c r="Q28" s="5"/>
      <c r="R28" s="5"/>
      <c r="S28" s="42"/>
      <c r="T28" s="42"/>
      <c r="U28" s="42"/>
      <c r="V28" s="147" t="s">
        <v>466</v>
      </c>
      <c r="W28" s="288">
        <f t="shared" si="5"/>
        <v>0.21293106780956336</v>
      </c>
      <c r="X28" s="288">
        <v>1</v>
      </c>
      <c r="Y28" s="42"/>
      <c r="Z28" s="42"/>
      <c r="AA28" s="42"/>
    </row>
    <row r="29" spans="2:27" ht="12.6" thickTop="1">
      <c r="B29" s="5" t="s">
        <v>588</v>
      </c>
      <c r="C29" s="548">
        <v>1869.6823683653115</v>
      </c>
      <c r="D29" s="540">
        <v>2005.6595701900183</v>
      </c>
      <c r="E29" s="540">
        <v>2114.1479010039757</v>
      </c>
      <c r="F29" s="540">
        <v>2180.1781886856315</v>
      </c>
      <c r="G29" s="540">
        <v>2290.5164404911093</v>
      </c>
      <c r="H29" s="279">
        <f t="shared" si="3"/>
        <v>4.5262567078461435E-2</v>
      </c>
      <c r="I29" s="252"/>
      <c r="J29" s="249"/>
      <c r="K29" s="249"/>
      <c r="L29" s="249"/>
      <c r="M29" s="249"/>
      <c r="N29" s="249"/>
      <c r="O29" s="251"/>
      <c r="Q29" s="5"/>
      <c r="R29" s="5"/>
      <c r="S29" s="42"/>
      <c r="T29" s="42"/>
      <c r="U29" s="42"/>
      <c r="V29" s="147" t="s">
        <v>530</v>
      </c>
      <c r="W29" s="288">
        <f t="shared" si="5"/>
        <v>0.31030009807593834</v>
      </c>
      <c r="X29" s="288">
        <v>1</v>
      </c>
      <c r="Y29" s="42"/>
      <c r="Z29" s="42"/>
      <c r="AA29" s="42"/>
    </row>
    <row r="30" spans="2:27">
      <c r="B30" s="5" t="s">
        <v>589</v>
      </c>
      <c r="C30" s="549">
        <v>365.88417132859536</v>
      </c>
      <c r="D30" s="540">
        <v>500.14201331738337</v>
      </c>
      <c r="E30" s="540">
        <v>564.61727951791829</v>
      </c>
      <c r="F30" s="540">
        <v>630.76549986613429</v>
      </c>
      <c r="G30" s="540">
        <v>696.15947673057428</v>
      </c>
      <c r="H30" s="279">
        <f t="shared" si="3"/>
        <v>0.1165336092763567</v>
      </c>
      <c r="I30" s="254"/>
      <c r="J30" s="248"/>
      <c r="K30" s="248"/>
      <c r="L30" s="248"/>
      <c r="M30" s="248"/>
      <c r="N30" s="248"/>
      <c r="O30" s="5"/>
      <c r="Q30" s="5"/>
      <c r="R30" s="5"/>
      <c r="S30" s="42"/>
      <c r="T30" s="42"/>
      <c r="U30" s="42"/>
      <c r="V30" s="147" t="s">
        <v>593</v>
      </c>
      <c r="W30" s="288">
        <f t="shared" si="5"/>
        <v>0.53157040513234222</v>
      </c>
      <c r="X30" s="288">
        <v>1</v>
      </c>
      <c r="Y30" s="42"/>
      <c r="Z30" s="42"/>
      <c r="AA30" s="42"/>
    </row>
    <row r="31" spans="2:27">
      <c r="B31" s="5" t="s">
        <v>590</v>
      </c>
      <c r="C31" s="549">
        <v>1414.7966261753495</v>
      </c>
      <c r="D31" s="540">
        <v>1548.6157113880918</v>
      </c>
      <c r="E31" s="540">
        <v>1665.9062187283275</v>
      </c>
      <c r="F31" s="540">
        <v>1738.9899141879225</v>
      </c>
      <c r="G31" s="540">
        <v>1857.8851850337901</v>
      </c>
      <c r="H31" s="279">
        <f t="shared" si="3"/>
        <v>6.2572087987454283E-2</v>
      </c>
      <c r="I31" s="254"/>
      <c r="J31" s="252"/>
      <c r="K31" s="252"/>
      <c r="L31" s="252"/>
      <c r="M31" s="252"/>
      <c r="N31" s="252"/>
      <c r="O31" s="5"/>
      <c r="Q31" s="5"/>
      <c r="R31" s="5"/>
      <c r="S31" s="42"/>
      <c r="T31" s="42"/>
      <c r="U31" s="42"/>
      <c r="V31" s="147" t="s">
        <v>475</v>
      </c>
      <c r="W31" s="288">
        <f t="shared" si="5"/>
        <v>6.0778708561496524E-2</v>
      </c>
      <c r="X31" s="288">
        <v>1</v>
      </c>
      <c r="Y31" s="42"/>
      <c r="Z31" s="42"/>
      <c r="AA31" s="42"/>
    </row>
    <row r="32" spans="2:27">
      <c r="B32" s="5" t="s">
        <v>606</v>
      </c>
      <c r="C32" s="550">
        <v>0</v>
      </c>
      <c r="D32" s="540">
        <v>0</v>
      </c>
      <c r="E32" s="540">
        <v>0</v>
      </c>
      <c r="F32" s="540">
        <v>0</v>
      </c>
      <c r="G32" s="540">
        <v>0</v>
      </c>
      <c r="H32" s="279" t="str">
        <f t="shared" si="3"/>
        <v>nm</v>
      </c>
      <c r="I32" s="254"/>
      <c r="J32" s="254"/>
      <c r="K32" s="254"/>
      <c r="L32" s="254"/>
      <c r="M32" s="254"/>
      <c r="N32" s="254"/>
      <c r="O32" s="251"/>
      <c r="Q32" s="5"/>
      <c r="R32" s="5"/>
      <c r="S32" s="42"/>
      <c r="T32" s="42"/>
      <c r="U32" s="42"/>
      <c r="V32" s="147" t="s">
        <v>533</v>
      </c>
      <c r="W32" s="288">
        <f t="shared" si="5"/>
        <v>0.23950833976941588</v>
      </c>
      <c r="X32" s="288">
        <v>1</v>
      </c>
      <c r="Y32" s="42"/>
      <c r="Z32" s="42"/>
      <c r="AA32" s="42"/>
    </row>
    <row r="33" spans="2:27">
      <c r="B33" s="5" t="s">
        <v>5</v>
      </c>
      <c r="C33" s="549">
        <v>377.27045977884671</v>
      </c>
      <c r="D33" s="540">
        <v>352.26462994311999</v>
      </c>
      <c r="E33" s="540">
        <v>351.56894677620789</v>
      </c>
      <c r="F33" s="540">
        <v>351.03366058400212</v>
      </c>
      <c r="G33" s="540">
        <v>350.41755717938645</v>
      </c>
      <c r="H33" s="279">
        <f>IF(D33=0,"nm",IF(G33=0,"nm",(G33/D33)^(1/3)-1))</f>
        <v>-1.7508717141235808E-3</v>
      </c>
      <c r="I33" s="5"/>
      <c r="J33" s="254"/>
      <c r="K33" s="254"/>
      <c r="L33" s="254"/>
      <c r="M33" s="254"/>
      <c r="N33" s="254"/>
      <c r="O33" s="251"/>
      <c r="Q33" s="5"/>
      <c r="R33" s="5"/>
      <c r="S33" s="42"/>
      <c r="T33" s="42"/>
      <c r="U33" s="42"/>
      <c r="V33" s="147" t="s">
        <v>580</v>
      </c>
      <c r="W33" s="288">
        <f t="shared" si="5"/>
        <v>34.538225896289497</v>
      </c>
      <c r="X33" s="288">
        <v>1</v>
      </c>
      <c r="Y33" s="42"/>
      <c r="Z33" s="42"/>
      <c r="AA33" s="42"/>
    </row>
    <row r="34" spans="2:27">
      <c r="H34" s="277"/>
      <c r="I34" s="49"/>
      <c r="J34" s="254"/>
      <c r="K34" s="254"/>
      <c r="L34" s="254"/>
      <c r="M34" s="254"/>
      <c r="N34" s="254"/>
      <c r="O34" s="251"/>
      <c r="Q34" s="5"/>
      <c r="R34" s="5"/>
      <c r="S34" s="42"/>
      <c r="T34" s="42"/>
      <c r="U34" s="42"/>
      <c r="V34" s="147" t="s">
        <v>581</v>
      </c>
      <c r="W34" s="288">
        <f>D47/L19</f>
        <v>16.45313011197317</v>
      </c>
      <c r="X34" s="288">
        <v>1</v>
      </c>
      <c r="Y34" s="288"/>
      <c r="Z34" s="288"/>
      <c r="AA34" s="42"/>
    </row>
    <row r="35" spans="2:27" ht="12.6" thickBot="1">
      <c r="B35" s="306" t="s">
        <v>837</v>
      </c>
      <c r="C35" s="265"/>
      <c r="D35" s="265" t="str">
        <f>D5</f>
        <v>2023E</v>
      </c>
      <c r="E35" s="265" t="str">
        <f t="shared" ref="E35:H35" si="6">E5</f>
        <v>2024E</v>
      </c>
      <c r="F35" s="265" t="str">
        <f t="shared" si="6"/>
        <v>2025E</v>
      </c>
      <c r="G35" s="265" t="str">
        <f t="shared" si="6"/>
        <v>2026E</v>
      </c>
      <c r="H35" s="265" t="str">
        <f t="shared" si="6"/>
        <v>23E-26E</v>
      </c>
      <c r="I35" s="254"/>
      <c r="J35" s="5"/>
      <c r="K35" s="5"/>
      <c r="L35" s="5"/>
      <c r="M35" s="5"/>
      <c r="N35" s="5"/>
      <c r="O35" s="5"/>
      <c r="Q35" s="5"/>
      <c r="R35" s="5"/>
      <c r="S35" s="42"/>
      <c r="T35" s="42"/>
      <c r="U35" s="42"/>
      <c r="V35" s="42"/>
      <c r="W35" s="42"/>
      <c r="X35" s="42"/>
      <c r="Y35" s="288"/>
      <c r="Z35" s="288"/>
      <c r="AA35" s="42"/>
    </row>
    <row r="36" spans="2:27" ht="12.6" thickTop="1">
      <c r="B36" s="41"/>
      <c r="C36" s="249"/>
      <c r="D36" s="254"/>
      <c r="E36" s="254"/>
      <c r="F36" s="254"/>
      <c r="G36" s="254"/>
      <c r="H36" s="254"/>
      <c r="I36" s="17"/>
      <c r="J36" s="49"/>
      <c r="K36" s="49"/>
      <c r="L36" s="49"/>
      <c r="M36" s="49"/>
      <c r="N36" s="49"/>
      <c r="O36" s="49"/>
      <c r="Q36" s="5"/>
      <c r="R36" s="5"/>
      <c r="S36" s="42"/>
      <c r="T36" s="42"/>
      <c r="U36" s="42"/>
      <c r="V36" s="42"/>
      <c r="W36" s="42"/>
      <c r="X36" s="42"/>
      <c r="Y36" s="288"/>
      <c r="Z36" s="288"/>
      <c r="AA36" s="42"/>
    </row>
    <row r="37" spans="2:27">
      <c r="B37" s="5" t="s">
        <v>273</v>
      </c>
      <c r="C37" s="247"/>
      <c r="D37" s="529">
        <f>D$18/D23</f>
        <v>0.99354402312265422</v>
      </c>
      <c r="E37" s="529">
        <f t="shared" ref="E37:G41" si="7">E$18/E23</f>
        <v>0.82385491975120251</v>
      </c>
      <c r="F37" s="529">
        <f t="shared" si="7"/>
        <v>0.65958807782290252</v>
      </c>
      <c r="G37" s="529">
        <f t="shared" si="7"/>
        <v>0.49667480152412402</v>
      </c>
      <c r="H37" s="17">
        <f t="shared" ref="H37:H45" si="8">H23</f>
        <v>3.3316577648039525E-2</v>
      </c>
      <c r="I37" s="5"/>
      <c r="J37" s="259"/>
      <c r="K37" s="259"/>
      <c r="L37" s="259"/>
      <c r="M37" s="259"/>
      <c r="N37" s="259"/>
      <c r="O37" s="18"/>
      <c r="Q37" s="5"/>
      <c r="R37" s="5"/>
      <c r="S37" s="42"/>
      <c r="T37" s="42"/>
      <c r="U37" s="42"/>
      <c r="V37" s="42"/>
      <c r="W37" s="288"/>
      <c r="X37" s="288"/>
      <c r="Y37" s="42"/>
      <c r="Z37" s="42"/>
      <c r="AA37" s="42"/>
    </row>
    <row r="38" spans="2:27">
      <c r="B38" s="5" t="s">
        <v>184</v>
      </c>
      <c r="C38" s="247"/>
      <c r="D38" s="529">
        <f>D$18/D24</f>
        <v>3.5169699933545275</v>
      </c>
      <c r="E38" s="529">
        <f t="shared" si="7"/>
        <v>2.9163006008892118</v>
      </c>
      <c r="F38" s="529">
        <f t="shared" si="7"/>
        <v>2.3348250542403628</v>
      </c>
      <c r="G38" s="529">
        <f t="shared" si="7"/>
        <v>1.7581408903508813</v>
      </c>
      <c r="H38" s="17">
        <f t="shared" si="8"/>
        <v>3.3316577648039525E-2</v>
      </c>
      <c r="I38" s="259"/>
      <c r="J38" s="17"/>
      <c r="K38" s="17"/>
      <c r="L38" s="17"/>
      <c r="M38" s="17"/>
      <c r="N38" s="17"/>
      <c r="O38" s="5"/>
      <c r="Q38" s="5"/>
      <c r="R38" s="5"/>
      <c r="S38" s="42"/>
      <c r="T38" s="42"/>
      <c r="U38" s="42"/>
      <c r="V38" s="42"/>
      <c r="W38" s="288"/>
      <c r="X38" s="288"/>
      <c r="Y38" s="42"/>
      <c r="Z38" s="42"/>
      <c r="AA38" s="42"/>
    </row>
    <row r="39" spans="2:27">
      <c r="B39" s="5" t="s">
        <v>185</v>
      </c>
      <c r="C39" s="247"/>
      <c r="D39" s="529">
        <f>D$18/D25</f>
        <v>4.391141677743037</v>
      </c>
      <c r="E39" s="529">
        <f t="shared" si="7"/>
        <v>3.5992081051925875</v>
      </c>
      <c r="F39" s="529">
        <f t="shared" si="7"/>
        <v>2.8930409787379689</v>
      </c>
      <c r="G39" s="529">
        <f t="shared" si="7"/>
        <v>2.1524929031201538</v>
      </c>
      <c r="H39" s="17">
        <f t="shared" si="8"/>
        <v>4.009651517345092E-2</v>
      </c>
      <c r="I39" s="17"/>
      <c r="J39" s="5"/>
      <c r="K39" s="5"/>
      <c r="L39" s="5"/>
      <c r="M39" s="5"/>
      <c r="N39" s="5"/>
      <c r="O39" s="5"/>
      <c r="Q39" s="5"/>
      <c r="R39" s="5"/>
      <c r="S39" s="42"/>
      <c r="T39" s="42"/>
      <c r="U39" s="42"/>
      <c r="V39" s="42"/>
      <c r="W39" s="288"/>
      <c r="X39" s="288"/>
      <c r="Y39" s="42"/>
      <c r="Z39" s="42"/>
      <c r="AA39" s="42"/>
    </row>
    <row r="40" spans="2:27">
      <c r="B40" s="5" t="s">
        <v>466</v>
      </c>
      <c r="C40" s="247"/>
      <c r="D40" s="529">
        <f>D$18/D26</f>
        <v>5.258852308674296</v>
      </c>
      <c r="E40" s="529">
        <f t="shared" si="7"/>
        <v>4.3104288684941165</v>
      </c>
      <c r="F40" s="529">
        <f t="shared" si="7"/>
        <v>3.4647197350155317</v>
      </c>
      <c r="G40" s="529">
        <f t="shared" si="7"/>
        <v>2.5778358121199445</v>
      </c>
      <c r="H40" s="17">
        <f t="shared" si="8"/>
        <v>4.009651517345092E-2</v>
      </c>
      <c r="I40" s="5"/>
      <c r="J40" s="259"/>
      <c r="K40" s="259"/>
      <c r="L40" s="259"/>
      <c r="M40" s="259"/>
      <c r="N40" s="259"/>
      <c r="O40" s="18"/>
      <c r="Q40" s="5"/>
      <c r="R40" s="5"/>
      <c r="S40" s="42"/>
      <c r="T40" s="42"/>
      <c r="U40" s="42"/>
      <c r="V40" s="42"/>
      <c r="W40" s="288"/>
      <c r="X40" s="288"/>
      <c r="Y40" s="42"/>
      <c r="Z40" s="42"/>
      <c r="AA40" s="42"/>
    </row>
    <row r="41" spans="2:27">
      <c r="B41" s="5" t="s">
        <v>530</v>
      </c>
      <c r="C41" s="247"/>
      <c r="D41" s="529">
        <f>D$18/D27</f>
        <v>0.80283372740083081</v>
      </c>
      <c r="E41" s="529">
        <f t="shared" si="7"/>
        <v>0.75872838319062441</v>
      </c>
      <c r="F41" s="529">
        <f t="shared" si="7"/>
        <v>0.69897333991115518</v>
      </c>
      <c r="G41" s="529">
        <f t="shared" si="7"/>
        <v>0.61580984863318888</v>
      </c>
      <c r="H41" s="17">
        <f t="shared" si="8"/>
        <v>-0.10410992137637043</v>
      </c>
      <c r="I41" s="247"/>
      <c r="J41" s="17"/>
      <c r="K41" s="17"/>
      <c r="L41" s="17"/>
      <c r="M41" s="17"/>
      <c r="N41" s="17"/>
      <c r="O41" s="5"/>
      <c r="Q41" s="5"/>
      <c r="R41" s="5"/>
      <c r="S41" s="42"/>
      <c r="T41" s="42"/>
      <c r="U41" s="42"/>
      <c r="V41" s="42"/>
      <c r="W41" s="288"/>
      <c r="X41" s="288"/>
      <c r="Y41" s="288"/>
      <c r="Z41" s="288"/>
      <c r="AA41" s="42"/>
    </row>
    <row r="42" spans="2:27">
      <c r="B42" s="5" t="s">
        <v>593</v>
      </c>
      <c r="C42" s="247"/>
      <c r="D42" s="529">
        <f>D18/D28</f>
        <v>3.0070543692850311</v>
      </c>
      <c r="E42" s="529">
        <f>E18/E28</f>
        <v>2.9514519124367733</v>
      </c>
      <c r="F42" s="529">
        <f>F18/F28</f>
        <v>2.8111330050323389</v>
      </c>
      <c r="G42" s="529">
        <f>G18/G28</f>
        <v>2.5787851854004127</v>
      </c>
      <c r="H42" s="17">
        <f t="shared" si="8"/>
        <v>-0.13681522394659529</v>
      </c>
      <c r="I42" s="248"/>
      <c r="J42" s="5"/>
      <c r="K42" s="5"/>
      <c r="L42" s="5"/>
      <c r="M42" s="5"/>
      <c r="N42" s="5"/>
      <c r="O42" s="5"/>
      <c r="Q42" s="5"/>
      <c r="R42" s="5"/>
      <c r="S42" s="42"/>
      <c r="T42" s="42"/>
      <c r="U42" s="42"/>
      <c r="V42" s="42"/>
      <c r="W42" s="288"/>
      <c r="X42" s="288"/>
      <c r="Y42" s="288"/>
      <c r="Z42" s="288"/>
      <c r="AA42" s="42"/>
    </row>
    <row r="43" spans="2:27">
      <c r="B43" s="5" t="s">
        <v>475</v>
      </c>
      <c r="C43" s="247"/>
      <c r="D43" s="529">
        <f>L26/D29</f>
        <v>1.971925523261324</v>
      </c>
      <c r="E43" s="529">
        <f>M26/E29</f>
        <v>1.8707353896824632</v>
      </c>
      <c r="F43" s="529">
        <f>N26/F29</f>
        <v>1.8140770868895812</v>
      </c>
      <c r="G43" s="529">
        <f>O26/G29</f>
        <v>1.7266897663406602</v>
      </c>
      <c r="H43" s="17">
        <f t="shared" si="8"/>
        <v>4.5262567078461435E-2</v>
      </c>
      <c r="I43" s="247"/>
      <c r="J43" s="247"/>
      <c r="K43" s="247"/>
      <c r="L43" s="247"/>
      <c r="M43" s="247"/>
      <c r="N43" s="247"/>
      <c r="O43" s="18"/>
      <c r="Q43" s="5"/>
      <c r="R43" s="5"/>
      <c r="S43" s="42"/>
      <c r="T43" s="42"/>
      <c r="U43" s="42"/>
      <c r="V43" s="42"/>
      <c r="W43" s="288"/>
      <c r="X43" s="288"/>
      <c r="Y43" s="288"/>
      <c r="Z43" s="288"/>
      <c r="AA43" s="42"/>
    </row>
    <row r="44" spans="2:27">
      <c r="B44" s="5" t="s">
        <v>533</v>
      </c>
      <c r="C44" s="69"/>
      <c r="D44" s="529">
        <f>D11/D30</f>
        <v>7.9077765756927869</v>
      </c>
      <c r="E44" s="529">
        <f>E11/E30</f>
        <v>7.0047648927923412</v>
      </c>
      <c r="F44" s="529">
        <f>F11/F30</f>
        <v>6.2701769489142887</v>
      </c>
      <c r="G44" s="529">
        <f>G11/G30</f>
        <v>5.6811857478479624</v>
      </c>
      <c r="H44" s="17">
        <f t="shared" si="8"/>
        <v>0.1165336092763567</v>
      </c>
      <c r="I44" s="247"/>
      <c r="J44" s="248"/>
      <c r="K44" s="248"/>
      <c r="L44" s="248"/>
      <c r="M44" s="248"/>
      <c r="N44" s="248"/>
      <c r="O44" s="248"/>
      <c r="Q44" s="5"/>
      <c r="R44" s="5"/>
      <c r="S44" s="42"/>
      <c r="T44" s="42"/>
      <c r="U44" s="42"/>
      <c r="V44" s="42"/>
      <c r="W44" s="325"/>
      <c r="X44" s="325"/>
      <c r="Y44" s="288"/>
      <c r="Z44" s="288"/>
      <c r="AA44" s="42"/>
    </row>
    <row r="45" spans="2:27">
      <c r="B45" s="5" t="s">
        <v>580</v>
      </c>
      <c r="C45" s="247"/>
      <c r="D45" s="248">
        <f>D31/D11</f>
        <v>0.39155784773459196</v>
      </c>
      <c r="E45" s="248">
        <f>E31/E11</f>
        <v>0.42121402277925529</v>
      </c>
      <c r="F45" s="248">
        <f>F31/F11</f>
        <v>0.43969278047763816</v>
      </c>
      <c r="G45" s="248">
        <f>G31/G11</f>
        <v>0.46975470999048069</v>
      </c>
      <c r="H45" s="17">
        <f t="shared" si="8"/>
        <v>6.2572087987454283E-2</v>
      </c>
      <c r="I45" s="248"/>
      <c r="J45" s="247"/>
      <c r="K45" s="247"/>
      <c r="L45" s="247"/>
      <c r="M45" s="247"/>
      <c r="N45" s="247"/>
      <c r="O45" s="248"/>
      <c r="Q45" s="5"/>
      <c r="R45" s="5"/>
      <c r="S45" s="42"/>
      <c r="T45" s="42"/>
      <c r="U45" s="42"/>
      <c r="V45" s="42"/>
      <c r="W45" s="42"/>
      <c r="X45" s="42"/>
      <c r="Y45" s="325"/>
      <c r="Z45" s="325"/>
      <c r="AA45" s="42"/>
    </row>
    <row r="46" spans="2:27">
      <c r="B46" s="5" t="s">
        <v>605</v>
      </c>
      <c r="C46" s="247"/>
      <c r="D46" s="248">
        <f>(D31+D32)/D11</f>
        <v>0.39155784773459196</v>
      </c>
      <c r="E46" s="248">
        <f>(E31+E32)/E11</f>
        <v>0.42121402277925529</v>
      </c>
      <c r="F46" s="248">
        <f>(F31+F32)/F11</f>
        <v>0.43969278047763816</v>
      </c>
      <c r="G46" s="248">
        <f>(G31+G32)/G11</f>
        <v>0.46975470999048069</v>
      </c>
      <c r="H46" s="279">
        <f>((G31+G32)/(D31+D32))^(1/3)-1</f>
        <v>6.2572087987454283E-2</v>
      </c>
      <c r="I46" s="247"/>
      <c r="J46" s="247"/>
      <c r="K46" s="247"/>
      <c r="L46" s="247"/>
      <c r="M46" s="247"/>
      <c r="N46" s="247"/>
      <c r="O46" s="18"/>
      <c r="Q46" s="5"/>
      <c r="R46" s="5"/>
      <c r="S46" s="42"/>
      <c r="T46" s="42"/>
      <c r="U46" s="42"/>
      <c r="V46" s="42"/>
      <c r="W46" s="42"/>
      <c r="X46" s="42"/>
      <c r="Y46" s="42"/>
      <c r="Z46" s="42"/>
      <c r="AA46" s="326"/>
    </row>
    <row r="47" spans="2:27">
      <c r="B47" s="5" t="s">
        <v>581</v>
      </c>
      <c r="C47" s="5"/>
      <c r="D47" s="248">
        <f>1/D43</f>
        <v>0.50711854388198296</v>
      </c>
      <c r="E47" s="248">
        <f>1/E43</f>
        <v>0.53454914335572545</v>
      </c>
      <c r="F47" s="248">
        <f>1/F43</f>
        <v>0.55124449078104021</v>
      </c>
      <c r="G47" s="248">
        <f>1/G43</f>
        <v>0.57914283126799349</v>
      </c>
      <c r="H47" s="17">
        <f>H29</f>
        <v>4.5262567078461435E-2</v>
      </c>
      <c r="I47" s="17"/>
      <c r="J47" s="248"/>
      <c r="K47" s="248"/>
      <c r="L47" s="248"/>
      <c r="M47" s="248"/>
      <c r="N47" s="248"/>
      <c r="O47" s="248"/>
      <c r="Q47" s="5"/>
      <c r="R47" s="5"/>
      <c r="S47" s="42"/>
      <c r="T47" s="42"/>
      <c r="U47" s="42"/>
      <c r="V47" s="42"/>
      <c r="W47" s="42"/>
      <c r="X47" s="42"/>
      <c r="Y47" s="42"/>
      <c r="Z47" s="42"/>
      <c r="AA47" s="326"/>
    </row>
    <row r="48" spans="2:27">
      <c r="B48" s="5" t="s">
        <v>618</v>
      </c>
      <c r="C48" s="5"/>
      <c r="D48" s="305">
        <f>D31/D29</f>
        <v>0.77212291378111308</v>
      </c>
      <c r="E48" s="305">
        <f>E31/E29</f>
        <v>0.78797997904366801</v>
      </c>
      <c r="F48" s="305">
        <f>F31/F29</f>
        <v>0.79763659833525391</v>
      </c>
      <c r="G48" s="305">
        <f>G31/G29</f>
        <v>0.81112065043088766</v>
      </c>
      <c r="H48" s="279" t="s">
        <v>607</v>
      </c>
      <c r="I48" s="247"/>
      <c r="J48" s="247"/>
      <c r="K48" s="247"/>
      <c r="L48" s="247"/>
      <c r="M48" s="247"/>
      <c r="N48" s="247"/>
      <c r="O48" s="248"/>
      <c r="Q48" s="5"/>
      <c r="R48" s="5"/>
      <c r="S48" s="42"/>
      <c r="T48" s="42"/>
      <c r="U48" s="42"/>
      <c r="V48" s="42"/>
      <c r="W48" s="42"/>
      <c r="X48" s="42"/>
      <c r="Y48" s="42"/>
      <c r="Z48" s="42"/>
      <c r="AA48" s="326"/>
    </row>
    <row r="49" spans="2:27">
      <c r="B49" s="41"/>
      <c r="C49" s="17"/>
      <c r="D49" s="17"/>
      <c r="E49" s="17"/>
      <c r="F49" s="17"/>
      <c r="G49" s="17"/>
      <c r="H49" s="17"/>
      <c r="I49" s="254"/>
      <c r="J49" s="17"/>
      <c r="K49" s="17"/>
      <c r="L49" s="17"/>
      <c r="M49" s="17"/>
      <c r="N49" s="17"/>
      <c r="O49" s="248"/>
      <c r="Q49" s="5"/>
      <c r="R49" s="5"/>
      <c r="S49" s="42"/>
      <c r="T49" s="42"/>
      <c r="U49" s="42"/>
      <c r="V49" s="42"/>
      <c r="W49" s="42"/>
      <c r="X49" s="42"/>
      <c r="Y49" s="42"/>
      <c r="Z49" s="42"/>
      <c r="AA49" s="326"/>
    </row>
    <row r="50" spans="2:27">
      <c r="B50" s="5"/>
      <c r="C50" s="257"/>
      <c r="D50" s="257"/>
      <c r="E50" s="257"/>
      <c r="F50" s="5"/>
      <c r="G50" s="41"/>
      <c r="H50" s="249"/>
      <c r="I50" s="17"/>
      <c r="J50" s="249"/>
      <c r="K50" s="249"/>
      <c r="L50" s="249"/>
      <c r="M50" s="249"/>
      <c r="N50" s="249"/>
      <c r="O50" s="250"/>
      <c r="Q50" s="5"/>
      <c r="R50" s="5"/>
      <c r="S50" s="42"/>
      <c r="T50" s="42"/>
      <c r="U50" s="42"/>
      <c r="V50" s="42"/>
      <c r="W50" s="288"/>
      <c r="X50" s="288"/>
      <c r="Y50" s="42"/>
      <c r="Z50" s="42"/>
      <c r="AA50" s="326"/>
    </row>
    <row r="51" spans="2:27">
      <c r="B51" s="41"/>
      <c r="C51" s="249"/>
      <c r="D51" s="254"/>
      <c r="E51" s="254"/>
      <c r="F51" s="254"/>
      <c r="G51" s="254"/>
      <c r="H51" s="254"/>
      <c r="I51" s="259"/>
      <c r="J51" s="254"/>
      <c r="K51" s="254"/>
      <c r="L51" s="254"/>
      <c r="M51" s="254"/>
      <c r="N51" s="254"/>
      <c r="O51" s="251"/>
      <c r="Q51" s="5"/>
      <c r="R51" s="5"/>
      <c r="S51" s="42"/>
      <c r="T51" s="42"/>
      <c r="U51" s="42"/>
      <c r="V51" s="42"/>
      <c r="W51" s="288"/>
      <c r="X51" s="288"/>
      <c r="Y51" s="288"/>
      <c r="Z51" s="288"/>
      <c r="AA51" s="42"/>
    </row>
    <row r="52" spans="2:27">
      <c r="B52" s="5"/>
      <c r="C52" s="257"/>
      <c r="D52" s="17"/>
      <c r="E52" s="17"/>
      <c r="F52" s="17"/>
      <c r="G52" s="17"/>
      <c r="H52" s="17"/>
      <c r="I52" s="254"/>
      <c r="J52" s="17"/>
      <c r="K52" s="17"/>
      <c r="L52" s="17"/>
      <c r="M52" s="17"/>
      <c r="N52" s="17"/>
      <c r="O52" s="248"/>
      <c r="Q52" s="5"/>
      <c r="R52" s="5"/>
      <c r="S52" s="5"/>
      <c r="Y52" s="10"/>
      <c r="Z52" s="10"/>
    </row>
    <row r="53" spans="2:27">
      <c r="B53" s="5"/>
      <c r="C53" s="257"/>
      <c r="D53" s="257"/>
      <c r="E53" s="257"/>
      <c r="F53" s="5"/>
      <c r="G53" s="5"/>
      <c r="H53" s="259"/>
      <c r="I53" s="17"/>
      <c r="J53" s="259"/>
      <c r="K53" s="259"/>
      <c r="L53" s="259"/>
      <c r="M53" s="259"/>
      <c r="N53" s="259"/>
      <c r="O53" s="18"/>
      <c r="Q53" s="5"/>
      <c r="R53" s="5"/>
      <c r="S53" s="5"/>
    </row>
    <row r="54" spans="2:27">
      <c r="B54" s="41"/>
      <c r="C54" s="249"/>
      <c r="D54" s="254"/>
      <c r="E54" s="254"/>
      <c r="F54" s="254"/>
      <c r="G54" s="254"/>
      <c r="H54" s="254"/>
      <c r="I54" s="259"/>
      <c r="J54" s="254"/>
      <c r="K54" s="254"/>
      <c r="L54" s="254"/>
      <c r="M54" s="254"/>
      <c r="N54" s="254"/>
      <c r="O54" s="251"/>
      <c r="Q54" s="5"/>
      <c r="R54" s="5"/>
      <c r="S54" s="5"/>
    </row>
    <row r="55" spans="2:27">
      <c r="B55" s="5"/>
      <c r="C55" s="257"/>
      <c r="D55" s="17"/>
      <c r="E55" s="17"/>
      <c r="F55" s="17"/>
      <c r="G55" s="17"/>
      <c r="H55" s="17"/>
      <c r="I55" s="249"/>
      <c r="J55" s="17"/>
      <c r="K55" s="17"/>
      <c r="L55" s="17"/>
      <c r="M55" s="17"/>
      <c r="N55" s="17"/>
      <c r="O55" s="18"/>
      <c r="Q55" s="5"/>
      <c r="R55" s="5"/>
      <c r="S55" s="5"/>
    </row>
    <row r="56" spans="2:27">
      <c r="B56" s="5"/>
      <c r="C56" s="248"/>
      <c r="D56" s="248"/>
      <c r="E56" s="248"/>
      <c r="F56" s="5"/>
      <c r="G56" s="5"/>
      <c r="H56" s="259"/>
      <c r="I56" s="248"/>
      <c r="J56" s="259"/>
      <c r="K56" s="259"/>
      <c r="L56" s="259"/>
      <c r="M56" s="259"/>
      <c r="N56" s="259"/>
      <c r="O56" s="18"/>
      <c r="Q56" s="5"/>
      <c r="R56" s="5"/>
      <c r="S56" s="5"/>
    </row>
    <row r="57" spans="2:27">
      <c r="B57" s="41"/>
      <c r="C57" s="249"/>
      <c r="D57" s="249"/>
      <c r="E57" s="249"/>
      <c r="F57" s="249"/>
      <c r="G57" s="249"/>
      <c r="H57" s="249"/>
      <c r="I57" s="5"/>
      <c r="J57" s="249"/>
      <c r="K57" s="249"/>
      <c r="L57" s="249"/>
      <c r="M57" s="249"/>
      <c r="N57" s="249"/>
      <c r="O57" s="251"/>
      <c r="Q57" s="5"/>
      <c r="R57" s="5"/>
      <c r="S57" s="5"/>
    </row>
    <row r="58" spans="2:27">
      <c r="B58" s="5"/>
      <c r="C58" s="5"/>
      <c r="D58" s="248"/>
      <c r="E58" s="248"/>
      <c r="F58" s="248"/>
      <c r="G58" s="248"/>
      <c r="H58" s="248"/>
      <c r="I58" s="17"/>
      <c r="J58" s="248"/>
      <c r="K58" s="248"/>
      <c r="L58" s="248"/>
      <c r="M58" s="248"/>
      <c r="N58" s="248"/>
      <c r="O58" s="18"/>
      <c r="Q58" s="5"/>
      <c r="R58" s="5"/>
      <c r="S58" s="5"/>
    </row>
    <row r="59" spans="2:27">
      <c r="B59" s="5"/>
      <c r="C59" s="5"/>
      <c r="D59" s="5"/>
      <c r="E59" s="5"/>
      <c r="F59" s="5"/>
      <c r="G59" s="5"/>
      <c r="H59" s="5"/>
      <c r="I59" s="5"/>
      <c r="J59" s="5"/>
      <c r="K59" s="5"/>
      <c r="L59" s="5"/>
      <c r="M59" s="5"/>
      <c r="N59" s="5"/>
      <c r="O59" s="5"/>
      <c r="Q59" s="5"/>
      <c r="R59" s="5"/>
      <c r="S59" s="5"/>
    </row>
    <row r="60" spans="2:27">
      <c r="B60" s="41"/>
      <c r="C60" s="247"/>
      <c r="D60" s="249"/>
      <c r="E60" s="249"/>
      <c r="F60" s="249"/>
      <c r="G60" s="249"/>
      <c r="H60" s="249"/>
      <c r="I60" s="249"/>
      <c r="J60" s="17"/>
      <c r="K60" s="17"/>
      <c r="L60" s="17"/>
      <c r="M60" s="17"/>
      <c r="N60" s="17"/>
      <c r="O60" s="251"/>
      <c r="Q60" s="5"/>
      <c r="R60" s="5"/>
      <c r="S60" s="5"/>
    </row>
    <row r="61" spans="2:27">
      <c r="B61" s="5"/>
      <c r="C61" s="249"/>
      <c r="D61" s="249"/>
      <c r="E61" s="249"/>
      <c r="F61" s="249"/>
      <c r="G61" s="249"/>
      <c r="H61" s="249"/>
      <c r="I61" s="5"/>
      <c r="J61" s="5"/>
      <c r="K61" s="5"/>
      <c r="L61" s="5"/>
      <c r="M61" s="5"/>
      <c r="N61" s="5"/>
      <c r="O61" s="5"/>
      <c r="Q61" s="41"/>
      <c r="R61" s="5"/>
      <c r="S61" s="5"/>
    </row>
    <row r="62" spans="2:27">
      <c r="B62" s="41"/>
      <c r="C62" s="247"/>
      <c r="D62" s="249"/>
      <c r="E62" s="249"/>
      <c r="F62" s="249"/>
      <c r="G62" s="249"/>
      <c r="H62" s="249"/>
      <c r="I62" s="5"/>
      <c r="J62" s="249"/>
      <c r="K62" s="249"/>
      <c r="L62" s="249"/>
      <c r="M62" s="249"/>
      <c r="N62" s="249"/>
      <c r="O62" s="251"/>
      <c r="Q62" s="5"/>
      <c r="R62" s="5"/>
      <c r="S62" s="5"/>
    </row>
    <row r="63" spans="2:27">
      <c r="B63" s="5"/>
      <c r="C63" s="247"/>
      <c r="D63" s="249"/>
      <c r="E63" s="249"/>
      <c r="F63" s="249"/>
      <c r="G63" s="249"/>
      <c r="H63" s="249"/>
      <c r="I63" s="254"/>
      <c r="J63" s="5"/>
      <c r="K63" s="5"/>
      <c r="L63" s="5"/>
      <c r="M63" s="5"/>
      <c r="N63" s="5"/>
      <c r="O63" s="5"/>
      <c r="Q63" s="5"/>
      <c r="R63" s="5"/>
      <c r="S63" s="5"/>
    </row>
    <row r="64" spans="2:27">
      <c r="B64" s="5"/>
      <c r="C64" s="249"/>
      <c r="D64" s="249"/>
      <c r="E64" s="249"/>
      <c r="F64" s="249"/>
      <c r="G64" s="249"/>
      <c r="H64" s="249"/>
      <c r="I64" s="17"/>
      <c r="J64" s="5"/>
      <c r="K64" s="5"/>
      <c r="L64" s="5"/>
      <c r="M64" s="5"/>
      <c r="N64" s="5"/>
      <c r="O64" s="5"/>
      <c r="Q64" s="5"/>
      <c r="R64" s="5"/>
      <c r="S64" s="5"/>
    </row>
    <row r="65" spans="2:26">
      <c r="B65" s="41"/>
      <c r="C65" s="247"/>
      <c r="D65" s="249"/>
      <c r="E65" s="249"/>
      <c r="F65" s="249"/>
      <c r="G65" s="249"/>
      <c r="H65" s="249"/>
      <c r="I65" s="254"/>
      <c r="J65" s="254"/>
      <c r="K65" s="254"/>
      <c r="L65" s="254"/>
      <c r="M65" s="254"/>
      <c r="N65" s="254"/>
      <c r="O65" s="251"/>
      <c r="Q65" s="5"/>
      <c r="R65" s="5"/>
      <c r="S65" s="5"/>
    </row>
    <row r="66" spans="2:26">
      <c r="B66" s="5"/>
      <c r="C66" s="247"/>
      <c r="D66" s="249"/>
      <c r="E66" s="249"/>
      <c r="F66" s="249"/>
      <c r="G66" s="249"/>
      <c r="H66" s="249"/>
      <c r="I66" s="248"/>
      <c r="J66" s="17"/>
      <c r="K66" s="17"/>
      <c r="L66" s="17"/>
      <c r="M66" s="17"/>
      <c r="N66" s="17"/>
      <c r="O66" s="5"/>
      <c r="Q66" s="5"/>
      <c r="R66" s="5"/>
      <c r="S66" s="5"/>
    </row>
    <row r="67" spans="2:26">
      <c r="B67" s="41"/>
      <c r="C67" s="249"/>
      <c r="D67" s="249"/>
      <c r="E67" s="249"/>
      <c r="F67" s="249"/>
      <c r="G67" s="249"/>
      <c r="H67" s="249"/>
      <c r="I67" s="5"/>
      <c r="J67" s="254"/>
      <c r="K67" s="254"/>
      <c r="L67" s="254"/>
      <c r="M67" s="254"/>
      <c r="N67" s="254"/>
      <c r="O67" s="251"/>
      <c r="Q67" s="41"/>
      <c r="R67" s="5"/>
      <c r="S67" s="5"/>
    </row>
    <row r="68" spans="2:26">
      <c r="B68" s="5"/>
      <c r="C68" s="249"/>
      <c r="D68" s="249"/>
      <c r="E68" s="249"/>
      <c r="F68" s="249"/>
      <c r="G68" s="249"/>
      <c r="H68" s="249"/>
      <c r="I68" s="245"/>
      <c r="J68" s="248"/>
      <c r="K68" s="248"/>
      <c r="L68" s="248"/>
      <c r="M68" s="248"/>
      <c r="N68" s="248"/>
      <c r="O68" s="5"/>
      <c r="Q68" s="5"/>
      <c r="R68" s="5"/>
      <c r="S68" s="5"/>
    </row>
    <row r="69" spans="2:26">
      <c r="B69" s="41"/>
      <c r="D69" s="249"/>
      <c r="E69" s="249"/>
      <c r="F69" s="249"/>
      <c r="G69" s="249"/>
      <c r="H69" s="249"/>
      <c r="I69" s="248"/>
      <c r="J69" s="5"/>
      <c r="K69" s="5"/>
      <c r="L69" s="5"/>
      <c r="M69" s="5"/>
      <c r="N69" s="5"/>
      <c r="O69" s="5"/>
      <c r="Q69" s="5"/>
      <c r="R69" s="5"/>
      <c r="S69" s="5"/>
    </row>
    <row r="70" spans="2:26">
      <c r="B70" s="41"/>
      <c r="C70" s="249"/>
      <c r="D70" s="249"/>
      <c r="E70" s="249"/>
      <c r="F70" s="249"/>
      <c r="G70" s="249"/>
      <c r="H70" s="249"/>
      <c r="I70" s="5"/>
      <c r="J70" s="245"/>
      <c r="K70" s="245"/>
      <c r="L70" s="245"/>
      <c r="M70" s="245"/>
      <c r="N70" s="245"/>
      <c r="O70" s="251"/>
      <c r="Q70" s="5"/>
      <c r="R70" s="5"/>
      <c r="S70" s="5"/>
      <c r="W70" s="76"/>
      <c r="X70" s="76"/>
    </row>
    <row r="71" spans="2:26">
      <c r="B71" s="5"/>
      <c r="C71" s="5"/>
      <c r="D71" s="249"/>
      <c r="E71" s="249"/>
      <c r="F71" s="249"/>
      <c r="G71" s="249"/>
      <c r="H71" s="249"/>
      <c r="I71" s="245"/>
      <c r="J71" s="248"/>
      <c r="K71" s="248"/>
      <c r="L71" s="248"/>
      <c r="M71" s="248"/>
      <c r="N71" s="248"/>
      <c r="O71" s="5"/>
      <c r="Q71" s="5"/>
      <c r="R71" s="5"/>
      <c r="S71" s="5"/>
      <c r="W71" s="76"/>
      <c r="X71" s="76"/>
      <c r="Y71" s="76"/>
      <c r="Z71" s="76"/>
    </row>
    <row r="72" spans="2:26">
      <c r="B72" s="41"/>
      <c r="C72" s="5"/>
      <c r="D72" s="249"/>
      <c r="E72" s="249"/>
      <c r="F72" s="249"/>
      <c r="G72" s="249"/>
      <c r="H72" s="249"/>
      <c r="I72" s="18"/>
      <c r="J72" s="5"/>
      <c r="K72" s="5"/>
      <c r="L72" s="5"/>
      <c r="M72" s="5"/>
      <c r="N72" s="5"/>
      <c r="O72" s="5"/>
      <c r="Q72" s="5"/>
      <c r="R72" s="5"/>
      <c r="S72" s="5"/>
      <c r="Y72" s="76"/>
      <c r="Z72" s="76"/>
    </row>
    <row r="73" spans="2:26">
      <c r="B73" s="41"/>
      <c r="C73" s="245"/>
      <c r="D73" s="249"/>
      <c r="E73" s="249"/>
      <c r="F73" s="249"/>
      <c r="G73" s="249"/>
      <c r="H73" s="249"/>
      <c r="I73" s="5"/>
      <c r="J73" s="245"/>
      <c r="K73" s="245"/>
      <c r="L73" s="245"/>
      <c r="M73" s="245"/>
      <c r="N73" s="245"/>
      <c r="O73" s="251"/>
      <c r="Q73" s="5"/>
      <c r="R73" s="5"/>
      <c r="S73" s="5"/>
    </row>
    <row r="74" spans="2:26">
      <c r="B74" s="5"/>
      <c r="C74" s="5"/>
      <c r="D74" s="18"/>
      <c r="E74" s="18"/>
      <c r="F74" s="18"/>
      <c r="G74" s="18"/>
      <c r="H74" s="18"/>
      <c r="I74" s="249"/>
      <c r="J74" s="18"/>
      <c r="K74" s="18"/>
      <c r="L74" s="18"/>
      <c r="M74" s="18"/>
      <c r="N74" s="18"/>
      <c r="O74" s="5"/>
      <c r="Q74" s="5"/>
      <c r="R74" s="5"/>
      <c r="S74" s="5"/>
    </row>
    <row r="75" spans="2:26">
      <c r="B75" s="41"/>
      <c r="C75" s="5"/>
      <c r="D75" s="5"/>
      <c r="E75" s="5"/>
      <c r="F75" s="5"/>
      <c r="G75" s="5"/>
      <c r="H75" s="5"/>
      <c r="I75" s="248"/>
      <c r="J75" s="5"/>
      <c r="K75" s="5"/>
      <c r="L75" s="5"/>
      <c r="M75" s="5"/>
      <c r="N75" s="5"/>
      <c r="O75" s="5"/>
      <c r="Q75" s="5"/>
      <c r="R75" s="5"/>
      <c r="S75" s="5"/>
    </row>
    <row r="76" spans="2:26">
      <c r="B76" s="41"/>
      <c r="C76" s="249"/>
      <c r="D76" s="249"/>
      <c r="E76" s="249"/>
      <c r="F76" s="249"/>
      <c r="G76" s="249"/>
      <c r="H76" s="249"/>
      <c r="I76" s="5"/>
      <c r="J76" s="249"/>
      <c r="K76" s="249"/>
      <c r="L76" s="249"/>
      <c r="M76" s="249"/>
      <c r="N76" s="249"/>
      <c r="O76" s="251"/>
      <c r="Q76" s="5"/>
      <c r="R76" s="5"/>
      <c r="S76" s="5"/>
    </row>
    <row r="77" spans="2:26">
      <c r="B77" s="5"/>
      <c r="C77" s="5"/>
      <c r="D77" s="248"/>
      <c r="E77" s="248"/>
      <c r="F77" s="248"/>
      <c r="G77" s="248"/>
      <c r="H77" s="248"/>
      <c r="I77" s="245"/>
      <c r="J77" s="248"/>
      <c r="K77" s="248"/>
      <c r="L77" s="248"/>
      <c r="M77" s="248"/>
      <c r="N77" s="248"/>
      <c r="O77" s="5"/>
      <c r="Q77" s="5"/>
      <c r="R77" s="5"/>
      <c r="S77" s="5"/>
    </row>
    <row r="78" spans="2:26">
      <c r="B78" s="41"/>
      <c r="C78" s="5"/>
      <c r="D78" s="5"/>
      <c r="E78" s="5"/>
      <c r="F78" s="5"/>
      <c r="G78" s="5"/>
      <c r="H78" s="5"/>
      <c r="I78" s="248"/>
      <c r="J78" s="5"/>
      <c r="K78" s="5"/>
      <c r="L78" s="5"/>
      <c r="M78" s="5"/>
      <c r="N78" s="5"/>
      <c r="O78" s="5"/>
      <c r="Q78" s="5"/>
      <c r="R78" s="5"/>
      <c r="S78" s="5"/>
    </row>
    <row r="79" spans="2:26">
      <c r="B79" s="41"/>
      <c r="C79" s="245"/>
      <c r="D79" s="245"/>
      <c r="E79" s="245"/>
      <c r="F79" s="245"/>
      <c r="G79" s="245"/>
      <c r="H79" s="245"/>
      <c r="I79" s="5"/>
      <c r="J79" s="245"/>
      <c r="K79" s="245"/>
      <c r="L79" s="245"/>
      <c r="M79" s="245"/>
      <c r="N79" s="245"/>
      <c r="O79" s="251"/>
      <c r="Q79" s="5"/>
      <c r="R79" s="5"/>
      <c r="S79" s="5"/>
    </row>
    <row r="80" spans="2:26">
      <c r="B80" s="5"/>
      <c r="C80" s="5"/>
      <c r="D80" s="248"/>
      <c r="E80" s="248"/>
      <c r="F80" s="248"/>
      <c r="G80" s="248"/>
      <c r="H80" s="248"/>
      <c r="I80" s="249"/>
      <c r="J80" s="248"/>
      <c r="K80" s="248"/>
      <c r="L80" s="248"/>
      <c r="M80" s="248"/>
      <c r="N80" s="248"/>
      <c r="O80" s="5"/>
      <c r="Q80" s="5"/>
      <c r="R80" s="5"/>
      <c r="S80" s="5"/>
    </row>
    <row r="81" spans="2:26">
      <c r="B81" s="41"/>
      <c r="C81" s="5"/>
      <c r="D81" s="5"/>
      <c r="E81" s="5"/>
      <c r="F81" s="5"/>
      <c r="G81" s="5"/>
      <c r="H81" s="5"/>
      <c r="I81" s="248"/>
      <c r="J81" s="5"/>
      <c r="K81" s="5"/>
      <c r="L81" s="5"/>
      <c r="M81" s="5"/>
      <c r="N81" s="5"/>
      <c r="O81" s="5"/>
      <c r="Q81" s="5"/>
      <c r="R81" s="5"/>
      <c r="S81" s="5"/>
    </row>
    <row r="82" spans="2:26">
      <c r="B82" s="41"/>
      <c r="C82" s="249"/>
      <c r="D82" s="249"/>
      <c r="E82" s="249"/>
      <c r="F82" s="249"/>
      <c r="G82" s="249"/>
      <c r="H82" s="249"/>
      <c r="I82" s="259"/>
      <c r="J82" s="249"/>
      <c r="K82" s="249"/>
      <c r="L82" s="249"/>
      <c r="M82" s="249"/>
      <c r="N82" s="249"/>
      <c r="O82" s="251"/>
      <c r="Q82" s="5"/>
      <c r="R82" s="5"/>
      <c r="S82" s="5"/>
    </row>
    <row r="83" spans="2:26">
      <c r="B83" s="5"/>
      <c r="C83" s="5"/>
      <c r="D83" s="248"/>
      <c r="E83" s="248"/>
      <c r="F83" s="248"/>
      <c r="G83" s="248"/>
      <c r="H83" s="248"/>
      <c r="I83" s="5"/>
      <c r="J83" s="248"/>
      <c r="K83" s="248"/>
      <c r="L83" s="248"/>
      <c r="M83" s="248"/>
      <c r="N83" s="248"/>
      <c r="O83" s="5"/>
      <c r="Q83" s="5"/>
      <c r="R83" s="5"/>
      <c r="S83" s="5"/>
    </row>
    <row r="84" spans="2:26">
      <c r="B84" s="5"/>
      <c r="C84" s="259"/>
      <c r="D84" s="259"/>
      <c r="E84" s="259"/>
      <c r="F84" s="259"/>
      <c r="G84" s="259"/>
      <c r="H84" s="259"/>
      <c r="I84" s="245"/>
      <c r="J84" s="259"/>
      <c r="K84" s="259"/>
      <c r="L84" s="259"/>
      <c r="M84" s="259"/>
      <c r="N84" s="259"/>
      <c r="O84" s="251"/>
      <c r="Q84" s="5"/>
      <c r="R84" s="5"/>
      <c r="S84" s="5"/>
    </row>
    <row r="85" spans="2:26">
      <c r="B85" s="41"/>
      <c r="C85" s="5"/>
      <c r="D85" s="5"/>
      <c r="E85" s="5"/>
      <c r="F85" s="5"/>
      <c r="G85" s="5"/>
      <c r="H85" s="5"/>
      <c r="I85" s="248"/>
      <c r="J85" s="5"/>
      <c r="K85" s="5"/>
      <c r="L85" s="5"/>
      <c r="M85" s="5"/>
      <c r="N85" s="5"/>
      <c r="O85" s="5"/>
      <c r="Q85" s="5"/>
      <c r="R85" s="5"/>
      <c r="S85" s="5"/>
    </row>
    <row r="86" spans="2:26">
      <c r="B86" s="41"/>
      <c r="C86" s="245"/>
      <c r="D86" s="245"/>
      <c r="E86" s="245"/>
      <c r="F86" s="245"/>
      <c r="G86" s="245"/>
      <c r="H86" s="245"/>
      <c r="I86" s="5"/>
      <c r="J86" s="245"/>
      <c r="K86" s="245"/>
      <c r="L86" s="245"/>
      <c r="M86" s="245"/>
      <c r="N86" s="245"/>
      <c r="O86" s="251"/>
      <c r="Q86" s="5"/>
      <c r="R86" s="5"/>
      <c r="S86" s="5"/>
    </row>
    <row r="87" spans="2:26">
      <c r="B87" s="5"/>
      <c r="C87" s="5"/>
      <c r="D87" s="248"/>
      <c r="E87" s="248"/>
      <c r="F87" s="248"/>
      <c r="G87" s="248"/>
      <c r="H87" s="248"/>
      <c r="I87" s="5"/>
      <c r="J87" s="248"/>
      <c r="K87" s="248"/>
      <c r="L87" s="248"/>
      <c r="M87" s="248"/>
      <c r="N87" s="248"/>
      <c r="O87" s="5"/>
      <c r="Q87" s="5"/>
      <c r="R87" s="5"/>
      <c r="S87" s="5"/>
    </row>
    <row r="88" spans="2:26">
      <c r="B88" s="41"/>
      <c r="C88" s="5"/>
      <c r="D88" s="5"/>
      <c r="E88" s="5"/>
      <c r="F88" s="5"/>
      <c r="G88" s="5"/>
      <c r="H88" s="5"/>
      <c r="I88" s="5"/>
      <c r="J88" s="5"/>
      <c r="K88" s="5"/>
      <c r="L88" s="5"/>
      <c r="M88" s="5"/>
      <c r="N88" s="5"/>
      <c r="O88" s="5"/>
      <c r="Q88" s="5"/>
      <c r="R88" s="5"/>
      <c r="S88" s="5"/>
    </row>
    <row r="89" spans="2:26">
      <c r="B89" s="41"/>
      <c r="C89" s="5"/>
      <c r="D89" s="5"/>
      <c r="E89" s="5"/>
      <c r="F89" s="5"/>
      <c r="G89" s="5"/>
      <c r="H89" s="5"/>
      <c r="I89" s="5"/>
      <c r="J89" s="5"/>
      <c r="K89" s="5"/>
      <c r="L89" s="5"/>
      <c r="M89" s="5"/>
      <c r="N89" s="5"/>
      <c r="O89" s="5"/>
      <c r="Q89" s="5"/>
      <c r="R89" s="5"/>
      <c r="S89" s="5"/>
    </row>
    <row r="90" spans="2:26">
      <c r="B90" s="41"/>
      <c r="C90" s="5"/>
      <c r="D90" s="5"/>
      <c r="E90" s="5"/>
      <c r="F90" s="5"/>
      <c r="G90" s="5"/>
      <c r="H90" s="5"/>
      <c r="I90" s="49"/>
      <c r="J90" s="5"/>
      <c r="K90" s="5"/>
      <c r="L90" s="5"/>
      <c r="M90" s="5"/>
      <c r="N90" s="5"/>
      <c r="O90" s="5"/>
      <c r="Q90" s="41"/>
      <c r="R90" s="5"/>
      <c r="S90" s="5"/>
    </row>
    <row r="91" spans="2:26">
      <c r="B91" s="5"/>
      <c r="C91" s="5"/>
      <c r="D91" s="5"/>
      <c r="E91" s="5"/>
      <c r="F91" s="5"/>
      <c r="G91" s="5"/>
      <c r="H91" s="5"/>
      <c r="I91" s="5"/>
      <c r="J91" s="5"/>
      <c r="K91" s="5"/>
      <c r="L91" s="5"/>
      <c r="M91" s="5"/>
      <c r="N91" s="5"/>
      <c r="O91" s="5"/>
      <c r="Q91" s="5"/>
      <c r="R91" s="5"/>
      <c r="S91" s="5"/>
    </row>
    <row r="92" spans="2:26">
      <c r="B92" s="41"/>
      <c r="C92" s="49"/>
      <c r="D92" s="49"/>
      <c r="E92" s="49"/>
      <c r="F92" s="49"/>
      <c r="G92" s="49"/>
      <c r="H92" s="49"/>
      <c r="I92" s="247"/>
      <c r="J92" s="49"/>
      <c r="K92" s="49"/>
      <c r="L92" s="49"/>
      <c r="M92" s="49"/>
      <c r="N92" s="49"/>
      <c r="O92" s="49"/>
      <c r="Q92" s="5"/>
      <c r="R92" s="5"/>
      <c r="S92" s="5"/>
      <c r="W92" s="21"/>
      <c r="X92" s="21"/>
    </row>
    <row r="93" spans="2:26">
      <c r="B93" s="5"/>
      <c r="C93" s="5"/>
      <c r="D93" s="5"/>
      <c r="E93" s="5"/>
      <c r="F93" s="5"/>
      <c r="G93" s="5"/>
      <c r="H93" s="5"/>
      <c r="I93" s="247"/>
      <c r="J93" s="5"/>
      <c r="K93" s="5"/>
      <c r="L93" s="5"/>
      <c r="M93" s="5"/>
      <c r="N93" s="5"/>
      <c r="O93" s="5"/>
      <c r="Q93" s="5"/>
      <c r="R93" s="5"/>
      <c r="S93" s="5"/>
      <c r="W93" s="21"/>
      <c r="X93" s="21"/>
      <c r="Y93" s="21"/>
      <c r="Z93" s="21"/>
    </row>
    <row r="94" spans="2:26">
      <c r="B94" s="5"/>
      <c r="C94" s="259"/>
      <c r="D94" s="247"/>
      <c r="E94" s="247"/>
      <c r="F94" s="247"/>
      <c r="G94" s="247"/>
      <c r="H94" s="247"/>
      <c r="I94" s="247"/>
      <c r="J94" s="247"/>
      <c r="K94" s="247"/>
      <c r="L94" s="247"/>
      <c r="M94" s="247"/>
      <c r="N94" s="247"/>
      <c r="O94" s="248"/>
      <c r="Q94" s="5"/>
      <c r="R94" s="5"/>
      <c r="S94" s="5"/>
      <c r="Y94" s="21"/>
      <c r="Z94" s="21"/>
    </row>
    <row r="95" spans="2:26">
      <c r="B95" s="5"/>
      <c r="C95" s="259"/>
      <c r="D95" s="247"/>
      <c r="E95" s="247"/>
      <c r="F95" s="247"/>
      <c r="G95" s="247"/>
      <c r="H95" s="247"/>
      <c r="I95" s="248"/>
      <c r="J95" s="247"/>
      <c r="K95" s="247"/>
      <c r="L95" s="247"/>
      <c r="M95" s="247"/>
      <c r="N95" s="247"/>
      <c r="O95" s="248"/>
      <c r="Q95" s="5"/>
      <c r="R95" s="5"/>
      <c r="S95" s="5"/>
    </row>
    <row r="96" spans="2:26">
      <c r="B96" s="5"/>
      <c r="C96" s="259"/>
      <c r="D96" s="247"/>
      <c r="E96" s="247"/>
      <c r="F96" s="247"/>
      <c r="G96" s="247"/>
      <c r="H96" s="247"/>
      <c r="I96" s="247"/>
      <c r="J96" s="247"/>
      <c r="K96" s="247"/>
      <c r="L96" s="247"/>
      <c r="M96" s="247"/>
      <c r="N96" s="247"/>
      <c r="O96" s="248"/>
      <c r="Q96" s="5"/>
      <c r="R96" s="5"/>
      <c r="S96" s="5"/>
    </row>
    <row r="97" spans="2:19">
      <c r="B97" s="5"/>
      <c r="C97" s="259"/>
      <c r="D97" s="248"/>
      <c r="E97" s="248"/>
      <c r="F97" s="248"/>
      <c r="G97" s="248"/>
      <c r="H97" s="248"/>
      <c r="I97" s="249"/>
      <c r="J97" s="248"/>
      <c r="K97" s="248"/>
      <c r="L97" s="248"/>
      <c r="M97" s="248"/>
      <c r="N97" s="248"/>
      <c r="O97" s="248"/>
      <c r="Q97" s="5"/>
      <c r="R97" s="5"/>
      <c r="S97" s="5"/>
    </row>
    <row r="98" spans="2:19">
      <c r="B98" s="5"/>
      <c r="C98" s="259"/>
      <c r="D98" s="247"/>
      <c r="E98" s="247"/>
      <c r="F98" s="247"/>
      <c r="G98" s="247"/>
      <c r="H98" s="247"/>
      <c r="I98" s="248"/>
      <c r="J98" s="247"/>
      <c r="K98" s="247"/>
      <c r="L98" s="247"/>
      <c r="M98" s="247"/>
      <c r="N98" s="247"/>
      <c r="O98" s="248"/>
      <c r="Q98" s="5"/>
      <c r="R98" s="5"/>
      <c r="S98" s="5"/>
    </row>
    <row r="99" spans="2:19">
      <c r="B99" s="41"/>
      <c r="C99" s="249"/>
      <c r="D99" s="249"/>
      <c r="E99" s="249"/>
      <c r="F99" s="249"/>
      <c r="G99" s="249"/>
      <c r="H99" s="249"/>
      <c r="I99" s="5"/>
      <c r="J99" s="249"/>
      <c r="K99" s="249"/>
      <c r="L99" s="249"/>
      <c r="M99" s="249"/>
      <c r="N99" s="249"/>
      <c r="O99" s="248"/>
      <c r="Q99" s="5"/>
      <c r="R99" s="5"/>
      <c r="S99" s="5"/>
    </row>
    <row r="100" spans="2:19">
      <c r="B100" s="41"/>
      <c r="C100" s="257"/>
      <c r="D100" s="248"/>
      <c r="E100" s="248"/>
      <c r="F100" s="248"/>
      <c r="G100" s="248"/>
      <c r="H100" s="248"/>
      <c r="I100" s="259"/>
      <c r="J100" s="248"/>
      <c r="K100" s="248"/>
      <c r="L100" s="248"/>
      <c r="M100" s="248"/>
      <c r="N100" s="248"/>
      <c r="O100" s="248"/>
      <c r="Q100" s="5"/>
      <c r="R100" s="5"/>
      <c r="S100" s="5"/>
    </row>
    <row r="101" spans="2:19" s="5" customFormat="1">
      <c r="B101" s="41"/>
      <c r="I101" s="259"/>
      <c r="O101" s="248"/>
      <c r="P101" s="39"/>
    </row>
    <row r="102" spans="2:19">
      <c r="B102" s="5"/>
      <c r="C102" s="259"/>
      <c r="D102" s="259"/>
      <c r="E102" s="259"/>
      <c r="F102" s="259"/>
      <c r="G102" s="259"/>
      <c r="H102" s="259"/>
      <c r="I102" s="247"/>
      <c r="J102" s="259"/>
      <c r="K102" s="259"/>
      <c r="L102" s="259"/>
      <c r="M102" s="259"/>
      <c r="N102" s="259"/>
      <c r="O102" s="5"/>
      <c r="Q102" s="5"/>
      <c r="R102" s="5"/>
      <c r="S102" s="5"/>
    </row>
    <row r="103" spans="2:19">
      <c r="B103" s="5"/>
      <c r="C103" s="259"/>
      <c r="D103" s="259"/>
      <c r="E103" s="259"/>
      <c r="F103" s="259"/>
      <c r="G103" s="259"/>
      <c r="H103" s="259"/>
      <c r="I103" s="5"/>
      <c r="J103" s="259"/>
      <c r="K103" s="259"/>
      <c r="L103" s="259"/>
      <c r="M103" s="259"/>
      <c r="N103" s="259"/>
      <c r="O103" s="5"/>
      <c r="P103" s="5"/>
      <c r="Q103" s="5"/>
      <c r="R103" s="5"/>
      <c r="S103" s="5"/>
    </row>
    <row r="104" spans="2:19">
      <c r="B104" s="5"/>
      <c r="C104" s="247"/>
      <c r="D104" s="247"/>
      <c r="E104" s="247"/>
      <c r="F104" s="247"/>
      <c r="G104" s="247"/>
      <c r="H104" s="247"/>
      <c r="I104" s="247"/>
      <c r="J104" s="247"/>
      <c r="K104" s="247"/>
      <c r="L104" s="247"/>
      <c r="M104" s="247"/>
      <c r="N104" s="247"/>
      <c r="O104" s="5"/>
      <c r="Q104" s="5"/>
      <c r="R104" s="5"/>
      <c r="S104" s="5"/>
    </row>
    <row r="105" spans="2:19" s="5" customFormat="1">
      <c r="P105" s="39"/>
    </row>
    <row r="106" spans="2:19" s="5" customFormat="1">
      <c r="C106" s="259"/>
      <c r="D106" s="247"/>
      <c r="E106" s="247"/>
      <c r="F106" s="247"/>
      <c r="G106" s="247"/>
      <c r="H106" s="247"/>
      <c r="I106" s="259"/>
      <c r="J106" s="247"/>
      <c r="K106" s="247"/>
      <c r="L106" s="247"/>
      <c r="M106" s="247"/>
      <c r="N106" s="247"/>
      <c r="P106" s="39"/>
    </row>
    <row r="107" spans="2:19">
      <c r="B107" s="5"/>
      <c r="C107" s="259"/>
      <c r="D107" s="5"/>
      <c r="E107" s="5"/>
      <c r="F107" s="5"/>
      <c r="G107" s="5"/>
      <c r="H107" s="5"/>
      <c r="I107" s="247"/>
      <c r="J107" s="5"/>
      <c r="K107" s="5"/>
      <c r="L107" s="5"/>
      <c r="M107" s="5"/>
      <c r="N107" s="5"/>
      <c r="O107" s="5"/>
      <c r="P107" s="5"/>
      <c r="Q107" s="5"/>
      <c r="R107" s="5"/>
      <c r="S107" s="5"/>
    </row>
    <row r="108" spans="2:19">
      <c r="B108" s="5"/>
      <c r="C108" s="259"/>
      <c r="D108" s="259"/>
      <c r="E108" s="259"/>
      <c r="F108" s="259"/>
      <c r="G108" s="259"/>
      <c r="H108" s="259"/>
      <c r="I108" s="249"/>
      <c r="J108" s="259"/>
      <c r="K108" s="259"/>
      <c r="L108" s="259"/>
      <c r="M108" s="259"/>
      <c r="N108" s="259"/>
      <c r="O108" s="5"/>
      <c r="P108" s="5"/>
      <c r="Q108" s="5"/>
      <c r="R108" s="5"/>
      <c r="S108" s="5"/>
    </row>
    <row r="109" spans="2:19">
      <c r="B109" s="5"/>
      <c r="C109" s="247"/>
      <c r="D109" s="247"/>
      <c r="E109" s="247"/>
      <c r="F109" s="247"/>
      <c r="G109" s="247"/>
      <c r="H109" s="247"/>
      <c r="I109" s="249"/>
      <c r="J109" s="247"/>
      <c r="K109" s="247"/>
      <c r="L109" s="247"/>
      <c r="M109" s="247"/>
      <c r="N109" s="247"/>
      <c r="O109" s="5"/>
      <c r="Q109" s="5"/>
      <c r="R109" s="5"/>
      <c r="S109" s="5"/>
    </row>
    <row r="110" spans="2:19">
      <c r="B110" s="41"/>
      <c r="C110" s="249"/>
      <c r="D110" s="249"/>
      <c r="E110" s="249"/>
      <c r="F110" s="249"/>
      <c r="G110" s="249"/>
      <c r="H110" s="249"/>
      <c r="I110" s="247"/>
      <c r="J110" s="249"/>
      <c r="K110" s="249"/>
      <c r="L110" s="249"/>
      <c r="M110" s="249"/>
      <c r="N110" s="249"/>
      <c r="O110" s="5"/>
      <c r="Q110" s="5"/>
      <c r="R110" s="5"/>
      <c r="S110" s="5"/>
    </row>
    <row r="111" spans="2:19">
      <c r="B111" s="5"/>
      <c r="C111" s="249"/>
      <c r="D111" s="249"/>
      <c r="E111" s="249"/>
      <c r="F111" s="249"/>
      <c r="G111" s="249"/>
      <c r="H111" s="249"/>
      <c r="I111" s="5"/>
      <c r="J111" s="249"/>
      <c r="K111" s="249"/>
      <c r="L111" s="249"/>
      <c r="M111" s="249"/>
      <c r="N111" s="249"/>
      <c r="O111" s="5"/>
      <c r="Q111" s="5"/>
      <c r="R111" s="5"/>
      <c r="S111" s="5"/>
    </row>
    <row r="112" spans="2:19">
      <c r="B112" s="5"/>
      <c r="C112" s="247"/>
      <c r="D112" s="247"/>
      <c r="E112" s="247"/>
      <c r="F112" s="247"/>
      <c r="G112" s="247"/>
      <c r="H112" s="247"/>
      <c r="I112" s="5"/>
      <c r="J112" s="247"/>
      <c r="K112" s="247"/>
      <c r="L112" s="247"/>
      <c r="M112" s="247"/>
      <c r="N112" s="247"/>
      <c r="O112" s="5"/>
      <c r="Q112" s="5"/>
      <c r="R112" s="5"/>
      <c r="S112" s="5"/>
    </row>
    <row r="113" spans="2:19">
      <c r="B113" s="5"/>
      <c r="C113" s="5"/>
      <c r="D113" s="5"/>
      <c r="E113" s="5"/>
      <c r="F113" s="5"/>
      <c r="G113" s="5"/>
      <c r="H113" s="5"/>
      <c r="I113" s="5"/>
      <c r="J113" s="5"/>
      <c r="K113" s="5"/>
      <c r="L113" s="5"/>
      <c r="M113" s="5"/>
      <c r="N113" s="5"/>
      <c r="O113" s="5"/>
      <c r="Q113" s="5"/>
      <c r="R113" s="5"/>
      <c r="S113" s="5"/>
    </row>
    <row r="114" spans="2:19">
      <c r="B114" s="5"/>
      <c r="C114" s="5"/>
      <c r="D114" s="5"/>
      <c r="E114" s="5"/>
      <c r="F114" s="5"/>
      <c r="G114" s="5"/>
      <c r="H114" s="5"/>
      <c r="I114" s="5"/>
      <c r="J114" s="5"/>
      <c r="K114" s="5"/>
      <c r="L114" s="5"/>
      <c r="M114" s="5"/>
      <c r="N114" s="5"/>
      <c r="O114" s="5"/>
      <c r="Q114" s="5"/>
      <c r="R114" s="5"/>
      <c r="S114" s="5"/>
    </row>
    <row r="115" spans="2:19">
      <c r="B115" s="5"/>
      <c r="C115" s="5"/>
      <c r="D115" s="5"/>
      <c r="E115" s="5"/>
      <c r="F115" s="5"/>
      <c r="G115" s="5"/>
      <c r="H115" s="5"/>
      <c r="I115" s="49"/>
      <c r="J115" s="5"/>
      <c r="K115" s="5"/>
      <c r="L115" s="5"/>
      <c r="M115" s="5"/>
      <c r="N115" s="5"/>
      <c r="O115" s="5"/>
      <c r="Q115" s="41"/>
      <c r="R115" s="5"/>
      <c r="S115" s="5"/>
    </row>
    <row r="116" spans="2:19">
      <c r="B116" s="5"/>
      <c r="C116" s="5"/>
      <c r="D116" s="5"/>
      <c r="E116" s="5"/>
      <c r="F116" s="5"/>
      <c r="G116" s="5"/>
      <c r="H116" s="5"/>
      <c r="I116" s="5"/>
      <c r="J116" s="5"/>
      <c r="K116" s="5"/>
      <c r="L116" s="5"/>
      <c r="M116" s="5"/>
      <c r="N116" s="5"/>
      <c r="O116" s="5"/>
      <c r="Q116" s="5"/>
      <c r="R116" s="5"/>
      <c r="S116" s="5"/>
    </row>
    <row r="117" spans="2:19">
      <c r="B117" s="41"/>
      <c r="C117" s="49"/>
      <c r="D117" s="49"/>
      <c r="E117" s="49"/>
      <c r="F117" s="49"/>
      <c r="G117" s="49"/>
      <c r="H117" s="49"/>
      <c r="I117" s="254"/>
      <c r="J117" s="49"/>
      <c r="K117" s="49"/>
      <c r="L117" s="49"/>
      <c r="M117" s="49"/>
      <c r="N117" s="49"/>
      <c r="O117" s="49"/>
      <c r="Q117" s="5"/>
      <c r="R117" s="5"/>
      <c r="S117" s="5"/>
    </row>
    <row r="118" spans="2:19">
      <c r="B118" s="5"/>
      <c r="C118" s="5"/>
      <c r="D118" s="5"/>
      <c r="E118" s="5"/>
      <c r="F118" s="5"/>
      <c r="G118" s="5"/>
      <c r="H118" s="5"/>
      <c r="I118" s="249"/>
      <c r="J118" s="5"/>
      <c r="K118" s="5"/>
      <c r="L118" s="5"/>
      <c r="M118" s="5"/>
      <c r="N118" s="5"/>
      <c r="O118" s="5"/>
      <c r="Q118" s="5"/>
      <c r="R118" s="5"/>
      <c r="S118" s="5"/>
    </row>
    <row r="119" spans="2:19">
      <c r="B119" s="41"/>
      <c r="C119" s="254"/>
      <c r="D119" s="254"/>
      <c r="E119" s="254"/>
      <c r="F119" s="254"/>
      <c r="G119" s="254"/>
      <c r="H119" s="254"/>
      <c r="I119" s="254"/>
      <c r="J119" s="254"/>
      <c r="K119" s="254"/>
      <c r="L119" s="254"/>
      <c r="M119" s="254"/>
      <c r="N119" s="254"/>
      <c r="O119" s="248"/>
      <c r="Q119" s="5"/>
      <c r="R119" s="5"/>
      <c r="S119" s="5"/>
    </row>
    <row r="120" spans="2:19">
      <c r="B120" s="41"/>
      <c r="C120" s="254"/>
      <c r="D120" s="249"/>
      <c r="E120" s="249"/>
      <c r="F120" s="249"/>
      <c r="G120" s="249"/>
      <c r="H120" s="249"/>
      <c r="I120" s="254"/>
      <c r="J120" s="249"/>
      <c r="K120" s="249"/>
      <c r="L120" s="249"/>
      <c r="M120" s="249"/>
      <c r="N120" s="249"/>
      <c r="O120" s="248"/>
      <c r="Q120" s="5"/>
      <c r="R120" s="5"/>
      <c r="S120" s="5"/>
    </row>
    <row r="121" spans="2:19">
      <c r="B121" s="41"/>
      <c r="C121" s="254"/>
      <c r="D121" s="254"/>
      <c r="E121" s="254"/>
      <c r="F121" s="254"/>
      <c r="G121" s="254"/>
      <c r="H121" s="254"/>
      <c r="I121" s="254"/>
      <c r="J121" s="254"/>
      <c r="K121" s="254"/>
      <c r="L121" s="254"/>
      <c r="M121" s="254"/>
      <c r="N121" s="254"/>
      <c r="O121" s="248"/>
      <c r="Q121" s="5"/>
      <c r="R121" s="5"/>
      <c r="S121" s="5"/>
    </row>
    <row r="122" spans="2:19">
      <c r="B122" s="41"/>
      <c r="C122" s="254"/>
      <c r="D122" s="254"/>
      <c r="E122" s="254"/>
      <c r="F122" s="254"/>
      <c r="G122" s="254"/>
      <c r="H122" s="254"/>
      <c r="I122" s="254"/>
      <c r="J122" s="254"/>
      <c r="K122" s="254"/>
      <c r="L122" s="254"/>
      <c r="M122" s="254"/>
      <c r="N122" s="254"/>
      <c r="O122" s="248"/>
      <c r="Q122" s="5"/>
      <c r="R122" s="5"/>
      <c r="S122" s="5"/>
    </row>
    <row r="123" spans="2:19">
      <c r="B123" s="41"/>
      <c r="C123" s="254"/>
      <c r="D123" s="254"/>
      <c r="E123" s="254"/>
      <c r="F123" s="254"/>
      <c r="G123" s="254"/>
      <c r="H123" s="254"/>
      <c r="I123" s="254"/>
      <c r="J123" s="254"/>
      <c r="K123" s="254"/>
      <c r="L123" s="254"/>
      <c r="M123" s="254"/>
      <c r="N123" s="254"/>
      <c r="O123" s="248"/>
      <c r="Q123" s="5"/>
      <c r="R123" s="5"/>
      <c r="S123" s="5"/>
    </row>
    <row r="124" spans="2:19">
      <c r="B124" s="41"/>
      <c r="C124" s="254"/>
      <c r="D124" s="254"/>
      <c r="E124" s="254"/>
      <c r="F124" s="254"/>
      <c r="G124" s="254"/>
      <c r="H124" s="254"/>
      <c r="I124" s="254"/>
      <c r="J124" s="254"/>
      <c r="K124" s="254"/>
      <c r="L124" s="254"/>
      <c r="M124" s="254"/>
      <c r="N124" s="254"/>
      <c r="O124" s="248"/>
      <c r="Q124" s="5"/>
      <c r="R124" s="5"/>
      <c r="S124" s="5"/>
    </row>
    <row r="125" spans="2:19">
      <c r="B125" s="41"/>
      <c r="C125" s="254"/>
      <c r="D125" s="254"/>
      <c r="E125" s="254"/>
      <c r="F125" s="254"/>
      <c r="G125" s="254"/>
      <c r="H125" s="254"/>
      <c r="I125" s="254"/>
      <c r="J125" s="254"/>
      <c r="K125" s="254"/>
      <c r="L125" s="254"/>
      <c r="M125" s="254"/>
      <c r="N125" s="254"/>
      <c r="O125" s="5"/>
      <c r="Q125" s="5"/>
      <c r="R125" s="5"/>
      <c r="S125" s="5"/>
    </row>
    <row r="126" spans="2:19">
      <c r="B126" s="41"/>
      <c r="C126" s="254"/>
      <c r="D126" s="254"/>
      <c r="E126" s="254"/>
      <c r="F126" s="254"/>
      <c r="G126" s="254"/>
      <c r="H126" s="254"/>
      <c r="I126" s="254"/>
      <c r="J126" s="254"/>
      <c r="K126" s="254"/>
      <c r="L126" s="254"/>
      <c r="M126" s="254"/>
      <c r="N126" s="254"/>
      <c r="O126" s="5"/>
      <c r="Q126" s="5"/>
      <c r="R126" s="5"/>
      <c r="S126" s="5"/>
    </row>
    <row r="127" spans="2:19">
      <c r="B127" s="41"/>
      <c r="C127" s="254"/>
      <c r="D127" s="254"/>
      <c r="E127" s="254"/>
      <c r="F127" s="254"/>
      <c r="G127" s="254"/>
      <c r="H127" s="254"/>
      <c r="I127" s="18"/>
      <c r="J127" s="254"/>
      <c r="K127" s="254"/>
      <c r="L127" s="254"/>
      <c r="M127" s="254"/>
      <c r="N127" s="254"/>
      <c r="O127" s="5"/>
      <c r="Q127" s="5"/>
      <c r="R127" s="5"/>
      <c r="S127" s="5"/>
    </row>
    <row r="128" spans="2:19">
      <c r="B128" s="41"/>
      <c r="C128" s="254"/>
      <c r="D128" s="254"/>
      <c r="E128" s="254"/>
      <c r="F128" s="254"/>
      <c r="G128" s="254"/>
      <c r="H128" s="254"/>
      <c r="I128" s="5"/>
      <c r="J128" s="254"/>
      <c r="K128" s="254"/>
      <c r="L128" s="254"/>
      <c r="M128" s="254"/>
      <c r="N128" s="254"/>
      <c r="O128" s="5"/>
      <c r="Q128" s="5"/>
      <c r="R128" s="5"/>
      <c r="S128" s="5"/>
    </row>
    <row r="129" spans="2:27">
      <c r="B129" s="5"/>
      <c r="C129" s="5"/>
      <c r="D129" s="18"/>
      <c r="E129" s="18"/>
      <c r="F129" s="18"/>
      <c r="G129" s="18"/>
      <c r="H129" s="18"/>
      <c r="I129" s="254"/>
      <c r="J129" s="18"/>
      <c r="K129" s="18"/>
      <c r="L129" s="18"/>
      <c r="M129" s="18"/>
      <c r="N129" s="18"/>
      <c r="O129" s="5"/>
      <c r="Q129" s="5"/>
      <c r="R129" s="5"/>
      <c r="S129" s="5"/>
    </row>
    <row r="130" spans="2:27">
      <c r="B130" s="5"/>
      <c r="C130" s="5"/>
      <c r="D130" s="5"/>
      <c r="E130" s="5"/>
      <c r="F130" s="5"/>
      <c r="G130" s="5"/>
      <c r="H130" s="5"/>
      <c r="I130" s="18"/>
      <c r="J130" s="5"/>
      <c r="K130" s="5"/>
      <c r="L130" s="5"/>
      <c r="M130" s="5"/>
      <c r="N130" s="5"/>
      <c r="O130" s="5"/>
      <c r="Q130" s="5"/>
      <c r="R130" s="5"/>
      <c r="S130" s="5"/>
    </row>
    <row r="131" spans="2:27">
      <c r="B131" s="41"/>
      <c r="C131" s="254"/>
      <c r="D131" s="254"/>
      <c r="E131" s="254"/>
      <c r="F131" s="254"/>
      <c r="G131" s="254"/>
      <c r="H131" s="254"/>
      <c r="I131" s="5"/>
      <c r="J131" s="254"/>
      <c r="K131" s="254"/>
      <c r="L131" s="254"/>
      <c r="M131" s="254"/>
      <c r="N131" s="254"/>
      <c r="O131" s="5"/>
      <c r="Q131" s="5"/>
      <c r="R131" s="5"/>
      <c r="S131" s="5"/>
    </row>
    <row r="132" spans="2:27">
      <c r="B132" s="5"/>
      <c r="C132" s="259"/>
      <c r="D132" s="18"/>
      <c r="E132" s="18"/>
      <c r="F132" s="18"/>
      <c r="G132" s="18"/>
      <c r="H132" s="18"/>
      <c r="I132" s="5"/>
      <c r="J132" s="18"/>
      <c r="K132" s="18"/>
      <c r="L132" s="18"/>
      <c r="M132" s="18"/>
      <c r="N132" s="18"/>
      <c r="O132" s="5"/>
      <c r="Q132" s="5"/>
      <c r="R132" s="5"/>
      <c r="S132" s="5"/>
    </row>
    <row r="133" spans="2:27">
      <c r="B133" s="5"/>
      <c r="C133" s="5"/>
      <c r="D133" s="5"/>
      <c r="E133" s="5"/>
      <c r="F133" s="5"/>
      <c r="G133" s="5"/>
      <c r="H133" s="5"/>
      <c r="I133" s="17"/>
      <c r="J133" s="5"/>
      <c r="K133" s="5"/>
      <c r="L133" s="5"/>
      <c r="M133" s="5"/>
      <c r="N133" s="5"/>
      <c r="O133" s="5"/>
      <c r="Q133" s="5"/>
      <c r="R133" s="5"/>
      <c r="S133" s="5"/>
    </row>
    <row r="134" spans="2:27">
      <c r="B134" s="41"/>
      <c r="C134" s="5"/>
      <c r="D134" s="5"/>
      <c r="E134" s="5"/>
      <c r="F134" s="5"/>
      <c r="G134" s="5"/>
      <c r="H134" s="5"/>
      <c r="I134" s="17"/>
      <c r="J134" s="5"/>
      <c r="K134" s="5"/>
      <c r="L134" s="5"/>
      <c r="M134" s="5"/>
      <c r="N134" s="5"/>
      <c r="O134" s="5"/>
      <c r="Q134" s="5"/>
      <c r="R134" s="5"/>
      <c r="S134" s="5"/>
    </row>
    <row r="135" spans="2:27">
      <c r="B135" s="5"/>
      <c r="C135" s="17"/>
      <c r="D135" s="17"/>
      <c r="E135" s="17"/>
      <c r="F135" s="17"/>
      <c r="G135" s="17"/>
      <c r="H135" s="17"/>
      <c r="I135" s="17"/>
      <c r="J135" s="17"/>
      <c r="K135" s="17"/>
      <c r="L135" s="17"/>
      <c r="M135" s="17"/>
      <c r="N135" s="17"/>
      <c r="O135" s="5"/>
      <c r="Q135" s="41"/>
      <c r="R135" s="5"/>
      <c r="S135" s="5"/>
    </row>
    <row r="136" spans="2:27">
      <c r="B136" s="5"/>
      <c r="C136" s="17"/>
      <c r="D136" s="17"/>
      <c r="E136" s="17"/>
      <c r="F136" s="17"/>
      <c r="G136" s="17"/>
      <c r="H136" s="17"/>
      <c r="I136" s="17"/>
      <c r="J136" s="17"/>
      <c r="K136" s="17"/>
      <c r="L136" s="17"/>
      <c r="M136" s="17"/>
      <c r="N136" s="17"/>
      <c r="O136" s="5"/>
      <c r="Q136" s="5"/>
      <c r="R136" s="5"/>
      <c r="S136" s="5"/>
      <c r="X136" s="304"/>
    </row>
    <row r="137" spans="2:27">
      <c r="B137" s="5"/>
      <c r="C137" s="5"/>
      <c r="D137" s="17"/>
      <c r="E137" s="17"/>
      <c r="F137" s="17"/>
      <c r="G137" s="17"/>
      <c r="H137" s="17"/>
      <c r="I137" s="17"/>
      <c r="J137" s="17"/>
      <c r="K137" s="17"/>
      <c r="L137" s="17"/>
      <c r="M137" s="17"/>
      <c r="N137" s="17"/>
      <c r="O137" s="5"/>
      <c r="Q137" s="5"/>
      <c r="R137" s="5"/>
      <c r="S137" s="5"/>
      <c r="X137" s="10"/>
      <c r="Y137" s="304"/>
      <c r="Z137" s="304"/>
      <c r="AA137" s="304"/>
    </row>
    <row r="138" spans="2:27">
      <c r="B138" s="5"/>
      <c r="C138" s="5"/>
      <c r="D138" s="17"/>
      <c r="E138" s="17"/>
      <c r="F138" s="17"/>
      <c r="G138" s="17"/>
      <c r="H138" s="17"/>
      <c r="I138" s="17"/>
      <c r="J138" s="17"/>
      <c r="K138" s="17"/>
      <c r="L138" s="17"/>
      <c r="M138" s="17"/>
      <c r="N138" s="17"/>
      <c r="O138" s="5"/>
      <c r="Q138" s="5"/>
      <c r="R138" s="5"/>
      <c r="S138" s="5"/>
      <c r="Y138" s="10"/>
      <c r="Z138" s="10"/>
      <c r="AA138" s="10"/>
    </row>
    <row r="139" spans="2:27">
      <c r="B139" s="5"/>
      <c r="C139" s="5"/>
      <c r="D139" s="17"/>
      <c r="E139" s="17"/>
      <c r="F139" s="17"/>
      <c r="G139" s="17"/>
      <c r="H139" s="17"/>
      <c r="I139" s="5"/>
      <c r="J139" s="17"/>
      <c r="K139" s="17"/>
      <c r="L139" s="17"/>
      <c r="M139" s="17"/>
      <c r="N139" s="17"/>
      <c r="O139" s="5"/>
      <c r="Q139" s="5"/>
      <c r="R139" s="5"/>
      <c r="S139" s="5"/>
    </row>
    <row r="140" spans="2:27">
      <c r="B140" s="5"/>
      <c r="C140" s="17"/>
      <c r="D140" s="17"/>
      <c r="E140" s="17"/>
      <c r="F140" s="17"/>
      <c r="G140" s="17"/>
      <c r="H140" s="17"/>
      <c r="I140" s="5"/>
      <c r="J140" s="17"/>
      <c r="K140" s="17"/>
      <c r="L140" s="17"/>
      <c r="M140" s="17"/>
      <c r="N140" s="17"/>
      <c r="O140" s="5"/>
      <c r="Q140" s="5"/>
      <c r="R140" s="5"/>
      <c r="S140" s="5"/>
    </row>
    <row r="141" spans="2:27">
      <c r="B141" s="5"/>
      <c r="C141" s="5"/>
      <c r="D141" s="5"/>
      <c r="E141" s="5"/>
      <c r="F141" s="5"/>
      <c r="G141" s="5"/>
      <c r="H141" s="5"/>
      <c r="I141" s="5"/>
      <c r="J141" s="5"/>
      <c r="K141" s="5"/>
      <c r="L141" s="5"/>
      <c r="M141" s="5"/>
      <c r="N141" s="5"/>
      <c r="O141" s="5"/>
      <c r="Q141" s="5"/>
      <c r="R141" s="5"/>
      <c r="S141" s="5"/>
    </row>
    <row r="142" spans="2:27">
      <c r="B142" s="5"/>
      <c r="C142" s="5"/>
      <c r="D142" s="5"/>
      <c r="E142" s="5"/>
      <c r="F142" s="5"/>
      <c r="G142" s="5"/>
      <c r="H142" s="5"/>
      <c r="I142" s="5"/>
      <c r="J142" s="5"/>
      <c r="K142" s="5"/>
      <c r="L142" s="5"/>
      <c r="M142" s="5"/>
      <c r="N142" s="5"/>
      <c r="O142" s="5"/>
      <c r="Q142" s="5"/>
      <c r="R142" s="5"/>
      <c r="S142" s="5"/>
    </row>
    <row r="143" spans="2:27">
      <c r="B143" s="5"/>
      <c r="C143" s="5"/>
      <c r="D143" s="5"/>
      <c r="E143" s="5"/>
      <c r="F143" s="5"/>
      <c r="G143" s="5"/>
      <c r="H143" s="5"/>
      <c r="I143" s="5"/>
      <c r="J143" s="5"/>
      <c r="K143" s="5"/>
      <c r="L143" s="5"/>
      <c r="M143" s="5"/>
      <c r="N143" s="5"/>
      <c r="O143" s="5"/>
      <c r="Q143" s="5"/>
      <c r="R143" s="5"/>
      <c r="S143" s="5"/>
    </row>
    <row r="144" spans="2:27">
      <c r="B144" s="5"/>
      <c r="C144" s="5"/>
      <c r="D144" s="5"/>
      <c r="E144" s="5"/>
      <c r="F144" s="5"/>
      <c r="G144" s="5"/>
      <c r="H144" s="5"/>
      <c r="I144" s="5"/>
      <c r="J144" s="5"/>
      <c r="K144" s="5"/>
      <c r="L144" s="5"/>
      <c r="M144" s="5"/>
      <c r="N144" s="5"/>
      <c r="O144" s="5"/>
      <c r="Q144" s="5"/>
      <c r="R144" s="5"/>
      <c r="S144" s="5"/>
    </row>
    <row r="145" spans="2:19">
      <c r="B145" s="5"/>
      <c r="C145" s="5"/>
      <c r="D145" s="5"/>
      <c r="E145" s="5"/>
      <c r="F145" s="5"/>
      <c r="G145" s="5"/>
      <c r="H145" s="5"/>
      <c r="I145" s="5"/>
      <c r="J145" s="5"/>
      <c r="K145" s="5"/>
      <c r="L145" s="5"/>
      <c r="M145" s="5"/>
      <c r="N145" s="5"/>
      <c r="O145" s="5"/>
      <c r="Q145" s="5"/>
      <c r="R145" s="5"/>
      <c r="S145" s="5"/>
    </row>
    <row r="146" spans="2:19">
      <c r="B146" s="5"/>
      <c r="C146" s="5"/>
      <c r="D146" s="5"/>
      <c r="E146" s="5"/>
      <c r="F146" s="5"/>
      <c r="G146" s="5"/>
      <c r="H146" s="5"/>
      <c r="I146" s="5"/>
      <c r="J146" s="5"/>
      <c r="K146" s="5"/>
      <c r="L146" s="5"/>
      <c r="M146" s="5"/>
      <c r="N146" s="5"/>
      <c r="O146" s="5"/>
      <c r="Q146" s="5"/>
      <c r="R146" s="5"/>
      <c r="S146" s="5"/>
    </row>
    <row r="147" spans="2:19">
      <c r="B147" s="5"/>
      <c r="C147" s="5"/>
      <c r="D147" s="5"/>
      <c r="E147" s="5"/>
      <c r="F147" s="5"/>
      <c r="G147" s="5"/>
      <c r="H147" s="5"/>
      <c r="I147" s="5"/>
      <c r="J147" s="5"/>
      <c r="K147" s="5"/>
      <c r="L147" s="5"/>
      <c r="M147" s="5"/>
      <c r="N147" s="5"/>
      <c r="O147" s="5"/>
      <c r="Q147" s="5"/>
      <c r="R147" s="5"/>
      <c r="S147" s="5"/>
    </row>
    <row r="148" spans="2:19">
      <c r="B148" s="5"/>
      <c r="C148" s="5"/>
      <c r="D148" s="5"/>
      <c r="E148" s="5"/>
      <c r="F148" s="5"/>
      <c r="G148" s="5"/>
      <c r="H148" s="5"/>
      <c r="I148" s="5"/>
      <c r="J148" s="5"/>
      <c r="K148" s="5"/>
      <c r="L148" s="5"/>
      <c r="M148" s="5"/>
      <c r="N148" s="5"/>
      <c r="O148" s="5"/>
      <c r="Q148" s="5"/>
      <c r="R148" s="5"/>
      <c r="S148" s="5"/>
    </row>
    <row r="149" spans="2:19">
      <c r="B149" s="5"/>
      <c r="C149" s="5"/>
      <c r="D149" s="5"/>
      <c r="E149" s="5"/>
      <c r="F149" s="5"/>
      <c r="G149" s="5"/>
      <c r="H149" s="5"/>
      <c r="J149" s="5"/>
      <c r="K149" s="5"/>
      <c r="L149" s="5"/>
      <c r="M149" s="5"/>
      <c r="N149" s="5"/>
      <c r="O149" s="5"/>
      <c r="Q149" s="5"/>
      <c r="R149" s="5"/>
      <c r="S149" s="5"/>
    </row>
    <row r="150" spans="2:19">
      <c r="B150" s="5"/>
      <c r="C150" s="5"/>
      <c r="D150" s="5"/>
      <c r="E150" s="5"/>
      <c r="F150" s="5"/>
      <c r="G150" s="5"/>
      <c r="H150" s="5"/>
      <c r="J150" s="5"/>
      <c r="K150" s="5"/>
      <c r="L150" s="5"/>
      <c r="M150" s="5"/>
      <c r="N150" s="5"/>
      <c r="O150" s="5"/>
      <c r="Q150" s="5"/>
      <c r="R150" s="5"/>
      <c r="S150" s="5"/>
    </row>
    <row r="151" spans="2:19">
      <c r="Q151" s="5"/>
      <c r="R151" s="5"/>
      <c r="S151" s="5"/>
    </row>
    <row r="152" spans="2:19">
      <c r="Q152" s="5"/>
      <c r="R152" s="5"/>
      <c r="S152" s="5"/>
    </row>
    <row r="153" spans="2:19">
      <c r="C153" s="263"/>
      <c r="Q153" s="5"/>
      <c r="R153" s="5"/>
      <c r="S153" s="5"/>
    </row>
    <row r="154" spans="2:19">
      <c r="Q154" s="5"/>
      <c r="R154" s="5"/>
      <c r="S154" s="5"/>
    </row>
    <row r="155" spans="2:19">
      <c r="Q155" s="5"/>
      <c r="R155" s="5"/>
      <c r="S155" s="5"/>
    </row>
    <row r="156" spans="2:19">
      <c r="Q156" s="5"/>
      <c r="R156" s="5"/>
      <c r="S156" s="5"/>
    </row>
    <row r="157" spans="2:19">
      <c r="Q157" s="5"/>
      <c r="R157" s="5"/>
      <c r="S157" s="5"/>
    </row>
    <row r="158" spans="2:19">
      <c r="Q158" s="5"/>
      <c r="R158" s="5"/>
      <c r="S158" s="5"/>
    </row>
    <row r="159" spans="2:19">
      <c r="Q159" s="5"/>
      <c r="R159" s="5"/>
      <c r="S159" s="5"/>
    </row>
    <row r="160" spans="2:19">
      <c r="Q160" s="5"/>
      <c r="R160" s="5"/>
      <c r="S160" s="5"/>
    </row>
    <row r="161" spans="17:19">
      <c r="Q161" s="5"/>
      <c r="R161" s="5"/>
      <c r="S161" s="5"/>
    </row>
    <row r="162" spans="17:19">
      <c r="Q162" s="5"/>
      <c r="R162" s="5"/>
      <c r="S162" s="5"/>
    </row>
    <row r="163" spans="17:19">
      <c r="Q163" s="5"/>
      <c r="R163" s="5"/>
      <c r="S163" s="5"/>
    </row>
    <row r="164" spans="17:19">
      <c r="Q164" s="5"/>
      <c r="R164" s="5"/>
      <c r="S164" s="5"/>
    </row>
    <row r="165" spans="17:19">
      <c r="Q165" s="5"/>
      <c r="R165" s="5"/>
      <c r="S165" s="5"/>
    </row>
  </sheetData>
  <pageMargins left="0.75" right="0.75" top="1" bottom="1" header="0.5" footer="0.5"/>
  <pageSetup scale="71" orientation="landscape" r:id="rId1"/>
  <headerFooter alignWithMargins="0"/>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111">
    <pageSetUpPr fitToPage="1"/>
  </sheetPr>
  <dimension ref="B1:AR165"/>
  <sheetViews>
    <sheetView showGridLines="0" zoomScale="80" zoomScaleNormal="80" workbookViewId="0"/>
  </sheetViews>
  <sheetFormatPr defaultColWidth="9.109375" defaultRowHeight="12"/>
  <cols>
    <col min="1" max="1" width="2.33203125" style="39" customWidth="1"/>
    <col min="2" max="2" width="26.5546875" style="39" customWidth="1"/>
    <col min="3" max="9" width="10" style="39" customWidth="1"/>
    <col min="10" max="10" width="26.6640625" style="39" customWidth="1"/>
    <col min="11" max="16" width="10" style="39" customWidth="1"/>
    <col min="17" max="18" width="8.6640625" style="39" customWidth="1"/>
    <col min="19" max="28" width="8.6640625" style="5" customWidth="1"/>
    <col min="29" max="44" width="9.109375" style="5"/>
    <col min="45" max="16384" width="9.109375" style="39"/>
  </cols>
  <sheetData>
    <row r="1" spans="2:44" s="312" customFormat="1">
      <c r="S1" s="149"/>
      <c r="T1" s="149"/>
      <c r="U1" s="149"/>
      <c r="V1" s="149"/>
      <c r="W1" s="149"/>
      <c r="X1" s="149"/>
      <c r="Y1" s="149"/>
      <c r="Z1" s="149"/>
      <c r="AA1" s="149"/>
      <c r="AB1" s="149"/>
      <c r="AC1" s="149"/>
      <c r="AD1" s="149"/>
      <c r="AE1" s="149"/>
      <c r="AF1" s="149"/>
      <c r="AG1" s="149"/>
      <c r="AH1" s="149"/>
      <c r="AI1" s="149"/>
      <c r="AJ1" s="149"/>
      <c r="AK1" s="149"/>
      <c r="AL1" s="149"/>
      <c r="AM1" s="149"/>
      <c r="AN1" s="149"/>
      <c r="AO1" s="149"/>
      <c r="AP1" s="149"/>
      <c r="AQ1" s="149"/>
      <c r="AR1" s="149"/>
    </row>
    <row r="2" spans="2:44" s="149" customFormat="1"/>
    <row r="3" spans="2:44" s="149" customFormat="1">
      <c r="H3" s="153"/>
      <c r="P3" s="153"/>
    </row>
    <row r="4" spans="2:44" s="156" customFormat="1" ht="21">
      <c r="B4" s="129" t="s">
        <v>69</v>
      </c>
      <c r="H4" s="222"/>
      <c r="P4" s="222"/>
    </row>
    <row r="5" spans="2:44" s="149" customFormat="1">
      <c r="C5" s="153"/>
      <c r="D5" s="153" t="str" cm="1">
        <f t="array" ref="D5:H5">headings</f>
        <v>2023E</v>
      </c>
      <c r="E5" s="153" t="str">
        <v>2024E</v>
      </c>
      <c r="F5" s="153" t="str">
        <v>2025E</v>
      </c>
      <c r="G5" s="153" t="str">
        <v>2026E</v>
      </c>
      <c r="H5" s="153" t="str">
        <v>23E-26E</v>
      </c>
      <c r="I5" s="153"/>
      <c r="J5" s="153"/>
      <c r="K5" s="153"/>
      <c r="L5" s="153" t="str" cm="1">
        <f t="array" ref="L5:P5">headings</f>
        <v>2023E</v>
      </c>
      <c r="M5" s="153" t="str">
        <v>2024E</v>
      </c>
      <c r="N5" s="153" t="str">
        <v>2025E</v>
      </c>
      <c r="O5" s="153" t="str">
        <v>2026E</v>
      </c>
      <c r="P5" s="153" t="str">
        <v>23E-26E</v>
      </c>
      <c r="Q5" s="162"/>
      <c r="R5" s="162"/>
      <c r="S5" s="162"/>
      <c r="T5" s="162"/>
      <c r="U5" s="162"/>
      <c r="V5" s="162"/>
      <c r="W5" s="162"/>
      <c r="X5" s="162"/>
      <c r="Y5" s="162"/>
    </row>
    <row r="6" spans="2:44">
      <c r="I6" s="5"/>
      <c r="J6" s="5"/>
      <c r="K6" s="5"/>
      <c r="L6" s="5"/>
      <c r="M6" s="5"/>
      <c r="N6" s="5"/>
      <c r="O6" s="49"/>
    </row>
    <row r="7" spans="2:44" ht="12.6" thickBot="1">
      <c r="B7" s="306" t="s">
        <v>271</v>
      </c>
      <c r="C7" s="265"/>
      <c r="D7" s="265" t="str">
        <f>D5</f>
        <v>2023E</v>
      </c>
      <c r="E7" s="265" t="str">
        <f t="shared" ref="E7:H7" si="0">E5</f>
        <v>2024E</v>
      </c>
      <c r="F7" s="265" t="str">
        <f t="shared" si="0"/>
        <v>2025E</v>
      </c>
      <c r="G7" s="265" t="str">
        <f t="shared" si="0"/>
        <v>2026E</v>
      </c>
      <c r="H7" s="265" t="str">
        <f t="shared" si="0"/>
        <v>23E-26E</v>
      </c>
      <c r="I7" s="49"/>
      <c r="J7" s="306" t="s">
        <v>74</v>
      </c>
      <c r="K7" s="306"/>
      <c r="L7" s="265" t="str">
        <f>L5</f>
        <v>2023E</v>
      </c>
      <c r="M7" s="265" t="str">
        <f t="shared" ref="M7:P7" si="1">M5</f>
        <v>2024E</v>
      </c>
      <c r="N7" s="265" t="str">
        <f t="shared" si="1"/>
        <v>2025E</v>
      </c>
      <c r="O7" s="265" t="str">
        <f t="shared" si="1"/>
        <v>2026E</v>
      </c>
      <c r="P7" s="265" t="str">
        <f t="shared" si="1"/>
        <v>23E-26E</v>
      </c>
    </row>
    <row r="8" spans="2:44" ht="12.6" thickTop="1">
      <c r="B8" s="5"/>
      <c r="C8" s="5"/>
      <c r="D8" s="5"/>
      <c r="E8" s="5"/>
      <c r="F8" s="5"/>
      <c r="G8" s="5"/>
      <c r="H8" s="5"/>
      <c r="I8" s="5"/>
      <c r="J8" s="5"/>
      <c r="K8" s="5"/>
      <c r="L8" s="5"/>
      <c r="M8" s="5"/>
      <c r="N8" s="5"/>
      <c r="S8" s="42"/>
      <c r="T8" s="42"/>
      <c r="U8" s="42"/>
      <c r="V8" s="42"/>
      <c r="W8" s="42"/>
      <c r="X8" s="42"/>
      <c r="Y8" s="42"/>
      <c r="Z8" s="42"/>
      <c r="AA8" s="42"/>
    </row>
    <row r="9" spans="2:44">
      <c r="B9" s="41" t="s">
        <v>87</v>
      </c>
      <c r="C9" s="285">
        <f>Prices!C86</f>
        <v>15.11</v>
      </c>
      <c r="D9" s="535">
        <v>0</v>
      </c>
      <c r="E9" s="536">
        <v>0</v>
      </c>
      <c r="F9" s="536">
        <v>0</v>
      </c>
      <c r="G9" s="536">
        <v>0</v>
      </c>
      <c r="H9" s="249"/>
      <c r="I9" s="249"/>
      <c r="J9" s="5" t="s">
        <v>273</v>
      </c>
      <c r="L9" s="529">
        <f>'AGG ASIA CELLULAR'!D37</f>
        <v>2.0832818906884643</v>
      </c>
      <c r="M9" s="529">
        <f>'AGG ASIA CELLULAR'!E37</f>
        <v>1.9180381131180324</v>
      </c>
      <c r="N9" s="529">
        <f>'AGG ASIA CELLULAR'!F37</f>
        <v>1.6973984727138696</v>
      </c>
      <c r="O9" s="529">
        <f>'AGG ASIA CELLULAR'!G37</f>
        <v>1.4849146547081604</v>
      </c>
      <c r="P9" s="286">
        <f>'AGG ASIA CELLULAR'!H37</f>
        <v>5.2823672985303771E-2</v>
      </c>
      <c r="S9" s="42"/>
      <c r="T9" s="42"/>
      <c r="U9" s="42"/>
      <c r="V9" s="42"/>
      <c r="W9" s="42"/>
      <c r="X9" s="42"/>
      <c r="Y9" s="42"/>
      <c r="Z9" s="42"/>
      <c r="AA9" s="42"/>
    </row>
    <row r="10" spans="2:44">
      <c r="B10" s="5" t="s">
        <v>274</v>
      </c>
      <c r="C10" s="5"/>
      <c r="D10" s="531">
        <v>50119.8</v>
      </c>
      <c r="E10" s="531">
        <v>69167.419047619042</v>
      </c>
      <c r="F10" s="531">
        <v>69167.419047619042</v>
      </c>
      <c r="G10" s="531">
        <v>69167.419047619042</v>
      </c>
      <c r="H10" s="247"/>
      <c r="I10" s="247"/>
      <c r="J10" s="5" t="s">
        <v>184</v>
      </c>
      <c r="L10" s="529">
        <f>'AGG ASIA CELLULAR'!D38</f>
        <v>6.3578764048835863</v>
      </c>
      <c r="M10" s="529">
        <f>'AGG ASIA CELLULAR'!E38</f>
        <v>5.8349432944863064</v>
      </c>
      <c r="N10" s="529">
        <f>'AGG ASIA CELLULAR'!F38</f>
        <v>5.103853656504258</v>
      </c>
      <c r="O10" s="529">
        <f>'AGG ASIA CELLULAR'!G38</f>
        <v>4.4165179955724438</v>
      </c>
      <c r="P10" s="286">
        <f>'AGG ASIA CELLULAR'!H38</f>
        <v>6.1901299000113985E-2</v>
      </c>
      <c r="S10" s="42"/>
      <c r="T10" s="42"/>
      <c r="U10" s="42"/>
      <c r="V10" s="42"/>
      <c r="W10" s="288"/>
      <c r="X10" s="288"/>
      <c r="Y10" s="288"/>
      <c r="Z10" s="288"/>
      <c r="AA10" s="42"/>
    </row>
    <row r="11" spans="2:44">
      <c r="B11" s="41" t="s">
        <v>275</v>
      </c>
      <c r="C11" s="5"/>
      <c r="D11" s="532">
        <f>$C$9*D10</f>
        <v>757310.17800000007</v>
      </c>
      <c r="E11" s="532">
        <f>$C$9*E10</f>
        <v>1045119.7018095236</v>
      </c>
      <c r="F11" s="532">
        <f>$C$9*F10</f>
        <v>1045119.7018095236</v>
      </c>
      <c r="G11" s="532">
        <f>$C$9*G10</f>
        <v>1045119.7018095236</v>
      </c>
      <c r="H11" s="249"/>
      <c r="I11" s="249"/>
      <c r="J11" s="5" t="s">
        <v>185</v>
      </c>
      <c r="L11" s="529">
        <f>'AGG ASIA CELLULAR'!D39</f>
        <v>12.256315794878686</v>
      </c>
      <c r="M11" s="529">
        <f>'AGG ASIA CELLULAR'!E39</f>
        <v>10.532349001792122</v>
      </c>
      <c r="N11" s="529">
        <f>'AGG ASIA CELLULAR'!F39</f>
        <v>8.8097379743624202</v>
      </c>
      <c r="O11" s="529">
        <f>'AGG ASIA CELLULAR'!G39</f>
        <v>7.3400525025099741</v>
      </c>
      <c r="P11" s="286">
        <f>'AGG ASIA CELLULAR'!H39</f>
        <v>0.11573327430771596</v>
      </c>
      <c r="S11" s="42"/>
      <c r="T11" s="42"/>
      <c r="U11" s="42"/>
      <c r="V11" s="42"/>
      <c r="W11" s="288"/>
      <c r="X11" s="288"/>
      <c r="Y11" s="288"/>
      <c r="Z11" s="288"/>
      <c r="AA11" s="42"/>
    </row>
    <row r="12" spans="2:44">
      <c r="B12" s="5" t="s">
        <v>24</v>
      </c>
      <c r="C12" s="249"/>
      <c r="D12" s="533">
        <v>2074622.0000000002</v>
      </c>
      <c r="E12" s="533">
        <v>2132299.8546389351</v>
      </c>
      <c r="F12" s="533">
        <v>2361695.0660922104</v>
      </c>
      <c r="G12" s="533">
        <v>2496992.6424637493</v>
      </c>
      <c r="H12" s="247"/>
      <c r="I12" s="247"/>
      <c r="J12" s="5" t="s">
        <v>466</v>
      </c>
      <c r="L12" s="529">
        <f>'AGG ASIA CELLULAR'!D40</f>
        <v>15.951300793811486</v>
      </c>
      <c r="M12" s="529">
        <f>'AGG ASIA CELLULAR'!E40</f>
        <v>13.847183646795452</v>
      </c>
      <c r="N12" s="529">
        <f>'AGG ASIA CELLULAR'!F40</f>
        <v>11.626709680654198</v>
      </c>
      <c r="O12" s="529">
        <f>'AGG ASIA CELLULAR'!G40</f>
        <v>9.7078389032116537</v>
      </c>
      <c r="P12" s="286">
        <f>'AGG ASIA CELLULAR'!H40</f>
        <v>0.10976572550111241</v>
      </c>
      <c r="S12" s="42"/>
      <c r="T12" s="42"/>
      <c r="U12" s="42"/>
      <c r="V12" s="42"/>
      <c r="W12" s="288"/>
      <c r="X12" s="288"/>
      <c r="Y12" s="288"/>
      <c r="Z12" s="288"/>
      <c r="AA12" s="42"/>
    </row>
    <row r="13" spans="2:44">
      <c r="B13" s="5" t="s">
        <v>529</v>
      </c>
      <c r="C13" s="257"/>
      <c r="D13" s="533">
        <v>0</v>
      </c>
      <c r="E13" s="533">
        <v>0</v>
      </c>
      <c r="F13" s="533">
        <v>0</v>
      </c>
      <c r="G13" s="533">
        <v>0</v>
      </c>
      <c r="H13" s="247"/>
      <c r="I13" s="247"/>
      <c r="J13" s="5" t="s">
        <v>530</v>
      </c>
      <c r="L13" s="529">
        <f>'AGG ASIA CELLULAR'!D41</f>
        <v>1.4274445412547272</v>
      </c>
      <c r="M13" s="529">
        <f>'AGG ASIA CELLULAR'!E41</f>
        <v>1.4179696737537477</v>
      </c>
      <c r="N13" s="529">
        <f>'AGG ASIA CELLULAR'!F41</f>
        <v>1.3450707920768976</v>
      </c>
      <c r="O13" s="529">
        <f>'AGG ASIA CELLULAR'!G41</f>
        <v>1.2618986136137988</v>
      </c>
      <c r="P13" s="286">
        <f>'AGG ASIA CELLULAR'!H41</f>
        <v>-2.0092563683029918E-2</v>
      </c>
      <c r="S13" s="42"/>
      <c r="T13" s="42"/>
      <c r="U13" s="42"/>
      <c r="V13" s="42"/>
      <c r="W13" s="42"/>
      <c r="X13" s="42"/>
      <c r="Y13" s="42"/>
      <c r="Z13" s="42"/>
      <c r="AA13" s="42"/>
    </row>
    <row r="14" spans="2:44">
      <c r="B14" s="5" t="s">
        <v>532</v>
      </c>
      <c r="C14" s="257"/>
      <c r="D14" s="533">
        <f>IDEASOP!R15</f>
        <v>0</v>
      </c>
      <c r="E14" s="533">
        <f t="shared" ref="E14:G15" si="2">D14</f>
        <v>0</v>
      </c>
      <c r="F14" s="533">
        <f t="shared" si="2"/>
        <v>0</v>
      </c>
      <c r="G14" s="533">
        <f t="shared" si="2"/>
        <v>0</v>
      </c>
      <c r="H14" s="247"/>
      <c r="I14" s="247"/>
      <c r="J14" s="5" t="s">
        <v>593</v>
      </c>
      <c r="L14" s="529">
        <f>'AGG ASIA CELLULAR'!D42</f>
        <v>2.9130695199933734</v>
      </c>
      <c r="M14" s="529">
        <f>'AGG ASIA CELLULAR'!E42</f>
        <v>2.8146219035099969</v>
      </c>
      <c r="N14" s="529">
        <f>'AGG ASIA CELLULAR'!F42</f>
        <v>2.5888583636405476</v>
      </c>
      <c r="O14" s="529">
        <f>'AGG ASIA CELLULAR'!G42</f>
        <v>2.3605815546209548</v>
      </c>
      <c r="P14" s="286">
        <f>'AGG ASIA CELLULAR'!H42</f>
        <v>8.7512202951403051E-3</v>
      </c>
      <c r="S14" s="42"/>
      <c r="T14" s="42"/>
      <c r="U14" s="42"/>
      <c r="V14" s="42"/>
      <c r="W14" s="42"/>
      <c r="X14" s="42"/>
      <c r="Y14" s="42"/>
      <c r="Z14" s="42"/>
      <c r="AA14" s="42"/>
    </row>
    <row r="15" spans="2:44">
      <c r="B15" s="5" t="s">
        <v>531</v>
      </c>
      <c r="C15" s="274"/>
      <c r="D15" s="533">
        <f>IDEASOP!$T$11</f>
        <v>0</v>
      </c>
      <c r="E15" s="533">
        <f t="shared" si="2"/>
        <v>0</v>
      </c>
      <c r="F15" s="533">
        <f t="shared" si="2"/>
        <v>0</v>
      </c>
      <c r="G15" s="533">
        <f t="shared" si="2"/>
        <v>0</v>
      </c>
      <c r="H15" s="247"/>
      <c r="I15" s="247"/>
      <c r="J15" s="5" t="s">
        <v>475</v>
      </c>
      <c r="L15" s="529">
        <f>'AGG ASIA CELLULAR'!D43</f>
        <v>19.278364274513134</v>
      </c>
      <c r="M15" s="529">
        <f>'AGG ASIA CELLULAR'!E43</f>
        <v>15.523038202411636</v>
      </c>
      <c r="N15" s="529">
        <f>'AGG ASIA CELLULAR'!F43</f>
        <v>13.257386088679914</v>
      </c>
      <c r="O15" s="529">
        <f>'AGG ASIA CELLULAR'!G43</f>
        <v>11.466142328229227</v>
      </c>
      <c r="P15" s="286">
        <f>'AGG ASIA CELLULAR'!H43</f>
        <v>0.18831027118838706</v>
      </c>
      <c r="S15" s="42"/>
      <c r="T15" s="42"/>
      <c r="U15" s="42"/>
      <c r="V15" s="42"/>
      <c r="W15" s="42"/>
      <c r="X15" s="42"/>
      <c r="Y15" s="42"/>
      <c r="Z15" s="42"/>
      <c r="AA15" s="42"/>
    </row>
    <row r="16" spans="2:44">
      <c r="B16" s="5" t="s">
        <v>534</v>
      </c>
      <c r="C16" s="257"/>
      <c r="D16" s="533">
        <v>0</v>
      </c>
      <c r="E16" s="533">
        <v>0</v>
      </c>
      <c r="F16" s="533">
        <v>0</v>
      </c>
      <c r="G16" s="533">
        <v>0</v>
      </c>
      <c r="H16" s="247"/>
      <c r="I16" s="247"/>
      <c r="J16" s="5" t="s">
        <v>533</v>
      </c>
      <c r="L16" s="529">
        <f>'AGG ASIA CELLULAR'!D44</f>
        <v>20.50009040888548</v>
      </c>
      <c r="M16" s="529">
        <f>'AGG ASIA CELLULAR'!E44</f>
        <v>17.31807909095523</v>
      </c>
      <c r="N16" s="529">
        <f>'AGG ASIA CELLULAR'!F44</f>
        <v>14.883294016253318</v>
      </c>
      <c r="O16" s="529">
        <f>'AGG ASIA CELLULAR'!G44</f>
        <v>13.16548576425039</v>
      </c>
      <c r="P16" s="286">
        <f>'AGG ASIA CELLULAR'!H44</f>
        <v>0.15839482711139796</v>
      </c>
      <c r="S16" s="42"/>
      <c r="T16" s="42"/>
      <c r="U16" s="42"/>
      <c r="V16" s="42"/>
      <c r="W16" s="42"/>
      <c r="X16" s="42"/>
      <c r="Y16" s="42"/>
      <c r="Z16" s="42"/>
      <c r="AA16" s="42"/>
    </row>
    <row r="17" spans="2:27">
      <c r="B17" s="5" t="s">
        <v>6</v>
      </c>
      <c r="C17" s="257"/>
      <c r="D17" s="533">
        <v>0</v>
      </c>
      <c r="E17" s="533">
        <v>0</v>
      </c>
      <c r="F17" s="533">
        <v>0</v>
      </c>
      <c r="G17" s="533">
        <v>0</v>
      </c>
      <c r="H17" s="247"/>
      <c r="I17" s="247"/>
      <c r="J17" s="5" t="s">
        <v>580</v>
      </c>
      <c r="L17" s="248">
        <f>'AGG ASIA CELLULAR'!D45</f>
        <v>4.174038595528512E-2</v>
      </c>
      <c r="M17" s="248">
        <f>'AGG ASIA CELLULAR'!E45</f>
        <v>4.4792872771489058E-2</v>
      </c>
      <c r="N17" s="248">
        <f>'AGG ASIA CELLULAR'!F45</f>
        <v>5.1203391440393167E-2</v>
      </c>
      <c r="O17" s="248">
        <f>'AGG ASIA CELLULAR'!G45</f>
        <v>5.7913719466381006E-2</v>
      </c>
      <c r="P17" s="286">
        <f>'AGG ASIA CELLULAR'!H45</f>
        <v>0.11470165475568339</v>
      </c>
      <c r="S17" s="42"/>
      <c r="T17" s="42"/>
      <c r="U17" s="42"/>
      <c r="V17" s="42"/>
      <c r="W17" s="42"/>
      <c r="X17" s="42"/>
      <c r="Y17" s="42"/>
      <c r="Z17" s="42"/>
      <c r="AA17" s="42"/>
    </row>
    <row r="18" spans="2:27" ht="12.6" thickBot="1">
      <c r="B18" s="41" t="s">
        <v>583</v>
      </c>
      <c r="C18" s="249"/>
      <c r="D18" s="534">
        <f>D11+D12+D13-D14+D15-D16-D17</f>
        <v>2831932.1780000003</v>
      </c>
      <c r="E18" s="534">
        <f>E11+E12+E13-E14+E15-E16-E17</f>
        <v>3177419.5564484587</v>
      </c>
      <c r="F18" s="534">
        <f>F11+F12+F13-F14+F15-F16-F17</f>
        <v>3406814.767901734</v>
      </c>
      <c r="G18" s="534">
        <f>G11+G12+G13-G14+G15-G16-G17</f>
        <v>3542112.3442732729</v>
      </c>
      <c r="H18" s="276">
        <f>IF(D18=0,"nm",IF(G18=0,"nm",(G18/D18)^(1/3)-1))</f>
        <v>7.7440164682526236E-2</v>
      </c>
      <c r="I18" s="254"/>
      <c r="J18" s="5" t="s">
        <v>36</v>
      </c>
      <c r="L18" s="248" t="e">
        <f>'AGG ASIA CELLULAR'!D46</f>
        <v>#VALUE!</v>
      </c>
      <c r="M18" s="248" t="e">
        <f>'AGG ASIA CELLULAR'!E46</f>
        <v>#VALUE!</v>
      </c>
      <c r="N18" s="248" t="e">
        <f>'AGG ASIA CELLULAR'!F46</f>
        <v>#VALUE!</v>
      </c>
      <c r="O18" s="248" t="e">
        <f>'AGG ASIA CELLULAR'!G46</f>
        <v>#VALUE!</v>
      </c>
      <c r="P18" s="286" t="e">
        <f>'AGG ASIA CELLULAR'!H46</f>
        <v>#VALUE!</v>
      </c>
      <c r="S18" s="42"/>
      <c r="T18" s="42"/>
      <c r="U18" s="42"/>
      <c r="V18" s="42"/>
      <c r="W18" s="42"/>
      <c r="X18" s="42"/>
      <c r="Y18" s="42"/>
      <c r="Z18" s="42"/>
      <c r="AA18" s="42"/>
    </row>
    <row r="19" spans="2:27" ht="12.6" thickTop="1">
      <c r="B19" s="41"/>
      <c r="C19" s="249"/>
      <c r="D19" s="229"/>
      <c r="E19" s="229"/>
      <c r="F19" s="229"/>
      <c r="G19" s="229"/>
      <c r="H19" s="276"/>
      <c r="I19" s="254"/>
      <c r="J19" s="5" t="s">
        <v>581</v>
      </c>
      <c r="L19" s="248">
        <f>'AGG ASIA CELLULAR'!D47</f>
        <v>5.1871620732991598E-2</v>
      </c>
      <c r="M19" s="248">
        <f>'AGG ASIA CELLULAR'!E47</f>
        <v>6.4420378727447922E-2</v>
      </c>
      <c r="N19" s="248">
        <f>'AGG ASIA CELLULAR'!F47</f>
        <v>7.5429650559386677E-2</v>
      </c>
      <c r="O19" s="248">
        <f>'AGG ASIA CELLULAR'!G47</f>
        <v>8.7213290344219457E-2</v>
      </c>
      <c r="P19" s="286">
        <f>'AGG ASIA CELLULAR'!H47</f>
        <v>0.18831027118838706</v>
      </c>
      <c r="S19" s="42"/>
      <c r="T19" s="42"/>
      <c r="U19" s="42"/>
      <c r="V19" s="42"/>
      <c r="W19" s="42"/>
      <c r="X19" s="42"/>
      <c r="Y19" s="42"/>
      <c r="Z19" s="42"/>
      <c r="AA19" s="42"/>
    </row>
    <row r="20" spans="2:27">
      <c r="H20" s="277"/>
      <c r="I20" s="17"/>
      <c r="J20" s="5" t="s">
        <v>604</v>
      </c>
      <c r="L20" s="305">
        <f>'AGG ASIA CELLULAR'!D48</f>
        <v>0.92045377326476352</v>
      </c>
      <c r="M20" s="305">
        <f>'AGG ASIA CELLULAR'!E48</f>
        <v>0.79490390762892493</v>
      </c>
      <c r="N20" s="305">
        <f>'AGG ASIA CELLULAR'!F48</f>
        <v>0.7763724496707467</v>
      </c>
      <c r="O20" s="305">
        <f>'AGG ASIA CELLULAR'!G48</f>
        <v>0.75978089170129071</v>
      </c>
      <c r="P20" s="286" t="str">
        <f>'AGG ASIA CELLULAR'!H48</f>
        <v>nm</v>
      </c>
      <c r="S20" s="42"/>
      <c r="T20" s="42"/>
      <c r="U20" s="42"/>
      <c r="V20" s="42"/>
      <c r="W20" s="42"/>
      <c r="X20" s="42"/>
      <c r="Y20" s="42"/>
      <c r="Z20" s="42"/>
      <c r="AA20" s="42"/>
    </row>
    <row r="21" spans="2:27" ht="12.6" thickBot="1">
      <c r="B21" s="306" t="s">
        <v>929</v>
      </c>
      <c r="C21" s="265"/>
      <c r="D21" s="265" t="str">
        <f>D5</f>
        <v>2023E</v>
      </c>
      <c r="E21" s="265" t="str">
        <f t="shared" ref="E21:H21" si="3">E5</f>
        <v>2024E</v>
      </c>
      <c r="F21" s="265" t="str">
        <f t="shared" si="3"/>
        <v>2025E</v>
      </c>
      <c r="G21" s="265" t="str">
        <f t="shared" si="3"/>
        <v>2026E</v>
      </c>
      <c r="H21" s="265" t="str">
        <f t="shared" si="3"/>
        <v>23E-26E</v>
      </c>
      <c r="I21" s="49"/>
      <c r="J21" s="41"/>
      <c r="L21" s="250"/>
      <c r="M21" s="250"/>
      <c r="N21" s="250"/>
      <c r="O21" s="250"/>
      <c r="P21" s="286"/>
      <c r="S21" s="42"/>
      <c r="T21" s="42"/>
      <c r="U21" s="42"/>
      <c r="V21" s="42"/>
      <c r="W21" s="42"/>
      <c r="X21" s="42"/>
      <c r="Y21" s="42"/>
      <c r="Z21" s="42"/>
      <c r="AA21" s="42"/>
    </row>
    <row r="22" spans="2:27" ht="12.6" thickTop="1">
      <c r="B22" s="5"/>
      <c r="C22" s="257"/>
      <c r="D22" s="17"/>
      <c r="E22" s="17"/>
      <c r="F22" s="17"/>
      <c r="G22" s="17"/>
      <c r="H22" s="17"/>
      <c r="I22" s="17"/>
      <c r="P22" s="277"/>
      <c r="S22" s="42"/>
      <c r="T22" s="42"/>
      <c r="U22" s="42"/>
      <c r="V22" s="42"/>
      <c r="W22" s="42"/>
      <c r="X22" s="42"/>
      <c r="Y22" s="42"/>
      <c r="Z22" s="42"/>
      <c r="AA22" s="42"/>
    </row>
    <row r="23" spans="2:27" ht="12.6" thickBot="1">
      <c r="B23" s="5" t="s">
        <v>584</v>
      </c>
      <c r="C23" s="548">
        <v>421772</v>
      </c>
      <c r="D23" s="540">
        <v>426517</v>
      </c>
      <c r="E23" s="540">
        <v>463320.15807621344</v>
      </c>
      <c r="F23" s="540">
        <v>528412.17688102927</v>
      </c>
      <c r="G23" s="540">
        <v>578203.38773285283</v>
      </c>
      <c r="H23" s="279">
        <f t="shared" ref="H23:H32" si="4">IF(D23=0,"nm",IF(G23=0,"nm",(G23/D23)^(1/3)-1))</f>
        <v>0.10674634231514601</v>
      </c>
      <c r="I23" s="247"/>
      <c r="J23" s="306" t="s">
        <v>9</v>
      </c>
      <c r="K23" s="306"/>
      <c r="L23" s="265" t="str">
        <f>D21</f>
        <v>2023E</v>
      </c>
      <c r="M23" s="265" t="str">
        <f t="shared" ref="M23:P23" si="5">E21</f>
        <v>2024E</v>
      </c>
      <c r="N23" s="265" t="str">
        <f t="shared" si="5"/>
        <v>2025E</v>
      </c>
      <c r="O23" s="265" t="str">
        <f t="shared" si="5"/>
        <v>2026E</v>
      </c>
      <c r="P23" s="265" t="str">
        <f t="shared" si="5"/>
        <v>23E-26E</v>
      </c>
      <c r="S23" s="42"/>
      <c r="T23" s="42"/>
      <c r="U23" s="42"/>
      <c r="V23" s="42"/>
      <c r="W23" s="42"/>
      <c r="X23" s="42"/>
      <c r="Y23" s="42"/>
      <c r="Z23" s="42"/>
      <c r="AA23" s="42"/>
    </row>
    <row r="24" spans="2:27" ht="12.6" thickTop="1">
      <c r="B24" s="5" t="s">
        <v>483</v>
      </c>
      <c r="C24" s="549">
        <v>168170</v>
      </c>
      <c r="D24" s="540">
        <v>171260</v>
      </c>
      <c r="E24" s="540">
        <v>189563.24908512644</v>
      </c>
      <c r="F24" s="540">
        <v>222950.74835976819</v>
      </c>
      <c r="G24" s="540">
        <v>248338.65659913258</v>
      </c>
      <c r="H24" s="279">
        <f t="shared" si="4"/>
        <v>0.13186890558136688</v>
      </c>
      <c r="I24" s="249"/>
      <c r="J24" s="17"/>
      <c r="K24" s="17"/>
      <c r="L24" s="17"/>
      <c r="M24" s="17"/>
      <c r="N24" s="17"/>
      <c r="O24" s="248"/>
      <c r="S24" s="42"/>
      <c r="T24" s="42"/>
      <c r="U24" s="42"/>
      <c r="V24" s="42"/>
      <c r="W24" s="42" t="s">
        <v>211</v>
      </c>
      <c r="X24" s="42" t="s">
        <v>257</v>
      </c>
      <c r="Y24" s="42"/>
      <c r="Z24" s="42"/>
      <c r="AA24" s="42"/>
    </row>
    <row r="25" spans="2:27">
      <c r="B25" s="5" t="s">
        <v>183</v>
      </c>
      <c r="C25" s="548">
        <v>134570</v>
      </c>
      <c r="D25" s="540">
        <v>152760</v>
      </c>
      <c r="E25" s="540">
        <v>13501.589016165322</v>
      </c>
      <c r="F25" s="540">
        <v>22154.121144977049</v>
      </c>
      <c r="G25" s="540">
        <v>132697.979052562</v>
      </c>
      <c r="H25" s="279">
        <f t="shared" si="4"/>
        <v>-4.5846561559431231E-2</v>
      </c>
      <c r="I25" s="248"/>
      <c r="J25" s="247" t="s">
        <v>10</v>
      </c>
      <c r="K25" s="247"/>
      <c r="L25" s="321">
        <v>0</v>
      </c>
      <c r="M25" s="321">
        <v>0</v>
      </c>
      <c r="N25" s="321">
        <v>0</v>
      </c>
      <c r="O25" s="321">
        <v>0</v>
      </c>
      <c r="P25" s="279" t="str">
        <f>IF(L25=0,"nm",IF(O25=0,"nm",(O25/L25)^(1/3)-1))</f>
        <v>nm</v>
      </c>
      <c r="S25" s="42"/>
      <c r="T25" s="42"/>
      <c r="U25" s="42"/>
      <c r="V25" s="147" t="s">
        <v>273</v>
      </c>
      <c r="W25" s="288">
        <f>D37/L9</f>
        <v>3.187120352577657</v>
      </c>
      <c r="X25" s="288">
        <v>1</v>
      </c>
      <c r="Y25" s="42"/>
      <c r="Z25" s="42"/>
      <c r="AA25" s="42"/>
    </row>
    <row r="26" spans="2:27">
      <c r="B26" s="5" t="s">
        <v>586</v>
      </c>
      <c r="C26" s="548">
        <v>96890.4</v>
      </c>
      <c r="D26" s="540">
        <v>109987.2</v>
      </c>
      <c r="E26" s="540">
        <v>9721.1440916390311</v>
      </c>
      <c r="F26" s="540">
        <v>15950.967224383474</v>
      </c>
      <c r="G26" s="540">
        <v>95542.544917844643</v>
      </c>
      <c r="H26" s="279">
        <f t="shared" si="4"/>
        <v>-4.5846561559431231E-2</v>
      </c>
      <c r="I26" s="249"/>
      <c r="J26" s="249" t="s">
        <v>11</v>
      </c>
      <c r="K26" s="249"/>
      <c r="L26" s="281">
        <f>D11+L25</f>
        <v>757310.17800000007</v>
      </c>
      <c r="M26" s="281">
        <f>E11+M25</f>
        <v>1045119.7018095236</v>
      </c>
      <c r="N26" s="281">
        <f>F11+N25</f>
        <v>1045119.7018095236</v>
      </c>
      <c r="O26" s="281">
        <f>G11+O25</f>
        <v>1045119.7018095236</v>
      </c>
      <c r="P26" s="279">
        <f>IF(L26=0,"nm",IF(O26=0,"nm",(O26/L26)^(1/3)-1))</f>
        <v>0.11334752255350278</v>
      </c>
      <c r="Q26" s="5"/>
      <c r="S26" s="42"/>
      <c r="T26" s="42"/>
      <c r="U26" s="42"/>
      <c r="V26" s="147" t="s">
        <v>184</v>
      </c>
      <c r="W26" s="288">
        <f t="shared" ref="W26:W33" si="6">D38/L10</f>
        <v>2.6008471359807799</v>
      </c>
      <c r="X26" s="288">
        <v>1</v>
      </c>
      <c r="Y26" s="42"/>
      <c r="Z26" s="42"/>
      <c r="AA26" s="42"/>
    </row>
    <row r="27" spans="2:27">
      <c r="B27" s="5" t="s">
        <v>587</v>
      </c>
      <c r="C27" s="549">
        <v>1346709</v>
      </c>
      <c r="D27" s="540">
        <v>1032954.0000000002</v>
      </c>
      <c r="E27" s="540">
        <v>837902.58466197783</v>
      </c>
      <c r="F27" s="540">
        <v>833911.30761648505</v>
      </c>
      <c r="G27" s="540">
        <v>730873.23768286966</v>
      </c>
      <c r="H27" s="279">
        <f t="shared" si="4"/>
        <v>-0.10891248401383624</v>
      </c>
      <c r="I27" s="249"/>
      <c r="J27" s="248"/>
      <c r="K27" s="248"/>
      <c r="L27" s="248"/>
      <c r="M27" s="248"/>
      <c r="N27" s="248"/>
      <c r="O27" s="248"/>
      <c r="Q27" s="41"/>
      <c r="S27" s="42"/>
      <c r="T27" s="42"/>
      <c r="U27" s="42"/>
      <c r="V27" s="147" t="s">
        <v>185</v>
      </c>
      <c r="W27" s="288">
        <f t="shared" si="6"/>
        <v>1.5125622460715307</v>
      </c>
      <c r="X27" s="288">
        <v>1</v>
      </c>
      <c r="Y27" s="42"/>
      <c r="Z27" s="42"/>
      <c r="AA27" s="42"/>
    </row>
    <row r="28" spans="2:27" ht="12.6" thickBot="1">
      <c r="B28" s="5" t="s">
        <v>592</v>
      </c>
      <c r="C28" s="548">
        <v>1562552</v>
      </c>
      <c r="D28" s="540">
        <v>1401248</v>
      </c>
      <c r="E28" s="540">
        <v>1345661.6722461358</v>
      </c>
      <c r="F28" s="540">
        <v>1358718.6324967574</v>
      </c>
      <c r="G28" s="540">
        <v>1268721.3683861741</v>
      </c>
      <c r="H28" s="279">
        <f t="shared" si="4"/>
        <v>-3.2575497241350004E-2</v>
      </c>
      <c r="I28" s="248"/>
      <c r="J28" s="306" t="s">
        <v>1362</v>
      </c>
      <c r="K28" s="306"/>
      <c r="L28" s="306"/>
      <c r="M28" s="306"/>
      <c r="N28" s="266"/>
      <c r="O28" s="266"/>
      <c r="P28" s="266"/>
      <c r="Q28" s="5"/>
      <c r="S28" s="42"/>
      <c r="T28" s="42"/>
      <c r="U28" s="42"/>
      <c r="V28" s="147" t="s">
        <v>466</v>
      </c>
      <c r="W28" s="288">
        <f t="shared" si="6"/>
        <v>1.614152627816472</v>
      </c>
      <c r="X28" s="288">
        <v>1</v>
      </c>
      <c r="Y28" s="42"/>
      <c r="Z28" s="42"/>
      <c r="AA28" s="42"/>
    </row>
    <row r="29" spans="2:27" ht="12.6" thickTop="1">
      <c r="B29" s="5" t="s">
        <v>588</v>
      </c>
      <c r="C29" s="548">
        <v>-98032</v>
      </c>
      <c r="D29" s="540">
        <v>-104473</v>
      </c>
      <c r="E29" s="540">
        <v>-249843.80457612881</v>
      </c>
      <c r="F29" s="540">
        <v>-256593.0384984109</v>
      </c>
      <c r="G29" s="540">
        <v>-165599.98111793053</v>
      </c>
      <c r="H29" s="279">
        <f t="shared" si="4"/>
        <v>0.16596470933997254</v>
      </c>
      <c r="I29" s="252"/>
      <c r="J29" s="249"/>
      <c r="K29" s="249"/>
      <c r="L29" s="249"/>
      <c r="M29" s="249"/>
      <c r="N29" s="249"/>
      <c r="O29" s="251"/>
      <c r="Q29" s="5"/>
      <c r="S29" s="42"/>
      <c r="T29" s="42"/>
      <c r="U29" s="42"/>
      <c r="V29" s="147" t="s">
        <v>530</v>
      </c>
      <c r="W29" s="288">
        <f t="shared" si="6"/>
        <v>1.9206251978426907</v>
      </c>
      <c r="X29" s="288">
        <v>1</v>
      </c>
      <c r="Y29" s="42"/>
      <c r="Z29" s="42"/>
      <c r="AA29" s="42"/>
    </row>
    <row r="30" spans="2:27">
      <c r="B30" s="5" t="s">
        <v>589</v>
      </c>
      <c r="C30" s="549">
        <v>-294929</v>
      </c>
      <c r="D30" s="540">
        <v>-312308</v>
      </c>
      <c r="E30" s="540">
        <v>-258899.13232999275</v>
      </c>
      <c r="F30" s="540">
        <v>-243536.07824778918</v>
      </c>
      <c r="G30" s="540">
        <v>-255597.2452285139</v>
      </c>
      <c r="H30" s="279">
        <f t="shared" si="4"/>
        <v>-6.4613667498900407E-2</v>
      </c>
      <c r="I30" s="254"/>
      <c r="J30" s="248"/>
      <c r="K30" s="248"/>
      <c r="L30" s="248"/>
      <c r="M30" s="248"/>
      <c r="N30" s="248"/>
      <c r="O30" s="5"/>
      <c r="Q30" s="5"/>
      <c r="S30" s="42"/>
      <c r="T30" s="42"/>
      <c r="U30" s="42"/>
      <c r="V30" s="147" t="s">
        <v>593</v>
      </c>
      <c r="W30" s="288">
        <f t="shared" si="6"/>
        <v>0.69377235977896545</v>
      </c>
      <c r="X30" s="288">
        <v>1</v>
      </c>
      <c r="Y30" s="42"/>
      <c r="Z30" s="42"/>
      <c r="AA30" s="42"/>
    </row>
    <row r="31" spans="2:27">
      <c r="B31" s="5" t="s">
        <v>590</v>
      </c>
      <c r="C31" s="549">
        <v>0</v>
      </c>
      <c r="D31" s="540">
        <v>0</v>
      </c>
      <c r="E31" s="540">
        <v>0</v>
      </c>
      <c r="F31" s="540">
        <v>0</v>
      </c>
      <c r="G31" s="540">
        <v>0</v>
      </c>
      <c r="H31" s="279" t="str">
        <f t="shared" si="4"/>
        <v>nm</v>
      </c>
      <c r="I31" s="254"/>
      <c r="J31" s="252"/>
      <c r="K31" s="252"/>
      <c r="L31" s="252"/>
      <c r="M31" s="252"/>
      <c r="N31" s="252"/>
      <c r="O31" s="5"/>
      <c r="Q31" s="5"/>
      <c r="S31" s="42"/>
      <c r="T31" s="42"/>
      <c r="U31" s="42"/>
      <c r="V31" s="147" t="s">
        <v>475</v>
      </c>
      <c r="W31" s="288">
        <f t="shared" si="6"/>
        <v>-0.37601013018148571</v>
      </c>
      <c r="X31" s="288">
        <v>1</v>
      </c>
      <c r="Y31" s="42"/>
      <c r="Z31" s="42"/>
      <c r="AA31" s="42"/>
    </row>
    <row r="32" spans="2:27">
      <c r="B32" s="5" t="s">
        <v>606</v>
      </c>
      <c r="C32" s="550">
        <v>0</v>
      </c>
      <c r="D32" s="540">
        <v>0</v>
      </c>
      <c r="E32" s="540">
        <v>0</v>
      </c>
      <c r="F32" s="540">
        <v>0</v>
      </c>
      <c r="G32" s="540">
        <v>0</v>
      </c>
      <c r="H32" s="279" t="str">
        <f t="shared" si="4"/>
        <v>nm</v>
      </c>
      <c r="I32" s="254"/>
      <c r="J32" s="254"/>
      <c r="K32" s="254"/>
      <c r="L32" s="254"/>
      <c r="M32" s="254"/>
      <c r="N32" s="254"/>
      <c r="O32" s="251"/>
      <c r="Q32" s="5"/>
      <c r="S32" s="42"/>
      <c r="T32" s="42"/>
      <c r="U32" s="42"/>
      <c r="V32" s="147" t="s">
        <v>533</v>
      </c>
      <c r="W32" s="288">
        <f t="shared" si="6"/>
        <v>-0.11828642552260125</v>
      </c>
      <c r="X32" s="288">
        <v>1</v>
      </c>
      <c r="Y32" s="42"/>
      <c r="Z32" s="42"/>
      <c r="AA32" s="42"/>
    </row>
    <row r="33" spans="2:27">
      <c r="B33" s="5" t="s">
        <v>5</v>
      </c>
      <c r="C33" s="549">
        <v>232602</v>
      </c>
      <c r="D33" s="540">
        <v>245759.97841327041</v>
      </c>
      <c r="E33" s="540">
        <v>257175.53123925856</v>
      </c>
      <c r="F33" s="540">
        <v>268597.56989436678</v>
      </c>
      <c r="G33" s="540">
        <v>281036.36124713288</v>
      </c>
      <c r="H33" s="279">
        <f>IF(D33=0,"nm",IF(G33=0,"nm",(G33/D33)^(1/3)-1))</f>
        <v>4.5724102069268024E-2</v>
      </c>
      <c r="I33" s="5"/>
      <c r="J33" s="254"/>
      <c r="K33" s="254"/>
      <c r="L33" s="254"/>
      <c r="M33" s="254"/>
      <c r="N33" s="254"/>
      <c r="O33" s="251"/>
      <c r="Q33" s="5"/>
      <c r="S33" s="42"/>
      <c r="T33" s="42"/>
      <c r="U33" s="42"/>
      <c r="V33" s="147" t="s">
        <v>580</v>
      </c>
      <c r="W33" s="288">
        <f t="shared" si="6"/>
        <v>0</v>
      </c>
      <c r="X33" s="288">
        <v>1</v>
      </c>
      <c r="Y33" s="42"/>
      <c r="Z33" s="42"/>
      <c r="AA33" s="42"/>
    </row>
    <row r="34" spans="2:27">
      <c r="D34" s="5"/>
      <c r="E34" s="5"/>
      <c r="F34" s="5"/>
      <c r="G34" s="5"/>
      <c r="I34" s="49"/>
      <c r="J34" s="254"/>
      <c r="K34" s="254"/>
      <c r="L34" s="254"/>
      <c r="M34" s="254"/>
      <c r="N34" s="254"/>
      <c r="O34" s="251"/>
      <c r="Q34" s="5"/>
      <c r="S34" s="42"/>
      <c r="T34" s="42"/>
      <c r="U34" s="42"/>
      <c r="V34" s="147" t="s">
        <v>581</v>
      </c>
      <c r="W34" s="288">
        <f>D47/L19</f>
        <v>-2.6595028158346108</v>
      </c>
      <c r="X34" s="288">
        <v>1</v>
      </c>
      <c r="Y34" s="288"/>
      <c r="Z34" s="288"/>
      <c r="AA34" s="42"/>
    </row>
    <row r="35" spans="2:27" ht="12.6" thickBot="1">
      <c r="B35" s="306" t="s">
        <v>234</v>
      </c>
      <c r="C35" s="265"/>
      <c r="D35" s="265" t="str">
        <f>D5</f>
        <v>2023E</v>
      </c>
      <c r="E35" s="265" t="str">
        <f t="shared" ref="E35:H35" si="7">E5</f>
        <v>2024E</v>
      </c>
      <c r="F35" s="265" t="str">
        <f t="shared" si="7"/>
        <v>2025E</v>
      </c>
      <c r="G35" s="265" t="str">
        <f t="shared" si="7"/>
        <v>2026E</v>
      </c>
      <c r="H35" s="265" t="str">
        <f t="shared" si="7"/>
        <v>23E-26E</v>
      </c>
      <c r="I35" s="254"/>
      <c r="J35" s="5"/>
      <c r="K35" s="5"/>
      <c r="L35" s="5"/>
      <c r="M35" s="5"/>
      <c r="N35" s="5"/>
      <c r="O35" s="5"/>
      <c r="Q35" s="5"/>
      <c r="S35" s="42"/>
      <c r="T35" s="42"/>
      <c r="U35" s="42"/>
      <c r="V35" s="42"/>
      <c r="W35" s="42"/>
      <c r="X35" s="42"/>
      <c r="Y35" s="288"/>
      <c r="Z35" s="288"/>
      <c r="AA35" s="42"/>
    </row>
    <row r="36" spans="2:27" ht="12.6" thickTop="1">
      <c r="B36" s="41"/>
      <c r="C36" s="249"/>
      <c r="D36" s="254"/>
      <c r="E36" s="254"/>
      <c r="F36" s="254"/>
      <c r="G36" s="254"/>
      <c r="H36" s="254"/>
      <c r="I36" s="17"/>
      <c r="J36" s="49"/>
      <c r="K36" s="49"/>
      <c r="L36" s="49"/>
      <c r="M36" s="49"/>
      <c r="N36" s="49"/>
      <c r="O36" s="49"/>
      <c r="Q36" s="5"/>
      <c r="S36" s="42"/>
      <c r="T36" s="42"/>
      <c r="U36" s="42"/>
      <c r="V36" s="42"/>
      <c r="W36" s="42"/>
      <c r="X36" s="42"/>
      <c r="Y36" s="288"/>
      <c r="Z36" s="288"/>
      <c r="AA36" s="42"/>
    </row>
    <row r="37" spans="2:27">
      <c r="B37" s="5" t="s">
        <v>273</v>
      </c>
      <c r="C37" s="247"/>
      <c r="D37" s="529">
        <f>D$18/D23</f>
        <v>6.6396701139696663</v>
      </c>
      <c r="E37" s="529">
        <f t="shared" ref="E37:G41" si="8">E$18/E23</f>
        <v>6.8579350608047402</v>
      </c>
      <c r="F37" s="529">
        <f t="shared" si="8"/>
        <v>6.4472677144016117</v>
      </c>
      <c r="G37" s="529">
        <f t="shared" si="8"/>
        <v>6.1260663970890361</v>
      </c>
      <c r="H37" s="17">
        <f t="shared" ref="H37:H45" si="9">H23</f>
        <v>0.10674634231514601</v>
      </c>
      <c r="I37" s="5"/>
      <c r="J37" s="259"/>
      <c r="K37" s="259"/>
      <c r="L37" s="259"/>
      <c r="M37" s="259"/>
      <c r="N37" s="259"/>
      <c r="O37" s="18"/>
      <c r="Q37" s="5"/>
      <c r="R37" s="5"/>
      <c r="S37" s="42"/>
      <c r="T37" s="42"/>
      <c r="U37" s="42"/>
      <c r="V37" s="42"/>
      <c r="W37" s="42"/>
      <c r="X37" s="42"/>
      <c r="Y37" s="42"/>
      <c r="Z37" s="42"/>
      <c r="AA37" s="42"/>
    </row>
    <row r="38" spans="2:27">
      <c r="B38" s="5" t="s">
        <v>184</v>
      </c>
      <c r="C38" s="247"/>
      <c r="D38" s="529">
        <f>D$18/D24</f>
        <v>16.535864638561254</v>
      </c>
      <c r="E38" s="529">
        <f>E$18/E24</f>
        <v>16.76179096836216</v>
      </c>
      <c r="F38" s="529">
        <f t="shared" si="8"/>
        <v>15.280571125979225</v>
      </c>
      <c r="G38" s="529">
        <f t="shared" si="8"/>
        <v>14.263233895119836</v>
      </c>
      <c r="H38" s="17">
        <f t="shared" si="9"/>
        <v>0.13186890558136688</v>
      </c>
      <c r="I38" s="259"/>
      <c r="J38" s="17"/>
      <c r="K38" s="17"/>
      <c r="L38" s="17"/>
      <c r="M38" s="17"/>
      <c r="N38" s="17"/>
      <c r="O38" s="5"/>
      <c r="Q38" s="5"/>
      <c r="R38" s="5"/>
      <c r="S38" s="42"/>
      <c r="T38" s="42"/>
      <c r="U38" s="42"/>
      <c r="V38" s="42"/>
      <c r="W38" s="42"/>
      <c r="X38" s="42"/>
      <c r="Y38" s="42"/>
      <c r="Z38" s="42"/>
      <c r="AA38" s="42"/>
    </row>
    <row r="39" spans="2:27">
      <c r="B39" s="5" t="s">
        <v>185</v>
      </c>
      <c r="C39" s="247"/>
      <c r="D39" s="529">
        <f>D$18/D25</f>
        <v>18.538440547263683</v>
      </c>
      <c r="E39" s="529">
        <f t="shared" si="8"/>
        <v>235.33671130443719</v>
      </c>
      <c r="F39" s="529">
        <f t="shared" si="8"/>
        <v>153.77792445962828</v>
      </c>
      <c r="G39" s="529">
        <f t="shared" si="8"/>
        <v>26.693039107025385</v>
      </c>
      <c r="H39" s="17">
        <f t="shared" si="9"/>
        <v>-4.5846561559431231E-2</v>
      </c>
      <c r="I39" s="17"/>
      <c r="J39" s="5"/>
      <c r="K39" s="5"/>
      <c r="L39" s="5"/>
      <c r="M39" s="5"/>
      <c r="N39" s="5"/>
      <c r="O39" s="5"/>
      <c r="Q39" s="5"/>
      <c r="R39" s="5"/>
      <c r="S39" s="42"/>
      <c r="T39" s="42"/>
      <c r="U39" s="42"/>
      <c r="V39" s="42"/>
      <c r="W39" s="42"/>
      <c r="X39" s="42"/>
      <c r="Y39" s="42"/>
      <c r="Z39" s="42"/>
      <c r="AA39" s="42"/>
    </row>
    <row r="40" spans="2:27">
      <c r="B40" s="5" t="s">
        <v>466</v>
      </c>
      <c r="C40" s="247"/>
      <c r="D40" s="529">
        <f>D$18/D26</f>
        <v>25.747834093421783</v>
      </c>
      <c r="E40" s="529">
        <f t="shared" si="8"/>
        <v>326.85654347838505</v>
      </c>
      <c r="F40" s="529">
        <f t="shared" si="8"/>
        <v>213.58045063837261</v>
      </c>
      <c r="G40" s="529">
        <f t="shared" si="8"/>
        <v>37.073665426424142</v>
      </c>
      <c r="H40" s="17">
        <f t="shared" si="9"/>
        <v>-4.5846561559431231E-2</v>
      </c>
      <c r="I40" s="5"/>
      <c r="J40" s="259"/>
      <c r="K40" s="259"/>
      <c r="L40" s="259"/>
      <c r="M40" s="259"/>
      <c r="N40" s="259"/>
      <c r="O40" s="18"/>
      <c r="Q40" s="5"/>
      <c r="R40" s="5"/>
      <c r="S40" s="42"/>
      <c r="T40" s="42"/>
      <c r="U40" s="42"/>
      <c r="V40" s="42"/>
      <c r="W40" s="288"/>
      <c r="X40" s="288"/>
      <c r="Y40" s="42"/>
      <c r="Z40" s="42"/>
      <c r="AA40" s="42"/>
    </row>
    <row r="41" spans="2:27">
      <c r="B41" s="5" t="s">
        <v>530</v>
      </c>
      <c r="C41" s="247"/>
      <c r="D41" s="529">
        <f>D$18/D27</f>
        <v>2.7415859544568293</v>
      </c>
      <c r="E41" s="529">
        <f t="shared" si="8"/>
        <v>3.7921109382068279</v>
      </c>
      <c r="F41" s="529">
        <f t="shared" si="8"/>
        <v>4.0853442527829644</v>
      </c>
      <c r="G41" s="529">
        <f t="shared" si="8"/>
        <v>4.8464113359835688</v>
      </c>
      <c r="H41" s="17">
        <f t="shared" si="9"/>
        <v>-0.10891248401383624</v>
      </c>
      <c r="I41" s="247"/>
      <c r="J41" s="17"/>
      <c r="K41" s="17"/>
      <c r="L41" s="17"/>
      <c r="M41" s="17"/>
      <c r="N41" s="17"/>
      <c r="O41" s="5"/>
      <c r="Q41" s="5"/>
      <c r="R41" s="5"/>
      <c r="S41" s="42"/>
      <c r="T41" s="42"/>
      <c r="U41" s="42"/>
      <c r="V41" s="42"/>
      <c r="W41" s="288"/>
      <c r="X41" s="288"/>
      <c r="Y41" s="288"/>
      <c r="Z41" s="288"/>
      <c r="AA41" s="42"/>
    </row>
    <row r="42" spans="2:27">
      <c r="B42" s="5" t="s">
        <v>593</v>
      </c>
      <c r="C42" s="247"/>
      <c r="D42" s="529">
        <f>D18/D28</f>
        <v>2.0210071150859807</v>
      </c>
      <c r="E42" s="529">
        <f>E18/E28</f>
        <v>2.3612321150120974</v>
      </c>
      <c r="F42" s="529">
        <f>F18/F28</f>
        <v>2.5073732606738681</v>
      </c>
      <c r="G42" s="529">
        <f>G18/G28</f>
        <v>2.7918756888117002</v>
      </c>
      <c r="H42" s="17">
        <f t="shared" si="9"/>
        <v>-3.2575497241350004E-2</v>
      </c>
      <c r="I42" s="248"/>
      <c r="J42" s="5"/>
      <c r="K42" s="5"/>
      <c r="L42" s="5"/>
      <c r="M42" s="5"/>
      <c r="N42" s="5"/>
      <c r="O42" s="5"/>
      <c r="Q42" s="5"/>
      <c r="R42" s="5"/>
      <c r="S42" s="42"/>
      <c r="T42" s="42"/>
      <c r="U42" s="42"/>
      <c r="V42" s="42"/>
      <c r="W42" s="288"/>
      <c r="X42" s="288"/>
      <c r="Y42" s="288"/>
      <c r="Z42" s="288"/>
      <c r="AA42" s="42"/>
    </row>
    <row r="43" spans="2:27">
      <c r="B43" s="5" t="s">
        <v>475</v>
      </c>
      <c r="C43" s="247"/>
      <c r="D43" s="529">
        <f>L26/D29</f>
        <v>-7.2488602605457872</v>
      </c>
      <c r="E43" s="529">
        <f>M26/E29</f>
        <v>-4.1830923267543731</v>
      </c>
      <c r="F43" s="529">
        <f>N26/F29</f>
        <v>-4.0730633532600544</v>
      </c>
      <c r="G43" s="529">
        <f>O26/G29</f>
        <v>-6.3111100300503722</v>
      </c>
      <c r="H43" s="17">
        <f t="shared" si="9"/>
        <v>0.16596470933997254</v>
      </c>
      <c r="I43" s="247"/>
      <c r="J43" s="247"/>
      <c r="K43" s="247"/>
      <c r="L43" s="247"/>
      <c r="M43" s="247"/>
      <c r="N43" s="247"/>
      <c r="O43" s="18"/>
      <c r="Q43" s="5"/>
      <c r="R43" s="5"/>
      <c r="S43" s="42"/>
      <c r="T43" s="42"/>
      <c r="U43" s="42"/>
      <c r="V43" s="42"/>
      <c r="W43" s="288"/>
      <c r="X43" s="288"/>
      <c r="Y43" s="288"/>
      <c r="Z43" s="288"/>
      <c r="AA43" s="42"/>
    </row>
    <row r="44" spans="2:27">
      <c r="B44" s="5" t="s">
        <v>533</v>
      </c>
      <c r="C44" s="69"/>
      <c r="D44" s="529">
        <f>D11/D30</f>
        <v>-2.4248824173572245</v>
      </c>
      <c r="E44" s="529">
        <f>E11/E30</f>
        <v>-4.0367833310364842</v>
      </c>
      <c r="F44" s="529">
        <f>F11/F30</f>
        <v>-4.2914368553892537</v>
      </c>
      <c r="G44" s="529">
        <f>G11/G30</f>
        <v>-4.0889317914015306</v>
      </c>
      <c r="H44" s="17">
        <f t="shared" si="9"/>
        <v>-6.4613667498900407E-2</v>
      </c>
      <c r="I44" s="247"/>
      <c r="J44" s="248"/>
      <c r="K44" s="248"/>
      <c r="L44" s="248"/>
      <c r="M44" s="248"/>
      <c r="N44" s="248"/>
      <c r="O44" s="248"/>
      <c r="Q44" s="5"/>
      <c r="R44" s="5"/>
      <c r="S44" s="42"/>
      <c r="T44" s="42"/>
      <c r="U44" s="42"/>
      <c r="V44" s="42"/>
      <c r="W44" s="325"/>
      <c r="X44" s="325"/>
      <c r="Y44" s="288"/>
      <c r="Z44" s="288"/>
      <c r="AA44" s="42"/>
    </row>
    <row r="45" spans="2:27">
      <c r="B45" s="5" t="s">
        <v>580</v>
      </c>
      <c r="C45" s="247"/>
      <c r="D45" s="248">
        <f>D31/D11</f>
        <v>0</v>
      </c>
      <c r="E45" s="248">
        <f>E31/E11</f>
        <v>0</v>
      </c>
      <c r="F45" s="248">
        <f>F31/F11</f>
        <v>0</v>
      </c>
      <c r="G45" s="248">
        <f>G31/G11</f>
        <v>0</v>
      </c>
      <c r="H45" s="17" t="str">
        <f t="shared" si="9"/>
        <v>nm</v>
      </c>
      <c r="I45" s="248"/>
      <c r="J45" s="247"/>
      <c r="K45" s="247"/>
      <c r="L45" s="247"/>
      <c r="M45" s="247"/>
      <c r="N45" s="247"/>
      <c r="O45" s="248"/>
      <c r="Q45" s="5"/>
      <c r="R45" s="5"/>
      <c r="S45" s="42"/>
      <c r="T45" s="42"/>
      <c r="U45" s="42"/>
      <c r="V45" s="42"/>
      <c r="W45" s="42"/>
      <c r="X45" s="42"/>
      <c r="Y45" s="325"/>
      <c r="Z45" s="325"/>
      <c r="AA45" s="42"/>
    </row>
    <row r="46" spans="2:27">
      <c r="B46" s="5" t="s">
        <v>605</v>
      </c>
      <c r="C46" s="247"/>
      <c r="D46" s="248">
        <f>(D31+D32)/D11</f>
        <v>0</v>
      </c>
      <c r="E46" s="248">
        <f>(E31+E32)/E11</f>
        <v>0</v>
      </c>
      <c r="F46" s="248">
        <f>(F31+F32)/F11</f>
        <v>0</v>
      </c>
      <c r="G46" s="248">
        <f>(G31+G32)/G11</f>
        <v>0</v>
      </c>
      <c r="H46" s="279" t="e">
        <f>((G31+G32)/(D31+D32))^(1/3)-1</f>
        <v>#DIV/0!</v>
      </c>
      <c r="I46" s="247"/>
      <c r="J46" s="247"/>
      <c r="K46" s="247"/>
      <c r="L46" s="247"/>
      <c r="M46" s="247"/>
      <c r="N46" s="247"/>
      <c r="O46" s="18"/>
      <c r="Q46" s="5"/>
      <c r="R46" s="5"/>
      <c r="S46" s="42"/>
      <c r="T46" s="42"/>
      <c r="U46" s="42"/>
      <c r="V46" s="42"/>
      <c r="W46" s="42"/>
      <c r="X46" s="42"/>
      <c r="Y46" s="42"/>
      <c r="Z46" s="42"/>
      <c r="AA46" s="326"/>
    </row>
    <row r="47" spans="2:27">
      <c r="B47" s="5" t="s">
        <v>581</v>
      </c>
      <c r="C47" s="5"/>
      <c r="D47" s="248">
        <f>1/D43</f>
        <v>-0.13795272140129614</v>
      </c>
      <c r="E47" s="248">
        <f>1/E43</f>
        <v>-0.23905759708055302</v>
      </c>
      <c r="F47" s="248">
        <f>1/F43</f>
        <v>-0.24551545440598321</v>
      </c>
      <c r="G47" s="248">
        <f>1/G43</f>
        <v>-0.15845073136714405</v>
      </c>
      <c r="H47" s="17">
        <f>H29</f>
        <v>0.16596470933997254</v>
      </c>
      <c r="I47" s="17"/>
      <c r="J47" s="248"/>
      <c r="K47" s="248"/>
      <c r="L47" s="248"/>
      <c r="M47" s="248"/>
      <c r="N47" s="248"/>
      <c r="O47" s="248"/>
      <c r="Q47" s="5"/>
      <c r="R47" s="5"/>
      <c r="S47" s="42"/>
      <c r="T47" s="42"/>
      <c r="U47" s="42"/>
      <c r="V47" s="42"/>
      <c r="W47" s="42"/>
      <c r="X47" s="42"/>
      <c r="Y47" s="42"/>
      <c r="Z47" s="42"/>
      <c r="AA47" s="326"/>
    </row>
    <row r="48" spans="2:27">
      <c r="B48" s="5" t="s">
        <v>618</v>
      </c>
      <c r="C48" s="5"/>
      <c r="D48" s="305">
        <f>D31/D29</f>
        <v>0</v>
      </c>
      <c r="E48" s="305">
        <f>E31/E29</f>
        <v>0</v>
      </c>
      <c r="F48" s="305">
        <f>F31/F29</f>
        <v>0</v>
      </c>
      <c r="G48" s="305">
        <f>G31/G29</f>
        <v>0</v>
      </c>
      <c r="H48" s="279" t="s">
        <v>607</v>
      </c>
      <c r="I48" s="247"/>
      <c r="J48" s="247"/>
      <c r="K48" s="247"/>
      <c r="L48" s="247"/>
      <c r="M48" s="247"/>
      <c r="N48" s="247"/>
      <c r="O48" s="248"/>
      <c r="Q48" s="5"/>
      <c r="R48" s="5"/>
      <c r="S48" s="42"/>
      <c r="T48" s="42"/>
      <c r="U48" s="42"/>
      <c r="V48" s="42"/>
      <c r="W48" s="42"/>
      <c r="X48" s="42"/>
      <c r="Y48" s="42"/>
      <c r="Z48" s="42"/>
      <c r="AA48" s="326"/>
    </row>
    <row r="49" spans="2:27">
      <c r="B49" s="41"/>
      <c r="C49" s="17"/>
      <c r="D49" s="17"/>
      <c r="E49" s="17"/>
      <c r="F49" s="17"/>
      <c r="G49" s="17"/>
      <c r="H49" s="17"/>
      <c r="I49" s="254"/>
      <c r="J49" s="17"/>
      <c r="K49" s="17"/>
      <c r="L49" s="17"/>
      <c r="M49" s="17"/>
      <c r="N49" s="17"/>
      <c r="O49" s="248"/>
      <c r="Q49" s="5"/>
      <c r="R49" s="5"/>
      <c r="S49" s="42"/>
      <c r="T49" s="42"/>
      <c r="U49" s="42"/>
      <c r="V49" s="42"/>
      <c r="W49" s="42"/>
      <c r="X49" s="42"/>
      <c r="Y49" s="42"/>
      <c r="Z49" s="42"/>
      <c r="AA49" s="326"/>
    </row>
    <row r="50" spans="2:27">
      <c r="B50" s="5"/>
      <c r="C50" s="257"/>
      <c r="D50" s="257"/>
      <c r="E50" s="257"/>
      <c r="F50" s="5"/>
      <c r="G50" s="41"/>
      <c r="H50" s="249"/>
      <c r="I50" s="17"/>
      <c r="J50" s="249"/>
      <c r="K50" s="249"/>
      <c r="L50" s="249"/>
      <c r="M50" s="249"/>
      <c r="N50" s="249"/>
      <c r="O50" s="250"/>
      <c r="Q50" s="5"/>
      <c r="R50" s="5"/>
      <c r="S50" s="42"/>
      <c r="T50" s="42"/>
      <c r="U50" s="42"/>
      <c r="V50" s="42"/>
      <c r="W50" s="288"/>
      <c r="X50" s="288"/>
      <c r="Y50" s="42"/>
      <c r="Z50" s="42"/>
      <c r="AA50" s="326"/>
    </row>
    <row r="51" spans="2:27">
      <c r="B51" s="41"/>
      <c r="C51" s="249"/>
      <c r="D51" s="254"/>
      <c r="E51" s="254"/>
      <c r="F51" s="254"/>
      <c r="G51" s="254"/>
      <c r="H51" s="254"/>
      <c r="I51" s="259"/>
      <c r="J51" s="254"/>
      <c r="K51" s="254"/>
      <c r="L51" s="254"/>
      <c r="M51" s="254"/>
      <c r="N51" s="254"/>
      <c r="O51" s="251"/>
      <c r="Q51" s="5"/>
      <c r="R51" s="5"/>
      <c r="S51" s="42"/>
      <c r="T51" s="42"/>
      <c r="U51" s="42"/>
      <c r="V51" s="42"/>
      <c r="W51" s="288"/>
      <c r="X51" s="288"/>
      <c r="Y51" s="288"/>
      <c r="Z51" s="288"/>
      <c r="AA51" s="42"/>
    </row>
    <row r="52" spans="2:27">
      <c r="B52" s="5"/>
      <c r="C52" s="257"/>
      <c r="D52" s="17"/>
      <c r="E52" s="17"/>
      <c r="F52" s="17"/>
      <c r="G52" s="17"/>
      <c r="H52" s="17"/>
      <c r="I52" s="254"/>
      <c r="J52" s="17"/>
      <c r="K52" s="17"/>
      <c r="L52" s="17"/>
      <c r="M52" s="17"/>
      <c r="N52" s="17"/>
      <c r="O52" s="248"/>
      <c r="Q52" s="5"/>
      <c r="R52" s="5"/>
      <c r="Y52" s="10"/>
      <c r="Z52" s="10"/>
    </row>
    <row r="53" spans="2:27">
      <c r="B53" s="5"/>
      <c r="C53" s="257"/>
      <c r="D53" s="257"/>
      <c r="E53" s="257"/>
      <c r="F53" s="5"/>
      <c r="G53" s="5"/>
      <c r="H53" s="259"/>
      <c r="I53" s="17"/>
      <c r="J53" s="259"/>
      <c r="K53" s="259"/>
      <c r="L53" s="259"/>
      <c r="M53" s="259"/>
      <c r="N53" s="259"/>
      <c r="O53" s="18"/>
      <c r="Q53" s="5"/>
      <c r="R53" s="5"/>
    </row>
    <row r="54" spans="2:27">
      <c r="B54" s="41"/>
      <c r="C54" s="249"/>
      <c r="D54" s="254"/>
      <c r="E54" s="254"/>
      <c r="F54" s="254"/>
      <c r="G54" s="254"/>
      <c r="H54" s="254"/>
      <c r="I54" s="259"/>
      <c r="J54" s="254"/>
      <c r="K54" s="254"/>
      <c r="L54" s="254"/>
      <c r="M54" s="254"/>
      <c r="N54" s="254"/>
      <c r="O54" s="251"/>
      <c r="Q54" s="5"/>
      <c r="R54" s="5"/>
    </row>
    <row r="55" spans="2:27">
      <c r="B55" s="5"/>
      <c r="C55" s="257"/>
      <c r="D55" s="17"/>
      <c r="E55" s="17"/>
      <c r="F55" s="17"/>
      <c r="G55" s="17"/>
      <c r="H55" s="17"/>
      <c r="I55" s="249"/>
      <c r="J55" s="17"/>
      <c r="K55" s="17"/>
      <c r="L55" s="17"/>
      <c r="M55" s="17"/>
      <c r="N55" s="17"/>
      <c r="O55" s="18"/>
      <c r="Q55" s="5"/>
      <c r="R55" s="5"/>
    </row>
    <row r="56" spans="2:27">
      <c r="B56" s="5"/>
      <c r="C56" s="248"/>
      <c r="D56" s="248"/>
      <c r="E56" s="248"/>
      <c r="F56" s="5"/>
      <c r="G56" s="5"/>
      <c r="H56" s="259"/>
      <c r="I56" s="248"/>
      <c r="J56" s="259"/>
      <c r="K56" s="259"/>
      <c r="L56" s="259"/>
      <c r="M56" s="259"/>
      <c r="N56" s="259"/>
      <c r="O56" s="18"/>
      <c r="Q56" s="5"/>
      <c r="R56" s="5"/>
    </row>
    <row r="57" spans="2:27">
      <c r="B57" s="41"/>
      <c r="C57" s="249"/>
      <c r="D57" s="249"/>
      <c r="E57" s="249"/>
      <c r="F57" s="249"/>
      <c r="G57" s="249"/>
      <c r="H57" s="249"/>
      <c r="I57" s="5"/>
      <c r="J57" s="249"/>
      <c r="K57" s="249"/>
      <c r="L57" s="249"/>
      <c r="M57" s="249"/>
      <c r="N57" s="249"/>
      <c r="O57" s="251"/>
      <c r="Q57" s="5"/>
      <c r="R57" s="5"/>
    </row>
    <row r="58" spans="2:27">
      <c r="B58" s="5"/>
      <c r="C58" s="5"/>
      <c r="D58" s="248"/>
      <c r="E58" s="248"/>
      <c r="F58" s="248"/>
      <c r="G58" s="248"/>
      <c r="H58" s="248"/>
      <c r="I58" s="17"/>
      <c r="J58" s="248"/>
      <c r="K58" s="248"/>
      <c r="L58" s="248"/>
      <c r="M58" s="248"/>
      <c r="N58" s="248"/>
      <c r="O58" s="18"/>
      <c r="Q58" s="5"/>
      <c r="R58" s="5"/>
    </row>
    <row r="59" spans="2:27">
      <c r="B59" s="5"/>
      <c r="C59" s="5"/>
      <c r="D59" s="5"/>
      <c r="E59" s="5"/>
      <c r="F59" s="5"/>
      <c r="G59" s="5"/>
      <c r="H59" s="5"/>
      <c r="I59" s="5"/>
      <c r="J59" s="5"/>
      <c r="K59" s="5"/>
      <c r="L59" s="5"/>
      <c r="M59" s="5"/>
      <c r="N59" s="5"/>
      <c r="O59" s="5"/>
      <c r="Q59" s="5"/>
      <c r="R59" s="5"/>
    </row>
    <row r="60" spans="2:27">
      <c r="B60" s="41"/>
      <c r="C60" s="17"/>
      <c r="D60" s="17"/>
      <c r="E60" s="17"/>
      <c r="F60" s="17"/>
      <c r="G60" s="17"/>
      <c r="H60" s="17"/>
      <c r="I60" s="249"/>
      <c r="J60" s="17"/>
      <c r="K60" s="17"/>
      <c r="L60" s="17"/>
      <c r="M60" s="17"/>
      <c r="N60" s="17"/>
      <c r="O60" s="251"/>
      <c r="Q60" s="5"/>
      <c r="R60" s="5"/>
    </row>
    <row r="61" spans="2:27">
      <c r="B61" s="5"/>
      <c r="C61" s="5"/>
      <c r="D61" s="5"/>
      <c r="E61" s="5"/>
      <c r="F61" s="5"/>
      <c r="G61" s="5"/>
      <c r="H61" s="5"/>
      <c r="I61" s="5"/>
      <c r="J61" s="5"/>
      <c r="K61" s="5"/>
      <c r="L61" s="5"/>
      <c r="M61" s="5"/>
      <c r="N61" s="5"/>
      <c r="O61" s="5"/>
      <c r="Q61" s="41"/>
      <c r="R61" s="5"/>
    </row>
    <row r="62" spans="2:27">
      <c r="B62" s="41"/>
      <c r="C62" s="249"/>
      <c r="D62" s="249"/>
      <c r="E62" s="249"/>
      <c r="F62" s="249"/>
      <c r="G62" s="249"/>
      <c r="H62" s="249"/>
      <c r="I62" s="5"/>
      <c r="J62" s="249"/>
      <c r="K62" s="249"/>
      <c r="L62" s="249"/>
      <c r="M62" s="249"/>
      <c r="N62" s="249"/>
      <c r="O62" s="251"/>
      <c r="Q62" s="5"/>
      <c r="R62" s="5"/>
    </row>
    <row r="63" spans="2:27">
      <c r="B63" s="5"/>
      <c r="C63" s="5"/>
      <c r="D63" s="5"/>
      <c r="E63" s="5"/>
      <c r="F63" s="5"/>
      <c r="G63" s="5"/>
      <c r="H63" s="5"/>
      <c r="I63" s="254"/>
      <c r="J63" s="5"/>
      <c r="K63" s="5"/>
      <c r="L63" s="5"/>
      <c r="M63" s="5"/>
      <c r="N63" s="5"/>
      <c r="O63" s="5"/>
      <c r="Q63" s="5"/>
      <c r="R63" s="5"/>
    </row>
    <row r="64" spans="2:27">
      <c r="B64" s="5"/>
      <c r="C64" s="5"/>
      <c r="D64" s="5"/>
      <c r="E64" s="5"/>
      <c r="F64" s="5"/>
      <c r="G64" s="5"/>
      <c r="H64" s="5"/>
      <c r="I64" s="17"/>
      <c r="J64" s="5"/>
      <c r="K64" s="5"/>
      <c r="L64" s="5"/>
      <c r="M64" s="5"/>
      <c r="N64" s="5"/>
      <c r="O64" s="5"/>
      <c r="Q64" s="5"/>
      <c r="R64" s="5"/>
    </row>
    <row r="65" spans="2:26">
      <c r="B65" s="41"/>
      <c r="C65" s="249"/>
      <c r="D65" s="254"/>
      <c r="E65" s="254"/>
      <c r="F65" s="254"/>
      <c r="G65" s="254"/>
      <c r="H65" s="254"/>
      <c r="I65" s="254"/>
      <c r="J65" s="254"/>
      <c r="K65" s="254"/>
      <c r="L65" s="254"/>
      <c r="M65" s="254"/>
      <c r="N65" s="254"/>
      <c r="O65" s="251"/>
      <c r="Q65" s="5"/>
      <c r="R65" s="5"/>
    </row>
    <row r="66" spans="2:26">
      <c r="B66" s="5"/>
      <c r="C66" s="5"/>
      <c r="D66" s="17"/>
      <c r="E66" s="17"/>
      <c r="F66" s="17"/>
      <c r="G66" s="17"/>
      <c r="H66" s="17"/>
      <c r="I66" s="248"/>
      <c r="J66" s="17"/>
      <c r="K66" s="17"/>
      <c r="L66" s="17"/>
      <c r="M66" s="17"/>
      <c r="N66" s="17"/>
      <c r="O66" s="5"/>
      <c r="Q66" s="5"/>
      <c r="R66" s="5"/>
    </row>
    <row r="67" spans="2:26">
      <c r="B67" s="41"/>
      <c r="C67" s="249"/>
      <c r="D67" s="254"/>
      <c r="E67" s="254"/>
      <c r="F67" s="254"/>
      <c r="G67" s="254"/>
      <c r="H67" s="254"/>
      <c r="I67" s="5"/>
      <c r="J67" s="254"/>
      <c r="K67" s="254"/>
      <c r="L67" s="254"/>
      <c r="M67" s="254"/>
      <c r="N67" s="254"/>
      <c r="O67" s="251"/>
      <c r="Q67" s="41"/>
      <c r="R67" s="5"/>
    </row>
    <row r="68" spans="2:26">
      <c r="B68" s="5"/>
      <c r="C68" s="5"/>
      <c r="D68" s="248"/>
      <c r="E68" s="248"/>
      <c r="F68" s="248"/>
      <c r="G68" s="248"/>
      <c r="H68" s="248"/>
      <c r="I68" s="245"/>
      <c r="J68" s="248"/>
      <c r="K68" s="248"/>
      <c r="L68" s="248"/>
      <c r="M68" s="248"/>
      <c r="N68" s="248"/>
      <c r="O68" s="5"/>
      <c r="Q68" s="5"/>
      <c r="R68" s="5"/>
    </row>
    <row r="69" spans="2:26">
      <c r="B69" s="41"/>
      <c r="C69" s="5"/>
      <c r="D69" s="5"/>
      <c r="E69" s="5"/>
      <c r="F69" s="5"/>
      <c r="G69" s="5"/>
      <c r="H69" s="5"/>
      <c r="I69" s="248"/>
      <c r="J69" s="5"/>
      <c r="K69" s="5"/>
      <c r="L69" s="5"/>
      <c r="M69" s="5"/>
      <c r="N69" s="5"/>
      <c r="O69" s="5"/>
      <c r="Q69" s="5"/>
      <c r="R69" s="5"/>
    </row>
    <row r="70" spans="2:26">
      <c r="B70" s="41"/>
      <c r="C70" s="245"/>
      <c r="D70" s="245"/>
      <c r="E70" s="245"/>
      <c r="F70" s="245"/>
      <c r="G70" s="245"/>
      <c r="H70" s="245"/>
      <c r="I70" s="5"/>
      <c r="J70" s="245"/>
      <c r="K70" s="245"/>
      <c r="L70" s="245"/>
      <c r="M70" s="245"/>
      <c r="N70" s="245"/>
      <c r="O70" s="251"/>
      <c r="Q70" s="5"/>
      <c r="R70" s="5"/>
      <c r="W70" s="76"/>
      <c r="X70" s="76"/>
    </row>
    <row r="71" spans="2:26">
      <c r="B71" s="5"/>
      <c r="C71" s="5"/>
      <c r="D71" s="248"/>
      <c r="E71" s="248"/>
      <c r="F71" s="248"/>
      <c r="G71" s="248"/>
      <c r="H71" s="248"/>
      <c r="I71" s="245"/>
      <c r="J71" s="248"/>
      <c r="K71" s="248"/>
      <c r="L71" s="248"/>
      <c r="M71" s="248"/>
      <c r="N71" s="248"/>
      <c r="O71" s="5"/>
      <c r="Q71" s="5"/>
      <c r="R71" s="5"/>
      <c r="W71" s="76"/>
      <c r="X71" s="76"/>
      <c r="Y71" s="76"/>
      <c r="Z71" s="76"/>
    </row>
    <row r="72" spans="2:26">
      <c r="B72" s="41"/>
      <c r="C72" s="5"/>
      <c r="D72" s="5"/>
      <c r="E72" s="5"/>
      <c r="F72" s="5"/>
      <c r="G72" s="5"/>
      <c r="H72" s="5"/>
      <c r="I72" s="18"/>
      <c r="J72" s="5"/>
      <c r="K72" s="5"/>
      <c r="L72" s="5"/>
      <c r="M72" s="5"/>
      <c r="N72" s="5"/>
      <c r="O72" s="5"/>
      <c r="Q72" s="5"/>
      <c r="R72" s="5"/>
      <c r="Y72" s="76"/>
      <c r="Z72" s="76"/>
    </row>
    <row r="73" spans="2:26">
      <c r="B73" s="41"/>
      <c r="C73" s="245"/>
      <c r="D73" s="245"/>
      <c r="E73" s="245"/>
      <c r="F73" s="245"/>
      <c r="G73" s="245"/>
      <c r="H73" s="245"/>
      <c r="I73" s="5"/>
      <c r="J73" s="245"/>
      <c r="K73" s="245"/>
      <c r="L73" s="245"/>
      <c r="M73" s="245"/>
      <c r="N73" s="245"/>
      <c r="O73" s="251"/>
      <c r="Q73" s="5"/>
      <c r="R73" s="5"/>
    </row>
    <row r="74" spans="2:26">
      <c r="B74" s="5"/>
      <c r="C74" s="5"/>
      <c r="D74" s="18"/>
      <c r="E74" s="18"/>
      <c r="F74" s="18"/>
      <c r="G74" s="18"/>
      <c r="H74" s="18"/>
      <c r="I74" s="249"/>
      <c r="J74" s="18"/>
      <c r="K74" s="18"/>
      <c r="L74" s="18"/>
      <c r="M74" s="18"/>
      <c r="N74" s="18"/>
      <c r="O74" s="5"/>
      <c r="Q74" s="5"/>
      <c r="R74" s="5"/>
    </row>
    <row r="75" spans="2:26">
      <c r="B75" s="41"/>
      <c r="C75" s="5"/>
      <c r="D75" s="5"/>
      <c r="E75" s="5"/>
      <c r="F75" s="5"/>
      <c r="G75" s="5"/>
      <c r="H75" s="5"/>
      <c r="I75" s="248"/>
      <c r="J75" s="5"/>
      <c r="K75" s="5"/>
      <c r="L75" s="5"/>
      <c r="M75" s="5"/>
      <c r="N75" s="5"/>
      <c r="O75" s="5"/>
      <c r="Q75" s="5"/>
      <c r="R75" s="5"/>
    </row>
    <row r="76" spans="2:26">
      <c r="B76" s="41"/>
      <c r="C76" s="249"/>
      <c r="D76" s="249"/>
      <c r="E76" s="249"/>
      <c r="F76" s="249"/>
      <c r="G76" s="249"/>
      <c r="H76" s="249"/>
      <c r="I76" s="5"/>
      <c r="J76" s="249"/>
      <c r="K76" s="249"/>
      <c r="L76" s="249"/>
      <c r="M76" s="249"/>
      <c r="N76" s="249"/>
      <c r="O76" s="251"/>
      <c r="Q76" s="5"/>
      <c r="R76" s="5"/>
    </row>
    <row r="77" spans="2:26">
      <c r="B77" s="5"/>
      <c r="C77" s="5"/>
      <c r="D77" s="248"/>
      <c r="E77" s="248"/>
      <c r="F77" s="248"/>
      <c r="G77" s="248"/>
      <c r="H77" s="248"/>
      <c r="I77" s="245"/>
      <c r="J77" s="248"/>
      <c r="K77" s="248"/>
      <c r="L77" s="248"/>
      <c r="M77" s="248"/>
      <c r="N77" s="248"/>
      <c r="O77" s="5"/>
      <c r="Q77" s="5"/>
      <c r="R77" s="5"/>
    </row>
    <row r="78" spans="2:26">
      <c r="B78" s="41"/>
      <c r="C78" s="5"/>
      <c r="D78" s="5"/>
      <c r="E78" s="5"/>
      <c r="F78" s="5"/>
      <c r="G78" s="5"/>
      <c r="H78" s="5"/>
      <c r="I78" s="248"/>
      <c r="J78" s="5"/>
      <c r="K78" s="5"/>
      <c r="L78" s="5"/>
      <c r="M78" s="5"/>
      <c r="N78" s="5"/>
      <c r="O78" s="5"/>
      <c r="Q78" s="5"/>
      <c r="R78" s="5"/>
    </row>
    <row r="79" spans="2:26">
      <c r="B79" s="41"/>
      <c r="C79" s="245"/>
      <c r="D79" s="245"/>
      <c r="E79" s="245"/>
      <c r="F79" s="245"/>
      <c r="G79" s="245"/>
      <c r="H79" s="245"/>
      <c r="I79" s="5"/>
      <c r="J79" s="245"/>
      <c r="K79" s="245"/>
      <c r="L79" s="245"/>
      <c r="M79" s="245"/>
      <c r="N79" s="245"/>
      <c r="O79" s="251"/>
      <c r="Q79" s="5"/>
      <c r="R79" s="5"/>
    </row>
    <row r="80" spans="2:26">
      <c r="B80" s="5"/>
      <c r="C80" s="5"/>
      <c r="D80" s="248"/>
      <c r="E80" s="248"/>
      <c r="F80" s="248"/>
      <c r="G80" s="248"/>
      <c r="H80" s="248"/>
      <c r="I80" s="249"/>
      <c r="J80" s="248"/>
      <c r="K80" s="248"/>
      <c r="L80" s="248"/>
      <c r="M80" s="248"/>
      <c r="N80" s="248"/>
      <c r="O80" s="5"/>
      <c r="Q80" s="5"/>
      <c r="R80" s="5"/>
    </row>
    <row r="81" spans="2:26">
      <c r="B81" s="41"/>
      <c r="C81" s="5"/>
      <c r="D81" s="5"/>
      <c r="E81" s="5"/>
      <c r="F81" s="5"/>
      <c r="G81" s="5"/>
      <c r="H81" s="5"/>
      <c r="I81" s="248"/>
      <c r="J81" s="5"/>
      <c r="K81" s="5"/>
      <c r="L81" s="5"/>
      <c r="M81" s="5"/>
      <c r="N81" s="5"/>
      <c r="O81" s="5"/>
      <c r="Q81" s="5"/>
      <c r="R81" s="5"/>
    </row>
    <row r="82" spans="2:26">
      <c r="B82" s="41"/>
      <c r="C82" s="249"/>
      <c r="D82" s="249"/>
      <c r="E82" s="249"/>
      <c r="F82" s="249"/>
      <c r="G82" s="249"/>
      <c r="H82" s="249"/>
      <c r="I82" s="259"/>
      <c r="J82" s="249"/>
      <c r="K82" s="249"/>
      <c r="L82" s="249"/>
      <c r="M82" s="249"/>
      <c r="N82" s="249"/>
      <c r="O82" s="251"/>
      <c r="Q82" s="5"/>
      <c r="R82" s="5"/>
    </row>
    <row r="83" spans="2:26">
      <c r="B83" s="5"/>
      <c r="C83" s="5"/>
      <c r="D83" s="248"/>
      <c r="E83" s="248"/>
      <c r="F83" s="248"/>
      <c r="G83" s="248"/>
      <c r="H83" s="248"/>
      <c r="I83" s="5"/>
      <c r="J83" s="248"/>
      <c r="K83" s="248"/>
      <c r="L83" s="248"/>
      <c r="M83" s="248"/>
      <c r="N83" s="248"/>
      <c r="O83" s="5"/>
      <c r="Q83" s="5"/>
      <c r="R83" s="5"/>
    </row>
    <row r="84" spans="2:26">
      <c r="B84" s="5"/>
      <c r="C84" s="259"/>
      <c r="D84" s="259"/>
      <c r="E84" s="259"/>
      <c r="F84" s="259"/>
      <c r="G84" s="259"/>
      <c r="H84" s="259"/>
      <c r="I84" s="245"/>
      <c r="J84" s="259"/>
      <c r="K84" s="259"/>
      <c r="L84" s="259"/>
      <c r="M84" s="259"/>
      <c r="N84" s="259"/>
      <c r="O84" s="251"/>
      <c r="Q84" s="5"/>
      <c r="R84" s="5"/>
    </row>
    <row r="85" spans="2:26">
      <c r="B85" s="41"/>
      <c r="C85" s="5"/>
      <c r="D85" s="5"/>
      <c r="E85" s="5"/>
      <c r="F85" s="5"/>
      <c r="G85" s="5"/>
      <c r="H85" s="5"/>
      <c r="I85" s="248"/>
      <c r="J85" s="5"/>
      <c r="K85" s="5"/>
      <c r="L85" s="5"/>
      <c r="M85" s="5"/>
      <c r="N85" s="5"/>
      <c r="O85" s="5"/>
      <c r="Q85" s="5"/>
      <c r="R85" s="5"/>
    </row>
    <row r="86" spans="2:26">
      <c r="B86" s="41"/>
      <c r="C86" s="245"/>
      <c r="D86" s="245"/>
      <c r="E86" s="245"/>
      <c r="F86" s="245"/>
      <c r="G86" s="245"/>
      <c r="H86" s="245"/>
      <c r="I86" s="5"/>
      <c r="J86" s="245"/>
      <c r="K86" s="245"/>
      <c r="L86" s="245"/>
      <c r="M86" s="245"/>
      <c r="N86" s="245"/>
      <c r="O86" s="251"/>
      <c r="Q86" s="5"/>
      <c r="R86" s="5"/>
    </row>
    <row r="87" spans="2:26">
      <c r="B87" s="5"/>
      <c r="C87" s="5"/>
      <c r="D87" s="248"/>
      <c r="E87" s="248"/>
      <c r="F87" s="248"/>
      <c r="G87" s="248"/>
      <c r="H87" s="248"/>
      <c r="I87" s="5"/>
      <c r="J87" s="248"/>
      <c r="K87" s="248"/>
      <c r="L87" s="248"/>
      <c r="M87" s="248"/>
      <c r="N87" s="248"/>
      <c r="O87" s="5"/>
      <c r="Q87" s="5"/>
      <c r="R87" s="5"/>
    </row>
    <row r="88" spans="2:26">
      <c r="B88" s="41"/>
      <c r="C88" s="5"/>
      <c r="D88" s="5"/>
      <c r="E88" s="5"/>
      <c r="F88" s="5"/>
      <c r="G88" s="5"/>
      <c r="H88" s="5"/>
      <c r="I88" s="5"/>
      <c r="J88" s="5"/>
      <c r="K88" s="5"/>
      <c r="L88" s="5"/>
      <c r="M88" s="5"/>
      <c r="N88" s="5"/>
      <c r="O88" s="5"/>
      <c r="Q88" s="5"/>
      <c r="R88" s="5"/>
    </row>
    <row r="89" spans="2:26">
      <c r="B89" s="41"/>
      <c r="C89" s="5"/>
      <c r="D89" s="5"/>
      <c r="E89" s="5"/>
      <c r="F89" s="5"/>
      <c r="G89" s="5"/>
      <c r="H89" s="5"/>
      <c r="I89" s="5"/>
      <c r="J89" s="5"/>
      <c r="K89" s="5"/>
      <c r="L89" s="5"/>
      <c r="M89" s="5"/>
      <c r="N89" s="5"/>
      <c r="O89" s="5"/>
      <c r="Q89" s="5"/>
      <c r="R89" s="5"/>
    </row>
    <row r="90" spans="2:26">
      <c r="B90" s="41"/>
      <c r="C90" s="5"/>
      <c r="D90" s="5"/>
      <c r="E90" s="5"/>
      <c r="F90" s="5"/>
      <c r="G90" s="5"/>
      <c r="H90" s="5"/>
      <c r="I90" s="49"/>
      <c r="J90" s="5"/>
      <c r="K90" s="5"/>
      <c r="L90" s="5"/>
      <c r="M90" s="5"/>
      <c r="N90" s="5"/>
      <c r="O90" s="5"/>
      <c r="Q90" s="41"/>
      <c r="R90" s="5"/>
    </row>
    <row r="91" spans="2:26">
      <c r="B91" s="5"/>
      <c r="C91" s="5"/>
      <c r="D91" s="5"/>
      <c r="E91" s="5"/>
      <c r="F91" s="5"/>
      <c r="G91" s="5"/>
      <c r="H91" s="5"/>
      <c r="I91" s="5"/>
      <c r="J91" s="5"/>
      <c r="K91" s="5"/>
      <c r="L91" s="5"/>
      <c r="M91" s="5"/>
      <c r="N91" s="5"/>
      <c r="O91" s="5"/>
      <c r="Q91" s="5"/>
      <c r="R91" s="5"/>
    </row>
    <row r="92" spans="2:26">
      <c r="B92" s="41"/>
      <c r="C92" s="49"/>
      <c r="D92" s="49"/>
      <c r="E92" s="49"/>
      <c r="F92" s="49"/>
      <c r="G92" s="49"/>
      <c r="H92" s="49"/>
      <c r="I92" s="247"/>
      <c r="J92" s="49"/>
      <c r="K92" s="49"/>
      <c r="L92" s="49"/>
      <c r="M92" s="49"/>
      <c r="N92" s="49"/>
      <c r="O92" s="49"/>
      <c r="Q92" s="5"/>
      <c r="R92" s="5"/>
      <c r="W92" s="21"/>
      <c r="X92" s="21"/>
    </row>
    <row r="93" spans="2:26">
      <c r="B93" s="5"/>
      <c r="C93" s="5"/>
      <c r="D93" s="5"/>
      <c r="E93" s="5"/>
      <c r="F93" s="5"/>
      <c r="G93" s="5"/>
      <c r="H93" s="5"/>
      <c r="I93" s="247"/>
      <c r="J93" s="5"/>
      <c r="K93" s="5"/>
      <c r="L93" s="5"/>
      <c r="M93" s="5"/>
      <c r="N93" s="5"/>
      <c r="O93" s="5"/>
      <c r="Q93" s="5"/>
      <c r="R93" s="5"/>
      <c r="W93" s="21"/>
      <c r="X93" s="21"/>
      <c r="Y93" s="21"/>
      <c r="Z93" s="21"/>
    </row>
    <row r="94" spans="2:26">
      <c r="B94" s="5"/>
      <c r="C94" s="259"/>
      <c r="D94" s="247"/>
      <c r="E94" s="247"/>
      <c r="F94" s="247"/>
      <c r="G94" s="247"/>
      <c r="H94" s="247"/>
      <c r="I94" s="247"/>
      <c r="J94" s="247"/>
      <c r="K94" s="247"/>
      <c r="L94" s="247"/>
      <c r="M94" s="247"/>
      <c r="N94" s="247"/>
      <c r="O94" s="248"/>
      <c r="Q94" s="5"/>
      <c r="R94" s="5"/>
      <c r="Y94" s="21"/>
      <c r="Z94" s="21"/>
    </row>
    <row r="95" spans="2:26">
      <c r="B95" s="5"/>
      <c r="C95" s="259"/>
      <c r="D95" s="247"/>
      <c r="E95" s="247"/>
      <c r="F95" s="247"/>
      <c r="G95" s="247"/>
      <c r="H95" s="247"/>
      <c r="I95" s="248"/>
      <c r="J95" s="247"/>
      <c r="K95" s="247"/>
      <c r="L95" s="247"/>
      <c r="M95" s="247"/>
      <c r="N95" s="247"/>
      <c r="O95" s="248"/>
      <c r="Q95" s="5"/>
      <c r="R95" s="5"/>
    </row>
    <row r="96" spans="2:26">
      <c r="B96" s="5"/>
      <c r="C96" s="259"/>
      <c r="D96" s="247"/>
      <c r="E96" s="247"/>
      <c r="F96" s="247"/>
      <c r="G96" s="247"/>
      <c r="H96" s="247"/>
      <c r="I96" s="247"/>
      <c r="J96" s="247"/>
      <c r="K96" s="247"/>
      <c r="L96" s="247"/>
      <c r="M96" s="247"/>
      <c r="N96" s="247"/>
      <c r="O96" s="248"/>
      <c r="Q96" s="5"/>
      <c r="R96" s="5"/>
    </row>
    <row r="97" spans="2:18">
      <c r="B97" s="5"/>
      <c r="C97" s="259"/>
      <c r="D97" s="248"/>
      <c r="E97" s="248"/>
      <c r="F97" s="248"/>
      <c r="G97" s="248"/>
      <c r="H97" s="248"/>
      <c r="I97" s="249"/>
      <c r="J97" s="248"/>
      <c r="K97" s="248"/>
      <c r="L97" s="248"/>
      <c r="M97" s="248"/>
      <c r="N97" s="248"/>
      <c r="O97" s="248"/>
      <c r="Q97" s="5"/>
      <c r="R97" s="5"/>
    </row>
    <row r="98" spans="2:18">
      <c r="B98" s="5"/>
      <c r="C98" s="259"/>
      <c r="D98" s="247"/>
      <c r="E98" s="247"/>
      <c r="F98" s="247"/>
      <c r="G98" s="247"/>
      <c r="H98" s="247"/>
      <c r="I98" s="248"/>
      <c r="J98" s="247"/>
      <c r="K98" s="247"/>
      <c r="L98" s="247"/>
      <c r="M98" s="247"/>
      <c r="N98" s="247"/>
      <c r="O98" s="248"/>
      <c r="Q98" s="5"/>
      <c r="R98" s="5"/>
    </row>
    <row r="99" spans="2:18">
      <c r="B99" s="41"/>
      <c r="C99" s="249"/>
      <c r="D99" s="249"/>
      <c r="E99" s="249"/>
      <c r="F99" s="249"/>
      <c r="G99" s="249"/>
      <c r="H99" s="249"/>
      <c r="I99" s="5"/>
      <c r="J99" s="249"/>
      <c r="K99" s="249"/>
      <c r="L99" s="249"/>
      <c r="M99" s="249"/>
      <c r="N99" s="249"/>
      <c r="O99" s="248"/>
      <c r="Q99" s="5"/>
      <c r="R99" s="5"/>
    </row>
    <row r="100" spans="2:18">
      <c r="B100" s="41"/>
      <c r="C100" s="257"/>
      <c r="D100" s="248"/>
      <c r="E100" s="248"/>
      <c r="F100" s="248"/>
      <c r="G100" s="248"/>
      <c r="H100" s="248"/>
      <c r="I100" s="259"/>
      <c r="J100" s="248"/>
      <c r="K100" s="248"/>
      <c r="L100" s="248"/>
      <c r="M100" s="248"/>
      <c r="N100" s="248"/>
      <c r="O100" s="248"/>
      <c r="Q100" s="5"/>
      <c r="R100" s="5"/>
    </row>
    <row r="101" spans="2:18" s="5" customFormat="1">
      <c r="B101" s="41"/>
      <c r="I101" s="259"/>
      <c r="O101" s="248"/>
      <c r="P101" s="39"/>
    </row>
    <row r="102" spans="2:18">
      <c r="B102" s="5"/>
      <c r="C102" s="259"/>
      <c r="D102" s="259"/>
      <c r="E102" s="259"/>
      <c r="F102" s="259"/>
      <c r="G102" s="259"/>
      <c r="H102" s="259"/>
      <c r="I102" s="247"/>
      <c r="J102" s="259"/>
      <c r="K102" s="259"/>
      <c r="L102" s="259"/>
      <c r="M102" s="259"/>
      <c r="N102" s="259"/>
      <c r="O102" s="5"/>
      <c r="Q102" s="5"/>
      <c r="R102" s="5"/>
    </row>
    <row r="103" spans="2:18">
      <c r="B103" s="5"/>
      <c r="C103" s="259"/>
      <c r="D103" s="259"/>
      <c r="E103" s="259"/>
      <c r="F103" s="259"/>
      <c r="G103" s="259"/>
      <c r="H103" s="259"/>
      <c r="I103" s="5"/>
      <c r="J103" s="259"/>
      <c r="K103" s="259"/>
      <c r="L103" s="259"/>
      <c r="M103" s="259"/>
      <c r="N103" s="259"/>
      <c r="O103" s="5"/>
      <c r="P103" s="5"/>
      <c r="Q103" s="5"/>
      <c r="R103" s="5"/>
    </row>
    <row r="104" spans="2:18">
      <c r="B104" s="5"/>
      <c r="C104" s="247"/>
      <c r="D104" s="247"/>
      <c r="E104" s="247"/>
      <c r="F104" s="247"/>
      <c r="G104" s="247"/>
      <c r="H104" s="247"/>
      <c r="I104" s="247"/>
      <c r="J104" s="247"/>
      <c r="K104" s="247"/>
      <c r="L104" s="247"/>
      <c r="M104" s="247"/>
      <c r="N104" s="247"/>
      <c r="O104" s="5"/>
      <c r="Q104" s="5"/>
      <c r="R104" s="5"/>
    </row>
    <row r="105" spans="2:18" s="5" customFormat="1">
      <c r="P105" s="39"/>
    </row>
    <row r="106" spans="2:18" s="5" customFormat="1">
      <c r="C106" s="259"/>
      <c r="D106" s="247"/>
      <c r="E106" s="247"/>
      <c r="F106" s="247"/>
      <c r="G106" s="247"/>
      <c r="H106" s="247"/>
      <c r="I106" s="259"/>
      <c r="J106" s="247"/>
      <c r="K106" s="247"/>
      <c r="L106" s="247"/>
      <c r="M106" s="247"/>
      <c r="N106" s="247"/>
      <c r="P106" s="39"/>
    </row>
    <row r="107" spans="2:18">
      <c r="B107" s="5"/>
      <c r="C107" s="259"/>
      <c r="D107" s="5"/>
      <c r="E107" s="5"/>
      <c r="F107" s="5"/>
      <c r="G107" s="5"/>
      <c r="H107" s="5"/>
      <c r="I107" s="247"/>
      <c r="J107" s="5"/>
      <c r="K107" s="5"/>
      <c r="L107" s="5"/>
      <c r="M107" s="5"/>
      <c r="N107" s="5"/>
      <c r="O107" s="5"/>
      <c r="P107" s="5"/>
      <c r="Q107" s="5"/>
      <c r="R107" s="5"/>
    </row>
    <row r="108" spans="2:18">
      <c r="B108" s="5"/>
      <c r="C108" s="259"/>
      <c r="D108" s="259"/>
      <c r="E108" s="259"/>
      <c r="F108" s="259"/>
      <c r="G108" s="259"/>
      <c r="H108" s="259"/>
      <c r="I108" s="249"/>
      <c r="J108" s="259"/>
      <c r="K108" s="259"/>
      <c r="L108" s="259"/>
      <c r="M108" s="259"/>
      <c r="N108" s="259"/>
      <c r="O108" s="5"/>
      <c r="P108" s="5"/>
      <c r="Q108" s="5"/>
      <c r="R108" s="5"/>
    </row>
    <row r="109" spans="2:18">
      <c r="B109" s="5"/>
      <c r="C109" s="247"/>
      <c r="D109" s="247"/>
      <c r="E109" s="247"/>
      <c r="F109" s="247"/>
      <c r="G109" s="247"/>
      <c r="H109" s="247"/>
      <c r="I109" s="249"/>
      <c r="J109" s="247"/>
      <c r="K109" s="247"/>
      <c r="L109" s="247"/>
      <c r="M109" s="247"/>
      <c r="N109" s="247"/>
      <c r="O109" s="5"/>
      <c r="Q109" s="5"/>
      <c r="R109" s="5"/>
    </row>
    <row r="110" spans="2:18">
      <c r="B110" s="41"/>
      <c r="C110" s="249"/>
      <c r="D110" s="249"/>
      <c r="E110" s="249"/>
      <c r="F110" s="249"/>
      <c r="G110" s="249"/>
      <c r="H110" s="249"/>
      <c r="I110" s="247"/>
      <c r="J110" s="249"/>
      <c r="K110" s="249"/>
      <c r="L110" s="249"/>
      <c r="M110" s="249"/>
      <c r="N110" s="249"/>
      <c r="O110" s="5"/>
      <c r="Q110" s="5"/>
      <c r="R110" s="5"/>
    </row>
    <row r="111" spans="2:18">
      <c r="B111" s="5"/>
      <c r="C111" s="249"/>
      <c r="D111" s="249"/>
      <c r="E111" s="249"/>
      <c r="F111" s="249"/>
      <c r="G111" s="249"/>
      <c r="H111" s="249"/>
      <c r="I111" s="5"/>
      <c r="J111" s="249"/>
      <c r="K111" s="249"/>
      <c r="L111" s="249"/>
      <c r="M111" s="249"/>
      <c r="N111" s="249"/>
      <c r="O111" s="5"/>
      <c r="Q111" s="5"/>
      <c r="R111" s="5"/>
    </row>
    <row r="112" spans="2:18">
      <c r="B112" s="5"/>
      <c r="C112" s="247"/>
      <c r="D112" s="247"/>
      <c r="E112" s="247"/>
      <c r="F112" s="247"/>
      <c r="G112" s="247"/>
      <c r="H112" s="247"/>
      <c r="I112" s="5"/>
      <c r="J112" s="247"/>
      <c r="K112" s="247"/>
      <c r="L112" s="247"/>
      <c r="M112" s="247"/>
      <c r="N112" s="247"/>
      <c r="O112" s="5"/>
      <c r="Q112" s="5"/>
      <c r="R112" s="5"/>
    </row>
    <row r="113" spans="2:18">
      <c r="B113" s="5"/>
      <c r="C113" s="5"/>
      <c r="D113" s="5"/>
      <c r="E113" s="5"/>
      <c r="F113" s="5"/>
      <c r="G113" s="5"/>
      <c r="H113" s="5"/>
      <c r="I113" s="5"/>
      <c r="J113" s="5"/>
      <c r="K113" s="5"/>
      <c r="L113" s="5"/>
      <c r="M113" s="5"/>
      <c r="N113" s="5"/>
      <c r="O113" s="5"/>
      <c r="Q113" s="5"/>
      <c r="R113" s="5"/>
    </row>
    <row r="114" spans="2:18">
      <c r="B114" s="5"/>
      <c r="C114" s="5"/>
      <c r="D114" s="5"/>
      <c r="E114" s="5"/>
      <c r="F114" s="5"/>
      <c r="G114" s="5"/>
      <c r="H114" s="5"/>
      <c r="I114" s="5"/>
      <c r="J114" s="5"/>
      <c r="K114" s="5"/>
      <c r="L114" s="5"/>
      <c r="M114" s="5"/>
      <c r="N114" s="5"/>
      <c r="O114" s="5"/>
      <c r="Q114" s="5"/>
      <c r="R114" s="5"/>
    </row>
    <row r="115" spans="2:18">
      <c r="B115" s="5"/>
      <c r="C115" s="5"/>
      <c r="D115" s="5"/>
      <c r="E115" s="5"/>
      <c r="F115" s="5"/>
      <c r="G115" s="5"/>
      <c r="H115" s="5"/>
      <c r="I115" s="49"/>
      <c r="J115" s="5"/>
      <c r="K115" s="5"/>
      <c r="L115" s="5"/>
      <c r="M115" s="5"/>
      <c r="N115" s="5"/>
      <c r="O115" s="5"/>
      <c r="Q115" s="41"/>
      <c r="R115" s="5"/>
    </row>
    <row r="116" spans="2:18">
      <c r="B116" s="5"/>
      <c r="C116" s="5"/>
      <c r="D116" s="5"/>
      <c r="E116" s="5"/>
      <c r="F116" s="5"/>
      <c r="G116" s="5"/>
      <c r="H116" s="5"/>
      <c r="I116" s="5"/>
      <c r="J116" s="5"/>
      <c r="K116" s="5"/>
      <c r="L116" s="5"/>
      <c r="M116" s="5"/>
      <c r="N116" s="5"/>
      <c r="O116" s="5"/>
      <c r="Q116" s="5"/>
      <c r="R116" s="5"/>
    </row>
    <row r="117" spans="2:18">
      <c r="B117" s="41"/>
      <c r="C117" s="49"/>
      <c r="D117" s="49"/>
      <c r="E117" s="49"/>
      <c r="F117" s="49"/>
      <c r="G117" s="49"/>
      <c r="H117" s="49"/>
      <c r="I117" s="254"/>
      <c r="J117" s="49"/>
      <c r="K117" s="49"/>
      <c r="L117" s="49"/>
      <c r="M117" s="49"/>
      <c r="N117" s="49"/>
      <c r="O117" s="49"/>
      <c r="Q117" s="5"/>
      <c r="R117" s="5"/>
    </row>
    <row r="118" spans="2:18">
      <c r="B118" s="5"/>
      <c r="C118" s="5"/>
      <c r="D118" s="5"/>
      <c r="E118" s="5"/>
      <c r="F118" s="5"/>
      <c r="G118" s="5"/>
      <c r="H118" s="5"/>
      <c r="I118" s="249"/>
      <c r="J118" s="5"/>
      <c r="K118" s="5"/>
      <c r="L118" s="5"/>
      <c r="M118" s="5"/>
      <c r="N118" s="5"/>
      <c r="O118" s="5"/>
      <c r="Q118" s="5"/>
      <c r="R118" s="5"/>
    </row>
    <row r="119" spans="2:18">
      <c r="B119" s="41"/>
      <c r="C119" s="254"/>
      <c r="D119" s="254"/>
      <c r="E119" s="254"/>
      <c r="F119" s="254"/>
      <c r="G119" s="254"/>
      <c r="H119" s="254"/>
      <c r="I119" s="254"/>
      <c r="J119" s="254"/>
      <c r="K119" s="254"/>
      <c r="L119" s="254"/>
      <c r="M119" s="254"/>
      <c r="N119" s="254"/>
      <c r="O119" s="248"/>
      <c r="Q119" s="5"/>
      <c r="R119" s="5"/>
    </row>
    <row r="120" spans="2:18">
      <c r="B120" s="41"/>
      <c r="C120" s="254"/>
      <c r="D120" s="249"/>
      <c r="E120" s="249"/>
      <c r="F120" s="249"/>
      <c r="G120" s="249"/>
      <c r="H120" s="249"/>
      <c r="I120" s="254"/>
      <c r="J120" s="249"/>
      <c r="K120" s="249"/>
      <c r="L120" s="249"/>
      <c r="M120" s="249"/>
      <c r="N120" s="249"/>
      <c r="O120" s="248"/>
      <c r="Q120" s="5"/>
      <c r="R120" s="5"/>
    </row>
    <row r="121" spans="2:18">
      <c r="B121" s="41"/>
      <c r="C121" s="254"/>
      <c r="D121" s="254"/>
      <c r="E121" s="254"/>
      <c r="F121" s="254"/>
      <c r="G121" s="254"/>
      <c r="H121" s="254"/>
      <c r="I121" s="254"/>
      <c r="J121" s="254"/>
      <c r="K121" s="254"/>
      <c r="L121" s="254"/>
      <c r="M121" s="254"/>
      <c r="N121" s="254"/>
      <c r="O121" s="248"/>
      <c r="Q121" s="5"/>
      <c r="R121" s="5"/>
    </row>
    <row r="122" spans="2:18">
      <c r="B122" s="41"/>
      <c r="C122" s="254"/>
      <c r="D122" s="254"/>
      <c r="E122" s="254"/>
      <c r="F122" s="254"/>
      <c r="G122" s="254"/>
      <c r="H122" s="254"/>
      <c r="I122" s="254"/>
      <c r="J122" s="254"/>
      <c r="K122" s="254"/>
      <c r="L122" s="254"/>
      <c r="M122" s="254"/>
      <c r="N122" s="254"/>
      <c r="O122" s="248"/>
      <c r="Q122" s="5"/>
      <c r="R122" s="5"/>
    </row>
    <row r="123" spans="2:18">
      <c r="B123" s="41"/>
      <c r="C123" s="254"/>
      <c r="D123" s="254"/>
      <c r="E123" s="254"/>
      <c r="F123" s="254"/>
      <c r="G123" s="254"/>
      <c r="H123" s="254"/>
      <c r="I123" s="254"/>
      <c r="J123" s="254"/>
      <c r="K123" s="254"/>
      <c r="L123" s="254"/>
      <c r="M123" s="254"/>
      <c r="N123" s="254"/>
      <c r="O123" s="248"/>
      <c r="Q123" s="5"/>
      <c r="R123" s="5"/>
    </row>
    <row r="124" spans="2:18">
      <c r="B124" s="41"/>
      <c r="C124" s="254"/>
      <c r="D124" s="254"/>
      <c r="E124" s="254"/>
      <c r="F124" s="254"/>
      <c r="G124" s="254"/>
      <c r="H124" s="254"/>
      <c r="I124" s="254"/>
      <c r="J124" s="254"/>
      <c r="K124" s="254"/>
      <c r="L124" s="254"/>
      <c r="M124" s="254"/>
      <c r="N124" s="254"/>
      <c r="O124" s="248"/>
      <c r="Q124" s="5"/>
      <c r="R124" s="5"/>
    </row>
    <row r="125" spans="2:18">
      <c r="B125" s="41"/>
      <c r="C125" s="254"/>
      <c r="D125" s="254"/>
      <c r="E125" s="254"/>
      <c r="F125" s="254"/>
      <c r="G125" s="254"/>
      <c r="H125" s="254"/>
      <c r="I125" s="254"/>
      <c r="J125" s="254"/>
      <c r="K125" s="254"/>
      <c r="L125" s="254"/>
      <c r="M125" s="254"/>
      <c r="N125" s="254"/>
      <c r="O125" s="5"/>
      <c r="Q125" s="5"/>
      <c r="R125" s="5"/>
    </row>
    <row r="126" spans="2:18">
      <c r="B126" s="41"/>
      <c r="C126" s="254"/>
      <c r="D126" s="254"/>
      <c r="E126" s="254"/>
      <c r="F126" s="254"/>
      <c r="G126" s="254"/>
      <c r="H126" s="254"/>
      <c r="I126" s="254"/>
      <c r="J126" s="254"/>
      <c r="K126" s="254"/>
      <c r="L126" s="254"/>
      <c r="M126" s="254"/>
      <c r="N126" s="254"/>
      <c r="O126" s="5"/>
      <c r="Q126" s="5"/>
      <c r="R126" s="5"/>
    </row>
    <row r="127" spans="2:18">
      <c r="B127" s="41"/>
      <c r="C127" s="254"/>
      <c r="D127" s="254"/>
      <c r="E127" s="254"/>
      <c r="F127" s="254"/>
      <c r="G127" s="254"/>
      <c r="H127" s="254"/>
      <c r="I127" s="18"/>
      <c r="J127" s="254"/>
      <c r="K127" s="254"/>
      <c r="L127" s="254"/>
      <c r="M127" s="254"/>
      <c r="N127" s="254"/>
      <c r="O127" s="5"/>
      <c r="Q127" s="5"/>
      <c r="R127" s="5"/>
    </row>
    <row r="128" spans="2:18">
      <c r="B128" s="41"/>
      <c r="C128" s="254"/>
      <c r="D128" s="254"/>
      <c r="E128" s="254"/>
      <c r="F128" s="254"/>
      <c r="G128" s="254"/>
      <c r="H128" s="254"/>
      <c r="I128" s="5"/>
      <c r="J128" s="254"/>
      <c r="K128" s="254"/>
      <c r="L128" s="254"/>
      <c r="M128" s="254"/>
      <c r="N128" s="254"/>
      <c r="O128" s="5"/>
      <c r="Q128" s="5"/>
      <c r="R128" s="5"/>
    </row>
    <row r="129" spans="2:27">
      <c r="B129" s="5"/>
      <c r="C129" s="5"/>
      <c r="D129" s="18"/>
      <c r="E129" s="18"/>
      <c r="F129" s="18"/>
      <c r="G129" s="18"/>
      <c r="H129" s="18"/>
      <c r="I129" s="254"/>
      <c r="J129" s="18"/>
      <c r="K129" s="18"/>
      <c r="L129" s="18"/>
      <c r="M129" s="18"/>
      <c r="N129" s="18"/>
      <c r="O129" s="5"/>
      <c r="Q129" s="5"/>
      <c r="R129" s="5"/>
    </row>
    <row r="130" spans="2:27">
      <c r="B130" s="5"/>
      <c r="C130" s="5"/>
      <c r="D130" s="5"/>
      <c r="E130" s="5"/>
      <c r="F130" s="5"/>
      <c r="G130" s="5"/>
      <c r="H130" s="5"/>
      <c r="I130" s="18"/>
      <c r="J130" s="5"/>
      <c r="K130" s="5"/>
      <c r="L130" s="5"/>
      <c r="M130" s="5"/>
      <c r="N130" s="5"/>
      <c r="O130" s="5"/>
      <c r="Q130" s="5"/>
      <c r="R130" s="5"/>
    </row>
    <row r="131" spans="2:27">
      <c r="B131" s="41"/>
      <c r="C131" s="254"/>
      <c r="D131" s="254"/>
      <c r="E131" s="254"/>
      <c r="F131" s="254"/>
      <c r="G131" s="254"/>
      <c r="H131" s="254"/>
      <c r="I131" s="5"/>
      <c r="J131" s="254"/>
      <c r="K131" s="254"/>
      <c r="L131" s="254"/>
      <c r="M131" s="254"/>
      <c r="N131" s="254"/>
      <c r="O131" s="5"/>
      <c r="Q131" s="5"/>
      <c r="R131" s="5"/>
    </row>
    <row r="132" spans="2:27">
      <c r="B132" s="5"/>
      <c r="C132" s="259"/>
      <c r="D132" s="18"/>
      <c r="E132" s="18"/>
      <c r="F132" s="18"/>
      <c r="G132" s="18"/>
      <c r="H132" s="18"/>
      <c r="I132" s="5"/>
      <c r="J132" s="18"/>
      <c r="K132" s="18"/>
      <c r="L132" s="18"/>
      <c r="M132" s="18"/>
      <c r="N132" s="18"/>
      <c r="O132" s="5"/>
      <c r="Q132" s="5"/>
      <c r="R132" s="5"/>
    </row>
    <row r="133" spans="2:27">
      <c r="B133" s="5"/>
      <c r="C133" s="5"/>
      <c r="D133" s="5"/>
      <c r="E133" s="5"/>
      <c r="F133" s="5"/>
      <c r="G133" s="5"/>
      <c r="H133" s="5"/>
      <c r="I133" s="17"/>
      <c r="J133" s="5"/>
      <c r="K133" s="5"/>
      <c r="L133" s="5"/>
      <c r="M133" s="5"/>
      <c r="N133" s="5"/>
      <c r="O133" s="5"/>
      <c r="Q133" s="5"/>
      <c r="R133" s="5"/>
    </row>
    <row r="134" spans="2:27">
      <c r="B134" s="41"/>
      <c r="C134" s="5"/>
      <c r="D134" s="5"/>
      <c r="E134" s="5"/>
      <c r="F134" s="5"/>
      <c r="G134" s="5"/>
      <c r="H134" s="5"/>
      <c r="I134" s="17"/>
      <c r="J134" s="5"/>
      <c r="K134" s="5"/>
      <c r="L134" s="5"/>
      <c r="M134" s="5"/>
      <c r="N134" s="5"/>
      <c r="O134" s="5"/>
      <c r="Q134" s="5"/>
      <c r="R134" s="5"/>
    </row>
    <row r="135" spans="2:27">
      <c r="B135" s="5"/>
      <c r="C135" s="17"/>
      <c r="D135" s="17"/>
      <c r="E135" s="17"/>
      <c r="F135" s="17"/>
      <c r="G135" s="17"/>
      <c r="H135" s="17"/>
      <c r="I135" s="17"/>
      <c r="J135" s="17"/>
      <c r="K135" s="17"/>
      <c r="L135" s="17"/>
      <c r="M135" s="17"/>
      <c r="N135" s="17"/>
      <c r="O135" s="5"/>
      <c r="Q135" s="41"/>
      <c r="R135" s="5"/>
    </row>
    <row r="136" spans="2:27">
      <c r="B136" s="5"/>
      <c r="C136" s="17"/>
      <c r="D136" s="17"/>
      <c r="E136" s="17"/>
      <c r="F136" s="17"/>
      <c r="G136" s="17"/>
      <c r="H136" s="17"/>
      <c r="I136" s="17"/>
      <c r="J136" s="17"/>
      <c r="K136" s="17"/>
      <c r="L136" s="17"/>
      <c r="M136" s="17"/>
      <c r="N136" s="17"/>
      <c r="O136" s="5"/>
      <c r="Q136" s="5"/>
      <c r="R136" s="5"/>
      <c r="X136" s="304"/>
    </row>
    <row r="137" spans="2:27">
      <c r="B137" s="5"/>
      <c r="C137" s="5"/>
      <c r="D137" s="17"/>
      <c r="E137" s="17"/>
      <c r="F137" s="17"/>
      <c r="G137" s="17"/>
      <c r="H137" s="17"/>
      <c r="I137" s="17"/>
      <c r="J137" s="17"/>
      <c r="K137" s="17"/>
      <c r="L137" s="17"/>
      <c r="M137" s="17"/>
      <c r="N137" s="17"/>
      <c r="O137" s="5"/>
      <c r="Q137" s="5"/>
      <c r="R137" s="5"/>
      <c r="X137" s="10"/>
      <c r="Y137" s="304"/>
      <c r="Z137" s="304"/>
      <c r="AA137" s="304"/>
    </row>
    <row r="138" spans="2:27">
      <c r="B138" s="5"/>
      <c r="C138" s="5"/>
      <c r="D138" s="17"/>
      <c r="E138" s="17"/>
      <c r="F138" s="17"/>
      <c r="G138" s="17"/>
      <c r="H138" s="17"/>
      <c r="I138" s="17"/>
      <c r="J138" s="17"/>
      <c r="K138" s="17"/>
      <c r="L138" s="17"/>
      <c r="M138" s="17"/>
      <c r="N138" s="17"/>
      <c r="O138" s="5"/>
      <c r="Q138" s="5"/>
      <c r="R138" s="5"/>
      <c r="Y138" s="10"/>
      <c r="Z138" s="10"/>
      <c r="AA138" s="10"/>
    </row>
    <row r="139" spans="2:27">
      <c r="B139" s="5"/>
      <c r="C139" s="5"/>
      <c r="D139" s="17"/>
      <c r="E139" s="17"/>
      <c r="F139" s="17"/>
      <c r="G139" s="17"/>
      <c r="H139" s="17"/>
      <c r="I139" s="5"/>
      <c r="J139" s="17"/>
      <c r="K139" s="17"/>
      <c r="L139" s="17"/>
      <c r="M139" s="17"/>
      <c r="N139" s="17"/>
      <c r="O139" s="5"/>
      <c r="Q139" s="5"/>
      <c r="R139" s="5"/>
    </row>
    <row r="140" spans="2:27">
      <c r="B140" s="5"/>
      <c r="C140" s="17"/>
      <c r="D140" s="17"/>
      <c r="E140" s="17"/>
      <c r="F140" s="17"/>
      <c r="G140" s="17"/>
      <c r="H140" s="17"/>
      <c r="I140" s="5"/>
      <c r="J140" s="17"/>
      <c r="K140" s="17"/>
      <c r="L140" s="17"/>
      <c r="M140" s="17"/>
      <c r="N140" s="17"/>
      <c r="O140" s="5"/>
      <c r="Q140" s="5"/>
      <c r="R140" s="5"/>
    </row>
    <row r="141" spans="2:27">
      <c r="B141" s="5"/>
      <c r="C141" s="5"/>
      <c r="D141" s="5"/>
      <c r="E141" s="5"/>
      <c r="F141" s="5"/>
      <c r="G141" s="5"/>
      <c r="H141" s="5"/>
      <c r="I141" s="5"/>
      <c r="J141" s="5"/>
      <c r="K141" s="5"/>
      <c r="L141" s="5"/>
      <c r="M141" s="5"/>
      <c r="N141" s="5"/>
      <c r="O141" s="5"/>
      <c r="Q141" s="5"/>
      <c r="R141" s="5"/>
    </row>
    <row r="142" spans="2:27">
      <c r="B142" s="5"/>
      <c r="C142" s="5"/>
      <c r="D142" s="5"/>
      <c r="E142" s="5"/>
      <c r="F142" s="5"/>
      <c r="G142" s="5"/>
      <c r="H142" s="5"/>
      <c r="I142" s="5"/>
      <c r="J142" s="5"/>
      <c r="K142" s="5"/>
      <c r="L142" s="5"/>
      <c r="M142" s="5"/>
      <c r="N142" s="5"/>
      <c r="O142" s="5"/>
      <c r="Q142" s="5"/>
      <c r="R142" s="5"/>
    </row>
    <row r="143" spans="2:27">
      <c r="B143" s="5"/>
      <c r="C143" s="5"/>
      <c r="D143" s="5"/>
      <c r="E143" s="5"/>
      <c r="F143" s="5"/>
      <c r="G143" s="5"/>
      <c r="H143" s="5"/>
      <c r="I143" s="5"/>
      <c r="J143" s="5"/>
      <c r="K143" s="5"/>
      <c r="L143" s="5"/>
      <c r="M143" s="5"/>
      <c r="N143" s="5"/>
      <c r="O143" s="5"/>
      <c r="Q143" s="5"/>
      <c r="R143" s="5"/>
    </row>
    <row r="144" spans="2:27">
      <c r="B144" s="5"/>
      <c r="C144" s="5"/>
      <c r="D144" s="5"/>
      <c r="E144" s="5"/>
      <c r="F144" s="5"/>
      <c r="G144" s="5"/>
      <c r="H144" s="5"/>
      <c r="I144" s="5"/>
      <c r="J144" s="5"/>
      <c r="K144" s="5"/>
      <c r="L144" s="5"/>
      <c r="M144" s="5"/>
      <c r="N144" s="5"/>
      <c r="O144" s="5"/>
      <c r="Q144" s="5"/>
      <c r="R144" s="5"/>
    </row>
    <row r="145" spans="2:18">
      <c r="B145" s="5"/>
      <c r="C145" s="5"/>
      <c r="D145" s="5"/>
      <c r="E145" s="5"/>
      <c r="F145" s="5"/>
      <c r="G145" s="5"/>
      <c r="H145" s="5"/>
      <c r="I145" s="5"/>
      <c r="J145" s="5"/>
      <c r="K145" s="5"/>
      <c r="L145" s="5"/>
      <c r="M145" s="5"/>
      <c r="N145" s="5"/>
      <c r="O145" s="5"/>
      <c r="Q145" s="5"/>
      <c r="R145" s="5"/>
    </row>
    <row r="146" spans="2:18">
      <c r="B146" s="5"/>
      <c r="C146" s="5"/>
      <c r="D146" s="5"/>
      <c r="E146" s="5"/>
      <c r="F146" s="5"/>
      <c r="G146" s="5"/>
      <c r="H146" s="5"/>
      <c r="I146" s="5"/>
      <c r="J146" s="5"/>
      <c r="K146" s="5"/>
      <c r="L146" s="5"/>
      <c r="M146" s="5"/>
      <c r="N146" s="5"/>
      <c r="O146" s="5"/>
      <c r="Q146" s="5"/>
      <c r="R146" s="5"/>
    </row>
    <row r="147" spans="2:18">
      <c r="B147" s="5"/>
      <c r="C147" s="5"/>
      <c r="D147" s="5"/>
      <c r="E147" s="5"/>
      <c r="F147" s="5"/>
      <c r="G147" s="5"/>
      <c r="H147" s="5"/>
      <c r="I147" s="5"/>
      <c r="J147" s="5"/>
      <c r="K147" s="5"/>
      <c r="L147" s="5"/>
      <c r="M147" s="5"/>
      <c r="N147" s="5"/>
      <c r="O147" s="5"/>
      <c r="Q147" s="5"/>
      <c r="R147" s="5"/>
    </row>
    <row r="148" spans="2:18">
      <c r="B148" s="5"/>
      <c r="C148" s="5"/>
      <c r="D148" s="5"/>
      <c r="E148" s="5"/>
      <c r="F148" s="5"/>
      <c r="G148" s="5"/>
      <c r="H148" s="5"/>
      <c r="I148" s="5"/>
      <c r="J148" s="5"/>
      <c r="K148" s="5"/>
      <c r="L148" s="5"/>
      <c r="M148" s="5"/>
      <c r="N148" s="5"/>
      <c r="O148" s="5"/>
      <c r="Q148" s="5"/>
      <c r="R148" s="5"/>
    </row>
    <row r="149" spans="2:18">
      <c r="B149" s="5"/>
      <c r="C149" s="5"/>
      <c r="D149" s="5"/>
      <c r="E149" s="5"/>
      <c r="F149" s="5"/>
      <c r="G149" s="5"/>
      <c r="H149" s="5"/>
      <c r="J149" s="5"/>
      <c r="K149" s="5"/>
      <c r="L149" s="5"/>
      <c r="M149" s="5"/>
      <c r="N149" s="5"/>
      <c r="O149" s="5"/>
      <c r="Q149" s="5"/>
      <c r="R149" s="5"/>
    </row>
    <row r="150" spans="2:18">
      <c r="B150" s="5"/>
      <c r="C150" s="5"/>
      <c r="D150" s="5"/>
      <c r="E150" s="5"/>
      <c r="F150" s="5"/>
      <c r="G150" s="5"/>
      <c r="H150" s="5"/>
      <c r="J150" s="5"/>
      <c r="K150" s="5"/>
      <c r="L150" s="5"/>
      <c r="M150" s="5"/>
      <c r="N150" s="5"/>
      <c r="O150" s="5"/>
      <c r="Q150" s="5"/>
      <c r="R150" s="5"/>
    </row>
    <row r="151" spans="2:18">
      <c r="Q151" s="5"/>
      <c r="R151" s="5"/>
    </row>
    <row r="152" spans="2:18">
      <c r="Q152" s="5"/>
      <c r="R152" s="5"/>
    </row>
    <row r="153" spans="2:18">
      <c r="C153" s="263"/>
      <c r="Q153" s="5"/>
      <c r="R153" s="5"/>
    </row>
    <row r="154" spans="2:18">
      <c r="Q154" s="5"/>
      <c r="R154" s="5"/>
    </row>
    <row r="155" spans="2:18">
      <c r="Q155" s="5"/>
      <c r="R155" s="5"/>
    </row>
    <row r="156" spans="2:18">
      <c r="Q156" s="5"/>
      <c r="R156" s="5"/>
    </row>
    <row r="157" spans="2:18">
      <c r="Q157" s="5"/>
      <c r="R157" s="5"/>
    </row>
    <row r="158" spans="2:18">
      <c r="Q158" s="5"/>
      <c r="R158" s="5"/>
    </row>
    <row r="159" spans="2:18">
      <c r="Q159" s="5"/>
      <c r="R159" s="5"/>
    </row>
    <row r="160" spans="2:18">
      <c r="Q160" s="5"/>
      <c r="R160" s="5"/>
    </row>
    <row r="161" spans="17:18">
      <c r="Q161" s="5"/>
      <c r="R161" s="5"/>
    </row>
    <row r="162" spans="17:18">
      <c r="Q162" s="5"/>
      <c r="R162" s="5"/>
    </row>
    <row r="163" spans="17:18">
      <c r="Q163" s="5"/>
      <c r="R163" s="5"/>
    </row>
    <row r="164" spans="17:18">
      <c r="Q164" s="5"/>
      <c r="R164" s="5"/>
    </row>
    <row r="165" spans="17:18">
      <c r="Q165" s="5"/>
      <c r="R165" s="5"/>
    </row>
  </sheetData>
  <phoneticPr fontId="7" type="noConversion"/>
  <hyperlinks>
    <hyperlink ref="C2" location="IDEASOP!A1" display="Jump to IDEA SOP" xr:uid="{00000000-0004-0000-2B00-000001000000}"/>
  </hyperlinks>
  <pageMargins left="0.75" right="0.75" top="1" bottom="1" header="0.5" footer="0.5"/>
  <pageSetup scale="70" orientation="landscape" r:id="rId1"/>
  <headerFooter alignWithMargins="0"/>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A77201-061A-4438-9BB7-FD5993DCBEB5}">
  <sheetPr codeName="Sheet136">
    <pageSetUpPr fitToPage="1"/>
  </sheetPr>
  <dimension ref="B1:AA165"/>
  <sheetViews>
    <sheetView showGridLines="0" zoomScale="80" zoomScaleNormal="80" zoomScaleSheetLayoutView="80" workbookViewId="0"/>
  </sheetViews>
  <sheetFormatPr defaultColWidth="9.109375" defaultRowHeight="12"/>
  <cols>
    <col min="1" max="1" width="2.33203125" style="39" customWidth="1"/>
    <col min="2" max="2" width="26.5546875" style="39" customWidth="1"/>
    <col min="3" max="9" width="10" style="39" customWidth="1"/>
    <col min="10" max="10" width="26.6640625" style="39" customWidth="1"/>
    <col min="11" max="16" width="10" style="39" customWidth="1"/>
    <col min="17" max="19" width="8.6640625" style="39" customWidth="1"/>
    <col min="20" max="27" width="8.6640625" style="5" customWidth="1"/>
    <col min="28" max="28" width="8.6640625" style="39" customWidth="1"/>
    <col min="29" max="16384" width="9.109375" style="39"/>
  </cols>
  <sheetData>
    <row r="1" spans="2:27" s="312" customFormat="1">
      <c r="T1" s="149"/>
      <c r="U1" s="149"/>
      <c r="V1" s="149"/>
      <c r="W1" s="149"/>
      <c r="X1" s="149"/>
      <c r="Y1" s="149"/>
      <c r="Z1" s="149"/>
      <c r="AA1" s="149"/>
    </row>
    <row r="2" spans="2:27" s="149" customFormat="1"/>
    <row r="3" spans="2:27" s="149" customFormat="1">
      <c r="H3" s="153"/>
      <c r="P3" s="153"/>
    </row>
    <row r="4" spans="2:27" s="156" customFormat="1" ht="21">
      <c r="B4" s="129" t="s">
        <v>1397</v>
      </c>
      <c r="H4" s="222"/>
      <c r="P4" s="222"/>
    </row>
    <row r="5" spans="2:27" s="149" customFormat="1">
      <c r="C5" s="153"/>
      <c r="D5" s="153" t="str" cm="1">
        <f t="array" ref="D5:H5">headings</f>
        <v>2023E</v>
      </c>
      <c r="E5" s="153" t="str">
        <v>2024E</v>
      </c>
      <c r="F5" s="153" t="str">
        <v>2025E</v>
      </c>
      <c r="G5" s="153" t="str">
        <v>2026E</v>
      </c>
      <c r="H5" s="153" t="str">
        <v>23E-26E</v>
      </c>
      <c r="I5" s="153"/>
      <c r="J5" s="153"/>
      <c r="K5" s="153"/>
      <c r="L5" s="153" t="str" cm="1">
        <f t="array" ref="L5:P5">headings</f>
        <v>2023E</v>
      </c>
      <c r="M5" s="153" t="str">
        <v>2024E</v>
      </c>
      <c r="N5" s="153" t="str">
        <v>2025E</v>
      </c>
      <c r="O5" s="153" t="str">
        <v>2026E</v>
      </c>
      <c r="P5" s="153" t="str">
        <v>23E-26E</v>
      </c>
      <c r="Q5" s="162"/>
      <c r="R5" s="162"/>
      <c r="S5" s="162"/>
      <c r="T5" s="162"/>
      <c r="U5" s="162"/>
      <c r="V5" s="162"/>
      <c r="W5" s="162"/>
      <c r="X5" s="162"/>
      <c r="Y5" s="162"/>
    </row>
    <row r="6" spans="2:27">
      <c r="I6" s="5"/>
      <c r="J6" s="5"/>
      <c r="K6" s="5"/>
      <c r="L6" s="5"/>
      <c r="M6" s="5"/>
      <c r="N6" s="5"/>
      <c r="O6" s="49"/>
    </row>
    <row r="7" spans="2:27" ht="12.6" thickBot="1">
      <c r="B7" s="306" t="s">
        <v>271</v>
      </c>
      <c r="C7" s="265"/>
      <c r="D7" s="265" t="str">
        <f>D5</f>
        <v>2023E</v>
      </c>
      <c r="E7" s="265" t="str">
        <f t="shared" ref="E7:H7" si="0">E5</f>
        <v>2024E</v>
      </c>
      <c r="F7" s="265" t="str">
        <f t="shared" si="0"/>
        <v>2025E</v>
      </c>
      <c r="G7" s="265" t="str">
        <f t="shared" si="0"/>
        <v>2026E</v>
      </c>
      <c r="H7" s="265" t="str">
        <f t="shared" si="0"/>
        <v>23E-26E</v>
      </c>
      <c r="I7" s="49"/>
      <c r="J7" s="306" t="s">
        <v>74</v>
      </c>
      <c r="K7" s="306"/>
      <c r="L7" s="265" t="str">
        <f>L5</f>
        <v>2023E</v>
      </c>
      <c r="M7" s="265" t="str">
        <f t="shared" ref="M7:P7" si="1">M5</f>
        <v>2024E</v>
      </c>
      <c r="N7" s="265" t="str">
        <f t="shared" si="1"/>
        <v>2025E</v>
      </c>
      <c r="O7" s="265" t="str">
        <f t="shared" si="1"/>
        <v>2026E</v>
      </c>
      <c r="P7" s="265" t="str">
        <f t="shared" si="1"/>
        <v>23E-26E</v>
      </c>
    </row>
    <row r="8" spans="2:27" ht="12.6" thickTop="1">
      <c r="B8" s="5"/>
      <c r="C8" s="5"/>
      <c r="D8" s="5"/>
      <c r="E8" s="5"/>
      <c r="F8" s="5"/>
      <c r="G8" s="5"/>
      <c r="H8" s="5"/>
      <c r="I8" s="5"/>
      <c r="J8" s="5"/>
      <c r="K8" s="5"/>
      <c r="L8" s="5"/>
      <c r="M8" s="5"/>
      <c r="N8" s="5"/>
      <c r="S8" s="88"/>
      <c r="T8" s="42"/>
      <c r="U8" s="42"/>
      <c r="V8" s="42"/>
      <c r="W8" s="42"/>
      <c r="X8" s="42"/>
      <c r="Y8" s="42"/>
      <c r="Z8" s="42"/>
      <c r="AA8" s="42"/>
    </row>
    <row r="9" spans="2:27">
      <c r="B9" s="41" t="s">
        <v>1399</v>
      </c>
      <c r="C9" s="285">
        <f>Prices!$C$120</f>
        <v>3.34</v>
      </c>
      <c r="D9" s="535">
        <v>0</v>
      </c>
      <c r="E9" s="536">
        <v>0</v>
      </c>
      <c r="F9" s="536">
        <v>0</v>
      </c>
      <c r="G9" s="536">
        <v>0</v>
      </c>
      <c r="H9" s="249"/>
      <c r="I9" s="249"/>
      <c r="J9" s="5" t="s">
        <v>273</v>
      </c>
      <c r="L9" s="529">
        <f>'EM TOWERS'!D37</f>
        <v>2.6715013852627854</v>
      </c>
      <c r="M9" s="529">
        <f>'EM TOWERS'!E37</f>
        <v>2.4664165959079525</v>
      </c>
      <c r="N9" s="529">
        <f>'EM TOWERS'!F37</f>
        <v>2.131979937672341</v>
      </c>
      <c r="O9" s="529">
        <f>'EM TOWERS'!G37</f>
        <v>1.8017346387407094</v>
      </c>
      <c r="P9" s="286">
        <f>'EM TOWERS'!H37</f>
        <v>4.1506270779823939E-2</v>
      </c>
      <c r="S9" s="88"/>
      <c r="T9" s="42"/>
      <c r="U9" s="42"/>
      <c r="V9" s="42"/>
      <c r="W9" s="42"/>
      <c r="X9" s="42"/>
      <c r="Y9" s="42"/>
      <c r="Z9" s="42"/>
      <c r="AA9" s="42"/>
    </row>
    <row r="10" spans="2:27">
      <c r="B10" s="5" t="s">
        <v>274</v>
      </c>
      <c r="C10" s="5"/>
      <c r="D10" s="531">
        <v>333.17599999999999</v>
      </c>
      <c r="E10" s="531">
        <v>329.17599999999999</v>
      </c>
      <c r="F10" s="531">
        <v>326.67599999999999</v>
      </c>
      <c r="G10" s="531">
        <v>326.67599999999999</v>
      </c>
      <c r="H10" s="247"/>
      <c r="I10" s="247"/>
      <c r="J10" s="5" t="s">
        <v>184</v>
      </c>
      <c r="L10" s="529">
        <f>'EM TOWERS'!D38</f>
        <v>4.1489124394973578</v>
      </c>
      <c r="M10" s="529">
        <f>'EM TOWERS'!E38</f>
        <v>3.7837744083979801</v>
      </c>
      <c r="N10" s="529">
        <f>'EM TOWERS'!F38</f>
        <v>3.2477275158639292</v>
      </c>
      <c r="O10" s="529">
        <f>'EM TOWERS'!G38</f>
        <v>2.7428587919433522</v>
      </c>
      <c r="P10" s="286">
        <f>'EM TOWERS'!H38</f>
        <v>4.8457032571161518E-2</v>
      </c>
      <c r="S10" s="88"/>
      <c r="T10" s="42"/>
      <c r="U10" s="42"/>
      <c r="V10" s="42"/>
      <c r="W10" s="288"/>
      <c r="X10" s="288"/>
      <c r="Y10" s="288"/>
      <c r="Z10" s="288"/>
      <c r="AA10" s="42"/>
    </row>
    <row r="11" spans="2:27">
      <c r="B11" s="41" t="s">
        <v>275</v>
      </c>
      <c r="C11" s="5"/>
      <c r="D11" s="532">
        <f>$C$9*D10</f>
        <v>1112.8078399999999</v>
      </c>
      <c r="E11" s="532">
        <f>$C$9*E10</f>
        <v>1099.4478399999998</v>
      </c>
      <c r="F11" s="532">
        <f>$C$9*F10</f>
        <v>1091.0978399999999</v>
      </c>
      <c r="G11" s="532">
        <f>$C$9*G10</f>
        <v>1091.0978399999999</v>
      </c>
      <c r="H11" s="249"/>
      <c r="I11" s="249"/>
      <c r="J11" s="5" t="s">
        <v>185</v>
      </c>
      <c r="L11" s="529">
        <f>'EM TOWERS'!D39</f>
        <v>6.1861038573799814</v>
      </c>
      <c r="M11" s="529">
        <f>'EM TOWERS'!E39</f>
        <v>5.4605168948171618</v>
      </c>
      <c r="N11" s="529">
        <f>'EM TOWERS'!F39</f>
        <v>4.6533902775737461</v>
      </c>
      <c r="O11" s="529">
        <f>'EM TOWERS'!G39</f>
        <v>3.9147674085760911</v>
      </c>
      <c r="P11" s="286">
        <f>'EM TOWERS'!H39</f>
        <v>6.3842766266186013E-2</v>
      </c>
      <c r="S11" s="88"/>
      <c r="T11" s="42"/>
      <c r="U11" s="42"/>
      <c r="V11" s="42"/>
      <c r="W11" s="288"/>
      <c r="X11" s="288"/>
      <c r="Y11" s="288"/>
      <c r="Z11" s="288"/>
      <c r="AA11" s="42"/>
    </row>
    <row r="12" spans="2:27">
      <c r="B12" s="5" t="s">
        <v>24</v>
      </c>
      <c r="C12" s="249"/>
      <c r="D12" s="533">
        <v>3819.0180000000005</v>
      </c>
      <c r="E12" s="533">
        <v>3733.8878699882421</v>
      </c>
      <c r="F12" s="533">
        <v>3565.722323948627</v>
      </c>
      <c r="G12" s="533">
        <v>3284.7741996831919</v>
      </c>
      <c r="H12" s="247"/>
      <c r="I12" s="247"/>
      <c r="J12" s="5" t="s">
        <v>466</v>
      </c>
      <c r="L12" s="529">
        <f>'EM TOWERS'!D40</f>
        <v>6.9439536333859468</v>
      </c>
      <c r="M12" s="529">
        <f>'EM TOWERS'!E40</f>
        <v>6.0970821330239104</v>
      </c>
      <c r="N12" s="529">
        <f>'EM TOWERS'!F40</f>
        <v>5.1683449334617251</v>
      </c>
      <c r="O12" s="529">
        <f>'EM TOWERS'!G40</f>
        <v>4.3328952437227697</v>
      </c>
      <c r="P12" s="286">
        <f>'EM TOWERS'!H40</f>
        <v>6.8849532391503709E-2</v>
      </c>
      <c r="S12" s="88"/>
      <c r="T12" s="42"/>
      <c r="U12" s="42"/>
      <c r="V12" s="42"/>
      <c r="W12" s="288"/>
      <c r="X12" s="288"/>
      <c r="Y12" s="288"/>
      <c r="Z12" s="288"/>
      <c r="AA12" s="42"/>
    </row>
    <row r="13" spans="2:27">
      <c r="B13" s="5" t="s">
        <v>529</v>
      </c>
      <c r="C13" s="257"/>
      <c r="D13" s="533">
        <v>0</v>
      </c>
      <c r="E13" s="533">
        <v>0</v>
      </c>
      <c r="F13" s="533">
        <v>0</v>
      </c>
      <c r="G13" s="533">
        <v>0</v>
      </c>
      <c r="H13" s="247"/>
      <c r="I13" s="247"/>
      <c r="J13" s="5" t="s">
        <v>530</v>
      </c>
      <c r="L13" s="529">
        <f>'EM TOWERS'!D41</f>
        <v>1.1753130739039299</v>
      </c>
      <c r="M13" s="529">
        <f>'EM TOWERS'!E41</f>
        <v>1.1757567202913304</v>
      </c>
      <c r="N13" s="529">
        <f>'EM TOWERS'!F41</f>
        <v>1.1263024096489058</v>
      </c>
      <c r="O13" s="529">
        <f>'EM TOWERS'!G41</f>
        <v>1.0471547147878779</v>
      </c>
      <c r="P13" s="286">
        <f>'EM TOWERS'!H41</f>
        <v>-5.0806835295409858E-2</v>
      </c>
      <c r="S13" s="88"/>
      <c r="T13" s="42"/>
      <c r="U13" s="42"/>
      <c r="V13" s="42"/>
      <c r="W13" s="42"/>
      <c r="X13" s="42"/>
      <c r="Y13" s="42"/>
      <c r="Z13" s="42"/>
      <c r="AA13" s="42"/>
    </row>
    <row r="14" spans="2:27">
      <c r="B14" s="5" t="s">
        <v>532</v>
      </c>
      <c r="C14" s="257"/>
      <c r="D14" s="533">
        <v>0</v>
      </c>
      <c r="E14" s="533">
        <v>0</v>
      </c>
      <c r="F14" s="533">
        <v>0</v>
      </c>
      <c r="G14" s="533">
        <v>0</v>
      </c>
      <c r="H14" s="247"/>
      <c r="I14" s="247"/>
      <c r="J14" s="5" t="s">
        <v>593</v>
      </c>
      <c r="L14" s="529">
        <f>'EM TOWERS'!D42</f>
        <v>1.6549220743785771</v>
      </c>
      <c r="M14" s="529">
        <f>'EM TOWERS'!E42</f>
        <v>1.784519754580798</v>
      </c>
      <c r="N14" s="529">
        <f>'EM TOWERS'!F42</f>
        <v>1.8716160063762746</v>
      </c>
      <c r="O14" s="529">
        <f>'EM TOWERS'!G42</f>
        <v>1.9406589591487502</v>
      </c>
      <c r="P14" s="286">
        <f>'EM TOWERS'!H42</f>
        <v>-0.13386988386454612</v>
      </c>
      <c r="S14" s="88"/>
      <c r="T14" s="42"/>
      <c r="U14" s="42"/>
      <c r="V14" s="42"/>
      <c r="W14" s="42"/>
      <c r="X14" s="42"/>
      <c r="Y14" s="42"/>
      <c r="Z14" s="42"/>
      <c r="AA14" s="42"/>
    </row>
    <row r="15" spans="2:27">
      <c r="B15" s="5" t="s">
        <v>531</v>
      </c>
      <c r="C15" s="274"/>
      <c r="D15" s="533">
        <v>0</v>
      </c>
      <c r="E15" s="533">
        <v>0</v>
      </c>
      <c r="F15" s="533">
        <v>0</v>
      </c>
      <c r="G15" s="533">
        <v>0</v>
      </c>
      <c r="H15" s="247"/>
      <c r="I15" s="247"/>
      <c r="J15" s="5" t="s">
        <v>475</v>
      </c>
      <c r="L15" s="529">
        <f>'EM TOWERS'!D43</f>
        <v>5.976608052052339</v>
      </c>
      <c r="M15" s="529">
        <f>'EM TOWERS'!E43</f>
        <v>5.4088146449510912</v>
      </c>
      <c r="N15" s="529">
        <f>'EM TOWERS'!F43</f>
        <v>5.0599476755573729</v>
      </c>
      <c r="O15" s="529">
        <f>'EM TOWERS'!G43</f>
        <v>4.7743105797072269</v>
      </c>
      <c r="P15" s="286">
        <f>'EM TOWERS'!H43</f>
        <v>7.5289713595871444E-2</v>
      </c>
      <c r="S15" s="88"/>
      <c r="T15" s="42"/>
      <c r="U15" s="42"/>
      <c r="V15" s="42"/>
      <c r="W15" s="42"/>
      <c r="X15" s="42"/>
      <c r="Y15" s="42"/>
      <c r="Z15" s="42"/>
      <c r="AA15" s="42"/>
    </row>
    <row r="16" spans="2:27">
      <c r="B16" s="5" t="s">
        <v>534</v>
      </c>
      <c r="C16" s="257"/>
      <c r="D16" s="533">
        <v>0</v>
      </c>
      <c r="E16" s="533">
        <v>0</v>
      </c>
      <c r="F16" s="533">
        <v>0</v>
      </c>
      <c r="G16" s="533">
        <v>0</v>
      </c>
      <c r="H16" s="247"/>
      <c r="I16" s="247"/>
      <c r="J16" s="5" t="s">
        <v>533</v>
      </c>
      <c r="L16" s="529">
        <f>'EM TOWERS'!D44</f>
        <v>14.893977546972051</v>
      </c>
      <c r="M16" s="529">
        <f>'EM TOWERS'!E44</f>
        <v>11.840472853769791</v>
      </c>
      <c r="N16" s="529">
        <f>'EM TOWERS'!F44</f>
        <v>9.5746290752304422</v>
      </c>
      <c r="O16" s="529">
        <f>'EM TOWERS'!G44</f>
        <v>8.1150344654722684</v>
      </c>
      <c r="P16" s="286">
        <f>'EM TOWERS'!H44</f>
        <v>0.22156776501415409</v>
      </c>
      <c r="S16" s="88"/>
      <c r="T16" s="42"/>
      <c r="U16" s="42"/>
      <c r="V16" s="42"/>
      <c r="W16" s="42"/>
      <c r="X16" s="42"/>
      <c r="Y16" s="42"/>
      <c r="Z16" s="42"/>
      <c r="AA16" s="42"/>
    </row>
    <row r="17" spans="2:27">
      <c r="B17" s="5" t="s">
        <v>6</v>
      </c>
      <c r="C17" s="257"/>
      <c r="D17" s="533">
        <v>0</v>
      </c>
      <c r="E17" s="533">
        <v>0</v>
      </c>
      <c r="F17" s="533">
        <v>0</v>
      </c>
      <c r="G17" s="533">
        <v>0</v>
      </c>
      <c r="H17" s="247"/>
      <c r="I17" s="247"/>
      <c r="J17" s="5" t="s">
        <v>580</v>
      </c>
      <c r="L17" s="248">
        <f>'EM TOWERS'!D45</f>
        <v>3.4154898105313747E-2</v>
      </c>
      <c r="M17" s="248">
        <f>'EM TOWERS'!E45</f>
        <v>4.4073955051740152E-2</v>
      </c>
      <c r="N17" s="248">
        <f>'EM TOWERS'!F45</f>
        <v>5.4312748525084206E-2</v>
      </c>
      <c r="O17" s="248">
        <f>'EM TOWERS'!G45</f>
        <v>6.3843538763397198E-2</v>
      </c>
      <c r="P17" s="286">
        <f>'EM TOWERS'!H45</f>
        <v>0.22903836843887304</v>
      </c>
      <c r="S17" s="88"/>
      <c r="T17" s="42"/>
      <c r="U17" s="42"/>
      <c r="V17" s="42"/>
      <c r="W17" s="42"/>
      <c r="X17" s="42"/>
      <c r="Y17" s="42"/>
      <c r="Z17" s="42"/>
      <c r="AA17" s="42"/>
    </row>
    <row r="18" spans="2:27" ht="12.6" thickBot="1">
      <c r="B18" s="41" t="s">
        <v>583</v>
      </c>
      <c r="C18" s="249"/>
      <c r="D18" s="534">
        <f>D11+D12+D13-D14+D15-D16-D17</f>
        <v>4931.8258400000004</v>
      </c>
      <c r="E18" s="534">
        <f>E11+E12+E13-E14+E15-E16-E17</f>
        <v>4833.3357099882414</v>
      </c>
      <c r="F18" s="534">
        <f>F11+F12+F13-F14+F15-F16-F17</f>
        <v>4656.8201639486269</v>
      </c>
      <c r="G18" s="534">
        <f>G11+G12+G13-G14+G15-G16-G17</f>
        <v>4375.8720396831923</v>
      </c>
      <c r="H18" s="276">
        <f>IF(D18=0,"nm",IF(G18=0,"nm",(G18/D18)^(1/3)-1))</f>
        <v>-3.9083551823822171E-2</v>
      </c>
      <c r="I18" s="254"/>
      <c r="J18" s="5" t="s">
        <v>36</v>
      </c>
      <c r="L18" s="248">
        <f>'EM TOWERS'!D46</f>
        <v>2.9269707798486252E-2</v>
      </c>
      <c r="M18" s="248">
        <f>'EM TOWERS'!E46</f>
        <v>3.8525771742588415E-2</v>
      </c>
      <c r="N18" s="248">
        <f>'EM TOWERS'!F46</f>
        <v>4.8168804565408389E-2</v>
      </c>
      <c r="O18" s="248">
        <f>'EM TOWERS'!G46</f>
        <v>5.7376762666392481E-2</v>
      </c>
      <c r="P18" s="286">
        <f>'EM TOWERS'!H46</f>
        <v>0.24867669579952301</v>
      </c>
      <c r="S18" s="88"/>
      <c r="T18" s="42"/>
      <c r="U18" s="42"/>
      <c r="V18" s="42"/>
      <c r="W18" s="42"/>
      <c r="X18" s="42"/>
      <c r="Y18" s="42"/>
      <c r="Z18" s="42"/>
      <c r="AA18" s="42"/>
    </row>
    <row r="19" spans="2:27" ht="12.6" thickTop="1">
      <c r="B19" s="41"/>
      <c r="C19" s="249"/>
      <c r="D19" s="229"/>
      <c r="E19" s="229"/>
      <c r="F19" s="229"/>
      <c r="G19" s="229"/>
      <c r="H19" s="276"/>
      <c r="I19" s="254"/>
      <c r="J19" s="5" t="s">
        <v>581</v>
      </c>
      <c r="L19" s="248">
        <f>'EM TOWERS'!D47</f>
        <v>0.1673189861691875</v>
      </c>
      <c r="M19" s="248">
        <f>'EM TOWERS'!E47</f>
        <v>0.18488339232209766</v>
      </c>
      <c r="N19" s="248">
        <f>'EM TOWERS'!F47</f>
        <v>0.19763050215531056</v>
      </c>
      <c r="O19" s="248">
        <f>'EM TOWERS'!G47</f>
        <v>0.20945432503918138</v>
      </c>
      <c r="P19" s="286">
        <f>'EM TOWERS'!H47</f>
        <v>7.5289713595871444E-2</v>
      </c>
      <c r="S19" s="88"/>
      <c r="T19" s="42"/>
      <c r="U19" s="42"/>
      <c r="V19" s="42"/>
      <c r="W19" s="42"/>
      <c r="X19" s="42"/>
      <c r="Y19" s="42"/>
      <c r="Z19" s="42"/>
      <c r="AA19" s="42"/>
    </row>
    <row r="20" spans="2:27">
      <c r="H20" s="277"/>
      <c r="I20" s="17"/>
      <c r="J20" s="5" t="s">
        <v>604</v>
      </c>
      <c r="L20" s="305">
        <f>'EM TOWERS'!D48</f>
        <v>0.20413043903324535</v>
      </c>
      <c r="M20" s="305">
        <f>'EM TOWERS'!E48</f>
        <v>0.2383878535447683</v>
      </c>
      <c r="N20" s="305">
        <f>'EM TOWERS'!F48</f>
        <v>0.27481966565263194</v>
      </c>
      <c r="O20" s="305">
        <f>'EM TOWERS'!G48</f>
        <v>0.30480888256403571</v>
      </c>
      <c r="P20" s="286" t="str">
        <f>'EM TOWERS'!H48</f>
        <v>nm</v>
      </c>
      <c r="S20" s="88"/>
      <c r="T20" s="42"/>
      <c r="U20" s="42"/>
      <c r="V20" s="42"/>
      <c r="W20" s="42"/>
      <c r="X20" s="42"/>
      <c r="Y20" s="42"/>
      <c r="Z20" s="42"/>
      <c r="AA20" s="42"/>
    </row>
    <row r="21" spans="2:27" ht="12.6" thickBot="1">
      <c r="B21" s="306" t="s">
        <v>1400</v>
      </c>
      <c r="C21" s="265"/>
      <c r="D21" s="265" t="str">
        <f>D5</f>
        <v>2023E</v>
      </c>
      <c r="E21" s="265" t="str">
        <f t="shared" ref="E21:H21" si="2">E5</f>
        <v>2024E</v>
      </c>
      <c r="F21" s="265" t="str">
        <f t="shared" si="2"/>
        <v>2025E</v>
      </c>
      <c r="G21" s="265" t="str">
        <f t="shared" si="2"/>
        <v>2026E</v>
      </c>
      <c r="H21" s="265" t="str">
        <f t="shared" si="2"/>
        <v>23E-26E</v>
      </c>
      <c r="I21" s="49"/>
      <c r="J21" s="41"/>
      <c r="L21" s="250"/>
      <c r="M21" s="250"/>
      <c r="N21" s="250"/>
      <c r="O21" s="250"/>
      <c r="P21" s="286"/>
      <c r="S21" s="88"/>
      <c r="T21" s="42"/>
      <c r="U21" s="42"/>
      <c r="V21" s="42"/>
      <c r="W21" s="42"/>
      <c r="X21" s="42"/>
      <c r="Y21" s="42"/>
      <c r="Z21" s="42"/>
      <c r="AA21" s="42"/>
    </row>
    <row r="22" spans="2:27" ht="12.6" thickTop="1">
      <c r="B22" s="5"/>
      <c r="C22" s="257"/>
      <c r="D22" s="17"/>
      <c r="E22" s="17"/>
      <c r="F22" s="17"/>
      <c r="G22" s="17"/>
      <c r="H22" s="17"/>
      <c r="I22" s="17"/>
      <c r="P22" s="277"/>
      <c r="S22" s="88"/>
      <c r="T22" s="42"/>
      <c r="U22" s="42"/>
      <c r="V22" s="42"/>
      <c r="W22" s="42"/>
      <c r="X22" s="42"/>
      <c r="Y22" s="42"/>
      <c r="Z22" s="42"/>
      <c r="AA22" s="42"/>
    </row>
    <row r="23" spans="2:27" ht="12.6" thickBot="1">
      <c r="B23" s="5" t="s">
        <v>584</v>
      </c>
      <c r="C23" s="548">
        <v>1961.2990000000002</v>
      </c>
      <c r="D23" s="540">
        <v>2125.5389999999998</v>
      </c>
      <c r="E23" s="540">
        <v>1797.8200944207349</v>
      </c>
      <c r="F23" s="540">
        <v>1963.8900132550586</v>
      </c>
      <c r="G23" s="540">
        <v>2181.096296898234</v>
      </c>
      <c r="H23" s="279">
        <f t="shared" ref="H23:H32" si="3">IF(D23=0,"nm",IF(G23=0,"nm",(G23/D23)^(1/3)-1))</f>
        <v>8.6378331700502908E-3</v>
      </c>
      <c r="I23" s="247"/>
      <c r="J23" s="306" t="s">
        <v>9</v>
      </c>
      <c r="K23" s="306"/>
      <c r="L23" s="265" t="str">
        <f>D21</f>
        <v>2023E</v>
      </c>
      <c r="M23" s="265" t="str">
        <f t="shared" ref="M23:P23" si="4">E21</f>
        <v>2024E</v>
      </c>
      <c r="N23" s="265" t="str">
        <f t="shared" si="4"/>
        <v>2025E</v>
      </c>
      <c r="O23" s="265" t="str">
        <f t="shared" si="4"/>
        <v>2026E</v>
      </c>
      <c r="P23" s="265" t="str">
        <f t="shared" si="4"/>
        <v>23E-26E</v>
      </c>
      <c r="S23" s="88"/>
      <c r="T23" s="42"/>
      <c r="U23" s="42"/>
      <c r="V23" s="42"/>
      <c r="W23" s="42"/>
      <c r="X23" s="42"/>
      <c r="Y23" s="42"/>
      <c r="Z23" s="42"/>
      <c r="AA23" s="42"/>
    </row>
    <row r="24" spans="2:27" ht="12.6" thickTop="1">
      <c r="B24" s="5" t="s">
        <v>483</v>
      </c>
      <c r="C24" s="549">
        <v>1031.386</v>
      </c>
      <c r="D24" s="540">
        <v>1132.5350000000001</v>
      </c>
      <c r="E24" s="540">
        <v>996.57233106268018</v>
      </c>
      <c r="F24" s="540">
        <v>1096.6074587663193</v>
      </c>
      <c r="G24" s="540">
        <v>1225.8932974495447</v>
      </c>
      <c r="H24" s="279">
        <f t="shared" si="3"/>
        <v>2.6755440458969604E-2</v>
      </c>
      <c r="I24" s="249"/>
      <c r="J24" s="17"/>
      <c r="K24" s="17"/>
      <c r="L24" s="17"/>
      <c r="M24" s="17"/>
      <c r="N24" s="17"/>
      <c r="O24" s="248"/>
      <c r="S24" s="88"/>
      <c r="T24" s="42"/>
      <c r="U24" s="42"/>
      <c r="V24" s="42"/>
      <c r="W24" s="42" t="s">
        <v>1397</v>
      </c>
      <c r="X24" s="42" t="s">
        <v>257</v>
      </c>
      <c r="Y24" s="42"/>
      <c r="Z24" s="42"/>
      <c r="AA24" s="42"/>
    </row>
    <row r="25" spans="2:27">
      <c r="B25" s="5" t="s">
        <v>183</v>
      </c>
      <c r="C25" s="548">
        <v>397.38599999999997</v>
      </c>
      <c r="D25" s="540">
        <v>546.53500000000008</v>
      </c>
      <c r="E25" s="540">
        <v>645.99741265063687</v>
      </c>
      <c r="F25" s="540">
        <v>743.10725638040867</v>
      </c>
      <c r="G25" s="540">
        <v>855.10692697684487</v>
      </c>
      <c r="H25" s="279">
        <f t="shared" si="3"/>
        <v>0.16091604891172118</v>
      </c>
      <c r="I25" s="248"/>
      <c r="J25" s="247" t="s">
        <v>10</v>
      </c>
      <c r="K25" s="247"/>
      <c r="L25" s="321">
        <v>0</v>
      </c>
      <c r="M25" s="321">
        <v>0</v>
      </c>
      <c r="N25" s="321">
        <v>0</v>
      </c>
      <c r="O25" s="321">
        <v>0</v>
      </c>
      <c r="P25" s="279" t="str">
        <f>IF(L25=0,"nm",IF(O25=0,"nm",(O25/L25)^(1/3)-1))</f>
        <v>nm</v>
      </c>
      <c r="S25" s="88"/>
      <c r="T25" s="42"/>
      <c r="U25" s="42"/>
      <c r="V25" s="147" t="s">
        <v>273</v>
      </c>
      <c r="W25" s="288">
        <f>D37/L9</f>
        <v>0.86852685227387882</v>
      </c>
      <c r="X25" s="288">
        <v>1</v>
      </c>
      <c r="Y25" s="42"/>
      <c r="Z25" s="42"/>
      <c r="AA25" s="42"/>
    </row>
    <row r="26" spans="2:27">
      <c r="B26" s="5" t="s">
        <v>586</v>
      </c>
      <c r="C26" s="548">
        <v>278.17019999999997</v>
      </c>
      <c r="D26" s="540">
        <v>382.57450000000006</v>
      </c>
      <c r="E26" s="540">
        <v>452.19818885544578</v>
      </c>
      <c r="F26" s="540">
        <v>520.17507946628609</v>
      </c>
      <c r="G26" s="540">
        <v>598.57484888379133</v>
      </c>
      <c r="H26" s="279">
        <f t="shared" si="3"/>
        <v>0.16091604891172118</v>
      </c>
      <c r="I26" s="249"/>
      <c r="J26" s="249" t="s">
        <v>11</v>
      </c>
      <c r="K26" s="249"/>
      <c r="L26" s="281">
        <f>D11+L25</f>
        <v>1112.8078399999999</v>
      </c>
      <c r="M26" s="281">
        <f>E11+M25</f>
        <v>1099.4478399999998</v>
      </c>
      <c r="N26" s="281">
        <f>F11+N25</f>
        <v>1091.0978399999999</v>
      </c>
      <c r="O26" s="281">
        <f>G11+O25</f>
        <v>1091.0978399999999</v>
      </c>
      <c r="P26" s="279">
        <f>IF(L26=0,"nm",IF(O26=0,"nm",(O26/L26)^(1/3)-1))</f>
        <v>-6.5458237661557561E-3</v>
      </c>
      <c r="Q26" s="5"/>
      <c r="S26" s="88"/>
      <c r="T26" s="42"/>
      <c r="U26" s="42"/>
      <c r="V26" s="147" t="s">
        <v>184</v>
      </c>
      <c r="W26" s="288">
        <f t="shared" ref="W26:W33" si="5">D38/L10</f>
        <v>1.0495951856251158</v>
      </c>
      <c r="X26" s="288">
        <v>1</v>
      </c>
      <c r="Y26" s="42"/>
      <c r="Z26" s="42"/>
      <c r="AA26" s="42"/>
    </row>
    <row r="27" spans="2:27">
      <c r="B27" s="5" t="s">
        <v>587</v>
      </c>
      <c r="C27" s="549">
        <v>5023.1609999999991</v>
      </c>
      <c r="D27" s="540">
        <v>4403.8780000000006</v>
      </c>
      <c r="E27" s="540">
        <v>4407.4524696243952</v>
      </c>
      <c r="F27" s="540">
        <v>4392.1649899253571</v>
      </c>
      <c r="G27" s="540">
        <v>4380.9131476120492</v>
      </c>
      <c r="H27" s="279">
        <f t="shared" si="3"/>
        <v>-1.7412597579603561E-3</v>
      </c>
      <c r="I27" s="249"/>
      <c r="J27" s="248"/>
      <c r="K27" s="248"/>
      <c r="L27" s="248"/>
      <c r="M27" s="248"/>
      <c r="N27" s="248"/>
      <c r="O27" s="248"/>
      <c r="Q27" s="41"/>
      <c r="S27" s="88"/>
      <c r="T27" s="42"/>
      <c r="U27" s="42"/>
      <c r="V27" s="147" t="s">
        <v>185</v>
      </c>
      <c r="W27" s="288">
        <f t="shared" si="5"/>
        <v>1.4587220419977707</v>
      </c>
      <c r="X27" s="288">
        <v>1</v>
      </c>
      <c r="Y27" s="42"/>
      <c r="Z27" s="42"/>
      <c r="AA27" s="42"/>
    </row>
    <row r="28" spans="2:27">
      <c r="B28" s="5" t="s">
        <v>592</v>
      </c>
      <c r="C28" s="548">
        <v>2075.4409999999998</v>
      </c>
      <c r="D28" s="540">
        <v>1740.2349999999999</v>
      </c>
      <c r="E28" s="540">
        <v>1718.9862900747271</v>
      </c>
      <c r="F28" s="540">
        <v>1688.6531492639801</v>
      </c>
      <c r="G28" s="540">
        <v>1656.1064163384935</v>
      </c>
      <c r="H28" s="279">
        <f t="shared" si="3"/>
        <v>-1.6381291974868484E-2</v>
      </c>
      <c r="I28" s="248"/>
      <c r="Q28" s="5"/>
      <c r="S28" s="88"/>
      <c r="T28" s="42"/>
      <c r="U28" s="42"/>
      <c r="V28" s="147" t="s">
        <v>466</v>
      </c>
      <c r="W28" s="288">
        <f t="shared" si="5"/>
        <v>1.8564570246021372</v>
      </c>
      <c r="X28" s="288">
        <v>1</v>
      </c>
      <c r="Y28" s="42"/>
      <c r="Z28" s="42"/>
      <c r="AA28" s="42"/>
    </row>
    <row r="29" spans="2:27" ht="12.6" thickBot="1">
      <c r="B29" s="5" t="s">
        <v>588</v>
      </c>
      <c r="C29" s="548">
        <v>-148.4500000000001</v>
      </c>
      <c r="D29" s="540">
        <v>-246.73699999999982</v>
      </c>
      <c r="E29" s="540">
        <v>11.938056111538174</v>
      </c>
      <c r="F29" s="540">
        <v>95.254941516347159</v>
      </c>
      <c r="G29" s="540">
        <v>176.32851059742873</v>
      </c>
      <c r="H29" s="279">
        <f t="shared" si="3"/>
        <v>-1.8940519465182128</v>
      </c>
      <c r="I29" s="252"/>
      <c r="J29" s="306" t="s">
        <v>1363</v>
      </c>
      <c r="K29" s="306"/>
      <c r="L29" s="265" t="str">
        <f>L$5</f>
        <v>2023E</v>
      </c>
      <c r="M29" s="265" t="str">
        <f t="shared" ref="M29:P29" si="6">M$5</f>
        <v>2024E</v>
      </c>
      <c r="N29" s="265" t="str">
        <f t="shared" si="6"/>
        <v>2025E</v>
      </c>
      <c r="O29" s="265" t="str">
        <f t="shared" si="6"/>
        <v>2026E</v>
      </c>
      <c r="P29" s="265" t="str">
        <f t="shared" si="6"/>
        <v>23E-26E</v>
      </c>
      <c r="Q29" s="5"/>
      <c r="S29" s="88"/>
      <c r="T29" s="42"/>
      <c r="U29" s="42"/>
      <c r="V29" s="147" t="s">
        <v>530</v>
      </c>
      <c r="W29" s="288">
        <f t="shared" si="5"/>
        <v>0.95283759728075967</v>
      </c>
      <c r="X29" s="288">
        <v>1</v>
      </c>
      <c r="Y29" s="42"/>
      <c r="Z29" s="42"/>
      <c r="AA29" s="42"/>
    </row>
    <row r="30" spans="2:27" ht="12.6" thickTop="1">
      <c r="B30" s="5" t="s">
        <v>589</v>
      </c>
      <c r="C30" s="549">
        <v>343.30599999999993</v>
      </c>
      <c r="D30" s="540">
        <v>189.1690000000001</v>
      </c>
      <c r="E30" s="540">
        <v>202.14640403629818</v>
      </c>
      <c r="F30" s="540">
        <v>296.88758861357053</v>
      </c>
      <c r="G30" s="540">
        <v>384.24191549960511</v>
      </c>
      <c r="H30" s="279">
        <f t="shared" si="3"/>
        <v>0.26644088779461028</v>
      </c>
      <c r="I30" s="254"/>
      <c r="J30" s="248"/>
      <c r="K30" s="248"/>
      <c r="L30" s="248"/>
      <c r="M30" s="248"/>
      <c r="N30" s="248"/>
      <c r="O30" s="5"/>
      <c r="Q30" s="5"/>
      <c r="S30" s="88"/>
      <c r="T30" s="42"/>
      <c r="U30" s="42"/>
      <c r="V30" s="147" t="s">
        <v>593</v>
      </c>
      <c r="W30" s="288">
        <f t="shared" si="5"/>
        <v>1.712467286333655</v>
      </c>
      <c r="X30" s="288">
        <v>1</v>
      </c>
      <c r="Y30" s="42"/>
      <c r="Z30" s="42"/>
      <c r="AA30" s="42"/>
    </row>
    <row r="31" spans="2:27">
      <c r="B31" s="5" t="s">
        <v>590</v>
      </c>
      <c r="C31" s="549">
        <v>0</v>
      </c>
      <c r="D31" s="540">
        <v>0</v>
      </c>
      <c r="E31" s="540">
        <v>0</v>
      </c>
      <c r="F31" s="540">
        <v>0</v>
      </c>
      <c r="G31" s="540">
        <v>0</v>
      </c>
      <c r="H31" s="279" t="str">
        <f t="shared" si="3"/>
        <v>nm</v>
      </c>
      <c r="I31" s="254"/>
      <c r="J31" s="5" t="s">
        <v>737</v>
      </c>
      <c r="K31" s="247"/>
      <c r="L31" s="322">
        <v>34384</v>
      </c>
      <c r="M31" s="322">
        <v>35570.511807850002</v>
      </c>
      <c r="N31" s="322">
        <v>36542.277286516473</v>
      </c>
      <c r="O31" s="322">
        <v>37616.22416318459</v>
      </c>
      <c r="Q31" s="5"/>
      <c r="S31" s="88"/>
      <c r="T31" s="42"/>
      <c r="U31" s="42"/>
      <c r="V31" s="147" t="s">
        <v>475</v>
      </c>
      <c r="W31" s="288">
        <f t="shared" si="5"/>
        <v>-0.75462488232378422</v>
      </c>
      <c r="X31" s="288">
        <v>1</v>
      </c>
      <c r="Y31" s="42"/>
      <c r="Z31" s="42"/>
      <c r="AA31" s="42"/>
    </row>
    <row r="32" spans="2:27">
      <c r="B32" s="5" t="s">
        <v>606</v>
      </c>
      <c r="C32" s="550">
        <v>0</v>
      </c>
      <c r="D32" s="540">
        <v>-10.037000000000001</v>
      </c>
      <c r="E32" s="540">
        <v>-20</v>
      </c>
      <c r="F32" s="540">
        <v>-20</v>
      </c>
      <c r="G32" s="540">
        <v>0</v>
      </c>
      <c r="H32" s="279" t="str">
        <f t="shared" si="3"/>
        <v>nm</v>
      </c>
      <c r="I32" s="254"/>
      <c r="J32" s="5" t="s">
        <v>1361</v>
      </c>
      <c r="K32" s="254"/>
      <c r="L32" s="322">
        <v>52476</v>
      </c>
      <c r="M32" s="322">
        <v>53729.124548904423</v>
      </c>
      <c r="N32" s="322">
        <v>56159.492309100075</v>
      </c>
      <c r="O32" s="322">
        <v>58122.420242588734</v>
      </c>
      <c r="Q32" s="5"/>
      <c r="S32" s="88"/>
      <c r="T32" s="42"/>
      <c r="U32" s="42"/>
      <c r="V32" s="147" t="s">
        <v>533</v>
      </c>
      <c r="W32" s="288">
        <f t="shared" si="5"/>
        <v>0.39496582006614267</v>
      </c>
      <c r="X32" s="288">
        <v>1</v>
      </c>
      <c r="Y32" s="42"/>
      <c r="Z32" s="42"/>
      <c r="AA32" s="42"/>
    </row>
    <row r="33" spans="2:27">
      <c r="B33" s="5" t="s">
        <v>5</v>
      </c>
      <c r="C33" s="549">
        <v>308.44200000000001</v>
      </c>
      <c r="D33" s="540">
        <v>423.99799999999999</v>
      </c>
      <c r="E33" s="540">
        <v>432.56341271922753</v>
      </c>
      <c r="F33" s="540">
        <v>411.99920771922751</v>
      </c>
      <c r="G33" s="540">
        <v>391.4350027192275</v>
      </c>
      <c r="H33" s="279">
        <f>IF(D33=0,"nm",IF(G33=0,"nm",(G33/D33)^(1/3)-1))</f>
        <v>-2.6284798720690117E-2</v>
      </c>
      <c r="I33" s="5"/>
      <c r="Q33" s="5"/>
      <c r="S33" s="88"/>
      <c r="T33" s="42"/>
      <c r="U33" s="42"/>
      <c r="V33" s="147" t="s">
        <v>580</v>
      </c>
      <c r="W33" s="288">
        <f t="shared" si="5"/>
        <v>0</v>
      </c>
      <c r="X33" s="288">
        <v>1</v>
      </c>
      <c r="Y33" s="42"/>
      <c r="Z33" s="42"/>
      <c r="AA33" s="42"/>
    </row>
    <row r="34" spans="2:27">
      <c r="H34" s="277"/>
      <c r="I34" s="49"/>
      <c r="Q34" s="5"/>
      <c r="S34" s="88"/>
      <c r="T34" s="42"/>
      <c r="U34" s="42"/>
      <c r="V34" s="147" t="s">
        <v>581</v>
      </c>
      <c r="W34" s="288">
        <f>D47/L19</f>
        <v>-1.3251617107040123</v>
      </c>
      <c r="X34" s="288">
        <v>1</v>
      </c>
      <c r="Y34" s="288"/>
      <c r="Z34" s="288"/>
      <c r="AA34" s="42"/>
    </row>
    <row r="35" spans="2:27" ht="12.6" thickBot="1">
      <c r="B35" s="306" t="s">
        <v>765</v>
      </c>
      <c r="C35" s="265"/>
      <c r="D35" s="265" t="str">
        <f>D5</f>
        <v>2023E</v>
      </c>
      <c r="E35" s="265" t="str">
        <f t="shared" ref="E35:H35" si="7">E5</f>
        <v>2024E</v>
      </c>
      <c r="F35" s="265" t="str">
        <f t="shared" si="7"/>
        <v>2025E</v>
      </c>
      <c r="G35" s="265" t="str">
        <f t="shared" si="7"/>
        <v>2026E</v>
      </c>
      <c r="H35" s="265" t="str">
        <f t="shared" si="7"/>
        <v>23E-26E</v>
      </c>
      <c r="I35" s="254"/>
      <c r="J35" s="306" t="s">
        <v>1362</v>
      </c>
      <c r="K35" s="306"/>
      <c r="L35" s="306"/>
      <c r="M35" s="306"/>
      <c r="N35" s="266"/>
      <c r="O35" s="266"/>
      <c r="P35" s="266"/>
      <c r="Q35" s="5"/>
      <c r="S35" s="88"/>
      <c r="T35" s="42"/>
      <c r="U35" s="42"/>
      <c r="V35" s="42"/>
      <c r="W35" s="288"/>
      <c r="X35" s="42"/>
      <c r="Y35" s="288"/>
      <c r="Z35" s="288"/>
      <c r="AA35" s="42"/>
    </row>
    <row r="36" spans="2:27" ht="12.6" thickTop="1">
      <c r="B36" s="41"/>
      <c r="C36" s="249"/>
      <c r="D36" s="254"/>
      <c r="E36" s="254"/>
      <c r="F36" s="254"/>
      <c r="G36" s="254"/>
      <c r="H36" s="254"/>
      <c r="I36" s="17"/>
      <c r="J36" s="249"/>
      <c r="K36" s="249"/>
      <c r="L36" s="249"/>
      <c r="M36" s="249"/>
      <c r="N36" s="249"/>
      <c r="O36" s="251"/>
      <c r="Q36" s="5"/>
      <c r="S36" s="88"/>
      <c r="T36" s="42"/>
      <c r="U36" s="42"/>
      <c r="V36" s="42"/>
      <c r="W36" s="42"/>
      <c r="X36" s="42"/>
      <c r="Y36" s="288"/>
      <c r="Z36" s="288"/>
      <c r="AA36" s="42"/>
    </row>
    <row r="37" spans="2:27">
      <c r="B37" s="5" t="s">
        <v>273</v>
      </c>
      <c r="C37" s="247"/>
      <c r="D37" s="529">
        <f>D$18/D23</f>
        <v>2.3202706889875939</v>
      </c>
      <c r="E37" s="529">
        <f t="shared" ref="E37:G41" si="8">E$18/E23</f>
        <v>2.6884423669463779</v>
      </c>
      <c r="F37" s="529">
        <f t="shared" si="8"/>
        <v>2.3712224882849515</v>
      </c>
      <c r="G37" s="529">
        <f t="shared" si="8"/>
        <v>2.0062718211507571</v>
      </c>
      <c r="H37" s="17">
        <f t="shared" ref="H37:H45" si="9">H23</f>
        <v>8.6378331700502908E-3</v>
      </c>
      <c r="I37" s="5"/>
      <c r="J37" s="248"/>
      <c r="K37" s="248"/>
      <c r="L37" s="248"/>
      <c r="M37" s="248"/>
      <c r="N37" s="248"/>
      <c r="O37" s="5"/>
      <c r="Q37" s="5"/>
      <c r="R37" s="5"/>
      <c r="S37" s="42"/>
      <c r="T37" s="42"/>
      <c r="U37" s="42"/>
      <c r="V37" s="42"/>
      <c r="W37" s="42"/>
      <c r="X37" s="42"/>
      <c r="Y37" s="42"/>
      <c r="Z37" s="42"/>
      <c r="AA37" s="42"/>
    </row>
    <row r="38" spans="2:27">
      <c r="B38" s="5" t="s">
        <v>184</v>
      </c>
      <c r="C38" s="247"/>
      <c r="D38" s="529">
        <f>D$18/D24</f>
        <v>4.3546785220765809</v>
      </c>
      <c r="E38" s="529">
        <f>E$18/E24</f>
        <v>4.8499597664268741</v>
      </c>
      <c r="F38" s="529">
        <f t="shared" si="8"/>
        <v>4.246569842947757</v>
      </c>
      <c r="G38" s="529">
        <f t="shared" si="8"/>
        <v>3.5695374538609013</v>
      </c>
      <c r="H38" s="17">
        <f t="shared" si="9"/>
        <v>2.6755440458969604E-2</v>
      </c>
      <c r="I38" s="259"/>
      <c r="J38" s="252"/>
      <c r="K38" s="252"/>
      <c r="L38" s="252"/>
      <c r="M38" s="252"/>
      <c r="N38" s="252"/>
      <c r="O38" s="5"/>
      <c r="Q38" s="5"/>
      <c r="R38" s="5"/>
      <c r="S38" s="42"/>
      <c r="T38" s="42"/>
      <c r="U38" s="42"/>
      <c r="V38" s="42"/>
      <c r="W38" s="42"/>
      <c r="X38" s="42"/>
      <c r="Y38" s="42"/>
      <c r="Z38" s="42"/>
      <c r="AA38" s="42"/>
    </row>
    <row r="39" spans="2:27">
      <c r="B39" s="5" t="s">
        <v>185</v>
      </c>
      <c r="C39" s="247"/>
      <c r="D39" s="529">
        <f>D$18/D25</f>
        <v>9.0238060508476128</v>
      </c>
      <c r="E39" s="529">
        <f t="shared" si="8"/>
        <v>7.4819737901987038</v>
      </c>
      <c r="F39" s="529">
        <f t="shared" si="8"/>
        <v>6.2666864358605121</v>
      </c>
      <c r="G39" s="529">
        <f t="shared" si="8"/>
        <v>5.1173390153132097</v>
      </c>
      <c r="H39" s="17">
        <f t="shared" si="9"/>
        <v>0.16091604891172118</v>
      </c>
      <c r="I39" s="17"/>
      <c r="J39" s="259"/>
      <c r="K39" s="259"/>
      <c r="L39" s="259"/>
      <c r="M39" s="259"/>
      <c r="N39" s="259"/>
      <c r="O39" s="18"/>
      <c r="Q39" s="5"/>
      <c r="R39" s="5"/>
      <c r="S39" s="42"/>
      <c r="T39" s="42"/>
      <c r="U39" s="42"/>
      <c r="V39" s="42"/>
      <c r="W39" s="42"/>
      <c r="X39" s="42"/>
      <c r="Y39" s="42"/>
      <c r="Z39" s="42"/>
      <c r="AA39" s="42"/>
    </row>
    <row r="40" spans="2:27">
      <c r="B40" s="5" t="s">
        <v>466</v>
      </c>
      <c r="C40" s="247"/>
      <c r="D40" s="529">
        <f>D$18/D26</f>
        <v>12.891151501210874</v>
      </c>
      <c r="E40" s="529">
        <f t="shared" si="8"/>
        <v>10.688533985998149</v>
      </c>
      <c r="F40" s="529">
        <f t="shared" si="8"/>
        <v>8.9524091940864459</v>
      </c>
      <c r="G40" s="529">
        <f t="shared" si="8"/>
        <v>7.3104843075903005</v>
      </c>
      <c r="H40" s="17">
        <f t="shared" si="9"/>
        <v>0.16091604891172118</v>
      </c>
      <c r="I40" s="5"/>
      <c r="J40" s="259"/>
      <c r="K40" s="259"/>
      <c r="L40" s="259"/>
      <c r="M40" s="259"/>
      <c r="N40" s="259"/>
      <c r="O40" s="18"/>
      <c r="Q40" s="5"/>
      <c r="R40" s="5"/>
      <c r="S40" s="42"/>
      <c r="T40" s="42"/>
      <c r="U40" s="42"/>
      <c r="V40" s="42"/>
      <c r="W40" s="288"/>
      <c r="X40" s="288"/>
      <c r="Y40" s="42"/>
      <c r="Z40" s="42"/>
      <c r="AA40" s="42"/>
    </row>
    <row r="41" spans="2:27">
      <c r="B41" s="5" t="s">
        <v>530</v>
      </c>
      <c r="C41" s="247"/>
      <c r="D41" s="529">
        <f>D$18/D27</f>
        <v>1.1198824853912845</v>
      </c>
      <c r="E41" s="529">
        <f t="shared" si="8"/>
        <v>1.0966279825588545</v>
      </c>
      <c r="F41" s="529">
        <f t="shared" si="8"/>
        <v>1.0602562004456413</v>
      </c>
      <c r="G41" s="529">
        <f t="shared" si="8"/>
        <v>0.99884930201558442</v>
      </c>
      <c r="H41" s="17">
        <f t="shared" si="9"/>
        <v>-1.7412597579603561E-3</v>
      </c>
      <c r="I41" s="247"/>
      <c r="J41" s="259"/>
      <c r="K41" s="259"/>
      <c r="L41" s="259"/>
      <c r="M41" s="259"/>
      <c r="N41" s="259"/>
      <c r="O41" s="18"/>
      <c r="Q41" s="5"/>
      <c r="R41" s="5"/>
      <c r="S41" s="42"/>
      <c r="T41" s="42"/>
      <c r="U41" s="42"/>
      <c r="V41" s="42"/>
      <c r="W41" s="288"/>
      <c r="X41" s="288"/>
      <c r="Y41" s="288"/>
      <c r="Z41" s="288"/>
      <c r="AA41" s="42"/>
    </row>
    <row r="42" spans="2:27">
      <c r="B42" s="5" t="s">
        <v>593</v>
      </c>
      <c r="C42" s="247"/>
      <c r="D42" s="529">
        <f>D18/D28</f>
        <v>2.8339999138047451</v>
      </c>
      <c r="E42" s="529">
        <f>E18/E28</f>
        <v>2.8117360434434464</v>
      </c>
      <c r="F42" s="529">
        <f>F18/F28</f>
        <v>2.7577126575569166</v>
      </c>
      <c r="G42" s="529">
        <f>G18/G28</f>
        <v>2.6422650117846067</v>
      </c>
      <c r="H42" s="17">
        <f t="shared" si="9"/>
        <v>-1.6381291974868484E-2</v>
      </c>
      <c r="I42" s="248"/>
      <c r="J42" s="5"/>
      <c r="K42" s="5"/>
      <c r="L42" s="5"/>
      <c r="M42" s="5"/>
      <c r="N42" s="5"/>
      <c r="O42" s="5"/>
      <c r="Q42" s="5"/>
      <c r="R42" s="5"/>
      <c r="S42" s="42"/>
      <c r="T42" s="42"/>
      <c r="U42" s="42"/>
      <c r="V42" s="42"/>
      <c r="W42" s="288"/>
      <c r="X42" s="288"/>
      <c r="Y42" s="288"/>
      <c r="Z42" s="288"/>
      <c r="AA42" s="42"/>
    </row>
    <row r="43" spans="2:27">
      <c r="B43" s="5" t="s">
        <v>475</v>
      </c>
      <c r="C43" s="247"/>
      <c r="D43" s="529">
        <f>L26/D29</f>
        <v>-4.5100971479753778</v>
      </c>
      <c r="E43" s="529">
        <f>M26/E29</f>
        <v>92.096052299283429</v>
      </c>
      <c r="F43" s="529">
        <f>N26/F29</f>
        <v>11.454501180001788</v>
      </c>
      <c r="G43" s="529">
        <f>O26/G29</f>
        <v>6.1878696547891705</v>
      </c>
      <c r="H43" s="17">
        <f t="shared" si="9"/>
        <v>-1.8940519465182128</v>
      </c>
      <c r="I43" s="247"/>
      <c r="J43" s="69"/>
      <c r="K43" s="69"/>
      <c r="L43" s="69"/>
      <c r="M43" s="69"/>
      <c r="N43" s="69"/>
      <c r="O43" s="69"/>
      <c r="Q43" s="5"/>
      <c r="R43" s="5"/>
      <c r="S43" s="42"/>
      <c r="T43" s="42"/>
      <c r="U43" s="42"/>
      <c r="V43" s="42"/>
      <c r="W43" s="288"/>
      <c r="X43" s="288"/>
      <c r="Y43" s="288"/>
      <c r="Z43" s="288"/>
      <c r="AA43" s="42"/>
    </row>
    <row r="44" spans="2:27">
      <c r="B44" s="5" t="s">
        <v>533</v>
      </c>
      <c r="C44" s="69"/>
      <c r="D44" s="529">
        <f>D11/D30</f>
        <v>5.8826120558865318</v>
      </c>
      <c r="E44" s="529">
        <f>E11/E30</f>
        <v>5.4388691465546861</v>
      </c>
      <c r="F44" s="529">
        <f>F11/F30</f>
        <v>3.6751210958170941</v>
      </c>
      <c r="G44" s="529">
        <f>G11/G30</f>
        <v>2.8396117029067884</v>
      </c>
      <c r="H44" s="17">
        <f t="shared" si="9"/>
        <v>0.26644088779461028</v>
      </c>
      <c r="I44" s="247"/>
      <c r="J44" s="259"/>
      <c r="K44" s="259"/>
      <c r="L44" s="259"/>
      <c r="M44" s="259"/>
      <c r="N44" s="259"/>
      <c r="O44" s="18"/>
      <c r="Q44" s="5"/>
      <c r="R44" s="5"/>
      <c r="S44" s="42"/>
      <c r="T44" s="42"/>
      <c r="U44" s="42"/>
      <c r="V44" s="42"/>
      <c r="W44" s="325"/>
      <c r="X44" s="325"/>
      <c r="Y44" s="288"/>
      <c r="Z44" s="288"/>
      <c r="AA44" s="42"/>
    </row>
    <row r="45" spans="2:27">
      <c r="B45" s="5" t="s">
        <v>580</v>
      </c>
      <c r="C45" s="247"/>
      <c r="D45" s="248">
        <f>D31/D11</f>
        <v>0</v>
      </c>
      <c r="E45" s="248">
        <f>E31/E11</f>
        <v>0</v>
      </c>
      <c r="F45" s="248">
        <f>F31/F11</f>
        <v>0</v>
      </c>
      <c r="G45" s="248">
        <f>G31/G11</f>
        <v>0</v>
      </c>
      <c r="H45" s="17" t="str">
        <f t="shared" si="9"/>
        <v>nm</v>
      </c>
      <c r="I45" s="248"/>
      <c r="J45" s="17"/>
      <c r="K45" s="17"/>
      <c r="L45" s="17"/>
      <c r="M45" s="17"/>
      <c r="N45" s="17"/>
      <c r="O45" s="5"/>
      <c r="Q45" s="5"/>
      <c r="R45" s="5"/>
      <c r="S45" s="42"/>
      <c r="T45" s="42"/>
      <c r="U45" s="42"/>
      <c r="V45" s="42"/>
      <c r="W45" s="42"/>
      <c r="X45" s="42"/>
      <c r="Y45" s="325"/>
      <c r="Z45" s="325"/>
      <c r="AA45" s="42"/>
    </row>
    <row r="46" spans="2:27">
      <c r="B46" s="5" t="s">
        <v>605</v>
      </c>
      <c r="C46" s="247"/>
      <c r="D46" s="248">
        <f>(D31+D32)/D11</f>
        <v>-9.019526677669705E-3</v>
      </c>
      <c r="E46" s="248">
        <f>(E31+E32)/E11</f>
        <v>-1.8190949376916329E-2</v>
      </c>
      <c r="F46" s="248">
        <f>(F31+F32)/F11</f>
        <v>-1.8330161848730268E-2</v>
      </c>
      <c r="G46" s="248">
        <f>(G31+G32)/G11</f>
        <v>0</v>
      </c>
      <c r="H46" s="279">
        <f>((G31+G32)/(D31+D32))^(1/3)-1</f>
        <v>-1</v>
      </c>
      <c r="I46" s="247"/>
      <c r="J46" s="5"/>
      <c r="K46" s="5"/>
      <c r="L46" s="5"/>
      <c r="M46" s="5"/>
      <c r="N46" s="5"/>
      <c r="O46" s="5"/>
      <c r="Q46" s="5"/>
      <c r="R46" s="5"/>
      <c r="S46" s="42"/>
      <c r="T46" s="42"/>
      <c r="U46" s="42"/>
      <c r="V46" s="42"/>
      <c r="W46" s="42"/>
      <c r="X46" s="42"/>
      <c r="Y46" s="42"/>
      <c r="Z46" s="42"/>
      <c r="AA46" s="326"/>
    </row>
    <row r="47" spans="2:27">
      <c r="B47" s="5" t="s">
        <v>581</v>
      </c>
      <c r="C47" s="5"/>
      <c r="D47" s="248">
        <f>1/D43</f>
        <v>-0.2217247139452215</v>
      </c>
      <c r="E47" s="248">
        <f>1/E43</f>
        <v>1.0858228719188876E-2</v>
      </c>
      <c r="F47" s="248">
        <f>1/F43</f>
        <v>8.7301924744298987E-2</v>
      </c>
      <c r="G47" s="248">
        <f>1/G43</f>
        <v>0.16160650688982095</v>
      </c>
      <c r="H47" s="17">
        <f>H29</f>
        <v>-1.8940519465182128</v>
      </c>
      <c r="I47" s="17"/>
      <c r="J47" s="259"/>
      <c r="K47" s="259"/>
      <c r="L47" s="259"/>
      <c r="M47" s="259"/>
      <c r="N47" s="259"/>
      <c r="O47" s="18"/>
      <c r="Q47" s="5"/>
      <c r="R47" s="5"/>
      <c r="S47" s="42"/>
      <c r="T47" s="42"/>
      <c r="U47" s="42"/>
      <c r="V47" s="42"/>
      <c r="W47" s="42"/>
      <c r="X47" s="42"/>
      <c r="Y47" s="42"/>
      <c r="Z47" s="42"/>
      <c r="AA47" s="326"/>
    </row>
    <row r="48" spans="2:27">
      <c r="B48" s="5" t="s">
        <v>618</v>
      </c>
      <c r="C48" s="5"/>
      <c r="D48" s="305">
        <f>D31/D29</f>
        <v>0</v>
      </c>
      <c r="E48" s="305">
        <f>E31/E29</f>
        <v>0</v>
      </c>
      <c r="F48" s="305">
        <f>F31/F29</f>
        <v>0</v>
      </c>
      <c r="G48" s="305">
        <f>G31/G29</f>
        <v>0</v>
      </c>
      <c r="H48" s="279" t="s">
        <v>607</v>
      </c>
      <c r="I48" s="247"/>
      <c r="J48" s="17"/>
      <c r="K48" s="17"/>
      <c r="L48" s="17"/>
      <c r="M48" s="17"/>
      <c r="N48" s="17"/>
      <c r="O48" s="5"/>
      <c r="Q48" s="5"/>
      <c r="R48" s="5"/>
      <c r="S48" s="42"/>
      <c r="T48" s="42"/>
      <c r="U48" s="42"/>
      <c r="V48" s="42"/>
      <c r="W48" s="42"/>
      <c r="X48" s="42"/>
      <c r="Y48" s="42"/>
      <c r="Z48" s="42"/>
      <c r="AA48" s="326"/>
    </row>
    <row r="49" spans="2:27">
      <c r="B49" s="41"/>
      <c r="C49" s="17"/>
      <c r="D49" s="17"/>
      <c r="E49" s="17"/>
      <c r="F49" s="17"/>
      <c r="G49" s="17"/>
      <c r="H49" s="17"/>
      <c r="I49" s="254"/>
      <c r="J49" s="5"/>
      <c r="K49" s="5"/>
      <c r="L49" s="5"/>
      <c r="M49" s="5"/>
      <c r="N49" s="5"/>
      <c r="O49" s="5"/>
      <c r="Q49" s="5"/>
      <c r="R49" s="5"/>
      <c r="S49" s="42"/>
      <c r="T49" s="42"/>
      <c r="U49" s="42"/>
      <c r="V49" s="42"/>
      <c r="W49" s="42"/>
      <c r="X49" s="42"/>
      <c r="Y49" s="42"/>
      <c r="Z49" s="42"/>
      <c r="AA49" s="326"/>
    </row>
    <row r="50" spans="2:27">
      <c r="B50" s="5"/>
      <c r="C50" s="257"/>
      <c r="D50" s="257"/>
      <c r="E50" s="257"/>
      <c r="F50" s="5"/>
      <c r="G50" s="41"/>
      <c r="H50" s="249"/>
      <c r="I50" s="17"/>
      <c r="J50" s="249"/>
      <c r="K50" s="249"/>
      <c r="L50" s="249"/>
      <c r="M50" s="249"/>
      <c r="N50" s="249"/>
      <c r="O50" s="251"/>
      <c r="Q50" s="5"/>
      <c r="R50" s="5"/>
      <c r="S50" s="42"/>
      <c r="T50" s="42"/>
      <c r="U50" s="42"/>
      <c r="V50" s="42"/>
      <c r="W50" s="288"/>
      <c r="X50" s="288"/>
      <c r="Y50" s="42"/>
      <c r="Z50" s="42"/>
      <c r="AA50" s="326"/>
    </row>
    <row r="51" spans="2:27">
      <c r="B51" s="41"/>
      <c r="C51" s="249"/>
      <c r="D51" s="254"/>
      <c r="E51" s="254"/>
      <c r="F51" s="254"/>
      <c r="G51" s="254"/>
      <c r="H51" s="254"/>
      <c r="I51" s="259"/>
      <c r="J51" s="248"/>
      <c r="K51" s="248"/>
      <c r="L51" s="248"/>
      <c r="M51" s="248"/>
      <c r="N51" s="248"/>
      <c r="O51" s="248"/>
      <c r="Q51" s="5"/>
      <c r="R51" s="5"/>
      <c r="S51" s="42"/>
      <c r="T51" s="42"/>
      <c r="U51" s="42"/>
      <c r="V51" s="42"/>
      <c r="W51" s="288"/>
      <c r="X51" s="288"/>
      <c r="Y51" s="288"/>
      <c r="Z51" s="288"/>
      <c r="AA51" s="42"/>
    </row>
    <row r="52" spans="2:27">
      <c r="B52" s="5"/>
      <c r="C52" s="257"/>
      <c r="D52" s="17"/>
      <c r="E52" s="17"/>
      <c r="F52" s="17"/>
      <c r="G52" s="17"/>
      <c r="H52" s="17"/>
      <c r="I52" s="254"/>
      <c r="J52" s="247"/>
      <c r="K52" s="247"/>
      <c r="L52" s="247"/>
      <c r="M52" s="247"/>
      <c r="N52" s="247"/>
      <c r="O52" s="248"/>
      <c r="Q52" s="5"/>
      <c r="R52" s="5"/>
      <c r="S52" s="5"/>
      <c r="Y52" s="10"/>
      <c r="Z52" s="10"/>
    </row>
    <row r="53" spans="2:27">
      <c r="B53" s="5"/>
      <c r="C53" s="257"/>
      <c r="D53" s="257"/>
      <c r="E53" s="257"/>
      <c r="F53" s="5"/>
      <c r="G53" s="5"/>
      <c r="H53" s="259"/>
      <c r="I53" s="17"/>
      <c r="J53" s="249"/>
      <c r="K53" s="249"/>
      <c r="L53" s="249"/>
      <c r="M53" s="249"/>
      <c r="N53" s="249"/>
      <c r="O53" s="251"/>
      <c r="Q53" s="5"/>
      <c r="R53" s="5"/>
      <c r="S53" s="5"/>
    </row>
    <row r="54" spans="2:27">
      <c r="B54" s="41"/>
      <c r="C54" s="249"/>
      <c r="D54" s="254"/>
      <c r="E54" s="254"/>
      <c r="F54" s="254"/>
      <c r="G54" s="254"/>
      <c r="H54" s="254"/>
      <c r="I54" s="259"/>
      <c r="J54" s="248"/>
      <c r="K54" s="248"/>
      <c r="L54" s="248"/>
      <c r="M54" s="248"/>
      <c r="N54" s="248"/>
      <c r="O54" s="248"/>
      <c r="Q54" s="5"/>
      <c r="R54" s="5"/>
      <c r="S54" s="5"/>
    </row>
    <row r="55" spans="2:27">
      <c r="B55" s="5"/>
      <c r="C55" s="257"/>
      <c r="D55" s="17"/>
      <c r="E55" s="17"/>
      <c r="F55" s="17"/>
      <c r="G55" s="17"/>
      <c r="H55" s="17"/>
      <c r="I55" s="249"/>
      <c r="J55" s="247"/>
      <c r="K55" s="247"/>
      <c r="L55" s="247"/>
      <c r="M55" s="247"/>
      <c r="N55" s="247"/>
      <c r="O55" s="248"/>
      <c r="Q55" s="5"/>
      <c r="R55" s="5"/>
      <c r="S55" s="5"/>
    </row>
    <row r="56" spans="2:27">
      <c r="B56" s="5"/>
      <c r="C56" s="248"/>
      <c r="D56" s="248"/>
      <c r="E56" s="248"/>
      <c r="F56" s="5"/>
      <c r="G56" s="5"/>
      <c r="H56" s="259"/>
      <c r="I56" s="248"/>
      <c r="J56" s="17"/>
      <c r="K56" s="17"/>
      <c r="L56" s="17"/>
      <c r="M56" s="17"/>
      <c r="N56" s="17"/>
      <c r="O56" s="248"/>
      <c r="Q56" s="5"/>
      <c r="R56" s="5"/>
      <c r="S56" s="5"/>
    </row>
    <row r="57" spans="2:27">
      <c r="B57" s="41"/>
      <c r="C57" s="249"/>
      <c r="D57" s="249"/>
      <c r="E57" s="249"/>
      <c r="F57" s="249"/>
      <c r="G57" s="249"/>
      <c r="H57" s="249"/>
      <c r="I57" s="5"/>
      <c r="J57" s="249"/>
      <c r="K57" s="249"/>
      <c r="L57" s="249"/>
      <c r="M57" s="249"/>
      <c r="N57" s="249"/>
      <c r="O57" s="250"/>
      <c r="Q57" s="5"/>
      <c r="R57" s="5"/>
      <c r="S57" s="5"/>
    </row>
    <row r="58" spans="2:27">
      <c r="B58" s="5"/>
      <c r="C58" s="5"/>
      <c r="D58" s="248"/>
      <c r="E58" s="248"/>
      <c r="F58" s="248"/>
      <c r="G58" s="248"/>
      <c r="H58" s="248"/>
      <c r="I58" s="17"/>
      <c r="J58" s="254"/>
      <c r="K58" s="254"/>
      <c r="L58" s="254"/>
      <c r="M58" s="254"/>
      <c r="N58" s="254"/>
      <c r="O58" s="251"/>
      <c r="Q58" s="5"/>
      <c r="R58" s="5"/>
      <c r="S58" s="5"/>
    </row>
    <row r="59" spans="2:27">
      <c r="B59" s="5"/>
      <c r="C59" s="5"/>
      <c r="D59" s="5"/>
      <c r="E59" s="5"/>
      <c r="F59" s="5"/>
      <c r="G59" s="5"/>
      <c r="H59" s="5"/>
      <c r="I59" s="5"/>
      <c r="J59" s="17"/>
      <c r="K59" s="17"/>
      <c r="L59" s="17"/>
      <c r="M59" s="17"/>
      <c r="N59" s="17"/>
      <c r="O59" s="248"/>
      <c r="Q59" s="5"/>
      <c r="R59" s="5"/>
      <c r="S59" s="5"/>
    </row>
    <row r="60" spans="2:27">
      <c r="B60" s="41"/>
      <c r="C60" s="17"/>
      <c r="D60" s="17"/>
      <c r="E60" s="17"/>
      <c r="F60" s="17"/>
      <c r="G60" s="17"/>
      <c r="H60" s="17"/>
      <c r="I60" s="249"/>
      <c r="J60" s="17"/>
      <c r="K60" s="17"/>
      <c r="L60" s="17"/>
      <c r="M60" s="17"/>
      <c r="N60" s="17"/>
      <c r="O60" s="251"/>
      <c r="Q60" s="5"/>
      <c r="R60" s="5"/>
      <c r="S60" s="5"/>
    </row>
    <row r="61" spans="2:27">
      <c r="B61" s="5"/>
      <c r="C61" s="5"/>
      <c r="D61" s="5"/>
      <c r="E61" s="5"/>
      <c r="F61" s="5"/>
      <c r="G61" s="5"/>
      <c r="H61" s="5"/>
      <c r="I61" s="5"/>
      <c r="J61" s="5"/>
      <c r="K61" s="5"/>
      <c r="L61" s="5"/>
      <c r="M61" s="5"/>
      <c r="N61" s="5"/>
      <c r="O61" s="5"/>
      <c r="Q61" s="41"/>
      <c r="R61" s="5"/>
      <c r="S61" s="5"/>
    </row>
    <row r="62" spans="2:27">
      <c r="B62" s="41"/>
      <c r="C62" s="249"/>
      <c r="D62" s="249"/>
      <c r="E62" s="249"/>
      <c r="F62" s="249"/>
      <c r="G62" s="249"/>
      <c r="H62" s="249"/>
      <c r="I62" s="5"/>
      <c r="J62" s="249"/>
      <c r="K62" s="249"/>
      <c r="L62" s="249"/>
      <c r="M62" s="249"/>
      <c r="N62" s="249"/>
      <c r="O62" s="251"/>
      <c r="Q62" s="5"/>
      <c r="R62" s="5"/>
      <c r="S62" s="5"/>
    </row>
    <row r="63" spans="2:27">
      <c r="B63" s="5"/>
      <c r="C63" s="5"/>
      <c r="D63" s="5"/>
      <c r="E63" s="5"/>
      <c r="F63" s="5"/>
      <c r="G63" s="5"/>
      <c r="H63" s="5"/>
      <c r="I63" s="254"/>
      <c r="J63" s="5"/>
      <c r="K63" s="5"/>
      <c r="L63" s="5"/>
      <c r="M63" s="5"/>
      <c r="N63" s="5"/>
      <c r="O63" s="5"/>
      <c r="Q63" s="5"/>
      <c r="R63" s="5"/>
      <c r="S63" s="5"/>
    </row>
    <row r="64" spans="2:27">
      <c r="B64" s="5"/>
      <c r="C64" s="5"/>
      <c r="D64" s="5"/>
      <c r="E64" s="5"/>
      <c r="F64" s="5"/>
      <c r="G64" s="5"/>
      <c r="H64" s="5"/>
      <c r="I64" s="17"/>
      <c r="J64" s="5"/>
      <c r="K64" s="5"/>
      <c r="L64" s="5"/>
      <c r="M64" s="5"/>
      <c r="N64" s="5"/>
      <c r="O64" s="5"/>
      <c r="Q64" s="5"/>
      <c r="R64" s="5"/>
      <c r="S64" s="5"/>
    </row>
    <row r="65" spans="2:26">
      <c r="B65" s="41"/>
      <c r="C65" s="249"/>
      <c r="D65" s="254"/>
      <c r="E65" s="254"/>
      <c r="F65" s="254"/>
      <c r="G65" s="254"/>
      <c r="H65" s="254"/>
      <c r="I65" s="254"/>
      <c r="J65" s="254"/>
      <c r="K65" s="254"/>
      <c r="L65" s="254"/>
      <c r="M65" s="254"/>
      <c r="N65" s="254"/>
      <c r="O65" s="251"/>
      <c r="Q65" s="5"/>
      <c r="R65" s="5"/>
      <c r="S65" s="5"/>
    </row>
    <row r="66" spans="2:26">
      <c r="B66" s="5"/>
      <c r="C66" s="5"/>
      <c r="D66" s="17"/>
      <c r="E66" s="17"/>
      <c r="F66" s="17"/>
      <c r="G66" s="17"/>
      <c r="H66" s="17"/>
      <c r="I66" s="248"/>
      <c r="J66" s="17"/>
      <c r="K66" s="17"/>
      <c r="L66" s="17"/>
      <c r="M66" s="17"/>
      <c r="N66" s="17"/>
      <c r="O66" s="5"/>
      <c r="Q66" s="5"/>
      <c r="R66" s="5"/>
      <c r="S66" s="5"/>
    </row>
    <row r="67" spans="2:26">
      <c r="B67" s="41"/>
      <c r="C67" s="249"/>
      <c r="D67" s="254"/>
      <c r="E67" s="254"/>
      <c r="F67" s="254"/>
      <c r="G67" s="254"/>
      <c r="H67" s="254"/>
      <c r="I67" s="5"/>
      <c r="J67" s="254"/>
      <c r="K67" s="254"/>
      <c r="L67" s="254"/>
      <c r="M67" s="254"/>
      <c r="N67" s="254"/>
      <c r="O67" s="251"/>
      <c r="Q67" s="41"/>
      <c r="R67" s="5"/>
      <c r="S67" s="5"/>
    </row>
    <row r="68" spans="2:26">
      <c r="B68" s="5"/>
      <c r="C68" s="5"/>
      <c r="D68" s="248"/>
      <c r="E68" s="248"/>
      <c r="F68" s="248"/>
      <c r="G68" s="248"/>
      <c r="H68" s="248"/>
      <c r="I68" s="245"/>
      <c r="J68" s="248"/>
      <c r="K68" s="248"/>
      <c r="L68" s="248"/>
      <c r="M68" s="248"/>
      <c r="N68" s="248"/>
      <c r="O68" s="5"/>
      <c r="Q68" s="5"/>
      <c r="R68" s="5"/>
      <c r="S68" s="5"/>
    </row>
    <row r="69" spans="2:26">
      <c r="B69" s="41"/>
      <c r="C69" s="5"/>
      <c r="D69" s="5"/>
      <c r="E69" s="5"/>
      <c r="F69" s="5"/>
      <c r="G69" s="5"/>
      <c r="H69" s="5"/>
      <c r="I69" s="248"/>
      <c r="J69" s="5"/>
      <c r="K69" s="5"/>
      <c r="L69" s="5"/>
      <c r="M69" s="5"/>
      <c r="N69" s="5"/>
      <c r="O69" s="5"/>
      <c r="Q69" s="5"/>
      <c r="R69" s="5"/>
      <c r="S69" s="5"/>
    </row>
    <row r="70" spans="2:26">
      <c r="B70" s="41"/>
      <c r="C70" s="245"/>
      <c r="D70" s="245"/>
      <c r="E70" s="245"/>
      <c r="F70" s="245"/>
      <c r="G70" s="245"/>
      <c r="H70" s="245"/>
      <c r="I70" s="5"/>
      <c r="J70" s="245"/>
      <c r="K70" s="245"/>
      <c r="L70" s="245"/>
      <c r="M70" s="245"/>
      <c r="N70" s="245"/>
      <c r="O70" s="251"/>
      <c r="Q70" s="5"/>
      <c r="R70" s="5"/>
      <c r="S70" s="5"/>
      <c r="W70" s="76"/>
      <c r="X70" s="76"/>
    </row>
    <row r="71" spans="2:26">
      <c r="B71" s="5"/>
      <c r="C71" s="5"/>
      <c r="D71" s="248"/>
      <c r="E71" s="248"/>
      <c r="F71" s="248"/>
      <c r="G71" s="248"/>
      <c r="H71" s="248"/>
      <c r="I71" s="245"/>
      <c r="J71" s="248"/>
      <c r="K71" s="248"/>
      <c r="L71" s="248"/>
      <c r="M71" s="248"/>
      <c r="N71" s="248"/>
      <c r="O71" s="5"/>
      <c r="Q71" s="5"/>
      <c r="R71" s="5"/>
      <c r="S71" s="5"/>
      <c r="W71" s="76"/>
      <c r="X71" s="76"/>
      <c r="Y71" s="76"/>
      <c r="Z71" s="76"/>
    </row>
    <row r="72" spans="2:26">
      <c r="B72" s="41"/>
      <c r="C72" s="5"/>
      <c r="D72" s="5"/>
      <c r="E72" s="5"/>
      <c r="F72" s="5"/>
      <c r="G72" s="5"/>
      <c r="H72" s="5"/>
      <c r="I72" s="18"/>
      <c r="J72" s="5"/>
      <c r="K72" s="5"/>
      <c r="L72" s="5"/>
      <c r="M72" s="5"/>
      <c r="N72" s="5"/>
      <c r="O72" s="5"/>
      <c r="Q72" s="5"/>
      <c r="R72" s="5"/>
      <c r="S72" s="5"/>
      <c r="Y72" s="76"/>
      <c r="Z72" s="76"/>
    </row>
    <row r="73" spans="2:26">
      <c r="B73" s="41"/>
      <c r="C73" s="245"/>
      <c r="D73" s="245"/>
      <c r="E73" s="245"/>
      <c r="F73" s="245"/>
      <c r="G73" s="245"/>
      <c r="H73" s="245"/>
      <c r="I73" s="5"/>
      <c r="J73" s="245"/>
      <c r="K73" s="245"/>
      <c r="L73" s="245"/>
      <c r="M73" s="245"/>
      <c r="N73" s="245"/>
      <c r="O73" s="251"/>
      <c r="Q73" s="5"/>
      <c r="R73" s="5"/>
      <c r="S73" s="5"/>
    </row>
    <row r="74" spans="2:26">
      <c r="B74" s="5"/>
      <c r="C74" s="5"/>
      <c r="D74" s="18"/>
      <c r="E74" s="18"/>
      <c r="F74" s="18"/>
      <c r="G74" s="18"/>
      <c r="H74" s="18"/>
      <c r="I74" s="249"/>
      <c r="J74" s="18"/>
      <c r="K74" s="18"/>
      <c r="L74" s="18"/>
      <c r="M74" s="18"/>
      <c r="N74" s="18"/>
      <c r="O74" s="5"/>
      <c r="Q74" s="5"/>
      <c r="R74" s="5"/>
      <c r="S74" s="5"/>
    </row>
    <row r="75" spans="2:26">
      <c r="B75" s="41"/>
      <c r="C75" s="5"/>
      <c r="D75" s="5"/>
      <c r="E75" s="5"/>
      <c r="F75" s="5"/>
      <c r="G75" s="5"/>
      <c r="H75" s="5"/>
      <c r="I75" s="248"/>
      <c r="J75" s="5"/>
      <c r="K75" s="5"/>
      <c r="L75" s="5"/>
      <c r="M75" s="5"/>
      <c r="N75" s="5"/>
      <c r="O75" s="5"/>
      <c r="Q75" s="5"/>
      <c r="R75" s="5"/>
      <c r="S75" s="5"/>
    </row>
    <row r="76" spans="2:26">
      <c r="B76" s="41"/>
      <c r="C76" s="249"/>
      <c r="D76" s="249"/>
      <c r="E76" s="249"/>
      <c r="F76" s="249"/>
      <c r="G76" s="249"/>
      <c r="H76" s="249"/>
      <c r="I76" s="5"/>
      <c r="J76" s="249"/>
      <c r="K76" s="249"/>
      <c r="L76" s="249"/>
      <c r="M76" s="249"/>
      <c r="N76" s="249"/>
      <c r="O76" s="251"/>
      <c r="Q76" s="5"/>
      <c r="R76" s="5"/>
      <c r="S76" s="5"/>
    </row>
    <row r="77" spans="2:26">
      <c r="B77" s="5"/>
      <c r="C77" s="5"/>
      <c r="D77" s="248"/>
      <c r="E77" s="248"/>
      <c r="F77" s="248"/>
      <c r="G77" s="248"/>
      <c r="H77" s="248"/>
      <c r="I77" s="245"/>
      <c r="J77" s="248"/>
      <c r="K77" s="248"/>
      <c r="L77" s="248"/>
      <c r="M77" s="248"/>
      <c r="N77" s="248"/>
      <c r="O77" s="5"/>
      <c r="Q77" s="5"/>
      <c r="R77" s="5"/>
      <c r="S77" s="5"/>
    </row>
    <row r="78" spans="2:26">
      <c r="B78" s="41"/>
      <c r="C78" s="5"/>
      <c r="D78" s="5"/>
      <c r="E78" s="5"/>
      <c r="F78" s="5"/>
      <c r="G78" s="5"/>
      <c r="H78" s="5"/>
      <c r="I78" s="248"/>
      <c r="J78" s="5"/>
      <c r="K78" s="5"/>
      <c r="L78" s="5"/>
      <c r="M78" s="5"/>
      <c r="N78" s="5"/>
      <c r="O78" s="5"/>
      <c r="Q78" s="5"/>
      <c r="R78" s="5"/>
      <c r="S78" s="5"/>
    </row>
    <row r="79" spans="2:26">
      <c r="B79" s="41"/>
      <c r="C79" s="245"/>
      <c r="D79" s="245"/>
      <c r="E79" s="245"/>
      <c r="F79" s="245"/>
      <c r="G79" s="245"/>
      <c r="H79" s="245"/>
      <c r="I79" s="5"/>
      <c r="J79" s="245"/>
      <c r="K79" s="245"/>
      <c r="L79" s="245"/>
      <c r="M79" s="245"/>
      <c r="N79" s="245"/>
      <c r="O79" s="251"/>
      <c r="Q79" s="5"/>
      <c r="R79" s="5"/>
      <c r="S79" s="5"/>
    </row>
    <row r="80" spans="2:26">
      <c r="B80" s="5"/>
      <c r="C80" s="5"/>
      <c r="D80" s="248"/>
      <c r="E80" s="248"/>
      <c r="F80" s="248"/>
      <c r="G80" s="248"/>
      <c r="H80" s="248"/>
      <c r="I80" s="249"/>
      <c r="J80" s="248"/>
      <c r="K80" s="248"/>
      <c r="L80" s="248"/>
      <c r="M80" s="248"/>
      <c r="N80" s="248"/>
      <c r="O80" s="5"/>
      <c r="Q80" s="5"/>
      <c r="R80" s="5"/>
      <c r="S80" s="5"/>
    </row>
    <row r="81" spans="2:26">
      <c r="B81" s="41"/>
      <c r="C81" s="5"/>
      <c r="D81" s="5"/>
      <c r="E81" s="5"/>
      <c r="F81" s="5"/>
      <c r="G81" s="5"/>
      <c r="H81" s="5"/>
      <c r="I81" s="248"/>
      <c r="J81" s="5"/>
      <c r="K81" s="5"/>
      <c r="L81" s="5"/>
      <c r="M81" s="5"/>
      <c r="N81" s="5"/>
      <c r="O81" s="5"/>
      <c r="Q81" s="5"/>
      <c r="R81" s="5"/>
      <c r="S81" s="5"/>
    </row>
    <row r="82" spans="2:26">
      <c r="B82" s="41"/>
      <c r="C82" s="249"/>
      <c r="D82" s="249"/>
      <c r="E82" s="249"/>
      <c r="F82" s="249"/>
      <c r="G82" s="249"/>
      <c r="H82" s="249"/>
      <c r="I82" s="259"/>
      <c r="J82" s="249"/>
      <c r="K82" s="249"/>
      <c r="L82" s="249"/>
      <c r="M82" s="249"/>
      <c r="N82" s="249"/>
      <c r="O82" s="251"/>
      <c r="Q82" s="5"/>
      <c r="R82" s="5"/>
      <c r="S82" s="5"/>
    </row>
    <row r="83" spans="2:26">
      <c r="B83" s="5"/>
      <c r="C83" s="5"/>
      <c r="D83" s="248"/>
      <c r="E83" s="248"/>
      <c r="F83" s="248"/>
      <c r="G83" s="248"/>
      <c r="H83" s="248"/>
      <c r="I83" s="5"/>
      <c r="J83" s="248"/>
      <c r="K83" s="248"/>
      <c r="L83" s="248"/>
      <c r="M83" s="248"/>
      <c r="N83" s="248"/>
      <c r="O83" s="5"/>
      <c r="Q83" s="5"/>
      <c r="R83" s="5"/>
      <c r="S83" s="5"/>
    </row>
    <row r="84" spans="2:26">
      <c r="B84" s="5"/>
      <c r="C84" s="259"/>
      <c r="D84" s="259"/>
      <c r="E84" s="259"/>
      <c r="F84" s="259"/>
      <c r="G84" s="259"/>
      <c r="H84" s="259"/>
      <c r="I84" s="245"/>
      <c r="J84" s="259"/>
      <c r="K84" s="259"/>
      <c r="L84" s="259"/>
      <c r="M84" s="259"/>
      <c r="N84" s="259"/>
      <c r="O84" s="251"/>
      <c r="Q84" s="5"/>
      <c r="R84" s="5"/>
      <c r="S84" s="5"/>
    </row>
    <row r="85" spans="2:26">
      <c r="B85" s="41"/>
      <c r="C85" s="5"/>
      <c r="D85" s="5"/>
      <c r="E85" s="5"/>
      <c r="F85" s="5"/>
      <c r="G85" s="5"/>
      <c r="H85" s="5"/>
      <c r="I85" s="248"/>
      <c r="J85" s="5"/>
      <c r="K85" s="5"/>
      <c r="L85" s="5"/>
      <c r="M85" s="5"/>
      <c r="N85" s="5"/>
      <c r="O85" s="5"/>
      <c r="Q85" s="5"/>
      <c r="R85" s="5"/>
      <c r="S85" s="5"/>
    </row>
    <row r="86" spans="2:26">
      <c r="B86" s="41"/>
      <c r="C86" s="245"/>
      <c r="D86" s="245"/>
      <c r="E86" s="245"/>
      <c r="F86" s="245"/>
      <c r="G86" s="245"/>
      <c r="H86" s="245"/>
      <c r="I86" s="5"/>
      <c r="J86" s="245"/>
      <c r="K86" s="245"/>
      <c r="L86" s="245"/>
      <c r="M86" s="245"/>
      <c r="N86" s="245"/>
      <c r="O86" s="251"/>
      <c r="Q86" s="5"/>
      <c r="R86" s="5"/>
      <c r="S86" s="5"/>
    </row>
    <row r="87" spans="2:26">
      <c r="B87" s="5"/>
      <c r="C87" s="5"/>
      <c r="D87" s="248"/>
      <c r="E87" s="248"/>
      <c r="F87" s="248"/>
      <c r="G87" s="248"/>
      <c r="H87" s="248"/>
      <c r="I87" s="5"/>
      <c r="J87" s="248"/>
      <c r="K87" s="248"/>
      <c r="L87" s="248"/>
      <c r="M87" s="248"/>
      <c r="N87" s="248"/>
      <c r="O87" s="5"/>
      <c r="Q87" s="5"/>
      <c r="R87" s="5"/>
      <c r="S87" s="5"/>
    </row>
    <row r="88" spans="2:26">
      <c r="B88" s="41"/>
      <c r="C88" s="5"/>
      <c r="D88" s="5"/>
      <c r="E88" s="5"/>
      <c r="F88" s="5"/>
      <c r="G88" s="5"/>
      <c r="H88" s="5"/>
      <c r="I88" s="5"/>
      <c r="J88" s="5"/>
      <c r="K88" s="5"/>
      <c r="L88" s="5"/>
      <c r="M88" s="5"/>
      <c r="N88" s="5"/>
      <c r="O88" s="5"/>
      <c r="Q88" s="5"/>
      <c r="R88" s="5"/>
      <c r="S88" s="5"/>
    </row>
    <row r="89" spans="2:26">
      <c r="B89" s="41"/>
      <c r="C89" s="5"/>
      <c r="D89" s="5"/>
      <c r="E89" s="5"/>
      <c r="F89" s="5"/>
      <c r="G89" s="5"/>
      <c r="H89" s="5"/>
      <c r="I89" s="5"/>
      <c r="J89" s="5"/>
      <c r="K89" s="5"/>
      <c r="L89" s="5"/>
      <c r="M89" s="5"/>
      <c r="N89" s="5"/>
      <c r="O89" s="5"/>
      <c r="Q89" s="5"/>
      <c r="R89" s="5"/>
      <c r="S89" s="5"/>
    </row>
    <row r="90" spans="2:26">
      <c r="B90" s="41"/>
      <c r="C90" s="5"/>
      <c r="D90" s="5"/>
      <c r="E90" s="5"/>
      <c r="F90" s="5"/>
      <c r="G90" s="5"/>
      <c r="H90" s="5"/>
      <c r="I90" s="49"/>
      <c r="J90" s="5"/>
      <c r="K90" s="5"/>
      <c r="L90" s="5"/>
      <c r="M90" s="5"/>
      <c r="N90" s="5"/>
      <c r="O90" s="5"/>
      <c r="Q90" s="41"/>
      <c r="R90" s="5"/>
      <c r="S90" s="5"/>
    </row>
    <row r="91" spans="2:26">
      <c r="B91" s="5"/>
      <c r="C91" s="5"/>
      <c r="D91" s="5"/>
      <c r="E91" s="5"/>
      <c r="F91" s="5"/>
      <c r="G91" s="5"/>
      <c r="H91" s="5"/>
      <c r="I91" s="5"/>
      <c r="J91" s="5"/>
      <c r="K91" s="5"/>
      <c r="L91" s="5"/>
      <c r="M91" s="5"/>
      <c r="N91" s="5"/>
      <c r="O91" s="5"/>
      <c r="Q91" s="5"/>
      <c r="R91" s="5"/>
      <c r="S91" s="5"/>
    </row>
    <row r="92" spans="2:26">
      <c r="B92" s="41"/>
      <c r="C92" s="49"/>
      <c r="D92" s="49"/>
      <c r="E92" s="49"/>
      <c r="F92" s="49"/>
      <c r="G92" s="49"/>
      <c r="H92" s="49"/>
      <c r="I92" s="247"/>
      <c r="J92" s="49"/>
      <c r="K92" s="49"/>
      <c r="L92" s="49"/>
      <c r="M92" s="49"/>
      <c r="N92" s="49"/>
      <c r="O92" s="49"/>
      <c r="Q92" s="5"/>
      <c r="R92" s="5"/>
      <c r="S92" s="5"/>
      <c r="W92" s="21"/>
      <c r="X92" s="21"/>
    </row>
    <row r="93" spans="2:26">
      <c r="B93" s="5"/>
      <c r="C93" s="5"/>
      <c r="D93" s="5"/>
      <c r="E93" s="5"/>
      <c r="F93" s="5"/>
      <c r="G93" s="5"/>
      <c r="H93" s="5"/>
      <c r="I93" s="247"/>
      <c r="J93" s="5"/>
      <c r="K93" s="5"/>
      <c r="L93" s="5"/>
      <c r="M93" s="5"/>
      <c r="N93" s="5"/>
      <c r="O93" s="5"/>
      <c r="Q93" s="5"/>
      <c r="R93" s="5"/>
      <c r="S93" s="5"/>
      <c r="W93" s="21"/>
      <c r="X93" s="21"/>
      <c r="Y93" s="21"/>
      <c r="Z93" s="21"/>
    </row>
    <row r="94" spans="2:26">
      <c r="B94" s="5"/>
      <c r="C94" s="259"/>
      <c r="D94" s="247"/>
      <c r="E94" s="247"/>
      <c r="F94" s="247"/>
      <c r="G94" s="247"/>
      <c r="H94" s="247"/>
      <c r="I94" s="247"/>
      <c r="J94" s="247"/>
      <c r="K94" s="247"/>
      <c r="L94" s="247"/>
      <c r="M94" s="247"/>
      <c r="N94" s="247"/>
      <c r="O94" s="248"/>
      <c r="Q94" s="5"/>
      <c r="R94" s="5"/>
      <c r="S94" s="5"/>
      <c r="Y94" s="21"/>
      <c r="Z94" s="21"/>
    </row>
    <row r="95" spans="2:26">
      <c r="B95" s="5"/>
      <c r="C95" s="259"/>
      <c r="D95" s="247"/>
      <c r="E95" s="247"/>
      <c r="F95" s="247"/>
      <c r="G95" s="247"/>
      <c r="H95" s="247"/>
      <c r="I95" s="248"/>
      <c r="J95" s="247"/>
      <c r="K95" s="247"/>
      <c r="L95" s="247"/>
      <c r="M95" s="247"/>
      <c r="N95" s="247"/>
      <c r="O95" s="248"/>
      <c r="Q95" s="5"/>
      <c r="R95" s="5"/>
      <c r="S95" s="5"/>
    </row>
    <row r="96" spans="2:26">
      <c r="B96" s="5"/>
      <c r="C96" s="259"/>
      <c r="D96" s="247"/>
      <c r="E96" s="247"/>
      <c r="F96" s="247"/>
      <c r="G96" s="247"/>
      <c r="H96" s="247"/>
      <c r="I96" s="247"/>
      <c r="J96" s="247"/>
      <c r="K96" s="247"/>
      <c r="L96" s="247"/>
      <c r="M96" s="247"/>
      <c r="N96" s="247"/>
      <c r="O96" s="248"/>
      <c r="Q96" s="5"/>
      <c r="R96" s="5"/>
      <c r="S96" s="5"/>
    </row>
    <row r="97" spans="2:19">
      <c r="B97" s="5"/>
      <c r="C97" s="259"/>
      <c r="D97" s="248"/>
      <c r="E97" s="248"/>
      <c r="F97" s="248"/>
      <c r="G97" s="248"/>
      <c r="H97" s="248"/>
      <c r="I97" s="249"/>
      <c r="J97" s="248"/>
      <c r="K97" s="248"/>
      <c r="L97" s="248"/>
      <c r="M97" s="248"/>
      <c r="N97" s="248"/>
      <c r="O97" s="248"/>
      <c r="Q97" s="5"/>
      <c r="R97" s="5"/>
      <c r="S97" s="5"/>
    </row>
    <row r="98" spans="2:19">
      <c r="B98" s="5"/>
      <c r="C98" s="259"/>
      <c r="D98" s="247"/>
      <c r="E98" s="247"/>
      <c r="F98" s="247"/>
      <c r="G98" s="247"/>
      <c r="H98" s="247"/>
      <c r="I98" s="248"/>
      <c r="J98" s="247"/>
      <c r="K98" s="247"/>
      <c r="L98" s="247"/>
      <c r="M98" s="247"/>
      <c r="N98" s="247"/>
      <c r="O98" s="248"/>
      <c r="Q98" s="5"/>
      <c r="R98" s="5"/>
      <c r="S98" s="5"/>
    </row>
    <row r="99" spans="2:19">
      <c r="B99" s="41"/>
      <c r="C99" s="249"/>
      <c r="D99" s="249"/>
      <c r="E99" s="249"/>
      <c r="F99" s="249"/>
      <c r="G99" s="249"/>
      <c r="H99" s="249"/>
      <c r="I99" s="5"/>
      <c r="J99" s="249"/>
      <c r="K99" s="249"/>
      <c r="L99" s="249"/>
      <c r="M99" s="249"/>
      <c r="N99" s="249"/>
      <c r="O99" s="248"/>
      <c r="Q99" s="5"/>
      <c r="R99" s="5"/>
      <c r="S99" s="5"/>
    </row>
    <row r="100" spans="2:19">
      <c r="B100" s="41"/>
      <c r="C100" s="257"/>
      <c r="D100" s="248"/>
      <c r="E100" s="248"/>
      <c r="F100" s="248"/>
      <c r="G100" s="248"/>
      <c r="H100" s="248"/>
      <c r="I100" s="259"/>
      <c r="J100" s="248"/>
      <c r="K100" s="248"/>
      <c r="L100" s="248"/>
      <c r="M100" s="248"/>
      <c r="N100" s="248"/>
      <c r="O100" s="248"/>
      <c r="Q100" s="5"/>
      <c r="R100" s="5"/>
      <c r="S100" s="5"/>
    </row>
    <row r="101" spans="2:19" s="5" customFormat="1">
      <c r="B101" s="41"/>
      <c r="I101" s="259"/>
      <c r="O101" s="248"/>
      <c r="P101" s="39"/>
    </row>
    <row r="102" spans="2:19">
      <c r="B102" s="5"/>
      <c r="C102" s="259"/>
      <c r="D102" s="259"/>
      <c r="E102" s="259"/>
      <c r="F102" s="259"/>
      <c r="G102" s="259"/>
      <c r="H102" s="259"/>
      <c r="I102" s="247"/>
      <c r="J102" s="259"/>
      <c r="K102" s="259"/>
      <c r="L102" s="259"/>
      <c r="M102" s="259"/>
      <c r="N102" s="259"/>
      <c r="O102" s="5"/>
      <c r="Q102" s="5"/>
      <c r="R102" s="5"/>
      <c r="S102" s="5"/>
    </row>
    <row r="103" spans="2:19">
      <c r="B103" s="5"/>
      <c r="C103" s="259"/>
      <c r="D103" s="259"/>
      <c r="E103" s="259"/>
      <c r="F103" s="259"/>
      <c r="G103" s="259"/>
      <c r="H103" s="259"/>
      <c r="I103" s="5"/>
      <c r="J103" s="259"/>
      <c r="K103" s="259"/>
      <c r="L103" s="259"/>
      <c r="M103" s="259"/>
      <c r="N103" s="259"/>
      <c r="O103" s="5"/>
      <c r="P103" s="5"/>
      <c r="Q103" s="5"/>
      <c r="R103" s="5"/>
      <c r="S103" s="5"/>
    </row>
    <row r="104" spans="2:19">
      <c r="B104" s="5"/>
      <c r="C104" s="247"/>
      <c r="D104" s="247"/>
      <c r="E104" s="247"/>
      <c r="F104" s="247"/>
      <c r="G104" s="247"/>
      <c r="H104" s="247"/>
      <c r="I104" s="247"/>
      <c r="J104" s="247"/>
      <c r="K104" s="247"/>
      <c r="L104" s="247"/>
      <c r="M104" s="247"/>
      <c r="N104" s="247"/>
      <c r="O104" s="5"/>
      <c r="Q104" s="5"/>
      <c r="R104" s="5"/>
      <c r="S104" s="5"/>
    </row>
    <row r="105" spans="2:19" s="5" customFormat="1">
      <c r="P105" s="39"/>
    </row>
    <row r="106" spans="2:19" s="5" customFormat="1">
      <c r="C106" s="259"/>
      <c r="D106" s="247"/>
      <c r="E106" s="247"/>
      <c r="F106" s="247"/>
      <c r="G106" s="247"/>
      <c r="H106" s="247"/>
      <c r="I106" s="259"/>
      <c r="J106" s="247"/>
      <c r="K106" s="247"/>
      <c r="L106" s="247"/>
      <c r="M106" s="247"/>
      <c r="N106" s="247"/>
      <c r="P106" s="39"/>
    </row>
    <row r="107" spans="2:19">
      <c r="B107" s="5"/>
      <c r="C107" s="259"/>
      <c r="D107" s="5"/>
      <c r="E107" s="5"/>
      <c r="F107" s="5"/>
      <c r="G107" s="5"/>
      <c r="H107" s="5"/>
      <c r="I107" s="247"/>
      <c r="J107" s="5"/>
      <c r="K107" s="5"/>
      <c r="L107" s="5"/>
      <c r="M107" s="5"/>
      <c r="N107" s="5"/>
      <c r="O107" s="5"/>
      <c r="P107" s="5"/>
      <c r="Q107" s="5"/>
      <c r="R107" s="5"/>
      <c r="S107" s="5"/>
    </row>
    <row r="108" spans="2:19">
      <c r="B108" s="5"/>
      <c r="C108" s="259"/>
      <c r="D108" s="259"/>
      <c r="E108" s="259"/>
      <c r="F108" s="259"/>
      <c r="G108" s="259"/>
      <c r="H108" s="259"/>
      <c r="I108" s="249"/>
      <c r="J108" s="259"/>
      <c r="K108" s="259"/>
      <c r="L108" s="259"/>
      <c r="M108" s="259"/>
      <c r="N108" s="259"/>
      <c r="O108" s="5"/>
      <c r="P108" s="5"/>
      <c r="Q108" s="5"/>
      <c r="R108" s="5"/>
      <c r="S108" s="5"/>
    </row>
    <row r="109" spans="2:19">
      <c r="B109" s="5"/>
      <c r="C109" s="247"/>
      <c r="D109" s="247"/>
      <c r="E109" s="247"/>
      <c r="F109" s="247"/>
      <c r="G109" s="247"/>
      <c r="H109" s="247"/>
      <c r="I109" s="249"/>
      <c r="J109" s="247"/>
      <c r="K109" s="247"/>
      <c r="L109" s="247"/>
      <c r="M109" s="247"/>
      <c r="N109" s="247"/>
      <c r="O109" s="5"/>
      <c r="Q109" s="5"/>
      <c r="R109" s="5"/>
      <c r="S109" s="5"/>
    </row>
    <row r="110" spans="2:19">
      <c r="B110" s="41"/>
      <c r="C110" s="249"/>
      <c r="D110" s="249"/>
      <c r="E110" s="249"/>
      <c r="F110" s="249"/>
      <c r="G110" s="249"/>
      <c r="H110" s="249"/>
      <c r="I110" s="247"/>
      <c r="J110" s="249"/>
      <c r="K110" s="249"/>
      <c r="L110" s="249"/>
      <c r="M110" s="249"/>
      <c r="N110" s="249"/>
      <c r="O110" s="5"/>
      <c r="Q110" s="5"/>
      <c r="R110" s="5"/>
      <c r="S110" s="5"/>
    </row>
    <row r="111" spans="2:19">
      <c r="B111" s="5"/>
      <c r="C111" s="249"/>
      <c r="D111" s="249"/>
      <c r="E111" s="249"/>
      <c r="F111" s="249"/>
      <c r="G111" s="249"/>
      <c r="H111" s="249"/>
      <c r="I111" s="5"/>
      <c r="J111" s="249"/>
      <c r="K111" s="249"/>
      <c r="L111" s="249"/>
      <c r="M111" s="249"/>
      <c r="N111" s="249"/>
      <c r="O111" s="5"/>
      <c r="Q111" s="5"/>
      <c r="R111" s="5"/>
      <c r="S111" s="5"/>
    </row>
    <row r="112" spans="2:19">
      <c r="B112" s="5"/>
      <c r="C112" s="247"/>
      <c r="D112" s="247"/>
      <c r="E112" s="247"/>
      <c r="F112" s="247"/>
      <c r="G112" s="247"/>
      <c r="H112" s="247"/>
      <c r="I112" s="5"/>
      <c r="J112" s="247"/>
      <c r="K112" s="247"/>
      <c r="L112" s="247"/>
      <c r="M112" s="247"/>
      <c r="N112" s="247"/>
      <c r="O112" s="5"/>
      <c r="Q112" s="5"/>
      <c r="R112" s="5"/>
      <c r="S112" s="5"/>
    </row>
    <row r="113" spans="2:19">
      <c r="B113" s="5"/>
      <c r="C113" s="5"/>
      <c r="D113" s="5"/>
      <c r="E113" s="5"/>
      <c r="F113" s="5"/>
      <c r="G113" s="5"/>
      <c r="H113" s="5"/>
      <c r="I113" s="5"/>
      <c r="J113" s="5"/>
      <c r="K113" s="5"/>
      <c r="L113" s="5"/>
      <c r="M113" s="5"/>
      <c r="N113" s="5"/>
      <c r="O113" s="5"/>
      <c r="Q113" s="5"/>
      <c r="R113" s="5"/>
      <c r="S113" s="5"/>
    </row>
    <row r="114" spans="2:19">
      <c r="B114" s="5"/>
      <c r="C114" s="5"/>
      <c r="D114" s="5"/>
      <c r="E114" s="5"/>
      <c r="F114" s="5"/>
      <c r="G114" s="5"/>
      <c r="H114" s="5"/>
      <c r="I114" s="5"/>
      <c r="J114" s="5"/>
      <c r="K114" s="5"/>
      <c r="L114" s="5"/>
      <c r="M114" s="5"/>
      <c r="N114" s="5"/>
      <c r="O114" s="5"/>
      <c r="Q114" s="5"/>
      <c r="R114" s="5"/>
      <c r="S114" s="5"/>
    </row>
    <row r="115" spans="2:19">
      <c r="B115" s="5"/>
      <c r="C115" s="5"/>
      <c r="D115" s="5"/>
      <c r="E115" s="5"/>
      <c r="F115" s="5"/>
      <c r="G115" s="5"/>
      <c r="H115" s="5"/>
      <c r="I115" s="49"/>
      <c r="J115" s="5"/>
      <c r="K115" s="5"/>
      <c r="L115" s="5"/>
      <c r="M115" s="5"/>
      <c r="N115" s="5"/>
      <c r="O115" s="5"/>
      <c r="Q115" s="41"/>
      <c r="R115" s="5"/>
      <c r="S115" s="5"/>
    </row>
    <row r="116" spans="2:19">
      <c r="B116" s="5"/>
      <c r="C116" s="5"/>
      <c r="D116" s="5"/>
      <c r="E116" s="5"/>
      <c r="F116" s="5"/>
      <c r="G116" s="5"/>
      <c r="H116" s="5"/>
      <c r="I116" s="5"/>
      <c r="J116" s="5"/>
      <c r="K116" s="5"/>
      <c r="L116" s="5"/>
      <c r="M116" s="5"/>
      <c r="N116" s="5"/>
      <c r="O116" s="5"/>
      <c r="Q116" s="5"/>
      <c r="R116" s="5"/>
      <c r="S116" s="5"/>
    </row>
    <row r="117" spans="2:19">
      <c r="B117" s="41"/>
      <c r="C117" s="49"/>
      <c r="D117" s="49"/>
      <c r="E117" s="49"/>
      <c r="F117" s="49"/>
      <c r="G117" s="49"/>
      <c r="H117" s="49"/>
      <c r="I117" s="254"/>
      <c r="J117" s="49"/>
      <c r="K117" s="49"/>
      <c r="L117" s="49"/>
      <c r="M117" s="49"/>
      <c r="N117" s="49"/>
      <c r="O117" s="49"/>
      <c r="Q117" s="5"/>
      <c r="R117" s="5"/>
      <c r="S117" s="5"/>
    </row>
    <row r="118" spans="2:19">
      <c r="B118" s="5"/>
      <c r="C118" s="5"/>
      <c r="D118" s="5"/>
      <c r="E118" s="5"/>
      <c r="F118" s="5"/>
      <c r="G118" s="5"/>
      <c r="H118" s="5"/>
      <c r="I118" s="249"/>
      <c r="J118" s="5"/>
      <c r="K118" s="5"/>
      <c r="L118" s="5"/>
      <c r="M118" s="5"/>
      <c r="N118" s="5"/>
      <c r="O118" s="5"/>
      <c r="Q118" s="5"/>
      <c r="R118" s="5"/>
      <c r="S118" s="5"/>
    </row>
    <row r="119" spans="2:19">
      <c r="B119" s="41"/>
      <c r="C119" s="254"/>
      <c r="D119" s="254"/>
      <c r="E119" s="254"/>
      <c r="F119" s="254"/>
      <c r="G119" s="254"/>
      <c r="H119" s="254"/>
      <c r="I119" s="254"/>
      <c r="J119" s="254"/>
      <c r="K119" s="254"/>
      <c r="L119" s="254"/>
      <c r="M119" s="254"/>
      <c r="N119" s="254"/>
      <c r="O119" s="248"/>
      <c r="Q119" s="5"/>
      <c r="R119" s="5"/>
      <c r="S119" s="5"/>
    </row>
    <row r="120" spans="2:19">
      <c r="B120" s="41"/>
      <c r="C120" s="254"/>
      <c r="D120" s="249"/>
      <c r="E120" s="249"/>
      <c r="F120" s="249"/>
      <c r="G120" s="249"/>
      <c r="H120" s="249"/>
      <c r="I120" s="254"/>
      <c r="J120" s="249"/>
      <c r="K120" s="249"/>
      <c r="L120" s="249"/>
      <c r="M120" s="249"/>
      <c r="N120" s="249"/>
      <c r="O120" s="248"/>
      <c r="Q120" s="5"/>
      <c r="R120" s="5"/>
      <c r="S120" s="5"/>
    </row>
    <row r="121" spans="2:19">
      <c r="B121" s="41"/>
      <c r="C121" s="254"/>
      <c r="D121" s="254"/>
      <c r="E121" s="254"/>
      <c r="F121" s="254"/>
      <c r="G121" s="254"/>
      <c r="H121" s="254"/>
      <c r="I121" s="254"/>
      <c r="J121" s="254"/>
      <c r="K121" s="254"/>
      <c r="L121" s="254"/>
      <c r="M121" s="254"/>
      <c r="N121" s="254"/>
      <c r="O121" s="248"/>
      <c r="Q121" s="5"/>
      <c r="R121" s="5"/>
      <c r="S121" s="5"/>
    </row>
    <row r="122" spans="2:19">
      <c r="B122" s="41"/>
      <c r="C122" s="254"/>
      <c r="D122" s="254"/>
      <c r="E122" s="254"/>
      <c r="F122" s="254"/>
      <c r="G122" s="254"/>
      <c r="H122" s="254"/>
      <c r="I122" s="254"/>
      <c r="J122" s="254"/>
      <c r="K122" s="254"/>
      <c r="L122" s="254"/>
      <c r="M122" s="254"/>
      <c r="N122" s="254"/>
      <c r="O122" s="248"/>
      <c r="Q122" s="5"/>
      <c r="R122" s="5"/>
      <c r="S122" s="5"/>
    </row>
    <row r="123" spans="2:19">
      <c r="B123" s="41"/>
      <c r="C123" s="254"/>
      <c r="D123" s="254"/>
      <c r="E123" s="254"/>
      <c r="F123" s="254"/>
      <c r="G123" s="254"/>
      <c r="H123" s="254"/>
      <c r="I123" s="254"/>
      <c r="J123" s="254"/>
      <c r="K123" s="254"/>
      <c r="L123" s="254"/>
      <c r="M123" s="254"/>
      <c r="N123" s="254"/>
      <c r="O123" s="248"/>
      <c r="Q123" s="5"/>
      <c r="R123" s="5"/>
      <c r="S123" s="5"/>
    </row>
    <row r="124" spans="2:19">
      <c r="B124" s="41"/>
      <c r="C124" s="254"/>
      <c r="D124" s="254"/>
      <c r="E124" s="254"/>
      <c r="F124" s="254"/>
      <c r="G124" s="254"/>
      <c r="H124" s="254"/>
      <c r="I124" s="254"/>
      <c r="J124" s="254"/>
      <c r="K124" s="254"/>
      <c r="L124" s="254"/>
      <c r="M124" s="254"/>
      <c r="N124" s="254"/>
      <c r="O124" s="248"/>
      <c r="Q124" s="5"/>
      <c r="R124" s="5"/>
      <c r="S124" s="5"/>
    </row>
    <row r="125" spans="2:19">
      <c r="B125" s="41"/>
      <c r="C125" s="254"/>
      <c r="D125" s="254"/>
      <c r="E125" s="254"/>
      <c r="F125" s="254"/>
      <c r="G125" s="254"/>
      <c r="H125" s="254"/>
      <c r="I125" s="254"/>
      <c r="J125" s="254"/>
      <c r="K125" s="254"/>
      <c r="L125" s="254"/>
      <c r="M125" s="254"/>
      <c r="N125" s="254"/>
      <c r="O125" s="5"/>
      <c r="Q125" s="5"/>
      <c r="R125" s="5"/>
      <c r="S125" s="5"/>
    </row>
    <row r="126" spans="2:19">
      <c r="B126" s="41"/>
      <c r="C126" s="254"/>
      <c r="D126" s="254"/>
      <c r="E126" s="254"/>
      <c r="F126" s="254"/>
      <c r="G126" s="254"/>
      <c r="H126" s="254"/>
      <c r="I126" s="254"/>
      <c r="J126" s="254"/>
      <c r="K126" s="254"/>
      <c r="L126" s="254"/>
      <c r="M126" s="254"/>
      <c r="N126" s="254"/>
      <c r="O126" s="5"/>
      <c r="Q126" s="5"/>
      <c r="R126" s="5"/>
      <c r="S126" s="5"/>
    </row>
    <row r="127" spans="2:19">
      <c r="B127" s="41"/>
      <c r="C127" s="254"/>
      <c r="D127" s="254"/>
      <c r="E127" s="254"/>
      <c r="F127" s="254"/>
      <c r="G127" s="254"/>
      <c r="H127" s="254"/>
      <c r="I127" s="18"/>
      <c r="J127" s="254"/>
      <c r="K127" s="254"/>
      <c r="L127" s="254"/>
      <c r="M127" s="254"/>
      <c r="N127" s="254"/>
      <c r="O127" s="5"/>
      <c r="Q127" s="5"/>
      <c r="R127" s="5"/>
      <c r="S127" s="5"/>
    </row>
    <row r="128" spans="2:19">
      <c r="B128" s="41"/>
      <c r="C128" s="254"/>
      <c r="D128" s="254"/>
      <c r="E128" s="254"/>
      <c r="F128" s="254"/>
      <c r="G128" s="254"/>
      <c r="H128" s="254"/>
      <c r="I128" s="5"/>
      <c r="J128" s="254"/>
      <c r="K128" s="254"/>
      <c r="L128" s="254"/>
      <c r="M128" s="254"/>
      <c r="N128" s="254"/>
      <c r="O128" s="5"/>
      <c r="Q128" s="5"/>
      <c r="R128" s="5"/>
      <c r="S128" s="5"/>
    </row>
    <row r="129" spans="2:27">
      <c r="B129" s="5"/>
      <c r="C129" s="5"/>
      <c r="D129" s="18"/>
      <c r="E129" s="18"/>
      <c r="F129" s="18"/>
      <c r="G129" s="18"/>
      <c r="H129" s="18"/>
      <c r="I129" s="254"/>
      <c r="J129" s="18"/>
      <c r="K129" s="18"/>
      <c r="L129" s="18"/>
      <c r="M129" s="18"/>
      <c r="N129" s="18"/>
      <c r="O129" s="5"/>
      <c r="Q129" s="5"/>
      <c r="R129" s="5"/>
      <c r="S129" s="5"/>
    </row>
    <row r="130" spans="2:27">
      <c r="B130" s="5"/>
      <c r="C130" s="5"/>
      <c r="D130" s="5"/>
      <c r="E130" s="5"/>
      <c r="F130" s="5"/>
      <c r="G130" s="5"/>
      <c r="H130" s="5"/>
      <c r="I130" s="18"/>
      <c r="J130" s="5"/>
      <c r="K130" s="5"/>
      <c r="L130" s="5"/>
      <c r="M130" s="5"/>
      <c r="N130" s="5"/>
      <c r="O130" s="5"/>
      <c r="Q130" s="5"/>
      <c r="R130" s="5"/>
      <c r="S130" s="5"/>
    </row>
    <row r="131" spans="2:27">
      <c r="B131" s="41"/>
      <c r="C131" s="254"/>
      <c r="D131" s="254"/>
      <c r="E131" s="254"/>
      <c r="F131" s="254"/>
      <c r="G131" s="254"/>
      <c r="H131" s="254"/>
      <c r="I131" s="5"/>
      <c r="J131" s="254"/>
      <c r="K131" s="254"/>
      <c r="L131" s="254"/>
      <c r="M131" s="254"/>
      <c r="N131" s="254"/>
      <c r="O131" s="5"/>
      <c r="Q131" s="5"/>
      <c r="R131" s="5"/>
      <c r="S131" s="5"/>
    </row>
    <row r="132" spans="2:27">
      <c r="B132" s="5"/>
      <c r="C132" s="259"/>
      <c r="D132" s="18"/>
      <c r="E132" s="18"/>
      <c r="F132" s="18"/>
      <c r="G132" s="18"/>
      <c r="H132" s="18"/>
      <c r="I132" s="5"/>
      <c r="J132" s="18"/>
      <c r="K132" s="18"/>
      <c r="L132" s="18"/>
      <c r="M132" s="18"/>
      <c r="N132" s="18"/>
      <c r="O132" s="5"/>
      <c r="Q132" s="5"/>
      <c r="R132" s="5"/>
      <c r="S132" s="5"/>
    </row>
    <row r="133" spans="2:27">
      <c r="B133" s="5"/>
      <c r="C133" s="5"/>
      <c r="D133" s="5"/>
      <c r="E133" s="5"/>
      <c r="F133" s="5"/>
      <c r="G133" s="5"/>
      <c r="H133" s="5"/>
      <c r="I133" s="17"/>
      <c r="J133" s="5"/>
      <c r="K133" s="5"/>
      <c r="L133" s="5"/>
      <c r="M133" s="5"/>
      <c r="N133" s="5"/>
      <c r="O133" s="5"/>
      <c r="Q133" s="5"/>
      <c r="R133" s="5"/>
      <c r="S133" s="5"/>
    </row>
    <row r="134" spans="2:27">
      <c r="B134" s="41"/>
      <c r="C134" s="5"/>
      <c r="D134" s="5"/>
      <c r="E134" s="5"/>
      <c r="F134" s="5"/>
      <c r="G134" s="5"/>
      <c r="H134" s="5"/>
      <c r="I134" s="17"/>
      <c r="J134" s="5"/>
      <c r="K134" s="5"/>
      <c r="L134" s="5"/>
      <c r="M134" s="5"/>
      <c r="N134" s="5"/>
      <c r="O134" s="5"/>
      <c r="Q134" s="5"/>
      <c r="R134" s="5"/>
      <c r="S134" s="5"/>
    </row>
    <row r="135" spans="2:27">
      <c r="B135" s="5"/>
      <c r="C135" s="17"/>
      <c r="D135" s="17"/>
      <c r="E135" s="17"/>
      <c r="F135" s="17"/>
      <c r="G135" s="17"/>
      <c r="H135" s="17"/>
      <c r="I135" s="17"/>
      <c r="J135" s="17"/>
      <c r="K135" s="17"/>
      <c r="L135" s="17"/>
      <c r="M135" s="17"/>
      <c r="N135" s="17"/>
      <c r="O135" s="5"/>
      <c r="Q135" s="41"/>
      <c r="R135" s="5"/>
      <c r="S135" s="5"/>
    </row>
    <row r="136" spans="2:27">
      <c r="B136" s="5"/>
      <c r="C136" s="17"/>
      <c r="D136" s="17"/>
      <c r="E136" s="17"/>
      <c r="F136" s="17"/>
      <c r="G136" s="17"/>
      <c r="H136" s="17"/>
      <c r="I136" s="17"/>
      <c r="J136" s="17"/>
      <c r="K136" s="17"/>
      <c r="L136" s="17"/>
      <c r="M136" s="17"/>
      <c r="N136" s="17"/>
      <c r="O136" s="5"/>
      <c r="Q136" s="5"/>
      <c r="R136" s="5"/>
      <c r="S136" s="5"/>
      <c r="X136" s="304"/>
    </row>
    <row r="137" spans="2:27">
      <c r="B137" s="5"/>
      <c r="C137" s="5"/>
      <c r="D137" s="17"/>
      <c r="E137" s="17"/>
      <c r="F137" s="17"/>
      <c r="G137" s="17"/>
      <c r="H137" s="17"/>
      <c r="I137" s="17"/>
      <c r="J137" s="17"/>
      <c r="K137" s="17"/>
      <c r="L137" s="17"/>
      <c r="M137" s="17"/>
      <c r="N137" s="17"/>
      <c r="O137" s="5"/>
      <c r="Q137" s="5"/>
      <c r="R137" s="5"/>
      <c r="S137" s="5"/>
      <c r="X137" s="10"/>
      <c r="Y137" s="304"/>
      <c r="Z137" s="304"/>
      <c r="AA137" s="304"/>
    </row>
    <row r="138" spans="2:27">
      <c r="B138" s="5"/>
      <c r="C138" s="5"/>
      <c r="D138" s="17"/>
      <c r="E138" s="17"/>
      <c r="F138" s="17"/>
      <c r="G138" s="17"/>
      <c r="H138" s="17"/>
      <c r="I138" s="17"/>
      <c r="J138" s="17"/>
      <c r="K138" s="17"/>
      <c r="L138" s="17"/>
      <c r="M138" s="17"/>
      <c r="N138" s="17"/>
      <c r="O138" s="5"/>
      <c r="Q138" s="5"/>
      <c r="R138" s="5"/>
      <c r="S138" s="5"/>
      <c r="Y138" s="10"/>
      <c r="Z138" s="10"/>
      <c r="AA138" s="10"/>
    </row>
    <row r="139" spans="2:27">
      <c r="B139" s="5"/>
      <c r="C139" s="5"/>
      <c r="D139" s="17"/>
      <c r="E139" s="17"/>
      <c r="F139" s="17"/>
      <c r="G139" s="17"/>
      <c r="H139" s="17"/>
      <c r="I139" s="5"/>
      <c r="J139" s="17"/>
      <c r="K139" s="17"/>
      <c r="L139" s="17"/>
      <c r="M139" s="17"/>
      <c r="N139" s="17"/>
      <c r="O139" s="5"/>
      <c r="Q139" s="5"/>
      <c r="R139" s="5"/>
      <c r="S139" s="5"/>
    </row>
    <row r="140" spans="2:27">
      <c r="B140" s="5"/>
      <c r="C140" s="17"/>
      <c r="D140" s="17"/>
      <c r="E140" s="17"/>
      <c r="F140" s="17"/>
      <c r="G140" s="17"/>
      <c r="H140" s="17"/>
      <c r="I140" s="5"/>
      <c r="J140" s="17"/>
      <c r="K140" s="17"/>
      <c r="L140" s="17"/>
      <c r="M140" s="17"/>
      <c r="N140" s="17"/>
      <c r="O140" s="5"/>
      <c r="Q140" s="5"/>
      <c r="R140" s="5"/>
      <c r="S140" s="5"/>
    </row>
    <row r="141" spans="2:27">
      <c r="B141" s="5"/>
      <c r="C141" s="5"/>
      <c r="D141" s="5"/>
      <c r="E141" s="5"/>
      <c r="F141" s="5"/>
      <c r="G141" s="5"/>
      <c r="H141" s="5"/>
      <c r="I141" s="5"/>
      <c r="J141" s="5"/>
      <c r="K141" s="5"/>
      <c r="L141" s="5"/>
      <c r="M141" s="5"/>
      <c r="N141" s="5"/>
      <c r="O141" s="5"/>
      <c r="Q141" s="5"/>
      <c r="R141" s="5"/>
      <c r="S141" s="5"/>
    </row>
    <row r="142" spans="2:27">
      <c r="B142" s="5"/>
      <c r="C142" s="5"/>
      <c r="D142" s="5"/>
      <c r="E142" s="5"/>
      <c r="F142" s="5"/>
      <c r="G142" s="5"/>
      <c r="H142" s="5"/>
      <c r="I142" s="5"/>
      <c r="J142" s="5"/>
      <c r="K142" s="5"/>
      <c r="L142" s="5"/>
      <c r="M142" s="5"/>
      <c r="N142" s="5"/>
      <c r="O142" s="5"/>
      <c r="Q142" s="5"/>
      <c r="R142" s="5"/>
      <c r="S142" s="5"/>
    </row>
    <row r="143" spans="2:27">
      <c r="B143" s="5"/>
      <c r="C143" s="5"/>
      <c r="D143" s="5"/>
      <c r="E143" s="5"/>
      <c r="F143" s="5"/>
      <c r="G143" s="5"/>
      <c r="H143" s="5"/>
      <c r="I143" s="5"/>
      <c r="J143" s="5"/>
      <c r="K143" s="5"/>
      <c r="L143" s="5"/>
      <c r="M143" s="5"/>
      <c r="N143" s="5"/>
      <c r="O143" s="5"/>
      <c r="Q143" s="5"/>
      <c r="R143" s="5"/>
      <c r="S143" s="5"/>
    </row>
    <row r="144" spans="2:27">
      <c r="B144" s="5"/>
      <c r="C144" s="5"/>
      <c r="D144" s="5"/>
      <c r="E144" s="5"/>
      <c r="F144" s="5"/>
      <c r="G144" s="5"/>
      <c r="H144" s="5"/>
      <c r="I144" s="5"/>
      <c r="J144" s="5"/>
      <c r="K144" s="5"/>
      <c r="L144" s="5"/>
      <c r="M144" s="5"/>
      <c r="N144" s="5"/>
      <c r="O144" s="5"/>
      <c r="Q144" s="5"/>
      <c r="R144" s="5"/>
      <c r="S144" s="5"/>
    </row>
    <row r="145" spans="2:19">
      <c r="B145" s="5"/>
      <c r="C145" s="5"/>
      <c r="D145" s="5"/>
      <c r="E145" s="5"/>
      <c r="F145" s="5"/>
      <c r="G145" s="5"/>
      <c r="H145" s="5"/>
      <c r="I145" s="5"/>
      <c r="J145" s="5"/>
      <c r="K145" s="5"/>
      <c r="L145" s="5"/>
      <c r="M145" s="5"/>
      <c r="N145" s="5"/>
      <c r="O145" s="5"/>
      <c r="Q145" s="5"/>
      <c r="R145" s="5"/>
      <c r="S145" s="5"/>
    </row>
    <row r="146" spans="2:19">
      <c r="B146" s="5"/>
      <c r="C146" s="5"/>
      <c r="D146" s="5"/>
      <c r="E146" s="5"/>
      <c r="F146" s="5"/>
      <c r="G146" s="5"/>
      <c r="H146" s="5"/>
      <c r="I146" s="5"/>
      <c r="J146" s="5"/>
      <c r="K146" s="5"/>
      <c r="L146" s="5"/>
      <c r="M146" s="5"/>
      <c r="N146" s="5"/>
      <c r="O146" s="5"/>
      <c r="Q146" s="5"/>
      <c r="R146" s="5"/>
      <c r="S146" s="5"/>
    </row>
    <row r="147" spans="2:19">
      <c r="B147" s="5"/>
      <c r="C147" s="5"/>
      <c r="D147" s="5"/>
      <c r="E147" s="5"/>
      <c r="F147" s="5"/>
      <c r="G147" s="5"/>
      <c r="H147" s="5"/>
      <c r="I147" s="5"/>
      <c r="J147" s="5"/>
      <c r="K147" s="5"/>
      <c r="L147" s="5"/>
      <c r="M147" s="5"/>
      <c r="N147" s="5"/>
      <c r="O147" s="5"/>
      <c r="Q147" s="5"/>
      <c r="R147" s="5"/>
      <c r="S147" s="5"/>
    </row>
    <row r="148" spans="2:19">
      <c r="B148" s="5"/>
      <c r="C148" s="5"/>
      <c r="D148" s="5"/>
      <c r="E148" s="5"/>
      <c r="F148" s="5"/>
      <c r="G148" s="5"/>
      <c r="H148" s="5"/>
      <c r="I148" s="5"/>
      <c r="J148" s="5"/>
      <c r="K148" s="5"/>
      <c r="L148" s="5"/>
      <c r="M148" s="5"/>
      <c r="N148" s="5"/>
      <c r="O148" s="5"/>
      <c r="Q148" s="5"/>
      <c r="R148" s="5"/>
      <c r="S148" s="5"/>
    </row>
    <row r="149" spans="2:19">
      <c r="B149" s="5"/>
      <c r="C149" s="5"/>
      <c r="D149" s="5"/>
      <c r="E149" s="5"/>
      <c r="F149" s="5"/>
      <c r="G149" s="5"/>
      <c r="H149" s="5"/>
      <c r="J149" s="5"/>
      <c r="K149" s="5"/>
      <c r="L149" s="5"/>
      <c r="M149" s="5"/>
      <c r="N149" s="5"/>
      <c r="O149" s="5"/>
      <c r="Q149" s="5"/>
      <c r="R149" s="5"/>
      <c r="S149" s="5"/>
    </row>
    <row r="150" spans="2:19">
      <c r="B150" s="5"/>
      <c r="C150" s="5"/>
      <c r="D150" s="5"/>
      <c r="E150" s="5"/>
      <c r="F150" s="5"/>
      <c r="G150" s="5"/>
      <c r="H150" s="5"/>
      <c r="J150" s="5"/>
      <c r="K150" s="5"/>
      <c r="L150" s="5"/>
      <c r="M150" s="5"/>
      <c r="N150" s="5"/>
      <c r="O150" s="5"/>
      <c r="Q150" s="5"/>
      <c r="R150" s="5"/>
      <c r="S150" s="5"/>
    </row>
    <row r="151" spans="2:19">
      <c r="Q151" s="5"/>
      <c r="R151" s="5"/>
      <c r="S151" s="5"/>
    </row>
    <row r="152" spans="2:19">
      <c r="Q152" s="5"/>
      <c r="R152" s="5"/>
      <c r="S152" s="5"/>
    </row>
    <row r="153" spans="2:19">
      <c r="C153" s="263"/>
      <c r="Q153" s="5"/>
      <c r="R153" s="5"/>
      <c r="S153" s="5"/>
    </row>
    <row r="154" spans="2:19">
      <c r="Q154" s="5"/>
      <c r="R154" s="5"/>
      <c r="S154" s="5"/>
    </row>
    <row r="155" spans="2:19">
      <c r="Q155" s="5"/>
      <c r="R155" s="5"/>
      <c r="S155" s="5"/>
    </row>
    <row r="156" spans="2:19">
      <c r="Q156" s="5"/>
      <c r="R156" s="5"/>
      <c r="S156" s="5"/>
    </row>
    <row r="157" spans="2:19">
      <c r="Q157" s="5"/>
      <c r="R157" s="5"/>
      <c r="S157" s="5"/>
    </row>
    <row r="158" spans="2:19">
      <c r="Q158" s="5"/>
      <c r="R158" s="5"/>
      <c r="S158" s="5"/>
    </row>
    <row r="159" spans="2:19">
      <c r="Q159" s="5"/>
      <c r="R159" s="5"/>
      <c r="S159" s="5"/>
    </row>
    <row r="160" spans="2:19">
      <c r="Q160" s="5"/>
      <c r="R160" s="5"/>
      <c r="S160" s="5"/>
    </row>
    <row r="161" spans="17:19">
      <c r="Q161" s="5"/>
      <c r="R161" s="5"/>
      <c r="S161" s="5"/>
    </row>
    <row r="162" spans="17:19">
      <c r="Q162" s="5"/>
      <c r="R162" s="5"/>
      <c r="S162" s="5"/>
    </row>
    <row r="163" spans="17:19">
      <c r="Q163" s="5"/>
      <c r="R163" s="5"/>
      <c r="S163" s="5"/>
    </row>
    <row r="164" spans="17:19">
      <c r="Q164" s="5"/>
      <c r="R164" s="5"/>
      <c r="S164" s="5"/>
    </row>
    <row r="165" spans="17:19">
      <c r="Q165" s="5"/>
      <c r="R165" s="5"/>
      <c r="S165" s="5"/>
    </row>
  </sheetData>
  <pageMargins left="0.75" right="0.75" top="1" bottom="1" header="0.5" footer="0.5"/>
  <pageSetup scale="71" orientation="landscape" r:id="rId1"/>
  <headerFooter alignWithMargins="0"/>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183">
    <pageSetUpPr fitToPage="1"/>
  </sheetPr>
  <dimension ref="A1:AR165"/>
  <sheetViews>
    <sheetView showGridLines="0" zoomScale="80" zoomScaleNormal="80" workbookViewId="0">
      <selection activeCell="D38" sqref="D38"/>
    </sheetView>
  </sheetViews>
  <sheetFormatPr defaultColWidth="8.88671875" defaultRowHeight="12"/>
  <cols>
    <col min="1" max="1" width="2.33203125" style="39" customWidth="1"/>
    <col min="2" max="2" width="26.5546875" style="39" customWidth="1"/>
    <col min="3" max="9" width="10" style="39" customWidth="1"/>
    <col min="10" max="10" width="26.6640625" style="39" customWidth="1"/>
    <col min="11" max="16" width="10" style="39" customWidth="1"/>
    <col min="17" max="19" width="8.6640625" style="39" customWidth="1"/>
    <col min="20" max="28" width="8.6640625" style="5" customWidth="1"/>
    <col min="29" max="44" width="9.109375" style="5" customWidth="1"/>
    <col min="45" max="16384" width="8.88671875" style="39"/>
  </cols>
  <sheetData>
    <row r="1" spans="2:44" s="312" customFormat="1">
      <c r="T1" s="149"/>
      <c r="U1" s="149"/>
      <c r="V1" s="149"/>
      <c r="W1" s="149"/>
      <c r="X1" s="149"/>
      <c r="Y1" s="149"/>
      <c r="Z1" s="149"/>
      <c r="AA1" s="149"/>
      <c r="AB1" s="149"/>
      <c r="AC1" s="149"/>
      <c r="AD1" s="149"/>
      <c r="AE1" s="149"/>
      <c r="AF1" s="149"/>
      <c r="AG1" s="149"/>
      <c r="AH1" s="149"/>
      <c r="AI1" s="149"/>
      <c r="AJ1" s="149"/>
      <c r="AK1" s="149"/>
      <c r="AL1" s="149"/>
      <c r="AM1" s="149"/>
      <c r="AN1" s="149"/>
      <c r="AO1" s="149"/>
      <c r="AP1" s="149"/>
      <c r="AQ1" s="149"/>
      <c r="AR1" s="149"/>
    </row>
    <row r="2" spans="2:44" s="149" customFormat="1"/>
    <row r="3" spans="2:44" s="149" customFormat="1">
      <c r="H3" s="153"/>
      <c r="P3" s="153"/>
    </row>
    <row r="4" spans="2:44" s="156" customFormat="1" ht="21">
      <c r="B4" s="129" t="s">
        <v>849</v>
      </c>
      <c r="H4" s="222"/>
      <c r="P4" s="222"/>
    </row>
    <row r="5" spans="2:44" s="149" customFormat="1">
      <c r="C5" s="153"/>
      <c r="D5" s="153" t="str" cm="1">
        <f t="array" ref="D5:H5">headings</f>
        <v>2023E</v>
      </c>
      <c r="E5" s="153" t="str">
        <v>2024E</v>
      </c>
      <c r="F5" s="153" t="str">
        <v>2025E</v>
      </c>
      <c r="G5" s="153" t="str">
        <v>2026E</v>
      </c>
      <c r="H5" s="153" t="str">
        <v>23E-26E</v>
      </c>
      <c r="I5" s="153"/>
      <c r="J5" s="153"/>
      <c r="K5" s="153"/>
      <c r="L5" s="153" t="str" cm="1">
        <f t="array" ref="L5:P5">headings</f>
        <v>2023E</v>
      </c>
      <c r="M5" s="153" t="str">
        <v>2024E</v>
      </c>
      <c r="N5" s="153" t="str">
        <v>2025E</v>
      </c>
      <c r="O5" s="153" t="str">
        <v>2026E</v>
      </c>
      <c r="P5" s="153" t="str">
        <v>23E-26E</v>
      </c>
      <c r="Q5" s="162"/>
      <c r="R5" s="162"/>
      <c r="S5" s="162"/>
      <c r="T5" s="162"/>
      <c r="U5" s="162"/>
      <c r="V5" s="162"/>
      <c r="W5" s="162"/>
      <c r="X5" s="162"/>
      <c r="Y5" s="162"/>
    </row>
    <row r="6" spans="2:44">
      <c r="I6" s="5"/>
      <c r="J6" s="5"/>
      <c r="K6" s="5"/>
      <c r="L6" s="5"/>
      <c r="M6" s="5"/>
      <c r="N6" s="5"/>
      <c r="O6" s="49"/>
    </row>
    <row r="7" spans="2:44" ht="12.6" thickBot="1">
      <c r="B7" s="306" t="s">
        <v>271</v>
      </c>
      <c r="C7" s="265"/>
      <c r="D7" s="265" t="str">
        <f>D5</f>
        <v>2023E</v>
      </c>
      <c r="E7" s="265" t="str">
        <f t="shared" ref="E7:H7" si="0">E5</f>
        <v>2024E</v>
      </c>
      <c r="F7" s="265" t="str">
        <f t="shared" si="0"/>
        <v>2025E</v>
      </c>
      <c r="G7" s="265" t="str">
        <f t="shared" si="0"/>
        <v>2026E</v>
      </c>
      <c r="H7" s="265" t="str">
        <f t="shared" si="0"/>
        <v>23E-26E</v>
      </c>
      <c r="I7" s="49"/>
      <c r="J7" s="306" t="s">
        <v>862</v>
      </c>
      <c r="K7" s="306"/>
      <c r="L7" s="265" t="str">
        <f>L5</f>
        <v>2023E</v>
      </c>
      <c r="M7" s="265" t="str">
        <f t="shared" ref="M7:P7" si="1">M5</f>
        <v>2024E</v>
      </c>
      <c r="N7" s="265" t="str">
        <f t="shared" si="1"/>
        <v>2025E</v>
      </c>
      <c r="O7" s="265" t="str">
        <f t="shared" si="1"/>
        <v>2026E</v>
      </c>
      <c r="P7" s="265" t="str">
        <f t="shared" si="1"/>
        <v>23E-26E</v>
      </c>
    </row>
    <row r="8" spans="2:44" ht="12.6" thickTop="1">
      <c r="B8" s="5"/>
      <c r="C8" s="5"/>
      <c r="D8" s="5"/>
      <c r="E8" s="5"/>
      <c r="F8" s="5"/>
      <c r="G8" s="5"/>
      <c r="H8" s="5"/>
      <c r="I8" s="5"/>
      <c r="J8" s="5"/>
      <c r="K8" s="5"/>
      <c r="L8" s="5"/>
      <c r="M8" s="5"/>
      <c r="N8" s="5"/>
      <c r="S8" s="88"/>
      <c r="T8" s="42"/>
      <c r="U8" s="42"/>
      <c r="V8" s="42"/>
      <c r="W8" s="42"/>
      <c r="X8" s="42"/>
      <c r="Y8" s="42"/>
      <c r="Z8" s="42"/>
      <c r="AA8" s="42"/>
    </row>
    <row r="9" spans="2:44">
      <c r="B9" s="41" t="s">
        <v>908</v>
      </c>
      <c r="C9" s="267">
        <f>Prices!C36</f>
        <v>9.99</v>
      </c>
      <c r="D9" s="535">
        <v>0</v>
      </c>
      <c r="E9" s="536">
        <v>0</v>
      </c>
      <c r="F9" s="536">
        <v>0</v>
      </c>
      <c r="G9" s="536">
        <v>0</v>
      </c>
      <c r="H9" s="249"/>
      <c r="I9" s="249"/>
      <c r="J9" s="5" t="s">
        <v>273</v>
      </c>
      <c r="L9" s="529">
        <f>'W.EUR TOWER'!D37</f>
        <v>10.192870582452068</v>
      </c>
      <c r="M9" s="529">
        <f>'W.EUR TOWER'!E37</f>
        <v>10.004426024419873</v>
      </c>
      <c r="N9" s="529">
        <f>'W.EUR TOWER'!F37</f>
        <v>9.4689587470843222</v>
      </c>
      <c r="O9" s="529">
        <f>'W.EUR TOWER'!G37</f>
        <v>8.9199644705362484</v>
      </c>
      <c r="P9" s="286">
        <f>'W.EUR TOWER'!H37</f>
        <v>4.624876336206829E-2</v>
      </c>
      <c r="S9" s="88"/>
      <c r="T9" s="42"/>
      <c r="U9" s="42"/>
      <c r="V9" s="42"/>
      <c r="W9" s="42"/>
      <c r="X9" s="42"/>
      <c r="Y9" s="42"/>
      <c r="Z9" s="42"/>
      <c r="AA9" s="42"/>
    </row>
    <row r="10" spans="2:44">
      <c r="B10" s="5" t="s">
        <v>274</v>
      </c>
      <c r="C10" s="5"/>
      <c r="D10" s="531">
        <v>947.54477999999995</v>
      </c>
      <c r="E10" s="531">
        <v>931.16697999999997</v>
      </c>
      <c r="F10" s="531">
        <v>911.59750837573381</v>
      </c>
      <c r="G10" s="531">
        <v>911.59750837573381</v>
      </c>
      <c r="H10" s="247"/>
      <c r="I10" s="247"/>
      <c r="J10" s="5" t="s">
        <v>184</v>
      </c>
      <c r="L10" s="529">
        <f>'W.EUR TOWER'!D38</f>
        <v>20.166249022817443</v>
      </c>
      <c r="M10" s="529">
        <f>'W.EUR TOWER'!E38</f>
        <v>18.672094966798937</v>
      </c>
      <c r="N10" s="529">
        <f>'W.EUR TOWER'!F38</f>
        <v>17.091346858384298</v>
      </c>
      <c r="O10" s="529">
        <f>'W.EUR TOWER'!G38</f>
        <v>15.747404966058658</v>
      </c>
      <c r="P10" s="286">
        <f>'W.EUR TOWER'!H38</f>
        <v>8.6748891100800751E-2</v>
      </c>
      <c r="S10" s="88"/>
      <c r="T10" s="42"/>
      <c r="U10" s="42"/>
      <c r="V10" s="42"/>
      <c r="W10" s="288"/>
      <c r="X10" s="288"/>
      <c r="Y10" s="288"/>
      <c r="Z10" s="288"/>
      <c r="AA10" s="42"/>
    </row>
    <row r="11" spans="2:44">
      <c r="B11" s="41" t="s">
        <v>275</v>
      </c>
      <c r="C11" s="5"/>
      <c r="D11" s="532">
        <f>$C$9*D10</f>
        <v>9465.9723522000004</v>
      </c>
      <c r="E11" s="532">
        <f>$C$9*E10</f>
        <v>9302.3581302000002</v>
      </c>
      <c r="F11" s="532">
        <f>$C$9*F10</f>
        <v>9106.8591086735814</v>
      </c>
      <c r="G11" s="532">
        <f>$C$9*G10</f>
        <v>9106.8591086735814</v>
      </c>
      <c r="H11" s="249"/>
      <c r="I11" s="249"/>
      <c r="J11" s="5" t="s">
        <v>185</v>
      </c>
      <c r="L11" s="529">
        <f>'W.EUR TOWER'!D39</f>
        <v>59.776546006614971</v>
      </c>
      <c r="M11" s="529">
        <f>'W.EUR TOWER'!E39</f>
        <v>46.753870566091521</v>
      </c>
      <c r="N11" s="529">
        <f>'W.EUR TOWER'!F39</f>
        <v>43.306247455441301</v>
      </c>
      <c r="O11" s="529">
        <f>'W.EUR TOWER'!G39</f>
        <v>29.007427517348063</v>
      </c>
      <c r="P11" s="286">
        <f>'W.EUR TOWER'!H39</f>
        <v>0.27349632578510952</v>
      </c>
      <c r="S11" s="88"/>
      <c r="T11" s="42"/>
      <c r="U11" s="42"/>
      <c r="V11" s="42"/>
      <c r="W11" s="288"/>
      <c r="X11" s="288"/>
      <c r="Y11" s="288"/>
      <c r="Z11" s="288"/>
      <c r="AA11" s="42"/>
    </row>
    <row r="12" spans="2:44">
      <c r="B12" s="5" t="s">
        <v>24</v>
      </c>
      <c r="C12" s="249"/>
      <c r="D12" s="533">
        <v>3225.1949999999997</v>
      </c>
      <c r="E12" s="533">
        <v>3498.9002798095698</v>
      </c>
      <c r="F12" s="533">
        <v>3758.9091502268211</v>
      </c>
      <c r="G12" s="533">
        <v>3800.4461203309602</v>
      </c>
      <c r="H12" s="247"/>
      <c r="I12" s="247"/>
      <c r="J12" s="5" t="s">
        <v>466</v>
      </c>
      <c r="L12" s="529">
        <f>'W.EUR TOWER'!D40</f>
        <v>80.841659879432498</v>
      </c>
      <c r="M12" s="529">
        <f>'W.EUR TOWER'!E40</f>
        <v>63.03296779026271</v>
      </c>
      <c r="N12" s="529">
        <f>'W.EUR TOWER'!F40</f>
        <v>58.5209346071616</v>
      </c>
      <c r="O12" s="529">
        <f>'W.EUR TOWER'!G40</f>
        <v>38.960179895552145</v>
      </c>
      <c r="P12" s="286">
        <f>'W.EUR TOWER'!H40</f>
        <v>0.27642485403069084</v>
      </c>
      <c r="S12" s="88"/>
      <c r="T12" s="42"/>
      <c r="U12" s="42"/>
      <c r="V12" s="42"/>
      <c r="W12" s="288"/>
      <c r="X12" s="288"/>
      <c r="Y12" s="288"/>
      <c r="Z12" s="288"/>
      <c r="AA12" s="42"/>
    </row>
    <row r="13" spans="2:44">
      <c r="B13" s="5" t="s">
        <v>529</v>
      </c>
      <c r="C13" s="257"/>
      <c r="D13" s="533">
        <v>0</v>
      </c>
      <c r="E13" s="533">
        <v>0</v>
      </c>
      <c r="F13" s="533">
        <v>0</v>
      </c>
      <c r="G13" s="533">
        <v>0</v>
      </c>
      <c r="H13" s="247"/>
      <c r="I13" s="247"/>
      <c r="J13" s="5" t="s">
        <v>530</v>
      </c>
      <c r="L13" s="529">
        <f>'W.EUR TOWER'!D41</f>
        <v>1.3959220040269735</v>
      </c>
      <c r="M13" s="529">
        <f>'W.EUR TOWER'!E41</f>
        <v>1.4149287619474864</v>
      </c>
      <c r="N13" s="529">
        <f>'W.EUR TOWER'!F41</f>
        <v>1.4039106023122296</v>
      </c>
      <c r="O13" s="529">
        <f>'W.EUR TOWER'!G41</f>
        <v>1.392369475518118</v>
      </c>
      <c r="P13" s="286">
        <f>'W.EUR TOWER'!H41</f>
        <v>1.5963093613284851E-3</v>
      </c>
      <c r="S13" s="88"/>
      <c r="T13" s="42"/>
      <c r="U13" s="42"/>
      <c r="V13" s="42"/>
      <c r="W13" s="42"/>
      <c r="X13" s="42"/>
      <c r="Y13" s="42"/>
      <c r="Z13" s="42"/>
      <c r="AA13" s="42"/>
    </row>
    <row r="14" spans="2:44">
      <c r="B14" s="5" t="s">
        <v>532</v>
      </c>
      <c r="C14" s="257"/>
      <c r="D14" s="533">
        <v>0</v>
      </c>
      <c r="E14" s="533">
        <v>0</v>
      </c>
      <c r="F14" s="533">
        <v>0</v>
      </c>
      <c r="G14" s="533">
        <v>0</v>
      </c>
      <c r="H14" s="247"/>
      <c r="I14" s="247"/>
      <c r="J14" s="5" t="s">
        <v>593</v>
      </c>
      <c r="L14" s="529">
        <f>'W.EUR TOWER'!D42</f>
        <v>49.100544009026699</v>
      </c>
      <c r="M14" s="529">
        <f>'W.EUR TOWER'!E42</f>
        <v>44.488497993297209</v>
      </c>
      <c r="N14" s="529">
        <f>'W.EUR TOWER'!F42</f>
        <v>40.772472097293196</v>
      </c>
      <c r="O14" s="529">
        <f>'W.EUR TOWER'!G42</f>
        <v>38.020310410793257</v>
      </c>
      <c r="P14" s="286">
        <f>'W.EUR TOWER'!H42</f>
        <v>8.9801440726483106E-2</v>
      </c>
      <c r="S14" s="88"/>
      <c r="T14" s="42"/>
      <c r="U14" s="42"/>
      <c r="V14" s="42"/>
      <c r="W14" s="42"/>
      <c r="X14" s="42"/>
      <c r="Y14" s="42"/>
      <c r="Z14" s="42"/>
      <c r="AA14" s="42"/>
    </row>
    <row r="15" spans="2:44">
      <c r="B15" s="5" t="s">
        <v>531</v>
      </c>
      <c r="C15" s="274"/>
      <c r="D15" s="533">
        <v>0</v>
      </c>
      <c r="E15" s="533">
        <v>0</v>
      </c>
      <c r="F15" s="533">
        <v>0</v>
      </c>
      <c r="G15" s="533">
        <v>0</v>
      </c>
      <c r="H15" s="249"/>
      <c r="I15" s="247"/>
      <c r="J15" s="5" t="s">
        <v>475</v>
      </c>
      <c r="L15" s="529">
        <f>'W.EUR TOWER'!D43</f>
        <v>89.372475348060703</v>
      </c>
      <c r="M15" s="529">
        <f>'W.EUR TOWER'!E43</f>
        <v>67.640935044145863</v>
      </c>
      <c r="N15" s="529">
        <f>'W.EUR TOWER'!F43</f>
        <v>64.397227856113432</v>
      </c>
      <c r="O15" s="529">
        <f>'W.EUR TOWER'!G43</f>
        <v>31.741838163080001</v>
      </c>
      <c r="P15" s="286">
        <f>'W.EUR TOWER'!H43</f>
        <v>0.40695821934634813</v>
      </c>
      <c r="S15" s="88"/>
      <c r="T15" s="42"/>
      <c r="U15" s="42"/>
      <c r="V15" s="42"/>
      <c r="W15" s="42"/>
      <c r="X15" s="42"/>
      <c r="Y15" s="42"/>
      <c r="Z15" s="42"/>
      <c r="AA15" s="42"/>
    </row>
    <row r="16" spans="2:44">
      <c r="B16" s="5" t="s">
        <v>534</v>
      </c>
      <c r="C16" s="257"/>
      <c r="D16" s="533">
        <v>0</v>
      </c>
      <c r="E16" s="533">
        <v>0</v>
      </c>
      <c r="F16" s="533">
        <v>470.38431432187866</v>
      </c>
      <c r="G16" s="533">
        <v>976.04745221789813</v>
      </c>
      <c r="H16" s="247"/>
      <c r="I16" s="247"/>
      <c r="J16" s="5" t="s">
        <v>533</v>
      </c>
      <c r="L16" s="529">
        <f>'W.EUR TOWER'!D44</f>
        <v>781.5951060989903</v>
      </c>
      <c r="M16" s="529">
        <f>'W.EUR TOWER'!E44</f>
        <v>168.52644360522467</v>
      </c>
      <c r="N16" s="529">
        <f>'W.EUR TOWER'!F44</f>
        <v>86.249654559869441</v>
      </c>
      <c r="O16" s="529">
        <f>'W.EUR TOWER'!G44</f>
        <v>60.57879608614391</v>
      </c>
      <c r="P16" s="286">
        <f>'W.EUR TOWER'!H44</f>
        <v>1.3368969852446151</v>
      </c>
      <c r="S16" s="88"/>
      <c r="T16" s="42"/>
      <c r="U16" s="42"/>
      <c r="V16" s="42"/>
      <c r="W16" s="42"/>
      <c r="X16" s="42"/>
      <c r="Y16" s="42"/>
      <c r="Z16" s="42"/>
      <c r="AA16" s="42"/>
    </row>
    <row r="17" spans="2:27">
      <c r="B17" s="5" t="s">
        <v>6</v>
      </c>
      <c r="C17" s="257"/>
      <c r="D17" s="533">
        <v>430.14867383355971</v>
      </c>
      <c r="E17" s="533">
        <v>333.11729691590631</v>
      </c>
      <c r="F17" s="533">
        <v>230.45810013702888</v>
      </c>
      <c r="G17" s="533">
        <v>121.84466994497654</v>
      </c>
      <c r="H17" s="247"/>
      <c r="I17" s="247"/>
      <c r="J17" s="5" t="s">
        <v>580</v>
      </c>
      <c r="L17" s="248">
        <f>'W.EUR TOWER'!D45</f>
        <v>1.4973838876303736E-2</v>
      </c>
      <c r="M17" s="248">
        <f>'W.EUR TOWER'!E45</f>
        <v>1.5949784011688228E-2</v>
      </c>
      <c r="N17" s="248">
        <f>'W.EUR TOWER'!F45</f>
        <v>1.7085918223109533E-2</v>
      </c>
      <c r="O17" s="248">
        <f>'W.EUR TOWER'!G45</f>
        <v>3.1907513937074666E-2</v>
      </c>
      <c r="P17" s="286">
        <f>'W.EUR TOWER'!H45</f>
        <v>0.28215080054202502</v>
      </c>
      <c r="S17" s="88"/>
      <c r="T17" s="42"/>
      <c r="U17" s="42"/>
      <c r="V17" s="42"/>
      <c r="W17" s="42"/>
      <c r="X17" s="42"/>
      <c r="Y17" s="42"/>
      <c r="Z17" s="42"/>
      <c r="AA17" s="42"/>
    </row>
    <row r="18" spans="2:27" ht="12.6" thickBot="1">
      <c r="B18" s="41" t="s">
        <v>583</v>
      </c>
      <c r="C18" s="249"/>
      <c r="D18" s="534">
        <f>D11+D12+D13-D14+D15-D16-D17</f>
        <v>12261.018678366441</v>
      </c>
      <c r="E18" s="534">
        <f>E11+E12+E13-E14+E15-E16-E17</f>
        <v>12468.141113093663</v>
      </c>
      <c r="F18" s="534">
        <f>F11+F12+F13-F14+F15-F16-F17</f>
        <v>12164.925844441495</v>
      </c>
      <c r="G18" s="534">
        <f>G11+G12+G13-G14+G15-G16-G17</f>
        <v>11809.413106841668</v>
      </c>
      <c r="H18" s="276">
        <f>IF(D18=0,"nm",IF(G18=0,"nm",(G18/D18)^(1/3)-1))</f>
        <v>-1.2431443936871123E-2</v>
      </c>
      <c r="I18" s="254"/>
      <c r="J18" s="5" t="s">
        <v>36</v>
      </c>
      <c r="L18" s="248">
        <f>'W.EUR TOWER'!D46</f>
        <v>1.4973838876303736E-2</v>
      </c>
      <c r="M18" s="248">
        <f>'W.EUR TOWER'!E46</f>
        <v>1.5949784011688228E-2</v>
      </c>
      <c r="N18" s="248">
        <f>'W.EUR TOWER'!F46</f>
        <v>1.7085918223109533E-2</v>
      </c>
      <c r="O18" s="248">
        <f>'W.EUR TOWER'!G46</f>
        <v>3.1907513937074666E-2</v>
      </c>
      <c r="P18" s="286">
        <f>'W.EUR TOWER'!H46</f>
        <v>0.28215080054202502</v>
      </c>
      <c r="S18" s="88"/>
      <c r="T18" s="42"/>
      <c r="U18" s="42"/>
      <c r="V18" s="42"/>
      <c r="W18" s="42"/>
      <c r="X18" s="42"/>
      <c r="Y18" s="42"/>
      <c r="Z18" s="42"/>
      <c r="AA18" s="42"/>
    </row>
    <row r="19" spans="2:27" ht="12.6" thickTop="1">
      <c r="B19" s="41"/>
      <c r="C19" s="249"/>
      <c r="D19" s="229"/>
      <c r="E19" s="229"/>
      <c r="F19" s="229"/>
      <c r="G19" s="229"/>
      <c r="H19" s="276"/>
      <c r="I19" s="254"/>
      <c r="J19" s="5" t="s">
        <v>581</v>
      </c>
      <c r="L19" s="248">
        <f>'W.EUR TOWER'!D47</f>
        <v>1.1189127257642853E-2</v>
      </c>
      <c r="M19" s="248">
        <f>'W.EUR TOWER'!E47</f>
        <v>1.4783947018877695E-2</v>
      </c>
      <c r="N19" s="248">
        <f>'W.EUR TOWER'!F47</f>
        <v>1.5528618751017662E-2</v>
      </c>
      <c r="O19" s="248">
        <f>'W.EUR TOWER'!G47</f>
        <v>3.1504161632426621E-2</v>
      </c>
      <c r="P19" s="286">
        <f>'W.EUR TOWER'!H47</f>
        <v>0.40695821934634813</v>
      </c>
      <c r="S19" s="88"/>
      <c r="T19" s="42"/>
      <c r="U19" s="42"/>
      <c r="V19" s="42"/>
      <c r="W19" s="42"/>
      <c r="X19" s="42"/>
      <c r="Y19" s="42"/>
      <c r="Z19" s="42"/>
      <c r="AA19" s="42"/>
    </row>
    <row r="20" spans="2:27">
      <c r="H20" s="277"/>
      <c r="I20" s="17"/>
      <c r="J20" s="5" t="s">
        <v>604</v>
      </c>
      <c r="L20" s="305">
        <f>'W.EUR TOWER'!D48</f>
        <v>1.3342140141156451</v>
      </c>
      <c r="M20" s="305">
        <f>'W.EUR TOWER'!E48</f>
        <v>1.0755892495466599</v>
      </c>
      <c r="N20" s="305">
        <f>'W.EUR TOWER'!F48</f>
        <v>1.0969319190777573</v>
      </c>
      <c r="O20" s="305">
        <f>'W.EUR TOWER'!G48</f>
        <v>1.0097159549718457</v>
      </c>
      <c r="P20" s="286" t="str">
        <f>'W.EUR TOWER'!H48</f>
        <v>nm</v>
      </c>
      <c r="S20" s="88"/>
      <c r="T20" s="42"/>
      <c r="U20" s="42"/>
      <c r="V20" s="42"/>
      <c r="W20" s="42"/>
      <c r="X20" s="42"/>
      <c r="Y20" s="42"/>
      <c r="Z20" s="42"/>
      <c r="AA20" s="42"/>
    </row>
    <row r="21" spans="2:27" ht="12.6" thickBot="1">
      <c r="B21" s="306" t="s">
        <v>931</v>
      </c>
      <c r="C21" s="265"/>
      <c r="D21" s="265" t="str">
        <f>D$5</f>
        <v>2023E</v>
      </c>
      <c r="E21" s="265" t="str">
        <f t="shared" ref="E21:H21" si="2">E$5</f>
        <v>2024E</v>
      </c>
      <c r="F21" s="265" t="str">
        <f t="shared" si="2"/>
        <v>2025E</v>
      </c>
      <c r="G21" s="265" t="str">
        <f t="shared" si="2"/>
        <v>2026E</v>
      </c>
      <c r="H21" s="265" t="str">
        <f t="shared" si="2"/>
        <v>23E-26E</v>
      </c>
      <c r="I21" s="49"/>
      <c r="J21" s="41"/>
      <c r="L21" s="250"/>
      <c r="M21" s="250"/>
      <c r="N21" s="250"/>
      <c r="O21" s="250"/>
      <c r="P21" s="286"/>
      <c r="S21" s="88"/>
      <c r="T21" s="42"/>
      <c r="U21" s="42"/>
      <c r="V21" s="42"/>
      <c r="W21" s="42"/>
      <c r="X21" s="42"/>
      <c r="Y21" s="42"/>
      <c r="Z21" s="42"/>
      <c r="AA21" s="42"/>
    </row>
    <row r="22" spans="2:27" ht="12.6" thickTop="1">
      <c r="B22" s="5"/>
      <c r="C22" s="257"/>
      <c r="D22" s="17"/>
      <c r="E22" s="17"/>
      <c r="F22" s="17"/>
      <c r="G22" s="17"/>
      <c r="H22" s="17"/>
      <c r="I22" s="17"/>
      <c r="P22" s="277"/>
      <c r="S22" s="88"/>
      <c r="T22" s="42"/>
      <c r="U22" s="42"/>
      <c r="V22" s="42"/>
      <c r="W22" s="42"/>
      <c r="X22" s="42"/>
      <c r="Y22" s="42"/>
      <c r="Z22" s="42"/>
      <c r="AA22" s="42"/>
    </row>
    <row r="23" spans="2:27" ht="12.6" thickBot="1">
      <c r="B23" s="5" t="s">
        <v>584</v>
      </c>
      <c r="C23" s="548">
        <v>960.28740000000005</v>
      </c>
      <c r="D23" s="540">
        <v>1042.5934608531538</v>
      </c>
      <c r="E23" s="540">
        <v>1103.0378718668392</v>
      </c>
      <c r="F23" s="540">
        <v>1159.889410369047</v>
      </c>
      <c r="G23" s="540">
        <v>1203.1216012102377</v>
      </c>
      <c r="H23" s="279">
        <f t="shared" ref="H23:H32" si="3">IF(D23=0,"nm",IF(G23=0,"nm",(G23/D23)^(1/3)-1))</f>
        <v>4.8893778011741551E-2</v>
      </c>
      <c r="I23" s="247"/>
      <c r="J23" s="306" t="s">
        <v>9</v>
      </c>
      <c r="K23" s="306"/>
      <c r="L23" s="265" t="str">
        <f>L$5</f>
        <v>2023E</v>
      </c>
      <c r="M23" s="265" t="str">
        <f t="shared" ref="M23:P23" si="4">M$5</f>
        <v>2024E</v>
      </c>
      <c r="N23" s="265" t="str">
        <f t="shared" si="4"/>
        <v>2025E</v>
      </c>
      <c r="O23" s="265" t="str">
        <f t="shared" si="4"/>
        <v>2026E</v>
      </c>
      <c r="P23" s="265" t="str">
        <f t="shared" si="4"/>
        <v>23E-26E</v>
      </c>
      <c r="S23" s="88"/>
      <c r="T23" s="42"/>
      <c r="U23" s="42"/>
      <c r="V23" s="42"/>
      <c r="W23" s="42"/>
      <c r="X23" s="42"/>
      <c r="Y23" s="42"/>
      <c r="Z23" s="42"/>
      <c r="AA23" s="42"/>
    </row>
    <row r="24" spans="2:27" ht="12.6" thickTop="1">
      <c r="B24" s="5" t="s">
        <v>483</v>
      </c>
      <c r="C24" s="549">
        <v>586.99900000000002</v>
      </c>
      <c r="D24" s="540">
        <v>685.59640000000002</v>
      </c>
      <c r="E24" s="540">
        <v>758.97827536302475</v>
      </c>
      <c r="F24" s="540">
        <v>815.52657443308021</v>
      </c>
      <c r="G24" s="540">
        <v>869.30680945216488</v>
      </c>
      <c r="H24" s="279">
        <f t="shared" si="3"/>
        <v>8.2351153579221181E-2</v>
      </c>
      <c r="I24" s="249"/>
      <c r="J24" s="17"/>
      <c r="K24" s="17"/>
      <c r="L24" s="17"/>
      <c r="M24" s="17"/>
      <c r="N24" s="17"/>
      <c r="O24" s="248"/>
      <c r="S24" s="88"/>
      <c r="T24" s="42"/>
      <c r="U24" s="42"/>
      <c r="V24" s="42"/>
      <c r="W24" s="42" t="s">
        <v>855</v>
      </c>
      <c r="X24" s="42" t="s">
        <v>861</v>
      </c>
      <c r="Y24" s="42"/>
      <c r="Z24" s="42"/>
      <c r="AA24" s="42"/>
    </row>
    <row r="25" spans="2:27">
      <c r="B25" s="5" t="s">
        <v>183</v>
      </c>
      <c r="C25" s="548">
        <v>399.97</v>
      </c>
      <c r="D25" s="540">
        <v>398.91240000000005</v>
      </c>
      <c r="E25" s="540">
        <v>469.40578459146479</v>
      </c>
      <c r="F25" s="540">
        <v>561.46300919968905</v>
      </c>
      <c r="G25" s="540">
        <v>643.30217534444182</v>
      </c>
      <c r="H25" s="279">
        <f t="shared" si="3"/>
        <v>0.17267903566645404</v>
      </c>
      <c r="I25" s="248"/>
      <c r="J25" s="247" t="s">
        <v>10</v>
      </c>
      <c r="K25" s="247"/>
      <c r="L25" s="321">
        <v>100</v>
      </c>
      <c r="M25" s="321">
        <v>100</v>
      </c>
      <c r="N25" s="321">
        <v>100</v>
      </c>
      <c r="O25" s="321">
        <v>100</v>
      </c>
      <c r="P25" s="279">
        <f>IF(L25=0,"nm",IF(O25=0,"nm",(O25/L25)^(1/3)-1))</f>
        <v>0</v>
      </c>
      <c r="S25" s="88"/>
      <c r="T25" s="42"/>
      <c r="U25" s="42"/>
      <c r="V25" s="147" t="s">
        <v>273</v>
      </c>
      <c r="W25" s="288">
        <f>D37/L9</f>
        <v>1.1537588551143469</v>
      </c>
      <c r="X25" s="288">
        <v>1</v>
      </c>
      <c r="Y25" s="42"/>
      <c r="Z25" s="42"/>
      <c r="AA25" s="42"/>
    </row>
    <row r="26" spans="2:27">
      <c r="B26" s="5" t="s">
        <v>586</v>
      </c>
      <c r="C26" s="548">
        <v>285.97855000000004</v>
      </c>
      <c r="D26" s="540">
        <v>285.22236600000008</v>
      </c>
      <c r="E26" s="540">
        <v>335.62513598289735</v>
      </c>
      <c r="F26" s="540">
        <v>401.44605157777772</v>
      </c>
      <c r="G26" s="540">
        <v>459.96105537127596</v>
      </c>
      <c r="H26" s="279">
        <f t="shared" si="3"/>
        <v>0.17267903566645404</v>
      </c>
      <c r="I26" s="249"/>
      <c r="J26" s="249" t="s">
        <v>11</v>
      </c>
      <c r="K26" s="249"/>
      <c r="L26" s="281">
        <f>D11+L25</f>
        <v>9565.9723522000004</v>
      </c>
      <c r="M26" s="281">
        <f>E11+M25</f>
        <v>9402.3581302000002</v>
      </c>
      <c r="N26" s="281">
        <f>F11+N25</f>
        <v>9206.8591086735814</v>
      </c>
      <c r="O26" s="281">
        <f>G11+O25</f>
        <v>9206.8591086735814</v>
      </c>
      <c r="P26" s="279">
        <f>IF(L26=0,"nm",IF(O26=0,"nm",(O26/L26)^(1/3)-1))</f>
        <v>-1.2673503930853314E-2</v>
      </c>
      <c r="Q26" s="5"/>
      <c r="S26" s="88"/>
      <c r="T26" s="42"/>
      <c r="U26" s="42"/>
      <c r="V26" s="147" t="s">
        <v>184</v>
      </c>
      <c r="W26" s="288">
        <f t="shared" ref="W26:W28" si="5">D38/L10</f>
        <v>0.88681473335670813</v>
      </c>
      <c r="X26" s="288">
        <v>1</v>
      </c>
      <c r="Y26" s="42"/>
      <c r="Z26" s="42"/>
      <c r="AA26" s="42"/>
    </row>
    <row r="27" spans="2:27">
      <c r="B27" s="5" t="s">
        <v>587</v>
      </c>
      <c r="C27" s="549">
        <v>7583.7339999999995</v>
      </c>
      <c r="D27" s="540">
        <v>7561.5940000000001</v>
      </c>
      <c r="E27" s="540">
        <v>7570.2291001548056</v>
      </c>
      <c r="F27" s="540">
        <v>7557.0170515293185</v>
      </c>
      <c r="G27" s="540">
        <v>7521.4280561806372</v>
      </c>
      <c r="H27" s="279">
        <f t="shared" si="3"/>
        <v>-1.7737562006570062E-3</v>
      </c>
      <c r="I27" s="249"/>
      <c r="J27" s="248"/>
      <c r="K27" s="248"/>
      <c r="L27" s="248"/>
      <c r="M27" s="248"/>
      <c r="N27" s="248"/>
      <c r="O27" s="248"/>
      <c r="Q27" s="41"/>
      <c r="S27" s="88"/>
      <c r="T27" s="42"/>
      <c r="U27" s="42"/>
      <c r="V27" s="147" t="s">
        <v>185</v>
      </c>
      <c r="W27" s="288">
        <f t="shared" si="5"/>
        <v>0.51418357624584299</v>
      </c>
      <c r="X27" s="288">
        <v>1</v>
      </c>
      <c r="Y27" s="42"/>
      <c r="Z27" s="42"/>
      <c r="AA27" s="42"/>
    </row>
    <row r="28" spans="2:27">
      <c r="B28" s="5" t="s">
        <v>592</v>
      </c>
      <c r="C28" s="548">
        <v>933.00800000000004</v>
      </c>
      <c r="D28" s="540">
        <v>1109.5530000000001</v>
      </c>
      <c r="E28" s="540">
        <v>1254.884593784908</v>
      </c>
      <c r="F28" s="540">
        <v>1360.7493967132045</v>
      </c>
      <c r="G28" s="540">
        <v>1436.1181968788105</v>
      </c>
      <c r="H28" s="279">
        <f t="shared" si="3"/>
        <v>8.9801440726483106E-2</v>
      </c>
      <c r="I28" s="248"/>
      <c r="Q28" s="5"/>
      <c r="S28" s="88"/>
      <c r="T28" s="42"/>
      <c r="U28" s="42"/>
      <c r="V28" s="147" t="s">
        <v>466</v>
      </c>
      <c r="W28" s="288">
        <f t="shared" si="5"/>
        <v>0.53175031250020732</v>
      </c>
      <c r="X28" s="288">
        <v>1</v>
      </c>
      <c r="Y28" s="42"/>
      <c r="Z28" s="42"/>
      <c r="AA28" s="42"/>
    </row>
    <row r="29" spans="2:27" ht="12.6" thickBot="1">
      <c r="B29" s="5" t="s">
        <v>588</v>
      </c>
      <c r="C29" s="548">
        <v>260.18242637999992</v>
      </c>
      <c r="D29" s="540">
        <v>246.25585100000001</v>
      </c>
      <c r="E29" s="540">
        <v>274.78474559043048</v>
      </c>
      <c r="F29" s="540">
        <v>338.1273189046268</v>
      </c>
      <c r="G29" s="540">
        <v>391.87804279188032</v>
      </c>
      <c r="H29" s="279">
        <f t="shared" si="3"/>
        <v>0.16749435873085972</v>
      </c>
      <c r="I29" s="252"/>
      <c r="J29" s="306" t="s">
        <v>1363</v>
      </c>
      <c r="K29" s="306"/>
      <c r="L29" s="265" t="str">
        <f>L$5</f>
        <v>2023E</v>
      </c>
      <c r="M29" s="265" t="str">
        <f t="shared" ref="M29:P29" si="6">M$5</f>
        <v>2024E</v>
      </c>
      <c r="N29" s="265" t="str">
        <f t="shared" si="6"/>
        <v>2025E</v>
      </c>
      <c r="O29" s="265" t="str">
        <f t="shared" si="6"/>
        <v>2026E</v>
      </c>
      <c r="P29" s="265" t="str">
        <f t="shared" si="6"/>
        <v>23E-26E</v>
      </c>
      <c r="Q29" s="5"/>
      <c r="S29" s="88"/>
      <c r="T29" s="42"/>
      <c r="U29" s="42"/>
      <c r="V29" s="147" t="s">
        <v>475</v>
      </c>
      <c r="W29" s="288">
        <f>D43/L15</f>
        <v>0.43464909181735117</v>
      </c>
      <c r="X29" s="288">
        <v>1</v>
      </c>
      <c r="Y29" s="42"/>
      <c r="Z29" s="42"/>
      <c r="AA29" s="42"/>
    </row>
    <row r="30" spans="2:27" ht="12.6" thickTop="1">
      <c r="B30" s="5" t="s">
        <v>589</v>
      </c>
      <c r="C30" s="549">
        <v>293.33909999999992</v>
      </c>
      <c r="D30" s="540">
        <v>339.49639999999999</v>
      </c>
      <c r="E30" s="540">
        <v>375.91973261059422</v>
      </c>
      <c r="F30" s="540">
        <v>423.70552451809351</v>
      </c>
      <c r="G30" s="540">
        <v>452.14797315592267</v>
      </c>
      <c r="H30" s="279">
        <f t="shared" si="3"/>
        <v>0.10022574975058851</v>
      </c>
      <c r="I30" s="254"/>
      <c r="J30" s="248"/>
      <c r="K30" s="248"/>
      <c r="L30" s="248"/>
      <c r="M30" s="248"/>
      <c r="N30" s="248"/>
      <c r="O30" s="5"/>
      <c r="Q30" s="5"/>
      <c r="S30" s="88"/>
      <c r="T30" s="42"/>
      <c r="U30" s="42"/>
      <c r="V30" s="147" t="s">
        <v>533</v>
      </c>
      <c r="W30" s="288">
        <f>D44/L16</f>
        <v>3.5673705837898889E-2</v>
      </c>
      <c r="X30" s="288">
        <v>1</v>
      </c>
      <c r="Y30" s="42"/>
      <c r="Z30" s="42"/>
      <c r="AA30" s="42"/>
    </row>
    <row r="31" spans="2:27">
      <c r="B31" s="5" t="s">
        <v>590</v>
      </c>
      <c r="C31" s="549">
        <v>332.79945423089998</v>
      </c>
      <c r="D31" s="540">
        <v>454.82149439999995</v>
      </c>
      <c r="E31" s="540">
        <v>480.48216167999999</v>
      </c>
      <c r="F31" s="540">
        <v>505.66313789601952</v>
      </c>
      <c r="G31" s="540">
        <v>543.58787323822094</v>
      </c>
      <c r="H31" s="279">
        <f t="shared" si="3"/>
        <v>6.1230181652581761E-2</v>
      </c>
      <c r="I31" s="254"/>
      <c r="J31" s="5" t="s">
        <v>737</v>
      </c>
      <c r="K31" s="247"/>
      <c r="L31" s="322">
        <v>23650</v>
      </c>
      <c r="M31" s="322">
        <v>24050</v>
      </c>
      <c r="N31" s="322">
        <v>24450</v>
      </c>
      <c r="O31" s="322">
        <v>24750</v>
      </c>
      <c r="Q31" s="5"/>
      <c r="S31" s="88"/>
      <c r="T31" s="42"/>
      <c r="U31" s="42"/>
      <c r="V31" s="147" t="s">
        <v>580</v>
      </c>
      <c r="W31" s="288">
        <f>D45/L17</f>
        <v>3.2087995900693578</v>
      </c>
      <c r="X31" s="288">
        <v>1</v>
      </c>
      <c r="Y31" s="42"/>
      <c r="Z31" s="42"/>
      <c r="AA31" s="42"/>
    </row>
    <row r="32" spans="2:27">
      <c r="B32" s="5" t="s">
        <v>606</v>
      </c>
      <c r="C32" s="550">
        <v>0</v>
      </c>
      <c r="D32" s="540">
        <v>0</v>
      </c>
      <c r="E32" s="540">
        <v>0</v>
      </c>
      <c r="F32" s="540">
        <v>0</v>
      </c>
      <c r="G32" s="540">
        <v>0</v>
      </c>
      <c r="H32" s="279" t="str">
        <f t="shared" si="3"/>
        <v>nm</v>
      </c>
      <c r="I32" s="254"/>
      <c r="J32" s="5" t="s">
        <v>1361</v>
      </c>
      <c r="K32" s="254"/>
      <c r="L32" s="322">
        <v>54320.911999999997</v>
      </c>
      <c r="M32" s="322">
        <v>58191.024640000003</v>
      </c>
      <c r="N32" s="322">
        <v>62159.878412799997</v>
      </c>
      <c r="O32" s="322">
        <v>64752.238157055996</v>
      </c>
      <c r="Q32" s="5"/>
      <c r="S32" s="88"/>
      <c r="T32" s="42"/>
      <c r="U32" s="42"/>
      <c r="V32" s="147" t="s">
        <v>581</v>
      </c>
      <c r="W32" s="288">
        <f>D47/L19</f>
        <v>2.3007065212509898</v>
      </c>
      <c r="X32" s="288">
        <v>1</v>
      </c>
      <c r="Y32" s="42"/>
      <c r="Z32" s="42"/>
      <c r="AA32" s="42"/>
    </row>
    <row r="33" spans="1:27">
      <c r="B33" s="5" t="s">
        <v>5</v>
      </c>
      <c r="C33" s="549">
        <v>81.2239</v>
      </c>
      <c r="D33" s="540">
        <v>112.94200000000001</v>
      </c>
      <c r="E33" s="540">
        <v>126.4775404027866</v>
      </c>
      <c r="F33" s="540">
        <v>126.93982268467018</v>
      </c>
      <c r="G33" s="540">
        <v>144.39320615480597</v>
      </c>
      <c r="H33" s="279">
        <f>IF(D33=0,"nm",IF(G33=0,"nm",(G33/D33)^(1/3)-1))</f>
        <v>8.5334883747657519E-2</v>
      </c>
      <c r="I33" s="5"/>
      <c r="J33" s="5"/>
      <c r="K33" s="5"/>
      <c r="L33" s="5"/>
      <c r="M33" s="5"/>
      <c r="N33" s="5"/>
      <c r="O33" s="5"/>
      <c r="P33" s="5"/>
      <c r="Q33" s="5"/>
      <c r="S33" s="88"/>
      <c r="T33" s="42"/>
      <c r="U33" s="42"/>
      <c r="V33" s="42"/>
      <c r="W33" s="288"/>
      <c r="X33" s="42"/>
      <c r="Y33" s="42"/>
      <c r="Z33" s="42"/>
      <c r="AA33" s="42"/>
    </row>
    <row r="34" spans="1:27">
      <c r="I34" s="49"/>
      <c r="Q34" s="5"/>
      <c r="S34" s="88"/>
      <c r="T34" s="42"/>
      <c r="U34" s="42"/>
      <c r="V34" s="42"/>
      <c r="W34" s="288"/>
      <c r="X34" s="42"/>
      <c r="Y34" s="288"/>
      <c r="Z34" s="288"/>
      <c r="AA34" s="42"/>
    </row>
    <row r="35" spans="1:27" ht="12.6" thickBot="1">
      <c r="B35" s="306" t="s">
        <v>854</v>
      </c>
      <c r="C35" s="265"/>
      <c r="D35" s="265" t="str">
        <f>D5</f>
        <v>2023E</v>
      </c>
      <c r="E35" s="265" t="str">
        <f t="shared" ref="E35:H35" si="7">E5</f>
        <v>2024E</v>
      </c>
      <c r="F35" s="265" t="str">
        <f t="shared" si="7"/>
        <v>2025E</v>
      </c>
      <c r="G35" s="265" t="str">
        <f t="shared" si="7"/>
        <v>2026E</v>
      </c>
      <c r="H35" s="265" t="str">
        <f t="shared" si="7"/>
        <v>23E-26E</v>
      </c>
      <c r="I35" s="254"/>
      <c r="J35" s="306" t="s">
        <v>1362</v>
      </c>
      <c r="K35" s="306"/>
      <c r="L35" s="265" t="str">
        <f>L$5</f>
        <v>2023E</v>
      </c>
      <c r="M35" s="265" t="str">
        <f t="shared" ref="M35:P35" si="8">M$5</f>
        <v>2024E</v>
      </c>
      <c r="N35" s="265" t="str">
        <f t="shared" si="8"/>
        <v>2025E</v>
      </c>
      <c r="O35" s="265" t="str">
        <f t="shared" si="8"/>
        <v>2026E</v>
      </c>
      <c r="P35" s="265" t="str">
        <f t="shared" si="8"/>
        <v>23E-26E</v>
      </c>
      <c r="Q35" s="5"/>
      <c r="S35" s="88"/>
      <c r="T35" s="42"/>
      <c r="U35" s="42"/>
      <c r="V35" s="42"/>
      <c r="W35" s="42"/>
      <c r="X35" s="42"/>
      <c r="Y35" s="288"/>
      <c r="Z35" s="288"/>
      <c r="AA35" s="42"/>
    </row>
    <row r="36" spans="1:27" ht="12.6" thickTop="1">
      <c r="B36" s="41"/>
      <c r="C36" s="249"/>
      <c r="D36" s="254"/>
      <c r="E36" s="254"/>
      <c r="F36" s="254"/>
      <c r="G36" s="254"/>
      <c r="H36" s="254"/>
      <c r="I36" s="17"/>
      <c r="J36" s="49"/>
      <c r="K36" s="49"/>
      <c r="L36" s="49"/>
      <c r="M36" s="49"/>
      <c r="N36" s="49"/>
      <c r="O36" s="49"/>
      <c r="Q36" s="5"/>
      <c r="S36" s="88"/>
      <c r="T36" s="42"/>
      <c r="U36" s="42"/>
      <c r="V36" s="42"/>
      <c r="W36" s="42"/>
      <c r="X36" s="42"/>
      <c r="Y36" s="288"/>
      <c r="Z36" s="288"/>
      <c r="AA36" s="42"/>
    </row>
    <row r="37" spans="1:27">
      <c r="A37" s="5"/>
      <c r="B37" s="5" t="s">
        <v>273</v>
      </c>
      <c r="C37" s="247"/>
      <c r="D37" s="529">
        <f>D$18/D23</f>
        <v>11.760114693538606</v>
      </c>
      <c r="E37" s="529">
        <f t="shared" ref="E37:G40" si="9">E$18/E23</f>
        <v>11.303456962898224</v>
      </c>
      <c r="F37" s="529">
        <f t="shared" si="9"/>
        <v>10.488004921582075</v>
      </c>
      <c r="G37" s="529">
        <f t="shared" si="9"/>
        <v>9.8156438176842684</v>
      </c>
      <c r="H37" s="17">
        <f t="shared" ref="H37:H40" si="10">H23</f>
        <v>4.8893778011741551E-2</v>
      </c>
      <c r="I37" s="5"/>
      <c r="J37" s="259"/>
      <c r="K37" s="259"/>
      <c r="L37" s="259"/>
      <c r="M37" s="259"/>
      <c r="N37" s="259"/>
      <c r="O37" s="18"/>
      <c r="Q37" s="5"/>
      <c r="R37" s="5"/>
      <c r="S37" s="42"/>
      <c r="T37" s="42"/>
      <c r="U37" s="42"/>
      <c r="V37" s="42"/>
      <c r="W37" s="42"/>
      <c r="X37" s="42"/>
      <c r="Y37" s="42"/>
      <c r="Z37" s="42"/>
      <c r="AA37" s="42"/>
    </row>
    <row r="38" spans="1:27">
      <c r="A38" s="5"/>
      <c r="B38" s="5" t="s">
        <v>184</v>
      </c>
      <c r="C38" s="247"/>
      <c r="D38" s="529">
        <f>D$18/D24</f>
        <v>17.883726749974826</v>
      </c>
      <c r="E38" s="529">
        <f>E$18/E24</f>
        <v>16.427533590642053</v>
      </c>
      <c r="F38" s="529">
        <f t="shared" si="9"/>
        <v>14.916651677350968</v>
      </c>
      <c r="G38" s="529">
        <f t="shared" si="9"/>
        <v>13.584862074511912</v>
      </c>
      <c r="H38" s="17">
        <f t="shared" si="10"/>
        <v>8.2351153579221181E-2</v>
      </c>
      <c r="I38" s="259"/>
      <c r="Q38" s="5"/>
      <c r="R38" s="5"/>
      <c r="S38" s="42"/>
      <c r="T38" s="42"/>
      <c r="U38" s="42"/>
      <c r="V38" s="42"/>
      <c r="W38" s="42"/>
      <c r="X38" s="42"/>
      <c r="Y38" s="42"/>
      <c r="Z38" s="42"/>
      <c r="AA38" s="42"/>
    </row>
    <row r="39" spans="1:27">
      <c r="A39" s="5"/>
      <c r="B39" s="5" t="s">
        <v>185</v>
      </c>
      <c r="C39" s="247"/>
      <c r="D39" s="529">
        <f>D$18/D25</f>
        <v>30.736118201305448</v>
      </c>
      <c r="E39" s="529">
        <f t="shared" si="9"/>
        <v>26.56154125570691</v>
      </c>
      <c r="F39" s="529">
        <f t="shared" si="9"/>
        <v>21.666477835790847</v>
      </c>
      <c r="G39" s="529">
        <f t="shared" si="9"/>
        <v>18.357489776120499</v>
      </c>
      <c r="H39" s="17">
        <f t="shared" si="10"/>
        <v>0.17267903566645404</v>
      </c>
      <c r="I39" s="17"/>
      <c r="J39" s="5"/>
      <c r="K39" s="5"/>
      <c r="L39" s="5"/>
      <c r="M39" s="5"/>
      <c r="N39" s="5"/>
      <c r="O39" s="5"/>
      <c r="Q39" s="5"/>
      <c r="R39" s="5"/>
      <c r="S39" s="42"/>
      <c r="T39" s="42"/>
      <c r="U39" s="42"/>
      <c r="V39" s="42"/>
      <c r="W39" s="42"/>
      <c r="X39" s="42"/>
      <c r="Y39" s="42"/>
      <c r="Z39" s="42"/>
      <c r="AA39" s="42"/>
    </row>
    <row r="40" spans="1:27">
      <c r="A40" s="5"/>
      <c r="B40" s="5" t="s">
        <v>466</v>
      </c>
      <c r="C40" s="247"/>
      <c r="D40" s="529">
        <f>D$18/D26</f>
        <v>42.9875779039237</v>
      </c>
      <c r="E40" s="529">
        <f t="shared" si="9"/>
        <v>37.14900874924043</v>
      </c>
      <c r="F40" s="529">
        <f t="shared" si="9"/>
        <v>30.302766203903278</v>
      </c>
      <c r="G40" s="529">
        <f t="shared" si="9"/>
        <v>25.674810875693005</v>
      </c>
      <c r="H40" s="17">
        <f t="shared" si="10"/>
        <v>0.17267903566645404</v>
      </c>
      <c r="I40" s="5"/>
      <c r="J40" s="259"/>
      <c r="K40" s="259"/>
      <c r="L40" s="259"/>
      <c r="M40" s="259"/>
      <c r="N40" s="259"/>
      <c r="O40" s="18"/>
      <c r="Q40" s="5"/>
      <c r="R40" s="5"/>
      <c r="S40" s="42"/>
      <c r="T40" s="42"/>
      <c r="U40" s="42"/>
      <c r="V40" s="42"/>
      <c r="W40" s="288"/>
      <c r="X40" s="288"/>
      <c r="Y40" s="42"/>
      <c r="Z40" s="42"/>
      <c r="AA40" s="42"/>
    </row>
    <row r="41" spans="1:27">
      <c r="A41" s="5"/>
      <c r="B41" s="5" t="s">
        <v>871</v>
      </c>
      <c r="D41" s="529">
        <f>D18/D27</f>
        <v>1.6214859827658614</v>
      </c>
      <c r="E41" s="529">
        <f>E18/E27</f>
        <v>1.6469965371112347</v>
      </c>
      <c r="F41" s="529">
        <f>F18/F27</f>
        <v>1.6097523350142067</v>
      </c>
      <c r="G41" s="529">
        <f>G18/G27</f>
        <v>1.5701025149256642</v>
      </c>
      <c r="H41" s="17">
        <f>H27</f>
        <v>-1.7737562006570062E-3</v>
      </c>
      <c r="I41" s="247"/>
      <c r="J41" s="17"/>
      <c r="K41" s="17"/>
      <c r="L41" s="17"/>
      <c r="M41" s="17"/>
      <c r="N41" s="17"/>
      <c r="O41" s="5"/>
      <c r="Q41" s="5"/>
      <c r="R41" s="5"/>
      <c r="S41" s="42"/>
      <c r="T41" s="42"/>
      <c r="U41" s="42"/>
      <c r="V41" s="42"/>
      <c r="W41" s="288"/>
      <c r="X41" s="288"/>
      <c r="Y41" s="288"/>
      <c r="Z41" s="288"/>
      <c r="AA41" s="42"/>
    </row>
    <row r="42" spans="1:27">
      <c r="A42" s="5"/>
      <c r="B42" s="5" t="s">
        <v>593</v>
      </c>
      <c r="D42" s="529">
        <f>IFERROR(D18/D28,"na")</f>
        <v>11.050412804405413</v>
      </c>
      <c r="E42" s="529">
        <f>IFERROR(E18/E28,"na")</f>
        <v>9.9356874527306136</v>
      </c>
      <c r="F42" s="529">
        <f>IFERROR(F18/F28,"na")</f>
        <v>8.9398723040590919</v>
      </c>
      <c r="G42" s="529">
        <f>IFERROR(G18/G28,"na")</f>
        <v>8.2231484375782387</v>
      </c>
      <c r="H42" s="17">
        <f>H28</f>
        <v>8.9801440726483106E-2</v>
      </c>
      <c r="I42" s="248"/>
      <c r="J42" s="5"/>
      <c r="K42" s="5"/>
      <c r="L42" s="5"/>
      <c r="M42" s="5"/>
      <c r="N42" s="5"/>
      <c r="O42" s="5"/>
      <c r="Q42" s="5"/>
      <c r="R42" s="5"/>
      <c r="S42" s="42"/>
      <c r="T42" s="42"/>
      <c r="U42" s="42"/>
      <c r="V42" s="42"/>
      <c r="W42" s="288"/>
      <c r="X42" s="288"/>
      <c r="Y42" s="288"/>
      <c r="Z42" s="288"/>
      <c r="AA42" s="42"/>
    </row>
    <row r="43" spans="1:27">
      <c r="A43" s="5"/>
      <c r="B43" s="5" t="s">
        <v>475</v>
      </c>
      <c r="C43" s="247"/>
      <c r="D43" s="529">
        <f>L26/D29</f>
        <v>38.845665243503191</v>
      </c>
      <c r="E43" s="529">
        <f>M26/E29</f>
        <v>34.217176466608933</v>
      </c>
      <c r="F43" s="529">
        <f>N26/F29</f>
        <v>27.228971437443938</v>
      </c>
      <c r="G43" s="529">
        <f>O26/G29</f>
        <v>23.494194885430684</v>
      </c>
      <c r="H43" s="17">
        <f>H29</f>
        <v>0.16749435873085972</v>
      </c>
      <c r="I43" s="247"/>
      <c r="J43" s="247"/>
      <c r="K43" s="247"/>
      <c r="L43" s="247"/>
      <c r="M43" s="247"/>
      <c r="N43" s="247"/>
      <c r="O43" s="18"/>
      <c r="Q43" s="5"/>
      <c r="R43" s="5"/>
      <c r="S43" s="42"/>
      <c r="T43" s="42"/>
      <c r="U43" s="42"/>
      <c r="V43" s="42"/>
      <c r="W43" s="288"/>
      <c r="X43" s="288"/>
      <c r="Y43" s="288"/>
      <c r="Z43" s="288"/>
      <c r="AA43" s="42"/>
    </row>
    <row r="44" spans="1:27">
      <c r="A44" s="5"/>
      <c r="B44" s="5" t="s">
        <v>533</v>
      </c>
      <c r="C44" s="69"/>
      <c r="D44" s="529">
        <f>D11/D30</f>
        <v>27.882393899316753</v>
      </c>
      <c r="E44" s="529">
        <f>E11/E30</f>
        <v>24.745596794292464</v>
      </c>
      <c r="F44" s="529">
        <f>F11/F30</f>
        <v>21.493368817957649</v>
      </c>
      <c r="G44" s="529">
        <f>G11/G30</f>
        <v>20.141324631202298</v>
      </c>
      <c r="H44" s="17">
        <f>H30</f>
        <v>0.10022574975058851</v>
      </c>
      <c r="I44" s="247"/>
      <c r="J44" s="248"/>
      <c r="K44" s="248"/>
      <c r="L44" s="248"/>
      <c r="M44" s="248"/>
      <c r="N44" s="248"/>
      <c r="O44" s="248"/>
      <c r="Q44" s="5"/>
      <c r="R44" s="5"/>
      <c r="S44" s="42"/>
      <c r="T44" s="42"/>
      <c r="U44" s="42"/>
      <c r="V44" s="42"/>
      <c r="W44" s="325"/>
      <c r="X44" s="325"/>
      <c r="Y44" s="288"/>
      <c r="Z44" s="288"/>
      <c r="AA44" s="42"/>
    </row>
    <row r="45" spans="1:27">
      <c r="A45" s="5"/>
      <c r="B45" s="5" t="s">
        <v>580</v>
      </c>
      <c r="C45" s="247"/>
      <c r="D45" s="248">
        <f>D31/D11</f>
        <v>4.8048048048048041E-2</v>
      </c>
      <c r="E45" s="248">
        <f>E31/E11</f>
        <v>5.1651651651651649E-2</v>
      </c>
      <c r="F45" s="248">
        <f>F31/F11</f>
        <v>5.5525525525525518E-2</v>
      </c>
      <c r="G45" s="248">
        <f>G31/G11</f>
        <v>5.9689939939939929E-2</v>
      </c>
      <c r="H45" s="17">
        <f>H31</f>
        <v>6.1230181652581761E-2</v>
      </c>
      <c r="I45" s="248"/>
      <c r="J45" s="247"/>
      <c r="K45" s="247"/>
      <c r="L45" s="247"/>
      <c r="M45" s="247"/>
      <c r="N45" s="247"/>
      <c r="O45" s="248"/>
      <c r="Q45" s="5"/>
      <c r="R45" s="5"/>
      <c r="S45" s="42"/>
      <c r="T45" s="42"/>
      <c r="U45" s="42"/>
      <c r="V45" s="42"/>
      <c r="W45" s="42"/>
      <c r="X45" s="42"/>
      <c r="Y45" s="325"/>
      <c r="Z45" s="325"/>
      <c r="AA45" s="42"/>
    </row>
    <row r="46" spans="1:27">
      <c r="A46" s="5"/>
      <c r="B46" s="5" t="s">
        <v>605</v>
      </c>
      <c r="C46" s="247"/>
      <c r="D46" s="248">
        <f>(D31+D32)/D11</f>
        <v>4.8048048048048041E-2</v>
      </c>
      <c r="E46" s="248">
        <f>(E31+E32)/E11</f>
        <v>5.1651651651651649E-2</v>
      </c>
      <c r="F46" s="248">
        <f>(F31+F32)/F11</f>
        <v>5.5525525525525518E-2</v>
      </c>
      <c r="G46" s="248">
        <f>(G31+G32)/G11</f>
        <v>5.9689939939939929E-2</v>
      </c>
      <c r="H46" s="279">
        <f>IFERROR(((G31+G32)/(D31+D32))^(1/3)-1, "nm")</f>
        <v>6.1230181652581761E-2</v>
      </c>
      <c r="I46" s="247"/>
      <c r="J46" s="247"/>
      <c r="K46" s="247"/>
      <c r="L46" s="247"/>
      <c r="M46" s="247"/>
      <c r="N46" s="247"/>
      <c r="O46" s="18"/>
      <c r="Q46" s="5"/>
      <c r="R46" s="5"/>
      <c r="S46" s="42"/>
      <c r="T46" s="42"/>
      <c r="U46" s="42"/>
      <c r="V46" s="42"/>
      <c r="W46" s="42"/>
      <c r="X46" s="42"/>
      <c r="Y46" s="42"/>
      <c r="Z46" s="42"/>
      <c r="AA46" s="326"/>
    </row>
    <row r="47" spans="1:27">
      <c r="A47" s="5"/>
      <c r="B47" s="5" t="s">
        <v>581</v>
      </c>
      <c r="C47" s="5"/>
      <c r="D47" s="248">
        <f>1/D43</f>
        <v>2.5742898048766116E-2</v>
      </c>
      <c r="E47" s="248">
        <f>1/E43</f>
        <v>2.9225088194400169E-2</v>
      </c>
      <c r="F47" s="248">
        <f>1/F43</f>
        <v>3.6725588489356205E-2</v>
      </c>
      <c r="G47" s="248">
        <f>1/G43</f>
        <v>4.2563705837824817E-2</v>
      </c>
      <c r="H47" s="17">
        <f>H29</f>
        <v>0.16749435873085972</v>
      </c>
      <c r="I47" s="17"/>
      <c r="J47" s="248"/>
      <c r="K47" s="248"/>
      <c r="L47" s="248"/>
      <c r="M47" s="248"/>
      <c r="N47" s="248"/>
      <c r="O47" s="248"/>
      <c r="Q47" s="5"/>
      <c r="R47" s="5"/>
      <c r="S47" s="42"/>
      <c r="T47" s="42"/>
      <c r="U47" s="42"/>
      <c r="V47" s="42"/>
      <c r="W47" s="42"/>
      <c r="X47" s="42"/>
      <c r="Y47" s="42"/>
      <c r="Z47" s="42"/>
      <c r="AA47" s="326"/>
    </row>
    <row r="48" spans="1:27">
      <c r="A48" s="5"/>
      <c r="B48" s="5" t="s">
        <v>618</v>
      </c>
      <c r="C48" s="5"/>
      <c r="D48" s="305">
        <f>D31/D29</f>
        <v>1.8469469559933418</v>
      </c>
      <c r="E48" s="305">
        <f>E31/E29</f>
        <v>1.7485765472445973</v>
      </c>
      <c r="F48" s="305">
        <f>F31/F29</f>
        <v>1.4954814640063092</v>
      </c>
      <c r="G48" s="305">
        <f>G31/G29</f>
        <v>1.3871353173183809</v>
      </c>
      <c r="H48" s="17" t="s">
        <v>607</v>
      </c>
      <c r="I48" s="247"/>
      <c r="J48" s="247"/>
      <c r="K48" s="247"/>
      <c r="L48" s="247"/>
      <c r="M48" s="247"/>
      <c r="N48" s="247"/>
      <c r="O48" s="248"/>
      <c r="Q48" s="5"/>
      <c r="R48" s="5"/>
      <c r="S48" s="42"/>
      <c r="T48" s="42"/>
      <c r="U48" s="42"/>
      <c r="V48" s="42"/>
      <c r="W48" s="42"/>
      <c r="X48" s="42"/>
      <c r="Y48" s="42"/>
      <c r="Z48" s="42"/>
      <c r="AA48" s="326"/>
    </row>
    <row r="49" spans="2:27">
      <c r="I49" s="254"/>
      <c r="J49" s="17"/>
      <c r="K49" s="17"/>
      <c r="L49" s="17"/>
      <c r="M49" s="17"/>
      <c r="N49" s="17"/>
      <c r="O49" s="248"/>
      <c r="Q49" s="5"/>
      <c r="R49" s="5"/>
      <c r="S49" s="42"/>
      <c r="T49" s="42"/>
      <c r="U49" s="42"/>
      <c r="V49" s="42"/>
      <c r="W49" s="42"/>
      <c r="X49" s="42"/>
      <c r="Y49" s="42"/>
      <c r="Z49" s="42"/>
      <c r="AA49" s="326"/>
    </row>
    <row r="50" spans="2:27">
      <c r="I50" s="17"/>
      <c r="J50" s="249"/>
      <c r="K50" s="249"/>
      <c r="L50" s="249"/>
      <c r="M50" s="249"/>
      <c r="N50" s="249"/>
      <c r="O50" s="250"/>
      <c r="Q50" s="5"/>
      <c r="R50" s="5"/>
      <c r="S50" s="42"/>
      <c r="T50" s="42"/>
      <c r="U50" s="42"/>
      <c r="V50" s="42"/>
      <c r="W50" s="288"/>
      <c r="X50" s="288"/>
      <c r="Y50" s="42"/>
      <c r="Z50" s="42"/>
      <c r="AA50" s="326"/>
    </row>
    <row r="51" spans="2:27">
      <c r="B51" s="41"/>
      <c r="C51" s="249"/>
      <c r="D51" s="254"/>
      <c r="E51" s="254"/>
      <c r="F51" s="254"/>
      <c r="G51" s="254"/>
      <c r="H51" s="254"/>
      <c r="I51" s="259"/>
      <c r="J51" s="254"/>
      <c r="K51" s="254"/>
      <c r="L51" s="254"/>
      <c r="M51" s="254"/>
      <c r="N51" s="254"/>
      <c r="O51" s="251"/>
      <c r="Q51" s="5"/>
      <c r="R51" s="5"/>
      <c r="S51" s="42"/>
      <c r="T51" s="42"/>
      <c r="U51" s="42"/>
      <c r="V51" s="42"/>
      <c r="W51" s="288"/>
      <c r="X51" s="288"/>
      <c r="Y51" s="288"/>
      <c r="Z51" s="288"/>
      <c r="AA51" s="42"/>
    </row>
    <row r="52" spans="2:27">
      <c r="B52" s="5"/>
      <c r="C52" s="257"/>
      <c r="D52" s="17"/>
      <c r="E52" s="17"/>
      <c r="F52" s="17"/>
      <c r="G52" s="17"/>
      <c r="H52" s="17"/>
      <c r="I52" s="254"/>
      <c r="J52" s="17"/>
      <c r="K52" s="17"/>
      <c r="L52" s="17"/>
      <c r="M52" s="17"/>
      <c r="N52" s="17"/>
      <c r="O52" s="248"/>
      <c r="Q52" s="5"/>
      <c r="R52" s="5"/>
      <c r="S52" s="5"/>
      <c r="Y52" s="10"/>
      <c r="Z52" s="10"/>
    </row>
    <row r="53" spans="2:27">
      <c r="B53" s="5"/>
      <c r="C53" s="257"/>
      <c r="D53" s="257"/>
      <c r="E53" s="257"/>
      <c r="F53" s="5"/>
      <c r="G53" s="5"/>
      <c r="H53" s="259"/>
      <c r="I53" s="17"/>
      <c r="J53" s="259"/>
      <c r="K53" s="259"/>
      <c r="L53" s="259"/>
      <c r="M53" s="259"/>
      <c r="N53" s="259"/>
      <c r="O53" s="18"/>
      <c r="Q53" s="5"/>
      <c r="R53" s="5"/>
      <c r="S53" s="5"/>
    </row>
    <row r="54" spans="2:27">
      <c r="B54" s="41"/>
      <c r="C54" s="249"/>
      <c r="D54" s="254"/>
      <c r="E54" s="254"/>
      <c r="F54" s="254"/>
      <c r="G54" s="254"/>
      <c r="H54" s="254"/>
      <c r="I54" s="259"/>
      <c r="Q54" s="5"/>
      <c r="R54" s="5"/>
      <c r="S54" s="5"/>
    </row>
    <row r="55" spans="2:27">
      <c r="B55" s="5"/>
      <c r="C55" s="257"/>
      <c r="D55" s="17"/>
      <c r="E55" s="17"/>
      <c r="F55" s="17"/>
      <c r="G55" s="17"/>
      <c r="H55" s="17"/>
      <c r="I55" s="249"/>
      <c r="Q55" s="5"/>
      <c r="R55" s="5"/>
      <c r="S55" s="5"/>
    </row>
    <row r="56" spans="2:27">
      <c r="B56" s="5"/>
      <c r="C56" s="248"/>
      <c r="D56" s="248"/>
      <c r="E56" s="248"/>
      <c r="F56" s="5"/>
      <c r="G56" s="5"/>
      <c r="H56" s="259"/>
      <c r="I56" s="248"/>
      <c r="Q56" s="5"/>
      <c r="R56" s="5"/>
      <c r="S56" s="5"/>
    </row>
    <row r="57" spans="2:27">
      <c r="B57" s="41"/>
      <c r="C57" s="249"/>
      <c r="D57" s="249"/>
      <c r="E57" s="249"/>
      <c r="F57" s="249"/>
      <c r="G57" s="249"/>
      <c r="H57" s="249"/>
      <c r="I57" s="5"/>
      <c r="Q57" s="5"/>
      <c r="R57" s="5"/>
      <c r="S57" s="5"/>
    </row>
    <row r="58" spans="2:27">
      <c r="B58" s="5"/>
      <c r="C58" s="5"/>
      <c r="D58" s="248"/>
      <c r="E58" s="248"/>
      <c r="F58" s="248"/>
      <c r="G58" s="248"/>
      <c r="H58" s="248"/>
      <c r="I58" s="17"/>
      <c r="Q58" s="5"/>
      <c r="R58" s="5"/>
      <c r="S58" s="5"/>
    </row>
    <row r="59" spans="2:27">
      <c r="B59" s="5"/>
      <c r="C59" s="5"/>
      <c r="D59" s="5"/>
      <c r="E59" s="5"/>
      <c r="F59" s="5"/>
      <c r="G59" s="5"/>
      <c r="H59" s="5"/>
      <c r="I59" s="5"/>
      <c r="J59" s="5"/>
      <c r="K59" s="5"/>
      <c r="L59" s="5"/>
      <c r="M59" s="5"/>
      <c r="N59" s="5"/>
      <c r="O59" s="5"/>
      <c r="Q59" s="5"/>
      <c r="R59" s="5"/>
      <c r="S59" s="5"/>
    </row>
    <row r="60" spans="2:27">
      <c r="B60" s="41"/>
      <c r="C60" s="17"/>
      <c r="D60" s="17"/>
      <c r="E60" s="17"/>
      <c r="F60" s="17"/>
      <c r="G60" s="17"/>
      <c r="H60" s="17"/>
      <c r="I60" s="249"/>
      <c r="J60" s="17"/>
      <c r="K60" s="17"/>
      <c r="L60" s="17"/>
      <c r="M60" s="17"/>
      <c r="N60" s="17"/>
      <c r="O60" s="251"/>
      <c r="Q60" s="5"/>
      <c r="R60" s="5"/>
      <c r="S60" s="5"/>
    </row>
    <row r="61" spans="2:27">
      <c r="B61" s="5"/>
      <c r="C61" s="5"/>
      <c r="D61" s="5"/>
      <c r="E61" s="5"/>
      <c r="F61" s="5"/>
      <c r="G61" s="5"/>
      <c r="H61" s="5"/>
      <c r="I61" s="5"/>
      <c r="J61" s="5"/>
      <c r="K61" s="5"/>
      <c r="L61" s="5"/>
      <c r="M61" s="5"/>
      <c r="N61" s="5"/>
      <c r="O61" s="5"/>
      <c r="Q61" s="41"/>
      <c r="R61" s="5"/>
      <c r="S61" s="5"/>
    </row>
    <row r="62" spans="2:27">
      <c r="B62" s="41"/>
      <c r="C62" s="249"/>
      <c r="D62" s="249"/>
      <c r="E62" s="249"/>
      <c r="F62" s="249"/>
      <c r="G62" s="249"/>
      <c r="H62" s="249"/>
      <c r="I62" s="5"/>
      <c r="J62" s="249"/>
      <c r="K62" s="249"/>
      <c r="L62" s="249"/>
      <c r="M62" s="249"/>
      <c r="N62" s="249"/>
      <c r="O62" s="251"/>
      <c r="Q62" s="5"/>
      <c r="R62" s="5"/>
      <c r="S62" s="5"/>
    </row>
    <row r="63" spans="2:27">
      <c r="B63" s="5"/>
      <c r="C63" s="5"/>
      <c r="D63" s="5"/>
      <c r="E63" s="5"/>
      <c r="F63" s="5"/>
      <c r="G63" s="5"/>
      <c r="H63" s="5"/>
      <c r="I63" s="254"/>
      <c r="J63" s="5"/>
      <c r="K63" s="5"/>
      <c r="L63" s="5"/>
      <c r="M63" s="5"/>
      <c r="N63" s="5"/>
      <c r="O63" s="5"/>
      <c r="Q63" s="5"/>
      <c r="R63" s="5"/>
      <c r="S63" s="5"/>
    </row>
    <row r="64" spans="2:27">
      <c r="B64" s="5"/>
      <c r="C64" s="5"/>
      <c r="D64" s="5"/>
      <c r="E64" s="5"/>
      <c r="F64" s="5"/>
      <c r="G64" s="5"/>
      <c r="H64" s="5"/>
      <c r="I64" s="17"/>
      <c r="J64" s="5"/>
      <c r="K64" s="5"/>
      <c r="L64" s="5"/>
      <c r="M64" s="5"/>
      <c r="N64" s="5"/>
      <c r="O64" s="5"/>
      <c r="Q64" s="5"/>
      <c r="R64" s="5"/>
      <c r="S64" s="5"/>
    </row>
    <row r="65" spans="2:26">
      <c r="B65" s="41"/>
      <c r="C65" s="249"/>
      <c r="D65" s="254"/>
      <c r="E65" s="254"/>
      <c r="F65" s="254"/>
      <c r="G65" s="254"/>
      <c r="H65" s="254"/>
      <c r="I65" s="254"/>
      <c r="J65" s="254"/>
      <c r="K65" s="254"/>
      <c r="L65" s="254"/>
      <c r="M65" s="254"/>
      <c r="N65" s="254"/>
      <c r="O65" s="251"/>
      <c r="Q65" s="5"/>
      <c r="R65" s="5"/>
      <c r="S65" s="5"/>
    </row>
    <row r="66" spans="2:26">
      <c r="B66" s="5"/>
      <c r="C66" s="5"/>
      <c r="D66" s="17"/>
      <c r="E66" s="17"/>
      <c r="F66" s="17"/>
      <c r="G66" s="17"/>
      <c r="H66" s="17"/>
      <c r="I66" s="248"/>
      <c r="J66" s="17"/>
      <c r="K66" s="17"/>
      <c r="L66" s="17"/>
      <c r="M66" s="17"/>
      <c r="N66" s="17"/>
      <c r="O66" s="5"/>
      <c r="Q66" s="5"/>
      <c r="R66" s="5"/>
      <c r="S66" s="5"/>
    </row>
    <row r="67" spans="2:26">
      <c r="B67" s="41"/>
      <c r="C67" s="249"/>
      <c r="D67" s="254"/>
      <c r="E67" s="254"/>
      <c r="F67" s="254"/>
      <c r="G67" s="254"/>
      <c r="H67" s="254"/>
      <c r="I67" s="5"/>
      <c r="J67" s="254"/>
      <c r="K67" s="254"/>
      <c r="L67" s="254"/>
      <c r="M67" s="254"/>
      <c r="N67" s="254"/>
      <c r="O67" s="251"/>
      <c r="Q67" s="41"/>
      <c r="R67" s="5"/>
      <c r="S67" s="5"/>
    </row>
    <row r="68" spans="2:26">
      <c r="B68" s="5"/>
      <c r="C68" s="5"/>
      <c r="D68" s="248"/>
      <c r="E68" s="248"/>
      <c r="F68" s="248"/>
      <c r="G68" s="248"/>
      <c r="H68" s="248"/>
      <c r="I68" s="245"/>
      <c r="J68" s="248"/>
      <c r="K68" s="248"/>
      <c r="L68" s="248"/>
      <c r="M68" s="248"/>
      <c r="N68" s="248"/>
      <c r="O68" s="5"/>
      <c r="Q68" s="5"/>
      <c r="R68" s="5"/>
      <c r="S68" s="5"/>
    </row>
    <row r="69" spans="2:26">
      <c r="B69" s="41"/>
      <c r="C69" s="5"/>
      <c r="D69" s="5"/>
      <c r="E69" s="5"/>
      <c r="F69" s="5"/>
      <c r="G69" s="5"/>
      <c r="H69" s="5"/>
      <c r="I69" s="248"/>
      <c r="J69" s="5"/>
      <c r="K69" s="5"/>
      <c r="L69" s="5"/>
      <c r="M69" s="5"/>
      <c r="N69" s="5"/>
      <c r="O69" s="5"/>
      <c r="Q69" s="5"/>
      <c r="R69" s="5"/>
      <c r="S69" s="5"/>
    </row>
    <row r="70" spans="2:26">
      <c r="B70" s="41"/>
      <c r="C70" s="245"/>
      <c r="D70" s="245"/>
      <c r="E70" s="245"/>
      <c r="F70" s="245"/>
      <c r="G70" s="245"/>
      <c r="H70" s="245"/>
      <c r="I70" s="5"/>
      <c r="J70" s="245"/>
      <c r="K70" s="245"/>
      <c r="L70" s="245"/>
      <c r="M70" s="245"/>
      <c r="N70" s="245"/>
      <c r="O70" s="251"/>
      <c r="Q70" s="5"/>
      <c r="R70" s="5"/>
      <c r="S70" s="5"/>
      <c r="W70" s="76"/>
      <c r="X70" s="76"/>
    </row>
    <row r="71" spans="2:26">
      <c r="B71" s="5"/>
      <c r="C71" s="5"/>
      <c r="D71" s="248"/>
      <c r="E71" s="248"/>
      <c r="F71" s="248"/>
      <c r="G71" s="248"/>
      <c r="H71" s="248"/>
      <c r="I71" s="245"/>
      <c r="J71" s="248"/>
      <c r="K71" s="248"/>
      <c r="L71" s="248"/>
      <c r="M71" s="248"/>
      <c r="N71" s="248"/>
      <c r="O71" s="5"/>
      <c r="Q71" s="5"/>
      <c r="R71" s="5"/>
      <c r="S71" s="5"/>
      <c r="W71" s="76"/>
      <c r="X71" s="76"/>
      <c r="Y71" s="76"/>
      <c r="Z71" s="76"/>
    </row>
    <row r="72" spans="2:26">
      <c r="B72" s="41"/>
      <c r="C72" s="5"/>
      <c r="D72" s="5"/>
      <c r="E72" s="5"/>
      <c r="F72" s="5"/>
      <c r="G72" s="5"/>
      <c r="H72" s="5"/>
      <c r="I72" s="18"/>
      <c r="J72" s="5"/>
      <c r="K72" s="5"/>
      <c r="L72" s="5"/>
      <c r="M72" s="5"/>
      <c r="N72" s="5"/>
      <c r="O72" s="5"/>
      <c r="Q72" s="5"/>
      <c r="R72" s="5"/>
      <c r="S72" s="5"/>
      <c r="Y72" s="76"/>
      <c r="Z72" s="76"/>
    </row>
    <row r="73" spans="2:26">
      <c r="B73" s="41"/>
      <c r="C73" s="245"/>
      <c r="D73" s="245"/>
      <c r="E73" s="245"/>
      <c r="F73" s="245"/>
      <c r="G73" s="245"/>
      <c r="H73" s="245"/>
      <c r="I73" s="5"/>
      <c r="J73" s="245"/>
      <c r="K73" s="245"/>
      <c r="L73" s="245"/>
      <c r="M73" s="245"/>
      <c r="N73" s="245"/>
      <c r="O73" s="251"/>
      <c r="Q73" s="5"/>
      <c r="R73" s="5"/>
      <c r="S73" s="5"/>
    </row>
    <row r="74" spans="2:26">
      <c r="B74" s="5"/>
      <c r="C74" s="5"/>
      <c r="D74" s="18"/>
      <c r="E74" s="18"/>
      <c r="F74" s="18"/>
      <c r="G74" s="18"/>
      <c r="H74" s="18"/>
      <c r="I74" s="249"/>
      <c r="J74" s="18"/>
      <c r="K74" s="18"/>
      <c r="L74" s="18"/>
      <c r="M74" s="18"/>
      <c r="N74" s="18"/>
      <c r="O74" s="5"/>
      <c r="Q74" s="5"/>
      <c r="R74" s="5"/>
      <c r="S74" s="5"/>
    </row>
    <row r="75" spans="2:26">
      <c r="B75" s="41"/>
      <c r="C75" s="5"/>
      <c r="D75" s="5"/>
      <c r="E75" s="5"/>
      <c r="F75" s="5"/>
      <c r="G75" s="5"/>
      <c r="H75" s="5"/>
      <c r="I75" s="248"/>
      <c r="J75" s="5"/>
      <c r="K75" s="5"/>
      <c r="L75" s="5"/>
      <c r="M75" s="5"/>
      <c r="N75" s="5"/>
      <c r="O75" s="5"/>
      <c r="Q75" s="5"/>
      <c r="R75" s="5"/>
      <c r="S75" s="5"/>
    </row>
    <row r="76" spans="2:26">
      <c r="B76" s="41"/>
      <c r="C76" s="249"/>
      <c r="D76" s="249"/>
      <c r="E76" s="249"/>
      <c r="F76" s="249"/>
      <c r="G76" s="249"/>
      <c r="H76" s="249"/>
      <c r="I76" s="5"/>
      <c r="J76" s="249"/>
      <c r="K76" s="249"/>
      <c r="L76" s="249"/>
      <c r="M76" s="249"/>
      <c r="N76" s="249"/>
      <c r="O76" s="251"/>
      <c r="Q76" s="5"/>
      <c r="R76" s="5"/>
      <c r="S76" s="5"/>
    </row>
    <row r="77" spans="2:26">
      <c r="B77" s="5"/>
      <c r="C77" s="5"/>
      <c r="D77" s="248"/>
      <c r="E77" s="248"/>
      <c r="F77" s="248"/>
      <c r="G77" s="248"/>
      <c r="H77" s="248"/>
      <c r="I77" s="245"/>
      <c r="J77" s="248"/>
      <c r="K77" s="248"/>
      <c r="L77" s="248"/>
      <c r="M77" s="248"/>
      <c r="N77" s="248"/>
      <c r="O77" s="5"/>
      <c r="Q77" s="5"/>
      <c r="R77" s="5"/>
      <c r="S77" s="5"/>
    </row>
    <row r="78" spans="2:26">
      <c r="B78" s="41"/>
      <c r="C78" s="5"/>
      <c r="D78" s="5"/>
      <c r="E78" s="5"/>
      <c r="F78" s="5"/>
      <c r="G78" s="5"/>
      <c r="H78" s="5"/>
      <c r="I78" s="248"/>
      <c r="J78" s="5"/>
      <c r="K78" s="5"/>
      <c r="L78" s="5"/>
      <c r="M78" s="5"/>
      <c r="N78" s="5"/>
      <c r="O78" s="5"/>
      <c r="Q78" s="5"/>
      <c r="R78" s="5"/>
      <c r="S78" s="5"/>
    </row>
    <row r="79" spans="2:26">
      <c r="B79" s="41"/>
      <c r="C79" s="245"/>
      <c r="D79" s="245"/>
      <c r="E79" s="245"/>
      <c r="F79" s="245"/>
      <c r="G79" s="245"/>
      <c r="H79" s="245"/>
      <c r="I79" s="5"/>
      <c r="J79" s="245"/>
      <c r="K79" s="245"/>
      <c r="L79" s="245"/>
      <c r="M79" s="245"/>
      <c r="N79" s="245"/>
      <c r="O79" s="251"/>
      <c r="Q79" s="5"/>
      <c r="R79" s="5"/>
      <c r="S79" s="5"/>
    </row>
    <row r="80" spans="2:26">
      <c r="B80" s="5"/>
      <c r="C80" s="5"/>
      <c r="D80" s="248"/>
      <c r="E80" s="248"/>
      <c r="F80" s="248"/>
      <c r="G80" s="248"/>
      <c r="H80" s="248"/>
      <c r="I80" s="249"/>
      <c r="J80" s="248"/>
      <c r="K80" s="248"/>
      <c r="L80" s="248"/>
      <c r="M80" s="248"/>
      <c r="N80" s="248"/>
      <c r="O80" s="5"/>
      <c r="Q80" s="5"/>
      <c r="R80" s="5"/>
      <c r="S80" s="5"/>
    </row>
    <row r="81" spans="2:26">
      <c r="B81" s="41"/>
      <c r="C81" s="5"/>
      <c r="D81" s="5"/>
      <c r="E81" s="5"/>
      <c r="F81" s="5"/>
      <c r="G81" s="5"/>
      <c r="H81" s="5"/>
      <c r="I81" s="248"/>
      <c r="J81" s="5"/>
      <c r="K81" s="5"/>
      <c r="L81" s="5"/>
      <c r="M81" s="5"/>
      <c r="N81" s="5"/>
      <c r="O81" s="5"/>
      <c r="Q81" s="5"/>
      <c r="R81" s="5"/>
      <c r="S81" s="5"/>
    </row>
    <row r="82" spans="2:26">
      <c r="B82" s="41"/>
      <c r="C82" s="249"/>
      <c r="D82" s="249"/>
      <c r="E82" s="249"/>
      <c r="F82" s="249"/>
      <c r="G82" s="249"/>
      <c r="H82" s="249"/>
      <c r="I82" s="259"/>
      <c r="J82" s="249"/>
      <c r="K82" s="249"/>
      <c r="L82" s="249"/>
      <c r="M82" s="249"/>
      <c r="N82" s="249"/>
      <c r="O82" s="251"/>
      <c r="Q82" s="5"/>
      <c r="R82" s="5"/>
      <c r="S82" s="5"/>
    </row>
    <row r="83" spans="2:26">
      <c r="B83" s="5"/>
      <c r="C83" s="5"/>
      <c r="D83" s="248"/>
      <c r="E83" s="248"/>
      <c r="F83" s="248"/>
      <c r="G83" s="248"/>
      <c r="H83" s="248"/>
      <c r="I83" s="5"/>
      <c r="J83" s="248"/>
      <c r="K83" s="248"/>
      <c r="L83" s="248"/>
      <c r="M83" s="248"/>
      <c r="N83" s="248"/>
      <c r="O83" s="5"/>
      <c r="Q83" s="5"/>
      <c r="R83" s="5"/>
      <c r="S83" s="5"/>
    </row>
    <row r="84" spans="2:26">
      <c r="B84" s="5"/>
      <c r="C84" s="259"/>
      <c r="D84" s="259"/>
      <c r="E84" s="259"/>
      <c r="F84" s="259"/>
      <c r="G84" s="259"/>
      <c r="H84" s="259"/>
      <c r="I84" s="245"/>
      <c r="J84" s="259"/>
      <c r="K84" s="259"/>
      <c r="L84" s="259"/>
      <c r="M84" s="259"/>
      <c r="N84" s="259"/>
      <c r="O84" s="251"/>
      <c r="Q84" s="5"/>
      <c r="R84" s="5"/>
      <c r="S84" s="5"/>
    </row>
    <row r="85" spans="2:26">
      <c r="B85" s="41"/>
      <c r="C85" s="5"/>
      <c r="D85" s="5"/>
      <c r="E85" s="5"/>
      <c r="F85" s="5"/>
      <c r="G85" s="5"/>
      <c r="H85" s="5"/>
      <c r="I85" s="248"/>
      <c r="J85" s="5"/>
      <c r="K85" s="5"/>
      <c r="L85" s="5"/>
      <c r="M85" s="5"/>
      <c r="N85" s="5"/>
      <c r="O85" s="5"/>
      <c r="Q85" s="5"/>
      <c r="R85" s="5"/>
      <c r="S85" s="5"/>
    </row>
    <row r="86" spans="2:26">
      <c r="B86" s="41"/>
      <c r="C86" s="245"/>
      <c r="D86" s="245"/>
      <c r="E86" s="245"/>
      <c r="F86" s="245"/>
      <c r="G86" s="245"/>
      <c r="H86" s="245"/>
      <c r="I86" s="5"/>
      <c r="J86" s="245"/>
      <c r="K86" s="245"/>
      <c r="L86" s="245"/>
      <c r="M86" s="245"/>
      <c r="N86" s="245"/>
      <c r="O86" s="251"/>
      <c r="Q86" s="5"/>
      <c r="R86" s="5"/>
      <c r="S86" s="5"/>
    </row>
    <row r="87" spans="2:26">
      <c r="B87" s="5"/>
      <c r="C87" s="5"/>
      <c r="D87" s="248"/>
      <c r="E87" s="248"/>
      <c r="F87" s="248"/>
      <c r="G87" s="248"/>
      <c r="H87" s="248"/>
      <c r="I87" s="5"/>
      <c r="J87" s="248"/>
      <c r="K87" s="248"/>
      <c r="L87" s="248"/>
      <c r="M87" s="248"/>
      <c r="N87" s="248"/>
      <c r="O87" s="5"/>
      <c r="Q87" s="5"/>
      <c r="R87" s="5"/>
      <c r="S87" s="5"/>
    </row>
    <row r="88" spans="2:26">
      <c r="B88" s="41"/>
      <c r="C88" s="5"/>
      <c r="D88" s="5"/>
      <c r="E88" s="5"/>
      <c r="F88" s="5"/>
      <c r="G88" s="5"/>
      <c r="H88" s="5"/>
      <c r="I88" s="5"/>
      <c r="J88" s="5"/>
      <c r="K88" s="5"/>
      <c r="L88" s="5"/>
      <c r="M88" s="5"/>
      <c r="N88" s="5"/>
      <c r="O88" s="5"/>
      <c r="Q88" s="5"/>
      <c r="R88" s="5"/>
      <c r="S88" s="5"/>
    </row>
    <row r="89" spans="2:26">
      <c r="B89" s="41"/>
      <c r="C89" s="5"/>
      <c r="D89" s="5"/>
      <c r="E89" s="5"/>
      <c r="F89" s="5"/>
      <c r="G89" s="5"/>
      <c r="H89" s="5"/>
      <c r="I89" s="5"/>
      <c r="J89" s="5"/>
      <c r="K89" s="5"/>
      <c r="L89" s="5"/>
      <c r="M89" s="5"/>
      <c r="N89" s="5"/>
      <c r="O89" s="5"/>
      <c r="Q89" s="5"/>
      <c r="R89" s="5"/>
      <c r="S89" s="5"/>
    </row>
    <row r="90" spans="2:26">
      <c r="B90" s="41"/>
      <c r="C90" s="5"/>
      <c r="D90" s="5"/>
      <c r="E90" s="5"/>
      <c r="F90" s="5"/>
      <c r="G90" s="5"/>
      <c r="H90" s="5"/>
      <c r="I90" s="49"/>
      <c r="J90" s="5"/>
      <c r="K90" s="5"/>
      <c r="L90" s="5"/>
      <c r="M90" s="5"/>
      <c r="N90" s="5"/>
      <c r="O90" s="5"/>
      <c r="Q90" s="41"/>
      <c r="R90" s="5"/>
      <c r="S90" s="5"/>
    </row>
    <row r="91" spans="2:26">
      <c r="B91" s="5"/>
      <c r="C91" s="5"/>
      <c r="D91" s="5"/>
      <c r="E91" s="5"/>
      <c r="F91" s="5"/>
      <c r="G91" s="5"/>
      <c r="H91" s="5"/>
      <c r="I91" s="5"/>
      <c r="J91" s="5"/>
      <c r="K91" s="5"/>
      <c r="L91" s="5"/>
      <c r="M91" s="5"/>
      <c r="N91" s="5"/>
      <c r="O91" s="5"/>
      <c r="Q91" s="5"/>
      <c r="R91" s="5"/>
      <c r="S91" s="5"/>
    </row>
    <row r="92" spans="2:26">
      <c r="B92" s="41"/>
      <c r="C92" s="49"/>
      <c r="D92" s="49"/>
      <c r="E92" s="49"/>
      <c r="F92" s="49"/>
      <c r="G92" s="49"/>
      <c r="H92" s="49"/>
      <c r="I92" s="247"/>
      <c r="J92" s="49"/>
      <c r="K92" s="49"/>
      <c r="L92" s="49"/>
      <c r="M92" s="49"/>
      <c r="N92" s="49"/>
      <c r="O92" s="49"/>
      <c r="Q92" s="5"/>
      <c r="R92" s="5"/>
      <c r="S92" s="5"/>
      <c r="W92" s="21"/>
      <c r="X92" s="21"/>
    </row>
    <row r="93" spans="2:26">
      <c r="B93" s="5"/>
      <c r="C93" s="5"/>
      <c r="D93" s="5"/>
      <c r="E93" s="5"/>
      <c r="F93" s="5"/>
      <c r="G93" s="5"/>
      <c r="H93" s="5"/>
      <c r="I93" s="247"/>
      <c r="J93" s="5"/>
      <c r="K93" s="5"/>
      <c r="L93" s="5"/>
      <c r="M93" s="5"/>
      <c r="N93" s="5"/>
      <c r="O93" s="5"/>
      <c r="Q93" s="5"/>
      <c r="R93" s="5"/>
      <c r="S93" s="5"/>
      <c r="W93" s="21"/>
      <c r="X93" s="21"/>
      <c r="Y93" s="21"/>
      <c r="Z93" s="21"/>
    </row>
    <row r="94" spans="2:26">
      <c r="B94" s="5"/>
      <c r="C94" s="259"/>
      <c r="D94" s="247"/>
      <c r="E94" s="247"/>
      <c r="F94" s="247"/>
      <c r="G94" s="247"/>
      <c r="H94" s="247"/>
      <c r="I94" s="247"/>
      <c r="J94" s="247"/>
      <c r="K94" s="247"/>
      <c r="L94" s="247"/>
      <c r="M94" s="247"/>
      <c r="N94" s="247"/>
      <c r="O94" s="248"/>
      <c r="Q94" s="5"/>
      <c r="R94" s="5"/>
      <c r="S94" s="5"/>
      <c r="Y94" s="21"/>
      <c r="Z94" s="21"/>
    </row>
    <row r="95" spans="2:26">
      <c r="B95" s="5"/>
      <c r="C95" s="259"/>
      <c r="D95" s="247"/>
      <c r="E95" s="247"/>
      <c r="F95" s="247"/>
      <c r="G95" s="247"/>
      <c r="H95" s="247"/>
      <c r="I95" s="248"/>
      <c r="J95" s="247"/>
      <c r="K95" s="247"/>
      <c r="L95" s="247"/>
      <c r="M95" s="247"/>
      <c r="N95" s="247"/>
      <c r="O95" s="248"/>
      <c r="Q95" s="5"/>
      <c r="R95" s="5"/>
      <c r="S95" s="5"/>
    </row>
    <row r="96" spans="2:26">
      <c r="B96" s="5"/>
      <c r="C96" s="259"/>
      <c r="D96" s="247"/>
      <c r="E96" s="247"/>
      <c r="F96" s="247"/>
      <c r="G96" s="247"/>
      <c r="H96" s="247"/>
      <c r="I96" s="247"/>
      <c r="J96" s="247"/>
      <c r="K96" s="247"/>
      <c r="L96" s="247"/>
      <c r="M96" s="247"/>
      <c r="N96" s="247"/>
      <c r="O96" s="248"/>
      <c r="Q96" s="5"/>
      <c r="R96" s="5"/>
      <c r="S96" s="5"/>
    </row>
    <row r="97" spans="2:19">
      <c r="B97" s="5"/>
      <c r="C97" s="259"/>
      <c r="D97" s="248"/>
      <c r="E97" s="248"/>
      <c r="F97" s="248"/>
      <c r="G97" s="248"/>
      <c r="H97" s="248"/>
      <c r="I97" s="249"/>
      <c r="J97" s="248"/>
      <c r="K97" s="248"/>
      <c r="L97" s="248"/>
      <c r="M97" s="248"/>
      <c r="N97" s="248"/>
      <c r="O97" s="248"/>
      <c r="Q97" s="5"/>
      <c r="R97" s="5"/>
      <c r="S97" s="5"/>
    </row>
    <row r="98" spans="2:19">
      <c r="B98" s="5"/>
      <c r="C98" s="259"/>
      <c r="D98" s="247"/>
      <c r="E98" s="247"/>
      <c r="F98" s="247"/>
      <c r="G98" s="247"/>
      <c r="H98" s="247"/>
      <c r="I98" s="248"/>
      <c r="J98" s="247"/>
      <c r="K98" s="247"/>
      <c r="L98" s="247"/>
      <c r="M98" s="247"/>
      <c r="N98" s="247"/>
      <c r="O98" s="248"/>
      <c r="Q98" s="5"/>
      <c r="R98" s="5"/>
      <c r="S98" s="5"/>
    </row>
    <row r="99" spans="2:19">
      <c r="B99" s="41"/>
      <c r="C99" s="249"/>
      <c r="D99" s="249"/>
      <c r="E99" s="249"/>
      <c r="F99" s="249"/>
      <c r="G99" s="249"/>
      <c r="H99" s="249"/>
      <c r="I99" s="5"/>
      <c r="J99" s="249"/>
      <c r="K99" s="249"/>
      <c r="L99" s="249"/>
      <c r="M99" s="249"/>
      <c r="N99" s="249"/>
      <c r="O99" s="248"/>
      <c r="Q99" s="5"/>
      <c r="R99" s="5"/>
      <c r="S99" s="5"/>
    </row>
    <row r="100" spans="2:19">
      <c r="B100" s="41"/>
      <c r="C100" s="257"/>
      <c r="D100" s="248"/>
      <c r="E100" s="248"/>
      <c r="F100" s="248"/>
      <c r="G100" s="248"/>
      <c r="H100" s="248"/>
      <c r="I100" s="259"/>
      <c r="J100" s="248"/>
      <c r="K100" s="248"/>
      <c r="L100" s="248"/>
      <c r="M100" s="248"/>
      <c r="N100" s="248"/>
      <c r="O100" s="248"/>
      <c r="Q100" s="5"/>
      <c r="R100" s="5"/>
      <c r="S100" s="5"/>
    </row>
    <row r="101" spans="2:19" s="5" customFormat="1">
      <c r="B101" s="41"/>
      <c r="I101" s="259"/>
      <c r="O101" s="248"/>
      <c r="P101" s="39"/>
    </row>
    <row r="102" spans="2:19">
      <c r="B102" s="5"/>
      <c r="C102" s="259"/>
      <c r="D102" s="259"/>
      <c r="E102" s="259"/>
      <c r="F102" s="259"/>
      <c r="G102" s="259"/>
      <c r="H102" s="259"/>
      <c r="I102" s="247"/>
      <c r="J102" s="259"/>
      <c r="K102" s="259"/>
      <c r="L102" s="259"/>
      <c r="M102" s="259"/>
      <c r="N102" s="259"/>
      <c r="O102" s="5"/>
      <c r="Q102" s="5"/>
      <c r="R102" s="5"/>
      <c r="S102" s="5"/>
    </row>
    <row r="103" spans="2:19">
      <c r="B103" s="5"/>
      <c r="C103" s="259"/>
      <c r="D103" s="259"/>
      <c r="E103" s="259"/>
      <c r="F103" s="259"/>
      <c r="G103" s="259"/>
      <c r="H103" s="259"/>
      <c r="I103" s="5"/>
      <c r="J103" s="259"/>
      <c r="K103" s="259"/>
      <c r="L103" s="259"/>
      <c r="M103" s="259"/>
      <c r="N103" s="259"/>
      <c r="O103" s="5"/>
      <c r="P103" s="5"/>
      <c r="Q103" s="5"/>
      <c r="R103" s="5"/>
      <c r="S103" s="5"/>
    </row>
    <row r="104" spans="2:19">
      <c r="B104" s="5"/>
      <c r="C104" s="247"/>
      <c r="D104" s="247"/>
      <c r="E104" s="247"/>
      <c r="F104" s="247"/>
      <c r="G104" s="247"/>
      <c r="H104" s="247"/>
      <c r="I104" s="247"/>
      <c r="J104" s="247"/>
      <c r="K104" s="247"/>
      <c r="L104" s="247"/>
      <c r="M104" s="247"/>
      <c r="N104" s="247"/>
      <c r="O104" s="5"/>
      <c r="Q104" s="5"/>
      <c r="R104" s="5"/>
      <c r="S104" s="5"/>
    </row>
    <row r="105" spans="2:19" s="5" customFormat="1">
      <c r="P105" s="39"/>
    </row>
    <row r="106" spans="2:19" s="5" customFormat="1">
      <c r="C106" s="259"/>
      <c r="D106" s="247"/>
      <c r="E106" s="247"/>
      <c r="F106" s="247"/>
      <c r="G106" s="247"/>
      <c r="H106" s="247"/>
      <c r="I106" s="259"/>
      <c r="J106" s="247"/>
      <c r="K106" s="247"/>
      <c r="L106" s="247"/>
      <c r="M106" s="247"/>
      <c r="N106" s="247"/>
      <c r="P106" s="39"/>
    </row>
    <row r="107" spans="2:19">
      <c r="B107" s="5"/>
      <c r="C107" s="259"/>
      <c r="D107" s="5"/>
      <c r="E107" s="5"/>
      <c r="F107" s="5"/>
      <c r="G107" s="5"/>
      <c r="H107" s="5"/>
      <c r="I107" s="247"/>
      <c r="J107" s="5"/>
      <c r="K107" s="5"/>
      <c r="L107" s="5"/>
      <c r="M107" s="5"/>
      <c r="N107" s="5"/>
      <c r="O107" s="5"/>
      <c r="P107" s="5"/>
      <c r="Q107" s="5"/>
      <c r="R107" s="5"/>
      <c r="S107" s="5"/>
    </row>
    <row r="108" spans="2:19">
      <c r="B108" s="5"/>
      <c r="C108" s="259"/>
      <c r="D108" s="259"/>
      <c r="E108" s="259"/>
      <c r="F108" s="259"/>
      <c r="G108" s="259"/>
      <c r="H108" s="259"/>
      <c r="I108" s="249"/>
      <c r="J108" s="259"/>
      <c r="K108" s="259"/>
      <c r="L108" s="259"/>
      <c r="M108" s="259"/>
      <c r="N108" s="259"/>
      <c r="O108" s="5"/>
      <c r="P108" s="5"/>
      <c r="Q108" s="5"/>
      <c r="R108" s="5"/>
      <c r="S108" s="5"/>
    </row>
    <row r="109" spans="2:19">
      <c r="B109" s="5"/>
      <c r="C109" s="247"/>
      <c r="D109" s="247"/>
      <c r="E109" s="247"/>
      <c r="F109" s="247"/>
      <c r="G109" s="247"/>
      <c r="H109" s="247"/>
      <c r="I109" s="249"/>
      <c r="J109" s="247"/>
      <c r="K109" s="247"/>
      <c r="L109" s="247"/>
      <c r="M109" s="247"/>
      <c r="N109" s="247"/>
      <c r="O109" s="5"/>
      <c r="Q109" s="5"/>
      <c r="R109" s="5"/>
      <c r="S109" s="5"/>
    </row>
    <row r="110" spans="2:19">
      <c r="B110" s="41"/>
      <c r="C110" s="249"/>
      <c r="D110" s="249"/>
      <c r="E110" s="249"/>
      <c r="F110" s="249"/>
      <c r="G110" s="249"/>
      <c r="H110" s="249"/>
      <c r="I110" s="247"/>
      <c r="J110" s="249"/>
      <c r="K110" s="249"/>
      <c r="L110" s="249"/>
      <c r="M110" s="249"/>
      <c r="N110" s="249"/>
      <c r="O110" s="5"/>
      <c r="Q110" s="5"/>
      <c r="R110" s="5"/>
      <c r="S110" s="5"/>
    </row>
    <row r="111" spans="2:19">
      <c r="B111" s="5"/>
      <c r="C111" s="249"/>
      <c r="D111" s="249"/>
      <c r="E111" s="249"/>
      <c r="F111" s="249"/>
      <c r="G111" s="249"/>
      <c r="H111" s="249"/>
      <c r="I111" s="5"/>
      <c r="J111" s="249"/>
      <c r="K111" s="249"/>
      <c r="L111" s="249"/>
      <c r="M111" s="249"/>
      <c r="N111" s="249"/>
      <c r="O111" s="5"/>
      <c r="Q111" s="5"/>
      <c r="R111" s="5"/>
      <c r="S111" s="5"/>
    </row>
    <row r="112" spans="2:19">
      <c r="B112" s="5"/>
      <c r="C112" s="247"/>
      <c r="D112" s="247"/>
      <c r="E112" s="247"/>
      <c r="F112" s="247"/>
      <c r="G112" s="247"/>
      <c r="H112" s="247"/>
      <c r="I112" s="5"/>
      <c r="J112" s="247"/>
      <c r="K112" s="247"/>
      <c r="L112" s="247"/>
      <c r="M112" s="247"/>
      <c r="N112" s="247"/>
      <c r="O112" s="5"/>
      <c r="Q112" s="5"/>
      <c r="R112" s="5"/>
      <c r="S112" s="5"/>
    </row>
    <row r="113" spans="2:19">
      <c r="B113" s="5"/>
      <c r="C113" s="5"/>
      <c r="D113" s="5"/>
      <c r="E113" s="5"/>
      <c r="F113" s="5"/>
      <c r="G113" s="5"/>
      <c r="H113" s="5"/>
      <c r="I113" s="5"/>
      <c r="J113" s="5"/>
      <c r="K113" s="5"/>
      <c r="L113" s="5"/>
      <c r="M113" s="5"/>
      <c r="N113" s="5"/>
      <c r="O113" s="5"/>
      <c r="Q113" s="5"/>
      <c r="R113" s="5"/>
      <c r="S113" s="5"/>
    </row>
    <row r="114" spans="2:19">
      <c r="B114" s="5"/>
      <c r="C114" s="5"/>
      <c r="D114" s="5"/>
      <c r="E114" s="5"/>
      <c r="F114" s="5"/>
      <c r="G114" s="5"/>
      <c r="H114" s="5"/>
      <c r="I114" s="5"/>
      <c r="J114" s="5"/>
      <c r="K114" s="5"/>
      <c r="L114" s="5"/>
      <c r="M114" s="5"/>
      <c r="N114" s="5"/>
      <c r="O114" s="5"/>
      <c r="Q114" s="5"/>
      <c r="R114" s="5"/>
      <c r="S114" s="5"/>
    </row>
    <row r="115" spans="2:19">
      <c r="B115" s="5"/>
      <c r="C115" s="5"/>
      <c r="D115" s="5"/>
      <c r="E115" s="5"/>
      <c r="F115" s="5"/>
      <c r="G115" s="5"/>
      <c r="H115" s="5"/>
      <c r="I115" s="49"/>
      <c r="J115" s="5"/>
      <c r="K115" s="5"/>
      <c r="L115" s="5"/>
      <c r="M115" s="5"/>
      <c r="N115" s="5"/>
      <c r="O115" s="5"/>
      <c r="Q115" s="41"/>
      <c r="R115" s="5"/>
      <c r="S115" s="5"/>
    </row>
    <row r="116" spans="2:19">
      <c r="B116" s="5"/>
      <c r="C116" s="5"/>
      <c r="D116" s="5"/>
      <c r="E116" s="5"/>
      <c r="F116" s="5"/>
      <c r="G116" s="5"/>
      <c r="H116" s="5"/>
      <c r="I116" s="5"/>
      <c r="J116" s="5"/>
      <c r="K116" s="5"/>
      <c r="L116" s="5"/>
      <c r="M116" s="5"/>
      <c r="N116" s="5"/>
      <c r="O116" s="5"/>
      <c r="Q116" s="5"/>
      <c r="R116" s="5"/>
      <c r="S116" s="5"/>
    </row>
    <row r="117" spans="2:19">
      <c r="B117" s="41"/>
      <c r="C117" s="49"/>
      <c r="D117" s="49"/>
      <c r="E117" s="49"/>
      <c r="F117" s="49"/>
      <c r="G117" s="49"/>
      <c r="H117" s="49"/>
      <c r="I117" s="254"/>
      <c r="J117" s="49"/>
      <c r="K117" s="49"/>
      <c r="L117" s="49"/>
      <c r="M117" s="49"/>
      <c r="N117" s="49"/>
      <c r="O117" s="49"/>
      <c r="Q117" s="5"/>
      <c r="R117" s="5"/>
      <c r="S117" s="5"/>
    </row>
    <row r="118" spans="2:19">
      <c r="B118" s="5"/>
      <c r="C118" s="5"/>
      <c r="D118" s="5"/>
      <c r="E118" s="5"/>
      <c r="F118" s="5"/>
      <c r="G118" s="5"/>
      <c r="H118" s="5"/>
      <c r="I118" s="249"/>
      <c r="J118" s="5"/>
      <c r="K118" s="5"/>
      <c r="L118" s="5"/>
      <c r="M118" s="5"/>
      <c r="N118" s="5"/>
      <c r="O118" s="5"/>
      <c r="Q118" s="5"/>
      <c r="R118" s="5"/>
      <c r="S118" s="5"/>
    </row>
    <row r="119" spans="2:19">
      <c r="B119" s="41"/>
      <c r="C119" s="254"/>
      <c r="D119" s="254"/>
      <c r="E119" s="254"/>
      <c r="F119" s="254"/>
      <c r="G119" s="254"/>
      <c r="H119" s="254"/>
      <c r="I119" s="254"/>
      <c r="J119" s="254"/>
      <c r="K119" s="254"/>
      <c r="L119" s="254"/>
      <c r="M119" s="254"/>
      <c r="N119" s="254"/>
      <c r="O119" s="248"/>
      <c r="Q119" s="5"/>
      <c r="R119" s="5"/>
      <c r="S119" s="5"/>
    </row>
    <row r="120" spans="2:19">
      <c r="B120" s="41"/>
      <c r="C120" s="254"/>
      <c r="D120" s="249"/>
      <c r="E120" s="249"/>
      <c r="F120" s="249"/>
      <c r="G120" s="249"/>
      <c r="H120" s="249"/>
      <c r="I120" s="254"/>
      <c r="J120" s="249"/>
      <c r="K120" s="249"/>
      <c r="L120" s="249"/>
      <c r="M120" s="249"/>
      <c r="N120" s="249"/>
      <c r="O120" s="248"/>
      <c r="Q120" s="5"/>
      <c r="R120" s="5"/>
      <c r="S120" s="5"/>
    </row>
    <row r="121" spans="2:19">
      <c r="B121" s="41"/>
      <c r="C121" s="254"/>
      <c r="D121" s="254"/>
      <c r="E121" s="254"/>
      <c r="F121" s="254"/>
      <c r="G121" s="254"/>
      <c r="H121" s="254"/>
      <c r="I121" s="254"/>
      <c r="J121" s="254"/>
      <c r="K121" s="254"/>
      <c r="L121" s="254"/>
      <c r="M121" s="254"/>
      <c r="N121" s="254"/>
      <c r="O121" s="248"/>
      <c r="Q121" s="5"/>
      <c r="R121" s="5"/>
      <c r="S121" s="5"/>
    </row>
    <row r="122" spans="2:19">
      <c r="B122" s="41"/>
      <c r="C122" s="254"/>
      <c r="D122" s="254"/>
      <c r="E122" s="254"/>
      <c r="F122" s="254"/>
      <c r="G122" s="254"/>
      <c r="H122" s="254"/>
      <c r="I122" s="254"/>
      <c r="J122" s="254"/>
      <c r="K122" s="254"/>
      <c r="L122" s="254"/>
      <c r="M122" s="254"/>
      <c r="N122" s="254"/>
      <c r="O122" s="248"/>
      <c r="Q122" s="5"/>
      <c r="R122" s="5"/>
      <c r="S122" s="5"/>
    </row>
    <row r="123" spans="2:19">
      <c r="B123" s="41"/>
      <c r="C123" s="254"/>
      <c r="D123" s="254"/>
      <c r="E123" s="254"/>
      <c r="F123" s="254"/>
      <c r="G123" s="254"/>
      <c r="H123" s="254"/>
      <c r="I123" s="254"/>
      <c r="J123" s="254"/>
      <c r="K123" s="254"/>
      <c r="L123" s="254"/>
      <c r="M123" s="254"/>
      <c r="N123" s="254"/>
      <c r="O123" s="248"/>
      <c r="Q123" s="5"/>
      <c r="R123" s="5"/>
      <c r="S123" s="5"/>
    </row>
    <row r="124" spans="2:19">
      <c r="B124" s="41"/>
      <c r="C124" s="254"/>
      <c r="D124" s="254"/>
      <c r="E124" s="254"/>
      <c r="F124" s="254"/>
      <c r="G124" s="254"/>
      <c r="H124" s="254"/>
      <c r="I124" s="254"/>
      <c r="J124" s="254"/>
      <c r="K124" s="254"/>
      <c r="L124" s="254"/>
      <c r="M124" s="254"/>
      <c r="N124" s="254"/>
      <c r="O124" s="248"/>
      <c r="Q124" s="5"/>
      <c r="R124" s="5"/>
      <c r="S124" s="5"/>
    </row>
    <row r="125" spans="2:19">
      <c r="B125" s="41"/>
      <c r="C125" s="254"/>
      <c r="D125" s="254"/>
      <c r="E125" s="254"/>
      <c r="F125" s="254"/>
      <c r="G125" s="254"/>
      <c r="H125" s="254"/>
      <c r="I125" s="254"/>
      <c r="J125" s="254"/>
      <c r="K125" s="254"/>
      <c r="L125" s="254"/>
      <c r="M125" s="254"/>
      <c r="N125" s="254"/>
      <c r="O125" s="5"/>
      <c r="Q125" s="5"/>
      <c r="R125" s="5"/>
      <c r="S125" s="5"/>
    </row>
    <row r="126" spans="2:19">
      <c r="B126" s="41"/>
      <c r="C126" s="254"/>
      <c r="D126" s="254"/>
      <c r="E126" s="254"/>
      <c r="F126" s="254"/>
      <c r="G126" s="254"/>
      <c r="H126" s="254"/>
      <c r="I126" s="254"/>
      <c r="J126" s="254"/>
      <c r="K126" s="254"/>
      <c r="L126" s="254"/>
      <c r="M126" s="254"/>
      <c r="N126" s="254"/>
      <c r="O126" s="5"/>
      <c r="Q126" s="5"/>
      <c r="R126" s="5"/>
      <c r="S126" s="5"/>
    </row>
    <row r="127" spans="2:19">
      <c r="B127" s="41"/>
      <c r="C127" s="254"/>
      <c r="D127" s="254"/>
      <c r="E127" s="254"/>
      <c r="F127" s="254"/>
      <c r="G127" s="254"/>
      <c r="H127" s="254"/>
      <c r="I127" s="18"/>
      <c r="J127" s="254"/>
      <c r="K127" s="254"/>
      <c r="L127" s="254"/>
      <c r="M127" s="254"/>
      <c r="N127" s="254"/>
      <c r="O127" s="5"/>
      <c r="Q127" s="5"/>
      <c r="R127" s="5"/>
      <c r="S127" s="5"/>
    </row>
    <row r="128" spans="2:19">
      <c r="B128" s="41"/>
      <c r="C128" s="254"/>
      <c r="D128" s="254"/>
      <c r="E128" s="254"/>
      <c r="F128" s="254"/>
      <c r="G128" s="254"/>
      <c r="H128" s="254"/>
      <c r="I128" s="5"/>
      <c r="J128" s="254"/>
      <c r="K128" s="254"/>
      <c r="L128" s="254"/>
      <c r="M128" s="254"/>
      <c r="N128" s="254"/>
      <c r="O128" s="5"/>
      <c r="Q128" s="5"/>
      <c r="R128" s="5"/>
      <c r="S128" s="5"/>
    </row>
    <row r="129" spans="2:27">
      <c r="B129" s="5"/>
      <c r="C129" s="5"/>
      <c r="D129" s="18"/>
      <c r="E129" s="18"/>
      <c r="F129" s="18"/>
      <c r="G129" s="18"/>
      <c r="H129" s="18"/>
      <c r="I129" s="254"/>
      <c r="J129" s="18"/>
      <c r="K129" s="18"/>
      <c r="L129" s="18"/>
      <c r="M129" s="18"/>
      <c r="N129" s="18"/>
      <c r="O129" s="5"/>
      <c r="Q129" s="5"/>
      <c r="R129" s="5"/>
      <c r="S129" s="5"/>
    </row>
    <row r="130" spans="2:27">
      <c r="B130" s="5"/>
      <c r="C130" s="5"/>
      <c r="D130" s="5"/>
      <c r="E130" s="5"/>
      <c r="F130" s="5"/>
      <c r="G130" s="5"/>
      <c r="H130" s="5"/>
      <c r="I130" s="18"/>
      <c r="J130" s="5"/>
      <c r="K130" s="5"/>
      <c r="L130" s="5"/>
      <c r="M130" s="5"/>
      <c r="N130" s="5"/>
      <c r="O130" s="5"/>
      <c r="Q130" s="5"/>
      <c r="R130" s="5"/>
      <c r="S130" s="5"/>
    </row>
    <row r="131" spans="2:27">
      <c r="B131" s="41"/>
      <c r="C131" s="254"/>
      <c r="D131" s="254"/>
      <c r="E131" s="254"/>
      <c r="F131" s="254"/>
      <c r="G131" s="254"/>
      <c r="H131" s="254"/>
      <c r="I131" s="5"/>
      <c r="J131" s="254"/>
      <c r="K131" s="254"/>
      <c r="L131" s="254"/>
      <c r="M131" s="254"/>
      <c r="N131" s="254"/>
      <c r="O131" s="5"/>
      <c r="Q131" s="5"/>
      <c r="R131" s="5"/>
      <c r="S131" s="5"/>
    </row>
    <row r="132" spans="2:27">
      <c r="B132" s="5"/>
      <c r="C132" s="259"/>
      <c r="D132" s="18"/>
      <c r="E132" s="18"/>
      <c r="F132" s="18"/>
      <c r="G132" s="18"/>
      <c r="H132" s="18"/>
      <c r="I132" s="5"/>
      <c r="J132" s="18"/>
      <c r="K132" s="18"/>
      <c r="L132" s="18"/>
      <c r="M132" s="18"/>
      <c r="N132" s="18"/>
      <c r="O132" s="5"/>
      <c r="Q132" s="5"/>
      <c r="R132" s="5"/>
      <c r="S132" s="5"/>
    </row>
    <row r="133" spans="2:27">
      <c r="B133" s="5"/>
      <c r="C133" s="5"/>
      <c r="D133" s="5"/>
      <c r="E133" s="5"/>
      <c r="F133" s="5"/>
      <c r="G133" s="5"/>
      <c r="H133" s="5"/>
      <c r="I133" s="17"/>
      <c r="J133" s="5"/>
      <c r="K133" s="5"/>
      <c r="L133" s="5"/>
      <c r="M133" s="5"/>
      <c r="N133" s="5"/>
      <c r="O133" s="5"/>
      <c r="Q133" s="5"/>
      <c r="R133" s="5"/>
      <c r="S133" s="5"/>
    </row>
    <row r="134" spans="2:27">
      <c r="B134" s="41"/>
      <c r="C134" s="5"/>
      <c r="D134" s="5"/>
      <c r="E134" s="5"/>
      <c r="F134" s="5"/>
      <c r="G134" s="5"/>
      <c r="H134" s="5"/>
      <c r="I134" s="17"/>
      <c r="J134" s="5"/>
      <c r="K134" s="5"/>
      <c r="L134" s="5"/>
      <c r="M134" s="5"/>
      <c r="N134" s="5"/>
      <c r="O134" s="5"/>
      <c r="Q134" s="5"/>
      <c r="R134" s="5"/>
      <c r="S134" s="5"/>
    </row>
    <row r="135" spans="2:27">
      <c r="B135" s="5"/>
      <c r="C135" s="17"/>
      <c r="D135" s="17"/>
      <c r="E135" s="17"/>
      <c r="F135" s="17"/>
      <c r="G135" s="17"/>
      <c r="H135" s="17"/>
      <c r="I135" s="17"/>
      <c r="J135" s="17"/>
      <c r="K135" s="17"/>
      <c r="L135" s="17"/>
      <c r="M135" s="17"/>
      <c r="N135" s="17"/>
      <c r="O135" s="5"/>
      <c r="Q135" s="41"/>
      <c r="R135" s="5"/>
      <c r="S135" s="5"/>
    </row>
    <row r="136" spans="2:27">
      <c r="B136" s="5"/>
      <c r="C136" s="17"/>
      <c r="D136" s="17"/>
      <c r="E136" s="17"/>
      <c r="F136" s="17"/>
      <c r="G136" s="17"/>
      <c r="H136" s="17"/>
      <c r="I136" s="17"/>
      <c r="J136" s="17"/>
      <c r="K136" s="17"/>
      <c r="L136" s="17"/>
      <c r="M136" s="17"/>
      <c r="N136" s="17"/>
      <c r="O136" s="5"/>
      <c r="Q136" s="5"/>
      <c r="R136" s="5"/>
      <c r="S136" s="5"/>
      <c r="X136" s="304"/>
    </row>
    <row r="137" spans="2:27">
      <c r="B137" s="5"/>
      <c r="C137" s="5"/>
      <c r="D137" s="17"/>
      <c r="E137" s="17"/>
      <c r="F137" s="17"/>
      <c r="G137" s="17"/>
      <c r="H137" s="17"/>
      <c r="I137" s="17"/>
      <c r="J137" s="17"/>
      <c r="K137" s="17"/>
      <c r="L137" s="17"/>
      <c r="M137" s="17"/>
      <c r="N137" s="17"/>
      <c r="O137" s="5"/>
      <c r="Q137" s="5"/>
      <c r="R137" s="5"/>
      <c r="S137" s="5"/>
      <c r="X137" s="10"/>
      <c r="Y137" s="304"/>
      <c r="Z137" s="304"/>
      <c r="AA137" s="304"/>
    </row>
    <row r="138" spans="2:27">
      <c r="B138" s="5"/>
      <c r="C138" s="5"/>
      <c r="D138" s="17"/>
      <c r="E138" s="17"/>
      <c r="F138" s="17"/>
      <c r="G138" s="17"/>
      <c r="H138" s="17"/>
      <c r="I138" s="17"/>
      <c r="J138" s="17"/>
      <c r="K138" s="17"/>
      <c r="L138" s="17"/>
      <c r="M138" s="17"/>
      <c r="N138" s="17"/>
      <c r="O138" s="5"/>
      <c r="Q138" s="5"/>
      <c r="R138" s="5"/>
      <c r="S138" s="5"/>
      <c r="Y138" s="10"/>
      <c r="Z138" s="10"/>
      <c r="AA138" s="10"/>
    </row>
    <row r="139" spans="2:27">
      <c r="B139" s="5"/>
      <c r="C139" s="5"/>
      <c r="D139" s="17"/>
      <c r="E139" s="17"/>
      <c r="F139" s="17"/>
      <c r="G139" s="17"/>
      <c r="H139" s="17"/>
      <c r="I139" s="5"/>
      <c r="J139" s="17"/>
      <c r="K139" s="17"/>
      <c r="L139" s="17"/>
      <c r="M139" s="17"/>
      <c r="N139" s="17"/>
      <c r="O139" s="5"/>
      <c r="Q139" s="5"/>
      <c r="R139" s="5"/>
      <c r="S139" s="5"/>
    </row>
    <row r="140" spans="2:27">
      <c r="B140" s="5"/>
      <c r="C140" s="17"/>
      <c r="D140" s="17"/>
      <c r="E140" s="17"/>
      <c r="F140" s="17"/>
      <c r="G140" s="17"/>
      <c r="H140" s="17"/>
      <c r="I140" s="5"/>
      <c r="J140" s="17"/>
      <c r="K140" s="17"/>
      <c r="L140" s="17"/>
      <c r="M140" s="17"/>
      <c r="N140" s="17"/>
      <c r="O140" s="5"/>
      <c r="Q140" s="5"/>
      <c r="R140" s="5"/>
      <c r="S140" s="5"/>
    </row>
    <row r="141" spans="2:27">
      <c r="B141" s="5"/>
      <c r="C141" s="5"/>
      <c r="D141" s="5"/>
      <c r="E141" s="5"/>
      <c r="F141" s="5"/>
      <c r="G141" s="5"/>
      <c r="H141" s="5"/>
      <c r="I141" s="5"/>
      <c r="J141" s="5"/>
      <c r="K141" s="5"/>
      <c r="L141" s="5"/>
      <c r="M141" s="5"/>
      <c r="N141" s="5"/>
      <c r="O141" s="5"/>
      <c r="Q141" s="5"/>
      <c r="R141" s="5"/>
      <c r="S141" s="5"/>
    </row>
    <row r="142" spans="2:27">
      <c r="B142" s="5"/>
      <c r="C142" s="5"/>
      <c r="D142" s="5"/>
      <c r="E142" s="5"/>
      <c r="F142" s="5"/>
      <c r="G142" s="5"/>
      <c r="H142" s="5"/>
      <c r="I142" s="5"/>
      <c r="J142" s="5"/>
      <c r="K142" s="5"/>
      <c r="L142" s="5"/>
      <c r="M142" s="5"/>
      <c r="N142" s="5"/>
      <c r="O142" s="5"/>
      <c r="Q142" s="5"/>
      <c r="R142" s="5"/>
      <c r="S142" s="5"/>
    </row>
    <row r="143" spans="2:27">
      <c r="B143" s="5"/>
      <c r="C143" s="5"/>
      <c r="D143" s="5"/>
      <c r="E143" s="5"/>
      <c r="F143" s="5"/>
      <c r="G143" s="5"/>
      <c r="H143" s="5"/>
      <c r="I143" s="5"/>
      <c r="J143" s="5"/>
      <c r="K143" s="5"/>
      <c r="L143" s="5"/>
      <c r="M143" s="5"/>
      <c r="N143" s="5"/>
      <c r="O143" s="5"/>
      <c r="Q143" s="5"/>
      <c r="R143" s="5"/>
      <c r="S143" s="5"/>
    </row>
    <row r="144" spans="2:27">
      <c r="B144" s="5"/>
      <c r="C144" s="5"/>
      <c r="D144" s="5"/>
      <c r="E144" s="5"/>
      <c r="F144" s="5"/>
      <c r="G144" s="5"/>
      <c r="H144" s="5"/>
      <c r="I144" s="5"/>
      <c r="J144" s="5"/>
      <c r="K144" s="5"/>
      <c r="L144" s="5"/>
      <c r="M144" s="5"/>
      <c r="N144" s="5"/>
      <c r="O144" s="5"/>
      <c r="Q144" s="5"/>
      <c r="R144" s="5"/>
      <c r="S144" s="5"/>
    </row>
    <row r="145" spans="2:19">
      <c r="B145" s="5"/>
      <c r="C145" s="5"/>
      <c r="D145" s="5"/>
      <c r="E145" s="5"/>
      <c r="F145" s="5"/>
      <c r="G145" s="5"/>
      <c r="H145" s="5"/>
      <c r="I145" s="5"/>
      <c r="J145" s="5"/>
      <c r="K145" s="5"/>
      <c r="L145" s="5"/>
      <c r="M145" s="5"/>
      <c r="N145" s="5"/>
      <c r="O145" s="5"/>
      <c r="Q145" s="5"/>
      <c r="R145" s="5"/>
      <c r="S145" s="5"/>
    </row>
    <row r="146" spans="2:19">
      <c r="B146" s="5"/>
      <c r="C146" s="5"/>
      <c r="D146" s="5"/>
      <c r="E146" s="5"/>
      <c r="F146" s="5"/>
      <c r="G146" s="5"/>
      <c r="H146" s="5"/>
      <c r="I146" s="5"/>
      <c r="J146" s="5"/>
      <c r="K146" s="5"/>
      <c r="L146" s="5"/>
      <c r="M146" s="5"/>
      <c r="N146" s="5"/>
      <c r="O146" s="5"/>
      <c r="Q146" s="5"/>
      <c r="R146" s="5"/>
      <c r="S146" s="5"/>
    </row>
    <row r="147" spans="2:19">
      <c r="B147" s="5"/>
      <c r="C147" s="5"/>
      <c r="D147" s="5"/>
      <c r="E147" s="5"/>
      <c r="F147" s="5"/>
      <c r="G147" s="5"/>
      <c r="H147" s="5"/>
      <c r="I147" s="5"/>
      <c r="J147" s="5"/>
      <c r="K147" s="5"/>
      <c r="L147" s="5"/>
      <c r="M147" s="5"/>
      <c r="N147" s="5"/>
      <c r="O147" s="5"/>
      <c r="Q147" s="5"/>
      <c r="R147" s="5"/>
      <c r="S147" s="5"/>
    </row>
    <row r="148" spans="2:19">
      <c r="B148" s="5"/>
      <c r="C148" s="5"/>
      <c r="D148" s="5"/>
      <c r="E148" s="5"/>
      <c r="F148" s="5"/>
      <c r="G148" s="5"/>
      <c r="H148" s="5"/>
      <c r="I148" s="5"/>
      <c r="J148" s="5"/>
      <c r="K148" s="5"/>
      <c r="L148" s="5"/>
      <c r="M148" s="5"/>
      <c r="N148" s="5"/>
      <c r="O148" s="5"/>
      <c r="Q148" s="5"/>
      <c r="R148" s="5"/>
      <c r="S148" s="5"/>
    </row>
    <row r="149" spans="2:19">
      <c r="B149" s="5"/>
      <c r="C149" s="5"/>
      <c r="D149" s="5"/>
      <c r="E149" s="5"/>
      <c r="F149" s="5"/>
      <c r="G149" s="5"/>
      <c r="H149" s="5"/>
      <c r="J149" s="5"/>
      <c r="K149" s="5"/>
      <c r="L149" s="5"/>
      <c r="M149" s="5"/>
      <c r="N149" s="5"/>
      <c r="O149" s="5"/>
      <c r="Q149" s="5"/>
      <c r="R149" s="5"/>
      <c r="S149" s="5"/>
    </row>
    <row r="150" spans="2:19">
      <c r="B150" s="5"/>
      <c r="C150" s="5"/>
      <c r="D150" s="5"/>
      <c r="E150" s="5"/>
      <c r="F150" s="5"/>
      <c r="G150" s="5"/>
      <c r="H150" s="5"/>
      <c r="J150" s="5"/>
      <c r="K150" s="5"/>
      <c r="L150" s="5"/>
      <c r="M150" s="5"/>
      <c r="N150" s="5"/>
      <c r="O150" s="5"/>
      <c r="Q150" s="5"/>
      <c r="R150" s="5"/>
      <c r="S150" s="5"/>
    </row>
    <row r="151" spans="2:19">
      <c r="Q151" s="5"/>
      <c r="R151" s="5"/>
      <c r="S151" s="5"/>
    </row>
    <row r="152" spans="2:19">
      <c r="Q152" s="5"/>
      <c r="R152" s="5"/>
      <c r="S152" s="5"/>
    </row>
    <row r="153" spans="2:19">
      <c r="C153" s="263"/>
      <c r="Q153" s="5"/>
      <c r="R153" s="5"/>
      <c r="S153" s="5"/>
    </row>
    <row r="154" spans="2:19">
      <c r="Q154" s="5"/>
      <c r="R154" s="5"/>
      <c r="S154" s="5"/>
    </row>
    <row r="155" spans="2:19">
      <c r="Q155" s="5"/>
      <c r="R155" s="5"/>
      <c r="S155" s="5"/>
    </row>
    <row r="156" spans="2:19">
      <c r="Q156" s="5"/>
      <c r="R156" s="5"/>
      <c r="S156" s="5"/>
    </row>
    <row r="157" spans="2:19">
      <c r="Q157" s="5"/>
      <c r="R157" s="5"/>
      <c r="S157" s="5"/>
    </row>
    <row r="158" spans="2:19">
      <c r="Q158" s="5"/>
      <c r="R158" s="5"/>
      <c r="S158" s="5"/>
    </row>
    <row r="159" spans="2:19">
      <c r="Q159" s="5"/>
      <c r="R159" s="5"/>
      <c r="S159" s="5"/>
    </row>
    <row r="160" spans="2:19">
      <c r="Q160" s="5"/>
      <c r="R160" s="5"/>
      <c r="S160" s="5"/>
    </row>
    <row r="161" spans="17:19">
      <c r="Q161" s="5"/>
      <c r="R161" s="5"/>
      <c r="S161" s="5"/>
    </row>
    <row r="162" spans="17:19">
      <c r="Q162" s="5"/>
      <c r="R162" s="5"/>
      <c r="S162" s="5"/>
    </row>
    <row r="163" spans="17:19">
      <c r="Q163" s="5"/>
      <c r="R163" s="5"/>
      <c r="S163" s="5"/>
    </row>
    <row r="164" spans="17:19">
      <c r="Q164" s="5"/>
      <c r="R164" s="5"/>
      <c r="S164" s="5"/>
    </row>
    <row r="165" spans="17:19">
      <c r="Q165" s="5"/>
      <c r="R165" s="5"/>
      <c r="S165" s="5"/>
    </row>
  </sheetData>
  <pageMargins left="0.75" right="0.75" top="1" bottom="1" header="0.5" footer="0.5"/>
  <pageSetup scale="29"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66">
    <tabColor theme="3" tint="0.79998168889431442"/>
    <pageSetUpPr autoPageBreaks="0"/>
  </sheetPr>
  <dimension ref="A1:DI785"/>
  <sheetViews>
    <sheetView showGridLines="0" zoomScale="80" zoomScaleNormal="80" zoomScaleSheetLayoutView="80" workbookViewId="0">
      <pane ySplit="5" topLeftCell="A6" activePane="bottomLeft" state="frozen"/>
      <selection pane="bottomLeft"/>
    </sheetView>
  </sheetViews>
  <sheetFormatPr defaultColWidth="8.88671875" defaultRowHeight="12"/>
  <cols>
    <col min="1" max="1" width="20" style="146" customWidth="1"/>
    <col min="2" max="2" width="2.33203125" style="42" customWidth="1"/>
    <col min="3" max="3" width="26.6640625" style="39" customWidth="1"/>
    <col min="4" max="4" width="11.109375" style="39" customWidth="1"/>
    <col min="5" max="7" width="11.109375" style="5" customWidth="1"/>
    <col min="8" max="8" width="2.33203125" style="39" customWidth="1"/>
    <col min="9" max="12" width="11.109375" style="39" customWidth="1"/>
    <col min="13" max="13" width="11.109375" style="69" customWidth="1"/>
    <col min="14" max="14" width="2.33203125" style="39" customWidth="1"/>
    <col min="15" max="18" width="11.109375" style="39" customWidth="1"/>
    <col min="19" max="19" width="11.109375" style="69" customWidth="1"/>
    <col min="20" max="20" width="2.33203125" style="39" customWidth="1"/>
    <col min="21" max="21" width="11.109375" style="39" customWidth="1"/>
    <col min="22" max="22" width="26.6640625" style="39" customWidth="1"/>
    <col min="23" max="23" width="9.44140625" style="5" bestFit="1" customWidth="1"/>
    <col min="24" max="24" width="9.44140625" style="5" customWidth="1"/>
    <col min="25" max="25" width="10.33203125" style="5" customWidth="1"/>
    <col min="26" max="26" width="3.6640625" style="5" customWidth="1"/>
    <col min="27" max="27" width="10.5546875" style="5" customWidth="1"/>
    <col min="28" max="28" width="8.6640625" style="63" bestFit="1" customWidth="1"/>
    <col min="29" max="29" width="8" style="5" bestFit="1" customWidth="1"/>
    <col min="30" max="32" width="9.109375" style="5"/>
    <col min="33" max="33" width="10.44140625" style="5" bestFit="1" customWidth="1"/>
    <col min="34" max="46" width="9.109375" style="5"/>
    <col min="47" max="47" width="22.5546875" style="5" bestFit="1" customWidth="1"/>
    <col min="48" max="48" width="18.5546875" style="5" bestFit="1" customWidth="1"/>
    <col min="49" max="52" width="9.109375" style="5"/>
    <col min="53" max="53" width="26.33203125" style="5" customWidth="1"/>
    <col min="54" max="54" width="18" style="5" bestFit="1" customWidth="1"/>
    <col min="55" max="113" width="9.109375" style="5" customWidth="1"/>
    <col min="114" max="16384" width="8.88671875" style="39"/>
  </cols>
  <sheetData>
    <row r="1" spans="1:69" s="149" customFormat="1">
      <c r="A1" s="131"/>
      <c r="B1" s="148"/>
      <c r="F1" s="150"/>
      <c r="M1" s="151"/>
      <c r="S1" s="151"/>
      <c r="AB1" s="152"/>
      <c r="AC1" s="152"/>
    </row>
    <row r="2" spans="1:69" s="149" customFormat="1">
      <c r="A2" s="131"/>
      <c r="B2" s="148"/>
      <c r="M2" s="151"/>
      <c r="S2" s="151"/>
      <c r="AB2" s="152"/>
      <c r="AC2" s="152"/>
    </row>
    <row r="3" spans="1:69" s="149" customFormat="1">
      <c r="A3" s="131"/>
      <c r="B3" s="148"/>
      <c r="U3" s="153"/>
      <c r="AB3" s="152"/>
      <c r="AC3" s="152"/>
    </row>
    <row r="4" spans="1:69" s="156" customFormat="1" ht="21">
      <c r="A4" s="128"/>
      <c r="B4" s="154"/>
      <c r="C4" s="155" t="s">
        <v>200</v>
      </c>
      <c r="AB4" s="157"/>
      <c r="AC4" s="157"/>
    </row>
    <row r="5" spans="1:69" s="131" customFormat="1">
      <c r="B5" s="158"/>
      <c r="D5" s="153"/>
      <c r="E5" s="153"/>
      <c r="F5" s="153"/>
      <c r="G5" s="153"/>
      <c r="H5" s="153"/>
      <c r="I5" s="153" t="str" cm="1">
        <f t="array" ref="I5:M5">headings</f>
        <v>2023E</v>
      </c>
      <c r="J5" s="153" t="str">
        <v>2024E</v>
      </c>
      <c r="K5" s="153" t="str">
        <v>2025E</v>
      </c>
      <c r="L5" s="153" t="str">
        <v>2026E</v>
      </c>
      <c r="M5" s="153" t="str">
        <v>23E-26E</v>
      </c>
      <c r="O5" s="153" t="str" cm="1">
        <f t="array" ref="O5:S5">headings</f>
        <v>2023E</v>
      </c>
      <c r="P5" s="153" t="str">
        <v>2024E</v>
      </c>
      <c r="Q5" s="153" t="str">
        <v>2025E</v>
      </c>
      <c r="R5" s="153" t="str">
        <v>2026E</v>
      </c>
      <c r="S5" s="153" t="str">
        <v>23E-26E</v>
      </c>
      <c r="T5" s="153"/>
      <c r="U5" s="160"/>
      <c r="V5" s="161"/>
      <c r="Z5" s="153"/>
      <c r="AC5" s="161"/>
      <c r="AD5" s="162"/>
      <c r="AE5" s="162"/>
      <c r="AF5" s="162"/>
      <c r="AG5" s="162"/>
      <c r="AH5" s="162"/>
      <c r="AI5" s="162"/>
      <c r="AJ5" s="162"/>
      <c r="AK5" s="162"/>
      <c r="AL5" s="162"/>
      <c r="AM5" s="162"/>
      <c r="AN5" s="162"/>
      <c r="AO5" s="162"/>
      <c r="AP5" s="162"/>
      <c r="AQ5" s="162"/>
      <c r="AR5" s="162"/>
      <c r="AS5" s="162"/>
      <c r="AT5" s="162"/>
      <c r="AU5" s="162"/>
      <c r="AV5" s="162"/>
      <c r="AW5" s="162"/>
      <c r="BC5" s="163"/>
      <c r="BD5" s="163"/>
      <c r="BE5" s="163"/>
      <c r="BG5" s="163"/>
      <c r="BH5" s="163"/>
      <c r="BI5" s="163"/>
      <c r="BK5" s="163"/>
      <c r="BL5" s="163"/>
      <c r="BM5" s="163"/>
      <c r="BO5" s="163"/>
      <c r="BP5" s="163"/>
      <c r="BQ5" s="163"/>
    </row>
    <row r="6" spans="1:69" s="5" customFormat="1">
      <c r="A6" s="41"/>
      <c r="B6" s="42"/>
      <c r="D6" s="49"/>
      <c r="E6" s="69"/>
      <c r="F6" s="69"/>
      <c r="G6" s="69"/>
      <c r="H6" s="134"/>
      <c r="I6" s="625"/>
      <c r="J6" s="625"/>
      <c r="K6" s="625"/>
      <c r="L6" s="625"/>
      <c r="M6" s="625"/>
      <c r="N6" s="46"/>
      <c r="O6" s="50"/>
      <c r="P6" s="50"/>
      <c r="Q6" s="50"/>
      <c r="R6" s="50"/>
      <c r="S6" s="50"/>
      <c r="T6" s="46"/>
      <c r="U6" s="134"/>
      <c r="V6" s="63"/>
      <c r="Z6" s="49"/>
      <c r="AT6" s="69"/>
      <c r="AU6" s="69"/>
      <c r="AV6" s="69"/>
      <c r="AW6" s="69"/>
      <c r="BC6" s="65"/>
      <c r="BD6" s="65"/>
      <c r="BE6" s="65"/>
      <c r="BG6" s="65"/>
      <c r="BH6" s="65"/>
      <c r="BI6" s="65"/>
      <c r="BK6" s="65"/>
      <c r="BL6" s="65"/>
      <c r="BM6" s="65"/>
      <c r="BO6" s="65"/>
      <c r="BP6" s="65"/>
      <c r="BQ6" s="65"/>
    </row>
    <row r="7" spans="1:69" s="41" customFormat="1">
      <c r="B7" s="147"/>
      <c r="C7" s="164"/>
      <c r="D7" s="165" t="s">
        <v>464</v>
      </c>
      <c r="E7" s="165" t="s">
        <v>57</v>
      </c>
      <c r="F7" s="165" t="s">
        <v>59</v>
      </c>
      <c r="G7" s="165" t="s">
        <v>56</v>
      </c>
      <c r="H7" s="49"/>
      <c r="I7" s="166" t="s">
        <v>184</v>
      </c>
      <c r="J7" s="166"/>
      <c r="K7" s="166"/>
      <c r="L7" s="166"/>
      <c r="M7" s="166"/>
      <c r="O7" s="166" t="s">
        <v>185</v>
      </c>
      <c r="P7" s="166"/>
      <c r="Q7" s="166"/>
      <c r="R7" s="166"/>
      <c r="S7" s="166"/>
      <c r="T7" s="49"/>
      <c r="U7" s="167" t="s">
        <v>464</v>
      </c>
      <c r="V7" s="165"/>
      <c r="Z7" s="49"/>
      <c r="AC7" s="135"/>
      <c r="AD7" s="136"/>
      <c r="AE7" s="136"/>
      <c r="AF7" s="136"/>
      <c r="AG7" s="136"/>
      <c r="AH7" s="136"/>
      <c r="AI7" s="136"/>
      <c r="AJ7" s="136"/>
      <c r="AK7" s="136"/>
      <c r="AL7" s="136"/>
      <c r="AM7" s="136"/>
      <c r="AN7" s="136"/>
      <c r="AO7" s="136"/>
      <c r="AP7" s="136"/>
      <c r="AQ7" s="136"/>
      <c r="AR7" s="136"/>
      <c r="AS7" s="136"/>
      <c r="AT7" s="136"/>
      <c r="AU7" s="136"/>
      <c r="AV7" s="136"/>
      <c r="AW7" s="136"/>
      <c r="BC7" s="137"/>
      <c r="BD7" s="137"/>
      <c r="BE7" s="137"/>
      <c r="BG7" s="137"/>
      <c r="BH7" s="137"/>
      <c r="BI7" s="137"/>
      <c r="BK7" s="137"/>
      <c r="BL7" s="137"/>
      <c r="BM7" s="137"/>
      <c r="BO7" s="137"/>
      <c r="BP7" s="137"/>
      <c r="BQ7" s="137"/>
    </row>
    <row r="8" spans="1:69" s="5" customFormat="1">
      <c r="A8" s="41" t="s">
        <v>506</v>
      </c>
      <c r="B8" s="42" t="s">
        <v>1422</v>
      </c>
      <c r="C8" s="48" t="s">
        <v>186</v>
      </c>
      <c r="D8" s="44" t="str">
        <f>B8&amp;TEXT(Prices!C8/100,"0.00")</f>
        <v>GBP1.27</v>
      </c>
      <c r="E8" s="44" t="str">
        <f>B8&amp;TEXT(Prices!E8/100,"0.00")</f>
        <v>GBP1.95</v>
      </c>
      <c r="F8" s="45">
        <f>Prices!F8</f>
        <v>0.53422501966955149</v>
      </c>
      <c r="G8" s="44" t="str">
        <f>Prices!D8</f>
        <v>Buy</v>
      </c>
      <c r="H8" s="46"/>
      <c r="I8" s="47">
        <f>BT!$D$38</f>
        <v>4.4112419029775936</v>
      </c>
      <c r="J8" s="47">
        <f>BT!$E$38</f>
        <v>4.259467326099271</v>
      </c>
      <c r="K8" s="47">
        <f>BT!$F$38</f>
        <v>4.1432741746972876</v>
      </c>
      <c r="L8" s="47">
        <f>BT!$G$38</f>
        <v>4.0049437935910088</v>
      </c>
      <c r="M8" s="45">
        <f>BT!$H$38</f>
        <v>1.0829419326572109E-2</v>
      </c>
      <c r="N8" s="46"/>
      <c r="O8" s="47">
        <f>BT!$D$39</f>
        <v>16.609426200472001</v>
      </c>
      <c r="P8" s="47">
        <f>BT!$E$39</f>
        <v>15.197472694916808</v>
      </c>
      <c r="Q8" s="47">
        <f>BT!$F$39</f>
        <v>14.072217059998996</v>
      </c>
      <c r="R8" s="47">
        <f>BT!$G$39</f>
        <v>12.834982555740231</v>
      </c>
      <c r="S8" s="45">
        <f>BT!$H$39</f>
        <v>6.6619467064831239E-2</v>
      </c>
      <c r="T8" s="46"/>
      <c r="U8" s="48" t="str">
        <f t="shared" ref="U8:U18" si="0">D8</f>
        <v>GBP1.27</v>
      </c>
      <c r="V8" s="69" t="s">
        <v>186</v>
      </c>
      <c r="Z8" s="46"/>
      <c r="AF8" s="31"/>
      <c r="AG8" s="31"/>
      <c r="AJ8" s="64"/>
      <c r="AK8" s="64"/>
      <c r="AN8" s="64"/>
      <c r="AO8" s="64"/>
      <c r="AR8" s="64"/>
      <c r="AS8" s="64"/>
      <c r="AU8" s="69"/>
      <c r="AV8" s="69"/>
      <c r="AW8" s="69"/>
      <c r="BC8" s="65"/>
      <c r="BD8" s="65"/>
      <c r="BE8" s="65"/>
      <c r="BG8" s="65"/>
      <c r="BH8" s="65"/>
      <c r="BI8" s="65"/>
      <c r="BK8" s="65"/>
      <c r="BL8" s="65"/>
      <c r="BM8" s="65"/>
      <c r="BO8" s="65"/>
      <c r="BP8" s="65"/>
      <c r="BQ8" s="65"/>
    </row>
    <row r="9" spans="1:69" s="5" customFormat="1">
      <c r="A9" s="41"/>
      <c r="B9" s="42" t="s">
        <v>1418</v>
      </c>
      <c r="C9" s="48" t="s">
        <v>187</v>
      </c>
      <c r="D9" s="44" t="str">
        <f>B9&amp;TEXT(Prices!C9,"0.00")</f>
        <v>EUR 21.76</v>
      </c>
      <c r="E9" s="44" t="str">
        <f>B9&amp;TEXT(Prices!E9,"0.00")</f>
        <v>EUR 32.00</v>
      </c>
      <c r="F9" s="45">
        <f>Prices!F9</f>
        <v>0.47058823529411753</v>
      </c>
      <c r="G9" s="44" t="str">
        <f>Prices!D9</f>
        <v>Buy</v>
      </c>
      <c r="H9" s="46"/>
      <c r="I9" s="47">
        <f>DT!$D$38</f>
        <v>7.3720524873072719</v>
      </c>
      <c r="J9" s="47">
        <f>DT!$E$38</f>
        <v>6.8658834386781873</v>
      </c>
      <c r="K9" s="47">
        <f>DT!$F$38</f>
        <v>6.3428635283313684</v>
      </c>
      <c r="L9" s="47">
        <f>DT!$G$38</f>
        <v>5.8375488554220443</v>
      </c>
      <c r="M9" s="45">
        <f>DT!$H$38</f>
        <v>5.3622688341299352E-2</v>
      </c>
      <c r="N9" s="46"/>
      <c r="O9" s="47">
        <f>DT!$D$39</f>
        <v>13.41141519452999</v>
      </c>
      <c r="P9" s="47">
        <f>DT!$E$39</f>
        <v>11.160574795922358</v>
      </c>
      <c r="Q9" s="47">
        <f>DT!$F$39</f>
        <v>9.9352136035468099</v>
      </c>
      <c r="R9" s="47">
        <f>DT!$G$39</f>
        <v>8.9157022813922637</v>
      </c>
      <c r="S9" s="45">
        <f>DT!$H$39</f>
        <v>0.11687739339856962</v>
      </c>
      <c r="T9" s="46"/>
      <c r="U9" s="48" t="str">
        <f t="shared" si="0"/>
        <v>EUR 21.76</v>
      </c>
      <c r="V9" s="69" t="s">
        <v>187</v>
      </c>
      <c r="Z9" s="46"/>
      <c r="AF9" s="31"/>
      <c r="AG9" s="31"/>
      <c r="AJ9" s="64"/>
      <c r="AK9" s="64"/>
      <c r="AN9" s="64"/>
      <c r="AO9" s="64"/>
      <c r="AR9" s="64"/>
      <c r="AS9" s="64"/>
      <c r="BC9" s="65"/>
      <c r="BD9" s="65"/>
      <c r="BE9" s="65"/>
      <c r="BG9" s="65"/>
      <c r="BH9" s="65"/>
      <c r="BI9" s="65"/>
      <c r="BK9" s="65"/>
      <c r="BL9" s="65"/>
      <c r="BM9" s="65"/>
      <c r="BO9" s="65"/>
      <c r="BP9" s="65"/>
      <c r="BQ9" s="65"/>
    </row>
    <row r="10" spans="1:69" s="5" customFormat="1">
      <c r="A10" s="41"/>
      <c r="B10" s="42" t="s">
        <v>1418</v>
      </c>
      <c r="C10" s="48" t="s">
        <v>458</v>
      </c>
      <c r="D10" s="44" t="str">
        <f>B10&amp;TEXT(Prices!C10,"0.00")</f>
        <v>EUR 3.44</v>
      </c>
      <c r="E10" s="44" t="str">
        <f>B10&amp;TEXT(Prices!E10,"0.00")</f>
        <v>EUR 3.70</v>
      </c>
      <c r="F10" s="45">
        <f>Prices!F10</f>
        <v>7.4332171893147558E-2</v>
      </c>
      <c r="G10" s="44" t="str">
        <f>Prices!D10</f>
        <v>Neutral</v>
      </c>
      <c r="H10" s="46"/>
      <c r="I10" s="47">
        <f>KPN!$D$38</f>
        <v>8.6002185015788033</v>
      </c>
      <c r="J10" s="47">
        <f>KPN!$E$38</f>
        <v>8.0723948746501897</v>
      </c>
      <c r="K10" s="47">
        <f>KPN!$F$38</f>
        <v>7.7636836690275404</v>
      </c>
      <c r="L10" s="47">
        <f>KPN!$G$38</f>
        <v>7.2994067342169702</v>
      </c>
      <c r="M10" s="45">
        <f>KPN!$H$38</f>
        <v>2.5359562638390676E-2</v>
      </c>
      <c r="N10" s="46"/>
      <c r="O10" s="47">
        <f>KPN!$D$39</f>
        <v>17.269771270305174</v>
      </c>
      <c r="P10" s="47">
        <f>KPN!$E$39</f>
        <v>15.768450806348628</v>
      </c>
      <c r="Q10" s="47">
        <f>KPN!$F$39</f>
        <v>14.842494891826</v>
      </c>
      <c r="R10" s="47">
        <f>KPN!$G$39</f>
        <v>13.713513776344058</v>
      </c>
      <c r="S10" s="45">
        <f>KPN!$H$39</f>
        <v>4.8370580142172326E-2</v>
      </c>
      <c r="T10" s="46"/>
      <c r="U10" s="48" t="str">
        <f t="shared" si="0"/>
        <v>EUR 3.44</v>
      </c>
      <c r="V10" s="69" t="s">
        <v>458</v>
      </c>
      <c r="Z10" s="46"/>
      <c r="AF10" s="31"/>
      <c r="AG10" s="31"/>
      <c r="AJ10" s="64"/>
      <c r="AK10" s="64"/>
      <c r="AN10" s="64"/>
      <c r="AO10" s="64"/>
      <c r="AR10" s="64"/>
      <c r="AS10" s="64"/>
      <c r="AT10" s="69"/>
      <c r="BC10" s="65"/>
      <c r="BD10" s="65"/>
      <c r="BE10" s="65"/>
      <c r="BG10" s="65"/>
      <c r="BH10" s="65"/>
      <c r="BI10" s="65"/>
      <c r="BK10" s="65"/>
      <c r="BL10" s="65"/>
      <c r="BM10" s="65"/>
      <c r="BO10" s="65"/>
      <c r="BP10" s="65"/>
      <c r="BQ10" s="65"/>
    </row>
    <row r="11" spans="1:69" s="5" customFormat="1">
      <c r="A11" s="41"/>
      <c r="B11" s="42" t="s">
        <v>1418</v>
      </c>
      <c r="C11" s="48" t="s">
        <v>728</v>
      </c>
      <c r="D11" s="44" t="str">
        <f>B11&amp;TEXT(Prices!C11,"0.00")</f>
        <v>EUR 10.68</v>
      </c>
      <c r="E11" s="44" t="str">
        <f>B11&amp;TEXT(Prices!E11,"0.00")</f>
        <v>EUR 14.00</v>
      </c>
      <c r="F11" s="45">
        <f>Prices!F11</f>
        <v>0.31147540983606548</v>
      </c>
      <c r="G11" s="44" t="str">
        <f>Prices!D11</f>
        <v>Buy</v>
      </c>
      <c r="H11" s="46"/>
      <c r="I11" s="47">
        <f>ORA!$D$38</f>
        <v>5.9539251830546549</v>
      </c>
      <c r="J11" s="47">
        <f>ORA!$E$38</f>
        <v>5.6652303673753641</v>
      </c>
      <c r="K11" s="47">
        <f>ORA!$F$38</f>
        <v>5.300347123573709</v>
      </c>
      <c r="L11" s="47">
        <f>ORA!$G$38</f>
        <v>4.9960532911331725</v>
      </c>
      <c r="M11" s="45">
        <f>ORA!$H$38</f>
        <v>1.4291638885291391E-2</v>
      </c>
      <c r="N11" s="46"/>
      <c r="O11" s="47">
        <f>ORA!$D$39</f>
        <v>12.479404206643741</v>
      </c>
      <c r="P11" s="47">
        <f>ORA!$E$39</f>
        <v>11.719822519511178</v>
      </c>
      <c r="Q11" s="47">
        <f>ORA!$F$39</f>
        <v>10.380073541704133</v>
      </c>
      <c r="R11" s="47">
        <f>ORA!$G$39</f>
        <v>9.3558424668997873</v>
      </c>
      <c r="S11" s="45">
        <f>ORA!$H$39</f>
        <v>5.3111589597771625E-2</v>
      </c>
      <c r="T11" s="46"/>
      <c r="U11" s="48" t="str">
        <f t="shared" si="0"/>
        <v>EUR 10.68</v>
      </c>
      <c r="V11" s="69" t="s">
        <v>728</v>
      </c>
      <c r="Z11" s="46"/>
      <c r="AF11" s="31"/>
      <c r="AG11" s="31"/>
      <c r="AJ11" s="64"/>
      <c r="AK11" s="64"/>
      <c r="AN11" s="64"/>
      <c r="AO11" s="64"/>
      <c r="AR11" s="64"/>
      <c r="AS11" s="64"/>
      <c r="BC11" s="65"/>
      <c r="BD11" s="65"/>
      <c r="BE11" s="65"/>
      <c r="BG11" s="65"/>
      <c r="BH11" s="65"/>
      <c r="BI11" s="65"/>
      <c r="BK11" s="65"/>
      <c r="BL11" s="65"/>
      <c r="BM11" s="65"/>
      <c r="BO11" s="65"/>
      <c r="BP11" s="65"/>
      <c r="BQ11" s="65"/>
    </row>
    <row r="12" spans="1:69" s="5" customFormat="1">
      <c r="A12" s="41"/>
      <c r="B12" s="42" t="s">
        <v>1418</v>
      </c>
      <c r="C12" s="48" t="s">
        <v>459</v>
      </c>
      <c r="D12" s="44" t="str">
        <f>B12&amp;TEXT(Prices!C12,"0.00")</f>
        <v>EUR 13.75</v>
      </c>
      <c r="E12" s="44" t="str">
        <f>B12&amp;TEXT(Prices!E12,"0.00")</f>
        <v>EUR 22.00</v>
      </c>
      <c r="F12" s="45">
        <f>Prices!F12</f>
        <v>0.60000000000000009</v>
      </c>
      <c r="G12" s="44" t="str">
        <f>Prices!D12</f>
        <v>Neutral</v>
      </c>
      <c r="H12" s="46"/>
      <c r="I12" s="47">
        <f>OTE!$D$38</f>
        <v>5.3814276356135338</v>
      </c>
      <c r="J12" s="47">
        <f>OTE!$E$38</f>
        <v>4.9904526286017159</v>
      </c>
      <c r="K12" s="47">
        <f>OTE!$F$38</f>
        <v>4.6056412536613545</v>
      </c>
      <c r="L12" s="47">
        <f>OTE!$G$38</f>
        <v>4.2838364758557432</v>
      </c>
      <c r="M12" s="45">
        <f>OTE!$H$38</f>
        <v>7.7052164586690619E-3</v>
      </c>
      <c r="N12" s="46"/>
      <c r="O12" s="47">
        <f>OTE!$D$39</f>
        <v>10.159791472125649</v>
      </c>
      <c r="P12" s="47">
        <f>OTE!$E$39</f>
        <v>9.2631999661803288</v>
      </c>
      <c r="Q12" s="47">
        <f>OTE!$F$39</f>
        <v>8.4537026021287289</v>
      </c>
      <c r="R12" s="47">
        <f>OTE!$G$39</f>
        <v>7.8588118480239242</v>
      </c>
      <c r="S12" s="45">
        <f>OTE!$H$39</f>
        <v>1.7391100350897304E-2</v>
      </c>
      <c r="T12" s="46"/>
      <c r="U12" s="48" t="str">
        <f t="shared" si="0"/>
        <v>EUR 13.75</v>
      </c>
      <c r="V12" s="69" t="s">
        <v>459</v>
      </c>
      <c r="Z12" s="46"/>
      <c r="AF12" s="31"/>
      <c r="AG12" s="31"/>
      <c r="AJ12" s="64"/>
      <c r="AK12" s="64"/>
      <c r="AN12" s="64"/>
      <c r="AO12" s="64"/>
      <c r="AR12" s="64"/>
      <c r="AS12" s="64"/>
      <c r="BC12" s="65"/>
      <c r="BD12" s="65"/>
      <c r="BE12" s="65"/>
      <c r="BG12" s="65"/>
      <c r="BH12" s="65"/>
      <c r="BI12" s="65"/>
      <c r="BK12" s="65"/>
      <c r="BL12" s="65"/>
      <c r="BM12" s="65"/>
      <c r="BO12" s="65"/>
      <c r="BP12" s="65"/>
      <c r="BQ12" s="65"/>
    </row>
    <row r="13" spans="1:69" s="5" customFormat="1">
      <c r="A13" s="41"/>
      <c r="B13" s="42" t="s">
        <v>1418</v>
      </c>
      <c r="C13" s="48" t="s">
        <v>817</v>
      </c>
      <c r="D13" s="44" t="str">
        <f>B13&amp;TEXT(Prices!C13,"0.0")</f>
        <v>EUR 7.4</v>
      </c>
      <c r="E13" s="44" t="str">
        <f>B13&amp;TEXT(Prices!E13,"0.0")</f>
        <v>EUR 10.0</v>
      </c>
      <c r="F13" s="45">
        <f>Prices!F13</f>
        <v>0.35135135135135132</v>
      </c>
      <c r="G13" s="44" t="str">
        <f>Prices!D13</f>
        <v>Neutral</v>
      </c>
      <c r="H13" s="46"/>
      <c r="I13" s="47">
        <f>PROX!$D$38</f>
        <v>3.4554679729380045</v>
      </c>
      <c r="J13" s="47">
        <f>PROX!$E$38</f>
        <v>3.2317404240030672</v>
      </c>
      <c r="K13" s="47">
        <f>PROX!$F$38</f>
        <v>3.098844983481444</v>
      </c>
      <c r="L13" s="47">
        <f>PROX!$G$38</f>
        <v>2.9005785925540288</v>
      </c>
      <c r="M13" s="45">
        <f>PROX!$H$38</f>
        <v>8.9505547806789654E-3</v>
      </c>
      <c r="N13" s="46"/>
      <c r="O13" s="47">
        <f>PROX!$D$39</f>
        <v>13.430333068816074</v>
      </c>
      <c r="P13" s="47">
        <f>PROX!$E$39</f>
        <v>9.6821185782294936</v>
      </c>
      <c r="Q13" s="47">
        <f>PROX!$F$39</f>
        <v>7.4812846297446827</v>
      </c>
      <c r="R13" s="47">
        <f>PROX!$G$39</f>
        <v>6.9362127698976064</v>
      </c>
      <c r="S13" s="45">
        <f>PROX!$H$39</f>
        <v>0.18627104672998485</v>
      </c>
      <c r="T13" s="46"/>
      <c r="U13" s="48" t="str">
        <f t="shared" si="0"/>
        <v>EUR 7.4</v>
      </c>
      <c r="V13" s="69" t="s">
        <v>817</v>
      </c>
      <c r="Z13" s="46"/>
      <c r="AF13" s="31"/>
      <c r="AG13" s="31"/>
      <c r="AJ13" s="64"/>
      <c r="AK13" s="64"/>
      <c r="AN13" s="64"/>
      <c r="AO13" s="64"/>
      <c r="AR13" s="64"/>
      <c r="AS13" s="64"/>
      <c r="BC13" s="65"/>
      <c r="BD13" s="65"/>
      <c r="BE13" s="65"/>
      <c r="BG13" s="65"/>
      <c r="BH13" s="65"/>
      <c r="BI13" s="65"/>
      <c r="BK13" s="65"/>
      <c r="BL13" s="65"/>
      <c r="BM13" s="65"/>
      <c r="BO13" s="65"/>
      <c r="BP13" s="65"/>
      <c r="BQ13" s="65"/>
    </row>
    <row r="14" spans="1:69">
      <c r="B14" s="42" t="s">
        <v>504</v>
      </c>
      <c r="C14" s="48" t="s">
        <v>463</v>
      </c>
      <c r="D14" s="44" t="str">
        <f>B14&amp;TEXT(Prices!C14,"00")</f>
        <v>CHF492</v>
      </c>
      <c r="E14" s="44" t="str">
        <f>B14&amp;TEXT(Prices!E14,"00")</f>
        <v>CHF620</v>
      </c>
      <c r="F14" s="45">
        <f>Prices!F14</f>
        <v>0.26016260162601634</v>
      </c>
      <c r="G14" s="44" t="str">
        <f>Prices!D14</f>
        <v>Neutral</v>
      </c>
      <c r="H14" s="46"/>
      <c r="I14" s="47">
        <f>SWISS!$D$38</f>
        <v>7.8805486816706702</v>
      </c>
      <c r="J14" s="47">
        <f>SWISS!$E$38</f>
        <v>7.6869291641946615</v>
      </c>
      <c r="K14" s="47">
        <f>SWISS!$F$38</f>
        <v>7.3761324595356257</v>
      </c>
      <c r="L14" s="47">
        <f>SWISS!$G$38</f>
        <v>7.0648666078755911</v>
      </c>
      <c r="M14" s="45">
        <f>SWISS!$H$38</f>
        <v>-8.9701836553373049E-3</v>
      </c>
      <c r="N14" s="46"/>
      <c r="O14" s="47">
        <f>SWISS!$D$39</f>
        <v>16.707795247716909</v>
      </c>
      <c r="P14" s="47">
        <f>SWISS!$E$39</f>
        <v>16.569741490218703</v>
      </c>
      <c r="Q14" s="47">
        <f>SWISS!$F$39</f>
        <v>15.972472789339323</v>
      </c>
      <c r="R14" s="47">
        <f>SWISS!$G$39</f>
        <v>15.367340852616588</v>
      </c>
      <c r="S14" s="45">
        <f>SWISS!$H$39</f>
        <v>-1.7401648753235577E-2</v>
      </c>
      <c r="T14" s="46"/>
      <c r="U14" s="48" t="str">
        <f t="shared" si="0"/>
        <v>CHF492</v>
      </c>
      <c r="V14" s="69" t="s">
        <v>463</v>
      </c>
    </row>
    <row r="15" spans="1:69" s="5" customFormat="1">
      <c r="A15" s="41"/>
      <c r="B15" s="42" t="s">
        <v>1418</v>
      </c>
      <c r="C15" s="48" t="s">
        <v>270</v>
      </c>
      <c r="D15" s="44" t="str">
        <f>B15&amp;TEXT(Prices!C15,"0.00")</f>
        <v>EUR 0.25</v>
      </c>
      <c r="E15" s="44" t="str">
        <f>B15&amp;TEXT(Prices!E15,"0.00")</f>
        <v>EUR 0.35</v>
      </c>
      <c r="F15" s="45">
        <f>Prices!F15</f>
        <v>0.42103126268777902</v>
      </c>
      <c r="G15" s="44" t="str">
        <f>Prices!D15</f>
        <v>Buy</v>
      </c>
      <c r="H15" s="46"/>
      <c r="I15" s="47">
        <f>TI!$D$38</f>
        <v>6.0207819649865257</v>
      </c>
      <c r="J15" s="47">
        <f>TI!$E$38</f>
        <v>5.8027026993384778</v>
      </c>
      <c r="K15" s="47">
        <f>TI!$F$38</f>
        <v>5.537069284881964</v>
      </c>
      <c r="L15" s="47">
        <f>TI!$G$38</f>
        <v>5.3028081445769208</v>
      </c>
      <c r="M15" s="45">
        <f>TI!$H$38</f>
        <v>3.6513990071677327E-2</v>
      </c>
      <c r="N15" s="46"/>
      <c r="O15" s="47">
        <f>TI!$D$39</f>
        <v>24.446837404165652</v>
      </c>
      <c r="P15" s="47">
        <f>TI!$E$39</f>
        <v>20.506596803030934</v>
      </c>
      <c r="Q15" s="47">
        <f>TI!$F$39</f>
        <v>17.325493964879811</v>
      </c>
      <c r="R15" s="47">
        <f>TI!$G$39</f>
        <v>13.656267275834429</v>
      </c>
      <c r="S15" s="45">
        <f>TI!$H$39</f>
        <v>0.20639556446519536</v>
      </c>
      <c r="T15" s="46"/>
      <c r="U15" s="48" t="str">
        <f t="shared" si="0"/>
        <v>EUR 0.25</v>
      </c>
      <c r="V15" s="69" t="s">
        <v>270</v>
      </c>
      <c r="Z15" s="46"/>
      <c r="AF15" s="31"/>
      <c r="AG15" s="31"/>
      <c r="AJ15" s="64"/>
      <c r="AK15" s="64"/>
      <c r="AN15" s="64"/>
      <c r="AO15" s="64"/>
      <c r="AR15" s="64"/>
      <c r="AS15" s="64"/>
      <c r="BC15" s="65"/>
      <c r="BD15" s="65"/>
      <c r="BE15" s="65"/>
      <c r="BG15" s="65"/>
      <c r="BH15" s="65"/>
      <c r="BI15" s="65"/>
      <c r="BK15" s="65"/>
      <c r="BL15" s="65"/>
      <c r="BM15" s="65"/>
      <c r="BO15" s="65"/>
      <c r="BP15" s="65"/>
      <c r="BQ15" s="65"/>
    </row>
    <row r="16" spans="1:69" s="5" customFormat="1">
      <c r="A16" s="41"/>
      <c r="B16" s="42" t="s">
        <v>1418</v>
      </c>
      <c r="C16" s="48" t="s">
        <v>461</v>
      </c>
      <c r="D16" s="44" t="str">
        <f>B16&amp;TEXT(Prices!C17,"0.00")</f>
        <v>EUR 4.16</v>
      </c>
      <c r="E16" s="44" t="str">
        <f>B16&amp;TEXT(Prices!E17,"0.00")</f>
        <v>EUR 4.80</v>
      </c>
      <c r="F16" s="45">
        <f>Prices!F17</f>
        <v>0.15523465703971118</v>
      </c>
      <c r="G16" s="44" t="str">
        <f>Prices!D17</f>
        <v>Buy</v>
      </c>
      <c r="H16" s="46"/>
      <c r="I16" s="47">
        <f>TEF!$D$38</f>
        <v>6.2468516217132883</v>
      </c>
      <c r="J16" s="47">
        <f>TEF!$E$38</f>
        <v>6.0145879534575686</v>
      </c>
      <c r="K16" s="47">
        <f>TEF!$F$38</f>
        <v>5.8384116213552035</v>
      </c>
      <c r="L16" s="47">
        <f>TEF!$G$38</f>
        <v>5.5259398190166378</v>
      </c>
      <c r="M16" s="45">
        <f>TEF!$H$38</f>
        <v>1.6443645380087579E-2</v>
      </c>
      <c r="N16" s="46"/>
      <c r="O16" s="47">
        <f>TEF!$D$39</f>
        <v>12.818455333717568</v>
      </c>
      <c r="P16" s="47">
        <f>TEF!$E$39</f>
        <v>12.0946730488287</v>
      </c>
      <c r="Q16" s="47">
        <f>TEF!$F$39</f>
        <v>11.133604174432021</v>
      </c>
      <c r="R16" s="47">
        <f>TEF!$G$39</f>
        <v>10.072447526984728</v>
      </c>
      <c r="S16" s="45">
        <f>TEF!$H$39</f>
        <v>5.7381851694691566E-2</v>
      </c>
      <c r="T16" s="46"/>
      <c r="U16" s="48" t="str">
        <f t="shared" si="0"/>
        <v>EUR 4.16</v>
      </c>
      <c r="V16" s="69" t="s">
        <v>461</v>
      </c>
      <c r="Z16" s="46"/>
      <c r="AF16" s="31"/>
      <c r="AG16" s="31"/>
      <c r="AJ16" s="64"/>
      <c r="AK16" s="64"/>
      <c r="AN16" s="64"/>
      <c r="AO16" s="64"/>
      <c r="AR16" s="64"/>
      <c r="AS16" s="64"/>
      <c r="BC16" s="65"/>
      <c r="BD16" s="65"/>
      <c r="BE16" s="65"/>
      <c r="BG16" s="65"/>
      <c r="BH16" s="65"/>
      <c r="BI16" s="65"/>
      <c r="BK16" s="65"/>
      <c r="BL16" s="65"/>
      <c r="BM16" s="65"/>
      <c r="BO16" s="65"/>
      <c r="BP16" s="65"/>
      <c r="BQ16" s="65"/>
    </row>
    <row r="17" spans="1:69" s="5" customFormat="1">
      <c r="A17" s="41"/>
      <c r="B17" s="42" t="s">
        <v>188</v>
      </c>
      <c r="C17" s="48" t="s">
        <v>462</v>
      </c>
      <c r="D17" s="44" t="str">
        <f>B17&amp;TEXT(Prices!C18," 0,0")</f>
        <v>NOK 124</v>
      </c>
      <c r="E17" s="44" t="str">
        <f>B17&amp;TEXT(Prices!E18," 0,0")</f>
        <v>NOK 136</v>
      </c>
      <c r="F17" s="45">
        <f>Prices!F18</f>
        <v>9.9434114793855999E-2</v>
      </c>
      <c r="G17" s="44" t="str">
        <f>Prices!D18</f>
        <v>Buy</v>
      </c>
      <c r="H17" s="46"/>
      <c r="I17" s="47">
        <f>TNOR!$D$38</f>
        <v>6.9894255739974653</v>
      </c>
      <c r="J17" s="47">
        <f>TNOR!$E$38</f>
        <v>6.4136726495770713</v>
      </c>
      <c r="K17" s="47">
        <f>TNOR!$F$38</f>
        <v>6.1518498372999542</v>
      </c>
      <c r="L17" s="47">
        <f>TNOR!$G$38</f>
        <v>5.6679412640495181</v>
      </c>
      <c r="M17" s="45">
        <f>TNOR!$H$38</f>
        <v>3.7953297753920978E-3</v>
      </c>
      <c r="N17" s="46"/>
      <c r="O17" s="47">
        <f>TNOR!$D$39</f>
        <v>11.122633280681187</v>
      </c>
      <c r="P17" s="47">
        <f>TNOR!$E$39</f>
        <v>9.6537493990748029</v>
      </c>
      <c r="Q17" s="47">
        <f>TNOR!$F$39</f>
        <v>9.0725986824754496</v>
      </c>
      <c r="R17" s="47">
        <f>TNOR!$G$39</f>
        <v>8.2906704605159582</v>
      </c>
      <c r="S17" s="45">
        <f>TNOR!$H$39</f>
        <v>3.2394727823750857E-2</v>
      </c>
      <c r="T17" s="46"/>
      <c r="U17" s="48" t="str">
        <f t="shared" si="0"/>
        <v>NOK 124</v>
      </c>
      <c r="V17" s="44" t="s">
        <v>462</v>
      </c>
      <c r="Z17" s="46"/>
      <c r="AF17" s="31"/>
      <c r="AG17" s="31"/>
      <c r="AJ17" s="64"/>
      <c r="AK17" s="64"/>
      <c r="AN17" s="64"/>
      <c r="AO17" s="64"/>
      <c r="AR17" s="64"/>
      <c r="AS17" s="64"/>
      <c r="BC17" s="65"/>
      <c r="BD17" s="65"/>
      <c r="BE17" s="65"/>
      <c r="BG17" s="65"/>
      <c r="BH17" s="65"/>
      <c r="BI17" s="65"/>
      <c r="BK17" s="65"/>
      <c r="BL17" s="65"/>
      <c r="BM17" s="65"/>
      <c r="BO17" s="65"/>
      <c r="BP17" s="65"/>
      <c r="BQ17" s="65"/>
    </row>
    <row r="18" spans="1:69" s="5" customFormat="1">
      <c r="A18" s="41"/>
      <c r="B18" s="42" t="s">
        <v>388</v>
      </c>
      <c r="C18" s="48" t="s">
        <v>1039</v>
      </c>
      <c r="D18" s="44" t="str">
        <f>B18&amp;TEXT(Prices!C19,"0.0")</f>
        <v>SEK26.4</v>
      </c>
      <c r="E18" s="44" t="str">
        <f>B18&amp;TEXT(Prices!E19,"0.0")</f>
        <v>SEK36.0</v>
      </c>
      <c r="F18" s="45">
        <f>Prices!F19</f>
        <v>0.36415308829101933</v>
      </c>
      <c r="G18" s="44" t="str">
        <f>Prices!D19</f>
        <v>Buy</v>
      </c>
      <c r="H18" s="46"/>
      <c r="I18" s="47">
        <f>TELIA!$D$38</f>
        <v>7.923153663868205</v>
      </c>
      <c r="J18" s="47">
        <f>TELIA!$E$38</f>
        <v>6.9710930912230156</v>
      </c>
      <c r="K18" s="47">
        <f>TELIA!$F$38</f>
        <v>6.5458192945964022</v>
      </c>
      <c r="L18" s="47">
        <f>TELIA!$G$38</f>
        <v>6.1795842588913521</v>
      </c>
      <c r="M18" s="45">
        <f>TELIA!$H$38</f>
        <v>2.7618404301642974E-2</v>
      </c>
      <c r="N18" s="46"/>
      <c r="O18" s="47">
        <f>TELIA!$D$39</f>
        <v>15.528106621998861</v>
      </c>
      <c r="P18" s="47">
        <f>TELIA!$E$39</f>
        <v>13.157727997882089</v>
      </c>
      <c r="Q18" s="47">
        <f>TELIA!$F$39</f>
        <v>12.151637095795644</v>
      </c>
      <c r="R18" s="47">
        <f>TELIA!$G$39</f>
        <v>11.35207201976575</v>
      </c>
      <c r="S18" s="45">
        <f>TELIA!$H$39</f>
        <v>5.0026006954597024E-2</v>
      </c>
      <c r="T18" s="46"/>
      <c r="U18" s="48" t="str">
        <f t="shared" si="0"/>
        <v>SEK26.4</v>
      </c>
      <c r="V18" s="44" t="s">
        <v>460</v>
      </c>
      <c r="Z18" s="46"/>
      <c r="AF18" s="31"/>
      <c r="AG18" s="31"/>
      <c r="AJ18" s="64"/>
      <c r="AK18" s="64"/>
      <c r="AN18" s="64"/>
      <c r="AO18" s="64"/>
      <c r="AR18" s="64"/>
      <c r="AS18" s="64"/>
      <c r="BC18" s="65"/>
      <c r="BD18" s="65"/>
      <c r="BE18" s="65"/>
      <c r="BG18" s="65"/>
      <c r="BH18" s="65"/>
      <c r="BI18" s="65"/>
      <c r="BK18" s="65"/>
      <c r="BL18" s="65"/>
      <c r="BM18" s="65"/>
      <c r="BO18" s="65"/>
      <c r="BP18" s="65"/>
      <c r="BQ18" s="65"/>
    </row>
    <row r="19" spans="1:69" s="5" customFormat="1">
      <c r="A19" s="41"/>
      <c r="B19" s="42"/>
      <c r="C19" s="51" t="s">
        <v>322</v>
      </c>
      <c r="D19" s="52"/>
      <c r="E19" s="52"/>
      <c r="F19" s="53"/>
      <c r="G19" s="52"/>
      <c r="H19" s="46"/>
      <c r="I19" s="54">
        <f>'W.EUR INCUMB'!$D$38</f>
        <v>6.6561389315824204</v>
      </c>
      <c r="J19" s="54">
        <f>'W.EUR INCUMB'!$E$38</f>
        <v>6.276659180358183</v>
      </c>
      <c r="K19" s="54">
        <f>'W.EUR INCUMB'!$F$38</f>
        <v>5.9086011977805715</v>
      </c>
      <c r="L19" s="54">
        <f>'W.EUR INCUMB'!$G$38</f>
        <v>5.5249848727361259</v>
      </c>
      <c r="M19" s="55">
        <f>'W.EUR INCUMB'!$H$38</f>
        <v>3.1953936851226938E-2</v>
      </c>
      <c r="N19" s="46"/>
      <c r="O19" s="54">
        <f>'W.EUR INCUMB'!$D$39</f>
        <v>13.860323858751276</v>
      </c>
      <c r="P19" s="54">
        <f>'W.EUR INCUMB'!$E$39</f>
        <v>12.09622383745986</v>
      </c>
      <c r="Q19" s="54">
        <f>'W.EUR INCUMB'!$F$39</f>
        <v>10.876080155020103</v>
      </c>
      <c r="R19" s="54">
        <f>'W.EUR INCUMB'!$G$39</f>
        <v>9.7993857809910292</v>
      </c>
      <c r="S19" s="55">
        <f>'W.EUR INCUMB'!$H$39</f>
        <v>8.864945159447446E-2</v>
      </c>
      <c r="T19" s="46"/>
      <c r="U19" s="57"/>
      <c r="V19" s="58" t="s">
        <v>322</v>
      </c>
      <c r="Z19" s="46"/>
      <c r="AE19" s="41"/>
      <c r="AF19" s="31"/>
      <c r="AG19" s="31"/>
      <c r="AI19" s="41"/>
      <c r="AJ19" s="64"/>
      <c r="AK19" s="64"/>
      <c r="AM19" s="41"/>
      <c r="AN19" s="64"/>
      <c r="AO19" s="64"/>
      <c r="AQ19" s="41"/>
      <c r="AR19" s="64"/>
      <c r="AS19" s="64"/>
      <c r="BC19" s="65"/>
      <c r="BD19" s="65"/>
      <c r="BE19" s="65"/>
      <c r="BG19" s="65"/>
      <c r="BH19" s="65"/>
      <c r="BI19" s="65"/>
      <c r="BK19" s="65"/>
      <c r="BL19" s="65"/>
      <c r="BM19" s="65"/>
      <c r="BO19" s="65"/>
      <c r="BP19" s="65"/>
      <c r="BQ19" s="65"/>
    </row>
    <row r="20" spans="1:69" s="5" customFormat="1">
      <c r="A20" s="145"/>
      <c r="B20" s="42"/>
      <c r="C20" s="48"/>
      <c r="D20" s="44"/>
      <c r="E20" s="44"/>
      <c r="F20" s="45"/>
      <c r="G20" s="44"/>
      <c r="H20" s="46"/>
      <c r="I20" s="47"/>
      <c r="J20" s="47"/>
      <c r="K20" s="47"/>
      <c r="L20" s="47"/>
      <c r="M20" s="45"/>
      <c r="N20" s="46"/>
      <c r="O20" s="47"/>
      <c r="P20" s="47"/>
      <c r="Q20" s="47"/>
      <c r="R20" s="47"/>
      <c r="S20" s="45"/>
      <c r="T20" s="46"/>
      <c r="U20" s="48"/>
      <c r="V20" s="44"/>
      <c r="Z20" s="46"/>
      <c r="AF20" s="31"/>
      <c r="AG20" s="31"/>
      <c r="AJ20" s="64"/>
      <c r="AK20" s="64"/>
      <c r="AN20" s="64"/>
      <c r="AO20" s="64"/>
      <c r="AR20" s="64"/>
      <c r="AS20" s="64"/>
      <c r="BC20" s="65"/>
      <c r="BD20" s="65"/>
      <c r="BE20" s="65"/>
      <c r="BG20" s="65"/>
      <c r="BH20" s="65"/>
      <c r="BI20" s="65"/>
      <c r="BK20" s="65"/>
      <c r="BL20" s="65"/>
      <c r="BM20" s="65"/>
      <c r="BO20" s="65"/>
      <c r="BP20" s="65"/>
      <c r="BQ20" s="65"/>
    </row>
    <row r="21" spans="1:69" s="5" customFormat="1">
      <c r="A21" s="41"/>
      <c r="B21" s="42" t="s">
        <v>411</v>
      </c>
      <c r="C21" s="48" t="s">
        <v>491</v>
      </c>
      <c r="D21" s="44" t="str">
        <f>B21&amp;TEXT(Prices!$C$40,"0.0")</f>
        <v>USD17.5</v>
      </c>
      <c r="E21" s="44" t="str">
        <f>B21&amp;TEXT(Prices!$E$40,"0.0")</f>
        <v>USD21.0</v>
      </c>
      <c r="F21" s="45">
        <f>Prices!$F$40</f>
        <v>0.19999999999999996</v>
      </c>
      <c r="G21" s="44" t="str">
        <f>Prices!$D$40</f>
        <v>Neutral</v>
      </c>
      <c r="H21" s="46"/>
      <c r="I21" s="47">
        <f>ATT!$D$38</f>
        <v>5.9344412442396317</v>
      </c>
      <c r="J21" s="47">
        <f>ATT!$E$38</f>
        <v>5.3748216317733055</v>
      </c>
      <c r="K21" s="47">
        <f>ATT!$F$38</f>
        <v>4.9015674455005955</v>
      </c>
      <c r="L21" s="47">
        <f>ATT!$G$38</f>
        <v>4.4513047704996014</v>
      </c>
      <c r="M21" s="45">
        <f>ATT!$H$38</f>
        <v>1.9341943051038646E-2</v>
      </c>
      <c r="N21" s="46"/>
      <c r="O21" s="47">
        <f>ATT!$D$39</f>
        <v>13.004531683918202</v>
      </c>
      <c r="P21" s="47">
        <f>ATT!$E$39</f>
        <v>10.360193144358087</v>
      </c>
      <c r="Q21" s="47">
        <f>ATT!$F$39</f>
        <v>9.1157982169983445</v>
      </c>
      <c r="R21" s="47">
        <f>ATT!$G$39</f>
        <v>8.1952912852264728</v>
      </c>
      <c r="S21" s="45">
        <f>ATT!$H$39</f>
        <v>8.0270461008097538E-2</v>
      </c>
      <c r="T21" s="46"/>
      <c r="U21" s="48" t="str">
        <f>D21</f>
        <v>USD17.5</v>
      </c>
      <c r="V21" s="44" t="s">
        <v>410</v>
      </c>
      <c r="Z21" s="46"/>
      <c r="AF21" s="31"/>
      <c r="AG21" s="31"/>
      <c r="AJ21" s="64"/>
      <c r="AK21" s="64"/>
      <c r="AN21" s="64"/>
      <c r="AO21" s="64"/>
      <c r="AR21" s="64"/>
      <c r="AS21" s="64"/>
      <c r="BC21" s="65"/>
      <c r="BD21" s="65"/>
      <c r="BE21" s="65"/>
      <c r="BG21" s="65"/>
      <c r="BH21" s="65"/>
      <c r="BI21" s="65"/>
      <c r="BK21" s="65"/>
      <c r="BL21" s="65"/>
      <c r="BM21" s="65"/>
      <c r="BO21" s="65"/>
      <c r="BP21" s="65"/>
      <c r="BQ21" s="65"/>
    </row>
    <row r="22" spans="1:69" s="5" customFormat="1">
      <c r="A22" s="146"/>
      <c r="B22" s="42" t="s">
        <v>411</v>
      </c>
      <c r="C22" s="48" t="s">
        <v>693</v>
      </c>
      <c r="D22" s="44" t="str">
        <f>B22&amp;TEXT(Prices!$C$41,"0.0")</f>
        <v>USD166.0</v>
      </c>
      <c r="E22" s="44" t="str">
        <f>B22&amp;TEXT(Prices!$E$41,"0.0")</f>
        <v>USD205.0</v>
      </c>
      <c r="F22" s="45">
        <f>Prices!$F$41</f>
        <v>0.23493975903614461</v>
      </c>
      <c r="G22" s="44" t="str">
        <f>Prices!$D$41</f>
        <v>Buy</v>
      </c>
      <c r="H22" s="46"/>
      <c r="I22" s="47">
        <f>TMUS!$D$38</f>
        <v>9.3500168962565731</v>
      </c>
      <c r="J22" s="47">
        <f>TMUS!$E$38</f>
        <v>8.2913074976962235</v>
      </c>
      <c r="K22" s="47">
        <f>TMUS!$F$38</f>
        <v>7.2289974154719179</v>
      </c>
      <c r="L22" s="47">
        <f>TMUS!$G$38</f>
        <v>6.347440297934007</v>
      </c>
      <c r="M22" s="45">
        <f>TMUS!$H$38</f>
        <v>7.6147416782025745E-2</v>
      </c>
      <c r="N22" s="46"/>
      <c r="O22" s="47">
        <f>TMUS!$D$39</f>
        <v>14.100639788958008</v>
      </c>
      <c r="P22" s="47">
        <f>TMUS!$E$39</f>
        <v>11.620658654623197</v>
      </c>
      <c r="Q22" s="47">
        <f>TMUS!$F$39</f>
        <v>9.8847325753684547</v>
      </c>
      <c r="R22" s="47">
        <f>TMUS!$G$39</f>
        <v>8.4925480608137001</v>
      </c>
      <c r="S22" s="45">
        <f>TMUS!$H$39</f>
        <v>0.11995553100529999</v>
      </c>
      <c r="T22" s="46"/>
      <c r="U22" s="48" t="str">
        <f>D22</f>
        <v>USD166.0</v>
      </c>
      <c r="V22" s="44" t="s">
        <v>693</v>
      </c>
      <c r="Z22" s="46"/>
      <c r="AF22" s="31"/>
      <c r="AG22" s="31"/>
      <c r="AJ22" s="64"/>
      <c r="AK22" s="64"/>
      <c r="AN22" s="64"/>
      <c r="AO22" s="64"/>
      <c r="AR22" s="64"/>
      <c r="AS22" s="64"/>
      <c r="BC22" s="65"/>
      <c r="BD22" s="65"/>
      <c r="BE22" s="65"/>
      <c r="BG22" s="65"/>
      <c r="BH22" s="65"/>
      <c r="BI22" s="65"/>
      <c r="BK22" s="65"/>
      <c r="BL22" s="65"/>
      <c r="BM22" s="65"/>
      <c r="BO22" s="65"/>
      <c r="BP22" s="65"/>
      <c r="BQ22" s="65"/>
    </row>
    <row r="23" spans="1:69" s="5" customFormat="1">
      <c r="A23" s="41"/>
      <c r="B23" s="42" t="s">
        <v>411</v>
      </c>
      <c r="C23" s="48" t="s">
        <v>33</v>
      </c>
      <c r="D23" s="44" t="str">
        <f>B23&amp;TEXT(Prices!$C$39,"0.0")</f>
        <v>USD39.7</v>
      </c>
      <c r="E23" s="44" t="str">
        <f>B23&amp;TEXT(Prices!$E$39,"0.0")</f>
        <v>USD45.0</v>
      </c>
      <c r="F23" s="45">
        <f>Prices!$F$39</f>
        <v>0.13236034222445903</v>
      </c>
      <c r="G23" s="44" t="str">
        <f>Prices!$D$39</f>
        <v>Neutral</v>
      </c>
      <c r="H23" s="46"/>
      <c r="I23" s="47">
        <f>VZN!$D$38</f>
        <v>6.5383589319717927</v>
      </c>
      <c r="J23" s="47">
        <f>VZN!$E$38</f>
        <v>6.0259780618484342</v>
      </c>
      <c r="K23" s="47">
        <f>VZN!$F$38</f>
        <v>5.5764475379178187</v>
      </c>
      <c r="L23" s="47">
        <f>VZN!$G$38</f>
        <v>5.1282410933452169</v>
      </c>
      <c r="M23" s="45">
        <f>VZN!$H$38</f>
        <v>1.2910057608189529E-2</v>
      </c>
      <c r="N23" s="46"/>
      <c r="O23" s="47">
        <f>VZN!$D$39</f>
        <v>10.766371545723933</v>
      </c>
      <c r="P23" s="47">
        <f>VZN!$E$39</f>
        <v>9.3174399817617921</v>
      </c>
      <c r="Q23" s="47">
        <f>VZN!$F$39</f>
        <v>8.5795037439926833</v>
      </c>
      <c r="R23" s="47">
        <f>VZN!$G$39</f>
        <v>7.857385993624276</v>
      </c>
      <c r="S23" s="45">
        <f>VZN!$H$39</f>
        <v>3.7531283809789429E-2</v>
      </c>
      <c r="T23" s="46"/>
      <c r="U23" s="48" t="str">
        <f>D23</f>
        <v>USD39.7</v>
      </c>
      <c r="V23" s="44" t="str">
        <f>C23</f>
        <v>Verizon</v>
      </c>
      <c r="Z23" s="46"/>
      <c r="AF23" s="31"/>
      <c r="AG23" s="31"/>
      <c r="AJ23" s="64"/>
      <c r="AK23" s="64"/>
      <c r="AN23" s="64"/>
      <c r="AO23" s="64"/>
      <c r="AR23" s="64"/>
      <c r="AS23" s="64"/>
      <c r="BC23" s="65"/>
      <c r="BD23" s="65"/>
      <c r="BE23" s="65"/>
      <c r="BG23" s="65"/>
      <c r="BH23" s="65"/>
      <c r="BI23" s="65"/>
      <c r="BK23" s="65"/>
      <c r="BL23" s="65"/>
      <c r="BM23" s="65"/>
      <c r="BO23" s="65"/>
      <c r="BP23" s="65"/>
      <c r="BQ23" s="65"/>
    </row>
    <row r="24" spans="1:69" s="5" customFormat="1">
      <c r="A24" s="41"/>
      <c r="B24" s="42"/>
      <c r="C24" s="51" t="s">
        <v>262</v>
      </c>
      <c r="D24" s="52"/>
      <c r="E24" s="52"/>
      <c r="F24" s="53"/>
      <c r="G24" s="52"/>
      <c r="H24" s="46"/>
      <c r="I24" s="54">
        <f>'US TELCO'!$D$38</f>
        <v>7.0004799345610245</v>
      </c>
      <c r="J24" s="54">
        <f>'US TELCO'!$E$38</f>
        <v>6.3659497867265147</v>
      </c>
      <c r="K24" s="54">
        <f>'US TELCO'!$F$38</f>
        <v>5.7745168477785871</v>
      </c>
      <c r="L24" s="54">
        <f>'US TELCO'!$G$38</f>
        <v>5.2274604613312263</v>
      </c>
      <c r="M24" s="55">
        <f>'US TELCO'!$H$38</f>
        <v>3.1183334923203576E-2</v>
      </c>
      <c r="N24" s="46"/>
      <c r="O24" s="54">
        <f>'US TELCO'!$D$39</f>
        <v>12.361344840920768</v>
      </c>
      <c r="P24" s="54">
        <f>'US TELCO'!$E$39</f>
        <v>10.302089191081508</v>
      </c>
      <c r="Q24" s="54">
        <f>'US TELCO'!$F$39</f>
        <v>9.1394962866691269</v>
      </c>
      <c r="R24" s="54">
        <f>'US TELCO'!$G$39</f>
        <v>8.1609892306538363</v>
      </c>
      <c r="S24" s="55">
        <f>'US TELCO'!$H$39</f>
        <v>7.4396303115465079E-2</v>
      </c>
      <c r="T24" s="46"/>
      <c r="U24" s="57"/>
      <c r="V24" s="58" t="s">
        <v>262</v>
      </c>
      <c r="Z24" s="46"/>
      <c r="AE24" s="41"/>
      <c r="AF24" s="31"/>
      <c r="AG24" s="31"/>
      <c r="AI24" s="41"/>
      <c r="AJ24" s="64"/>
      <c r="AK24" s="64"/>
      <c r="AM24" s="41"/>
      <c r="AN24" s="64"/>
      <c r="AO24" s="64"/>
      <c r="AQ24" s="41"/>
      <c r="AR24" s="64"/>
      <c r="AS24" s="64"/>
      <c r="BC24" s="65"/>
      <c r="BD24" s="65"/>
      <c r="BE24" s="65"/>
      <c r="BG24" s="65"/>
      <c r="BH24" s="65"/>
      <c r="BI24" s="65"/>
      <c r="BK24" s="65"/>
      <c r="BL24" s="65"/>
      <c r="BM24" s="65"/>
      <c r="BO24" s="65"/>
      <c r="BP24" s="65"/>
      <c r="BQ24" s="65"/>
    </row>
    <row r="25" spans="1:69" s="5" customFormat="1">
      <c r="A25" s="41"/>
      <c r="B25" s="42"/>
      <c r="C25" s="48"/>
      <c r="D25" s="44"/>
      <c r="E25" s="44"/>
      <c r="F25" s="45"/>
      <c r="G25" s="44"/>
      <c r="H25" s="46"/>
      <c r="I25" s="47"/>
      <c r="J25" s="47"/>
      <c r="K25" s="47"/>
      <c r="L25" s="47"/>
      <c r="M25" s="45"/>
      <c r="N25" s="46"/>
      <c r="O25" s="47"/>
      <c r="P25" s="47"/>
      <c r="Q25" s="47"/>
      <c r="R25" s="47"/>
      <c r="S25" s="45"/>
      <c r="T25" s="46"/>
      <c r="U25" s="48"/>
      <c r="V25" s="44"/>
      <c r="Z25" s="46"/>
      <c r="AF25" s="31"/>
      <c r="AG25" s="31"/>
      <c r="AJ25" s="64"/>
      <c r="AK25" s="64"/>
      <c r="AN25" s="64"/>
      <c r="AO25" s="64"/>
      <c r="AR25" s="64"/>
      <c r="AS25" s="64"/>
    </row>
    <row r="26" spans="1:69" s="5" customFormat="1">
      <c r="A26" s="41"/>
      <c r="B26" s="42" t="s">
        <v>1425</v>
      </c>
      <c r="C26" s="48" t="s">
        <v>412</v>
      </c>
      <c r="D26" s="44" t="str">
        <f>B26&amp;TEXT(Prices!C56,"0,0")</f>
        <v>JPY 153</v>
      </c>
      <c r="E26" s="44" t="str">
        <f>B26&amp;TEXT(Prices!E56,"0,0")</f>
        <v>JPY 240</v>
      </c>
      <c r="F26" s="45">
        <f>Prices!F56</f>
        <v>0.57273918741808649</v>
      </c>
      <c r="G26" s="44" t="str">
        <f>Prices!D56</f>
        <v>Buy</v>
      </c>
      <c r="H26" s="46"/>
      <c r="I26" s="47">
        <f>NTT!$D$38</f>
        <v>6.7562466346579493</v>
      </c>
      <c r="J26" s="47">
        <f>NTT!$E$38</f>
        <v>5.8043870855654278</v>
      </c>
      <c r="K26" s="47">
        <f>NTT!$F$38</f>
        <v>5.2976271814502196</v>
      </c>
      <c r="L26" s="47">
        <f>NTT!$G$38</f>
        <v>4.8347313393353577</v>
      </c>
      <c r="M26" s="45">
        <f>NTT!$H$38</f>
        <v>7.4376698433700872E-2</v>
      </c>
      <c r="N26" s="46"/>
      <c r="O26" s="47">
        <f>NTT!$D$39</f>
        <v>15.888684036180116</v>
      </c>
      <c r="P26" s="47">
        <f>NTT!$E$39</f>
        <v>10.560888434030419</v>
      </c>
      <c r="Q26" s="47">
        <f>NTT!$F$39</f>
        <v>9.2498959100010421</v>
      </c>
      <c r="R26" s="47">
        <f>NTT!$G$39</f>
        <v>8.2080450435665249</v>
      </c>
      <c r="S26" s="45">
        <f>NTT!$H$39</f>
        <v>0.19764543491512754</v>
      </c>
      <c r="T26" s="46"/>
      <c r="U26" s="48" t="str">
        <f t="shared" ref="U26:U29" si="1">D26</f>
        <v>JPY 153</v>
      </c>
      <c r="V26" s="44" t="s">
        <v>412</v>
      </c>
      <c r="Z26" s="46"/>
      <c r="AF26" s="31"/>
      <c r="AG26" s="31"/>
      <c r="AJ26" s="64"/>
      <c r="AK26" s="64"/>
      <c r="AN26" s="64"/>
      <c r="AO26" s="64"/>
      <c r="AR26" s="64"/>
      <c r="AS26" s="64"/>
      <c r="BC26" s="65"/>
      <c r="BD26" s="65"/>
      <c r="BE26" s="65"/>
      <c r="BG26" s="65"/>
      <c r="BH26" s="65"/>
      <c r="BI26" s="65"/>
      <c r="BK26" s="65"/>
      <c r="BL26" s="65"/>
      <c r="BM26" s="65"/>
      <c r="BO26" s="65"/>
      <c r="BP26" s="65"/>
      <c r="BQ26" s="65"/>
    </row>
    <row r="27" spans="1:69" s="5" customFormat="1">
      <c r="A27" s="41"/>
      <c r="B27" s="42" t="s">
        <v>1424</v>
      </c>
      <c r="C27" s="48" t="s">
        <v>892</v>
      </c>
      <c r="D27" s="44" t="str">
        <f>B27&amp;TEXT(Prices!C57,"0.00")</f>
        <v>NZD 4.19</v>
      </c>
      <c r="E27" s="44" t="str">
        <f>B27&amp;TEXT(Prices!E57,"0.00")</f>
        <v>NZD 5.00</v>
      </c>
      <c r="F27" s="45">
        <f>Prices!F57</f>
        <v>0.19331742243436745</v>
      </c>
      <c r="G27" s="44" t="str">
        <f>Prices!D57</f>
        <v>Neutral</v>
      </c>
      <c r="H27" s="46"/>
      <c r="I27" s="47">
        <f>SPK!$D$38</f>
        <v>6.2932577372647085</v>
      </c>
      <c r="J27" s="47">
        <f>SPK!$E$38</f>
        <v>5.776107178433028</v>
      </c>
      <c r="K27" s="47">
        <f>SPK!$F$38</f>
        <v>5.290004775298879</v>
      </c>
      <c r="L27" s="47">
        <f>SPK!$G$38</f>
        <v>4.6608624349269032</v>
      </c>
      <c r="M27" s="45">
        <f>SPK!$H$38</f>
        <v>1.897026982795702E-2</v>
      </c>
      <c r="N27" s="46"/>
      <c r="O27" s="47">
        <f>SPK!$D$39</f>
        <v>10.016122074897002</v>
      </c>
      <c r="P27" s="47">
        <f>SPK!$E$39</f>
        <v>9.2484098429326362</v>
      </c>
      <c r="Q27" s="47">
        <f>SPK!$F$39</f>
        <v>8.575264449818695</v>
      </c>
      <c r="R27" s="47">
        <f>SPK!$G$39</f>
        <v>7.504366661667941</v>
      </c>
      <c r="S27" s="45">
        <f>SPK!$H$39</f>
        <v>1.5048879877651355E-2</v>
      </c>
      <c r="T27" s="46"/>
      <c r="U27" s="48" t="str">
        <f t="shared" si="1"/>
        <v>NZD 4.19</v>
      </c>
      <c r="V27" s="44" t="s">
        <v>892</v>
      </c>
      <c r="Z27" s="46"/>
      <c r="AF27" s="31"/>
      <c r="AG27" s="31"/>
      <c r="AJ27" s="64"/>
      <c r="AK27" s="64"/>
      <c r="AN27" s="64"/>
      <c r="AO27" s="64"/>
      <c r="AR27" s="64"/>
      <c r="AS27" s="64"/>
      <c r="BC27" s="65"/>
      <c r="BD27" s="65"/>
      <c r="BE27" s="65"/>
      <c r="BG27" s="65"/>
      <c r="BH27" s="65"/>
      <c r="BI27" s="65"/>
      <c r="BK27" s="65"/>
      <c r="BL27" s="65"/>
      <c r="BM27" s="65"/>
      <c r="BO27" s="65"/>
      <c r="BP27" s="65"/>
      <c r="BQ27" s="65"/>
    </row>
    <row r="28" spans="1:69" s="5" customFormat="1">
      <c r="A28" s="41"/>
      <c r="B28" s="42" t="s">
        <v>1426</v>
      </c>
      <c r="C28" s="48" t="s">
        <v>576</v>
      </c>
      <c r="D28" s="44" t="str">
        <f>B28&amp;TEXT(Prices!C58,"0.00")</f>
        <v>SGD 2.42</v>
      </c>
      <c r="E28" s="44" t="str">
        <f>B28&amp;TEXT(Prices!E58,"0.00")</f>
        <v>SGD 4.40</v>
      </c>
      <c r="F28" s="45">
        <f>Prices!F58</f>
        <v>0.81818181818181834</v>
      </c>
      <c r="G28" s="44" t="str">
        <f>Prices!D58</f>
        <v>Buy</v>
      </c>
      <c r="H28" s="46"/>
      <c r="I28" s="47">
        <f>PROPORTIONATES!$G$67</f>
        <v>5.3675096058513745</v>
      </c>
      <c r="J28" s="47">
        <f>PROPORTIONATES!$H$67</f>
        <v>4.6145811302216524</v>
      </c>
      <c r="K28" s="47">
        <f>PROPORTIONATES!$I$67</f>
        <v>3.9596642611131734</v>
      </c>
      <c r="L28" s="47">
        <f>PROPORTIONATES!$J$67</f>
        <v>3.3360386013576599</v>
      </c>
      <c r="M28" s="45">
        <f>SINGTEL!$H$38</f>
        <v>6.95638219918715E-2</v>
      </c>
      <c r="N28" s="46"/>
      <c r="O28" s="47">
        <f>PROPORTIONATES!$G$68</f>
        <v>10.167465555053667</v>
      </c>
      <c r="P28" s="47">
        <f>PROPORTIONATES!$H$68</f>
        <v>7.9845391429862937</v>
      </c>
      <c r="Q28" s="47">
        <f>PROPORTIONATES!$I$68</f>
        <v>6.470935376540635</v>
      </c>
      <c r="R28" s="47">
        <f>PROPORTIONATES!$J$68</f>
        <v>5.293618266421154</v>
      </c>
      <c r="S28" s="45">
        <f>SINGTEL!$H$39</f>
        <v>0.15394431312538903</v>
      </c>
      <c r="T28" s="46"/>
      <c r="U28" s="48" t="str">
        <f t="shared" si="1"/>
        <v>SGD 2.42</v>
      </c>
      <c r="V28" s="44" t="s">
        <v>576</v>
      </c>
      <c r="Z28" s="46"/>
      <c r="AF28" s="31"/>
      <c r="AG28" s="31"/>
      <c r="AJ28" s="64"/>
      <c r="AK28" s="64"/>
      <c r="AN28" s="64"/>
      <c r="AO28" s="64"/>
      <c r="AR28" s="64"/>
      <c r="AS28" s="64"/>
      <c r="BC28" s="65"/>
      <c r="BD28" s="65"/>
      <c r="BE28" s="65"/>
      <c r="BG28" s="65"/>
      <c r="BH28" s="65"/>
      <c r="BI28" s="65"/>
      <c r="BK28" s="65"/>
      <c r="BL28" s="65"/>
      <c r="BM28" s="65"/>
      <c r="BO28" s="65"/>
      <c r="BP28" s="65"/>
      <c r="BQ28" s="65"/>
    </row>
    <row r="29" spans="1:69" s="5" customFormat="1">
      <c r="A29" s="41"/>
      <c r="B29" s="42" t="s">
        <v>1423</v>
      </c>
      <c r="C29" s="48" t="s">
        <v>889</v>
      </c>
      <c r="D29" s="44" t="str">
        <f>B29&amp;TEXT(Prices!C59,"0.00")</f>
        <v>AUD 3.45</v>
      </c>
      <c r="E29" s="44" t="str">
        <f>B29&amp;TEXT(Prices!E59,"0.00")</f>
        <v>AUD 3.50</v>
      </c>
      <c r="F29" s="45">
        <f>Prices!F59</f>
        <v>1.4492753623188248E-2</v>
      </c>
      <c r="G29" s="44" t="str">
        <f>Prices!D59</f>
        <v>Buy</v>
      </c>
      <c r="H29" s="46"/>
      <c r="I29" s="47">
        <f>TLS!$D$38</f>
        <v>5.0769012770033184</v>
      </c>
      <c r="J29" s="47">
        <f>TLS!$E$38</f>
        <v>4.5178209846695463</v>
      </c>
      <c r="K29" s="47">
        <f>TLS!$F$38</f>
        <v>4.4980846915213917</v>
      </c>
      <c r="L29" s="47">
        <f>TLS!$G$38</f>
        <v>4.0932985774420398</v>
      </c>
      <c r="M29" s="45">
        <f>TLS!$H$38</f>
        <v>-8.354918946323564E-3</v>
      </c>
      <c r="N29" s="46"/>
      <c r="O29" s="47">
        <f>TLS!$D$39</f>
        <v>7.7636006092465886</v>
      </c>
      <c r="P29" s="47">
        <f>TLS!$E$39</f>
        <v>6.6719685836767582</v>
      </c>
      <c r="Q29" s="47">
        <f>TLS!$F$39</f>
        <v>6.8266680350355617</v>
      </c>
      <c r="R29" s="47">
        <f>TLS!$G$39</f>
        <v>6.269623246918969</v>
      </c>
      <c r="S29" s="45">
        <f>TLS!$H$39</f>
        <v>-8.8902592586865836E-3</v>
      </c>
      <c r="T29" s="46"/>
      <c r="U29" s="48" t="str">
        <f t="shared" si="1"/>
        <v>AUD 3.45</v>
      </c>
      <c r="V29" s="44" t="s">
        <v>306</v>
      </c>
      <c r="Z29" s="46"/>
      <c r="AF29" s="31"/>
      <c r="AG29" s="31"/>
      <c r="AJ29" s="64"/>
      <c r="AK29" s="64"/>
      <c r="AN29" s="64"/>
      <c r="AO29" s="64"/>
      <c r="AR29" s="64"/>
      <c r="AS29" s="64"/>
      <c r="BC29" s="65"/>
      <c r="BD29" s="65"/>
      <c r="BE29" s="65"/>
      <c r="BG29" s="65"/>
      <c r="BH29" s="65"/>
      <c r="BI29" s="65"/>
      <c r="BK29" s="65"/>
      <c r="BL29" s="65"/>
      <c r="BM29" s="65"/>
      <c r="BO29" s="65"/>
      <c r="BP29" s="65"/>
      <c r="BQ29" s="65"/>
    </row>
    <row r="30" spans="1:69" s="5" customFormat="1">
      <c r="A30" s="41"/>
      <c r="B30" s="42"/>
      <c r="C30" s="51" t="s">
        <v>890</v>
      </c>
      <c r="D30" s="58"/>
      <c r="E30" s="58"/>
      <c r="F30" s="55"/>
      <c r="G30" s="58"/>
      <c r="H30" s="56"/>
      <c r="I30" s="54">
        <f>'DM ASIA INCUMB'!D38</f>
        <v>6.8911224941360514</v>
      </c>
      <c r="J30" s="54">
        <f>'DM ASIA INCUMB'!E38</f>
        <v>5.9923616362724594</v>
      </c>
      <c r="K30" s="54">
        <f>'DM ASIA INCUMB'!F38</f>
        <v>5.5235572898136711</v>
      </c>
      <c r="L30" s="54">
        <f>'DM ASIA INCUMB'!G38</f>
        <v>5.0308314189900365</v>
      </c>
      <c r="M30" s="55">
        <f>'DM ASIA INCUMB'!H38</f>
        <v>5.6121155713759308E-2</v>
      </c>
      <c r="N30" s="56"/>
      <c r="O30" s="54">
        <f>'DM ASIA INCUMB'!D39</f>
        <v>14.325841363957826</v>
      </c>
      <c r="P30" s="54">
        <f>'DM ASIA INCUMB'!E39</f>
        <v>10.479542111895535</v>
      </c>
      <c r="Q30" s="54">
        <f>'DM ASIA INCUMB'!F39</f>
        <v>9.4126667488791167</v>
      </c>
      <c r="R30" s="54">
        <f>'DM ASIA INCUMB'!G39</f>
        <v>8.4261718196323123</v>
      </c>
      <c r="S30" s="55">
        <f>'DM ASIA INCUMB'!H39</f>
        <v>0.13499413202117938</v>
      </c>
      <c r="T30" s="56"/>
      <c r="U30" s="51"/>
      <c r="V30" s="58" t="s">
        <v>891</v>
      </c>
      <c r="Z30" s="46"/>
      <c r="AE30" s="41"/>
      <c r="AF30" s="31"/>
      <c r="AG30" s="31"/>
      <c r="AI30" s="41"/>
      <c r="AJ30" s="64"/>
      <c r="AK30" s="64"/>
      <c r="AM30" s="41"/>
      <c r="AN30" s="64"/>
      <c r="AO30" s="64"/>
      <c r="AQ30" s="41"/>
      <c r="AR30" s="64"/>
      <c r="AS30" s="64"/>
      <c r="BC30" s="65"/>
      <c r="BD30" s="65"/>
      <c r="BE30" s="65"/>
      <c r="BG30" s="65"/>
      <c r="BH30" s="65"/>
      <c r="BI30" s="65"/>
      <c r="BK30" s="65"/>
      <c r="BL30" s="65"/>
      <c r="BM30" s="65"/>
      <c r="BO30" s="65"/>
      <c r="BP30" s="65"/>
      <c r="BQ30" s="65"/>
    </row>
    <row r="31" spans="1:69" s="5" customFormat="1">
      <c r="A31" s="41"/>
      <c r="B31" s="42"/>
      <c r="C31" s="43"/>
      <c r="D31" s="50"/>
      <c r="E31" s="50"/>
      <c r="F31" s="61"/>
      <c r="G31" s="50"/>
      <c r="H31" s="56"/>
      <c r="I31" s="62"/>
      <c r="J31" s="62"/>
      <c r="K31" s="62"/>
      <c r="L31" s="62"/>
      <c r="M31" s="61"/>
      <c r="N31" s="56"/>
      <c r="O31" s="62"/>
      <c r="P31" s="62"/>
      <c r="Q31" s="62"/>
      <c r="R31" s="62"/>
      <c r="S31" s="61"/>
      <c r="T31" s="56"/>
      <c r="U31" s="43"/>
      <c r="V31" s="50"/>
      <c r="Z31" s="46"/>
      <c r="AE31" s="41"/>
      <c r="AF31" s="31"/>
      <c r="AG31" s="31"/>
      <c r="AI31" s="41"/>
      <c r="AJ31" s="64"/>
      <c r="AK31" s="64"/>
      <c r="AM31" s="41"/>
      <c r="AN31" s="64"/>
      <c r="AO31" s="64"/>
      <c r="AQ31" s="41"/>
      <c r="AR31" s="64"/>
      <c r="AS31" s="64"/>
      <c r="BC31" s="65"/>
      <c r="BD31" s="65"/>
      <c r="BE31" s="65"/>
      <c r="BG31" s="65"/>
      <c r="BH31" s="65"/>
      <c r="BI31" s="65"/>
      <c r="BK31" s="65"/>
      <c r="BL31" s="65"/>
      <c r="BM31" s="65"/>
      <c r="BO31" s="65"/>
      <c r="BP31" s="65"/>
      <c r="BQ31" s="65"/>
    </row>
    <row r="32" spans="1:69" s="5" customFormat="1">
      <c r="A32" s="41"/>
      <c r="B32" s="42"/>
      <c r="C32" s="51" t="s">
        <v>865</v>
      </c>
      <c r="D32" s="58"/>
      <c r="E32" s="58"/>
      <c r="F32" s="55"/>
      <c r="G32" s="58"/>
      <c r="H32" s="56"/>
      <c r="I32" s="54">
        <f>'AGG DM INCUMB'!D38</f>
        <v>6.849831697899166</v>
      </c>
      <c r="J32" s="54">
        <f>'AGG DM INCUMB'!E38</f>
        <v>6.2806293468570962</v>
      </c>
      <c r="K32" s="54">
        <f>'AGG DM INCUMB'!F38</f>
        <v>5.7934821591522017</v>
      </c>
      <c r="L32" s="54">
        <f>'AGG DM INCUMB'!G38</f>
        <v>5.317771766395448</v>
      </c>
      <c r="M32" s="55">
        <f>'AGG DM INCUMB'!H38</f>
        <v>3.4750642634944207E-2</v>
      </c>
      <c r="N32" s="56"/>
      <c r="O32" s="54">
        <f>'AGG DM INCUMB'!D39</f>
        <v>13.141682928041465</v>
      </c>
      <c r="P32" s="54">
        <f>'AGG DM INCUMB'!E39</f>
        <v>10.964757338419016</v>
      </c>
      <c r="Q32" s="54">
        <f>'AGG DM INCUMB'!F39</f>
        <v>9.804541557685198</v>
      </c>
      <c r="R32" s="54">
        <f>'AGG DM INCUMB'!G39</f>
        <v>8.7982157349725814</v>
      </c>
      <c r="S32" s="55">
        <f>'AGG DM INCUMB'!H39</f>
        <v>8.7104003376275552E-2</v>
      </c>
      <c r="T32" s="56"/>
      <c r="U32" s="51"/>
      <c r="V32" s="58" t="str">
        <f>C32</f>
        <v>Agg. DM Incumbent total</v>
      </c>
      <c r="Z32" s="46"/>
      <c r="AE32" s="41"/>
      <c r="AF32" s="31"/>
      <c r="AG32" s="31"/>
      <c r="AI32" s="41"/>
      <c r="AJ32" s="64"/>
      <c r="AK32" s="64"/>
      <c r="AM32" s="41"/>
      <c r="AN32" s="64"/>
      <c r="AO32" s="64"/>
      <c r="AQ32" s="41"/>
      <c r="AR32" s="64"/>
      <c r="AS32" s="64"/>
      <c r="BC32" s="65"/>
      <c r="BD32" s="65"/>
      <c r="BE32" s="65"/>
      <c r="BG32" s="65"/>
      <c r="BH32" s="65"/>
      <c r="BI32" s="65"/>
      <c r="BK32" s="65"/>
      <c r="BL32" s="65"/>
      <c r="BM32" s="65"/>
      <c r="BO32" s="65"/>
      <c r="BP32" s="65"/>
      <c r="BQ32" s="65"/>
    </row>
    <row r="33" spans="1:113" s="5" customFormat="1">
      <c r="A33" s="146"/>
      <c r="B33" s="42"/>
      <c r="C33" s="41"/>
      <c r="D33" s="44"/>
      <c r="E33" s="44"/>
      <c r="F33" s="45"/>
      <c r="G33" s="44"/>
      <c r="H33" s="46"/>
      <c r="I33" s="47"/>
      <c r="J33" s="47"/>
      <c r="K33" s="47"/>
      <c r="L33" s="47"/>
      <c r="M33" s="45"/>
      <c r="N33" s="46"/>
      <c r="O33" s="47"/>
      <c r="P33" s="47"/>
      <c r="Q33" s="47"/>
      <c r="R33" s="47"/>
      <c r="S33" s="45"/>
      <c r="T33" s="46"/>
      <c r="U33" s="48"/>
      <c r="V33" s="50"/>
      <c r="Z33" s="46"/>
      <c r="AE33" s="41"/>
      <c r="AF33" s="31"/>
      <c r="AG33" s="31"/>
      <c r="AI33" s="41"/>
      <c r="AJ33" s="64"/>
      <c r="AK33" s="64"/>
      <c r="AM33" s="41"/>
      <c r="AN33" s="64"/>
      <c r="AO33" s="64"/>
      <c r="AQ33" s="41"/>
      <c r="AR33" s="64"/>
      <c r="AS33" s="64"/>
      <c r="BC33" s="65"/>
      <c r="BD33" s="65"/>
      <c r="BE33" s="65"/>
      <c r="BG33" s="65"/>
      <c r="BH33" s="65"/>
      <c r="BI33" s="65"/>
      <c r="BK33" s="65"/>
      <c r="BL33" s="65"/>
      <c r="BM33" s="65"/>
      <c r="BO33" s="65"/>
      <c r="BP33" s="65"/>
      <c r="BQ33" s="65"/>
    </row>
    <row r="34" spans="1:113">
      <c r="A34" s="41" t="s">
        <v>1385</v>
      </c>
      <c r="B34" s="42" t="s">
        <v>1418</v>
      </c>
      <c r="C34" s="48" t="s">
        <v>1380</v>
      </c>
      <c r="D34" s="44" t="str">
        <f>B34&amp;TEXT(Prices!C22,"0.0")</f>
        <v>EUR 17.5</v>
      </c>
      <c r="E34" s="44" t="str">
        <f>B34&amp;TEXT(Prices!E22,"0.0")</f>
        <v>EUR 28.0</v>
      </c>
      <c r="F34" s="45">
        <f>Prices!F22</f>
        <v>0.60000000000000009</v>
      </c>
      <c r="G34" s="44" t="str">
        <f>Prices!D22</f>
        <v>Buy</v>
      </c>
      <c r="H34" s="46"/>
      <c r="I34" s="47">
        <f>DRI!$D$38</f>
        <v>6.7286160765454435</v>
      </c>
      <c r="J34" s="47">
        <f>DRI!E$38</f>
        <v>6.7274842904904011</v>
      </c>
      <c r="K34" s="47">
        <f>DRI!F$38</f>
        <v>6.4904998715970743</v>
      </c>
      <c r="L34" s="47">
        <f>DRI!$G$38</f>
        <v>5.7415536836219552</v>
      </c>
      <c r="M34" s="45">
        <f>DRI!$H$38</f>
        <v>6.6648872942429715E-2</v>
      </c>
      <c r="N34" s="46"/>
      <c r="O34" s="47">
        <f>DRI!$D$39</f>
        <v>12.737226735628745</v>
      </c>
      <c r="P34" s="47">
        <f>DRI!$E$39</f>
        <v>15.348482909974525</v>
      </c>
      <c r="Q34" s="47">
        <f>DRI!$F$39</f>
        <v>12.660942275909784</v>
      </c>
      <c r="R34" s="47">
        <f>DRI!$G$39</f>
        <v>10.220257985698499</v>
      </c>
      <c r="S34" s="45">
        <f>DRI!$H$39</f>
        <v>8.8747187570624275E-2</v>
      </c>
      <c r="T34" s="46"/>
      <c r="U34" s="48" t="str">
        <f>D34</f>
        <v>EUR 17.5</v>
      </c>
      <c r="V34" s="44" t="s">
        <v>1380</v>
      </c>
      <c r="AF34" s="31"/>
      <c r="AG34" s="31"/>
      <c r="AJ34" s="64"/>
      <c r="AK34" s="64"/>
      <c r="AN34" s="64"/>
      <c r="AO34" s="64"/>
      <c r="AR34" s="64"/>
      <c r="AS34" s="64"/>
      <c r="BC34" s="65"/>
      <c r="BD34" s="65"/>
      <c r="BE34" s="65"/>
      <c r="BG34" s="65"/>
      <c r="BH34" s="65"/>
      <c r="BI34" s="65"/>
      <c r="BK34" s="65"/>
      <c r="BL34" s="65"/>
      <c r="BM34" s="65"/>
      <c r="BO34" s="65"/>
      <c r="BP34" s="65"/>
      <c r="BQ34" s="65"/>
    </row>
    <row r="35" spans="1:113" s="5" customFormat="1">
      <c r="A35" s="41"/>
      <c r="B35" s="42" t="s">
        <v>1418</v>
      </c>
      <c r="C35" s="48" t="s">
        <v>354</v>
      </c>
      <c r="D35" s="44" t="str">
        <f>B35&amp;TEXT(Prices!C23,"0.0")</f>
        <v>EUR 41.6</v>
      </c>
      <c r="E35" s="44" t="str">
        <f>B35&amp;TEXT(Prices!E23,"0.0")</f>
        <v>EUR 54.0</v>
      </c>
      <c r="F35" s="45">
        <f>Prices!F23</f>
        <v>0.29745314752522845</v>
      </c>
      <c r="G35" s="44" t="str">
        <f>Prices!D23</f>
        <v>Neutral</v>
      </c>
      <c r="H35" s="46"/>
      <c r="I35" s="47">
        <f>ELISA!$D$38</f>
        <v>10.987821519134762</v>
      </c>
      <c r="J35" s="47">
        <f>ELISA!$E$38</f>
        <v>10.037780307113085</v>
      </c>
      <c r="K35" s="47">
        <f>ELISA!$F$38</f>
        <v>9.1653386025903778</v>
      </c>
      <c r="L35" s="47">
        <f>ELISA!$G$38</f>
        <v>9.3481307122226021</v>
      </c>
      <c r="M35" s="45">
        <f>ELISA!$H$38</f>
        <v>3.9885378402768179E-2</v>
      </c>
      <c r="N35" s="46"/>
      <c r="O35" s="47">
        <f>ELISA!$D$39</f>
        <v>16.759624695094132</v>
      </c>
      <c r="P35" s="47">
        <f>ELISA!$E$39</f>
        <v>14.999648817579471</v>
      </c>
      <c r="Q35" s="47">
        <f>ELISA!$F$39</f>
        <v>13.191017292565945</v>
      </c>
      <c r="R35" s="47">
        <f>ELISA!$G$39</f>
        <v>13.272722815711658</v>
      </c>
      <c r="S35" s="45">
        <f>ELISA!$H$39</f>
        <v>6.5020465226544477E-2</v>
      </c>
      <c r="T35" s="46"/>
      <c r="U35" s="48" t="str">
        <f t="shared" ref="U35:U41" si="2">D35</f>
        <v>EUR 41.6</v>
      </c>
      <c r="V35" s="44" t="s">
        <v>354</v>
      </c>
      <c r="Z35" s="46"/>
      <c r="AF35" s="31"/>
      <c r="AG35" s="31"/>
      <c r="AJ35" s="64"/>
      <c r="AK35" s="64"/>
      <c r="AN35" s="64"/>
      <c r="AO35" s="64"/>
      <c r="AR35" s="64"/>
      <c r="AS35" s="64"/>
      <c r="BC35" s="65"/>
      <c r="BD35" s="65"/>
      <c r="BE35" s="65"/>
      <c r="BG35" s="65"/>
      <c r="BH35" s="65"/>
      <c r="BI35" s="65"/>
      <c r="BK35" s="65"/>
      <c r="BL35" s="65"/>
      <c r="BM35" s="65"/>
      <c r="BO35" s="65"/>
      <c r="BP35" s="65"/>
      <c r="BQ35" s="65"/>
    </row>
    <row r="36" spans="1:113">
      <c r="A36" s="41"/>
      <c r="B36" s="42" t="s">
        <v>1417</v>
      </c>
      <c r="C36" s="48" t="s">
        <v>1434</v>
      </c>
      <c r="D36" s="44" t="str">
        <f>B36&amp;TEXT(Prices!C24,"0.0")</f>
        <v>USD 16.2</v>
      </c>
      <c r="E36" s="44" t="str">
        <f>B36&amp;TEXT(AVERAGE(Prices!E24,Prices!E25,Prices!E26),"0.0")</f>
        <v>USD 24.0</v>
      </c>
      <c r="F36" s="45">
        <f>Prices!F24</f>
        <v>0.47783251231527113</v>
      </c>
      <c r="G36" s="44" t="str">
        <f>Prices!D24</f>
        <v>Buy</v>
      </c>
      <c r="H36" s="46"/>
      <c r="I36" s="47">
        <f>PROPORTIONATES!G33</f>
        <v>6.0493864808452988</v>
      </c>
      <c r="J36" s="47">
        <f>PROPORTIONATES!H33</f>
        <v>5.5621692259012923</v>
      </c>
      <c r="K36" s="47">
        <f>PROPORTIONATES!I33</f>
        <v>5.4154841668854647</v>
      </c>
      <c r="L36" s="47">
        <f>PROPORTIONATES!J33</f>
        <v>5.2148135575273935</v>
      </c>
      <c r="M36" s="45">
        <f>LBTY!$H$38</f>
        <v>3.3290696399814745E-2</v>
      </c>
      <c r="N36" s="46"/>
      <c r="O36" s="47">
        <f>PROPORTIONATES!G34</f>
        <v>17.840263449775904</v>
      </c>
      <c r="P36" s="47">
        <f>PROPORTIONATES!H34</f>
        <v>17.728735135052943</v>
      </c>
      <c r="Q36" s="47">
        <f>PROPORTIONATES!I34</f>
        <v>16.951347855811903</v>
      </c>
      <c r="R36" s="47">
        <f>PROPORTIONATES!J34</f>
        <v>14.068020761661687</v>
      </c>
      <c r="S36" s="45">
        <f>LBTY!$H$39</f>
        <v>5.6903875069172605E-2</v>
      </c>
      <c r="T36" s="46"/>
      <c r="U36" s="48" t="str">
        <f>D36</f>
        <v>USD 16.2</v>
      </c>
      <c r="V36" s="44" t="s">
        <v>269</v>
      </c>
      <c r="Z36" s="46"/>
      <c r="AF36" s="31"/>
      <c r="AG36" s="31"/>
      <c r="AJ36" s="64"/>
      <c r="AK36" s="64"/>
      <c r="AN36" s="64"/>
      <c r="AO36" s="64"/>
      <c r="AR36" s="64"/>
      <c r="AS36" s="64"/>
      <c r="BC36" s="65"/>
      <c r="BD36" s="65"/>
      <c r="BE36" s="65"/>
      <c r="BG36" s="65"/>
      <c r="BH36" s="65"/>
      <c r="BI36" s="65"/>
      <c r="BK36" s="65"/>
      <c r="BL36" s="65"/>
      <c r="BM36" s="65"/>
      <c r="BO36" s="65"/>
      <c r="BP36" s="65"/>
      <c r="BQ36" s="65"/>
      <c r="BU36" s="39"/>
      <c r="BV36" s="39"/>
      <c r="BW36" s="39"/>
      <c r="BX36" s="39"/>
      <c r="BY36" s="39"/>
      <c r="BZ36" s="39"/>
      <c r="CA36" s="39"/>
      <c r="CB36" s="39"/>
      <c r="CC36" s="39"/>
      <c r="CD36" s="39"/>
      <c r="CE36" s="39"/>
      <c r="CF36" s="39"/>
      <c r="CG36" s="39"/>
      <c r="CH36" s="39"/>
      <c r="CI36" s="39"/>
      <c r="CJ36" s="39"/>
      <c r="CK36" s="39"/>
      <c r="CL36" s="39"/>
      <c r="CM36" s="39"/>
      <c r="CN36" s="39"/>
      <c r="CO36" s="39"/>
      <c r="CP36" s="39"/>
      <c r="CQ36" s="39"/>
      <c r="CR36" s="39"/>
      <c r="CS36" s="39"/>
      <c r="CT36" s="39"/>
      <c r="CU36" s="39"/>
      <c r="CV36" s="39"/>
      <c r="CW36" s="39"/>
      <c r="CX36" s="39"/>
      <c r="CY36" s="39"/>
      <c r="CZ36" s="39"/>
      <c r="DA36" s="39"/>
      <c r="DB36" s="39"/>
      <c r="DC36" s="39"/>
      <c r="DD36" s="39"/>
      <c r="DE36" s="39"/>
      <c r="DF36" s="39"/>
      <c r="DG36" s="39"/>
      <c r="DH36" s="39"/>
      <c r="DI36" s="39"/>
    </row>
    <row r="37" spans="1:113">
      <c r="A37" s="41"/>
      <c r="B37" s="42" t="s">
        <v>1418</v>
      </c>
      <c r="C37" s="48" t="s">
        <v>769</v>
      </c>
      <c r="D37" s="44" t="str">
        <f>B37&amp;TEXT(Prices!C27,"0.00")</f>
        <v>EUR 3.35</v>
      </c>
      <c r="E37" s="44" t="str">
        <f>B37&amp;TEXT(Prices!E27,"0.00")</f>
        <v>EUR 4.00</v>
      </c>
      <c r="F37" s="45">
        <f>Prices!F27</f>
        <v>0.19581464872944676</v>
      </c>
      <c r="G37" s="44" t="str">
        <f>Prices!D27</f>
        <v>Neutral</v>
      </c>
      <c r="H37" s="46"/>
      <c r="I37" s="47">
        <f>NOS!$D$38</f>
        <v>4.4804312990686874</v>
      </c>
      <c r="J37" s="47">
        <f>NOS!$E$38</f>
        <v>3.8834736067550577</v>
      </c>
      <c r="K37" s="47">
        <f>NOS!$F$38</f>
        <v>3.4123121308501099</v>
      </c>
      <c r="L37" s="47">
        <f>NOS!$G$38</f>
        <v>2.9054195691640547</v>
      </c>
      <c r="M37" s="45">
        <f>NOS!$H$38</f>
        <v>-6.4928627842167908E-3</v>
      </c>
      <c r="N37" s="46"/>
      <c r="O37" s="47">
        <f>NOS!$D$39</f>
        <v>9.962385518749393</v>
      </c>
      <c r="P37" s="47">
        <f>NOS!$E$39</f>
        <v>8.2599603628684743</v>
      </c>
      <c r="Q37" s="47">
        <f>NOS!$F$39</f>
        <v>7.1656268193896979</v>
      </c>
      <c r="R37" s="47">
        <f>NOS!$G$39</f>
        <v>5.9904197655055915</v>
      </c>
      <c r="S37" s="45">
        <f>NOS!$H$39</f>
        <v>1.8832286194054415E-2</v>
      </c>
      <c r="T37" s="46"/>
      <c r="U37" s="48" t="str">
        <f>D37</f>
        <v>EUR 3.35</v>
      </c>
      <c r="V37" s="44" t="s">
        <v>769</v>
      </c>
      <c r="Z37" s="46"/>
      <c r="AF37" s="31"/>
      <c r="AG37" s="31"/>
      <c r="AJ37" s="64"/>
      <c r="AK37" s="64"/>
      <c r="AN37" s="64"/>
      <c r="AO37" s="64"/>
      <c r="AR37" s="64"/>
      <c r="AS37" s="64"/>
      <c r="BC37" s="65"/>
      <c r="BD37" s="65"/>
      <c r="BE37" s="65"/>
      <c r="BG37" s="65"/>
      <c r="BH37" s="65"/>
      <c r="BI37" s="65"/>
      <c r="BK37" s="65"/>
      <c r="BL37" s="65"/>
      <c r="BM37" s="65"/>
      <c r="BO37" s="65"/>
      <c r="BP37" s="65"/>
      <c r="BQ37" s="65"/>
      <c r="BU37" s="39"/>
      <c r="BV37" s="39"/>
      <c r="BW37" s="39"/>
      <c r="BX37" s="39"/>
      <c r="BY37" s="39"/>
      <c r="BZ37" s="39"/>
      <c r="CA37" s="39"/>
      <c r="CB37" s="39"/>
      <c r="CC37" s="39"/>
      <c r="CD37" s="39"/>
      <c r="CE37" s="39"/>
      <c r="CF37" s="39"/>
      <c r="CG37" s="39"/>
      <c r="CH37" s="39"/>
      <c r="CI37" s="39"/>
      <c r="CJ37" s="39"/>
      <c r="CK37" s="39"/>
      <c r="CL37" s="39"/>
      <c r="CM37" s="39"/>
      <c r="CN37" s="39"/>
      <c r="CO37" s="39"/>
      <c r="CP37" s="39"/>
      <c r="CQ37" s="39"/>
      <c r="CR37" s="39"/>
      <c r="CS37" s="39"/>
      <c r="CT37" s="39"/>
      <c r="CU37" s="39"/>
      <c r="CV37" s="39"/>
      <c r="CW37" s="39"/>
      <c r="CX37" s="39"/>
      <c r="CY37" s="39"/>
      <c r="CZ37" s="39"/>
      <c r="DA37" s="39"/>
      <c r="DB37" s="39"/>
      <c r="DC37" s="39"/>
      <c r="DD37" s="39"/>
      <c r="DE37" s="39"/>
      <c r="DF37" s="39"/>
      <c r="DG37" s="39"/>
      <c r="DH37" s="39"/>
      <c r="DI37" s="39"/>
    </row>
    <row r="38" spans="1:113" s="5" customFormat="1">
      <c r="A38" s="146"/>
      <c r="B38" s="42" t="s">
        <v>1418</v>
      </c>
      <c r="C38" s="48" t="s">
        <v>916</v>
      </c>
      <c r="D38" s="44" t="str">
        <f>B38&amp;TEXT(Prices!C28,"0.0")</f>
        <v>EUR 14.9</v>
      </c>
      <c r="E38" s="44" t="str">
        <f>B38&amp;TEXT(Prices!E28,"0.0")</f>
        <v>EUR 13.0</v>
      </c>
      <c r="F38" s="45">
        <f>Prices!F28</f>
        <v>-0.12868632707774796</v>
      </c>
      <c r="G38" s="44" t="str">
        <f>Prices!D28</f>
        <v>Neutral</v>
      </c>
      <c r="H38" s="46"/>
      <c r="I38" s="47">
        <f>OBEL!$D$38</f>
        <v>6.7326556617178932</v>
      </c>
      <c r="J38" s="47">
        <f>OBEL!$E$38</f>
        <v>5.6012322677223656</v>
      </c>
      <c r="K38" s="47">
        <f>OBEL!$F$38</f>
        <v>5.3067076330932021</v>
      </c>
      <c r="L38" s="47">
        <f>OBEL!$G$38</f>
        <v>5.0171215533635696</v>
      </c>
      <c r="M38" s="45">
        <f>OBEL!$H$38</f>
        <v>6.3737476496064982E-2</v>
      </c>
      <c r="N38" s="46"/>
      <c r="O38" s="47">
        <f>OBEL!$D$39</f>
        <v>18.609633331361664</v>
      </c>
      <c r="P38" s="47">
        <f>OBEL!$E$39</f>
        <v>15.968865161617467</v>
      </c>
      <c r="Q38" s="47">
        <f>OBEL!$F$39</f>
        <v>12.982784124129983</v>
      </c>
      <c r="R38" s="47">
        <f>OBEL!$G$39</f>
        <v>12.094136051955818</v>
      </c>
      <c r="S38" s="45">
        <f>OBEL!$H$39</f>
        <v>0.11338369131939996</v>
      </c>
      <c r="T38" s="46"/>
      <c r="U38" s="48" t="str">
        <f t="shared" si="2"/>
        <v>EUR 14.9</v>
      </c>
      <c r="V38" s="44" t="s">
        <v>63</v>
      </c>
      <c r="Z38" s="46"/>
      <c r="AF38" s="31"/>
      <c r="AG38" s="31"/>
      <c r="AJ38" s="64"/>
      <c r="AK38" s="64"/>
      <c r="AN38" s="64"/>
      <c r="AO38" s="64"/>
      <c r="AR38" s="64"/>
      <c r="AS38" s="64"/>
      <c r="BC38" s="65"/>
      <c r="BD38" s="65"/>
      <c r="BE38" s="65"/>
      <c r="BG38" s="65"/>
      <c r="BH38" s="65"/>
      <c r="BI38" s="65"/>
      <c r="BK38" s="65"/>
      <c r="BL38" s="65"/>
      <c r="BM38" s="65"/>
      <c r="BO38" s="65"/>
      <c r="BP38" s="65"/>
      <c r="BQ38" s="65"/>
    </row>
    <row r="39" spans="1:113" s="5" customFormat="1">
      <c r="A39" s="146"/>
      <c r="B39" s="42" t="s">
        <v>400</v>
      </c>
      <c r="C39" s="48" t="s">
        <v>394</v>
      </c>
      <c r="D39" s="44" t="str">
        <f>B39&amp;TEXT(Prices!C30,"0.0")</f>
        <v>SEK 101.1</v>
      </c>
      <c r="E39" s="44" t="str">
        <f>B39&amp;TEXT(Prices!E30,"0.0")</f>
        <v>SEK 110.0</v>
      </c>
      <c r="F39" s="45">
        <f>Prices!F30</f>
        <v>8.8570014844136624E-2</v>
      </c>
      <c r="G39" s="44" t="str">
        <f>Prices!D30</f>
        <v>Neutral</v>
      </c>
      <c r="H39" s="46"/>
      <c r="I39" s="47">
        <f>TELE2!$D$38</f>
        <v>9.8633245733901695</v>
      </c>
      <c r="J39" s="47">
        <f>TELE2!$E$38</f>
        <v>8.9590236092760467</v>
      </c>
      <c r="K39" s="47">
        <f>TELE2!$F$38</f>
        <v>8.2105885213274412</v>
      </c>
      <c r="L39" s="47">
        <f>TELE2!$G$38</f>
        <v>7.6082412914539308</v>
      </c>
      <c r="M39" s="45">
        <f>TELE2!$H$38</f>
        <v>3.2085519739952106E-2</v>
      </c>
      <c r="N39" s="46"/>
      <c r="O39" s="47">
        <f>TELE2!$D$39</f>
        <v>16.185754667330915</v>
      </c>
      <c r="P39" s="47">
        <f>TELE2!$E$39</f>
        <v>13.686774719347204</v>
      </c>
      <c r="Q39" s="47">
        <f>TELE2!$F$39</f>
        <v>12.694300339428841</v>
      </c>
      <c r="R39" s="47">
        <f>TELE2!$G$39</f>
        <v>11.690852060298317</v>
      </c>
      <c r="S39" s="45">
        <f>TELE2!$H$39</f>
        <v>5.4949325236261171E-2</v>
      </c>
      <c r="T39" s="46"/>
      <c r="U39" s="48" t="str">
        <f t="shared" si="2"/>
        <v>SEK 101.1</v>
      </c>
      <c r="V39" s="44" t="s">
        <v>394</v>
      </c>
      <c r="Z39" s="46"/>
      <c r="AF39" s="31"/>
      <c r="AG39" s="31"/>
      <c r="AJ39" s="64"/>
      <c r="AK39" s="64"/>
      <c r="AN39" s="64"/>
      <c r="AO39" s="64"/>
      <c r="AR39" s="64"/>
      <c r="AS39" s="64"/>
      <c r="BC39" s="65"/>
      <c r="BD39" s="65"/>
      <c r="BE39" s="65"/>
      <c r="BG39" s="65"/>
      <c r="BH39" s="65"/>
      <c r="BI39" s="65"/>
      <c r="BK39" s="65"/>
      <c r="BL39" s="65"/>
      <c r="BM39" s="65"/>
      <c r="BO39" s="65"/>
      <c r="BP39" s="65"/>
      <c r="BQ39" s="65"/>
    </row>
    <row r="40" spans="1:113">
      <c r="A40" s="41"/>
      <c r="B40" s="42" t="s">
        <v>1418</v>
      </c>
      <c r="C40" s="48" t="s">
        <v>898</v>
      </c>
      <c r="D40" s="44" t="str">
        <f>B40&amp;TEXT(Prices!C31,"0.0")</f>
        <v>EUR 22.1</v>
      </c>
      <c r="E40" s="44" t="str">
        <f>B40&amp;TEXT(Prices!E31,"0.0")</f>
        <v>EUR 30.0</v>
      </c>
      <c r="F40" s="45">
        <f>Prices!F31</f>
        <v>0.35869565217391308</v>
      </c>
      <c r="G40" s="44" t="str">
        <f>Prices!D31</f>
        <v>Buy</v>
      </c>
      <c r="H40" s="46"/>
      <c r="I40" s="47">
        <f>UTDI!$D$38</f>
        <v>8.5245143033817392</v>
      </c>
      <c r="J40" s="47">
        <f>UTDI!E$38</f>
        <v>8.0906805605393561</v>
      </c>
      <c r="K40" s="47">
        <f>UTDI!F$38</f>
        <v>7.4322765505346169</v>
      </c>
      <c r="L40" s="47">
        <f>UTDI!$G$38</f>
        <v>6.7837181904293731</v>
      </c>
      <c r="M40" s="45">
        <f>UTDI!$H$38</f>
        <v>8.8595131486410628E-2</v>
      </c>
      <c r="N40" s="46"/>
      <c r="O40" s="47">
        <f>UTDI!$D$39</f>
        <v>27.529990377781015</v>
      </c>
      <c r="P40" s="47">
        <f>UTDI!$E$39</f>
        <v>26.402353306925988</v>
      </c>
      <c r="Q40" s="47">
        <f>UTDI!$F$39</f>
        <v>18.806612056774085</v>
      </c>
      <c r="R40" s="47">
        <f>UTDI!$G$39</f>
        <v>14.428133344030083</v>
      </c>
      <c r="S40" s="45">
        <f>UTDI!$H$39</f>
        <v>0.25121250595556455</v>
      </c>
      <c r="T40" s="46"/>
      <c r="U40" s="48" t="str">
        <f t="shared" ref="U40" si="3">D40</f>
        <v>EUR 22.1</v>
      </c>
      <c r="V40" s="44" t="str">
        <f>C40</f>
        <v>United Internet</v>
      </c>
      <c r="AF40" s="31"/>
      <c r="AG40" s="31"/>
      <c r="AJ40" s="64"/>
      <c r="AK40" s="64"/>
      <c r="AN40" s="64"/>
      <c r="AO40" s="64"/>
      <c r="AR40" s="64"/>
      <c r="AS40" s="64"/>
      <c r="BC40" s="65"/>
      <c r="BD40" s="65"/>
      <c r="BE40" s="65"/>
      <c r="BG40" s="65"/>
      <c r="BH40" s="65"/>
      <c r="BI40" s="65"/>
      <c r="BK40" s="65"/>
      <c r="BL40" s="65"/>
      <c r="BM40" s="65"/>
      <c r="BO40" s="65"/>
      <c r="BP40" s="65"/>
      <c r="BQ40" s="65"/>
    </row>
    <row r="41" spans="1:113" s="5" customFormat="1">
      <c r="A41" s="146"/>
      <c r="B41" s="42" t="s">
        <v>1421</v>
      </c>
      <c r="C41" s="48" t="s">
        <v>281</v>
      </c>
      <c r="D41" s="44" t="str">
        <f>B41&amp;TEXT(Prices!C32/100,"0.00")</f>
        <v>GBP 0.74</v>
      </c>
      <c r="E41" s="44" t="str">
        <f>B41&amp;TEXT(Prices!E32/100,"0.00")</f>
        <v>GBP 1.35</v>
      </c>
      <c r="F41" s="45">
        <f>Prices!F32</f>
        <v>0.83673469387755106</v>
      </c>
      <c r="G41" s="44" t="str">
        <f>Prices!D32</f>
        <v>Buy</v>
      </c>
      <c r="H41" s="46"/>
      <c r="I41" s="47">
        <f>VOD!$D$38</f>
        <v>4.4823361851348702</v>
      </c>
      <c r="J41" s="47">
        <f>VOD!$E$38</f>
        <v>4.3023902386312685</v>
      </c>
      <c r="K41" s="47">
        <f>VOD!$F$38</f>
        <v>3.8504080617292393</v>
      </c>
      <c r="L41" s="47">
        <f>VOD!$G$38</f>
        <v>3.3781625013167442</v>
      </c>
      <c r="M41" s="45">
        <f>VOD!$H$38</f>
        <v>9.5977880430091478E-3</v>
      </c>
      <c r="N41" s="46"/>
      <c r="O41" s="47">
        <f>VOD!$D$39</f>
        <v>10.820971871061388</v>
      </c>
      <c r="P41" s="47">
        <f>VOD!$E$39</f>
        <v>10.506522626858775</v>
      </c>
      <c r="Q41" s="47">
        <f>VOD!$F$39</f>
        <v>8.3492370355167829</v>
      </c>
      <c r="R41" s="47">
        <f>VOD!$G$39</f>
        <v>6.9203981815417404</v>
      </c>
      <c r="S41" s="45">
        <f>VOD!$H$39</f>
        <v>6.6396772736873944E-2</v>
      </c>
      <c r="T41" s="46"/>
      <c r="U41" s="48" t="str">
        <f t="shared" si="2"/>
        <v>GBP 0.74</v>
      </c>
      <c r="V41" s="44" t="s">
        <v>281</v>
      </c>
      <c r="Z41" s="46"/>
      <c r="AF41" s="31"/>
      <c r="AG41" s="31"/>
      <c r="AJ41" s="64"/>
      <c r="AK41" s="64"/>
      <c r="AN41" s="64"/>
      <c r="AO41" s="64"/>
      <c r="AR41" s="64"/>
      <c r="AS41" s="64"/>
      <c r="BC41" s="65"/>
      <c r="BD41" s="65"/>
      <c r="BE41" s="65"/>
      <c r="BG41" s="65"/>
      <c r="BH41" s="65"/>
      <c r="BI41" s="65"/>
      <c r="BK41" s="65"/>
      <c r="BL41" s="65"/>
      <c r="BM41" s="65"/>
      <c r="BO41" s="65"/>
      <c r="BP41" s="65"/>
      <c r="BQ41" s="65"/>
    </row>
    <row r="42" spans="1:113" s="5" customFormat="1">
      <c r="A42" s="146"/>
      <c r="B42" s="42"/>
      <c r="C42" s="51" t="s">
        <v>1384</v>
      </c>
      <c r="D42" s="52"/>
      <c r="E42" s="52"/>
      <c r="F42" s="53"/>
      <c r="G42" s="52"/>
      <c r="H42" s="46"/>
      <c r="I42" s="54">
        <f>'W.EUR OTHER'!$D$38</f>
        <v>5.2795254299348739</v>
      </c>
      <c r="J42" s="54">
        <f>'W.EUR OTHER'!$E$38</f>
        <v>4.974469712304483</v>
      </c>
      <c r="K42" s="54">
        <f>'W.EUR OTHER'!$F$38</f>
        <v>4.5174816735135677</v>
      </c>
      <c r="L42" s="54">
        <f>'W.EUR OTHER'!$G$38</f>
        <v>4.0920709682728358</v>
      </c>
      <c r="M42" s="55">
        <f>'W.EUR OTHER'!$H$38</f>
        <v>2.0325446875936182E-2</v>
      </c>
      <c r="N42" s="56"/>
      <c r="O42" s="54">
        <f>'W.EUR OTHER'!$D$39</f>
        <v>12.736189476818824</v>
      </c>
      <c r="P42" s="54">
        <f>'W.EUR OTHER'!$E$39</f>
        <v>12.065966967777575</v>
      </c>
      <c r="Q42" s="54">
        <f>'W.EUR OTHER'!$F$39</f>
        <v>9.9478093470125</v>
      </c>
      <c r="R42" s="54">
        <f>'W.EUR OTHER'!$G$39</f>
        <v>8.473000290176449</v>
      </c>
      <c r="S42" s="55">
        <f>'W.EUR OTHER'!$H$39</f>
        <v>7.3632307659955432E-2</v>
      </c>
      <c r="T42" s="46"/>
      <c r="U42" s="57"/>
      <c r="V42" s="58" t="str">
        <f>C42</f>
        <v>Agg. W. Europe Other</v>
      </c>
      <c r="Z42" s="46"/>
      <c r="AE42" s="41"/>
      <c r="AF42" s="31"/>
      <c r="AG42" s="31"/>
      <c r="AI42" s="41"/>
      <c r="AJ42" s="64"/>
      <c r="AK42" s="64"/>
      <c r="AM42" s="41"/>
      <c r="AN42" s="64"/>
      <c r="AO42" s="64"/>
      <c r="AQ42" s="41"/>
      <c r="AR42" s="64"/>
      <c r="AS42" s="64"/>
      <c r="BC42" s="65"/>
      <c r="BD42" s="65"/>
      <c r="BE42" s="65"/>
      <c r="BG42" s="65"/>
      <c r="BH42" s="65"/>
      <c r="BI42" s="65"/>
      <c r="BK42" s="65"/>
      <c r="BL42" s="65"/>
      <c r="BM42" s="65"/>
      <c r="BO42" s="65"/>
      <c r="BP42" s="65"/>
      <c r="BQ42" s="65"/>
    </row>
    <row r="43" spans="1:113" s="5" customFormat="1">
      <c r="A43" s="146"/>
      <c r="B43" s="42"/>
      <c r="C43" s="48"/>
      <c r="D43" s="44"/>
      <c r="E43" s="44"/>
      <c r="F43" s="45"/>
      <c r="G43" s="44"/>
      <c r="H43" s="46"/>
      <c r="I43" s="47"/>
      <c r="J43" s="47"/>
      <c r="K43" s="47"/>
      <c r="L43" s="47"/>
      <c r="M43" s="45"/>
      <c r="N43" s="46"/>
      <c r="O43" s="47"/>
      <c r="P43" s="47"/>
      <c r="Q43" s="47"/>
      <c r="R43" s="47"/>
      <c r="S43" s="45"/>
      <c r="T43" s="46"/>
      <c r="U43" s="48"/>
      <c r="V43" s="44"/>
      <c r="Z43" s="46"/>
      <c r="AF43" s="31"/>
      <c r="AG43" s="31"/>
      <c r="AJ43" s="64"/>
      <c r="AK43" s="64"/>
      <c r="AN43" s="64"/>
      <c r="AO43" s="64"/>
      <c r="AR43" s="64"/>
      <c r="AS43" s="64"/>
      <c r="BC43" s="65"/>
      <c r="BD43" s="65"/>
      <c r="BE43" s="65"/>
      <c r="BG43" s="65"/>
      <c r="BH43" s="65"/>
      <c r="BI43" s="65"/>
      <c r="BK43" s="65"/>
      <c r="BL43" s="65"/>
      <c r="BM43" s="65"/>
      <c r="BO43" s="65"/>
      <c r="BP43" s="65"/>
      <c r="BQ43" s="65"/>
    </row>
    <row r="44" spans="1:113">
      <c r="A44" s="41"/>
      <c r="B44" s="42" t="s">
        <v>1419</v>
      </c>
      <c r="C44" s="48" t="s">
        <v>836</v>
      </c>
      <c r="D44" s="44" t="str">
        <f>$B$44&amp;TEXT(DMprice3,"0")</f>
        <v>HKD 3</v>
      </c>
      <c r="E44" s="44" t="str">
        <f>$B$44&amp;TEXT(DMtarget3,"0")</f>
        <v>HKD 16</v>
      </c>
      <c r="F44" s="45">
        <f>Prices!F68</f>
        <v>5.2256809338521402</v>
      </c>
      <c r="G44" s="44" t="str">
        <f>Prices!D68</f>
        <v>Buy</v>
      </c>
      <c r="H44" s="46"/>
      <c r="I44" s="47">
        <f>HKBN!$D$38</f>
        <v>3.5169699933545275</v>
      </c>
      <c r="J44" s="47">
        <f>HKBN!E$38</f>
        <v>2.9163006008892118</v>
      </c>
      <c r="K44" s="47">
        <f>HKBN!F$38</f>
        <v>2.3348250542403628</v>
      </c>
      <c r="L44" s="47">
        <f>HKBN!$G$38</f>
        <v>1.7581408903508813</v>
      </c>
      <c r="M44" s="45">
        <f>HKBN!$H$38</f>
        <v>3.3316577648039525E-2</v>
      </c>
      <c r="N44" s="46"/>
      <c r="O44" s="47">
        <f>HKBN!$D$39</f>
        <v>4.391141677743037</v>
      </c>
      <c r="P44" s="47">
        <f>HKBN!$E$39</f>
        <v>3.5992081051925875</v>
      </c>
      <c r="Q44" s="47">
        <f>HKBN!$F$39</f>
        <v>2.8930409787379689</v>
      </c>
      <c r="R44" s="47">
        <f>HKBN!$G$39</f>
        <v>2.1524929031201538</v>
      </c>
      <c r="S44" s="45">
        <f>HKBN!$H$39</f>
        <v>4.009651517345092E-2</v>
      </c>
      <c r="T44" s="46"/>
      <c r="U44" s="48" t="str">
        <f>D44</f>
        <v>HKD 3</v>
      </c>
      <c r="V44" s="69" t="str">
        <f>C44</f>
        <v>HKBN</v>
      </c>
      <c r="AF44" s="31"/>
      <c r="AG44" s="31"/>
      <c r="AJ44" s="64"/>
      <c r="AK44" s="64"/>
      <c r="AN44" s="64"/>
      <c r="AO44" s="64"/>
      <c r="AR44" s="64"/>
      <c r="AS44" s="64"/>
      <c r="BC44" s="65"/>
      <c r="BD44" s="65"/>
      <c r="BE44" s="65"/>
      <c r="BG44" s="65"/>
      <c r="BH44" s="65"/>
      <c r="BI44" s="65"/>
      <c r="BK44" s="65"/>
      <c r="BL44" s="65"/>
      <c r="BM44" s="65"/>
      <c r="BO44" s="65"/>
      <c r="BP44" s="65"/>
      <c r="BQ44" s="65"/>
    </row>
    <row r="45" spans="1:113" s="5" customFormat="1">
      <c r="A45" s="146"/>
      <c r="B45" s="42" t="s">
        <v>1425</v>
      </c>
      <c r="C45" s="48" t="s">
        <v>302</v>
      </c>
      <c r="D45" s="44" t="str">
        <f>B45&amp;TEXT(Prices!C63,"0,0")</f>
        <v>JPY 4,302</v>
      </c>
      <c r="E45" s="44" t="str">
        <f>B45&amp;TEXT(Prices!E63,"0,0")</f>
        <v>JPY 6,600</v>
      </c>
      <c r="F45" s="45">
        <f>Prices!F63</f>
        <v>0.53417015341701535</v>
      </c>
      <c r="G45" s="44" t="str">
        <f>Prices!D63</f>
        <v>Buy</v>
      </c>
      <c r="H45" s="46"/>
      <c r="I45" s="47">
        <f>KDDI!$D$38</f>
        <v>6.3177379305931272</v>
      </c>
      <c r="J45" s="47">
        <f>KDDI!$E$38</f>
        <v>5.6518809551921541</v>
      </c>
      <c r="K45" s="47">
        <f>KDDI!$F$38</f>
        <v>5.0275029810527565</v>
      </c>
      <c r="L45" s="47">
        <f>KDDI!$G$38</f>
        <v>4.4308837591475232</v>
      </c>
      <c r="M45" s="45">
        <f>KDDI!$H$38</f>
        <v>4.025614496450336E-2</v>
      </c>
      <c r="N45" s="46"/>
      <c r="O45" s="47">
        <f>KDDI!$D$39</f>
        <v>11.506072144214972</v>
      </c>
      <c r="P45" s="47">
        <f>KDDI!$E$39</f>
        <v>8.8390553441578739</v>
      </c>
      <c r="Q45" s="47">
        <f>KDDI!$F$39</f>
        <v>7.8424344872452689</v>
      </c>
      <c r="R45" s="47">
        <f>KDDI!$G$39</f>
        <v>6.8892541064979946</v>
      </c>
      <c r="S45" s="45">
        <f>KDDI!$H$39</f>
        <v>9.6566152001714922E-2</v>
      </c>
      <c r="T45" s="46"/>
      <c r="U45" s="48" t="str">
        <f t="shared" ref="U45:U48" si="4">D45</f>
        <v>JPY 4,302</v>
      </c>
      <c r="V45" s="44" t="s">
        <v>302</v>
      </c>
      <c r="Z45" s="46"/>
      <c r="AF45" s="31"/>
      <c r="AG45" s="31"/>
      <c r="AJ45" s="64"/>
      <c r="AK45" s="64"/>
      <c r="AN45" s="64"/>
      <c r="AO45" s="64"/>
      <c r="AR45" s="64"/>
      <c r="AS45" s="64"/>
      <c r="BC45" s="65"/>
      <c r="BD45" s="65"/>
      <c r="BE45" s="65"/>
      <c r="BG45" s="65"/>
      <c r="BH45" s="65"/>
      <c r="BI45" s="65"/>
      <c r="BK45" s="65"/>
      <c r="BL45" s="65"/>
      <c r="BM45" s="65"/>
      <c r="BO45" s="65"/>
      <c r="BP45" s="65"/>
      <c r="BQ45" s="65"/>
    </row>
    <row r="46" spans="1:113" s="5" customFormat="1">
      <c r="A46" s="41"/>
      <c r="B46" s="42" t="s">
        <v>1423</v>
      </c>
      <c r="C46" s="48" t="s">
        <v>1063</v>
      </c>
      <c r="D46" s="44" t="str">
        <f>B46&amp;TEXT(Prices!C71,"0.00")</f>
        <v>AUD 85.20</v>
      </c>
      <c r="E46" s="44" t="str">
        <f>B46&amp;TEXT(Prices!E71,"0.00")</f>
        <v>AUD 28.00</v>
      </c>
      <c r="F46" s="45">
        <f>Prices!F71</f>
        <v>-0.67136150234741787</v>
      </c>
      <c r="G46" s="44" t="str">
        <f>Prices!D71</f>
        <v>Neutral</v>
      </c>
      <c r="H46" s="46"/>
      <c r="I46" s="47">
        <f>MAQ!$D$38</f>
        <v>31.099091205119002</v>
      </c>
      <c r="J46" s="47">
        <f>MAQ!$E$38</f>
        <v>28.252051009875764</v>
      </c>
      <c r="K46" s="47">
        <f>MAQ!$F$38</f>
        <v>25.765848140036752</v>
      </c>
      <c r="L46" s="47">
        <f>MAQ!$G$38</f>
        <v>24.776905436377383</v>
      </c>
      <c r="M46" s="45">
        <f>MAQ!$H$38</f>
        <v>7.7710514142747211E-2</v>
      </c>
      <c r="N46" s="46"/>
      <c r="O46" s="47">
        <f>MAQ!$D$39</f>
        <v>382.61456462990049</v>
      </c>
      <c r="P46" s="47">
        <f>MAQ!$E$39</f>
        <v>90.450032872905737</v>
      </c>
      <c r="Q46" s="47">
        <f>MAQ!$F$39</f>
        <v>64.131518793937005</v>
      </c>
      <c r="R46" s="47">
        <f>MAQ!$G$39</f>
        <v>48.723738950529217</v>
      </c>
      <c r="S46" s="45">
        <f>MAQ!$H$39</f>
        <v>0.98583062966591317</v>
      </c>
      <c r="T46" s="46"/>
      <c r="U46" s="48" t="str">
        <f>D46</f>
        <v>AUD 85.20</v>
      </c>
      <c r="V46" s="69" t="str">
        <f>C46</f>
        <v>Macquarie Telecom</v>
      </c>
      <c r="Z46" s="46"/>
      <c r="AF46" s="31"/>
      <c r="AG46" s="31"/>
      <c r="AJ46" s="64"/>
      <c r="AK46" s="64"/>
      <c r="AN46" s="64"/>
      <c r="AO46" s="64"/>
      <c r="AR46" s="64"/>
      <c r="AS46" s="64"/>
      <c r="BC46" s="65"/>
      <c r="BD46" s="65"/>
      <c r="BE46" s="65"/>
      <c r="BG46" s="65"/>
      <c r="BH46" s="65"/>
      <c r="BI46" s="65"/>
      <c r="BK46" s="65"/>
      <c r="BL46" s="65"/>
      <c r="BM46" s="65"/>
      <c r="BO46" s="65"/>
      <c r="BP46" s="65"/>
      <c r="BQ46" s="65"/>
    </row>
    <row r="47" spans="1:113" s="5" customFormat="1">
      <c r="A47" s="146"/>
      <c r="B47" s="42" t="s">
        <v>1425</v>
      </c>
      <c r="C47" s="48" t="s">
        <v>1052</v>
      </c>
      <c r="D47" s="44" t="str">
        <f>B47&amp;TEXT(Prices!C64,"0,0")</f>
        <v>JPY 776</v>
      </c>
      <c r="E47" s="44" t="str">
        <f>B47&amp;TEXT(Prices!E64,"0,0")</f>
        <v>JPY 400</v>
      </c>
      <c r="F47" s="45">
        <f>Prices!F64</f>
        <v>-0.48446964815053484</v>
      </c>
      <c r="G47" s="44" t="str">
        <f>Prices!D64</f>
        <v>Reduce</v>
      </c>
      <c r="H47" s="46"/>
      <c r="I47" s="47">
        <f>RAK!$D$38</f>
        <v>13.293047736346026</v>
      </c>
      <c r="J47" s="47">
        <f>RAK!$E$38</f>
        <v>10.928213852362971</v>
      </c>
      <c r="K47" s="47">
        <f>RAK!$F$38</f>
        <v>7.7199009667728253</v>
      </c>
      <c r="L47" s="47">
        <f>RAK!$G$38</f>
        <v>5.8329801819703562</v>
      </c>
      <c r="M47" s="45">
        <f>RAK!$H$38</f>
        <v>0.31296492021516276</v>
      </c>
      <c r="N47" s="46"/>
      <c r="O47" s="47">
        <f>RAK!$D$39</f>
        <v>-8.2868824355750732</v>
      </c>
      <c r="P47" s="47">
        <f>RAK!$E$39</f>
        <v>-20.652864761152031</v>
      </c>
      <c r="Q47" s="47">
        <f>RAK!$F$39</f>
        <v>-57.335047719879356</v>
      </c>
      <c r="R47" s="47">
        <f>RAK!$G$39</f>
        <v>-73.491245124297649</v>
      </c>
      <c r="S47" s="45">
        <f>RAK!$H$39</f>
        <v>-0.51798528976690239</v>
      </c>
      <c r="T47" s="46"/>
      <c r="U47" s="48" t="str">
        <f>D47</f>
        <v>JPY 776</v>
      </c>
      <c r="V47" s="44" t="str">
        <f>C47</f>
        <v>Rakuten</v>
      </c>
      <c r="Z47" s="46"/>
      <c r="AB47" s="63"/>
      <c r="AF47" s="31"/>
      <c r="AG47" s="31"/>
      <c r="AJ47" s="64"/>
      <c r="AK47" s="64"/>
      <c r="AN47" s="64"/>
      <c r="AO47" s="64"/>
      <c r="AR47" s="64"/>
      <c r="AS47" s="64"/>
    </row>
    <row r="48" spans="1:113">
      <c r="B48" s="42" t="s">
        <v>1425</v>
      </c>
      <c r="C48" s="48" t="s">
        <v>1045</v>
      </c>
      <c r="D48" s="44" t="str">
        <f>B48&amp;TEXT(Prices!C65,"0,0")</f>
        <v>JPY 1,898</v>
      </c>
      <c r="E48" s="44" t="str">
        <f>B48&amp;TEXT(Prices!E65,"0,0")</f>
        <v>JPY 2,500</v>
      </c>
      <c r="F48" s="45">
        <f>Prices!F65</f>
        <v>0.31752305665349145</v>
      </c>
      <c r="G48" s="44" t="str">
        <f>Prices!D65</f>
        <v>Buy</v>
      </c>
      <c r="H48" s="46"/>
      <c r="I48" s="47">
        <f>SBKK!$D$38</f>
        <v>8.1414900413078755</v>
      </c>
      <c r="J48" s="47">
        <f>SBKK!$E$38</f>
        <v>7.6280107284384133</v>
      </c>
      <c r="K48" s="47">
        <f>SBKK!$F$38</f>
        <v>6.7333066569233768</v>
      </c>
      <c r="L48" s="47">
        <f>SBKK!$G$38</f>
        <v>5.8448822831694374</v>
      </c>
      <c r="M48" s="45">
        <f>SBKK!$H$38</f>
        <v>4.4129547060272056E-2</v>
      </c>
      <c r="N48" s="46"/>
      <c r="O48" s="47">
        <f>SBKK!$D$39</f>
        <v>12.172089647556941</v>
      </c>
      <c r="P48" s="47">
        <f>SBKK!$E$39</f>
        <v>11.110809453385729</v>
      </c>
      <c r="Q48" s="47">
        <f>SBKK!$F$39</f>
        <v>9.6055887721175583</v>
      </c>
      <c r="R48" s="47">
        <f>SBKK!$G$39</f>
        <v>8.159990291286773</v>
      </c>
      <c r="S48" s="45">
        <f>SBKK!$H$39</f>
        <v>6.8243297881073861E-2</v>
      </c>
      <c r="T48" s="46"/>
      <c r="U48" s="48" t="str">
        <f t="shared" si="4"/>
        <v>JPY 1,898</v>
      </c>
      <c r="V48" s="44" t="s">
        <v>1045</v>
      </c>
      <c r="Z48" s="46"/>
      <c r="AB48" s="5"/>
      <c r="AF48" s="31"/>
      <c r="AG48" s="31"/>
      <c r="AJ48" s="64"/>
      <c r="AK48" s="64"/>
      <c r="AN48" s="64"/>
      <c r="AO48" s="64"/>
      <c r="AR48" s="64"/>
      <c r="AS48" s="64"/>
    </row>
    <row r="49" spans="1:113" s="5" customFormat="1">
      <c r="A49" s="41"/>
      <c r="B49" s="42" t="s">
        <v>1423</v>
      </c>
      <c r="C49" s="48" t="s">
        <v>970</v>
      </c>
      <c r="D49" s="44" t="str">
        <f>B49&amp;TEXT(Prices!C70,"0.00")</f>
        <v>AUD 4.60</v>
      </c>
      <c r="E49" s="44" t="str">
        <f>B49&amp;TEXT(Prices!E70,"0.00")</f>
        <v>AUD 7.50</v>
      </c>
      <c r="F49" s="45">
        <f>Prices!F70</f>
        <v>0.63043478260869579</v>
      </c>
      <c r="G49" s="44" t="str">
        <f>Prices!D70</f>
        <v>Neutral</v>
      </c>
      <c r="H49" s="46"/>
      <c r="I49" s="47">
        <f>TPG!$D$38</f>
        <v>8.1679569308025677</v>
      </c>
      <c r="J49" s="47">
        <f>TPG!$E$38</f>
        <v>8.1911429923261245</v>
      </c>
      <c r="K49" s="47">
        <f>TPG!$F$38</f>
        <v>7.7980376668091393</v>
      </c>
      <c r="L49" s="47">
        <f>TPG!$G$38</f>
        <v>7.4439187862104186</v>
      </c>
      <c r="M49" s="45">
        <f>TPG!$H$38</f>
        <v>1.5669319800876602E-2</v>
      </c>
      <c r="N49" s="46"/>
      <c r="O49" s="47">
        <f>TPG!$D$39</f>
        <v>15.366339109315414</v>
      </c>
      <c r="P49" s="47">
        <f>TPG!$E$39</f>
        <v>14.583564844618483</v>
      </c>
      <c r="Q49" s="47">
        <f>TPG!$F$39</f>
        <v>14.30409927315079</v>
      </c>
      <c r="R49" s="47">
        <f>TPG!$G$39</f>
        <v>13.433236823752734</v>
      </c>
      <c r="S49" s="45">
        <f>TPG!$H$39</f>
        <v>2.9860284419041871E-2</v>
      </c>
      <c r="T49" s="46"/>
      <c r="U49" s="48" t="str">
        <f>D49</f>
        <v>AUD 4.60</v>
      </c>
      <c r="V49" s="44" t="s">
        <v>970</v>
      </c>
      <c r="Z49" s="46"/>
      <c r="AF49" s="31"/>
      <c r="AG49" s="31"/>
      <c r="AJ49" s="64"/>
      <c r="AK49" s="64"/>
      <c r="AN49" s="64"/>
      <c r="AO49" s="64"/>
      <c r="AR49" s="64"/>
      <c r="AS49" s="64"/>
      <c r="BC49" s="65"/>
      <c r="BD49" s="65"/>
      <c r="BE49" s="65"/>
      <c r="BG49" s="65"/>
      <c r="BH49" s="65"/>
      <c r="BI49" s="65"/>
      <c r="BK49" s="65"/>
      <c r="BL49" s="65"/>
      <c r="BM49" s="65"/>
      <c r="BO49" s="65"/>
      <c r="BP49" s="65"/>
      <c r="BQ49" s="65"/>
    </row>
    <row r="50" spans="1:113">
      <c r="C50" s="51" t="s">
        <v>1392</v>
      </c>
      <c r="D50" s="52"/>
      <c r="E50" s="52"/>
      <c r="F50" s="53"/>
      <c r="G50" s="52"/>
      <c r="H50" s="46"/>
      <c r="I50" s="54">
        <f>'DM ASIA OTHER'!D$38</f>
        <v>7.3258495291616414</v>
      </c>
      <c r="J50" s="54">
        <f>'DM ASIA OTHER'!E$38</f>
        <v>6.7092804879076917</v>
      </c>
      <c r="K50" s="54">
        <f>'DM ASIA OTHER'!F$38</f>
        <v>5.899034748802352</v>
      </c>
      <c r="L50" s="54">
        <f>'DM ASIA OTHER'!G$38</f>
        <v>5.1300483034137692</v>
      </c>
      <c r="M50" s="55">
        <f>'DM ASIA OTHER'!H$38</f>
        <v>5.4696749337629358E-2</v>
      </c>
      <c r="N50" s="56"/>
      <c r="O50" s="54">
        <f>'DM ASIA OTHER'!D$39</f>
        <v>14.075420842229162</v>
      </c>
      <c r="P50" s="54">
        <f>'DM ASIA OTHER'!E$39</f>
        <v>11.092965616512378</v>
      </c>
      <c r="Q50" s="54">
        <f>'DM ASIA OTHER'!F$39</f>
        <v>9.5483718953953414</v>
      </c>
      <c r="R50" s="54">
        <f>'DM ASIA OTHER'!G$39</f>
        <v>8.2908468131168434</v>
      </c>
      <c r="S50" s="55">
        <f>'DM ASIA OTHER'!H$39</f>
        <v>0.11729947188557732</v>
      </c>
      <c r="T50" s="46"/>
      <c r="U50" s="57"/>
      <c r="V50" s="58" t="s">
        <v>93</v>
      </c>
      <c r="Z50" s="46"/>
      <c r="AB50" s="5"/>
      <c r="AE50" s="41"/>
      <c r="AF50" s="31"/>
      <c r="AG50" s="31"/>
      <c r="AI50" s="41"/>
      <c r="AJ50" s="64"/>
      <c r="AK50" s="64"/>
      <c r="AM50" s="41"/>
      <c r="AN50" s="64"/>
      <c r="AO50" s="64"/>
      <c r="AQ50" s="41"/>
      <c r="AR50" s="64"/>
      <c r="AS50" s="64"/>
      <c r="BC50" s="65"/>
      <c r="BD50" s="65"/>
      <c r="BE50" s="65"/>
      <c r="BG50" s="65"/>
      <c r="BH50" s="65"/>
      <c r="BI50" s="65"/>
      <c r="BK50" s="65"/>
      <c r="BL50" s="65"/>
      <c r="BM50" s="65"/>
      <c r="BO50" s="65"/>
      <c r="BP50" s="65"/>
      <c r="BQ50" s="65"/>
    </row>
    <row r="51" spans="1:113">
      <c r="A51" s="41"/>
      <c r="C51" s="48"/>
      <c r="D51" s="44"/>
      <c r="E51" s="44"/>
      <c r="F51" s="45"/>
      <c r="G51" s="44"/>
      <c r="H51" s="46"/>
      <c r="I51" s="47"/>
      <c r="J51" s="47"/>
      <c r="K51" s="47"/>
      <c r="L51" s="47"/>
      <c r="M51" s="45"/>
      <c r="N51" s="46"/>
      <c r="O51" s="47"/>
      <c r="P51" s="47"/>
      <c r="Q51" s="47"/>
      <c r="R51" s="47"/>
      <c r="S51" s="45"/>
      <c r="T51" s="46"/>
      <c r="U51" s="48"/>
      <c r="V51" s="44"/>
      <c r="Z51" s="46"/>
      <c r="AF51" s="31"/>
      <c r="AG51" s="31"/>
      <c r="AJ51" s="64"/>
      <c r="AK51" s="64"/>
      <c r="AN51" s="64"/>
      <c r="AO51" s="64"/>
      <c r="AR51" s="64"/>
      <c r="AS51" s="64"/>
      <c r="BC51" s="65"/>
      <c r="BD51" s="65"/>
      <c r="BE51" s="65"/>
      <c r="BG51" s="65"/>
      <c r="BH51" s="65"/>
      <c r="BI51" s="65"/>
      <c r="BK51" s="65"/>
      <c r="BL51" s="65"/>
      <c r="BM51" s="65"/>
      <c r="BO51" s="65"/>
      <c r="BP51" s="65"/>
      <c r="BQ51" s="65"/>
      <c r="BU51" s="39"/>
      <c r="BV51" s="39"/>
      <c r="BW51" s="39"/>
      <c r="BX51" s="39"/>
      <c r="BY51" s="39"/>
      <c r="BZ51" s="39"/>
      <c r="CA51" s="39"/>
      <c r="CB51" s="39"/>
      <c r="CC51" s="39"/>
      <c r="CD51" s="39"/>
      <c r="CE51" s="39"/>
      <c r="CF51" s="39"/>
      <c r="CG51" s="39"/>
      <c r="CH51" s="39"/>
      <c r="CI51" s="39"/>
      <c r="CJ51" s="39"/>
      <c r="CK51" s="39"/>
      <c r="CL51" s="39"/>
      <c r="CM51" s="39"/>
      <c r="CN51" s="39"/>
      <c r="CO51" s="39"/>
      <c r="CP51" s="39"/>
      <c r="CQ51" s="39"/>
      <c r="CR51" s="39"/>
      <c r="CS51" s="39"/>
      <c r="CT51" s="39"/>
      <c r="CU51" s="39"/>
      <c r="CV51" s="39"/>
      <c r="CW51" s="39"/>
      <c r="CX51" s="39"/>
      <c r="CY51" s="39"/>
      <c r="CZ51" s="39"/>
      <c r="DA51" s="39"/>
      <c r="DB51" s="39"/>
      <c r="DC51" s="39"/>
      <c r="DD51" s="39"/>
      <c r="DE51" s="39"/>
      <c r="DF51" s="39"/>
      <c r="DG51" s="39"/>
      <c r="DH51" s="39"/>
      <c r="DI51" s="39"/>
    </row>
    <row r="52" spans="1:113">
      <c r="A52" s="41"/>
      <c r="B52" s="42" t="s">
        <v>1417</v>
      </c>
      <c r="C52" s="48" t="s">
        <v>990</v>
      </c>
      <c r="D52" s="44" t="str">
        <f>B52&amp;TEXT(Prices!$C$44,"0.0")</f>
        <v>USD 2.3</v>
      </c>
      <c r="E52" s="44" t="str">
        <f>B52&amp;TEXT(Prices!$E$44,"0.0")</f>
        <v>USD 4.0</v>
      </c>
      <c r="F52" s="45">
        <f>Prices!$F$44</f>
        <v>0.71673819742489275</v>
      </c>
      <c r="G52" s="44" t="str">
        <f>Prices!$D$44</f>
        <v>Neutral</v>
      </c>
      <c r="H52" s="46"/>
      <c r="I52" s="47">
        <f>ATCUS!$D$38</f>
        <v>7.0609614860802088</v>
      </c>
      <c r="J52" s="47">
        <f>ATCUS!$E$38</f>
        <v>7.1955899787539721</v>
      </c>
      <c r="K52" s="47">
        <f>ATCUS!$F$38</f>
        <v>7.3876619360524689</v>
      </c>
      <c r="L52" s="47">
        <f>ATCUS!$G$38</f>
        <v>7.3578864233936203</v>
      </c>
      <c r="M52" s="45">
        <f>ATCUS!$H$38</f>
        <v>-1.5443372733004446E-2</v>
      </c>
      <c r="N52" s="46"/>
      <c r="O52" s="47">
        <f>ATCUS!$D$39</f>
        <v>13.382970610725714</v>
      </c>
      <c r="P52" s="47">
        <f>ATCUS!$E$39</f>
        <v>13.469036242877898</v>
      </c>
      <c r="Q52" s="47">
        <f>ATCUS!$F$39</f>
        <v>13.138750045362229</v>
      </c>
      <c r="R52" s="47">
        <f>ATCUS!$G$39</f>
        <v>12.319786368184658</v>
      </c>
      <c r="S52" s="45">
        <f>ATCUS!$H$39</f>
        <v>2.6093401132669003E-2</v>
      </c>
      <c r="T52" s="46"/>
      <c r="U52" s="48" t="str">
        <f>D52</f>
        <v>USD 2.3</v>
      </c>
      <c r="V52" s="44" t="str">
        <f>C52</f>
        <v>Altice US</v>
      </c>
      <c r="Z52" s="46"/>
      <c r="AF52" s="31"/>
      <c r="AG52" s="31"/>
      <c r="AJ52" s="64"/>
      <c r="AK52" s="64"/>
      <c r="AN52" s="64"/>
      <c r="AO52" s="64"/>
      <c r="AR52" s="64"/>
      <c r="AS52" s="64"/>
      <c r="BC52" s="65"/>
      <c r="BD52" s="65"/>
      <c r="BE52" s="65"/>
      <c r="BG52" s="65"/>
      <c r="BH52" s="65"/>
      <c r="BI52" s="65"/>
      <c r="BK52" s="65"/>
      <c r="BL52" s="65"/>
      <c r="BM52" s="65"/>
      <c r="BO52" s="65"/>
      <c r="BP52" s="65"/>
      <c r="BQ52" s="65"/>
      <c r="BU52" s="39"/>
      <c r="BV52" s="39"/>
      <c r="BW52" s="39"/>
      <c r="BX52" s="39"/>
      <c r="BY52" s="39"/>
      <c r="BZ52" s="39"/>
      <c r="CA52" s="39"/>
      <c r="CB52" s="39"/>
      <c r="CC52" s="39"/>
      <c r="CD52" s="39"/>
      <c r="CE52" s="39"/>
      <c r="CF52" s="39"/>
      <c r="CG52" s="39"/>
      <c r="CH52" s="39"/>
      <c r="CI52" s="39"/>
      <c r="CJ52" s="39"/>
      <c r="CK52" s="39"/>
      <c r="CL52" s="39"/>
      <c r="CM52" s="39"/>
      <c r="CN52" s="39"/>
      <c r="CO52" s="39"/>
      <c r="CP52" s="39"/>
      <c r="CQ52" s="39"/>
      <c r="CR52" s="39"/>
      <c r="CS52" s="39"/>
      <c r="CT52" s="39"/>
      <c r="CU52" s="39"/>
      <c r="CV52" s="39"/>
      <c r="CW52" s="39"/>
      <c r="CX52" s="39"/>
      <c r="CY52" s="39"/>
      <c r="CZ52" s="39"/>
      <c r="DA52" s="39"/>
      <c r="DB52" s="39"/>
      <c r="DC52" s="39"/>
      <c r="DD52" s="39"/>
      <c r="DE52" s="39"/>
      <c r="DF52" s="39"/>
      <c r="DG52" s="39"/>
      <c r="DH52" s="39"/>
      <c r="DI52" s="39"/>
    </row>
    <row r="53" spans="1:113">
      <c r="A53" s="41"/>
      <c r="B53" s="42" t="s">
        <v>1417</v>
      </c>
      <c r="C53" s="48" t="s">
        <v>311</v>
      </c>
      <c r="D53" s="44" t="str">
        <f>B53&amp;TEXT(Prices!$C$45,"0.0")</f>
        <v>USD 271.5</v>
      </c>
      <c r="E53" s="44" t="str">
        <f>B53&amp;TEXT(Prices!$E$45,"0.0")</f>
        <v>USD 581.0</v>
      </c>
      <c r="F53" s="45">
        <f>Prices!$F$45</f>
        <v>1.1402784940691078</v>
      </c>
      <c r="G53" s="44" t="str">
        <f>Prices!$D$45</f>
        <v>Buy</v>
      </c>
      <c r="H53" s="46"/>
      <c r="I53" s="47">
        <f>CHTR!$D$38</f>
        <v>6.4869252130565451</v>
      </c>
      <c r="J53" s="47">
        <f>CHTR!$E$38</f>
        <v>6.275409993423704</v>
      </c>
      <c r="K53" s="47">
        <f>CHTR!$F$38</f>
        <v>6.155876540986565</v>
      </c>
      <c r="L53" s="47">
        <f>CHTR!$G$38</f>
        <v>5.9073930131227126</v>
      </c>
      <c r="M53" s="45">
        <f>CHTR!$H$38</f>
        <v>2.7242535806642598E-2</v>
      </c>
      <c r="N53" s="46"/>
      <c r="O53" s="47">
        <f>CHTR!$D$39</f>
        <v>13.17605906064199</v>
      </c>
      <c r="P53" s="47">
        <f>CHTR!$E$39</f>
        <v>13.852446132011279</v>
      </c>
      <c r="Q53" s="47">
        <f>CHTR!$F$39</f>
        <v>13.579872936220433</v>
      </c>
      <c r="R53" s="47">
        <f>CHTR!$G$39</f>
        <v>11.172978422530399</v>
      </c>
      <c r="S53" s="45">
        <f>CHTR!$H$39</f>
        <v>5.1955842122821005E-2</v>
      </c>
      <c r="T53" s="46"/>
      <c r="U53" s="48" t="str">
        <f>D53</f>
        <v>USD 271.5</v>
      </c>
      <c r="V53" s="44" t="str">
        <f>C53</f>
        <v>Charter</v>
      </c>
      <c r="Z53" s="46"/>
      <c r="AF53" s="31"/>
      <c r="AG53" s="31"/>
      <c r="AJ53" s="64"/>
      <c r="AK53" s="64"/>
      <c r="AN53" s="64"/>
      <c r="AO53" s="64"/>
      <c r="AR53" s="64"/>
      <c r="AS53" s="64"/>
      <c r="BC53" s="65"/>
      <c r="BD53" s="65"/>
      <c r="BE53" s="65"/>
      <c r="BG53" s="65"/>
      <c r="BH53" s="65"/>
      <c r="BI53" s="65"/>
      <c r="BK53" s="65"/>
      <c r="BL53" s="65"/>
      <c r="BM53" s="65"/>
      <c r="BO53" s="65"/>
      <c r="BP53" s="65"/>
      <c r="BQ53" s="65"/>
      <c r="BU53" s="39"/>
      <c r="BV53" s="39"/>
      <c r="BW53" s="39"/>
      <c r="BX53" s="39"/>
      <c r="BY53" s="39"/>
      <c r="BZ53" s="39"/>
      <c r="CA53" s="39"/>
      <c r="CB53" s="39"/>
      <c r="CC53" s="39"/>
      <c r="CD53" s="39"/>
      <c r="CE53" s="39"/>
      <c r="CF53" s="39"/>
      <c r="CG53" s="39"/>
      <c r="CH53" s="39"/>
      <c r="CI53" s="39"/>
      <c r="CJ53" s="39"/>
      <c r="CK53" s="39"/>
      <c r="CL53" s="39"/>
      <c r="CM53" s="39"/>
      <c r="CN53" s="39"/>
      <c r="CO53" s="39"/>
      <c r="CP53" s="39"/>
      <c r="CQ53" s="39"/>
      <c r="CR53" s="39"/>
      <c r="CS53" s="39"/>
      <c r="CT53" s="39"/>
      <c r="CU53" s="39"/>
      <c r="CV53" s="39"/>
      <c r="CW53" s="39"/>
      <c r="CX53" s="39"/>
      <c r="CY53" s="39"/>
      <c r="CZ53" s="39"/>
      <c r="DA53" s="39"/>
      <c r="DB53" s="39"/>
      <c r="DC53" s="39"/>
      <c r="DD53" s="39"/>
      <c r="DE53" s="39"/>
      <c r="DF53" s="39"/>
      <c r="DG53" s="39"/>
      <c r="DH53" s="39"/>
      <c r="DI53" s="39"/>
    </row>
    <row r="54" spans="1:113">
      <c r="A54" s="41"/>
      <c r="B54" s="42" t="s">
        <v>1417</v>
      </c>
      <c r="C54" s="48" t="s">
        <v>309</v>
      </c>
      <c r="D54" s="44" t="str">
        <f>B54&amp;TEXT(Prices!$C$46,"0.0")</f>
        <v>USD 38.5</v>
      </c>
      <c r="E54" s="44" t="str">
        <f>B54&amp;TEXT(Prices!$E$46,"0.0")</f>
        <v>USD 50.0</v>
      </c>
      <c r="F54" s="45">
        <f>Prices!$F$46</f>
        <v>0.29735339906590563</v>
      </c>
      <c r="G54" s="44" t="str">
        <f>Prices!$D$46</f>
        <v>Buy</v>
      </c>
      <c r="H54" s="46"/>
      <c r="I54" s="47">
        <f>CMCSA!$D$38</f>
        <v>5.3296115514260345</v>
      </c>
      <c r="J54" s="47">
        <f>CMCSA!$E$38</f>
        <v>4.9209425679638628</v>
      </c>
      <c r="K54" s="47">
        <f>CMCSA!$F$38</f>
        <v>4.5150000390069804</v>
      </c>
      <c r="L54" s="47">
        <f>CMCSA!$G$38</f>
        <v>4.0797668055162184</v>
      </c>
      <c r="M54" s="45">
        <f>CMCSA!$H$38</f>
        <v>3.851291219562536E-2</v>
      </c>
      <c r="N54" s="46"/>
      <c r="O54" s="47">
        <f>CMCSA!$D$39</f>
        <v>7.8986678599353244</v>
      </c>
      <c r="P54" s="47">
        <f>CMCSA!$E$39</f>
        <v>7.1317156976592866</v>
      </c>
      <c r="Q54" s="47">
        <f>CMCSA!$F$39</f>
        <v>6.2291952389314869</v>
      </c>
      <c r="R54" s="47">
        <f>CMCSA!$G$39</f>
        <v>5.3046257789813973</v>
      </c>
      <c r="S54" s="45">
        <f>CMCSA!$H$39</f>
        <v>8.4821278786819221E-2</v>
      </c>
      <c r="T54" s="46"/>
      <c r="U54" s="48" t="str">
        <f>D54</f>
        <v>USD 38.5</v>
      </c>
      <c r="V54" s="44" t="str">
        <f>C54</f>
        <v>Comcast</v>
      </c>
      <c r="Z54" s="46"/>
      <c r="AF54" s="31"/>
      <c r="AG54" s="31"/>
      <c r="AJ54" s="64"/>
      <c r="AK54" s="64"/>
      <c r="AN54" s="64"/>
      <c r="AO54" s="64"/>
      <c r="AR54" s="64"/>
      <c r="AS54" s="64"/>
      <c r="BC54" s="65"/>
      <c r="BD54" s="65"/>
      <c r="BE54" s="65"/>
      <c r="BG54" s="65"/>
      <c r="BH54" s="65"/>
      <c r="BI54" s="65"/>
      <c r="BK54" s="65"/>
      <c r="BL54" s="65"/>
      <c r="BM54" s="65"/>
      <c r="BO54" s="65"/>
      <c r="BP54" s="65"/>
      <c r="BQ54" s="65"/>
      <c r="BU54" s="39"/>
      <c r="BV54" s="39"/>
      <c r="BW54" s="39"/>
      <c r="BX54" s="39"/>
      <c r="BY54" s="39"/>
      <c r="BZ54" s="39"/>
      <c r="CA54" s="39"/>
      <c r="CB54" s="39"/>
      <c r="CC54" s="39"/>
      <c r="CD54" s="39"/>
      <c r="CE54" s="39"/>
      <c r="CF54" s="39"/>
      <c r="CG54" s="39"/>
      <c r="CH54" s="39"/>
      <c r="CI54" s="39"/>
      <c r="CJ54" s="39"/>
      <c r="CK54" s="39"/>
      <c r="CL54" s="39"/>
      <c r="CM54" s="39"/>
      <c r="CN54" s="39"/>
      <c r="CO54" s="39"/>
      <c r="CP54" s="39"/>
      <c r="CQ54" s="39"/>
      <c r="CR54" s="39"/>
      <c r="CS54" s="39"/>
      <c r="CT54" s="39"/>
      <c r="CU54" s="39"/>
      <c r="CV54" s="39"/>
      <c r="CW54" s="39"/>
      <c r="CX54" s="39"/>
      <c r="CY54" s="39"/>
      <c r="CZ54" s="39"/>
      <c r="DA54" s="39"/>
      <c r="DB54" s="39"/>
      <c r="DC54" s="39"/>
      <c r="DD54" s="39"/>
      <c r="DE54" s="39"/>
      <c r="DF54" s="39"/>
      <c r="DG54" s="39"/>
      <c r="DH54" s="39"/>
      <c r="DI54" s="39"/>
    </row>
    <row r="55" spans="1:113">
      <c r="A55" s="41"/>
      <c r="B55" s="42" t="s">
        <v>1417</v>
      </c>
      <c r="C55" s="48" t="s">
        <v>1615</v>
      </c>
      <c r="D55" s="44" t="str">
        <f>B55&amp;TEXT(Prices!C47,"0.0")</f>
        <v>USD 25.6</v>
      </c>
      <c r="E55" s="44" t="str">
        <f>B55&amp;TEXT(Prices!E47,"0.0")</f>
        <v>USD 54.0</v>
      </c>
      <c r="F55" s="45">
        <f>Prices!F47</f>
        <v>1.111024237685692</v>
      </c>
      <c r="G55" s="44" t="str">
        <f>Prices!D47</f>
        <v>Buy</v>
      </c>
      <c r="H55" s="46"/>
      <c r="I55" s="47">
        <f>FYBR!D$38</f>
        <v>8.0930130131164404</v>
      </c>
      <c r="J55" s="47">
        <f>FYBR!E$38</f>
        <v>30.670461749212997</v>
      </c>
      <c r="K55" s="47">
        <f>FYBR!F$38</f>
        <v>31.232347599981285</v>
      </c>
      <c r="L55" s="47">
        <f>FYBR!G$38</f>
        <v>31.208069139442802</v>
      </c>
      <c r="M55" s="45">
        <f>FYBR!$H$38</f>
        <v>-0.36156405961814375</v>
      </c>
      <c r="N55" s="46"/>
      <c r="O55" s="47">
        <f>FYBR!D$39</f>
        <v>-15.879924980533827</v>
      </c>
      <c r="P55" s="47">
        <f>FYBR!E$39</f>
        <v>-30.868339181201669</v>
      </c>
      <c r="Q55" s="47">
        <f>FYBR!F$39</f>
        <v>-42.738751388405518</v>
      </c>
      <c r="R55" s="47">
        <f>FYBR!G$39</f>
        <v>-261.53953081806617</v>
      </c>
      <c r="S55" s="45">
        <f>FYBR!H$39</f>
        <v>-0.60650436754529502</v>
      </c>
      <c r="T55" s="46"/>
      <c r="U55" s="48" t="str">
        <f>D55</f>
        <v>USD 25.6</v>
      </c>
      <c r="V55" s="44" t="str">
        <f>C55</f>
        <v>Frontier</v>
      </c>
      <c r="Z55" s="46"/>
      <c r="AF55" s="31"/>
      <c r="AG55" s="31"/>
      <c r="AJ55" s="64"/>
      <c r="AK55" s="64"/>
      <c r="AN55" s="64"/>
      <c r="AO55" s="64"/>
      <c r="AR55" s="64"/>
      <c r="AS55" s="64"/>
      <c r="AT55" s="69"/>
      <c r="AU55" s="69"/>
      <c r="AV55" s="69"/>
      <c r="AW55" s="69"/>
      <c r="BC55" s="65"/>
      <c r="BD55" s="65"/>
      <c r="BE55" s="65"/>
      <c r="BG55" s="65"/>
      <c r="BH55" s="65"/>
      <c r="BI55" s="65"/>
      <c r="BK55" s="65"/>
      <c r="BL55" s="65"/>
      <c r="BM55" s="65"/>
      <c r="BO55" s="65"/>
      <c r="BP55" s="65"/>
      <c r="BQ55" s="65"/>
    </row>
    <row r="56" spans="1:113">
      <c r="A56" s="41"/>
      <c r="B56" s="42" t="s">
        <v>1417</v>
      </c>
      <c r="C56" s="48" t="s">
        <v>1616</v>
      </c>
      <c r="D56" s="44" t="str">
        <f>B56&amp;TEXT(Prices!C48,"0.0")</f>
        <v>USD 18.5</v>
      </c>
      <c r="E56" s="44" t="str">
        <f>B56&amp;TEXT(Prices!E48,"0.0")</f>
        <v>USD 100.0</v>
      </c>
      <c r="F56" s="45">
        <f>Prices!F48</f>
        <v>4.408328826392645</v>
      </c>
      <c r="G56" s="44" t="str">
        <f>Prices!D48</f>
        <v>Buy</v>
      </c>
      <c r="H56" s="46"/>
      <c r="I56" s="47">
        <f>SATS!D$38</f>
        <v>15.948233897582243</v>
      </c>
      <c r="J56" s="47">
        <f>SATS!E$38</f>
        <v>11.543078847915114</v>
      </c>
      <c r="K56" s="47">
        <f>SATS!F$38</f>
        <v>8.9791498879308165</v>
      </c>
      <c r="L56" s="47">
        <f>SATS!G$38</f>
        <v>6.2916767568674183</v>
      </c>
      <c r="M56" s="45">
        <f>SATS!$H$38</f>
        <v>0.25442080694157521</v>
      </c>
      <c r="N56" s="46"/>
      <c r="O56" s="47">
        <f>SATS!D$39</f>
        <v>-19.403073276416681</v>
      </c>
      <c r="P56" s="47">
        <f>SATS!E$39</f>
        <v>23.120961429794367</v>
      </c>
      <c r="Q56" s="47">
        <f>SATS!F$39</f>
        <v>16.070661708383291</v>
      </c>
      <c r="R56" s="47">
        <f>SATS!G$39</f>
        <v>8.6256299507755188</v>
      </c>
      <c r="S56" s="45">
        <f>SATS!H$39</f>
        <v>-2.2054644798041032</v>
      </c>
      <c r="T56" s="46"/>
      <c r="U56" s="48" t="str">
        <f>D56</f>
        <v>USD 18.5</v>
      </c>
      <c r="V56" s="44" t="str">
        <f>C56</f>
        <v>EchoStar</v>
      </c>
      <c r="Z56" s="46"/>
      <c r="AF56" s="31"/>
      <c r="AG56" s="31"/>
      <c r="AJ56" s="64"/>
      <c r="AK56" s="64"/>
      <c r="AN56" s="64"/>
      <c r="AO56" s="64"/>
      <c r="AR56" s="64"/>
      <c r="AS56" s="64"/>
      <c r="AT56" s="69"/>
      <c r="AU56" s="69"/>
      <c r="AV56" s="69"/>
      <c r="AW56" s="69"/>
      <c r="BC56" s="65"/>
      <c r="BD56" s="65"/>
      <c r="BE56" s="65"/>
      <c r="BG56" s="65"/>
      <c r="BH56" s="65"/>
      <c r="BI56" s="65"/>
      <c r="BK56" s="65"/>
      <c r="BL56" s="65"/>
      <c r="BM56" s="65"/>
      <c r="BO56" s="65"/>
      <c r="BP56" s="65"/>
      <c r="BQ56" s="65"/>
    </row>
    <row r="57" spans="1:113">
      <c r="A57" s="41"/>
      <c r="C57" s="51" t="s">
        <v>1622</v>
      </c>
      <c r="D57" s="58"/>
      <c r="E57" s="58"/>
      <c r="F57" s="55"/>
      <c r="G57" s="58"/>
      <c r="H57" s="56"/>
      <c r="I57" s="54">
        <f>'US OTHER'!D38</f>
        <v>6.1453559700889135</v>
      </c>
      <c r="J57" s="54">
        <f>'US OTHER'!E38</f>
        <v>5.9078404422634829</v>
      </c>
      <c r="K57" s="54">
        <f>'US OTHER'!F38</f>
        <v>5.5795545521746677</v>
      </c>
      <c r="L57" s="54">
        <f>'US OTHER'!G38</f>
        <v>5.1297067144515101</v>
      </c>
      <c r="M57" s="55">
        <f>'US OTHER'!H38</f>
        <v>2.9926645487549974E-2</v>
      </c>
      <c r="N57" s="56"/>
      <c r="O57" s="66">
        <f>'US OTHER'!D39</f>
        <v>11.521165626993916</v>
      </c>
      <c r="P57" s="66">
        <f>'US OTHER'!E39</f>
        <v>10.122351497758206</v>
      </c>
      <c r="Q57" s="66">
        <f>'US OTHER'!F39</f>
        <v>9.1465239568917855</v>
      </c>
      <c r="R57" s="66">
        <f>'US OTHER'!G39</f>
        <v>7.6057283010476526</v>
      </c>
      <c r="S57" s="55">
        <f>'US OTHER'!H39</f>
        <v>0.11371310161076686</v>
      </c>
      <c r="T57" s="56"/>
      <c r="U57" s="51"/>
      <c r="V57" s="58" t="s">
        <v>264</v>
      </c>
      <c r="Z57" s="46"/>
      <c r="AE57" s="41"/>
      <c r="AF57" s="31"/>
      <c r="AG57" s="31"/>
      <c r="AI57" s="41"/>
      <c r="AJ57" s="64"/>
      <c r="AK57" s="64"/>
      <c r="AM57" s="41"/>
      <c r="AN57" s="64"/>
      <c r="AO57" s="64"/>
      <c r="AQ57" s="41"/>
      <c r="AR57" s="64"/>
      <c r="AS57" s="64"/>
      <c r="BC57" s="65"/>
      <c r="BD57" s="65"/>
      <c r="BE57" s="65"/>
      <c r="BG57" s="65"/>
      <c r="BH57" s="65"/>
      <c r="BI57" s="65"/>
      <c r="BK57" s="65"/>
      <c r="BL57" s="65"/>
      <c r="BM57" s="65"/>
      <c r="BO57" s="65"/>
      <c r="BP57" s="65"/>
      <c r="BQ57" s="65"/>
      <c r="BU57" s="39"/>
      <c r="BV57" s="39"/>
      <c r="BW57" s="39"/>
      <c r="BX57" s="39"/>
      <c r="BY57" s="39"/>
      <c r="BZ57" s="39"/>
      <c r="CA57" s="39"/>
      <c r="CB57" s="39"/>
      <c r="CC57" s="39"/>
      <c r="CD57" s="39"/>
      <c r="CE57" s="39"/>
      <c r="CF57" s="39"/>
      <c r="CG57" s="39"/>
      <c r="CH57" s="39"/>
      <c r="CI57" s="39"/>
      <c r="CJ57" s="39"/>
      <c r="CK57" s="39"/>
      <c r="CL57" s="39"/>
      <c r="CM57" s="39"/>
      <c r="CN57" s="39"/>
      <c r="CO57" s="39"/>
      <c r="CP57" s="39"/>
      <c r="CQ57" s="39"/>
      <c r="CR57" s="39"/>
      <c r="CS57" s="39"/>
      <c r="CT57" s="39"/>
      <c r="CU57" s="39"/>
      <c r="CV57" s="39"/>
      <c r="CW57" s="39"/>
      <c r="CX57" s="39"/>
      <c r="CY57" s="39"/>
      <c r="CZ57" s="39"/>
      <c r="DA57" s="39"/>
      <c r="DB57" s="39"/>
      <c r="DC57" s="39"/>
      <c r="DD57" s="39"/>
      <c r="DE57" s="39"/>
      <c r="DF57" s="39"/>
      <c r="DG57" s="39"/>
      <c r="DH57" s="39"/>
      <c r="DI57" s="39"/>
    </row>
    <row r="58" spans="1:113">
      <c r="A58" s="41"/>
      <c r="C58" s="48"/>
      <c r="D58" s="44"/>
      <c r="E58" s="44"/>
      <c r="F58" s="45"/>
      <c r="G58" s="44"/>
      <c r="H58" s="46"/>
      <c r="I58" s="47"/>
      <c r="J58" s="47"/>
      <c r="K58" s="47"/>
      <c r="L58" s="47"/>
      <c r="M58" s="45"/>
      <c r="N58" s="46"/>
      <c r="O58" s="47"/>
      <c r="P58" s="47"/>
      <c r="Q58" s="47"/>
      <c r="R58" s="47"/>
      <c r="S58" s="45"/>
      <c r="T58" s="46"/>
      <c r="U58" s="48"/>
      <c r="V58" s="44"/>
      <c r="Z58" s="46"/>
      <c r="AF58" s="31"/>
      <c r="AG58" s="31"/>
      <c r="AJ58" s="64"/>
      <c r="AK58" s="64"/>
      <c r="AN58" s="64"/>
      <c r="AO58" s="64"/>
      <c r="AR58" s="64"/>
      <c r="AS58" s="64"/>
      <c r="BC58" s="65"/>
      <c r="BD58" s="65"/>
      <c r="BE58" s="65"/>
      <c r="BG58" s="65"/>
      <c r="BH58" s="65"/>
      <c r="BI58" s="65"/>
      <c r="BK58" s="65"/>
      <c r="BL58" s="65"/>
      <c r="BM58" s="65"/>
      <c r="BO58" s="65"/>
      <c r="BP58" s="65"/>
      <c r="BQ58" s="65"/>
      <c r="BU58" s="39"/>
      <c r="BV58" s="39"/>
      <c r="BW58" s="39"/>
      <c r="BX58" s="39"/>
      <c r="BY58" s="39"/>
      <c r="BZ58" s="39"/>
      <c r="CA58" s="39"/>
      <c r="CB58" s="39"/>
      <c r="CC58" s="39"/>
      <c r="CD58" s="39"/>
      <c r="CE58" s="39"/>
      <c r="CF58" s="39"/>
      <c r="CG58" s="39"/>
      <c r="CH58" s="39"/>
      <c r="CI58" s="39"/>
      <c r="CJ58" s="39"/>
      <c r="CK58" s="39"/>
      <c r="CL58" s="39"/>
      <c r="CM58" s="39"/>
      <c r="CN58" s="39"/>
      <c r="CO58" s="39"/>
      <c r="CP58" s="39"/>
      <c r="CQ58" s="39"/>
      <c r="CR58" s="39"/>
      <c r="CS58" s="39"/>
      <c r="CT58" s="39"/>
      <c r="CU58" s="39"/>
      <c r="CV58" s="39"/>
      <c r="CW58" s="39"/>
      <c r="CX58" s="39"/>
      <c r="CY58" s="39"/>
      <c r="CZ58" s="39"/>
      <c r="DA58" s="39"/>
      <c r="DB58" s="39"/>
      <c r="DC58" s="39"/>
      <c r="DD58" s="39"/>
      <c r="DE58" s="39"/>
      <c r="DF58" s="39"/>
      <c r="DG58" s="39"/>
      <c r="DH58" s="39"/>
      <c r="DI58" s="39"/>
    </row>
    <row r="59" spans="1:113">
      <c r="C59" s="48"/>
      <c r="D59" s="44"/>
      <c r="E59" s="44"/>
      <c r="F59" s="45"/>
      <c r="G59" s="44"/>
      <c r="H59" s="46"/>
      <c r="I59" s="47"/>
      <c r="J59" s="47"/>
      <c r="K59" s="47"/>
      <c r="L59" s="47"/>
      <c r="M59" s="45"/>
      <c r="N59" s="46"/>
      <c r="O59" s="47"/>
      <c r="P59" s="47"/>
      <c r="Q59" s="47"/>
      <c r="R59" s="47"/>
      <c r="S59" s="45"/>
      <c r="T59" s="46"/>
      <c r="U59" s="48"/>
      <c r="V59" s="44"/>
      <c r="Z59" s="46"/>
      <c r="AF59" s="31"/>
      <c r="AG59" s="31"/>
      <c r="AJ59" s="64"/>
      <c r="AK59" s="64"/>
      <c r="AN59" s="64"/>
      <c r="AO59" s="64"/>
      <c r="AR59" s="64"/>
      <c r="AS59" s="64"/>
      <c r="AT59" s="69"/>
      <c r="BC59" s="65"/>
      <c r="BD59" s="65"/>
      <c r="BE59" s="65"/>
      <c r="BG59" s="65"/>
      <c r="BH59" s="65"/>
      <c r="BI59" s="65"/>
      <c r="BK59" s="65"/>
      <c r="BL59" s="65"/>
      <c r="BM59" s="65"/>
      <c r="BO59" s="65"/>
      <c r="BP59" s="65"/>
      <c r="BQ59" s="65"/>
    </row>
    <row r="60" spans="1:113">
      <c r="C60" s="51" t="s">
        <v>94</v>
      </c>
      <c r="D60" s="52"/>
      <c r="E60" s="52"/>
      <c r="F60" s="53"/>
      <c r="G60" s="52"/>
      <c r="H60" s="46"/>
      <c r="I60" s="54">
        <f>'W.EUR AGG'!$D$38</f>
        <v>6.7423533401627962</v>
      </c>
      <c r="J60" s="54">
        <f>'W.EUR AGG'!$E$38</f>
        <v>6.381833645343808</v>
      </c>
      <c r="K60" s="54">
        <f>'W.EUR AGG'!$F$38</f>
        <v>5.9793598801530976</v>
      </c>
      <c r="L60" s="54">
        <f>'W.EUR AGG'!$G$38</f>
        <v>5.5728417950152123</v>
      </c>
      <c r="M60" s="55">
        <f>'W.EUR AGG'!$H$38</f>
        <v>3.1375875113297758E-2</v>
      </c>
      <c r="N60" s="56"/>
      <c r="O60" s="54">
        <f>'W.EUR AGG'!$D$39</f>
        <v>14.475189004601814</v>
      </c>
      <c r="P60" s="54">
        <f>'W.EUR AGG'!$E$39</f>
        <v>12.795954244190899</v>
      </c>
      <c r="Q60" s="54">
        <f>'W.EUR AGG'!$F$39</f>
        <v>11.393425475807934</v>
      </c>
      <c r="R60" s="54">
        <f>'W.EUR AGG'!$G$39</f>
        <v>10.131812874918666</v>
      </c>
      <c r="S60" s="55">
        <f>'W.EUR AGG'!$H$39</f>
        <v>9.0145328741173314E-2</v>
      </c>
      <c r="T60" s="46"/>
      <c r="U60" s="57"/>
      <c r="V60" s="58" t="s">
        <v>94</v>
      </c>
      <c r="Z60" s="46"/>
      <c r="AE60" s="41"/>
      <c r="AF60" s="31"/>
      <c r="AG60" s="31"/>
      <c r="AI60" s="41"/>
      <c r="AJ60" s="64"/>
      <c r="AK60" s="64"/>
      <c r="AM60" s="41"/>
      <c r="AN60" s="64"/>
      <c r="AO60" s="64"/>
      <c r="AQ60" s="41"/>
      <c r="AR60" s="64"/>
      <c r="AS60" s="64"/>
      <c r="AT60" s="69"/>
      <c r="BC60" s="65"/>
      <c r="BD60" s="65"/>
      <c r="BE60" s="65"/>
      <c r="BG60" s="65"/>
      <c r="BH60" s="65"/>
      <c r="BI60" s="65"/>
      <c r="BK60" s="65"/>
      <c r="BL60" s="65"/>
      <c r="BM60" s="65"/>
      <c r="BO60" s="65"/>
      <c r="BP60" s="65"/>
      <c r="BQ60" s="65"/>
    </row>
    <row r="61" spans="1:113">
      <c r="A61" s="41"/>
      <c r="C61" s="41" t="s">
        <v>1621</v>
      </c>
      <c r="D61" s="44"/>
      <c r="E61" s="44"/>
      <c r="F61" s="45"/>
      <c r="G61" s="44"/>
      <c r="H61" s="46"/>
      <c r="I61" s="60">
        <f>'US AGG'!D$38</f>
        <v>7.2989976422133491</v>
      </c>
      <c r="J61" s="60">
        <f>'US AGG'!E$38</f>
        <v>6.8032133499778995</v>
      </c>
      <c r="K61" s="60">
        <f>'US AGG'!F$38</f>
        <v>6.2733644572138383</v>
      </c>
      <c r="L61" s="60">
        <f>'US AGG'!G$38</f>
        <v>5.7304748412655169</v>
      </c>
      <c r="M61" s="59">
        <f>'US AGG'!H$38</f>
        <v>3.0723349651247567E-2</v>
      </c>
      <c r="N61" s="56"/>
      <c r="O61" s="60">
        <f>'US AGG'!D$39</f>
        <v>12.885568730044607</v>
      </c>
      <c r="P61" s="60">
        <f>'US AGG'!E$39</f>
        <v>11.049329131783759</v>
      </c>
      <c r="Q61" s="60">
        <f>'US AGG'!F$39</f>
        <v>9.9033910949135837</v>
      </c>
      <c r="R61" s="60">
        <f>'US AGG'!G$39</f>
        <v>8.669612474604234</v>
      </c>
      <c r="S61" s="59">
        <f>'US AGG'!H$39</f>
        <v>8.5140265808479887E-2</v>
      </c>
      <c r="T61" s="46"/>
      <c r="U61" s="48"/>
      <c r="V61" s="50" t="str">
        <f>C61</f>
        <v>Agg. US</v>
      </c>
      <c r="Z61" s="46"/>
      <c r="AE61" s="41"/>
      <c r="AF61" s="31"/>
      <c r="AG61" s="31"/>
      <c r="AI61" s="41"/>
      <c r="AJ61" s="64"/>
      <c r="AK61" s="64"/>
      <c r="AM61" s="41"/>
      <c r="AN61" s="64"/>
      <c r="AO61" s="64"/>
      <c r="AQ61" s="41"/>
      <c r="AR61" s="64"/>
      <c r="AS61" s="64"/>
      <c r="AT61" s="69"/>
      <c r="BC61" s="65"/>
      <c r="BD61" s="65"/>
      <c r="BE61" s="65"/>
      <c r="BG61" s="65"/>
      <c r="BH61" s="65"/>
      <c r="BI61" s="65"/>
      <c r="BK61" s="65"/>
      <c r="BL61" s="65"/>
      <c r="BM61" s="65"/>
      <c r="BO61" s="65"/>
      <c r="BP61" s="65"/>
      <c r="BQ61" s="65"/>
    </row>
    <row r="62" spans="1:113">
      <c r="A62" s="41"/>
      <c r="C62" s="67" t="s">
        <v>808</v>
      </c>
      <c r="D62" s="52"/>
      <c r="E62" s="52"/>
      <c r="F62" s="53"/>
      <c r="G62" s="52"/>
      <c r="H62" s="46"/>
      <c r="I62" s="54">
        <f>'AGG DM ASIA'!$D$38</f>
        <v>7.0740430200328683</v>
      </c>
      <c r="J62" s="54">
        <f>'AGG DM ASIA'!$E$38</f>
        <v>6.2829400165667018</v>
      </c>
      <c r="K62" s="54">
        <f>'AGG DM ASIA'!$F$38</f>
        <v>5.678669083282502</v>
      </c>
      <c r="L62" s="54">
        <f>'AGG DM ASIA'!$G$38</f>
        <v>5.0724811298912051</v>
      </c>
      <c r="M62" s="55">
        <f>'AGG DM ASIA'!$H$38</f>
        <v>5.5522275281963074E-2</v>
      </c>
      <c r="N62" s="56"/>
      <c r="O62" s="54">
        <f>'AGG DM ASIA'!$D$39</f>
        <v>14.215633940624684</v>
      </c>
      <c r="P62" s="54">
        <f>'AGG DM ASIA'!$E$39</f>
        <v>10.736512034838739</v>
      </c>
      <c r="Q62" s="54">
        <f>'AGG DM ASIA'!$F$39</f>
        <v>9.4704273777143744</v>
      </c>
      <c r="R62" s="54">
        <f>'AGG DM ASIA'!$G$39</f>
        <v>8.3681838637601285</v>
      </c>
      <c r="S62" s="55">
        <f>'AGG DM ASIA'!$H$39</f>
        <v>0.12727529695194928</v>
      </c>
      <c r="T62" s="46"/>
      <c r="U62" s="57"/>
      <c r="V62" s="58" t="str">
        <f>C62</f>
        <v xml:space="preserve">Agg. Developed Asia </v>
      </c>
      <c r="Z62" s="46"/>
      <c r="AE62" s="41"/>
      <c r="AF62" s="31"/>
      <c r="AG62" s="31"/>
      <c r="AI62" s="41"/>
      <c r="AJ62" s="64"/>
      <c r="AK62" s="64"/>
      <c r="AM62" s="41"/>
      <c r="AN62" s="64"/>
      <c r="AO62" s="64"/>
      <c r="AQ62" s="41"/>
      <c r="AR62" s="64"/>
      <c r="AS62" s="64"/>
      <c r="AT62" s="69"/>
      <c r="BC62" s="65"/>
      <c r="BD62" s="65"/>
      <c r="BE62" s="65"/>
      <c r="BG62" s="65"/>
      <c r="BH62" s="65"/>
      <c r="BI62" s="65"/>
      <c r="BK62" s="65"/>
      <c r="BL62" s="65"/>
      <c r="BM62" s="65"/>
      <c r="BO62" s="65"/>
      <c r="BP62" s="65"/>
      <c r="BQ62" s="65"/>
    </row>
    <row r="63" spans="1:113">
      <c r="C63" s="41"/>
      <c r="D63" s="44"/>
      <c r="E63" s="44"/>
      <c r="F63" s="45"/>
      <c r="G63" s="44"/>
      <c r="H63" s="46"/>
      <c r="I63" s="60"/>
      <c r="J63" s="60"/>
      <c r="K63" s="60"/>
      <c r="L63" s="60"/>
      <c r="M63" s="59"/>
      <c r="N63" s="56"/>
      <c r="O63" s="60"/>
      <c r="P63" s="60"/>
      <c r="Q63" s="60"/>
      <c r="R63" s="60"/>
      <c r="S63" s="59"/>
      <c r="T63" s="46"/>
      <c r="U63" s="48"/>
      <c r="V63" s="50"/>
      <c r="W63" s="47"/>
      <c r="X63" s="47"/>
      <c r="Y63" s="138"/>
      <c r="Z63" s="46"/>
      <c r="AE63" s="41"/>
      <c r="AF63" s="31"/>
      <c r="AG63" s="31"/>
      <c r="AI63" s="41"/>
      <c r="AJ63" s="64"/>
      <c r="AK63" s="64"/>
      <c r="AM63" s="41"/>
      <c r="AN63" s="64"/>
      <c r="AO63" s="64"/>
      <c r="AQ63" s="41"/>
      <c r="AR63" s="64"/>
      <c r="AS63" s="64"/>
      <c r="AT63" s="69"/>
    </row>
    <row r="64" spans="1:113" s="5" customFormat="1">
      <c r="A64" s="146"/>
      <c r="B64" s="42"/>
      <c r="C64" s="67" t="s">
        <v>809</v>
      </c>
      <c r="D64" s="52"/>
      <c r="E64" s="52"/>
      <c r="F64" s="53"/>
      <c r="G64" s="52"/>
      <c r="H64" s="46"/>
      <c r="I64" s="54">
        <f>'AGG DM'!$D$38</f>
        <v>7.0841879802792365</v>
      </c>
      <c r="J64" s="54">
        <f>'AGG DM'!$E$38</f>
        <v>6.5876114702803505</v>
      </c>
      <c r="K64" s="54">
        <f>'AGG DM'!$F$38</f>
        <v>6.0864198915332164</v>
      </c>
      <c r="L64" s="54">
        <f>'AGG DM'!$G$38</f>
        <v>5.5767680131537691</v>
      </c>
      <c r="M64" s="55">
        <f>'AGG DM'!$H$38</f>
        <v>3.4656651554389573E-2</v>
      </c>
      <c r="N64" s="56"/>
      <c r="O64" s="54">
        <f>'AGG DM'!$D$39</f>
        <v>13.53328960256645</v>
      </c>
      <c r="P64" s="54">
        <f>'AGG DM'!$E$39</f>
        <v>11.493643628277713</v>
      </c>
      <c r="Q64" s="54">
        <f>'AGG DM'!$F$39</f>
        <v>10.264735122504899</v>
      </c>
      <c r="R64" s="54">
        <f>'AGG DM'!$G$39</f>
        <v>9.0451770938503948</v>
      </c>
      <c r="S64" s="55">
        <f>'AGG DM'!$H$39</f>
        <v>9.2670425427640479E-2</v>
      </c>
      <c r="T64" s="46"/>
      <c r="U64" s="57"/>
      <c r="V64" s="58" t="s">
        <v>810</v>
      </c>
      <c r="AB64" s="63"/>
      <c r="AE64" s="41"/>
      <c r="AF64" s="31"/>
      <c r="AG64" s="31"/>
      <c r="AI64" s="41"/>
      <c r="AJ64" s="64"/>
      <c r="AK64" s="64"/>
      <c r="AM64" s="41"/>
      <c r="AN64" s="64"/>
      <c r="AO64" s="64"/>
      <c r="AQ64" s="41"/>
      <c r="AR64" s="64"/>
      <c r="AS64" s="64"/>
      <c r="AT64" s="69"/>
    </row>
    <row r="65" spans="1:69" s="5" customFormat="1">
      <c r="A65" s="146"/>
      <c r="B65" s="42"/>
      <c r="C65" s="43"/>
      <c r="D65" s="44"/>
      <c r="E65" s="44"/>
      <c r="F65" s="45"/>
      <c r="G65" s="44"/>
      <c r="H65" s="38"/>
      <c r="I65" s="47"/>
      <c r="J65" s="47"/>
      <c r="K65" s="47"/>
      <c r="L65" s="47"/>
      <c r="M65" s="45"/>
      <c r="N65" s="38"/>
      <c r="O65" s="47"/>
      <c r="P65" s="47"/>
      <c r="Q65" s="47"/>
      <c r="R65" s="47"/>
      <c r="S65" s="45"/>
      <c r="T65" s="38"/>
      <c r="U65" s="48"/>
      <c r="V65" s="50"/>
      <c r="AE65" s="41"/>
      <c r="AF65" s="31"/>
      <c r="AG65" s="31"/>
      <c r="AI65" s="41"/>
      <c r="AJ65" s="139"/>
      <c r="AK65" s="139"/>
      <c r="AM65" s="41"/>
      <c r="AN65" s="139"/>
      <c r="AO65" s="139"/>
      <c r="AQ65" s="41"/>
      <c r="AR65" s="139"/>
      <c r="AS65" s="139"/>
      <c r="AT65" s="69"/>
    </row>
    <row r="66" spans="1:69" s="5" customFormat="1">
      <c r="A66" s="146"/>
      <c r="B66" s="42"/>
      <c r="C66" s="43"/>
      <c r="D66" s="44"/>
      <c r="E66" s="44"/>
      <c r="F66" s="45"/>
      <c r="G66" s="44"/>
      <c r="H66" s="38"/>
      <c r="I66" s="47"/>
      <c r="J66" s="47"/>
      <c r="K66" s="47"/>
      <c r="L66" s="47"/>
      <c r="M66" s="45"/>
      <c r="N66" s="38"/>
      <c r="O66" s="47"/>
      <c r="P66" s="47"/>
      <c r="Q66" s="47"/>
      <c r="R66" s="47"/>
      <c r="S66" s="45"/>
      <c r="T66" s="38"/>
      <c r="U66" s="48"/>
      <c r="V66" s="50"/>
      <c r="AE66" s="41"/>
      <c r="AF66" s="31"/>
      <c r="AG66" s="31"/>
      <c r="AI66" s="41"/>
      <c r="AJ66" s="139"/>
      <c r="AK66" s="139"/>
      <c r="AM66" s="41"/>
      <c r="AN66" s="139"/>
      <c r="AO66" s="139"/>
      <c r="AQ66" s="41"/>
      <c r="AR66" s="139"/>
      <c r="AS66" s="139"/>
      <c r="AT66" s="69"/>
    </row>
    <row r="67" spans="1:69" s="41" customFormat="1">
      <c r="B67" s="147"/>
      <c r="C67" s="164"/>
      <c r="D67" s="165" t="s">
        <v>464</v>
      </c>
      <c r="E67" s="165" t="s">
        <v>57</v>
      </c>
      <c r="F67" s="165" t="s">
        <v>59</v>
      </c>
      <c r="G67" s="165" t="s">
        <v>56</v>
      </c>
      <c r="H67" s="49"/>
      <c r="I67" s="166" t="s">
        <v>466</v>
      </c>
      <c r="J67" s="166"/>
      <c r="K67" s="166"/>
      <c r="L67" s="166"/>
      <c r="M67" s="166"/>
      <c r="O67" s="166" t="s">
        <v>467</v>
      </c>
      <c r="P67" s="166"/>
      <c r="Q67" s="166"/>
      <c r="R67" s="166"/>
      <c r="S67" s="166"/>
      <c r="T67" s="49"/>
      <c r="U67" s="167" t="s">
        <v>464</v>
      </c>
      <c r="V67" s="165"/>
      <c r="Z67" s="49"/>
      <c r="AC67" s="135"/>
      <c r="AD67" s="136"/>
      <c r="AE67" s="136"/>
      <c r="AF67" s="136"/>
      <c r="AG67" s="136"/>
      <c r="AH67" s="136"/>
      <c r="AI67" s="136"/>
      <c r="AJ67" s="136"/>
      <c r="AK67" s="136"/>
      <c r="AL67" s="136"/>
      <c r="AM67" s="136"/>
      <c r="AN67" s="136"/>
      <c r="AO67" s="136"/>
      <c r="AP67" s="136"/>
      <c r="AQ67" s="136"/>
      <c r="AR67" s="136"/>
      <c r="AS67" s="136"/>
      <c r="AT67" s="136"/>
      <c r="AU67" s="136"/>
      <c r="AV67" s="136"/>
      <c r="AW67" s="136"/>
      <c r="BC67" s="137"/>
      <c r="BD67" s="137"/>
      <c r="BE67" s="137"/>
      <c r="BG67" s="137"/>
      <c r="BH67" s="137"/>
      <c r="BI67" s="137"/>
      <c r="BK67" s="137"/>
      <c r="BL67" s="137"/>
      <c r="BM67" s="137"/>
      <c r="BO67" s="137"/>
      <c r="BP67" s="137"/>
      <c r="BQ67" s="137"/>
    </row>
    <row r="68" spans="1:69" s="5" customFormat="1">
      <c r="A68" s="41" t="s">
        <v>506</v>
      </c>
      <c r="B68" s="42"/>
      <c r="C68" s="48" t="s">
        <v>186</v>
      </c>
      <c r="D68" s="44" t="str">
        <f t="shared" ref="D68:G78" si="5">D8</f>
        <v>GBP1.27</v>
      </c>
      <c r="E68" s="44" t="str">
        <f t="shared" si="5"/>
        <v>GBP1.95</v>
      </c>
      <c r="F68" s="45">
        <f t="shared" si="5"/>
        <v>0.53422501966955149</v>
      </c>
      <c r="G68" s="44" t="str">
        <f t="shared" si="5"/>
        <v>Buy</v>
      </c>
      <c r="H68" s="46"/>
      <c r="I68" s="47">
        <f>BT!$D$40</f>
        <v>22.145901600629337</v>
      </c>
      <c r="J68" s="47">
        <f>BT!$E$40</f>
        <v>20.263296926555743</v>
      </c>
      <c r="K68" s="47">
        <f>BT!$F$40</f>
        <v>18.762956079998659</v>
      </c>
      <c r="L68" s="47">
        <f>BT!$G$40</f>
        <v>17.113310074320307</v>
      </c>
      <c r="M68" s="45">
        <f>BT!$H$40</f>
        <v>6.6619467064831239E-2</v>
      </c>
      <c r="N68" s="46"/>
      <c r="O68" s="47">
        <f>BT!$D$44</f>
        <v>7.3444595420857404</v>
      </c>
      <c r="P68" s="47">
        <f>BT!$E$44</f>
        <v>7.3051338310278862</v>
      </c>
      <c r="Q68" s="47">
        <f>BT!$F$44</f>
        <v>7.9466144736676929</v>
      </c>
      <c r="R68" s="47">
        <f>BT!$G$44</f>
        <v>8.0522390867586306</v>
      </c>
      <c r="S68" s="45">
        <f>BT!$H$44</f>
        <v>-3.3208667918366963E-2</v>
      </c>
      <c r="T68" s="46"/>
      <c r="U68" s="48" t="str">
        <f t="shared" ref="U68:V72" si="6">U8</f>
        <v>GBP1.27</v>
      </c>
      <c r="V68" s="69" t="str">
        <f t="shared" si="6"/>
        <v>British Telecom</v>
      </c>
      <c r="AE68" s="41"/>
      <c r="AF68" s="31"/>
      <c r="AG68" s="31"/>
      <c r="AI68" s="41"/>
      <c r="AJ68" s="64"/>
      <c r="AK68" s="64"/>
      <c r="AM68" s="41"/>
      <c r="AN68" s="64"/>
      <c r="AO68" s="64"/>
      <c r="AQ68" s="41"/>
      <c r="AR68" s="64"/>
      <c r="AS68" s="64"/>
      <c r="AT68" s="69"/>
      <c r="AU68" s="69"/>
      <c r="AV68" s="69"/>
      <c r="AW68" s="69"/>
    </row>
    <row r="69" spans="1:69" s="5" customFormat="1">
      <c r="A69" s="41"/>
      <c r="B69" s="42"/>
      <c r="C69" s="48" t="s">
        <v>187</v>
      </c>
      <c r="D69" s="44" t="str">
        <f t="shared" si="5"/>
        <v>EUR 21.76</v>
      </c>
      <c r="E69" s="44" t="str">
        <f t="shared" si="5"/>
        <v>EUR 32.00</v>
      </c>
      <c r="F69" s="45">
        <f t="shared" si="5"/>
        <v>0.47058823529411753</v>
      </c>
      <c r="G69" s="44" t="str">
        <f t="shared" si="5"/>
        <v>Buy</v>
      </c>
      <c r="H69" s="46"/>
      <c r="I69" s="47">
        <f>DT!$D$40</f>
        <v>18.569688309004395</v>
      </c>
      <c r="J69" s="47">
        <f>DT!$E$40</f>
        <v>15.33604590182714</v>
      </c>
      <c r="K69" s="47">
        <f>DT!$F$40</f>
        <v>13.647585850729168</v>
      </c>
      <c r="L69" s="47">
        <f>DT!$G$40</f>
        <v>12.261529804686045</v>
      </c>
      <c r="M69" s="45">
        <f>DT!$H$40</f>
        <v>0.11940128874654476</v>
      </c>
      <c r="N69" s="46"/>
      <c r="O69" s="47">
        <f>DT!$D$44</f>
        <v>14.52843584166926</v>
      </c>
      <c r="P69" s="47">
        <f>DT!$E$44</f>
        <v>12.293797610185068</v>
      </c>
      <c r="Q69" s="47">
        <f>DT!$F$44</f>
        <v>10.917475423760653</v>
      </c>
      <c r="R69" s="47">
        <f>DT!$G$44</f>
        <v>10.021845261627556</v>
      </c>
      <c r="S69" s="45">
        <f>DT!$H$44</f>
        <v>0.12415032715482788</v>
      </c>
      <c r="T69" s="46"/>
      <c r="U69" s="48" t="str">
        <f t="shared" si="6"/>
        <v>EUR 21.76</v>
      </c>
      <c r="V69" s="69" t="str">
        <f t="shared" si="6"/>
        <v>Deutsche Telekom</v>
      </c>
      <c r="AE69" s="41"/>
      <c r="AF69" s="31"/>
      <c r="AG69" s="31"/>
      <c r="AI69" s="41"/>
      <c r="AJ69" s="64"/>
      <c r="AK69" s="64"/>
      <c r="AM69" s="41"/>
      <c r="AN69" s="64"/>
      <c r="AO69" s="64"/>
      <c r="AQ69" s="41"/>
      <c r="AR69" s="64"/>
      <c r="AS69" s="64"/>
      <c r="AT69" s="69"/>
      <c r="AU69" s="69"/>
      <c r="AV69" s="69"/>
      <c r="AW69" s="69"/>
    </row>
    <row r="70" spans="1:69" s="5" customFormat="1">
      <c r="A70" s="41"/>
      <c r="B70" s="42"/>
      <c r="C70" s="48" t="s">
        <v>458</v>
      </c>
      <c r="D70" s="44" t="str">
        <f t="shared" si="5"/>
        <v>EUR 3.44</v>
      </c>
      <c r="E70" s="44" t="str">
        <f t="shared" si="5"/>
        <v>EUR 3.70</v>
      </c>
      <c r="F70" s="45">
        <f t="shared" si="5"/>
        <v>7.4332171893147558E-2</v>
      </c>
      <c r="G70" s="44" t="str">
        <f t="shared" si="5"/>
        <v>Neutral</v>
      </c>
      <c r="H70" s="46"/>
      <c r="I70" s="47">
        <f>KPN!$D$40</f>
        <v>22.428274377019708</v>
      </c>
      <c r="J70" s="47">
        <f>KPN!$E$40</f>
        <v>20.478507540712503</v>
      </c>
      <c r="K70" s="47">
        <f>KPN!$F$40</f>
        <v>19.275967391981819</v>
      </c>
      <c r="L70" s="47">
        <f>KPN!$G$40</f>
        <v>17.80975815109618</v>
      </c>
      <c r="M70" s="45">
        <f>KPN!$H$40</f>
        <v>4.8370580142172326E-2</v>
      </c>
      <c r="N70" s="46"/>
      <c r="O70" s="47">
        <f>KPN!$D$44</f>
        <v>25.736753474558103</v>
      </c>
      <c r="P70" s="47">
        <f>KPN!$E$44</f>
        <v>23.069256936960763</v>
      </c>
      <c r="Q70" s="47">
        <f>KPN!$F$44</f>
        <v>20.953210845462937</v>
      </c>
      <c r="R70" s="47">
        <f>KPN!$G$44</f>
        <v>19.337815525437382</v>
      </c>
      <c r="S70" s="45">
        <f>KPN!$H$44</f>
        <v>8.5696193391466613E-2</v>
      </c>
      <c r="T70" s="46"/>
      <c r="U70" s="48" t="str">
        <f t="shared" si="6"/>
        <v>EUR 3.44</v>
      </c>
      <c r="V70" s="69" t="str">
        <f t="shared" si="6"/>
        <v>KPN</v>
      </c>
      <c r="AE70" s="41"/>
      <c r="AF70" s="31"/>
      <c r="AG70" s="31"/>
      <c r="AI70" s="41"/>
      <c r="AJ70" s="64"/>
      <c r="AK70" s="64"/>
      <c r="AM70" s="41"/>
      <c r="AN70" s="64"/>
      <c r="AO70" s="64"/>
      <c r="AQ70" s="41"/>
      <c r="AR70" s="64"/>
      <c r="AS70" s="64"/>
      <c r="AT70" s="69"/>
      <c r="AU70" s="69"/>
      <c r="AV70" s="69"/>
      <c r="AW70" s="69"/>
    </row>
    <row r="71" spans="1:69" s="5" customFormat="1">
      <c r="A71" s="41"/>
      <c r="B71" s="42"/>
      <c r="C71" s="48" t="s">
        <v>728</v>
      </c>
      <c r="D71" s="44" t="str">
        <f t="shared" si="5"/>
        <v>EUR 10.68</v>
      </c>
      <c r="E71" s="44" t="str">
        <f t="shared" si="5"/>
        <v>EUR 14.00</v>
      </c>
      <c r="F71" s="45">
        <f t="shared" si="5"/>
        <v>0.31147540983606548</v>
      </c>
      <c r="G71" s="44" t="str">
        <f t="shared" si="5"/>
        <v>Buy</v>
      </c>
      <c r="H71" s="46"/>
      <c r="I71" s="47">
        <f>ORA!$D$40</f>
        <v>16.724595569733424</v>
      </c>
      <c r="J71" s="47">
        <f>ORA!$E$40</f>
        <v>15.706311191503969</v>
      </c>
      <c r="K71" s="47">
        <f>ORA!$F$40</f>
        <v>13.912958482626681</v>
      </c>
      <c r="L71" s="47">
        <f>ORA!$G$40</f>
        <v>12.60879154587122</v>
      </c>
      <c r="M71" s="45">
        <f>ORA!$H$40</f>
        <v>5.1150243179170607E-2</v>
      </c>
      <c r="N71" s="46"/>
      <c r="O71" s="47">
        <f>ORA!$D$44</f>
        <v>7.8977192708354105</v>
      </c>
      <c r="P71" s="47">
        <f>ORA!$E$44</f>
        <v>8.6272091838926599</v>
      </c>
      <c r="Q71" s="47">
        <f>ORA!$F$44</f>
        <v>7.8180762360801488</v>
      </c>
      <c r="R71" s="47">
        <f>ORA!$G$44</f>
        <v>7.4068090422707291</v>
      </c>
      <c r="S71" s="45">
        <f>ORA!$H$44</f>
        <v>2.1621870204498128E-2</v>
      </c>
      <c r="T71" s="46"/>
      <c r="U71" s="48" t="str">
        <f t="shared" si="6"/>
        <v>EUR 10.68</v>
      </c>
      <c r="V71" s="69" t="str">
        <f t="shared" si="6"/>
        <v>Orange</v>
      </c>
      <c r="AE71" s="41"/>
      <c r="AF71" s="31"/>
      <c r="AG71" s="31"/>
      <c r="AI71" s="41"/>
      <c r="AJ71" s="64"/>
      <c r="AK71" s="64"/>
      <c r="AM71" s="41"/>
      <c r="AN71" s="64"/>
      <c r="AO71" s="64"/>
      <c r="AQ71" s="41"/>
      <c r="AR71" s="64"/>
      <c r="AS71" s="64"/>
      <c r="AT71" s="69"/>
    </row>
    <row r="72" spans="1:69" s="5" customFormat="1">
      <c r="A72" s="41"/>
      <c r="B72" s="42"/>
      <c r="C72" s="48" t="s">
        <v>459</v>
      </c>
      <c r="D72" s="44" t="str">
        <f t="shared" si="5"/>
        <v>EUR 13.75</v>
      </c>
      <c r="E72" s="44" t="str">
        <f t="shared" si="5"/>
        <v>EUR 22.00</v>
      </c>
      <c r="F72" s="45">
        <f t="shared" si="5"/>
        <v>0.60000000000000009</v>
      </c>
      <c r="G72" s="44" t="str">
        <f t="shared" si="5"/>
        <v>Neutral</v>
      </c>
      <c r="H72" s="46"/>
      <c r="I72" s="47">
        <f>OTE!$D$40</f>
        <v>13.379495861591952</v>
      </c>
      <c r="J72" s="47">
        <f>OTE!$E$40</f>
        <v>12.183345849625999</v>
      </c>
      <c r="K72" s="47">
        <f>OTE!$F$40</f>
        <v>11.116291608460777</v>
      </c>
      <c r="L72" s="47">
        <f>OTE!$G$40</f>
        <v>10.333404551592588</v>
      </c>
      <c r="M72" s="45">
        <f>OTE!$H$40</f>
        <v>1.7913183263023269E-2</v>
      </c>
      <c r="N72" s="46"/>
      <c r="O72" s="47">
        <f>OTE!$D$44</f>
        <v>12.991668548109844</v>
      </c>
      <c r="P72" s="47">
        <f>OTE!$E$44</f>
        <v>11.314040221467367</v>
      </c>
      <c r="Q72" s="47">
        <f>OTE!$F$44</f>
        <v>10.475328525252582</v>
      </c>
      <c r="R72" s="47">
        <f>OTE!$G$44</f>
        <v>9.9647285896277431</v>
      </c>
      <c r="S72" s="45">
        <f>OTE!$H$44</f>
        <v>5.7844269195432174E-2</v>
      </c>
      <c r="T72" s="46"/>
      <c r="U72" s="48" t="str">
        <f t="shared" si="6"/>
        <v>EUR 13.75</v>
      </c>
      <c r="V72" s="69" t="str">
        <f t="shared" si="6"/>
        <v>OTE</v>
      </c>
      <c r="AE72" s="41"/>
      <c r="AF72" s="31"/>
      <c r="AG72" s="31"/>
      <c r="AI72" s="41"/>
      <c r="AJ72" s="64"/>
      <c r="AK72" s="64"/>
      <c r="AM72" s="41"/>
      <c r="AN72" s="64"/>
      <c r="AO72" s="64"/>
      <c r="AQ72" s="41"/>
      <c r="AR72" s="64"/>
      <c r="AS72" s="64"/>
      <c r="AT72" s="69"/>
    </row>
    <row r="73" spans="1:69" s="5" customFormat="1">
      <c r="A73" s="41"/>
      <c r="B73" s="42"/>
      <c r="C73" s="48" t="s">
        <v>817</v>
      </c>
      <c r="D73" s="44" t="str">
        <f t="shared" si="5"/>
        <v>EUR 7.4</v>
      </c>
      <c r="E73" s="44" t="str">
        <f t="shared" si="5"/>
        <v>EUR 10.0</v>
      </c>
      <c r="F73" s="45">
        <f t="shared" si="5"/>
        <v>0.35135135135135132</v>
      </c>
      <c r="G73" s="44" t="str">
        <f t="shared" si="5"/>
        <v>Neutral</v>
      </c>
      <c r="H73" s="46"/>
      <c r="I73" s="47">
        <f>PROX!$D$40</f>
        <v>17.907110758421432</v>
      </c>
      <c r="J73" s="47">
        <f>PROX!$E$40</f>
        <v>12.909491437639323</v>
      </c>
      <c r="K73" s="47">
        <f>PROX!$F$40</f>
        <v>9.9750461729929096</v>
      </c>
      <c r="L73" s="47">
        <f>PROX!$G$40</f>
        <v>9.2482836931968091</v>
      </c>
      <c r="M73" s="45">
        <f>PROX!$H$40</f>
        <v>0.18627104672998485</v>
      </c>
      <c r="N73" s="46"/>
      <c r="O73" s="47">
        <f>PROX!$D$44</f>
        <v>5.0575018114598826</v>
      </c>
      <c r="P73" s="47">
        <f>PROX!$E$44</f>
        <v>11.915674978347942</v>
      </c>
      <c r="Q73" s="47">
        <f>PROX!$F$44</f>
        <v>29.69068678571341</v>
      </c>
      <c r="R73" s="47">
        <f>PROX!$G$44</f>
        <v>132.70228800842253</v>
      </c>
      <c r="S73" s="45">
        <f>PROX!$H$44</f>
        <v>-0.66347354391637248</v>
      </c>
      <c r="T73" s="46"/>
      <c r="U73" s="48" t="str">
        <f t="shared" ref="U73:U78" si="7">U13</f>
        <v>EUR 7.4</v>
      </c>
      <c r="V73" s="69" t="s">
        <v>817</v>
      </c>
      <c r="AE73" s="41"/>
      <c r="AF73" s="31"/>
      <c r="AG73" s="31"/>
      <c r="AI73" s="41"/>
      <c r="AJ73" s="64"/>
      <c r="AK73" s="64"/>
      <c r="AM73" s="41"/>
      <c r="AN73" s="64"/>
      <c r="AO73" s="64"/>
      <c r="AQ73" s="41"/>
      <c r="AR73" s="64"/>
      <c r="AS73" s="64"/>
      <c r="AT73" s="69"/>
    </row>
    <row r="74" spans="1:69">
      <c r="C74" s="48" t="s">
        <v>463</v>
      </c>
      <c r="D74" s="44" t="str">
        <f t="shared" si="5"/>
        <v>CHF492</v>
      </c>
      <c r="E74" s="44" t="str">
        <f t="shared" si="5"/>
        <v>CHF620</v>
      </c>
      <c r="F74" s="45">
        <f t="shared" si="5"/>
        <v>0.26016260162601634</v>
      </c>
      <c r="G74" s="44" t="str">
        <f t="shared" si="5"/>
        <v>Neutral</v>
      </c>
      <c r="H74" s="46"/>
      <c r="I74" s="47">
        <f>SWISS!$D$40</f>
        <v>21.04256328427822</v>
      </c>
      <c r="J74" s="47">
        <f>SWISS!$E$40</f>
        <v>20.868692053172168</v>
      </c>
      <c r="K74" s="47">
        <f>SWISS!$F$40</f>
        <v>20.116464470200658</v>
      </c>
      <c r="L74" s="47">
        <f>SWISS!$G$40</f>
        <v>19.354333567527188</v>
      </c>
      <c r="M74" s="45">
        <f>SWISS!$H$40</f>
        <v>-1.7401648753235577E-2</v>
      </c>
      <c r="N74" s="46"/>
      <c r="O74" s="47">
        <f>SWISS!$D$44</f>
        <v>14.703590163105247</v>
      </c>
      <c r="P74" s="47">
        <f>SWISS!$E$44</f>
        <v>15.093565553827572</v>
      </c>
      <c r="Q74" s="47">
        <f>SWISS!$F$44</f>
        <v>15.28766942728028</v>
      </c>
      <c r="R74" s="47">
        <f>SWISS!$G$44</f>
        <v>15.395121258439834</v>
      </c>
      <c r="S74" s="45">
        <f>SWISS!$H$44</f>
        <v>-1.5202906056266619E-2</v>
      </c>
      <c r="T74" s="46"/>
      <c r="U74" s="48" t="str">
        <f t="shared" si="7"/>
        <v>CHF492</v>
      </c>
      <c r="V74" s="69" t="str">
        <f t="shared" ref="V74:V79" si="8">V14</f>
        <v>Swisscom</v>
      </c>
    </row>
    <row r="75" spans="1:69" s="5" customFormat="1">
      <c r="A75" s="41"/>
      <c r="B75" s="42"/>
      <c r="C75" s="48" t="s">
        <v>270</v>
      </c>
      <c r="D75" s="44" t="str">
        <f t="shared" si="5"/>
        <v>EUR 0.25</v>
      </c>
      <c r="E75" s="44" t="str">
        <f t="shared" si="5"/>
        <v>EUR 0.35</v>
      </c>
      <c r="F75" s="45">
        <f t="shared" si="5"/>
        <v>0.42103126268777902</v>
      </c>
      <c r="G75" s="44" t="str">
        <f t="shared" si="5"/>
        <v>Buy</v>
      </c>
      <c r="H75" s="46"/>
      <c r="I75" s="47">
        <f>TI!$D$40</f>
        <v>33.906847994681904</v>
      </c>
      <c r="J75" s="47">
        <f>TI!$E$40</f>
        <v>28.441881834994355</v>
      </c>
      <c r="K75" s="47">
        <f>TI!$F$40</f>
        <v>24.029811324382536</v>
      </c>
      <c r="L75" s="47">
        <f>TI!$G$40</f>
        <v>18.940731311836931</v>
      </c>
      <c r="M75" s="45">
        <f>TI!$H$40</f>
        <v>0.20639556446519536</v>
      </c>
      <c r="N75" s="46"/>
      <c r="O75" s="47">
        <f>TI!$D$44</f>
        <v>-15.402968660303101</v>
      </c>
      <c r="P75" s="47">
        <f>TI!$E$44</f>
        <v>-85.166939209795359</v>
      </c>
      <c r="Q75" s="47">
        <f>TI!$F$44</f>
        <v>53.06066678523085</v>
      </c>
      <c r="R75" s="47">
        <f>TI!$G$44</f>
        <v>26.857861592161871</v>
      </c>
      <c r="S75" s="45">
        <f>TI!$H$44</f>
        <v>-1.8308277622288056</v>
      </c>
      <c r="T75" s="46"/>
      <c r="U75" s="48" t="str">
        <f t="shared" si="7"/>
        <v>EUR 0.25</v>
      </c>
      <c r="V75" s="69" t="str">
        <f t="shared" si="8"/>
        <v>Telecom Italia</v>
      </c>
      <c r="AE75" s="41"/>
      <c r="AF75" s="31"/>
      <c r="AG75" s="31"/>
      <c r="AI75" s="41"/>
      <c r="AJ75" s="64"/>
      <c r="AK75" s="64"/>
      <c r="AM75" s="41"/>
      <c r="AN75" s="64"/>
      <c r="AO75" s="64"/>
      <c r="AQ75" s="41"/>
      <c r="AR75" s="64"/>
      <c r="AS75" s="64"/>
      <c r="AT75" s="69"/>
      <c r="AU75" s="69"/>
      <c r="AV75" s="69"/>
      <c r="AW75" s="69"/>
    </row>
    <row r="76" spans="1:69" s="5" customFormat="1">
      <c r="A76" s="41"/>
      <c r="B76" s="42"/>
      <c r="C76" s="48" t="s">
        <v>461</v>
      </c>
      <c r="D76" s="44" t="str">
        <f t="shared" si="5"/>
        <v>EUR 4.16</v>
      </c>
      <c r="E76" s="44" t="str">
        <f t="shared" si="5"/>
        <v>EUR 4.80</v>
      </c>
      <c r="F76" s="45">
        <f t="shared" si="5"/>
        <v>0.15523465703971118</v>
      </c>
      <c r="G76" s="44" t="str">
        <f t="shared" si="5"/>
        <v>Buy</v>
      </c>
      <c r="H76" s="46"/>
      <c r="I76" s="47">
        <f>TEF!$D$40</f>
        <v>17.091273778290091</v>
      </c>
      <c r="J76" s="47">
        <f>TEF!$E$40</f>
        <v>16.126230731771599</v>
      </c>
      <c r="K76" s="47">
        <f>TEF!$F$40</f>
        <v>14.844805565909359</v>
      </c>
      <c r="L76" s="47">
        <f>TEF!$G$40</f>
        <v>13.429930035979638</v>
      </c>
      <c r="M76" s="45">
        <f>TEF!$H$40</f>
        <v>5.7381851694691566E-2</v>
      </c>
      <c r="N76" s="46"/>
      <c r="O76" s="47">
        <f>TEF!$D$44</f>
        <v>13.763369383833624</v>
      </c>
      <c r="P76" s="47">
        <f>TEF!$E$44</f>
        <v>10.478844351206819</v>
      </c>
      <c r="Q76" s="47">
        <f>TEF!$F$44</f>
        <v>9.5858708130093344</v>
      </c>
      <c r="R76" s="47">
        <f>TEF!$G$44</f>
        <v>8.3094443678207455</v>
      </c>
      <c r="S76" s="45">
        <f>TEF!$H$44</f>
        <v>0.18318029189514395</v>
      </c>
      <c r="T76" s="46"/>
      <c r="U76" s="48" t="str">
        <f t="shared" si="7"/>
        <v>EUR 4.16</v>
      </c>
      <c r="V76" s="69" t="str">
        <f t="shared" si="8"/>
        <v>Telefonica</v>
      </c>
      <c r="AE76" s="41"/>
      <c r="AF76" s="31"/>
      <c r="AG76" s="31"/>
      <c r="AI76" s="41"/>
      <c r="AJ76" s="64"/>
      <c r="AK76" s="64"/>
      <c r="AM76" s="41"/>
      <c r="AN76" s="64"/>
      <c r="AO76" s="64"/>
      <c r="AQ76" s="41"/>
      <c r="AR76" s="64"/>
      <c r="AS76" s="64"/>
      <c r="AT76" s="69"/>
    </row>
    <row r="77" spans="1:69" s="5" customFormat="1">
      <c r="A77" s="41"/>
      <c r="B77" s="42"/>
      <c r="C77" s="48" t="s">
        <v>462</v>
      </c>
      <c r="D77" s="44" t="str">
        <f t="shared" si="5"/>
        <v>NOK 124</v>
      </c>
      <c r="E77" s="44" t="str">
        <f t="shared" si="5"/>
        <v>NOK 136</v>
      </c>
      <c r="F77" s="45">
        <f t="shared" si="5"/>
        <v>9.9434114793855999E-2</v>
      </c>
      <c r="G77" s="44" t="str">
        <f t="shared" si="5"/>
        <v>Buy</v>
      </c>
      <c r="H77" s="46"/>
      <c r="I77" s="47">
        <f>TNOR!$D$40</f>
        <v>14.259786257283572</v>
      </c>
      <c r="J77" s="47">
        <f>TNOR!$E$40</f>
        <v>12.376601793685646</v>
      </c>
      <c r="K77" s="47">
        <f>TNOR!$F$40</f>
        <v>11.631536772404424</v>
      </c>
      <c r="L77" s="47">
        <f>TNOR!$G$40</f>
        <v>10.629064692969177</v>
      </c>
      <c r="M77" s="45">
        <f>TNOR!$H$40</f>
        <v>3.2394727823750857E-2</v>
      </c>
      <c r="N77" s="46"/>
      <c r="O77" s="47">
        <f>TNOR!$D$44</f>
        <v>21.319051338070093</v>
      </c>
      <c r="P77" s="47">
        <f>TNOR!$E$44</f>
        <v>20.619396475217993</v>
      </c>
      <c r="Q77" s="47">
        <f>TNOR!$F$44</f>
        <v>19.525767552729299</v>
      </c>
      <c r="R77" s="47">
        <f>TNOR!$G$44</f>
        <v>16.350334395790025</v>
      </c>
      <c r="S77" s="45">
        <f>TNOR!$H$44</f>
        <v>8.9330609907736003E-2</v>
      </c>
      <c r="T77" s="46"/>
      <c r="U77" s="48" t="str">
        <f t="shared" si="7"/>
        <v>NOK 124</v>
      </c>
      <c r="V77" s="44" t="str">
        <f t="shared" si="8"/>
        <v>Telenor</v>
      </c>
      <c r="AE77" s="41"/>
      <c r="AF77" s="31"/>
      <c r="AG77" s="31"/>
      <c r="AI77" s="41"/>
      <c r="AJ77" s="64"/>
      <c r="AK77" s="64"/>
      <c r="AM77" s="41"/>
      <c r="AN77" s="64"/>
      <c r="AO77" s="64"/>
      <c r="AQ77" s="41"/>
      <c r="AR77" s="64"/>
      <c r="AS77" s="64"/>
      <c r="AU77" s="69"/>
      <c r="AV77" s="69"/>
      <c r="AW77" s="69"/>
    </row>
    <row r="78" spans="1:69">
      <c r="A78" s="41"/>
      <c r="C78" s="48" t="s">
        <v>1039</v>
      </c>
      <c r="D78" s="44" t="str">
        <f t="shared" si="5"/>
        <v>SEK26.4</v>
      </c>
      <c r="E78" s="44" t="str">
        <f t="shared" si="5"/>
        <v>SEK36.0</v>
      </c>
      <c r="F78" s="45">
        <f t="shared" si="5"/>
        <v>0.36415308829101933</v>
      </c>
      <c r="G78" s="44" t="str">
        <f t="shared" si="5"/>
        <v>Buy</v>
      </c>
      <c r="H78" s="46"/>
      <c r="I78" s="47">
        <f>TELIA!$D$40</f>
        <v>21.271378934245014</v>
      </c>
      <c r="J78" s="47">
        <f>TELIA!$E$40</f>
        <v>16.868882048566778</v>
      </c>
      <c r="K78" s="47">
        <f>TELIA!$F$40</f>
        <v>15.579021917686722</v>
      </c>
      <c r="L78" s="47">
        <f>TELIA!$G$40</f>
        <v>14.553938486879165</v>
      </c>
      <c r="M78" s="45">
        <f>TELIA!$H$40</f>
        <v>7.3471791547286225E-2</v>
      </c>
      <c r="N78" s="46"/>
      <c r="O78" s="47">
        <f>TELIA!$D$44</f>
        <v>59.936668765193865</v>
      </c>
      <c r="P78" s="47">
        <f>TELIA!$E$44</f>
        <v>33.120861523901674</v>
      </c>
      <c r="Q78" s="47">
        <f>TELIA!$F$44</f>
        <v>25.063471107175264</v>
      </c>
      <c r="R78" s="47">
        <f>TELIA!$G$44</f>
        <v>18.673014296476769</v>
      </c>
      <c r="S78" s="45">
        <f>TELIA!$H$44</f>
        <v>0.47511560468193936</v>
      </c>
      <c r="T78" s="46"/>
      <c r="U78" s="48" t="str">
        <f t="shared" si="7"/>
        <v>SEK26.4</v>
      </c>
      <c r="V78" s="44" t="str">
        <f t="shared" si="8"/>
        <v>TeliaSonera</v>
      </c>
      <c r="AB78" s="5"/>
      <c r="AE78" s="41"/>
      <c r="AF78" s="31"/>
      <c r="AG78" s="31"/>
      <c r="AI78" s="41"/>
      <c r="AJ78" s="64"/>
      <c r="AK78" s="64"/>
      <c r="AM78" s="41"/>
      <c r="AN78" s="64"/>
      <c r="AO78" s="64"/>
      <c r="AQ78" s="41"/>
      <c r="AR78" s="64"/>
      <c r="AS78" s="64"/>
      <c r="AT78" s="69"/>
      <c r="AU78" s="69"/>
      <c r="AV78" s="69"/>
      <c r="AW78" s="69"/>
    </row>
    <row r="79" spans="1:69" s="5" customFormat="1">
      <c r="A79" s="41"/>
      <c r="B79" s="42"/>
      <c r="C79" s="51" t="str">
        <f>C19</f>
        <v>Agg. W.Europe Incumbent</v>
      </c>
      <c r="D79" s="52"/>
      <c r="E79" s="52"/>
      <c r="F79" s="53"/>
      <c r="G79" s="52"/>
      <c r="H79" s="46"/>
      <c r="I79" s="54">
        <f>'W.EUR INCUMB'!$D$40</f>
        <v>18.773170831659439</v>
      </c>
      <c r="J79" s="54">
        <f>'W.EUR INCUMB'!$E$40</f>
        <v>16.316100899802951</v>
      </c>
      <c r="K79" s="54">
        <f>'W.EUR INCUMB'!$F$40</f>
        <v>14.678691432593167</v>
      </c>
      <c r="L79" s="54">
        <f>'W.EUR INCUMB'!$G$40</f>
        <v>13.250660214807615</v>
      </c>
      <c r="M79" s="55">
        <f>'W.EUR INCUMB'!$H$40</f>
        <v>8.9255902689365119E-2</v>
      </c>
      <c r="N79" s="56"/>
      <c r="O79" s="54">
        <f>'W.EUR INCUMB'!$D$44</f>
        <v>13.849445280082518</v>
      </c>
      <c r="P79" s="54">
        <f>'W.EUR INCUMB'!$E$44</f>
        <v>12.437286696089576</v>
      </c>
      <c r="Q79" s="54">
        <f>'W.EUR INCUMB'!$F$44</f>
        <v>11.380437598490861</v>
      </c>
      <c r="R79" s="54">
        <f>'W.EUR INCUMB'!$G$44</f>
        <v>10.478743141097034</v>
      </c>
      <c r="S79" s="55">
        <f>'W.EUR INCUMB'!$H$44</f>
        <v>9.2323853476973694E-2</v>
      </c>
      <c r="T79" s="46"/>
      <c r="U79" s="57"/>
      <c r="V79" s="58" t="str">
        <f t="shared" si="8"/>
        <v>Agg. W.Europe Incumbent</v>
      </c>
      <c r="AB79" s="63"/>
      <c r="AE79" s="41"/>
      <c r="AF79" s="31"/>
      <c r="AG79" s="31"/>
      <c r="AI79" s="41"/>
      <c r="AJ79" s="64"/>
      <c r="AK79" s="64"/>
      <c r="AM79" s="41"/>
      <c r="AN79" s="64"/>
      <c r="AO79" s="64"/>
      <c r="AQ79" s="41"/>
      <c r="AR79" s="64"/>
      <c r="AS79" s="64"/>
      <c r="AT79" s="69"/>
    </row>
    <row r="80" spans="1:69" s="5" customFormat="1">
      <c r="A80" s="41"/>
      <c r="B80" s="42"/>
      <c r="C80" s="48"/>
      <c r="D80" s="44"/>
      <c r="E80" s="44"/>
      <c r="F80" s="45"/>
      <c r="G80" s="44"/>
      <c r="H80" s="46"/>
      <c r="I80" s="47"/>
      <c r="J80" s="47"/>
      <c r="K80" s="47"/>
      <c r="L80" s="47"/>
      <c r="M80" s="45"/>
      <c r="N80" s="46"/>
      <c r="O80" s="47"/>
      <c r="P80" s="47"/>
      <c r="Q80" s="47"/>
      <c r="R80" s="47"/>
      <c r="S80" s="45"/>
      <c r="T80" s="46"/>
      <c r="U80" s="48"/>
      <c r="V80" s="44"/>
      <c r="AE80" s="41"/>
      <c r="AF80" s="31"/>
      <c r="AG80" s="31"/>
      <c r="AI80" s="41"/>
      <c r="AJ80" s="64"/>
      <c r="AK80" s="64"/>
      <c r="AM80" s="41"/>
      <c r="AN80" s="64"/>
      <c r="AO80" s="64"/>
      <c r="AQ80" s="41"/>
      <c r="AR80" s="64"/>
      <c r="AS80" s="64"/>
    </row>
    <row r="81" spans="1:113" s="5" customFormat="1">
      <c r="A81" s="41"/>
      <c r="B81" s="42" t="s">
        <v>519</v>
      </c>
      <c r="C81" s="48" t="s">
        <v>491</v>
      </c>
      <c r="D81" s="44" t="str">
        <f>B81&amp;TEXT(Prices!$C$40,"0.0")</f>
        <v>US$17.5</v>
      </c>
      <c r="E81" s="44" t="str">
        <f>B81&amp;TEXT(Prices!$E$40,"0.00")</f>
        <v>US$21.00</v>
      </c>
      <c r="F81" s="45">
        <f>Prices!$F$40</f>
        <v>0.19999999999999996</v>
      </c>
      <c r="G81" s="44" t="str">
        <f>Prices!$D$40</f>
        <v>Neutral</v>
      </c>
      <c r="H81" s="46"/>
      <c r="I81" s="47">
        <f>ATT!$D$40</f>
        <v>17.498114681703921</v>
      </c>
      <c r="J81" s="47">
        <f>ATT!$E$40</f>
        <v>15.126369902658643</v>
      </c>
      <c r="K81" s="47">
        <f>ATT!$F$40</f>
        <v>13.678621468554521</v>
      </c>
      <c r="L81" s="47">
        <f>ATT!$G$40</f>
        <v>11.994412576266377</v>
      </c>
      <c r="M81" s="45">
        <f>ATT!$H$40</f>
        <v>5.0412347837009097E-2</v>
      </c>
      <c r="N81" s="46"/>
      <c r="O81" s="47">
        <f>ATT!D$44</f>
        <v>7.2383886179639552</v>
      </c>
      <c r="P81" s="47">
        <f>ATT!$E$44</f>
        <v>7.78198597912177</v>
      </c>
      <c r="Q81" s="47">
        <f>ATT!$F$44</f>
        <v>7.7808201565404804</v>
      </c>
      <c r="R81" s="47">
        <f>ATT!$G$44</f>
        <v>7.4691258823413982</v>
      </c>
      <c r="S81" s="45">
        <f>ATT!$H$44</f>
        <v>-1.0198763626019569E-2</v>
      </c>
      <c r="T81" s="46"/>
      <c r="U81" s="48" t="str">
        <f>U21</f>
        <v>USD17.5</v>
      </c>
      <c r="V81" s="44" t="str">
        <f>V21</f>
        <v>AT&amp;T</v>
      </c>
      <c r="AE81" s="41"/>
      <c r="AF81" s="31"/>
      <c r="AG81" s="31"/>
      <c r="AI81" s="41"/>
      <c r="AJ81" s="64"/>
      <c r="AK81" s="64"/>
      <c r="AM81" s="41"/>
      <c r="AN81" s="64"/>
      <c r="AO81" s="64"/>
      <c r="AQ81" s="41"/>
      <c r="AR81" s="64"/>
      <c r="AS81" s="64"/>
    </row>
    <row r="82" spans="1:113">
      <c r="B82" s="42" t="s">
        <v>519</v>
      </c>
      <c r="C82" s="48" t="s">
        <v>693</v>
      </c>
      <c r="D82" s="44" t="str">
        <f>B82&amp;TEXT(Prices!$C$41,"0.0")</f>
        <v>US$166.0</v>
      </c>
      <c r="E82" s="44" t="str">
        <f>B82&amp;TEXT(Prices!$E$41,"0.0")</f>
        <v>US$205.0</v>
      </c>
      <c r="F82" s="45">
        <f>Prices!$F$41</f>
        <v>0.23493975903614461</v>
      </c>
      <c r="G82" s="44" t="str">
        <f>Prices!$D$41</f>
        <v>Buy</v>
      </c>
      <c r="H82" s="46"/>
      <c r="I82" s="47">
        <f>TMUS!$D$40</f>
        <v>20.020708194391283</v>
      </c>
      <c r="J82" s="47">
        <f>TMUS!$E$40</f>
        <v>15.751511697860639</v>
      </c>
      <c r="K82" s="47">
        <f>TMUS!$F$40</f>
        <v>13.499044883815587</v>
      </c>
      <c r="L82" s="47">
        <f>TMUS!$G$40</f>
        <v>11.79042114457399</v>
      </c>
      <c r="M82" s="45">
        <f>TMUS!$H$40</f>
        <v>0.12836745054202159</v>
      </c>
      <c r="N82" s="46"/>
      <c r="O82" s="47">
        <f>TMUS!$D$44</f>
        <v>23.948662392809911</v>
      </c>
      <c r="P82" s="47">
        <f>TMUS!$E$44</f>
        <v>18.582284054983305</v>
      </c>
      <c r="Q82" s="47">
        <f>TMUS!$F$44</f>
        <v>14.106063640436673</v>
      </c>
      <c r="R82" s="47">
        <f>TMUS!$G$44</f>
        <v>11.264122118506018</v>
      </c>
      <c r="S82" s="45">
        <f>TMUS!$H$44</f>
        <v>0.17473430729807138</v>
      </c>
      <c r="T82" s="46"/>
      <c r="U82" s="48" t="str">
        <f>U22</f>
        <v>USD166.0</v>
      </c>
      <c r="V82" s="44" t="str">
        <f>V22</f>
        <v>TMUS</v>
      </c>
      <c r="AB82" s="5"/>
      <c r="AE82" s="41"/>
      <c r="AF82" s="31"/>
      <c r="AG82" s="31"/>
      <c r="AI82" s="41"/>
      <c r="AJ82" s="64"/>
      <c r="AK82" s="64"/>
      <c r="AM82" s="41"/>
      <c r="AN82" s="64"/>
      <c r="AO82" s="64"/>
      <c r="AQ82" s="41"/>
      <c r="AR82" s="64"/>
      <c r="AS82" s="64"/>
    </row>
    <row r="83" spans="1:113" s="5" customFormat="1">
      <c r="A83" s="41"/>
      <c r="B83" s="42" t="s">
        <v>519</v>
      </c>
      <c r="C83" s="48" t="s">
        <v>33</v>
      </c>
      <c r="D83" s="44" t="str">
        <f>B83&amp;TEXT(Prices!$C$39,"0.0")</f>
        <v>US$39.7</v>
      </c>
      <c r="E83" s="44" t="str">
        <f>B83&amp;TEXT(Prices!$E$39,"0.00")</f>
        <v>US$45.00</v>
      </c>
      <c r="F83" s="45">
        <f>Prices!$F$39</f>
        <v>0.13236034222445903</v>
      </c>
      <c r="G83" s="44" t="str">
        <f>Prices!$D$39</f>
        <v>Neutral</v>
      </c>
      <c r="H83" s="46"/>
      <c r="I83" s="47">
        <f>VZN!$D$40</f>
        <v>16.70203308744922</v>
      </c>
      <c r="J83" s="47">
        <f>VZN!$E$40</f>
        <v>15.775448198428389</v>
      </c>
      <c r="K83" s="47">
        <f>VZN!$F$40</f>
        <v>14.132593194152008</v>
      </c>
      <c r="L83" s="47">
        <f>VZN!$G$40</f>
        <v>12.652276950338731</v>
      </c>
      <c r="M83" s="45">
        <f>VZN!$H$40</f>
        <v>2.4717906870642015E-2</v>
      </c>
      <c r="N83" s="46"/>
      <c r="O83" s="47">
        <f>VZN!$D$44</f>
        <v>9.971129510537077</v>
      </c>
      <c r="P83" s="47">
        <f>VZN!$E$44</f>
        <v>10.229526946516295</v>
      </c>
      <c r="Q83" s="47">
        <f>VZN!$F$44</f>
        <v>9.8461474094155754</v>
      </c>
      <c r="R83" s="47">
        <f>VZN!$G$44</f>
        <v>9.5391868394186456</v>
      </c>
      <c r="S83" s="45">
        <f>VZN!$H$44</f>
        <v>1.4911511178814063E-2</v>
      </c>
      <c r="T83" s="46"/>
      <c r="U83" s="48" t="str">
        <f>U23</f>
        <v>USD39.7</v>
      </c>
      <c r="V83" s="44" t="s">
        <v>33</v>
      </c>
      <c r="AB83" s="63"/>
      <c r="AE83" s="41"/>
      <c r="AF83" s="31"/>
      <c r="AG83" s="31"/>
      <c r="AI83" s="41"/>
      <c r="AJ83" s="64"/>
      <c r="AK83" s="64"/>
      <c r="AM83" s="41"/>
      <c r="AN83" s="64"/>
      <c r="AO83" s="64"/>
      <c r="AQ83" s="41"/>
      <c r="AR83" s="64"/>
      <c r="AS83" s="64"/>
    </row>
    <row r="84" spans="1:113" s="5" customFormat="1">
      <c r="A84" s="41"/>
      <c r="B84" s="42"/>
      <c r="C84" s="51" t="s">
        <v>262</v>
      </c>
      <c r="D84" s="52"/>
      <c r="E84" s="52"/>
      <c r="F84" s="53"/>
      <c r="G84" s="52"/>
      <c r="H84" s="46"/>
      <c r="I84" s="54">
        <f>'US TELCO'!$D$40</f>
        <v>17.910316859783464</v>
      </c>
      <c r="J84" s="54">
        <f>'US TELCO'!$E$40</f>
        <v>15.566299432140243</v>
      </c>
      <c r="K84" s="54">
        <f>'US TELCO'!$F$40</f>
        <v>13.78175372330595</v>
      </c>
      <c r="L84" s="54">
        <f>'US TELCO'!$G$40</f>
        <v>12.15772695095534</v>
      </c>
      <c r="M84" s="55">
        <f>'US TELCO'!$H$40</f>
        <v>6.4487323949837583E-2</v>
      </c>
      <c r="N84" s="46"/>
      <c r="O84" s="54">
        <f>'US TELCO'!$D$44</f>
        <v>11.558228079590609</v>
      </c>
      <c r="P84" s="54">
        <f>'US TELCO'!$E$44</f>
        <v>11.252240008169979</v>
      </c>
      <c r="Q84" s="54">
        <f>'US TELCO'!$F$44</f>
        <v>10.240241297777224</v>
      </c>
      <c r="R84" s="54">
        <f>'US TELCO'!$G$44</f>
        <v>9.3292815694175619</v>
      </c>
      <c r="S84" s="55">
        <f>'US TELCO'!$H$44</f>
        <v>3.9965241834319487E-2</v>
      </c>
      <c r="T84" s="46"/>
      <c r="U84" s="57"/>
      <c r="V84" s="58" t="str">
        <f>V24</f>
        <v>Agg. US Telecoms</v>
      </c>
      <c r="AE84" s="41"/>
      <c r="AF84" s="31"/>
      <c r="AG84" s="31"/>
      <c r="AJ84" s="64"/>
      <c r="AK84" s="64"/>
      <c r="AM84" s="41"/>
      <c r="AN84" s="64"/>
      <c r="AO84" s="64"/>
      <c r="AQ84" s="41"/>
      <c r="AR84" s="64"/>
      <c r="AS84" s="64"/>
    </row>
    <row r="85" spans="1:113" s="5" customFormat="1">
      <c r="A85" s="41"/>
      <c r="B85" s="42"/>
      <c r="C85" s="48"/>
      <c r="D85" s="44"/>
      <c r="E85" s="44"/>
      <c r="F85" s="45"/>
      <c r="G85" s="44"/>
      <c r="H85" s="46"/>
      <c r="I85" s="47"/>
      <c r="J85" s="47"/>
      <c r="K85" s="47"/>
      <c r="L85" s="47"/>
      <c r="M85" s="45"/>
      <c r="N85" s="46"/>
      <c r="O85" s="47"/>
      <c r="P85" s="47"/>
      <c r="Q85" s="47"/>
      <c r="R85" s="47"/>
      <c r="S85" s="45"/>
      <c r="T85" s="46"/>
      <c r="U85" s="48"/>
      <c r="V85" s="44"/>
      <c r="AE85" s="41"/>
      <c r="AF85" s="31"/>
      <c r="AG85" s="31"/>
      <c r="AI85" s="41"/>
      <c r="AJ85" s="64"/>
      <c r="AK85" s="64"/>
      <c r="AM85" s="41"/>
      <c r="AN85" s="64"/>
      <c r="AO85" s="64"/>
      <c r="AQ85" s="41"/>
      <c r="AR85" s="64"/>
      <c r="AS85" s="64"/>
    </row>
    <row r="86" spans="1:113" s="5" customFormat="1">
      <c r="A86" s="41"/>
      <c r="B86" s="42"/>
      <c r="C86" s="48" t="str">
        <f>C26</f>
        <v>NTT</v>
      </c>
      <c r="D86" s="44" t="str">
        <f>D26</f>
        <v>JPY 153</v>
      </c>
      <c r="E86" s="44" t="str">
        <f>E26</f>
        <v>JPY 240</v>
      </c>
      <c r="F86" s="45">
        <f>F26</f>
        <v>0.57273918741808649</v>
      </c>
      <c r="G86" s="44" t="str">
        <f>G26</f>
        <v>Buy</v>
      </c>
      <c r="H86" s="46"/>
      <c r="I86" s="47">
        <f>NTT!$D$40</f>
        <v>23.027078313304518</v>
      </c>
      <c r="J86" s="47">
        <f>NTT!$E$40</f>
        <v>15.305635411638288</v>
      </c>
      <c r="K86" s="47">
        <f>NTT!$F$40</f>
        <v>13.405646246378321</v>
      </c>
      <c r="L86" s="47">
        <f>NTT!$G$40</f>
        <v>11.89571745444424</v>
      </c>
      <c r="M86" s="45">
        <f>NTT!$H$40</f>
        <v>0.19764543491512754</v>
      </c>
      <c r="N86" s="46"/>
      <c r="O86" s="47">
        <f>NTT!$D$44</f>
        <v>10.027230506867614</v>
      </c>
      <c r="P86" s="47">
        <f>NTT!$E$44</f>
        <v>9.3650913582151869</v>
      </c>
      <c r="Q86" s="47">
        <f>NTT!$F$44</f>
        <v>8.6617392838480267</v>
      </c>
      <c r="R86" s="47">
        <f>NTT!$G$44</f>
        <v>8.0729143982770371</v>
      </c>
      <c r="S86" s="45">
        <f>NTT!$H$44</f>
        <v>5.4961283607790845E-2</v>
      </c>
      <c r="T86" s="46"/>
      <c r="U86" s="48" t="str">
        <f>U26</f>
        <v>JPY 153</v>
      </c>
      <c r="V86" s="44" t="str">
        <f>V26</f>
        <v>NTT</v>
      </c>
      <c r="W86" s="43"/>
      <c r="X86" s="44"/>
      <c r="Y86" s="44"/>
      <c r="Z86" s="68"/>
      <c r="AF86" s="31"/>
      <c r="AG86" s="31"/>
      <c r="AJ86" s="64"/>
      <c r="AK86" s="64"/>
      <c r="AN86" s="64"/>
      <c r="AO86" s="64"/>
      <c r="AR86" s="64"/>
      <c r="AS86" s="64"/>
    </row>
    <row r="87" spans="1:113" s="5" customFormat="1">
      <c r="A87" s="41"/>
      <c r="B87" s="42"/>
      <c r="C87" s="48" t="s">
        <v>892</v>
      </c>
      <c r="D87" s="44" t="str">
        <f t="shared" ref="D87:G89" si="9">D27</f>
        <v>NZD 4.19</v>
      </c>
      <c r="E87" s="44" t="str">
        <f t="shared" si="9"/>
        <v>NZD 5.00</v>
      </c>
      <c r="F87" s="45">
        <f t="shared" si="9"/>
        <v>0.19331742243436745</v>
      </c>
      <c r="G87" s="44" t="str">
        <f t="shared" si="9"/>
        <v>Neutral</v>
      </c>
      <c r="H87" s="46"/>
      <c r="I87" s="47">
        <f>SPK!$D$40</f>
        <v>13.911280659579168</v>
      </c>
      <c r="J87" s="47">
        <f>SPK!$E$40</f>
        <v>12.845013670739773</v>
      </c>
      <c r="K87" s="47">
        <f>SPK!$F$40</f>
        <v>11.910089513637077</v>
      </c>
      <c r="L87" s="47">
        <f>SPK!$G$40</f>
        <v>10.422731474538807</v>
      </c>
      <c r="M87" s="45">
        <f>SPK!$H$40</f>
        <v>1.5048879877651355E-2</v>
      </c>
      <c r="N87" s="46"/>
      <c r="O87" s="47">
        <f>SPK!$D$44</f>
        <v>17.120598756120248</v>
      </c>
      <c r="P87" s="47">
        <f>SPK!$E$44</f>
        <v>16.413937845434162</v>
      </c>
      <c r="Q87" s="47">
        <f>SPK!$F$44</f>
        <v>15.913979508131806</v>
      </c>
      <c r="R87" s="47">
        <f>SPK!$G$44</f>
        <v>14.888572808914603</v>
      </c>
      <c r="S87" s="45">
        <f>SPK!$H$44</f>
        <v>4.9395199877763529E-2</v>
      </c>
      <c r="T87" s="46"/>
      <c r="U87" s="48" t="str">
        <f>U27</f>
        <v>NZD 4.19</v>
      </c>
      <c r="V87" s="44" t="str">
        <f>V27</f>
        <v>Spark NZ</v>
      </c>
      <c r="W87" s="43"/>
      <c r="X87" s="44"/>
      <c r="Y87" s="44"/>
      <c r="Z87" s="68"/>
      <c r="AE87" s="41"/>
      <c r="AF87" s="31"/>
      <c r="AG87" s="31"/>
      <c r="AI87" s="41"/>
      <c r="AJ87" s="64"/>
      <c r="AK87" s="64"/>
      <c r="AN87" s="64"/>
      <c r="AO87" s="64"/>
      <c r="AR87" s="64"/>
      <c r="AS87" s="64"/>
    </row>
    <row r="88" spans="1:113" s="5" customFormat="1">
      <c r="A88" s="41"/>
      <c r="B88" s="42"/>
      <c r="C88" s="48" t="str">
        <f>C28</f>
        <v>SingTel (prop.)</v>
      </c>
      <c r="D88" s="44" t="str">
        <f t="shared" si="9"/>
        <v>SGD 2.42</v>
      </c>
      <c r="E88" s="44" t="str">
        <f t="shared" si="9"/>
        <v>SGD 4.40</v>
      </c>
      <c r="F88" s="45">
        <f t="shared" si="9"/>
        <v>0.81818181818181834</v>
      </c>
      <c r="G88" s="44" t="str">
        <f t="shared" si="9"/>
        <v>Buy</v>
      </c>
      <c r="H88" s="46"/>
      <c r="I88" s="47">
        <f>PROPORTIONATES!$G$69</f>
        <v>12.6815932836782</v>
      </c>
      <c r="J88" s="47">
        <f>PROPORTIONATES!$H$69</f>
        <v>10.118068845590448</v>
      </c>
      <c r="K88" s="47">
        <f>PROPORTIONATES!$I$69</f>
        <v>8.2408995220001255</v>
      </c>
      <c r="L88" s="47">
        <f>PROPORTIONATES!$J$69</f>
        <v>6.3785947508744893</v>
      </c>
      <c r="M88" s="45">
        <f>SINGTEL!$H$40</f>
        <v>0.15394431312538903</v>
      </c>
      <c r="N88" s="46"/>
      <c r="O88" s="47">
        <f>SINGTEL!$D$44</f>
        <v>12.702248610640547</v>
      </c>
      <c r="P88" s="47">
        <f>SINGTEL!$E$44</f>
        <v>13.521180014064079</v>
      </c>
      <c r="Q88" s="47">
        <f>SINGTEL!$F$44</f>
        <v>10.997722078864848</v>
      </c>
      <c r="R88" s="47">
        <f>SINGTEL!$G$44</f>
        <v>9.8236538985676223</v>
      </c>
      <c r="S88" s="45">
        <f>SINGTEL!$H$44</f>
        <v>8.9437997211970099E-2</v>
      </c>
      <c r="T88" s="46"/>
      <c r="U88" s="48" t="str">
        <f>U28</f>
        <v>SGD 2.42</v>
      </c>
      <c r="V88" s="44" t="s">
        <v>215</v>
      </c>
      <c r="W88" s="43"/>
      <c r="X88" s="44"/>
      <c r="Y88" s="44"/>
      <c r="Z88" s="68"/>
      <c r="AE88" s="41"/>
      <c r="AF88" s="31"/>
      <c r="AG88" s="31"/>
      <c r="AI88" s="41"/>
      <c r="AJ88" s="64"/>
      <c r="AK88" s="64"/>
      <c r="AM88" s="41"/>
      <c r="AN88" s="64"/>
      <c r="AO88" s="64"/>
      <c r="AQ88" s="41"/>
      <c r="AR88" s="64"/>
      <c r="AS88" s="64"/>
    </row>
    <row r="89" spans="1:113" s="5" customFormat="1">
      <c r="A89" s="41"/>
      <c r="B89" s="42"/>
      <c r="C89" s="48" t="str">
        <f>C29</f>
        <v xml:space="preserve">Telstra </v>
      </c>
      <c r="D89" s="44" t="str">
        <f t="shared" si="9"/>
        <v>AUD 3.45</v>
      </c>
      <c r="E89" s="44" t="str">
        <f t="shared" si="9"/>
        <v>AUD 3.50</v>
      </c>
      <c r="F89" s="45">
        <f t="shared" si="9"/>
        <v>1.4492753623188248E-2</v>
      </c>
      <c r="G89" s="44" t="str">
        <f t="shared" si="9"/>
        <v>Buy</v>
      </c>
      <c r="H89" s="46"/>
      <c r="I89" s="47">
        <f>TLS!$D$40</f>
        <v>11.090858013209411</v>
      </c>
      <c r="J89" s="47">
        <f>TLS!$E$40</f>
        <v>9.5313836909667984</v>
      </c>
      <c r="K89" s="47">
        <f>TLS!$F$40</f>
        <v>9.7523829071936596</v>
      </c>
      <c r="L89" s="47">
        <f>TLS!$G$40</f>
        <v>8.956604638455671</v>
      </c>
      <c r="M89" s="45">
        <f>TLS!$H$40</f>
        <v>-8.8902592586865836E-3</v>
      </c>
      <c r="N89" s="46"/>
      <c r="O89" s="47">
        <f>TLS!$D$44</f>
        <v>13.595826260566731</v>
      </c>
      <c r="P89" s="47">
        <f>TLS!$E$44</f>
        <v>12.750298410848355</v>
      </c>
      <c r="Q89" s="47">
        <f>TLS!$F$44</f>
        <v>14.583887876228529</v>
      </c>
      <c r="R89" s="47">
        <f>TLS!$G$44</f>
        <v>14.331118227500406</v>
      </c>
      <c r="S89" s="45">
        <f>TLS!$H$44</f>
        <v>-1.7403583875296058E-2</v>
      </c>
      <c r="T89" s="46"/>
      <c r="U89" s="48" t="str">
        <f>U29</f>
        <v>AUD 3.45</v>
      </c>
      <c r="V89" s="44" t="str">
        <f>V29</f>
        <v>Telstra</v>
      </c>
      <c r="W89" s="43"/>
      <c r="X89" s="44"/>
      <c r="Y89" s="44"/>
      <c r="Z89" s="68"/>
      <c r="AE89" s="41"/>
      <c r="AF89" s="31"/>
      <c r="AG89" s="31"/>
      <c r="AI89" s="41"/>
      <c r="AJ89" s="64"/>
      <c r="AK89" s="64"/>
      <c r="AM89" s="41"/>
      <c r="AN89" s="64"/>
      <c r="AO89" s="64"/>
      <c r="AQ89" s="41"/>
      <c r="AR89" s="64"/>
      <c r="AS89" s="64"/>
    </row>
    <row r="90" spans="1:113" s="5" customFormat="1">
      <c r="A90" s="41"/>
      <c r="B90" s="42"/>
      <c r="C90" s="51" t="str">
        <f>C30</f>
        <v>Agg. Developed Asia Incumbent</v>
      </c>
      <c r="D90" s="58"/>
      <c r="E90" s="58"/>
      <c r="F90" s="55"/>
      <c r="G90" s="58"/>
      <c r="H90" s="56"/>
      <c r="I90" s="54">
        <f>'DM ASIA INCUMB'!D40</f>
        <v>20.379969364235318</v>
      </c>
      <c r="J90" s="54">
        <f>'DM ASIA INCUMB'!E40</f>
        <v>14.935474690116251</v>
      </c>
      <c r="K90" s="54">
        <f>'DM ASIA INCUMB'!F40</f>
        <v>13.401474484211558</v>
      </c>
      <c r="L90" s="54">
        <f>'DM ASIA INCUMB'!G40</f>
        <v>12.005473772942196</v>
      </c>
      <c r="M90" s="55">
        <f>'DM ASIA INCUMB'!H40</f>
        <v>0.1344144460895893</v>
      </c>
      <c r="N90" s="56"/>
      <c r="O90" s="54">
        <f>'DM ASIA INCUMB'!D44</f>
        <v>11.434678671142205</v>
      </c>
      <c r="P90" s="54">
        <f>'DM ASIA INCUMB'!E44</f>
        <v>10.957872941923322</v>
      </c>
      <c r="Q90" s="54">
        <f>'DM ASIA INCUMB'!F44</f>
        <v>10.261234416973991</v>
      </c>
      <c r="R90" s="54">
        <f>'DM ASIA INCUMB'!G44</f>
        <v>9.5700912284813953</v>
      </c>
      <c r="S90" s="55">
        <f>'DM ASIA INCUMB'!H44</f>
        <v>5.0714191793177044E-2</v>
      </c>
      <c r="T90" s="56"/>
      <c r="U90" s="51"/>
      <c r="V90" s="58" t="str">
        <f>V30</f>
        <v xml:space="preserve">Agg. Developed Asia Incumbent </v>
      </c>
      <c r="W90" s="43"/>
      <c r="X90" s="44"/>
      <c r="Y90" s="44"/>
      <c r="Z90" s="68"/>
      <c r="AF90" s="31"/>
      <c r="AG90" s="31"/>
      <c r="AJ90" s="64"/>
      <c r="AK90" s="64"/>
      <c r="AN90" s="64"/>
      <c r="AO90" s="64"/>
      <c r="AR90" s="64"/>
      <c r="AS90" s="64"/>
    </row>
    <row r="91" spans="1:113" s="5" customFormat="1">
      <c r="A91" s="41"/>
      <c r="B91" s="42"/>
      <c r="C91" s="43"/>
      <c r="D91" s="50"/>
      <c r="E91" s="50"/>
      <c r="F91" s="61"/>
      <c r="G91" s="50"/>
      <c r="H91" s="56"/>
      <c r="I91" s="62"/>
      <c r="J91" s="62"/>
      <c r="K91" s="62"/>
      <c r="L91" s="62"/>
      <c r="M91" s="61"/>
      <c r="N91" s="56"/>
      <c r="O91" s="62"/>
      <c r="P91" s="62"/>
      <c r="Q91" s="62"/>
      <c r="R91" s="62"/>
      <c r="S91" s="61"/>
      <c r="T91" s="56"/>
      <c r="U91" s="43"/>
      <c r="V91" s="50"/>
      <c r="W91" s="39"/>
      <c r="X91" s="39"/>
      <c r="Y91" s="39"/>
      <c r="Z91" s="39"/>
      <c r="AF91" s="31"/>
      <c r="AG91" s="31"/>
      <c r="AJ91" s="64"/>
      <c r="AK91" s="64"/>
      <c r="AN91" s="64"/>
      <c r="AO91" s="64"/>
      <c r="AR91" s="64"/>
      <c r="AS91" s="64"/>
    </row>
    <row r="92" spans="1:113" s="5" customFormat="1">
      <c r="A92" s="41"/>
      <c r="B92" s="42"/>
      <c r="C92" s="51" t="s">
        <v>865</v>
      </c>
      <c r="D92" s="58"/>
      <c r="E92" s="58"/>
      <c r="F92" s="55"/>
      <c r="G92" s="58"/>
      <c r="H92" s="56"/>
      <c r="I92" s="54">
        <f>'AGG DM INCUMB'!D40</f>
        <v>18.52813255469529</v>
      </c>
      <c r="J92" s="54">
        <f>'AGG DM INCUMB'!E40</f>
        <v>15.765490843861771</v>
      </c>
      <c r="K92" s="54">
        <f>'AGG DM INCUMB'!F40</f>
        <v>14.075739561998535</v>
      </c>
      <c r="L92" s="54">
        <f>'AGG DM INCUMB'!G40</f>
        <v>12.560857132625854</v>
      </c>
      <c r="M92" s="55">
        <f>'AGG DM INCUMB'!H40</f>
        <v>8.2571094333434569E-2</v>
      </c>
      <c r="N92" s="56"/>
      <c r="O92" s="54">
        <f>'AGG DM INCUMB'!D44</f>
        <v>12.110582910782163</v>
      </c>
      <c r="P92" s="54">
        <f>'AGG DM INCUMB'!E44</f>
        <v>11.519196439200668</v>
      </c>
      <c r="Q92" s="54">
        <f>'AGG DM INCUMB'!F44</f>
        <v>10.554910028716604</v>
      </c>
      <c r="R92" s="54">
        <f>'AGG DM INCUMB'!G44</f>
        <v>9.6880087284100824</v>
      </c>
      <c r="S92" s="55">
        <f>'AGG DM INCUMB'!H44</f>
        <v>5.5327454491813866E-2</v>
      </c>
      <c r="T92" s="56"/>
      <c r="U92" s="51"/>
      <c r="V92" s="58" t="str">
        <f>C92</f>
        <v>Agg. DM Incumbent total</v>
      </c>
      <c r="AF92" s="31"/>
      <c r="AG92" s="31"/>
      <c r="AJ92" s="64"/>
      <c r="AK92" s="64"/>
      <c r="AN92" s="64"/>
      <c r="AO92" s="64"/>
      <c r="AR92" s="64"/>
      <c r="AS92" s="64"/>
    </row>
    <row r="93" spans="1:113" s="5" customFormat="1">
      <c r="A93" s="146"/>
      <c r="B93" s="42"/>
      <c r="C93" s="41"/>
      <c r="D93" s="44"/>
      <c r="E93" s="44"/>
      <c r="F93" s="45"/>
      <c r="G93" s="44"/>
      <c r="H93" s="46"/>
      <c r="I93" s="47"/>
      <c r="J93" s="47"/>
      <c r="K93" s="47"/>
      <c r="L93" s="47"/>
      <c r="M93" s="45"/>
      <c r="N93" s="46"/>
      <c r="O93" s="47"/>
      <c r="P93" s="47"/>
      <c r="Q93" s="47"/>
      <c r="R93" s="47"/>
      <c r="S93" s="45"/>
      <c r="T93" s="46"/>
      <c r="U93" s="48"/>
      <c r="V93" s="50"/>
      <c r="AF93" s="31"/>
      <c r="AG93" s="31"/>
      <c r="AI93" s="41"/>
      <c r="AJ93" s="64"/>
      <c r="AK93" s="64"/>
      <c r="AN93" s="64"/>
      <c r="AO93" s="64"/>
      <c r="AR93" s="64"/>
      <c r="AS93" s="64"/>
    </row>
    <row r="94" spans="1:113">
      <c r="A94" s="41" t="s">
        <v>1385</v>
      </c>
      <c r="C94" s="48" t="str">
        <f t="shared" ref="C94:G101" si="10">C34</f>
        <v>1&amp;1</v>
      </c>
      <c r="D94" s="44" t="str">
        <f t="shared" si="10"/>
        <v>EUR 17.5</v>
      </c>
      <c r="E94" s="44" t="str">
        <f t="shared" si="10"/>
        <v>EUR 28.0</v>
      </c>
      <c r="F94" s="45">
        <f t="shared" si="10"/>
        <v>0.60000000000000009</v>
      </c>
      <c r="G94" s="44" t="str">
        <f t="shared" si="10"/>
        <v>Buy</v>
      </c>
      <c r="H94" s="46"/>
      <c r="I94" s="47">
        <f>DRI!$D$40</f>
        <v>18.326944943350711</v>
      </c>
      <c r="J94" s="47">
        <f>DRI!$E$40</f>
        <v>22.084148071905791</v>
      </c>
      <c r="K94" s="47">
        <f>DRI!$F$40</f>
        <v>18.217183130805441</v>
      </c>
      <c r="L94" s="47">
        <f>DRI!$G$40</f>
        <v>14.705407173666906</v>
      </c>
      <c r="M94" s="45">
        <f>DRI!$H$40</f>
        <v>8.8747187570624275E-2</v>
      </c>
      <c r="N94" s="46"/>
      <c r="O94" s="47">
        <f>DRI!$D$44</f>
        <v>9.795979861882838</v>
      </c>
      <c r="P94" s="47">
        <f>DRI!$E$44</f>
        <v>9.4725869355122896</v>
      </c>
      <c r="Q94" s="47">
        <f>DRI!$F$44</f>
        <v>9.4682051590869616</v>
      </c>
      <c r="R94" s="47">
        <f>DRI!$G$44</f>
        <v>10.214031176781845</v>
      </c>
      <c r="S94" s="45">
        <f>DRI!$H$44</f>
        <v>-1.3833524202328418E-2</v>
      </c>
      <c r="T94" s="46"/>
      <c r="U94" s="48" t="str">
        <f t="shared" ref="U94:V100" si="11">U34</f>
        <v>EUR 17.5</v>
      </c>
      <c r="V94" s="44" t="str">
        <f t="shared" si="11"/>
        <v>1&amp;1</v>
      </c>
      <c r="AU94" s="10"/>
      <c r="BU94" s="39"/>
      <c r="BV94" s="39"/>
      <c r="BW94" s="39"/>
      <c r="BX94" s="39"/>
      <c r="BY94" s="39"/>
      <c r="BZ94" s="39"/>
      <c r="CA94" s="39"/>
      <c r="CB94" s="39"/>
      <c r="CC94" s="39"/>
      <c r="CD94" s="39"/>
      <c r="CE94" s="39"/>
      <c r="CF94" s="39"/>
      <c r="CG94" s="39"/>
      <c r="CH94" s="39"/>
      <c r="CI94" s="39"/>
      <c r="CJ94" s="39"/>
      <c r="CK94" s="39"/>
      <c r="CL94" s="39"/>
      <c r="CM94" s="39"/>
      <c r="CN94" s="39"/>
      <c r="CO94" s="39"/>
      <c r="CP94" s="39"/>
      <c r="CQ94" s="39"/>
      <c r="CR94" s="39"/>
      <c r="CS94" s="39"/>
      <c r="CT94" s="39"/>
      <c r="CU94" s="39"/>
      <c r="CV94" s="39"/>
      <c r="CW94" s="39"/>
      <c r="CX94" s="39"/>
      <c r="CY94" s="39"/>
      <c r="CZ94" s="39"/>
      <c r="DA94" s="39"/>
      <c r="DB94" s="39"/>
      <c r="DC94" s="39"/>
      <c r="DD94" s="39"/>
      <c r="DE94" s="39"/>
      <c r="DF94" s="39"/>
      <c r="DG94" s="39"/>
      <c r="DH94" s="39"/>
      <c r="DI94" s="39"/>
    </row>
    <row r="95" spans="1:113" s="5" customFormat="1">
      <c r="A95" s="41"/>
      <c r="B95" s="42"/>
      <c r="C95" s="48" t="str">
        <f t="shared" si="10"/>
        <v>Elisa</v>
      </c>
      <c r="D95" s="44" t="str">
        <f t="shared" si="10"/>
        <v>EUR 41.6</v>
      </c>
      <c r="E95" s="44" t="str">
        <f t="shared" si="10"/>
        <v>EUR 54.0</v>
      </c>
      <c r="F95" s="45">
        <f t="shared" si="10"/>
        <v>0.29745314752522845</v>
      </c>
      <c r="G95" s="44" t="str">
        <f t="shared" si="10"/>
        <v>Neutral</v>
      </c>
      <c r="H95" s="46"/>
      <c r="I95" s="47">
        <f>ELISA!$D$40</f>
        <v>20.949530868867662</v>
      </c>
      <c r="J95" s="47">
        <f>ELISA!$E$40</f>
        <v>18.749561021974337</v>
      </c>
      <c r="K95" s="47">
        <f>ELISA!$F$40</f>
        <v>16.488771615707428</v>
      </c>
      <c r="L95" s="47">
        <f>ELISA!$G$40</f>
        <v>16.590903519639575</v>
      </c>
      <c r="M95" s="45">
        <f>ELISA!$H$40</f>
        <v>6.5020465226544477E-2</v>
      </c>
      <c r="N95" s="46"/>
      <c r="O95" s="47">
        <f>ELISA!$D$44</f>
        <v>17.733515781041273</v>
      </c>
      <c r="P95" s="47">
        <f>ELISA!$E$44</f>
        <v>16.995972576614573</v>
      </c>
      <c r="Q95" s="47">
        <f>ELISA!$F$44</f>
        <v>16.111844674660244</v>
      </c>
      <c r="R95" s="47">
        <f>ELISA!$G$44</f>
        <v>15.377708240423901</v>
      </c>
      <c r="S95" s="45">
        <f>ELISA!$H$44</f>
        <v>4.8659292548237865E-2</v>
      </c>
      <c r="T95" s="46"/>
      <c r="U95" s="48" t="str">
        <f t="shared" si="11"/>
        <v>EUR 41.6</v>
      </c>
      <c r="V95" s="44" t="str">
        <f t="shared" si="11"/>
        <v>Elisa</v>
      </c>
      <c r="AF95" s="31"/>
      <c r="AG95" s="31"/>
      <c r="AI95" s="41"/>
      <c r="AJ95" s="64"/>
      <c r="AK95" s="64"/>
      <c r="AN95" s="64"/>
      <c r="AO95" s="64"/>
      <c r="AR95" s="64"/>
      <c r="AS95" s="64"/>
    </row>
    <row r="96" spans="1:113">
      <c r="A96" s="41"/>
      <c r="C96" s="48" t="str">
        <f t="shared" si="10"/>
        <v>Liberty Global (prop.)</v>
      </c>
      <c r="D96" s="44" t="str">
        <f t="shared" si="10"/>
        <v>USD 16.2</v>
      </c>
      <c r="E96" s="44" t="str">
        <f t="shared" si="10"/>
        <v>USD 24.0</v>
      </c>
      <c r="F96" s="45">
        <f t="shared" si="10"/>
        <v>0.47783251231527113</v>
      </c>
      <c r="G96" s="44" t="str">
        <f t="shared" si="10"/>
        <v>Buy</v>
      </c>
      <c r="H96" s="46"/>
      <c r="I96" s="47">
        <f>PROPORTIONATES!G35</f>
        <v>22.300329312219883</v>
      </c>
      <c r="J96" s="47">
        <f>PROPORTIONATES!H35</f>
        <v>22.160918918816179</v>
      </c>
      <c r="K96" s="47">
        <f>PROPORTIONATES!I35</f>
        <v>21.189184819764879</v>
      </c>
      <c r="L96" s="47">
        <f>PROPORTIONATES!J35</f>
        <v>17.585025952077107</v>
      </c>
      <c r="M96" s="45">
        <f>LBTY!$H$40</f>
        <v>5.6903875069172605E-2</v>
      </c>
      <c r="N96" s="46"/>
      <c r="O96" s="47">
        <f>LBTY!$D$44</f>
        <v>-6.121563670142522</v>
      </c>
      <c r="P96" s="47">
        <f>LBTY!$E$44</f>
        <v>-12.01598736893653</v>
      </c>
      <c r="Q96" s="47">
        <f>LBTY!$F$44</f>
        <v>-12.596489590089783</v>
      </c>
      <c r="R96" s="47">
        <f>LBTY!$G$44</f>
        <v>-16.6302663493937</v>
      </c>
      <c r="S96" s="45">
        <f>LBTY!$H$44</f>
        <v>-0.34847784702970741</v>
      </c>
      <c r="T96" s="46"/>
      <c r="U96" s="48" t="str">
        <f t="shared" si="11"/>
        <v>USD 16.2</v>
      </c>
      <c r="V96" s="44" t="str">
        <f t="shared" si="11"/>
        <v>Liberty Global</v>
      </c>
      <c r="BU96" s="39"/>
      <c r="BV96" s="39"/>
      <c r="BW96" s="39"/>
      <c r="BX96" s="39"/>
      <c r="BY96" s="39"/>
      <c r="BZ96" s="39"/>
      <c r="CA96" s="39"/>
      <c r="CB96" s="39"/>
      <c r="CC96" s="39"/>
      <c r="CD96" s="39"/>
      <c r="CE96" s="39"/>
      <c r="CF96" s="39"/>
      <c r="CG96" s="39"/>
      <c r="CH96" s="39"/>
      <c r="CI96" s="39"/>
      <c r="CJ96" s="39"/>
      <c r="CK96" s="39"/>
      <c r="CL96" s="39"/>
      <c r="CM96" s="39"/>
      <c r="CN96" s="39"/>
      <c r="CO96" s="39"/>
      <c r="CP96" s="39"/>
      <c r="CQ96" s="39"/>
      <c r="CR96" s="39"/>
      <c r="CS96" s="39"/>
      <c r="CT96" s="39"/>
      <c r="CU96" s="39"/>
      <c r="CV96" s="39"/>
      <c r="CW96" s="39"/>
      <c r="CX96" s="39"/>
      <c r="CY96" s="39"/>
      <c r="CZ96" s="39"/>
      <c r="DA96" s="39"/>
      <c r="DB96" s="39"/>
      <c r="DC96" s="39"/>
      <c r="DD96" s="39"/>
      <c r="DE96" s="39"/>
      <c r="DF96" s="39"/>
      <c r="DG96" s="39"/>
      <c r="DH96" s="39"/>
      <c r="DI96" s="39"/>
    </row>
    <row r="97" spans="1:113">
      <c r="A97" s="41"/>
      <c r="C97" s="48" t="str">
        <f t="shared" si="10"/>
        <v>NOS</v>
      </c>
      <c r="D97" s="44" t="str">
        <f t="shared" si="10"/>
        <v>EUR 3.35</v>
      </c>
      <c r="E97" s="44" t="str">
        <f t="shared" si="10"/>
        <v>EUR 4.00</v>
      </c>
      <c r="F97" s="45">
        <f t="shared" si="10"/>
        <v>0.19581464872944676</v>
      </c>
      <c r="G97" s="44" t="str">
        <f t="shared" si="10"/>
        <v>Neutral</v>
      </c>
      <c r="H97" s="46"/>
      <c r="I97" s="47">
        <f>NOS!$D$40</f>
        <v>14.131043289006231</v>
      </c>
      <c r="J97" s="47">
        <f>NOS!$E$40</f>
        <v>11.716255833855993</v>
      </c>
      <c r="K97" s="47">
        <f>NOS!$F$40</f>
        <v>10.164009672893187</v>
      </c>
      <c r="L97" s="47">
        <f>NOS!$G$40</f>
        <v>8.4970493127738873</v>
      </c>
      <c r="M97" s="45">
        <f>NOS!$H$40</f>
        <v>1.8832286194054415E-2</v>
      </c>
      <c r="N97" s="46"/>
      <c r="O97" s="47">
        <f>NOS!$D$44</f>
        <v>13.879113800633334</v>
      </c>
      <c r="P97" s="47">
        <f>NOS!$E$44</f>
        <v>11.924791142442624</v>
      </c>
      <c r="Q97" s="47">
        <f>NOS!$F$44</f>
        <v>11.432498493505255</v>
      </c>
      <c r="R97" s="47">
        <f>NOS!$G$44</f>
        <v>11.036982582977117</v>
      </c>
      <c r="S97" s="45">
        <f>NOS!$H$44</f>
        <v>7.9370290098279117E-2</v>
      </c>
      <c r="T97" s="46"/>
      <c r="U97" s="48" t="str">
        <f t="shared" si="11"/>
        <v>EUR 3.35</v>
      </c>
      <c r="V97" s="44" t="str">
        <f t="shared" si="11"/>
        <v>NOS</v>
      </c>
      <c r="AE97" s="140"/>
      <c r="AF97" s="141"/>
      <c r="AG97" s="141"/>
      <c r="AH97" s="141"/>
      <c r="AK97" s="140"/>
      <c r="AL97" s="141"/>
      <c r="AM97" s="141"/>
      <c r="AN97" s="141"/>
      <c r="BU97" s="39"/>
      <c r="BV97" s="39"/>
      <c r="BW97" s="39"/>
      <c r="BX97" s="39"/>
      <c r="BY97" s="39"/>
      <c r="BZ97" s="39"/>
      <c r="CA97" s="39"/>
      <c r="CB97" s="39"/>
      <c r="CC97" s="39"/>
      <c r="CD97" s="39"/>
      <c r="CE97" s="39"/>
      <c r="CF97" s="39"/>
      <c r="CG97" s="39"/>
      <c r="CH97" s="39"/>
      <c r="CI97" s="39"/>
      <c r="CJ97" s="39"/>
      <c r="CK97" s="39"/>
      <c r="CL97" s="39"/>
      <c r="CM97" s="39"/>
      <c r="CN97" s="39"/>
      <c r="CO97" s="39"/>
      <c r="CP97" s="39"/>
      <c r="CQ97" s="39"/>
      <c r="CR97" s="39"/>
      <c r="CS97" s="39"/>
      <c r="CT97" s="39"/>
      <c r="CU97" s="39"/>
      <c r="CV97" s="39"/>
      <c r="CW97" s="39"/>
      <c r="CX97" s="39"/>
      <c r="CY97" s="39"/>
      <c r="CZ97" s="39"/>
      <c r="DA97" s="39"/>
      <c r="DB97" s="39"/>
      <c r="DC97" s="39"/>
      <c r="DD97" s="39"/>
      <c r="DE97" s="39"/>
      <c r="DF97" s="39"/>
      <c r="DG97" s="39"/>
      <c r="DH97" s="39"/>
      <c r="DI97" s="39"/>
    </row>
    <row r="98" spans="1:113" s="5" customFormat="1">
      <c r="A98" s="146"/>
      <c r="B98" s="42"/>
      <c r="C98" s="48" t="str">
        <f t="shared" si="10"/>
        <v>Orange Belgium</v>
      </c>
      <c r="D98" s="44" t="str">
        <f t="shared" si="10"/>
        <v>EUR 14.9</v>
      </c>
      <c r="E98" s="44" t="str">
        <f t="shared" si="10"/>
        <v>EUR 13.0</v>
      </c>
      <c r="F98" s="45">
        <f t="shared" si="10"/>
        <v>-0.12868632707774796</v>
      </c>
      <c r="G98" s="44" t="str">
        <f t="shared" si="10"/>
        <v>Neutral</v>
      </c>
      <c r="H98" s="46"/>
      <c r="I98" s="47">
        <f>OBEL!$D$40</f>
        <v>24.812844441815553</v>
      </c>
      <c r="J98" s="47">
        <f>OBEL!$E$40</f>
        <v>21.291820215489956</v>
      </c>
      <c r="K98" s="47">
        <f>OBEL!$F$40</f>
        <v>17.31037883217331</v>
      </c>
      <c r="L98" s="47">
        <f>OBEL!$G$40</f>
        <v>16.125514735941092</v>
      </c>
      <c r="M98" s="45">
        <f>OBEL!$H$40</f>
        <v>0.11338369131939996</v>
      </c>
      <c r="N98" s="46"/>
      <c r="O98" s="47">
        <f>OBEL!$D$44</f>
        <v>5.2180852465912402</v>
      </c>
      <c r="P98" s="47">
        <f>OBEL!$E$44</f>
        <v>4.3999680836983028</v>
      </c>
      <c r="Q98" s="47">
        <f>OBEL!$F$44</f>
        <v>4.337083491528281</v>
      </c>
      <c r="R98" s="47">
        <f>OBEL!$G$44</f>
        <v>4.1833827268523835</v>
      </c>
      <c r="S98" s="45">
        <f>OBEL!$H$44</f>
        <v>7.6451639712251218E-2</v>
      </c>
      <c r="T98" s="46"/>
      <c r="U98" s="48" t="str">
        <f t="shared" si="11"/>
        <v>EUR 14.9</v>
      </c>
      <c r="V98" s="44" t="str">
        <f t="shared" si="11"/>
        <v>Mobistar</v>
      </c>
      <c r="AF98" s="31"/>
      <c r="AG98" s="31"/>
      <c r="AI98" s="41"/>
      <c r="AJ98" s="64"/>
      <c r="AK98" s="64"/>
      <c r="AN98" s="64"/>
      <c r="AO98" s="64"/>
      <c r="AR98" s="64"/>
      <c r="AS98" s="64"/>
    </row>
    <row r="99" spans="1:113" s="5" customFormat="1">
      <c r="A99" s="146"/>
      <c r="B99" s="42"/>
      <c r="C99" s="48" t="str">
        <f t="shared" si="10"/>
        <v>Tele2</v>
      </c>
      <c r="D99" s="44" t="str">
        <f t="shared" si="10"/>
        <v>SEK 101.1</v>
      </c>
      <c r="E99" s="44" t="str">
        <f t="shared" si="10"/>
        <v>SEK 110.0</v>
      </c>
      <c r="F99" s="45">
        <f t="shared" si="10"/>
        <v>8.8570014844136624E-2</v>
      </c>
      <c r="G99" s="44" t="str">
        <f t="shared" si="10"/>
        <v>Neutral</v>
      </c>
      <c r="H99" s="46"/>
      <c r="I99" s="47">
        <f>TELE2!$D$40</f>
        <v>20.063582858847877</v>
      </c>
      <c r="J99" s="47">
        <f>TELE2!$E$40</f>
        <v>16.956632485979714</v>
      </c>
      <c r="K99" s="47">
        <f>TELE2!$F$40</f>
        <v>15.725135456859213</v>
      </c>
      <c r="L99" s="47">
        <f>TELE2!$G$40</f>
        <v>14.477219778891264</v>
      </c>
      <c r="M99" s="45">
        <f>TELE2!$H$40</f>
        <v>5.5302847453792658E-2</v>
      </c>
      <c r="N99" s="46"/>
      <c r="O99" s="47">
        <f>TELE2!$D$44</f>
        <v>19.126397006957909</v>
      </c>
      <c r="P99" s="47">
        <f>TELE2!$E$44</f>
        <v>17.584662097121292</v>
      </c>
      <c r="Q99" s="47">
        <f>TELE2!$F$44</f>
        <v>16.422290765834688</v>
      </c>
      <c r="R99" s="47">
        <f>TELE2!$G$44</f>
        <v>15.830251777340912</v>
      </c>
      <c r="S99" s="45">
        <f>TELE2!$H$44</f>
        <v>6.5078900548768859E-2</v>
      </c>
      <c r="T99" s="46"/>
      <c r="U99" s="48" t="str">
        <f t="shared" si="11"/>
        <v>SEK 101.1</v>
      </c>
      <c r="V99" s="44" t="str">
        <f t="shared" si="11"/>
        <v>Tele2</v>
      </c>
      <c r="AF99" s="31"/>
      <c r="AG99" s="31"/>
      <c r="AI99" s="41"/>
      <c r="AJ99" s="64"/>
      <c r="AK99" s="64"/>
      <c r="AN99" s="64"/>
      <c r="AO99" s="64"/>
      <c r="AR99" s="64"/>
      <c r="AS99" s="64"/>
    </row>
    <row r="100" spans="1:113">
      <c r="A100" s="41"/>
      <c r="C100" s="48" t="str">
        <f t="shared" si="10"/>
        <v>United Internet</v>
      </c>
      <c r="D100" s="44" t="str">
        <f t="shared" si="10"/>
        <v>EUR 22.1</v>
      </c>
      <c r="E100" s="44" t="str">
        <f t="shared" si="10"/>
        <v>EUR 30.0</v>
      </c>
      <c r="F100" s="45">
        <f t="shared" si="10"/>
        <v>0.35869565217391308</v>
      </c>
      <c r="G100" s="44" t="str">
        <f t="shared" si="10"/>
        <v>Buy</v>
      </c>
      <c r="H100" s="46"/>
      <c r="I100" s="47">
        <f>UTDI!$D$40</f>
        <v>39.611496946447495</v>
      </c>
      <c r="J100" s="47">
        <f>UTDI!$E$40</f>
        <v>37.988997563922283</v>
      </c>
      <c r="K100" s="47">
        <f>UTDI!$F$40</f>
        <v>27.059873462984292</v>
      </c>
      <c r="L100" s="47">
        <f>UTDI!$G$40</f>
        <v>20.759904092129617</v>
      </c>
      <c r="M100" s="45">
        <f>UTDI!$H$40</f>
        <v>0.25121250595556455</v>
      </c>
      <c r="N100" s="46"/>
      <c r="O100" s="47">
        <f>UTDI!$D$44</f>
        <v>10.873564267944822</v>
      </c>
      <c r="P100" s="47">
        <f>UTDI!$E$44</f>
        <v>8.3177737129109381</v>
      </c>
      <c r="Q100" s="47">
        <f>UTDI!$F$44</f>
        <v>7.9059592431823731</v>
      </c>
      <c r="R100" s="47">
        <f>UTDI!$G$44</f>
        <v>8.1139090083125041</v>
      </c>
      <c r="S100" s="45">
        <f>UTDI!$H$44</f>
        <v>0.1025050756798529</v>
      </c>
      <c r="T100" s="46"/>
      <c r="U100" s="48" t="str">
        <f t="shared" si="11"/>
        <v>EUR 22.1</v>
      </c>
      <c r="V100" s="44" t="str">
        <f t="shared" si="11"/>
        <v>United Internet</v>
      </c>
      <c r="AU100" s="10"/>
      <c r="BU100" s="39"/>
      <c r="BV100" s="39"/>
      <c r="BW100" s="39"/>
      <c r="BX100" s="39"/>
      <c r="BY100" s="39"/>
      <c r="BZ100" s="39"/>
      <c r="CA100" s="39"/>
      <c r="CB100" s="39"/>
      <c r="CC100" s="39"/>
      <c r="CD100" s="39"/>
      <c r="CE100" s="39"/>
      <c r="CF100" s="39"/>
      <c r="CG100" s="39"/>
      <c r="CH100" s="39"/>
      <c r="CI100" s="39"/>
      <c r="CJ100" s="39"/>
      <c r="CK100" s="39"/>
      <c r="CL100" s="39"/>
      <c r="CM100" s="39"/>
      <c r="CN100" s="39"/>
      <c r="CO100" s="39"/>
      <c r="CP100" s="39"/>
      <c r="CQ100" s="39"/>
      <c r="CR100" s="39"/>
      <c r="CS100" s="39"/>
      <c r="CT100" s="39"/>
      <c r="CU100" s="39"/>
      <c r="CV100" s="39"/>
      <c r="CW100" s="39"/>
      <c r="CX100" s="39"/>
      <c r="CY100" s="39"/>
      <c r="CZ100" s="39"/>
      <c r="DA100" s="39"/>
      <c r="DB100" s="39"/>
      <c r="DC100" s="39"/>
      <c r="DD100" s="39"/>
      <c r="DE100" s="39"/>
      <c r="DF100" s="39"/>
      <c r="DG100" s="39"/>
      <c r="DH100" s="39"/>
      <c r="DI100" s="39"/>
    </row>
    <row r="101" spans="1:113" s="5" customFormat="1">
      <c r="A101" s="146"/>
      <c r="B101" s="42"/>
      <c r="C101" s="48" t="str">
        <f t="shared" si="10"/>
        <v>Vodafone</v>
      </c>
      <c r="D101" s="44" t="str">
        <f t="shared" si="10"/>
        <v>GBP 0.74</v>
      </c>
      <c r="E101" s="44" t="str">
        <f t="shared" si="10"/>
        <v>GBP 1.35</v>
      </c>
      <c r="F101" s="45">
        <f t="shared" si="10"/>
        <v>0.83673469387755106</v>
      </c>
      <c r="G101" s="44" t="str">
        <f t="shared" si="10"/>
        <v>Buy</v>
      </c>
      <c r="H101" s="46"/>
      <c r="I101" s="47">
        <f>VOD!$D$40</f>
        <v>15.240805452199139</v>
      </c>
      <c r="J101" s="47">
        <f>VOD!$E$40</f>
        <v>14.797919192758838</v>
      </c>
      <c r="K101" s="47">
        <f>VOD!$F$40</f>
        <v>11.759488782418005</v>
      </c>
      <c r="L101" s="47">
        <f>VOD!$G$40</f>
        <v>9.7470396923123115</v>
      </c>
      <c r="M101" s="45">
        <f>VOD!$H$40</f>
        <v>6.6396772736873944E-2</v>
      </c>
      <c r="N101" s="46"/>
      <c r="O101" s="47">
        <f>VOD!$D$44</f>
        <v>8.1763124811101306</v>
      </c>
      <c r="P101" s="47">
        <f>VOD!$E$44</f>
        <v>7.628524434824107</v>
      </c>
      <c r="Q101" s="47">
        <f>VOD!$F$44</f>
        <v>6.2572127104529676</v>
      </c>
      <c r="R101" s="47">
        <f>VOD!$G$44</f>
        <v>5.6262136405198993</v>
      </c>
      <c r="S101" s="45">
        <f>VOD!$H$44</f>
        <v>9.7335940435377744E-2</v>
      </c>
      <c r="T101" s="46"/>
      <c r="U101" s="48" t="str">
        <f>U41</f>
        <v>GBP 0.74</v>
      </c>
      <c r="V101" s="44" t="s">
        <v>281</v>
      </c>
      <c r="AF101" s="31"/>
      <c r="AG101" s="31"/>
      <c r="AJ101" s="64"/>
      <c r="AK101" s="64"/>
      <c r="AN101" s="64"/>
      <c r="AO101" s="64"/>
      <c r="AR101" s="64"/>
      <c r="AS101" s="64"/>
    </row>
    <row r="102" spans="1:113">
      <c r="C102" s="51" t="str">
        <f>C42</f>
        <v>Agg. W. Europe Other</v>
      </c>
      <c r="D102" s="52"/>
      <c r="E102" s="52"/>
      <c r="F102" s="53"/>
      <c r="G102" s="52"/>
      <c r="H102" s="46"/>
      <c r="I102" s="54">
        <f>'W.EUR OTHER'!$D$40</f>
        <v>17.537055550367363</v>
      </c>
      <c r="J102" s="54">
        <f>'W.EUR OTHER'!$E$40</f>
        <v>16.571844500633869</v>
      </c>
      <c r="K102" s="54">
        <f>'W.EUR OTHER'!$F$40</f>
        <v>13.70048405868403</v>
      </c>
      <c r="L102" s="54">
        <f>'W.EUR OTHER'!$G$40</f>
        <v>11.681030567966248</v>
      </c>
      <c r="M102" s="55">
        <f>'W.EUR OTHER'!$H$40</f>
        <v>7.319831169942681E-2</v>
      </c>
      <c r="N102" s="56"/>
      <c r="O102" s="54">
        <f>'W.EUR OTHER'!$D$44</f>
        <v>14.93276596244098</v>
      </c>
      <c r="P102" s="54">
        <f>'W.EUR OTHER'!$E$44</f>
        <v>11.776896223765881</v>
      </c>
      <c r="Q102" s="54">
        <f>'W.EUR OTHER'!$F$44</f>
        <v>9.7753259947195836</v>
      </c>
      <c r="R102" s="54">
        <f>'W.EUR OTHER'!$G$44</f>
        <v>8.6831119730060706</v>
      </c>
      <c r="S102" s="55">
        <f>'W.EUR OTHER'!$H$44</f>
        <v>0.16793708979658639</v>
      </c>
      <c r="T102" s="46"/>
      <c r="U102" s="57"/>
      <c r="V102" s="58" t="str">
        <f>C102</f>
        <v>Agg. W. Europe Other</v>
      </c>
      <c r="AB102" s="5"/>
      <c r="AF102" s="31"/>
      <c r="AG102" s="31"/>
      <c r="AI102" s="41"/>
      <c r="AJ102" s="64"/>
      <c r="AK102" s="64"/>
      <c r="AN102" s="64"/>
      <c r="AO102" s="64"/>
      <c r="AR102" s="64"/>
      <c r="AS102" s="64"/>
    </row>
    <row r="103" spans="1:113" s="5" customFormat="1">
      <c r="A103" s="146"/>
      <c r="B103" s="42"/>
      <c r="C103" s="48"/>
      <c r="D103" s="44"/>
      <c r="E103" s="44"/>
      <c r="F103" s="45"/>
      <c r="G103" s="44"/>
      <c r="H103" s="46"/>
      <c r="I103" s="47"/>
      <c r="J103" s="47"/>
      <c r="K103" s="47"/>
      <c r="L103" s="47"/>
      <c r="M103" s="45"/>
      <c r="N103" s="46"/>
      <c r="O103" s="47"/>
      <c r="P103" s="47"/>
      <c r="Q103" s="47"/>
      <c r="R103" s="47"/>
      <c r="S103" s="45"/>
      <c r="T103" s="46"/>
      <c r="U103" s="48"/>
      <c r="V103" s="44"/>
      <c r="AB103" s="63"/>
    </row>
    <row r="104" spans="1:113">
      <c r="A104" s="41"/>
      <c r="B104" s="42" t="s">
        <v>556</v>
      </c>
      <c r="C104" s="48" t="str">
        <f t="shared" ref="C104:G109" si="12">C44</f>
        <v>HKBN</v>
      </c>
      <c r="D104" s="44" t="str">
        <f t="shared" si="12"/>
        <v>HKD 3</v>
      </c>
      <c r="E104" s="44" t="str">
        <f t="shared" si="12"/>
        <v>HKD 16</v>
      </c>
      <c r="F104" s="45">
        <f t="shared" si="12"/>
        <v>5.2256809338521402</v>
      </c>
      <c r="G104" s="44" t="str">
        <f t="shared" si="12"/>
        <v>Buy</v>
      </c>
      <c r="H104" s="46"/>
      <c r="I104" s="47">
        <f>HKBN!$D$40</f>
        <v>5.258852308674296</v>
      </c>
      <c r="J104" s="47">
        <f>HKBN!$E$40</f>
        <v>4.3104288684941165</v>
      </c>
      <c r="K104" s="47">
        <f>HKBN!$F$40</f>
        <v>3.4647197350155317</v>
      </c>
      <c r="L104" s="47">
        <f>HKBN!$G$40</f>
        <v>2.5778358121199445</v>
      </c>
      <c r="M104" s="45">
        <f>HKBN!$H$40</f>
        <v>4.009651517345092E-2</v>
      </c>
      <c r="N104" s="46"/>
      <c r="O104" s="47">
        <f>HKBN!$D$44</f>
        <v>7.9077765756927869</v>
      </c>
      <c r="P104" s="47">
        <f>HKBN!$E$44</f>
        <v>7.0047648927923412</v>
      </c>
      <c r="Q104" s="47">
        <f>HKBN!$F$44</f>
        <v>6.2701769489142887</v>
      </c>
      <c r="R104" s="47">
        <f>HKBN!$G$44</f>
        <v>5.6811857478479624</v>
      </c>
      <c r="S104" s="45">
        <f>HKBN!$H$44</f>
        <v>0.1165336092763567</v>
      </c>
      <c r="T104" s="46"/>
      <c r="U104" s="48" t="str">
        <f t="shared" ref="U104:U109" si="13">U44</f>
        <v>HKD 3</v>
      </c>
      <c r="V104" s="69" t="str">
        <f>C104</f>
        <v>HKBN</v>
      </c>
      <c r="AU104" s="10"/>
      <c r="BU104" s="39"/>
      <c r="BV104" s="39"/>
      <c r="BW104" s="39"/>
      <c r="BX104" s="39"/>
      <c r="BY104" s="39"/>
      <c r="BZ104" s="39"/>
      <c r="CA104" s="39"/>
      <c r="CB104" s="39"/>
      <c r="CC104" s="39"/>
      <c r="CD104" s="39"/>
      <c r="CE104" s="39"/>
      <c r="CF104" s="39"/>
      <c r="CG104" s="39"/>
      <c r="CH104" s="39"/>
      <c r="CI104" s="39"/>
      <c r="CJ104" s="39"/>
      <c r="CK104" s="39"/>
      <c r="CL104" s="39"/>
      <c r="CM104" s="39"/>
      <c r="CN104" s="39"/>
      <c r="CO104" s="39"/>
      <c r="CP104" s="39"/>
      <c r="CQ104" s="39"/>
      <c r="CR104" s="39"/>
      <c r="CS104" s="39"/>
      <c r="CT104" s="39"/>
      <c r="CU104" s="39"/>
      <c r="CV104" s="39"/>
      <c r="CW104" s="39"/>
      <c r="CX104" s="39"/>
      <c r="CY104" s="39"/>
      <c r="CZ104" s="39"/>
      <c r="DA104" s="39"/>
      <c r="DB104" s="39"/>
      <c r="DC104" s="39"/>
      <c r="DD104" s="39"/>
      <c r="DE104" s="39"/>
      <c r="DF104" s="39"/>
      <c r="DG104" s="39"/>
      <c r="DH104" s="39"/>
      <c r="DI104" s="39"/>
    </row>
    <row r="105" spans="1:113">
      <c r="C105" s="48" t="str">
        <f t="shared" si="12"/>
        <v>KDDI</v>
      </c>
      <c r="D105" s="44" t="str">
        <f t="shared" si="12"/>
        <v>JPY 4,302</v>
      </c>
      <c r="E105" s="44" t="str">
        <f t="shared" si="12"/>
        <v>JPY 6,600</v>
      </c>
      <c r="F105" s="45">
        <f t="shared" si="12"/>
        <v>0.53417015341701535</v>
      </c>
      <c r="G105" s="44" t="str">
        <f t="shared" si="12"/>
        <v>Buy</v>
      </c>
      <c r="H105" s="46"/>
      <c r="I105" s="47">
        <f>KDDI!$D$40</f>
        <v>18.690593109362236</v>
      </c>
      <c r="J105" s="47">
        <f>KDDI!$E$40</f>
        <v>14.020808745960412</v>
      </c>
      <c r="K105" s="47">
        <f>KDDI!$F$40</f>
        <v>12.384060533876292</v>
      </c>
      <c r="L105" s="47">
        <f>KDDI!$G$40</f>
        <v>10.832207194257277</v>
      </c>
      <c r="M105" s="45">
        <f>KDDI!$H$40</f>
        <v>0.10854139424105824</v>
      </c>
      <c r="N105" s="46"/>
      <c r="O105" s="47">
        <f>KDDI!$D$44</f>
        <v>14.03938447759117</v>
      </c>
      <c r="P105" s="47">
        <f>KDDI!$E$44</f>
        <v>13.013110806739441</v>
      </c>
      <c r="Q105" s="47">
        <f>KDDI!$F$44</f>
        <v>11.814436937161213</v>
      </c>
      <c r="R105" s="47">
        <f>KDDI!$G$44</f>
        <v>10.762236778858718</v>
      </c>
      <c r="S105" s="45">
        <f>KDDI!$H$44</f>
        <v>6.4735799092507484E-2</v>
      </c>
      <c r="T105" s="46"/>
      <c r="U105" s="48" t="str">
        <f t="shared" si="13"/>
        <v>JPY 4,302</v>
      </c>
      <c r="V105" s="44" t="str">
        <f t="shared" ref="V105:V110" si="14">V45</f>
        <v>KDDI</v>
      </c>
      <c r="AB105" s="5"/>
    </row>
    <row r="106" spans="1:113" s="5" customFormat="1">
      <c r="A106" s="41"/>
      <c r="B106" s="42"/>
      <c r="C106" s="48" t="str">
        <f t="shared" si="12"/>
        <v>Macquarie Telecom</v>
      </c>
      <c r="D106" s="44" t="str">
        <f t="shared" si="12"/>
        <v>AUD 85.20</v>
      </c>
      <c r="E106" s="44" t="str">
        <f t="shared" si="12"/>
        <v>AUD 28.00</v>
      </c>
      <c r="F106" s="45">
        <f t="shared" si="12"/>
        <v>-0.67136150234741787</v>
      </c>
      <c r="G106" s="44" t="str">
        <f t="shared" si="12"/>
        <v>Neutral</v>
      </c>
      <c r="H106" s="46"/>
      <c r="I106" s="47">
        <f>MAQ!$D$40</f>
        <v>394.44800477309332</v>
      </c>
      <c r="J106" s="47">
        <f>MAQ!$E$40</f>
        <v>93.247456570005923</v>
      </c>
      <c r="K106" s="47">
        <f>MAQ!$F$40</f>
        <v>66.114967828801028</v>
      </c>
      <c r="L106" s="47">
        <f>MAQ!$G$40</f>
        <v>50.230658711885788</v>
      </c>
      <c r="M106" s="45">
        <f>MAQ!$H$40</f>
        <v>0.98583062966591317</v>
      </c>
      <c r="N106" s="46"/>
      <c r="O106" s="47">
        <f>MAQ!$D$44</f>
        <v>105.29037009632597</v>
      </c>
      <c r="P106" s="47">
        <f>MAQ!$E$44</f>
        <v>94.688457190151254</v>
      </c>
      <c r="Q106" s="47">
        <f>MAQ!$F$44</f>
        <v>81.645250754669974</v>
      </c>
      <c r="R106" s="47">
        <f>MAQ!$G$44</f>
        <v>76.3205999779656</v>
      </c>
      <c r="S106" s="45">
        <f>MAQ!$H$44</f>
        <v>0.12228482003063212</v>
      </c>
      <c r="T106" s="46"/>
      <c r="U106" s="48" t="str">
        <f t="shared" si="13"/>
        <v>AUD 85.20</v>
      </c>
      <c r="V106" s="69" t="str">
        <f t="shared" si="14"/>
        <v>Macquarie Telecom</v>
      </c>
      <c r="W106" s="43"/>
      <c r="X106" s="44"/>
      <c r="Y106" s="44"/>
      <c r="Z106" s="68"/>
      <c r="AE106" s="41"/>
      <c r="AF106" s="31"/>
      <c r="AG106" s="31"/>
      <c r="AI106" s="41"/>
      <c r="AJ106" s="64"/>
      <c r="AK106" s="64"/>
      <c r="AM106" s="41"/>
      <c r="AN106" s="64"/>
      <c r="AO106" s="64"/>
      <c r="AQ106" s="41"/>
      <c r="AR106" s="64"/>
      <c r="AS106" s="64"/>
    </row>
    <row r="107" spans="1:113">
      <c r="C107" s="48" t="str">
        <f t="shared" si="12"/>
        <v>Rakuten</v>
      </c>
      <c r="D107" s="44" t="str">
        <f t="shared" si="12"/>
        <v>JPY 776</v>
      </c>
      <c r="E107" s="44" t="str">
        <f t="shared" si="12"/>
        <v>JPY 400</v>
      </c>
      <c r="F107" s="45">
        <f t="shared" si="12"/>
        <v>-0.48446964815053484</v>
      </c>
      <c r="G107" s="44" t="str">
        <f t="shared" si="12"/>
        <v>Reduce</v>
      </c>
      <c r="H107" s="46"/>
      <c r="I107" s="47">
        <f>RAK!$D$40</f>
        <v>-12.009974544311701</v>
      </c>
      <c r="J107" s="47">
        <f>RAK!$E$40</f>
        <v>-29.931688059640624</v>
      </c>
      <c r="K107" s="47">
        <f>RAK!$F$40</f>
        <v>-83.094272057796175</v>
      </c>
      <c r="L107" s="47">
        <f>RAK!$G$40</f>
        <v>-106.50905090477922</v>
      </c>
      <c r="M107" s="45">
        <f>RAK!$H$40</f>
        <v>-0.51798528976690239</v>
      </c>
      <c r="N107" s="46"/>
      <c r="O107" s="47">
        <f>RAK!$D$44</f>
        <v>-4.8957440039590665</v>
      </c>
      <c r="P107" s="47">
        <f>RAK!$E$44</f>
        <v>-8.2877136895441677</v>
      </c>
      <c r="Q107" s="47">
        <f>RAK!$F$44</f>
        <v>-9.1217334469383147</v>
      </c>
      <c r="R107" s="47">
        <f>RAK!$G$44</f>
        <v>-10.068207320602568</v>
      </c>
      <c r="S107" s="45">
        <f>RAK!$H$44</f>
        <v>-0.2136386064632968</v>
      </c>
      <c r="T107" s="46"/>
      <c r="U107" s="48" t="str">
        <f t="shared" si="13"/>
        <v>JPY 776</v>
      </c>
      <c r="V107" s="44" t="str">
        <f t="shared" si="14"/>
        <v>Rakuten</v>
      </c>
    </row>
    <row r="108" spans="1:113">
      <c r="C108" s="48" t="str">
        <f t="shared" si="12"/>
        <v>SoftBank KK (Corp)</v>
      </c>
      <c r="D108" s="44" t="str">
        <f t="shared" si="12"/>
        <v>JPY 1,898</v>
      </c>
      <c r="E108" s="44" t="str">
        <f t="shared" si="12"/>
        <v>JPY 2,500</v>
      </c>
      <c r="F108" s="45">
        <f t="shared" si="12"/>
        <v>0.31752305665349145</v>
      </c>
      <c r="G108" s="44" t="str">
        <f t="shared" si="12"/>
        <v>Buy</v>
      </c>
      <c r="H108" s="46"/>
      <c r="I108" s="47">
        <f>SBKK!$D$40</f>
        <v>15.089417643381031</v>
      </c>
      <c r="J108" s="47">
        <f>SBKK!$E$40</f>
        <v>13.899278321608447</v>
      </c>
      <c r="K108" s="47">
        <f>SBKK!$F$40</f>
        <v>12.364642149816595</v>
      </c>
      <c r="L108" s="47">
        <f>SBKK!$G$40</f>
        <v>10.756080178557527</v>
      </c>
      <c r="M108" s="45">
        <f>SBKK!$H$40</f>
        <v>4.6609066792197007E-2</v>
      </c>
      <c r="N108" s="46"/>
      <c r="O108" s="47">
        <f>SBKK!$D$44</f>
        <v>18.347927505782209</v>
      </c>
      <c r="P108" s="47">
        <f>SBKK!$E$44</f>
        <v>17.325744798069941</v>
      </c>
      <c r="Q108" s="47">
        <f>SBKK!$F$44</f>
        <v>15.922094426792009</v>
      </c>
      <c r="R108" s="47">
        <f>SBKK!$G$44</f>
        <v>14.973931123591338</v>
      </c>
      <c r="S108" s="45">
        <f>SBKK!$H$44</f>
        <v>6.9767624563328301E-2</v>
      </c>
      <c r="T108" s="46"/>
      <c r="U108" s="48" t="str">
        <f t="shared" si="13"/>
        <v>JPY 1,898</v>
      </c>
      <c r="V108" s="44" t="str">
        <f t="shared" si="14"/>
        <v>SoftBank KK (Corp)</v>
      </c>
    </row>
    <row r="109" spans="1:113" s="5" customFormat="1">
      <c r="A109" s="41"/>
      <c r="B109" s="42"/>
      <c r="C109" s="48" t="str">
        <f t="shared" si="12"/>
        <v>TPG</v>
      </c>
      <c r="D109" s="44" t="str">
        <f t="shared" si="12"/>
        <v>AUD 4.60</v>
      </c>
      <c r="E109" s="44" t="str">
        <f t="shared" si="12"/>
        <v>AUD 7.50</v>
      </c>
      <c r="F109" s="45">
        <f t="shared" si="12"/>
        <v>0.63043478260869579</v>
      </c>
      <c r="G109" s="44" t="str">
        <f t="shared" si="12"/>
        <v>Neutral</v>
      </c>
      <c r="H109" s="46"/>
      <c r="I109" s="47">
        <f>TPG!$D$40</f>
        <v>21.951913013307735</v>
      </c>
      <c r="J109" s="47">
        <f>TPG!$E$40</f>
        <v>20.833664063740692</v>
      </c>
      <c r="K109" s="47">
        <f>TPG!$F$40</f>
        <v>20.434427533072558</v>
      </c>
      <c r="L109" s="47">
        <f>TPG!$G$40</f>
        <v>19.190338319646767</v>
      </c>
      <c r="M109" s="45">
        <f>TPG!$H$40</f>
        <v>2.9860284419041871E-2</v>
      </c>
      <c r="N109" s="46"/>
      <c r="O109" s="47">
        <f>TPG!$D$44</f>
        <v>17.612484661608367</v>
      </c>
      <c r="P109" s="47">
        <f>TPG!$E$44</f>
        <v>17.381981496819431</v>
      </c>
      <c r="Q109" s="47">
        <f>TPG!$F$44</f>
        <v>16.204667694540195</v>
      </c>
      <c r="R109" s="47">
        <f>TPG!$G$44</f>
        <v>15.36966747982383</v>
      </c>
      <c r="S109" s="45">
        <f>TPG!$H$44</f>
        <v>4.9066696052127545E-2</v>
      </c>
      <c r="T109" s="46"/>
      <c r="U109" s="48" t="str">
        <f t="shared" si="13"/>
        <v>AUD 4.60</v>
      </c>
      <c r="V109" s="44" t="str">
        <f t="shared" si="14"/>
        <v>TPG</v>
      </c>
      <c r="W109" s="43"/>
      <c r="X109" s="44"/>
      <c r="Y109" s="44"/>
      <c r="Z109" s="68"/>
      <c r="AE109" s="41"/>
      <c r="AF109" s="31"/>
      <c r="AG109" s="31"/>
      <c r="AI109" s="41"/>
      <c r="AJ109" s="64"/>
      <c r="AK109" s="64"/>
      <c r="AM109" s="41"/>
      <c r="AN109" s="64"/>
      <c r="AO109" s="64"/>
      <c r="AQ109" s="41"/>
      <c r="AR109" s="64"/>
      <c r="AS109" s="64"/>
    </row>
    <row r="110" spans="1:113">
      <c r="C110" s="51" t="str">
        <f>C50</f>
        <v>Agg. Developed Asia Other</v>
      </c>
      <c r="D110" s="52"/>
      <c r="E110" s="52"/>
      <c r="F110" s="53"/>
      <c r="G110" s="52"/>
      <c r="H110" s="46"/>
      <c r="I110" s="54">
        <f>'DM ASIA OTHER'!$D$40</f>
        <v>19.370348083126483</v>
      </c>
      <c r="J110" s="54">
        <f>'DM ASIA OTHER'!$E$40</f>
        <v>15.410727862351104</v>
      </c>
      <c r="K110" s="54">
        <f>'DM ASIA OTHER'!$F$40</f>
        <v>13.436366988392662</v>
      </c>
      <c r="L110" s="54">
        <f>'DM ASIA OTHER'!$G$40</f>
        <v>11.776196143347512</v>
      </c>
      <c r="M110" s="55">
        <f>'DM ASIA OTHER'!$H$40</f>
        <v>0.10558692088844279</v>
      </c>
      <c r="N110" s="56"/>
      <c r="O110" s="54">
        <f>'DM ASIA OTHER'!$D$44</f>
        <v>23.939959255329136</v>
      </c>
      <c r="P110" s="54">
        <f>'DM ASIA OTHER'!$E$44</f>
        <v>19.092338414310159</v>
      </c>
      <c r="Q110" s="54">
        <f>'DM ASIA OTHER'!$F$44</f>
        <v>16.97809271236245</v>
      </c>
      <c r="R110" s="54">
        <f>'DM ASIA OTHER'!$G$44</f>
        <v>15.388231404346129</v>
      </c>
      <c r="S110" s="55">
        <f>'DM ASIA OTHER'!$H$44</f>
        <v>0.14585153350726876</v>
      </c>
      <c r="T110" s="46"/>
      <c r="U110" s="57"/>
      <c r="V110" s="58" t="str">
        <f t="shared" si="14"/>
        <v>Agg. Developed Asia Cellular</v>
      </c>
    </row>
    <row r="111" spans="1:113">
      <c r="A111" s="41"/>
      <c r="C111" s="48"/>
      <c r="D111" s="44"/>
      <c r="E111" s="44"/>
      <c r="F111" s="45"/>
      <c r="G111" s="44"/>
      <c r="H111" s="46"/>
      <c r="I111" s="47"/>
      <c r="J111" s="47"/>
      <c r="K111" s="47"/>
      <c r="L111" s="47"/>
      <c r="M111" s="45"/>
      <c r="N111" s="46"/>
      <c r="O111" s="47"/>
      <c r="P111" s="47"/>
      <c r="Q111" s="47"/>
      <c r="R111" s="47"/>
      <c r="S111" s="45"/>
      <c r="T111" s="46"/>
      <c r="U111" s="48"/>
      <c r="V111" s="44"/>
      <c r="AE111" s="140"/>
      <c r="AF111" s="141"/>
      <c r="AG111" s="141"/>
      <c r="AH111" s="141"/>
      <c r="AK111" s="140"/>
      <c r="AL111" s="141"/>
      <c r="AM111" s="141"/>
      <c r="AN111" s="141"/>
      <c r="BU111" s="39"/>
      <c r="BV111" s="39"/>
      <c r="BW111" s="39"/>
      <c r="BX111" s="39"/>
      <c r="BY111" s="39"/>
      <c r="BZ111" s="39"/>
      <c r="CA111" s="39"/>
      <c r="CB111" s="39"/>
      <c r="CC111" s="39"/>
      <c r="CD111" s="39"/>
      <c r="CE111" s="39"/>
      <c r="CF111" s="39"/>
      <c r="CG111" s="39"/>
      <c r="CH111" s="39"/>
      <c r="CI111" s="39"/>
      <c r="CJ111" s="39"/>
      <c r="CK111" s="39"/>
      <c r="CL111" s="39"/>
      <c r="CM111" s="39"/>
      <c r="CN111" s="39"/>
      <c r="CO111" s="39"/>
      <c r="CP111" s="39"/>
      <c r="CQ111" s="39"/>
      <c r="CR111" s="39"/>
      <c r="CS111" s="39"/>
      <c r="CT111" s="39"/>
      <c r="CU111" s="39"/>
      <c r="CV111" s="39"/>
      <c r="CW111" s="39"/>
      <c r="CX111" s="39"/>
      <c r="CY111" s="39"/>
      <c r="CZ111" s="39"/>
      <c r="DA111" s="39"/>
      <c r="DB111" s="39"/>
      <c r="DC111" s="39"/>
      <c r="DD111" s="39"/>
      <c r="DE111" s="39"/>
      <c r="DF111" s="39"/>
      <c r="DG111" s="39"/>
      <c r="DH111" s="39"/>
      <c r="DI111" s="39"/>
    </row>
    <row r="112" spans="1:113">
      <c r="A112" s="41"/>
      <c r="B112" s="42" t="s">
        <v>519</v>
      </c>
      <c r="C112" s="48" t="s">
        <v>990</v>
      </c>
      <c r="D112" s="44" t="str">
        <f>B112&amp;TEXT(Prices!$C$44,"0.0")</f>
        <v>US$2.3</v>
      </c>
      <c r="E112" s="44" t="str">
        <f>B112&amp;TEXT(Prices!$E$44,"0.0")</f>
        <v>US$4.0</v>
      </c>
      <c r="F112" s="45">
        <f>Prices!$F$44</f>
        <v>0.71673819742489275</v>
      </c>
      <c r="G112" s="44" t="str">
        <f>Prices!$D$44</f>
        <v>Neutral</v>
      </c>
      <c r="H112" s="46"/>
      <c r="I112" s="47">
        <f>ATCUS!$D$40</f>
        <v>20.589185554962636</v>
      </c>
      <c r="J112" s="47">
        <f>ATCUS!$E$40</f>
        <v>20.721594219812154</v>
      </c>
      <c r="K112" s="47">
        <f>ATCUS!$F$40</f>
        <v>20.213461608249585</v>
      </c>
      <c r="L112" s="47">
        <f>ATCUS!$G$40</f>
        <v>18.953517489514855</v>
      </c>
      <c r="M112" s="45">
        <f>ATCUS!$H$40</f>
        <v>2.6093401132669003E-2</v>
      </c>
      <c r="N112" s="46"/>
      <c r="O112" s="47">
        <f>ATCUS!$D$44</f>
        <v>3.3567514350120815</v>
      </c>
      <c r="P112" s="47">
        <f>ATCUS!$E$44</f>
        <v>-18.462423353994062</v>
      </c>
      <c r="Q112" s="47">
        <f>ATCUS!$F$44</f>
        <v>-9.2545498987070562</v>
      </c>
      <c r="R112" s="47">
        <f>ATCUS!$G$44</f>
        <v>-11.008143366075549</v>
      </c>
      <c r="S112" s="45">
        <f>ATCUS!$H$44</f>
        <v>-1.6733566758064373</v>
      </c>
      <c r="T112" s="46"/>
      <c r="U112" s="48" t="str">
        <f t="shared" ref="U112:V114" si="15">U52</f>
        <v>USD 2.3</v>
      </c>
      <c r="V112" s="44" t="str">
        <f t="shared" si="15"/>
        <v>Altice US</v>
      </c>
      <c r="AE112" s="140"/>
      <c r="AF112" s="142"/>
      <c r="AG112" s="142"/>
      <c r="AH112" s="142"/>
      <c r="AK112" s="140"/>
      <c r="AL112" s="142"/>
      <c r="AM112" s="142"/>
      <c r="AN112" s="142"/>
    </row>
    <row r="113" spans="1:69">
      <c r="A113" s="41"/>
      <c r="B113" s="42" t="s">
        <v>519</v>
      </c>
      <c r="C113" s="48" t="s">
        <v>311</v>
      </c>
      <c r="D113" s="44" t="str">
        <f>B113&amp;TEXT(Prices!$C$45,"0.0")</f>
        <v>US$271.5</v>
      </c>
      <c r="E113" s="44" t="str">
        <f>B113&amp;TEXT(Prices!$E$45,"0.0")</f>
        <v>US$581.0</v>
      </c>
      <c r="F113" s="45">
        <f>Prices!$F$45</f>
        <v>1.1402784940691078</v>
      </c>
      <c r="G113" s="44" t="str">
        <f>Prices!$D$45</f>
        <v>Buy</v>
      </c>
      <c r="H113" s="46"/>
      <c r="I113" s="47">
        <f>CHTR!$D$40</f>
        <v>20.270860093295365</v>
      </c>
      <c r="J113" s="47">
        <f>CHTR!$E$40</f>
        <v>21.311455587709659</v>
      </c>
      <c r="K113" s="47">
        <f>CHTR!$F$40</f>
        <v>20.892112209569898</v>
      </c>
      <c r="L113" s="47">
        <f>CHTR!$G$40</f>
        <v>17.189197573123689</v>
      </c>
      <c r="M113" s="45">
        <f>CHTR!$H$40</f>
        <v>5.1955842122821005E-2</v>
      </c>
      <c r="N113" s="46"/>
      <c r="O113" s="47">
        <f>CHTR!$D$44</f>
        <v>10.404937655605478</v>
      </c>
      <c r="P113" s="47">
        <f>CHTR!$E$44</f>
        <v>7.7996467114097001</v>
      </c>
      <c r="Q113" s="47">
        <f>CHTR!$F$44</f>
        <v>6.7926373376905937</v>
      </c>
      <c r="R113" s="47">
        <f>CHTR!$G$44</f>
        <v>5.6072981238811153</v>
      </c>
      <c r="S113" s="45">
        <f>CHTR!$H$44</f>
        <v>0.13088040283838387</v>
      </c>
      <c r="T113" s="46"/>
      <c r="U113" s="48" t="str">
        <f t="shared" si="15"/>
        <v>USD 271.5</v>
      </c>
      <c r="V113" s="44" t="str">
        <f t="shared" si="15"/>
        <v>Charter</v>
      </c>
      <c r="AE113" s="140"/>
      <c r="AF113" s="142"/>
      <c r="AG113" s="142"/>
      <c r="AH113" s="142"/>
      <c r="AK113" s="140"/>
      <c r="AL113" s="142"/>
      <c r="AM113" s="142"/>
      <c r="AN113" s="142"/>
    </row>
    <row r="114" spans="1:69">
      <c r="A114" s="41"/>
      <c r="B114" s="42" t="s">
        <v>519</v>
      </c>
      <c r="C114" s="48" t="s">
        <v>309</v>
      </c>
      <c r="D114" s="44" t="str">
        <f>B114&amp;TEXT(Prices!$C$46,"0.0")</f>
        <v>US$38.5</v>
      </c>
      <c r="E114" s="44" t="str">
        <f>B114&amp;TEXT(Prices!$E$46,"0.0")</f>
        <v>US$50.0</v>
      </c>
      <c r="F114" s="45">
        <f>Prices!$F$46</f>
        <v>0.29735339906590563</v>
      </c>
      <c r="G114" s="44" t="str">
        <f>Prices!$D$46</f>
        <v>Buy</v>
      </c>
      <c r="H114" s="46"/>
      <c r="I114" s="47">
        <f>CMCSA!$D$40</f>
        <v>12.151796707592808</v>
      </c>
      <c r="J114" s="47">
        <f>CMCSA!$E$40</f>
        <v>10.971870304091208</v>
      </c>
      <c r="K114" s="47">
        <f>CMCSA!$F$40</f>
        <v>9.5833772906638259</v>
      </c>
      <c r="L114" s="47">
        <f>CMCSA!$G$40</f>
        <v>8.1609627368944579</v>
      </c>
      <c r="M114" s="45">
        <f>CMCSA!$H$40</f>
        <v>8.4821278786819221E-2</v>
      </c>
      <c r="N114" s="46"/>
      <c r="O114" s="47">
        <f>CMCSA!$D$44</f>
        <v>10.072439466221915</v>
      </c>
      <c r="P114" s="47">
        <f>CMCSA!$E$44</f>
        <v>8.6668704569868336</v>
      </c>
      <c r="Q114" s="47">
        <f>CMCSA!$F$44</f>
        <v>7.6346427255424318</v>
      </c>
      <c r="R114" s="47">
        <f>CMCSA!$G$44</f>
        <v>6.3450921541438934</v>
      </c>
      <c r="S114" s="45">
        <f>CMCSA!$H$44</f>
        <v>9.6104590280857494E-2</v>
      </c>
      <c r="T114" s="46"/>
      <c r="U114" s="48" t="str">
        <f t="shared" si="15"/>
        <v>USD 38.5</v>
      </c>
      <c r="V114" s="44" t="str">
        <f t="shared" si="15"/>
        <v>Comcast</v>
      </c>
      <c r="AE114" s="140"/>
      <c r="AF114" s="142"/>
      <c r="AG114" s="142"/>
      <c r="AH114" s="142"/>
      <c r="AK114" s="140"/>
      <c r="AL114" s="142"/>
      <c r="AM114" s="142"/>
      <c r="AN114" s="142"/>
    </row>
    <row r="115" spans="1:69">
      <c r="A115" s="41"/>
      <c r="B115" s="42" t="s">
        <v>527</v>
      </c>
      <c r="C115" s="48" t="s">
        <v>1615</v>
      </c>
      <c r="D115" s="44" t="str">
        <f>B115&amp;TEXT(Prices!C47,"0.00")</f>
        <v>US$ 25.58</v>
      </c>
      <c r="E115" s="44" t="str">
        <f>B115&amp;TEXT(Prices!E47,"0.00")</f>
        <v>US$ 54.00</v>
      </c>
      <c r="F115" s="45">
        <f>Prices!F47</f>
        <v>1.111024237685692</v>
      </c>
      <c r="G115" s="44" t="str">
        <f>Prices!D47</f>
        <v>Buy</v>
      </c>
      <c r="H115" s="46"/>
      <c r="I115" s="47">
        <f>FYBR!D$40</f>
        <v>-9.2200528542574549</v>
      </c>
      <c r="J115" s="47">
        <f>FYBR!E$40</f>
        <v>-24.570623584288271</v>
      </c>
      <c r="K115" s="47">
        <f>FYBR!F$40</f>
        <v>-23.774480672683449</v>
      </c>
      <c r="L115" s="47">
        <f>FYBR!G$40</f>
        <v>-67.455241278357022</v>
      </c>
      <c r="M115" s="45">
        <f>FYBR!H$40</f>
        <v>-0.48428616241598488</v>
      </c>
      <c r="N115" s="46"/>
      <c r="O115" s="47">
        <f>FYBR!D$44</f>
        <v>216.75305789305747</v>
      </c>
      <c r="P115" s="47">
        <f>FYBR!E$44</f>
        <v>-94.431056185845875</v>
      </c>
      <c r="Q115" s="47">
        <f>FYBR!F$44</f>
        <v>-93.703036336478675</v>
      </c>
      <c r="R115" s="47">
        <f>FYBR!G$44</f>
        <v>-116.35770598997858</v>
      </c>
      <c r="S115" s="45">
        <f>FYBR!H$44</f>
        <v>-2.229240611320896</v>
      </c>
      <c r="T115" s="46"/>
      <c r="U115" s="48" t="str">
        <f>D115</f>
        <v>US$ 25.58</v>
      </c>
      <c r="V115" s="44" t="str">
        <f>C115</f>
        <v>Frontier</v>
      </c>
      <c r="AB115" s="5"/>
      <c r="AT115" s="69"/>
    </row>
    <row r="116" spans="1:69">
      <c r="A116" s="41"/>
      <c r="B116" s="42" t="s">
        <v>527</v>
      </c>
      <c r="C116" s="48" t="s">
        <v>1616</v>
      </c>
      <c r="D116" s="44" t="str">
        <f>B116&amp;TEXT(Prices!C48,"0.00")</f>
        <v>US$ 18.49</v>
      </c>
      <c r="E116" s="44" t="str">
        <f>B116&amp;TEXT(Prices!E48,"0.00")</f>
        <v>US$ 100.00</v>
      </c>
      <c r="F116" s="45">
        <f>Prices!F48</f>
        <v>4.408328826392645</v>
      </c>
      <c r="G116" s="44" t="str">
        <f>Prices!D48</f>
        <v>Buy</v>
      </c>
      <c r="H116" s="46"/>
      <c r="I116" s="47">
        <f>SATS!D$40</f>
        <v>-31.137288852594313</v>
      </c>
      <c r="J116" s="47">
        <f>SATS!E$40</f>
        <v>14.311933191331343</v>
      </c>
      <c r="K116" s="47">
        <f>SATS!F$40</f>
        <v>11.94172076286395</v>
      </c>
      <c r="L116" s="47">
        <f>SATS!G$40</f>
        <v>7.8438166463788495</v>
      </c>
      <c r="M116" s="45">
        <f>SATS!H$40</f>
        <v>-2.4567296895147916</v>
      </c>
      <c r="N116" s="46"/>
      <c r="O116" s="47">
        <f>SATS!D$44</f>
        <v>-22.940217122192262</v>
      </c>
      <c r="P116" s="47">
        <f>SATS!E$44</f>
        <v>665.98072043737977</v>
      </c>
      <c r="Q116" s="47">
        <f>SATS!F$44</f>
        <v>19.573776057759634</v>
      </c>
      <c r="R116" s="47">
        <f>SATS!G$44</f>
        <v>23.137912933082102</v>
      </c>
      <c r="S116" s="45">
        <f>SATS!H$44</f>
        <v>-1.99714377073437</v>
      </c>
      <c r="T116" s="46"/>
      <c r="U116" s="48" t="str">
        <f>D116</f>
        <v>US$ 18.49</v>
      </c>
      <c r="V116" s="44" t="str">
        <f>C116</f>
        <v>EchoStar</v>
      </c>
      <c r="AB116" s="5"/>
      <c r="AT116" s="69"/>
    </row>
    <row r="117" spans="1:69">
      <c r="A117" s="41"/>
      <c r="C117" s="51" t="str">
        <f>C57</f>
        <v>Agg. US Other</v>
      </c>
      <c r="D117" s="58"/>
      <c r="E117" s="58"/>
      <c r="F117" s="55"/>
      <c r="G117" s="58"/>
      <c r="H117" s="56"/>
      <c r="I117" s="54">
        <f>'US OTHER'!$D$40</f>
        <v>18.630373776917377</v>
      </c>
      <c r="J117" s="54">
        <f>'US OTHER'!$E$40</f>
        <v>15.14815669690881</v>
      </c>
      <c r="K117" s="54">
        <f>'US OTHER'!$F$40</f>
        <v>13.783300944127415</v>
      </c>
      <c r="L117" s="54">
        <f>'US OTHER'!$G$40</f>
        <v>11.406014250403096</v>
      </c>
      <c r="M117" s="55">
        <f>'US OTHER'!$H$40</f>
        <v>0.14204708718901382</v>
      </c>
      <c r="N117" s="56"/>
      <c r="O117" s="66">
        <f>'US OTHER'!$D$44</f>
        <v>10.688801425562144</v>
      </c>
      <c r="P117" s="66">
        <f>'US OTHER'!$E$44</f>
        <v>9.0541039775975793</v>
      </c>
      <c r="Q117" s="66">
        <f>'US OTHER'!$F$44</f>
        <v>7.9165392708689435</v>
      </c>
      <c r="R117" s="66">
        <f>'US OTHER'!$G$44</f>
        <v>6.6136995679588573</v>
      </c>
      <c r="S117" s="55">
        <f>'US OTHER'!$H$44</f>
        <v>0.10233723564171293</v>
      </c>
      <c r="T117" s="56"/>
      <c r="U117" s="51"/>
      <c r="V117" s="58" t="str">
        <f>V57</f>
        <v>Agg. US CATV</v>
      </c>
      <c r="AE117" s="140"/>
      <c r="AF117" s="142"/>
      <c r="AG117" s="142"/>
      <c r="AH117" s="142"/>
      <c r="AK117" s="140"/>
      <c r="AL117" s="142"/>
      <c r="AM117" s="142"/>
      <c r="AN117" s="142"/>
    </row>
    <row r="118" spans="1:69">
      <c r="A118" s="41"/>
      <c r="C118" s="48"/>
      <c r="D118" s="44"/>
      <c r="E118" s="44"/>
      <c r="F118" s="45"/>
      <c r="G118" s="44"/>
      <c r="H118" s="46"/>
      <c r="I118" s="47"/>
      <c r="J118" s="47"/>
      <c r="K118" s="47"/>
      <c r="L118" s="47"/>
      <c r="M118" s="45"/>
      <c r="N118" s="46"/>
      <c r="O118" s="47"/>
      <c r="P118" s="47"/>
      <c r="Q118" s="47"/>
      <c r="R118" s="47"/>
      <c r="S118" s="45"/>
      <c r="T118" s="46"/>
      <c r="U118" s="48"/>
      <c r="V118" s="44"/>
      <c r="AE118" s="143"/>
      <c r="AF118" s="143"/>
      <c r="AG118" s="143"/>
      <c r="AH118" s="143"/>
      <c r="AK118" s="143"/>
      <c r="AL118" s="143"/>
      <c r="AM118" s="143"/>
      <c r="AN118" s="143"/>
    </row>
    <row r="119" spans="1:69" s="5" customFormat="1">
      <c r="A119" s="146"/>
      <c r="B119" s="42"/>
      <c r="C119" s="48"/>
      <c r="D119" s="44"/>
      <c r="E119" s="44"/>
      <c r="F119" s="45"/>
      <c r="G119" s="44"/>
      <c r="H119" s="46"/>
      <c r="I119" s="47"/>
      <c r="J119" s="47"/>
      <c r="K119" s="47"/>
      <c r="L119" s="47"/>
      <c r="M119" s="45"/>
      <c r="N119" s="46"/>
      <c r="O119" s="47"/>
      <c r="P119" s="47"/>
      <c r="Q119" s="47"/>
      <c r="R119" s="47"/>
      <c r="S119" s="45"/>
      <c r="T119" s="46"/>
      <c r="U119" s="48"/>
      <c r="V119" s="44"/>
      <c r="AB119" s="63"/>
      <c r="AI119" s="41"/>
      <c r="AJ119" s="64"/>
      <c r="AN119" s="64"/>
      <c r="AR119" s="64"/>
      <c r="AT119" s="69"/>
    </row>
    <row r="120" spans="1:69" s="5" customFormat="1">
      <c r="A120" s="146"/>
      <c r="B120" s="42"/>
      <c r="C120" s="51" t="str">
        <f>C60</f>
        <v>Agg. W Europe</v>
      </c>
      <c r="D120" s="52"/>
      <c r="E120" s="52"/>
      <c r="F120" s="53"/>
      <c r="G120" s="52"/>
      <c r="H120" s="46"/>
      <c r="I120" s="54">
        <f>'W.EUR AGG'!$D$40</f>
        <v>19.653638078606683</v>
      </c>
      <c r="J120" s="54">
        <f>'W.EUR AGG'!$E$40</f>
        <v>17.300868754542716</v>
      </c>
      <c r="K120" s="54">
        <f>'W.EUR AGG'!$F$40</f>
        <v>15.420833666494003</v>
      </c>
      <c r="L120" s="54">
        <f>'W.EUR AGG'!$G$40</f>
        <v>13.735373508519041</v>
      </c>
      <c r="M120" s="55">
        <f>'W.EUR AGG'!$H$40</f>
        <v>9.0702220723227311E-2</v>
      </c>
      <c r="N120" s="56"/>
      <c r="O120" s="54">
        <f>'W.EUR AGG'!$D$44</f>
        <v>15.527350757820667</v>
      </c>
      <c r="P120" s="54">
        <f>'W.EUR AGG'!$E$44</f>
        <v>13.595663869236551</v>
      </c>
      <c r="Q120" s="54">
        <f>'W.EUR AGG'!$F$44</f>
        <v>12.160903722983033</v>
      </c>
      <c r="R120" s="54">
        <f>'W.EUR AGG'!$G$44</f>
        <v>11.083505096159442</v>
      </c>
      <c r="S120" s="55">
        <f>'W.EUR AGG'!$H$44</f>
        <v>0.11057345490940995</v>
      </c>
      <c r="T120" s="46"/>
      <c r="U120" s="57"/>
      <c r="V120" s="58" t="str">
        <f>V60</f>
        <v>Agg. W Europe</v>
      </c>
      <c r="Z120" s="49"/>
      <c r="AT120" s="69"/>
    </row>
    <row r="121" spans="1:69">
      <c r="A121" s="41"/>
      <c r="C121" s="41" t="s">
        <v>1621</v>
      </c>
      <c r="D121" s="44"/>
      <c r="E121" s="44"/>
      <c r="F121" s="45"/>
      <c r="G121" s="44"/>
      <c r="H121" s="46"/>
      <c r="I121" s="60">
        <f>'US AGG'!D$40</f>
        <v>18.789857352831039</v>
      </c>
      <c r="J121" s="60">
        <f>'US AGG'!E$40</f>
        <v>16.175432733240356</v>
      </c>
      <c r="K121" s="60">
        <f>'US AGG'!F$40</f>
        <v>14.517381924003713</v>
      </c>
      <c r="L121" s="60">
        <f>'US AGG'!G$40</f>
        <v>12.606237080624195</v>
      </c>
      <c r="M121" s="59">
        <f>'US AGG'!H$40</f>
        <v>8.6168610036252424E-2</v>
      </c>
      <c r="N121" s="56"/>
      <c r="O121" s="60">
        <f>'US AGG'!D$44</f>
        <v>12.628564142523478</v>
      </c>
      <c r="P121" s="60">
        <f>'US AGG'!E$44</f>
        <v>11.804912559910679</v>
      </c>
      <c r="Q121" s="60">
        <f>'US AGG'!F$44</f>
        <v>10.642094651407794</v>
      </c>
      <c r="R121" s="60">
        <f>'US AGG'!G$44</f>
        <v>9.4268151484332279</v>
      </c>
      <c r="S121" s="59">
        <f>'US AGG'!H$44</f>
        <v>6.3334119736071282E-2</v>
      </c>
      <c r="T121" s="46"/>
      <c r="U121" s="48"/>
      <c r="V121" s="50" t="str">
        <f>V61</f>
        <v>Agg. US</v>
      </c>
      <c r="Z121" s="49"/>
      <c r="AB121" s="5"/>
      <c r="AT121" s="69"/>
    </row>
    <row r="122" spans="1:69" s="5" customFormat="1">
      <c r="A122" s="41"/>
      <c r="B122" s="42"/>
      <c r="C122" s="67" t="str">
        <f>C62</f>
        <v xml:space="preserve">Agg. Developed Asia </v>
      </c>
      <c r="D122" s="52"/>
      <c r="E122" s="52"/>
      <c r="F122" s="53"/>
      <c r="G122" s="52"/>
      <c r="H122" s="46"/>
      <c r="I122" s="54">
        <f>'AGG DM ASIA'!$D$40</f>
        <v>19.927376923165404</v>
      </c>
      <c r="J122" s="54">
        <f>'AGG DM ASIA'!$E$40</f>
        <v>15.137526678020246</v>
      </c>
      <c r="K122" s="54">
        <f>'AGG DM ASIA'!$F$40</f>
        <v>13.416425904872728</v>
      </c>
      <c r="L122" s="54">
        <f>'AGG DM ASIA'!$G$40</f>
        <v>11.907052643089225</v>
      </c>
      <c r="M122" s="55">
        <f>'AGG DM ASIA'!$H$40</f>
        <v>0.12167473553642627</v>
      </c>
      <c r="N122" s="56"/>
      <c r="O122" s="54">
        <f>'AGG DM ASIA'!$D$44</f>
        <v>15.062153469183468</v>
      </c>
      <c r="P122" s="54">
        <f>'AGG DM ASIA'!$E$44</f>
        <v>13.637269067433067</v>
      </c>
      <c r="Q122" s="54">
        <f>'AGG DM ASIA'!$F$44</f>
        <v>12.5479032720138</v>
      </c>
      <c r="R122" s="54">
        <f>'AGG DM ASIA'!$G$44</f>
        <v>11.585386341089469</v>
      </c>
      <c r="S122" s="55">
        <f>'AGG DM ASIA'!$H$44</f>
        <v>8.005825594684679E-2</v>
      </c>
      <c r="T122" s="46"/>
      <c r="U122" s="57"/>
      <c r="V122" s="58" t="str">
        <f>V62</f>
        <v xml:space="preserve">Agg. Developed Asia </v>
      </c>
      <c r="Z122" s="46"/>
      <c r="AB122" s="63"/>
      <c r="AT122" s="69"/>
    </row>
    <row r="123" spans="1:69">
      <c r="A123" s="41"/>
      <c r="C123" s="41"/>
      <c r="D123" s="44"/>
      <c r="E123" s="44"/>
      <c r="F123" s="45"/>
      <c r="G123" s="44"/>
      <c r="H123" s="46"/>
      <c r="I123" s="60"/>
      <c r="J123" s="60"/>
      <c r="K123" s="60"/>
      <c r="L123" s="60"/>
      <c r="M123" s="59"/>
      <c r="N123" s="56"/>
      <c r="O123" s="60"/>
      <c r="P123" s="60"/>
      <c r="Q123" s="60"/>
      <c r="R123" s="60"/>
      <c r="S123" s="59"/>
      <c r="T123" s="46"/>
      <c r="U123" s="48"/>
      <c r="V123" s="50"/>
      <c r="Z123" s="46"/>
      <c r="AB123" s="5"/>
      <c r="AE123" s="41"/>
    </row>
    <row r="124" spans="1:69">
      <c r="A124" s="41"/>
      <c r="C124" s="67" t="str">
        <f>C64</f>
        <v>Agg. Global Developed</v>
      </c>
      <c r="D124" s="52"/>
      <c r="E124" s="52"/>
      <c r="F124" s="53"/>
      <c r="G124" s="52"/>
      <c r="H124" s="46"/>
      <c r="I124" s="54">
        <f>'AGG DM'!$D$40</f>
        <v>19.213286909010346</v>
      </c>
      <c r="J124" s="54">
        <f>'AGG DM'!$E$40</f>
        <v>16.347188206412962</v>
      </c>
      <c r="K124" s="54">
        <f>'AGG DM'!$F$40</f>
        <v>14.618845003714046</v>
      </c>
      <c r="L124" s="54">
        <f>'AGG DM'!$G$40</f>
        <v>12.840265625641983</v>
      </c>
      <c r="M124" s="55">
        <f>'AGG DM'!$H$40</f>
        <v>9.2705111729584289E-2</v>
      </c>
      <c r="N124" s="56"/>
      <c r="O124" s="54">
        <f>'AGG DM'!$D$44</f>
        <v>13.624604105346204</v>
      </c>
      <c r="P124" s="54">
        <f>'AGG DM'!$E$44</f>
        <v>12.503028582967529</v>
      </c>
      <c r="Q124" s="54">
        <f>'AGG DM'!$F$44</f>
        <v>11.302702719097406</v>
      </c>
      <c r="R124" s="54">
        <f>'AGG DM'!$G$44</f>
        <v>10.160048566687355</v>
      </c>
      <c r="S124" s="55">
        <f>'AGG DM'!$H$44</f>
        <v>7.6119307301105277E-2</v>
      </c>
      <c r="T124" s="46"/>
      <c r="U124" s="57"/>
      <c r="V124" s="58" t="str">
        <f>V64</f>
        <v xml:space="preserve">Agg. Global Developed </v>
      </c>
      <c r="Z124" s="46"/>
      <c r="AI124" s="41"/>
      <c r="AJ124" s="64"/>
    </row>
    <row r="125" spans="1:69" s="5" customFormat="1">
      <c r="A125" s="41"/>
      <c r="B125" s="42"/>
      <c r="C125" s="43"/>
      <c r="D125" s="44"/>
      <c r="E125" s="44"/>
      <c r="F125" s="45"/>
      <c r="G125" s="44"/>
      <c r="M125" s="69"/>
      <c r="S125" s="69"/>
      <c r="U125" s="63"/>
      <c r="V125" s="63"/>
      <c r="Z125" s="46"/>
      <c r="AB125" s="63"/>
    </row>
    <row r="126" spans="1:69" s="5" customFormat="1">
      <c r="A126" s="41"/>
      <c r="B126" s="42"/>
      <c r="C126" s="43"/>
      <c r="D126" s="44"/>
      <c r="E126" s="44"/>
      <c r="F126" s="45"/>
      <c r="G126" s="44"/>
      <c r="M126" s="69"/>
      <c r="S126" s="69"/>
      <c r="U126" s="63"/>
      <c r="V126" s="63"/>
      <c r="Z126" s="46"/>
      <c r="AB126" s="63"/>
    </row>
    <row r="127" spans="1:69" s="41" customFormat="1">
      <c r="B127" s="147"/>
      <c r="C127" s="164"/>
      <c r="D127" s="165" t="s">
        <v>464</v>
      </c>
      <c r="E127" s="165" t="s">
        <v>57</v>
      </c>
      <c r="F127" s="165" t="s">
        <v>59</v>
      </c>
      <c r="G127" s="165" t="s">
        <v>56</v>
      </c>
      <c r="H127" s="49"/>
      <c r="I127" s="166" t="s">
        <v>580</v>
      </c>
      <c r="J127" s="166"/>
      <c r="K127" s="166"/>
      <c r="L127" s="166"/>
      <c r="M127" s="166"/>
      <c r="O127" s="166" t="s">
        <v>581</v>
      </c>
      <c r="P127" s="166"/>
      <c r="Q127" s="166"/>
      <c r="R127" s="166"/>
      <c r="S127" s="166"/>
      <c r="T127" s="49"/>
      <c r="U127" s="167" t="s">
        <v>464</v>
      </c>
      <c r="V127" s="165"/>
      <c r="Z127" s="49"/>
      <c r="AC127" s="135"/>
      <c r="AD127" s="136"/>
      <c r="AE127" s="136"/>
      <c r="AF127" s="136"/>
      <c r="AG127" s="136"/>
      <c r="AH127" s="136"/>
      <c r="AI127" s="136"/>
      <c r="AJ127" s="136"/>
      <c r="AK127" s="136"/>
      <c r="AL127" s="136"/>
      <c r="AM127" s="136"/>
      <c r="AN127" s="136"/>
      <c r="AO127" s="136"/>
      <c r="AP127" s="136"/>
      <c r="AQ127" s="136"/>
      <c r="AR127" s="136"/>
      <c r="AS127" s="136"/>
      <c r="AT127" s="136"/>
      <c r="AU127" s="136"/>
      <c r="AV127" s="136"/>
      <c r="AW127" s="136"/>
      <c r="BC127" s="137"/>
      <c r="BD127" s="137"/>
      <c r="BE127" s="137"/>
      <c r="BG127" s="137"/>
      <c r="BH127" s="137"/>
      <c r="BI127" s="137"/>
      <c r="BK127" s="137"/>
      <c r="BL127" s="137"/>
      <c r="BM127" s="137"/>
      <c r="BO127" s="137"/>
      <c r="BP127" s="137"/>
      <c r="BQ127" s="137"/>
    </row>
    <row r="128" spans="1:69" s="5" customFormat="1">
      <c r="A128" s="41" t="s">
        <v>506</v>
      </c>
      <c r="B128" s="42"/>
      <c r="C128" s="48" t="s">
        <v>186</v>
      </c>
      <c r="D128" s="44" t="str">
        <f t="shared" ref="D128:G138" si="16">D68</f>
        <v>GBP1.27</v>
      </c>
      <c r="E128" s="44" t="str">
        <f t="shared" si="16"/>
        <v>GBP1.95</v>
      </c>
      <c r="F128" s="45">
        <f t="shared" si="16"/>
        <v>0.53422501966955149</v>
      </c>
      <c r="G128" s="44" t="str">
        <f t="shared" si="16"/>
        <v>Buy</v>
      </c>
      <c r="H128" s="46"/>
      <c r="I128" s="621">
        <f>BT!$D$45</f>
        <v>6.1793863099921319E-2</v>
      </c>
      <c r="J128" s="621">
        <f>BT!$E$45</f>
        <v>6.3029740361919745E-2</v>
      </c>
      <c r="K128" s="621">
        <f>BT!$F$45</f>
        <v>6.4290335169158136E-2</v>
      </c>
      <c r="L128" s="621">
        <f>BT!$G$45</f>
        <v>7.7148402202989755E-2</v>
      </c>
      <c r="M128" s="621">
        <f>BT!$H$45</f>
        <v>7.3442742495179125E-2</v>
      </c>
      <c r="N128" s="46"/>
      <c r="O128" s="621">
        <f>BT!$D$47</f>
        <v>5.679450245736542E-2</v>
      </c>
      <c r="P128" s="621">
        <f>BT!$E$47</f>
        <v>6.1636033748928253E-2</v>
      </c>
      <c r="Q128" s="621">
        <f>BT!$F$47</f>
        <v>6.2816096471131788E-2</v>
      </c>
      <c r="R128" s="621">
        <f>BT!$G$47</f>
        <v>6.0957805942148106E-2</v>
      </c>
      <c r="S128" s="621">
        <f>BT!$H$47</f>
        <v>2.1177877769152698E-2</v>
      </c>
      <c r="T128" s="46"/>
      <c r="U128" s="48" t="str">
        <f t="shared" ref="U128:V132" si="17">U68</f>
        <v>GBP1.27</v>
      </c>
      <c r="V128" s="69" t="str">
        <f t="shared" si="17"/>
        <v>British Telecom</v>
      </c>
      <c r="Z128" s="46"/>
      <c r="AE128" s="41"/>
      <c r="AF128" s="31"/>
      <c r="AG128" s="31"/>
      <c r="AI128" s="41"/>
      <c r="AJ128" s="64"/>
      <c r="AK128" s="64"/>
      <c r="AM128" s="41"/>
      <c r="AN128" s="17"/>
      <c r="AO128" s="17"/>
      <c r="AQ128" s="41"/>
      <c r="AR128" s="18"/>
      <c r="AS128" s="18"/>
    </row>
    <row r="129" spans="1:45" s="5" customFormat="1">
      <c r="A129" s="41"/>
      <c r="B129" s="42"/>
      <c r="C129" s="48" t="s">
        <v>187</v>
      </c>
      <c r="D129" s="44" t="str">
        <f t="shared" si="16"/>
        <v>EUR 21.76</v>
      </c>
      <c r="E129" s="44" t="str">
        <f t="shared" si="16"/>
        <v>EUR 32.00</v>
      </c>
      <c r="F129" s="45">
        <f t="shared" si="16"/>
        <v>0.47058823529411753</v>
      </c>
      <c r="G129" s="44" t="str">
        <f t="shared" si="16"/>
        <v>Buy</v>
      </c>
      <c r="H129" s="46"/>
      <c r="I129" s="621">
        <f>DT!$D$45</f>
        <v>3.5386029411764705E-2</v>
      </c>
      <c r="J129" s="621">
        <f>DT!$E$45</f>
        <v>3.9632352941176473E-2</v>
      </c>
      <c r="K129" s="621">
        <f>DT!$F$45</f>
        <v>4.4388235294117652E-2</v>
      </c>
      <c r="L129" s="621">
        <f>DT!$G$45</f>
        <v>4.8827058823529425E-2</v>
      </c>
      <c r="M129" s="621">
        <f>DT!$H$45</f>
        <v>0.10580083205039381</v>
      </c>
      <c r="N129" s="46"/>
      <c r="O129" s="621">
        <f>DT!$D$47</f>
        <v>8.3750870003733754E-2</v>
      </c>
      <c r="P129" s="621">
        <f>DT!$E$47</f>
        <v>0.10058323447129462</v>
      </c>
      <c r="Q129" s="621">
        <f>DT!$F$47</f>
        <v>0.10919311992087276</v>
      </c>
      <c r="R129" s="621">
        <f>DT!$G$47</f>
        <v>0.11635823518332687</v>
      </c>
      <c r="S129" s="621">
        <f>DT!$H$47</f>
        <v>0.10877514243241104</v>
      </c>
      <c r="T129" s="46"/>
      <c r="U129" s="48" t="str">
        <f t="shared" si="17"/>
        <v>EUR 21.76</v>
      </c>
      <c r="V129" s="69" t="str">
        <f t="shared" si="17"/>
        <v>Deutsche Telekom</v>
      </c>
      <c r="Z129" s="46"/>
      <c r="AE129" s="41"/>
      <c r="AF129" s="31"/>
      <c r="AG129" s="31"/>
      <c r="AI129" s="41"/>
      <c r="AJ129" s="64"/>
      <c r="AK129" s="64"/>
      <c r="AM129" s="41"/>
      <c r="AN129" s="17"/>
      <c r="AO129" s="17"/>
      <c r="AQ129" s="41"/>
      <c r="AR129" s="18"/>
      <c r="AS129" s="18"/>
    </row>
    <row r="130" spans="1:45" s="5" customFormat="1">
      <c r="A130" s="41"/>
      <c r="B130" s="42"/>
      <c r="C130" s="48" t="s">
        <v>458</v>
      </c>
      <c r="D130" s="44" t="str">
        <f t="shared" si="16"/>
        <v>EUR 3.44</v>
      </c>
      <c r="E130" s="44" t="str">
        <f t="shared" si="16"/>
        <v>EUR 3.70</v>
      </c>
      <c r="F130" s="45">
        <f t="shared" si="16"/>
        <v>7.4332171893147558E-2</v>
      </c>
      <c r="G130" s="44" t="str">
        <f t="shared" si="16"/>
        <v>Neutral</v>
      </c>
      <c r="H130" s="46"/>
      <c r="I130" s="621">
        <f>KPN!$D$45</f>
        <v>4.3597560975609767E-2</v>
      </c>
      <c r="J130" s="621">
        <f>KPN!$E$45</f>
        <v>4.9361207897793274E-2</v>
      </c>
      <c r="K130" s="621">
        <f>KPN!$F$45</f>
        <v>5.2816492450638804E-2</v>
      </c>
      <c r="L130" s="621">
        <f>KPN!$G$45</f>
        <v>5.6513646922183525E-2</v>
      </c>
      <c r="M130" s="621">
        <f>KPN!$H$45</f>
        <v>7.6192378255129034E-2</v>
      </c>
      <c r="N130" s="46"/>
      <c r="O130" s="621">
        <f>KPN!$D$47</f>
        <v>5.9159152797275127E-2</v>
      </c>
      <c r="P130" s="621">
        <f>KPN!$E$47</f>
        <v>6.1602252843160121E-2</v>
      </c>
      <c r="Q130" s="621">
        <f>KPN!$F$47</f>
        <v>6.3657485914475731E-2</v>
      </c>
      <c r="R130" s="621">
        <f>KPN!$G$47</f>
        <v>6.5760229779420726E-2</v>
      </c>
      <c r="S130" s="621">
        <f>KPN!$H$47</f>
        <v>2.3645458783409401E-2</v>
      </c>
      <c r="T130" s="46"/>
      <c r="U130" s="48" t="str">
        <f t="shared" si="17"/>
        <v>EUR 3.44</v>
      </c>
      <c r="V130" s="69" t="str">
        <f t="shared" si="17"/>
        <v>KPN</v>
      </c>
      <c r="Z130" s="46"/>
      <c r="AE130" s="41"/>
      <c r="AF130" s="31"/>
      <c r="AG130" s="31"/>
      <c r="AI130" s="41"/>
      <c r="AJ130" s="64"/>
      <c r="AK130" s="64"/>
      <c r="AM130" s="41"/>
      <c r="AN130" s="17"/>
      <c r="AO130" s="17"/>
      <c r="AQ130" s="41"/>
      <c r="AR130" s="18"/>
      <c r="AS130" s="18"/>
    </row>
    <row r="131" spans="1:45" s="5" customFormat="1">
      <c r="A131" s="41"/>
      <c r="B131" s="42"/>
      <c r="C131" s="48" t="s">
        <v>728</v>
      </c>
      <c r="D131" s="44" t="str">
        <f t="shared" si="16"/>
        <v>EUR 10.68</v>
      </c>
      <c r="E131" s="44" t="str">
        <f t="shared" si="16"/>
        <v>EUR 14.00</v>
      </c>
      <c r="F131" s="45">
        <f t="shared" si="16"/>
        <v>0.31147540983606548</v>
      </c>
      <c r="G131" s="44" t="str">
        <f t="shared" si="16"/>
        <v>Buy</v>
      </c>
      <c r="H131" s="46"/>
      <c r="I131" s="621">
        <f>ORA!$D$45</f>
        <v>6.7447306791569087E-2</v>
      </c>
      <c r="J131" s="621">
        <f>ORA!$E$45</f>
        <v>7.0257611241217793E-2</v>
      </c>
      <c r="K131" s="621">
        <f>ORA!$F$45</f>
        <v>7.3067915690866514E-2</v>
      </c>
      <c r="L131" s="621">
        <f>ORA!$G$45</f>
        <v>7.5990632318501158E-2</v>
      </c>
      <c r="M131" s="621">
        <f>ORA!$H$45</f>
        <v>4.0555259048362657E-2</v>
      </c>
      <c r="N131" s="46"/>
      <c r="O131" s="621">
        <f>ORA!$D$47</f>
        <v>8.053442180135495E-2</v>
      </c>
      <c r="P131" s="621">
        <f>ORA!$E$47</f>
        <v>7.1862433073922996E-2</v>
      </c>
      <c r="Q131" s="621">
        <f>ORA!$F$47</f>
        <v>8.9500332021719489E-2</v>
      </c>
      <c r="R131" s="621">
        <f>ORA!$G$47</f>
        <v>0.10431324748400322</v>
      </c>
      <c r="S131" s="621">
        <f>ORA!$H$47</f>
        <v>9.0065614685052475E-2</v>
      </c>
      <c r="T131" s="46"/>
      <c r="U131" s="48" t="str">
        <f t="shared" si="17"/>
        <v>EUR 10.68</v>
      </c>
      <c r="V131" s="69" t="str">
        <f t="shared" si="17"/>
        <v>Orange</v>
      </c>
      <c r="Z131" s="46"/>
      <c r="AE131" s="41"/>
      <c r="AF131" s="31"/>
      <c r="AG131" s="31"/>
      <c r="AI131" s="41"/>
      <c r="AJ131" s="64"/>
      <c r="AK131" s="64"/>
      <c r="AM131" s="41"/>
      <c r="AN131" s="17"/>
      <c r="AO131" s="17"/>
      <c r="AQ131" s="41"/>
      <c r="AR131" s="18"/>
      <c r="AS131" s="18"/>
    </row>
    <row r="132" spans="1:45" s="5" customFormat="1">
      <c r="A132" s="41"/>
      <c r="B132" s="42"/>
      <c r="C132" s="48" t="s">
        <v>459</v>
      </c>
      <c r="D132" s="44" t="str">
        <f t="shared" si="16"/>
        <v>EUR 13.75</v>
      </c>
      <c r="E132" s="44" t="str">
        <f t="shared" si="16"/>
        <v>EUR 22.00</v>
      </c>
      <c r="F132" s="45">
        <f t="shared" si="16"/>
        <v>0.60000000000000009</v>
      </c>
      <c r="G132" s="44" t="str">
        <f t="shared" si="16"/>
        <v>Neutral</v>
      </c>
      <c r="H132" s="46"/>
      <c r="I132" s="621">
        <f>OTE!$D$45</f>
        <v>4.4290909090909089E-2</v>
      </c>
      <c r="J132" s="621">
        <f>OTE!$E$45</f>
        <v>5.163636363636364E-2</v>
      </c>
      <c r="K132" s="621">
        <f>OTE!$F$45</f>
        <v>5.4218181818181804E-2</v>
      </c>
      <c r="L132" s="621">
        <f>OTE!$G$45</f>
        <v>5.6929090909090908E-2</v>
      </c>
      <c r="M132" s="621">
        <f>OTE!$H$45</f>
        <v>5.2838609974597883E-2</v>
      </c>
      <c r="N132" s="46"/>
      <c r="O132" s="621">
        <f>OTE!$D$47</f>
        <v>8.4824545076436705E-2</v>
      </c>
      <c r="P132" s="621">
        <f>OTE!$E$47</f>
        <v>9.1587084003436042E-2</v>
      </c>
      <c r="Q132" s="621">
        <f>OTE!$F$47</f>
        <v>9.4453630236049746E-2</v>
      </c>
      <c r="R132" s="621">
        <f>OTE!$G$47</f>
        <v>9.5852885395495385E-2</v>
      </c>
      <c r="S132" s="621">
        <f>OTE!$H$47</f>
        <v>1.2709498849363232E-2</v>
      </c>
      <c r="T132" s="46"/>
      <c r="U132" s="48" t="str">
        <f t="shared" si="17"/>
        <v>EUR 13.75</v>
      </c>
      <c r="V132" s="69" t="str">
        <f t="shared" si="17"/>
        <v>OTE</v>
      </c>
      <c r="Z132" s="46"/>
      <c r="AE132" s="41"/>
      <c r="AF132" s="31"/>
      <c r="AG132" s="31"/>
      <c r="AI132" s="41"/>
      <c r="AJ132" s="64"/>
      <c r="AK132" s="64"/>
      <c r="AM132" s="41"/>
      <c r="AN132" s="17"/>
      <c r="AO132" s="17"/>
      <c r="AQ132" s="41"/>
      <c r="AR132" s="18"/>
      <c r="AS132" s="18"/>
    </row>
    <row r="133" spans="1:45" s="5" customFormat="1">
      <c r="A133" s="41"/>
      <c r="B133" s="42"/>
      <c r="C133" s="48" t="s">
        <v>817</v>
      </c>
      <c r="D133" s="44" t="str">
        <f t="shared" si="16"/>
        <v>EUR 7.4</v>
      </c>
      <c r="E133" s="44" t="str">
        <f t="shared" si="16"/>
        <v>EUR 10.0</v>
      </c>
      <c r="F133" s="45">
        <f t="shared" si="16"/>
        <v>0.35135135135135132</v>
      </c>
      <c r="G133" s="44" t="str">
        <f t="shared" si="16"/>
        <v>Neutral</v>
      </c>
      <c r="H133" s="46"/>
      <c r="I133" s="621">
        <f>PROX!$D$45</f>
        <v>0.16216216216216214</v>
      </c>
      <c r="J133" s="621">
        <f>PROX!$E$45</f>
        <v>0.13513513513513511</v>
      </c>
      <c r="K133" s="621">
        <f>PROX!$F$45</f>
        <v>8.1081081081081072E-2</v>
      </c>
      <c r="L133" s="621">
        <f>PROX!$G$45</f>
        <v>8.1081081081081072E-2</v>
      </c>
      <c r="M133" s="621">
        <f>PROX!$H$45</f>
        <v>-0.20629947401590021</v>
      </c>
      <c r="N133" s="46"/>
      <c r="O133" s="621">
        <f>PROX!$D$47</f>
        <v>5.4251288921456801E-2</v>
      </c>
      <c r="P133" s="621">
        <f>PROX!$E$47</f>
        <v>4.6028200198913398E-2</v>
      </c>
      <c r="Q133" s="621">
        <f>PROX!$F$47</f>
        <v>6.9435919233359664E-2</v>
      </c>
      <c r="R133" s="621">
        <f>PROX!$G$47</f>
        <v>5.5076365736346632E-2</v>
      </c>
      <c r="S133" s="621">
        <f>PROX!$H$47</f>
        <v>5.0439913348343524E-3</v>
      </c>
      <c r="T133" s="46"/>
      <c r="U133" s="48" t="str">
        <f t="shared" ref="U133:U138" si="18">U73</f>
        <v>EUR 7.4</v>
      </c>
      <c r="V133" s="69" t="s">
        <v>817</v>
      </c>
      <c r="Z133" s="46"/>
      <c r="AE133" s="41"/>
      <c r="AF133" s="31"/>
      <c r="AG133" s="31"/>
      <c r="AI133" s="41"/>
      <c r="AJ133" s="64"/>
      <c r="AK133" s="64"/>
      <c r="AM133" s="41"/>
      <c r="AN133" s="17"/>
      <c r="AO133" s="17"/>
      <c r="AQ133" s="41"/>
      <c r="AR133" s="18"/>
      <c r="AS133" s="18"/>
    </row>
    <row r="134" spans="1:45">
      <c r="C134" s="48" t="s">
        <v>463</v>
      </c>
      <c r="D134" s="44" t="str">
        <f t="shared" si="16"/>
        <v>CHF492</v>
      </c>
      <c r="E134" s="44" t="str">
        <f t="shared" si="16"/>
        <v>CHF620</v>
      </c>
      <c r="F134" s="45">
        <f t="shared" si="16"/>
        <v>0.26016260162601634</v>
      </c>
      <c r="G134" s="44" t="str">
        <f t="shared" si="16"/>
        <v>Neutral</v>
      </c>
      <c r="H134" s="46"/>
      <c r="I134" s="621">
        <f>SWISS!$D$45</f>
        <v>4.4715447154471545E-2</v>
      </c>
      <c r="J134" s="621">
        <f>SWISS!$E$45</f>
        <v>4.4715447154471545E-2</v>
      </c>
      <c r="K134" s="621">
        <f>SWISS!$F$45</f>
        <v>4.4715447154471545E-2</v>
      </c>
      <c r="L134" s="621">
        <f>SWISS!$G$45</f>
        <v>4.4715447154471545E-2</v>
      </c>
      <c r="M134" s="621">
        <f>SWISS!$H$45</f>
        <v>0</v>
      </c>
      <c r="N134" s="46"/>
      <c r="O134" s="621">
        <f>SWISS!$D$47</f>
        <v>5.7378672586715633E-2</v>
      </c>
      <c r="P134" s="621">
        <f>SWISS!$E$47</f>
        <v>5.5074854636527094E-2</v>
      </c>
      <c r="Q134" s="621">
        <f>SWISS!$F$47</f>
        <v>5.4725391613188755E-2</v>
      </c>
      <c r="R134" s="621">
        <f>SWISS!$G$47</f>
        <v>5.4353897154384982E-2</v>
      </c>
      <c r="S134" s="621">
        <f>SWISS!$H$47</f>
        <v>-1.7890156799031165E-2</v>
      </c>
      <c r="T134" s="46"/>
      <c r="U134" s="48" t="str">
        <f t="shared" si="18"/>
        <v>CHF492</v>
      </c>
      <c r="V134" s="69" t="str">
        <f t="shared" ref="V134:V139" si="19">V74</f>
        <v>Swisscom</v>
      </c>
    </row>
    <row r="135" spans="1:45" s="5" customFormat="1">
      <c r="A135" s="41"/>
      <c r="B135" s="42"/>
      <c r="C135" s="48" t="s">
        <v>270</v>
      </c>
      <c r="D135" s="44" t="str">
        <f t="shared" si="16"/>
        <v>EUR 0.25</v>
      </c>
      <c r="E135" s="44" t="str">
        <f t="shared" si="16"/>
        <v>EUR 0.35</v>
      </c>
      <c r="F135" s="45">
        <f t="shared" si="16"/>
        <v>0.42103126268777902</v>
      </c>
      <c r="G135" s="44" t="str">
        <f t="shared" si="16"/>
        <v>Buy</v>
      </c>
      <c r="H135" s="46"/>
      <c r="I135" s="621">
        <f>TI!$D$45</f>
        <v>0</v>
      </c>
      <c r="J135" s="621">
        <f>TI!$E$45</f>
        <v>0</v>
      </c>
      <c r="K135" s="621">
        <f>TI!$F$45</f>
        <v>0</v>
      </c>
      <c r="L135" s="621">
        <f>TI!$G$45</f>
        <v>0</v>
      </c>
      <c r="M135" s="621" t="str">
        <f>TI!$H$45</f>
        <v>nm</v>
      </c>
      <c r="N135" s="46"/>
      <c r="O135" s="621">
        <f>TI!$D$47</f>
        <v>-0.21178683311273799</v>
      </c>
      <c r="P135" s="621">
        <f>TI!$E$47</f>
        <v>-0.12914032217269245</v>
      </c>
      <c r="Q135" s="621">
        <f>TI!$F$47</f>
        <v>-9.7224197222055733E-2</v>
      </c>
      <c r="R135" s="621">
        <f>TI!$G$47</f>
        <v>-3.7123454634732191E-2</v>
      </c>
      <c r="S135" s="621">
        <f>TI!$H$47</f>
        <v>-0.44035004149464663</v>
      </c>
      <c r="T135" s="46"/>
      <c r="U135" s="48" t="str">
        <f t="shared" si="18"/>
        <v>EUR 0.25</v>
      </c>
      <c r="V135" s="69" t="str">
        <f t="shared" si="19"/>
        <v>Telecom Italia</v>
      </c>
      <c r="Z135" s="46"/>
      <c r="AE135" s="41"/>
      <c r="AF135" s="31"/>
      <c r="AG135" s="31"/>
      <c r="AI135" s="41"/>
      <c r="AJ135" s="64"/>
      <c r="AK135" s="64"/>
      <c r="AM135" s="41"/>
      <c r="AN135" s="17"/>
      <c r="AO135" s="17"/>
      <c r="AQ135" s="41"/>
      <c r="AR135" s="18"/>
      <c r="AS135" s="18"/>
    </row>
    <row r="136" spans="1:45" s="5" customFormat="1">
      <c r="A136" s="41"/>
      <c r="B136" s="42"/>
      <c r="C136" s="48" t="s">
        <v>461</v>
      </c>
      <c r="D136" s="44" t="str">
        <f t="shared" si="16"/>
        <v>EUR 4.16</v>
      </c>
      <c r="E136" s="44" t="str">
        <f t="shared" si="16"/>
        <v>EUR 4.80</v>
      </c>
      <c r="F136" s="45">
        <f t="shared" si="16"/>
        <v>0.15523465703971118</v>
      </c>
      <c r="G136" s="44" t="str">
        <f t="shared" si="16"/>
        <v>Buy</v>
      </c>
      <c r="H136" s="46"/>
      <c r="I136" s="621">
        <f>TEF!$D$45</f>
        <v>7.2202166064981949E-2</v>
      </c>
      <c r="J136" s="621">
        <f>TEF!$E$45</f>
        <v>7.2202166064981949E-2</v>
      </c>
      <c r="K136" s="621">
        <f>TEF!$F$45</f>
        <v>7.2202166064981949E-2</v>
      </c>
      <c r="L136" s="621">
        <f>TEF!$G$45</f>
        <v>7.2202166064981949E-2</v>
      </c>
      <c r="M136" s="621">
        <f>TEF!$H$45</f>
        <v>0</v>
      </c>
      <c r="N136" s="46"/>
      <c r="O136" s="621">
        <f>TEF!$D$47</f>
        <v>5.9201665486450991E-2</v>
      </c>
      <c r="P136" s="621">
        <f>TEF!$E$47</f>
        <v>4.3478130576789238E-2</v>
      </c>
      <c r="Q136" s="621">
        <f>TEF!$F$47</f>
        <v>0.1024182227222064</v>
      </c>
      <c r="R136" s="621">
        <f>TEF!$G$47</f>
        <v>0.12708441028501707</v>
      </c>
      <c r="S136" s="621">
        <f>TEF!$H$47</f>
        <v>0.24292150793193068</v>
      </c>
      <c r="T136" s="46"/>
      <c r="U136" s="48" t="str">
        <f t="shared" si="18"/>
        <v>EUR 4.16</v>
      </c>
      <c r="V136" s="69" t="str">
        <f t="shared" si="19"/>
        <v>Telefonica</v>
      </c>
      <c r="Z136" s="46"/>
      <c r="AE136" s="41"/>
      <c r="AF136" s="31"/>
      <c r="AG136" s="31"/>
      <c r="AI136" s="41"/>
      <c r="AJ136" s="64"/>
      <c r="AK136" s="64"/>
      <c r="AM136" s="41"/>
      <c r="AN136" s="17"/>
      <c r="AO136" s="17"/>
      <c r="AQ136" s="41"/>
      <c r="AR136" s="18"/>
      <c r="AS136" s="18"/>
    </row>
    <row r="137" spans="1:45" s="5" customFormat="1">
      <c r="A137" s="41"/>
      <c r="B137" s="42"/>
      <c r="C137" s="48" t="s">
        <v>462</v>
      </c>
      <c r="D137" s="44" t="str">
        <f t="shared" si="16"/>
        <v>NOK 124</v>
      </c>
      <c r="E137" s="44" t="str">
        <f t="shared" si="16"/>
        <v>NOK 136</v>
      </c>
      <c r="F137" s="45">
        <f t="shared" si="16"/>
        <v>9.9434114793855999E-2</v>
      </c>
      <c r="G137" s="44" t="str">
        <f t="shared" si="16"/>
        <v>Buy</v>
      </c>
      <c r="H137" s="46"/>
      <c r="I137" s="621">
        <f>TNOR!$D$45</f>
        <v>7.7130153597413084E-2</v>
      </c>
      <c r="J137" s="621">
        <f>TNOR!$E$45</f>
        <v>7.8287105901374276E-2</v>
      </c>
      <c r="K137" s="621">
        <f>TNOR!$F$45</f>
        <v>7.9852848019401762E-2</v>
      </c>
      <c r="L137" s="621">
        <f>TNOR!$G$45</f>
        <v>8.2647697700080819E-2</v>
      </c>
      <c r="M137" s="621">
        <f>TNOR!$H$45</f>
        <v>2.0347606146203789E-2</v>
      </c>
      <c r="N137" s="46"/>
      <c r="O137" s="621">
        <f>TNOR!$D$47</f>
        <v>4.8774314913023128E-2</v>
      </c>
      <c r="P137" s="621">
        <f>TNOR!$E$47</f>
        <v>5.5125946701588477E-2</v>
      </c>
      <c r="Q137" s="621">
        <f>TNOR!$F$47</f>
        <v>6.4009550723618427E-2</v>
      </c>
      <c r="R137" s="621">
        <f>TNOR!$G$47</f>
        <v>7.3667934181807546E-2</v>
      </c>
      <c r="S137" s="621">
        <f>TNOR!$H$47</f>
        <v>0.14469402980253543</v>
      </c>
      <c r="T137" s="46"/>
      <c r="U137" s="48" t="str">
        <f t="shared" si="18"/>
        <v>NOK 124</v>
      </c>
      <c r="V137" s="44" t="str">
        <f t="shared" si="19"/>
        <v>Telenor</v>
      </c>
      <c r="Z137" s="46"/>
      <c r="AE137" s="41"/>
      <c r="AF137" s="31"/>
      <c r="AG137" s="31"/>
      <c r="AI137" s="41"/>
      <c r="AJ137" s="64"/>
      <c r="AK137" s="64"/>
      <c r="AM137" s="41"/>
      <c r="AN137" s="17"/>
      <c r="AO137" s="17"/>
      <c r="AQ137" s="41"/>
      <c r="AR137" s="18"/>
      <c r="AS137" s="18"/>
    </row>
    <row r="138" spans="1:45" s="5" customFormat="1">
      <c r="A138" s="41"/>
      <c r="B138" s="42"/>
      <c r="C138" s="48" t="s">
        <v>1039</v>
      </c>
      <c r="D138" s="44" t="str">
        <f t="shared" si="16"/>
        <v>SEK26.4</v>
      </c>
      <c r="E138" s="44" t="str">
        <f t="shared" si="16"/>
        <v>SEK36.0</v>
      </c>
      <c r="F138" s="45">
        <f t="shared" si="16"/>
        <v>0.36415308829101933</v>
      </c>
      <c r="G138" s="44" t="str">
        <f t="shared" si="16"/>
        <v>Buy</v>
      </c>
      <c r="H138" s="46"/>
      <c r="I138" s="621">
        <f>TELIA!$D$45</f>
        <v>7.5786282682834397E-2</v>
      </c>
      <c r="J138" s="621">
        <f>TELIA!$E$45</f>
        <v>7.5786282682834397E-2</v>
      </c>
      <c r="K138" s="621">
        <f>TELIA!$F$45</f>
        <v>7.7680939749905253E-2</v>
      </c>
      <c r="L138" s="621">
        <f>TELIA!$G$45</f>
        <v>7.9622963243652894E-2</v>
      </c>
      <c r="M138" s="621">
        <f>TELIA!$H$45</f>
        <v>1.6597982758808305E-2</v>
      </c>
      <c r="N138" s="46"/>
      <c r="O138" s="621">
        <f>TELIA!$D$47</f>
        <v>6.0728862661683126E-2</v>
      </c>
      <c r="P138" s="621">
        <f>TELIA!$E$47</f>
        <v>6.3835751484454958E-2</v>
      </c>
      <c r="Q138" s="621">
        <f>TELIA!$F$47</f>
        <v>6.7553472853447552E-2</v>
      </c>
      <c r="R138" s="621">
        <f>TELIA!$G$47</f>
        <v>6.7046382561179091E-2</v>
      </c>
      <c r="S138" s="621">
        <f>TELIA!$H$47</f>
        <v>3.3538679303158458E-2</v>
      </c>
      <c r="T138" s="46"/>
      <c r="U138" s="48" t="str">
        <f t="shared" si="18"/>
        <v>SEK26.4</v>
      </c>
      <c r="V138" s="44" t="str">
        <f t="shared" si="19"/>
        <v>TeliaSonera</v>
      </c>
      <c r="Z138" s="46"/>
      <c r="AE138" s="41"/>
      <c r="AF138" s="31"/>
      <c r="AG138" s="31"/>
      <c r="AI138" s="41"/>
      <c r="AJ138" s="64"/>
      <c r="AK138" s="64"/>
      <c r="AM138" s="41"/>
      <c r="AN138" s="17"/>
      <c r="AO138" s="17"/>
      <c r="AQ138" s="41"/>
      <c r="AR138" s="18"/>
      <c r="AS138" s="18"/>
    </row>
    <row r="139" spans="1:45" s="5" customFormat="1">
      <c r="A139" s="41"/>
      <c r="B139" s="42"/>
      <c r="C139" s="51" t="str">
        <f>C79</f>
        <v>Agg. W.Europe Incumbent</v>
      </c>
      <c r="D139" s="52"/>
      <c r="E139" s="52"/>
      <c r="F139" s="53"/>
      <c r="G139" s="52"/>
      <c r="H139" s="46"/>
      <c r="I139" s="622">
        <f>'W.EUR INCUMB'!$D$45</f>
        <v>4.9929768285127372E-2</v>
      </c>
      <c r="J139" s="622">
        <f>'W.EUR INCUMB'!$E$45</f>
        <v>5.2540326500089954E-2</v>
      </c>
      <c r="K139" s="622">
        <f>'W.EUR INCUMB'!$F$45</f>
        <v>5.4852141769022943E-2</v>
      </c>
      <c r="L139" s="622">
        <f>'W.EUR INCUMB'!$G$45</f>
        <v>5.8322596586761276E-2</v>
      </c>
      <c r="M139" s="622">
        <f>'W.EUR INCUMB'!$H$45</f>
        <v>4.8261067786518064E-2</v>
      </c>
      <c r="N139" s="56"/>
      <c r="O139" s="622">
        <f>'W.EUR INCUMB'!$D$47</f>
        <v>6.5065217012508891E-2</v>
      </c>
      <c r="P139" s="622">
        <f>'W.EUR INCUMB'!$E$47</f>
        <v>7.1939956657294191E-2</v>
      </c>
      <c r="Q139" s="622">
        <f>'W.EUR INCUMB'!$F$47</f>
        <v>8.4688087256395234E-2</v>
      </c>
      <c r="R139" s="622">
        <f>'W.EUR INCUMB'!$G$47</f>
        <v>9.2843660909272999E-2</v>
      </c>
      <c r="S139" s="622">
        <f>'W.EUR INCUMB'!$H$47</f>
        <v>0.11736524628436351</v>
      </c>
      <c r="T139" s="46"/>
      <c r="U139" s="57"/>
      <c r="V139" s="58" t="str">
        <f t="shared" si="19"/>
        <v>Agg. W.Europe Incumbent</v>
      </c>
      <c r="Z139" s="46"/>
      <c r="AE139" s="41"/>
      <c r="AF139" s="31"/>
      <c r="AG139" s="31"/>
      <c r="AI139" s="41"/>
      <c r="AJ139" s="64"/>
      <c r="AK139" s="64"/>
      <c r="AM139" s="41"/>
      <c r="AN139" s="17"/>
      <c r="AO139" s="17"/>
      <c r="AQ139" s="41"/>
      <c r="AR139" s="18"/>
      <c r="AS139" s="18"/>
    </row>
    <row r="140" spans="1:45" s="5" customFormat="1">
      <c r="A140" s="41"/>
      <c r="B140" s="42"/>
      <c r="C140" s="48"/>
      <c r="D140" s="44"/>
      <c r="E140" s="44"/>
      <c r="F140" s="45"/>
      <c r="G140" s="44"/>
      <c r="H140" s="46"/>
      <c r="I140" s="621"/>
      <c r="J140" s="621"/>
      <c r="K140" s="621"/>
      <c r="L140" s="621"/>
      <c r="M140" s="621"/>
      <c r="N140" s="46"/>
      <c r="O140" s="621"/>
      <c r="P140" s="621"/>
      <c r="Q140" s="621"/>
      <c r="R140" s="621"/>
      <c r="S140" s="621"/>
      <c r="T140" s="46"/>
      <c r="U140" s="48"/>
      <c r="V140" s="44"/>
      <c r="Z140" s="46"/>
      <c r="AE140" s="41"/>
      <c r="AF140" s="31"/>
      <c r="AG140" s="31"/>
      <c r="AI140" s="41"/>
      <c r="AJ140" s="64"/>
      <c r="AK140" s="64"/>
      <c r="AM140" s="41"/>
      <c r="AN140" s="17"/>
      <c r="AO140" s="17"/>
      <c r="AQ140" s="41"/>
      <c r="AR140" s="18"/>
      <c r="AS140" s="18"/>
    </row>
    <row r="141" spans="1:45" s="5" customFormat="1">
      <c r="A141" s="41"/>
      <c r="B141" s="42" t="s">
        <v>519</v>
      </c>
      <c r="C141" s="48" t="s">
        <v>491</v>
      </c>
      <c r="D141" s="44" t="str">
        <f>B141&amp;TEXT(Prices!$C$40,"0.0")</f>
        <v>US$17.5</v>
      </c>
      <c r="E141" s="44" t="str">
        <f>B141&amp;TEXT(Prices!$E$40,"0.00")</f>
        <v>US$21.00</v>
      </c>
      <c r="F141" s="45">
        <f>Prices!$F$40</f>
        <v>0.19999999999999996</v>
      </c>
      <c r="G141" s="44" t="str">
        <f>Prices!$D$40</f>
        <v>Neutral</v>
      </c>
      <c r="H141" s="46"/>
      <c r="I141" s="621">
        <f>ATT!D$45</f>
        <v>6.4692727435369884E-2</v>
      </c>
      <c r="J141" s="621">
        <f>ATT!$E$45</f>
        <v>6.4703895742694251E-2</v>
      </c>
      <c r="K141" s="621">
        <f>ATT!$F$45</f>
        <v>6.4703895742694251E-2</v>
      </c>
      <c r="L141" s="621">
        <f>ATT!$G$45</f>
        <v>6.4703895742694251E-2</v>
      </c>
      <c r="M141" s="621">
        <f>ATT!$H$45</f>
        <v>2.6623524164381962E-4</v>
      </c>
      <c r="N141" s="46"/>
      <c r="O141" s="621">
        <f>ATT!D$47</f>
        <v>9.9238061015016865E-2</v>
      </c>
      <c r="P141" s="621">
        <f>ATT!E$47</f>
        <v>0.1133531275802287</v>
      </c>
      <c r="Q141" s="621">
        <f>ATT!F$47</f>
        <v>0.12208632591804851</v>
      </c>
      <c r="R141" s="621">
        <f>ATT!G$47</f>
        <v>0.12892261434177377</v>
      </c>
      <c r="S141" s="621">
        <f>ATT!$H$47</f>
        <v>9.1375576939584535E-2</v>
      </c>
      <c r="T141" s="46"/>
      <c r="U141" s="48" t="str">
        <f t="shared" ref="U141:V143" si="20">U81</f>
        <v>USD17.5</v>
      </c>
      <c r="V141" s="44" t="str">
        <f t="shared" si="20"/>
        <v>AT&amp;T</v>
      </c>
      <c r="Z141" s="46"/>
      <c r="AE141" s="41"/>
      <c r="AF141" s="31"/>
      <c r="AG141" s="31"/>
      <c r="AI141" s="41"/>
      <c r="AJ141" s="64"/>
      <c r="AK141" s="64"/>
      <c r="AM141" s="41"/>
      <c r="AN141" s="17"/>
      <c r="AO141" s="17"/>
      <c r="AQ141" s="41"/>
      <c r="AR141" s="18"/>
      <c r="AS141" s="18"/>
    </row>
    <row r="142" spans="1:45" s="5" customFormat="1">
      <c r="A142" s="146"/>
      <c r="B142" s="42" t="s">
        <v>519</v>
      </c>
      <c r="C142" s="48" t="s">
        <v>693</v>
      </c>
      <c r="D142" s="44" t="str">
        <f>B142&amp;TEXT(Prices!$C$41,"0.0")</f>
        <v>US$166.0</v>
      </c>
      <c r="E142" s="44" t="str">
        <f>B142&amp;TEXT(Prices!$E$41,"0.0")</f>
        <v>US$205.0</v>
      </c>
      <c r="F142" s="45">
        <f>Prices!$F$41</f>
        <v>0.23493975903614461</v>
      </c>
      <c r="G142" s="44" t="str">
        <f>Prices!$D$41</f>
        <v>Buy</v>
      </c>
      <c r="H142" s="46"/>
      <c r="I142" s="621">
        <f>TMUS!$D$45</f>
        <v>3.6260843640606062E-3</v>
      </c>
      <c r="J142" s="621">
        <f>TMUS!$E$45</f>
        <v>1.5849150791816754E-2</v>
      </c>
      <c r="K142" s="621">
        <f>TMUS!$F$45</f>
        <v>1.7561279992059264E-2</v>
      </c>
      <c r="L142" s="621">
        <f>TMUS!$G$45</f>
        <v>2.0395435882548364E-2</v>
      </c>
      <c r="M142" s="621">
        <f>TMUS!$H$45</f>
        <v>0.62471320685589027</v>
      </c>
      <c r="N142" s="46"/>
      <c r="O142" s="621">
        <f>TMUS!D$47</f>
        <v>6.3269589827531392E-2</v>
      </c>
      <c r="P142" s="621">
        <f>TMUS!E$47</f>
        <v>1.6458755650860364E-2</v>
      </c>
      <c r="Q142" s="621">
        <f>TMUS!F$47</f>
        <v>2.2125295123753479E-2</v>
      </c>
      <c r="R142" s="621">
        <f>TMUS!G$47</f>
        <v>2.6893838742606112E-2</v>
      </c>
      <c r="S142" s="621">
        <f>TMUS!$H$47</f>
        <v>-0.31309352922142308</v>
      </c>
      <c r="T142" s="46"/>
      <c r="U142" s="48" t="str">
        <f t="shared" si="20"/>
        <v>USD166.0</v>
      </c>
      <c r="V142" s="44" t="str">
        <f t="shared" si="20"/>
        <v>TMUS</v>
      </c>
      <c r="Z142" s="46"/>
      <c r="AE142" s="41"/>
      <c r="AF142" s="31"/>
      <c r="AG142" s="31"/>
      <c r="AI142" s="41"/>
      <c r="AJ142" s="64"/>
      <c r="AK142" s="64"/>
      <c r="AM142" s="41"/>
      <c r="AN142" s="17"/>
      <c r="AO142" s="17"/>
      <c r="AQ142" s="41"/>
      <c r="AR142" s="18"/>
      <c r="AS142" s="18"/>
    </row>
    <row r="143" spans="1:45" s="5" customFormat="1">
      <c r="A143" s="41"/>
      <c r="B143" s="42" t="s">
        <v>519</v>
      </c>
      <c r="C143" s="48" t="s">
        <v>33</v>
      </c>
      <c r="D143" s="44" t="str">
        <f>B143&amp;TEXT(Prices!$C$39,"0.0")</f>
        <v>US$39.7</v>
      </c>
      <c r="E143" s="44" t="str">
        <f>B143&amp;TEXT(Prices!$E$39,"0.00")</f>
        <v>US$45.00</v>
      </c>
      <c r="F143" s="45">
        <f>Prices!$F$39</f>
        <v>0.13236034222445903</v>
      </c>
      <c r="G143" s="44" t="str">
        <f>Prices!$D$39</f>
        <v>Neutral</v>
      </c>
      <c r="H143" s="46"/>
      <c r="I143" s="621">
        <f>VZN!$D$45</f>
        <v>5.5660275125332177E-2</v>
      </c>
      <c r="J143" s="621">
        <f>VZN!$E$45</f>
        <v>5.7007077329677816E-2</v>
      </c>
      <c r="K143" s="621">
        <f>VZN!$F$45</f>
        <v>5.8068661637493031E-2</v>
      </c>
      <c r="L143" s="621">
        <f>VZN!$G$45</f>
        <v>5.913024594530826E-2</v>
      </c>
      <c r="M143" s="621">
        <f>VZN!$H$45</f>
        <v>2.0403539933700809E-2</v>
      </c>
      <c r="N143" s="46"/>
      <c r="O143" s="621">
        <f>VZN!D$47</f>
        <v>9.4519046983808544E-2</v>
      </c>
      <c r="P143" s="621">
        <f>VZN!E$47</f>
        <v>9.9669992774792326E-2</v>
      </c>
      <c r="Q143" s="621">
        <f>VZN!F$47</f>
        <v>0.10112314272448007</v>
      </c>
      <c r="R143" s="621">
        <f>VZN!G$47</f>
        <v>0.10424343490875035</v>
      </c>
      <c r="S143" s="621">
        <f>VZN!$H$47</f>
        <v>3.322198227270734E-2</v>
      </c>
      <c r="T143" s="46"/>
      <c r="U143" s="48" t="str">
        <f t="shared" si="20"/>
        <v>USD39.7</v>
      </c>
      <c r="V143" s="44" t="str">
        <f t="shared" si="20"/>
        <v>Verizon</v>
      </c>
      <c r="Z143" s="46"/>
      <c r="AE143" s="41"/>
      <c r="AF143" s="31"/>
      <c r="AG143" s="31"/>
      <c r="AI143" s="41"/>
      <c r="AJ143" s="64"/>
      <c r="AK143" s="64"/>
      <c r="AM143" s="41"/>
      <c r="AN143" s="17"/>
      <c r="AO143" s="17"/>
      <c r="AQ143" s="41"/>
      <c r="AR143" s="18"/>
      <c r="AS143" s="18"/>
    </row>
    <row r="144" spans="1:45" s="5" customFormat="1">
      <c r="A144" s="41"/>
      <c r="B144" s="42"/>
      <c r="C144" s="51" t="s">
        <v>262</v>
      </c>
      <c r="D144" s="52"/>
      <c r="E144" s="52"/>
      <c r="F144" s="53"/>
      <c r="G144" s="52"/>
      <c r="H144" s="46"/>
      <c r="I144" s="622">
        <f>'US TELCO'!$D$45</f>
        <v>3.7573059207814459E-2</v>
      </c>
      <c r="J144" s="622">
        <f>'US TELCO'!$E$45</f>
        <v>4.3542837531484802E-2</v>
      </c>
      <c r="K144" s="622">
        <f>'US TELCO'!$F$45</f>
        <v>4.5586452724386897E-2</v>
      </c>
      <c r="L144" s="622">
        <f>'US TELCO'!$G$45</f>
        <v>4.7939440955118998E-2</v>
      </c>
      <c r="M144" s="622">
        <f>'US TELCO'!$H$45</f>
        <v>5.0211107719274395E-2</v>
      </c>
      <c r="N144" s="46"/>
      <c r="O144" s="622">
        <f>'US TELCO'!D$47</f>
        <v>8.3489205013161136E-2</v>
      </c>
      <c r="P144" s="622">
        <f>'US TELCO'!E$47</f>
        <v>7.1990972785462237E-2</v>
      </c>
      <c r="Q144" s="622">
        <f>'US TELCO'!F$47</f>
        <v>7.8807555485255212E-2</v>
      </c>
      <c r="R144" s="622">
        <f>'US TELCO'!G$47</f>
        <v>8.5441163508278226E-2</v>
      </c>
      <c r="S144" s="622">
        <f>'US TELCO'!$H$47</f>
        <v>-2.422411565871474E-2</v>
      </c>
      <c r="T144" s="46"/>
      <c r="U144" s="57"/>
      <c r="V144" s="58" t="str">
        <f>V84</f>
        <v>Agg. US Telecoms</v>
      </c>
      <c r="Z144" s="46"/>
      <c r="AE144" s="41"/>
      <c r="AF144" s="31"/>
      <c r="AG144" s="31"/>
      <c r="AI144" s="41"/>
      <c r="AJ144" s="64"/>
      <c r="AK144" s="64"/>
      <c r="AM144" s="41"/>
      <c r="AN144" s="17"/>
      <c r="AO144" s="17"/>
      <c r="AQ144" s="41"/>
      <c r="AR144" s="18"/>
      <c r="AS144" s="18"/>
    </row>
    <row r="145" spans="1:45" s="5" customFormat="1">
      <c r="A145" s="41"/>
      <c r="B145" s="42"/>
      <c r="C145" s="48"/>
      <c r="D145" s="44"/>
      <c r="E145" s="44"/>
      <c r="F145" s="45"/>
      <c r="G145" s="44"/>
      <c r="H145" s="46"/>
      <c r="I145" s="621"/>
      <c r="J145" s="621"/>
      <c r="K145" s="621"/>
      <c r="L145" s="621"/>
      <c r="M145" s="621"/>
      <c r="N145" s="46"/>
      <c r="O145" s="621"/>
      <c r="P145" s="621"/>
      <c r="Q145" s="621"/>
      <c r="R145" s="621"/>
      <c r="S145" s="621"/>
      <c r="T145" s="46"/>
      <c r="U145" s="48"/>
      <c r="V145" s="44"/>
      <c r="Z145" s="46"/>
      <c r="AE145" s="41"/>
      <c r="AF145" s="31"/>
      <c r="AG145" s="31"/>
      <c r="AI145" s="41"/>
      <c r="AJ145" s="64"/>
      <c r="AK145" s="64"/>
      <c r="AM145" s="41"/>
      <c r="AN145" s="17"/>
      <c r="AO145" s="17"/>
      <c r="AQ145" s="41"/>
      <c r="AR145" s="18"/>
      <c r="AS145" s="18"/>
    </row>
    <row r="146" spans="1:45" s="5" customFormat="1">
      <c r="A146" s="41"/>
      <c r="B146" s="42"/>
      <c r="C146" s="48" t="str">
        <f t="shared" ref="C146:G147" si="21">C86</f>
        <v>NTT</v>
      </c>
      <c r="D146" s="44" t="str">
        <f t="shared" si="21"/>
        <v>JPY 153</v>
      </c>
      <c r="E146" s="44" t="str">
        <f t="shared" si="21"/>
        <v>JPY 240</v>
      </c>
      <c r="F146" s="45">
        <f t="shared" si="21"/>
        <v>0.57273918741808649</v>
      </c>
      <c r="G146" s="44" t="str">
        <f t="shared" si="21"/>
        <v>Buy</v>
      </c>
      <c r="H146" s="46"/>
      <c r="I146" s="621">
        <f>NTT!$D$45</f>
        <v>3.3420707732634336E-2</v>
      </c>
      <c r="J146" s="621">
        <f>NTT!$E$45</f>
        <v>4.1939711664482314E-2</v>
      </c>
      <c r="K146" s="621">
        <f>NTT!$F$45</f>
        <v>4.7182175622542601E-2</v>
      </c>
      <c r="L146" s="621">
        <f>NTT!$G$45</f>
        <v>5.2424639580602887E-2</v>
      </c>
      <c r="M146" s="621">
        <f>NTT!$H$45</f>
        <v>0.14031868726274976</v>
      </c>
      <c r="N146" s="46"/>
      <c r="O146" s="621">
        <f>NTT!$D$47</f>
        <v>6.8257239298657901E-2</v>
      </c>
      <c r="P146" s="621">
        <f>NTT!$E$47</f>
        <v>0.12070646012982825</v>
      </c>
      <c r="Q146" s="621">
        <f>NTT!$F$47</f>
        <v>0.13680067699917964</v>
      </c>
      <c r="R146" s="621">
        <f>NTT!$G$47</f>
        <v>0.15178667355017006</v>
      </c>
      <c r="S146" s="621">
        <f>NTT!$H$47</f>
        <v>0.28099650836165346</v>
      </c>
      <c r="T146" s="46"/>
      <c r="U146" s="48" t="str">
        <f>U86</f>
        <v>JPY 153</v>
      </c>
      <c r="V146" s="44" t="str">
        <f>V86</f>
        <v>NTT</v>
      </c>
      <c r="W146" s="43"/>
      <c r="X146" s="44"/>
      <c r="Z146" s="46"/>
      <c r="AE146" s="41"/>
      <c r="AF146" s="31"/>
      <c r="AG146" s="31"/>
      <c r="AI146" s="41"/>
      <c r="AJ146" s="64"/>
      <c r="AK146" s="64"/>
      <c r="AM146" s="41"/>
      <c r="AN146" s="17"/>
      <c r="AO146" s="17"/>
      <c r="AQ146" s="41"/>
      <c r="AR146" s="18"/>
      <c r="AS146" s="18"/>
    </row>
    <row r="147" spans="1:45" s="5" customFormat="1">
      <c r="A147" s="41"/>
      <c r="B147" s="42"/>
      <c r="C147" s="48" t="str">
        <f t="shared" si="21"/>
        <v>Spark NZ</v>
      </c>
      <c r="D147" s="44" t="str">
        <f t="shared" si="21"/>
        <v>NZD 4.19</v>
      </c>
      <c r="E147" s="44" t="str">
        <f t="shared" si="21"/>
        <v>NZD 5.00</v>
      </c>
      <c r="F147" s="45">
        <f t="shared" si="21"/>
        <v>0.19331742243436745</v>
      </c>
      <c r="G147" s="44" t="str">
        <f t="shared" si="21"/>
        <v>Neutral</v>
      </c>
      <c r="H147" s="46"/>
      <c r="I147" s="621">
        <f>SPK!$D$45</f>
        <v>5.9665871121718374E-2</v>
      </c>
      <c r="J147" s="621">
        <f>SPK!$E$45</f>
        <v>5.9665871121718374E-2</v>
      </c>
      <c r="K147" s="621">
        <f>SPK!$F$45</f>
        <v>5.9665871121718367E-2</v>
      </c>
      <c r="L147" s="621">
        <f>SPK!$G$45</f>
        <v>6.2052505966587103E-2</v>
      </c>
      <c r="M147" s="621">
        <f>SPK!$H$45</f>
        <v>1.4833729194414724E-2</v>
      </c>
      <c r="N147" s="46"/>
      <c r="O147" s="621">
        <f>SPK!$D$47</f>
        <v>6.3882092385675257E-2</v>
      </c>
      <c r="P147" s="621">
        <f>SPK!$E$47</f>
        <v>6.5186334992844666E-2</v>
      </c>
      <c r="Q147" s="621">
        <f>SPK!$F$47</f>
        <v>6.5149452162428498E-2</v>
      </c>
      <c r="R147" s="621">
        <f>SPK!$G$47</f>
        <v>6.7757655881597836E-2</v>
      </c>
      <c r="S147" s="621">
        <f>SPK!$H$47</f>
        <v>2.1512126981468205E-2</v>
      </c>
      <c r="T147" s="46"/>
      <c r="U147" s="48" t="str">
        <f>U87</f>
        <v>NZD 4.19</v>
      </c>
      <c r="V147" s="44" t="str">
        <f>V87</f>
        <v>Spark NZ</v>
      </c>
      <c r="W147" s="43"/>
      <c r="X147" s="44"/>
      <c r="Z147" s="46"/>
      <c r="AE147" s="41"/>
      <c r="AF147" s="31"/>
      <c r="AG147" s="31"/>
      <c r="AI147" s="41"/>
      <c r="AJ147" s="64"/>
      <c r="AK147" s="64"/>
      <c r="AM147" s="41"/>
      <c r="AN147" s="17"/>
      <c r="AO147" s="17"/>
      <c r="AQ147" s="41"/>
      <c r="AR147" s="18"/>
      <c r="AS147" s="18"/>
    </row>
    <row r="148" spans="1:45" s="5" customFormat="1">
      <c r="A148" s="41"/>
      <c r="B148" s="42"/>
      <c r="C148" s="48" t="s">
        <v>215</v>
      </c>
      <c r="D148" s="44" t="str">
        <f t="shared" ref="D148:G149" si="22">D88</f>
        <v>SGD 2.42</v>
      </c>
      <c r="E148" s="44" t="str">
        <f t="shared" si="22"/>
        <v>SGD 4.40</v>
      </c>
      <c r="F148" s="45">
        <f t="shared" si="22"/>
        <v>0.81818181818181834</v>
      </c>
      <c r="G148" s="44" t="str">
        <f t="shared" si="22"/>
        <v>Buy</v>
      </c>
      <c r="H148" s="46"/>
      <c r="I148" s="621">
        <f>SINGTEL!$D$45</f>
        <v>4.8197155788028335E-2</v>
      </c>
      <c r="J148" s="621">
        <f>SINGTEL!$E$45</f>
        <v>5.9344151939744877E-2</v>
      </c>
      <c r="K148" s="621">
        <f>SINGTEL!$F$45</f>
        <v>7.2960832743836898E-2</v>
      </c>
      <c r="L148" s="621">
        <f>SINGTEL!$G$45</f>
        <v>8.1680703477985742E-2</v>
      </c>
      <c r="M148" s="621">
        <f>SINGTEL!$H$45</f>
        <v>0.19224639983662173</v>
      </c>
      <c r="N148" s="46"/>
      <c r="O148" s="621">
        <f>SINGTEL!$D$47</f>
        <v>1.6684864213668132E-2</v>
      </c>
      <c r="P148" s="621">
        <f>SINGTEL!$E$47</f>
        <v>2.3115013476092201E-2</v>
      </c>
      <c r="Q148" s="621">
        <f>SINGTEL!$F$47</f>
        <v>2.8907516043435385E-2</v>
      </c>
      <c r="R148" s="621">
        <f>SINGTEL!$G$47</f>
        <v>3.1567324238861487E-2</v>
      </c>
      <c r="S148" s="621">
        <f>SINGTEL!$H$47</f>
        <v>0.17703946001327164</v>
      </c>
      <c r="T148" s="46"/>
      <c r="U148" s="48" t="str">
        <f>U88</f>
        <v>SGD 2.42</v>
      </c>
      <c r="V148" s="44" t="s">
        <v>215</v>
      </c>
      <c r="W148" s="43"/>
      <c r="X148" s="44"/>
      <c r="Z148" s="46"/>
      <c r="AE148" s="41"/>
      <c r="AF148" s="31"/>
      <c r="AG148" s="31"/>
      <c r="AI148" s="41"/>
      <c r="AJ148" s="64"/>
      <c r="AK148" s="64"/>
      <c r="AM148" s="41"/>
      <c r="AN148" s="17"/>
      <c r="AO148" s="17"/>
      <c r="AQ148" s="41"/>
      <c r="AR148" s="18"/>
      <c r="AS148" s="18"/>
    </row>
    <row r="149" spans="1:45" s="5" customFormat="1">
      <c r="A149" s="41"/>
      <c r="B149" s="42"/>
      <c r="C149" s="48" t="str">
        <f>C89</f>
        <v xml:space="preserve">Telstra </v>
      </c>
      <c r="D149" s="44" t="str">
        <f t="shared" si="22"/>
        <v>AUD 3.45</v>
      </c>
      <c r="E149" s="44" t="str">
        <f t="shared" si="22"/>
        <v>AUD 3.50</v>
      </c>
      <c r="F149" s="45">
        <f t="shared" si="22"/>
        <v>1.4492753623188248E-2</v>
      </c>
      <c r="G149" s="44" t="str">
        <f t="shared" si="22"/>
        <v>Buy</v>
      </c>
      <c r="H149" s="46"/>
      <c r="I149" s="621">
        <f>TLS!$D$45</f>
        <v>4.6376811594202892E-2</v>
      </c>
      <c r="J149" s="621">
        <f>TLS!$E$45</f>
        <v>4.6376811594202892E-2</v>
      </c>
      <c r="K149" s="621">
        <f>TLS!$F$45</f>
        <v>4.6376811594202892E-2</v>
      </c>
      <c r="L149" s="621">
        <f>TLS!$G$45</f>
        <v>4.9275362318840575E-2</v>
      </c>
      <c r="M149" s="621">
        <f>TLS!$H$45</f>
        <v>2.0413775479336982E-2</v>
      </c>
      <c r="N149" s="46"/>
      <c r="O149" s="621">
        <f>TLS!$D$47</f>
        <v>0.11605331074854071</v>
      </c>
      <c r="P149" s="621">
        <f>TLS!$E$47</f>
        <v>0.13494950445944068</v>
      </c>
      <c r="Q149" s="621">
        <f>TLS!$F$47</f>
        <v>0.10700660993157463</v>
      </c>
      <c r="R149" s="621">
        <f>TLS!$G$47</f>
        <v>0.10375697737292637</v>
      </c>
      <c r="S149" s="621">
        <f>TLS!$H$47</f>
        <v>-3.6644475284147382E-2</v>
      </c>
      <c r="T149" s="46"/>
      <c r="U149" s="48" t="str">
        <f>U89</f>
        <v>AUD 3.45</v>
      </c>
      <c r="V149" s="44" t="str">
        <f>V89</f>
        <v>Telstra</v>
      </c>
      <c r="W149" s="43"/>
      <c r="X149" s="44"/>
      <c r="Z149" s="46"/>
      <c r="AE149" s="41"/>
      <c r="AF149" s="31"/>
      <c r="AG149" s="31"/>
      <c r="AI149" s="41"/>
      <c r="AJ149" s="64"/>
      <c r="AK149" s="64"/>
      <c r="AM149" s="41"/>
      <c r="AN149" s="17"/>
      <c r="AO149" s="17"/>
      <c r="AQ149" s="41"/>
      <c r="AR149" s="18"/>
      <c r="AS149" s="18"/>
    </row>
    <row r="150" spans="1:45" s="5" customFormat="1">
      <c r="A150" s="41"/>
      <c r="B150" s="42"/>
      <c r="C150" s="51" t="str">
        <f>C90</f>
        <v>Agg. Developed Asia Incumbent</v>
      </c>
      <c r="D150" s="58"/>
      <c r="E150" s="58"/>
      <c r="F150" s="55"/>
      <c r="G150" s="58"/>
      <c r="H150" s="56"/>
      <c r="I150" s="622">
        <f>'DM ASIA INCUMB'!$D$45</f>
        <v>4.0839254400091216E-2</v>
      </c>
      <c r="J150" s="622">
        <f>'DM ASIA INCUMB'!$E$45</f>
        <v>4.768965325716959E-2</v>
      </c>
      <c r="K150" s="622">
        <f>'DM ASIA INCUMB'!$F$45</f>
        <v>5.32587655720866E-2</v>
      </c>
      <c r="L150" s="622">
        <f>'DM ASIA INCUMB'!$G$45</f>
        <v>5.8586082130862083E-2</v>
      </c>
      <c r="M150" s="622">
        <f>'DM ASIA INCUMB'!$H$45</f>
        <v>0.11674543629833689</v>
      </c>
      <c r="N150" s="56"/>
      <c r="O150" s="622">
        <f>'DM ASIA INCUMB'!$D$47</f>
        <v>5.5135261812623994E-2</v>
      </c>
      <c r="P150" s="622">
        <f>'DM ASIA INCUMB'!$E$47</f>
        <v>8.2906089206298425E-2</v>
      </c>
      <c r="Q150" s="622">
        <f>'DM ASIA INCUMB'!$F$47</f>
        <v>8.8508728317840749E-2</v>
      </c>
      <c r="R150" s="622">
        <f>'DM ASIA INCUMB'!$G$47</f>
        <v>9.634137398308279E-2</v>
      </c>
      <c r="S150" s="622">
        <f>'DM ASIA INCUMB'!$H$47</f>
        <v>0.17366648853729272</v>
      </c>
      <c r="T150" s="56"/>
      <c r="U150" s="51"/>
      <c r="V150" s="58" t="str">
        <f>V90</f>
        <v xml:space="preserve">Agg. Developed Asia Incumbent </v>
      </c>
      <c r="W150" s="43"/>
      <c r="X150" s="44"/>
      <c r="Z150" s="46"/>
      <c r="AE150" s="41"/>
      <c r="AF150" s="31"/>
      <c r="AG150" s="31"/>
      <c r="AI150" s="41"/>
      <c r="AJ150" s="64"/>
      <c r="AK150" s="64"/>
      <c r="AM150" s="41"/>
      <c r="AN150" s="17"/>
      <c r="AO150" s="17"/>
      <c r="AQ150" s="41"/>
      <c r="AR150" s="18"/>
      <c r="AS150" s="18"/>
    </row>
    <row r="151" spans="1:45" s="5" customFormat="1">
      <c r="A151" s="41"/>
      <c r="B151" s="42"/>
      <c r="C151" s="43"/>
      <c r="D151" s="50"/>
      <c r="E151" s="50"/>
      <c r="F151" s="61"/>
      <c r="G151" s="50"/>
      <c r="H151" s="56"/>
      <c r="I151" s="623"/>
      <c r="J151" s="623"/>
      <c r="K151" s="623"/>
      <c r="L151" s="623"/>
      <c r="M151" s="623"/>
      <c r="N151" s="56"/>
      <c r="O151" s="623"/>
      <c r="P151" s="623"/>
      <c r="Q151" s="623"/>
      <c r="R151" s="623"/>
      <c r="S151" s="623"/>
      <c r="T151" s="56"/>
      <c r="U151" s="43"/>
      <c r="V151" s="50"/>
      <c r="Z151" s="46"/>
      <c r="AE151" s="41"/>
      <c r="AF151" s="31"/>
      <c r="AG151" s="31"/>
      <c r="AI151" s="41"/>
      <c r="AJ151" s="64"/>
      <c r="AK151" s="64"/>
      <c r="AM151" s="41"/>
      <c r="AN151" s="17"/>
      <c r="AO151" s="17"/>
      <c r="AQ151" s="41"/>
      <c r="AR151" s="18"/>
      <c r="AS151" s="18"/>
    </row>
    <row r="152" spans="1:45" s="5" customFormat="1">
      <c r="A152" s="41"/>
      <c r="B152" s="42"/>
      <c r="C152" s="51" t="s">
        <v>865</v>
      </c>
      <c r="D152" s="58"/>
      <c r="E152" s="58"/>
      <c r="F152" s="55"/>
      <c r="G152" s="58"/>
      <c r="H152" s="56"/>
      <c r="I152" s="622">
        <f>'AGG DM INCUMB'!D45</f>
        <v>4.1625387172854786E-2</v>
      </c>
      <c r="J152" s="622">
        <f>'AGG DM INCUMB'!E45</f>
        <v>4.6800516642351596E-2</v>
      </c>
      <c r="K152" s="622">
        <f>'AGG DM INCUMB'!F45</f>
        <v>4.9555266335677944E-2</v>
      </c>
      <c r="L152" s="622">
        <f>'AGG DM INCUMB'!G45</f>
        <v>5.2797200616902303E-2</v>
      </c>
      <c r="M152" s="622">
        <f>'AGG DM INCUMB'!H45</f>
        <v>6.0460747578668261E-2</v>
      </c>
      <c r="N152" s="56"/>
      <c r="O152" s="622">
        <f>'AGG DM INCUMB'!D47</f>
        <v>7.2692615843816033E-2</v>
      </c>
      <c r="P152" s="622">
        <f>'AGG DM INCUMB'!E47</f>
        <v>7.4048415643507975E-2</v>
      </c>
      <c r="Q152" s="622">
        <f>'AGG DM INCUMB'!F47</f>
        <v>8.2426400044245507E-2</v>
      </c>
      <c r="R152" s="622">
        <f>'AGG DM INCUMB'!G47</f>
        <v>8.9778265380907316E-2</v>
      </c>
      <c r="S152" s="622">
        <f>'AGG DM INCUMB'!H47</f>
        <v>4.7858300096549344E-2</v>
      </c>
      <c r="T152" s="56"/>
      <c r="U152" s="51"/>
      <c r="V152" s="58" t="str">
        <f>C152</f>
        <v>Agg. DM Incumbent total</v>
      </c>
      <c r="Z152" s="46"/>
      <c r="AE152" s="41"/>
      <c r="AF152" s="31"/>
      <c r="AG152" s="31"/>
      <c r="AI152" s="41"/>
      <c r="AJ152" s="64"/>
      <c r="AK152" s="64"/>
      <c r="AM152" s="41"/>
      <c r="AN152" s="17"/>
      <c r="AO152" s="17"/>
      <c r="AQ152" s="41"/>
      <c r="AR152" s="18"/>
      <c r="AS152" s="18"/>
    </row>
    <row r="153" spans="1:45" s="5" customFormat="1">
      <c r="A153" s="41"/>
      <c r="B153" s="42"/>
      <c r="C153" s="41"/>
      <c r="D153" s="44"/>
      <c r="E153" s="44"/>
      <c r="F153" s="45"/>
      <c r="G153" s="44"/>
      <c r="H153" s="46"/>
      <c r="I153" s="621"/>
      <c r="J153" s="621"/>
      <c r="K153" s="621"/>
      <c r="L153" s="621"/>
      <c r="M153" s="621"/>
      <c r="N153" s="46"/>
      <c r="O153" s="621"/>
      <c r="P153" s="621"/>
      <c r="Q153" s="621"/>
      <c r="R153" s="621"/>
      <c r="S153" s="621"/>
      <c r="T153" s="46"/>
      <c r="U153" s="48"/>
      <c r="V153" s="50"/>
      <c r="Z153" s="46"/>
      <c r="AE153" s="41"/>
      <c r="AF153" s="31"/>
      <c r="AG153" s="31"/>
      <c r="AI153" s="41"/>
      <c r="AJ153" s="64"/>
      <c r="AK153" s="64"/>
      <c r="AM153" s="41"/>
      <c r="AN153" s="17"/>
      <c r="AO153" s="17"/>
      <c r="AQ153" s="41"/>
      <c r="AR153" s="18"/>
      <c r="AS153" s="18"/>
    </row>
    <row r="154" spans="1:45" s="5" customFormat="1">
      <c r="A154" s="41" t="s">
        <v>1385</v>
      </c>
      <c r="B154" s="42"/>
      <c r="C154" s="48" t="str">
        <f t="shared" ref="C154:G161" si="23">C94</f>
        <v>1&amp;1</v>
      </c>
      <c r="D154" s="44" t="str">
        <f t="shared" si="23"/>
        <v>EUR 17.5</v>
      </c>
      <c r="E154" s="44" t="str">
        <f t="shared" si="23"/>
        <v>EUR 28.0</v>
      </c>
      <c r="F154" s="45">
        <f t="shared" si="23"/>
        <v>0.60000000000000009</v>
      </c>
      <c r="G154" s="44" t="str">
        <f t="shared" si="23"/>
        <v>Buy</v>
      </c>
      <c r="H154" s="46"/>
      <c r="I154" s="621">
        <f>DRI!$D$45</f>
        <v>2.8571428571428576E-3</v>
      </c>
      <c r="J154" s="621">
        <f>DRI!$E$45</f>
        <v>2.8571428571428576E-3</v>
      </c>
      <c r="K154" s="621">
        <f>DRI!$F$45</f>
        <v>5.7142857142857148E-2</v>
      </c>
      <c r="L154" s="621">
        <f>DRI!$G$45</f>
        <v>5.7142857142857148E-2</v>
      </c>
      <c r="M154" s="621">
        <f>DRI!$H$45</f>
        <v>1.7144176165949063</v>
      </c>
      <c r="N154" s="46"/>
      <c r="O154" s="621">
        <f>DRI!$D$47</f>
        <v>-2.7923450887795864E-2</v>
      </c>
      <c r="P154" s="621">
        <f>DRI!$E$47</f>
        <v>-3.8454315048206344E-2</v>
      </c>
      <c r="Q154" s="621">
        <f>DRI!$F$47</f>
        <v>6.5975897636534608E-2</v>
      </c>
      <c r="R154" s="621">
        <f>DRI!$G$47</f>
        <v>8.356263443399875E-2</v>
      </c>
      <c r="S154" s="621">
        <f>DRI!$H$47</f>
        <v>-2.3862008420308625</v>
      </c>
      <c r="T154" s="46"/>
      <c r="U154" s="48" t="str">
        <f t="shared" ref="U154:V160" si="24">U94</f>
        <v>EUR 17.5</v>
      </c>
      <c r="V154" s="44" t="str">
        <f t="shared" si="24"/>
        <v>1&amp;1</v>
      </c>
      <c r="Z154" s="46"/>
      <c r="AE154" s="41"/>
      <c r="AF154" s="31"/>
      <c r="AG154" s="31"/>
      <c r="AI154" s="41"/>
      <c r="AJ154" s="64"/>
      <c r="AK154" s="64"/>
      <c r="AM154" s="41"/>
      <c r="AN154" s="17"/>
      <c r="AO154" s="17"/>
      <c r="AQ154" s="41"/>
      <c r="AR154" s="18"/>
      <c r="AS154" s="18"/>
    </row>
    <row r="155" spans="1:45" s="5" customFormat="1">
      <c r="A155" s="41"/>
      <c r="B155" s="42"/>
      <c r="C155" s="48" t="str">
        <f t="shared" si="23"/>
        <v>Elisa</v>
      </c>
      <c r="D155" s="44" t="str">
        <f t="shared" si="23"/>
        <v>EUR 41.6</v>
      </c>
      <c r="E155" s="44" t="str">
        <f t="shared" si="23"/>
        <v>EUR 54.0</v>
      </c>
      <c r="F155" s="45">
        <f t="shared" si="23"/>
        <v>0.29745314752522845</v>
      </c>
      <c r="G155" s="44" t="str">
        <f t="shared" si="23"/>
        <v>Neutral</v>
      </c>
      <c r="H155" s="46"/>
      <c r="I155" s="621">
        <f>ELISA!$D$45</f>
        <v>5.4060547813551185E-2</v>
      </c>
      <c r="J155" s="621">
        <f>ELISA!$E$45</f>
        <v>5.6463238827486793E-2</v>
      </c>
      <c r="K155" s="621">
        <f>ELISA!$F$45</f>
        <v>5.9286400768861137E-2</v>
      </c>
      <c r="L155" s="621">
        <f>ELISA!$G$45</f>
        <v>6.2250720807304205E-2</v>
      </c>
      <c r="M155" s="621">
        <f>ELISA!$H$45</f>
        <v>4.8144872461113764E-2</v>
      </c>
      <c r="N155" s="46"/>
      <c r="O155" s="621">
        <f>ELISA!$D$47</f>
        <v>5.4552760999143281E-2</v>
      </c>
      <c r="P155" s="621">
        <f>ELISA!$E$47</f>
        <v>5.7932809920740985E-2</v>
      </c>
      <c r="Q155" s="621">
        <f>ELISA!$F$47</f>
        <v>6.3147480917678495E-2</v>
      </c>
      <c r="R155" s="621">
        <f>ELISA!$G$47</f>
        <v>6.8813747897405547E-2</v>
      </c>
      <c r="S155" s="621">
        <f>ELISA!$H$47</f>
        <v>6.5099847442706915E-2</v>
      </c>
      <c r="T155" s="46"/>
      <c r="U155" s="48" t="str">
        <f t="shared" si="24"/>
        <v>EUR 41.6</v>
      </c>
      <c r="V155" s="44" t="str">
        <f t="shared" si="24"/>
        <v>Elisa</v>
      </c>
      <c r="Z155" s="46"/>
      <c r="AE155" s="41"/>
      <c r="AF155" s="31"/>
      <c r="AG155" s="31"/>
      <c r="AI155" s="41"/>
      <c r="AJ155" s="64"/>
      <c r="AK155" s="64"/>
      <c r="AM155" s="41"/>
      <c r="AN155" s="17"/>
      <c r="AO155" s="17"/>
      <c r="AQ155" s="41"/>
      <c r="AR155" s="18"/>
      <c r="AS155" s="18"/>
    </row>
    <row r="156" spans="1:45" s="5" customFormat="1">
      <c r="A156" s="41"/>
      <c r="B156" s="42"/>
      <c r="C156" s="48" t="str">
        <f t="shared" si="23"/>
        <v>Liberty Global (prop.)</v>
      </c>
      <c r="D156" s="44" t="str">
        <f t="shared" si="23"/>
        <v>USD 16.2</v>
      </c>
      <c r="E156" s="44" t="str">
        <f t="shared" si="23"/>
        <v>USD 24.0</v>
      </c>
      <c r="F156" s="45">
        <f t="shared" si="23"/>
        <v>0.47783251231527113</v>
      </c>
      <c r="G156" s="44" t="str">
        <f t="shared" si="23"/>
        <v>Buy</v>
      </c>
      <c r="H156" s="46"/>
      <c r="I156" s="621">
        <f>LBTY!$D$45</f>
        <v>0</v>
      </c>
      <c r="J156" s="621">
        <f>LBTY!$E$45</f>
        <v>0</v>
      </c>
      <c r="K156" s="621">
        <f>LBTY!$F$45</f>
        <v>0</v>
      </c>
      <c r="L156" s="621">
        <f>LBTY!$G$45</f>
        <v>0</v>
      </c>
      <c r="M156" s="621" t="str">
        <f>LBTY!$H$45</f>
        <v>nm</v>
      </c>
      <c r="N156" s="46"/>
      <c r="O156" s="621">
        <f>LBTY!$D$47</f>
        <v>0.10056859724217759</v>
      </c>
      <c r="P156" s="621">
        <f>LBTY!$E$47</f>
        <v>8.4307735211656715E-2</v>
      </c>
      <c r="Q156" s="621">
        <f>LBTY!$F$47</f>
        <v>0.10163762869534776</v>
      </c>
      <c r="R156" s="621">
        <f>LBTY!$G$47</f>
        <v>0.15737006751672405</v>
      </c>
      <c r="S156" s="621">
        <f>LBTY!$H$47</f>
        <v>6.3718447791905053E-2</v>
      </c>
      <c r="T156" s="46"/>
      <c r="U156" s="48" t="str">
        <f t="shared" si="24"/>
        <v>USD 16.2</v>
      </c>
      <c r="V156" s="44" t="str">
        <f t="shared" si="24"/>
        <v>Liberty Global</v>
      </c>
      <c r="Z156" s="46"/>
      <c r="AE156" s="41"/>
      <c r="AF156" s="31"/>
      <c r="AG156" s="31"/>
      <c r="AI156" s="41"/>
      <c r="AJ156" s="64"/>
      <c r="AK156" s="64"/>
      <c r="AM156" s="41"/>
      <c r="AN156" s="17"/>
      <c r="AO156" s="17"/>
      <c r="AQ156" s="41"/>
      <c r="AR156" s="18"/>
      <c r="AS156" s="18"/>
    </row>
    <row r="157" spans="1:45" s="5" customFormat="1">
      <c r="A157" s="41"/>
      <c r="B157" s="42"/>
      <c r="C157" s="48" t="str">
        <f t="shared" si="23"/>
        <v>NOS</v>
      </c>
      <c r="D157" s="44" t="str">
        <f t="shared" si="23"/>
        <v>EUR 3.35</v>
      </c>
      <c r="E157" s="44" t="str">
        <f t="shared" si="23"/>
        <v>EUR 4.00</v>
      </c>
      <c r="F157" s="45">
        <f t="shared" si="23"/>
        <v>0.19581464872944676</v>
      </c>
      <c r="G157" s="44" t="str">
        <f t="shared" si="23"/>
        <v>Neutral</v>
      </c>
      <c r="H157" s="46"/>
      <c r="I157" s="621">
        <f>NOS!$D$45</f>
        <v>8.3109118086696562E-2</v>
      </c>
      <c r="J157" s="621">
        <f>NOS!$E$45</f>
        <v>8.7264573991031394E-2</v>
      </c>
      <c r="K157" s="621">
        <f>NOS!$F$45</f>
        <v>9.1627802690582974E-2</v>
      </c>
      <c r="L157" s="621">
        <f>NOS!$G$45</f>
        <v>9.620919282511213E-2</v>
      </c>
      <c r="M157" s="621">
        <f>NOS!$H$45</f>
        <v>5.0000000000000044E-2</v>
      </c>
      <c r="N157" s="46"/>
      <c r="O157" s="621">
        <f>NOS!$D$47</f>
        <v>9.6625122097001095E-2</v>
      </c>
      <c r="P157" s="621">
        <f>NOS!$E$47</f>
        <v>0.10484041813479372</v>
      </c>
      <c r="Q157" s="621">
        <f>NOS!$F$47</f>
        <v>0.11185454047208482</v>
      </c>
      <c r="R157" s="621">
        <f>NOS!$G$47</f>
        <v>0.12693342403472652</v>
      </c>
      <c r="S157" s="621">
        <f>NOS!$H$47</f>
        <v>6.973787175970525E-3</v>
      </c>
      <c r="T157" s="46"/>
      <c r="U157" s="48" t="str">
        <f t="shared" si="24"/>
        <v>EUR 3.35</v>
      </c>
      <c r="V157" s="44" t="str">
        <f t="shared" si="24"/>
        <v>NOS</v>
      </c>
      <c r="Z157" s="46"/>
      <c r="AE157" s="41"/>
      <c r="AF157" s="31"/>
      <c r="AG157" s="31"/>
      <c r="AI157" s="41"/>
      <c r="AJ157" s="64"/>
      <c r="AK157" s="64"/>
      <c r="AM157" s="41"/>
      <c r="AN157" s="17"/>
      <c r="AO157" s="17"/>
      <c r="AQ157" s="41"/>
      <c r="AR157" s="18"/>
      <c r="AS157" s="18"/>
    </row>
    <row r="158" spans="1:45" s="5" customFormat="1">
      <c r="A158" s="146"/>
      <c r="B158" s="42"/>
      <c r="C158" s="48" t="str">
        <f t="shared" si="23"/>
        <v>Orange Belgium</v>
      </c>
      <c r="D158" s="44" t="str">
        <f t="shared" si="23"/>
        <v>EUR 14.9</v>
      </c>
      <c r="E158" s="44" t="str">
        <f t="shared" si="23"/>
        <v>EUR 13.0</v>
      </c>
      <c r="F158" s="45">
        <f t="shared" si="23"/>
        <v>-0.12868632707774796</v>
      </c>
      <c r="G158" s="44" t="str">
        <f t="shared" si="23"/>
        <v>Neutral</v>
      </c>
      <c r="H158" s="46"/>
      <c r="I158" s="621">
        <f>OBEL!$D$45</f>
        <v>0</v>
      </c>
      <c r="J158" s="621">
        <f>OBEL!$E$45</f>
        <v>0</v>
      </c>
      <c r="K158" s="621">
        <f>OBEL!$F$45</f>
        <v>0</v>
      </c>
      <c r="L158" s="621">
        <f>OBEL!$G$45</f>
        <v>0</v>
      </c>
      <c r="M158" s="621" t="str">
        <f>OBEL!$H$45</f>
        <v>nm</v>
      </c>
      <c r="N158" s="46"/>
      <c r="O158" s="621">
        <f>OBEL!$D$47</f>
        <v>6.547431546804941E-2</v>
      </c>
      <c r="P158" s="621">
        <f>OBEL!$E$47</f>
        <v>5.8714663647834224E-2</v>
      </c>
      <c r="Q158" s="621">
        <f>OBEL!$F$47</f>
        <v>9.0017210340711473E-2</v>
      </c>
      <c r="R158" s="621">
        <f>OBEL!$G$47</f>
        <v>0.15420478028065457</v>
      </c>
      <c r="S158" s="621">
        <f>OBEL!$H$47</f>
        <v>0.13071279106977518</v>
      </c>
      <c r="T158" s="46"/>
      <c r="U158" s="48" t="str">
        <f t="shared" si="24"/>
        <v>EUR 14.9</v>
      </c>
      <c r="V158" s="44" t="str">
        <f t="shared" si="24"/>
        <v>Mobistar</v>
      </c>
      <c r="Z158" s="46"/>
      <c r="AE158" s="41"/>
      <c r="AF158" s="31"/>
      <c r="AG158" s="31"/>
      <c r="AI158" s="41"/>
      <c r="AJ158" s="64"/>
      <c r="AK158" s="64"/>
      <c r="AM158" s="41"/>
      <c r="AN158" s="17"/>
      <c r="AO158" s="17"/>
      <c r="AQ158" s="41"/>
      <c r="AR158" s="18"/>
      <c r="AS158" s="18"/>
    </row>
    <row r="159" spans="1:45" s="5" customFormat="1">
      <c r="A159" s="146"/>
      <c r="B159" s="42"/>
      <c r="C159" s="48" t="str">
        <f t="shared" si="23"/>
        <v>Tele2</v>
      </c>
      <c r="D159" s="44" t="str">
        <f t="shared" si="23"/>
        <v>SEK 101.1</v>
      </c>
      <c r="E159" s="44" t="str">
        <f t="shared" si="23"/>
        <v>SEK 110.0</v>
      </c>
      <c r="F159" s="45">
        <f t="shared" si="23"/>
        <v>8.8570014844136624E-2</v>
      </c>
      <c r="G159" s="44" t="str">
        <f t="shared" si="23"/>
        <v>Neutral</v>
      </c>
      <c r="H159" s="46"/>
      <c r="I159" s="621">
        <f>TELE2!$D$45</f>
        <v>5.6375810719748086E-2</v>
      </c>
      <c r="J159" s="621">
        <f>TELE2!$E$45</f>
        <v>5.9194601255735488E-2</v>
      </c>
      <c r="K159" s="621">
        <f>TELE2!$F$45</f>
        <v>6.2154331318522271E-2</v>
      </c>
      <c r="L159" s="621">
        <f>TELE2!$G$45</f>
        <v>6.2154331318522271E-2</v>
      </c>
      <c r="M159" s="621">
        <f>TELE2!$H$45</f>
        <v>3.3061554146506911E-2</v>
      </c>
      <c r="N159" s="46"/>
      <c r="O159" s="621">
        <f>TELE2!$D$47</f>
        <v>5.9563053936555914E-2</v>
      </c>
      <c r="P159" s="621">
        <f>TELE2!$E$47</f>
        <v>6.704176176028602E-2</v>
      </c>
      <c r="Q159" s="621">
        <f>TELE2!$F$47</f>
        <v>6.7371422897813907E-2</v>
      </c>
      <c r="R159" s="621">
        <f>TELE2!$G$47</f>
        <v>7.4363283414847534E-2</v>
      </c>
      <c r="S159" s="621">
        <f>TELE2!$H$47</f>
        <v>4.7552748096375552E-2</v>
      </c>
      <c r="T159" s="46"/>
      <c r="U159" s="48" t="str">
        <f t="shared" si="24"/>
        <v>SEK 101.1</v>
      </c>
      <c r="V159" s="44" t="str">
        <f t="shared" si="24"/>
        <v>Tele2</v>
      </c>
      <c r="Z159" s="46"/>
      <c r="AE159" s="41"/>
      <c r="AF159" s="31"/>
      <c r="AG159" s="31"/>
      <c r="AI159" s="41"/>
      <c r="AJ159" s="64"/>
      <c r="AK159" s="64"/>
      <c r="AM159" s="41"/>
      <c r="AN159" s="17"/>
      <c r="AO159" s="17"/>
      <c r="AQ159" s="41"/>
      <c r="AR159" s="18"/>
      <c r="AS159" s="18"/>
    </row>
    <row r="160" spans="1:45" s="5" customFormat="1">
      <c r="A160" s="41"/>
      <c r="B160" s="42"/>
      <c r="C160" s="48" t="str">
        <f t="shared" si="23"/>
        <v>United Internet</v>
      </c>
      <c r="D160" s="44" t="str">
        <f t="shared" si="23"/>
        <v>EUR 22.1</v>
      </c>
      <c r="E160" s="44" t="str">
        <f t="shared" si="23"/>
        <v>EUR 30.0</v>
      </c>
      <c r="F160" s="45">
        <f t="shared" si="23"/>
        <v>0.35869565217391308</v>
      </c>
      <c r="G160" s="44" t="str">
        <f t="shared" si="23"/>
        <v>Buy</v>
      </c>
      <c r="H160" s="46"/>
      <c r="I160" s="621">
        <f>UTDI!$D$45</f>
        <v>2.2644927536231887E-2</v>
      </c>
      <c r="J160" s="621">
        <f>UTDI!$E$45</f>
        <v>2.2644927536231887E-2</v>
      </c>
      <c r="K160" s="621">
        <f>UTDI!$F$45</f>
        <v>2.2644927536231887E-2</v>
      </c>
      <c r="L160" s="621">
        <f>UTDI!$G$45</f>
        <v>2.2644927536231887E-2</v>
      </c>
      <c r="M160" s="621">
        <f>UTDI!$H$45</f>
        <v>0</v>
      </c>
      <c r="N160" s="46"/>
      <c r="O160" s="621">
        <f>UTDI!$D$47</f>
        <v>-3.0368978521475267E-2</v>
      </c>
      <c r="P160" s="621">
        <f>UTDI!$E$47</f>
        <v>-4.5126636934431877E-2</v>
      </c>
      <c r="Q160" s="621">
        <f>UTDI!$F$47</f>
        <v>5.1342423837719108E-2</v>
      </c>
      <c r="R160" s="621">
        <f>UTDI!$G$47</f>
        <v>8.4807464401020702E-2</v>
      </c>
      <c r="S160" s="621">
        <f>UTDI!$H$47</f>
        <v>-2.3623688634692099</v>
      </c>
      <c r="T160" s="46"/>
      <c r="U160" s="48" t="str">
        <f t="shared" si="24"/>
        <v>EUR 22.1</v>
      </c>
      <c r="V160" s="44" t="str">
        <f t="shared" si="24"/>
        <v>United Internet</v>
      </c>
      <c r="Z160" s="46"/>
      <c r="AE160" s="41"/>
      <c r="AF160" s="31"/>
      <c r="AG160" s="31"/>
      <c r="AI160" s="41"/>
      <c r="AJ160" s="64"/>
      <c r="AK160" s="64"/>
      <c r="AM160" s="41"/>
      <c r="AN160" s="17"/>
      <c r="AO160" s="17"/>
      <c r="AQ160" s="41"/>
      <c r="AR160" s="18"/>
      <c r="AS160" s="18"/>
    </row>
    <row r="161" spans="1:45" s="5" customFormat="1">
      <c r="A161" s="146"/>
      <c r="B161" s="42"/>
      <c r="C161" s="48" t="str">
        <f t="shared" si="23"/>
        <v>Vodafone</v>
      </c>
      <c r="D161" s="44" t="str">
        <f t="shared" si="23"/>
        <v>GBP 0.74</v>
      </c>
      <c r="E161" s="44" t="str">
        <f t="shared" si="23"/>
        <v>GBP 1.35</v>
      </c>
      <c r="F161" s="45">
        <f t="shared" si="23"/>
        <v>0.83673469387755106</v>
      </c>
      <c r="G161" s="44" t="str">
        <f t="shared" si="23"/>
        <v>Buy</v>
      </c>
      <c r="H161" s="46"/>
      <c r="I161" s="621">
        <f>VOD!$D$45</f>
        <v>0.10569408489795919</v>
      </c>
      <c r="J161" s="621">
        <f>VOD!$E$45</f>
        <v>5.2497873673469392E-2</v>
      </c>
      <c r="K161" s="621">
        <f>VOD!$F$45</f>
        <v>5.2497873673469392E-2</v>
      </c>
      <c r="L161" s="621">
        <f>VOD!$G$45</f>
        <v>5.2497873673469392E-2</v>
      </c>
      <c r="M161" s="621">
        <f>VOD!$H$45</f>
        <v>-0.2327747984585482</v>
      </c>
      <c r="N161" s="46"/>
      <c r="O161" s="621">
        <f>VOD!$D$47</f>
        <v>6.746011556284924E-2</v>
      </c>
      <c r="P161" s="621">
        <f>VOD!$E$47</f>
        <v>6.3784202347236751E-2</v>
      </c>
      <c r="Q161" s="621">
        <f>VOD!$F$47</f>
        <v>0.12044113434034549</v>
      </c>
      <c r="R161" s="621">
        <f>VOD!$G$47</f>
        <v>0.15173388382596364</v>
      </c>
      <c r="S161" s="621">
        <f>VOD!$H$47</f>
        <v>0.26931968205198631</v>
      </c>
      <c r="T161" s="46"/>
      <c r="U161" s="48" t="str">
        <f>U101</f>
        <v>GBP 0.74</v>
      </c>
      <c r="V161" s="44" t="s">
        <v>281</v>
      </c>
      <c r="Z161" s="46"/>
      <c r="AE161" s="41"/>
      <c r="AF161" s="31"/>
      <c r="AG161" s="31"/>
      <c r="AI161" s="41"/>
      <c r="AJ161" s="64"/>
      <c r="AK161" s="64"/>
      <c r="AM161" s="41"/>
      <c r="AN161" s="17"/>
      <c r="AO161" s="17"/>
      <c r="AQ161" s="41"/>
      <c r="AR161" s="18"/>
      <c r="AS161" s="18"/>
    </row>
    <row r="162" spans="1:45" s="5" customFormat="1">
      <c r="A162" s="146"/>
      <c r="B162" s="42"/>
      <c r="C162" s="51" t="str">
        <f>C102</f>
        <v>Agg. W. Europe Other</v>
      </c>
      <c r="D162" s="52"/>
      <c r="E162" s="52"/>
      <c r="F162" s="53"/>
      <c r="G162" s="52"/>
      <c r="H162" s="46"/>
      <c r="I162" s="622">
        <f>'W.EUR OTHER'!$D$45</f>
        <v>7.0241435315537989E-2</v>
      </c>
      <c r="J162" s="622">
        <f>'W.EUR OTHER'!$E$45</f>
        <v>4.5697904024259245E-2</v>
      </c>
      <c r="K162" s="622">
        <f>'W.EUR OTHER'!$F$45</f>
        <v>4.7170150494817063E-2</v>
      </c>
      <c r="L162" s="622">
        <f>'W.EUR OTHER'!$G$45</f>
        <v>4.8241300976334903E-2</v>
      </c>
      <c r="M162" s="622">
        <f>'W.EUR OTHER'!$H$45</f>
        <v>-0.13991829578276849</v>
      </c>
      <c r="N162" s="56"/>
      <c r="O162" s="622">
        <f>'W.EUR OTHER'!$D$47</f>
        <v>5.9642268148913748E-2</v>
      </c>
      <c r="P162" s="622">
        <f>'W.EUR OTHER'!$E$47</f>
        <v>5.5449756012868556E-2</v>
      </c>
      <c r="Q162" s="622">
        <f>'W.EUR OTHER'!$F$47</f>
        <v>9.4594899628271986E-2</v>
      </c>
      <c r="R162" s="622">
        <f>'W.EUR OTHER'!$G$47</f>
        <v>0.12191910814423843</v>
      </c>
      <c r="S162" s="622">
        <f>'W.EUR OTHER'!$H$47</f>
        <v>0.21960762754614027</v>
      </c>
      <c r="T162" s="46"/>
      <c r="U162" s="57"/>
      <c r="V162" s="58" t="str">
        <f>C162</f>
        <v>Agg. W. Europe Other</v>
      </c>
      <c r="Z162" s="46"/>
      <c r="AE162" s="41"/>
      <c r="AF162" s="31"/>
      <c r="AG162" s="31"/>
      <c r="AI162" s="41"/>
      <c r="AJ162" s="64"/>
      <c r="AK162" s="64"/>
      <c r="AM162" s="41"/>
      <c r="AN162" s="17"/>
      <c r="AO162" s="17"/>
      <c r="AQ162" s="41"/>
      <c r="AR162" s="18"/>
      <c r="AS162" s="18"/>
    </row>
    <row r="163" spans="1:45" s="5" customFormat="1">
      <c r="A163" s="146"/>
      <c r="B163" s="42"/>
      <c r="C163" s="48"/>
      <c r="D163" s="44"/>
      <c r="E163" s="44"/>
      <c r="F163" s="45"/>
      <c r="G163" s="44"/>
      <c r="H163" s="46"/>
      <c r="I163" s="621"/>
      <c r="J163" s="621"/>
      <c r="K163" s="621"/>
      <c r="L163" s="621"/>
      <c r="M163" s="621"/>
      <c r="N163" s="46"/>
      <c r="O163" s="621"/>
      <c r="P163" s="621"/>
      <c r="Q163" s="621"/>
      <c r="R163" s="621"/>
      <c r="S163" s="621"/>
      <c r="T163" s="46"/>
      <c r="U163" s="48"/>
      <c r="V163" s="44"/>
      <c r="Z163" s="46"/>
      <c r="AE163" s="41"/>
      <c r="AF163" s="31"/>
      <c r="AG163" s="31"/>
      <c r="AI163" s="41"/>
      <c r="AJ163" s="64"/>
      <c r="AK163" s="64"/>
      <c r="AM163" s="41"/>
      <c r="AN163" s="17"/>
      <c r="AO163" s="17"/>
      <c r="AQ163" s="41"/>
      <c r="AR163" s="18"/>
      <c r="AS163" s="18"/>
    </row>
    <row r="164" spans="1:45" s="5" customFormat="1">
      <c r="A164" s="41"/>
      <c r="B164" s="42" t="s">
        <v>556</v>
      </c>
      <c r="C164" s="48" t="str">
        <f t="shared" ref="C164:G169" si="25">C104</f>
        <v>HKBN</v>
      </c>
      <c r="D164" s="44" t="str">
        <f t="shared" si="25"/>
        <v>HKD 3</v>
      </c>
      <c r="E164" s="44" t="str">
        <f t="shared" si="25"/>
        <v>HKD 16</v>
      </c>
      <c r="F164" s="45">
        <f t="shared" si="25"/>
        <v>5.2256809338521402</v>
      </c>
      <c r="G164" s="44" t="str">
        <f t="shared" si="25"/>
        <v>Buy</v>
      </c>
      <c r="H164" s="46"/>
      <c r="I164" s="621">
        <f>HKBN!$D$45</f>
        <v>0.39155784773459196</v>
      </c>
      <c r="J164" s="621">
        <f>HKBN!$E$45</f>
        <v>0.42121402277925529</v>
      </c>
      <c r="K164" s="621">
        <f>HKBN!$F$45</f>
        <v>0.43969278047763816</v>
      </c>
      <c r="L164" s="621">
        <f>HKBN!$G$45</f>
        <v>0.46975470999048069</v>
      </c>
      <c r="M164" s="621">
        <f>HKBN!$H$45</f>
        <v>6.2572087987454283E-2</v>
      </c>
      <c r="N164" s="46"/>
      <c r="O164" s="621">
        <f>HKBN!$D$47</f>
        <v>0.50711854388198296</v>
      </c>
      <c r="P164" s="621">
        <f>HKBN!$E$47</f>
        <v>0.53454914335572545</v>
      </c>
      <c r="Q164" s="621">
        <f>HKBN!$F$47</f>
        <v>0.55124449078104021</v>
      </c>
      <c r="R164" s="621">
        <f>HKBN!$G$47</f>
        <v>0.57914283126799349</v>
      </c>
      <c r="S164" s="621">
        <f>HKBN!$H$47</f>
        <v>4.5262567078461435E-2</v>
      </c>
      <c r="T164" s="46"/>
      <c r="U164" s="48" t="str">
        <f t="shared" ref="U164:U169" si="26">U104</f>
        <v>HKD 3</v>
      </c>
      <c r="V164" s="69" t="str">
        <f>C164</f>
        <v>HKBN</v>
      </c>
      <c r="Z164" s="46"/>
      <c r="AE164" s="41"/>
      <c r="AF164" s="31"/>
      <c r="AG164" s="31"/>
      <c r="AI164" s="41"/>
      <c r="AJ164" s="64"/>
      <c r="AK164" s="64"/>
      <c r="AM164" s="41"/>
      <c r="AN164" s="17"/>
      <c r="AO164" s="17"/>
      <c r="AQ164" s="41"/>
      <c r="AR164" s="18"/>
      <c r="AS164" s="18"/>
    </row>
    <row r="165" spans="1:45" s="5" customFormat="1">
      <c r="A165" s="146"/>
      <c r="B165" s="42"/>
      <c r="C165" s="48" t="str">
        <f t="shared" si="25"/>
        <v>KDDI</v>
      </c>
      <c r="D165" s="44" t="str">
        <f t="shared" si="25"/>
        <v>JPY 4,302</v>
      </c>
      <c r="E165" s="44" t="str">
        <f t="shared" si="25"/>
        <v>JPY 6,600</v>
      </c>
      <c r="F165" s="45">
        <f t="shared" si="25"/>
        <v>0.53417015341701535</v>
      </c>
      <c r="G165" s="44" t="str">
        <f t="shared" si="25"/>
        <v>Buy</v>
      </c>
      <c r="H165" s="46"/>
      <c r="I165" s="621">
        <f>KDDI!$D$45</f>
        <v>3.4867503486750349E-2</v>
      </c>
      <c r="J165" s="621">
        <f>KDDI!$E$45</f>
        <v>3.7192003719200367E-2</v>
      </c>
      <c r="K165" s="621">
        <f>KDDI!$F$45</f>
        <v>3.9516503951650392E-2</v>
      </c>
      <c r="L165" s="621">
        <f>KDDI!$G$45</f>
        <v>3.9516503951650392E-2</v>
      </c>
      <c r="M165" s="621">
        <f>KDDI!$H$45</f>
        <v>1.5966143356318074E-2</v>
      </c>
      <c r="N165" s="46"/>
      <c r="O165" s="621">
        <f>KDDI!$D$47</f>
        <v>6.5718282547619439E-2</v>
      </c>
      <c r="P165" s="621">
        <f>KDDI!$E$47</f>
        <v>8.5083185572512557E-2</v>
      </c>
      <c r="Q165" s="621">
        <f>KDDI!$F$47</f>
        <v>9.0119117562325574E-2</v>
      </c>
      <c r="R165" s="621">
        <f>KDDI!$G$47</f>
        <v>9.5673159055232326E-2</v>
      </c>
      <c r="S165" s="621">
        <f>KDDI!$H$47</f>
        <v>0.10440403428689149</v>
      </c>
      <c r="T165" s="46"/>
      <c r="U165" s="48" t="str">
        <f t="shared" si="26"/>
        <v>JPY 4,302</v>
      </c>
      <c r="V165" s="44" t="str">
        <f t="shared" ref="V165:V170" si="27">V105</f>
        <v>KDDI</v>
      </c>
      <c r="Z165" s="46"/>
      <c r="AB165" s="63"/>
      <c r="AE165" s="41"/>
      <c r="AF165" s="31"/>
      <c r="AG165" s="31"/>
      <c r="AI165" s="41"/>
      <c r="AJ165" s="64"/>
      <c r="AK165" s="64"/>
      <c r="AM165" s="41"/>
      <c r="AN165" s="17"/>
      <c r="AO165" s="17"/>
      <c r="AQ165" s="41"/>
      <c r="AR165" s="18"/>
      <c r="AS165" s="18"/>
    </row>
    <row r="166" spans="1:45" s="5" customFormat="1">
      <c r="A166" s="41"/>
      <c r="B166" s="42"/>
      <c r="C166" s="48" t="str">
        <f t="shared" si="25"/>
        <v>Macquarie Telecom</v>
      </c>
      <c r="D166" s="44" t="str">
        <f t="shared" si="25"/>
        <v>AUD 85.20</v>
      </c>
      <c r="E166" s="44" t="str">
        <f t="shared" si="25"/>
        <v>AUD 28.00</v>
      </c>
      <c r="F166" s="45">
        <f t="shared" si="25"/>
        <v>-0.67136150234741787</v>
      </c>
      <c r="G166" s="44" t="str">
        <f t="shared" si="25"/>
        <v>Neutral</v>
      </c>
      <c r="H166" s="46"/>
      <c r="I166" s="621">
        <f>MAQ!$D$45</f>
        <v>0</v>
      </c>
      <c r="J166" s="621">
        <f>MAQ!$E$45</f>
        <v>2.9342723004694834E-3</v>
      </c>
      <c r="K166" s="621">
        <f>MAQ!$F$45</f>
        <v>5.8685446009389677E-3</v>
      </c>
      <c r="L166" s="621">
        <f>MAQ!$G$45</f>
        <v>6.4553990610328642E-3</v>
      </c>
      <c r="M166" s="621" t="str">
        <f>MAQ!$H$45</f>
        <v>nm</v>
      </c>
      <c r="N166" s="46"/>
      <c r="O166" s="621">
        <f>MAQ!$D$47</f>
        <v>5.9852730816287768E-3</v>
      </c>
      <c r="P166" s="621">
        <f>MAQ!$E$47</f>
        <v>1.3375471141528041E-2</v>
      </c>
      <c r="Q166" s="621">
        <f>MAQ!$F$47</f>
        <v>1.6746402143236031E-2</v>
      </c>
      <c r="R166" s="621">
        <f>MAQ!$G$47</f>
        <v>2.1163140681074905E-2</v>
      </c>
      <c r="S166" s="621">
        <f>MAQ!$H$47</f>
        <v>0.5437620034685513</v>
      </c>
      <c r="T166" s="46"/>
      <c r="U166" s="48" t="str">
        <f t="shared" si="26"/>
        <v>AUD 85.20</v>
      </c>
      <c r="V166" s="69" t="str">
        <f t="shared" si="27"/>
        <v>Macquarie Telecom</v>
      </c>
      <c r="W166" s="43"/>
      <c r="X166" s="44"/>
      <c r="Z166" s="46"/>
      <c r="AE166" s="41"/>
      <c r="AF166" s="31"/>
      <c r="AG166" s="31"/>
      <c r="AI166" s="41"/>
      <c r="AJ166" s="64"/>
      <c r="AK166" s="64"/>
      <c r="AM166" s="41"/>
      <c r="AN166" s="17"/>
      <c r="AO166" s="17"/>
      <c r="AQ166" s="41"/>
      <c r="AR166" s="18"/>
      <c r="AS166" s="18"/>
    </row>
    <row r="167" spans="1:45" s="5" customFormat="1">
      <c r="A167" s="146"/>
      <c r="B167" s="42"/>
      <c r="C167" s="48" t="str">
        <f t="shared" si="25"/>
        <v>Rakuten</v>
      </c>
      <c r="D167" s="44" t="str">
        <f t="shared" si="25"/>
        <v>JPY 776</v>
      </c>
      <c r="E167" s="44" t="str">
        <f t="shared" si="25"/>
        <v>JPY 400</v>
      </c>
      <c r="F167" s="45">
        <f t="shared" si="25"/>
        <v>-0.48446964815053484</v>
      </c>
      <c r="G167" s="44" t="str">
        <f t="shared" si="25"/>
        <v>Reduce</v>
      </c>
      <c r="H167" s="46"/>
      <c r="I167" s="621">
        <f>RAK!$D$45</f>
        <v>0</v>
      </c>
      <c r="J167" s="621">
        <f>RAK!$E$45</f>
        <v>0</v>
      </c>
      <c r="K167" s="621">
        <f>RAK!$F$45</f>
        <v>0</v>
      </c>
      <c r="L167" s="621">
        <f>RAK!$G$45</f>
        <v>0</v>
      </c>
      <c r="M167" s="621" t="str">
        <f>RAK!$H$45</f>
        <v>nm</v>
      </c>
      <c r="N167" s="46"/>
      <c r="O167" s="621">
        <f>RAK!$D$47</f>
        <v>-0.2472548068933291</v>
      </c>
      <c r="P167" s="621">
        <f>RAK!$E$47</f>
        <v>-0.12060560858501612</v>
      </c>
      <c r="Q167" s="621">
        <f>RAK!$F$47</f>
        <v>-0.10607883935598174</v>
      </c>
      <c r="R167" s="621">
        <f>RAK!$G$47</f>
        <v>-0.12532506645780941</v>
      </c>
      <c r="S167" s="621">
        <f>RAK!$H$47</f>
        <v>-0.20268292162149759</v>
      </c>
      <c r="T167" s="46"/>
      <c r="U167" s="48" t="str">
        <f t="shared" si="26"/>
        <v>JPY 776</v>
      </c>
      <c r="V167" s="44" t="str">
        <f t="shared" si="27"/>
        <v>Rakuten</v>
      </c>
      <c r="Z167" s="46"/>
      <c r="AE167" s="41"/>
      <c r="AF167" s="31"/>
      <c r="AG167" s="31"/>
      <c r="AI167" s="41"/>
      <c r="AJ167" s="64"/>
      <c r="AK167" s="64"/>
      <c r="AM167" s="41"/>
      <c r="AN167" s="17"/>
      <c r="AO167" s="17"/>
      <c r="AQ167" s="41"/>
      <c r="AR167" s="18"/>
      <c r="AS167" s="18"/>
    </row>
    <row r="168" spans="1:45" s="5" customFormat="1">
      <c r="A168" s="146"/>
      <c r="B168" s="42"/>
      <c r="C168" s="48" t="str">
        <f t="shared" si="25"/>
        <v>SoftBank KK (Corp)</v>
      </c>
      <c r="D168" s="44" t="str">
        <f t="shared" si="25"/>
        <v>JPY 1,898</v>
      </c>
      <c r="E168" s="44" t="str">
        <f t="shared" si="25"/>
        <v>JPY 2,500</v>
      </c>
      <c r="F168" s="45">
        <f t="shared" si="25"/>
        <v>0.31752305665349145</v>
      </c>
      <c r="G168" s="44" t="str">
        <f t="shared" si="25"/>
        <v>Buy</v>
      </c>
      <c r="H168" s="46"/>
      <c r="I168" s="621">
        <f>SBKK!$D$45</f>
        <v>4.5322793148880103E-2</v>
      </c>
      <c r="J168" s="621">
        <f>SBKK!$E$45</f>
        <v>4.6376811594202892E-2</v>
      </c>
      <c r="K168" s="621">
        <f>SBKK!$F$45</f>
        <v>5.0244646122299397E-2</v>
      </c>
      <c r="L168" s="621">
        <f>SBKK!$G$45</f>
        <v>5.3426184039247038E-2</v>
      </c>
      <c r="M168" s="621">
        <f>SBKK!$H$45</f>
        <v>5.6050983129868115E-2</v>
      </c>
      <c r="N168" s="46"/>
      <c r="O168" s="621">
        <f>SBKK!$D$47</f>
        <v>7.6380915087051943E-2</v>
      </c>
      <c r="P168" s="621">
        <f>SBKK!$E$47</f>
        <v>8.4485149258420059E-2</v>
      </c>
      <c r="Q168" s="621">
        <f>SBKK!$F$47</f>
        <v>9.1437871029163009E-2</v>
      </c>
      <c r="R168" s="621">
        <f>SBKK!$G$47</f>
        <v>9.778614207807225E-2</v>
      </c>
      <c r="S168" s="621">
        <f>SBKK!$H$47</f>
        <v>8.5516778400446913E-2</v>
      </c>
      <c r="T168" s="46"/>
      <c r="U168" s="48" t="str">
        <f t="shared" si="26"/>
        <v>JPY 1,898</v>
      </c>
      <c r="V168" s="44" t="str">
        <f t="shared" si="27"/>
        <v>SoftBank KK (Corp)</v>
      </c>
      <c r="Z168" s="46"/>
      <c r="AE168" s="41"/>
      <c r="AF168" s="31"/>
      <c r="AG168" s="31"/>
      <c r="AI168" s="41"/>
      <c r="AJ168" s="64"/>
      <c r="AK168" s="64"/>
      <c r="AM168" s="41"/>
      <c r="AN168" s="17"/>
      <c r="AO168" s="17"/>
      <c r="AQ168" s="41"/>
      <c r="AR168" s="18"/>
      <c r="AS168" s="18"/>
    </row>
    <row r="169" spans="1:45" s="5" customFormat="1">
      <c r="A169" s="41"/>
      <c r="B169" s="42"/>
      <c r="C169" s="48" t="str">
        <f t="shared" si="25"/>
        <v>TPG</v>
      </c>
      <c r="D169" s="44" t="str">
        <f t="shared" si="25"/>
        <v>AUD 4.60</v>
      </c>
      <c r="E169" s="44" t="str">
        <f t="shared" si="25"/>
        <v>AUD 7.50</v>
      </c>
      <c r="F169" s="45">
        <f t="shared" si="25"/>
        <v>0.63043478260869579</v>
      </c>
      <c r="G169" s="44" t="str">
        <f t="shared" si="25"/>
        <v>Neutral</v>
      </c>
      <c r="H169" s="46"/>
      <c r="I169" s="621">
        <f>TPG!$D$45</f>
        <v>2.391304347826087E-2</v>
      </c>
      <c r="J169" s="621">
        <f>TPG!$E$45</f>
        <v>2.6086956521739132E-2</v>
      </c>
      <c r="K169" s="621">
        <f>TPG!$F$45</f>
        <v>2.8260869565217391E-2</v>
      </c>
      <c r="L169" s="621">
        <f>TPG!$G$45</f>
        <v>3.0434782608695653E-2</v>
      </c>
      <c r="M169" s="621">
        <f>TPG!$H$45</f>
        <v>8.6416029568481711E-2</v>
      </c>
      <c r="N169" s="46"/>
      <c r="O169" s="621">
        <f>TPG!$D$47</f>
        <v>5.0586103248135714E-2</v>
      </c>
      <c r="P169" s="621">
        <f>TPG!$E$47</f>
        <v>5.6393897510657771E-2</v>
      </c>
      <c r="Q169" s="621">
        <f>TPG!$F$47</f>
        <v>5.188610071300525E-2</v>
      </c>
      <c r="R169" s="621">
        <f>TPG!$G$47</f>
        <v>5.6085675807764357E-2</v>
      </c>
      <c r="S169" s="621">
        <f>TPG!$H$47</f>
        <v>3.7587246610938374E-2</v>
      </c>
      <c r="T169" s="46"/>
      <c r="U169" s="48" t="str">
        <f t="shared" si="26"/>
        <v>AUD 4.60</v>
      </c>
      <c r="V169" s="44" t="str">
        <f t="shared" si="27"/>
        <v>TPG</v>
      </c>
      <c r="W169" s="43"/>
      <c r="X169" s="44"/>
      <c r="Z169" s="46"/>
      <c r="AE169" s="41"/>
      <c r="AF169" s="31"/>
      <c r="AG169" s="31"/>
      <c r="AI169" s="41"/>
      <c r="AJ169" s="64"/>
      <c r="AK169" s="64"/>
      <c r="AM169" s="41"/>
      <c r="AN169" s="17"/>
      <c r="AO169" s="17"/>
      <c r="AQ169" s="41"/>
      <c r="AR169" s="18"/>
      <c r="AS169" s="18"/>
    </row>
    <row r="170" spans="1:45" s="5" customFormat="1">
      <c r="A170" s="146"/>
      <c r="B170" s="42"/>
      <c r="C170" s="51" t="str">
        <f>C110</f>
        <v>Agg. Developed Asia Other</v>
      </c>
      <c r="D170" s="52"/>
      <c r="E170" s="52"/>
      <c r="F170" s="53"/>
      <c r="G170" s="52"/>
      <c r="H170" s="46"/>
      <c r="I170" s="622">
        <f>'DM ASIA OTHER'!$D$45</f>
        <v>3.7986924913411727E-2</v>
      </c>
      <c r="J170" s="622">
        <f>'DM ASIA OTHER'!$E$45</f>
        <v>3.9710475797061488E-2</v>
      </c>
      <c r="K170" s="622">
        <f>'DM ASIA OTHER'!$F$45</f>
        <v>4.2651580040166739E-2</v>
      </c>
      <c r="L170" s="622">
        <f>'DM ASIA OTHER'!$G$45</f>
        <v>4.435877655873157E-2</v>
      </c>
      <c r="M170" s="622">
        <f>'DM ASIA OTHER'!$H$45</f>
        <v>4.1354483578221801E-2</v>
      </c>
      <c r="N170" s="56"/>
      <c r="O170" s="622">
        <f>'DM ASIA OTHER'!$D$47</f>
        <v>9.4837005011831912E-2</v>
      </c>
      <c r="P170" s="622">
        <f>'DM ASIA OTHER'!$E$47</f>
        <v>0.1423342995085379</v>
      </c>
      <c r="Q170" s="622">
        <f>'DM ASIA OTHER'!$F$47</f>
        <v>0.15700197371585803</v>
      </c>
      <c r="R170" s="622">
        <f>'DM ASIA OTHER'!$G$47</f>
        <v>0.16693893967026124</v>
      </c>
      <c r="S170" s="622">
        <f>'DM ASIA OTHER'!$H$47</f>
        <v>0.17983109862883917</v>
      </c>
      <c r="T170" s="46"/>
      <c r="U170" s="57"/>
      <c r="V170" s="58" t="str">
        <f t="shared" si="27"/>
        <v>Agg. Developed Asia Cellular</v>
      </c>
      <c r="Z170" s="46"/>
      <c r="AE170" s="41"/>
      <c r="AF170" s="31"/>
      <c r="AG170" s="31"/>
      <c r="AI170" s="41"/>
      <c r="AJ170" s="64"/>
      <c r="AK170" s="64"/>
      <c r="AM170" s="41"/>
      <c r="AN170" s="17"/>
      <c r="AO170" s="17"/>
      <c r="AQ170" s="41"/>
      <c r="AR170" s="18"/>
      <c r="AS170" s="18"/>
    </row>
    <row r="171" spans="1:45" s="5" customFormat="1">
      <c r="A171" s="41"/>
      <c r="B171" s="42"/>
      <c r="C171" s="48"/>
      <c r="D171" s="44"/>
      <c r="E171" s="44"/>
      <c r="F171" s="45"/>
      <c r="G171" s="44"/>
      <c r="H171" s="46"/>
      <c r="I171" s="621"/>
      <c r="J171" s="621"/>
      <c r="K171" s="621"/>
      <c r="L171" s="621"/>
      <c r="M171" s="621"/>
      <c r="N171" s="46"/>
      <c r="O171" s="621"/>
      <c r="P171" s="621"/>
      <c r="Q171" s="621"/>
      <c r="R171" s="621"/>
      <c r="S171" s="621"/>
      <c r="T171" s="46"/>
      <c r="U171" s="48"/>
      <c r="V171" s="44"/>
      <c r="Z171" s="46"/>
      <c r="AE171" s="41"/>
      <c r="AF171" s="31"/>
      <c r="AG171" s="31"/>
      <c r="AI171" s="41"/>
      <c r="AJ171" s="64"/>
      <c r="AK171" s="64"/>
      <c r="AM171" s="41"/>
      <c r="AN171" s="17"/>
      <c r="AO171" s="17"/>
      <c r="AQ171" s="41"/>
      <c r="AR171" s="18"/>
      <c r="AS171" s="18"/>
    </row>
    <row r="172" spans="1:45" s="5" customFormat="1">
      <c r="A172" s="41"/>
      <c r="B172" s="42" t="s">
        <v>519</v>
      </c>
      <c r="C172" s="48" t="str">
        <f>C112</f>
        <v>Altice US</v>
      </c>
      <c r="D172" s="44" t="str">
        <f>D112</f>
        <v>US$2.3</v>
      </c>
      <c r="E172" s="44" t="str">
        <f>E112</f>
        <v>US$4.0</v>
      </c>
      <c r="F172" s="45">
        <f>F112</f>
        <v>0.71673819742489275</v>
      </c>
      <c r="G172" s="44" t="str">
        <f>G112</f>
        <v>Neutral</v>
      </c>
      <c r="H172" s="46"/>
      <c r="I172" s="621">
        <f>ATCUS!D$45</f>
        <v>0</v>
      </c>
      <c r="J172" s="621">
        <f>ATCUS!E$45</f>
        <v>0</v>
      </c>
      <c r="K172" s="621">
        <f>ATCUS!F$45</f>
        <v>0</v>
      </c>
      <c r="L172" s="621">
        <f>ATCUS!G$45</f>
        <v>0</v>
      </c>
      <c r="M172" s="621" t="str">
        <f>ATCUS!H$45</f>
        <v>nm</v>
      </c>
      <c r="N172" s="46"/>
      <c r="O172" s="621">
        <f>ATCUS!D$47</f>
        <v>0.24083095730164022</v>
      </c>
      <c r="P172" s="621">
        <f>ATCUS!E$47</f>
        <v>-5.8851844325407278E-2</v>
      </c>
      <c r="Q172" s="621">
        <f>ATCUS!F$47</f>
        <v>6.4486871951288643E-3</v>
      </c>
      <c r="R172" s="621">
        <f>ATCUS!G$47</f>
        <v>0.11529995907985124</v>
      </c>
      <c r="S172" s="621">
        <f>ATCUS!H$47</f>
        <v>-0.21738335246278884</v>
      </c>
      <c r="T172" s="46"/>
      <c r="U172" s="48" t="str">
        <f t="shared" ref="U172:V174" si="28">U112</f>
        <v>USD 2.3</v>
      </c>
      <c r="V172" s="44" t="str">
        <f t="shared" si="28"/>
        <v>Altice US</v>
      </c>
      <c r="Z172" s="46"/>
      <c r="AE172" s="41"/>
      <c r="AF172" s="31"/>
      <c r="AG172" s="31"/>
      <c r="AI172" s="41"/>
      <c r="AJ172" s="64"/>
      <c r="AK172" s="64"/>
      <c r="AM172" s="41"/>
      <c r="AN172" s="17"/>
      <c r="AO172" s="17"/>
      <c r="AQ172" s="41"/>
      <c r="AR172" s="18"/>
      <c r="AS172" s="18"/>
    </row>
    <row r="173" spans="1:45" s="5" customFormat="1">
      <c r="A173" s="41"/>
      <c r="B173" s="42" t="s">
        <v>519</v>
      </c>
      <c r="C173" s="48" t="s">
        <v>311</v>
      </c>
      <c r="D173" s="44" t="str">
        <f>B173&amp;TEXT(Prices!$C$45,"0.0")</f>
        <v>US$271.5</v>
      </c>
      <c r="E173" s="44" t="str">
        <f>B173&amp;TEXT(Prices!$E$45,"0.0")</f>
        <v>US$581.0</v>
      </c>
      <c r="F173" s="45">
        <f>Prices!$F$45</f>
        <v>1.1402784940691078</v>
      </c>
      <c r="G173" s="44" t="str">
        <f>Prices!$D$45</f>
        <v>Buy</v>
      </c>
      <c r="H173" s="46"/>
      <c r="I173" s="621">
        <f>CHTR!D$45</f>
        <v>0</v>
      </c>
      <c r="J173" s="621">
        <f>CHTR!E$45</f>
        <v>0</v>
      </c>
      <c r="K173" s="621">
        <f>CHTR!F$45</f>
        <v>0</v>
      </c>
      <c r="L173" s="621">
        <f>CHTR!G$45</f>
        <v>0</v>
      </c>
      <c r="M173" s="621" t="str">
        <f>CHTR!H$45</f>
        <v>nm</v>
      </c>
      <c r="N173" s="46"/>
      <c r="O173" s="621">
        <f>CHTR!D$47</f>
        <v>4.2300934862078032E-2</v>
      </c>
      <c r="P173" s="621">
        <f>CHTR!E$47</f>
        <v>6.7854276566928287E-2</v>
      </c>
      <c r="Q173" s="621">
        <f>CHTR!F$47</f>
        <v>8.6604442138960278E-2</v>
      </c>
      <c r="R173" s="621">
        <f>CHTR!G$47</f>
        <v>0.15001236172297008</v>
      </c>
      <c r="S173" s="621">
        <f>CHTR!H$47</f>
        <v>0.40339662366130269</v>
      </c>
      <c r="T173" s="46"/>
      <c r="U173" s="48" t="str">
        <f t="shared" si="28"/>
        <v>USD 271.5</v>
      </c>
      <c r="V173" s="44" t="str">
        <f t="shared" si="28"/>
        <v>Charter</v>
      </c>
      <c r="Z173" s="46"/>
      <c r="AE173" s="41"/>
      <c r="AF173" s="31"/>
      <c r="AG173" s="31"/>
      <c r="AI173" s="41"/>
      <c r="AJ173" s="64"/>
      <c r="AK173" s="64"/>
      <c r="AM173" s="41"/>
      <c r="AN173" s="17"/>
      <c r="AO173" s="17"/>
      <c r="AQ173" s="41"/>
      <c r="AR173" s="18"/>
      <c r="AS173" s="18"/>
    </row>
    <row r="174" spans="1:45" s="5" customFormat="1">
      <c r="A174" s="41"/>
      <c r="B174" s="42" t="s">
        <v>519</v>
      </c>
      <c r="C174" s="48" t="s">
        <v>309</v>
      </c>
      <c r="D174" s="44" t="str">
        <f>B174&amp;TEXT(Prices!$C$46,"0.0")</f>
        <v>US$38.5</v>
      </c>
      <c r="E174" s="44" t="str">
        <f>B174&amp;TEXT(Prices!$E$46,"0.0")</f>
        <v>US$50.0</v>
      </c>
      <c r="F174" s="45">
        <f>Prices!$F$46</f>
        <v>0.29735339906590563</v>
      </c>
      <c r="G174" s="44" t="str">
        <f>Prices!$D$46</f>
        <v>Buy</v>
      </c>
      <c r="H174" s="46"/>
      <c r="I174" s="621">
        <f>CMCSA!D$45</f>
        <v>2.9956360830878423E-2</v>
      </c>
      <c r="J174" s="621">
        <f>CMCSA!E$45</f>
        <v>3.3408672592664501E-2</v>
      </c>
      <c r="K174" s="621">
        <f>CMCSA!F$45</f>
        <v>3.5077103097738788E-2</v>
      </c>
      <c r="L174" s="621">
        <f>CMCSA!G$45</f>
        <v>3.6842450191863191E-2</v>
      </c>
      <c r="M174" s="621">
        <f>CMCSA!H$45</f>
        <v>6.714297299340366E-3</v>
      </c>
      <c r="N174" s="46"/>
      <c r="O174" s="621">
        <f>CMCSA!D$47</f>
        <v>0.25133788177518507</v>
      </c>
      <c r="P174" s="621">
        <f>CMCSA!E$47</f>
        <v>0.27501720980920202</v>
      </c>
      <c r="Q174" s="621">
        <f>CMCSA!F$47</f>
        <v>0.29215883814330978</v>
      </c>
      <c r="R174" s="621">
        <f>CMCSA!G$47</f>
        <v>0.3185647037601253</v>
      </c>
      <c r="S174" s="621">
        <f>CMCSA!H$47</f>
        <v>1.687207424806525E-2</v>
      </c>
      <c r="T174" s="46"/>
      <c r="U174" s="48" t="str">
        <f t="shared" si="28"/>
        <v>USD 38.5</v>
      </c>
      <c r="V174" s="44" t="str">
        <f t="shared" si="28"/>
        <v>Comcast</v>
      </c>
      <c r="Z174" s="46"/>
      <c r="AE174" s="41"/>
      <c r="AF174" s="31"/>
      <c r="AG174" s="31"/>
      <c r="AI174" s="41"/>
      <c r="AJ174" s="64"/>
      <c r="AK174" s="64"/>
      <c r="AM174" s="41"/>
      <c r="AN174" s="17"/>
      <c r="AO174" s="17"/>
      <c r="AQ174" s="41"/>
      <c r="AR174" s="18"/>
      <c r="AS174" s="18"/>
    </row>
    <row r="175" spans="1:45" s="5" customFormat="1">
      <c r="A175" s="41"/>
      <c r="B175" s="42" t="s">
        <v>527</v>
      </c>
      <c r="C175" s="48" t="s">
        <v>1615</v>
      </c>
      <c r="D175" s="44" t="str">
        <f>B175&amp;TEXT(Prices!C$47,"0.00")</f>
        <v>US$ 25.58</v>
      </c>
      <c r="E175" s="44" t="str">
        <f>B175&amp;TEXT(Prices!E$47,"0.00")</f>
        <v>US$ 54.00</v>
      </c>
      <c r="F175" s="45">
        <f>Prices!F$47</f>
        <v>1.111024237685692</v>
      </c>
      <c r="G175" s="44" t="str">
        <f>Prices!D$47</f>
        <v>Buy</v>
      </c>
      <c r="H175" s="46"/>
      <c r="I175" s="621">
        <f>FYBR!D$45</f>
        <v>0</v>
      </c>
      <c r="J175" s="621">
        <f>FYBR!E$45</f>
        <v>0</v>
      </c>
      <c r="K175" s="621">
        <f>FYBR!F$45</f>
        <v>0</v>
      </c>
      <c r="L175" s="621">
        <f>FYBR!G$45</f>
        <v>0</v>
      </c>
      <c r="M175" s="621" t="str">
        <f>FYBR!H$45</f>
        <v>nm</v>
      </c>
      <c r="N175" s="46"/>
      <c r="O175" s="621">
        <f>FYBR!D$47</f>
        <v>-0.28110807328411963</v>
      </c>
      <c r="P175" s="621">
        <f>FYBR!E$47</f>
        <v>-0.11831836770177526</v>
      </c>
      <c r="Q175" s="621">
        <f>FYBR!F$47</f>
        <v>-9.7298617677288271E-2</v>
      </c>
      <c r="R175" s="621">
        <f>FYBR!G$47</f>
        <v>-4.2924011617587673E-2</v>
      </c>
      <c r="S175" s="621">
        <f>FYBR!H$47</f>
        <v>-0.46602302081487634</v>
      </c>
      <c r="T175" s="46"/>
      <c r="U175" s="48" t="str">
        <f>D175</f>
        <v>US$ 25.58</v>
      </c>
      <c r="V175" s="44" t="str">
        <f>C175</f>
        <v>Frontier</v>
      </c>
      <c r="AE175" s="41"/>
      <c r="AF175" s="31"/>
      <c r="AG175" s="31"/>
      <c r="AI175" s="41"/>
      <c r="AJ175" s="64"/>
      <c r="AK175" s="64"/>
      <c r="AM175" s="41"/>
      <c r="AN175" s="17"/>
      <c r="AO175" s="17"/>
      <c r="AQ175" s="41"/>
      <c r="AR175" s="18"/>
      <c r="AS175" s="18"/>
    </row>
    <row r="176" spans="1:45" s="5" customFormat="1">
      <c r="A176" s="41"/>
      <c r="B176" s="42" t="s">
        <v>527</v>
      </c>
      <c r="C176" s="48" t="s">
        <v>1616</v>
      </c>
      <c r="D176" s="44" t="str">
        <f>B176&amp;TEXT(Prices!C$48,"0.00")</f>
        <v>US$ 18.49</v>
      </c>
      <c r="E176" s="44" t="str">
        <f>B176&amp;TEXT(Prices!E$48,"0.00")</f>
        <v>US$ 100.00</v>
      </c>
      <c r="F176" s="45">
        <f>Prices!F$48</f>
        <v>4.408328826392645</v>
      </c>
      <c r="G176" s="44" t="str">
        <f>Prices!D$48</f>
        <v>Buy</v>
      </c>
      <c r="H176" s="46"/>
      <c r="I176" s="621">
        <f>SATS!D$45</f>
        <v>0</v>
      </c>
      <c r="J176" s="621">
        <f>SATS!E$45</f>
        <v>0</v>
      </c>
      <c r="K176" s="621">
        <f>SATS!F$45</f>
        <v>0</v>
      </c>
      <c r="L176" s="621">
        <f>SATS!G$45</f>
        <v>0</v>
      </c>
      <c r="M176" s="621" t="str">
        <f>SATS!H$45</f>
        <v>nm</v>
      </c>
      <c r="N176" s="46"/>
      <c r="O176" s="621">
        <f>SATS!D$47</f>
        <v>-0.32343616665361913</v>
      </c>
      <c r="P176" s="621">
        <f>SATS!E$47</f>
        <v>0.1251322299907246</v>
      </c>
      <c r="Q176" s="621">
        <f>SATS!F$47</f>
        <v>0.20208082712484049</v>
      </c>
      <c r="R176" s="621">
        <f>SATS!G$47</f>
        <v>0.34369773822271438</v>
      </c>
      <c r="S176" s="621">
        <f>SATS!H$47</f>
        <v>-2.0204601059978318</v>
      </c>
      <c r="T176" s="46"/>
      <c r="U176" s="48" t="str">
        <f>D176</f>
        <v>US$ 18.49</v>
      </c>
      <c r="V176" s="44" t="str">
        <f>C176</f>
        <v>EchoStar</v>
      </c>
      <c r="AE176" s="41"/>
      <c r="AF176" s="31"/>
      <c r="AG176" s="31"/>
      <c r="AI176" s="41"/>
      <c r="AJ176" s="64"/>
      <c r="AK176" s="64"/>
      <c r="AM176" s="41"/>
      <c r="AN176" s="17"/>
      <c r="AO176" s="17"/>
      <c r="AQ176" s="41"/>
      <c r="AR176" s="18"/>
      <c r="AS176" s="18"/>
    </row>
    <row r="177" spans="1:69" s="5" customFormat="1">
      <c r="A177" s="41"/>
      <c r="B177" s="42"/>
      <c r="C177" s="51" t="str">
        <f>C117</f>
        <v>Agg. US Other</v>
      </c>
      <c r="D177" s="58"/>
      <c r="E177" s="58"/>
      <c r="F177" s="55"/>
      <c r="G177" s="58"/>
      <c r="H177" s="56"/>
      <c r="I177" s="622">
        <f>'US OTHER'!D$45</f>
        <v>2.2052024532702785E-2</v>
      </c>
      <c r="J177" s="622">
        <f>'US OTHER'!E$45</f>
        <v>2.4611250391623297E-2</v>
      </c>
      <c r="K177" s="622">
        <f>'US OTHER'!F$45</f>
        <v>2.5733166701033407E-2</v>
      </c>
      <c r="L177" s="622">
        <f>'US OTHER'!G$45</f>
        <v>2.7146152816565176E-2</v>
      </c>
      <c r="M177" s="622">
        <f>'US OTHER'!H$45</f>
        <v>6.714297299340366E-3</v>
      </c>
      <c r="N177" s="56"/>
      <c r="O177" s="622">
        <f>'US OTHER'!D$47</f>
        <v>0.19016939255418236</v>
      </c>
      <c r="P177" s="622">
        <f>'US OTHER'!E$47</f>
        <v>0.2293568775666773</v>
      </c>
      <c r="Q177" s="622">
        <f>'US OTHER'!F$47</f>
        <v>0.24991944174014</v>
      </c>
      <c r="R177" s="622">
        <f>'US OTHER'!G$47</f>
        <v>0.29275042926246625</v>
      </c>
      <c r="S177" s="622">
        <f>'US OTHER'!H$47</f>
        <v>8.0117819415815195E-2</v>
      </c>
      <c r="T177" s="56"/>
      <c r="U177" s="51"/>
      <c r="V177" s="58" t="str">
        <f>V117</f>
        <v>Agg. US CATV</v>
      </c>
      <c r="W177" s="45"/>
      <c r="X177" s="45"/>
      <c r="Y177" s="138"/>
      <c r="Z177" s="46"/>
      <c r="AE177" s="41"/>
      <c r="AF177" s="31"/>
      <c r="AG177" s="31"/>
      <c r="AI177" s="41"/>
      <c r="AJ177" s="64"/>
      <c r="AK177" s="64"/>
      <c r="AM177" s="41"/>
      <c r="AN177" s="17"/>
      <c r="AO177" s="17"/>
      <c r="AQ177" s="41"/>
      <c r="AR177" s="18"/>
      <c r="AS177" s="18"/>
    </row>
    <row r="178" spans="1:69" s="5" customFormat="1">
      <c r="A178" s="41"/>
      <c r="B178" s="42"/>
      <c r="C178" s="48"/>
      <c r="D178" s="44"/>
      <c r="E178" s="44"/>
      <c r="F178" s="45"/>
      <c r="G178" s="44"/>
      <c r="H178" s="46"/>
      <c r="I178" s="621"/>
      <c r="J178" s="621"/>
      <c r="K178" s="621"/>
      <c r="L178" s="621"/>
      <c r="M178" s="621"/>
      <c r="N178" s="46"/>
      <c r="O178" s="621"/>
      <c r="P178" s="621"/>
      <c r="Q178" s="621"/>
      <c r="R178" s="621"/>
      <c r="S178" s="621"/>
      <c r="T178" s="46"/>
      <c r="U178" s="48"/>
      <c r="V178" s="44"/>
      <c r="W178" s="56"/>
      <c r="X178" s="56"/>
      <c r="Y178" s="56"/>
      <c r="Z178" s="56"/>
      <c r="AE178" s="41"/>
      <c r="AF178" s="31"/>
      <c r="AG178" s="31"/>
      <c r="AI178" s="41"/>
      <c r="AJ178" s="64"/>
      <c r="AK178" s="64"/>
      <c r="AM178" s="41"/>
      <c r="AN178" s="17"/>
      <c r="AO178" s="17"/>
      <c r="AQ178" s="41"/>
      <c r="AR178" s="18"/>
      <c r="AS178" s="18"/>
    </row>
    <row r="179" spans="1:69" s="5" customFormat="1">
      <c r="A179" s="146"/>
      <c r="B179" s="42"/>
      <c r="C179" s="48"/>
      <c r="D179" s="44"/>
      <c r="E179" s="44"/>
      <c r="F179" s="45"/>
      <c r="G179" s="44"/>
      <c r="H179" s="46"/>
      <c r="I179" s="621"/>
      <c r="J179" s="621"/>
      <c r="K179" s="621"/>
      <c r="L179" s="621"/>
      <c r="M179" s="621"/>
      <c r="N179" s="46"/>
      <c r="O179" s="621"/>
      <c r="P179" s="621"/>
      <c r="Q179" s="621"/>
      <c r="R179" s="621"/>
      <c r="S179" s="621"/>
      <c r="T179" s="46"/>
      <c r="U179" s="48"/>
      <c r="V179" s="44"/>
      <c r="AE179" s="41"/>
      <c r="AF179" s="31"/>
      <c r="AG179" s="31"/>
      <c r="AI179" s="41"/>
      <c r="AJ179" s="64"/>
      <c r="AK179" s="64"/>
      <c r="AM179" s="41"/>
      <c r="AN179" s="17"/>
      <c r="AO179" s="17"/>
      <c r="AQ179" s="41"/>
      <c r="AR179" s="18"/>
      <c r="AS179" s="18"/>
    </row>
    <row r="180" spans="1:69" s="5" customFormat="1">
      <c r="A180" s="146"/>
      <c r="B180" s="42"/>
      <c r="C180" s="51" t="str">
        <f>C120</f>
        <v>Agg. W Europe</v>
      </c>
      <c r="D180" s="52"/>
      <c r="E180" s="52"/>
      <c r="F180" s="53"/>
      <c r="G180" s="52"/>
      <c r="H180" s="46"/>
      <c r="I180" s="622">
        <f>'W.EUR AGG'!$D$45</f>
        <v>4.9413347426465755E-2</v>
      </c>
      <c r="J180" s="622">
        <f>'W.EUR AGG'!$E$45</f>
        <v>4.7908128532266774E-2</v>
      </c>
      <c r="K180" s="622">
        <f>'W.EUR AGG'!$F$45</f>
        <v>5.0002509594523167E-2</v>
      </c>
      <c r="L180" s="622">
        <f>'W.EUR AGG'!$G$45</f>
        <v>5.4280756027676326E-2</v>
      </c>
      <c r="M180" s="622">
        <f>'W.EUR AGG'!$H$45</f>
        <v>2.4096967308986583E-2</v>
      </c>
      <c r="N180" s="56"/>
      <c r="O180" s="622">
        <f>'W.EUR AGG'!$D$47</f>
        <v>5.934896811025725E-2</v>
      </c>
      <c r="P180" s="622">
        <f>'W.EUR AGG'!$E$47</f>
        <v>6.4379318989888287E-2</v>
      </c>
      <c r="Q180" s="622">
        <f>'W.EUR AGG'!$F$47</f>
        <v>7.9616268194959733E-2</v>
      </c>
      <c r="R180" s="622">
        <f>'W.EUR AGG'!$G$47</f>
        <v>9.0892554326195585E-2</v>
      </c>
      <c r="S180" s="622">
        <f>'W.EUR AGG'!$H$47</f>
        <v>0.13939037032474633</v>
      </c>
      <c r="T180" s="46"/>
      <c r="U180" s="57"/>
      <c r="V180" s="58" t="str">
        <f>V120</f>
        <v>Agg. W Europe</v>
      </c>
      <c r="AE180" s="41"/>
      <c r="AF180" s="31"/>
      <c r="AG180" s="31"/>
      <c r="AI180" s="41"/>
      <c r="AJ180" s="64"/>
      <c r="AK180" s="64"/>
      <c r="AM180" s="41"/>
      <c r="AN180" s="17"/>
      <c r="AO180" s="17"/>
      <c r="AQ180" s="41"/>
      <c r="AR180" s="18"/>
      <c r="AS180" s="18"/>
    </row>
    <row r="181" spans="1:69" s="5" customFormat="1">
      <c r="A181" s="41"/>
      <c r="B181" s="42"/>
      <c r="C181" s="41" t="s">
        <v>1621</v>
      </c>
      <c r="D181" s="44"/>
      <c r="E181" s="44"/>
      <c r="F181" s="45"/>
      <c r="G181" s="44"/>
      <c r="H181" s="46"/>
      <c r="I181" s="624">
        <f>'US AGG'!D$45</f>
        <v>3.4134705510682074E-2</v>
      </c>
      <c r="J181" s="624">
        <f>'US AGG'!E$45</f>
        <v>4.1406064761145868E-2</v>
      </c>
      <c r="K181" s="624">
        <f>'US AGG'!F$45</f>
        <v>4.3762930170655238E-2</v>
      </c>
      <c r="L181" s="624">
        <f>'US AGG'!G$45</f>
        <v>4.6421493977581864E-2</v>
      </c>
      <c r="M181" s="624">
        <f>'US AGG'!H$45</f>
        <v>6.8680141560880426E-2</v>
      </c>
      <c r="N181" s="56"/>
      <c r="O181" s="624">
        <f>'US AGG'!D$47</f>
        <v>0.1016648408267843</v>
      </c>
      <c r="P181" s="624">
        <f>'US AGG'!E$47</f>
        <v>0.1030663096341896</v>
      </c>
      <c r="Q181" s="624">
        <f>'US AGG'!F$47</f>
        <v>0.11144532404692556</v>
      </c>
      <c r="R181" s="624">
        <f>'US AGG'!G$47</f>
        <v>0.12406163602741671</v>
      </c>
      <c r="S181" s="624">
        <f>'US AGG'!H$47</f>
        <v>3.0232212958454241E-2</v>
      </c>
      <c r="T181" s="46"/>
      <c r="U181" s="48"/>
      <c r="V181" s="50" t="str">
        <f>V121</f>
        <v>Agg. US</v>
      </c>
      <c r="AE181" s="41"/>
      <c r="AF181" s="31"/>
      <c r="AG181" s="31"/>
      <c r="AI181" s="41"/>
      <c r="AJ181" s="64"/>
      <c r="AK181" s="64"/>
      <c r="AM181" s="41"/>
      <c r="AN181" s="17"/>
      <c r="AO181" s="17"/>
      <c r="AQ181" s="41"/>
      <c r="AR181" s="18"/>
      <c r="AS181" s="18"/>
    </row>
    <row r="182" spans="1:69" s="5" customFormat="1">
      <c r="A182" s="41"/>
      <c r="B182" s="42"/>
      <c r="C182" s="67" t="str">
        <f>C122</f>
        <v xml:space="preserve">Agg. Developed Asia </v>
      </c>
      <c r="D182" s="52"/>
      <c r="E182" s="52"/>
      <c r="F182" s="53"/>
      <c r="G182" s="52"/>
      <c r="H182" s="46"/>
      <c r="I182" s="622">
        <f>'AGG DM ASIA'!$D$45</f>
        <v>3.9524190084015344E-2</v>
      </c>
      <c r="J182" s="622">
        <f>'AGG DM ASIA'!$E$45</f>
        <v>4.4010077546565551E-2</v>
      </c>
      <c r="K182" s="622">
        <f>'AGG DM ASIA'!$F$45</f>
        <v>4.837274834008419E-2</v>
      </c>
      <c r="L182" s="622">
        <f>'AGG DM ASIA'!$G$45</f>
        <v>5.2040393870140741E-2</v>
      </c>
      <c r="M182" s="622">
        <f>'AGG DM ASIA'!$H$45</f>
        <v>8.4628129949410269E-2</v>
      </c>
      <c r="N182" s="56"/>
      <c r="O182" s="622">
        <f>'AGG DM ASIA'!$D$47</f>
        <v>6.489700985546E-2</v>
      </c>
      <c r="P182" s="622">
        <f>'AGG DM ASIA'!$E$47</f>
        <v>9.7571510938001954E-2</v>
      </c>
      <c r="Q182" s="622">
        <f>'AGG DM ASIA'!$F$47</f>
        <v>0.10542404851250455</v>
      </c>
      <c r="R182" s="622">
        <f>'AGG DM ASIA'!$G$47</f>
        <v>0.11380931131743149</v>
      </c>
      <c r="S182" s="622">
        <f>'AGG DM ASIA'!$H$47</f>
        <v>0.17588894754894624</v>
      </c>
      <c r="T182" s="46"/>
      <c r="U182" s="57"/>
      <c r="V182" s="58" t="str">
        <f>V122</f>
        <v xml:space="preserve">Agg. Developed Asia </v>
      </c>
      <c r="AE182" s="41"/>
      <c r="AF182" s="31"/>
      <c r="AG182" s="31"/>
      <c r="AI182" s="41"/>
      <c r="AJ182" s="64"/>
      <c r="AK182" s="64"/>
      <c r="AM182" s="41"/>
      <c r="AN182" s="17"/>
      <c r="AO182" s="17"/>
      <c r="AQ182" s="41"/>
      <c r="AR182" s="18"/>
      <c r="AS182" s="18"/>
    </row>
    <row r="183" spans="1:69" s="5" customFormat="1">
      <c r="A183" s="41"/>
      <c r="B183" s="42"/>
      <c r="C183" s="41"/>
      <c r="D183" s="44"/>
      <c r="E183" s="44"/>
      <c r="F183" s="45"/>
      <c r="G183" s="44"/>
      <c r="H183" s="46"/>
      <c r="I183" s="624"/>
      <c r="J183" s="624"/>
      <c r="K183" s="624"/>
      <c r="L183" s="624"/>
      <c r="M183" s="624"/>
      <c r="N183" s="56"/>
      <c r="O183" s="624"/>
      <c r="P183" s="624"/>
      <c r="Q183" s="624"/>
      <c r="R183" s="624"/>
      <c r="S183" s="624"/>
      <c r="T183" s="46"/>
      <c r="U183" s="48"/>
      <c r="V183" s="50"/>
      <c r="AE183" s="41"/>
      <c r="AF183" s="31"/>
      <c r="AG183" s="31"/>
      <c r="AI183" s="41"/>
      <c r="AJ183" s="64"/>
      <c r="AK183" s="64"/>
      <c r="AM183" s="41"/>
      <c r="AN183" s="17"/>
      <c r="AO183" s="17"/>
      <c r="AQ183" s="41"/>
      <c r="AR183" s="18"/>
      <c r="AS183" s="18"/>
    </row>
    <row r="184" spans="1:69" s="5" customFormat="1">
      <c r="A184" s="41"/>
      <c r="B184" s="42"/>
      <c r="C184" s="67" t="str">
        <f>C124</f>
        <v>Agg. Global Developed</v>
      </c>
      <c r="D184" s="52"/>
      <c r="E184" s="52"/>
      <c r="F184" s="53"/>
      <c r="G184" s="52"/>
      <c r="H184" s="46"/>
      <c r="I184" s="622">
        <f>'AGG DM'!$D$45</f>
        <v>3.8692911642747754E-2</v>
      </c>
      <c r="J184" s="622">
        <f>'AGG DM'!$E$45</f>
        <v>4.3419291969220015E-2</v>
      </c>
      <c r="K184" s="622">
        <f>'AGG DM'!$F$45</f>
        <v>4.6126321738259798E-2</v>
      </c>
      <c r="L184" s="622">
        <f>'AGG DM'!$G$45</f>
        <v>4.9423675586152439E-2</v>
      </c>
      <c r="M184" s="622">
        <f>'AGG DM'!$H$45</f>
        <v>5.8812184463164385E-2</v>
      </c>
      <c r="N184" s="56"/>
      <c r="O184" s="622">
        <f>'AGG DM'!$D$47</f>
        <v>8.4700596806382714E-2</v>
      </c>
      <c r="P184" s="622">
        <f>'AGG DM'!$E$47</f>
        <v>9.2183122240422966E-2</v>
      </c>
      <c r="Q184" s="622">
        <f>'AGG DM'!$F$47</f>
        <v>0.10205637589642999</v>
      </c>
      <c r="R184" s="622">
        <f>'AGG DM'!$G$47</f>
        <v>0.11344408914151745</v>
      </c>
      <c r="S184" s="622">
        <f>'AGG DM'!$H$47</f>
        <v>7.171679530370545E-2</v>
      </c>
      <c r="T184" s="46"/>
      <c r="U184" s="57"/>
      <c r="V184" s="58" t="str">
        <f>V124</f>
        <v xml:space="preserve">Agg. Global Developed </v>
      </c>
      <c r="AE184" s="41"/>
      <c r="AF184" s="31"/>
      <c r="AG184" s="31"/>
      <c r="AI184" s="41"/>
      <c r="AJ184" s="64"/>
      <c r="AK184" s="64"/>
      <c r="AM184" s="41"/>
      <c r="AN184" s="17"/>
      <c r="AO184" s="17"/>
      <c r="AQ184" s="41"/>
      <c r="AR184" s="18"/>
      <c r="AS184" s="18"/>
    </row>
    <row r="185" spans="1:69" s="5" customFormat="1">
      <c r="A185" s="41"/>
      <c r="B185" s="42"/>
      <c r="C185" s="41"/>
      <c r="D185" s="44"/>
      <c r="E185" s="44"/>
      <c r="F185" s="45"/>
      <c r="G185" s="44"/>
      <c r="H185" s="46"/>
      <c r="I185" s="70"/>
      <c r="J185" s="70"/>
      <c r="K185" s="70"/>
      <c r="L185" s="70"/>
      <c r="M185" s="59"/>
      <c r="N185" s="71"/>
      <c r="O185" s="70"/>
      <c r="P185" s="70"/>
      <c r="Q185" s="70"/>
      <c r="R185" s="70"/>
      <c r="S185" s="59"/>
      <c r="T185" s="46"/>
      <c r="U185" s="48"/>
      <c r="V185" s="50"/>
      <c r="AE185" s="41"/>
      <c r="AF185" s="31"/>
      <c r="AG185" s="31"/>
      <c r="AI185" s="41"/>
      <c r="AJ185" s="64"/>
      <c r="AK185" s="64"/>
      <c r="AM185" s="41"/>
      <c r="AN185" s="17"/>
      <c r="AO185" s="17"/>
      <c r="AQ185" s="41"/>
      <c r="AR185" s="18"/>
      <c r="AS185" s="18"/>
    </row>
    <row r="186" spans="1:69" s="5" customFormat="1">
      <c r="A186" s="41"/>
      <c r="B186" s="42"/>
      <c r="C186" s="41"/>
      <c r="D186" s="44"/>
      <c r="E186" s="44"/>
      <c r="F186" s="45"/>
      <c r="G186" s="44"/>
      <c r="H186" s="46"/>
      <c r="I186" s="70"/>
      <c r="J186" s="70"/>
      <c r="K186" s="70"/>
      <c r="L186" s="70"/>
      <c r="M186" s="59"/>
      <c r="N186" s="71"/>
      <c r="O186" s="70"/>
      <c r="P186" s="70"/>
      <c r="Q186" s="70"/>
      <c r="R186" s="70"/>
      <c r="S186" s="59"/>
      <c r="T186" s="46"/>
      <c r="U186" s="48"/>
      <c r="V186" s="50"/>
      <c r="AE186" s="41"/>
      <c r="AF186" s="31"/>
      <c r="AG186" s="31"/>
      <c r="AI186" s="41"/>
      <c r="AJ186" s="64"/>
      <c r="AK186" s="64"/>
      <c r="AM186" s="41"/>
      <c r="AN186" s="17"/>
      <c r="AO186" s="17"/>
      <c r="AQ186" s="41"/>
      <c r="AR186" s="18"/>
      <c r="AS186" s="18"/>
    </row>
    <row r="187" spans="1:69" s="41" customFormat="1">
      <c r="B187" s="147"/>
      <c r="C187" s="164"/>
      <c r="D187" s="165" t="s">
        <v>464</v>
      </c>
      <c r="E187" s="165" t="s">
        <v>57</v>
      </c>
      <c r="F187" s="165" t="s">
        <v>59</v>
      </c>
      <c r="G187" s="165" t="s">
        <v>56</v>
      </c>
      <c r="H187" s="49"/>
      <c r="I187" s="166" t="s">
        <v>530</v>
      </c>
      <c r="J187" s="166"/>
      <c r="K187" s="166"/>
      <c r="L187" s="166"/>
      <c r="M187" s="166"/>
      <c r="O187" s="166" t="s">
        <v>273</v>
      </c>
      <c r="P187" s="166"/>
      <c r="Q187" s="166"/>
      <c r="R187" s="166"/>
      <c r="S187" s="166"/>
      <c r="T187" s="49"/>
      <c r="U187" s="167" t="s">
        <v>464</v>
      </c>
      <c r="V187" s="165"/>
      <c r="Z187" s="49"/>
      <c r="AC187" s="135"/>
      <c r="AD187" s="136"/>
      <c r="AE187" s="136"/>
      <c r="AF187" s="136"/>
      <c r="AG187" s="136"/>
      <c r="AH187" s="136"/>
      <c r="AI187" s="136"/>
      <c r="AJ187" s="136"/>
      <c r="AK187" s="136"/>
      <c r="AL187" s="136"/>
      <c r="AM187" s="136"/>
      <c r="AN187" s="136"/>
      <c r="AO187" s="136"/>
      <c r="AP187" s="136"/>
      <c r="AQ187" s="136"/>
      <c r="AR187" s="136"/>
      <c r="AS187" s="136"/>
      <c r="AT187" s="136"/>
      <c r="AU187" s="136"/>
      <c r="AV187" s="136"/>
      <c r="AW187" s="136"/>
      <c r="BC187" s="137"/>
      <c r="BD187" s="137"/>
      <c r="BE187" s="137"/>
      <c r="BG187" s="137"/>
      <c r="BH187" s="137"/>
      <c r="BI187" s="137"/>
      <c r="BK187" s="137"/>
      <c r="BL187" s="137"/>
      <c r="BM187" s="137"/>
      <c r="BO187" s="137"/>
      <c r="BP187" s="137"/>
      <c r="BQ187" s="137"/>
    </row>
    <row r="188" spans="1:69" s="5" customFormat="1">
      <c r="A188" s="41" t="s">
        <v>506</v>
      </c>
      <c r="B188" s="42"/>
      <c r="C188" s="48" t="s">
        <v>186</v>
      </c>
      <c r="D188" s="44" t="str">
        <f t="shared" ref="D188:G198" si="29">D128</f>
        <v>GBP1.27</v>
      </c>
      <c r="E188" s="44" t="str">
        <f t="shared" si="29"/>
        <v>GBP1.95</v>
      </c>
      <c r="F188" s="45">
        <f t="shared" si="29"/>
        <v>0.53422501966955149</v>
      </c>
      <c r="G188" s="44" t="str">
        <f t="shared" si="29"/>
        <v>Buy</v>
      </c>
      <c r="H188" s="46"/>
      <c r="I188" s="47">
        <f>BT!$D$41</f>
        <v>1.0492686103504087</v>
      </c>
      <c r="J188" s="47">
        <f>BT!$E$41</f>
        <v>0.98426205458076843</v>
      </c>
      <c r="K188" s="47">
        <f>BT!$F$41</f>
        <v>0.92500249094666442</v>
      </c>
      <c r="L188" s="47">
        <f>BT!$G$41</f>
        <v>0.86967226956590726</v>
      </c>
      <c r="M188" s="45">
        <f>BT!$H$41</f>
        <v>4.1997658643806224E-2</v>
      </c>
      <c r="N188" s="46"/>
      <c r="O188" s="47">
        <f>BT!$D$37</f>
        <v>1.4814123323535777</v>
      </c>
      <c r="P188" s="47">
        <f>BT!$E$37</f>
        <v>1.4510110084605681</v>
      </c>
      <c r="Q188" s="47">
        <f>BT!$F$37</f>
        <v>1.4057361441498992</v>
      </c>
      <c r="R188" s="47">
        <f>BT!$G$37</f>
        <v>1.379260996318294</v>
      </c>
      <c r="S188" s="45">
        <f>BT!$H$37</f>
        <v>2.3811486887976852E-3</v>
      </c>
      <c r="T188" s="46"/>
      <c r="U188" s="48" t="str">
        <f t="shared" ref="U188:V192" si="30">U128</f>
        <v>GBP1.27</v>
      </c>
      <c r="V188" s="69" t="str">
        <f t="shared" si="30"/>
        <v>British Telecom</v>
      </c>
      <c r="AE188" s="41"/>
      <c r="AF188" s="31"/>
      <c r="AG188" s="31"/>
      <c r="AI188" s="41"/>
      <c r="AJ188" s="64"/>
      <c r="AK188" s="64"/>
      <c r="AM188" s="41"/>
      <c r="AN188" s="17"/>
      <c r="AO188" s="17"/>
      <c r="AQ188" s="41"/>
      <c r="AR188" s="18"/>
      <c r="AS188" s="18"/>
    </row>
    <row r="189" spans="1:69" s="5" customFormat="1">
      <c r="A189" s="41"/>
      <c r="B189" s="42"/>
      <c r="C189" s="48" t="s">
        <v>187</v>
      </c>
      <c r="D189" s="44" t="str">
        <f t="shared" si="29"/>
        <v>EUR 21.76</v>
      </c>
      <c r="E189" s="44" t="str">
        <f t="shared" si="29"/>
        <v>EUR 32.00</v>
      </c>
      <c r="F189" s="45">
        <f t="shared" si="29"/>
        <v>0.47058823529411753</v>
      </c>
      <c r="G189" s="44" t="str">
        <f t="shared" si="29"/>
        <v>Buy</v>
      </c>
      <c r="H189" s="46"/>
      <c r="I189" s="47">
        <f>DT!$D$41</f>
        <v>1.5644506548181167</v>
      </c>
      <c r="J189" s="47">
        <f>DT!$E$41</f>
        <v>1.4075533531545583</v>
      </c>
      <c r="K189" s="47">
        <f>DT!$F$41</f>
        <v>1.3100394854346749</v>
      </c>
      <c r="L189" s="47">
        <f>DT!$G$41</f>
        <v>1.217835976553054</v>
      </c>
      <c r="M189" s="45">
        <f>DT!$H$41</f>
        <v>5.9636331626160555E-2</v>
      </c>
      <c r="N189" s="46"/>
      <c r="O189" s="47">
        <f>DT!$D$37</f>
        <v>2.5744428011687295</v>
      </c>
      <c r="P189" s="47">
        <f>DT!$E$37</f>
        <v>2.4621844903048884</v>
      </c>
      <c r="Q189" s="47">
        <f>DT!$F$37</f>
        <v>2.3337761185124752</v>
      </c>
      <c r="R189" s="47">
        <f>DT!$G$37</f>
        <v>2.1902805284206108</v>
      </c>
      <c r="S189" s="45">
        <f>DT!$H$37</f>
        <v>2.8711635734588237E-2</v>
      </c>
      <c r="T189" s="46"/>
      <c r="U189" s="48" t="str">
        <f t="shared" si="30"/>
        <v>EUR 21.76</v>
      </c>
      <c r="V189" s="69" t="str">
        <f t="shared" si="30"/>
        <v>Deutsche Telekom</v>
      </c>
      <c r="AE189" s="41"/>
      <c r="AF189" s="31"/>
      <c r="AG189" s="31"/>
      <c r="AI189" s="41"/>
      <c r="AJ189" s="64"/>
      <c r="AK189" s="64"/>
      <c r="AM189" s="41"/>
      <c r="AN189" s="17"/>
      <c r="AO189" s="17"/>
      <c r="AQ189" s="41"/>
      <c r="AR189" s="18"/>
      <c r="AS189" s="18"/>
    </row>
    <row r="190" spans="1:69" s="5" customFormat="1">
      <c r="A190" s="41"/>
      <c r="B190" s="42"/>
      <c r="C190" s="48" t="s">
        <v>458</v>
      </c>
      <c r="D190" s="44" t="str">
        <f t="shared" si="29"/>
        <v>EUR 3.44</v>
      </c>
      <c r="E190" s="44" t="str">
        <f t="shared" si="29"/>
        <v>EUR 3.70</v>
      </c>
      <c r="F190" s="45">
        <f t="shared" si="29"/>
        <v>7.4332171893147558E-2</v>
      </c>
      <c r="G190" s="44" t="str">
        <f t="shared" si="29"/>
        <v>Neutral</v>
      </c>
      <c r="H190" s="46"/>
      <c r="I190" s="47">
        <f>KPN!$D$41</f>
        <v>2.568125053881813</v>
      </c>
      <c r="J190" s="47">
        <f>KPN!$E$41</f>
        <v>2.5640036570142906</v>
      </c>
      <c r="K190" s="47">
        <f>KPN!$F$41</f>
        <v>2.4770502746201499</v>
      </c>
      <c r="L190" s="47">
        <f>KPN!$G$41</f>
        <v>2.4668364960804876</v>
      </c>
      <c r="M190" s="45">
        <f>KPN!$H$41</f>
        <v>-1.6077678601918888E-2</v>
      </c>
      <c r="N190" s="46"/>
      <c r="O190" s="47">
        <f>KPN!$D$37</f>
        <v>3.689216936204379</v>
      </c>
      <c r="P190" s="47">
        <f>KPN!$E$37</f>
        <v>3.4781139014522569</v>
      </c>
      <c r="Q190" s="47">
        <f>KPN!$F$37</f>
        <v>3.344249160451306</v>
      </c>
      <c r="R190" s="47">
        <f>KPN!$G$37</f>
        <v>3.1367994807892905</v>
      </c>
      <c r="S190" s="45">
        <f>KPN!$H$37</f>
        <v>2.4750229747304342E-2</v>
      </c>
      <c r="T190" s="46"/>
      <c r="U190" s="48" t="str">
        <f t="shared" si="30"/>
        <v>EUR 3.44</v>
      </c>
      <c r="V190" s="69" t="str">
        <f t="shared" si="30"/>
        <v>KPN</v>
      </c>
      <c r="AE190" s="41"/>
      <c r="AF190" s="31"/>
      <c r="AG190" s="31"/>
      <c r="AI190" s="41"/>
      <c r="AJ190" s="64"/>
      <c r="AK190" s="64"/>
      <c r="AM190" s="41"/>
      <c r="AN190" s="17"/>
      <c r="AO190" s="17"/>
      <c r="AQ190" s="41"/>
      <c r="AR190" s="18"/>
      <c r="AS190" s="18"/>
    </row>
    <row r="191" spans="1:69" s="5" customFormat="1">
      <c r="A191" s="41"/>
      <c r="B191" s="42"/>
      <c r="C191" s="48" t="s">
        <v>728</v>
      </c>
      <c r="D191" s="44" t="str">
        <f t="shared" si="29"/>
        <v>EUR 10.68</v>
      </c>
      <c r="E191" s="44" t="str">
        <f t="shared" si="29"/>
        <v>EUR 14.00</v>
      </c>
      <c r="F191" s="45">
        <f t="shared" si="29"/>
        <v>0.31147540983606548</v>
      </c>
      <c r="G191" s="44" t="str">
        <f t="shared" si="29"/>
        <v>Buy</v>
      </c>
      <c r="H191" s="46"/>
      <c r="I191" s="47">
        <f>ORA!$D$41</f>
        <v>1.2850043377377403</v>
      </c>
      <c r="J191" s="47">
        <f>ORA!$E$41</f>
        <v>1.2252457206178766</v>
      </c>
      <c r="K191" s="47">
        <f>ORA!$F$41</f>
        <v>1.1639641224510242</v>
      </c>
      <c r="L191" s="47">
        <f>ORA!$G$41</f>
        <v>1.1027276131512562</v>
      </c>
      <c r="M191" s="45">
        <f>ORA!$H$41</f>
        <v>6.7373699189470226E-3</v>
      </c>
      <c r="N191" s="46"/>
      <c r="O191" s="47">
        <f>ORA!$D$37</f>
        <v>1.7605801127252176</v>
      </c>
      <c r="P191" s="47">
        <f>ORA!$E$37</f>
        <v>1.6881044986541527</v>
      </c>
      <c r="Q191" s="47">
        <f>ORA!$F$37</f>
        <v>1.6039112544490037</v>
      </c>
      <c r="R191" s="47">
        <f>ORA!$G$37</f>
        <v>1.5118928016192741</v>
      </c>
      <c r="S191" s="45">
        <f>ORA!$H$37</f>
        <v>6.5043882742903403E-3</v>
      </c>
      <c r="T191" s="46"/>
      <c r="U191" s="48" t="str">
        <f t="shared" si="30"/>
        <v>EUR 10.68</v>
      </c>
      <c r="V191" s="69" t="str">
        <f t="shared" si="30"/>
        <v>Orange</v>
      </c>
      <c r="AE191" s="41"/>
      <c r="AF191" s="31"/>
      <c r="AG191" s="31"/>
      <c r="AI191" s="41"/>
      <c r="AJ191" s="64"/>
      <c r="AK191" s="64"/>
      <c r="AM191" s="41"/>
      <c r="AN191" s="17"/>
      <c r="AO191" s="17"/>
      <c r="AQ191" s="41"/>
      <c r="AR191" s="18"/>
      <c r="AS191" s="18"/>
    </row>
    <row r="192" spans="1:69" s="5" customFormat="1">
      <c r="A192" s="41"/>
      <c r="B192" s="42"/>
      <c r="C192" s="48" t="s">
        <v>459</v>
      </c>
      <c r="D192" s="44" t="str">
        <f t="shared" si="29"/>
        <v>EUR 13.75</v>
      </c>
      <c r="E192" s="44" t="str">
        <f t="shared" si="29"/>
        <v>EUR 22.00</v>
      </c>
      <c r="F192" s="45">
        <f t="shared" si="29"/>
        <v>0.60000000000000009</v>
      </c>
      <c r="G192" s="44" t="str">
        <f t="shared" si="29"/>
        <v>Neutral</v>
      </c>
      <c r="H192" s="46"/>
      <c r="I192" s="47">
        <f>OTE!$D$41</f>
        <v>2.7738042674104832</v>
      </c>
      <c r="J192" s="47">
        <f>OTE!$E$41</f>
        <v>2.7005041357069071</v>
      </c>
      <c r="K192" s="47">
        <f>OTE!$F$41</f>
        <v>2.599336858014758</v>
      </c>
      <c r="L192" s="47">
        <f>OTE!$G$41</f>
        <v>2.4794393100620553</v>
      </c>
      <c r="M192" s="45">
        <f>OTE!$H$41</f>
        <v>-3.0488994975939154E-2</v>
      </c>
      <c r="N192" s="46"/>
      <c r="O192" s="47">
        <f>OTE!$D$37</f>
        <v>2.0796714836378301</v>
      </c>
      <c r="P192" s="47">
        <f>OTE!$E$37</f>
        <v>1.9205420828350899</v>
      </c>
      <c r="Q192" s="47">
        <f>OTE!$F$37</f>
        <v>1.7783976208053334</v>
      </c>
      <c r="R192" s="47">
        <f>OTE!$G$37</f>
        <v>1.6355034041614434</v>
      </c>
      <c r="S192" s="45">
        <f>OTE!$H$37</f>
        <v>1.1796240668278335E-2</v>
      </c>
      <c r="T192" s="46"/>
      <c r="U192" s="48" t="str">
        <f t="shared" si="30"/>
        <v>EUR 13.75</v>
      </c>
      <c r="V192" s="69" t="str">
        <f t="shared" si="30"/>
        <v>OTE</v>
      </c>
      <c r="AE192" s="41"/>
      <c r="AF192" s="31"/>
      <c r="AG192" s="31"/>
      <c r="AI192" s="41"/>
      <c r="AJ192" s="64"/>
      <c r="AK192" s="64"/>
      <c r="AM192" s="41"/>
      <c r="AN192" s="17"/>
      <c r="AO192" s="17"/>
      <c r="AQ192" s="41"/>
      <c r="AR192" s="18"/>
      <c r="AS192" s="18"/>
    </row>
    <row r="193" spans="1:45" s="5" customFormat="1">
      <c r="A193" s="41"/>
      <c r="B193" s="42"/>
      <c r="C193" s="48" t="s">
        <v>817</v>
      </c>
      <c r="D193" s="44" t="str">
        <f t="shared" si="29"/>
        <v>EUR 7.4</v>
      </c>
      <c r="E193" s="44" t="str">
        <f t="shared" si="29"/>
        <v>EUR 10.0</v>
      </c>
      <c r="F193" s="45">
        <f t="shared" si="29"/>
        <v>0.35135135135135132</v>
      </c>
      <c r="G193" s="44" t="str">
        <f t="shared" si="29"/>
        <v>Neutral</v>
      </c>
      <c r="H193" s="46"/>
      <c r="I193" s="47">
        <f>PROX!$D$41</f>
        <v>0.87018245720359799</v>
      </c>
      <c r="J193" s="47">
        <f>PROX!$E$41</f>
        <v>0.84614069025716299</v>
      </c>
      <c r="K193" s="47">
        <f>PROX!$F$41</f>
        <v>0.85098552251021742</v>
      </c>
      <c r="L193" s="47">
        <f>PROX!$G$41</f>
        <v>0.8497890817571081</v>
      </c>
      <c r="M193" s="45">
        <f>PROX!$H$41</f>
        <v>-4.0682874381204326E-2</v>
      </c>
      <c r="N193" s="46"/>
      <c r="O193" s="47">
        <f>PROX!$D$37</f>
        <v>0.96996189009245748</v>
      </c>
      <c r="P193" s="47">
        <f>PROX!$E$37</f>
        <v>0.919197570628704</v>
      </c>
      <c r="Q193" s="47">
        <f>PROX!$F$37</f>
        <v>0.87247997502990482</v>
      </c>
      <c r="R193" s="47">
        <f>PROX!$G$37</f>
        <v>0.81745013475515049</v>
      </c>
      <c r="S193" s="45">
        <f>PROX!$H$37</f>
        <v>7.6126372841840428E-3</v>
      </c>
      <c r="T193" s="46"/>
      <c r="U193" s="48" t="str">
        <f t="shared" ref="U193:U198" si="31">U133</f>
        <v>EUR 7.4</v>
      </c>
      <c r="V193" s="69" t="s">
        <v>817</v>
      </c>
      <c r="AE193" s="41"/>
      <c r="AF193" s="31"/>
      <c r="AG193" s="31"/>
      <c r="AI193" s="41"/>
      <c r="AJ193" s="64"/>
      <c r="AK193" s="64"/>
      <c r="AM193" s="41"/>
      <c r="AN193" s="17"/>
      <c r="AO193" s="17"/>
      <c r="AQ193" s="41"/>
      <c r="AR193" s="18"/>
      <c r="AS193" s="18"/>
    </row>
    <row r="194" spans="1:45">
      <c r="C194" s="48" t="s">
        <v>463</v>
      </c>
      <c r="D194" s="44" t="str">
        <f t="shared" si="29"/>
        <v>CHF492</v>
      </c>
      <c r="E194" s="44" t="str">
        <f t="shared" si="29"/>
        <v>CHF620</v>
      </c>
      <c r="F194" s="45">
        <f t="shared" si="29"/>
        <v>0.26016260162601634</v>
      </c>
      <c r="G194" s="44" t="str">
        <f t="shared" si="29"/>
        <v>Neutral</v>
      </c>
      <c r="H194" s="46"/>
      <c r="I194" s="47">
        <f>SWISS!$D$41</f>
        <v>1.8237200162758809</v>
      </c>
      <c r="J194" s="47">
        <f>SWISS!$E$41</f>
        <v>1.7233789570495339</v>
      </c>
      <c r="K194" s="47">
        <f>SWISS!$F$41</f>
        <v>1.6270590901832893</v>
      </c>
      <c r="L194" s="47">
        <f>SWISS!$G$41</f>
        <v>1.5335999461928291</v>
      </c>
      <c r="M194" s="45">
        <f>SWISS!$H$41</f>
        <v>1.2397935895624768E-2</v>
      </c>
      <c r="N194" s="46"/>
      <c r="O194" s="47">
        <f>SWISS!$D$37</f>
        <v>3.1015278545280007</v>
      </c>
      <c r="P194" s="47">
        <f>SWISS!$E$37</f>
        <v>2.9663844420110785</v>
      </c>
      <c r="Q194" s="47">
        <f>SWISS!$F$37</f>
        <v>2.831495684363424</v>
      </c>
      <c r="R194" s="47">
        <f>SWISS!$G$37</f>
        <v>2.6972399875746955</v>
      </c>
      <c r="S194" s="45">
        <f>SWISS!$H$37</f>
        <v>1.1241157632950749E-3</v>
      </c>
      <c r="T194" s="46"/>
      <c r="U194" s="48" t="str">
        <f t="shared" si="31"/>
        <v>CHF492</v>
      </c>
      <c r="V194" s="69" t="str">
        <f t="shared" ref="V194:V199" si="32">V134</f>
        <v>Swisscom</v>
      </c>
    </row>
    <row r="195" spans="1:45" s="5" customFormat="1">
      <c r="A195" s="41"/>
      <c r="B195" s="42"/>
      <c r="C195" s="48" t="s">
        <v>270</v>
      </c>
      <c r="D195" s="44" t="str">
        <f t="shared" si="29"/>
        <v>EUR 0.25</v>
      </c>
      <c r="E195" s="44" t="str">
        <f t="shared" si="29"/>
        <v>EUR 0.35</v>
      </c>
      <c r="F195" s="45">
        <f t="shared" si="29"/>
        <v>0.42103126268777902</v>
      </c>
      <c r="G195" s="44" t="str">
        <f t="shared" si="29"/>
        <v>Buy</v>
      </c>
      <c r="H195" s="46"/>
      <c r="I195" s="47">
        <f>TI!$D$41</f>
        <v>0.82587624946606109</v>
      </c>
      <c r="J195" s="47">
        <f>TI!$E$41</f>
        <v>0.82917517056724876</v>
      </c>
      <c r="K195" s="47">
        <f>TI!$F$41</f>
        <v>0.82712188461718728</v>
      </c>
      <c r="L195" s="47">
        <f>TI!$G$41</f>
        <v>0.82023638521483633</v>
      </c>
      <c r="M195" s="45">
        <f>TI!$H$41</f>
        <v>-4.170879626976598E-3</v>
      </c>
      <c r="N195" s="46"/>
      <c r="O195" s="47">
        <f>TI!$D$37</f>
        <v>1.946221536926547</v>
      </c>
      <c r="P195" s="47">
        <f>TI!$E$37</f>
        <v>1.9169808892521478</v>
      </c>
      <c r="Q195" s="47">
        <f>TI!$F$37</f>
        <v>1.892751406893816</v>
      </c>
      <c r="R195" s="47">
        <f>TI!$G$37</f>
        <v>1.8429328629360502</v>
      </c>
      <c r="S195" s="45">
        <f>TI!$H$37</f>
        <v>1.1782335837485558E-2</v>
      </c>
      <c r="T195" s="46"/>
      <c r="U195" s="48" t="str">
        <f t="shared" si="31"/>
        <v>EUR 0.25</v>
      </c>
      <c r="V195" s="69" t="str">
        <f t="shared" si="32"/>
        <v>Telecom Italia</v>
      </c>
      <c r="AE195" s="41"/>
      <c r="AF195" s="31"/>
      <c r="AG195" s="31"/>
      <c r="AI195" s="41"/>
      <c r="AJ195" s="64"/>
      <c r="AK195" s="64"/>
      <c r="AM195" s="41"/>
      <c r="AN195" s="17"/>
      <c r="AO195" s="17"/>
      <c r="AQ195" s="41"/>
      <c r="AR195" s="18"/>
      <c r="AS195" s="18"/>
    </row>
    <row r="196" spans="1:45" s="5" customFormat="1">
      <c r="A196" s="41"/>
      <c r="B196" s="42"/>
      <c r="C196" s="48" t="s">
        <v>461</v>
      </c>
      <c r="D196" s="44" t="str">
        <f t="shared" si="29"/>
        <v>EUR 4.16</v>
      </c>
      <c r="E196" s="44" t="str">
        <f t="shared" si="29"/>
        <v>EUR 4.80</v>
      </c>
      <c r="F196" s="45">
        <f t="shared" si="29"/>
        <v>0.15523465703971118</v>
      </c>
      <c r="G196" s="44" t="str">
        <f t="shared" si="29"/>
        <v>Buy</v>
      </c>
      <c r="H196" s="46"/>
      <c r="I196" s="47">
        <f>TEF!$D$41</f>
        <v>1.2078004386268697</v>
      </c>
      <c r="J196" s="47">
        <f>TEF!$E$41</f>
        <v>1.2248296663212588</v>
      </c>
      <c r="K196" s="47">
        <f>TEF!$F$41</f>
        <v>1.233946235069378</v>
      </c>
      <c r="L196" s="47">
        <f>TEF!$G$41</f>
        <v>1.2391763957123929</v>
      </c>
      <c r="M196" s="45">
        <f>TEF!$H$41</f>
        <v>-3.2571281471008739E-2</v>
      </c>
      <c r="N196" s="46"/>
      <c r="O196" s="47">
        <f>TEF!$D$37</f>
        <v>1.5902313568573823</v>
      </c>
      <c r="P196" s="47">
        <f>TEF!$E$37</f>
        <v>1.5603680945140372</v>
      </c>
      <c r="Q196" s="47">
        <f>TEF!$F$37</f>
        <v>1.526714468825759</v>
      </c>
      <c r="R196" s="47">
        <f>TEF!$G$37</f>
        <v>1.45297430895803</v>
      </c>
      <c r="S196" s="45">
        <f>TEF!$H$37</f>
        <v>5.5393818641980008E-3</v>
      </c>
      <c r="T196" s="46"/>
      <c r="U196" s="48" t="str">
        <f t="shared" si="31"/>
        <v>EUR 4.16</v>
      </c>
      <c r="V196" s="69" t="str">
        <f t="shared" si="32"/>
        <v>Telefonica</v>
      </c>
      <c r="AE196" s="41"/>
      <c r="AF196" s="31"/>
      <c r="AG196" s="31"/>
      <c r="AI196" s="41"/>
      <c r="AJ196" s="64"/>
      <c r="AK196" s="64"/>
      <c r="AM196" s="41"/>
      <c r="AN196" s="17"/>
      <c r="AO196" s="17"/>
      <c r="AQ196" s="41"/>
      <c r="AR196" s="18"/>
      <c r="AS196" s="18"/>
    </row>
    <row r="197" spans="1:45" s="5" customFormat="1">
      <c r="A197" s="41"/>
      <c r="B197" s="42"/>
      <c r="C197" s="48" t="s">
        <v>499</v>
      </c>
      <c r="D197" s="44" t="str">
        <f t="shared" si="29"/>
        <v>NOK 124</v>
      </c>
      <c r="E197" s="44" t="str">
        <f t="shared" si="29"/>
        <v>NOK 136</v>
      </c>
      <c r="F197" s="45">
        <f t="shared" si="29"/>
        <v>9.9434114793855999E-2</v>
      </c>
      <c r="G197" s="44" t="str">
        <f t="shared" si="29"/>
        <v>Buy</v>
      </c>
      <c r="H197" s="46"/>
      <c r="I197" s="47">
        <f>TNOR!$D$41</f>
        <v>-25.844974961305226</v>
      </c>
      <c r="J197" s="47">
        <f>TNOR!$E$41</f>
        <v>-22.340544020320589</v>
      </c>
      <c r="K197" s="47">
        <f>TNOR!$F$41</f>
        <v>-15.926396700535857</v>
      </c>
      <c r="L197" s="47">
        <f>TNOR!$G$41</f>
        <v>-17.232170973180523</v>
      </c>
      <c r="M197" s="45">
        <f>TNOR!$H$41</f>
        <v>7.1482699459306298E-2</v>
      </c>
      <c r="N197" s="46"/>
      <c r="O197" s="47">
        <f>TNOR!$D$37</f>
        <v>3.155958805992122</v>
      </c>
      <c r="P197" s="47">
        <f>TNOR!$E$37</f>
        <v>3.0784690324506783</v>
      </c>
      <c r="Q197" s="47">
        <f>TNOR!$F$37</f>
        <v>2.8222799101260132</v>
      </c>
      <c r="R197" s="47">
        <f>TNOR!$G$37</f>
        <v>2.6150969271579765</v>
      </c>
      <c r="S197" s="45">
        <f>TNOR!$H$37</f>
        <v>-3.3998044944076877E-3</v>
      </c>
      <c r="T197" s="46"/>
      <c r="U197" s="48" t="str">
        <f t="shared" si="31"/>
        <v>NOK 124</v>
      </c>
      <c r="V197" s="44" t="str">
        <f t="shared" si="32"/>
        <v>Telenor</v>
      </c>
      <c r="AE197" s="41"/>
      <c r="AF197" s="31"/>
      <c r="AG197" s="31"/>
      <c r="AI197" s="41"/>
      <c r="AJ197" s="64"/>
      <c r="AK197" s="64"/>
      <c r="AM197" s="41"/>
      <c r="AN197" s="17"/>
      <c r="AO197" s="17"/>
      <c r="AQ197" s="41"/>
      <c r="AR197" s="18"/>
      <c r="AS197" s="18"/>
    </row>
    <row r="198" spans="1:45" s="5" customFormat="1">
      <c r="A198" s="41"/>
      <c r="B198" s="42"/>
      <c r="C198" s="48" t="s">
        <v>1039</v>
      </c>
      <c r="D198" s="44" t="str">
        <f t="shared" si="29"/>
        <v>SEK26.4</v>
      </c>
      <c r="E198" s="44" t="str">
        <f t="shared" si="29"/>
        <v>SEK36.0</v>
      </c>
      <c r="F198" s="45">
        <f t="shared" si="29"/>
        <v>0.36415308829101933</v>
      </c>
      <c r="G198" s="44" t="str">
        <f t="shared" si="29"/>
        <v>Buy</v>
      </c>
      <c r="H198" s="46"/>
      <c r="I198" s="47">
        <f>TELIA!$D$41</f>
        <v>1.8446604527829227</v>
      </c>
      <c r="J198" s="47">
        <f>TELIA!$E$41</f>
        <v>1.8662474356182728</v>
      </c>
      <c r="K198" s="47">
        <f>TELIA!$F$41</f>
        <v>1.7981048220545122</v>
      </c>
      <c r="L198" s="47">
        <f>TELIA!$G$41</f>
        <v>1.7055882947850198</v>
      </c>
      <c r="M198" s="45">
        <f>TELIA!$H$41</f>
        <v>-2.9043715697615435E-2</v>
      </c>
      <c r="N198" s="46"/>
      <c r="O198" s="47">
        <f>TELIA!$D$37</f>
        <v>2.419800479239222</v>
      </c>
      <c r="P198" s="47">
        <f>TELIA!$E$37</f>
        <v>2.2097516420114149</v>
      </c>
      <c r="Q198" s="47">
        <f>TELIA!$F$37</f>
        <v>2.1014543399286953</v>
      </c>
      <c r="R198" s="47">
        <f>TELIA!$G$37</f>
        <v>1.9946429407731272</v>
      </c>
      <c r="S198" s="45">
        <f>TELIA!$H$37</f>
        <v>8.8433406164107886E-3</v>
      </c>
      <c r="T198" s="46"/>
      <c r="U198" s="48" t="str">
        <f t="shared" si="31"/>
        <v>SEK26.4</v>
      </c>
      <c r="V198" s="44" t="str">
        <f t="shared" si="32"/>
        <v>TeliaSonera</v>
      </c>
      <c r="AE198" s="41"/>
      <c r="AF198" s="31"/>
      <c r="AG198" s="31"/>
      <c r="AI198" s="41"/>
      <c r="AJ198" s="64"/>
      <c r="AK198" s="64"/>
      <c r="AM198" s="41"/>
      <c r="AN198" s="17"/>
      <c r="AO198" s="17"/>
      <c r="AQ198" s="41"/>
      <c r="AR198" s="18"/>
      <c r="AS198" s="18"/>
    </row>
    <row r="199" spans="1:45" s="5" customFormat="1">
      <c r="A199" s="41"/>
      <c r="B199" s="42"/>
      <c r="C199" s="51" t="str">
        <f>C139</f>
        <v>Agg. W.Europe Incumbent</v>
      </c>
      <c r="D199" s="52"/>
      <c r="E199" s="52"/>
      <c r="F199" s="53"/>
      <c r="G199" s="52"/>
      <c r="H199" s="46"/>
      <c r="I199" s="54">
        <f>'W.EUR INCUMB'!$D$41</f>
        <v>1.4554049615742648</v>
      </c>
      <c r="J199" s="54">
        <f>'W.EUR INCUMB'!$E$41</f>
        <v>1.3652506578772214</v>
      </c>
      <c r="K199" s="54">
        <f>'W.EUR INCUMB'!$F$41</f>
        <v>1.2968813123150413</v>
      </c>
      <c r="L199" s="54">
        <f>'W.EUR INCUMB'!$G$41</f>
        <v>1.2281427713802577</v>
      </c>
      <c r="M199" s="55">
        <f>'W.EUR INCUMB'!$H$41</f>
        <v>2.6301307293472354E-2</v>
      </c>
      <c r="N199" s="56"/>
      <c r="O199" s="54">
        <f>'W.EUR INCUMB'!$D$37</f>
        <v>2.1820368783030246</v>
      </c>
      <c r="P199" s="54">
        <f>'W.EUR INCUMB'!$E$37</f>
        <v>2.0995807894380842</v>
      </c>
      <c r="Q199" s="54">
        <f>'W.EUR INCUMB'!$F$37</f>
        <v>2.0073776110351829</v>
      </c>
      <c r="R199" s="54">
        <f>'W.EUR INCUMB'!$G$37</f>
        <v>1.9004321192081457</v>
      </c>
      <c r="S199" s="55">
        <f>'W.EUR INCUMB'!$H$37</f>
        <v>1.5546449189376421E-2</v>
      </c>
      <c r="T199" s="46"/>
      <c r="U199" s="57"/>
      <c r="V199" s="58" t="str">
        <f t="shared" si="32"/>
        <v>Agg. W.Europe Incumbent</v>
      </c>
      <c r="AE199" s="41"/>
      <c r="AF199" s="31"/>
      <c r="AG199" s="31"/>
      <c r="AI199" s="41"/>
      <c r="AJ199" s="64"/>
      <c r="AK199" s="64"/>
      <c r="AM199" s="41"/>
      <c r="AN199" s="17"/>
      <c r="AO199" s="17"/>
      <c r="AQ199" s="41"/>
      <c r="AR199" s="18"/>
      <c r="AS199" s="18"/>
    </row>
    <row r="200" spans="1:45" s="5" customFormat="1">
      <c r="A200" s="41"/>
      <c r="B200" s="42"/>
      <c r="C200" s="48"/>
      <c r="D200" s="44"/>
      <c r="E200" s="44"/>
      <c r="F200" s="45"/>
      <c r="G200" s="44"/>
      <c r="H200" s="46"/>
      <c r="I200" s="47"/>
      <c r="J200" s="47"/>
      <c r="K200" s="47"/>
      <c r="L200" s="47"/>
      <c r="M200" s="45"/>
      <c r="N200" s="46"/>
      <c r="O200" s="47"/>
      <c r="P200" s="47"/>
      <c r="Q200" s="47"/>
      <c r="R200" s="47"/>
      <c r="S200" s="45"/>
      <c r="T200" s="46"/>
      <c r="U200" s="48"/>
      <c r="V200" s="44"/>
      <c r="AE200" s="41"/>
      <c r="AF200" s="31"/>
      <c r="AG200" s="31"/>
      <c r="AI200" s="41"/>
      <c r="AJ200" s="64"/>
      <c r="AK200" s="64"/>
      <c r="AM200" s="41"/>
      <c r="AN200" s="17"/>
      <c r="AO200" s="17"/>
      <c r="AQ200" s="41"/>
      <c r="AR200" s="18"/>
      <c r="AS200" s="18"/>
    </row>
    <row r="201" spans="1:45" s="5" customFormat="1">
      <c r="A201" s="41"/>
      <c r="B201" s="42" t="s">
        <v>519</v>
      </c>
      <c r="C201" s="48" t="s">
        <v>491</v>
      </c>
      <c r="D201" s="44" t="str">
        <f>B201&amp;TEXT(Prices!$C$40,"0.0")</f>
        <v>US$17.5</v>
      </c>
      <c r="E201" s="44" t="str">
        <f>B201&amp;TEXT(Prices!$E$40,"0.00")</f>
        <v>US$21.00</v>
      </c>
      <c r="F201" s="45">
        <f>Prices!$F$40</f>
        <v>0.19999999999999996</v>
      </c>
      <c r="G201" s="44" t="str">
        <f>Prices!$D$40</f>
        <v>Neutral</v>
      </c>
      <c r="H201" s="46"/>
      <c r="I201" s="47">
        <f>ATT!$D$41</f>
        <v>1.1011036484741734</v>
      </c>
      <c r="J201" s="47">
        <f>ATT!$E$41</f>
        <v>1.0214446940216177</v>
      </c>
      <c r="K201" s="47">
        <f>ATT!$F$41</f>
        <v>0.94625076118913487</v>
      </c>
      <c r="L201" s="47">
        <f>ATT!$G$41</f>
        <v>0.86778721405661574</v>
      </c>
      <c r="M201" s="45">
        <f>ATT!$H$41</f>
        <v>2.6762116959775373E-3</v>
      </c>
      <c r="N201" s="46"/>
      <c r="O201" s="47">
        <f>ATT!$D$37</f>
        <v>2.1037242297513639</v>
      </c>
      <c r="P201" s="47">
        <f>ATT!$E$37</f>
        <v>1.9594993517347885</v>
      </c>
      <c r="Q201" s="47">
        <f>ATT!$F$37</f>
        <v>1.8002676911649644</v>
      </c>
      <c r="R201" s="47">
        <f>ATT!$G$37</f>
        <v>1.6355670513562346</v>
      </c>
      <c r="S201" s="45">
        <f>ATT!$H$37</f>
        <v>7.2312971710009055E-3</v>
      </c>
      <c r="T201" s="46"/>
      <c r="U201" s="48" t="str">
        <f t="shared" ref="U201:V203" si="33">U141</f>
        <v>USD17.5</v>
      </c>
      <c r="V201" s="44" t="str">
        <f t="shared" si="33"/>
        <v>AT&amp;T</v>
      </c>
      <c r="AE201" s="41"/>
      <c r="AF201" s="31"/>
      <c r="AG201" s="31"/>
      <c r="AI201" s="41"/>
      <c r="AJ201" s="64"/>
      <c r="AK201" s="64"/>
      <c r="AM201" s="41"/>
      <c r="AN201" s="17"/>
      <c r="AO201" s="17"/>
      <c r="AQ201" s="41"/>
      <c r="AR201" s="18"/>
      <c r="AS201" s="18"/>
    </row>
    <row r="202" spans="1:45" s="5" customFormat="1">
      <c r="A202" s="146"/>
      <c r="B202" s="42" t="s">
        <v>519</v>
      </c>
      <c r="C202" s="48" t="s">
        <v>693</v>
      </c>
      <c r="D202" s="44" t="str">
        <f>B202&amp;TEXT(Prices!$C$41,"0.0")</f>
        <v>US$166.0</v>
      </c>
      <c r="E202" s="44" t="str">
        <f>B202&amp;TEXT(Prices!$E$41,"0.0")</f>
        <v>US$205.0</v>
      </c>
      <c r="F202" s="45">
        <f>Prices!$F$41</f>
        <v>0.23493975903614461</v>
      </c>
      <c r="G202" s="44" t="str">
        <f>Prices!$D$41</f>
        <v>Buy</v>
      </c>
      <c r="H202" s="46"/>
      <c r="I202" s="47">
        <f>TMUS!$D$41</f>
        <v>1.9056787653014038</v>
      </c>
      <c r="J202" s="47">
        <f>TMUS!$E$41</f>
        <v>1.8563230846452026</v>
      </c>
      <c r="K202" s="47">
        <f>TMUS!$F$41</f>
        <v>1.7747889017755527</v>
      </c>
      <c r="L202" s="47">
        <f>TMUS!$G$41</f>
        <v>1.7080700213635274</v>
      </c>
      <c r="M202" s="45">
        <f>TMUS!$H$41</f>
        <v>-1.9046279566965474E-2</v>
      </c>
      <c r="N202" s="46"/>
      <c r="O202" s="47">
        <f>TMUS!$D$37</f>
        <v>3.4624270160772928</v>
      </c>
      <c r="P202" s="47">
        <f>TMUS!$E$37</f>
        <v>3.2075910368420271</v>
      </c>
      <c r="Q202" s="47">
        <f>TMUS!$F$37</f>
        <v>2.8753261061078526</v>
      </c>
      <c r="R202" s="47">
        <f>TMUS!$G$37</f>
        <v>2.5901354997557609</v>
      </c>
      <c r="S202" s="45">
        <f>TMUS!$H$37</f>
        <v>4.188525468612303E-2</v>
      </c>
      <c r="T202" s="46"/>
      <c r="U202" s="48" t="str">
        <f t="shared" si="33"/>
        <v>USD166.0</v>
      </c>
      <c r="V202" s="44" t="str">
        <f t="shared" si="33"/>
        <v>TMUS</v>
      </c>
      <c r="AE202" s="41"/>
      <c r="AF202" s="31"/>
      <c r="AG202" s="31"/>
      <c r="AI202" s="41"/>
      <c r="AJ202" s="64"/>
      <c r="AK202" s="64"/>
      <c r="AM202" s="41"/>
      <c r="AN202" s="17"/>
      <c r="AO202" s="17"/>
      <c r="AQ202" s="41"/>
      <c r="AR202" s="18"/>
      <c r="AS202" s="18"/>
    </row>
    <row r="203" spans="1:45" s="5" customFormat="1">
      <c r="A203" s="41"/>
      <c r="B203" s="42" t="s">
        <v>519</v>
      </c>
      <c r="C203" s="48" t="s">
        <v>33</v>
      </c>
      <c r="D203" s="44" t="str">
        <f>B203&amp;TEXT(Prices!$C$39,"0.0")</f>
        <v>US$39.7</v>
      </c>
      <c r="E203" s="44" t="str">
        <f>B203&amp;TEXT(Prices!$E$39,"0.00")</f>
        <v>US$45.00</v>
      </c>
      <c r="F203" s="45">
        <f>Prices!$F$39</f>
        <v>0.13236034222445903</v>
      </c>
      <c r="G203" s="44" t="str">
        <f>Prices!$D$39</f>
        <v>Neutral</v>
      </c>
      <c r="H203" s="46"/>
      <c r="I203" s="47">
        <f>VZN!$D$41</f>
        <v>1.1338849937457862</v>
      </c>
      <c r="J203" s="47">
        <f>VZN!$E$41</f>
        <v>2.4631634055145688</v>
      </c>
      <c r="K203" s="47">
        <f>VZN!$F$41</f>
        <v>2.4642166120136957</v>
      </c>
      <c r="L203" s="47">
        <f>VZN!$G$41</f>
        <v>2.4701262587518724</v>
      </c>
      <c r="M203" s="45">
        <f>VZN!$H$41</f>
        <v>-0.27941138864136561</v>
      </c>
      <c r="N203" s="46"/>
      <c r="O203" s="47">
        <f>VZN!$D$37</f>
        <v>2.3322557735082929</v>
      </c>
      <c r="P203" s="47">
        <f>VZN!$E$37</f>
        <v>2.1657696914156506</v>
      </c>
      <c r="Q203" s="47">
        <f>VZN!$F$37</f>
        <v>1.9907657674040029</v>
      </c>
      <c r="R203" s="47">
        <f>VZN!$G$37</f>
        <v>1.8186669441558423</v>
      </c>
      <c r="S203" s="45">
        <f>VZN!$H$37</f>
        <v>1.4873182799269635E-2</v>
      </c>
      <c r="T203" s="46"/>
      <c r="U203" s="48" t="str">
        <f t="shared" si="33"/>
        <v>USD39.7</v>
      </c>
      <c r="V203" s="44" t="str">
        <f t="shared" si="33"/>
        <v>Verizon</v>
      </c>
      <c r="AE203" s="41"/>
      <c r="AF203" s="31"/>
      <c r="AG203" s="31"/>
      <c r="AI203" s="41"/>
      <c r="AJ203" s="64"/>
      <c r="AK203" s="64"/>
      <c r="AM203" s="41"/>
      <c r="AN203" s="17"/>
      <c r="AO203" s="17"/>
      <c r="AQ203" s="41"/>
      <c r="AR203" s="18"/>
      <c r="AS203" s="18"/>
    </row>
    <row r="204" spans="1:45" s="5" customFormat="1">
      <c r="A204" s="41"/>
      <c r="B204" s="42"/>
      <c r="C204" s="51" t="s">
        <v>262</v>
      </c>
      <c r="D204" s="52"/>
      <c r="E204" s="52"/>
      <c r="F204" s="53"/>
      <c r="G204" s="52"/>
      <c r="H204" s="46"/>
      <c r="I204" s="54">
        <f>'US TELCO'!$D$41</f>
        <v>1.2910316989935113</v>
      </c>
      <c r="J204" s="54">
        <f>'US TELCO'!$E$41</f>
        <v>1.606660528917552</v>
      </c>
      <c r="K204" s="54">
        <f>'US TELCO'!$F$41</f>
        <v>1.5314525021709535</v>
      </c>
      <c r="L204" s="54">
        <f>'US TELCO'!$G$41</f>
        <v>1.4556441037262229</v>
      </c>
      <c r="M204" s="55">
        <f>'US TELCO'!$H$41</f>
        <v>-0.10115646387707644</v>
      </c>
      <c r="N204" s="46"/>
      <c r="O204" s="54">
        <f>'US TELCO'!$D$37</f>
        <v>2.5137859043736563</v>
      </c>
      <c r="P204" s="54">
        <f>'US TELCO'!$E$37</f>
        <v>2.3418033291822886</v>
      </c>
      <c r="Q204" s="54">
        <f>'US TELCO'!$F$37</f>
        <v>2.1405480707080522</v>
      </c>
      <c r="R204" s="54">
        <f>'US TELCO'!$G$37</f>
        <v>1.9475888569848374</v>
      </c>
      <c r="S204" s="55">
        <f>'US TELCO'!$H$37</f>
        <v>1.8592642260168768E-2</v>
      </c>
      <c r="T204" s="46"/>
      <c r="U204" s="57"/>
      <c r="V204" s="58" t="str">
        <f>V144</f>
        <v>Agg. US Telecoms</v>
      </c>
      <c r="AE204" s="41"/>
      <c r="AF204" s="31"/>
      <c r="AG204" s="31"/>
      <c r="AI204" s="41"/>
      <c r="AJ204" s="64"/>
      <c r="AK204" s="64"/>
      <c r="AM204" s="41"/>
      <c r="AN204" s="17"/>
      <c r="AO204" s="17"/>
      <c r="AQ204" s="41"/>
      <c r="AR204" s="18"/>
      <c r="AS204" s="18"/>
    </row>
    <row r="205" spans="1:45" s="5" customFormat="1">
      <c r="A205" s="41"/>
      <c r="B205" s="42"/>
      <c r="C205" s="48"/>
      <c r="D205" s="44"/>
      <c r="E205" s="44"/>
      <c r="F205" s="45"/>
      <c r="G205" s="44"/>
      <c r="H205" s="46"/>
      <c r="I205" s="47"/>
      <c r="J205" s="47"/>
      <c r="K205" s="47"/>
      <c r="L205" s="47"/>
      <c r="M205" s="45"/>
      <c r="N205" s="46"/>
      <c r="O205" s="47"/>
      <c r="P205" s="47"/>
      <c r="Q205" s="47"/>
      <c r="R205" s="47"/>
      <c r="S205" s="45"/>
      <c r="T205" s="46"/>
      <c r="U205" s="48"/>
      <c r="V205" s="44"/>
      <c r="AE205" s="41"/>
      <c r="AF205" s="31"/>
      <c r="AG205" s="31"/>
      <c r="AI205" s="41"/>
      <c r="AJ205" s="64"/>
      <c r="AK205" s="64"/>
      <c r="AM205" s="41"/>
      <c r="AN205" s="17"/>
      <c r="AO205" s="17"/>
      <c r="AQ205" s="41"/>
      <c r="AR205" s="18"/>
      <c r="AS205" s="18"/>
    </row>
    <row r="206" spans="1:45">
      <c r="A206" s="41"/>
      <c r="C206" s="48" t="str">
        <f t="shared" ref="C206:G207" si="34">C146</f>
        <v>NTT</v>
      </c>
      <c r="D206" s="44" t="str">
        <f t="shared" si="34"/>
        <v>JPY 153</v>
      </c>
      <c r="E206" s="44" t="str">
        <f t="shared" si="34"/>
        <v>JPY 240</v>
      </c>
      <c r="F206" s="45">
        <f t="shared" si="34"/>
        <v>0.57273918741808649</v>
      </c>
      <c r="G206" s="44" t="str">
        <f t="shared" si="34"/>
        <v>Buy</v>
      </c>
      <c r="H206" s="46"/>
      <c r="I206" s="47">
        <f>NTT!$D$41</f>
        <v>1.3618309871677301</v>
      </c>
      <c r="J206" s="47">
        <f>NTT!$E$41</f>
        <v>1.2170168398627768</v>
      </c>
      <c r="K206" s="47">
        <f>NTT!$F$41</f>
        <v>1.084481565713411</v>
      </c>
      <c r="L206" s="47">
        <f>NTT!$G$41</f>
        <v>0.9637824651927418</v>
      </c>
      <c r="M206" s="45">
        <f>NTT!$H$41</f>
        <v>7.8351287791250002E-2</v>
      </c>
      <c r="N206" s="46"/>
      <c r="O206" s="47">
        <f>NTT!$D$37</f>
        <v>1.7267209671009074</v>
      </c>
      <c r="P206" s="47">
        <f>NTT!$E$37</f>
        <v>1.6259182262323979</v>
      </c>
      <c r="Q206" s="47">
        <f>NTT!$F$37</f>
        <v>1.5132306636265536</v>
      </c>
      <c r="R206" s="47">
        <f>NTT!$G$37</f>
        <v>1.4004143346591327</v>
      </c>
      <c r="S206" s="45">
        <f>NTT!$H$37</f>
        <v>3.0466954566159998E-2</v>
      </c>
      <c r="T206" s="46"/>
      <c r="U206" s="48" t="str">
        <f t="shared" ref="U206:V209" si="35">U146</f>
        <v>JPY 153</v>
      </c>
      <c r="V206" s="44" t="str">
        <f t="shared" si="35"/>
        <v>NTT</v>
      </c>
      <c r="AB206" s="5"/>
      <c r="AE206" s="41"/>
      <c r="AF206" s="31"/>
      <c r="AG206" s="31"/>
      <c r="AI206" s="41"/>
      <c r="AJ206" s="64"/>
      <c r="AK206" s="64"/>
      <c r="AM206" s="41"/>
      <c r="AN206" s="17"/>
      <c r="AO206" s="17"/>
      <c r="AQ206" s="41"/>
      <c r="AR206" s="18"/>
      <c r="AS206" s="18"/>
    </row>
    <row r="207" spans="1:45">
      <c r="A207" s="41"/>
      <c r="C207" s="48" t="str">
        <f t="shared" si="34"/>
        <v>Spark NZ</v>
      </c>
      <c r="D207" s="44" t="str">
        <f t="shared" si="34"/>
        <v>NZD 4.19</v>
      </c>
      <c r="E207" s="44" t="str">
        <f t="shared" si="34"/>
        <v>NZD 5.00</v>
      </c>
      <c r="F207" s="45">
        <f t="shared" si="34"/>
        <v>0.19331742243436745</v>
      </c>
      <c r="G207" s="44" t="str">
        <f t="shared" si="34"/>
        <v>Neutral</v>
      </c>
      <c r="H207" s="46"/>
      <c r="I207" s="47">
        <f>SPK!$D$41</f>
        <v>2.0848668111256821</v>
      </c>
      <c r="J207" s="47">
        <f>SPK!$E$41</f>
        <v>1.9557148052775104</v>
      </c>
      <c r="K207" s="47">
        <f>SPK!$F$41</f>
        <v>1.8156571780876085</v>
      </c>
      <c r="L207" s="47">
        <f>SPK!$G$41</f>
        <v>1.661084612000532</v>
      </c>
      <c r="M207" s="45">
        <f>SPK!$H$41</f>
        <v>-5.5400699397566422E-3</v>
      </c>
      <c r="N207" s="46"/>
      <c r="O207" s="47">
        <f>SPK!$D$37</f>
        <v>1.955827711207947</v>
      </c>
      <c r="P207" s="47">
        <f>SPK!$E$37</f>
        <v>1.777122703580716</v>
      </c>
      <c r="Q207" s="47">
        <f>SPK!$F$37</f>
        <v>1.5950215737488223</v>
      </c>
      <c r="R207" s="47">
        <f>SPK!$G$37</f>
        <v>1.4208856579021203</v>
      </c>
      <c r="S207" s="45">
        <f>SPK!$H$37</f>
        <v>2.5531307948985615E-2</v>
      </c>
      <c r="T207" s="46"/>
      <c r="U207" s="48" t="str">
        <f t="shared" si="35"/>
        <v>NZD 4.19</v>
      </c>
      <c r="V207" s="44" t="str">
        <f t="shared" si="35"/>
        <v>Spark NZ</v>
      </c>
      <c r="AC207" s="63"/>
      <c r="AE207" s="41"/>
      <c r="AF207" s="31"/>
      <c r="AG207" s="31"/>
      <c r="AI207" s="41"/>
      <c r="AJ207" s="64"/>
      <c r="AK207" s="64"/>
      <c r="AM207" s="41"/>
      <c r="AN207" s="17"/>
      <c r="AO207" s="17"/>
      <c r="AQ207" s="41"/>
      <c r="AR207" s="18"/>
      <c r="AS207" s="18"/>
    </row>
    <row r="208" spans="1:45">
      <c r="A208" s="41"/>
      <c r="C208" s="48" t="s">
        <v>215</v>
      </c>
      <c r="D208" s="44" t="str">
        <f t="shared" ref="D208:G209" si="36">D148</f>
        <v>SGD 2.42</v>
      </c>
      <c r="E208" s="44" t="str">
        <f t="shared" si="36"/>
        <v>SGD 4.40</v>
      </c>
      <c r="F208" s="45">
        <f t="shared" si="36"/>
        <v>0.81818181818181834</v>
      </c>
      <c r="G208" s="44" t="str">
        <f t="shared" si="36"/>
        <v>Buy</v>
      </c>
      <c r="H208" s="46"/>
      <c r="I208" s="47">
        <f>SINGTEL!$D$41</f>
        <v>1.3585633068887701</v>
      </c>
      <c r="J208" s="47">
        <f>SINGTEL!$E$41</f>
        <v>1.280223702009279</v>
      </c>
      <c r="K208" s="47">
        <f>SINGTEL!$F$41</f>
        <v>1.1822015806953523</v>
      </c>
      <c r="L208" s="47">
        <f>SINGTEL!$G$41</f>
        <v>1.0744021942188162</v>
      </c>
      <c r="M208" s="45">
        <f>SINGTEL!$H$41</f>
        <v>1.8207687070573186E-2</v>
      </c>
      <c r="N208" s="46"/>
      <c r="O208" s="47">
        <f>SINGTEL!$D$37</f>
        <v>3.1682029207369968</v>
      </c>
      <c r="P208" s="47">
        <f>SINGTEL!$E$37</f>
        <v>2.8811228110864984</v>
      </c>
      <c r="Q208" s="47">
        <f>SINGTEL!$F$37</f>
        <v>2.5697652419775294</v>
      </c>
      <c r="R208" s="47">
        <f>SINGTEL!$G$37</f>
        <v>2.3266278428856677</v>
      </c>
      <c r="S208" s="45">
        <f>SINGTEL!$H$37</f>
        <v>4.3664063799779385E-2</v>
      </c>
      <c r="T208" s="46"/>
      <c r="U208" s="48" t="str">
        <f t="shared" si="35"/>
        <v>SGD 2.42</v>
      </c>
      <c r="V208" s="44" t="str">
        <f t="shared" si="35"/>
        <v>SingTel</v>
      </c>
      <c r="AC208" s="63"/>
      <c r="AE208" s="41"/>
      <c r="AF208" s="31"/>
      <c r="AG208" s="31"/>
      <c r="AI208" s="41"/>
      <c r="AJ208" s="64"/>
      <c r="AK208" s="64"/>
      <c r="AM208" s="41"/>
      <c r="AN208" s="17"/>
      <c r="AO208" s="17"/>
      <c r="AQ208" s="41"/>
      <c r="AR208" s="18"/>
      <c r="AS208" s="18"/>
    </row>
    <row r="209" spans="1:113">
      <c r="A209" s="41"/>
      <c r="C209" s="48" t="str">
        <f>C149</f>
        <v xml:space="preserve">Telstra </v>
      </c>
      <c r="D209" s="44" t="str">
        <f t="shared" si="36"/>
        <v>AUD 3.45</v>
      </c>
      <c r="E209" s="44" t="str">
        <f t="shared" si="36"/>
        <v>AUD 3.50</v>
      </c>
      <c r="F209" s="45">
        <f t="shared" si="36"/>
        <v>1.4492753623188248E-2</v>
      </c>
      <c r="G209" s="44" t="str">
        <f t="shared" si="36"/>
        <v>Buy</v>
      </c>
      <c r="H209" s="46"/>
      <c r="I209" s="47">
        <f>TLS!$D$41</f>
        <v>1.4741055177709435</v>
      </c>
      <c r="J209" s="47">
        <f>TLS!$E$41</f>
        <v>1.3567288752950246</v>
      </c>
      <c r="K209" s="47">
        <f>TLS!$F$41</f>
        <v>1.2459294934795275</v>
      </c>
      <c r="L209" s="47">
        <f>TLS!$G$41</f>
        <v>1.1363302726940419</v>
      </c>
      <c r="M209" s="45">
        <f>TLS!$H$41</f>
        <v>6.5974572890621364E-3</v>
      </c>
      <c r="N209" s="46"/>
      <c r="O209" s="47">
        <f>TLS!$D$37</f>
        <v>1.7171380107768319</v>
      </c>
      <c r="P209" s="47">
        <f>TLS!$E$37</f>
        <v>1.6165814074641924</v>
      </c>
      <c r="Q209" s="47">
        <f>TLS!$F$37</f>
        <v>1.535289827828344</v>
      </c>
      <c r="R209" s="47">
        <f>TLS!$G$37</f>
        <v>1.3795750993752847</v>
      </c>
      <c r="S209" s="45">
        <f>TLS!$H$37</f>
        <v>-7.1862522661734207E-3</v>
      </c>
      <c r="T209" s="46"/>
      <c r="U209" s="48" t="str">
        <f t="shared" si="35"/>
        <v>AUD 3.45</v>
      </c>
      <c r="V209" s="44" t="str">
        <f t="shared" si="35"/>
        <v>Telstra</v>
      </c>
    </row>
    <row r="210" spans="1:113">
      <c r="A210" s="41"/>
      <c r="C210" s="51" t="str">
        <f>C150</f>
        <v>Agg. Developed Asia Incumbent</v>
      </c>
      <c r="D210" s="58"/>
      <c r="E210" s="58"/>
      <c r="F210" s="55"/>
      <c r="G210" s="58"/>
      <c r="H210" s="56"/>
      <c r="I210" s="54">
        <f>'DM ASIA INCUMB'!$D$41</f>
        <v>1.4011654333705039</v>
      </c>
      <c r="J210" s="54">
        <f>'DM ASIA INCUMB'!$E$41</f>
        <v>1.2678513427576183</v>
      </c>
      <c r="K210" s="54">
        <f>'DM ASIA INCUMB'!$F$41</f>
        <v>1.1400859203670926</v>
      </c>
      <c r="L210" s="54">
        <f>'DM ASIA INCUMB'!$G$41</f>
        <v>1.0188926569154557</v>
      </c>
      <c r="M210" s="55">
        <f>'DM ASIA INCUMB'!$H$41</f>
        <v>5.7508827560146303E-2</v>
      </c>
      <c r="N210" s="56"/>
      <c r="O210" s="54">
        <f>'DM ASIA INCUMB'!$D$37</f>
        <v>1.8638274446594334</v>
      </c>
      <c r="P210" s="54">
        <f>'DM ASIA INCUMB'!$E$37</f>
        <v>1.7459425251059872</v>
      </c>
      <c r="Q210" s="54">
        <f>'DM ASIA INCUMB'!$F$37</f>
        <v>1.6187621703412736</v>
      </c>
      <c r="R210" s="54">
        <f>'DM ASIA INCUMB'!$G$37</f>
        <v>1.4847350924535951</v>
      </c>
      <c r="S210" s="55">
        <f>'DM ASIA INCUMB'!$H$37</f>
        <v>2.5846978212288318E-2</v>
      </c>
      <c r="T210" s="56"/>
      <c r="U210" s="51"/>
      <c r="V210" s="58" t="str">
        <f>V150</f>
        <v xml:space="preserve">Agg. Developed Asia Incumbent </v>
      </c>
      <c r="AI210" s="41"/>
      <c r="AJ210" s="64"/>
      <c r="AK210" s="64"/>
    </row>
    <row r="211" spans="1:113">
      <c r="A211" s="41"/>
      <c r="C211" s="43"/>
      <c r="D211" s="50"/>
      <c r="E211" s="50"/>
      <c r="F211" s="61"/>
      <c r="G211" s="50"/>
      <c r="H211" s="56"/>
      <c r="I211" s="62"/>
      <c r="J211" s="62"/>
      <c r="K211" s="62"/>
      <c r="L211" s="62"/>
      <c r="M211" s="61"/>
      <c r="N211" s="56"/>
      <c r="O211" s="62"/>
      <c r="P211" s="62"/>
      <c r="Q211" s="62"/>
      <c r="R211" s="62"/>
      <c r="S211" s="61"/>
      <c r="T211" s="56"/>
      <c r="U211" s="43"/>
      <c r="V211" s="50"/>
      <c r="AI211" s="41"/>
      <c r="AJ211" s="64"/>
      <c r="AK211" s="64"/>
    </row>
    <row r="212" spans="1:113">
      <c r="A212" s="41"/>
      <c r="C212" s="51" t="s">
        <v>865</v>
      </c>
      <c r="D212" s="58"/>
      <c r="E212" s="58"/>
      <c r="F212" s="55"/>
      <c r="G212" s="58"/>
      <c r="H212" s="56"/>
      <c r="I212" s="54">
        <f>'AGG DM INCUMB'!D41</f>
        <v>1.3642663881904158</v>
      </c>
      <c r="J212" s="54">
        <f>'AGG DM INCUMB'!E41</f>
        <v>1.455655532747498</v>
      </c>
      <c r="K212" s="54">
        <f>'AGG DM INCUMB'!F41</f>
        <v>1.3713906617759601</v>
      </c>
      <c r="L212" s="54">
        <f>'AGG DM INCUMB'!G41</f>
        <v>1.2870372795379703</v>
      </c>
      <c r="M212" s="55">
        <f>'AGG DM INCUMB'!H41</f>
        <v>-3.0335148824800706E-2</v>
      </c>
      <c r="N212" s="56"/>
      <c r="O212" s="54">
        <f>'AGG DM INCUMB'!D37</f>
        <v>2.277847045234783</v>
      </c>
      <c r="P212" s="54">
        <f>'AGG DM INCUMB'!E37</f>
        <v>2.1502325892528407</v>
      </c>
      <c r="Q212" s="54">
        <f>'AGG DM INCUMB'!F37</f>
        <v>2.0041765075121782</v>
      </c>
      <c r="R212" s="54">
        <f>'AGG DM INCUMB'!G37</f>
        <v>1.8542619432557919</v>
      </c>
      <c r="S212" s="55">
        <f>'AGG DM INCUMB'!H37</f>
        <v>1.8521326341160327E-2</v>
      </c>
      <c r="T212" s="56"/>
      <c r="U212" s="51"/>
      <c r="V212" s="58" t="str">
        <f>C212</f>
        <v>Agg. DM Incumbent total</v>
      </c>
      <c r="AI212" s="41"/>
      <c r="AJ212" s="64"/>
      <c r="AK212" s="64"/>
    </row>
    <row r="213" spans="1:113">
      <c r="A213" s="41"/>
      <c r="C213" s="41"/>
      <c r="D213" s="44"/>
      <c r="E213" s="44"/>
      <c r="F213" s="45"/>
      <c r="G213" s="44"/>
      <c r="H213" s="46"/>
      <c r="I213" s="47"/>
      <c r="J213" s="47"/>
      <c r="K213" s="47"/>
      <c r="L213" s="47"/>
      <c r="M213" s="45"/>
      <c r="N213" s="46"/>
      <c r="O213" s="47"/>
      <c r="P213" s="47"/>
      <c r="Q213" s="47"/>
      <c r="R213" s="47"/>
      <c r="S213" s="45"/>
      <c r="T213" s="46"/>
      <c r="U213" s="48"/>
      <c r="V213" s="50"/>
      <c r="AE213" s="41"/>
      <c r="AF213" s="31"/>
      <c r="AG213" s="31"/>
      <c r="AM213" s="41"/>
      <c r="AN213" s="17"/>
      <c r="AO213" s="17"/>
      <c r="AQ213" s="41"/>
      <c r="AR213" s="18"/>
      <c r="AS213" s="18"/>
    </row>
    <row r="214" spans="1:113">
      <c r="A214" s="41" t="s">
        <v>1385</v>
      </c>
      <c r="C214" s="48" t="str">
        <f t="shared" ref="C214:G221" si="37">C154</f>
        <v>1&amp;1</v>
      </c>
      <c r="D214" s="44" t="str">
        <f t="shared" si="37"/>
        <v>EUR 17.5</v>
      </c>
      <c r="E214" s="44" t="str">
        <f t="shared" si="37"/>
        <v>EUR 28.0</v>
      </c>
      <c r="F214" s="45">
        <f t="shared" si="37"/>
        <v>0.60000000000000009</v>
      </c>
      <c r="G214" s="44" t="str">
        <f t="shared" si="37"/>
        <v>Buy</v>
      </c>
      <c r="H214" s="46"/>
      <c r="I214" s="47">
        <f>DRI!$D$41</f>
        <v>0.75284652645730465</v>
      </c>
      <c r="J214" s="47">
        <f>DRI!$E$41</f>
        <v>0.73084250471470869</v>
      </c>
      <c r="K214" s="47">
        <f>DRI!$F$41</f>
        <v>0.6487433245501244</v>
      </c>
      <c r="L214" s="47">
        <f>DRI!$G$41</f>
        <v>0.60807550568851065</v>
      </c>
      <c r="M214" s="45">
        <f>DRI!$H$41</f>
        <v>8.6356464154934365E-2</v>
      </c>
      <c r="N214" s="46"/>
      <c r="O214" s="47">
        <f>DRI!$D$37</f>
        <v>1.0108163315974923</v>
      </c>
      <c r="P214" s="47">
        <f>DRI!$E$37</f>
        <v>1.0507829577072703</v>
      </c>
      <c r="Q214" s="47">
        <f>DRI!$F$37</f>
        <v>1.0537787609782487</v>
      </c>
      <c r="R214" s="47">
        <f>DRI!$G$37</f>
        <v>0.98438012385662055</v>
      </c>
      <c r="S214" s="45">
        <f>DRI!$H$37</f>
        <v>2.0686828607944685E-2</v>
      </c>
      <c r="T214" s="46"/>
      <c r="U214" s="48" t="str">
        <f t="shared" ref="U214:V220" si="38">U154</f>
        <v>EUR 17.5</v>
      </c>
      <c r="V214" s="44" t="str">
        <f t="shared" si="38"/>
        <v>1&amp;1</v>
      </c>
      <c r="BU214" s="39"/>
      <c r="BV214" s="39"/>
      <c r="BW214" s="39"/>
      <c r="BX214" s="39"/>
      <c r="BY214" s="39"/>
      <c r="BZ214" s="39"/>
      <c r="CA214" s="39"/>
      <c r="CB214" s="39"/>
      <c r="CC214" s="39"/>
      <c r="CD214" s="39"/>
      <c r="CE214" s="39"/>
      <c r="CF214" s="39"/>
      <c r="CG214" s="39"/>
      <c r="CH214" s="39"/>
      <c r="CI214" s="39"/>
      <c r="CJ214" s="39"/>
      <c r="CK214" s="39"/>
      <c r="CL214" s="39"/>
      <c r="CM214" s="39"/>
      <c r="CN214" s="39"/>
      <c r="CO214" s="39"/>
      <c r="CP214" s="39"/>
      <c r="CQ214" s="39"/>
      <c r="CR214" s="39"/>
      <c r="CS214" s="39"/>
      <c r="CT214" s="39"/>
      <c r="CU214" s="39"/>
      <c r="CV214" s="39"/>
      <c r="CW214" s="39"/>
      <c r="CX214" s="39"/>
      <c r="CY214" s="39"/>
      <c r="CZ214" s="39"/>
      <c r="DA214" s="39"/>
      <c r="DB214" s="39"/>
      <c r="DC214" s="39"/>
      <c r="DD214" s="39"/>
      <c r="DE214" s="39"/>
      <c r="DF214" s="39"/>
      <c r="DG214" s="39"/>
      <c r="DH214" s="39"/>
      <c r="DI214" s="39"/>
    </row>
    <row r="215" spans="1:113">
      <c r="C215" s="48" t="str">
        <f t="shared" si="37"/>
        <v>Elisa</v>
      </c>
      <c r="D215" s="44" t="str">
        <f t="shared" si="37"/>
        <v>EUR 41.6</v>
      </c>
      <c r="E215" s="44" t="str">
        <f t="shared" si="37"/>
        <v>EUR 54.0</v>
      </c>
      <c r="F215" s="45">
        <f t="shared" si="37"/>
        <v>0.29745314752522845</v>
      </c>
      <c r="G215" s="44" t="str">
        <f t="shared" si="37"/>
        <v>Neutral</v>
      </c>
      <c r="H215" s="46"/>
      <c r="I215" s="47">
        <f>ELISA!$D$41</f>
        <v>3.3042809500346544</v>
      </c>
      <c r="J215" s="47">
        <f>ELISA!$E$41</f>
        <v>3.1326916301480838</v>
      </c>
      <c r="K215" s="47">
        <f>ELISA!$F$41</f>
        <v>2.9682456966514201</v>
      </c>
      <c r="L215" s="47">
        <f>ELISA!$G$41</f>
        <v>3.1291752096649414</v>
      </c>
      <c r="M215" s="45">
        <f>ELISA!$H$41</f>
        <v>3.3956801245842438E-3</v>
      </c>
      <c r="N215" s="46"/>
      <c r="O215" s="47">
        <f>ELISA!$D$37</f>
        <v>3.5439772619638843</v>
      </c>
      <c r="P215" s="47">
        <f>ELISA!$E$37</f>
        <v>3.267126288568774</v>
      </c>
      <c r="Q215" s="47">
        <f>ELISA!$F$37</f>
        <v>3.0071097721185844</v>
      </c>
      <c r="R215" s="47">
        <f>ELISA!$G$37</f>
        <v>3.0776373629468901</v>
      </c>
      <c r="S215" s="45">
        <f>ELISA!$H$37</f>
        <v>3.2795551785379518E-2</v>
      </c>
      <c r="T215" s="46"/>
      <c r="U215" s="48" t="str">
        <f t="shared" si="38"/>
        <v>EUR 41.6</v>
      </c>
      <c r="V215" s="44" t="str">
        <f t="shared" si="38"/>
        <v>Elisa</v>
      </c>
      <c r="AE215" s="41"/>
      <c r="AF215" s="31"/>
      <c r="AG215" s="31"/>
      <c r="AM215" s="41"/>
      <c r="AN215" s="17"/>
      <c r="AO215" s="17"/>
      <c r="AQ215" s="41"/>
      <c r="AR215" s="18"/>
      <c r="AS215" s="18"/>
    </row>
    <row r="216" spans="1:113">
      <c r="A216" s="41"/>
      <c r="C216" s="48" t="str">
        <f t="shared" si="37"/>
        <v>Liberty Global (prop.)</v>
      </c>
      <c r="D216" s="44" t="str">
        <f t="shared" si="37"/>
        <v>USD 16.2</v>
      </c>
      <c r="E216" s="44" t="str">
        <f t="shared" si="37"/>
        <v>USD 24.0</v>
      </c>
      <c r="F216" s="45">
        <f t="shared" si="37"/>
        <v>0.47783251231527113</v>
      </c>
      <c r="G216" s="44" t="str">
        <f t="shared" si="37"/>
        <v>Buy</v>
      </c>
      <c r="H216" s="46"/>
      <c r="I216" s="47">
        <f>LBTY!$D$41</f>
        <v>0.45352396620554436</v>
      </c>
      <c r="J216" s="47">
        <f>LBTY!$E$41</f>
        <v>0.42631537546395248</v>
      </c>
      <c r="K216" s="47">
        <f>LBTY!$F$41</f>
        <v>0.41612762865252406</v>
      </c>
      <c r="L216" s="47">
        <f>LBTY!$G$41</f>
        <v>0.39297559146798561</v>
      </c>
      <c r="M216" s="45">
        <f>LBTY!$H$41</f>
        <v>-2.1748069353669686E-2</v>
      </c>
      <c r="N216" s="46"/>
      <c r="O216" s="47">
        <f>LBTY!$D$37</f>
        <v>1.4168940122849354</v>
      </c>
      <c r="P216" s="47">
        <f>LBTY!$E$37</f>
        <v>1.276922729118158</v>
      </c>
      <c r="Q216" s="47">
        <f>LBTY!$F$37</f>
        <v>1.2237147224943783</v>
      </c>
      <c r="R216" s="47">
        <f>LBTY!$G$37</f>
        <v>1.1477252850213759</v>
      </c>
      <c r="S216" s="45">
        <f>LBTY!$H$37</f>
        <v>4.7359329141771767E-4</v>
      </c>
      <c r="T216" s="46"/>
      <c r="U216" s="48" t="str">
        <f t="shared" si="38"/>
        <v>USD 16.2</v>
      </c>
      <c r="V216" s="44" t="str">
        <f t="shared" si="38"/>
        <v>Liberty Global</v>
      </c>
      <c r="BU216" s="39"/>
      <c r="BV216" s="39"/>
      <c r="BW216" s="39"/>
      <c r="BX216" s="39"/>
      <c r="BY216" s="39"/>
      <c r="BZ216" s="39"/>
      <c r="CA216" s="39"/>
      <c r="CB216" s="39"/>
      <c r="CC216" s="39"/>
      <c r="CD216" s="39"/>
      <c r="CE216" s="39"/>
      <c r="CF216" s="39"/>
      <c r="CG216" s="39"/>
      <c r="CH216" s="39"/>
      <c r="CI216" s="39"/>
      <c r="CJ216" s="39"/>
      <c r="CK216" s="39"/>
      <c r="CL216" s="39"/>
      <c r="CM216" s="39"/>
      <c r="CN216" s="39"/>
      <c r="CO216" s="39"/>
      <c r="CP216" s="39"/>
      <c r="CQ216" s="39"/>
      <c r="CR216" s="39"/>
      <c r="CS216" s="39"/>
      <c r="CT216" s="39"/>
      <c r="CU216" s="39"/>
      <c r="CV216" s="39"/>
      <c r="CW216" s="39"/>
      <c r="CX216" s="39"/>
      <c r="CY216" s="39"/>
      <c r="CZ216" s="39"/>
      <c r="DA216" s="39"/>
      <c r="DB216" s="39"/>
      <c r="DC216" s="39"/>
      <c r="DD216" s="39"/>
      <c r="DE216" s="39"/>
      <c r="DF216" s="39"/>
      <c r="DG216" s="39"/>
      <c r="DH216" s="39"/>
      <c r="DI216" s="39"/>
    </row>
    <row r="217" spans="1:113">
      <c r="A217" s="41"/>
      <c r="C217" s="48" t="str">
        <f t="shared" si="37"/>
        <v>NOS</v>
      </c>
      <c r="D217" s="44" t="str">
        <f t="shared" si="37"/>
        <v>EUR 3.35</v>
      </c>
      <c r="E217" s="44" t="str">
        <f t="shared" si="37"/>
        <v>EUR 4.00</v>
      </c>
      <c r="F217" s="45">
        <f t="shared" si="37"/>
        <v>0.19581464872944676</v>
      </c>
      <c r="G217" s="44" t="str">
        <f t="shared" si="37"/>
        <v>Neutral</v>
      </c>
      <c r="H217" s="46"/>
      <c r="I217" s="47">
        <f>NOS!$D$41</f>
        <v>1.5251497282843336</v>
      </c>
      <c r="J217" s="47">
        <f>NOS!$E$41</f>
        <v>1.3515391791342652</v>
      </c>
      <c r="K217" s="47">
        <f>NOS!$F$41</f>
        <v>1.1448189217312714</v>
      </c>
      <c r="L217" s="47">
        <f>NOS!$G$41</f>
        <v>0.96090757572426644</v>
      </c>
      <c r="M217" s="45">
        <f>NOS!$H$41</f>
        <v>3.1001402333019623E-3</v>
      </c>
      <c r="N217" s="46"/>
      <c r="O217" s="47">
        <f>NOS!$D$37</f>
        <v>1.9706843215652434</v>
      </c>
      <c r="P217" s="47">
        <f>NOS!$E$37</f>
        <v>1.7450833184510939</v>
      </c>
      <c r="Q217" s="47">
        <f>NOS!$F$37</f>
        <v>1.5096384010821537</v>
      </c>
      <c r="R217" s="47">
        <f>NOS!$G$37</f>
        <v>1.2655780331047783</v>
      </c>
      <c r="S217" s="45">
        <f>NOS!$H$37</f>
        <v>-3.2718725664974135E-3</v>
      </c>
      <c r="T217" s="46"/>
      <c r="U217" s="48" t="str">
        <f t="shared" si="38"/>
        <v>EUR 3.35</v>
      </c>
      <c r="V217" s="44" t="str">
        <f t="shared" si="38"/>
        <v>NOS</v>
      </c>
      <c r="BU217" s="39"/>
      <c r="BV217" s="39"/>
      <c r="BW217" s="39"/>
      <c r="BX217" s="39"/>
      <c r="BY217" s="39"/>
      <c r="BZ217" s="39"/>
      <c r="CA217" s="39"/>
      <c r="CB217" s="39"/>
      <c r="CC217" s="39"/>
      <c r="CD217" s="39"/>
      <c r="CE217" s="39"/>
      <c r="CF217" s="39"/>
      <c r="CG217" s="39"/>
      <c r="CH217" s="39"/>
      <c r="CI217" s="39"/>
      <c r="CJ217" s="39"/>
      <c r="CK217" s="39"/>
      <c r="CL217" s="39"/>
      <c r="CM217" s="39"/>
      <c r="CN217" s="39"/>
      <c r="CO217" s="39"/>
      <c r="CP217" s="39"/>
      <c r="CQ217" s="39"/>
      <c r="CR217" s="39"/>
      <c r="CS217" s="39"/>
      <c r="CT217" s="39"/>
      <c r="CU217" s="39"/>
      <c r="CV217" s="39"/>
      <c r="CW217" s="39"/>
      <c r="CX217" s="39"/>
      <c r="CY217" s="39"/>
      <c r="CZ217" s="39"/>
      <c r="DA217" s="39"/>
      <c r="DB217" s="39"/>
      <c r="DC217" s="39"/>
      <c r="DD217" s="39"/>
      <c r="DE217" s="39"/>
      <c r="DF217" s="39"/>
      <c r="DG217" s="39"/>
      <c r="DH217" s="39"/>
      <c r="DI217" s="39"/>
    </row>
    <row r="218" spans="1:113">
      <c r="C218" s="48" t="str">
        <f t="shared" si="37"/>
        <v>Orange Belgium</v>
      </c>
      <c r="D218" s="44" t="str">
        <f t="shared" si="37"/>
        <v>EUR 14.9</v>
      </c>
      <c r="E218" s="44" t="str">
        <f t="shared" si="37"/>
        <v>EUR 13.0</v>
      </c>
      <c r="F218" s="45">
        <f t="shared" si="37"/>
        <v>-0.12868632707774796</v>
      </c>
      <c r="G218" s="44" t="str">
        <f t="shared" si="37"/>
        <v>Neutral</v>
      </c>
      <c r="H218" s="46"/>
      <c r="I218" s="47">
        <f>OBEL!$D$41</f>
        <v>3.4629588137611909</v>
      </c>
      <c r="J218" s="47">
        <f>OBEL!$E$41</f>
        <v>3.2154944428288919</v>
      </c>
      <c r="K218" s="47">
        <f>OBEL!$F$41</f>
        <v>3.0059265947120313</v>
      </c>
      <c r="L218" s="47">
        <f>OBEL!$G$41</f>
        <v>2.813137026688584</v>
      </c>
      <c r="M218" s="45">
        <f>OBEL!$H$41</f>
        <v>3.3576627272030146E-2</v>
      </c>
      <c r="N218" s="46"/>
      <c r="O218" s="47">
        <f>OBEL!$D$37</f>
        <v>1.5052881896172314</v>
      </c>
      <c r="P218" s="47">
        <f>OBEL!$E$37</f>
        <v>1.4233598819876088</v>
      </c>
      <c r="Q218" s="47">
        <f>OBEL!$F$37</f>
        <v>1.3496917574973355</v>
      </c>
      <c r="R218" s="47">
        <f>OBEL!$G$37</f>
        <v>1.2752562124685201</v>
      </c>
      <c r="S218" s="45">
        <f>OBEL!$H$37</f>
        <v>1.921217333309988E-2</v>
      </c>
      <c r="T218" s="46"/>
      <c r="U218" s="48" t="str">
        <f t="shared" si="38"/>
        <v>EUR 14.9</v>
      </c>
      <c r="V218" s="44" t="str">
        <f t="shared" si="38"/>
        <v>Mobistar</v>
      </c>
      <c r="BU218" s="39"/>
      <c r="BV218" s="39"/>
      <c r="BW218" s="39"/>
      <c r="BX218" s="39"/>
      <c r="BY218" s="39"/>
      <c r="BZ218" s="39"/>
      <c r="CA218" s="39"/>
      <c r="CB218" s="39"/>
      <c r="CC218" s="39"/>
      <c r="CD218" s="39"/>
      <c r="CE218" s="39"/>
      <c r="CF218" s="39"/>
      <c r="CG218" s="39"/>
      <c r="CH218" s="39"/>
      <c r="CI218" s="39"/>
      <c r="CJ218" s="39"/>
      <c r="CK218" s="39"/>
      <c r="CL218" s="39"/>
      <c r="CM218" s="39"/>
      <c r="CN218" s="39"/>
      <c r="CO218" s="39"/>
      <c r="CP218" s="39"/>
      <c r="CQ218" s="39"/>
      <c r="CR218" s="39"/>
      <c r="CS218" s="39"/>
      <c r="CT218" s="39"/>
      <c r="CU218" s="39"/>
      <c r="CV218" s="39"/>
      <c r="CW218" s="39"/>
      <c r="CX218" s="39"/>
      <c r="CY218" s="39"/>
      <c r="CZ218" s="39"/>
      <c r="DA218" s="39"/>
      <c r="DB218" s="39"/>
      <c r="DC218" s="39"/>
      <c r="DD218" s="39"/>
      <c r="DE218" s="39"/>
      <c r="DF218" s="39"/>
      <c r="DG218" s="39"/>
      <c r="DH218" s="39"/>
      <c r="DI218" s="39"/>
    </row>
    <row r="219" spans="1:113">
      <c r="C219" s="48" t="str">
        <f t="shared" si="37"/>
        <v>Tele2</v>
      </c>
      <c r="D219" s="44" t="str">
        <f t="shared" si="37"/>
        <v>SEK 101.1</v>
      </c>
      <c r="E219" s="44" t="str">
        <f t="shared" si="37"/>
        <v>SEK 110.0</v>
      </c>
      <c r="F219" s="45">
        <f t="shared" si="37"/>
        <v>8.8570014844136624E-2</v>
      </c>
      <c r="G219" s="44" t="str">
        <f t="shared" si="37"/>
        <v>Neutral</v>
      </c>
      <c r="H219" s="46"/>
      <c r="I219" s="47">
        <f>TELE2!$D$41</f>
        <v>2.0886504832533475</v>
      </c>
      <c r="J219" s="47">
        <f>TELE2!$E$41</f>
        <v>2.044337761609305</v>
      </c>
      <c r="K219" s="47">
        <f>TELE2!$F$41</f>
        <v>1.9851863829401701</v>
      </c>
      <c r="L219" s="47">
        <f>TELE2!$G$41</f>
        <v>1.9114810838515655</v>
      </c>
      <c r="M219" s="45">
        <f>TELE2!$H$41</f>
        <v>-2.5082368797506249E-2</v>
      </c>
      <c r="N219" s="46"/>
      <c r="O219" s="47">
        <f>TELE2!$D$37</f>
        <v>3.4368834795169532</v>
      </c>
      <c r="P219" s="47">
        <f>TELE2!$E$37</f>
        <v>3.2136300545569565</v>
      </c>
      <c r="Q219" s="47">
        <f>TELE2!$F$37</f>
        <v>2.9927307754830492</v>
      </c>
      <c r="R219" s="47">
        <f>TELE2!$G$37</f>
        <v>2.7823813872809251</v>
      </c>
      <c r="S219" s="45">
        <f>TELE2!$H$37</f>
        <v>1.5590708383683483E-2</v>
      </c>
      <c r="T219" s="46"/>
      <c r="U219" s="48" t="str">
        <f t="shared" si="38"/>
        <v>SEK 101.1</v>
      </c>
      <c r="V219" s="44" t="str">
        <f t="shared" si="38"/>
        <v>Tele2</v>
      </c>
      <c r="BU219" s="39"/>
      <c r="BV219" s="39"/>
      <c r="BW219" s="39"/>
      <c r="BX219" s="39"/>
      <c r="BY219" s="39"/>
      <c r="BZ219" s="39"/>
      <c r="CA219" s="39"/>
      <c r="CB219" s="39"/>
      <c r="CC219" s="39"/>
      <c r="CD219" s="39"/>
      <c r="CE219" s="39"/>
      <c r="CF219" s="39"/>
      <c r="CG219" s="39"/>
      <c r="CH219" s="39"/>
      <c r="CI219" s="39"/>
      <c r="CJ219" s="39"/>
      <c r="CK219" s="39"/>
      <c r="CL219" s="39"/>
      <c r="CM219" s="39"/>
      <c r="CN219" s="39"/>
      <c r="CO219" s="39"/>
      <c r="CP219" s="39"/>
      <c r="CQ219" s="39"/>
      <c r="CR219" s="39"/>
      <c r="CS219" s="39"/>
      <c r="CT219" s="39"/>
      <c r="CU219" s="39"/>
      <c r="CV219" s="39"/>
      <c r="CW219" s="39"/>
      <c r="CX219" s="39"/>
      <c r="CY219" s="39"/>
      <c r="CZ219" s="39"/>
      <c r="DA219" s="39"/>
      <c r="DB219" s="39"/>
      <c r="DC219" s="39"/>
      <c r="DD219" s="39"/>
      <c r="DE219" s="39"/>
      <c r="DF219" s="39"/>
      <c r="DG219" s="39"/>
      <c r="DH219" s="39"/>
      <c r="DI219" s="39"/>
    </row>
    <row r="220" spans="1:113">
      <c r="A220" s="41"/>
      <c r="C220" s="48" t="str">
        <f t="shared" si="37"/>
        <v>United Internet</v>
      </c>
      <c r="D220" s="44" t="str">
        <f t="shared" si="37"/>
        <v>EUR 22.1</v>
      </c>
      <c r="E220" s="44" t="str">
        <f t="shared" si="37"/>
        <v>EUR 30.0</v>
      </c>
      <c r="F220" s="45">
        <f t="shared" si="37"/>
        <v>0.35869565217391308</v>
      </c>
      <c r="G220" s="44" t="str">
        <f t="shared" si="37"/>
        <v>Buy</v>
      </c>
      <c r="H220" s="46"/>
      <c r="I220" s="47">
        <f>UTDI!$D$41</f>
        <v>1.1391807528409641</v>
      </c>
      <c r="J220" s="47">
        <f>UTDI!$E$41</f>
        <v>1.0695426398673566</v>
      </c>
      <c r="K220" s="47">
        <f>UTDI!$F$41</f>
        <v>0.95509970578139514</v>
      </c>
      <c r="L220" s="47">
        <f>UTDI!$G$41</f>
        <v>0.91297413759593327</v>
      </c>
      <c r="M220" s="45">
        <f>UTDI!$H$41</f>
        <v>8.6035013375705738E-2</v>
      </c>
      <c r="N220" s="46"/>
      <c r="O220" s="47">
        <f>UTDI!$D$37</f>
        <v>1.5072702975500143</v>
      </c>
      <c r="P220" s="47">
        <f>UTDI!$E$37</f>
        <v>1.5003294710915807</v>
      </c>
      <c r="Q220" s="47">
        <f>UTDI!$F$37</f>
        <v>1.474839699822049</v>
      </c>
      <c r="R220" s="47">
        <f>UTDI!$G$37</f>
        <v>1.4116089396315601</v>
      </c>
      <c r="S220" s="45">
        <f>UTDI!$H$37</f>
        <v>3.1077601892839812E-2</v>
      </c>
      <c r="T220" s="46"/>
      <c r="U220" s="48" t="str">
        <f t="shared" si="38"/>
        <v>EUR 22.1</v>
      </c>
      <c r="V220" s="44" t="str">
        <f t="shared" si="38"/>
        <v>United Internet</v>
      </c>
      <c r="BU220" s="39"/>
      <c r="BV220" s="39"/>
      <c r="BW220" s="39"/>
      <c r="BX220" s="39"/>
      <c r="BY220" s="39"/>
      <c r="BZ220" s="39"/>
      <c r="CA220" s="39"/>
      <c r="CB220" s="39"/>
      <c r="CC220" s="39"/>
      <c r="CD220" s="39"/>
      <c r="CE220" s="39"/>
      <c r="CF220" s="39"/>
      <c r="CG220" s="39"/>
      <c r="CH220" s="39"/>
      <c r="CI220" s="39"/>
      <c r="CJ220" s="39"/>
      <c r="CK220" s="39"/>
      <c r="CL220" s="39"/>
      <c r="CM220" s="39"/>
      <c r="CN220" s="39"/>
      <c r="CO220" s="39"/>
      <c r="CP220" s="39"/>
      <c r="CQ220" s="39"/>
      <c r="CR220" s="39"/>
      <c r="CS220" s="39"/>
      <c r="CT220" s="39"/>
      <c r="CU220" s="39"/>
      <c r="CV220" s="39"/>
      <c r="CW220" s="39"/>
      <c r="CX220" s="39"/>
      <c r="CY220" s="39"/>
      <c r="CZ220" s="39"/>
      <c r="DA220" s="39"/>
      <c r="DB220" s="39"/>
      <c r="DC220" s="39"/>
      <c r="DD220" s="39"/>
      <c r="DE220" s="39"/>
      <c r="DF220" s="39"/>
      <c r="DG220" s="39"/>
      <c r="DH220" s="39"/>
      <c r="DI220" s="39"/>
    </row>
    <row r="221" spans="1:113">
      <c r="C221" s="48" t="str">
        <f t="shared" si="37"/>
        <v>Vodafone</v>
      </c>
      <c r="D221" s="44" t="str">
        <f t="shared" si="37"/>
        <v>GBP 0.74</v>
      </c>
      <c r="E221" s="44" t="str">
        <f t="shared" si="37"/>
        <v>GBP 1.35</v>
      </c>
      <c r="F221" s="45">
        <f t="shared" si="37"/>
        <v>0.83673469387755106</v>
      </c>
      <c r="G221" s="44" t="str">
        <f t="shared" si="37"/>
        <v>Buy</v>
      </c>
      <c r="H221" s="46"/>
      <c r="I221" s="47">
        <f>VOD!$D$41</f>
        <v>0.59719557405629942</v>
      </c>
      <c r="J221" s="47">
        <f>VOD!$E$41</f>
        <v>0.56951594654496851</v>
      </c>
      <c r="K221" s="47">
        <f>VOD!$F$41</f>
        <v>0.53500245265048607</v>
      </c>
      <c r="L221" s="47">
        <f>VOD!$G$41</f>
        <v>0.49743619967831521</v>
      </c>
      <c r="M221" s="45">
        <f>VOD!$H$41</f>
        <v>-2.3512192441243696E-2</v>
      </c>
      <c r="N221" s="46"/>
      <c r="O221" s="47">
        <f>VOD!$D$37</f>
        <v>1.449019070422243</v>
      </c>
      <c r="P221" s="47">
        <f>VOD!$E$37</f>
        <v>1.281880506166174</v>
      </c>
      <c r="Q221" s="47">
        <f>VOD!$F$37</f>
        <v>1.1952713641466146</v>
      </c>
      <c r="R221" s="47">
        <f>VOD!$G$37</f>
        <v>1.0735815539912177</v>
      </c>
      <c r="S221" s="45">
        <f>VOD!$H$37</f>
        <v>1.5360148482219227E-2</v>
      </c>
      <c r="T221" s="46"/>
      <c r="U221" s="48" t="str">
        <f>U161</f>
        <v>GBP 0.74</v>
      </c>
      <c r="V221" s="44" t="s">
        <v>632</v>
      </c>
      <c r="BU221" s="39"/>
      <c r="BV221" s="39"/>
      <c r="BW221" s="39"/>
      <c r="BX221" s="39"/>
      <c r="BY221" s="39"/>
      <c r="BZ221" s="39"/>
      <c r="CA221" s="39"/>
      <c r="CB221" s="39"/>
      <c r="CC221" s="39"/>
      <c r="CD221" s="39"/>
      <c r="CE221" s="39"/>
      <c r="CF221" s="39"/>
      <c r="CG221" s="39"/>
      <c r="CH221" s="39"/>
      <c r="CI221" s="39"/>
      <c r="CJ221" s="39"/>
      <c r="CK221" s="39"/>
      <c r="CL221" s="39"/>
      <c r="CM221" s="39"/>
      <c r="CN221" s="39"/>
      <c r="CO221" s="39"/>
      <c r="CP221" s="39"/>
      <c r="CQ221" s="39"/>
      <c r="CR221" s="39"/>
      <c r="CS221" s="39"/>
      <c r="CT221" s="39"/>
      <c r="CU221" s="39"/>
      <c r="CV221" s="39"/>
      <c r="CW221" s="39"/>
      <c r="CX221" s="39"/>
      <c r="CY221" s="39"/>
      <c r="CZ221" s="39"/>
      <c r="DA221" s="39"/>
      <c r="DB221" s="39"/>
      <c r="DC221" s="39"/>
      <c r="DD221" s="39"/>
      <c r="DE221" s="39"/>
      <c r="DF221" s="39"/>
      <c r="DG221" s="39"/>
      <c r="DH221" s="39"/>
      <c r="DI221" s="39"/>
    </row>
    <row r="222" spans="1:113">
      <c r="C222" s="51" t="str">
        <f>C162</f>
        <v>Agg. W. Europe Other</v>
      </c>
      <c r="D222" s="52"/>
      <c r="E222" s="52"/>
      <c r="F222" s="53"/>
      <c r="G222" s="52"/>
      <c r="H222" s="46"/>
      <c r="I222" s="54">
        <f>'W.EUR OTHER'!$D$41</f>
        <v>0.73407860349270371</v>
      </c>
      <c r="J222" s="54">
        <f>'W.EUR OTHER'!$E$41</f>
        <v>0.70658465772315859</v>
      </c>
      <c r="K222" s="54">
        <f>'W.EUR OTHER'!$F$41</f>
        <v>0.66539496043406632</v>
      </c>
      <c r="L222" s="54">
        <f>'W.EUR OTHER'!$G$41</f>
        <v>0.63140864888435067</v>
      </c>
      <c r="M222" s="55">
        <f>'W.EUR OTHER'!$H$41</f>
        <v>-1.4479895812281707E-2</v>
      </c>
      <c r="N222" s="56"/>
      <c r="O222" s="54">
        <f>'W.EUR OTHER'!$D$37</f>
        <v>1.625740200561925</v>
      </c>
      <c r="P222" s="54">
        <f>'W.EUR OTHER'!$E$37</f>
        <v>1.4744355877361912</v>
      </c>
      <c r="Q222" s="54">
        <f>'W.EUR OTHER'!$F$37</f>
        <v>1.3838130671688169</v>
      </c>
      <c r="R222" s="54">
        <f>'W.EUR OTHER'!$G$37</f>
        <v>1.2773151297065752</v>
      </c>
      <c r="S222" s="55">
        <f>'W.EUR OTHER'!$H$37</f>
        <v>1.5716493135688125E-2</v>
      </c>
      <c r="T222" s="46"/>
      <c r="U222" s="57"/>
      <c r="V222" s="58" t="str">
        <f>C222</f>
        <v>Agg. W. Europe Other</v>
      </c>
      <c r="BU222" s="39"/>
      <c r="BV222" s="39"/>
      <c r="BW222" s="39"/>
      <c r="BX222" s="39"/>
      <c r="BY222" s="39"/>
      <c r="BZ222" s="39"/>
      <c r="CA222" s="39"/>
      <c r="CB222" s="39"/>
      <c r="CC222" s="39"/>
      <c r="CD222" s="39"/>
      <c r="CE222" s="39"/>
      <c r="CF222" s="39"/>
      <c r="CG222" s="39"/>
      <c r="CH222" s="39"/>
      <c r="CI222" s="39"/>
      <c r="CJ222" s="39"/>
      <c r="CK222" s="39"/>
      <c r="CL222" s="39"/>
      <c r="CM222" s="39"/>
      <c r="CN222" s="39"/>
      <c r="CO222" s="39"/>
      <c r="CP222" s="39"/>
      <c r="CQ222" s="39"/>
      <c r="CR222" s="39"/>
      <c r="CS222" s="39"/>
      <c r="CT222" s="39"/>
      <c r="CU222" s="39"/>
      <c r="CV222" s="39"/>
      <c r="CW222" s="39"/>
      <c r="CX222" s="39"/>
      <c r="CY222" s="39"/>
      <c r="CZ222" s="39"/>
      <c r="DA222" s="39"/>
      <c r="DB222" s="39"/>
      <c r="DC222" s="39"/>
      <c r="DD222" s="39"/>
      <c r="DE222" s="39"/>
      <c r="DF222" s="39"/>
      <c r="DG222" s="39"/>
      <c r="DH222" s="39"/>
      <c r="DI222" s="39"/>
    </row>
    <row r="223" spans="1:113">
      <c r="C223" s="48"/>
      <c r="D223" s="44"/>
      <c r="E223" s="44"/>
      <c r="F223" s="45"/>
      <c r="G223" s="44"/>
      <c r="H223" s="46"/>
      <c r="I223" s="47"/>
      <c r="J223" s="47"/>
      <c r="K223" s="47"/>
      <c r="L223" s="47"/>
      <c r="M223" s="45"/>
      <c r="N223" s="46"/>
      <c r="O223" s="47"/>
      <c r="P223" s="47"/>
      <c r="Q223" s="47"/>
      <c r="R223" s="47"/>
      <c r="S223" s="45"/>
      <c r="T223" s="46"/>
      <c r="U223" s="48"/>
      <c r="V223" s="44"/>
      <c r="BU223" s="39"/>
      <c r="BV223" s="39"/>
      <c r="BW223" s="39"/>
      <c r="BX223" s="39"/>
      <c r="BY223" s="39"/>
      <c r="BZ223" s="39"/>
      <c r="CA223" s="39"/>
      <c r="CB223" s="39"/>
      <c r="CC223" s="39"/>
      <c r="CD223" s="39"/>
      <c r="CE223" s="39"/>
      <c r="CF223" s="39"/>
      <c r="CG223" s="39"/>
      <c r="CH223" s="39"/>
      <c r="CI223" s="39"/>
      <c r="CJ223" s="39"/>
      <c r="CK223" s="39"/>
      <c r="CL223" s="39"/>
      <c r="CM223" s="39"/>
      <c r="CN223" s="39"/>
      <c r="CO223" s="39"/>
      <c r="CP223" s="39"/>
      <c r="CQ223" s="39"/>
      <c r="CR223" s="39"/>
      <c r="CS223" s="39"/>
      <c r="CT223" s="39"/>
      <c r="CU223" s="39"/>
      <c r="CV223" s="39"/>
      <c r="CW223" s="39"/>
      <c r="CX223" s="39"/>
      <c r="CY223" s="39"/>
      <c r="CZ223" s="39"/>
      <c r="DA223" s="39"/>
      <c r="DB223" s="39"/>
      <c r="DC223" s="39"/>
      <c r="DD223" s="39"/>
      <c r="DE223" s="39"/>
      <c r="DF223" s="39"/>
      <c r="DG223" s="39"/>
      <c r="DH223" s="39"/>
      <c r="DI223" s="39"/>
    </row>
    <row r="224" spans="1:113">
      <c r="A224" s="41"/>
      <c r="B224" s="42" t="s">
        <v>556</v>
      </c>
      <c r="C224" s="48" t="str">
        <f t="shared" ref="C224:G229" si="39">C164</f>
        <v>HKBN</v>
      </c>
      <c r="D224" s="44" t="str">
        <f t="shared" si="39"/>
        <v>HKD 3</v>
      </c>
      <c r="E224" s="44" t="str">
        <f t="shared" si="39"/>
        <v>HKD 16</v>
      </c>
      <c r="F224" s="45">
        <f t="shared" si="39"/>
        <v>5.2256809338521402</v>
      </c>
      <c r="G224" s="44" t="str">
        <f t="shared" si="39"/>
        <v>Buy</v>
      </c>
      <c r="H224" s="46"/>
      <c r="I224" s="47">
        <f>HKBN!$D$41</f>
        <v>0.80283372740083081</v>
      </c>
      <c r="J224" s="47">
        <f>HKBN!$E$41</f>
        <v>0.75872838319062441</v>
      </c>
      <c r="K224" s="47">
        <f>HKBN!$F$41</f>
        <v>0.69897333991115518</v>
      </c>
      <c r="L224" s="47">
        <f>HKBN!$G$41</f>
        <v>0.61580984863318888</v>
      </c>
      <c r="M224" s="45">
        <f>HKBN!$H$41</f>
        <v>-0.10410992137637043</v>
      </c>
      <c r="N224" s="46"/>
      <c r="O224" s="47">
        <f>HKBN!$D$37</f>
        <v>0.99354402312265422</v>
      </c>
      <c r="P224" s="47">
        <f>HKBN!$E$37</f>
        <v>0.82385491975120251</v>
      </c>
      <c r="Q224" s="47">
        <f>HKBN!$F$37</f>
        <v>0.65958807782290252</v>
      </c>
      <c r="R224" s="47">
        <f>HKBN!$G$37</f>
        <v>0.49667480152412402</v>
      </c>
      <c r="S224" s="45">
        <f>HKBN!$H$37</f>
        <v>3.3316577648039525E-2</v>
      </c>
      <c r="T224" s="46"/>
      <c r="U224" s="48" t="str">
        <f t="shared" ref="U224:U229" si="40">U164</f>
        <v>HKD 3</v>
      </c>
      <c r="V224" s="69" t="str">
        <f>C224</f>
        <v>HKBN</v>
      </c>
      <c r="BU224" s="39"/>
      <c r="BV224" s="39"/>
      <c r="BW224" s="39"/>
      <c r="BX224" s="39"/>
      <c r="BY224" s="39"/>
      <c r="BZ224" s="39"/>
      <c r="CA224" s="39"/>
      <c r="CB224" s="39"/>
      <c r="CC224" s="39"/>
      <c r="CD224" s="39"/>
      <c r="CE224" s="39"/>
      <c r="CF224" s="39"/>
      <c r="CG224" s="39"/>
      <c r="CH224" s="39"/>
      <c r="CI224" s="39"/>
      <c r="CJ224" s="39"/>
      <c r="CK224" s="39"/>
      <c r="CL224" s="39"/>
      <c r="CM224" s="39"/>
      <c r="CN224" s="39"/>
      <c r="CO224" s="39"/>
      <c r="CP224" s="39"/>
      <c r="CQ224" s="39"/>
      <c r="CR224" s="39"/>
      <c r="CS224" s="39"/>
      <c r="CT224" s="39"/>
      <c r="CU224" s="39"/>
      <c r="CV224" s="39"/>
      <c r="CW224" s="39"/>
      <c r="CX224" s="39"/>
      <c r="CY224" s="39"/>
      <c r="CZ224" s="39"/>
      <c r="DA224" s="39"/>
      <c r="DB224" s="39"/>
      <c r="DC224" s="39"/>
      <c r="DD224" s="39"/>
      <c r="DE224" s="39"/>
      <c r="DF224" s="39"/>
      <c r="DG224" s="39"/>
      <c r="DH224" s="39"/>
      <c r="DI224" s="39"/>
    </row>
    <row r="225" spans="1:113">
      <c r="C225" s="48" t="str">
        <f t="shared" si="39"/>
        <v>KDDI</v>
      </c>
      <c r="D225" s="44" t="str">
        <f t="shared" si="39"/>
        <v>JPY 4,302</v>
      </c>
      <c r="E225" s="44" t="str">
        <f t="shared" si="39"/>
        <v>JPY 6,600</v>
      </c>
      <c r="F225" s="45">
        <f t="shared" si="39"/>
        <v>0.53417015341701535</v>
      </c>
      <c r="G225" s="44" t="str">
        <f t="shared" si="39"/>
        <v>Buy</v>
      </c>
      <c r="H225" s="46"/>
      <c r="I225" s="47">
        <f>KDDI!$D$41</f>
        <v>1.3792726449672794</v>
      </c>
      <c r="J225" s="47">
        <f>KDDI!$E$41</f>
        <v>1.2496040492728433</v>
      </c>
      <c r="K225" s="47">
        <f>KDDI!$F$41</f>
        <v>1.1133143650230504</v>
      </c>
      <c r="L225" s="47">
        <f>KDDI!$G$41</f>
        <v>0.98070463355810877</v>
      </c>
      <c r="M225" s="45">
        <f>KDDI!$H$41</f>
        <v>3.55089061818048E-2</v>
      </c>
      <c r="N225" s="46"/>
      <c r="O225" s="47">
        <f>KDDI!$D$37</f>
        <v>1.8244890822500017</v>
      </c>
      <c r="P225" s="47">
        <f>KDDI!$E$37</f>
        <v>1.6458199830927507</v>
      </c>
      <c r="Q225" s="47">
        <f>KDDI!$F$37</f>
        <v>1.4707020689643764</v>
      </c>
      <c r="R225" s="47">
        <f>KDDI!$G$37</f>
        <v>1.3037807088066495</v>
      </c>
      <c r="S225" s="45">
        <f>KDDI!$H$37</f>
        <v>3.3781555483664238E-2</v>
      </c>
      <c r="T225" s="46"/>
      <c r="U225" s="48" t="str">
        <f t="shared" si="40"/>
        <v>JPY 4,302</v>
      </c>
      <c r="V225" s="44" t="str">
        <f t="shared" ref="V225:V230" si="41">V165</f>
        <v>KDDI</v>
      </c>
      <c r="BU225" s="39"/>
      <c r="BV225" s="39"/>
      <c r="BW225" s="39"/>
      <c r="BX225" s="39"/>
      <c r="BY225" s="39"/>
      <c r="BZ225" s="39"/>
      <c r="CA225" s="39"/>
      <c r="CB225" s="39"/>
      <c r="CC225" s="39"/>
      <c r="CD225" s="39"/>
      <c r="CE225" s="39"/>
      <c r="CF225" s="39"/>
      <c r="CG225" s="39"/>
      <c r="CH225" s="39"/>
      <c r="CI225" s="39"/>
      <c r="CJ225" s="39"/>
      <c r="CK225" s="39"/>
      <c r="CL225" s="39"/>
      <c r="CM225" s="39"/>
      <c r="CN225" s="39"/>
      <c r="CO225" s="39"/>
      <c r="CP225" s="39"/>
      <c r="CQ225" s="39"/>
      <c r="CR225" s="39"/>
      <c r="CS225" s="39"/>
      <c r="CT225" s="39"/>
      <c r="CU225" s="39"/>
      <c r="CV225" s="39"/>
      <c r="CW225" s="39"/>
      <c r="CX225" s="39"/>
      <c r="CY225" s="39"/>
      <c r="CZ225" s="39"/>
      <c r="DA225" s="39"/>
      <c r="DB225" s="39"/>
      <c r="DC225" s="39"/>
      <c r="DD225" s="39"/>
      <c r="DE225" s="39"/>
      <c r="DF225" s="39"/>
      <c r="DG225" s="39"/>
      <c r="DH225" s="39"/>
      <c r="DI225" s="39"/>
    </row>
    <row r="226" spans="1:113">
      <c r="A226" s="41"/>
      <c r="C226" s="48" t="str">
        <f t="shared" si="39"/>
        <v>Macquarie Telecom</v>
      </c>
      <c r="D226" s="44" t="str">
        <f t="shared" si="39"/>
        <v>AUD 85.20</v>
      </c>
      <c r="E226" s="44" t="str">
        <f t="shared" si="39"/>
        <v>AUD 28.00</v>
      </c>
      <c r="F226" s="45">
        <f t="shared" si="39"/>
        <v>-0.67136150234741787</v>
      </c>
      <c r="G226" s="44" t="str">
        <f t="shared" si="39"/>
        <v>Neutral</v>
      </c>
      <c r="H226" s="46"/>
      <c r="I226" s="47">
        <f>MAQ!$D$41</f>
        <v>16.804136696208872</v>
      </c>
      <c r="J226" s="47">
        <f>MAQ!$E$41</f>
        <v>15.805500583361564</v>
      </c>
      <c r="K226" s="47">
        <f>MAQ!$F$41</f>
        <v>15.33493957277515</v>
      </c>
      <c r="L226" s="47">
        <f>MAQ!$G$41</f>
        <v>15.727108783385827</v>
      </c>
      <c r="M226" s="45">
        <f>MAQ!$H$41</f>
        <v>2.1388616458056786E-2</v>
      </c>
      <c r="N226" s="46"/>
      <c r="O226" s="47">
        <f>MAQ!$D$37</f>
        <v>6.8250515081242016</v>
      </c>
      <c r="P226" s="47">
        <f>MAQ!$E$37</f>
        <v>6.4209576200087763</v>
      </c>
      <c r="Q226" s="47">
        <f>MAQ!$F$37</f>
        <v>6.1741607495142246</v>
      </c>
      <c r="R226" s="47">
        <f>MAQ!$G$37</f>
        <v>5.9968021452629401</v>
      </c>
      <c r="S226" s="45">
        <f>MAQ!$H$37</f>
        <v>4.311129002235381E-2</v>
      </c>
      <c r="T226" s="46"/>
      <c r="U226" s="48" t="str">
        <f t="shared" si="40"/>
        <v>AUD 85.20</v>
      </c>
      <c r="V226" s="69" t="str">
        <f t="shared" si="41"/>
        <v>Macquarie Telecom</v>
      </c>
    </row>
    <row r="227" spans="1:113">
      <c r="C227" s="48" t="str">
        <f t="shared" si="39"/>
        <v>Rakuten</v>
      </c>
      <c r="D227" s="44" t="str">
        <f t="shared" si="39"/>
        <v>JPY 776</v>
      </c>
      <c r="E227" s="44" t="str">
        <f t="shared" si="39"/>
        <v>JPY 400</v>
      </c>
      <c r="F227" s="45">
        <f t="shared" si="39"/>
        <v>-0.48446964815053484</v>
      </c>
      <c r="G227" s="44" t="str">
        <f t="shared" si="39"/>
        <v>Reduce</v>
      </c>
      <c r="H227" s="46"/>
      <c r="I227" s="47">
        <f>RAK!$D$41</f>
        <v>1.2496323715595978</v>
      </c>
      <c r="J227" s="47">
        <f>RAK!$E$41</f>
        <v>1.2215538105377159</v>
      </c>
      <c r="K227" s="47">
        <f>RAK!$F$41</f>
        <v>1.2091747993051642</v>
      </c>
      <c r="L227" s="47">
        <f>RAK!$G$41</f>
        <v>1.142125790097835</v>
      </c>
      <c r="M227" s="45">
        <f>RAK!$H$41</f>
        <v>2.8090180587504232E-2</v>
      </c>
      <c r="N227" s="46"/>
      <c r="O227" s="47">
        <f>RAK!$D$37</f>
        <v>0.95096618357131457</v>
      </c>
      <c r="P227" s="47">
        <f>RAK!$E$37</f>
        <v>0.86228331834309557</v>
      </c>
      <c r="Q227" s="47">
        <f>RAK!$F$37</f>
        <v>0.78712327699294704</v>
      </c>
      <c r="R227" s="47">
        <f>RAK!$G$37</f>
        <v>0.72380568431088788</v>
      </c>
      <c r="S227" s="45">
        <f>RAK!$H$37</f>
        <v>9.2754984983704158E-2</v>
      </c>
      <c r="T227" s="46"/>
      <c r="U227" s="48" t="str">
        <f t="shared" si="40"/>
        <v>JPY 776</v>
      </c>
      <c r="V227" s="44" t="str">
        <f t="shared" si="41"/>
        <v>Rakuten</v>
      </c>
      <c r="BU227" s="39"/>
      <c r="BV227" s="39"/>
      <c r="BW227" s="39"/>
      <c r="BX227" s="39"/>
      <c r="BY227" s="39"/>
      <c r="BZ227" s="39"/>
      <c r="CA227" s="39"/>
      <c r="CB227" s="39"/>
      <c r="CC227" s="39"/>
      <c r="CD227" s="39"/>
      <c r="CE227" s="39"/>
      <c r="CF227" s="39"/>
      <c r="CG227" s="39"/>
      <c r="CH227" s="39"/>
      <c r="CI227" s="39"/>
      <c r="CJ227" s="39"/>
      <c r="CK227" s="39"/>
      <c r="CL227" s="39"/>
      <c r="CM227" s="39"/>
      <c r="CN227" s="39"/>
      <c r="CO227" s="39"/>
      <c r="CP227" s="39"/>
      <c r="CQ227" s="39"/>
      <c r="CR227" s="39"/>
      <c r="CS227" s="39"/>
      <c r="CT227" s="39"/>
      <c r="CU227" s="39"/>
      <c r="CV227" s="39"/>
      <c r="CW227" s="39"/>
      <c r="CX227" s="39"/>
      <c r="CY227" s="39"/>
      <c r="CZ227" s="39"/>
      <c r="DA227" s="39"/>
      <c r="DB227" s="39"/>
      <c r="DC227" s="39"/>
      <c r="DD227" s="39"/>
      <c r="DE227" s="39"/>
      <c r="DF227" s="39"/>
      <c r="DG227" s="39"/>
      <c r="DH227" s="39"/>
      <c r="DI227" s="39"/>
    </row>
    <row r="228" spans="1:113">
      <c r="C228" s="48" t="str">
        <f t="shared" si="39"/>
        <v>SoftBank KK (Corp)</v>
      </c>
      <c r="D228" s="44" t="str">
        <f t="shared" si="39"/>
        <v>JPY 1,898</v>
      </c>
      <c r="E228" s="44" t="str">
        <f t="shared" si="39"/>
        <v>JPY 2,500</v>
      </c>
      <c r="F228" s="45">
        <f t="shared" si="39"/>
        <v>0.31752305665349145</v>
      </c>
      <c r="G228" s="44" t="str">
        <f t="shared" si="39"/>
        <v>Buy</v>
      </c>
      <c r="H228" s="46"/>
      <c r="I228" s="47">
        <f>SBKK!$D$41</f>
        <v>2.9485107708752833</v>
      </c>
      <c r="J228" s="47">
        <f>SBKK!$E$41</f>
        <v>3.0257060100816657</v>
      </c>
      <c r="K228" s="47">
        <f>SBKK!$F$41</f>
        <v>3.125541667803819</v>
      </c>
      <c r="L228" s="47">
        <f>SBKK!$G$41</f>
        <v>3.2596224445997448</v>
      </c>
      <c r="M228" s="45">
        <f>SBKK!$H$41</f>
        <v>-9.5816002813980838E-2</v>
      </c>
      <c r="N228" s="46"/>
      <c r="O228" s="47">
        <f>SBKK!$D$37</f>
        <v>2.2315497687187724</v>
      </c>
      <c r="P228" s="47">
        <f>SBKK!$E$37</f>
        <v>1.9727214853608248</v>
      </c>
      <c r="Q228" s="47">
        <f>SBKK!$F$37</f>
        <v>1.7472920365492159</v>
      </c>
      <c r="R228" s="47">
        <f>SBKK!$G$37</f>
        <v>1.5274457783210773</v>
      </c>
      <c r="S228" s="45">
        <f>SBKK!$H$37</f>
        <v>6.0861287290907562E-2</v>
      </c>
      <c r="T228" s="46"/>
      <c r="U228" s="48" t="str">
        <f t="shared" si="40"/>
        <v>JPY 1,898</v>
      </c>
      <c r="V228" s="44" t="str">
        <f t="shared" si="41"/>
        <v>SoftBank KK (Corp)</v>
      </c>
      <c r="BU228" s="39"/>
      <c r="BV228" s="39"/>
      <c r="BW228" s="39"/>
      <c r="BX228" s="39"/>
      <c r="BY228" s="39"/>
      <c r="BZ228" s="39"/>
      <c r="CA228" s="39"/>
      <c r="CB228" s="39"/>
      <c r="CC228" s="39"/>
      <c r="CD228" s="39"/>
      <c r="CE228" s="39"/>
      <c r="CF228" s="39"/>
      <c r="CG228" s="39"/>
      <c r="CH228" s="39"/>
      <c r="CI228" s="39"/>
      <c r="CJ228" s="39"/>
      <c r="CK228" s="39"/>
      <c r="CL228" s="39"/>
      <c r="CM228" s="39"/>
      <c r="CN228" s="39"/>
      <c r="CO228" s="39"/>
      <c r="CP228" s="39"/>
      <c r="CQ228" s="39"/>
      <c r="CR228" s="39"/>
      <c r="CS228" s="39"/>
      <c r="CT228" s="39"/>
      <c r="CU228" s="39"/>
      <c r="CV228" s="39"/>
      <c r="CW228" s="39"/>
      <c r="CX228" s="39"/>
      <c r="CY228" s="39"/>
      <c r="CZ228" s="39"/>
      <c r="DA228" s="39"/>
      <c r="DB228" s="39"/>
      <c r="DC228" s="39"/>
      <c r="DD228" s="39"/>
      <c r="DE228" s="39"/>
      <c r="DF228" s="39"/>
      <c r="DG228" s="39"/>
      <c r="DH228" s="39"/>
      <c r="DI228" s="39"/>
    </row>
    <row r="229" spans="1:113">
      <c r="A229" s="41"/>
      <c r="C229" s="48" t="str">
        <f t="shared" si="39"/>
        <v>TPG</v>
      </c>
      <c r="D229" s="44" t="str">
        <f t="shared" si="39"/>
        <v>AUD 4.60</v>
      </c>
      <c r="E229" s="44" t="str">
        <f t="shared" si="39"/>
        <v>AUD 7.50</v>
      </c>
      <c r="F229" s="45">
        <f t="shared" si="39"/>
        <v>0.63043478260869579</v>
      </c>
      <c r="G229" s="44" t="str">
        <f t="shared" si="39"/>
        <v>Neutral</v>
      </c>
      <c r="H229" s="46"/>
      <c r="I229" s="47">
        <f>TPG!$D$41</f>
        <v>1.2244571729979046</v>
      </c>
      <c r="J229" s="47">
        <f>TPG!$E$41</f>
        <v>1.1959022225834028</v>
      </c>
      <c r="K229" s="47">
        <f>TPG!$F$41</f>
        <v>1.1646315657833017</v>
      </c>
      <c r="L229" s="47">
        <f>TPG!$G$41</f>
        <v>1.1331190482897473</v>
      </c>
      <c r="M229" s="45">
        <f>TPG!$H$41</f>
        <v>1.0503331129055438E-2</v>
      </c>
      <c r="N229" s="46"/>
      <c r="O229" s="47">
        <f>TPG!$D$37</f>
        <v>2.0830459737660538</v>
      </c>
      <c r="P229" s="47">
        <f>TPG!$E$37</f>
        <v>1.9619338183879933</v>
      </c>
      <c r="Q229" s="47">
        <f>TPG!$F$37</f>
        <v>1.8786925149148697</v>
      </c>
      <c r="R229" s="47">
        <f>TPG!$G$37</f>
        <v>1.8068848032923615</v>
      </c>
      <c r="S229" s="45">
        <f>TPG!$H$37</f>
        <v>3.2534392300954673E-2</v>
      </c>
      <c r="T229" s="46"/>
      <c r="U229" s="48" t="str">
        <f t="shared" si="40"/>
        <v>AUD 4.60</v>
      </c>
      <c r="V229" s="44" t="str">
        <f t="shared" si="41"/>
        <v>TPG</v>
      </c>
    </row>
    <row r="230" spans="1:113">
      <c r="C230" s="51" t="str">
        <f>C170</f>
        <v>Agg. Developed Asia Other</v>
      </c>
      <c r="D230" s="52"/>
      <c r="E230" s="52"/>
      <c r="F230" s="53"/>
      <c r="G230" s="52"/>
      <c r="H230" s="46"/>
      <c r="I230" s="54">
        <f>'DM ASIA OTHER'!$D$41</f>
        <v>1.7916462792273016</v>
      </c>
      <c r="J230" s="54">
        <f>'DM ASIA OTHER'!$E$41</f>
        <v>1.7058565442492049</v>
      </c>
      <c r="K230" s="54">
        <f>'DM ASIA OTHER'!$F$41</f>
        <v>1.6096907463854528</v>
      </c>
      <c r="L230" s="54">
        <f>'DM ASIA OTHER'!$G$41</f>
        <v>1.4987153103503199</v>
      </c>
      <c r="M230" s="55">
        <f>'DM ASIA OTHER'!$H$41</f>
        <v>-5.9845449451896293E-3</v>
      </c>
      <c r="N230" s="56"/>
      <c r="O230" s="54">
        <f>'DM ASIA OTHER'!$D$37</f>
        <v>1.8367575076363669</v>
      </c>
      <c r="P230" s="54">
        <f>'DM ASIA OTHER'!$E$37</f>
        <v>1.639300994694695</v>
      </c>
      <c r="Q230" s="54">
        <f>'DM ASIA OTHER'!$F$37</f>
        <v>1.4602856449172372</v>
      </c>
      <c r="R230" s="54">
        <f>'DM ASIA OTHER'!$G$37</f>
        <v>1.2903900123930629</v>
      </c>
      <c r="S230" s="55">
        <f>'DM ASIA OTHER'!$H$37</f>
        <v>5.3559427902102774E-2</v>
      </c>
      <c r="T230" s="46"/>
      <c r="U230" s="57"/>
      <c r="V230" s="58" t="str">
        <f t="shared" si="41"/>
        <v>Agg. Developed Asia Cellular</v>
      </c>
      <c r="BU230" s="39"/>
      <c r="BV230" s="39"/>
      <c r="BW230" s="39"/>
      <c r="BX230" s="39"/>
      <c r="BY230" s="39"/>
      <c r="BZ230" s="39"/>
      <c r="CA230" s="39"/>
      <c r="CB230" s="39"/>
      <c r="CC230" s="39"/>
      <c r="CD230" s="39"/>
      <c r="CE230" s="39"/>
      <c r="CF230" s="39"/>
      <c r="CG230" s="39"/>
      <c r="CH230" s="39"/>
      <c r="CI230" s="39"/>
      <c r="CJ230" s="39"/>
      <c r="CK230" s="39"/>
      <c r="CL230" s="39"/>
      <c r="CM230" s="39"/>
      <c r="CN230" s="39"/>
      <c r="CO230" s="39"/>
      <c r="CP230" s="39"/>
      <c r="CQ230" s="39"/>
      <c r="CR230" s="39"/>
      <c r="CS230" s="39"/>
      <c r="CT230" s="39"/>
      <c r="CU230" s="39"/>
      <c r="CV230" s="39"/>
      <c r="CW230" s="39"/>
      <c r="CX230" s="39"/>
      <c r="CY230" s="39"/>
      <c r="CZ230" s="39"/>
      <c r="DA230" s="39"/>
      <c r="DB230" s="39"/>
      <c r="DC230" s="39"/>
      <c r="DD230" s="39"/>
      <c r="DE230" s="39"/>
      <c r="DF230" s="39"/>
      <c r="DG230" s="39"/>
      <c r="DH230" s="39"/>
      <c r="DI230" s="39"/>
    </row>
    <row r="231" spans="1:113">
      <c r="A231" s="41"/>
      <c r="C231" s="48"/>
      <c r="D231" s="44"/>
      <c r="E231" s="44"/>
      <c r="F231" s="45"/>
      <c r="G231" s="44"/>
      <c r="H231" s="46"/>
      <c r="I231" s="47"/>
      <c r="J231" s="47"/>
      <c r="K231" s="47"/>
      <c r="L231" s="47"/>
      <c r="M231" s="45"/>
      <c r="N231" s="46"/>
      <c r="O231" s="47"/>
      <c r="P231" s="47"/>
      <c r="Q231" s="47"/>
      <c r="R231" s="47"/>
      <c r="S231" s="45"/>
      <c r="T231" s="46"/>
      <c r="U231" s="48"/>
      <c r="V231" s="44"/>
    </row>
    <row r="232" spans="1:113" s="5" customFormat="1">
      <c r="A232" s="41"/>
      <c r="B232" s="42" t="s">
        <v>519</v>
      </c>
      <c r="C232" s="48" t="str">
        <f>C172</f>
        <v>Altice US</v>
      </c>
      <c r="D232" s="44" t="str">
        <f>D172</f>
        <v>US$2.3</v>
      </c>
      <c r="E232" s="44" t="str">
        <f>E172</f>
        <v>US$4.0</v>
      </c>
      <c r="F232" s="45">
        <f>F172</f>
        <v>0.71673819742489275</v>
      </c>
      <c r="G232" s="44" t="str">
        <f>G172</f>
        <v>Neutral</v>
      </c>
      <c r="H232" s="46"/>
      <c r="I232" s="47">
        <f>ATCUS!D$41</f>
        <v>1.0619220628313937</v>
      </c>
      <c r="J232" s="47">
        <f>ATCUS!E$41</f>
        <v>1.0670741512759816</v>
      </c>
      <c r="K232" s="47">
        <f>ATCUS!F$41</f>
        <v>1.0748692658803081</v>
      </c>
      <c r="L232" s="47">
        <f>ATCUS!G$41</f>
        <v>1.082353989030765</v>
      </c>
      <c r="M232" s="45">
        <f>ATCUS!H$41</f>
        <v>-8.15253841910768E-3</v>
      </c>
      <c r="N232" s="46"/>
      <c r="O232" s="47">
        <f>ATCUS!D$37</f>
        <v>2.7586940284813442</v>
      </c>
      <c r="P232" s="47">
        <f>ATCUS!E$37</f>
        <v>2.8112688714913721</v>
      </c>
      <c r="Q232" s="47">
        <f>ATCUS!F$37</f>
        <v>2.8507546427587545</v>
      </c>
      <c r="R232" s="47">
        <f>ATCUS!G$37</f>
        <v>2.8466434414596007</v>
      </c>
      <c r="S232" s="45">
        <f>ATCUS!H$37</f>
        <v>-1.2219156094296912E-2</v>
      </c>
      <c r="T232" s="46"/>
      <c r="U232" s="48" t="str">
        <f t="shared" ref="U232:V234" si="42">U172</f>
        <v>USD 2.3</v>
      </c>
      <c r="V232" s="44" t="str">
        <f t="shared" si="42"/>
        <v>Altice US</v>
      </c>
      <c r="Z232" s="49"/>
      <c r="AB232" s="63"/>
    </row>
    <row r="233" spans="1:113" s="5" customFormat="1">
      <c r="A233" s="41"/>
      <c r="B233" s="42" t="s">
        <v>519</v>
      </c>
      <c r="C233" s="48" t="s">
        <v>311</v>
      </c>
      <c r="D233" s="44" t="str">
        <f>B233&amp;TEXT(Prices!$C$45,"0.0")</f>
        <v>US$271.5</v>
      </c>
      <c r="E233" s="44" t="str">
        <f>B233&amp;TEXT(Prices!$E$45,"0.0")</f>
        <v>US$581.0</v>
      </c>
      <c r="F233" s="45">
        <f>Prices!$F$45</f>
        <v>1.1402784940691078</v>
      </c>
      <c r="G233" s="44" t="str">
        <f>Prices!$D$45</f>
        <v>Buy</v>
      </c>
      <c r="H233" s="46"/>
      <c r="I233" s="47">
        <f>CHTR!D$41</f>
        <v>1.2976239250913761</v>
      </c>
      <c r="J233" s="47">
        <f>CHTR!E$41</f>
        <v>1.3003232290510929</v>
      </c>
      <c r="K233" s="47">
        <f>CHTR!F$41</f>
        <v>1.3057744750646025</v>
      </c>
      <c r="L233" s="47">
        <f>CHTR!G$41</f>
        <v>1.3348360388420777</v>
      </c>
      <c r="M233" s="45">
        <f>CHTR!H$41</f>
        <v>-1.36471756094243E-2</v>
      </c>
      <c r="N233" s="46"/>
      <c r="O233" s="47">
        <f>CHTR!D$37</f>
        <v>2.6008522829428462</v>
      </c>
      <c r="P233" s="47">
        <f>CHTR!E$37</f>
        <v>2.5535373204700957</v>
      </c>
      <c r="Q233" s="47">
        <f>CHTR!F$37</f>
        <v>2.5243562280556291</v>
      </c>
      <c r="R233" s="47">
        <f>CHTR!G$37</f>
        <v>2.4631688658153519</v>
      </c>
      <c r="S233" s="45">
        <f>CHTR!H$37</f>
        <v>1.3909406851535078E-2</v>
      </c>
      <c r="T233" s="46"/>
      <c r="U233" s="48" t="str">
        <f t="shared" si="42"/>
        <v>USD 271.5</v>
      </c>
      <c r="V233" s="44" t="str">
        <f t="shared" si="42"/>
        <v>Charter</v>
      </c>
      <c r="AB233" s="63"/>
    </row>
    <row r="234" spans="1:113" s="5" customFormat="1">
      <c r="A234" s="41"/>
      <c r="B234" s="42" t="s">
        <v>519</v>
      </c>
      <c r="C234" s="48" t="s">
        <v>309</v>
      </c>
      <c r="D234" s="44" t="str">
        <f>B234&amp;TEXT(Prices!$C$46,"0.0")</f>
        <v>US$38.5</v>
      </c>
      <c r="E234" s="44" t="str">
        <f>B234&amp;TEXT(Prices!$E$46,"0.0")</f>
        <v>US$50.0</v>
      </c>
      <c r="F234" s="45">
        <f>Prices!$F$46</f>
        <v>0.29735339906590563</v>
      </c>
      <c r="G234" s="44" t="str">
        <f>Prices!$D$46</f>
        <v>Buy</v>
      </c>
      <c r="H234" s="46"/>
      <c r="I234" s="47">
        <f>CMCSA!D$41</f>
        <v>1.1679862488650468</v>
      </c>
      <c r="J234" s="47">
        <f>CMCSA!E$41</f>
        <v>1.092748786778251</v>
      </c>
      <c r="K234" s="47">
        <f>CMCSA!F$41</f>
        <v>1.0286811349922134</v>
      </c>
      <c r="L234" s="47">
        <f>CMCSA!G$41</f>
        <v>0.98046685794543464</v>
      </c>
      <c r="M234" s="45">
        <f>CMCSA!H$41</f>
        <v>7.0710207377844281E-3</v>
      </c>
      <c r="N234" s="46"/>
      <c r="O234" s="47">
        <f>CMCSA!D$37</f>
        <v>1.649808646372102</v>
      </c>
      <c r="P234" s="47">
        <f>CMCSA!E$37</f>
        <v>1.5392599218624783</v>
      </c>
      <c r="Q234" s="47">
        <f>CMCSA!F$37</f>
        <v>1.452454581683374</v>
      </c>
      <c r="R234" s="47">
        <f>CMCSA!G$37</f>
        <v>1.3506496829942882</v>
      </c>
      <c r="S234" s="45">
        <f>CMCSA!H$37</f>
        <v>1.5520698985130199E-2</v>
      </c>
      <c r="T234" s="46"/>
      <c r="U234" s="48" t="str">
        <f t="shared" si="42"/>
        <v>USD 38.5</v>
      </c>
      <c r="V234" s="44" t="str">
        <f t="shared" si="42"/>
        <v>Comcast</v>
      </c>
      <c r="Z234" s="49"/>
      <c r="AB234" s="63"/>
    </row>
    <row r="235" spans="1:113" s="5" customFormat="1">
      <c r="A235" s="41"/>
      <c r="B235" s="42" t="s">
        <v>527</v>
      </c>
      <c r="C235" s="48" t="s">
        <v>1615</v>
      </c>
      <c r="D235" s="44" t="str">
        <f>B235&amp;TEXT(Prices!C$47,"0.00")</f>
        <v>US$ 25.58</v>
      </c>
      <c r="E235" s="44" t="str">
        <f>B235&amp;TEXT(Prices!E$47,"0.00")</f>
        <v>US$ 54.00</v>
      </c>
      <c r="F235" s="45">
        <f>Prices!F$47</f>
        <v>1.111024237685692</v>
      </c>
      <c r="G235" s="44" t="str">
        <f>Prices!D$47</f>
        <v>Buy</v>
      </c>
      <c r="H235" s="46"/>
      <c r="I235" s="47">
        <f>FYBR!D$41</f>
        <v>1.2004071603137147</v>
      </c>
      <c r="J235" s="47">
        <f>FYBR!E$41</f>
        <v>1.1133377938696558</v>
      </c>
      <c r="K235" s="47">
        <f>FYBR!F$41</f>
        <v>1.1272707428481055</v>
      </c>
      <c r="L235" s="47">
        <f>FYBR!G$41</f>
        <v>1.0994720989020901</v>
      </c>
      <c r="M235" s="45">
        <f>FYBR!H$41</f>
        <v>3.090268112846406E-2</v>
      </c>
      <c r="N235" s="46"/>
      <c r="O235" s="47">
        <f>FYBR!D$37</f>
        <v>2.9931905197180781</v>
      </c>
      <c r="P235" s="47">
        <f>FYBR!E$37</f>
        <v>11.616318348428063</v>
      </c>
      <c r="Q235" s="47">
        <f>FYBR!F$37</f>
        <v>12.13382541004813</v>
      </c>
      <c r="R235" s="47">
        <f>FYBR!G$37</f>
        <v>12.07521441305523</v>
      </c>
      <c r="S235" s="45">
        <f>FYBR!$H$37</f>
        <v>-0.37109837392480916</v>
      </c>
      <c r="T235" s="46"/>
      <c r="U235" s="48" t="str">
        <f>D235</f>
        <v>US$ 25.58</v>
      </c>
      <c r="V235" s="44" t="str">
        <f>C235</f>
        <v>Frontier</v>
      </c>
      <c r="Z235" s="49"/>
      <c r="AE235" s="41"/>
      <c r="AF235" s="31"/>
      <c r="AG235" s="31"/>
      <c r="AI235" s="41"/>
      <c r="AJ235" s="64"/>
      <c r="AK235" s="64"/>
      <c r="AM235" s="41"/>
      <c r="AN235" s="64"/>
      <c r="AO235" s="64"/>
      <c r="AQ235" s="41"/>
      <c r="AR235" s="64"/>
      <c r="AS235" s="64"/>
    </row>
    <row r="236" spans="1:113" s="5" customFormat="1">
      <c r="A236" s="41"/>
      <c r="B236" s="42" t="s">
        <v>527</v>
      </c>
      <c r="C236" s="48" t="s">
        <v>1616</v>
      </c>
      <c r="D236" s="44" t="str">
        <f>B236&amp;TEXT(Prices!C$48,"0.00")</f>
        <v>US$ 18.49</v>
      </c>
      <c r="E236" s="44" t="str">
        <f>B236&amp;TEXT(Prices!E$48,"0.00")</f>
        <v>US$ 100.00</v>
      </c>
      <c r="F236" s="45">
        <f>Prices!F$48</f>
        <v>4.408328826392645</v>
      </c>
      <c r="G236" s="44" t="str">
        <f>Prices!D$48</f>
        <v>Buy</v>
      </c>
      <c r="H236" s="46"/>
      <c r="I236" s="47">
        <f>SATS!D$41</f>
        <v>0.69108155931504245</v>
      </c>
      <c r="J236" s="47">
        <f>SATS!E$41</f>
        <v>0.675965928073469</v>
      </c>
      <c r="K236" s="47">
        <f>SATS!F$41</f>
        <v>0.65473546853652198</v>
      </c>
      <c r="L236" s="47">
        <f>SATS!G$41</f>
        <v>0.54795760854745046</v>
      </c>
      <c r="M236" s="45">
        <f>SATS!H$41</f>
        <v>-5.9948561048273064E-3</v>
      </c>
      <c r="N236" s="46"/>
      <c r="O236" s="47">
        <f>SATS!D$37</f>
        <v>1.5050475876228002</v>
      </c>
      <c r="P236" s="47">
        <f>SATS!E$37</f>
        <v>1.4983834644662015</v>
      </c>
      <c r="Q236" s="47">
        <f>SATS!F$37</f>
        <v>1.3948202190768331</v>
      </c>
      <c r="R236" s="47">
        <f>SATS!G$37</f>
        <v>1.1139998537069569</v>
      </c>
      <c r="S236" s="45">
        <f>SATS!$H$37</f>
        <v>1.7066969438098267E-2</v>
      </c>
      <c r="T236" s="46"/>
      <c r="U236" s="48" t="str">
        <f>D236</f>
        <v>US$ 18.49</v>
      </c>
      <c r="V236" s="44" t="str">
        <f>C236</f>
        <v>EchoStar</v>
      </c>
      <c r="Z236" s="49"/>
      <c r="AE236" s="41"/>
      <c r="AF236" s="31"/>
      <c r="AG236" s="31"/>
      <c r="AI236" s="41"/>
      <c r="AJ236" s="64"/>
      <c r="AK236" s="64"/>
      <c r="AM236" s="41"/>
      <c r="AN236" s="64"/>
      <c r="AO236" s="64"/>
      <c r="AQ236" s="41"/>
      <c r="AR236" s="64"/>
      <c r="AS236" s="64"/>
    </row>
    <row r="237" spans="1:113" s="5" customFormat="1">
      <c r="A237" s="41"/>
      <c r="B237" s="42"/>
      <c r="C237" s="51" t="str">
        <f>C177</f>
        <v>Agg. US Other</v>
      </c>
      <c r="D237" s="58"/>
      <c r="E237" s="58"/>
      <c r="F237" s="55"/>
      <c r="G237" s="58"/>
      <c r="H237" s="56"/>
      <c r="I237" s="54">
        <f>'US OTHER'!D$41</f>
        <v>1.1522825702126613</v>
      </c>
      <c r="J237" s="54">
        <f>'US OTHER'!E$41</f>
        <v>1.11146801504834</v>
      </c>
      <c r="K237" s="54">
        <f>'US OTHER'!F$41</f>
        <v>1.0801964530788128</v>
      </c>
      <c r="L237" s="54">
        <f>'US OTHER'!G$41</f>
        <v>1.0526573924692084</v>
      </c>
      <c r="M237" s="55">
        <f>'US OTHER'!H$41</f>
        <v>-5.8597350806643966E-4</v>
      </c>
      <c r="N237" s="56"/>
      <c r="O237" s="66">
        <f>'US OTHER'!D$37</f>
        <v>1.9736708012823159</v>
      </c>
      <c r="P237" s="66">
        <f>'US OTHER'!E$37</f>
        <v>1.9315843262416086</v>
      </c>
      <c r="Q237" s="66">
        <f>'US OTHER'!F$37</f>
        <v>1.8669914977413062</v>
      </c>
      <c r="R237" s="66">
        <f>'US OTHER'!G$37</f>
        <v>1.7635061842615585</v>
      </c>
      <c r="S237" s="55">
        <f>'US OTHER'!H$37</f>
        <v>6.8251004257615655E-3</v>
      </c>
      <c r="T237" s="56"/>
      <c r="U237" s="51"/>
      <c r="V237" s="58" t="str">
        <f>V177</f>
        <v>Agg. US CATV</v>
      </c>
      <c r="Z237" s="49"/>
    </row>
    <row r="238" spans="1:113" s="5" customFormat="1">
      <c r="A238" s="41"/>
      <c r="B238" s="42"/>
      <c r="C238" s="48"/>
      <c r="D238" s="44"/>
      <c r="E238" s="44"/>
      <c r="F238" s="45"/>
      <c r="G238" s="44"/>
      <c r="H238" s="46"/>
      <c r="I238" s="47"/>
      <c r="J238" s="47"/>
      <c r="K238" s="47"/>
      <c r="L238" s="47"/>
      <c r="M238" s="45"/>
      <c r="N238" s="46"/>
      <c r="O238" s="47"/>
      <c r="P238" s="47"/>
      <c r="Q238" s="47"/>
      <c r="R238" s="47"/>
      <c r="S238" s="45"/>
      <c r="T238" s="46"/>
      <c r="U238" s="48"/>
      <c r="V238" s="44"/>
      <c r="Z238" s="49"/>
    </row>
    <row r="239" spans="1:113" s="5" customFormat="1">
      <c r="A239" s="146"/>
      <c r="B239" s="42"/>
      <c r="C239" s="48"/>
      <c r="D239" s="44"/>
      <c r="E239" s="44"/>
      <c r="F239" s="45"/>
      <c r="G239" s="44"/>
      <c r="H239" s="46"/>
      <c r="I239" s="47"/>
      <c r="J239" s="47"/>
      <c r="K239" s="47"/>
      <c r="L239" s="47"/>
      <c r="M239" s="45"/>
      <c r="N239" s="46"/>
      <c r="O239" s="47"/>
      <c r="P239" s="47"/>
      <c r="Q239" s="47"/>
      <c r="R239" s="47"/>
      <c r="S239" s="45"/>
      <c r="T239" s="46"/>
      <c r="U239" s="48"/>
      <c r="V239" s="44"/>
      <c r="Z239" s="49"/>
      <c r="AE239" s="41"/>
      <c r="AF239" s="31"/>
      <c r="AG239" s="31"/>
      <c r="AI239" s="41"/>
      <c r="AJ239" s="64"/>
      <c r="AK239" s="64"/>
      <c r="AM239" s="41"/>
      <c r="AN239" s="64"/>
      <c r="AO239" s="64"/>
      <c r="AQ239" s="41"/>
      <c r="AR239" s="64"/>
      <c r="AS239" s="64"/>
    </row>
    <row r="240" spans="1:113" s="5" customFormat="1">
      <c r="A240" s="146"/>
      <c r="B240" s="42"/>
      <c r="C240" s="51" t="str">
        <f>C180</f>
        <v>Agg. W Europe</v>
      </c>
      <c r="D240" s="52"/>
      <c r="E240" s="52"/>
      <c r="F240" s="53"/>
      <c r="G240" s="52"/>
      <c r="H240" s="46"/>
      <c r="I240" s="54">
        <f>'W.EUR AGG'!$D$41</f>
        <v>1.2848695867596076</v>
      </c>
      <c r="J240" s="54">
        <f>'W.EUR AGG'!$E$41</f>
        <v>1.2254306499800507</v>
      </c>
      <c r="K240" s="54">
        <f>'W.EUR AGG'!$F$41</f>
        <v>1.167411008453934</v>
      </c>
      <c r="L240" s="54">
        <f>'W.EUR AGG'!$G$41</f>
        <v>1.1123555725219707</v>
      </c>
      <c r="M240" s="55">
        <f>'W.EUR AGG'!$H$41</f>
        <v>1.5571509283011764E-2</v>
      </c>
      <c r="N240" s="56"/>
      <c r="O240" s="54">
        <f>'W.EUR AGG'!$D$37</f>
        <v>2.2045449199494831</v>
      </c>
      <c r="P240" s="54">
        <f>'W.EUR AGG'!$E$37</f>
        <v>2.1112805500693272</v>
      </c>
      <c r="Q240" s="54">
        <f>'W.EUR AGG'!$F$37</f>
        <v>2.0163447013902993</v>
      </c>
      <c r="R240" s="54">
        <f>'W.EUR AGG'!$G$37</f>
        <v>1.9058049631893665</v>
      </c>
      <c r="S240" s="55">
        <f>'W.EUR AGG'!$H$37</f>
        <v>1.6058866854969933E-2</v>
      </c>
      <c r="T240" s="46"/>
      <c r="U240" s="57"/>
      <c r="V240" s="58" t="str">
        <f>V180</f>
        <v>Agg. W Europe</v>
      </c>
      <c r="Z240" s="49"/>
      <c r="AE240" s="41"/>
      <c r="AF240" s="31"/>
      <c r="AG240" s="31"/>
      <c r="AI240" s="41"/>
      <c r="AJ240" s="64"/>
      <c r="AK240" s="64"/>
      <c r="AM240" s="41"/>
      <c r="AN240" s="64"/>
      <c r="AO240" s="64"/>
      <c r="AQ240" s="41"/>
      <c r="AR240" s="64"/>
      <c r="AS240" s="64"/>
    </row>
    <row r="241" spans="1:69">
      <c r="C241" s="41" t="s">
        <v>1621</v>
      </c>
      <c r="D241" s="44"/>
      <c r="E241" s="44"/>
      <c r="F241" s="45"/>
      <c r="G241" s="44"/>
      <c r="H241" s="46"/>
      <c r="I241" s="60">
        <f>'US AGG'!D$41</f>
        <v>1.3451057894036149</v>
      </c>
      <c r="J241" s="60">
        <f>'US AGG'!E$41</f>
        <v>1.5196600480427436</v>
      </c>
      <c r="K241" s="60">
        <f>'US AGG'!F$41</f>
        <v>1.4731002808732576</v>
      </c>
      <c r="L241" s="60">
        <f>'US AGG'!G$41</f>
        <v>1.4300500487518772</v>
      </c>
      <c r="M241" s="59">
        <f>'US AGG'!H$41</f>
        <v>-6.8349592237772261E-2</v>
      </c>
      <c r="N241" s="56"/>
      <c r="O241" s="60">
        <f>'US AGG'!D$37</f>
        <v>2.5946944812899133</v>
      </c>
      <c r="P241" s="60">
        <f>'US AGG'!E$37</f>
        <v>2.4701127513331489</v>
      </c>
      <c r="Q241" s="60">
        <f>'US AGG'!F$37</f>
        <v>2.3076083540352044</v>
      </c>
      <c r="R241" s="60">
        <f>'US AGG'!G$37</f>
        <v>2.1359825907433412</v>
      </c>
      <c r="S241" s="59">
        <f>'US AGG'!H$37</f>
        <v>1.456704127626085E-2</v>
      </c>
      <c r="T241" s="46"/>
      <c r="U241" s="48"/>
      <c r="V241" s="50" t="str">
        <f>V181</f>
        <v>Agg. US</v>
      </c>
      <c r="Z241" s="49"/>
      <c r="AB241" s="5"/>
      <c r="AE241" s="41"/>
      <c r="AF241" s="31"/>
      <c r="AG241" s="31"/>
      <c r="AI241" s="41"/>
      <c r="AJ241" s="64"/>
      <c r="AK241" s="64"/>
      <c r="AM241" s="41"/>
      <c r="AN241" s="64"/>
      <c r="AO241" s="64"/>
      <c r="AQ241" s="41"/>
      <c r="AR241" s="64"/>
      <c r="AS241" s="64"/>
    </row>
    <row r="242" spans="1:69" s="5" customFormat="1">
      <c r="A242" s="146"/>
      <c r="B242" s="42"/>
      <c r="C242" s="67" t="str">
        <f>C182</f>
        <v xml:space="preserve">Agg. Developed Asia </v>
      </c>
      <c r="D242" s="52"/>
      <c r="E242" s="52"/>
      <c r="F242" s="53"/>
      <c r="G242" s="52"/>
      <c r="H242" s="46"/>
      <c r="I242" s="54">
        <f>'AGG DM ASIA'!$D$41</f>
        <v>1.548196696995612</v>
      </c>
      <c r="J242" s="54">
        <f>'AGG DM ASIA'!$E$41</f>
        <v>1.4263679082798271</v>
      </c>
      <c r="K242" s="54">
        <f>'AGG DM ASIA'!$F$41</f>
        <v>1.3032451145267485</v>
      </c>
      <c r="L242" s="54">
        <f>'AGG DM ASIA'!$G$41</f>
        <v>1.179167143227567</v>
      </c>
      <c r="M242" s="55">
        <f>'AGG DM ASIA'!$H$41</f>
        <v>3.4511302315921366E-2</v>
      </c>
      <c r="N242" s="56"/>
      <c r="O242" s="54">
        <f>'AGG DM ASIA'!$D$37</f>
        <v>1.8519342895112167</v>
      </c>
      <c r="P242" s="54">
        <f>'AGG DM ASIA'!$E$37</f>
        <v>1.6981296516120512</v>
      </c>
      <c r="Q242" s="54">
        <f>'AGG DM ASIA'!$F$37</f>
        <v>1.5467283397955327</v>
      </c>
      <c r="R242" s="54">
        <f>'AGG DM ASIA'!$G$37</f>
        <v>1.3955049938533843</v>
      </c>
      <c r="S242" s="55">
        <f>'AGG DM ASIA'!$H$37</f>
        <v>3.8204826160942229E-2</v>
      </c>
      <c r="T242" s="46"/>
      <c r="U242" s="57"/>
      <c r="V242" s="58" t="str">
        <f>V182</f>
        <v xml:space="preserve">Agg. Developed Asia </v>
      </c>
      <c r="Z242" s="49"/>
      <c r="AB242" s="63"/>
      <c r="AE242" s="41"/>
      <c r="AF242" s="31"/>
      <c r="AG242" s="31"/>
      <c r="AI242" s="41"/>
      <c r="AJ242" s="64"/>
      <c r="AK242" s="64"/>
      <c r="AM242" s="41"/>
      <c r="AN242" s="64"/>
      <c r="AO242" s="64"/>
      <c r="AQ242" s="41"/>
      <c r="AR242" s="64"/>
      <c r="AS242" s="64"/>
    </row>
    <row r="243" spans="1:69" s="5" customFormat="1">
      <c r="A243" s="146"/>
      <c r="B243" s="42"/>
      <c r="C243" s="41"/>
      <c r="D243" s="44"/>
      <c r="E243" s="44"/>
      <c r="F243" s="45"/>
      <c r="G243" s="44"/>
      <c r="H243" s="46"/>
      <c r="I243" s="60"/>
      <c r="J243" s="60"/>
      <c r="K243" s="60"/>
      <c r="L243" s="60"/>
      <c r="M243" s="59"/>
      <c r="N243" s="56"/>
      <c r="O243" s="60"/>
      <c r="P243" s="60"/>
      <c r="Q243" s="60"/>
      <c r="R243" s="60"/>
      <c r="S243" s="59"/>
      <c r="T243" s="46"/>
      <c r="U243" s="48"/>
      <c r="V243" s="50"/>
      <c r="Z243" s="49"/>
      <c r="AE243" s="41"/>
      <c r="AF243" s="31"/>
      <c r="AG243" s="31"/>
      <c r="AI243" s="41"/>
      <c r="AJ243" s="64"/>
      <c r="AK243" s="64"/>
      <c r="AM243" s="41"/>
      <c r="AN243" s="64"/>
      <c r="AO243" s="64"/>
      <c r="AQ243" s="41"/>
      <c r="AR243" s="64"/>
      <c r="AS243" s="64"/>
    </row>
    <row r="244" spans="1:69" s="5" customFormat="1">
      <c r="A244" s="146"/>
      <c r="B244" s="42"/>
      <c r="C244" s="67" t="str">
        <f>C184</f>
        <v>Agg. Global Developed</v>
      </c>
      <c r="D244" s="52"/>
      <c r="E244" s="52"/>
      <c r="F244" s="53"/>
      <c r="G244" s="52"/>
      <c r="H244" s="46"/>
      <c r="I244" s="54">
        <f>'AGG DM'!$D$41</f>
        <v>1.3514515540183685</v>
      </c>
      <c r="J244" s="54">
        <f>'AGG DM'!$E$41</f>
        <v>1.4007532435377124</v>
      </c>
      <c r="K244" s="54">
        <f>'AGG DM'!$F$41</f>
        <v>1.3363938049874495</v>
      </c>
      <c r="L244" s="54">
        <f>'AGG DM'!$G$41</f>
        <v>1.2739776448559783</v>
      </c>
      <c r="M244" s="55">
        <f>'AGG DM'!$H$41</f>
        <v>-2.5668717959517307E-2</v>
      </c>
      <c r="N244" s="56"/>
      <c r="O244" s="54">
        <f>'AGG DM'!$D$37</f>
        <v>2.329412469433874</v>
      </c>
      <c r="P244" s="54">
        <f>'AGG DM'!$E$37</f>
        <v>2.207031841456474</v>
      </c>
      <c r="Q244" s="54">
        <f>'AGG DM'!$F$37</f>
        <v>2.0665364578686574</v>
      </c>
      <c r="R244" s="54">
        <f>'AGG DM'!$G$37</f>
        <v>1.9167412853037995</v>
      </c>
      <c r="S244" s="55">
        <f>'AGG DM'!$H$37</f>
        <v>1.9501934659983178E-2</v>
      </c>
      <c r="T244" s="46"/>
      <c r="U244" s="57"/>
      <c r="V244" s="58" t="str">
        <f>V184</f>
        <v xml:space="preserve">Agg. Global Developed </v>
      </c>
      <c r="Z244" s="49"/>
      <c r="AE244" s="41"/>
      <c r="AF244" s="31"/>
      <c r="AG244" s="31"/>
      <c r="AI244" s="41"/>
      <c r="AJ244" s="64"/>
      <c r="AK244" s="64"/>
      <c r="AM244" s="41"/>
      <c r="AN244" s="64"/>
      <c r="AO244" s="64"/>
      <c r="AQ244" s="41"/>
      <c r="AR244" s="64"/>
      <c r="AS244" s="64"/>
    </row>
    <row r="245" spans="1:69" s="5" customFormat="1">
      <c r="A245" s="146"/>
      <c r="B245" s="42"/>
      <c r="C245" s="41"/>
      <c r="D245" s="69"/>
      <c r="E245" s="10"/>
      <c r="G245" s="10"/>
      <c r="M245" s="69"/>
      <c r="S245" s="69"/>
      <c r="U245" s="63"/>
      <c r="V245" s="63"/>
      <c r="Z245" s="49"/>
      <c r="AE245" s="41"/>
      <c r="AF245" s="31"/>
      <c r="AG245" s="31"/>
      <c r="AI245" s="41"/>
      <c r="AJ245" s="64"/>
      <c r="AK245" s="64"/>
      <c r="AM245" s="41"/>
      <c r="AN245" s="64"/>
      <c r="AO245" s="64"/>
      <c r="AQ245" s="41"/>
      <c r="AR245" s="64"/>
      <c r="AS245" s="64"/>
    </row>
    <row r="246" spans="1:69" s="5" customFormat="1">
      <c r="A246" s="146"/>
      <c r="B246" s="42"/>
      <c r="C246" s="41"/>
      <c r="D246" s="69"/>
      <c r="E246" s="10"/>
      <c r="G246" s="10"/>
      <c r="M246" s="69"/>
      <c r="S246" s="69"/>
      <c r="U246" s="63"/>
      <c r="V246" s="63"/>
      <c r="Z246" s="49"/>
      <c r="AE246" s="41"/>
      <c r="AF246" s="31"/>
      <c r="AG246" s="31"/>
      <c r="AI246" s="41"/>
      <c r="AJ246" s="64"/>
      <c r="AK246" s="64"/>
      <c r="AM246" s="41"/>
      <c r="AN246" s="64"/>
      <c r="AO246" s="64"/>
      <c r="AQ246" s="41"/>
      <c r="AR246" s="64"/>
      <c r="AS246" s="64"/>
    </row>
    <row r="247" spans="1:69" s="41" customFormat="1">
      <c r="B247" s="147"/>
      <c r="C247" s="164"/>
      <c r="D247" s="165" t="s">
        <v>464</v>
      </c>
      <c r="E247" s="165" t="s">
        <v>57</v>
      </c>
      <c r="F247" s="165" t="s">
        <v>59</v>
      </c>
      <c r="G247" s="165" t="s">
        <v>56</v>
      </c>
      <c r="H247" s="49"/>
      <c r="I247" s="166" t="s">
        <v>593</v>
      </c>
      <c r="J247" s="166"/>
      <c r="K247" s="166"/>
      <c r="L247" s="166"/>
      <c r="M247" s="166"/>
      <c r="O247" s="166" t="s">
        <v>288</v>
      </c>
      <c r="P247" s="166"/>
      <c r="Q247" s="166"/>
      <c r="R247" s="166"/>
      <c r="S247" s="166"/>
      <c r="T247" s="49"/>
      <c r="U247" s="167" t="s">
        <v>464</v>
      </c>
      <c r="V247" s="165"/>
      <c r="Z247" s="49"/>
      <c r="AC247" s="135"/>
      <c r="AD247" s="136"/>
      <c r="AE247" s="136"/>
      <c r="AF247" s="136"/>
      <c r="AG247" s="136"/>
      <c r="AH247" s="136"/>
      <c r="AI247" s="136"/>
      <c r="AJ247" s="136"/>
      <c r="AK247" s="136"/>
      <c r="AL247" s="136"/>
      <c r="AM247" s="136"/>
      <c r="AN247" s="136"/>
      <c r="AO247" s="136"/>
      <c r="AP247" s="136"/>
      <c r="AQ247" s="136"/>
      <c r="AR247" s="136"/>
      <c r="AS247" s="136"/>
      <c r="AT247" s="136"/>
      <c r="AU247" s="136"/>
      <c r="AV247" s="136"/>
      <c r="AW247" s="136"/>
      <c r="BC247" s="137"/>
      <c r="BD247" s="137"/>
      <c r="BE247" s="137"/>
      <c r="BG247" s="137"/>
      <c r="BH247" s="137"/>
      <c r="BI247" s="137"/>
      <c r="BK247" s="137"/>
      <c r="BL247" s="137"/>
      <c r="BM247" s="137"/>
      <c r="BO247" s="137"/>
      <c r="BP247" s="137"/>
      <c r="BQ247" s="137"/>
    </row>
    <row r="248" spans="1:69" s="5" customFormat="1">
      <c r="A248" s="41" t="s">
        <v>506</v>
      </c>
      <c r="B248" s="42"/>
      <c r="C248" s="48" t="s">
        <v>186</v>
      </c>
      <c r="D248" s="44" t="str">
        <f t="shared" ref="D248:G258" si="43">D188</f>
        <v>GBP1.27</v>
      </c>
      <c r="E248" s="44" t="str">
        <f t="shared" si="43"/>
        <v>GBP1.95</v>
      </c>
      <c r="F248" s="45">
        <f t="shared" si="43"/>
        <v>0.53422501966955149</v>
      </c>
      <c r="G248" s="44" t="str">
        <f t="shared" si="43"/>
        <v>Buy</v>
      </c>
      <c r="H248" s="46"/>
      <c r="I248" s="47">
        <f>BT!$D$42</f>
        <v>1.3878510885453188</v>
      </c>
      <c r="J248" s="47">
        <f>BT!$E$42</f>
        <v>1.3199270659955049</v>
      </c>
      <c r="K248" s="47">
        <f>BT!$F$42</f>
        <v>1.2514507791655409</v>
      </c>
      <c r="L248" s="47">
        <f>BT!$G$42</f>
        <v>1.1985191851812538</v>
      </c>
      <c r="M248" s="45">
        <f>BT!$H$42</f>
        <v>2.7832510330221494E-2</v>
      </c>
      <c r="N248" s="46"/>
      <c r="O248" s="621">
        <f>(BT!$D$23/BT!$C$23)-1</f>
        <v>9.9230602181090699E-3</v>
      </c>
      <c r="P248" s="621">
        <f>(BT!$E$23/BT!$D$23)-1</f>
        <v>2.9510832797898789E-3</v>
      </c>
      <c r="Q248" s="621">
        <f>(BT!$F$23/BT!$E$23)-1</f>
        <v>3.9946110034736471E-3</v>
      </c>
      <c r="R248" s="621">
        <f>(BT!$G$23/BT!$F$23)-1</f>
        <v>2.0158394461389229E-4</v>
      </c>
      <c r="S248" s="621">
        <f>BT!$H$23</f>
        <v>2.3811486887976852E-3</v>
      </c>
      <c r="T248" s="46"/>
      <c r="U248" s="48" t="str">
        <f t="shared" ref="U248:V252" si="44">U188</f>
        <v>GBP1.27</v>
      </c>
      <c r="V248" s="69" t="str">
        <f t="shared" si="44"/>
        <v>British Telecom</v>
      </c>
      <c r="Z248" s="49"/>
      <c r="AE248" s="41"/>
      <c r="AF248" s="31"/>
      <c r="AG248" s="31"/>
      <c r="AI248" s="41"/>
      <c r="AJ248" s="64"/>
      <c r="AK248" s="64"/>
      <c r="AM248" s="41"/>
      <c r="AN248" s="64"/>
      <c r="AO248" s="64"/>
      <c r="AQ248" s="41"/>
      <c r="AR248" s="64"/>
      <c r="AS248" s="64"/>
    </row>
    <row r="249" spans="1:69" s="5" customFormat="1">
      <c r="A249" s="41"/>
      <c r="B249" s="42"/>
      <c r="C249" s="48" t="s">
        <v>187</v>
      </c>
      <c r="D249" s="44" t="str">
        <f t="shared" si="43"/>
        <v>EUR 21.76</v>
      </c>
      <c r="E249" s="44" t="str">
        <f t="shared" si="43"/>
        <v>EUR 32.00</v>
      </c>
      <c r="F249" s="45">
        <f t="shared" si="43"/>
        <v>0.47058823529411753</v>
      </c>
      <c r="G249" s="44" t="str">
        <f t="shared" si="43"/>
        <v>Buy</v>
      </c>
      <c r="H249" s="46"/>
      <c r="I249" s="47">
        <f>DT!$D$42</f>
        <v>4.3939253684649131</v>
      </c>
      <c r="J249" s="47">
        <f>DT!$E$42</f>
        <v>4.3293495346415076</v>
      </c>
      <c r="K249" s="47">
        <f>DT!$F$42</f>
        <v>4.2111914181854102</v>
      </c>
      <c r="L249" s="47">
        <f>DT!$G$42</f>
        <v>4.0659429229195965</v>
      </c>
      <c r="M249" s="45">
        <f>DT!$H$42</f>
        <v>2.984978967148777E-4</v>
      </c>
      <c r="N249" s="46"/>
      <c r="O249" s="621">
        <f>(DT!$D$23/DT!$C$23)-1</f>
        <v>2.7880064514284042E-2</v>
      </c>
      <c r="P249" s="621">
        <f>(DT!$E$23/DT!$D$23)-1</f>
        <v>3.2203641098695446E-2</v>
      </c>
      <c r="Q249" s="621">
        <f>(DT!$F$23/DT!$E$23)-1</f>
        <v>2.8308712215177723E-2</v>
      </c>
      <c r="R249" s="621">
        <f>(DT!$G$23/DT!$F$23)-1</f>
        <v>2.5633161778597868E-2</v>
      </c>
      <c r="S249" s="621">
        <f>DT!$H$23</f>
        <v>2.8711635734588237E-2</v>
      </c>
      <c r="T249" s="46"/>
      <c r="U249" s="48" t="str">
        <f t="shared" si="44"/>
        <v>EUR 21.76</v>
      </c>
      <c r="V249" s="69" t="str">
        <f t="shared" si="44"/>
        <v>Deutsche Telekom</v>
      </c>
      <c r="Z249" s="49"/>
      <c r="AE249" s="41"/>
      <c r="AF249" s="31"/>
      <c r="AG249" s="31"/>
      <c r="AI249" s="41"/>
      <c r="AJ249" s="64"/>
      <c r="AK249" s="64"/>
      <c r="AM249" s="41"/>
      <c r="AN249" s="64"/>
      <c r="AO249" s="64"/>
      <c r="AQ249" s="41"/>
      <c r="AR249" s="64"/>
      <c r="AS249" s="64"/>
    </row>
    <row r="250" spans="1:69" s="5" customFormat="1">
      <c r="A250" s="41"/>
      <c r="B250" s="42"/>
      <c r="C250" s="48" t="s">
        <v>458</v>
      </c>
      <c r="D250" s="44" t="str">
        <f t="shared" si="43"/>
        <v>EUR 3.44</v>
      </c>
      <c r="E250" s="44" t="str">
        <f t="shared" si="43"/>
        <v>EUR 3.70</v>
      </c>
      <c r="F250" s="45">
        <f t="shared" si="43"/>
        <v>7.4332171893147558E-2</v>
      </c>
      <c r="G250" s="44" t="str">
        <f t="shared" si="43"/>
        <v>Neutral</v>
      </c>
      <c r="H250" s="46"/>
      <c r="I250" s="47">
        <f>KPN!$D$42</f>
        <v>3.7997373227443507</v>
      </c>
      <c r="J250" s="47">
        <f>KPN!$E$42</f>
        <v>3.7423780909014872</v>
      </c>
      <c r="K250" s="47">
        <f>KPN!$F$42</f>
        <v>3.7478015702809113</v>
      </c>
      <c r="L250" s="47">
        <f>KPN!$G$42</f>
        <v>3.6479646624874826</v>
      </c>
      <c r="M250" s="45">
        <f>KPN!$H$42</f>
        <v>-1.5906123120645432E-2</v>
      </c>
      <c r="N250" s="46"/>
      <c r="O250" s="621">
        <f>(KPN!$D$23/KPN!$C$23)-1</f>
        <v>2.8868868345731657E-2</v>
      </c>
      <c r="P250" s="621">
        <f>(KPN!$E$23/KPN!$D$23)-1</f>
        <v>2.5704847016655874E-2</v>
      </c>
      <c r="Q250" s="621">
        <f>(KPN!$F$23/KPN!$E$23)-1</f>
        <v>2.5093027592883121E-2</v>
      </c>
      <c r="R250" s="621">
        <f>(KPN!$G$23/KPN!$F$23)-1</f>
        <v>2.3454136655902458E-2</v>
      </c>
      <c r="S250" s="621">
        <f>KPN!$H$23</f>
        <v>2.4750229747304342E-2</v>
      </c>
      <c r="T250" s="46"/>
      <c r="U250" s="48" t="str">
        <f t="shared" si="44"/>
        <v>EUR 3.44</v>
      </c>
      <c r="V250" s="69" t="str">
        <f t="shared" si="44"/>
        <v>KPN</v>
      </c>
      <c r="Z250" s="49"/>
      <c r="AE250" s="41"/>
      <c r="AF250" s="31"/>
      <c r="AG250" s="31"/>
      <c r="AI250" s="41"/>
      <c r="AJ250" s="64"/>
      <c r="AK250" s="64"/>
      <c r="AM250" s="41"/>
      <c r="AN250" s="64"/>
      <c r="AO250" s="64"/>
      <c r="AQ250" s="41"/>
      <c r="AR250" s="64"/>
      <c r="AS250" s="64"/>
    </row>
    <row r="251" spans="1:69" s="5" customFormat="1">
      <c r="A251" s="41"/>
      <c r="B251" s="42"/>
      <c r="C251" s="48" t="s">
        <v>728</v>
      </c>
      <c r="D251" s="44" t="str">
        <f t="shared" si="43"/>
        <v>EUR 10.68</v>
      </c>
      <c r="E251" s="44" t="str">
        <f t="shared" si="43"/>
        <v>EUR 14.00</v>
      </c>
      <c r="F251" s="45">
        <f t="shared" si="43"/>
        <v>0.31147540983606548</v>
      </c>
      <c r="G251" s="44" t="str">
        <f t="shared" si="43"/>
        <v>Buy</v>
      </c>
      <c r="H251" s="46"/>
      <c r="I251" s="47">
        <f>ORA!$D$42</f>
        <v>2.3381003792499131</v>
      </c>
      <c r="J251" s="47">
        <f>ORA!$E$42</f>
        <v>2.2454688373211527</v>
      </c>
      <c r="K251" s="47">
        <f>ORA!$F$42</f>
        <v>2.1452307230839773</v>
      </c>
      <c r="L251" s="47">
        <f>ORA!$G$42</f>
        <v>2.0404618282319444</v>
      </c>
      <c r="M251" s="45">
        <f>ORA!$H$42</f>
        <v>1.1111562055841073E-3</v>
      </c>
      <c r="N251" s="46"/>
      <c r="O251" s="621">
        <f>(ORA!$D$23/ORA!$C$23)-1</f>
        <v>-1.1391137873907331E-3</v>
      </c>
      <c r="P251" s="621">
        <f>(ORA!$E$23/ORA!$D$23)-1</f>
        <v>3.7399934101283172E-3</v>
      </c>
      <c r="Q251" s="621">
        <f>(ORA!$F$23/ORA!$E$23)-1</f>
        <v>6.9822616542554172E-3</v>
      </c>
      <c r="R251" s="621">
        <f>(ORA!$G$23/ORA!$F$23)-1</f>
        <v>8.7974344589938358E-3</v>
      </c>
      <c r="S251" s="621">
        <f>ORA!$H$23</f>
        <v>6.5043882742903403E-3</v>
      </c>
      <c r="T251" s="46"/>
      <c r="U251" s="48" t="str">
        <f t="shared" si="44"/>
        <v>EUR 10.68</v>
      </c>
      <c r="V251" s="69" t="str">
        <f t="shared" si="44"/>
        <v>Orange</v>
      </c>
      <c r="Z251" s="49"/>
      <c r="AE251" s="41"/>
      <c r="AF251" s="31"/>
      <c r="AG251" s="31"/>
      <c r="AI251" s="41"/>
      <c r="AJ251" s="64"/>
      <c r="AK251" s="64"/>
      <c r="AM251" s="41"/>
      <c r="AN251" s="64"/>
      <c r="AO251" s="64"/>
      <c r="AQ251" s="41"/>
      <c r="AR251" s="64"/>
      <c r="AS251" s="64"/>
    </row>
    <row r="252" spans="1:69" s="5" customFormat="1">
      <c r="A252" s="41"/>
      <c r="B252" s="42"/>
      <c r="C252" s="48" t="s">
        <v>459</v>
      </c>
      <c r="D252" s="44" t="str">
        <f t="shared" si="43"/>
        <v>EUR 13.75</v>
      </c>
      <c r="E252" s="44" t="str">
        <f t="shared" si="43"/>
        <v>EUR 22.00</v>
      </c>
      <c r="F252" s="45">
        <f t="shared" si="43"/>
        <v>0.60000000000000009</v>
      </c>
      <c r="G252" s="44" t="str">
        <f t="shared" si="43"/>
        <v>Neutral</v>
      </c>
      <c r="H252" s="46"/>
      <c r="I252" s="47">
        <f>OTE!$D$42</f>
        <v>3.7288446560260069</v>
      </c>
      <c r="J252" s="47">
        <f>OTE!$E$42</f>
        <v>3.6643170194388688</v>
      </c>
      <c r="K252" s="47">
        <f>OTE!$F$42</f>
        <v>3.5519561423329873</v>
      </c>
      <c r="L252" s="47">
        <f>OTE!$G$42</f>
        <v>3.4047578840387951</v>
      </c>
      <c r="M252" s="45">
        <f>OTE!$H$42</f>
        <v>-3.7336174895420071E-2</v>
      </c>
      <c r="N252" s="46"/>
      <c r="O252" s="621">
        <f>(OTE!$D$23/OTE!$C$23)-1</f>
        <v>8.4369094595082572E-3</v>
      </c>
      <c r="P252" s="621">
        <f>(OTE!$E$23/OTE!$D$23)-1</f>
        <v>1.5267596010684281E-2</v>
      </c>
      <c r="Q252" s="621">
        <f>(OTE!$F$23/OTE!$E$23)-1</f>
        <v>8.0906955660147162E-3</v>
      </c>
      <c r="R252" s="621">
        <f>(OTE!$G$23/OTE!$F$23)-1</f>
        <v>1.2043203987936124E-2</v>
      </c>
      <c r="S252" s="621">
        <f>OTE!$H$23</f>
        <v>1.1796240668278335E-2</v>
      </c>
      <c r="T252" s="46"/>
      <c r="U252" s="48" t="str">
        <f t="shared" si="44"/>
        <v>EUR 13.75</v>
      </c>
      <c r="V252" s="69" t="str">
        <f t="shared" si="44"/>
        <v>OTE</v>
      </c>
      <c r="Z252" s="49"/>
      <c r="AE252" s="41"/>
      <c r="AF252" s="31"/>
      <c r="AG252" s="31"/>
      <c r="AI252" s="41"/>
      <c r="AJ252" s="64"/>
      <c r="AK252" s="64"/>
      <c r="AM252" s="41"/>
      <c r="AN252" s="64"/>
      <c r="AO252" s="64"/>
      <c r="AQ252" s="41"/>
      <c r="AR252" s="64"/>
      <c r="AS252" s="64"/>
    </row>
    <row r="253" spans="1:69" s="5" customFormat="1">
      <c r="A253" s="41"/>
      <c r="B253" s="42"/>
      <c r="C253" s="48" t="s">
        <v>817</v>
      </c>
      <c r="D253" s="44" t="str">
        <f t="shared" si="43"/>
        <v>EUR 7.4</v>
      </c>
      <c r="E253" s="44" t="str">
        <f t="shared" si="43"/>
        <v>EUR 10.0</v>
      </c>
      <c r="F253" s="45">
        <f t="shared" si="43"/>
        <v>0.35135135135135132</v>
      </c>
      <c r="G253" s="44" t="str">
        <f t="shared" si="43"/>
        <v>Neutral</v>
      </c>
      <c r="H253" s="46"/>
      <c r="I253" s="47">
        <f>PROX!$D$42</f>
        <v>1.3174725805529746</v>
      </c>
      <c r="J253" s="47">
        <f>PROX!$E$42</f>
        <v>1.169826218724703</v>
      </c>
      <c r="K253" s="47">
        <f>PROX!$F$42</f>
        <v>1.0739841252671716</v>
      </c>
      <c r="L253" s="47">
        <f>PROX!$G$42</f>
        <v>0.97078103430426443</v>
      </c>
      <c r="M253" s="45">
        <f>PROX!$H$42</f>
        <v>5.3745919754290661E-2</v>
      </c>
      <c r="N253" s="46"/>
      <c r="O253" s="621">
        <f>(PROX!$D$23/PROX!$C$23)-1</f>
        <v>1.8752292142401483E-2</v>
      </c>
      <c r="P253" s="621">
        <f>(PROX!$E$23/PROX!$D$23)-1</f>
        <v>7.4842471301637126E-3</v>
      </c>
      <c r="Q253" s="621">
        <f>(PROX!$F$23/PROX!$E$23)-1</f>
        <v>9.5159562842417333E-3</v>
      </c>
      <c r="R253" s="621">
        <f>(PROX!$G$23/PROX!$F$23)-1</f>
        <v>5.8410711803673632E-3</v>
      </c>
      <c r="S253" s="621">
        <f>PROX!$H$23</f>
        <v>7.6126372841840428E-3</v>
      </c>
      <c r="T253" s="46"/>
      <c r="U253" s="48" t="str">
        <f t="shared" ref="U253:U258" si="45">U193</f>
        <v>EUR 7.4</v>
      </c>
      <c r="V253" s="69" t="s">
        <v>817</v>
      </c>
      <c r="Z253" s="49"/>
      <c r="AE253" s="41"/>
      <c r="AF253" s="31"/>
      <c r="AG253" s="31"/>
      <c r="AI253" s="41"/>
      <c r="AJ253" s="64"/>
      <c r="AK253" s="64"/>
      <c r="AM253" s="41"/>
      <c r="AN253" s="64"/>
      <c r="AO253" s="64"/>
      <c r="AQ253" s="41"/>
      <c r="AR253" s="64"/>
      <c r="AS253" s="64"/>
    </row>
    <row r="254" spans="1:69">
      <c r="C254" s="48" t="s">
        <v>463</v>
      </c>
      <c r="D254" s="44" t="str">
        <f t="shared" si="43"/>
        <v>CHF492</v>
      </c>
      <c r="E254" s="44" t="str">
        <f t="shared" si="43"/>
        <v>CHF620</v>
      </c>
      <c r="F254" s="45">
        <f t="shared" si="43"/>
        <v>0.26016260162601634</v>
      </c>
      <c r="G254" s="44" t="str">
        <f t="shared" si="43"/>
        <v>Neutral</v>
      </c>
      <c r="H254" s="46"/>
      <c r="I254" s="47">
        <f>SWISS!$D$42</f>
        <v>3.2215967496074351</v>
      </c>
      <c r="J254" s="47">
        <f>SWISS!$E$42</f>
        <v>3.0151541756520865</v>
      </c>
      <c r="K254" s="47">
        <f>SWISS!$F$42</f>
        <v>2.8207256355079218</v>
      </c>
      <c r="L254" s="47">
        <f>SWISS!$G$42</f>
        <v>2.6356983707727206</v>
      </c>
      <c r="M254" s="45">
        <f>SWISS!$H$42</f>
        <v>2.1710165550685501E-2</v>
      </c>
      <c r="N254" s="46"/>
      <c r="O254" s="621">
        <f>(SWISS!$D$23/SWISS!$C$23)-1</f>
        <v>-1.9296052654119711E-3</v>
      </c>
      <c r="P254" s="621">
        <f>(SWISS!$E$23/SWISS!$D$23)-1</f>
        <v>8.2717095967432819E-4</v>
      </c>
      <c r="Q254" s="621">
        <f>(SWISS!$F$23/SWISS!$E$23)-1</f>
        <v>1.1258749547131686E-3</v>
      </c>
      <c r="R254" s="621">
        <f>(SWISS!$G$23/SWISS!$F$23)-1</f>
        <v>1.419388959978729E-3</v>
      </c>
      <c r="S254" s="621">
        <f>SWISS!$H$23</f>
        <v>1.1241157632950749E-3</v>
      </c>
      <c r="T254" s="46"/>
      <c r="U254" s="48" t="str">
        <f t="shared" si="45"/>
        <v>CHF492</v>
      </c>
      <c r="V254" s="69" t="str">
        <f t="shared" ref="V254:V259" si="46">V194</f>
        <v>Swisscom</v>
      </c>
    </row>
    <row r="255" spans="1:69" s="5" customFormat="1">
      <c r="A255" s="41"/>
      <c r="B255" s="42"/>
      <c r="C255" s="48" t="s">
        <v>270</v>
      </c>
      <c r="D255" s="44" t="str">
        <f t="shared" si="43"/>
        <v>EUR 0.25</v>
      </c>
      <c r="E255" s="44" t="str">
        <f t="shared" si="43"/>
        <v>EUR 0.35</v>
      </c>
      <c r="F255" s="45">
        <f t="shared" si="43"/>
        <v>0.42103126268777902</v>
      </c>
      <c r="G255" s="44" t="str">
        <f t="shared" si="43"/>
        <v>Buy</v>
      </c>
      <c r="H255" s="46"/>
      <c r="I255" s="47">
        <f>TI!$D$42</f>
        <v>2.3007662656333903</v>
      </c>
      <c r="J255" s="47">
        <f>TI!$E$42</f>
        <v>2.3026102279798413</v>
      </c>
      <c r="K255" s="47">
        <f>TI!$F$42</f>
        <v>2.2839636133762617</v>
      </c>
      <c r="L255" s="47">
        <f>TI!$G$42</f>
        <v>2.2728957316790432</v>
      </c>
      <c r="M255" s="45">
        <f>TI!$H$42</f>
        <v>-2.3983263232733032E-3</v>
      </c>
      <c r="N255" s="46"/>
      <c r="O255" s="621">
        <f>(TI!$D$23/TI!$C$23)-1</f>
        <v>3.2651040388034236E-3</v>
      </c>
      <c r="P255" s="621">
        <f>(TI!$E$23/TI!$D$23)-1</f>
        <v>1.5313776150087666E-2</v>
      </c>
      <c r="Q255" s="621">
        <f>(TI!$F$23/TI!$E$23)-1</f>
        <v>9.4503955318878674E-3</v>
      </c>
      <c r="R255" s="621">
        <f>(TI!$G$23/TI!$F$23)-1</f>
        <v>1.0592376201884024E-2</v>
      </c>
      <c r="S255" s="621">
        <f>TI!$H$23</f>
        <v>1.1782335837485558E-2</v>
      </c>
      <c r="T255" s="46"/>
      <c r="U255" s="48" t="str">
        <f t="shared" si="45"/>
        <v>EUR 0.25</v>
      </c>
      <c r="V255" s="69" t="str">
        <f t="shared" si="46"/>
        <v>Telecom Italia</v>
      </c>
      <c r="Z255" s="49"/>
      <c r="AE255" s="41"/>
      <c r="AF255" s="31"/>
      <c r="AG255" s="31"/>
      <c r="AI255" s="41"/>
      <c r="AJ255" s="64"/>
      <c r="AK255" s="64"/>
      <c r="AM255" s="41"/>
      <c r="AN255" s="64"/>
      <c r="AO255" s="64"/>
      <c r="AQ255" s="41"/>
      <c r="AR255" s="64"/>
      <c r="AS255" s="64"/>
    </row>
    <row r="256" spans="1:69" s="5" customFormat="1">
      <c r="A256" s="41"/>
      <c r="B256" s="42"/>
      <c r="C256" s="48" t="s">
        <v>461</v>
      </c>
      <c r="D256" s="44" t="str">
        <f t="shared" si="43"/>
        <v>EUR 4.16</v>
      </c>
      <c r="E256" s="44" t="str">
        <f t="shared" si="43"/>
        <v>EUR 4.80</v>
      </c>
      <c r="F256" s="45">
        <f t="shared" si="43"/>
        <v>0.15523465703971118</v>
      </c>
      <c r="G256" s="44" t="str">
        <f t="shared" si="43"/>
        <v>Buy</v>
      </c>
      <c r="H256" s="46"/>
      <c r="I256" s="47">
        <f>TEF!$D$42</f>
        <v>2.8660372072678988</v>
      </c>
      <c r="J256" s="47">
        <f>TEF!$E$42</f>
        <v>2.7520998581392058</v>
      </c>
      <c r="K256" s="47">
        <f>TEF!$F$42</f>
        <v>2.8352920646061452</v>
      </c>
      <c r="L256" s="47">
        <f>TEF!$G$42</f>
        <v>2.8766940006344526</v>
      </c>
      <c r="M256" s="45">
        <f>TEF!$H$42</f>
        <v>-2.5471949890507939E-2</v>
      </c>
      <c r="N256" s="46"/>
      <c r="O256" s="621">
        <f>(TEF!$D$23/TEF!$C$23)-1</f>
        <v>1.7196191698954477E-2</v>
      </c>
      <c r="P256" s="621">
        <f>(TEF!$E$23/TEF!$D$23)-1</f>
        <v>3.0259202070326285E-3</v>
      </c>
      <c r="Q256" s="621">
        <f>(TEF!$F$23/TEF!$E$23)-1</f>
        <v>5.2600450353503803E-3</v>
      </c>
      <c r="R256" s="621">
        <f>(TEF!$G$23/TEF!$F$23)-1</f>
        <v>8.3392565807596242E-3</v>
      </c>
      <c r="S256" s="621">
        <f>TEF!$H$23</f>
        <v>5.5393818641980008E-3</v>
      </c>
      <c r="T256" s="46"/>
      <c r="U256" s="48" t="str">
        <f t="shared" si="45"/>
        <v>EUR 4.16</v>
      </c>
      <c r="V256" s="69" t="str">
        <f t="shared" si="46"/>
        <v>Telefonica</v>
      </c>
      <c r="Z256" s="49"/>
      <c r="AE256" s="41"/>
      <c r="AF256" s="31"/>
      <c r="AG256" s="31"/>
      <c r="AI256" s="41"/>
      <c r="AJ256" s="64"/>
      <c r="AK256" s="64"/>
      <c r="AM256" s="41"/>
      <c r="AN256" s="64"/>
      <c r="AO256" s="64"/>
      <c r="AQ256" s="41"/>
      <c r="AR256" s="64"/>
      <c r="AS256" s="64"/>
    </row>
    <row r="257" spans="1:45" s="5" customFormat="1">
      <c r="A257" s="41"/>
      <c r="B257" s="42"/>
      <c r="C257" s="48" t="s">
        <v>499</v>
      </c>
      <c r="D257" s="44" t="str">
        <f t="shared" si="43"/>
        <v>NOK 124</v>
      </c>
      <c r="E257" s="44" t="str">
        <f t="shared" si="43"/>
        <v>NOK 136</v>
      </c>
      <c r="F257" s="45">
        <f t="shared" si="43"/>
        <v>9.9434114793855999E-2</v>
      </c>
      <c r="G257" s="44" t="str">
        <f t="shared" si="43"/>
        <v>Buy</v>
      </c>
      <c r="H257" s="46"/>
      <c r="I257" s="47">
        <f>TNOR!$D$42</f>
        <v>-2.9615228223664967</v>
      </c>
      <c r="J257" s="47">
        <f>TNOR!$E$42</f>
        <v>-2.5917638701346739</v>
      </c>
      <c r="K257" s="47">
        <f>TNOR!$F$42</f>
        <v>-2.1787745219350776</v>
      </c>
      <c r="L257" s="47">
        <f>TNOR!$G$42</f>
        <v>-1.9624779139310027</v>
      </c>
      <c r="M257" s="45">
        <f>TNOR!$H$42</f>
        <v>7.3684190099372548E-2</v>
      </c>
      <c r="N257" s="46"/>
      <c r="O257" s="621">
        <f>(TNOR!$D$23/TNOR!$C$23)-1</f>
        <v>7.3776731140404728E-3</v>
      </c>
      <c r="P257" s="621">
        <f>(TNOR!$E$23/TNOR!$D$23)-1</f>
        <v>-3.9874191690014049E-2</v>
      </c>
      <c r="Q257" s="621">
        <f>(TNOR!$F$23/TNOR!$E$23)-1</f>
        <v>1.546780388293989E-2</v>
      </c>
      <c r="R257" s="621">
        <f>(TNOR!$G$23/TNOR!$F$23)-1</f>
        <v>1.5239723154657936E-2</v>
      </c>
      <c r="S257" s="621">
        <f>TNOR!$H$23</f>
        <v>-3.3998044944076877E-3</v>
      </c>
      <c r="T257" s="46"/>
      <c r="U257" s="48" t="str">
        <f t="shared" si="45"/>
        <v>NOK 124</v>
      </c>
      <c r="V257" s="44" t="str">
        <f t="shared" si="46"/>
        <v>Telenor</v>
      </c>
      <c r="Z257" s="49"/>
      <c r="AE257" s="41"/>
      <c r="AF257" s="31"/>
      <c r="AG257" s="31"/>
      <c r="AI257" s="41"/>
      <c r="AJ257" s="64"/>
      <c r="AK257" s="64"/>
      <c r="AM257" s="41"/>
      <c r="AN257" s="64"/>
      <c r="AO257" s="64"/>
      <c r="AQ257" s="41"/>
      <c r="AR257" s="64"/>
      <c r="AS257" s="64"/>
    </row>
    <row r="258" spans="1:45" s="5" customFormat="1">
      <c r="A258" s="41"/>
      <c r="B258" s="42"/>
      <c r="C258" s="48" t="s">
        <v>1039</v>
      </c>
      <c r="D258" s="44" t="str">
        <f t="shared" si="43"/>
        <v>SEK26.4</v>
      </c>
      <c r="E258" s="44" t="str">
        <f t="shared" si="43"/>
        <v>SEK36.0</v>
      </c>
      <c r="F258" s="45">
        <f t="shared" si="43"/>
        <v>0.36415308829101933</v>
      </c>
      <c r="G258" s="44" t="str">
        <f t="shared" si="43"/>
        <v>Buy</v>
      </c>
      <c r="H258" s="46"/>
      <c r="I258" s="47">
        <f>TELIA!$D$42</f>
        <v>3.1122624405162171</v>
      </c>
      <c r="J258" s="47">
        <f>TELIA!$E$42</f>
        <v>3.6076974127121604</v>
      </c>
      <c r="K258" s="47">
        <f>TELIA!$F$42</f>
        <v>3.750559225247498</v>
      </c>
      <c r="L258" s="47">
        <f>TELIA!$G$42</f>
        <v>3.801774424435107</v>
      </c>
      <c r="M258" s="45">
        <f>TELIA!$H$42</f>
        <v>-0.1151243945578766</v>
      </c>
      <c r="N258" s="46"/>
      <c r="O258" s="621">
        <f>(TELIA!$D$23/TELIA!$C$23)-1</f>
        <v>1.3081700520812589E-2</v>
      </c>
      <c r="P258" s="621">
        <f>(TELIA!$E$23/TELIA!$D$23)-1</f>
        <v>8.4483925945295635E-3</v>
      </c>
      <c r="Q258" s="621">
        <f>(TELIA!$F$23/TELIA!$E$23)-1</f>
        <v>8.8386069690156166E-3</v>
      </c>
      <c r="R258" s="621">
        <f>(TELIA!$G$23/TELIA!$F$23)-1</f>
        <v>9.2431788389557568E-3</v>
      </c>
      <c r="S258" s="621">
        <f>TELIA!$H$23</f>
        <v>8.8433406164107886E-3</v>
      </c>
      <c r="T258" s="46"/>
      <c r="U258" s="48" t="str">
        <f t="shared" si="45"/>
        <v>SEK26.4</v>
      </c>
      <c r="V258" s="44" t="str">
        <f t="shared" si="46"/>
        <v>TeliaSonera</v>
      </c>
      <c r="Z258" s="49"/>
      <c r="AE258" s="41"/>
      <c r="AF258" s="31"/>
      <c r="AG258" s="31"/>
      <c r="AI258" s="41"/>
      <c r="AJ258" s="64"/>
      <c r="AK258" s="64"/>
      <c r="AM258" s="41"/>
      <c r="AN258" s="64"/>
      <c r="AO258" s="64"/>
      <c r="AQ258" s="41"/>
      <c r="AR258" s="64"/>
      <c r="AS258" s="64"/>
    </row>
    <row r="259" spans="1:45" s="5" customFormat="1">
      <c r="A259" s="41"/>
      <c r="B259" s="42"/>
      <c r="C259" s="51" t="str">
        <f>C199</f>
        <v>Agg. W.Europe Incumbent</v>
      </c>
      <c r="D259" s="52"/>
      <c r="E259" s="52"/>
      <c r="F259" s="53"/>
      <c r="G259" s="52"/>
      <c r="H259" s="46"/>
      <c r="I259" s="54">
        <f>'W.EUR INCUMB'!$D$42</f>
        <v>3.3234793761102739</v>
      </c>
      <c r="J259" s="54">
        <f>'W.EUR INCUMB'!$E$42</f>
        <v>3.2424169171692641</v>
      </c>
      <c r="K259" s="54">
        <f>'W.EUR INCUMB'!$F$42</f>
        <v>3.1662515332190617</v>
      </c>
      <c r="L259" s="54">
        <f>'W.EUR INCUMB'!$G$42</f>
        <v>3.0630241710617754</v>
      </c>
      <c r="M259" s="55">
        <f>'W.EUR INCUMB'!$H$42</f>
        <v>-3.4232783193558491E-3</v>
      </c>
      <c r="N259" s="56"/>
      <c r="O259" s="622">
        <f>('W.EUR INCUMB'!$D$23/'W.EUR INCUMB'!$C$23)-1</f>
        <v>1.6160647202588585E-2</v>
      </c>
      <c r="P259" s="622">
        <f>('W.EUR INCUMB'!$E$23/'W.EUR INCUMB'!$D$23)-1</f>
        <v>1.5465839372678758E-2</v>
      </c>
      <c r="Q259" s="622">
        <f>('W.EUR INCUMB'!$F$23/'W.EUR INCUMB'!$E$23)-1</f>
        <v>1.5881556888671655E-2</v>
      </c>
      <c r="R259" s="622">
        <f>('W.EUR INCUMB'!$G$23/'W.EUR INCUMB'!$F$23)-1</f>
        <v>1.5292041654573651E-2</v>
      </c>
      <c r="S259" s="622">
        <f>'W.EUR INCUMB'!$H$23</f>
        <v>1.5546449189376421E-2</v>
      </c>
      <c r="T259" s="46"/>
      <c r="U259" s="57"/>
      <c r="V259" s="58" t="str">
        <f t="shared" si="46"/>
        <v>Agg. W.Europe Incumbent</v>
      </c>
      <c r="Z259" s="49"/>
      <c r="AE259" s="41"/>
      <c r="AF259" s="31"/>
      <c r="AG259" s="31"/>
      <c r="AI259" s="41"/>
      <c r="AJ259" s="64"/>
      <c r="AK259" s="64"/>
      <c r="AM259" s="41"/>
      <c r="AN259" s="64"/>
      <c r="AO259" s="64"/>
      <c r="AQ259" s="41"/>
      <c r="AR259" s="64"/>
      <c r="AS259" s="64"/>
    </row>
    <row r="260" spans="1:45" s="5" customFormat="1">
      <c r="A260" s="41"/>
      <c r="B260" s="42"/>
      <c r="C260" s="48"/>
      <c r="D260" s="44"/>
      <c r="E260" s="44"/>
      <c r="F260" s="45"/>
      <c r="G260" s="44"/>
      <c r="H260" s="46"/>
      <c r="I260" s="47"/>
      <c r="J260" s="47"/>
      <c r="K260" s="47"/>
      <c r="L260" s="47"/>
      <c r="M260" s="45"/>
      <c r="N260" s="46"/>
      <c r="O260" s="621"/>
      <c r="P260" s="621"/>
      <c r="Q260" s="621"/>
      <c r="R260" s="621"/>
      <c r="S260" s="621"/>
      <c r="T260" s="46"/>
      <c r="U260" s="48"/>
      <c r="V260" s="44"/>
      <c r="Z260" s="46"/>
      <c r="AE260" s="41"/>
      <c r="AF260" s="31"/>
      <c r="AG260" s="31"/>
      <c r="AI260" s="41"/>
      <c r="AJ260" s="64"/>
      <c r="AK260" s="64"/>
      <c r="AM260" s="41"/>
      <c r="AN260" s="64"/>
      <c r="AO260" s="64"/>
      <c r="AQ260" s="41"/>
      <c r="AR260" s="64"/>
      <c r="AS260" s="64"/>
    </row>
    <row r="261" spans="1:45" s="5" customFormat="1">
      <c r="A261" s="41"/>
      <c r="B261" s="42" t="s">
        <v>519</v>
      </c>
      <c r="C261" s="48" t="s">
        <v>491</v>
      </c>
      <c r="D261" s="44" t="str">
        <f>B261&amp;TEXT(Prices!$C$40,"0.0")</f>
        <v>US$17.5</v>
      </c>
      <c r="E261" s="44" t="str">
        <f>B261&amp;TEXT(Prices!$E$40,"0.00")</f>
        <v>US$21.00</v>
      </c>
      <c r="F261" s="45">
        <f>Prices!$F$40</f>
        <v>0.19999999999999996</v>
      </c>
      <c r="G261" s="44" t="str">
        <f>Prices!$D$40</f>
        <v>Neutral</v>
      </c>
      <c r="H261" s="46"/>
      <c r="I261" s="47">
        <f>ATT!$D$42</f>
        <v>2.0044887110958913</v>
      </c>
      <c r="J261" s="47">
        <f>ATT!$E$42</f>
        <v>1.8416652944795886</v>
      </c>
      <c r="K261" s="47">
        <f>ATT!$F$42</f>
        <v>1.6969921581530034</v>
      </c>
      <c r="L261" s="47">
        <f>ATT!$G$42</f>
        <v>1.5521153054973154</v>
      </c>
      <c r="M261" s="45">
        <f>ATT!$H$42</f>
        <v>8.5921980087044769E-3</v>
      </c>
      <c r="N261" s="46"/>
      <c r="O261" s="621">
        <f>(ATT!$D$23/ATT!$C$23)-1</f>
        <v>1.3972055888223478E-2</v>
      </c>
      <c r="P261" s="621">
        <f>(ATT!$E$23/ATT!$D$23)-1</f>
        <v>1.0296968752494529E-3</v>
      </c>
      <c r="Q261" s="621">
        <f>(ATT!$F$23/ATT!$E$23)-1</f>
        <v>9.1735588620391884E-3</v>
      </c>
      <c r="R261" s="621">
        <f>(ATT!$G$23/ATT!$F$23)-1</f>
        <v>1.1520784567278008E-2</v>
      </c>
      <c r="S261" s="621">
        <f>ATT!$H$23</f>
        <v>7.2312971710009055E-3</v>
      </c>
      <c r="T261" s="46"/>
      <c r="U261" s="48" t="str">
        <f t="shared" ref="U261:V263" si="47">U201</f>
        <v>USD17.5</v>
      </c>
      <c r="V261" s="44" t="str">
        <f t="shared" si="47"/>
        <v>AT&amp;T</v>
      </c>
      <c r="Z261" s="46"/>
      <c r="AE261" s="41"/>
      <c r="AF261" s="31"/>
      <c r="AG261" s="31"/>
      <c r="AI261" s="41"/>
      <c r="AJ261" s="64"/>
      <c r="AK261" s="64"/>
      <c r="AM261" s="41"/>
      <c r="AN261" s="64"/>
      <c r="AO261" s="64"/>
      <c r="AQ261" s="41"/>
      <c r="AR261" s="64"/>
      <c r="AS261" s="64"/>
    </row>
    <row r="262" spans="1:45" s="5" customFormat="1">
      <c r="A262" s="146"/>
      <c r="B262" s="42" t="s">
        <v>519</v>
      </c>
      <c r="C262" s="48" t="s">
        <v>693</v>
      </c>
      <c r="D262" s="44" t="str">
        <f>B262&amp;TEXT(Prices!$C$41,"0.0")</f>
        <v>US$166.0</v>
      </c>
      <c r="E262" s="44" t="str">
        <f>B262&amp;TEXT(Prices!$E$41,"0.0")</f>
        <v>US$205.0</v>
      </c>
      <c r="F262" s="45">
        <f>Prices!$F$41</f>
        <v>0.23493975903614461</v>
      </c>
      <c r="G262" s="44" t="str">
        <f>Prices!$D$41</f>
        <v>Buy</v>
      </c>
      <c r="H262" s="46"/>
      <c r="I262" s="47">
        <f>TMUS!$D$42</f>
        <v>6.7273778573654521</v>
      </c>
      <c r="J262" s="47">
        <f>TMUS!$E$42</f>
        <v>7.3003935426037039</v>
      </c>
      <c r="K262" s="47">
        <f>TMUS!$F$42</f>
        <v>7.7318270644839258</v>
      </c>
      <c r="L262" s="47">
        <f>TMUS!$G$42</f>
        <v>8.3443021135352247</v>
      </c>
      <c r="M262" s="45">
        <f>TMUS!$H$42</f>
        <v>-0.11972349374419411</v>
      </c>
      <c r="N262" s="46"/>
      <c r="O262" s="621">
        <f>(TMUS!$D$23/TMUS!$C$23)-1</f>
        <v>-1.2730768747407972E-2</v>
      </c>
      <c r="P262" s="621">
        <f>(TMUS!$E$23/TMUS!$D$23)-1</f>
        <v>4.0522286382031592E-2</v>
      </c>
      <c r="Q262" s="621">
        <f>(TMUS!$F$23/TMUS!$E$23)-1</f>
        <v>4.4961623573918086E-2</v>
      </c>
      <c r="R262" s="621">
        <f>(TMUS!$G$23/TMUS!$F$23)-1</f>
        <v>4.0178678437440274E-2</v>
      </c>
      <c r="S262" s="621">
        <f>TMUS!$H$23</f>
        <v>4.188525468612303E-2</v>
      </c>
      <c r="T262" s="46"/>
      <c r="U262" s="48" t="str">
        <f t="shared" si="47"/>
        <v>USD166.0</v>
      </c>
      <c r="V262" s="44" t="str">
        <f t="shared" si="47"/>
        <v>TMUS</v>
      </c>
      <c r="Z262" s="46"/>
      <c r="AE262" s="41"/>
      <c r="AF262" s="31"/>
      <c r="AG262" s="31"/>
      <c r="AI262" s="41"/>
      <c r="AJ262" s="64"/>
      <c r="AK262" s="64"/>
      <c r="AM262" s="41"/>
      <c r="AN262" s="64"/>
      <c r="AO262" s="64"/>
      <c r="AQ262" s="41"/>
      <c r="AR262" s="64"/>
      <c r="AS262" s="64"/>
    </row>
    <row r="263" spans="1:45" s="5" customFormat="1">
      <c r="A263" s="41"/>
      <c r="B263" s="42" t="s">
        <v>519</v>
      </c>
      <c r="C263" s="48" t="s">
        <v>33</v>
      </c>
      <c r="D263" s="44" t="str">
        <f>B263&amp;TEXT(Prices!$C$39,"0.0")</f>
        <v>US$39.7</v>
      </c>
      <c r="E263" s="44" t="str">
        <f>B263&amp;TEXT(Prices!$E$39,"0.00")</f>
        <v>US$45.00</v>
      </c>
      <c r="F263" s="45">
        <f>Prices!$F$39</f>
        <v>0.13236034222445903</v>
      </c>
      <c r="G263" s="44" t="str">
        <f>Prices!$D$39</f>
        <v>Neutral</v>
      </c>
      <c r="H263" s="46"/>
      <c r="I263" s="47">
        <f>VZN!$D$42</f>
        <v>3.3994629277049451</v>
      </c>
      <c r="J263" s="47">
        <f>VZN!$E$42</f>
        <v>3.2014780998228272</v>
      </c>
      <c r="K263" s="47">
        <f>VZN!$F$42</f>
        <v>2.9899163364986108</v>
      </c>
      <c r="L263" s="47">
        <f>VZN!$G$42</f>
        <v>2.7709113787633797</v>
      </c>
      <c r="M263" s="45">
        <f>VZN!$H$42</f>
        <v>0</v>
      </c>
      <c r="N263" s="46"/>
      <c r="O263" s="621">
        <f>(VZN!$D$23/VZN!$C$23)-1</f>
        <v>-2.090839332042238E-2</v>
      </c>
      <c r="P263" s="621">
        <f>(VZN!$E$23/VZN!$D$23)-1</f>
        <v>1.4154520942268212E-2</v>
      </c>
      <c r="Q263" s="621">
        <f>(VZN!$F$23/VZN!$E$23)-1</f>
        <v>1.601614322805367E-2</v>
      </c>
      <c r="R263" s="621">
        <f>(VZN!$G$23/VZN!$F$23)-1</f>
        <v>1.4449870232817075E-2</v>
      </c>
      <c r="S263" s="621">
        <f>VZN!$H$23</f>
        <v>1.4873182799269635E-2</v>
      </c>
      <c r="T263" s="46"/>
      <c r="U263" s="48" t="str">
        <f t="shared" si="47"/>
        <v>USD39.7</v>
      </c>
      <c r="V263" s="44" t="str">
        <f t="shared" si="47"/>
        <v>Verizon</v>
      </c>
      <c r="Z263" s="46"/>
      <c r="AE263" s="41"/>
      <c r="AF263" s="31"/>
      <c r="AG263" s="31"/>
      <c r="AI263" s="41"/>
      <c r="AJ263" s="64"/>
      <c r="AK263" s="64"/>
      <c r="AM263" s="41"/>
      <c r="AN263" s="64"/>
      <c r="AO263" s="64"/>
      <c r="AQ263" s="41"/>
      <c r="AR263" s="64"/>
      <c r="AS263" s="64"/>
    </row>
    <row r="264" spans="1:45" s="5" customFormat="1">
      <c r="A264" s="41"/>
      <c r="B264" s="42"/>
      <c r="C264" s="51" t="s">
        <v>262</v>
      </c>
      <c r="D264" s="52"/>
      <c r="E264" s="52"/>
      <c r="F264" s="53"/>
      <c r="G264" s="52"/>
      <c r="H264" s="46"/>
      <c r="I264" s="54">
        <f>'US TELCO'!$D$42</f>
        <v>3.2281499736577772</v>
      </c>
      <c r="J264" s="54">
        <f>'US TELCO'!$E$42</f>
        <v>3.084908599069784</v>
      </c>
      <c r="K264" s="54">
        <f>'US TELCO'!$F$42</f>
        <v>2.9153254467268015</v>
      </c>
      <c r="L264" s="54">
        <f>'US TELCO'!$G$42</f>
        <v>2.743204647593728</v>
      </c>
      <c r="M264" s="55">
        <f>'US TELCO'!$H$42</f>
        <v>-1.2306873951881125E-2</v>
      </c>
      <c r="N264" s="46"/>
      <c r="O264" s="622">
        <f>('US TELCO'!D$23/'US TELCO'!C$23)-1</f>
        <v>-6.4867846962897158E-3</v>
      </c>
      <c r="P264" s="622">
        <f>('US TELCO'!E$23/'US TELCO'!D$23)-1</f>
        <v>1.5541411784577575E-2</v>
      </c>
      <c r="Q264" s="622">
        <f>('US TELCO'!F$23/'US TELCO'!E$23)-1</f>
        <v>2.0506472154624422E-2</v>
      </c>
      <c r="R264" s="622">
        <f>('US TELCO'!G$23/'US TELCO'!F$23)-1</f>
        <v>1.9737060129902284E-2</v>
      </c>
      <c r="S264" s="622">
        <f>'US TELCO'!$H$23</f>
        <v>1.8592642260168768E-2</v>
      </c>
      <c r="T264" s="46"/>
      <c r="U264" s="57"/>
      <c r="V264" s="58" t="str">
        <f>V204</f>
        <v>Agg. US Telecoms</v>
      </c>
      <c r="Z264" s="46"/>
      <c r="AE264" s="41"/>
      <c r="AF264" s="31"/>
      <c r="AG264" s="31"/>
      <c r="AI264" s="41"/>
      <c r="AJ264" s="64"/>
      <c r="AK264" s="64"/>
      <c r="AM264" s="41"/>
      <c r="AN264" s="64"/>
      <c r="AO264" s="64"/>
      <c r="AQ264" s="41"/>
      <c r="AR264" s="64"/>
      <c r="AS264" s="64"/>
    </row>
    <row r="265" spans="1:45" s="5" customFormat="1">
      <c r="A265" s="41"/>
      <c r="B265" s="42"/>
      <c r="C265" s="48"/>
      <c r="D265" s="44"/>
      <c r="E265" s="44"/>
      <c r="F265" s="45"/>
      <c r="G265" s="44"/>
      <c r="H265" s="46"/>
      <c r="I265" s="47"/>
      <c r="J265" s="47"/>
      <c r="K265" s="47"/>
      <c r="L265" s="47"/>
      <c r="M265" s="45"/>
      <c r="N265" s="46"/>
      <c r="O265" s="621"/>
      <c r="P265" s="621"/>
      <c r="Q265" s="621"/>
      <c r="R265" s="621"/>
      <c r="S265" s="621"/>
      <c r="T265" s="46"/>
      <c r="U265" s="48"/>
      <c r="V265" s="44"/>
      <c r="Z265" s="46"/>
      <c r="AE265" s="41"/>
      <c r="AF265" s="31"/>
      <c r="AG265" s="31"/>
      <c r="AI265" s="41"/>
      <c r="AJ265" s="64"/>
      <c r="AK265" s="64"/>
      <c r="AM265" s="41"/>
      <c r="AN265" s="64"/>
      <c r="AO265" s="64"/>
      <c r="AQ265" s="41"/>
      <c r="AR265" s="64"/>
      <c r="AS265" s="64"/>
    </row>
    <row r="266" spans="1:45" s="5" customFormat="1">
      <c r="A266" s="41"/>
      <c r="B266" s="42"/>
      <c r="C266" s="48" t="str">
        <f t="shared" ref="C266:G269" si="48">C206</f>
        <v>NTT</v>
      </c>
      <c r="D266" s="44" t="str">
        <f t="shared" si="48"/>
        <v>JPY 153</v>
      </c>
      <c r="E266" s="44" t="str">
        <f t="shared" si="48"/>
        <v>JPY 240</v>
      </c>
      <c r="F266" s="45">
        <f t="shared" si="48"/>
        <v>0.57273918741808649</v>
      </c>
      <c r="G266" s="44" t="str">
        <f t="shared" si="48"/>
        <v>Buy</v>
      </c>
      <c r="H266" s="46"/>
      <c r="I266" s="47">
        <f>NTT!$D$42</f>
        <v>2.2159088703308196</v>
      </c>
      <c r="J266" s="47">
        <f>NTT!$E$42</f>
        <v>2.1031640357035024</v>
      </c>
      <c r="K266" s="47">
        <f>NTT!$F$42</f>
        <v>2.0128092591583067</v>
      </c>
      <c r="L266" s="47">
        <f>NTT!$G$42</f>
        <v>1.9205180100810209</v>
      </c>
      <c r="M266" s="45">
        <f>NTT!$H$42</f>
        <v>7.9137458780556003E-3</v>
      </c>
      <c r="N266" s="46"/>
      <c r="O266" s="621">
        <f>(NTT!$D$23/NTT!$C$23)-1</f>
        <v>1.8163824604141565E-2</v>
      </c>
      <c r="P266" s="621">
        <f>(NTT!$E$23/NTT!$D$23)-1</f>
        <v>2.4640906799132445E-2</v>
      </c>
      <c r="Q266" s="621">
        <f>(NTT!$F$23/NTT!$E$23)-1</f>
        <v>3.2643105463137312E-2</v>
      </c>
      <c r="R266" s="621">
        <f>(NTT!$G$23/NTT!$F$23)-1</f>
        <v>3.4142216543517456E-2</v>
      </c>
      <c r="S266" s="621">
        <f>NTT!$H$23</f>
        <v>3.0466954566159998E-2</v>
      </c>
      <c r="T266" s="46"/>
      <c r="U266" s="48" t="str">
        <f t="shared" ref="U266:V269" si="49">U206</f>
        <v>JPY 153</v>
      </c>
      <c r="V266" s="44" t="str">
        <f t="shared" si="49"/>
        <v>NTT</v>
      </c>
      <c r="Z266" s="46"/>
      <c r="AE266" s="41"/>
      <c r="AF266" s="31"/>
      <c r="AG266" s="31"/>
      <c r="AI266" s="41"/>
      <c r="AJ266" s="64"/>
      <c r="AK266" s="64"/>
      <c r="AM266" s="41"/>
      <c r="AN266" s="64"/>
      <c r="AO266" s="64"/>
      <c r="AQ266" s="41"/>
      <c r="AR266" s="64"/>
      <c r="AS266" s="64"/>
    </row>
    <row r="267" spans="1:45" s="5" customFormat="1">
      <c r="A267" s="41"/>
      <c r="B267" s="42"/>
      <c r="C267" s="48" t="str">
        <f t="shared" si="48"/>
        <v>Spark NZ</v>
      </c>
      <c r="D267" s="44" t="str">
        <f t="shared" si="48"/>
        <v>NZD 4.19</v>
      </c>
      <c r="E267" s="44" t="str">
        <f t="shared" si="48"/>
        <v>NZD 5.00</v>
      </c>
      <c r="F267" s="45">
        <f t="shared" si="48"/>
        <v>0.19331742243436745</v>
      </c>
      <c r="G267" s="44" t="str">
        <f t="shared" si="48"/>
        <v>Neutral</v>
      </c>
      <c r="H267" s="46"/>
      <c r="I267" s="47">
        <f>SPK!$D$42</f>
        <v>7.1734801869819291</v>
      </c>
      <c r="J267" s="47">
        <f>SPK!$E$42</f>
        <v>6.5343197563515583</v>
      </c>
      <c r="K267" s="47">
        <f>SPK!$F$42</f>
        <v>5.8736573489304744</v>
      </c>
      <c r="L267" s="47">
        <f>SPK!$G$42</f>
        <v>5.2226026840015214</v>
      </c>
      <c r="M267" s="45">
        <f>SPK!$H$42</f>
        <v>2.4800684779147764E-2</v>
      </c>
      <c r="N267" s="46"/>
      <c r="O267" s="621">
        <f>(SPK!$D$23/SPK!$C$23)-1</f>
        <v>1.125229431685737E-2</v>
      </c>
      <c r="P267" s="621">
        <f>(SPK!$E$23/SPK!$D$23)-1</f>
        <v>2.2240612875768173E-2</v>
      </c>
      <c r="Q267" s="621">
        <f>(SPK!$F$23/SPK!$E$23)-1</f>
        <v>2.880350169844581E-2</v>
      </c>
      <c r="R267" s="621">
        <f>(SPK!$G$23/SPK!$F$23)-1</f>
        <v>2.5560309813146942E-2</v>
      </c>
      <c r="S267" s="621">
        <f>SPK!$H$23</f>
        <v>2.5531307948985615E-2</v>
      </c>
      <c r="T267" s="46"/>
      <c r="U267" s="48" t="str">
        <f t="shared" si="49"/>
        <v>NZD 4.19</v>
      </c>
      <c r="V267" s="44" t="str">
        <f t="shared" si="49"/>
        <v>Spark NZ</v>
      </c>
      <c r="Z267" s="46"/>
      <c r="AE267" s="41"/>
      <c r="AF267" s="31"/>
      <c r="AG267" s="31"/>
      <c r="AI267" s="41"/>
      <c r="AJ267" s="64"/>
      <c r="AK267" s="64"/>
      <c r="AM267" s="41"/>
      <c r="AN267" s="64"/>
      <c r="AO267" s="64"/>
      <c r="AQ267" s="41"/>
      <c r="AR267" s="64"/>
      <c r="AS267" s="64"/>
    </row>
    <row r="268" spans="1:45" s="5" customFormat="1">
      <c r="A268" s="41"/>
      <c r="B268" s="42"/>
      <c r="C268" s="48" t="str">
        <f t="shared" si="48"/>
        <v>SingTel</v>
      </c>
      <c r="D268" s="44" t="str">
        <f t="shared" si="48"/>
        <v>SGD 2.42</v>
      </c>
      <c r="E268" s="44" t="str">
        <f t="shared" si="48"/>
        <v>SGD 4.40</v>
      </c>
      <c r="F268" s="45">
        <f t="shared" si="48"/>
        <v>0.81818181818181834</v>
      </c>
      <c r="G268" s="44" t="str">
        <f t="shared" si="48"/>
        <v>Buy</v>
      </c>
      <c r="H268" s="46"/>
      <c r="I268" s="47">
        <f>SINGTEL!$D$42</f>
        <v>2.5722930663196011</v>
      </c>
      <c r="J268" s="47">
        <f>SINGTEL!$E$42</f>
        <v>2.4910875208111576</v>
      </c>
      <c r="K268" s="47">
        <f>SINGTEL!$F$42</f>
        <v>2.3861471336799522</v>
      </c>
      <c r="L268" s="47">
        <f>SINGTEL!$G$42</f>
        <v>2.2481257371054895</v>
      </c>
      <c r="M268" s="45">
        <f>SINGTEL!$H$42</f>
        <v>-1.516080769823569E-2</v>
      </c>
      <c r="N268" s="46"/>
      <c r="O268" s="621">
        <f>(SINGTEL!$D$23/SINGTEL!$C$23)-1</f>
        <v>-2.1162765321216748E-2</v>
      </c>
      <c r="P268" s="621">
        <f>(SINGTEL!$E$23/SINGTEL!$D$23)-1</f>
        <v>4.6596457393709434E-2</v>
      </c>
      <c r="Q268" s="621">
        <f>(SINGTEL!$F$23/SINGTEL!$E$23)-1</f>
        <v>5.342328172060884E-2</v>
      </c>
      <c r="R268" s="621">
        <f>(SINGTEL!$G$23/SINGTEL!$F$23)-1</f>
        <v>3.1098171019561471E-2</v>
      </c>
      <c r="S268" s="621">
        <f>SINGTEL!$H$23</f>
        <v>4.3664063799779385E-2</v>
      </c>
      <c r="T268" s="46"/>
      <c r="U268" s="48" t="str">
        <f t="shared" si="49"/>
        <v>SGD 2.42</v>
      </c>
      <c r="V268" s="44" t="str">
        <f t="shared" si="49"/>
        <v>SingTel</v>
      </c>
      <c r="Z268" s="46"/>
      <c r="AE268" s="41"/>
      <c r="AF268" s="31"/>
      <c r="AG268" s="31"/>
      <c r="AI268" s="41"/>
      <c r="AJ268" s="64"/>
      <c r="AK268" s="64"/>
      <c r="AM268" s="41"/>
      <c r="AN268" s="64"/>
      <c r="AO268" s="64"/>
      <c r="AQ268" s="41"/>
      <c r="AR268" s="64"/>
      <c r="AS268" s="64"/>
    </row>
    <row r="269" spans="1:45" s="5" customFormat="1">
      <c r="A269" s="41"/>
      <c r="B269" s="42"/>
      <c r="C269" s="48" t="str">
        <f t="shared" si="48"/>
        <v xml:space="preserve">Telstra </v>
      </c>
      <c r="D269" s="44" t="str">
        <f t="shared" si="48"/>
        <v>AUD 3.45</v>
      </c>
      <c r="E269" s="44" t="str">
        <f t="shared" si="48"/>
        <v>AUD 3.50</v>
      </c>
      <c r="F269" s="45">
        <f t="shared" si="48"/>
        <v>1.4492753623188248E-2</v>
      </c>
      <c r="G269" s="44" t="str">
        <f t="shared" si="48"/>
        <v>Buy</v>
      </c>
      <c r="H269" s="46"/>
      <c r="I269" s="47">
        <f>TLS!$D$42</f>
        <v>2.2085703242771104</v>
      </c>
      <c r="J269" s="47">
        <f>TLS!$E$42</f>
        <v>2.0857921391521312</v>
      </c>
      <c r="K269" s="47">
        <f>TLS!$F$42</f>
        <v>1.9225611739285502</v>
      </c>
      <c r="L269" s="47">
        <f>TLS!$G$42</f>
        <v>1.7503291871913909</v>
      </c>
      <c r="M269" s="45">
        <f>TLS!$H$42</f>
        <v>-2.6559604522810032E-3</v>
      </c>
      <c r="N269" s="46"/>
      <c r="O269" s="621">
        <f>(TLS!$D$23/TLS!$C$23)-1</f>
        <v>-6.3874968700404766E-3</v>
      </c>
      <c r="P269" s="621">
        <f>(TLS!$E$23/TLS!$D$23)-1</f>
        <v>-2.68314788296663E-2</v>
      </c>
      <c r="Q269" s="621">
        <f>(TLS!$F$23/TLS!$E$23)-1</f>
        <v>-1.9943020925844435E-2</v>
      </c>
      <c r="R269" s="621">
        <f>(TLS!$G$23/TLS!$F$23)-1</f>
        <v>2.6039236406235178E-2</v>
      </c>
      <c r="S269" s="621">
        <f>TLS!$H$23</f>
        <v>-7.1862522661734207E-3</v>
      </c>
      <c r="T269" s="46"/>
      <c r="U269" s="48" t="str">
        <f t="shared" si="49"/>
        <v>AUD 3.45</v>
      </c>
      <c r="V269" s="44" t="str">
        <f t="shared" si="49"/>
        <v>Telstra</v>
      </c>
      <c r="Z269" s="46"/>
      <c r="AE269" s="41"/>
      <c r="AF269" s="31"/>
      <c r="AG269" s="31"/>
      <c r="AI269" s="41"/>
      <c r="AJ269" s="64"/>
      <c r="AK269" s="64"/>
      <c r="AM269" s="41"/>
      <c r="AN269" s="64"/>
      <c r="AO269" s="64"/>
      <c r="AQ269" s="41"/>
      <c r="AR269" s="64"/>
      <c r="AS269" s="64"/>
    </row>
    <row r="270" spans="1:45" s="5" customFormat="1">
      <c r="A270" s="41"/>
      <c r="B270" s="42"/>
      <c r="C270" s="51" t="str">
        <f>C210</f>
        <v>Agg. Developed Asia Incumbent</v>
      </c>
      <c r="D270" s="58"/>
      <c r="E270" s="58"/>
      <c r="F270" s="55"/>
      <c r="G270" s="58"/>
      <c r="H270" s="56"/>
      <c r="I270" s="54">
        <f>'DM ASIA INCUMB'!$D$42</f>
        <v>2.346519185065592</v>
      </c>
      <c r="J270" s="54">
        <f>'DM ASIA INCUMB'!$E$42</f>
        <v>2.2277931023658812</v>
      </c>
      <c r="K270" s="54">
        <f>'DM ASIA INCUMB'!$F$42</f>
        <v>2.1157640257429531</v>
      </c>
      <c r="L270" s="54">
        <f>'DM ASIA INCUMB'!$G$42</f>
        <v>1.9967654678475226</v>
      </c>
      <c r="M270" s="55">
        <f>'DM ASIA INCUMB'!$H$42</f>
        <v>3.5276842685374454E-3</v>
      </c>
      <c r="N270" s="56"/>
      <c r="O270" s="622">
        <f>('DM ASIA INCUMB'!$D$23/'DM ASIA INCUMB'!$C$23)-1</f>
        <v>1.0427167479807542E-2</v>
      </c>
      <c r="P270" s="622">
        <f>('DM ASIA INCUMB'!$E$23/'DM ASIA INCUMB'!$D$23)-1</f>
        <v>1.8605560916649999E-2</v>
      </c>
      <c r="Q270" s="622">
        <f>('DM ASIA INCUMB'!$F$23/'DM ASIA INCUMB'!$E$23)-1</f>
        <v>2.6671696920874455E-2</v>
      </c>
      <c r="R270" s="622">
        <f>('DM ASIA INCUMB'!$G$23/'DM ASIA INCUMB'!$F$23)-1</f>
        <v>3.2309961257738662E-2</v>
      </c>
      <c r="S270" s="622">
        <f>'DM ASIA INCUMB'!$H$23</f>
        <v>2.5846978212288318E-2</v>
      </c>
      <c r="T270" s="56"/>
      <c r="U270" s="51"/>
      <c r="V270" s="58" t="str">
        <f>V210</f>
        <v xml:space="preserve">Agg. Developed Asia Incumbent </v>
      </c>
      <c r="Z270" s="46"/>
      <c r="AE270" s="41"/>
      <c r="AF270" s="31"/>
      <c r="AG270" s="31"/>
      <c r="AI270" s="41"/>
      <c r="AJ270" s="64"/>
      <c r="AK270" s="64"/>
      <c r="AM270" s="41"/>
      <c r="AN270" s="64"/>
      <c r="AO270" s="64"/>
      <c r="AQ270" s="41"/>
      <c r="AR270" s="64"/>
      <c r="AS270" s="64"/>
    </row>
    <row r="271" spans="1:45" s="5" customFormat="1">
      <c r="A271" s="41"/>
      <c r="B271" s="42"/>
      <c r="C271" s="43"/>
      <c r="D271" s="50"/>
      <c r="E271" s="50"/>
      <c r="F271" s="61"/>
      <c r="G271" s="50"/>
      <c r="H271" s="56"/>
      <c r="I271" s="62"/>
      <c r="J271" s="62"/>
      <c r="K271" s="62"/>
      <c r="L271" s="62"/>
      <c r="M271" s="61"/>
      <c r="N271" s="56"/>
      <c r="O271" s="623"/>
      <c r="P271" s="623"/>
      <c r="Q271" s="623"/>
      <c r="R271" s="623"/>
      <c r="S271" s="623"/>
      <c r="T271" s="56"/>
      <c r="U271" s="43"/>
      <c r="V271" s="50"/>
      <c r="Z271" s="46"/>
      <c r="AE271" s="41"/>
      <c r="AF271" s="31"/>
      <c r="AG271" s="31"/>
      <c r="AI271" s="41"/>
      <c r="AJ271" s="64"/>
      <c r="AK271" s="64"/>
      <c r="AM271" s="41"/>
      <c r="AN271" s="64"/>
      <c r="AO271" s="64"/>
      <c r="AQ271" s="41"/>
      <c r="AR271" s="64"/>
      <c r="AS271" s="64"/>
    </row>
    <row r="272" spans="1:45" s="5" customFormat="1">
      <c r="A272" s="41"/>
      <c r="B272" s="42"/>
      <c r="C272" s="51" t="s">
        <v>865</v>
      </c>
      <c r="D272" s="58"/>
      <c r="E272" s="58"/>
      <c r="F272" s="55"/>
      <c r="G272" s="58"/>
      <c r="H272" s="56"/>
      <c r="I272" s="54">
        <f>'AGG DM INCUMB'!D42</f>
        <v>3.1118348028875746</v>
      </c>
      <c r="J272" s="54">
        <f>'AGG DM INCUMB'!E42</f>
        <v>2.9942852968112184</v>
      </c>
      <c r="K272" s="54">
        <f>'AGG DM INCUMB'!F42</f>
        <v>2.8673456842566223</v>
      </c>
      <c r="L272" s="54">
        <f>'AGG DM INCUMB'!G42</f>
        <v>2.7282286513343954</v>
      </c>
      <c r="M272" s="55">
        <f>'AGG DM INCUMB'!H42</f>
        <v>-6.3558229129041521E-3</v>
      </c>
      <c r="N272" s="56"/>
      <c r="O272" s="622">
        <f>('AGG DM INCUMB'!D$23/'AGG DM INCUMB'!C$23)-1</f>
        <v>5.1816333702747741E-3</v>
      </c>
      <c r="P272" s="622">
        <f>('AGG DM INCUMB'!E$23/'AGG DM INCUMB'!D$23)-1</f>
        <v>1.5993777781544649E-2</v>
      </c>
      <c r="Q272" s="622">
        <f>('AGG DM INCUMB'!F$23/'AGG DM INCUMB'!E$23)-1</f>
        <v>1.9619753544809937E-2</v>
      </c>
      <c r="R272" s="622">
        <f>('AGG DM INCUMB'!G$23/'AGG DM INCUMB'!F$23)-1</f>
        <v>1.9955189277492735E-2</v>
      </c>
      <c r="S272" s="622">
        <f>'AGG DM INCUMB'!$H$23</f>
        <v>1.8521326341160327E-2</v>
      </c>
      <c r="T272" s="56"/>
      <c r="U272" s="51"/>
      <c r="V272" s="58" t="str">
        <f>C272</f>
        <v>Agg. DM Incumbent total</v>
      </c>
      <c r="Z272" s="46"/>
      <c r="AE272" s="41"/>
      <c r="AF272" s="31"/>
      <c r="AG272" s="31"/>
      <c r="AI272" s="41"/>
      <c r="AJ272" s="64"/>
      <c r="AK272" s="64"/>
      <c r="AM272" s="41"/>
      <c r="AN272" s="64"/>
      <c r="AO272" s="64"/>
      <c r="AQ272" s="41"/>
      <c r="AR272" s="64"/>
      <c r="AS272" s="64"/>
    </row>
    <row r="273" spans="1:45" s="5" customFormat="1">
      <c r="A273" s="41"/>
      <c r="B273" s="42"/>
      <c r="C273" s="41"/>
      <c r="D273" s="44"/>
      <c r="E273" s="44"/>
      <c r="F273" s="45"/>
      <c r="G273" s="44"/>
      <c r="H273" s="46"/>
      <c r="I273" s="47"/>
      <c r="J273" s="47"/>
      <c r="K273" s="47"/>
      <c r="L273" s="47"/>
      <c r="M273" s="45"/>
      <c r="N273" s="46"/>
      <c r="O273" s="621"/>
      <c r="P273" s="621"/>
      <c r="Q273" s="621"/>
      <c r="R273" s="621"/>
      <c r="S273" s="621"/>
      <c r="T273" s="46"/>
      <c r="U273" s="48"/>
      <c r="V273" s="50"/>
      <c r="Z273" s="46"/>
      <c r="AE273" s="41"/>
      <c r="AF273" s="31"/>
      <c r="AG273" s="31"/>
      <c r="AI273" s="41"/>
      <c r="AJ273" s="64"/>
      <c r="AK273" s="64"/>
      <c r="AM273" s="41"/>
      <c r="AN273" s="64"/>
      <c r="AO273" s="64"/>
      <c r="AQ273" s="41"/>
      <c r="AR273" s="64"/>
      <c r="AS273" s="64"/>
    </row>
    <row r="274" spans="1:45" s="5" customFormat="1">
      <c r="A274" s="41" t="s">
        <v>1385</v>
      </c>
      <c r="B274" s="42"/>
      <c r="C274" s="48" t="str">
        <f t="shared" ref="C274:G281" si="50">C214</f>
        <v>1&amp;1</v>
      </c>
      <c r="D274" s="44" t="str">
        <f t="shared" si="50"/>
        <v>EUR 17.5</v>
      </c>
      <c r="E274" s="44" t="str">
        <f t="shared" si="50"/>
        <v>EUR 28.0</v>
      </c>
      <c r="F274" s="45">
        <f t="shared" si="50"/>
        <v>0.60000000000000009</v>
      </c>
      <c r="G274" s="44" t="str">
        <f t="shared" si="50"/>
        <v>Buy</v>
      </c>
      <c r="H274" s="46"/>
      <c r="I274" s="47">
        <f>DRI!$D$42</f>
        <v>2.0695792734989955</v>
      </c>
      <c r="J274" s="47">
        <f>DRI!$E$42</f>
        <v>1.8425053260900586</v>
      </c>
      <c r="K274" s="47">
        <f>DRI!$F$42</f>
        <v>1.2849690642232807</v>
      </c>
      <c r="L274" s="47">
        <f>DRI!$G$42</f>
        <v>1.1153999052281947</v>
      </c>
      <c r="M274" s="45">
        <f>DRI!$H$42</f>
        <v>0.24319673292305488</v>
      </c>
      <c r="N274" s="46"/>
      <c r="O274" s="621">
        <f>(DRI!$D$23/DRI!$C$23)-1</f>
        <v>3.0125156627223149E-2</v>
      </c>
      <c r="P274" s="621">
        <f>(DRI!$E$23/DRI!$D$23)-1</f>
        <v>2.6376941798661457E-2</v>
      </c>
      <c r="Q274" s="621">
        <f>(DRI!$F$23/DRI!$E$23)-1</f>
        <v>1.8828090277794196E-2</v>
      </c>
      <c r="R274" s="621">
        <f>(DRI!$G$23/DRI!$F$23)-1</f>
        <v>1.6880066700845076E-2</v>
      </c>
      <c r="S274" s="621">
        <f>DRI!$H$23</f>
        <v>2.0686828607944685E-2</v>
      </c>
      <c r="T274" s="46"/>
      <c r="U274" s="48" t="str">
        <f t="shared" ref="U274:V280" si="51">U214</f>
        <v>EUR 17.5</v>
      </c>
      <c r="V274" s="44" t="str">
        <f t="shared" si="51"/>
        <v>1&amp;1</v>
      </c>
      <c r="Z274" s="49"/>
      <c r="AE274" s="41"/>
      <c r="AF274" s="31"/>
      <c r="AG274" s="31"/>
      <c r="AI274" s="41"/>
      <c r="AJ274" s="64"/>
      <c r="AK274" s="64"/>
      <c r="AM274" s="41"/>
      <c r="AN274" s="64"/>
      <c r="AO274" s="64"/>
      <c r="AQ274" s="41"/>
      <c r="AR274" s="64"/>
      <c r="AS274" s="64"/>
    </row>
    <row r="275" spans="1:45" s="5" customFormat="1">
      <c r="A275" s="41"/>
      <c r="B275" s="42"/>
      <c r="C275" s="48" t="str">
        <f t="shared" si="50"/>
        <v>Elisa</v>
      </c>
      <c r="D275" s="44" t="str">
        <f t="shared" si="50"/>
        <v>EUR 41.6</v>
      </c>
      <c r="E275" s="44" t="str">
        <f t="shared" si="50"/>
        <v>EUR 54.0</v>
      </c>
      <c r="F275" s="45">
        <f t="shared" si="50"/>
        <v>0.29745314752522845</v>
      </c>
      <c r="G275" s="44" t="str">
        <f t="shared" si="50"/>
        <v>Neutral</v>
      </c>
      <c r="H275" s="46"/>
      <c r="I275" s="47">
        <f>ELISA!$D$42</f>
        <v>9.5645360606974794</v>
      </c>
      <c r="J275" s="47">
        <f>ELISA!$E$42</f>
        <v>9.1909939761627157</v>
      </c>
      <c r="K275" s="47">
        <f>ELISA!$F$42</f>
        <v>8.9491100895090447</v>
      </c>
      <c r="L275" s="47">
        <f>ELISA!$G$42</f>
        <v>9.7336471295446749</v>
      </c>
      <c r="M275" s="45">
        <f>ELISA!$H$42</f>
        <v>-2.039129562383335E-2</v>
      </c>
      <c r="N275" s="46"/>
      <c r="O275" s="621">
        <f>(ELISA!$D$23/ELISA!$C$23)-1</f>
        <v>4.2285256444258845E-2</v>
      </c>
      <c r="P275" s="621">
        <f>(ELISA!$E$23/ELISA!$D$23)-1</f>
        <v>3.6386565085444245E-2</v>
      </c>
      <c r="Q275" s="621">
        <f>(ELISA!$F$23/ELISA!$E$23)-1</f>
        <v>3.0708037721702386E-2</v>
      </c>
      <c r="R275" s="621">
        <f>(ELISA!$G$23/ELISA!$F$23)-1</f>
        <v>3.130147531344929E-2</v>
      </c>
      <c r="S275" s="621">
        <f>ELISA!$H$23</f>
        <v>3.2795551785379518E-2</v>
      </c>
      <c r="T275" s="46"/>
      <c r="U275" s="48" t="str">
        <f t="shared" si="51"/>
        <v>EUR 41.6</v>
      </c>
      <c r="V275" s="44" t="str">
        <f t="shared" si="51"/>
        <v>Elisa</v>
      </c>
      <c r="Z275" s="46"/>
      <c r="AE275" s="41"/>
      <c r="AF275" s="31"/>
      <c r="AG275" s="31"/>
      <c r="AI275" s="41"/>
      <c r="AJ275" s="64"/>
      <c r="AK275" s="64"/>
      <c r="AM275" s="41"/>
      <c r="AN275" s="64"/>
      <c r="AO275" s="64"/>
      <c r="AQ275" s="41"/>
      <c r="AR275" s="64"/>
      <c r="AS275" s="64"/>
    </row>
    <row r="276" spans="1:45" s="5" customFormat="1">
      <c r="A276" s="41"/>
      <c r="B276" s="42"/>
      <c r="C276" s="48" t="str">
        <f t="shared" si="50"/>
        <v>Liberty Global (prop.)</v>
      </c>
      <c r="D276" s="44" t="str">
        <f t="shared" si="50"/>
        <v>USD 16.2</v>
      </c>
      <c r="E276" s="44" t="str">
        <f t="shared" si="50"/>
        <v>USD 24.0</v>
      </c>
      <c r="F276" s="45">
        <f t="shared" si="50"/>
        <v>0.47783251231527113</v>
      </c>
      <c r="G276" s="44" t="str">
        <f t="shared" si="50"/>
        <v>Buy</v>
      </c>
      <c r="H276" s="46"/>
      <c r="I276" s="47">
        <f>LBTY!$D$42</f>
        <v>0.76928672183467406</v>
      </c>
      <c r="J276" s="47">
        <f>LBTY!$E$42</f>
        <v>0.6629331723413372</v>
      </c>
      <c r="K276" s="47">
        <f>LBTY!$F$42</f>
        <v>0.61520770145536841</v>
      </c>
      <c r="L276" s="47">
        <f>LBTY!$G$42</f>
        <v>0.57918889681950247</v>
      </c>
      <c r="M276" s="45">
        <f>LBTY!$H$42</f>
        <v>2.5168282883760718E-2</v>
      </c>
      <c r="N276" s="46"/>
      <c r="O276" s="621">
        <f>(LBTY!$D$23/LBTY!$C$23)-1</f>
        <v>5.3714372949875688E-3</v>
      </c>
      <c r="P276" s="621">
        <f>(LBTY!$E$23/LBTY!$D$23)-1</f>
        <v>-4.3746789016926302E-3</v>
      </c>
      <c r="Q276" s="621">
        <f>(LBTY!$F$23/LBTY!$E$23)-1</f>
        <v>2.0289239726445363E-3</v>
      </c>
      <c r="R276" s="621">
        <f>(LBTY!$G$23/LBTY!$F$23)-1</f>
        <v>3.7849959403317701E-3</v>
      </c>
      <c r="S276" s="621">
        <f>LBTY!$H$23</f>
        <v>4.7359329141771767E-4</v>
      </c>
      <c r="T276" s="46"/>
      <c r="U276" s="48" t="str">
        <f t="shared" si="51"/>
        <v>USD 16.2</v>
      </c>
      <c r="V276" s="44" t="str">
        <f t="shared" si="51"/>
        <v>Liberty Global</v>
      </c>
      <c r="Z276" s="49"/>
      <c r="AE276" s="41"/>
      <c r="AF276" s="31"/>
      <c r="AG276" s="31"/>
      <c r="AI276" s="41"/>
      <c r="AJ276" s="64"/>
      <c r="AK276" s="64"/>
      <c r="AM276" s="41"/>
      <c r="AN276" s="64"/>
      <c r="AO276" s="64"/>
      <c r="AQ276" s="41"/>
      <c r="AR276" s="64"/>
      <c r="AS276" s="64"/>
    </row>
    <row r="277" spans="1:45" s="5" customFormat="1">
      <c r="A277" s="41"/>
      <c r="B277" s="42"/>
      <c r="C277" s="48" t="str">
        <f t="shared" si="50"/>
        <v>NOS</v>
      </c>
      <c r="D277" s="44" t="str">
        <f t="shared" si="50"/>
        <v>EUR 3.35</v>
      </c>
      <c r="E277" s="44" t="str">
        <f t="shared" si="50"/>
        <v>EUR 4.00</v>
      </c>
      <c r="F277" s="45">
        <f t="shared" si="50"/>
        <v>0.19581464872944676</v>
      </c>
      <c r="G277" s="44" t="str">
        <f t="shared" si="50"/>
        <v>Neutral</v>
      </c>
      <c r="H277" s="46"/>
      <c r="I277" s="47">
        <f>NOS!$D$42</f>
        <v>1.7605164369484725</v>
      </c>
      <c r="J277" s="47">
        <f>NOS!$E$42</f>
        <v>1.6137232633791396</v>
      </c>
      <c r="K277" s="47">
        <f>NOS!$F$42</f>
        <v>1.4493779242486606</v>
      </c>
      <c r="L277" s="47">
        <f>NOS!$G$42</f>
        <v>1.2647073760879943</v>
      </c>
      <c r="M277" s="45">
        <f>NOS!$H$42</f>
        <v>-3.9824366610328843E-2</v>
      </c>
      <c r="N277" s="46"/>
      <c r="O277" s="621">
        <f>(NOS!$D$23/NOS!$C$23)-1</f>
        <v>1.0396844178472087E-2</v>
      </c>
      <c r="P277" s="621">
        <f>(NOS!$E$23/NOS!$D$23)-1</f>
        <v>-8.7895200076137936E-3</v>
      </c>
      <c r="Q277" s="621">
        <f>(NOS!$F$23/NOS!$E$23)-1</f>
        <v>-2.8477392361634379E-3</v>
      </c>
      <c r="R277" s="621">
        <f>(NOS!$G$23/NOS!$F$23)-1</f>
        <v>1.8501763794565029E-3</v>
      </c>
      <c r="S277" s="621">
        <f>NOS!$H$23</f>
        <v>-3.2718725664974135E-3</v>
      </c>
      <c r="T277" s="46"/>
      <c r="U277" s="48" t="str">
        <f t="shared" si="51"/>
        <v>EUR 3.35</v>
      </c>
      <c r="V277" s="44" t="str">
        <f t="shared" si="51"/>
        <v>NOS</v>
      </c>
      <c r="Z277" s="49"/>
      <c r="AE277" s="41"/>
      <c r="AF277" s="31"/>
      <c r="AG277" s="31"/>
      <c r="AI277" s="41"/>
      <c r="AJ277" s="64"/>
      <c r="AK277" s="64"/>
      <c r="AM277" s="41"/>
      <c r="AN277" s="64"/>
      <c r="AO277" s="64"/>
      <c r="AQ277" s="41"/>
      <c r="AR277" s="64"/>
      <c r="AS277" s="64"/>
    </row>
    <row r="278" spans="1:45" s="5" customFormat="1">
      <c r="A278" s="146"/>
      <c r="B278" s="42"/>
      <c r="C278" s="48" t="str">
        <f t="shared" si="50"/>
        <v>Orange Belgium</v>
      </c>
      <c r="D278" s="44" t="str">
        <f t="shared" si="50"/>
        <v>EUR 14.9</v>
      </c>
      <c r="E278" s="44" t="str">
        <f t="shared" si="50"/>
        <v>EUR 13.0</v>
      </c>
      <c r="F278" s="45">
        <f t="shared" si="50"/>
        <v>-0.12868632707774796</v>
      </c>
      <c r="G278" s="44" t="str">
        <f t="shared" si="50"/>
        <v>Neutral</v>
      </c>
      <c r="H278" s="46"/>
      <c r="I278" s="47">
        <f>OBEL!$D$42</f>
        <v>4.2763983607872245</v>
      </c>
      <c r="J278" s="47">
        <f>OBEL!$E$42</f>
        <v>3.7097969943774691</v>
      </c>
      <c r="K278" s="47">
        <f>OBEL!$F$42</f>
        <v>3.3778969786386308</v>
      </c>
      <c r="L278" s="47">
        <f>OBEL!$G$42</f>
        <v>3.09074129393764</v>
      </c>
      <c r="M278" s="45">
        <f>OBEL!$H$42</f>
        <v>7.4638428570584781E-2</v>
      </c>
      <c r="N278" s="46"/>
      <c r="O278" s="621">
        <f>(OBEL!$D$23/OBEL!$C$23)-1</f>
        <v>0.14811428769054635</v>
      </c>
      <c r="P278" s="621">
        <f>(OBEL!$E$23/OBEL!$D$23)-1</f>
        <v>2.034705628872846E-2</v>
      </c>
      <c r="Q278" s="621">
        <f>(OBEL!$F$23/OBEL!$E$23)-1</f>
        <v>1.9176819401684808E-2</v>
      </c>
      <c r="R278" s="621">
        <f>(OBEL!$G$23/OBEL!$F$23)-1</f>
        <v>1.8113868487154683E-2</v>
      </c>
      <c r="S278" s="621">
        <f>OBEL!$H$23</f>
        <v>1.921217333309988E-2</v>
      </c>
      <c r="T278" s="46"/>
      <c r="U278" s="48" t="str">
        <f t="shared" si="51"/>
        <v>EUR 14.9</v>
      </c>
      <c r="V278" s="44" t="str">
        <f t="shared" si="51"/>
        <v>Mobistar</v>
      </c>
      <c r="Z278" s="46"/>
      <c r="AE278" s="41"/>
      <c r="AF278" s="31"/>
      <c r="AG278" s="31"/>
      <c r="AI278" s="41"/>
      <c r="AJ278" s="64"/>
      <c r="AK278" s="64"/>
      <c r="AM278" s="41"/>
      <c r="AN278" s="64"/>
      <c r="AO278" s="64"/>
      <c r="AQ278" s="41"/>
      <c r="AR278" s="64"/>
      <c r="AS278" s="64"/>
    </row>
    <row r="279" spans="1:45" s="5" customFormat="1">
      <c r="A279" s="146"/>
      <c r="B279" s="42"/>
      <c r="C279" s="48" t="str">
        <f t="shared" si="50"/>
        <v>Tele2</v>
      </c>
      <c r="D279" s="44" t="str">
        <f t="shared" si="50"/>
        <v>SEK 101.1</v>
      </c>
      <c r="E279" s="44" t="str">
        <f t="shared" si="50"/>
        <v>SEK 110.0</v>
      </c>
      <c r="F279" s="45">
        <f t="shared" si="50"/>
        <v>8.8570014844136624E-2</v>
      </c>
      <c r="G279" s="44" t="str">
        <f t="shared" si="50"/>
        <v>Neutral</v>
      </c>
      <c r="H279" s="46"/>
      <c r="I279" s="47">
        <f>TELE2!$D$42</f>
        <v>12.680039716708386</v>
      </c>
      <c r="J279" s="47">
        <f>TELE2!$E$42</f>
        <v>12.657233113169118</v>
      </c>
      <c r="K279" s="47">
        <f>TELE2!$F$42</f>
        <v>12.364637069051097</v>
      </c>
      <c r="L279" s="47">
        <f>TELE2!$G$42</f>
        <v>12.040809301572349</v>
      </c>
      <c r="M279" s="45">
        <f>TELE2!$H$42</f>
        <v>-3.7004374314458577E-2</v>
      </c>
      <c r="N279" s="46"/>
      <c r="O279" s="621">
        <f>(TELE2!$D$23/TELE2!$C$23)-1</f>
        <v>1.6852558362021153E-2</v>
      </c>
      <c r="P279" s="621">
        <f>(TELE2!$E$23/TELE2!$D$23)-1</f>
        <v>1.4724042026553974E-2</v>
      </c>
      <c r="Q279" s="621">
        <f>(TELE2!$F$23/TELE2!$E$23)-1</f>
        <v>1.5592384208668042E-2</v>
      </c>
      <c r="R279" s="621">
        <f>(TELE2!$G$23/TELE2!$F$23)-1</f>
        <v>1.6456437698956217E-2</v>
      </c>
      <c r="S279" s="621">
        <f>TELE2!$H$23</f>
        <v>1.5590708383683483E-2</v>
      </c>
      <c r="T279" s="46"/>
      <c r="U279" s="48" t="str">
        <f t="shared" si="51"/>
        <v>SEK 101.1</v>
      </c>
      <c r="V279" s="44" t="str">
        <f t="shared" si="51"/>
        <v>Tele2</v>
      </c>
      <c r="Z279" s="46"/>
      <c r="AE279" s="41"/>
      <c r="AF279" s="31"/>
      <c r="AG279" s="31"/>
      <c r="AI279" s="41"/>
      <c r="AJ279" s="64"/>
      <c r="AK279" s="64"/>
      <c r="AM279" s="41"/>
      <c r="AN279" s="64"/>
      <c r="AO279" s="64"/>
      <c r="AQ279" s="41"/>
      <c r="AR279" s="64"/>
      <c r="AS279" s="64"/>
    </row>
    <row r="280" spans="1:45" s="5" customFormat="1">
      <c r="A280" s="41"/>
      <c r="B280" s="42"/>
      <c r="C280" s="48" t="str">
        <f t="shared" si="50"/>
        <v>United Internet</v>
      </c>
      <c r="D280" s="44" t="str">
        <f t="shared" si="50"/>
        <v>EUR 22.1</v>
      </c>
      <c r="E280" s="44" t="str">
        <f t="shared" si="50"/>
        <v>EUR 30.0</v>
      </c>
      <c r="F280" s="45">
        <f t="shared" si="50"/>
        <v>0.35869565217391308</v>
      </c>
      <c r="G280" s="44" t="str">
        <f t="shared" si="50"/>
        <v>Buy</v>
      </c>
      <c r="H280" s="46"/>
      <c r="I280" s="47">
        <f>UTDI!$D$42</f>
        <v>4.0960914411184541</v>
      </c>
      <c r="J280" s="47">
        <f>UTDI!$E$42</f>
        <v>3.3778327707688249</v>
      </c>
      <c r="K280" s="47">
        <f>UTDI!$F$42</f>
        <v>2.8865251750527583</v>
      </c>
      <c r="L280" s="47">
        <f>UTDI!$G$42</f>
        <v>2.5036785734961571</v>
      </c>
      <c r="M280" s="45">
        <f>UTDI!$H$42</f>
        <v>0.1886740891435108</v>
      </c>
      <c r="N280" s="46"/>
      <c r="O280" s="621">
        <f>(UTDI!$D$23/UTDI!$C$23)-1</f>
        <v>5.2042944924781231E-2</v>
      </c>
      <c r="P280" s="621">
        <f>(UTDI!$E$23/UTDI!$D$23)-1</f>
        <v>4.039426200064633E-2</v>
      </c>
      <c r="Q280" s="621">
        <f>(UTDI!$F$23/UTDI!$E$23)-1</f>
        <v>2.9462324638089621E-2</v>
      </c>
      <c r="R280" s="621">
        <f>(UTDI!$G$23/UTDI!$F$23)-1</f>
        <v>2.3447696155302733E-2</v>
      </c>
      <c r="S280" s="621">
        <f>UTDI!$H$23</f>
        <v>3.1077601892839812E-2</v>
      </c>
      <c r="T280" s="46"/>
      <c r="U280" s="48" t="str">
        <f t="shared" si="51"/>
        <v>EUR 22.1</v>
      </c>
      <c r="V280" s="44" t="str">
        <f t="shared" si="51"/>
        <v>United Internet</v>
      </c>
      <c r="Z280" s="49"/>
      <c r="AE280" s="41"/>
      <c r="AF280" s="31"/>
      <c r="AG280" s="31"/>
      <c r="AI280" s="41"/>
      <c r="AJ280" s="64"/>
      <c r="AK280" s="64"/>
      <c r="AM280" s="41"/>
      <c r="AN280" s="64"/>
      <c r="AO280" s="64"/>
      <c r="AQ280" s="41"/>
      <c r="AR280" s="64"/>
      <c r="AS280" s="64"/>
    </row>
    <row r="281" spans="1:45" s="5" customFormat="1">
      <c r="A281" s="146"/>
      <c r="B281" s="42"/>
      <c r="C281" s="48" t="str">
        <f t="shared" si="50"/>
        <v>Vodafone</v>
      </c>
      <c r="D281" s="44" t="str">
        <f t="shared" si="50"/>
        <v>GBP 0.74</v>
      </c>
      <c r="E281" s="44" t="str">
        <f t="shared" si="50"/>
        <v>GBP 1.35</v>
      </c>
      <c r="F281" s="45">
        <f t="shared" si="50"/>
        <v>0.83673469387755106</v>
      </c>
      <c r="G281" s="44" t="str">
        <f t="shared" si="50"/>
        <v>Buy</v>
      </c>
      <c r="H281" s="46"/>
      <c r="I281" s="47">
        <f>VOD!$D$42</f>
        <v>1.5455828148210755</v>
      </c>
      <c r="J281" s="47">
        <f>VOD!$E$42</f>
        <v>1.40167195645159</v>
      </c>
      <c r="K281" s="47">
        <f>VOD!$F$42</f>
        <v>1.3299644768867618</v>
      </c>
      <c r="L281" s="47">
        <f>VOD!$G$42</f>
        <v>1.2140808300372401</v>
      </c>
      <c r="M281" s="45">
        <f>VOD!$H$42</f>
        <v>-4.2385246996824444E-3</v>
      </c>
      <c r="N281" s="46"/>
      <c r="O281" s="621">
        <f>(VOD!$D$23/VOD!$C$23)-1</f>
        <v>-9.3978468947505611E-2</v>
      </c>
      <c r="P281" s="621">
        <f>(VOD!$E$23/VOD!$D$23)-1</f>
        <v>1.7911088300932798E-2</v>
      </c>
      <c r="Q281" s="621">
        <f>(VOD!$F$23/VOD!$E$23)-1</f>
        <v>1.5589253112350487E-2</v>
      </c>
      <c r="R281" s="621">
        <f>(VOD!$G$23/VOD!$F$23)-1</f>
        <v>1.2587122527676131E-2</v>
      </c>
      <c r="S281" s="621">
        <f>VOD!$H$23</f>
        <v>1.5360148482219227E-2</v>
      </c>
      <c r="T281" s="46"/>
      <c r="U281" s="48" t="str">
        <f>U221</f>
        <v>GBP 0.74</v>
      </c>
      <c r="V281" s="44" t="s">
        <v>281</v>
      </c>
      <c r="Z281" s="46"/>
      <c r="AE281" s="41"/>
      <c r="AF281" s="31"/>
      <c r="AG281" s="31"/>
      <c r="AI281" s="41"/>
      <c r="AJ281" s="64"/>
      <c r="AK281" s="64"/>
      <c r="AM281" s="41"/>
      <c r="AN281" s="64"/>
      <c r="AO281" s="64"/>
      <c r="AQ281" s="41"/>
      <c r="AR281" s="64"/>
      <c r="AS281" s="64"/>
    </row>
    <row r="282" spans="1:45" s="5" customFormat="1">
      <c r="A282" s="146"/>
      <c r="B282" s="42"/>
      <c r="C282" s="51" t="str">
        <f>C222</f>
        <v>Agg. W. Europe Other</v>
      </c>
      <c r="D282" s="52"/>
      <c r="E282" s="52"/>
      <c r="F282" s="53"/>
      <c r="G282" s="52"/>
      <c r="H282" s="46"/>
      <c r="I282" s="54">
        <f>'W.EUR OTHER'!$D$42</f>
        <v>1.7744255045715212</v>
      </c>
      <c r="J282" s="54">
        <f>'W.EUR OTHER'!$E$42</f>
        <v>1.6143851746135043</v>
      </c>
      <c r="K282" s="54">
        <f>'W.EUR OTHER'!$F$42</f>
        <v>1.516251557360391</v>
      </c>
      <c r="L282" s="54">
        <f>'W.EUR OTHER'!$G$42</f>
        <v>1.4124281433920347</v>
      </c>
      <c r="M282" s="55">
        <f>'W.EUR OTHER'!$H$42</f>
        <v>1.1312273411797191E-2</v>
      </c>
      <c r="N282" s="56"/>
      <c r="O282" s="622">
        <f>('W.EUR OTHER'!$D$23/'W.EUR OTHER'!$C$23)-1</f>
        <v>-5.2292321464257996E-2</v>
      </c>
      <c r="P282" s="622">
        <f>('W.EUR OTHER'!$E$23/'W.EUR OTHER'!$D$23)-1</f>
        <v>1.7729931062695936E-2</v>
      </c>
      <c r="Q282" s="622">
        <f>('W.EUR OTHER'!$F$23/'W.EUR OTHER'!$E$23)-1</f>
        <v>1.5819783249789054E-2</v>
      </c>
      <c r="R282" s="622">
        <f>('W.EUR OTHER'!$G$23/'W.EUR OTHER'!$F$23)-1</f>
        <v>1.3603963230206295E-2</v>
      </c>
      <c r="S282" s="622">
        <f>'W.EUR OTHER'!$H$23</f>
        <v>1.5716493135688125E-2</v>
      </c>
      <c r="T282" s="46"/>
      <c r="U282" s="57"/>
      <c r="V282" s="58" t="str">
        <f>C282</f>
        <v>Agg. W. Europe Other</v>
      </c>
      <c r="Z282" s="49"/>
      <c r="AE282" s="41"/>
      <c r="AF282" s="31"/>
      <c r="AG282" s="31"/>
      <c r="AI282" s="41"/>
      <c r="AJ282" s="64"/>
      <c r="AK282" s="64"/>
      <c r="AM282" s="41"/>
      <c r="AN282" s="64"/>
      <c r="AO282" s="64"/>
      <c r="AQ282" s="41"/>
      <c r="AR282" s="64"/>
      <c r="AS282" s="64"/>
    </row>
    <row r="283" spans="1:45" s="5" customFormat="1">
      <c r="A283" s="146"/>
      <c r="B283" s="42"/>
      <c r="C283" s="48"/>
      <c r="D283" s="44"/>
      <c r="E283" s="44"/>
      <c r="F283" s="45"/>
      <c r="G283" s="44"/>
      <c r="H283" s="46"/>
      <c r="I283" s="47"/>
      <c r="J283" s="47"/>
      <c r="K283" s="47"/>
      <c r="L283" s="47"/>
      <c r="M283" s="45"/>
      <c r="N283" s="46"/>
      <c r="O283" s="621"/>
      <c r="P283" s="621"/>
      <c r="Q283" s="621"/>
      <c r="R283" s="621"/>
      <c r="S283" s="621"/>
      <c r="T283" s="46"/>
      <c r="U283" s="48"/>
      <c r="V283" s="44"/>
      <c r="W283" s="47"/>
      <c r="X283" s="47"/>
      <c r="Y283" s="138"/>
      <c r="Z283" s="46"/>
      <c r="AE283" s="41"/>
      <c r="AF283" s="31"/>
      <c r="AG283" s="31"/>
      <c r="AI283" s="41"/>
      <c r="AJ283" s="64"/>
      <c r="AK283" s="64"/>
      <c r="AM283" s="41"/>
      <c r="AN283" s="64"/>
      <c r="AO283" s="64"/>
      <c r="AQ283" s="41"/>
      <c r="AR283" s="64"/>
      <c r="AS283" s="64"/>
    </row>
    <row r="284" spans="1:45" s="5" customFormat="1">
      <c r="A284" s="41"/>
      <c r="B284" s="42" t="s">
        <v>556</v>
      </c>
      <c r="C284" s="48" t="s">
        <v>836</v>
      </c>
      <c r="D284" s="44" t="str">
        <f t="shared" ref="D284:G289" si="52">D224</f>
        <v>HKD 3</v>
      </c>
      <c r="E284" s="44" t="str">
        <f t="shared" si="52"/>
        <v>HKD 16</v>
      </c>
      <c r="F284" s="45">
        <f t="shared" si="52"/>
        <v>5.2256809338521402</v>
      </c>
      <c r="G284" s="44" t="str">
        <f t="shared" si="52"/>
        <v>Buy</v>
      </c>
      <c r="H284" s="46"/>
      <c r="I284" s="47">
        <f>HKBN!$D$42</f>
        <v>3.0070543692850311</v>
      </c>
      <c r="J284" s="47">
        <f>HKBN!$E$42</f>
        <v>2.9514519124367733</v>
      </c>
      <c r="K284" s="47">
        <f>HKBN!$F$42</f>
        <v>2.8111330050323389</v>
      </c>
      <c r="L284" s="47">
        <f>HKBN!$G$42</f>
        <v>2.5787851854004127</v>
      </c>
      <c r="M284" s="45">
        <f>HKBN!$H$42</f>
        <v>-0.13681522394659529</v>
      </c>
      <c r="N284" s="46"/>
      <c r="O284" s="621">
        <f>(HKBN!$D$23/HKBN!$C$23)-1</f>
        <v>3.6155657788187412E-2</v>
      </c>
      <c r="P284" s="621">
        <f>(HKBN!$E$23/HKBN!$D$23)-1</f>
        <v>3.4776941878001733E-2</v>
      </c>
      <c r="Q284" s="621">
        <f>(HKBN!$F$23/HKBN!$E$23)-1</f>
        <v>3.3338225984780312E-2</v>
      </c>
      <c r="R284" s="621">
        <f>(HKBN!$G$23/HKBN!$F$23)-1</f>
        <v>3.1836657074977071E-2</v>
      </c>
      <c r="S284" s="621">
        <f>HKBN!$H$23</f>
        <v>3.3316577648039525E-2</v>
      </c>
      <c r="T284" s="46"/>
      <c r="U284" s="48" t="str">
        <f t="shared" ref="U284:V289" si="53">U224</f>
        <v>HKD 3</v>
      </c>
      <c r="V284" s="69" t="str">
        <f t="shared" si="53"/>
        <v>HKBN</v>
      </c>
      <c r="Z284" s="49"/>
      <c r="AE284" s="41"/>
      <c r="AF284" s="31"/>
      <c r="AG284" s="31"/>
      <c r="AI284" s="41"/>
      <c r="AJ284" s="64"/>
      <c r="AK284" s="64"/>
      <c r="AM284" s="41"/>
      <c r="AN284" s="64"/>
      <c r="AO284" s="64"/>
      <c r="AQ284" s="41"/>
      <c r="AR284" s="64"/>
      <c r="AS284" s="64"/>
    </row>
    <row r="285" spans="1:45" s="5" customFormat="1">
      <c r="A285" s="146"/>
      <c r="B285" s="42"/>
      <c r="C285" s="48" t="str">
        <f t="shared" ref="C285:C290" si="54">C225</f>
        <v>KDDI</v>
      </c>
      <c r="D285" s="44" t="str">
        <f t="shared" si="52"/>
        <v>JPY 4,302</v>
      </c>
      <c r="E285" s="44" t="str">
        <f t="shared" si="52"/>
        <v>JPY 6,600</v>
      </c>
      <c r="F285" s="45">
        <f t="shared" si="52"/>
        <v>0.53417015341701535</v>
      </c>
      <c r="G285" s="44" t="str">
        <f t="shared" si="52"/>
        <v>Buy</v>
      </c>
      <c r="H285" s="46"/>
      <c r="I285" s="47">
        <f>KDDI!$D$42</f>
        <v>3.9725702388660422</v>
      </c>
      <c r="J285" s="47">
        <f>KDDI!$E$42</f>
        <v>3.7555378792500198</v>
      </c>
      <c r="K285" s="47">
        <f>KDDI!$F$42</f>
        <v>3.5007810437852949</v>
      </c>
      <c r="L285" s="47">
        <f>KDDI!$G$42</f>
        <v>3.2100078868331514</v>
      </c>
      <c r="M285" s="45">
        <f>KDDI!$H$42</f>
        <v>-7.7105628327385212E-3</v>
      </c>
      <c r="N285" s="46"/>
      <c r="O285" s="621">
        <f>(KDDI!$D$23/KDDI!$E$23)-1</f>
        <v>-3.1904413853430569E-2</v>
      </c>
      <c r="P285" s="621">
        <f>(KDDI!$E$23/KDDI!$D$23)-1</f>
        <v>3.2955850961394972E-2</v>
      </c>
      <c r="Q285" s="621">
        <f>(KDDI!$F$23/KDDI!$E$23)-1</f>
        <v>3.5214375070407256E-2</v>
      </c>
      <c r="R285" s="621">
        <f>(KDDI!$G$23/KDDI!$F$23)-1</f>
        <v>3.3175939837422952E-2</v>
      </c>
      <c r="S285" s="621">
        <f>KDDI!$H$23</f>
        <v>3.3781555483664238E-2</v>
      </c>
      <c r="T285" s="46"/>
      <c r="U285" s="48" t="str">
        <f t="shared" si="53"/>
        <v>JPY 4,302</v>
      </c>
      <c r="V285" s="44" t="str">
        <f t="shared" si="53"/>
        <v>KDDI</v>
      </c>
      <c r="Z285" s="49"/>
      <c r="AE285" s="41"/>
      <c r="AF285" s="31"/>
      <c r="AG285" s="31"/>
      <c r="AI285" s="41"/>
      <c r="AJ285" s="64"/>
      <c r="AK285" s="64"/>
      <c r="AM285" s="41"/>
      <c r="AN285" s="64"/>
      <c r="AO285" s="64"/>
      <c r="AQ285" s="41"/>
      <c r="AR285" s="64"/>
      <c r="AS285" s="64"/>
    </row>
    <row r="286" spans="1:45" s="5" customFormat="1">
      <c r="A286" s="41"/>
      <c r="B286" s="42"/>
      <c r="C286" s="48" t="str">
        <f t="shared" si="54"/>
        <v>Macquarie Telecom</v>
      </c>
      <c r="D286" s="44" t="str">
        <f t="shared" si="52"/>
        <v>AUD 85.20</v>
      </c>
      <c r="E286" s="44" t="str">
        <f t="shared" si="52"/>
        <v>AUD 28.00</v>
      </c>
      <c r="F286" s="45">
        <f t="shared" si="52"/>
        <v>-0.67136150234741787</v>
      </c>
      <c r="G286" s="44" t="str">
        <f t="shared" si="52"/>
        <v>Neutral</v>
      </c>
      <c r="H286" s="46"/>
      <c r="I286" s="47">
        <f>MAQ!$D$42</f>
        <v>18.360466326682808</v>
      </c>
      <c r="J286" s="47">
        <f>MAQ!$E$42</f>
        <v>17.401211480210062</v>
      </c>
      <c r="K286" s="47">
        <f>MAQ!$F$42</f>
        <v>17.066792976343475</v>
      </c>
      <c r="L286" s="47">
        <f>MAQ!$G$42</f>
        <v>17.715277149702668</v>
      </c>
      <c r="M286" s="45">
        <f>MAQ!$H$42</f>
        <v>1.1068298910270391E-2</v>
      </c>
      <c r="N286" s="46"/>
      <c r="O286" s="621">
        <f>(MAQ!$D$23/MAQ!$C$23)-1</f>
        <v>7.6166348969444408E-2</v>
      </c>
      <c r="P286" s="621">
        <f>(MAQ!$E$23/MAQ!$D$23)-1</f>
        <v>6.1017856200691112E-2</v>
      </c>
      <c r="Q286" s="621">
        <f>(MAQ!$F$23/MAQ!$E$23)-1</f>
        <v>4.066090897741681E-2</v>
      </c>
      <c r="R286" s="621">
        <f>(MAQ!$G$23/MAQ!$F$23)-1</f>
        <v>2.7921627931603243E-2</v>
      </c>
      <c r="S286" s="621">
        <f>MAQ!$H$23</f>
        <v>4.311129002235381E-2</v>
      </c>
      <c r="T286" s="46"/>
      <c r="U286" s="48" t="str">
        <f t="shared" si="53"/>
        <v>AUD 85.20</v>
      </c>
      <c r="V286" s="69" t="str">
        <f t="shared" si="53"/>
        <v>Macquarie Telecom</v>
      </c>
      <c r="Z286" s="46"/>
      <c r="AE286" s="41"/>
      <c r="AF286" s="31"/>
      <c r="AG286" s="31"/>
      <c r="AI286" s="41"/>
      <c r="AJ286" s="64"/>
      <c r="AK286" s="64"/>
      <c r="AM286" s="41"/>
      <c r="AN286" s="64"/>
      <c r="AO286" s="64"/>
      <c r="AQ286" s="41"/>
      <c r="AR286" s="64"/>
      <c r="AS286" s="64"/>
    </row>
    <row r="287" spans="1:45" s="5" customFormat="1">
      <c r="A287" s="146"/>
      <c r="B287" s="42"/>
      <c r="C287" s="48" t="str">
        <f t="shared" si="54"/>
        <v>Rakuten</v>
      </c>
      <c r="D287" s="44" t="str">
        <f t="shared" si="52"/>
        <v>JPY 776</v>
      </c>
      <c r="E287" s="44" t="str">
        <f t="shared" si="52"/>
        <v>JPY 400</v>
      </c>
      <c r="F287" s="45">
        <f t="shared" si="52"/>
        <v>-0.48446964815053484</v>
      </c>
      <c r="G287" s="44" t="str">
        <f t="shared" si="52"/>
        <v>Reduce</v>
      </c>
      <c r="H287" s="46"/>
      <c r="I287" s="47">
        <f>RAK!$D$42</f>
        <v>1.5536307273916263</v>
      </c>
      <c r="J287" s="47">
        <f>RAK!$E$42</f>
        <v>1.5063875312591182</v>
      </c>
      <c r="K287" s="47">
        <f>RAK!$F$42</f>
        <v>1.4589576298855911</v>
      </c>
      <c r="L287" s="47">
        <f>RAK!$G$42</f>
        <v>1.40974852522387</v>
      </c>
      <c r="M287" s="45">
        <f>RAK!$H$42</f>
        <v>3.056918535542863E-2</v>
      </c>
      <c r="N287" s="46"/>
      <c r="O287" s="621">
        <f>(RAK!$D$23/RAK!$C$23)-1</f>
        <v>7.8307808759879638E-2</v>
      </c>
      <c r="P287" s="621">
        <f>(RAK!$E$23/RAK!$D$23)-1</f>
        <v>0.10040823641873131</v>
      </c>
      <c r="Q287" s="621">
        <f>(RAK!$F$23/RAK!$E$23)-1</f>
        <v>9.3457718783162225E-2</v>
      </c>
      <c r="R287" s="621">
        <f>(RAK!$G$23/RAK!$F$23)-1</f>
        <v>8.4457563445194506E-2</v>
      </c>
      <c r="S287" s="621">
        <f>RAK!$H$23</f>
        <v>9.2754984983704158E-2</v>
      </c>
      <c r="T287" s="46"/>
      <c r="U287" s="48" t="str">
        <f t="shared" si="53"/>
        <v>JPY 776</v>
      </c>
      <c r="V287" s="44" t="str">
        <f t="shared" si="53"/>
        <v>Rakuten</v>
      </c>
      <c r="Z287" s="49"/>
      <c r="AE287" s="41"/>
      <c r="AF287" s="31"/>
      <c r="AG287" s="31"/>
      <c r="AI287" s="41"/>
      <c r="AJ287" s="64"/>
      <c r="AK287" s="64"/>
      <c r="AM287" s="41"/>
      <c r="AN287" s="64"/>
      <c r="AO287" s="64"/>
      <c r="AQ287" s="41"/>
      <c r="AR287" s="64"/>
      <c r="AS287" s="64"/>
    </row>
    <row r="288" spans="1:45" s="5" customFormat="1">
      <c r="A288" s="146"/>
      <c r="B288" s="42"/>
      <c r="C288" s="48" t="str">
        <f t="shared" si="54"/>
        <v>SoftBank KK (Corp)</v>
      </c>
      <c r="D288" s="44" t="str">
        <f t="shared" si="52"/>
        <v>JPY 1,898</v>
      </c>
      <c r="E288" s="44" t="str">
        <f t="shared" si="52"/>
        <v>JPY 2,500</v>
      </c>
      <c r="F288" s="45">
        <f t="shared" si="52"/>
        <v>0.31752305665349145</v>
      </c>
      <c r="G288" s="44" t="str">
        <f t="shared" si="52"/>
        <v>Buy</v>
      </c>
      <c r="H288" s="46"/>
      <c r="I288" s="47">
        <f>SBKK!$D$42</f>
        <v>8.6141144104517213</v>
      </c>
      <c r="J288" s="47">
        <f>SBKK!$E$42</f>
        <v>9.2411847294022689</v>
      </c>
      <c r="K288" s="47">
        <f>SBKK!$F$42</f>
        <v>10.017530438778424</v>
      </c>
      <c r="L288" s="47">
        <f>SBKK!$G$42</f>
        <v>10.995783694612134</v>
      </c>
      <c r="M288" s="45">
        <f>SBKK!$H$42</f>
        <v>-0.13813384628468717</v>
      </c>
      <c r="N288" s="46"/>
      <c r="O288" s="621">
        <f>(SBKK!$D$23/SBKK!$C$23)-1</f>
        <v>2.9093369418132564E-2</v>
      </c>
      <c r="P288" s="621">
        <f>(SBKK!$E$23/SBKK!$D$23)-1</f>
        <v>6.5849355109605323E-2</v>
      </c>
      <c r="Q288" s="621">
        <f>(SBKK!$F$23/SBKK!$E$23)-1</f>
        <v>5.7201487317210198E-2</v>
      </c>
      <c r="R288" s="621">
        <f>(SBKK!$G$23/SBKK!$F$23)-1</f>
        <v>5.9551845740080545E-2</v>
      </c>
      <c r="S288" s="621">
        <f>SBKK!$H$23</f>
        <v>6.0861287290907562E-2</v>
      </c>
      <c r="T288" s="46"/>
      <c r="U288" s="48" t="str">
        <f t="shared" si="53"/>
        <v>JPY 1,898</v>
      </c>
      <c r="V288" s="44" t="str">
        <f t="shared" si="53"/>
        <v>SoftBank KK (Corp)</v>
      </c>
      <c r="Z288" s="49"/>
      <c r="AE288" s="41"/>
      <c r="AF288" s="31"/>
      <c r="AG288" s="31"/>
      <c r="AI288" s="41"/>
      <c r="AJ288" s="64"/>
      <c r="AK288" s="64"/>
      <c r="AM288" s="41"/>
      <c r="AN288" s="64"/>
      <c r="AO288" s="64"/>
      <c r="AQ288" s="41"/>
      <c r="AR288" s="64"/>
      <c r="AS288" s="64"/>
    </row>
    <row r="289" spans="1:45" s="5" customFormat="1">
      <c r="A289" s="41"/>
      <c r="B289" s="42"/>
      <c r="C289" s="48" t="str">
        <f t="shared" si="54"/>
        <v>TPG</v>
      </c>
      <c r="D289" s="44" t="str">
        <f t="shared" si="52"/>
        <v>AUD 4.60</v>
      </c>
      <c r="E289" s="44" t="str">
        <f t="shared" si="52"/>
        <v>AUD 7.50</v>
      </c>
      <c r="F289" s="45">
        <f t="shared" si="52"/>
        <v>0.63043478260869579</v>
      </c>
      <c r="G289" s="44" t="str">
        <f t="shared" si="52"/>
        <v>Neutral</v>
      </c>
      <c r="H289" s="46"/>
      <c r="I289" s="47">
        <f>TPG!$D$42</f>
        <v>3.3874238532575713</v>
      </c>
      <c r="J289" s="47">
        <f>TPG!$E$42</f>
        <v>3.1905313046597654</v>
      </c>
      <c r="K289" s="47">
        <f>TPG!$F$42</f>
        <v>3.0022304212939064</v>
      </c>
      <c r="L289" s="47">
        <f>TPG!$G$42</f>
        <v>2.8376165823739887</v>
      </c>
      <c r="M289" s="45">
        <f>TPG!$H$42</f>
        <v>4.4608781409746667E-2</v>
      </c>
      <c r="N289" s="46"/>
      <c r="O289" s="621">
        <f>(TPG!$D$23/TPG!$C$23)-1</f>
        <v>7.1696209880831585E-2</v>
      </c>
      <c r="P289" s="621">
        <f>(TPG!$E$23/TPG!$D$23)-1</f>
        <v>4.3110370937593512E-2</v>
      </c>
      <c r="Q289" s="621">
        <f>(TPG!$F$23/TPG!$E$23)-1</f>
        <v>3.0459374434006481E-2</v>
      </c>
      <c r="R289" s="621">
        <f>(TPG!$G$23/TPG!$F$23)-1</f>
        <v>2.412375787790455E-2</v>
      </c>
      <c r="S289" s="621">
        <f>TPG!$H$23</f>
        <v>3.2534392300954673E-2</v>
      </c>
      <c r="T289" s="46"/>
      <c r="U289" s="48" t="str">
        <f t="shared" si="53"/>
        <v>AUD 4.60</v>
      </c>
      <c r="V289" s="44" t="str">
        <f t="shared" si="53"/>
        <v>TPG</v>
      </c>
      <c r="Z289" s="46"/>
      <c r="AE289" s="41"/>
      <c r="AF289" s="31"/>
      <c r="AG289" s="31"/>
      <c r="AI289" s="41"/>
      <c r="AJ289" s="64"/>
      <c r="AK289" s="64"/>
      <c r="AM289" s="41"/>
      <c r="AN289" s="64"/>
      <c r="AO289" s="64"/>
      <c r="AQ289" s="41"/>
      <c r="AR289" s="64"/>
      <c r="AS289" s="64"/>
    </row>
    <row r="290" spans="1:45" s="5" customFormat="1">
      <c r="A290" s="146"/>
      <c r="B290" s="42"/>
      <c r="C290" s="51" t="str">
        <f t="shared" si="54"/>
        <v>Agg. Developed Asia Other</v>
      </c>
      <c r="D290" s="52"/>
      <c r="E290" s="52"/>
      <c r="F290" s="53"/>
      <c r="G290" s="52"/>
      <c r="H290" s="46"/>
      <c r="I290" s="54">
        <f>'DM ASIA OTHER'!$D$42</f>
        <v>4.560852656781643</v>
      </c>
      <c r="J290" s="54">
        <f>'DM ASIA OTHER'!$E$42</f>
        <v>4.4391781472313179</v>
      </c>
      <c r="K290" s="54">
        <f>'DM ASIA OTHER'!$F$42</f>
        <v>4.2798853129501655</v>
      </c>
      <c r="L290" s="54">
        <f>'DM ASIA OTHER'!$G$42</f>
        <v>4.0773979497299528</v>
      </c>
      <c r="M290" s="55">
        <f>'DM ASIA OTHER'!$H$42</f>
        <v>-2.776838011546956E-2</v>
      </c>
      <c r="N290" s="56"/>
      <c r="O290" s="622">
        <f>('DM ASIA OTHER'!$D$23/'DM ASIA OTHER'!$C$23)-1</f>
        <v>3.1750023950493089E-2</v>
      </c>
      <c r="P290" s="622">
        <f>('DM ASIA OTHER'!$E$23/'DM ASIA OTHER'!$D$23)-1</f>
        <v>5.6439333300024153E-2</v>
      </c>
      <c r="Q290" s="622">
        <f>('DM ASIA OTHER'!$F$23/'DM ASIA OTHER'!$E$23)-1</f>
        <v>5.2649746427256394E-2</v>
      </c>
      <c r="R290" s="622">
        <f>('DM ASIA OTHER'!$G$23/'DM ASIA OTHER'!$F$23)-1</f>
        <v>5.1595358893768761E-2</v>
      </c>
      <c r="S290" s="622">
        <f>'DM ASIA OTHER'!$H$23</f>
        <v>5.3559427902102774E-2</v>
      </c>
      <c r="T290" s="46"/>
      <c r="U290" s="57"/>
      <c r="V290" s="58" t="str">
        <f>V230</f>
        <v>Agg. Developed Asia Cellular</v>
      </c>
      <c r="Z290" s="49"/>
      <c r="AE290" s="41"/>
      <c r="AF290" s="31"/>
      <c r="AG290" s="31"/>
      <c r="AI290" s="41"/>
      <c r="AJ290" s="64"/>
      <c r="AK290" s="64"/>
      <c r="AM290" s="41"/>
      <c r="AN290" s="64"/>
      <c r="AO290" s="64"/>
      <c r="AQ290" s="41"/>
      <c r="AR290" s="64"/>
      <c r="AS290" s="64"/>
    </row>
    <row r="291" spans="1:45" s="5" customFormat="1">
      <c r="A291" s="41"/>
      <c r="B291" s="42"/>
      <c r="C291" s="48"/>
      <c r="D291" s="44"/>
      <c r="E291" s="44"/>
      <c r="F291" s="45"/>
      <c r="G291" s="44"/>
      <c r="H291" s="46"/>
      <c r="I291" s="47"/>
      <c r="J291" s="47"/>
      <c r="K291" s="47"/>
      <c r="L291" s="47"/>
      <c r="M291" s="45"/>
      <c r="N291" s="46"/>
      <c r="O291" s="621"/>
      <c r="P291" s="621"/>
      <c r="Q291" s="621"/>
      <c r="R291" s="621"/>
      <c r="S291" s="621"/>
      <c r="T291" s="46"/>
      <c r="U291" s="48"/>
      <c r="V291" s="44"/>
      <c r="Z291" s="49"/>
      <c r="AE291" s="41"/>
      <c r="AF291" s="31"/>
      <c r="AG291" s="31"/>
      <c r="AI291" s="41"/>
      <c r="AJ291" s="64"/>
      <c r="AK291" s="64"/>
      <c r="AM291" s="41"/>
      <c r="AN291" s="64"/>
      <c r="AO291" s="64"/>
      <c r="AQ291" s="41"/>
      <c r="AR291" s="64"/>
      <c r="AS291" s="64"/>
    </row>
    <row r="292" spans="1:45" s="5" customFormat="1">
      <c r="A292" s="41"/>
      <c r="B292" s="42"/>
      <c r="C292" s="48" t="str">
        <f>C232</f>
        <v>Altice US</v>
      </c>
      <c r="D292" s="44" t="str">
        <f>D232</f>
        <v>US$2.3</v>
      </c>
      <c r="E292" s="44" t="str">
        <f>E232</f>
        <v>US$4.0</v>
      </c>
      <c r="F292" s="45">
        <f>F232</f>
        <v>0.71673819742489275</v>
      </c>
      <c r="G292" s="44" t="str">
        <f>G232</f>
        <v>Neutral</v>
      </c>
      <c r="H292" s="46"/>
      <c r="I292" s="47">
        <f>ATCUS!$D$42</f>
        <v>3.1894840982855772</v>
      </c>
      <c r="J292" s="47">
        <f>ATCUS!$E$42</f>
        <v>3.18626126272305</v>
      </c>
      <c r="K292" s="47">
        <f>ATCUS!$F$42</f>
        <v>3.2346064106605588</v>
      </c>
      <c r="L292" s="47">
        <f>ATCUS!$G$42</f>
        <v>3.3109623376125814</v>
      </c>
      <c r="M292" s="45">
        <f>ATCUS!$H$42</f>
        <v>-1.41916045432805E-2</v>
      </c>
      <c r="N292" s="46"/>
      <c r="O292" s="621">
        <f>(ATCUS!D$23/ATCUS!C$23)-1</f>
        <v>-4.2559029086745248E-2</v>
      </c>
      <c r="P292" s="621">
        <f>(ATCUS!E$23/ATCUS!D$23)-1</f>
        <v>-1.9083023971777857E-2</v>
      </c>
      <c r="Q292" s="621">
        <f>(ATCUS!$F$23/ATCUS!$E$23)-1</f>
        <v>-1.4102013780280864E-2</v>
      </c>
      <c r="R292" s="621">
        <f>(ATCUS!$G$23/ATCUS!$F$23)-1</f>
        <v>-3.4076051748190839E-3</v>
      </c>
      <c r="S292" s="621">
        <f>ATCUS!$H$23</f>
        <v>-1.2219156094296912E-2</v>
      </c>
      <c r="T292" s="46"/>
      <c r="U292" s="48" t="str">
        <f>D292</f>
        <v>US$2.3</v>
      </c>
      <c r="V292" s="44" t="s">
        <v>309</v>
      </c>
      <c r="Z292" s="49"/>
      <c r="AE292" s="41"/>
      <c r="AF292" s="31"/>
      <c r="AG292" s="31"/>
      <c r="AI292" s="41"/>
      <c r="AJ292" s="64"/>
      <c r="AK292" s="64"/>
      <c r="AM292" s="41"/>
      <c r="AN292" s="64"/>
      <c r="AO292" s="64"/>
      <c r="AQ292" s="41"/>
      <c r="AR292" s="64"/>
      <c r="AS292" s="64"/>
    </row>
    <row r="293" spans="1:45" s="5" customFormat="1">
      <c r="A293" s="41"/>
      <c r="B293" s="42"/>
      <c r="C293" s="48" t="s">
        <v>311</v>
      </c>
      <c r="D293" s="44" t="str">
        <f>B293&amp;TEXT(Prices!$C$45,"0.0")</f>
        <v>271.5</v>
      </c>
      <c r="E293" s="44" t="str">
        <f>B293&amp;TEXT(Prices!$E$45,"0.0")</f>
        <v>581.0</v>
      </c>
      <c r="F293" s="45">
        <f>Prices!$F$45</f>
        <v>1.1402784940691078</v>
      </c>
      <c r="G293" s="44" t="str">
        <f>Prices!$D$45</f>
        <v>Buy</v>
      </c>
      <c r="H293" s="46"/>
      <c r="I293" s="47">
        <f>CHTR!$D$42</f>
        <v>3.8142800419604335</v>
      </c>
      <c r="J293" s="47">
        <f>CHTR!$E$42</f>
        <v>3.6217764960257757</v>
      </c>
      <c r="K293" s="47">
        <f>CHTR!$F$42</f>
        <v>3.4282855433064676</v>
      </c>
      <c r="L293" s="47">
        <f>CHTR!$G$42</f>
        <v>3.4256516165069928</v>
      </c>
      <c r="M293" s="45">
        <f>CHTR!$H$42</f>
        <v>3.2004947857466881E-2</v>
      </c>
      <c r="N293" s="46"/>
      <c r="O293" s="621">
        <f>(CHTR!D$23/CHTR!C$23)-1</f>
        <v>1.0828921550479542E-2</v>
      </c>
      <c r="P293" s="621">
        <f>(CHTR!E$23/CHTR!D$23)-1</f>
        <v>1.3477394524765263E-2</v>
      </c>
      <c r="Q293" s="621">
        <f>(CHTR!$F$23/CHTR!$E$23)-1</f>
        <v>4.6697826194572745E-3</v>
      </c>
      <c r="R293" s="621">
        <f>(CHTR!$G$23/CHTR!$F$23)-1</f>
        <v>2.3670176181437519E-2</v>
      </c>
      <c r="S293" s="621">
        <f>CHTR!$H$23</f>
        <v>1.3909406851535078E-2</v>
      </c>
      <c r="T293" s="46"/>
      <c r="U293" s="48" t="str">
        <f>D293</f>
        <v>271.5</v>
      </c>
      <c r="V293" s="44" t="s">
        <v>311</v>
      </c>
      <c r="Z293" s="49"/>
      <c r="AE293" s="41"/>
      <c r="AF293" s="31"/>
      <c r="AG293" s="31"/>
      <c r="AI293" s="41"/>
      <c r="AJ293" s="64"/>
      <c r="AK293" s="64"/>
      <c r="AM293" s="41"/>
      <c r="AN293" s="64"/>
      <c r="AO293" s="64"/>
      <c r="AQ293" s="41"/>
      <c r="AR293" s="64"/>
      <c r="AS293" s="64"/>
    </row>
    <row r="294" spans="1:45" s="5" customFormat="1">
      <c r="A294" s="41"/>
      <c r="B294" s="42"/>
      <c r="C294" s="48" t="s">
        <v>309</v>
      </c>
      <c r="D294" s="44" t="str">
        <f>B294&amp;TEXT(Prices!$C$46,"0.0")</f>
        <v>38.5</v>
      </c>
      <c r="E294" s="44" t="str">
        <f>B294&amp;TEXT(Prices!$E$46,"0.0")</f>
        <v>50.0</v>
      </c>
      <c r="F294" s="45">
        <f>Prices!$F$46</f>
        <v>0.29735339906590563</v>
      </c>
      <c r="G294" s="44" t="str">
        <f>Prices!$D$46</f>
        <v>Buy</v>
      </c>
      <c r="H294" s="46"/>
      <c r="I294" s="47">
        <f>CMCSA!$D$42</f>
        <v>3.7232727378031956</v>
      </c>
      <c r="J294" s="47">
        <f>CMCSA!$E$42</f>
        <v>3.6840317583462956</v>
      </c>
      <c r="K294" s="47">
        <f>CMCSA!$F$42</f>
        <v>3.6625866144024894</v>
      </c>
      <c r="L294" s="47">
        <f>CMCSA!$G$42</f>
        <v>3.7314729065232419</v>
      </c>
      <c r="M294" s="45">
        <f>CMCSA!$H$42</f>
        <v>-5.0693004929310614E-2</v>
      </c>
      <c r="N294" s="46"/>
      <c r="O294" s="621">
        <f>(CMCSA!D$23/CMCSA!C$23)-1</f>
        <v>1.1710368113317937E-3</v>
      </c>
      <c r="P294" s="621">
        <f>(CMCSA!E$23/CMCSA!D$23)-1</f>
        <v>2.8175729221326273E-2</v>
      </c>
      <c r="Q294" s="621">
        <f>(CMCSA!$F$23/CMCSA!$E$23)-1</f>
        <v>2.333313742831189E-3</v>
      </c>
      <c r="R294" s="621">
        <f>(CMCSA!$G$23/CMCSA!$F$23)-1</f>
        <v>1.6217868426750881E-2</v>
      </c>
      <c r="S294" s="621">
        <f>CMCSA!$H$23</f>
        <v>1.5520698985130199E-2</v>
      </c>
      <c r="T294" s="46"/>
      <c r="U294" s="48" t="str">
        <f>D294</f>
        <v>38.5</v>
      </c>
      <c r="V294" s="44" t="s">
        <v>309</v>
      </c>
      <c r="Z294" s="49"/>
      <c r="AE294" s="41"/>
      <c r="AF294" s="31"/>
      <c r="AG294" s="31"/>
      <c r="AI294" s="41"/>
      <c r="AJ294" s="64"/>
      <c r="AK294" s="64"/>
      <c r="AM294" s="41"/>
      <c r="AN294" s="64"/>
      <c r="AO294" s="64"/>
      <c r="AQ294" s="41"/>
      <c r="AR294" s="64"/>
      <c r="AS294" s="64"/>
    </row>
    <row r="295" spans="1:45" s="5" customFormat="1">
      <c r="A295" s="41"/>
      <c r="B295" s="42" t="s">
        <v>527</v>
      </c>
      <c r="C295" s="48" t="s">
        <v>1615</v>
      </c>
      <c r="D295" s="44" t="str">
        <f>B295&amp;TEXT(Prices!C$47,"0.00")</f>
        <v>US$ 25.58</v>
      </c>
      <c r="E295" s="44" t="str">
        <f>B295&amp;TEXT(Prices!E$47,"0.00")</f>
        <v>US$ 54.00</v>
      </c>
      <c r="F295" s="45">
        <f>Prices!F$47</f>
        <v>1.111024237685692</v>
      </c>
      <c r="G295" s="44" t="str">
        <f>Prices!D$47</f>
        <v>Buy</v>
      </c>
      <c r="H295" s="46"/>
      <c r="I295" s="47">
        <f>FYBR!D$42</f>
        <v>1.2354725241440228</v>
      </c>
      <c r="J295" s="47">
        <f>FYBR!E$42</f>
        <v>1.1426704048577869</v>
      </c>
      <c r="K295" s="47">
        <f>FYBR!F$42</f>
        <v>1.1542472778050108</v>
      </c>
      <c r="L295" s="47">
        <f>FYBR!G$42</f>
        <v>1.1241302644553297</v>
      </c>
      <c r="M295" s="45">
        <f>FYBR!H$42</f>
        <v>3.3177717934998796E-2</v>
      </c>
      <c r="N295" s="46"/>
      <c r="O295" s="621">
        <f>(FYBR!$D$23/FYBR!$C$23)-1</f>
        <v>-6.2208398133748455E-3</v>
      </c>
      <c r="P295" s="621">
        <f>(FYBR!$E$23/FYBR!$D$23)-1</f>
        <v>-0.75013470991021813</v>
      </c>
      <c r="Q295" s="621">
        <f>(FYBR!$F$23/FYBR!$E$23)-1</f>
        <v>2.9917542488915316E-3</v>
      </c>
      <c r="R295" s="621">
        <f>(FYBR!$G$23/FYBR!$F$23)-1</f>
        <v>-7.4672181758095313E-3</v>
      </c>
      <c r="S295" s="621">
        <f>FYBR!$H$23</f>
        <v>-0.37109837392480916</v>
      </c>
      <c r="T295" s="46"/>
      <c r="U295" s="48" t="str">
        <f>D295</f>
        <v>US$ 25.58</v>
      </c>
      <c r="V295" s="44" t="str">
        <f>C295</f>
        <v>Frontier</v>
      </c>
      <c r="Z295" s="49"/>
      <c r="AE295" s="41"/>
      <c r="AF295" s="31"/>
      <c r="AG295" s="31"/>
      <c r="AI295" s="41"/>
      <c r="AJ295" s="64"/>
      <c r="AK295" s="64"/>
      <c r="AM295" s="41"/>
      <c r="AN295" s="64"/>
      <c r="AO295" s="64"/>
      <c r="AQ295" s="41"/>
      <c r="AR295" s="64"/>
      <c r="AS295" s="64"/>
    </row>
    <row r="296" spans="1:45" s="5" customFormat="1">
      <c r="A296" s="41"/>
      <c r="B296" s="42" t="s">
        <v>527</v>
      </c>
      <c r="C296" s="48" t="s">
        <v>1616</v>
      </c>
      <c r="D296" s="44" t="str">
        <f>B296&amp;TEXT(Prices!C$48,"0.00")</f>
        <v>US$ 18.49</v>
      </c>
      <c r="E296" s="44" t="str">
        <f>B296&amp;TEXT(Prices!E$48,"0.00")</f>
        <v>US$ 100.00</v>
      </c>
      <c r="F296" s="45">
        <f>Prices!F$48</f>
        <v>4.408328826392645</v>
      </c>
      <c r="G296" s="44" t="str">
        <f>Prices!D$48</f>
        <v>Buy</v>
      </c>
      <c r="H296" s="46"/>
      <c r="I296" s="47">
        <f>SATS!D$42</f>
        <v>3.0270935993976336</v>
      </c>
      <c r="J296" s="47">
        <f>SATS!E$42</f>
        <v>2.7605930293570711</v>
      </c>
      <c r="K296" s="47">
        <f>SATS!F$42</f>
        <v>2.5848918085284187</v>
      </c>
      <c r="L296" s="47">
        <f>SATS!G$42</f>
        <v>2.0625911820164027</v>
      </c>
      <c r="M296" s="45">
        <f>SATS!H$42</f>
        <v>4.5519366726737731E-2</v>
      </c>
      <c r="N296" s="46"/>
      <c r="O296" s="621">
        <f>(SATS!$D$23/SATS!$C$23)-1</f>
        <v>-8.7090462141030001E-2</v>
      </c>
      <c r="P296" s="621">
        <f>(SATS!$E$23/SATS!$D$23)-1</f>
        <v>-1.5971255015767905E-2</v>
      </c>
      <c r="Q296" s="621">
        <f>(SATS!$F$23/SATS!$E$23)-1</f>
        <v>3.4880309492166806E-2</v>
      </c>
      <c r="R296" s="621">
        <f>(SATS!$G$23/SATS!$F$23)-1</f>
        <v>3.3119935647860421E-2</v>
      </c>
      <c r="S296" s="621">
        <f>SATS!$H$23</f>
        <v>1.7066969438098267E-2</v>
      </c>
      <c r="T296" s="46"/>
      <c r="U296" s="48" t="str">
        <f>D296</f>
        <v>US$ 18.49</v>
      </c>
      <c r="V296" s="44" t="str">
        <f>C296</f>
        <v>EchoStar</v>
      </c>
      <c r="Z296" s="49"/>
      <c r="AE296" s="41"/>
      <c r="AF296" s="31"/>
      <c r="AG296" s="31"/>
      <c r="AI296" s="41"/>
      <c r="AJ296" s="64"/>
      <c r="AK296" s="64"/>
      <c r="AM296" s="41"/>
      <c r="AN296" s="64"/>
      <c r="AO296" s="64"/>
      <c r="AQ296" s="41"/>
      <c r="AR296" s="64"/>
      <c r="AS296" s="64"/>
    </row>
    <row r="297" spans="1:45" s="5" customFormat="1">
      <c r="A297" s="146"/>
      <c r="B297" s="42"/>
      <c r="C297" s="51" t="str">
        <f>C237</f>
        <v>Agg. US Other</v>
      </c>
      <c r="D297" s="58"/>
      <c r="E297" s="58"/>
      <c r="F297" s="55"/>
      <c r="G297" s="58"/>
      <c r="H297" s="56"/>
      <c r="I297" s="54">
        <f>'US OTHER'!D$42</f>
        <v>3.3822118406750996</v>
      </c>
      <c r="J297" s="54">
        <f>'US OTHER'!E$42</f>
        <v>3.2615783050725393</v>
      </c>
      <c r="K297" s="54">
        <f>'US OTHER'!F$42</f>
        <v>3.1662143476325193</v>
      </c>
      <c r="L297" s="54">
        <f>'US OTHER'!G$42</f>
        <v>3.1303282941479575</v>
      </c>
      <c r="M297" s="55">
        <f>'US OTHER'!H$42</f>
        <v>-4.9190074724069222E-3</v>
      </c>
      <c r="N297" s="56"/>
      <c r="O297" s="622">
        <f>('US OTHER'!$D$23/'US OTHER'!$C$23)-1</f>
        <v>-6.4229881412645184E-3</v>
      </c>
      <c r="P297" s="622">
        <f>('US OTHER'!$E$23/'US OTHER'!$D$23)-1</f>
        <v>-2.8877127306623507E-3</v>
      </c>
      <c r="Q297" s="622">
        <f>('US OTHER'!$F$23/'US OTHER'!$E$23)-1</f>
        <v>4.8737017496724988E-3</v>
      </c>
      <c r="R297" s="622">
        <f>('US OTHER'!$G$23/'US OTHER'!$F$23)-1</f>
        <v>1.8606759072677059E-2</v>
      </c>
      <c r="S297" s="622">
        <f>'US OTHER'!$H$23</f>
        <v>6.8251004257615655E-3</v>
      </c>
      <c r="T297" s="56"/>
      <c r="U297" s="51"/>
      <c r="V297" s="58" t="str">
        <f>V237</f>
        <v>Agg. US CATV</v>
      </c>
      <c r="Z297" s="49"/>
      <c r="AE297" s="41"/>
      <c r="AF297" s="31"/>
      <c r="AG297" s="31"/>
      <c r="AI297" s="41"/>
      <c r="AJ297" s="64"/>
      <c r="AK297" s="64"/>
      <c r="AM297" s="41"/>
      <c r="AN297" s="64"/>
      <c r="AO297" s="64"/>
      <c r="AQ297" s="41"/>
      <c r="AR297" s="64"/>
      <c r="AS297" s="64"/>
    </row>
    <row r="298" spans="1:45" s="5" customFormat="1">
      <c r="A298" s="41"/>
      <c r="B298" s="42"/>
      <c r="C298" s="48"/>
      <c r="D298" s="44"/>
      <c r="E298" s="44"/>
      <c r="F298" s="45"/>
      <c r="G298" s="44"/>
      <c r="H298" s="46"/>
      <c r="I298" s="47"/>
      <c r="J298" s="47"/>
      <c r="K298" s="47"/>
      <c r="L298" s="47"/>
      <c r="M298" s="45"/>
      <c r="N298" s="46"/>
      <c r="O298" s="621"/>
      <c r="P298" s="621"/>
      <c r="Q298" s="621"/>
      <c r="R298" s="621"/>
      <c r="S298" s="621"/>
      <c r="T298" s="46"/>
      <c r="U298" s="48"/>
      <c r="V298" s="44"/>
      <c r="Z298" s="49"/>
      <c r="AE298" s="41"/>
      <c r="AF298" s="31"/>
      <c r="AG298" s="31"/>
      <c r="AI298" s="41"/>
      <c r="AJ298" s="64"/>
      <c r="AK298" s="64"/>
      <c r="AM298" s="41"/>
      <c r="AN298" s="64"/>
      <c r="AO298" s="64"/>
      <c r="AQ298" s="41"/>
      <c r="AR298" s="64"/>
      <c r="AS298" s="64"/>
    </row>
    <row r="299" spans="1:45" s="5" customFormat="1">
      <c r="A299" s="146"/>
      <c r="B299" s="42"/>
      <c r="C299" s="48"/>
      <c r="D299" s="44"/>
      <c r="E299" s="44"/>
      <c r="F299" s="45"/>
      <c r="G299" s="44"/>
      <c r="H299" s="46"/>
      <c r="I299" s="47"/>
      <c r="J299" s="47"/>
      <c r="K299" s="47"/>
      <c r="L299" s="47"/>
      <c r="M299" s="45"/>
      <c r="N299" s="46"/>
      <c r="O299" s="621"/>
      <c r="P299" s="621"/>
      <c r="Q299" s="621"/>
      <c r="R299" s="621"/>
      <c r="S299" s="621"/>
      <c r="T299" s="46"/>
      <c r="U299" s="48"/>
      <c r="V299" s="44"/>
      <c r="Z299" s="49"/>
      <c r="AE299" s="41"/>
      <c r="AF299" s="31"/>
      <c r="AG299" s="31"/>
      <c r="AI299" s="41"/>
      <c r="AJ299" s="64"/>
      <c r="AK299" s="64"/>
      <c r="AM299" s="41"/>
      <c r="AN299" s="64"/>
      <c r="AO299" s="64"/>
      <c r="AQ299" s="41"/>
      <c r="AR299" s="64"/>
      <c r="AS299" s="64"/>
    </row>
    <row r="300" spans="1:45" s="5" customFormat="1">
      <c r="A300" s="146"/>
      <c r="B300" s="42"/>
      <c r="C300" s="51" t="str">
        <f>C240</f>
        <v>Agg. W Europe</v>
      </c>
      <c r="D300" s="52"/>
      <c r="E300" s="52"/>
      <c r="F300" s="53"/>
      <c r="G300" s="52"/>
      <c r="H300" s="46"/>
      <c r="I300" s="54">
        <f>'W.EUR AGG'!$D$42</f>
        <v>3.1665761877085172</v>
      </c>
      <c r="J300" s="54">
        <f>'W.EUR AGG'!$E$42</f>
        <v>3.0662122780967414</v>
      </c>
      <c r="K300" s="54">
        <f>'W.EUR AGG'!$F$42</f>
        <v>2.9765052387451005</v>
      </c>
      <c r="L300" s="54">
        <f>'W.EUR AGG'!$G$42</f>
        <v>2.8667612463437626</v>
      </c>
      <c r="M300" s="55">
        <f>'W.EUR AGG'!$H$42</f>
        <v>5.4857116108597559E-4</v>
      </c>
      <c r="N300" s="56"/>
      <c r="O300" s="622">
        <f>('W.EUR AGG'!$D$23/'W.EUR AGG'!$C$23)-1</f>
        <v>3.896524986935157E-3</v>
      </c>
      <c r="P300" s="622">
        <f>('W.EUR AGG'!$E$23/'W.EUR AGG'!$D$23)-1</f>
        <v>1.6306816761927134E-2</v>
      </c>
      <c r="Q300" s="622">
        <f>('W.EUR AGG'!$F$23/'W.EUR AGG'!$E$23)-1</f>
        <v>1.6404469951780243E-2</v>
      </c>
      <c r="R300" s="622">
        <f>('W.EUR AGG'!$G$23/'W.EUR AGG'!$F$23)-1</f>
        <v>1.5465576146304061E-2</v>
      </c>
      <c r="S300" s="622">
        <f>'W.EUR AGG'!$H$23</f>
        <v>1.6058866854969933E-2</v>
      </c>
      <c r="T300" s="46"/>
      <c r="U300" s="57"/>
      <c r="V300" s="58" t="str">
        <f>V240</f>
        <v>Agg. W Europe</v>
      </c>
      <c r="Z300" s="49"/>
      <c r="AE300" s="41"/>
      <c r="AF300" s="31"/>
      <c r="AG300" s="31"/>
      <c r="AI300" s="41"/>
      <c r="AJ300" s="64"/>
      <c r="AK300" s="64"/>
      <c r="AM300" s="41"/>
      <c r="AN300" s="64"/>
      <c r="AO300" s="64"/>
      <c r="AQ300" s="41"/>
      <c r="AR300" s="64"/>
      <c r="AS300" s="64"/>
    </row>
    <row r="301" spans="1:45" s="5" customFormat="1">
      <c r="A301" s="146"/>
      <c r="B301" s="42"/>
      <c r="C301" s="41" t="s">
        <v>1621</v>
      </c>
      <c r="D301" s="44"/>
      <c r="E301" s="44"/>
      <c r="F301" s="45"/>
      <c r="G301" s="44"/>
      <c r="H301" s="46"/>
      <c r="I301" s="60">
        <f>'US AGG'!D$42</f>
        <v>3.4869640666837216</v>
      </c>
      <c r="J301" s="60">
        <f>'US AGG'!E$42</f>
        <v>3.3678175792011928</v>
      </c>
      <c r="K301" s="60">
        <f>'US AGG'!F$42</f>
        <v>3.2267845286036621</v>
      </c>
      <c r="L301" s="60">
        <f>'US AGG'!G$42</f>
        <v>3.1175481117540245</v>
      </c>
      <c r="M301" s="59">
        <f>'US AGG'!H$42</f>
        <v>-1.2972288534417564E-2</v>
      </c>
      <c r="N301" s="56"/>
      <c r="O301" s="624">
        <f>('US AGG'!D$23/'US AGG'!C$23)-1</f>
        <v>-5.0841246845612087E-3</v>
      </c>
      <c r="P301" s="624">
        <f>('US AGG'!E$23/'US AGG'!D$23)-1</f>
        <v>8.9008644983878948E-3</v>
      </c>
      <c r="Q301" s="624">
        <f>('US AGG'!F$23/'US AGG'!E$23)-1</f>
        <v>1.5027723332780685E-2</v>
      </c>
      <c r="R301" s="624">
        <f>('US AGG'!G$23/'US AGG'!F$23)-1</f>
        <v>1.9801981293964044E-2</v>
      </c>
      <c r="S301" s="624">
        <f>'US AGG'!H$23</f>
        <v>1.456704127626085E-2</v>
      </c>
      <c r="T301" s="46"/>
      <c r="U301" s="48"/>
      <c r="V301" s="50" t="str">
        <f>V241</f>
        <v>Agg. US</v>
      </c>
      <c r="Z301" s="49"/>
      <c r="AE301" s="41"/>
      <c r="AF301" s="31"/>
      <c r="AG301" s="31"/>
      <c r="AI301" s="41"/>
      <c r="AJ301" s="64"/>
      <c r="AK301" s="64"/>
      <c r="AM301" s="41"/>
      <c r="AN301" s="64"/>
      <c r="AO301" s="64"/>
      <c r="AQ301" s="41"/>
      <c r="AR301" s="64"/>
      <c r="AS301" s="64"/>
    </row>
    <row r="302" spans="1:45" s="5" customFormat="1">
      <c r="A302" s="146"/>
      <c r="B302" s="42"/>
      <c r="C302" s="67" t="str">
        <f>C242</f>
        <v xml:space="preserve">Agg. Developed Asia </v>
      </c>
      <c r="D302" s="52"/>
      <c r="E302" s="52"/>
      <c r="F302" s="53"/>
      <c r="G302" s="52"/>
      <c r="H302" s="46"/>
      <c r="I302" s="54">
        <f>'AGG DM ASIA'!$D$42</f>
        <v>2.9761535190845296</v>
      </c>
      <c r="J302" s="54">
        <f>'AGG DM ASIA'!$E$42</f>
        <v>2.8401586117797524</v>
      </c>
      <c r="K302" s="54">
        <f>'AGG DM ASIA'!$F$42</f>
        <v>2.7020994555331947</v>
      </c>
      <c r="L302" s="54">
        <f>'AGG DM ASIA'!$G$42</f>
        <v>2.5489772254355927</v>
      </c>
      <c r="M302" s="55">
        <f>'AGG DM ASIA'!$H$42</f>
        <v>-5.1717510660298505E-3</v>
      </c>
      <c r="N302" s="56"/>
      <c r="O302" s="622">
        <f>('AGG DM ASIA'!$D$23/'AGG DM ASIA'!$C$23)-1</f>
        <v>1.9685805577700943E-2</v>
      </c>
      <c r="P302" s="622">
        <f>('AGG DM ASIA'!$E$23/'AGG DM ASIA'!$D$23)-1</f>
        <v>3.5227798508646213E-2</v>
      </c>
      <c r="Q302" s="622">
        <f>('AGG DM ASIA'!$F$23/'AGG DM ASIA'!$E$23)-1</f>
        <v>3.8318990333463532E-2</v>
      </c>
      <c r="R302" s="622">
        <f>('AGG DM ASIA'!$G$23/'AGG DM ASIA'!$F$23)-1</f>
        <v>4.1075935029588617E-2</v>
      </c>
      <c r="S302" s="622">
        <f>'AGG DM ASIA'!$H$23</f>
        <v>3.8204826160942229E-2</v>
      </c>
      <c r="T302" s="46"/>
      <c r="U302" s="57"/>
      <c r="V302" s="58" t="str">
        <f>V242</f>
        <v xml:space="preserve">Agg. Developed Asia </v>
      </c>
      <c r="Z302" s="49"/>
      <c r="AE302" s="41"/>
      <c r="AF302" s="31"/>
      <c r="AG302" s="31"/>
      <c r="AI302" s="41"/>
      <c r="AJ302" s="64"/>
      <c r="AK302" s="64"/>
      <c r="AM302" s="41"/>
      <c r="AN302" s="64"/>
      <c r="AO302" s="64"/>
      <c r="AQ302" s="41"/>
      <c r="AR302" s="64"/>
      <c r="AS302" s="64"/>
    </row>
    <row r="303" spans="1:45" s="5" customFormat="1">
      <c r="A303" s="146"/>
      <c r="B303" s="42"/>
      <c r="C303" s="41"/>
      <c r="D303" s="44"/>
      <c r="E303" s="44"/>
      <c r="F303" s="45"/>
      <c r="G303" s="44"/>
      <c r="H303" s="46"/>
      <c r="I303" s="60"/>
      <c r="J303" s="60"/>
      <c r="K303" s="60"/>
      <c r="L303" s="60"/>
      <c r="M303" s="59"/>
      <c r="N303" s="56"/>
      <c r="O303" s="624"/>
      <c r="P303" s="624"/>
      <c r="Q303" s="624"/>
      <c r="R303" s="624"/>
      <c r="S303" s="624"/>
      <c r="T303" s="46"/>
      <c r="U303" s="48"/>
      <c r="V303" s="50"/>
      <c r="Z303" s="49"/>
      <c r="AE303" s="41"/>
      <c r="AF303" s="31"/>
      <c r="AG303" s="31"/>
      <c r="AI303" s="41"/>
      <c r="AJ303" s="64"/>
      <c r="AK303" s="64"/>
      <c r="AM303" s="41"/>
      <c r="AN303" s="64"/>
      <c r="AO303" s="64"/>
      <c r="AQ303" s="41"/>
      <c r="AR303" s="64"/>
      <c r="AS303" s="64"/>
    </row>
    <row r="304" spans="1:45" s="5" customFormat="1">
      <c r="A304" s="146"/>
      <c r="B304" s="42"/>
      <c r="C304" s="67" t="str">
        <f>C244</f>
        <v>Agg. Global Developed</v>
      </c>
      <c r="D304" s="52"/>
      <c r="E304" s="52"/>
      <c r="F304" s="53"/>
      <c r="G304" s="52"/>
      <c r="H304" s="46"/>
      <c r="I304" s="54">
        <f>'AGG DM'!$D$42</f>
        <v>3.3000460374957705</v>
      </c>
      <c r="J304" s="54">
        <f>'AGG DM'!$E$42</f>
        <v>3.1838124862642916</v>
      </c>
      <c r="K304" s="54">
        <f>'AGG DM'!$F$42</f>
        <v>3.0594658370749888</v>
      </c>
      <c r="L304" s="54">
        <f>'AGG DM'!$G$42</f>
        <v>2.9412325385033187</v>
      </c>
      <c r="M304" s="55">
        <f>'AGG DM'!$H$42</f>
        <v>-7.2864107786076993E-3</v>
      </c>
      <c r="N304" s="56"/>
      <c r="O304" s="622">
        <f>('AGG DM'!$D$23/'AGG DM'!$C$23)-1</f>
        <v>2.3571494321208419E-3</v>
      </c>
      <c r="P304" s="622">
        <f>('AGG DM'!$E$23/'AGG DM'!$D$23)-1</f>
        <v>1.6194983271306196E-2</v>
      </c>
      <c r="Q304" s="622">
        <f>('AGG DM'!$F$23/'AGG DM'!$E$23)-1</f>
        <v>1.986226749380493E-2</v>
      </c>
      <c r="R304" s="622">
        <f>('AGG DM'!$G$23/'AGG DM'!$F$23)-1</f>
        <v>2.2458269970344391E-2</v>
      </c>
      <c r="S304" s="622">
        <f>'AGG DM'!$H$23</f>
        <v>1.9501934659983178E-2</v>
      </c>
      <c r="T304" s="46"/>
      <c r="U304" s="57"/>
      <c r="V304" s="58" t="str">
        <f>V244</f>
        <v xml:space="preserve">Agg. Global Developed </v>
      </c>
      <c r="Z304" s="49"/>
      <c r="AE304" s="41"/>
      <c r="AF304" s="31"/>
      <c r="AG304" s="31"/>
      <c r="AI304" s="41"/>
      <c r="AJ304" s="64"/>
      <c r="AK304" s="64"/>
      <c r="AM304" s="41"/>
      <c r="AN304" s="64"/>
      <c r="AO304" s="64"/>
      <c r="AQ304" s="41"/>
      <c r="AR304" s="64"/>
      <c r="AS304" s="64"/>
    </row>
    <row r="305" spans="1:69" s="5" customFormat="1">
      <c r="A305" s="146"/>
      <c r="B305" s="42"/>
      <c r="C305" s="41"/>
      <c r="D305" s="44"/>
      <c r="E305" s="44"/>
      <c r="F305" s="45"/>
      <c r="G305" s="44"/>
      <c r="H305" s="46"/>
      <c r="I305" s="60"/>
      <c r="J305" s="60"/>
      <c r="K305" s="60"/>
      <c r="L305" s="60"/>
      <c r="M305" s="59"/>
      <c r="N305" s="56"/>
      <c r="O305" s="70"/>
      <c r="P305" s="70"/>
      <c r="Q305" s="70"/>
      <c r="R305" s="70"/>
      <c r="S305" s="59"/>
      <c r="T305" s="46"/>
      <c r="U305" s="48"/>
      <c r="V305" s="50"/>
      <c r="Z305" s="49"/>
      <c r="AE305" s="41"/>
      <c r="AF305" s="31"/>
      <c r="AG305" s="31"/>
      <c r="AI305" s="41"/>
      <c r="AJ305" s="64"/>
      <c r="AK305" s="64"/>
      <c r="AM305" s="41"/>
      <c r="AN305" s="64"/>
      <c r="AO305" s="64"/>
      <c r="AQ305" s="41"/>
      <c r="AR305" s="64"/>
      <c r="AS305" s="64"/>
    </row>
    <row r="306" spans="1:69" s="5" customFormat="1">
      <c r="A306" s="146"/>
      <c r="B306" s="42"/>
      <c r="C306" s="41"/>
      <c r="D306" s="44"/>
      <c r="E306" s="44"/>
      <c r="F306" s="45"/>
      <c r="G306" s="44"/>
      <c r="H306" s="46"/>
      <c r="I306" s="60"/>
      <c r="J306" s="60"/>
      <c r="K306" s="60"/>
      <c r="L306" s="60"/>
      <c r="M306" s="59"/>
      <c r="N306" s="56"/>
      <c r="O306" s="70"/>
      <c r="P306" s="70"/>
      <c r="Q306" s="70"/>
      <c r="R306" s="70"/>
      <c r="S306" s="59"/>
      <c r="T306" s="46"/>
      <c r="U306" s="48"/>
      <c r="V306" s="50"/>
      <c r="Z306" s="49"/>
      <c r="AE306" s="41"/>
      <c r="AF306" s="31"/>
      <c r="AG306" s="31"/>
      <c r="AI306" s="41"/>
      <c r="AJ306" s="64"/>
      <c r="AK306" s="64"/>
      <c r="AM306" s="41"/>
      <c r="AN306" s="64"/>
      <c r="AO306" s="64"/>
      <c r="AQ306" s="41"/>
      <c r="AR306" s="64"/>
      <c r="AS306" s="64"/>
    </row>
    <row r="307" spans="1:69" s="41" customFormat="1">
      <c r="B307" s="147"/>
      <c r="C307" s="164"/>
      <c r="D307" s="165" t="s">
        <v>464</v>
      </c>
      <c r="E307" s="165" t="s">
        <v>57</v>
      </c>
      <c r="F307" s="165" t="s">
        <v>59</v>
      </c>
      <c r="G307" s="165" t="s">
        <v>56</v>
      </c>
      <c r="H307" s="49"/>
      <c r="I307" s="166" t="s">
        <v>470</v>
      </c>
      <c r="J307" s="166"/>
      <c r="K307" s="166"/>
      <c r="L307" s="166"/>
      <c r="M307" s="166"/>
      <c r="O307" s="166" t="s">
        <v>471</v>
      </c>
      <c r="P307" s="166"/>
      <c r="Q307" s="166"/>
      <c r="R307" s="166"/>
      <c r="S307" s="166"/>
      <c r="T307" s="49"/>
      <c r="U307" s="167" t="s">
        <v>464</v>
      </c>
      <c r="V307" s="165"/>
      <c r="Z307" s="49"/>
      <c r="AC307" s="135"/>
      <c r="AD307" s="136"/>
      <c r="AE307" s="136"/>
      <c r="AF307" s="136"/>
      <c r="AG307" s="136"/>
      <c r="AH307" s="136"/>
      <c r="AI307" s="136"/>
      <c r="AJ307" s="136"/>
      <c r="AK307" s="136"/>
      <c r="AL307" s="136"/>
      <c r="AM307" s="136"/>
      <c r="AN307" s="136"/>
      <c r="AO307" s="136"/>
      <c r="AP307" s="136"/>
      <c r="AQ307" s="136"/>
      <c r="AR307" s="136"/>
      <c r="AS307" s="136"/>
      <c r="AT307" s="136"/>
      <c r="AU307" s="136"/>
      <c r="AV307" s="136"/>
      <c r="AW307" s="136"/>
      <c r="BC307" s="137"/>
      <c r="BD307" s="137"/>
      <c r="BE307" s="137"/>
      <c r="BG307" s="137"/>
      <c r="BH307" s="137"/>
      <c r="BI307" s="137"/>
      <c r="BK307" s="137"/>
      <c r="BL307" s="137"/>
      <c r="BM307" s="137"/>
      <c r="BO307" s="137"/>
      <c r="BP307" s="137"/>
      <c r="BQ307" s="137"/>
    </row>
    <row r="308" spans="1:69" s="5" customFormat="1">
      <c r="A308" s="41" t="s">
        <v>506</v>
      </c>
      <c r="B308" s="42"/>
      <c r="C308" s="48" t="s">
        <v>186</v>
      </c>
      <c r="D308" s="44" t="str">
        <f t="shared" ref="D308:G318" si="55">D248</f>
        <v>GBP1.27</v>
      </c>
      <c r="E308" s="44" t="str">
        <f t="shared" si="55"/>
        <v>GBP1.95</v>
      </c>
      <c r="F308" s="45">
        <f t="shared" si="55"/>
        <v>0.53422501966955149</v>
      </c>
      <c r="G308" s="44" t="str">
        <f t="shared" si="55"/>
        <v>Buy</v>
      </c>
      <c r="H308" s="46"/>
      <c r="I308" s="45">
        <f>(BT!$D$24/BT!$C$24)-1</f>
        <v>6.4246604565170173E-3</v>
      </c>
      <c r="J308" s="45">
        <f>(BT!$E$24/BT!$D$24)-1</f>
        <v>1.7372715858789967E-2</v>
      </c>
      <c r="K308" s="45">
        <f>(BT!$F$24/BT!$E$24)-1</f>
        <v>-5.5020933961036356E-5</v>
      </c>
      <c r="L308" s="45">
        <f>(BT!$G$24/BT!$F$24)-1</f>
        <v>1.5260358278963659E-2</v>
      </c>
      <c r="M308" s="45">
        <f>BT!$H$24</f>
        <v>1.0829419326572109E-2</v>
      </c>
      <c r="N308" s="46"/>
      <c r="O308" s="45">
        <f>(BT!$D$25/BT!$C$25)-1</f>
        <v>-4.8610264024614436E-2</v>
      </c>
      <c r="P308" s="45">
        <f>(BT!$E$25/BT!$D$25)-1</f>
        <v>7.3637719575776472E-2</v>
      </c>
      <c r="Q308" s="45">
        <f>(BT!$F$25/BT!$E$25)-1</f>
        <v>5.0445034040372816E-2</v>
      </c>
      <c r="R308" s="45">
        <f>(BT!$G$25/BT!$F$25)-1</f>
        <v>7.5963215618714441E-2</v>
      </c>
      <c r="S308" s="45">
        <f>BT!$H$25</f>
        <v>6.6619467064831239E-2</v>
      </c>
      <c r="T308" s="46"/>
      <c r="U308" s="48" t="str">
        <f t="shared" ref="U308:V312" si="56">U248</f>
        <v>GBP1.27</v>
      </c>
      <c r="V308" s="69" t="str">
        <f t="shared" si="56"/>
        <v>British Telecom</v>
      </c>
      <c r="Z308" s="49"/>
      <c r="AE308" s="41"/>
      <c r="AF308" s="31"/>
      <c r="AG308" s="31"/>
      <c r="AI308" s="41"/>
      <c r="AJ308" s="64"/>
      <c r="AK308" s="64"/>
      <c r="AM308" s="41"/>
      <c r="AN308" s="64"/>
      <c r="AO308" s="64"/>
      <c r="AQ308" s="41"/>
      <c r="AR308" s="64"/>
      <c r="AS308" s="64"/>
    </row>
    <row r="309" spans="1:69" s="5" customFormat="1">
      <c r="A309" s="41"/>
      <c r="B309" s="42"/>
      <c r="C309" s="48" t="s">
        <v>187</v>
      </c>
      <c r="D309" s="44" t="str">
        <f t="shared" si="55"/>
        <v>EUR 21.76</v>
      </c>
      <c r="E309" s="44" t="str">
        <f t="shared" si="55"/>
        <v>EUR 32.00</v>
      </c>
      <c r="F309" s="45">
        <f t="shared" si="55"/>
        <v>0.47058823529411753</v>
      </c>
      <c r="G309" s="44" t="str">
        <f t="shared" si="55"/>
        <v>Buy</v>
      </c>
      <c r="H309" s="46"/>
      <c r="I309" s="45">
        <f>(DT!$D$24/DT!$C$24)-1</f>
        <v>7.1202138381403213E-3</v>
      </c>
      <c r="J309" s="45">
        <f>(DT!$E$24/DT!$D$24)-1</f>
        <v>5.9972805740471147E-2</v>
      </c>
      <c r="K309" s="45">
        <f>(DT!$F$24/DT!$E$24)-1</f>
        <v>5.505032184767833E-2</v>
      </c>
      <c r="L309" s="45">
        <f>(DT!$G$24/DT!$F$24)-1</f>
        <v>4.5893452841625937E-2</v>
      </c>
      <c r="M309" s="45">
        <f>DT!$H$24</f>
        <v>5.3622688341299352E-2</v>
      </c>
      <c r="N309" s="46"/>
      <c r="O309" s="45">
        <f>(DT!$D$25/DT!$C$25)-1</f>
        <v>0.2872830588068116</v>
      </c>
      <c r="P309" s="45">
        <f>(DT!$E$25/DT!$D$25)-1</f>
        <v>0.18628974531596199</v>
      </c>
      <c r="Q309" s="45">
        <f>(DT!$F$25/DT!$E$25)-1</f>
        <v>9.4892470283304053E-2</v>
      </c>
      <c r="R309" s="45">
        <f>(DT!$G$25/DT!$F$25)-1</f>
        <v>7.2640661821284924E-2</v>
      </c>
      <c r="S309" s="45">
        <f>DT!$H$25</f>
        <v>0.11687739339856962</v>
      </c>
      <c r="T309" s="46"/>
      <c r="U309" s="48" t="str">
        <f t="shared" si="56"/>
        <v>EUR 21.76</v>
      </c>
      <c r="V309" s="69" t="str">
        <f t="shared" si="56"/>
        <v>Deutsche Telekom</v>
      </c>
      <c r="Z309" s="49"/>
      <c r="AE309" s="41"/>
      <c r="AF309" s="31"/>
      <c r="AG309" s="31"/>
      <c r="AI309" s="41"/>
      <c r="AJ309" s="64"/>
      <c r="AK309" s="64"/>
      <c r="AM309" s="41"/>
      <c r="AN309" s="64"/>
      <c r="AO309" s="64"/>
      <c r="AQ309" s="41"/>
      <c r="AR309" s="64"/>
      <c r="AS309" s="64"/>
    </row>
    <row r="310" spans="1:69" s="5" customFormat="1">
      <c r="A310" s="41"/>
      <c r="B310" s="42"/>
      <c r="C310" s="48" t="s">
        <v>458</v>
      </c>
      <c r="D310" s="44" t="str">
        <f t="shared" si="55"/>
        <v>EUR 3.44</v>
      </c>
      <c r="E310" s="44" t="str">
        <f t="shared" si="55"/>
        <v>EUR 3.70</v>
      </c>
      <c r="F310" s="45">
        <f t="shared" si="55"/>
        <v>7.4332171893147558E-2</v>
      </c>
      <c r="G310" s="44" t="str">
        <f t="shared" si="55"/>
        <v>Neutral</v>
      </c>
      <c r="H310" s="46"/>
      <c r="I310" s="45">
        <f>(KPN!$D$24/KPN!$C$24)-1</f>
        <v>1.8769546802601678E-3</v>
      </c>
      <c r="J310" s="45">
        <f>(KPN!$E$24/KPN!$D$24)-1</f>
        <v>3.0241645977058029E-2</v>
      </c>
      <c r="K310" s="45">
        <f>(KPN!$F$24/KPN!$E$24)-1</f>
        <v>2.483198744539461E-2</v>
      </c>
      <c r="L310" s="45">
        <f>(KPN!$G$24/KPN!$F$24)-1</f>
        <v>2.1025959831402874E-2</v>
      </c>
      <c r="M310" s="45">
        <f>KPN!$H$24</f>
        <v>2.5359562638390676E-2</v>
      </c>
      <c r="N310" s="46"/>
      <c r="O310" s="45">
        <f>(KPN!$D$25/KPN!$C$25)-1</f>
        <v>1.106147424467796E-3</v>
      </c>
      <c r="P310" s="45">
        <f>(KPN!$E$25/KPN!$D$25)-1</f>
        <v>5.9081964487134764E-2</v>
      </c>
      <c r="Q310" s="45">
        <f>(KPN!$F$25/KPN!$E$25)-1</f>
        <v>4.7129091782677213E-2</v>
      </c>
      <c r="R310" s="45">
        <f>(KPN!$G$25/KPN!$F$25)-1</f>
        <v>3.899791819503462E-2</v>
      </c>
      <c r="S310" s="45">
        <f>KPN!$H$25</f>
        <v>4.8370580142172326E-2</v>
      </c>
      <c r="T310" s="46"/>
      <c r="U310" s="48" t="str">
        <f t="shared" si="56"/>
        <v>EUR 3.44</v>
      </c>
      <c r="V310" s="69" t="str">
        <f t="shared" si="56"/>
        <v>KPN</v>
      </c>
      <c r="Z310" s="49"/>
      <c r="AE310" s="41"/>
      <c r="AF310" s="31"/>
      <c r="AG310" s="31"/>
      <c r="AI310" s="41"/>
      <c r="AJ310" s="64"/>
      <c r="AK310" s="64"/>
      <c r="AM310" s="41"/>
      <c r="AN310" s="64"/>
      <c r="AO310" s="64"/>
      <c r="AQ310" s="41"/>
      <c r="AR310" s="64"/>
      <c r="AS310" s="64"/>
    </row>
    <row r="311" spans="1:69" s="5" customFormat="1">
      <c r="A311" s="41"/>
      <c r="B311" s="42"/>
      <c r="C311" s="48" t="s">
        <v>728</v>
      </c>
      <c r="D311" s="44" t="str">
        <f t="shared" si="55"/>
        <v>EUR 10.68</v>
      </c>
      <c r="E311" s="44" t="str">
        <f t="shared" si="55"/>
        <v>EUR 14.00</v>
      </c>
      <c r="F311" s="45">
        <f t="shared" si="55"/>
        <v>0.31147540983606548</v>
      </c>
      <c r="G311" s="44" t="str">
        <f t="shared" si="55"/>
        <v>Buy</v>
      </c>
      <c r="H311" s="46"/>
      <c r="I311" s="45">
        <f>(ORA!$D$24/ORA!$C$24)-1</f>
        <v>5.5542698449433381E-3</v>
      </c>
      <c r="J311" s="45">
        <f>(ORA!$E$24/ORA!$D$24)-1</f>
        <v>1.146430904668172E-2</v>
      </c>
      <c r="K311" s="45">
        <f>(ORA!$F$24/ORA!$E$24)-1</f>
        <v>2.2624255694645212E-2</v>
      </c>
      <c r="L311" s="45">
        <f>(ORA!$G$24/ORA!$F$24)-1</f>
        <v>8.8390492619767613E-3</v>
      </c>
      <c r="M311" s="45">
        <f>ORA!$H$24</f>
        <v>1.4291638885291391E-2</v>
      </c>
      <c r="N311" s="46"/>
      <c r="O311" s="45">
        <f>(ORA!$D$25/ORA!$C$25)-1</f>
        <v>0.11232337685566085</v>
      </c>
      <c r="P311" s="45">
        <f>(ORA!$E$25/ORA!$D$25)-1</f>
        <v>2.4796375826376504E-2</v>
      </c>
      <c r="Q311" s="45">
        <f>(ORA!$F$25/ORA!$E$25)-1</f>
        <v>8.0247904234554301E-2</v>
      </c>
      <c r="R311" s="45">
        <f>(ORA!$G$25/ORA!$F$25)-1</f>
        <v>5.5023573063846865E-2</v>
      </c>
      <c r="S311" s="45">
        <f>ORA!$H$25</f>
        <v>5.3111589597771625E-2</v>
      </c>
      <c r="T311" s="46"/>
      <c r="U311" s="48" t="str">
        <f t="shared" si="56"/>
        <v>EUR 10.68</v>
      </c>
      <c r="V311" s="69" t="str">
        <f t="shared" si="56"/>
        <v>Orange</v>
      </c>
      <c r="Z311" s="49"/>
      <c r="AE311" s="41"/>
      <c r="AF311" s="31"/>
      <c r="AG311" s="31"/>
      <c r="AI311" s="41"/>
      <c r="AJ311" s="64"/>
      <c r="AK311" s="64"/>
      <c r="AM311" s="41"/>
      <c r="AN311" s="64"/>
      <c r="AO311" s="64"/>
      <c r="AQ311" s="41"/>
      <c r="AR311" s="64"/>
      <c r="AS311" s="64"/>
    </row>
    <row r="312" spans="1:69" s="5" customFormat="1">
      <c r="A312" s="41"/>
      <c r="B312" s="42"/>
      <c r="C312" s="48" t="s">
        <v>459</v>
      </c>
      <c r="D312" s="44" t="str">
        <f t="shared" si="55"/>
        <v>EUR 13.75</v>
      </c>
      <c r="E312" s="44" t="str">
        <f t="shared" si="55"/>
        <v>EUR 22.00</v>
      </c>
      <c r="F312" s="45">
        <f t="shared" si="55"/>
        <v>0.60000000000000009</v>
      </c>
      <c r="G312" s="44" t="str">
        <f t="shared" si="55"/>
        <v>Neutral</v>
      </c>
      <c r="H312" s="46"/>
      <c r="I312" s="45">
        <f>(OTE!$D$24/OTE!$C$24)-1</f>
        <v>1.1968862563714211E-2</v>
      </c>
      <c r="J312" s="45">
        <f>(OTE!$E$24/OTE!$D$24)-1</f>
        <v>1.1037312032886826E-2</v>
      </c>
      <c r="K312" s="45">
        <f>(OTE!$F$24/OTE!$E$24)-1</f>
        <v>1.1473427976713468E-2</v>
      </c>
      <c r="L312" s="45">
        <f>(OTE!$G$24/OTE!$F$24)-1</f>
        <v>6.4230207185866917E-4</v>
      </c>
      <c r="M312" s="45">
        <f>OTE!$H$24</f>
        <v>7.7052164586690619E-3</v>
      </c>
      <c r="N312" s="46"/>
      <c r="O312" s="45">
        <f>(OTE!$D$25/OTE!$C$25)-1</f>
        <v>1.8397566021001621E-2</v>
      </c>
      <c r="P312" s="45">
        <f>(OTE!$E$25/OTE!$D$25)-1</f>
        <v>2.8332048580564262E-2</v>
      </c>
      <c r="Q312" s="45">
        <f>(OTE!$F$25/OTE!$E$25)-1</f>
        <v>2.2865948450057294E-2</v>
      </c>
      <c r="R312" s="45">
        <f>(OTE!$G$25/OTE!$F$25)-1</f>
        <v>1.1789521582707962E-3</v>
      </c>
      <c r="S312" s="45">
        <f>OTE!$H$25</f>
        <v>1.7391100350897304E-2</v>
      </c>
      <c r="T312" s="46"/>
      <c r="U312" s="48" t="str">
        <f t="shared" si="56"/>
        <v>EUR 13.75</v>
      </c>
      <c r="V312" s="69" t="str">
        <f t="shared" si="56"/>
        <v>OTE</v>
      </c>
      <c r="Z312" s="49"/>
      <c r="AE312" s="41"/>
      <c r="AF312" s="31"/>
      <c r="AG312" s="31"/>
      <c r="AI312" s="41"/>
      <c r="AJ312" s="64"/>
      <c r="AK312" s="64"/>
      <c r="AM312" s="41"/>
      <c r="AN312" s="64"/>
      <c r="AO312" s="64"/>
      <c r="AQ312" s="41"/>
      <c r="AR312" s="64"/>
      <c r="AS312" s="64"/>
    </row>
    <row r="313" spans="1:69" s="5" customFormat="1">
      <c r="A313" s="41"/>
      <c r="B313" s="42"/>
      <c r="C313" s="48" t="s">
        <v>817</v>
      </c>
      <c r="D313" s="44" t="str">
        <f t="shared" si="55"/>
        <v>EUR 7.4</v>
      </c>
      <c r="E313" s="44" t="str">
        <f t="shared" si="55"/>
        <v>EUR 10.0</v>
      </c>
      <c r="F313" s="45">
        <f t="shared" si="55"/>
        <v>0.35135135135135132</v>
      </c>
      <c r="G313" s="44" t="str">
        <f t="shared" si="55"/>
        <v>Neutral</v>
      </c>
      <c r="H313" s="46"/>
      <c r="I313" s="45">
        <f>(PROX!$D$24/PROX!$C$24)-1</f>
        <v>-1.6255738602737879E-2</v>
      </c>
      <c r="J313" s="45">
        <f>(PROX!$E$24/PROX!$D$24)-1</f>
        <v>2.0852184582628386E-2</v>
      </c>
      <c r="K313" s="45">
        <f>(PROX!$F$24/PROX!$E$24)-1</f>
        <v>-6.9880501587815669E-4</v>
      </c>
      <c r="L313" s="45">
        <f>(PROX!$G$24/PROX!$F$24)-1</f>
        <v>6.8166318892899369E-3</v>
      </c>
      <c r="M313" s="45">
        <f>PROX!$H$24</f>
        <v>8.9505547806789654E-3</v>
      </c>
      <c r="N313" s="46"/>
      <c r="O313" s="45">
        <f>(PROX!$D$25/PROX!$C$25)-1</f>
        <v>-6.1987254336353548E-2</v>
      </c>
      <c r="P313" s="45">
        <f>(PROX!$E$25/PROX!$D$25)-1</f>
        <v>0.32436851373176401</v>
      </c>
      <c r="Q313" s="45">
        <f>(PROX!$F$25/PROX!$E$25)-1</f>
        <v>0.2400922887544763</v>
      </c>
      <c r="R313" s="45">
        <f>(PROX!$G$25/PROX!$F$25)-1</f>
        <v>1.6456829448331822E-2</v>
      </c>
      <c r="S313" s="45">
        <f>PROX!$H$25</f>
        <v>0.18627104672998485</v>
      </c>
      <c r="T313" s="46"/>
      <c r="U313" s="48" t="str">
        <f t="shared" ref="U313:U318" si="57">U253</f>
        <v>EUR 7.4</v>
      </c>
      <c r="V313" s="69" t="s">
        <v>817</v>
      </c>
      <c r="Z313" s="49"/>
      <c r="AE313" s="41"/>
      <c r="AF313" s="31"/>
      <c r="AG313" s="31"/>
      <c r="AI313" s="41"/>
      <c r="AJ313" s="64"/>
      <c r="AK313" s="64"/>
      <c r="AM313" s="41"/>
      <c r="AN313" s="64"/>
      <c r="AO313" s="64"/>
      <c r="AQ313" s="41"/>
      <c r="AR313" s="64"/>
      <c r="AS313" s="64"/>
    </row>
    <row r="314" spans="1:69">
      <c r="C314" s="48" t="s">
        <v>463</v>
      </c>
      <c r="D314" s="44" t="str">
        <f t="shared" si="55"/>
        <v>CHF492</v>
      </c>
      <c r="E314" s="44" t="str">
        <f t="shared" si="55"/>
        <v>CHF620</v>
      </c>
      <c r="F314" s="45">
        <f t="shared" si="55"/>
        <v>0.26016260162601634</v>
      </c>
      <c r="G314" s="44" t="str">
        <f t="shared" si="55"/>
        <v>Neutral</v>
      </c>
      <c r="H314" s="46"/>
      <c r="I314" s="45">
        <f>(SWISS!$D$24/SWISS!$C$24)-1</f>
        <v>2.0953207756848613E-2</v>
      </c>
      <c r="J314" s="45">
        <f>(SWISS!$E$24/SWISS!$D$24)-1</f>
        <v>-1.8671496882152416E-2</v>
      </c>
      <c r="K314" s="45">
        <f>(SWISS!$F$24/SWISS!$E$24)-1</f>
        <v>-4.1330319652951308E-3</v>
      </c>
      <c r="L314" s="45">
        <f>(SWISS!$G$24/SWISS!$F$24)-1</f>
        <v>-4.0342081018170939E-3</v>
      </c>
      <c r="M314" s="45">
        <f>SWISS!$H$24</f>
        <v>-8.9701836553373049E-3</v>
      </c>
      <c r="N314" s="46"/>
      <c r="O314" s="45">
        <f>(SWISS!$D$25/SWISS!$C$25)-1</f>
        <v>4.7982653715476609E-2</v>
      </c>
      <c r="P314" s="45">
        <f>(SWISS!$E$25/SWISS!$D$25)-1</f>
        <v>-3.4806813220324861E-2</v>
      </c>
      <c r="Q314" s="45">
        <f>(SWISS!$F$25/SWISS!$E$25)-1</f>
        <v>-8.6643336716627495E-3</v>
      </c>
      <c r="R314" s="45">
        <f>(SWISS!$G$25/SWISS!$F$25)-1</f>
        <v>-8.4990969477176659E-3</v>
      </c>
      <c r="S314" s="45">
        <f>SWISS!$H$25</f>
        <v>-1.7401648753235577E-2</v>
      </c>
      <c r="T314" s="46"/>
      <c r="U314" s="48" t="str">
        <f t="shared" si="57"/>
        <v>CHF492</v>
      </c>
      <c r="V314" s="69" t="str">
        <f t="shared" ref="V314:V319" si="58">V254</f>
        <v>Swisscom</v>
      </c>
    </row>
    <row r="315" spans="1:69" s="5" customFormat="1">
      <c r="A315" s="41"/>
      <c r="B315" s="42"/>
      <c r="C315" s="48" t="s">
        <v>270</v>
      </c>
      <c r="D315" s="44" t="str">
        <f t="shared" si="55"/>
        <v>EUR 0.25</v>
      </c>
      <c r="E315" s="44" t="str">
        <f t="shared" si="55"/>
        <v>EUR 0.35</v>
      </c>
      <c r="F315" s="45">
        <f t="shared" si="55"/>
        <v>0.42103126268777902</v>
      </c>
      <c r="G315" s="44" t="str">
        <f t="shared" si="55"/>
        <v>Buy</v>
      </c>
      <c r="H315" s="46"/>
      <c r="I315" s="45">
        <f>(TI!$D$24/TI!$C$24)-1</f>
        <v>5.8793046534045157E-2</v>
      </c>
      <c r="J315" s="45">
        <f>(TI!$E$24/TI!$D$24)-1</f>
        <v>3.7643973320094615E-2</v>
      </c>
      <c r="K315" s="45">
        <f>(TI!$F$24/TI!$E$24)-1</f>
        <v>4.4506481246591179E-2</v>
      </c>
      <c r="L315" s="45">
        <f>(TI!$G$24/TI!$F$24)-1</f>
        <v>2.7462541313869604E-2</v>
      </c>
      <c r="M315" s="45">
        <f>TI!$H$24</f>
        <v>3.6513990071677327E-2</v>
      </c>
      <c r="N315" s="46"/>
      <c r="O315" s="45">
        <f>(TI!$D$25/TI!$C$25)-1</f>
        <v>0.28500976457731308</v>
      </c>
      <c r="P315" s="45">
        <f>(TI!$E$25/TI!$D$25)-1</f>
        <v>0.19221581797441289</v>
      </c>
      <c r="Q315" s="45">
        <f>(TI!$F$25/TI!$E$25)-1</f>
        <v>0.17969229743455895</v>
      </c>
      <c r="R315" s="45">
        <f>(TI!$G$25/TI!$F$25)-1</f>
        <v>0.2483764631139902</v>
      </c>
      <c r="S315" s="45">
        <f>TI!$H$25</f>
        <v>0.20639556446519536</v>
      </c>
      <c r="T315" s="46"/>
      <c r="U315" s="48" t="str">
        <f t="shared" si="57"/>
        <v>EUR 0.25</v>
      </c>
      <c r="V315" s="69" t="str">
        <f t="shared" si="58"/>
        <v>Telecom Italia</v>
      </c>
      <c r="Z315" s="49"/>
      <c r="AE315" s="41"/>
      <c r="AF315" s="31"/>
      <c r="AG315" s="31"/>
      <c r="AI315" s="41"/>
      <c r="AJ315" s="64"/>
      <c r="AK315" s="64"/>
      <c r="AM315" s="41"/>
      <c r="AN315" s="64"/>
      <c r="AO315" s="64"/>
      <c r="AQ315" s="41"/>
      <c r="AR315" s="64"/>
      <c r="AS315" s="64"/>
    </row>
    <row r="316" spans="1:69" s="5" customFormat="1">
      <c r="A316" s="41"/>
      <c r="B316" s="42"/>
      <c r="C316" s="48" t="s">
        <v>461</v>
      </c>
      <c r="D316" s="44" t="str">
        <f t="shared" si="55"/>
        <v>EUR 4.16</v>
      </c>
      <c r="E316" s="44" t="str">
        <f t="shared" si="55"/>
        <v>EUR 4.80</v>
      </c>
      <c r="F316" s="45">
        <f t="shared" si="55"/>
        <v>0.15523465703971118</v>
      </c>
      <c r="G316" s="44" t="str">
        <f t="shared" si="55"/>
        <v>Buy</v>
      </c>
      <c r="H316" s="46"/>
      <c r="I316" s="45">
        <f>(TEF!$D$24/TEF!$C$24)-1</f>
        <v>3.9537648943417381E-3</v>
      </c>
      <c r="J316" s="45">
        <f>(TEF!$E$24/TEF!$D$24)-1</f>
        <v>2.2196089792092977E-2</v>
      </c>
      <c r="K316" s="45">
        <f>(TEF!$F$24/TEF!$E$24)-1</f>
        <v>1.3258722582351501E-2</v>
      </c>
      <c r="L316" s="45">
        <f>(TEF!$G$24/TEF!$F$24)-1</f>
        <v>1.3900527246816008E-2</v>
      </c>
      <c r="M316" s="45">
        <f>TEF!$H$24</f>
        <v>1.6443645380087579E-2</v>
      </c>
      <c r="N316" s="46"/>
      <c r="O316" s="45">
        <f>(TEF!$D$25/TEF!$C$25)-1</f>
        <v>5.9993537823714638E-2</v>
      </c>
      <c r="P316" s="45">
        <f>(TEF!$E$25/TEF!$D$25)-1</f>
        <v>4.3086841006566345E-2</v>
      </c>
      <c r="Q316" s="45">
        <f>(TEF!$F$25/TEF!$E$25)-1</f>
        <v>6.8482803938460624E-2</v>
      </c>
      <c r="R316" s="45">
        <f>(TEF!$G$25/TEF!$F$25)-1</f>
        <v>6.0736596603052639E-2</v>
      </c>
      <c r="S316" s="45">
        <f>TEF!$H$25</f>
        <v>5.7381851694691566E-2</v>
      </c>
      <c r="T316" s="46"/>
      <c r="U316" s="48" t="str">
        <f t="shared" si="57"/>
        <v>EUR 4.16</v>
      </c>
      <c r="V316" s="69" t="str">
        <f t="shared" si="58"/>
        <v>Telefonica</v>
      </c>
      <c r="Z316" s="49"/>
      <c r="AE316" s="41"/>
      <c r="AF316" s="31"/>
      <c r="AG316" s="31"/>
      <c r="AI316" s="41"/>
      <c r="AJ316" s="64"/>
      <c r="AK316" s="64"/>
      <c r="AM316" s="41"/>
      <c r="AN316" s="64"/>
      <c r="AO316" s="64"/>
      <c r="AQ316" s="41"/>
      <c r="AR316" s="64"/>
      <c r="AS316" s="64"/>
    </row>
    <row r="317" spans="1:69" s="5" customFormat="1">
      <c r="A317" s="41"/>
      <c r="B317" s="42"/>
      <c r="C317" s="48" t="s">
        <v>499</v>
      </c>
      <c r="D317" s="44" t="str">
        <f t="shared" si="55"/>
        <v>NOK 124</v>
      </c>
      <c r="E317" s="44" t="str">
        <f t="shared" si="55"/>
        <v>NOK 136</v>
      </c>
      <c r="F317" s="45">
        <f t="shared" si="55"/>
        <v>9.9434114793855999E-2</v>
      </c>
      <c r="G317" s="44" t="str">
        <f t="shared" si="55"/>
        <v>Buy</v>
      </c>
      <c r="H317" s="46"/>
      <c r="I317" s="45">
        <f>(TNOR!$D$24/TNOR!$C$24)-1</f>
        <v>-0.15787846614004719</v>
      </c>
      <c r="J317" s="45">
        <f>(TNOR!$E$24/TNOR!$D$24)-1</f>
        <v>2.0625234439819895E-2</v>
      </c>
      <c r="K317" s="45">
        <f>(TNOR!$F$24/TNOR!$E$24)-1</f>
        <v>-2.9417364003638591E-2</v>
      </c>
      <c r="L317" s="45">
        <f>(TNOR!$G$24/TNOR!$F$24)-1</f>
        <v>2.1025745412646568E-2</v>
      </c>
      <c r="M317" s="45">
        <f>TNOR!$H$24</f>
        <v>3.7953297753920978E-3</v>
      </c>
      <c r="N317" s="46"/>
      <c r="O317" s="45">
        <f>(TNOR!$D$25/TNOR!$C$25)-1</f>
        <v>6.9094659017348903E-2</v>
      </c>
      <c r="P317" s="45">
        <f>(TNOR!$E$25/TNOR!$D$25)-1</f>
        <v>7.9054064233483379E-2</v>
      </c>
      <c r="Q317" s="45">
        <f>(TNOR!$F$25/TNOR!$E$25)-1</f>
        <v>-9.4058165549880668E-3</v>
      </c>
      <c r="R317" s="45">
        <f>(TNOR!$G$25/TNOR!$F$25)-1</f>
        <v>2.9433639138489065E-2</v>
      </c>
      <c r="S317" s="45">
        <f>TNOR!$H$25</f>
        <v>3.2394727823750857E-2</v>
      </c>
      <c r="T317" s="46"/>
      <c r="U317" s="48" t="str">
        <f t="shared" si="57"/>
        <v>NOK 124</v>
      </c>
      <c r="V317" s="44" t="str">
        <f t="shared" si="58"/>
        <v>Telenor</v>
      </c>
      <c r="Z317" s="49"/>
      <c r="AE317" s="41"/>
      <c r="AF317" s="31"/>
      <c r="AG317" s="31"/>
      <c r="AI317" s="41"/>
      <c r="AJ317" s="64"/>
      <c r="AK317" s="64"/>
      <c r="AM317" s="41"/>
      <c r="AN317" s="64"/>
      <c r="AO317" s="64"/>
      <c r="AQ317" s="41"/>
      <c r="AR317" s="64"/>
      <c r="AS317" s="64"/>
    </row>
    <row r="318" spans="1:69" s="5" customFormat="1">
      <c r="A318" s="41"/>
      <c r="B318" s="42"/>
      <c r="C318" s="48" t="s">
        <v>1039</v>
      </c>
      <c r="D318" s="44" t="str">
        <f t="shared" si="55"/>
        <v>SEK26.4</v>
      </c>
      <c r="E318" s="44" t="str">
        <f t="shared" si="55"/>
        <v>SEK36.0</v>
      </c>
      <c r="F318" s="45">
        <f t="shared" si="55"/>
        <v>0.36415308829101933</v>
      </c>
      <c r="G318" s="44" t="str">
        <f t="shared" si="55"/>
        <v>Buy</v>
      </c>
      <c r="H318" s="46"/>
      <c r="I318" s="45">
        <f>(TELIA!$D$24/TELIA!$C$24)-1</f>
        <v>3.5272868690892523E-2</v>
      </c>
      <c r="J318" s="45">
        <f>(TELIA!$E$24/TELIA!$D$24)-1</f>
        <v>4.6682062448838657E-2</v>
      </c>
      <c r="K318" s="45">
        <f>(TELIA!$F$24/TELIA!$E$24)-1</f>
        <v>2.1727439746843658E-2</v>
      </c>
      <c r="L318" s="45">
        <f>(TELIA!$G$24/TELIA!$F$24)-1</f>
        <v>1.4718977339689632E-2</v>
      </c>
      <c r="M318" s="45">
        <f>TELIA!$H$24</f>
        <v>2.7618404301642974E-2</v>
      </c>
      <c r="N318" s="46"/>
      <c r="O318" s="45">
        <f>(TELIA!$D$25/TELIA!$C$25)-1</f>
        <v>0.23175953139739591</v>
      </c>
      <c r="P318" s="45">
        <f>(TELIA!$E$25/TELIA!$D$25)-1</f>
        <v>8.6813902191391179E-2</v>
      </c>
      <c r="Q318" s="45">
        <f>(TELIA!$F$25/TELIA!$E$25)-1</f>
        <v>3.8829562063608103E-2</v>
      </c>
      <c r="R318" s="45">
        <f>(TELIA!$G$25/TELIA!$F$25)-1</f>
        <v>2.5417399298991672E-2</v>
      </c>
      <c r="S318" s="45">
        <f>TELIA!$H$25</f>
        <v>5.0026006954597024E-2</v>
      </c>
      <c r="T318" s="46"/>
      <c r="U318" s="48" t="str">
        <f t="shared" si="57"/>
        <v>SEK26.4</v>
      </c>
      <c r="V318" s="44" t="str">
        <f t="shared" si="58"/>
        <v>TeliaSonera</v>
      </c>
      <c r="Z318" s="49"/>
      <c r="AE318" s="41"/>
      <c r="AF318" s="31"/>
      <c r="AG318" s="31"/>
      <c r="AI318" s="41"/>
      <c r="AJ318" s="64"/>
      <c r="AK318" s="64"/>
      <c r="AM318" s="41"/>
      <c r="AN318" s="64"/>
      <c r="AO318" s="64"/>
      <c r="AQ318" s="41"/>
      <c r="AR318" s="64"/>
      <c r="AS318" s="64"/>
    </row>
    <row r="319" spans="1:69" s="5" customFormat="1">
      <c r="A319" s="41"/>
      <c r="B319" s="42"/>
      <c r="C319" s="51" t="str">
        <f>C259</f>
        <v>Agg. W.Europe Incumbent</v>
      </c>
      <c r="D319" s="52"/>
      <c r="E319" s="52"/>
      <c r="F319" s="53"/>
      <c r="G319" s="52"/>
      <c r="H319" s="46"/>
      <c r="I319" s="55">
        <f>('W.EUR INCUMB'!$D$24/'W.EUR INCUMB'!$C$24)-1</f>
        <v>3.7192701604000789E-3</v>
      </c>
      <c r="J319" s="55">
        <f>('W.EUR INCUMB'!$E$24/'W.EUR INCUMB'!$D$24)-1</f>
        <v>3.6166753351444481E-2</v>
      </c>
      <c r="K319" s="55">
        <f>('W.EUR INCUMB'!$F$24/'W.EUR INCUMB'!$E$24)-1</f>
        <v>3.1771269826181392E-2</v>
      </c>
      <c r="L319" s="55">
        <f>('W.EUR INCUMB'!$G$24/'W.EUR INCUMB'!$F$24)-1</f>
        <v>2.7940205248276895E-2</v>
      </c>
      <c r="M319" s="55">
        <f>'W.EUR INCUMB'!$H$24</f>
        <v>3.1953936851226938E-2</v>
      </c>
      <c r="N319" s="56"/>
      <c r="O319" s="55">
        <f>('W.EUR INCUMB'!$D$25/'W.EUR INCUMB'!$C$25)-1</f>
        <v>0.16959037427458301</v>
      </c>
      <c r="P319" s="55">
        <f>('W.EUR INCUMB'!$E$25/'W.EUR INCUMB'!$D$25)-1</f>
        <v>0.1195909665186925</v>
      </c>
      <c r="Q319" s="55">
        <f>('W.EUR INCUMB'!$F$25/'W.EUR INCUMB'!$E$25)-1</f>
        <v>8.0231846297781573E-2</v>
      </c>
      <c r="R319" s="55">
        <f>('W.EUR INCUMB'!$G$25/'W.EUR INCUMB'!$F$25)-1</f>
        <v>6.6811803402728964E-2</v>
      </c>
      <c r="S319" s="55">
        <f>'W.EUR INCUMB'!$H$25</f>
        <v>8.864945159447446E-2</v>
      </c>
      <c r="T319" s="46"/>
      <c r="U319" s="57"/>
      <c r="V319" s="58" t="str">
        <f t="shared" si="58"/>
        <v>Agg. W.Europe Incumbent</v>
      </c>
      <c r="Z319" s="49"/>
      <c r="AE319" s="41"/>
      <c r="AF319" s="31"/>
      <c r="AG319" s="31"/>
      <c r="AI319" s="41"/>
      <c r="AJ319" s="64"/>
      <c r="AK319" s="64"/>
      <c r="AM319" s="41"/>
      <c r="AN319" s="64"/>
      <c r="AO319" s="64"/>
      <c r="AQ319" s="41"/>
      <c r="AR319" s="64"/>
      <c r="AS319" s="64"/>
    </row>
    <row r="320" spans="1:69">
      <c r="A320" s="41"/>
      <c r="C320" s="48"/>
      <c r="D320" s="44"/>
      <c r="E320" s="44"/>
      <c r="F320" s="45"/>
      <c r="G320" s="44"/>
      <c r="H320" s="46"/>
      <c r="I320" s="45"/>
      <c r="J320" s="45"/>
      <c r="K320" s="45"/>
      <c r="L320" s="45"/>
      <c r="M320" s="45"/>
      <c r="N320" s="46"/>
      <c r="O320" s="45"/>
      <c r="P320" s="45"/>
      <c r="Q320" s="45"/>
      <c r="R320" s="45"/>
      <c r="S320" s="45"/>
      <c r="T320" s="46"/>
      <c r="U320" s="48"/>
      <c r="V320" s="44"/>
      <c r="Z320" s="49"/>
      <c r="AE320" s="41"/>
      <c r="AF320" s="31"/>
      <c r="AG320" s="31"/>
      <c r="AI320" s="41"/>
      <c r="AJ320" s="64"/>
      <c r="AK320" s="64"/>
      <c r="AM320" s="41"/>
      <c r="AN320" s="64"/>
      <c r="AO320" s="64"/>
      <c r="AQ320" s="41"/>
      <c r="AR320" s="64"/>
      <c r="AS320" s="64"/>
    </row>
    <row r="321" spans="1:45">
      <c r="A321" s="41"/>
      <c r="B321" s="42" t="s">
        <v>519</v>
      </c>
      <c r="C321" s="48" t="s">
        <v>491</v>
      </c>
      <c r="D321" s="44" t="str">
        <f>B321&amp;TEXT(Prices!$C$40,"0.0")</f>
        <v>US$17.5</v>
      </c>
      <c r="E321" s="44" t="str">
        <f>B321&amp;TEXT(Prices!$E$40,"0.00")</f>
        <v>US$21.00</v>
      </c>
      <c r="F321" s="45">
        <f>Prices!$F$40</f>
        <v>0.19999999999999996</v>
      </c>
      <c r="G321" s="44" t="str">
        <f>Prices!$D$40</f>
        <v>Neutral</v>
      </c>
      <c r="H321" s="46"/>
      <c r="I321" s="45">
        <f>(ATT!$D$24/ATT!$C$24)-1</f>
        <v>4.6665862775834954E-2</v>
      </c>
      <c r="J321" s="45">
        <f>(ATT!$E$24/ATT!$D$24)-1</f>
        <v>2.9482704282557837E-2</v>
      </c>
      <c r="K321" s="45">
        <f>(ATT!$F$24/ATT!$E$24)-1</f>
        <v>1.6686132565629785E-2</v>
      </c>
      <c r="L321" s="45">
        <f>(ATT!$G$24/ATT!$F$24)-1</f>
        <v>1.1937590893133176E-2</v>
      </c>
      <c r="M321" s="45">
        <f>ATT!$H$24</f>
        <v>1.9341943051038646E-2</v>
      </c>
      <c r="N321" s="46"/>
      <c r="O321" s="45">
        <f>(ATT!$D$25/ATT!$C$25)-1</f>
        <v>0.15534943413837365</v>
      </c>
      <c r="P321" s="45">
        <f>(ATT!$E$25/ATT!$D$25)-1</f>
        <v>0.17038875869038161</v>
      </c>
      <c r="Q321" s="45">
        <f>(ATT!$F$25/ATT!$E$25)-1</f>
        <v>5.3733955912262266E-2</v>
      </c>
      <c r="R321" s="45">
        <f>(ATT!$G$25/ATT!$F$25)-1</f>
        <v>2.2201198083843909E-2</v>
      </c>
      <c r="S321" s="45">
        <f>ATT!$H$25</f>
        <v>8.0270461008097538E-2</v>
      </c>
      <c r="T321" s="46"/>
      <c r="U321" s="48" t="str">
        <f>D321</f>
        <v>US$17.5</v>
      </c>
      <c r="V321" s="44" t="str">
        <f>C321</f>
        <v xml:space="preserve">AT&amp;T </v>
      </c>
      <c r="Z321" s="49"/>
      <c r="AF321" s="31"/>
      <c r="AG321" s="31"/>
      <c r="AI321" s="41"/>
      <c r="AJ321" s="64"/>
      <c r="AK321" s="64"/>
      <c r="AM321" s="41"/>
      <c r="AN321" s="64"/>
      <c r="AO321" s="64"/>
      <c r="AQ321" s="41"/>
      <c r="AR321" s="64"/>
      <c r="AS321" s="64"/>
    </row>
    <row r="322" spans="1:45" s="5" customFormat="1">
      <c r="A322" s="146"/>
      <c r="B322" s="42" t="s">
        <v>519</v>
      </c>
      <c r="C322" s="48" t="s">
        <v>693</v>
      </c>
      <c r="D322" s="44" t="str">
        <f>B322&amp;TEXT(Prices!$C$41,"0.0")</f>
        <v>US$166.0</v>
      </c>
      <c r="E322" s="44" t="str">
        <f>B322&amp;TEXT(Prices!$E$41,"0.0")</f>
        <v>US$205.0</v>
      </c>
      <c r="F322" s="45">
        <f>Prices!$F$41</f>
        <v>0.23493975903614461</v>
      </c>
      <c r="G322" s="44" t="str">
        <f>Prices!$D$41</f>
        <v>Buy</v>
      </c>
      <c r="H322" s="46"/>
      <c r="I322" s="45">
        <f>(TMUS!$D$24/TMUS!$C$24)-1</f>
        <v>0.10230760486529489</v>
      </c>
      <c r="J322" s="45">
        <f>(TMUS!$E$24/TMUS!$D$24)-1</f>
        <v>8.7023977202989045E-2</v>
      </c>
      <c r="K322" s="45">
        <f>(TMUS!$F$24/TMUS!$E$24)-1</f>
        <v>7.4368854859186095E-2</v>
      </c>
      <c r="L322" s="45">
        <f>(TMUS!$G$24/TMUS!$F$24)-1</f>
        <v>6.7143366027171636E-2</v>
      </c>
      <c r="M322" s="45">
        <f>TMUS!$H$24</f>
        <v>7.6147416782025745E-2</v>
      </c>
      <c r="N322" s="46"/>
      <c r="O322" s="45">
        <f>(TMUS!$D$25/TMUS!$C$25)-1</f>
        <v>0.55301505514853866</v>
      </c>
      <c r="P322" s="45">
        <f>(TMUS!$E$25/TMUS!$D$25)-1</f>
        <v>0.16965511404119216</v>
      </c>
      <c r="Q322" s="45">
        <f>(TMUS!$F$25/TMUS!$E$25)-1</f>
        <v>0.10122047482075658</v>
      </c>
      <c r="R322" s="45">
        <f>(TMUS!$G$25/TMUS!$F$25)-1</f>
        <v>9.0611907598964425E-2</v>
      </c>
      <c r="S322" s="45">
        <f>TMUS!$H$25</f>
        <v>0.11995553100529999</v>
      </c>
      <c r="T322" s="46"/>
      <c r="U322" s="48" t="str">
        <f>D322</f>
        <v>US$166.0</v>
      </c>
      <c r="V322" s="44" t="str">
        <f>C322</f>
        <v>TMUS</v>
      </c>
      <c r="Z322" s="49"/>
      <c r="AB322" s="63"/>
      <c r="AE322" s="41"/>
      <c r="AF322" s="31"/>
      <c r="AG322" s="31"/>
      <c r="AI322" s="41"/>
      <c r="AJ322" s="64"/>
      <c r="AK322" s="64"/>
      <c r="AM322" s="41"/>
      <c r="AN322" s="64"/>
      <c r="AO322" s="64"/>
      <c r="AQ322" s="41"/>
      <c r="AR322" s="64"/>
      <c r="AS322" s="64"/>
    </row>
    <row r="323" spans="1:45" s="5" customFormat="1">
      <c r="A323" s="41"/>
      <c r="B323" s="42" t="s">
        <v>519</v>
      </c>
      <c r="C323" s="48" t="s">
        <v>33</v>
      </c>
      <c r="D323" s="44" t="str">
        <f>B323&amp;TEXT(Prices!$C$39,"0.0")</f>
        <v>US$39.7</v>
      </c>
      <c r="E323" s="44" t="str">
        <f>B323&amp;TEXT(Prices!$E$39,"0.00")</f>
        <v>US$45.00</v>
      </c>
      <c r="F323" s="45">
        <f>Prices!$F$39</f>
        <v>0.13236034222445903</v>
      </c>
      <c r="G323" s="44" t="str">
        <f>Prices!$D$39</f>
        <v>Neutral</v>
      </c>
      <c r="H323" s="46"/>
      <c r="I323" s="45">
        <f>(VZN!$D$24/VZN!$C$24)-1</f>
        <v>-1.6920827240443082E-3</v>
      </c>
      <c r="J323" s="45">
        <f>(VZN!$E$24/VZN!$D$24)-1</f>
        <v>2.1836561439319668E-2</v>
      </c>
      <c r="K323" s="45">
        <f>(VZN!$F$24/VZN!$E$24)-1</f>
        <v>9.2027522798641126E-3</v>
      </c>
      <c r="L323" s="45">
        <f>(VZN!$G$24/VZN!$F$24)-1</f>
        <v>7.7499525059263608E-3</v>
      </c>
      <c r="M323" s="45">
        <f>VZN!$H$24</f>
        <v>1.2910057608189529E-2</v>
      </c>
      <c r="N323" s="46"/>
      <c r="O323" s="45">
        <f>(VZN!$D$25/VZN!$C$25)-1</f>
        <v>0.17104466771577287</v>
      </c>
      <c r="P323" s="45">
        <f>(VZN!$E$25/VZN!$D$25)-1</f>
        <v>8.8210683187361028E-2</v>
      </c>
      <c r="Q323" s="45">
        <f>(VZN!$F$25/VZN!$E$25)-1</f>
        <v>1.4245142985380488E-2</v>
      </c>
      <c r="R323" s="45">
        <f>(VZN!$G$25/VZN!$F$25)-1</f>
        <v>1.1923495395275818E-2</v>
      </c>
      <c r="S323" s="45">
        <f>VZN!$H$25</f>
        <v>3.7531283809789429E-2</v>
      </c>
      <c r="T323" s="46"/>
      <c r="U323" s="48" t="str">
        <f>D323</f>
        <v>US$39.7</v>
      </c>
      <c r="V323" s="44" t="str">
        <f>C323</f>
        <v>Verizon</v>
      </c>
      <c r="Z323" s="49"/>
      <c r="AE323" s="41"/>
      <c r="AF323" s="31"/>
      <c r="AG323" s="31"/>
      <c r="AI323" s="41"/>
      <c r="AJ323" s="64"/>
      <c r="AK323" s="64"/>
      <c r="AM323" s="41"/>
      <c r="AN323" s="64"/>
      <c r="AO323" s="64"/>
      <c r="AQ323" s="41"/>
      <c r="AR323" s="64"/>
      <c r="AS323" s="64"/>
    </row>
    <row r="324" spans="1:45" s="5" customFormat="1">
      <c r="A324" s="41"/>
      <c r="B324" s="42"/>
      <c r="C324" s="51" t="s">
        <v>262</v>
      </c>
      <c r="D324" s="52"/>
      <c r="E324" s="52"/>
      <c r="F324" s="53"/>
      <c r="G324" s="52"/>
      <c r="H324" s="46"/>
      <c r="I324" s="55">
        <f>('US TELCO'!D$24/'US TELCO'!C$24)-1</f>
        <v>3.9351571816186537E-2</v>
      </c>
      <c r="J324" s="55">
        <f>('US TELCO'!E$24/'US TELCO'!D$24)-1</f>
        <v>4.0361750260216267E-2</v>
      </c>
      <c r="K324" s="55">
        <f>('US TELCO'!F$24/'US TELCO'!E$24)-1</f>
        <v>2.8342738102353771E-2</v>
      </c>
      <c r="L324" s="55">
        <f>('US TELCO'!G$24/'US TELCO'!F$24)-1</f>
        <v>2.4909208108480296E-2</v>
      </c>
      <c r="M324" s="55">
        <f>'US TELCO'!$H$38</f>
        <v>3.1183334923203576E-2</v>
      </c>
      <c r="N324" s="46"/>
      <c r="O324" s="55">
        <f>('US TELCO'!D$25/'US TELCO'!C$25)-1</f>
        <v>0.25339491406911274</v>
      </c>
      <c r="P324" s="55">
        <f>('US TELCO'!E$25/'US TELCO'!D$25)-1</f>
        <v>0.13516812195459571</v>
      </c>
      <c r="Q324" s="55">
        <f>('US TELCO'!F$25/'US TELCO'!E$25)-1</f>
        <v>5.1461497810683099E-2</v>
      </c>
      <c r="R324" s="55">
        <f>('US TELCO'!G$25/'US TELCO'!F$25)-1</f>
        <v>3.905839324915239E-2</v>
      </c>
      <c r="S324" s="55">
        <f>'US TELCO'!$H$39</f>
        <v>7.4396303115465079E-2</v>
      </c>
      <c r="T324" s="46"/>
      <c r="U324" s="57"/>
      <c r="V324" s="58" t="str">
        <f>V264</f>
        <v>Agg. US Telecoms</v>
      </c>
      <c r="Z324" s="49"/>
    </row>
    <row r="325" spans="1:45" s="5" customFormat="1">
      <c r="A325" s="41"/>
      <c r="B325" s="42"/>
      <c r="C325" s="48"/>
      <c r="D325" s="44"/>
      <c r="E325" s="44"/>
      <c r="F325" s="45"/>
      <c r="G325" s="44"/>
      <c r="H325" s="46"/>
      <c r="I325" s="45"/>
      <c r="J325" s="45"/>
      <c r="K325" s="45"/>
      <c r="L325" s="45"/>
      <c r="M325" s="45"/>
      <c r="N325" s="46"/>
      <c r="O325" s="45"/>
      <c r="P325" s="45"/>
      <c r="Q325" s="45"/>
      <c r="R325" s="45"/>
      <c r="S325" s="45"/>
      <c r="T325" s="46"/>
      <c r="U325" s="48"/>
      <c r="V325" s="44"/>
      <c r="Z325" s="49"/>
    </row>
    <row r="326" spans="1:45" s="5" customFormat="1">
      <c r="A326" s="41"/>
      <c r="B326" s="42"/>
      <c r="C326" s="48" t="str">
        <f t="shared" ref="C326:G329" si="59">C266</f>
        <v>NTT</v>
      </c>
      <c r="D326" s="44" t="str">
        <f t="shared" si="59"/>
        <v>JPY 153</v>
      </c>
      <c r="E326" s="44" t="str">
        <f t="shared" si="59"/>
        <v>JPY 240</v>
      </c>
      <c r="F326" s="45">
        <f t="shared" si="59"/>
        <v>0.57273918741808649</v>
      </c>
      <c r="G326" s="44" t="str">
        <f t="shared" si="59"/>
        <v>Buy</v>
      </c>
      <c r="H326" s="46"/>
      <c r="I326" s="45">
        <f>(NTT!$D$24/NTT!$C$24)-1</f>
        <v>3.8966565349544124E-2</v>
      </c>
      <c r="J326" s="45">
        <f>(NTT!$E$24/NTT!$D$24)-1</f>
        <v>0.1230455076674366</v>
      </c>
      <c r="K326" s="45">
        <f>(NTT!$F$24/NTT!$E$24)-1</f>
        <v>5.3007971451693781E-2</v>
      </c>
      <c r="L326" s="45">
        <f>(NTT!$G$24/NTT!$F$24)-1</f>
        <v>4.8674548974282805E-2</v>
      </c>
      <c r="M326" s="45">
        <f>NTT!$H$24</f>
        <v>7.4376698433700872E-2</v>
      </c>
      <c r="N326" s="46"/>
      <c r="O326" s="45">
        <f>(NTT!$D$25/NTT!$C$25)-1</f>
        <v>3.4519572953736644E-2</v>
      </c>
      <c r="P326" s="45">
        <f>(NTT!$E$25/NTT!$D$25)-1</f>
        <v>0.45156236999207056</v>
      </c>
      <c r="Q326" s="45">
        <f>(NTT!$F$25/NTT!$E$25)-1</f>
        <v>9.728714806167571E-2</v>
      </c>
      <c r="R326" s="45">
        <f>(NTT!$G$25/NTT!$F$25)-1</f>
        <v>7.8521473977316125E-2</v>
      </c>
      <c r="S326" s="45">
        <f>NTT!$H$25</f>
        <v>0.19764543491512754</v>
      </c>
      <c r="T326" s="46"/>
      <c r="U326" s="48" t="str">
        <f t="shared" ref="U326:V329" si="60">U266</f>
        <v>JPY 153</v>
      </c>
      <c r="V326" s="44" t="str">
        <f t="shared" si="60"/>
        <v>NTT</v>
      </c>
      <c r="Z326" s="49"/>
    </row>
    <row r="327" spans="1:45" s="5" customFormat="1">
      <c r="A327" s="41"/>
      <c r="B327" s="42"/>
      <c r="C327" s="48" t="str">
        <f t="shared" si="59"/>
        <v>Spark NZ</v>
      </c>
      <c r="D327" s="44" t="str">
        <f t="shared" si="59"/>
        <v>NZD 4.19</v>
      </c>
      <c r="E327" s="44" t="str">
        <f t="shared" si="59"/>
        <v>NZD 5.00</v>
      </c>
      <c r="F327" s="45">
        <f t="shared" si="59"/>
        <v>0.19331742243436745</v>
      </c>
      <c r="G327" s="44" t="str">
        <f t="shared" si="59"/>
        <v>Neutral</v>
      </c>
      <c r="H327" s="46"/>
      <c r="I327" s="45">
        <f>(SPK!$D$24/SPK!$C$24)-1</f>
        <v>3.8082920848278468E-2</v>
      </c>
      <c r="J327" s="45">
        <f>(SPK!$E$24/SPK!$D$24)-1</f>
        <v>1.1999333528376788E-2</v>
      </c>
      <c r="K327" s="45">
        <f>(SPK!$F$24/SPK!$E$24)-1</f>
        <v>8.232654528077088E-3</v>
      </c>
      <c r="L327" s="45">
        <f>(SPK!$G$24/SPK!$F$24)-1</f>
        <v>3.6915945562645103E-2</v>
      </c>
      <c r="M327" s="45">
        <f>SPK!$H$24</f>
        <v>1.897026982795702E-2</v>
      </c>
      <c r="N327" s="46"/>
      <c r="O327" s="45">
        <f>(SPK!$D$25/SPK!$C$25)-1</f>
        <v>6.029879394796489E-2</v>
      </c>
      <c r="P327" s="45">
        <f>(SPK!$E$25/SPK!$D$25)-1</f>
        <v>5.9409619749015707E-3</v>
      </c>
      <c r="Q327" s="45">
        <f>(SPK!$F$25/SPK!$E$25)-1</f>
        <v>-4.1334954123858347E-3</v>
      </c>
      <c r="R327" s="45">
        <f>(SPK!$G$25/SPK!$F$25)-1</f>
        <v>4.3968153224263951E-2</v>
      </c>
      <c r="S327" s="45">
        <f>SPK!$H$25</f>
        <v>1.5048879877651355E-2</v>
      </c>
      <c r="T327" s="46"/>
      <c r="U327" s="48" t="str">
        <f t="shared" si="60"/>
        <v>NZD 4.19</v>
      </c>
      <c r="V327" s="44" t="str">
        <f t="shared" si="60"/>
        <v>Spark NZ</v>
      </c>
      <c r="Z327" s="49"/>
    </row>
    <row r="328" spans="1:45">
      <c r="A328" s="41"/>
      <c r="C328" s="48" t="str">
        <f t="shared" si="59"/>
        <v>SingTel</v>
      </c>
      <c r="D328" s="44" t="str">
        <f t="shared" si="59"/>
        <v>SGD 2.42</v>
      </c>
      <c r="E328" s="44" t="str">
        <f t="shared" si="59"/>
        <v>SGD 4.40</v>
      </c>
      <c r="F328" s="45">
        <f t="shared" si="59"/>
        <v>0.81818181818181834</v>
      </c>
      <c r="G328" s="44" t="str">
        <f t="shared" si="59"/>
        <v>Buy</v>
      </c>
      <c r="H328" s="46"/>
      <c r="I328" s="45">
        <f>(SINGTEL!$D$24/SINGTEL!$C$24)-1</f>
        <v>-2.5674325227219907E-2</v>
      </c>
      <c r="J328" s="45">
        <f>(SINGTEL!$E$24/SINGTEL!$D$24)-1</f>
        <v>0.10243569914351358</v>
      </c>
      <c r="K328" s="45">
        <f>(SINGTEL!$F$24/SINGTEL!$E$24)-1</f>
        <v>9.1181864585081041E-2</v>
      </c>
      <c r="L328" s="45">
        <f>(SINGTEL!$G$24/SINGTEL!$F$24)-1</f>
        <v>1.7114172689579821E-2</v>
      </c>
      <c r="M328" s="45">
        <f>SINGTEL!$H$24</f>
        <v>6.95638219918715E-2</v>
      </c>
      <c r="N328" s="46"/>
      <c r="O328" s="45">
        <f>(SINGTEL!$D$25/SINGTEL!$C$25)-1</f>
        <v>2.4215525585466136E-2</v>
      </c>
      <c r="P328" s="45">
        <f>(SINGTEL!$E$25/SINGTEL!$D$25)-1</f>
        <v>0.25524873441667761</v>
      </c>
      <c r="Q328" s="45">
        <f>(SINGTEL!$F$25/SINGTEL!$E$25)-1</f>
        <v>0.20957986294059627</v>
      </c>
      <c r="R328" s="45">
        <f>(SINGTEL!$G$25/SINGTEL!$F$25)-1</f>
        <v>1.2022605321005964E-2</v>
      </c>
      <c r="S328" s="45">
        <f>SINGTEL!$H$25</f>
        <v>0.15394431312538903</v>
      </c>
      <c r="T328" s="46"/>
      <c r="U328" s="48" t="str">
        <f t="shared" si="60"/>
        <v>SGD 2.42</v>
      </c>
      <c r="V328" s="44" t="str">
        <f t="shared" si="60"/>
        <v>SingTel</v>
      </c>
      <c r="Z328" s="49"/>
      <c r="AB328" s="5"/>
    </row>
    <row r="329" spans="1:45" s="5" customFormat="1">
      <c r="A329" s="41"/>
      <c r="B329" s="42"/>
      <c r="C329" s="48" t="str">
        <f t="shared" si="59"/>
        <v xml:space="preserve">Telstra </v>
      </c>
      <c r="D329" s="44" t="str">
        <f t="shared" si="59"/>
        <v>AUD 3.45</v>
      </c>
      <c r="E329" s="44" t="str">
        <f t="shared" si="59"/>
        <v>AUD 3.50</v>
      </c>
      <c r="F329" s="45">
        <f t="shared" si="59"/>
        <v>1.4492753623188248E-2</v>
      </c>
      <c r="G329" s="44" t="str">
        <f t="shared" si="59"/>
        <v>Buy</v>
      </c>
      <c r="H329" s="46"/>
      <c r="I329" s="45">
        <f>(TLS!$D$24/TLS!$C$24)-1</f>
        <v>0.17222337742606286</v>
      </c>
      <c r="J329" s="45">
        <f>(TLS!$E$24/TLS!$D$24)-1</f>
        <v>2.9556370604967741E-2</v>
      </c>
      <c r="K329" s="45">
        <f>(TLS!$F$24/TLS!$E$24)-1</f>
        <v>-6.5142301786604073E-2</v>
      </c>
      <c r="L329" s="45">
        <f>(TLS!$G$24/TLS!$F$24)-1</f>
        <v>1.3148596104537891E-2</v>
      </c>
      <c r="M329" s="45">
        <f>TLS!$H$24</f>
        <v>-8.354918946323564E-3</v>
      </c>
      <c r="N329" s="46"/>
      <c r="O329" s="45">
        <f>(TLS!$D$25/TLS!$C$25)-1</f>
        <v>0.59473197014902168</v>
      </c>
      <c r="P329" s="45">
        <f>(TLS!$E$25/TLS!$D$25)-1</f>
        <v>6.6079575346163599E-2</v>
      </c>
      <c r="Q329" s="45">
        <f>(TLS!$F$25/TLS!$E$25)-1</f>
        <v>-9.0318575548709701E-2</v>
      </c>
      <c r="R329" s="45">
        <f>(TLS!$G$25/TLS!$F$25)-1</f>
        <v>3.8903599497313035E-3</v>
      </c>
      <c r="S329" s="45">
        <f>TLS!$H$25</f>
        <v>-8.8902592586865836E-3</v>
      </c>
      <c r="T329" s="46"/>
      <c r="U329" s="48" t="str">
        <f t="shared" si="60"/>
        <v>AUD 3.45</v>
      </c>
      <c r="V329" s="44" t="str">
        <f t="shared" si="60"/>
        <v>Telstra</v>
      </c>
      <c r="Z329" s="49"/>
      <c r="AB329" s="63"/>
    </row>
    <row r="330" spans="1:45">
      <c r="A330" s="41"/>
      <c r="C330" s="51" t="str">
        <f>C270</f>
        <v>Agg. Developed Asia Incumbent</v>
      </c>
      <c r="D330" s="58"/>
      <c r="E330" s="58"/>
      <c r="F330" s="55"/>
      <c r="G330" s="58"/>
      <c r="H330" s="56"/>
      <c r="I330" s="55">
        <f>('DM ASIA INCUMB'!$D$24/'DM ASIA INCUMB'!$C$24)-1</f>
        <v>5.6094494668037731E-2</v>
      </c>
      <c r="J330" s="55">
        <f>('DM ASIA INCUMB'!$E$24/'DM ASIA INCUMB'!$D$24)-1</f>
        <v>9.7292064221230046E-2</v>
      </c>
      <c r="K330" s="55">
        <f>('DM ASIA INCUMB'!$F$24/'DM ASIA INCUMB'!$E$24)-1</f>
        <v>3.2675432826982709E-2</v>
      </c>
      <c r="L330" s="55">
        <f>('DM ASIA INCUMB'!$G$24/'DM ASIA INCUMB'!$F$24)-1</f>
        <v>3.9573363347886747E-2</v>
      </c>
      <c r="M330" s="55">
        <f>'DM ASIA INCUMB'!$H$24</f>
        <v>5.6121155713759308E-2</v>
      </c>
      <c r="N330" s="56"/>
      <c r="O330" s="55">
        <f>('DM ASIA INCUMB'!$D$25/'DM ASIA INCUMB'!$C$25)-1</f>
        <v>0.13961020615312614</v>
      </c>
      <c r="P330" s="55">
        <f>('DM ASIA INCUMB'!$E$25/'DM ASIA INCUMB'!$D$25)-1</f>
        <v>0.30439196214133468</v>
      </c>
      <c r="Q330" s="55">
        <f>('DM ASIA INCUMB'!$F$25/'DM ASIA INCUMB'!$E$25)-1</f>
        <v>5.9776579162285737E-2</v>
      </c>
      <c r="R330" s="55">
        <f>('DM ASIA INCUMB'!$G$25/'DM ASIA INCUMB'!$F$25)-1</f>
        <v>5.7690046028973097E-2</v>
      </c>
      <c r="S330" s="55">
        <f>'DM ASIA INCUMB'!$H$25</f>
        <v>0.13499413202117938</v>
      </c>
      <c r="T330" s="56"/>
      <c r="U330" s="51"/>
      <c r="V330" s="58" t="str">
        <f>V270</f>
        <v xml:space="preserve">Agg. Developed Asia Incumbent </v>
      </c>
      <c r="Z330" s="49"/>
      <c r="AB330" s="5"/>
    </row>
    <row r="331" spans="1:45">
      <c r="A331" s="41"/>
      <c r="C331" s="43"/>
      <c r="D331" s="50"/>
      <c r="E331" s="50"/>
      <c r="F331" s="61"/>
      <c r="G331" s="50"/>
      <c r="H331" s="56"/>
      <c r="I331" s="61"/>
      <c r="J331" s="61"/>
      <c r="K331" s="61"/>
      <c r="L331" s="61"/>
      <c r="M331" s="61"/>
      <c r="N331" s="56"/>
      <c r="O331" s="61"/>
      <c r="P331" s="61"/>
      <c r="Q331" s="61"/>
      <c r="R331" s="61"/>
      <c r="S331" s="61"/>
      <c r="T331" s="56"/>
      <c r="U331" s="43"/>
      <c r="V331" s="50"/>
      <c r="Z331" s="49"/>
      <c r="AB331" s="5"/>
    </row>
    <row r="332" spans="1:45">
      <c r="A332" s="41"/>
      <c r="C332" s="51" t="s">
        <v>865</v>
      </c>
      <c r="D332" s="58"/>
      <c r="E332" s="58"/>
      <c r="F332" s="55"/>
      <c r="G332" s="58"/>
      <c r="H332" s="56"/>
      <c r="I332" s="55">
        <f>('AGG DM INCUMB'!$D$24/'AGG DM INCUMB'!$C$24)-1</f>
        <v>2.6971581141048917E-2</v>
      </c>
      <c r="J332" s="55">
        <f>('AGG DM INCUMB'!$E$24/'AGG DM INCUMB'!$D$24)-1</f>
        <v>4.599273089776923E-2</v>
      </c>
      <c r="K332" s="55">
        <f>('AGG DM INCUMB'!$F$24/'AGG DM INCUMB'!$E$24)-1</f>
        <v>3.0272856821411454E-2</v>
      </c>
      <c r="L332" s="55">
        <f>('AGG DM INCUMB'!$G$24/'AGG DM INCUMB'!$F$24)-1</f>
        <v>2.8078293592365133E-2</v>
      </c>
      <c r="M332" s="55">
        <f>'AGG DM INCUMB'!$H$24</f>
        <v>3.4750642634944207E-2</v>
      </c>
      <c r="N332" s="56"/>
      <c r="O332" s="55">
        <f>('AGG DM INCUMB'!$D$25/'AGG DM INCUMB'!$C$25)-1</f>
        <v>0.20750541725860661</v>
      </c>
      <c r="P332" s="55">
        <f>('AGG DM INCUMB'!$E$25/'AGG DM INCUMB'!$D$25)-1</f>
        <v>0.14948653837409043</v>
      </c>
      <c r="Q332" s="55">
        <f>('AGG DM INCUMB'!$F$25/'AGG DM INCUMB'!$E$25)-1</f>
        <v>6.2821915522047522E-2</v>
      </c>
      <c r="R332" s="55">
        <f>('AGG DM INCUMB'!$G$25/'AGG DM INCUMB'!$F$25)-1</f>
        <v>5.1595925171672219E-2</v>
      </c>
      <c r="S332" s="55">
        <f>'AGG DM INCUMB'!$H$25</f>
        <v>8.7104003376275552E-2</v>
      </c>
      <c r="T332" s="56"/>
      <c r="U332" s="51"/>
      <c r="V332" s="58" t="str">
        <f>C332</f>
        <v>Agg. DM Incumbent total</v>
      </c>
      <c r="Z332" s="49"/>
      <c r="AB332" s="5"/>
    </row>
    <row r="333" spans="1:45" s="5" customFormat="1">
      <c r="A333" s="41"/>
      <c r="B333" s="42"/>
      <c r="C333" s="41"/>
      <c r="D333" s="44"/>
      <c r="E333" s="44"/>
      <c r="F333" s="45"/>
      <c r="G333" s="44"/>
      <c r="H333" s="46"/>
      <c r="I333" s="45"/>
      <c r="J333" s="45"/>
      <c r="K333" s="45"/>
      <c r="L333" s="45"/>
      <c r="M333" s="45"/>
      <c r="N333" s="46"/>
      <c r="O333" s="45"/>
      <c r="P333" s="45"/>
      <c r="Q333" s="45"/>
      <c r="R333" s="45"/>
      <c r="S333" s="45"/>
      <c r="T333" s="46"/>
      <c r="U333" s="48"/>
      <c r="V333" s="50"/>
      <c r="Z333" s="49"/>
      <c r="AB333" s="63"/>
    </row>
    <row r="334" spans="1:45" s="5" customFormat="1">
      <c r="A334" s="41" t="s">
        <v>1385</v>
      </c>
      <c r="B334" s="42"/>
      <c r="C334" s="48" t="str">
        <f t="shared" ref="C334:G341" si="61">C274</f>
        <v>1&amp;1</v>
      </c>
      <c r="D334" s="44" t="str">
        <f t="shared" si="61"/>
        <v>EUR 17.5</v>
      </c>
      <c r="E334" s="44" t="str">
        <f t="shared" si="61"/>
        <v>EUR 28.0</v>
      </c>
      <c r="F334" s="45">
        <f t="shared" si="61"/>
        <v>0.60000000000000009</v>
      </c>
      <c r="G334" s="44" t="str">
        <f t="shared" si="61"/>
        <v>Buy</v>
      </c>
      <c r="H334" s="46"/>
      <c r="I334" s="45">
        <f>(DRI!$D$24/DRI!$C$24)-1</f>
        <v>-6.5823907674716131E-2</v>
      </c>
      <c r="J334" s="45">
        <f>(DRI!$E$24/DRI!$D$24)-1</f>
        <v>6.7138316118379171E-2</v>
      </c>
      <c r="K334" s="45">
        <f>(DRI!$F$24/DRI!$E$24)-1</f>
        <v>5.9038814724752919E-2</v>
      </c>
      <c r="L334" s="45">
        <f>(DRI!$G$24/DRI!$F$24)-1</f>
        <v>7.3820881511010628E-2</v>
      </c>
      <c r="M334" s="45">
        <f>DRI!$H$24</f>
        <v>6.6648872942429715E-2</v>
      </c>
      <c r="N334" s="46"/>
      <c r="O334" s="45">
        <f>(DRI!$D$25/DRI!$C$25)-1</f>
        <v>-0.2191063109444733</v>
      </c>
      <c r="P334" s="45">
        <f>(DRI!$E$25/DRI!$D$25)-1</f>
        <v>-0.11456419078688818</v>
      </c>
      <c r="Q334" s="45">
        <f>(DRI!$F$25/DRI!$E$25)-1</f>
        <v>0.23861620388935512</v>
      </c>
      <c r="R334" s="45">
        <f>(DRI!$G$25/DRI!$F$25)-1</f>
        <v>0.1767583787967979</v>
      </c>
      <c r="S334" s="45">
        <f>DRI!$H$25</f>
        <v>8.8747187570624275E-2</v>
      </c>
      <c r="T334" s="46"/>
      <c r="U334" s="48" t="str">
        <f t="shared" ref="U334:V340" si="62">U274</f>
        <v>EUR 17.5</v>
      </c>
      <c r="V334" s="44" t="str">
        <f t="shared" si="62"/>
        <v>1&amp;1</v>
      </c>
      <c r="Z334" s="49"/>
    </row>
    <row r="335" spans="1:45" s="5" customFormat="1">
      <c r="A335" s="41"/>
      <c r="B335" s="42"/>
      <c r="C335" s="48" t="str">
        <f t="shared" si="61"/>
        <v>Elisa</v>
      </c>
      <c r="D335" s="44" t="str">
        <f t="shared" si="61"/>
        <v>EUR 41.6</v>
      </c>
      <c r="E335" s="44" t="str">
        <f t="shared" si="61"/>
        <v>EUR 54.0</v>
      </c>
      <c r="F335" s="45">
        <f t="shared" si="61"/>
        <v>0.29745314752522845</v>
      </c>
      <c r="G335" s="44" t="str">
        <f t="shared" si="61"/>
        <v>Neutral</v>
      </c>
      <c r="H335" s="46"/>
      <c r="I335" s="45">
        <f>(ELISA!$D$24/ELISA!$C$24)-1</f>
        <v>1.9968286606802277E-2</v>
      </c>
      <c r="J335" s="45">
        <f>(ELISA!$E$24/ELISA!$D$24)-1</f>
        <v>4.5853080572906046E-2</v>
      </c>
      <c r="K335" s="45">
        <f>(ELISA!$F$24/ELISA!$E$24)-1</f>
        <v>3.8982409339559432E-2</v>
      </c>
      <c r="L335" s="45">
        <f>(ELISA!$G$24/ELISA!$F$24)-1</f>
        <v>3.4850325258612314E-2</v>
      </c>
      <c r="M335" s="45">
        <f>ELISA!$H$24</f>
        <v>3.9885378402768179E-2</v>
      </c>
      <c r="N335" s="46"/>
      <c r="O335" s="45">
        <f>(ELISA!$D$25/ELISA!$C$25)-1</f>
        <v>2.3305126613883509E-2</v>
      </c>
      <c r="P335" s="45">
        <f>(ELISA!$E$25/ELISA!$D$25)-1</f>
        <v>6.7529703152070297E-2</v>
      </c>
      <c r="Q335" s="45">
        <f>(ELISA!$F$25/ELISA!$E$25)-1</f>
        <v>7.8752522083505028E-2</v>
      </c>
      <c r="R335" s="45">
        <f>(ELISA!$G$25/ELISA!$F$25)-1</f>
        <v>4.8991738066573198E-2</v>
      </c>
      <c r="S335" s="45">
        <f>ELISA!$H$25</f>
        <v>6.5020465226544477E-2</v>
      </c>
      <c r="T335" s="46"/>
      <c r="U335" s="48" t="str">
        <f t="shared" si="62"/>
        <v>EUR 41.6</v>
      </c>
      <c r="V335" s="44" t="str">
        <f t="shared" si="62"/>
        <v>Elisa</v>
      </c>
      <c r="Z335" s="49"/>
    </row>
    <row r="336" spans="1:45" s="5" customFormat="1">
      <c r="A336" s="41"/>
      <c r="B336" s="42"/>
      <c r="C336" s="48" t="str">
        <f t="shared" si="61"/>
        <v>Liberty Global (prop.)</v>
      </c>
      <c r="D336" s="44" t="str">
        <f t="shared" si="61"/>
        <v>USD 16.2</v>
      </c>
      <c r="E336" s="44" t="str">
        <f t="shared" si="61"/>
        <v>USD 24.0</v>
      </c>
      <c r="F336" s="45">
        <f t="shared" si="61"/>
        <v>0.47783251231527113</v>
      </c>
      <c r="G336" s="44" t="str">
        <f t="shared" si="61"/>
        <v>Buy</v>
      </c>
      <c r="H336" s="46"/>
      <c r="I336" s="45">
        <f>(LBTY!$D$24/LBTY!$C$24)-1</f>
        <v>-8.7036025781230042E-2</v>
      </c>
      <c r="J336" s="45">
        <f>(LBTY!$E$24/LBTY!$D$24)-1</f>
        <v>7.437101997786244E-2</v>
      </c>
      <c r="K336" s="45">
        <f>(LBTY!$F$24/LBTY!$E$24)-1</f>
        <v>1.6342484272888758E-2</v>
      </c>
      <c r="L336" s="45">
        <f>(LBTY!$G$24/LBTY!$F$24)-1</f>
        <v>1.0353132059729431E-2</v>
      </c>
      <c r="M336" s="45">
        <f>LBTY!$H$24</f>
        <v>3.3290696399814745E-2</v>
      </c>
      <c r="N336" s="46"/>
      <c r="O336" s="45">
        <f>(LBTY!$D$25/LBTY!$C$25)-1</f>
        <v>-0.27414158595234062</v>
      </c>
      <c r="P336" s="45">
        <f>(LBTY!$E$25/LBTY!$D$25)-1</f>
        <v>3.4626874878118663E-2</v>
      </c>
      <c r="Q336" s="45">
        <f>(LBTY!$F$25/LBTY!$E$25)-1</f>
        <v>2.3589153027925303E-3</v>
      </c>
      <c r="R336" s="45">
        <f>(LBTY!$G$25/LBTY!$F$25)-1</f>
        <v>0.13841198154783552</v>
      </c>
      <c r="S336" s="45">
        <f>LBTY!$H$25</f>
        <v>5.6903875069172605E-2</v>
      </c>
      <c r="T336" s="46"/>
      <c r="U336" s="48" t="str">
        <f t="shared" si="62"/>
        <v>USD 16.2</v>
      </c>
      <c r="V336" s="44" t="str">
        <f t="shared" si="62"/>
        <v>Liberty Global</v>
      </c>
      <c r="Z336" s="49"/>
    </row>
    <row r="337" spans="1:28" s="5" customFormat="1">
      <c r="A337" s="41"/>
      <c r="B337" s="42"/>
      <c r="C337" s="48" t="str">
        <f t="shared" si="61"/>
        <v>NOS</v>
      </c>
      <c r="D337" s="44" t="str">
        <f t="shared" si="61"/>
        <v>EUR 3.35</v>
      </c>
      <c r="E337" s="44" t="str">
        <f t="shared" si="61"/>
        <v>EUR 4.00</v>
      </c>
      <c r="F337" s="45">
        <f t="shared" si="61"/>
        <v>0.19581464872944676</v>
      </c>
      <c r="G337" s="44" t="str">
        <f t="shared" si="61"/>
        <v>Neutral</v>
      </c>
      <c r="H337" s="46"/>
      <c r="I337" s="45">
        <f>(NOS!$D$24/NOS!$C$24)-1</f>
        <v>9.1885943921492963E-2</v>
      </c>
      <c r="J337" s="45">
        <f>(NOS!$E$24/NOS!$D$24)-1</f>
        <v>1.2661864415528523E-2</v>
      </c>
      <c r="K337" s="45">
        <f>(NOS!$F$24/NOS!$E$24)-1</f>
        <v>-1.8274993278532659E-2</v>
      </c>
      <c r="L337" s="45">
        <f>(NOS!$G$24/NOS!$F$24)-1</f>
        <v>-1.3587277094334937E-2</v>
      </c>
      <c r="M337" s="45">
        <f>NOS!$H$24</f>
        <v>-6.4928627842167908E-3</v>
      </c>
      <c r="N337" s="46"/>
      <c r="O337" s="45">
        <f>(NOS!$D$25/NOS!$C$25)-1</f>
        <v>1.0609101010079689</v>
      </c>
      <c r="P337" s="45">
        <f>(NOS!$E$25/NOS!$D$25)-1</f>
        <v>5.8645050275254462E-2</v>
      </c>
      <c r="Q337" s="45">
        <f>(NOS!$F$25/NOS!$E$25)-1</f>
        <v>-5.6437167581522285E-3</v>
      </c>
      <c r="R337" s="45">
        <f>(NOS!$G$25/NOS!$F$25)-1</f>
        <v>4.6521164557971062E-3</v>
      </c>
      <c r="S337" s="45">
        <f>NOS!$H$25</f>
        <v>1.8832286194054415E-2</v>
      </c>
      <c r="T337" s="46"/>
      <c r="U337" s="48" t="str">
        <f t="shared" si="62"/>
        <v>EUR 3.35</v>
      </c>
      <c r="V337" s="44" t="str">
        <f t="shared" si="62"/>
        <v>NOS</v>
      </c>
      <c r="Z337" s="49"/>
    </row>
    <row r="338" spans="1:28" s="5" customFormat="1">
      <c r="A338" s="146"/>
      <c r="B338" s="42"/>
      <c r="C338" s="48" t="str">
        <f t="shared" si="61"/>
        <v>Orange Belgium</v>
      </c>
      <c r="D338" s="44" t="str">
        <f t="shared" si="61"/>
        <v>EUR 14.9</v>
      </c>
      <c r="E338" s="44" t="str">
        <f t="shared" si="61"/>
        <v>EUR 13.0</v>
      </c>
      <c r="F338" s="45">
        <f t="shared" si="61"/>
        <v>-0.12868632707774796</v>
      </c>
      <c r="G338" s="44" t="str">
        <f t="shared" si="61"/>
        <v>Neutral</v>
      </c>
      <c r="H338" s="46"/>
      <c r="I338" s="45">
        <f>(OBEL!$D$24/OBEL!$C$24)-1</f>
        <v>0.21807353809638852</v>
      </c>
      <c r="J338" s="45">
        <f>(OBEL!$E$24/OBEL!$D$24)-1</f>
        <v>0.15970039151654936</v>
      </c>
      <c r="K338" s="45">
        <f>(OBEL!$F$24/OBEL!$E$24)-1</f>
        <v>2.0064967843884673E-2</v>
      </c>
      <c r="L338" s="45">
        <f>(OBEL!$G$24/OBEL!$F$24)-1</f>
        <v>1.748904914330951E-2</v>
      </c>
      <c r="M338" s="45">
        <f>OBEL!$H$24</f>
        <v>6.3737476496064982E-2</v>
      </c>
      <c r="N338" s="46"/>
      <c r="O338" s="45">
        <f>(OBEL!$D$25/OBEL!$C$25)-1</f>
        <v>0.119842872035957</v>
      </c>
      <c r="P338" s="45">
        <f>(OBEL!$E$25/OBEL!$D$25)-1</f>
        <v>0.12436351619525632</v>
      </c>
      <c r="Q338" s="45">
        <f>(OBEL!$F$25/OBEL!$E$25)-1</f>
        <v>0.18870921699325582</v>
      </c>
      <c r="R338" s="45">
        <f>(OBEL!$G$25/OBEL!$F$25)-1</f>
        <v>3.2647722313147387E-2</v>
      </c>
      <c r="S338" s="45">
        <f>OBEL!$H$25</f>
        <v>0.11338369131939996</v>
      </c>
      <c r="T338" s="46"/>
      <c r="U338" s="48" t="str">
        <f t="shared" si="62"/>
        <v>EUR 14.9</v>
      </c>
      <c r="V338" s="44" t="str">
        <f t="shared" si="62"/>
        <v>Mobistar</v>
      </c>
      <c r="Z338" s="49"/>
    </row>
    <row r="339" spans="1:28" s="5" customFormat="1">
      <c r="A339" s="146"/>
      <c r="B339" s="42"/>
      <c r="C339" s="48" t="str">
        <f t="shared" si="61"/>
        <v>Tele2</v>
      </c>
      <c r="D339" s="44" t="str">
        <f t="shared" si="61"/>
        <v>SEK 101.1</v>
      </c>
      <c r="E339" s="44" t="str">
        <f t="shared" si="61"/>
        <v>SEK 110.0</v>
      </c>
      <c r="F339" s="45">
        <f t="shared" si="61"/>
        <v>8.8570014844136624E-2</v>
      </c>
      <c r="G339" s="44" t="str">
        <f t="shared" si="61"/>
        <v>Neutral</v>
      </c>
      <c r="H339" s="46"/>
      <c r="I339" s="45">
        <f>(TELE2!$D$24/TELE2!$C$24)-1</f>
        <v>2.9047579755277608E-2</v>
      </c>
      <c r="J339" s="45">
        <f>(TELE2!$E$24/TELE2!$D$24)-1</f>
        <v>4.4579902402059446E-2</v>
      </c>
      <c r="K339" s="45">
        <f>(TELE2!$F$24/TELE2!$E$24)-1</f>
        <v>3.1995011904556891E-2</v>
      </c>
      <c r="L339" s="45">
        <f>(TELE2!$G$24/TELE2!$F$24)-1</f>
        <v>1.9830017431807789E-2</v>
      </c>
      <c r="M339" s="45">
        <f>TELE2!$H$24</f>
        <v>3.2085519739952106E-2</v>
      </c>
      <c r="N339" s="46"/>
      <c r="O339" s="45">
        <f>(TELE2!$D$25/TELE2!$C$25)-1</f>
        <v>-8.4229124214881379E-2</v>
      </c>
      <c r="P339" s="45">
        <f>(TELE2!$E$25/TELE2!$D$25)-1</f>
        <v>0.12204650305413822</v>
      </c>
      <c r="Q339" s="45">
        <f>(TELE2!$F$25/TELE2!$E$25)-1</f>
        <v>1.9726145248939675E-2</v>
      </c>
      <c r="R339" s="45">
        <f>(TELE2!$G$25/TELE2!$F$25)-1</f>
        <v>2.6125274766773288E-2</v>
      </c>
      <c r="S339" s="45">
        <f>TELE2!$H$25</f>
        <v>5.4949325236261171E-2</v>
      </c>
      <c r="T339" s="46"/>
      <c r="U339" s="48" t="str">
        <f t="shared" si="62"/>
        <v>SEK 101.1</v>
      </c>
      <c r="V339" s="44" t="str">
        <f t="shared" si="62"/>
        <v>Tele2</v>
      </c>
      <c r="Z339" s="49"/>
    </row>
    <row r="340" spans="1:28" s="5" customFormat="1">
      <c r="A340" s="41"/>
      <c r="B340" s="42"/>
      <c r="C340" s="48" t="str">
        <f t="shared" si="61"/>
        <v>United Internet</v>
      </c>
      <c r="D340" s="44" t="str">
        <f t="shared" si="61"/>
        <v>EUR 22.1</v>
      </c>
      <c r="E340" s="44" t="str">
        <f t="shared" si="61"/>
        <v>EUR 30.0</v>
      </c>
      <c r="F340" s="45">
        <f t="shared" si="61"/>
        <v>0.35869565217391308</v>
      </c>
      <c r="G340" s="44" t="str">
        <f t="shared" si="61"/>
        <v>Buy</v>
      </c>
      <c r="H340" s="46"/>
      <c r="I340" s="45">
        <f>(UTDI!$D$24/UTDI!$C$24)-1</f>
        <v>1.3536384953881875E-2</v>
      </c>
      <c r="J340" s="45">
        <f>(UTDI!$E$24/UTDI!$D$24)-1</f>
        <v>9.1133869705366299E-2</v>
      </c>
      <c r="K340" s="45">
        <f>(UTDI!$F$24/UTDI!$E$24)-1</f>
        <v>0.10162004557869486</v>
      </c>
      <c r="L340" s="45">
        <f>(UTDI!$G$24/UTDI!$F$24)-1</f>
        <v>7.322133177533896E-2</v>
      </c>
      <c r="M340" s="45">
        <f>UTDI!$H$24</f>
        <v>8.8595131486410628E-2</v>
      </c>
      <c r="N340" s="46"/>
      <c r="O340" s="45">
        <f>(UTDI!$D$25/UTDI!$C$25)-1</f>
        <v>-0.22023461944064371</v>
      </c>
      <c r="P340" s="45">
        <f>(UTDI!$E$25/UTDI!$D$25)-1</f>
        <v>7.9833679604142116E-2</v>
      </c>
      <c r="Q340" s="45">
        <f>(UTDI!$F$25/UTDI!$E$25)-1</f>
        <v>0.4206945317265125</v>
      </c>
      <c r="R340" s="45">
        <f>(UTDI!$G$25/UTDI!$F$25)-1</f>
        <v>0.27683756690871841</v>
      </c>
      <c r="S340" s="45">
        <f>UTDI!$H$25</f>
        <v>0.25121250595556455</v>
      </c>
      <c r="T340" s="46"/>
      <c r="U340" s="48" t="str">
        <f t="shared" si="62"/>
        <v>EUR 22.1</v>
      </c>
      <c r="V340" s="44" t="str">
        <f t="shared" si="62"/>
        <v>United Internet</v>
      </c>
      <c r="Z340" s="49"/>
    </row>
    <row r="341" spans="1:28" s="5" customFormat="1">
      <c r="A341" s="146"/>
      <c r="B341" s="42"/>
      <c r="C341" s="48" t="str">
        <f t="shared" si="61"/>
        <v>Vodafone</v>
      </c>
      <c r="D341" s="44" t="str">
        <f t="shared" si="61"/>
        <v>GBP 0.74</v>
      </c>
      <c r="E341" s="44" t="str">
        <f t="shared" si="61"/>
        <v>GBP 1.35</v>
      </c>
      <c r="F341" s="45">
        <f t="shared" si="61"/>
        <v>0.83673469387755106</v>
      </c>
      <c r="G341" s="44" t="str">
        <f t="shared" si="61"/>
        <v>Buy</v>
      </c>
      <c r="H341" s="46"/>
      <c r="I341" s="45">
        <f>(VOD!$D$24/VOD!$C$24)-1</f>
        <v>-0.11374029071232672</v>
      </c>
      <c r="J341" s="45">
        <f>(VOD!$E$24/VOD!$D$24)-1</f>
        <v>-6.1837835528334439E-2</v>
      </c>
      <c r="K341" s="45">
        <f>(VOD!$F$24/VOD!$E$24)-1</f>
        <v>5.8132636917682223E-2</v>
      </c>
      <c r="L341" s="45">
        <f>(VOD!$G$24/VOD!$F$24)-1</f>
        <v>3.6638053520140934E-2</v>
      </c>
      <c r="M341" s="45">
        <f>VOD!$H$24</f>
        <v>9.5977880430091478E-3</v>
      </c>
      <c r="N341" s="46"/>
      <c r="O341" s="45">
        <f>(VOD!$D$25/VOD!$C$25)-1</f>
        <v>-0.14367667959278496</v>
      </c>
      <c r="P341" s="45">
        <f>(VOD!$E$25/VOD!$D$25)-1</f>
        <v>-7.2549894101090029E-2</v>
      </c>
      <c r="Q341" s="45">
        <f>(VOD!$F$25/VOD!$E$25)-1</f>
        <v>0.19165153736099994</v>
      </c>
      <c r="R341" s="45">
        <f>(VOD!$G$25/VOD!$F$25)-1</f>
        <v>9.7277903147984901E-2</v>
      </c>
      <c r="S341" s="45">
        <f>VOD!$H$25</f>
        <v>6.6396772736873944E-2</v>
      </c>
      <c r="T341" s="46"/>
      <c r="U341" s="48" t="str">
        <f>U281</f>
        <v>GBP 0.74</v>
      </c>
      <c r="V341" s="44" t="s">
        <v>281</v>
      </c>
      <c r="Z341" s="49"/>
    </row>
    <row r="342" spans="1:28">
      <c r="C342" s="51" t="str">
        <f>C282</f>
        <v>Agg. W. Europe Other</v>
      </c>
      <c r="D342" s="52"/>
      <c r="E342" s="52"/>
      <c r="F342" s="53"/>
      <c r="G342" s="52"/>
      <c r="H342" s="46"/>
      <c r="I342" s="55">
        <f>('W.EUR OTHER'!$D$24/'W.EUR OTHER'!$C$24)-1</f>
        <v>-8.1137854372546281E-2</v>
      </c>
      <c r="J342" s="55">
        <f>('W.EUR OTHER'!$E$24/'W.EUR OTHER'!$D$24)-1</f>
        <v>-2.0385280612899348E-2</v>
      </c>
      <c r="K342" s="55">
        <f>('W.EUR OTHER'!$F$24/'W.EUR OTHER'!$E$24)-1</f>
        <v>4.9829278755747719E-2</v>
      </c>
      <c r="L342" s="55">
        <f>('W.EUR OTHER'!$G$24/'W.EUR OTHER'!$F$24)-1</f>
        <v>3.2861695296352522E-2</v>
      </c>
      <c r="M342" s="55">
        <f>'W.EUR OTHER'!$H$24</f>
        <v>2.0325446875936182E-2</v>
      </c>
      <c r="N342" s="56"/>
      <c r="O342" s="55">
        <f>('W.EUR OTHER'!$D$25/'W.EUR OTHER'!$C$25)-1</f>
        <v>-0.1235618130123376</v>
      </c>
      <c r="P342" s="55">
        <f>('W.EUR OTHER'!$E$25/'W.EUR OTHER'!$D$25)-1</f>
        <v>-2.5718207771864399E-2</v>
      </c>
      <c r="Q342" s="55">
        <f>('W.EUR OTHER'!$F$25/'W.EUR OTHER'!$E$25)-1</f>
        <v>0.15638637997363003</v>
      </c>
      <c r="R342" s="55">
        <f>('W.EUR OTHER'!$G$25/'W.EUR OTHER'!$F$25)-1</f>
        <v>9.8447136654227885E-2</v>
      </c>
      <c r="S342" s="55">
        <f>'W.EUR OTHER'!$H$25</f>
        <v>7.3632307659955432E-2</v>
      </c>
      <c r="T342" s="46"/>
      <c r="U342" s="57"/>
      <c r="V342" s="58" t="str">
        <f>V282</f>
        <v>Agg. W. Europe Other</v>
      </c>
      <c r="Z342" s="49"/>
      <c r="AB342" s="5"/>
    </row>
    <row r="343" spans="1:28" s="5" customFormat="1">
      <c r="A343" s="146"/>
      <c r="B343" s="42"/>
      <c r="C343" s="48"/>
      <c r="D343" s="44"/>
      <c r="E343" s="44"/>
      <c r="F343" s="45"/>
      <c r="G343" s="44"/>
      <c r="H343" s="46"/>
      <c r="I343" s="45"/>
      <c r="J343" s="45"/>
      <c r="K343" s="45"/>
      <c r="L343" s="45"/>
      <c r="M343" s="45"/>
      <c r="N343" s="46"/>
      <c r="O343" s="45"/>
      <c r="P343" s="45"/>
      <c r="Q343" s="45"/>
      <c r="R343" s="45"/>
      <c r="S343" s="45"/>
      <c r="T343" s="46"/>
      <c r="U343" s="48"/>
      <c r="V343" s="44"/>
      <c r="Z343" s="49"/>
      <c r="AB343" s="63"/>
    </row>
    <row r="344" spans="1:28" s="5" customFormat="1">
      <c r="A344" s="41"/>
      <c r="B344" s="42" t="s">
        <v>556</v>
      </c>
      <c r="C344" s="48" t="s">
        <v>836</v>
      </c>
      <c r="D344" s="44" t="str">
        <f t="shared" ref="D344:G349" si="63">D284</f>
        <v>HKD 3</v>
      </c>
      <c r="E344" s="44" t="str">
        <f t="shared" si="63"/>
        <v>HKD 16</v>
      </c>
      <c r="F344" s="45">
        <f t="shared" si="63"/>
        <v>5.2256809338521402</v>
      </c>
      <c r="G344" s="44" t="str">
        <f t="shared" si="63"/>
        <v>Buy</v>
      </c>
      <c r="H344" s="46"/>
      <c r="I344" s="45">
        <f>(HKBN!$D$24/HKBN!$C$24)-1</f>
        <v>5.4825129099686176E-2</v>
      </c>
      <c r="J344" s="45">
        <f>(HKBN!$E$24/HKBN!$D$24)-1</f>
        <v>3.4776941878001733E-2</v>
      </c>
      <c r="K344" s="45">
        <f>(HKBN!$F$24/HKBN!$E$24)-1</f>
        <v>3.333822598478009E-2</v>
      </c>
      <c r="L344" s="45">
        <f>(HKBN!$G$24/HKBN!$F$24)-1</f>
        <v>3.1836657074977071E-2</v>
      </c>
      <c r="M344" s="45">
        <f>HKBN!$H$24</f>
        <v>3.3316577648039525E-2</v>
      </c>
      <c r="N344" s="46"/>
      <c r="O344" s="45">
        <f>(HKBN!$D$25/HKBN!$C$25)-1</f>
        <v>5.5239205148801762E-2</v>
      </c>
      <c r="P344" s="45">
        <f>(HKBN!$E$25/HKBN!$D$25)-1</f>
        <v>4.6841325099472142E-2</v>
      </c>
      <c r="Q344" s="45">
        <f>(HKBN!$F$25/HKBN!$E$25)-1</f>
        <v>2.9240639309775496E-2</v>
      </c>
      <c r="R344" s="45">
        <f>(HKBN!$G$25/HKBN!$F$25)-1</f>
        <v>4.4294857662941611E-2</v>
      </c>
      <c r="S344" s="45">
        <f>HKBN!$H$25</f>
        <v>4.009651517345092E-2</v>
      </c>
      <c r="T344" s="46"/>
      <c r="U344" s="48" t="str">
        <f t="shared" ref="U344:V349" si="64">U284</f>
        <v>HKD 3</v>
      </c>
      <c r="V344" s="69" t="str">
        <f t="shared" si="64"/>
        <v>HKBN</v>
      </c>
      <c r="Z344" s="49"/>
    </row>
    <row r="345" spans="1:28" s="5" customFormat="1">
      <c r="A345" s="146"/>
      <c r="B345" s="42"/>
      <c r="C345" s="48" t="str">
        <f t="shared" ref="C345:C350" si="65">C285</f>
        <v>KDDI</v>
      </c>
      <c r="D345" s="44" t="str">
        <f t="shared" si="63"/>
        <v>JPY 4,302</v>
      </c>
      <c r="E345" s="44" t="str">
        <f t="shared" si="63"/>
        <v>JPY 6,600</v>
      </c>
      <c r="F345" s="45">
        <f t="shared" si="63"/>
        <v>0.53417015341701535</v>
      </c>
      <c r="G345" s="44" t="str">
        <f t="shared" si="63"/>
        <v>Buy</v>
      </c>
      <c r="H345" s="46"/>
      <c r="I345" s="45">
        <f>(KDDI!$D$24/KDDI!$C$24)-1</f>
        <v>-7.0694157130066326E-2</v>
      </c>
      <c r="J345" s="45">
        <f>(KDDI!$E$24/KDDI!$D$24)-1</f>
        <v>4.1577100368184849E-2</v>
      </c>
      <c r="K345" s="45">
        <f>(KDDI!$F$24/KDDI!$E$24)-1</f>
        <v>3.9952097743927384E-2</v>
      </c>
      <c r="L345" s="45">
        <f>(KDDI!$G$24/KDDI!$F$24)-1</f>
        <v>3.9240615231537435E-2</v>
      </c>
      <c r="M345" s="45">
        <f>KDDI!$H$24</f>
        <v>4.025614496450336E-2</v>
      </c>
      <c r="N345" s="46"/>
      <c r="O345" s="45">
        <f>(KDDI!$D$25/KDDI!$C$25)-1</f>
        <v>-0.21382891825382055</v>
      </c>
      <c r="P345" s="45">
        <f>(KDDI!$E$25/KDDI!$D$25)-1</f>
        <v>0.21295324802382543</v>
      </c>
      <c r="Q345" s="45">
        <f>(KDDI!$F$25/KDDI!$E$25)-1</f>
        <v>4.2623765545633852E-2</v>
      </c>
      <c r="R345" s="45">
        <f>(KDDI!$G$25/KDDI!$F$25)-1</f>
        <v>4.2636266294512781E-2</v>
      </c>
      <c r="S345" s="45">
        <f>KDDI!$H$25</f>
        <v>9.6566152001714922E-2</v>
      </c>
      <c r="T345" s="46"/>
      <c r="U345" s="48" t="str">
        <f t="shared" si="64"/>
        <v>JPY 4,302</v>
      </c>
      <c r="V345" s="44" t="str">
        <f t="shared" si="64"/>
        <v>KDDI</v>
      </c>
      <c r="Z345" s="49"/>
    </row>
    <row r="346" spans="1:28" s="5" customFormat="1">
      <c r="A346" s="41"/>
      <c r="B346" s="42"/>
      <c r="C346" s="48" t="str">
        <f t="shared" si="65"/>
        <v>Macquarie Telecom</v>
      </c>
      <c r="D346" s="44" t="str">
        <f t="shared" si="63"/>
        <v>AUD 85.20</v>
      </c>
      <c r="E346" s="44" t="str">
        <f t="shared" si="63"/>
        <v>AUD 28.00</v>
      </c>
      <c r="F346" s="45">
        <f t="shared" si="63"/>
        <v>-0.67136150234741787</v>
      </c>
      <c r="G346" s="44" t="str">
        <f t="shared" si="63"/>
        <v>Neutral</v>
      </c>
      <c r="H346" s="46"/>
      <c r="I346" s="45">
        <f>(MAQ!$D$24/MAQ!$C$24)-1</f>
        <v>0.11814945713742442</v>
      </c>
      <c r="J346" s="45">
        <f>(MAQ!$E$24/MAQ!$D$24)-1</f>
        <v>9.8788939953469157E-2</v>
      </c>
      <c r="K346" s="45">
        <f>(MAQ!$F$24/MAQ!$E$24)-1</f>
        <v>9.7217963358585235E-2</v>
      </c>
      <c r="L346" s="45">
        <f>(MAQ!$G$24/MAQ!$F$24)-1</f>
        <v>3.8243381079461125E-2</v>
      </c>
      <c r="M346" s="45">
        <f>MAQ!$H$24</f>
        <v>7.7710514142747211E-2</v>
      </c>
      <c r="N346" s="46"/>
      <c r="O346" s="45">
        <f>(MAQ!$D$25/MAQ!$C$25)-1</f>
        <v>-0.21007614690970389</v>
      </c>
      <c r="P346" s="45">
        <f>(MAQ!$E$25/MAQ!$D$25)-1</f>
        <v>3.2224968265954308</v>
      </c>
      <c r="Q346" s="45">
        <f>(MAQ!$F$25/MAQ!$E$25)-1</f>
        <v>0.41131700389939851</v>
      </c>
      <c r="R346" s="45">
        <f>(MAQ!$G$25/MAQ!$F$25)-1</f>
        <v>0.31411299250800173</v>
      </c>
      <c r="S346" s="45">
        <f>MAQ!$H$25</f>
        <v>0.98583062966591317</v>
      </c>
      <c r="T346" s="46"/>
      <c r="U346" s="48" t="str">
        <f t="shared" si="64"/>
        <v>AUD 85.20</v>
      </c>
      <c r="V346" s="69" t="str">
        <f t="shared" si="64"/>
        <v>Macquarie Telecom</v>
      </c>
      <c r="Z346" s="49"/>
      <c r="AB346" s="63"/>
    </row>
    <row r="347" spans="1:28" s="5" customFormat="1">
      <c r="A347" s="146"/>
      <c r="B347" s="42"/>
      <c r="C347" s="48" t="str">
        <f t="shared" si="65"/>
        <v>Rakuten</v>
      </c>
      <c r="D347" s="44" t="str">
        <f t="shared" si="63"/>
        <v>JPY 776</v>
      </c>
      <c r="E347" s="44" t="str">
        <f t="shared" si="63"/>
        <v>JPY 400</v>
      </c>
      <c r="F347" s="45">
        <f t="shared" si="63"/>
        <v>-0.48446964815053484</v>
      </c>
      <c r="G347" s="44" t="str">
        <f t="shared" si="63"/>
        <v>Reduce</v>
      </c>
      <c r="H347" s="46"/>
      <c r="I347" s="45">
        <f>(RAK!$D$24/RAK!$C$24)-1</f>
        <v>-3.1193254955805365</v>
      </c>
      <c r="J347" s="45">
        <f>(RAK!$E$24/RAK!$D$24)-1</f>
        <v>0.21370774232673573</v>
      </c>
      <c r="K347" s="45">
        <f>(RAK!$F$24/RAK!$E$24)-1</f>
        <v>0.41296766012530384</v>
      </c>
      <c r="L347" s="45">
        <f>(RAK!$G$24/RAK!$F$24)-1</f>
        <v>0.31981489114516704</v>
      </c>
      <c r="M347" s="45">
        <f>RAK!$H$24</f>
        <v>0.31296492021516276</v>
      </c>
      <c r="N347" s="46"/>
      <c r="O347" s="45">
        <f>(RAK!$D$25/RAK!$C$25)-1</f>
        <v>-0.63883659481232624</v>
      </c>
      <c r="P347" s="45">
        <f>(RAK!$E$25/RAK!$D$25)-1</f>
        <v>-0.59964097817706019</v>
      </c>
      <c r="Q347" s="45">
        <f>(RAK!$F$25/RAK!$E$25)-1</f>
        <v>-0.6404536462482997</v>
      </c>
      <c r="R347" s="45">
        <f>(RAK!$G$25/RAK!$F$25)-1</f>
        <v>-0.22200578317423403</v>
      </c>
      <c r="S347" s="45">
        <f>RAK!$H$25</f>
        <v>-0.51798528976690239</v>
      </c>
      <c r="T347" s="46"/>
      <c r="U347" s="48" t="str">
        <f t="shared" si="64"/>
        <v>JPY 776</v>
      </c>
      <c r="V347" s="44" t="str">
        <f t="shared" si="64"/>
        <v>Rakuten</v>
      </c>
      <c r="Z347" s="49"/>
    </row>
    <row r="348" spans="1:28" s="5" customFormat="1">
      <c r="A348" s="146"/>
      <c r="B348" s="42"/>
      <c r="C348" s="48" t="str">
        <f t="shared" si="65"/>
        <v>SoftBank KK (Corp)</v>
      </c>
      <c r="D348" s="44" t="str">
        <f t="shared" si="63"/>
        <v>JPY 1,898</v>
      </c>
      <c r="E348" s="44" t="str">
        <f t="shared" si="63"/>
        <v>JPY 2,500</v>
      </c>
      <c r="F348" s="45">
        <f t="shared" si="63"/>
        <v>0.31752305665349145</v>
      </c>
      <c r="G348" s="44" t="str">
        <f t="shared" si="63"/>
        <v>Buy</v>
      </c>
      <c r="H348" s="46"/>
      <c r="I348" s="45">
        <f>(SBKK!$D$24/SBKK!$C$24)-1</f>
        <v>6.460674157303381E-2</v>
      </c>
      <c r="J348" s="45">
        <f>(SBKK!$E$24/SBKK!$D$24)-1</f>
        <v>5.6517764499981471E-3</v>
      </c>
      <c r="K348" s="45">
        <f>(SBKK!$F$24/SBKK!$E$24)-1</f>
        <v>6.0816801262711939E-2</v>
      </c>
      <c r="L348" s="45">
        <f>(SBKK!$G$24/SBKK!$F$24)-1</f>
        <v>6.7026345548835575E-2</v>
      </c>
      <c r="M348" s="45">
        <f>SBKK!$H$24</f>
        <v>4.4129547060272056E-2</v>
      </c>
      <c r="N348" s="46"/>
      <c r="O348" s="45">
        <f>(SBKK!$D$25/SBKK!$C$25)-1</f>
        <v>0.16320784231932417</v>
      </c>
      <c r="P348" s="45">
        <f>(SBKK!$E$25/SBKK!$D$25)-1</f>
        <v>3.2225222639289619E-2</v>
      </c>
      <c r="Q348" s="45">
        <f>(SBKK!$F$25/SBKK!$E$25)-1</f>
        <v>8.3126541364117124E-2</v>
      </c>
      <c r="R348" s="45">
        <f>(SBKK!$G$25/SBKK!$F$25)-1</f>
        <v>9.0327247229149199E-2</v>
      </c>
      <c r="S348" s="45">
        <f>SBKK!$H$25</f>
        <v>6.8243297881073861E-2</v>
      </c>
      <c r="T348" s="46"/>
      <c r="U348" s="48" t="str">
        <f t="shared" si="64"/>
        <v>JPY 1,898</v>
      </c>
      <c r="V348" s="44" t="str">
        <f t="shared" si="64"/>
        <v>SoftBank KK (Corp)</v>
      </c>
      <c r="Z348" s="49"/>
    </row>
    <row r="349" spans="1:28" s="5" customFormat="1">
      <c r="A349" s="41"/>
      <c r="B349" s="42"/>
      <c r="C349" s="48" t="str">
        <f t="shared" si="65"/>
        <v>TPG</v>
      </c>
      <c r="D349" s="44" t="str">
        <f t="shared" si="63"/>
        <v>AUD 4.60</v>
      </c>
      <c r="E349" s="44" t="str">
        <f t="shared" si="63"/>
        <v>AUD 7.50</v>
      </c>
      <c r="F349" s="45">
        <f t="shared" si="63"/>
        <v>0.63043478260869579</v>
      </c>
      <c r="G349" s="44" t="str">
        <f t="shared" si="63"/>
        <v>Neutral</v>
      </c>
      <c r="H349" s="46"/>
      <c r="I349" s="45">
        <f>(TPG!$D$24/TPG!$C$24)-1</f>
        <v>-3.4884394536783159E-2</v>
      </c>
      <c r="J349" s="45">
        <f>(TPG!$E$24/TPG!$D$24)-1</f>
        <v>-2.031898258841025E-2</v>
      </c>
      <c r="K349" s="45">
        <f>(TPG!$F$24/TPG!$E$24)-1</f>
        <v>3.6481142626119345E-2</v>
      </c>
      <c r="L349" s="45">
        <f>(TPG!$G$24/TPG!$F$24)-1</f>
        <v>3.1836540941138747E-2</v>
      </c>
      <c r="M349" s="45">
        <f>TPG!$H$24</f>
        <v>1.5669319800876602E-2</v>
      </c>
      <c r="N349" s="46"/>
      <c r="O349" s="45">
        <f>(TPG!$D$25/TPG!$C$25)-1</f>
        <v>0.26685653175296831</v>
      </c>
      <c r="P349" s="45">
        <f>(TPG!$E$25/TPG!$D$25)-1</f>
        <v>3.5195743409483171E-2</v>
      </c>
      <c r="Q349" s="45">
        <f>(TPG!$F$25/TPG!$E$25)-1</f>
        <v>6.0172041486072914E-3</v>
      </c>
      <c r="R349" s="45">
        <f>(TPG!$G$25/TPG!$F$25)-1</f>
        <v>4.8834696027562741E-2</v>
      </c>
      <c r="S349" s="45">
        <f>TPG!$H$25</f>
        <v>2.9860284419041871E-2</v>
      </c>
      <c r="T349" s="46"/>
      <c r="U349" s="48" t="str">
        <f t="shared" si="64"/>
        <v>AUD 4.60</v>
      </c>
      <c r="V349" s="44" t="str">
        <f t="shared" si="64"/>
        <v>TPG</v>
      </c>
      <c r="Z349" s="49"/>
      <c r="AB349" s="63"/>
    </row>
    <row r="350" spans="1:28">
      <c r="C350" s="51" t="str">
        <f t="shared" si="65"/>
        <v>Agg. Developed Asia Other</v>
      </c>
      <c r="D350" s="52"/>
      <c r="E350" s="52"/>
      <c r="F350" s="53"/>
      <c r="G350" s="52"/>
      <c r="H350" s="46"/>
      <c r="I350" s="55">
        <f>('DM ASIA OTHER'!$D$24/'DM ASIA OTHER'!$C$24)-1</f>
        <v>5.4289876686314908E-2</v>
      </c>
      <c r="J350" s="55">
        <f>('DM ASIA OTHER'!$E$24/'DM ASIA OTHER'!$D$24)-1</f>
        <v>2.9516916169343155E-2</v>
      </c>
      <c r="K350" s="55">
        <f>('DM ASIA OTHER'!$F$24/'DM ASIA OTHER'!$E$24)-1</f>
        <v>6.6492971528942402E-2</v>
      </c>
      <c r="L350" s="55">
        <f>('DM ASIA OTHER'!$G$24/'DM ASIA OTHER'!$F$24)-1</f>
        <v>6.8541361807592072E-2</v>
      </c>
      <c r="M350" s="55">
        <f>'DM ASIA OTHER'!$H$24</f>
        <v>5.4696749337629358E-2</v>
      </c>
      <c r="N350" s="56"/>
      <c r="O350" s="55">
        <f>('DM ASIA OTHER'!$D$25/'DM ASIA OTHER'!$C$25)-1</f>
        <v>0.22148202192262167</v>
      </c>
      <c r="P350" s="55">
        <f>('DM ASIA OTHER'!$E$25/'DM ASIA OTHER'!$D$25)-1</f>
        <v>0.19636903272476669</v>
      </c>
      <c r="Q350" s="55">
        <f>('DM ASIA OTHER'!$F$25/'DM ASIA OTHER'!$E$25)-1</f>
        <v>8.9384883937381643E-2</v>
      </c>
      <c r="R350" s="55">
        <f>('DM ASIA OTHER'!$G$25/'DM ASIA OTHER'!$F$25)-1</f>
        <v>7.0193410581350202E-2</v>
      </c>
      <c r="S350" s="55">
        <f>'DM ASIA OTHER'!$H$25</f>
        <v>0.11729947188557732</v>
      </c>
      <c r="T350" s="46"/>
      <c r="U350" s="57"/>
      <c r="V350" s="58" t="str">
        <f>V290</f>
        <v>Agg. Developed Asia Cellular</v>
      </c>
      <c r="Z350" s="49"/>
      <c r="AB350" s="5"/>
    </row>
    <row r="351" spans="1:28" s="5" customFormat="1">
      <c r="A351" s="41"/>
      <c r="B351" s="42"/>
      <c r="C351" s="48"/>
      <c r="D351" s="44"/>
      <c r="E351" s="44"/>
      <c r="F351" s="45"/>
      <c r="G351" s="44"/>
      <c r="H351" s="46"/>
      <c r="I351" s="45"/>
      <c r="J351" s="45"/>
      <c r="K351" s="45"/>
      <c r="L351" s="45"/>
      <c r="M351" s="45"/>
      <c r="N351" s="46"/>
      <c r="O351" s="45"/>
      <c r="P351" s="45"/>
      <c r="Q351" s="45"/>
      <c r="R351" s="45"/>
      <c r="S351" s="45"/>
      <c r="T351" s="46"/>
      <c r="U351" s="48"/>
      <c r="V351" s="44"/>
      <c r="Z351" s="49"/>
    </row>
    <row r="352" spans="1:28" s="5" customFormat="1">
      <c r="A352" s="41"/>
      <c r="B352" s="42" t="s">
        <v>519</v>
      </c>
      <c r="C352" s="48" t="str">
        <f>C292</f>
        <v>Altice US</v>
      </c>
      <c r="D352" s="44" t="str">
        <f>D292</f>
        <v>US$2.3</v>
      </c>
      <c r="E352" s="44" t="str">
        <f>E292</f>
        <v>US$4.0</v>
      </c>
      <c r="F352" s="45">
        <f>F292</f>
        <v>0.71673819742489275</v>
      </c>
      <c r="G352" s="44" t="str">
        <f>G292</f>
        <v>Neutral</v>
      </c>
      <c r="H352" s="46"/>
      <c r="I352" s="45">
        <f>(ATCUS!D$24/ATCUS!C$24)-1</f>
        <v>-6.6635079400507613E-2</v>
      </c>
      <c r="J352" s="45">
        <f>(ATCUS!E$24/ATCUS!D$24)-1</f>
        <v>-1.9091418520037262E-2</v>
      </c>
      <c r="K352" s="45">
        <f>(ATCUS!F$24/ATCUS!E$24)-1</f>
        <v>-2.6246950691520499E-2</v>
      </c>
      <c r="L352" s="45">
        <f>(ATCUS!G$24/ATCUS!F$24)-1</f>
        <v>-8.1769358817462834E-4</v>
      </c>
      <c r="M352" s="45">
        <f>ATCUS!$H$24</f>
        <v>-1.5443372733004446E-2</v>
      </c>
      <c r="N352" s="46"/>
      <c r="O352" s="45">
        <f>(ATCUS!D$25/ATCUS!C$25)-1</f>
        <v>-2.4677104169281372E-2</v>
      </c>
      <c r="P352" s="45">
        <f>(ATCUS!E$25/ATCUS!D$25)-1</f>
        <v>-6.7762352457929609E-3</v>
      </c>
      <c r="Q352" s="45">
        <f>(ATCUS!F$25/ATCUS!E$25)-1</f>
        <v>2.4877377683237389E-2</v>
      </c>
      <c r="R352" s="45">
        <f>(ATCUS!G$25/ATCUS!F$25)-1</f>
        <v>6.1308578549252646E-2</v>
      </c>
      <c r="S352" s="45">
        <f>ATCUS!$H$25</f>
        <v>2.6093401132669003E-2</v>
      </c>
      <c r="T352" s="46"/>
      <c r="U352" s="48" t="str">
        <f>D352</f>
        <v>US$2.3</v>
      </c>
      <c r="V352" s="44" t="str">
        <f>C352</f>
        <v>Altice US</v>
      </c>
      <c r="Z352" s="49"/>
    </row>
    <row r="353" spans="1:69" s="5" customFormat="1">
      <c r="A353" s="41"/>
      <c r="B353" s="42" t="s">
        <v>519</v>
      </c>
      <c r="C353" s="48" t="s">
        <v>311</v>
      </c>
      <c r="D353" s="44" t="str">
        <f>B353&amp;TEXT(Prices!$C$45,"0.0")</f>
        <v>US$271.5</v>
      </c>
      <c r="E353" s="44" t="str">
        <f>B353&amp;TEXT(Prices!$E$45,"0.0")</f>
        <v>US$581.0</v>
      </c>
      <c r="F353" s="45">
        <f>Prices!$F$45</f>
        <v>1.1402784940691078</v>
      </c>
      <c r="G353" s="44" t="str">
        <f>Prices!$D$45</f>
        <v>Buy</v>
      </c>
      <c r="H353" s="46"/>
      <c r="I353" s="45">
        <f>(CHTR!D$24/CHTR!C$24)-1</f>
        <v>1.286084381939312E-2</v>
      </c>
      <c r="J353" s="45">
        <f>(CHTR!E$24/CHTR!D$24)-1</f>
        <v>2.8578340844921613E-2</v>
      </c>
      <c r="K353" s="45">
        <f>(CHTR!F$24/CHTR!E$24)-1</f>
        <v>1.2474223500416048E-2</v>
      </c>
      <c r="L353" s="45">
        <f>(CHTR!G$24/CHTR!F$24)-1</f>
        <v>4.0872734547115819E-2</v>
      </c>
      <c r="M353" s="45">
        <f>CHTR!$H$24</f>
        <v>2.7242535806642598E-2</v>
      </c>
      <c r="N353" s="46"/>
      <c r="O353" s="45">
        <f>(CHTR!D$25/CHTR!C$25)-1</f>
        <v>-0.11936274509803924</v>
      </c>
      <c r="P353" s="45">
        <f>(CHTR!E$25/CHTR!D$25)-1</f>
        <v>-5.3545693230646174E-2</v>
      </c>
      <c r="Q353" s="45">
        <f>(CHTR!F$25/CHTR!E$25)-1</f>
        <v>1.3123840768914041E-2</v>
      </c>
      <c r="R353" s="45">
        <f>(CHTR!G$25/CHTR!F$25)-1</f>
        <v>0.21403258220834731</v>
      </c>
      <c r="S353" s="45">
        <f>CHTR!$H$25</f>
        <v>5.1955842122821005E-2</v>
      </c>
      <c r="T353" s="46"/>
      <c r="U353" s="48" t="str">
        <f>D353</f>
        <v>US$271.5</v>
      </c>
      <c r="V353" s="44" t="str">
        <f>C353</f>
        <v>Charter</v>
      </c>
      <c r="Z353" s="49"/>
    </row>
    <row r="354" spans="1:69" s="5" customFormat="1">
      <c r="A354" s="41"/>
      <c r="B354" s="42" t="s">
        <v>519</v>
      </c>
      <c r="C354" s="48" t="s">
        <v>309</v>
      </c>
      <c r="D354" s="44" t="str">
        <f>B354&amp;TEXT(Prices!$C$46,"0.0")</f>
        <v>US$38.5</v>
      </c>
      <c r="E354" s="44" t="str">
        <f>B354&amp;TEXT(Prices!$E$46,"0.0")</f>
        <v>US$50.0</v>
      </c>
      <c r="F354" s="45">
        <f>Prices!$F$46</f>
        <v>0.29735339906590563</v>
      </c>
      <c r="G354" s="44" t="str">
        <f>Prices!$D$46</f>
        <v>Buy</v>
      </c>
      <c r="H354" s="46"/>
      <c r="I354" s="45">
        <f>(CMCSA!D$24/CMCSA!C$24)-1</f>
        <v>3.2095521487535361E-2</v>
      </c>
      <c r="J354" s="45">
        <f>(CMCSA!E$24/CMCSA!D$24)-1</f>
        <v>3.8946045494887338E-2</v>
      </c>
      <c r="K354" s="45">
        <f>(CMCSA!F$24/CMCSA!E$24)-1</f>
        <v>3.08448417993894E-2</v>
      </c>
      <c r="L354" s="45">
        <f>(CMCSA!G$24/CMCSA!F$24)-1</f>
        <v>4.5801849206997591E-2</v>
      </c>
      <c r="M354" s="45">
        <f>CMCSA!$H$24</f>
        <v>3.851291219562536E-2</v>
      </c>
      <c r="N354" s="46"/>
      <c r="O354" s="45">
        <f>(CMCSA!D$25/CMCSA!C$25)-1</f>
        <v>-1.7222733957736658E-2</v>
      </c>
      <c r="P354" s="45">
        <f>(CMCSA!E$25/CMCSA!D$25)-1</f>
        <v>6.2442816169851811E-2</v>
      </c>
      <c r="Q354" s="45">
        <f>(CMCSA!F$25/CMCSA!E$25)-1</f>
        <v>8.2841378360799078E-2</v>
      </c>
      <c r="R354" s="45">
        <f>(CMCSA!G$25/CMCSA!F$25)-1</f>
        <v>0.1096964036560133</v>
      </c>
      <c r="S354" s="45">
        <f>CMCSA!$H$25</f>
        <v>8.4821278786819221E-2</v>
      </c>
      <c r="T354" s="46"/>
      <c r="U354" s="48" t="str">
        <f>D354</f>
        <v>US$38.5</v>
      </c>
      <c r="V354" s="44" t="str">
        <f>C354</f>
        <v>Comcast</v>
      </c>
      <c r="Z354" s="49"/>
    </row>
    <row r="355" spans="1:69" s="5" customFormat="1">
      <c r="A355" s="41"/>
      <c r="B355" s="42" t="s">
        <v>527</v>
      </c>
      <c r="C355" s="48" t="s">
        <v>1615</v>
      </c>
      <c r="D355" s="44" t="str">
        <f>B355&amp;TEXT(Prices!C$47,"0.0")</f>
        <v>US$ 25.6</v>
      </c>
      <c r="E355" s="44" t="str">
        <f>B355&amp;TEXT(Prices!E$47,"0.0")</f>
        <v>US$ 54.0</v>
      </c>
      <c r="F355" s="45">
        <f>Prices!F$47</f>
        <v>1.111024237685692</v>
      </c>
      <c r="G355" s="44" t="str">
        <f>Prices!D$47</f>
        <v>Buy</v>
      </c>
      <c r="H355" s="46"/>
      <c r="I355" s="45">
        <f>(FYBR!D$24/FYBR!C$24)-1</f>
        <v>2.2596153846153877E-2</v>
      </c>
      <c r="J355" s="45">
        <f>(FYBR!E$24/FYBR!D$24)-1</f>
        <v>-0.74412373703709622</v>
      </c>
      <c r="K355" s="45">
        <f>(FYBR!F$24/FYBR!E$24)-1</f>
        <v>2.8826835758486657E-2</v>
      </c>
      <c r="L355" s="45">
        <f>(FYBR!G$24/FYBR!F$24)-1</f>
        <v>-1.1493113770172592E-2</v>
      </c>
      <c r="M355" s="45">
        <f>FYBR!H$42</f>
        <v>3.3177717934998796E-2</v>
      </c>
      <c r="N355" s="46"/>
      <c r="O355" s="45">
        <f>(FYBR!D$25/FYBR!C$25)-1</f>
        <v>0.64741641337386024</v>
      </c>
      <c r="P355" s="45">
        <f>(FYBR!E$25/FYBR!D$25)-1</f>
        <v>-0.50114393373107768</v>
      </c>
      <c r="Q355" s="45">
        <f>(FYBR!F$25/FYBR!E$25)-1</f>
        <v>-0.2433099341646886</v>
      </c>
      <c r="R355" s="45">
        <f>(FYBR!G$25/FYBR!F$25)-1</f>
        <v>-0.83859147870377493</v>
      </c>
      <c r="S355" s="45">
        <f>FYBR!$H$25</f>
        <v>-0.60650436754529502</v>
      </c>
      <c r="T355" s="46"/>
      <c r="U355" s="48" t="str">
        <f>D355</f>
        <v>US$ 25.6</v>
      </c>
      <c r="V355" s="44" t="str">
        <f>C355</f>
        <v>Frontier</v>
      </c>
      <c r="Z355" s="49"/>
    </row>
    <row r="356" spans="1:69" s="5" customFormat="1">
      <c r="A356" s="41"/>
      <c r="B356" s="42" t="s">
        <v>527</v>
      </c>
      <c r="C356" s="48" t="s">
        <v>1616</v>
      </c>
      <c r="D356" s="44" t="str">
        <f>B356&amp;TEXT(Prices!C$48,"0.0")</f>
        <v>US$ 18.5</v>
      </c>
      <c r="E356" s="44" t="str">
        <f>B356&amp;TEXT(Prices!E$48,"0.0")</f>
        <v>US$ 100.0</v>
      </c>
      <c r="F356" s="45">
        <f>Prices!F$48</f>
        <v>4.408328826392645</v>
      </c>
      <c r="G356" s="44" t="str">
        <f>Prices!D$48</f>
        <v>Buy</v>
      </c>
      <c r="H356" s="46"/>
      <c r="I356" s="45">
        <f>(SATS!D$24/SATS!C$24)-1</f>
        <v>-0.52822090970247937</v>
      </c>
      <c r="J356" s="45">
        <f>(SATS!E$24/SATS!D$24)-1</f>
        <v>0.35354113547074451</v>
      </c>
      <c r="K356" s="45">
        <f>(SATS!F$24/SATS!E$24)-1</f>
        <v>0.23843103611225103</v>
      </c>
      <c r="L356" s="45">
        <f>(SATS!G$24/SATS!F$24)-1</f>
        <v>0.17756926198073586</v>
      </c>
      <c r="M356" s="45">
        <f>SATS!H$42</f>
        <v>4.5519366726737731E-2</v>
      </c>
      <c r="N356" s="46"/>
      <c r="O356" s="45">
        <f>(SATS!D$25/SATS!C$25)-1</f>
        <v>-4.9549208206887982</v>
      </c>
      <c r="P356" s="45">
        <f>(SATS!E$25/SATS!D$25)-1</f>
        <v>-1.8221388275917783</v>
      </c>
      <c r="Q356" s="45">
        <f>(SATS!F$25/SATS!E$25)-1</f>
        <v>0.38598176470232959</v>
      </c>
      <c r="R356" s="45">
        <f>(SATS!G$25/SATS!F$25)-1</f>
        <v>0.5373069064976852</v>
      </c>
      <c r="S356" s="45">
        <f>SATS!$H$25</f>
        <v>-2.2054644798041032</v>
      </c>
      <c r="T356" s="46"/>
      <c r="U356" s="48" t="str">
        <f>D356</f>
        <v>US$ 18.5</v>
      </c>
      <c r="V356" s="44" t="str">
        <f>C356</f>
        <v>EchoStar</v>
      </c>
      <c r="Z356" s="49"/>
    </row>
    <row r="357" spans="1:69" s="5" customFormat="1">
      <c r="A357" s="41"/>
      <c r="B357" s="42"/>
      <c r="C357" s="51" t="str">
        <f>C297</f>
        <v>Agg. US Other</v>
      </c>
      <c r="D357" s="58"/>
      <c r="E357" s="58"/>
      <c r="F357" s="55"/>
      <c r="G357" s="58"/>
      <c r="H357" s="56"/>
      <c r="I357" s="55">
        <f>('US OTHER'!D$24/'US OTHER'!C$24)-1</f>
        <v>-8.362846194796103E-3</v>
      </c>
      <c r="J357" s="55">
        <f>('US OTHER'!E$24/'US OTHER'!D$24)-1</f>
        <v>1.5082432130266055E-2</v>
      </c>
      <c r="K357" s="55">
        <f>('US OTHER'!F$24/'US OTHER'!E$24)-1</f>
        <v>2.8417308821342191E-2</v>
      </c>
      <c r="L357" s="55">
        <f>('US OTHER'!G$24/'US OTHER'!F$24)-1</f>
        <v>4.6521591695744435E-2</v>
      </c>
      <c r="M357" s="55">
        <f>'US OTHER'!$H$24</f>
        <v>2.9926645487549974E-2</v>
      </c>
      <c r="N357" s="56"/>
      <c r="O357" s="55">
        <f>('US OTHER'!D$25/'US OTHER'!C$25)-1</f>
        <v>-0.10167527952199906</v>
      </c>
      <c r="P357" s="55">
        <f>('US OTHER'!E$25/'US OTHER'!D$25)-1</f>
        <v>0.11070321898720126</v>
      </c>
      <c r="Q357" s="55">
        <f>('US OTHER'!F$25/'US OTHER'!E$25)-1</f>
        <v>7.4893621909692731E-2</v>
      </c>
      <c r="R357" s="55">
        <f>('US OTHER'!G$25/'US OTHER'!F$25)-1</f>
        <v>0.1570615705630265</v>
      </c>
      <c r="S357" s="55">
        <f>'US OTHER'!$H$25</f>
        <v>0.11371310161076686</v>
      </c>
      <c r="T357" s="56"/>
      <c r="U357" s="51"/>
      <c r="V357" s="58" t="str">
        <f>V297</f>
        <v>Agg. US CATV</v>
      </c>
      <c r="Z357" s="49"/>
      <c r="AB357" s="63"/>
    </row>
    <row r="358" spans="1:69">
      <c r="A358" s="41"/>
      <c r="C358" s="48"/>
      <c r="D358" s="44"/>
      <c r="E358" s="44"/>
      <c r="F358" s="45"/>
      <c r="G358" s="44"/>
      <c r="H358" s="46"/>
      <c r="I358" s="45"/>
      <c r="J358" s="45"/>
      <c r="K358" s="45"/>
      <c r="L358" s="45"/>
      <c r="M358" s="45"/>
      <c r="N358" s="46"/>
      <c r="O358" s="45"/>
      <c r="P358" s="45"/>
      <c r="Q358" s="45"/>
      <c r="R358" s="45"/>
      <c r="S358" s="45"/>
      <c r="T358" s="46"/>
      <c r="U358" s="48"/>
      <c r="V358" s="44"/>
      <c r="Z358" s="49"/>
    </row>
    <row r="359" spans="1:69" s="5" customFormat="1">
      <c r="A359" s="146"/>
      <c r="B359" s="42"/>
      <c r="C359" s="48"/>
      <c r="D359" s="44"/>
      <c r="E359" s="44"/>
      <c r="F359" s="45"/>
      <c r="G359" s="44"/>
      <c r="H359" s="46"/>
      <c r="I359" s="45"/>
      <c r="J359" s="45"/>
      <c r="K359" s="45"/>
      <c r="L359" s="45"/>
      <c r="M359" s="45"/>
      <c r="N359" s="46"/>
      <c r="O359" s="45"/>
      <c r="P359" s="45"/>
      <c r="Q359" s="45"/>
      <c r="R359" s="45"/>
      <c r="S359" s="45"/>
      <c r="T359" s="46"/>
      <c r="U359" s="48"/>
      <c r="V359" s="44"/>
      <c r="Z359" s="49"/>
    </row>
    <row r="360" spans="1:69" s="5" customFormat="1">
      <c r="A360" s="146"/>
      <c r="B360" s="42"/>
      <c r="C360" s="51" t="str">
        <f>C300</f>
        <v>Agg. W Europe</v>
      </c>
      <c r="D360" s="52"/>
      <c r="E360" s="52"/>
      <c r="F360" s="53"/>
      <c r="G360" s="52"/>
      <c r="H360" s="46"/>
      <c r="I360" s="55">
        <f>('W.EUR AGG'!$D$24/'W.EUR AGG'!$C$24)-1</f>
        <v>-8.0794897557814327E-3</v>
      </c>
      <c r="J360" s="55">
        <f>('W.EUR AGG'!$E$24/'W.EUR AGG'!$D$24)-1</f>
        <v>2.8295326748128957E-2</v>
      </c>
      <c r="K360" s="55">
        <f>('W.EUR AGG'!$F$24/'W.EUR AGG'!$E$24)-1</f>
        <v>3.6039190767925167E-2</v>
      </c>
      <c r="L360" s="55">
        <f>('W.EUR AGG'!$G$24/'W.EUR AGG'!$F$24)-1</f>
        <v>2.9809419128626891E-2</v>
      </c>
      <c r="M360" s="55">
        <f>'W.EUR AGG'!$H$24</f>
        <v>3.1375875113297758E-2</v>
      </c>
      <c r="N360" s="56"/>
      <c r="O360" s="55">
        <f>('W.EUR AGG'!$D$25/'W.EUR AGG'!$C$25)-1</f>
        <v>0.14256655220379177</v>
      </c>
      <c r="P360" s="55">
        <f>('W.EUR AGG'!$E$25/'W.EUR AGG'!$D$25)-1</f>
        <v>0.10104076231319281</v>
      </c>
      <c r="Q360" s="55">
        <f>('W.EUR AGG'!$F$25/'W.EUR AGG'!$E$25)-1</f>
        <v>9.0193931737093003E-2</v>
      </c>
      <c r="R360" s="55">
        <f>('W.EUR AGG'!$G$25/'W.EUR AGG'!$F$25)-1</f>
        <v>7.9309591874446861E-2</v>
      </c>
      <c r="S360" s="55">
        <f>'W.EUR AGG'!$H$25</f>
        <v>9.0145328741173314E-2</v>
      </c>
      <c r="T360" s="46"/>
      <c r="U360" s="57"/>
      <c r="V360" s="58" t="str">
        <f>V300</f>
        <v>Agg. W Europe</v>
      </c>
      <c r="Z360" s="49"/>
    </row>
    <row r="361" spans="1:69" s="5" customFormat="1">
      <c r="A361" s="146"/>
      <c r="B361" s="42"/>
      <c r="C361" s="41" t="s">
        <v>1621</v>
      </c>
      <c r="D361" s="44"/>
      <c r="E361" s="44"/>
      <c r="F361" s="45"/>
      <c r="G361" s="44"/>
      <c r="H361" s="46"/>
      <c r="I361" s="59">
        <f>('US AGG'!D$24/'US AGG'!C$24)-1</f>
        <v>2.3659431386814367E-2</v>
      </c>
      <c r="J361" s="59">
        <f>('US AGG'!E$24/'US AGG'!D$24)-1</f>
        <v>3.0452972346163065E-2</v>
      </c>
      <c r="K361" s="59">
        <f>('US AGG'!F$24/'US AGG'!E$24)-1</f>
        <v>2.8340169742980592E-2</v>
      </c>
      <c r="L361" s="59">
        <f>('US AGG'!G$24/'US AGG'!F$24)-1</f>
        <v>3.3383127595338902E-2</v>
      </c>
      <c r="M361" s="59">
        <f>'US AGG'!H$24</f>
        <v>3.0723349651247567E-2</v>
      </c>
      <c r="N361" s="56"/>
      <c r="O361" s="59">
        <f>('US AGG'!D$25/'US AGG'!C$25)-1</f>
        <v>9.8576293857448594E-2</v>
      </c>
      <c r="P361" s="59">
        <f>('US AGG'!E$25/'US AGG'!D$25)-1</f>
        <v>0.12007402304260339</v>
      </c>
      <c r="Q361" s="59">
        <f>('US AGG'!F$25/'US AGG'!E$25)-1</f>
        <v>5.7974522353812175E-2</v>
      </c>
      <c r="R361" s="59">
        <f>('US AGG'!G$25/'US AGG'!F$25)-1</f>
        <v>7.8290309806423597E-2</v>
      </c>
      <c r="S361" s="59">
        <f>'US AGG'!H$39</f>
        <v>8.5140265808479887E-2</v>
      </c>
      <c r="T361" s="46"/>
      <c r="U361" s="48"/>
      <c r="V361" s="50" t="str">
        <f>V301</f>
        <v>Agg. US</v>
      </c>
      <c r="Z361" s="49"/>
    </row>
    <row r="362" spans="1:69" s="5" customFormat="1">
      <c r="A362" s="146"/>
      <c r="B362" s="42"/>
      <c r="C362" s="67" t="str">
        <f>C302</f>
        <v xml:space="preserve">Agg. Developed Asia </v>
      </c>
      <c r="D362" s="52"/>
      <c r="E362" s="52"/>
      <c r="F362" s="53"/>
      <c r="G362" s="52"/>
      <c r="H362" s="46"/>
      <c r="I362" s="55">
        <f>('AGG DM ASIA'!$D$24/'AGG DM ASIA'!$C$24)-1</f>
        <v>5.5334411464202704E-2</v>
      </c>
      <c r="J362" s="55">
        <f>('AGG DM ASIA'!$E$24/'AGG DM ASIA'!$D$24)-1</f>
        <v>6.8774247923800935E-2</v>
      </c>
      <c r="K362" s="55">
        <f>('AGG DM ASIA'!$F$24/'AGG DM ASIA'!$E$24)-1</f>
        <v>4.6382208146308557E-2</v>
      </c>
      <c r="L362" s="55">
        <f>('AGG DM ASIA'!$G$24/'AGG DM ASIA'!$F$24)-1</f>
        <v>5.1540202066753027E-2</v>
      </c>
      <c r="M362" s="55">
        <f>'AGG DM ASIA'!$H$24</f>
        <v>5.5522275281963074E-2</v>
      </c>
      <c r="N362" s="56"/>
      <c r="O362" s="55">
        <f>('AGG DM ASIA'!$D$25/'AGG DM ASIA'!$C$25)-1</f>
        <v>0.17424782591932964</v>
      </c>
      <c r="P362" s="55">
        <f>('AGG DM ASIA'!$E$25/'AGG DM ASIA'!$D$25)-1</f>
        <v>0.25685221328322405</v>
      </c>
      <c r="Q362" s="55">
        <f>('AGG DM ASIA'!$F$25/'AGG DM ASIA'!$E$25)-1</f>
        <v>7.2179827064055679E-2</v>
      </c>
      <c r="R362" s="55">
        <f>('AGG DM ASIA'!$G$25/'AGG DM ASIA'!$F$25)-1</f>
        <v>6.3011894298120597E-2</v>
      </c>
      <c r="S362" s="55">
        <f>'AGG DM ASIA'!$H$25</f>
        <v>0.12727529695194928</v>
      </c>
      <c r="T362" s="46"/>
      <c r="U362" s="57"/>
      <c r="V362" s="58" t="str">
        <f>V302</f>
        <v xml:space="preserve">Agg. Developed Asia </v>
      </c>
      <c r="Z362" s="49"/>
    </row>
    <row r="363" spans="1:69" s="5" customFormat="1">
      <c r="A363" s="146"/>
      <c r="B363" s="42"/>
      <c r="C363" s="41"/>
      <c r="D363" s="44"/>
      <c r="E363" s="44"/>
      <c r="F363" s="45"/>
      <c r="G363" s="44"/>
      <c r="H363" s="46"/>
      <c r="I363" s="59"/>
      <c r="J363" s="59"/>
      <c r="K363" s="59"/>
      <c r="L363" s="59"/>
      <c r="M363" s="59"/>
      <c r="N363" s="56"/>
      <c r="O363" s="59"/>
      <c r="P363" s="59"/>
      <c r="Q363" s="59"/>
      <c r="R363" s="59"/>
      <c r="S363" s="59"/>
      <c r="T363" s="46"/>
      <c r="U363" s="48"/>
      <c r="V363" s="50"/>
      <c r="Z363" s="49"/>
    </row>
    <row r="364" spans="1:69" s="5" customFormat="1">
      <c r="A364" s="146"/>
      <c r="B364" s="42"/>
      <c r="C364" s="67" t="str">
        <f>C304</f>
        <v>Agg. Global Developed</v>
      </c>
      <c r="D364" s="52"/>
      <c r="E364" s="52"/>
      <c r="F364" s="53"/>
      <c r="G364" s="52"/>
      <c r="H364" s="46"/>
      <c r="I364" s="55">
        <f>('AGG DM'!$D$24/'AGG DM'!$C$24)-1</f>
        <v>1.7521037324701672E-2</v>
      </c>
      <c r="J364" s="55">
        <f>('AGG DM'!$E$24/'AGG DM'!$D$24)-1</f>
        <v>3.5383761013169091E-2</v>
      </c>
      <c r="K364" s="55">
        <f>('AGG DM'!$F$24/'AGG DM'!$E$24)-1</f>
        <v>3.3575160660200387E-2</v>
      </c>
      <c r="L364" s="55">
        <f>('AGG DM'!$G$24/'AGG DM'!$F$24)-1</f>
        <v>3.5011914954864221E-2</v>
      </c>
      <c r="M364" s="55">
        <f>'AGG DM'!$H$24</f>
        <v>3.4656651554389573E-2</v>
      </c>
      <c r="N364" s="56"/>
      <c r="O364" s="55">
        <f>('AGG DM'!$D$25/'AGG DM'!$C$25)-1</f>
        <v>0.12121735298930614</v>
      </c>
      <c r="P364" s="55">
        <f>('AGG DM'!$E$25/'AGG DM'!$D$25)-1</f>
        <v>0.13366541508158214</v>
      </c>
      <c r="Q364" s="55">
        <f>('AGG DM'!$F$25/'AGG DM'!$E$25)-1</f>
        <v>6.9266540422018741E-2</v>
      </c>
      <c r="R364" s="55">
        <f>('AGG DM'!$G$25/'AGG DM'!$F$25)-1</f>
        <v>7.6209176051783345E-2</v>
      </c>
      <c r="S364" s="55">
        <f>'AGG DM'!$H$25</f>
        <v>9.2670425427640479E-2</v>
      </c>
      <c r="T364" s="46"/>
      <c r="U364" s="57"/>
      <c r="V364" s="58" t="str">
        <f>V304</f>
        <v xml:space="preserve">Agg. Global Developed </v>
      </c>
      <c r="Z364" s="49"/>
    </row>
    <row r="365" spans="1:69" s="5" customFormat="1">
      <c r="A365" s="146"/>
      <c r="B365" s="42"/>
      <c r="C365" s="43"/>
      <c r="D365" s="44"/>
      <c r="E365" s="44"/>
      <c r="F365" s="45"/>
      <c r="G365" s="44"/>
      <c r="H365" s="134"/>
      <c r="I365" s="45"/>
      <c r="J365" s="45"/>
      <c r="K365" s="45"/>
      <c r="L365" s="45"/>
      <c r="M365" s="45"/>
      <c r="N365" s="46"/>
      <c r="O365" s="45"/>
      <c r="P365" s="45"/>
      <c r="Q365" s="45"/>
      <c r="R365" s="45"/>
      <c r="S365" s="45"/>
      <c r="T365" s="46"/>
      <c r="U365" s="48"/>
      <c r="V365" s="50"/>
      <c r="Z365" s="49"/>
    </row>
    <row r="366" spans="1:69" s="5" customFormat="1">
      <c r="A366" s="146"/>
      <c r="B366" s="42"/>
      <c r="C366" s="43"/>
      <c r="D366" s="44"/>
      <c r="E366" s="44"/>
      <c r="F366" s="45"/>
      <c r="G366" s="44"/>
      <c r="H366" s="134"/>
      <c r="I366" s="45"/>
      <c r="J366" s="45"/>
      <c r="K366" s="45"/>
      <c r="L366" s="45"/>
      <c r="M366" s="45"/>
      <c r="N366" s="46"/>
      <c r="O366" s="45"/>
      <c r="P366" s="45"/>
      <c r="Q366" s="45"/>
      <c r="R366" s="45"/>
      <c r="S366" s="45"/>
      <c r="T366" s="46"/>
      <c r="U366" s="48"/>
      <c r="V366" s="50"/>
      <c r="Z366" s="49"/>
    </row>
    <row r="367" spans="1:69" s="41" customFormat="1">
      <c r="B367" s="147"/>
      <c r="C367" s="164"/>
      <c r="D367" s="165" t="s">
        <v>464</v>
      </c>
      <c r="E367" s="165" t="s">
        <v>57</v>
      </c>
      <c r="F367" s="165" t="s">
        <v>59</v>
      </c>
      <c r="G367" s="165" t="s">
        <v>56</v>
      </c>
      <c r="H367" s="49"/>
      <c r="I367" s="166" t="s">
        <v>468</v>
      </c>
      <c r="J367" s="166"/>
      <c r="K367" s="166"/>
      <c r="L367" s="166"/>
      <c r="M367" s="166"/>
      <c r="O367" s="166" t="s">
        <v>469</v>
      </c>
      <c r="P367" s="166"/>
      <c r="Q367" s="166"/>
      <c r="R367" s="166"/>
      <c r="S367" s="166"/>
      <c r="T367" s="49"/>
      <c r="U367" s="167" t="s">
        <v>464</v>
      </c>
      <c r="V367" s="165"/>
      <c r="Z367" s="49"/>
      <c r="AC367" s="135"/>
      <c r="AD367" s="136"/>
      <c r="AE367" s="136"/>
      <c r="AF367" s="136"/>
      <c r="AG367" s="136"/>
      <c r="AH367" s="136"/>
      <c r="AI367" s="136"/>
      <c r="AJ367" s="136"/>
      <c r="AK367" s="136"/>
      <c r="AL367" s="136"/>
      <c r="AM367" s="136"/>
      <c r="AN367" s="136"/>
      <c r="AO367" s="136"/>
      <c r="AP367" s="136"/>
      <c r="AQ367" s="136"/>
      <c r="AR367" s="136"/>
      <c r="AS367" s="136"/>
      <c r="AT367" s="136"/>
      <c r="AU367" s="136"/>
      <c r="AV367" s="136"/>
      <c r="AW367" s="136"/>
      <c r="BC367" s="137"/>
      <c r="BD367" s="137"/>
      <c r="BE367" s="137"/>
      <c r="BG367" s="137"/>
      <c r="BH367" s="137"/>
      <c r="BI367" s="137"/>
      <c r="BK367" s="137"/>
      <c r="BL367" s="137"/>
      <c r="BM367" s="137"/>
      <c r="BO367" s="137"/>
      <c r="BP367" s="137"/>
      <c r="BQ367" s="137"/>
    </row>
    <row r="368" spans="1:69" s="5" customFormat="1">
      <c r="A368" s="41" t="s">
        <v>506</v>
      </c>
      <c r="B368" s="42"/>
      <c r="C368" s="48" t="s">
        <v>186</v>
      </c>
      <c r="D368" s="44" t="str">
        <f t="shared" ref="D368:G378" si="66">D308</f>
        <v>GBP1.27</v>
      </c>
      <c r="E368" s="44" t="str">
        <f t="shared" si="66"/>
        <v>GBP1.95</v>
      </c>
      <c r="F368" s="45">
        <f t="shared" si="66"/>
        <v>0.53422501966955149</v>
      </c>
      <c r="G368" s="44" t="str">
        <f t="shared" si="66"/>
        <v>Buy</v>
      </c>
      <c r="H368" s="46"/>
      <c r="I368" s="45">
        <f>BT!$D$24/BT!$D$23</f>
        <v>0.33582659145344596</v>
      </c>
      <c r="J368" s="45">
        <f>BT!$E$24/BT!$E$23</f>
        <v>0.34065550862890948</v>
      </c>
      <c r="K368" s="45">
        <f>BT!$F$24/BT!$F$23</f>
        <v>0.33928146795948011</v>
      </c>
      <c r="L368" s="45">
        <f>BT!$G$24/BT!$G$23</f>
        <v>0.34438960130363977</v>
      </c>
      <c r="M368" s="45">
        <f t="shared" ref="M368:M379" si="67">L368-I368</f>
        <v>8.5630098501938146E-3</v>
      </c>
      <c r="N368" s="46"/>
      <c r="O368" s="45">
        <f>BT!$D$25/BT!$D$23</f>
        <v>8.919106021323478E-2</v>
      </c>
      <c r="P368" s="45">
        <f>BT!$E$25/BT!$E$23</f>
        <v>9.5477125545084654E-2</v>
      </c>
      <c r="Q368" s="45">
        <f>BT!$F$25/BT!$F$23</f>
        <v>9.9894432992067531E-2</v>
      </c>
      <c r="R368" s="45">
        <f>BT!$G$25/BT!$G$23</f>
        <v>0.10746107291758202</v>
      </c>
      <c r="S368" s="45">
        <f t="shared" ref="S368:S379" si="68">R368-O368</f>
        <v>1.8270012704347235E-2</v>
      </c>
      <c r="T368" s="46"/>
      <c r="U368" s="48" t="str">
        <f t="shared" ref="U368:V372" si="69">U308</f>
        <v>GBP1.27</v>
      </c>
      <c r="V368" s="69" t="str">
        <f t="shared" si="69"/>
        <v>British Telecom</v>
      </c>
      <c r="Z368" s="49"/>
    </row>
    <row r="369" spans="1:28" s="5" customFormat="1">
      <c r="A369" s="41"/>
      <c r="B369" s="42"/>
      <c r="C369" s="48" t="s">
        <v>187</v>
      </c>
      <c r="D369" s="44" t="str">
        <f t="shared" si="66"/>
        <v>EUR 21.76</v>
      </c>
      <c r="E369" s="44" t="str">
        <f t="shared" si="66"/>
        <v>EUR 32.00</v>
      </c>
      <c r="F369" s="45">
        <f t="shared" si="66"/>
        <v>0.47058823529411753</v>
      </c>
      <c r="G369" s="44" t="str">
        <f t="shared" si="66"/>
        <v>Buy</v>
      </c>
      <c r="H369" s="46"/>
      <c r="I369" s="45">
        <f>DT!$D$24/DT!$D$23</f>
        <v>0.34921655883503816</v>
      </c>
      <c r="J369" s="45">
        <f>DT!$E$24/DT!$E$23</f>
        <v>0.35861146089874568</v>
      </c>
      <c r="K369" s="45">
        <f>DT!$F$24/DT!$F$23</f>
        <v>0.36793730593261359</v>
      </c>
      <c r="L369" s="45">
        <f>DT!$G$24/DT!$G$23</f>
        <v>0.37520551564827248</v>
      </c>
      <c r="M369" s="45">
        <f t="shared" si="67"/>
        <v>2.5988956813234321E-2</v>
      </c>
      <c r="N369" s="46"/>
      <c r="O369" s="45">
        <f>DT!$D$25/DT!$D$23</f>
        <v>0.19195907097252105</v>
      </c>
      <c r="P369" s="45">
        <f>DT!$E$25/DT!$E$23</f>
        <v>0.2206144876341383</v>
      </c>
      <c r="Q369" s="45">
        <f>DT!$F$25/DT!$F$23</f>
        <v>0.23489944068030219</v>
      </c>
      <c r="R369" s="45">
        <f>DT!$G$25/DT!$G$23</f>
        <v>0.24566550780771249</v>
      </c>
      <c r="S369" s="45">
        <f t="shared" si="68"/>
        <v>5.370643683519144E-2</v>
      </c>
      <c r="T369" s="46"/>
      <c r="U369" s="48" t="str">
        <f t="shared" si="69"/>
        <v>EUR 21.76</v>
      </c>
      <c r="V369" s="69" t="str">
        <f t="shared" si="69"/>
        <v>Deutsche Telekom</v>
      </c>
      <c r="Z369" s="49"/>
    </row>
    <row r="370" spans="1:28" s="5" customFormat="1">
      <c r="A370" s="41"/>
      <c r="B370" s="42"/>
      <c r="C370" s="48" t="s">
        <v>458</v>
      </c>
      <c r="D370" s="44" t="str">
        <f t="shared" si="66"/>
        <v>EUR 3.44</v>
      </c>
      <c r="E370" s="44" t="str">
        <f t="shared" si="66"/>
        <v>EUR 3.70</v>
      </c>
      <c r="F370" s="45">
        <f t="shared" si="66"/>
        <v>7.4332171893147558E-2</v>
      </c>
      <c r="G370" s="44" t="str">
        <f t="shared" si="66"/>
        <v>Neutral</v>
      </c>
      <c r="H370" s="46"/>
      <c r="I370" s="45">
        <f>KPN!$D$24/KPN!$D$23</f>
        <v>0.42896781465809541</v>
      </c>
      <c r="J370" s="45">
        <f>KPN!$E$24/KPN!$E$23</f>
        <v>0.43086518380990096</v>
      </c>
      <c r="K370" s="45">
        <f>KPN!$F$24/KPN!$F$23</f>
        <v>0.43075546390341257</v>
      </c>
      <c r="L370" s="45">
        <f>KPN!$G$24/KPN!$G$23</f>
        <v>0.42973348314529625</v>
      </c>
      <c r="M370" s="45">
        <f t="shared" si="67"/>
        <v>7.6566848720083236E-4</v>
      </c>
      <c r="N370" s="46"/>
      <c r="O370" s="45">
        <f>KPN!$D$25/KPN!$D$23</f>
        <v>0.21362280243675669</v>
      </c>
      <c r="P370" s="45">
        <f>KPN!$E$25/KPN!$E$23</f>
        <v>0.22057423041532481</v>
      </c>
      <c r="Q370" s="45">
        <f>KPN!$F$25/KPN!$F$23</f>
        <v>0.22531583704927111</v>
      </c>
      <c r="R370" s="45">
        <f>KPN!$G$25/KPN!$G$23</f>
        <v>0.22873783713990933</v>
      </c>
      <c r="S370" s="45">
        <f t="shared" si="68"/>
        <v>1.5115034703152647E-2</v>
      </c>
      <c r="T370" s="46"/>
      <c r="U370" s="48" t="str">
        <f t="shared" si="69"/>
        <v>EUR 3.44</v>
      </c>
      <c r="V370" s="69" t="str">
        <f t="shared" si="69"/>
        <v>KPN</v>
      </c>
      <c r="Z370" s="49"/>
    </row>
    <row r="371" spans="1:28" s="5" customFormat="1">
      <c r="A371" s="41"/>
      <c r="B371" s="42"/>
      <c r="C371" s="48" t="s">
        <v>728</v>
      </c>
      <c r="D371" s="44" t="str">
        <f t="shared" si="66"/>
        <v>EUR 10.68</v>
      </c>
      <c r="E371" s="44" t="str">
        <f t="shared" si="66"/>
        <v>EUR 14.00</v>
      </c>
      <c r="F371" s="45">
        <f t="shared" si="66"/>
        <v>0.31147540983606548</v>
      </c>
      <c r="G371" s="44" t="str">
        <f t="shared" si="66"/>
        <v>Buy</v>
      </c>
      <c r="H371" s="46"/>
      <c r="I371" s="45">
        <f>ORA!$D$24/ORA!$D$23</f>
        <v>0.29570074507082633</v>
      </c>
      <c r="J371" s="45">
        <f>ORA!$E$24/ORA!$E$23</f>
        <v>0.29797632032326909</v>
      </c>
      <c r="K371" s="45">
        <f>ORA!$F$24/ORA!$F$23</f>
        <v>0.30260494587523956</v>
      </c>
      <c r="L371" s="45">
        <f>ORA!$G$24/ORA!$G$23</f>
        <v>0.30261742890183546</v>
      </c>
      <c r="M371" s="45">
        <f t="shared" si="67"/>
        <v>6.9166838310091294E-3</v>
      </c>
      <c r="N371" s="46"/>
      <c r="O371" s="45">
        <f>ORA!$D$25/ORA!$D$23</f>
        <v>0.14107885950099494</v>
      </c>
      <c r="P371" s="45">
        <f>ORA!$E$25/ORA!$E$23</f>
        <v>0.1440384012508546</v>
      </c>
      <c r="Q371" s="45">
        <f>ORA!$F$25/ORA!$F$23</f>
        <v>0.15451829392199895</v>
      </c>
      <c r="R371" s="45">
        <f>ORA!$G$25/ORA!$G$23</f>
        <v>0.16159878781288037</v>
      </c>
      <c r="S371" s="45">
        <f t="shared" si="68"/>
        <v>2.0519928311885427E-2</v>
      </c>
      <c r="T371" s="46"/>
      <c r="U371" s="48" t="str">
        <f t="shared" si="69"/>
        <v>EUR 10.68</v>
      </c>
      <c r="V371" s="69" t="str">
        <f t="shared" si="69"/>
        <v>Orange</v>
      </c>
      <c r="Z371" s="49"/>
    </row>
    <row r="372" spans="1:28" s="5" customFormat="1">
      <c r="A372" s="41"/>
      <c r="B372" s="42"/>
      <c r="C372" s="48" t="s">
        <v>459</v>
      </c>
      <c r="D372" s="44" t="str">
        <f t="shared" si="66"/>
        <v>EUR 13.75</v>
      </c>
      <c r="E372" s="44" t="str">
        <f t="shared" si="66"/>
        <v>EUR 22.00</v>
      </c>
      <c r="F372" s="45">
        <f t="shared" si="66"/>
        <v>0.60000000000000009</v>
      </c>
      <c r="G372" s="44" t="str">
        <f t="shared" si="66"/>
        <v>Neutral</v>
      </c>
      <c r="H372" s="46"/>
      <c r="I372" s="45">
        <f>OTE!$D$24/OTE!$D$23</f>
        <v>0.38645348863837831</v>
      </c>
      <c r="J372" s="45">
        <f>OTE!$E$24/OTE!$E$23</f>
        <v>0.38484326488301124</v>
      </c>
      <c r="K372" s="45">
        <f>OTE!$F$24/OTE!$F$23</f>
        <v>0.38613463855691266</v>
      </c>
      <c r="L372" s="45">
        <f>OTE!$G$24/OTE!$G$23</f>
        <v>0.38178474210660285</v>
      </c>
      <c r="M372" s="45">
        <f t="shared" si="67"/>
        <v>-4.6687465317754584E-3</v>
      </c>
      <c r="N372" s="46"/>
      <c r="O372" s="45">
        <f>OTE!$D$25/OTE!$D$23</f>
        <v>0.20469627642886232</v>
      </c>
      <c r="P372" s="45">
        <f>OTE!$E$25/OTE!$E$23</f>
        <v>0.20733030592526694</v>
      </c>
      <c r="Q372" s="45">
        <f>OTE!$F$25/OTE!$F$23</f>
        <v>0.21036907784732276</v>
      </c>
      <c r="R372" s="45">
        <f>OTE!$G$25/OTE!$G$23</f>
        <v>0.2081107724410893</v>
      </c>
      <c r="S372" s="45">
        <f t="shared" si="68"/>
        <v>3.4144960122269863E-3</v>
      </c>
      <c r="T372" s="46"/>
      <c r="U372" s="48" t="str">
        <f t="shared" si="69"/>
        <v>EUR 13.75</v>
      </c>
      <c r="V372" s="69" t="str">
        <f t="shared" si="69"/>
        <v>OTE</v>
      </c>
      <c r="Z372" s="49"/>
    </row>
    <row r="373" spans="1:28" s="5" customFormat="1">
      <c r="A373" s="41"/>
      <c r="B373" s="42"/>
      <c r="C373" s="48" t="s">
        <v>817</v>
      </c>
      <c r="D373" s="44" t="str">
        <f t="shared" si="66"/>
        <v>EUR 7.4</v>
      </c>
      <c r="E373" s="44" t="str">
        <f t="shared" si="66"/>
        <v>EUR 10.0</v>
      </c>
      <c r="F373" s="45">
        <f t="shared" si="66"/>
        <v>0.35135135135135132</v>
      </c>
      <c r="G373" s="44" t="str">
        <f t="shared" si="66"/>
        <v>Neutral</v>
      </c>
      <c r="H373" s="46"/>
      <c r="I373" s="45">
        <f>PROX!$D$24/PROX!$D$23</f>
        <v>0.28070348146440771</v>
      </c>
      <c r="J373" s="45">
        <f>PROX!$E$24/PROX!$E$23</f>
        <v>0.28442803258626803</v>
      </c>
      <c r="K373" s="45">
        <f>PROX!$F$24/PROX!$F$23</f>
        <v>0.28155005483678763</v>
      </c>
      <c r="L373" s="45">
        <f>PROX!$G$24/PROX!$G$23</f>
        <v>0.28182312896247574</v>
      </c>
      <c r="M373" s="45">
        <f t="shared" si="67"/>
        <v>1.1196474980680327E-3</v>
      </c>
      <c r="N373" s="46"/>
      <c r="O373" s="45">
        <f>PROX!$D$25/PROX!$D$23</f>
        <v>7.2221730103225412E-2</v>
      </c>
      <c r="P373" s="45">
        <f>PROX!$E$25/PROX!$E$23</f>
        <v>9.4937648532372326E-2</v>
      </c>
      <c r="Q373" s="45">
        <f>PROX!$F$25/PROX!$F$23</f>
        <v>0.11662167905776903</v>
      </c>
      <c r="R373" s="45">
        <f>PROX!$G$25/PROX!$G$23</f>
        <v>0.11785251719826031</v>
      </c>
      <c r="S373" s="45">
        <f t="shared" si="68"/>
        <v>4.5630787095034903E-2</v>
      </c>
      <c r="T373" s="46"/>
      <c r="U373" s="48" t="str">
        <f t="shared" ref="U373:U378" si="70">U313</f>
        <v>EUR 7.4</v>
      </c>
      <c r="V373" s="69" t="s">
        <v>817</v>
      </c>
      <c r="Z373" s="49"/>
    </row>
    <row r="374" spans="1:28">
      <c r="C374" s="48" t="s">
        <v>463</v>
      </c>
      <c r="D374" s="44" t="str">
        <f t="shared" si="66"/>
        <v>CHF492</v>
      </c>
      <c r="E374" s="44" t="str">
        <f t="shared" si="66"/>
        <v>CHF620</v>
      </c>
      <c r="F374" s="45">
        <f t="shared" si="66"/>
        <v>0.26016260162601634</v>
      </c>
      <c r="G374" s="44" t="str">
        <f t="shared" si="66"/>
        <v>Neutral</v>
      </c>
      <c r="H374" s="46"/>
      <c r="I374" s="45">
        <f>SWISS!$D$24/SWISS!$D$23</f>
        <v>0.39356750142814662</v>
      </c>
      <c r="J374" s="45">
        <f>SWISS!$E$24/SWISS!$E$23</f>
        <v>0.38589980194280332</v>
      </c>
      <c r="K374" s="45">
        <f>SWISS!$F$24/SWISS!$F$23</f>
        <v>0.38387267309753337</v>
      </c>
      <c r="L374" s="45">
        <f>SWISS!$G$24/SWISS!$G$23</f>
        <v>0.3817821534758965</v>
      </c>
      <c r="M374" s="45">
        <f t="shared" si="67"/>
        <v>-1.1785347952250114E-2</v>
      </c>
      <c r="N374" s="46"/>
      <c r="O374" s="45">
        <f>SWISS!$D$25/SWISS!$D$23</f>
        <v>0.18563358052594156</v>
      </c>
      <c r="P374" s="45">
        <f>SWISS!$E$25/SWISS!$E$23</f>
        <v>0.17902418355543853</v>
      </c>
      <c r="Q374" s="45">
        <f>SWISS!$F$25/SWISS!$F$23</f>
        <v>0.1772734705332088</v>
      </c>
      <c r="R374" s="45">
        <f>SWISS!$G$25/SWISS!$G$23</f>
        <v>0.1755176782660767</v>
      </c>
      <c r="S374" s="45">
        <f t="shared" si="68"/>
        <v>-1.0115902259864862E-2</v>
      </c>
      <c r="T374" s="46"/>
      <c r="U374" s="48" t="str">
        <f t="shared" si="70"/>
        <v>CHF492</v>
      </c>
      <c r="V374" s="69" t="str">
        <f t="shared" ref="V374:V379" si="71">V314</f>
        <v>Swisscom</v>
      </c>
    </row>
    <row r="375" spans="1:28" s="5" customFormat="1">
      <c r="A375" s="41"/>
      <c r="B375" s="42"/>
      <c r="C375" s="48" t="s">
        <v>270</v>
      </c>
      <c r="D375" s="44" t="str">
        <f t="shared" si="66"/>
        <v>EUR 0.25</v>
      </c>
      <c r="E375" s="44" t="str">
        <f t="shared" si="66"/>
        <v>EUR 0.35</v>
      </c>
      <c r="F375" s="45">
        <f t="shared" si="66"/>
        <v>0.42103126268777902</v>
      </c>
      <c r="G375" s="44" t="str">
        <f t="shared" si="66"/>
        <v>Buy</v>
      </c>
      <c r="H375" s="46"/>
      <c r="I375" s="45">
        <f>TI!$D$24/TI!$D$23</f>
        <v>0.32325062562382667</v>
      </c>
      <c r="J375" s="45">
        <f>TI!$E$24/TI!$E$23</f>
        <v>0.33036000439427793</v>
      </c>
      <c r="K375" s="45">
        <f>TI!$F$24/TI!$F$23</f>
        <v>0.34183271140595173</v>
      </c>
      <c r="L375" s="45">
        <f>TI!$G$24/TI!$G$23</f>
        <v>0.34753904208674452</v>
      </c>
      <c r="M375" s="45">
        <f t="shared" si="67"/>
        <v>2.428841646291785E-2</v>
      </c>
      <c r="N375" s="46"/>
      <c r="O375" s="45">
        <f>TI!$D$25/TI!$D$23</f>
        <v>7.9610360422118151E-2</v>
      </c>
      <c r="P375" s="45">
        <f>TI!$E$25/TI!$E$23</f>
        <v>9.3481181088458931E-2</v>
      </c>
      <c r="Q375" s="45">
        <f>TI!$F$25/TI!$F$23</f>
        <v>0.10924660565121996</v>
      </c>
      <c r="R375" s="45">
        <f>TI!$G$25/TI!$G$23</f>
        <v>0.13495143480365449</v>
      </c>
      <c r="S375" s="45">
        <f t="shared" si="68"/>
        <v>5.5341074381536334E-2</v>
      </c>
      <c r="T375" s="46"/>
      <c r="U375" s="48" t="str">
        <f t="shared" si="70"/>
        <v>EUR 0.25</v>
      </c>
      <c r="V375" s="69" t="str">
        <f t="shared" si="71"/>
        <v>Telecom Italia</v>
      </c>
      <c r="Z375" s="49"/>
    </row>
    <row r="376" spans="1:28" s="5" customFormat="1">
      <c r="A376" s="41"/>
      <c r="B376" s="42"/>
      <c r="C376" s="48" t="s">
        <v>461</v>
      </c>
      <c r="D376" s="44" t="str">
        <f t="shared" si="66"/>
        <v>EUR 4.16</v>
      </c>
      <c r="E376" s="44" t="str">
        <f t="shared" si="66"/>
        <v>EUR 4.80</v>
      </c>
      <c r="F376" s="45">
        <f t="shared" si="66"/>
        <v>0.15523465703971118</v>
      </c>
      <c r="G376" s="44" t="str">
        <f t="shared" si="66"/>
        <v>Buy</v>
      </c>
      <c r="H376" s="46"/>
      <c r="I376" s="45">
        <f>TEF!$D$24/TEF!$D$23</f>
        <v>0.25456525193105811</v>
      </c>
      <c r="J376" s="45">
        <f>TEF!$E$24/TEF!$E$23</f>
        <v>0.25943058885971365</v>
      </c>
      <c r="K376" s="45">
        <f>TEF!$F$24/TEF!$F$23</f>
        <v>0.26149483247146943</v>
      </c>
      <c r="L376" s="45">
        <f>TEF!$G$24/TEF!$G$23</f>
        <v>0.26293704899895065</v>
      </c>
      <c r="M376" s="45">
        <f t="shared" si="67"/>
        <v>8.3717970678925391E-3</v>
      </c>
      <c r="N376" s="46"/>
      <c r="O376" s="45">
        <f>TEF!$D$25/TEF!$D$23</f>
        <v>0.12405795514803174</v>
      </c>
      <c r="P376" s="45">
        <f>TEF!$E$25/TEF!$E$23</f>
        <v>0.1290128379836733</v>
      </c>
      <c r="Q376" s="45">
        <f>TEF!$F$25/TEF!$F$23</f>
        <v>0.13712670622257361</v>
      </c>
      <c r="R376" s="45">
        <f>TEF!$G$25/TEF!$G$23</f>
        <v>0.14425235823422453</v>
      </c>
      <c r="S376" s="45">
        <f t="shared" si="68"/>
        <v>2.0194403086192789E-2</v>
      </c>
      <c r="T376" s="46"/>
      <c r="U376" s="48" t="str">
        <f t="shared" si="70"/>
        <v>EUR 4.16</v>
      </c>
      <c r="V376" s="69" t="str">
        <f t="shared" si="71"/>
        <v>Telefonica</v>
      </c>
      <c r="Z376" s="49"/>
    </row>
    <row r="377" spans="1:28" s="5" customFormat="1">
      <c r="A377" s="41"/>
      <c r="B377" s="42"/>
      <c r="C377" s="48" t="s">
        <v>462</v>
      </c>
      <c r="D377" s="44" t="str">
        <f t="shared" si="66"/>
        <v>NOK 124</v>
      </c>
      <c r="E377" s="44" t="str">
        <f t="shared" si="66"/>
        <v>NOK 136</v>
      </c>
      <c r="F377" s="45">
        <f t="shared" si="66"/>
        <v>9.9434114793855999E-2</v>
      </c>
      <c r="G377" s="44" t="str">
        <f t="shared" si="66"/>
        <v>Buy</v>
      </c>
      <c r="H377" s="46"/>
      <c r="I377" s="45">
        <f>TNOR!$D$24/TNOR!$D$23</f>
        <v>0.45153335886902257</v>
      </c>
      <c r="J377" s="45">
        <f>TNOR!$E$24/TNOR!$E$23</f>
        <v>0.47998536885939724</v>
      </c>
      <c r="K377" s="45">
        <f>TNOR!$F$24/TNOR!$F$23</f>
        <v>0.45876931081996492</v>
      </c>
      <c r="L377" s="45">
        <f>TNOR!$G$24/TNOR!$G$23</f>
        <v>0.46138391442849813</v>
      </c>
      <c r="M377" s="45">
        <f t="shared" si="67"/>
        <v>9.8505555594755601E-3</v>
      </c>
      <c r="N377" s="46"/>
      <c r="O377" s="45">
        <f>TNOR!$D$25/TNOR!$D$23</f>
        <v>0.28374205337450814</v>
      </c>
      <c r="P377" s="45">
        <f>TNOR!$E$25/TNOR!$E$23</f>
        <v>0.318888434450734</v>
      </c>
      <c r="Q377" s="45">
        <f>TNOR!$F$25/TNOR!$F$23</f>
        <v>0.311077344970356</v>
      </c>
      <c r="R377" s="45">
        <f>TNOR!$G$25/TNOR!$G$23</f>
        <v>0.31542647118978961</v>
      </c>
      <c r="S377" s="45">
        <f t="shared" si="68"/>
        <v>3.1684417815281474E-2</v>
      </c>
      <c r="T377" s="46"/>
      <c r="U377" s="48" t="str">
        <f t="shared" si="70"/>
        <v>NOK 124</v>
      </c>
      <c r="V377" s="44" t="str">
        <f t="shared" si="71"/>
        <v>Telenor</v>
      </c>
      <c r="Z377" s="49"/>
    </row>
    <row r="378" spans="1:28" s="5" customFormat="1">
      <c r="A378" s="41"/>
      <c r="B378" s="42"/>
      <c r="C378" s="48" t="s">
        <v>1039</v>
      </c>
      <c r="D378" s="44" t="str">
        <f t="shared" si="66"/>
        <v>SEK26.4</v>
      </c>
      <c r="E378" s="44" t="str">
        <f t="shared" si="66"/>
        <v>SEK36.0</v>
      </c>
      <c r="F378" s="45">
        <f t="shared" si="66"/>
        <v>0.36415308829101933</v>
      </c>
      <c r="G378" s="44" t="str">
        <f t="shared" si="66"/>
        <v>Buy</v>
      </c>
      <c r="H378" s="46"/>
      <c r="I378" s="45">
        <f>TELIA!$D$24/TELIA!$D$23</f>
        <v>0.30540875286493413</v>
      </c>
      <c r="J378" s="45">
        <f>TELIA!$E$24/TELIA!$E$23</f>
        <v>0.31698782573906698</v>
      </c>
      <c r="K378" s="45">
        <f>TELIA!$F$24/TELIA!$F$23</f>
        <v>0.3210376341527566</v>
      </c>
      <c r="L378" s="45">
        <f>TELIA!$G$24/TELIA!$G$23</f>
        <v>0.32277947143502111</v>
      </c>
      <c r="M378" s="45">
        <f t="shared" si="67"/>
        <v>1.7370718570086985E-2</v>
      </c>
      <c r="N378" s="46"/>
      <c r="O378" s="45">
        <f>TELIA!$D$25/TELIA!$D$23</f>
        <v>0.15583358217099441</v>
      </c>
      <c r="P378" s="45">
        <f>TELIA!$E$25/TELIA!$E$23</f>
        <v>0.16794325299680185</v>
      </c>
      <c r="Q378" s="45">
        <f>TELIA!$F$25/TELIA!$F$23</f>
        <v>0.17293590348050958</v>
      </c>
      <c r="R378" s="45">
        <f>TELIA!$G$25/TELIA!$G$23</f>
        <v>0.17570738956730886</v>
      </c>
      <c r="S378" s="45">
        <f t="shared" si="68"/>
        <v>1.9873807396314447E-2</v>
      </c>
      <c r="T378" s="46"/>
      <c r="U378" s="48" t="str">
        <f t="shared" si="70"/>
        <v>SEK26.4</v>
      </c>
      <c r="V378" s="44" t="str">
        <f t="shared" si="71"/>
        <v>TeliaSonera</v>
      </c>
      <c r="Z378" s="49"/>
    </row>
    <row r="379" spans="1:28" s="5" customFormat="1">
      <c r="A379" s="41"/>
      <c r="B379" s="42"/>
      <c r="C379" s="51" t="str">
        <f>C319</f>
        <v>Agg. W.Europe Incumbent</v>
      </c>
      <c r="D379" s="52"/>
      <c r="E379" s="52"/>
      <c r="F379" s="53"/>
      <c r="G379" s="52"/>
      <c r="H379" s="46"/>
      <c r="I379" s="55">
        <f>'W.EUR INCUMB'!$D$24/'W.EUR INCUMB'!$D$23</f>
        <v>0.32782321714313589</v>
      </c>
      <c r="J379" s="55">
        <f>'W.EUR INCUMB'!$E$24/'W.EUR INCUMB'!$E$23</f>
        <v>0.33450610095389471</v>
      </c>
      <c r="K379" s="55">
        <f>'W.EUR INCUMB'!$F$24/'W.EUR INCUMB'!$F$23</f>
        <v>0.33973821279209154</v>
      </c>
      <c r="L379" s="55">
        <f>'W.EUR INCUMB'!$G$24/'W.EUR INCUMB'!$G$23</f>
        <v>0.34397055611611094</v>
      </c>
      <c r="M379" s="55">
        <f t="shared" si="67"/>
        <v>1.6147338972975045E-2</v>
      </c>
      <c r="N379" s="56"/>
      <c r="O379" s="55">
        <f>'W.EUR INCUMB'!$D$25/'W.EUR INCUMB'!$D$23</f>
        <v>0.15743043961597675</v>
      </c>
      <c r="P379" s="55">
        <f>'W.EUR INCUMB'!$E$25/'W.EUR INCUMB'!$E$23</f>
        <v>0.17357324216637385</v>
      </c>
      <c r="Q379" s="55">
        <f>'W.EUR INCUMB'!$F$25/'W.EUR INCUMB'!$F$23</f>
        <v>0.18456811483764504</v>
      </c>
      <c r="R379" s="55">
        <f>'W.EUR INCUMB'!$G$25/'W.EUR INCUMB'!$G$23</f>
        <v>0.19393379969738792</v>
      </c>
      <c r="S379" s="55">
        <f t="shared" si="68"/>
        <v>3.6503360081411168E-2</v>
      </c>
      <c r="T379" s="46"/>
      <c r="U379" s="57"/>
      <c r="V379" s="58" t="str">
        <f t="shared" si="71"/>
        <v>Agg. W.Europe Incumbent</v>
      </c>
      <c r="Z379" s="49"/>
    </row>
    <row r="380" spans="1:28" s="5" customFormat="1">
      <c r="A380" s="41"/>
      <c r="B380" s="42"/>
      <c r="C380" s="48"/>
      <c r="D380" s="44"/>
      <c r="E380" s="44"/>
      <c r="F380" s="45"/>
      <c r="G380" s="44"/>
      <c r="H380" s="46"/>
      <c r="I380" s="45"/>
      <c r="J380" s="45"/>
      <c r="K380" s="45"/>
      <c r="L380" s="45"/>
      <c r="M380" s="45"/>
      <c r="N380" s="46"/>
      <c r="O380" s="45"/>
      <c r="P380" s="45"/>
      <c r="Q380" s="45"/>
      <c r="R380" s="45"/>
      <c r="S380" s="45"/>
      <c r="T380" s="46"/>
      <c r="U380" s="48"/>
      <c r="V380" s="44"/>
      <c r="Z380" s="49"/>
    </row>
    <row r="381" spans="1:28" s="5" customFormat="1">
      <c r="A381" s="41"/>
      <c r="B381" s="42" t="s">
        <v>519</v>
      </c>
      <c r="C381" s="48" t="s">
        <v>491</v>
      </c>
      <c r="D381" s="44" t="str">
        <f>B381&amp;TEXT(Prices!$C$40,"0.0")</f>
        <v>US$17.5</v>
      </c>
      <c r="E381" s="44" t="str">
        <f>B381&amp;TEXT(Prices!$E$40,"0.00")</f>
        <v>US$21.00</v>
      </c>
      <c r="F381" s="45">
        <f>Prices!$F$40</f>
        <v>0.19999999999999996</v>
      </c>
      <c r="G381" s="44" t="str">
        <f>Prices!$D$40</f>
        <v>Neutral</v>
      </c>
      <c r="H381" s="46"/>
      <c r="I381" s="45">
        <f>(ATT!D$24/ATT!D$23)</f>
        <v>0.35449406998399058</v>
      </c>
      <c r="J381" s="45">
        <f>(ATT!E$24/ATT!E$23)</f>
        <v>0.36457011710885262</v>
      </c>
      <c r="K381" s="45">
        <f>(ATT!F$24/ATT!F$23)</f>
        <v>0.36728408028283366</v>
      </c>
      <c r="L381" s="45">
        <f>(ATT!G$24/ATT!G$23)</f>
        <v>0.36743542302376736</v>
      </c>
      <c r="M381" s="45">
        <f>L381-I381</f>
        <v>1.2941353039776782E-2</v>
      </c>
      <c r="N381" s="46"/>
      <c r="O381" s="45">
        <f>ATT!$D$25/ATT!$D$23</f>
        <v>0.16176854967817819</v>
      </c>
      <c r="P381" s="45">
        <f>ATT!$E$25/ATT!$E$23</f>
        <v>0.18913733792712975</v>
      </c>
      <c r="Q381" s="45">
        <f>ATT!$F$25/ATT!$F$23</f>
        <v>0.19748876053530701</v>
      </c>
      <c r="R381" s="45">
        <f>ATT!$G$25/ATT!$G$23</f>
        <v>0.19957399858436348</v>
      </c>
      <c r="S381" s="45">
        <f>ATT!$H$25</f>
        <v>8.0270461008097538E-2</v>
      </c>
      <c r="T381" s="46"/>
      <c r="U381" s="48" t="str">
        <f>D381</f>
        <v>US$17.5</v>
      </c>
      <c r="V381" s="44" t="str">
        <f>C381</f>
        <v xml:space="preserve">AT&amp;T </v>
      </c>
      <c r="Z381" s="49"/>
    </row>
    <row r="382" spans="1:28" s="5" customFormat="1">
      <c r="A382" s="146"/>
      <c r="B382" s="42" t="s">
        <v>519</v>
      </c>
      <c r="C382" s="48" t="s">
        <v>693</v>
      </c>
      <c r="D382" s="44" t="str">
        <f>B382&amp;TEXT(Prices!$C$41,"0.0")</f>
        <v>US$166.0</v>
      </c>
      <c r="E382" s="44" t="str">
        <f>B382&amp;TEXT(Prices!$E$41,"0.0")</f>
        <v>US$205.0</v>
      </c>
      <c r="F382" s="45">
        <f>Prices!$F$41</f>
        <v>0.23493975903614461</v>
      </c>
      <c r="G382" s="44" t="str">
        <f>Prices!$D$41</f>
        <v>Buy</v>
      </c>
      <c r="H382" s="46"/>
      <c r="I382" s="45">
        <f>(TMUS!D$24/TMUS!D$23)</f>
        <v>0.37031238066142214</v>
      </c>
      <c r="J382" s="45">
        <f>(TMUS!E$24/TMUS!E$23)</f>
        <v>0.38686190781529578</v>
      </c>
      <c r="K382" s="45">
        <f>(TMUS!F$24/TMUS!F$23)</f>
        <v>0.39774894647962022</v>
      </c>
      <c r="L382" s="45">
        <f>(TMUS!G$24/TMUS!G$23)</f>
        <v>0.40805984431217251</v>
      </c>
      <c r="M382" s="45">
        <f>L382-I382</f>
        <v>3.7747463650750379E-2</v>
      </c>
      <c r="N382" s="46"/>
      <c r="O382" s="45">
        <f>TMUS!$D$25/TMUS!$D$23</f>
        <v>0.24555105781715419</v>
      </c>
      <c r="P382" s="45">
        <f>TMUS!$E$25/TMUS!$E$23</f>
        <v>0.27602489085813647</v>
      </c>
      <c r="Q382" s="45">
        <f>TMUS!$F$25/TMUS!$F$23</f>
        <v>0.29088557370513124</v>
      </c>
      <c r="R382" s="45">
        <f>TMUS!$G$25/TMUS!$G$23</f>
        <v>0.30498920715057942</v>
      </c>
      <c r="S382" s="45">
        <f>TMUS!$H$25</f>
        <v>0.11995553100529999</v>
      </c>
      <c r="T382" s="46"/>
      <c r="U382" s="48" t="str">
        <f>D382</f>
        <v>US$166.0</v>
      </c>
      <c r="V382" s="44" t="str">
        <f>C382</f>
        <v>TMUS</v>
      </c>
      <c r="Z382" s="49"/>
    </row>
    <row r="383" spans="1:28">
      <c r="A383" s="41"/>
      <c r="B383" s="42" t="s">
        <v>519</v>
      </c>
      <c r="C383" s="48" t="s">
        <v>33</v>
      </c>
      <c r="D383" s="44" t="str">
        <f>B383&amp;TEXT(Prices!$C$39,"0.0")</f>
        <v>US$39.7</v>
      </c>
      <c r="E383" s="44" t="str">
        <f>B383&amp;TEXT(Prices!$E$39,"0.00")</f>
        <v>US$45.00</v>
      </c>
      <c r="F383" s="45">
        <f>Prices!$F$39</f>
        <v>0.13236034222445903</v>
      </c>
      <c r="G383" s="44" t="str">
        <f>Prices!$D$39</f>
        <v>Neutral</v>
      </c>
      <c r="H383" s="46"/>
      <c r="I383" s="45">
        <f>(VZN!D$24/VZN!D$23)</f>
        <v>0.35670353949273742</v>
      </c>
      <c r="J383" s="45">
        <f>(VZN!E$24/VZN!E$23)</f>
        <v>0.35940550549420908</v>
      </c>
      <c r="K383" s="45">
        <f>(VZN!F$24/VZN!F$23)</f>
        <v>0.35699533688204155</v>
      </c>
      <c r="L383" s="45">
        <f>(VZN!G$24/VZN!G$23)</f>
        <v>0.35463756696538279</v>
      </c>
      <c r="M383" s="45">
        <f>L383-I383</f>
        <v>-2.0659725273546314E-3</v>
      </c>
      <c r="N383" s="46"/>
      <c r="O383" s="45">
        <f>VZN!$D$25/VZN!$D$23</f>
        <v>0.21662412109812351</v>
      </c>
      <c r="P383" s="45">
        <f>VZN!$E$25/VZN!$E$23</f>
        <v>0.23244256959583173</v>
      </c>
      <c r="Q383" s="45">
        <f>VZN!$F$25/VZN!$F$23</f>
        <v>0.23203740295561093</v>
      </c>
      <c r="R383" s="45">
        <f>VZN!$G$25/VZN!$G$23</f>
        <v>0.23145953955062973</v>
      </c>
      <c r="S383" s="45">
        <f>VZN!$H$25</f>
        <v>3.7531283809789429E-2</v>
      </c>
      <c r="T383" s="46"/>
      <c r="U383" s="48" t="str">
        <f>D383</f>
        <v>US$39.7</v>
      </c>
      <c r="V383" s="44" t="str">
        <f>C383</f>
        <v>Verizon</v>
      </c>
      <c r="Z383" s="49"/>
      <c r="AB383" s="5"/>
    </row>
    <row r="384" spans="1:28">
      <c r="A384" s="41"/>
      <c r="C384" s="51" t="s">
        <v>262</v>
      </c>
      <c r="D384" s="52"/>
      <c r="E384" s="52"/>
      <c r="F384" s="53"/>
      <c r="G384" s="52"/>
      <c r="H384" s="46"/>
      <c r="I384" s="55">
        <f>'US TELCO'!D$24/'US TELCO'!D$23</f>
        <v>0.35908765225698591</v>
      </c>
      <c r="J384" s="55">
        <f>'US TELCO'!E$24/'US TELCO'!E$23</f>
        <v>0.36786393352726804</v>
      </c>
      <c r="K384" s="55">
        <f>'US TELCO'!F$24/'US TELCO'!F$23</f>
        <v>0.37068868740620348</v>
      </c>
      <c r="L384" s="55">
        <f>'US TELCO'!G$24/'US TELCO'!G$23</f>
        <v>0.37256883555439918</v>
      </c>
      <c r="M384" s="55">
        <f>L384-I384</f>
        <v>1.3481183297413268E-2</v>
      </c>
      <c r="N384" s="46"/>
      <c r="O384" s="55">
        <f>'US TELCO'!$D$25/'US TELCO'!D$23</f>
        <v>0.20335860998328159</v>
      </c>
      <c r="P384" s="55">
        <f>'US TELCO'!$D$25/'US TELCO'!E$23</f>
        <v>0.20024649671934716</v>
      </c>
      <c r="Q384" s="55">
        <f>'US TELCO'!$D$25/'US TELCO'!F$23</f>
        <v>0.19622266216162354</v>
      </c>
      <c r="R384" s="55">
        <f>'US TELCO'!$D$25/'US TELCO'!G$23</f>
        <v>0.19242476304296241</v>
      </c>
      <c r="S384" s="55">
        <f>'US TELCO'!$H$39</f>
        <v>7.4396303115465079E-2</v>
      </c>
      <c r="T384" s="46"/>
      <c r="U384" s="57"/>
      <c r="V384" s="58" t="str">
        <f>C384</f>
        <v>Agg. US Telecoms</v>
      </c>
      <c r="Z384" s="49"/>
    </row>
    <row r="385" spans="1:113">
      <c r="A385" s="41"/>
      <c r="C385" s="48"/>
      <c r="D385" s="44"/>
      <c r="E385" s="44"/>
      <c r="F385" s="45"/>
      <c r="G385" s="44"/>
      <c r="H385" s="46"/>
      <c r="I385" s="45"/>
      <c r="J385" s="45"/>
      <c r="K385" s="45"/>
      <c r="L385" s="45"/>
      <c r="M385" s="45"/>
      <c r="N385" s="46"/>
      <c r="O385" s="45"/>
      <c r="P385" s="45"/>
      <c r="Q385" s="45"/>
      <c r="R385" s="45"/>
      <c r="S385" s="45"/>
      <c r="T385" s="46"/>
      <c r="U385" s="48"/>
      <c r="V385" s="44"/>
      <c r="Z385" s="49"/>
    </row>
    <row r="386" spans="1:113">
      <c r="A386" s="41"/>
      <c r="C386" s="48" t="str">
        <f t="shared" ref="C386:G389" si="72">C326</f>
        <v>NTT</v>
      </c>
      <c r="D386" s="44" t="str">
        <f t="shared" si="72"/>
        <v>JPY 153</v>
      </c>
      <c r="E386" s="44" t="str">
        <f t="shared" si="72"/>
        <v>JPY 240</v>
      </c>
      <c r="F386" s="45">
        <f t="shared" si="72"/>
        <v>0.57273918741808649</v>
      </c>
      <c r="G386" s="44" t="str">
        <f t="shared" si="72"/>
        <v>Buy</v>
      </c>
      <c r="H386" s="46"/>
      <c r="I386" s="45">
        <f>NTT!$D$24/NTT!$D$23</f>
        <v>0.25557399847472068</v>
      </c>
      <c r="J386" s="45">
        <f>NTT!$E$24/NTT!$E$23</f>
        <v>0.28011884842687246</v>
      </c>
      <c r="K386" s="45">
        <f>NTT!$F$24/NTT!$F$23</f>
        <v>0.28564310242992758</v>
      </c>
      <c r="L386" s="45">
        <f>NTT!$G$24/NTT!$G$23</f>
        <v>0.28965711564267627</v>
      </c>
      <c r="M386" s="45">
        <f t="shared" ref="M386:M390" si="73">L386-I386</f>
        <v>3.408311716795559E-2</v>
      </c>
      <c r="N386" s="46"/>
      <c r="O386" s="45">
        <f>NTT!$D$25/NTT!$D$23</f>
        <v>0.10867614732403211</v>
      </c>
      <c r="P386" s="45">
        <f>NTT!$E$25/NTT!$E$23</f>
        <v>0.15395657632299109</v>
      </c>
      <c r="Q386" s="45">
        <f>NTT!$F$25/NTT!$F$23</f>
        <v>0.16359434509856913</v>
      </c>
      <c r="R386" s="45">
        <f>NTT!$G$25/NTT!$G$23</f>
        <v>0.17061484521905484</v>
      </c>
      <c r="S386" s="45">
        <f t="shared" ref="S386:S390" si="74">R386-O386</f>
        <v>6.1938697895022737E-2</v>
      </c>
      <c r="T386" s="46"/>
      <c r="U386" s="48" t="str">
        <f t="shared" ref="U386:V389" si="75">U326</f>
        <v>JPY 153</v>
      </c>
      <c r="V386" s="44" t="str">
        <f t="shared" si="75"/>
        <v>NTT</v>
      </c>
      <c r="Z386" s="49"/>
      <c r="BU386" s="39"/>
      <c r="BV386" s="39"/>
      <c r="BW386" s="39"/>
      <c r="BX386" s="39"/>
      <c r="BY386" s="39"/>
      <c r="BZ386" s="39"/>
      <c r="CA386" s="39"/>
      <c r="CB386" s="39"/>
      <c r="CC386" s="39"/>
      <c r="CD386" s="39"/>
      <c r="CE386" s="39"/>
      <c r="CF386" s="39"/>
      <c r="CG386" s="39"/>
      <c r="CH386" s="39"/>
      <c r="CI386" s="39"/>
      <c r="CJ386" s="39"/>
      <c r="CK386" s="39"/>
      <c r="CL386" s="39"/>
      <c r="CM386" s="39"/>
      <c r="CN386" s="39"/>
      <c r="CO386" s="39"/>
      <c r="CP386" s="39"/>
      <c r="CQ386" s="39"/>
      <c r="CR386" s="39"/>
      <c r="CS386" s="39"/>
      <c r="CT386" s="39"/>
      <c r="CU386" s="39"/>
      <c r="CV386" s="39"/>
      <c r="CW386" s="39"/>
      <c r="CX386" s="39"/>
      <c r="CY386" s="39"/>
      <c r="CZ386" s="39"/>
      <c r="DA386" s="39"/>
      <c r="DB386" s="39"/>
      <c r="DC386" s="39"/>
      <c r="DD386" s="39"/>
      <c r="DE386" s="39"/>
      <c r="DF386" s="39"/>
      <c r="DG386" s="39"/>
      <c r="DH386" s="39"/>
      <c r="DI386" s="39"/>
    </row>
    <row r="387" spans="1:113">
      <c r="A387" s="41"/>
      <c r="C387" s="48" t="str">
        <f t="shared" si="72"/>
        <v>Spark NZ</v>
      </c>
      <c r="D387" s="44" t="str">
        <f t="shared" si="72"/>
        <v>NZD 4.19</v>
      </c>
      <c r="E387" s="44" t="str">
        <f t="shared" si="72"/>
        <v>NZD 5.00</v>
      </c>
      <c r="F387" s="45">
        <f t="shared" si="72"/>
        <v>0.19331742243436745</v>
      </c>
      <c r="G387" s="44" t="str">
        <f t="shared" si="72"/>
        <v>Neutral</v>
      </c>
      <c r="H387" s="46"/>
      <c r="I387" s="45">
        <f>SPK!$D$24/SPK!$D$23</f>
        <v>0.31078144148248804</v>
      </c>
      <c r="J387" s="45">
        <f>SPK!$E$24/SPK!$E$23</f>
        <v>0.30766788923449701</v>
      </c>
      <c r="K387" s="45">
        <f>SPK!$F$24/SPK!$F$23</f>
        <v>0.30151609336849899</v>
      </c>
      <c r="L387" s="45">
        <f>SPK!$G$24/SPK!$G$23</f>
        <v>0.30485466536289313</v>
      </c>
      <c r="M387" s="45">
        <f t="shared" si="73"/>
        <v>-5.926776119594912E-3</v>
      </c>
      <c r="N387" s="46"/>
      <c r="O387" s="45">
        <f>SPK!$D$25/SPK!$D$23</f>
        <v>0.1952679586553521</v>
      </c>
      <c r="P387" s="45">
        <f>SPK!$E$25/SPK!$E$23</f>
        <v>0.19215440640736106</v>
      </c>
      <c r="Q387" s="45">
        <f>SPK!$F$25/SPK!$F$23</f>
        <v>0.18600261054136302</v>
      </c>
      <c r="R387" s="45">
        <f>SPK!$G$25/SPK!$G$23</f>
        <v>0.18934118253575719</v>
      </c>
      <c r="S387" s="45">
        <f t="shared" si="74"/>
        <v>-5.926776119594912E-3</v>
      </c>
      <c r="T387" s="46"/>
      <c r="U387" s="48" t="str">
        <f t="shared" si="75"/>
        <v>NZD 4.19</v>
      </c>
      <c r="V387" s="44" t="str">
        <f t="shared" si="75"/>
        <v>Spark NZ</v>
      </c>
      <c r="W387" s="59"/>
      <c r="X387" s="59"/>
      <c r="Y387" s="59"/>
      <c r="Z387" s="49"/>
      <c r="BU387" s="39"/>
      <c r="BV387" s="39"/>
      <c r="BW387" s="39"/>
      <c r="BX387" s="39"/>
      <c r="BY387" s="39"/>
      <c r="BZ387" s="39"/>
      <c r="CA387" s="39"/>
      <c r="CB387" s="39"/>
      <c r="CC387" s="39"/>
      <c r="CD387" s="39"/>
      <c r="CE387" s="39"/>
      <c r="CF387" s="39"/>
      <c r="CG387" s="39"/>
      <c r="CH387" s="39"/>
      <c r="CI387" s="39"/>
      <c r="CJ387" s="39"/>
      <c r="CK387" s="39"/>
      <c r="CL387" s="39"/>
      <c r="CM387" s="39"/>
      <c r="CN387" s="39"/>
      <c r="CO387" s="39"/>
      <c r="CP387" s="39"/>
      <c r="CQ387" s="39"/>
      <c r="CR387" s="39"/>
      <c r="CS387" s="39"/>
      <c r="CT387" s="39"/>
      <c r="CU387" s="39"/>
      <c r="CV387" s="39"/>
      <c r="CW387" s="39"/>
      <c r="CX387" s="39"/>
      <c r="CY387" s="39"/>
      <c r="CZ387" s="39"/>
      <c r="DA387" s="39"/>
      <c r="DB387" s="39"/>
      <c r="DC387" s="39"/>
      <c r="DD387" s="39"/>
      <c r="DE387" s="39"/>
      <c r="DF387" s="39"/>
      <c r="DG387" s="39"/>
      <c r="DH387" s="39"/>
      <c r="DI387" s="39"/>
    </row>
    <row r="388" spans="1:113">
      <c r="A388" s="41"/>
      <c r="C388" s="48" t="str">
        <f t="shared" si="72"/>
        <v>SingTel</v>
      </c>
      <c r="D388" s="44" t="str">
        <f t="shared" si="72"/>
        <v>SGD 2.42</v>
      </c>
      <c r="E388" s="44" t="str">
        <f t="shared" si="72"/>
        <v>SGD 4.40</v>
      </c>
      <c r="F388" s="45">
        <f t="shared" si="72"/>
        <v>0.81818181818181834</v>
      </c>
      <c r="G388" s="44" t="str">
        <f t="shared" si="72"/>
        <v>Buy</v>
      </c>
      <c r="H388" s="46"/>
      <c r="I388" s="45">
        <f>SINGTEL!$D$24/SINGTEL!$D$23</f>
        <v>0.25088969179789244</v>
      </c>
      <c r="J388" s="45">
        <f>SINGTEL!$E$24/SINGTEL!$E$23</f>
        <v>0.2642754529036806</v>
      </c>
      <c r="K388" s="45">
        <f>SINGTEL!$F$24/SINGTEL!$F$23</f>
        <v>0.27374806164573434</v>
      </c>
      <c r="L388" s="45">
        <f>SINGTEL!$G$24/SINGTEL!$G$23</f>
        <v>0.27003542540557457</v>
      </c>
      <c r="M388" s="45">
        <f t="shared" si="73"/>
        <v>1.9145733607682125E-2</v>
      </c>
      <c r="N388" s="46"/>
      <c r="O388" s="45">
        <f>SINGTEL!$D$25/SINGTEL!$D$23</f>
        <v>0.10904346968704279</v>
      </c>
      <c r="P388" s="45">
        <f>SINGTEL!$E$25/SINGTEL!$E$23</f>
        <v>0.1307826682902419</v>
      </c>
      <c r="Q388" s="45">
        <f>SINGTEL!$F$25/SINGTEL!$F$23</f>
        <v>0.15016953273249598</v>
      </c>
      <c r="R388" s="45">
        <f>SINGTEL!$G$25/SINGTEL!$G$23</f>
        <v>0.14739136003461639</v>
      </c>
      <c r="S388" s="45">
        <f t="shared" si="74"/>
        <v>3.8347890347573604E-2</v>
      </c>
      <c r="T388" s="46"/>
      <c r="U388" s="48" t="str">
        <f t="shared" si="75"/>
        <v>SGD 2.42</v>
      </c>
      <c r="V388" s="44" t="str">
        <f t="shared" si="75"/>
        <v>SingTel</v>
      </c>
      <c r="W388" s="59"/>
      <c r="X388" s="59"/>
      <c r="Y388" s="59"/>
      <c r="Z388" s="49"/>
      <c r="BU388" s="39"/>
      <c r="BV388" s="39"/>
      <c r="BW388" s="39"/>
      <c r="BX388" s="39"/>
      <c r="BY388" s="39"/>
      <c r="BZ388" s="39"/>
      <c r="CA388" s="39"/>
      <c r="CB388" s="39"/>
      <c r="CC388" s="39"/>
      <c r="CD388" s="39"/>
      <c r="CE388" s="39"/>
      <c r="CF388" s="39"/>
      <c r="CG388" s="39"/>
      <c r="CH388" s="39"/>
      <c r="CI388" s="39"/>
      <c r="CJ388" s="39"/>
      <c r="CK388" s="39"/>
      <c r="CL388" s="39"/>
      <c r="CM388" s="39"/>
      <c r="CN388" s="39"/>
      <c r="CO388" s="39"/>
      <c r="CP388" s="39"/>
      <c r="CQ388" s="39"/>
      <c r="CR388" s="39"/>
      <c r="CS388" s="39"/>
      <c r="CT388" s="39"/>
      <c r="CU388" s="39"/>
      <c r="CV388" s="39"/>
      <c r="CW388" s="39"/>
      <c r="CX388" s="39"/>
      <c r="CY388" s="39"/>
      <c r="CZ388" s="39"/>
      <c r="DA388" s="39"/>
      <c r="DB388" s="39"/>
      <c r="DC388" s="39"/>
      <c r="DD388" s="39"/>
      <c r="DE388" s="39"/>
      <c r="DF388" s="39"/>
      <c r="DG388" s="39"/>
      <c r="DH388" s="39"/>
      <c r="DI388" s="39"/>
    </row>
    <row r="389" spans="1:113">
      <c r="A389" s="41"/>
      <c r="C389" s="48" t="str">
        <f t="shared" si="72"/>
        <v xml:space="preserve">Telstra </v>
      </c>
      <c r="D389" s="44" t="str">
        <f t="shared" si="72"/>
        <v>AUD 3.45</v>
      </c>
      <c r="E389" s="44" t="str">
        <f t="shared" si="72"/>
        <v>AUD 3.50</v>
      </c>
      <c r="F389" s="45">
        <f t="shared" si="72"/>
        <v>1.4492753623188248E-2</v>
      </c>
      <c r="G389" s="44" t="str">
        <f t="shared" si="72"/>
        <v>Buy</v>
      </c>
      <c r="H389" s="46"/>
      <c r="I389" s="45">
        <f>TLS!$D$24/TLS!$D$23</f>
        <v>0.33822560595276852</v>
      </c>
      <c r="J389" s="45">
        <f>TLS!$E$24/TLS!$E$23</f>
        <v>0.35782325438519708</v>
      </c>
      <c r="K389" s="45">
        <f>TLS!$F$24/TLS!$F$23</f>
        <v>0.34132079165211571</v>
      </c>
      <c r="L389" s="45">
        <f>TLS!$G$24/TLS!$G$23</f>
        <v>0.33703260909869925</v>
      </c>
      <c r="M389" s="45">
        <f t="shared" si="73"/>
        <v>-1.1929968540692615E-3</v>
      </c>
      <c r="N389" s="46"/>
      <c r="O389" s="45">
        <f>TLS!$D$25/TLS!$D$23</f>
        <v>0.22117804575517311</v>
      </c>
      <c r="P389" s="45">
        <f>TLS!$E$25/TLS!$E$23</f>
        <v>0.24229451730621521</v>
      </c>
      <c r="Q389" s="45">
        <f>TLS!$F$25/TLS!$F$23</f>
        <v>0.22489592579410464</v>
      </c>
      <c r="R389" s="45">
        <f>TLS!$G$25/TLS!$G$23</f>
        <v>0.22004114841401964</v>
      </c>
      <c r="S389" s="45">
        <f t="shared" si="74"/>
        <v>-1.1368973411534644E-3</v>
      </c>
      <c r="T389" s="46"/>
      <c r="U389" s="48" t="str">
        <f t="shared" si="75"/>
        <v>AUD 3.45</v>
      </c>
      <c r="V389" s="44" t="str">
        <f t="shared" si="75"/>
        <v>Telstra</v>
      </c>
      <c r="W389" s="59"/>
      <c r="X389" s="59"/>
      <c r="Y389" s="59"/>
      <c r="Z389" s="49"/>
      <c r="BU389" s="39"/>
      <c r="BV389" s="39"/>
      <c r="BW389" s="39"/>
      <c r="BX389" s="39"/>
      <c r="BY389" s="39"/>
      <c r="BZ389" s="39"/>
      <c r="CA389" s="39"/>
      <c r="CB389" s="39"/>
      <c r="CC389" s="39"/>
      <c r="CD389" s="39"/>
      <c r="CE389" s="39"/>
      <c r="CF389" s="39"/>
      <c r="CG389" s="39"/>
      <c r="CH389" s="39"/>
      <c r="CI389" s="39"/>
      <c r="CJ389" s="39"/>
      <c r="CK389" s="39"/>
      <c r="CL389" s="39"/>
      <c r="CM389" s="39"/>
      <c r="CN389" s="39"/>
      <c r="CO389" s="39"/>
      <c r="CP389" s="39"/>
      <c r="CQ389" s="39"/>
      <c r="CR389" s="39"/>
      <c r="CS389" s="39"/>
      <c r="CT389" s="39"/>
      <c r="CU389" s="39"/>
      <c r="CV389" s="39"/>
      <c r="CW389" s="39"/>
      <c r="CX389" s="39"/>
      <c r="CY389" s="39"/>
      <c r="CZ389" s="39"/>
      <c r="DA389" s="39"/>
      <c r="DB389" s="39"/>
      <c r="DC389" s="39"/>
      <c r="DD389" s="39"/>
      <c r="DE389" s="39"/>
      <c r="DF389" s="39"/>
      <c r="DG389" s="39"/>
      <c r="DH389" s="39"/>
      <c r="DI389" s="39"/>
    </row>
    <row r="390" spans="1:113">
      <c r="A390" s="41"/>
      <c r="C390" s="51" t="str">
        <f>C330</f>
        <v>Agg. Developed Asia Incumbent</v>
      </c>
      <c r="D390" s="58"/>
      <c r="E390" s="58"/>
      <c r="F390" s="55"/>
      <c r="G390" s="58"/>
      <c r="H390" s="56"/>
      <c r="I390" s="55">
        <f>'DM ASIA INCUMB'!$D$24/'DM ASIA INCUMB'!$D$23</f>
        <v>0.27046790218073224</v>
      </c>
      <c r="J390" s="55">
        <f>'DM ASIA INCUMB'!$E$24/'DM ASIA INCUMB'!$E$23</f>
        <v>0.2913613415014199</v>
      </c>
      <c r="K390" s="55">
        <f>'DM ASIA INCUMB'!$F$24/'DM ASIA INCUMB'!$F$23</f>
        <v>0.29306515446604159</v>
      </c>
      <c r="L390" s="55">
        <f>'DM ASIA INCUMB'!$G$24/'DM ASIA INCUMB'!$G$23</f>
        <v>0.29512718053900977</v>
      </c>
      <c r="M390" s="55">
        <f t="shared" si="73"/>
        <v>2.4659278358277525E-2</v>
      </c>
      <c r="N390" s="56"/>
      <c r="O390" s="55">
        <f>'DM ASIA INCUMB'!$D$25/'DM ASIA INCUMB'!$D$23</f>
        <v>0.13010247686733495</v>
      </c>
      <c r="P390" s="55">
        <f>'DM ASIA INCUMB'!$E$25/'DM ASIA INCUMB'!$E$23</f>
        <v>0.16660484842406745</v>
      </c>
      <c r="Q390" s="55">
        <f>'DM ASIA INCUMB'!$F$25/'DM ASIA INCUMB'!$F$23</f>
        <v>0.17197699796755683</v>
      </c>
      <c r="R390" s="55">
        <f>'DM ASIA INCUMB'!$G$25/'DM ASIA INCUMB'!$G$23</f>
        <v>0.17620517647103753</v>
      </c>
      <c r="S390" s="55">
        <f t="shared" si="74"/>
        <v>4.6102699603702585E-2</v>
      </c>
      <c r="T390" s="56"/>
      <c r="U390" s="51"/>
      <c r="V390" s="58" t="str">
        <f>V330</f>
        <v xml:space="preserve">Agg. Developed Asia Incumbent </v>
      </c>
      <c r="W390" s="59"/>
      <c r="X390" s="59"/>
      <c r="Y390" s="59"/>
      <c r="Z390" s="49"/>
      <c r="BU390" s="39"/>
      <c r="BV390" s="39"/>
      <c r="BW390" s="39"/>
      <c r="BX390" s="39"/>
      <c r="BY390" s="39"/>
      <c r="BZ390" s="39"/>
      <c r="CA390" s="39"/>
      <c r="CB390" s="39"/>
      <c r="CC390" s="39"/>
      <c r="CD390" s="39"/>
      <c r="CE390" s="39"/>
      <c r="CF390" s="39"/>
      <c r="CG390" s="39"/>
      <c r="CH390" s="39"/>
      <c r="CI390" s="39"/>
      <c r="CJ390" s="39"/>
      <c r="CK390" s="39"/>
      <c r="CL390" s="39"/>
      <c r="CM390" s="39"/>
      <c r="CN390" s="39"/>
      <c r="CO390" s="39"/>
      <c r="CP390" s="39"/>
      <c r="CQ390" s="39"/>
      <c r="CR390" s="39"/>
      <c r="CS390" s="39"/>
      <c r="CT390" s="39"/>
      <c r="CU390" s="39"/>
      <c r="CV390" s="39"/>
      <c r="CW390" s="39"/>
      <c r="CX390" s="39"/>
      <c r="CY390" s="39"/>
      <c r="CZ390" s="39"/>
      <c r="DA390" s="39"/>
      <c r="DB390" s="39"/>
      <c r="DC390" s="39"/>
      <c r="DD390" s="39"/>
      <c r="DE390" s="39"/>
      <c r="DF390" s="39"/>
      <c r="DG390" s="39"/>
      <c r="DH390" s="39"/>
      <c r="DI390" s="39"/>
    </row>
    <row r="391" spans="1:113">
      <c r="A391" s="41"/>
      <c r="C391" s="43"/>
      <c r="D391" s="50"/>
      <c r="E391" s="50"/>
      <c r="F391" s="61"/>
      <c r="G391" s="50"/>
      <c r="H391" s="56"/>
      <c r="I391" s="61"/>
      <c r="J391" s="61"/>
      <c r="K391" s="61"/>
      <c r="L391" s="61"/>
      <c r="M391" s="61"/>
      <c r="N391" s="56"/>
      <c r="O391" s="61"/>
      <c r="P391" s="61"/>
      <c r="Q391" s="61"/>
      <c r="R391" s="61"/>
      <c r="S391" s="61"/>
      <c r="T391" s="56"/>
      <c r="U391" s="43"/>
      <c r="V391" s="50"/>
      <c r="W391" s="59"/>
      <c r="X391" s="59"/>
      <c r="Y391" s="59"/>
      <c r="Z391" s="49"/>
      <c r="BU391" s="39"/>
      <c r="BV391" s="39"/>
      <c r="BW391" s="39"/>
      <c r="BX391" s="39"/>
      <c r="BY391" s="39"/>
      <c r="BZ391" s="39"/>
      <c r="CA391" s="39"/>
      <c r="CB391" s="39"/>
      <c r="CC391" s="39"/>
      <c r="CD391" s="39"/>
      <c r="CE391" s="39"/>
      <c r="CF391" s="39"/>
      <c r="CG391" s="39"/>
      <c r="CH391" s="39"/>
      <c r="CI391" s="39"/>
      <c r="CJ391" s="39"/>
      <c r="CK391" s="39"/>
      <c r="CL391" s="39"/>
      <c r="CM391" s="39"/>
      <c r="CN391" s="39"/>
      <c r="CO391" s="39"/>
      <c r="CP391" s="39"/>
      <c r="CQ391" s="39"/>
      <c r="CR391" s="39"/>
      <c r="CS391" s="39"/>
      <c r="CT391" s="39"/>
      <c r="CU391" s="39"/>
      <c r="CV391" s="39"/>
      <c r="CW391" s="39"/>
      <c r="CX391" s="39"/>
      <c r="CY391" s="39"/>
      <c r="CZ391" s="39"/>
      <c r="DA391" s="39"/>
      <c r="DB391" s="39"/>
      <c r="DC391" s="39"/>
      <c r="DD391" s="39"/>
      <c r="DE391" s="39"/>
      <c r="DF391" s="39"/>
      <c r="DG391" s="39"/>
      <c r="DH391" s="39"/>
      <c r="DI391" s="39"/>
    </row>
    <row r="392" spans="1:113">
      <c r="A392" s="41"/>
      <c r="C392" s="51" t="s">
        <v>865</v>
      </c>
      <c r="D392" s="58"/>
      <c r="E392" s="58"/>
      <c r="F392" s="55"/>
      <c r="G392" s="58"/>
      <c r="H392" s="56"/>
      <c r="I392" s="55">
        <f>'AGG DM INCUMB'!$D$24/'AGG DM INCUMB'!$D$23</f>
        <v>0.33254058576846429</v>
      </c>
      <c r="J392" s="55">
        <f>'AGG DM INCUMB'!$E$24/'AGG DM INCUMB'!$E$23</f>
        <v>0.34235941503678186</v>
      </c>
      <c r="K392" s="55">
        <f>'AGG DM INCUMB'!$F$24/'AGG DM INCUMB'!$F$23</f>
        <v>0.34593642518534351</v>
      </c>
      <c r="L392" s="55">
        <f>'AGG DM INCUMB'!$G$24/'AGG DM INCUMB'!$G$23</f>
        <v>0.34869152432855705</v>
      </c>
      <c r="M392" s="55">
        <f>L392-I392</f>
        <v>1.6150938560092754E-2</v>
      </c>
      <c r="N392" s="56"/>
      <c r="O392" s="55">
        <f>'AGG DM INCUMB'!$D$25/'AGG DM INCUMB'!$D$23</f>
        <v>0.17332993481180084</v>
      </c>
      <c r="P392" s="55">
        <f>'AGG DM INCUMB'!$E$25/'AGG DM INCUMB'!$E$23</f>
        <v>0.19610398323351114</v>
      </c>
      <c r="Q392" s="55">
        <f>'AGG DM INCUMB'!$F$25/'AGG DM INCUMB'!$F$23</f>
        <v>0.20441307691140573</v>
      </c>
      <c r="R392" s="55">
        <f>'AGG DM INCUMB'!$G$25/'AGG DM INCUMB'!$G$23</f>
        <v>0.21075431645591156</v>
      </c>
      <c r="S392" s="55">
        <f>R392-O392</f>
        <v>3.7424381644110716E-2</v>
      </c>
      <c r="T392" s="56"/>
      <c r="U392" s="51"/>
      <c r="V392" s="58" t="str">
        <f>C392</f>
        <v>Agg. DM Incumbent total</v>
      </c>
      <c r="W392" s="59"/>
      <c r="X392" s="59"/>
      <c r="Y392" s="59"/>
      <c r="Z392" s="49"/>
      <c r="BU392" s="39"/>
      <c r="BV392" s="39"/>
      <c r="BW392" s="39"/>
      <c r="BX392" s="39"/>
      <c r="BY392" s="39"/>
      <c r="BZ392" s="39"/>
      <c r="CA392" s="39"/>
      <c r="CB392" s="39"/>
      <c r="CC392" s="39"/>
      <c r="CD392" s="39"/>
      <c r="CE392" s="39"/>
      <c r="CF392" s="39"/>
      <c r="CG392" s="39"/>
      <c r="CH392" s="39"/>
      <c r="CI392" s="39"/>
      <c r="CJ392" s="39"/>
      <c r="CK392" s="39"/>
      <c r="CL392" s="39"/>
      <c r="CM392" s="39"/>
      <c r="CN392" s="39"/>
      <c r="CO392" s="39"/>
      <c r="CP392" s="39"/>
      <c r="CQ392" s="39"/>
      <c r="CR392" s="39"/>
      <c r="CS392" s="39"/>
      <c r="CT392" s="39"/>
      <c r="CU392" s="39"/>
      <c r="CV392" s="39"/>
      <c r="CW392" s="39"/>
      <c r="CX392" s="39"/>
      <c r="CY392" s="39"/>
      <c r="CZ392" s="39"/>
      <c r="DA392" s="39"/>
      <c r="DB392" s="39"/>
      <c r="DC392" s="39"/>
      <c r="DD392" s="39"/>
      <c r="DE392" s="39"/>
      <c r="DF392" s="39"/>
      <c r="DG392" s="39"/>
      <c r="DH392" s="39"/>
      <c r="DI392" s="39"/>
    </row>
    <row r="393" spans="1:113">
      <c r="A393" s="41"/>
      <c r="C393" s="41"/>
      <c r="D393" s="44"/>
      <c r="E393" s="44"/>
      <c r="F393" s="45"/>
      <c r="G393" s="44"/>
      <c r="H393" s="46"/>
      <c r="I393" s="45"/>
      <c r="J393" s="45"/>
      <c r="K393" s="45"/>
      <c r="L393" s="45"/>
      <c r="M393" s="45"/>
      <c r="N393" s="46"/>
      <c r="O393" s="45"/>
      <c r="P393" s="45"/>
      <c r="Q393" s="45"/>
      <c r="R393" s="45"/>
      <c r="S393" s="45"/>
      <c r="T393" s="46"/>
      <c r="U393" s="48"/>
      <c r="V393" s="50"/>
      <c r="W393" s="59"/>
      <c r="X393" s="59"/>
      <c r="Y393" s="59"/>
      <c r="Z393" s="49"/>
      <c r="BU393" s="39"/>
      <c r="BV393" s="39"/>
      <c r="BW393" s="39"/>
      <c r="BX393" s="39"/>
      <c r="BY393" s="39"/>
      <c r="BZ393" s="39"/>
      <c r="CA393" s="39"/>
      <c r="CB393" s="39"/>
      <c r="CC393" s="39"/>
      <c r="CD393" s="39"/>
      <c r="CE393" s="39"/>
      <c r="CF393" s="39"/>
      <c r="CG393" s="39"/>
      <c r="CH393" s="39"/>
      <c r="CI393" s="39"/>
      <c r="CJ393" s="39"/>
      <c r="CK393" s="39"/>
      <c r="CL393" s="39"/>
      <c r="CM393" s="39"/>
      <c r="CN393" s="39"/>
      <c r="CO393" s="39"/>
      <c r="CP393" s="39"/>
      <c r="CQ393" s="39"/>
      <c r="CR393" s="39"/>
      <c r="CS393" s="39"/>
      <c r="CT393" s="39"/>
      <c r="CU393" s="39"/>
      <c r="CV393" s="39"/>
      <c r="CW393" s="39"/>
      <c r="CX393" s="39"/>
      <c r="CY393" s="39"/>
      <c r="CZ393" s="39"/>
      <c r="DA393" s="39"/>
      <c r="DB393" s="39"/>
      <c r="DC393" s="39"/>
      <c r="DD393" s="39"/>
      <c r="DE393" s="39"/>
      <c r="DF393" s="39"/>
      <c r="DG393" s="39"/>
      <c r="DH393" s="39"/>
      <c r="DI393" s="39"/>
    </row>
    <row r="394" spans="1:113">
      <c r="A394" s="41" t="s">
        <v>1385</v>
      </c>
      <c r="C394" s="48" t="str">
        <f t="shared" ref="C394:G401" si="76">C334</f>
        <v>1&amp;1</v>
      </c>
      <c r="D394" s="44" t="str">
        <f t="shared" si="76"/>
        <v>EUR 17.5</v>
      </c>
      <c r="E394" s="44" t="str">
        <f t="shared" si="76"/>
        <v>EUR 28.0</v>
      </c>
      <c r="F394" s="45">
        <f t="shared" si="76"/>
        <v>0.60000000000000009</v>
      </c>
      <c r="G394" s="44" t="str">
        <f t="shared" si="76"/>
        <v>Buy</v>
      </c>
      <c r="H394" s="46"/>
      <c r="I394" s="45">
        <f>DRI!$D$24/DRI!$D$23</f>
        <v>0.15022648344003275</v>
      </c>
      <c r="J394" s="45">
        <f>DRI!$E$24/DRI!$E$23</f>
        <v>0.15619255465116416</v>
      </c>
      <c r="K394" s="45">
        <f>DRI!$F$24/DRI!$F$23</f>
        <v>0.16235710374013956</v>
      </c>
      <c r="L394" s="45">
        <f>DRI!$G$24/DRI!$G$23</f>
        <v>0.17144838803207743</v>
      </c>
      <c r="M394" s="45">
        <f>L394-I394</f>
        <v>2.1221904592044677E-2</v>
      </c>
      <c r="N394" s="46"/>
      <c r="O394" s="45">
        <f>DRI!$D$25/DRI!$D$23</f>
        <v>7.9359216301773366E-2</v>
      </c>
      <c r="P394" s="45">
        <f>DRI!$E$25/DRI!$E$23</f>
        <v>6.8461682100476359E-2</v>
      </c>
      <c r="Q394" s="45">
        <f>DRI!$F$25/DRI!$F$23</f>
        <v>8.3230674148423667E-2</v>
      </c>
      <c r="R394" s="45">
        <f>DRI!$G$25/DRI!$G$23</f>
        <v>9.631656316641829E-2</v>
      </c>
      <c r="S394" s="45">
        <f>R394-O394</f>
        <v>1.6957346864644923E-2</v>
      </c>
      <c r="T394" s="46"/>
      <c r="U394" s="48" t="str">
        <f t="shared" ref="U394:V400" si="77">U334</f>
        <v>EUR 17.5</v>
      </c>
      <c r="V394" s="44" t="str">
        <f t="shared" si="77"/>
        <v>1&amp;1</v>
      </c>
      <c r="W394" s="59"/>
      <c r="X394" s="59"/>
      <c r="Y394" s="59"/>
      <c r="Z394" s="49"/>
      <c r="BU394" s="39"/>
      <c r="BV394" s="39"/>
      <c r="BW394" s="39"/>
      <c r="BX394" s="39"/>
      <c r="BY394" s="39"/>
      <c r="BZ394" s="39"/>
      <c r="CA394" s="39"/>
      <c r="CB394" s="39"/>
      <c r="CC394" s="39"/>
      <c r="CD394" s="39"/>
      <c r="CE394" s="39"/>
      <c r="CF394" s="39"/>
      <c r="CG394" s="39"/>
      <c r="CH394" s="39"/>
      <c r="CI394" s="39"/>
      <c r="CJ394" s="39"/>
      <c r="CK394" s="39"/>
      <c r="CL394" s="39"/>
      <c r="CM394" s="39"/>
      <c r="CN394" s="39"/>
      <c r="CO394" s="39"/>
      <c r="CP394" s="39"/>
      <c r="CQ394" s="39"/>
      <c r="CR394" s="39"/>
      <c r="CS394" s="39"/>
      <c r="CT394" s="39"/>
      <c r="CU394" s="39"/>
      <c r="CV394" s="39"/>
      <c r="CW394" s="39"/>
      <c r="CX394" s="39"/>
      <c r="CY394" s="39"/>
      <c r="CZ394" s="39"/>
      <c r="DA394" s="39"/>
      <c r="DB394" s="39"/>
      <c r="DC394" s="39"/>
      <c r="DD394" s="39"/>
      <c r="DE394" s="39"/>
      <c r="DF394" s="39"/>
      <c r="DG394" s="39"/>
      <c r="DH394" s="39"/>
      <c r="DI394" s="39"/>
    </row>
    <row r="395" spans="1:113">
      <c r="C395" s="48" t="str">
        <f t="shared" si="76"/>
        <v>Elisa</v>
      </c>
      <c r="D395" s="44" t="str">
        <f t="shared" si="76"/>
        <v>EUR 41.6</v>
      </c>
      <c r="E395" s="44" t="str">
        <f t="shared" si="76"/>
        <v>EUR 54.0</v>
      </c>
      <c r="F395" s="45">
        <f t="shared" si="76"/>
        <v>0.29745314752522845</v>
      </c>
      <c r="G395" s="44" t="str">
        <f t="shared" si="76"/>
        <v>Neutral</v>
      </c>
      <c r="H395" s="46"/>
      <c r="I395" s="45">
        <f>ELISA!$D$24/ELISA!$D$23</f>
        <v>0.32253684279383482</v>
      </c>
      <c r="J395" s="45">
        <f>ELISA!$E$24/ELISA!$E$23</f>
        <v>0.325482944297315</v>
      </c>
      <c r="K395" s="45">
        <f>ELISA!$F$24/ELISA!$F$23</f>
        <v>0.32809587321396855</v>
      </c>
      <c r="L395" s="45">
        <f>ELISA!$G$24/ELISA!$G$23</f>
        <v>0.32922489615200878</v>
      </c>
      <c r="M395" s="45">
        <f t="shared" ref="M395:M402" si="78">L395-I395</f>
        <v>6.6880533581739621E-3</v>
      </c>
      <c r="N395" s="46"/>
      <c r="O395" s="45">
        <f>ELISA!$D$25/ELISA!$D$23</f>
        <v>0.21145922575469578</v>
      </c>
      <c r="P395" s="45">
        <f>ELISA!$E$25/ELISA!$E$23</f>
        <v>0.21781351872316687</v>
      </c>
      <c r="Q395" s="45">
        <f>ELISA!$F$25/ELISA!$F$23</f>
        <v>0.2279664794172698</v>
      </c>
      <c r="R395" s="45">
        <f>ELISA!$G$25/ELISA!$G$23</f>
        <v>0.23187686548412809</v>
      </c>
      <c r="S395" s="45">
        <f t="shared" ref="S395:S402" si="79">R395-O395</f>
        <v>2.0417639729432308E-2</v>
      </c>
      <c r="T395" s="46"/>
      <c r="U395" s="48" t="str">
        <f t="shared" si="77"/>
        <v>EUR 41.6</v>
      </c>
      <c r="V395" s="44" t="str">
        <f t="shared" si="77"/>
        <v>Elisa</v>
      </c>
      <c r="W395" s="59"/>
      <c r="X395" s="59"/>
      <c r="Y395" s="59"/>
      <c r="Z395" s="49"/>
      <c r="BU395" s="39"/>
      <c r="BV395" s="39"/>
      <c r="BW395" s="39"/>
      <c r="BX395" s="39"/>
      <c r="BY395" s="39"/>
      <c r="BZ395" s="39"/>
      <c r="CA395" s="39"/>
      <c r="CB395" s="39"/>
      <c r="CC395" s="39"/>
      <c r="CD395" s="39"/>
      <c r="CE395" s="39"/>
      <c r="CF395" s="39"/>
      <c r="CG395" s="39"/>
      <c r="CH395" s="39"/>
      <c r="CI395" s="39"/>
      <c r="CJ395" s="39"/>
      <c r="CK395" s="39"/>
      <c r="CL395" s="39"/>
      <c r="CM395" s="39"/>
      <c r="CN395" s="39"/>
      <c r="CO395" s="39"/>
      <c r="CP395" s="39"/>
      <c r="CQ395" s="39"/>
      <c r="CR395" s="39"/>
      <c r="CS395" s="39"/>
      <c r="CT395" s="39"/>
      <c r="CU395" s="39"/>
      <c r="CV395" s="39"/>
      <c r="CW395" s="39"/>
      <c r="CX395" s="39"/>
      <c r="CY395" s="39"/>
      <c r="CZ395" s="39"/>
      <c r="DA395" s="39"/>
      <c r="DB395" s="39"/>
      <c r="DC395" s="39"/>
      <c r="DD395" s="39"/>
      <c r="DE395" s="39"/>
      <c r="DF395" s="39"/>
      <c r="DG395" s="39"/>
      <c r="DH395" s="39"/>
      <c r="DI395" s="39"/>
    </row>
    <row r="396" spans="1:113">
      <c r="A396" s="41"/>
      <c r="C396" s="48" t="str">
        <f t="shared" si="76"/>
        <v>Liberty Global (prop.)</v>
      </c>
      <c r="D396" s="44" t="str">
        <f t="shared" si="76"/>
        <v>USD 16.2</v>
      </c>
      <c r="E396" s="44" t="str">
        <f t="shared" si="76"/>
        <v>USD 24.0</v>
      </c>
      <c r="F396" s="45">
        <f t="shared" si="76"/>
        <v>0.47783251231527113</v>
      </c>
      <c r="G396" s="44" t="str">
        <f t="shared" si="76"/>
        <v>Buy</v>
      </c>
      <c r="H396" s="46"/>
      <c r="I396" s="45">
        <f>LBTY!$D$24/LBTY!$D$23</f>
        <v>0.31461656031747648</v>
      </c>
      <c r="J396" s="45">
        <f>LBTY!$E$24/LBTY!$E$23</f>
        <v>0.33950011881712533</v>
      </c>
      <c r="K396" s="45">
        <f>LBTY!$F$24/LBTY!$F$23</f>
        <v>0.34434973473775488</v>
      </c>
      <c r="L396" s="45">
        <f>LBTY!$G$24/LBTY!$G$23</f>
        <v>0.34660294228676525</v>
      </c>
      <c r="M396" s="45">
        <f>L396-I396</f>
        <v>3.1986381969288769E-2</v>
      </c>
      <c r="N396" s="46"/>
      <c r="O396" s="45">
        <f>LBTY!$D$25/LBTY!$D$23</f>
        <v>9.7026393986111431E-2</v>
      </c>
      <c r="P396" s="45">
        <f>LBTY!$E$25/LBTY!$E$23</f>
        <v>0.1008272014213181</v>
      </c>
      <c r="Q396" s="45">
        <f>LBTY!$F$25/LBTY!$F$23</f>
        <v>0.10086040615375258</v>
      </c>
      <c r="R396" s="45">
        <f>LBTY!$G$25/LBTY!$G$23</f>
        <v>0.11438773770637065</v>
      </c>
      <c r="S396" s="45">
        <f>R396-O396</f>
        <v>1.7361343720259215E-2</v>
      </c>
      <c r="T396" s="46"/>
      <c r="U396" s="48" t="str">
        <f t="shared" si="77"/>
        <v>USD 16.2</v>
      </c>
      <c r="V396" s="44" t="str">
        <f t="shared" si="77"/>
        <v>Liberty Global</v>
      </c>
      <c r="W396" s="59"/>
      <c r="X396" s="59"/>
      <c r="Y396" s="59"/>
      <c r="Z396" s="49"/>
      <c r="BU396" s="39"/>
      <c r="BV396" s="39"/>
      <c r="BW396" s="39"/>
      <c r="BX396" s="39"/>
      <c r="BY396" s="39"/>
      <c r="BZ396" s="39"/>
      <c r="CA396" s="39"/>
      <c r="CB396" s="39"/>
      <c r="CC396" s="39"/>
      <c r="CD396" s="39"/>
      <c r="CE396" s="39"/>
      <c r="CF396" s="39"/>
      <c r="CG396" s="39"/>
      <c r="CH396" s="39"/>
      <c r="CI396" s="39"/>
      <c r="CJ396" s="39"/>
      <c r="CK396" s="39"/>
      <c r="CL396" s="39"/>
      <c r="CM396" s="39"/>
      <c r="CN396" s="39"/>
      <c r="CO396" s="39"/>
      <c r="CP396" s="39"/>
      <c r="CQ396" s="39"/>
      <c r="CR396" s="39"/>
      <c r="CS396" s="39"/>
      <c r="CT396" s="39"/>
      <c r="CU396" s="39"/>
      <c r="CV396" s="39"/>
      <c r="CW396" s="39"/>
      <c r="CX396" s="39"/>
      <c r="CY396" s="39"/>
      <c r="CZ396" s="39"/>
      <c r="DA396" s="39"/>
      <c r="DB396" s="39"/>
      <c r="DC396" s="39"/>
      <c r="DD396" s="39"/>
      <c r="DE396" s="39"/>
      <c r="DF396" s="39"/>
      <c r="DG396" s="39"/>
      <c r="DH396" s="39"/>
      <c r="DI396" s="39"/>
    </row>
    <row r="397" spans="1:113">
      <c r="A397" s="41"/>
      <c r="C397" s="48" t="str">
        <f t="shared" si="76"/>
        <v>NOS</v>
      </c>
      <c r="D397" s="44" t="str">
        <f t="shared" si="76"/>
        <v>EUR 3.35</v>
      </c>
      <c r="E397" s="44" t="str">
        <f t="shared" si="76"/>
        <v>EUR 4.00</v>
      </c>
      <c r="F397" s="45">
        <f t="shared" si="76"/>
        <v>0.19581464872944676</v>
      </c>
      <c r="G397" s="44" t="str">
        <f t="shared" si="76"/>
        <v>Neutral</v>
      </c>
      <c r="H397" s="46"/>
      <c r="I397" s="45">
        <f>NOS!$D$24/NOS!$D$23</f>
        <v>0.43984254863474292</v>
      </c>
      <c r="J397" s="45">
        <f>NOS!$E$24/NOS!$E$23</f>
        <v>0.44936144677683176</v>
      </c>
      <c r="K397" s="45">
        <f>NOS!$F$24/NOS!$F$23</f>
        <v>0.4424092354957157</v>
      </c>
      <c r="L397" s="45">
        <f>NOS!$G$24/NOS!$G$23</f>
        <v>0.4355921762683348</v>
      </c>
      <c r="M397" s="45">
        <f>L397-I397</f>
        <v>-4.2503723664081283E-3</v>
      </c>
      <c r="N397" s="46"/>
      <c r="O397" s="45">
        <f>NOS!$D$25/NOS!$D$23</f>
        <v>0.1978124935896507</v>
      </c>
      <c r="P397" s="45">
        <f>NOS!$E$25/NOS!$E$23</f>
        <v>0.21127018070157794</v>
      </c>
      <c r="Q397" s="45">
        <f>NOS!$F$25/NOS!$F$23</f>
        <v>0.2106777870426039</v>
      </c>
      <c r="R397" s="45">
        <f>NOS!$G$25/NOS!$G$23</f>
        <v>0.21126700342308374</v>
      </c>
      <c r="S397" s="45">
        <f>R397-O397</f>
        <v>1.3454509833433048E-2</v>
      </c>
      <c r="T397" s="46"/>
      <c r="U397" s="48" t="str">
        <f t="shared" si="77"/>
        <v>EUR 3.35</v>
      </c>
      <c r="V397" s="44" t="str">
        <f t="shared" si="77"/>
        <v>NOS</v>
      </c>
      <c r="W397" s="59"/>
      <c r="X397" s="59"/>
      <c r="Y397" s="59"/>
      <c r="Z397" s="49"/>
      <c r="BU397" s="39"/>
      <c r="BV397" s="39"/>
      <c r="BW397" s="39"/>
      <c r="BX397" s="39"/>
      <c r="BY397" s="39"/>
      <c r="BZ397" s="39"/>
      <c r="CA397" s="39"/>
      <c r="CB397" s="39"/>
      <c r="CC397" s="39"/>
      <c r="CD397" s="39"/>
      <c r="CE397" s="39"/>
      <c r="CF397" s="39"/>
      <c r="CG397" s="39"/>
      <c r="CH397" s="39"/>
      <c r="CI397" s="39"/>
      <c r="CJ397" s="39"/>
      <c r="CK397" s="39"/>
      <c r="CL397" s="39"/>
      <c r="CM397" s="39"/>
      <c r="CN397" s="39"/>
      <c r="CO397" s="39"/>
      <c r="CP397" s="39"/>
      <c r="CQ397" s="39"/>
      <c r="CR397" s="39"/>
      <c r="CS397" s="39"/>
      <c r="CT397" s="39"/>
      <c r="CU397" s="39"/>
      <c r="CV397" s="39"/>
      <c r="CW397" s="39"/>
      <c r="CX397" s="39"/>
      <c r="CY397" s="39"/>
      <c r="CZ397" s="39"/>
      <c r="DA397" s="39"/>
      <c r="DB397" s="39"/>
      <c r="DC397" s="39"/>
      <c r="DD397" s="39"/>
      <c r="DE397" s="39"/>
      <c r="DF397" s="39"/>
      <c r="DG397" s="39"/>
      <c r="DH397" s="39"/>
      <c r="DI397" s="39"/>
    </row>
    <row r="398" spans="1:113">
      <c r="C398" s="48" t="str">
        <f t="shared" si="76"/>
        <v>Orange Belgium</v>
      </c>
      <c r="D398" s="44" t="str">
        <f t="shared" si="76"/>
        <v>EUR 14.9</v>
      </c>
      <c r="E398" s="44" t="str">
        <f t="shared" si="76"/>
        <v>EUR 13.0</v>
      </c>
      <c r="F398" s="45">
        <f t="shared" si="76"/>
        <v>-0.12868632707774796</v>
      </c>
      <c r="G398" s="44" t="str">
        <f t="shared" si="76"/>
        <v>Neutral</v>
      </c>
      <c r="H398" s="46"/>
      <c r="I398" s="45">
        <f>OBEL!$D$24/OBEL!$D$23</f>
        <v>0.22358015399129214</v>
      </c>
      <c r="J398" s="45">
        <f>OBEL!$E$24/OBEL!$E$23</f>
        <v>0.2541154899413573</v>
      </c>
      <c r="K398" s="45">
        <f>OBEL!$F$24/OBEL!$F$23</f>
        <v>0.25433693559458825</v>
      </c>
      <c r="L398" s="45">
        <f>OBEL!$G$24/OBEL!$G$23</f>
        <v>0.25418084830206378</v>
      </c>
      <c r="M398" s="45">
        <f t="shared" si="78"/>
        <v>3.0600694310771642E-2</v>
      </c>
      <c r="N398" s="46"/>
      <c r="O398" s="45">
        <f>OBEL!$D$25/OBEL!$D$23</f>
        <v>8.0887579180856956E-2</v>
      </c>
      <c r="P398" s="45">
        <f>OBEL!$E$25/OBEL!$E$23</f>
        <v>8.9133439826943731E-2</v>
      </c>
      <c r="Q398" s="45">
        <f>OBEL!$F$25/OBEL!$F$23</f>
        <v>0.10396011707448634</v>
      </c>
      <c r="R398" s="45">
        <f>OBEL!$G$25/OBEL!$G$23</f>
        <v>0.10544417616852346</v>
      </c>
      <c r="S398" s="45">
        <f t="shared" si="79"/>
        <v>2.4556596987666504E-2</v>
      </c>
      <c r="T398" s="46"/>
      <c r="U398" s="48" t="str">
        <f t="shared" si="77"/>
        <v>EUR 14.9</v>
      </c>
      <c r="V398" s="44" t="str">
        <f t="shared" si="77"/>
        <v>Mobistar</v>
      </c>
      <c r="W398" s="59"/>
      <c r="X398" s="59"/>
      <c r="Y398" s="59"/>
      <c r="Z398" s="49"/>
      <c r="BU398" s="39"/>
      <c r="BV398" s="39"/>
      <c r="BW398" s="39"/>
      <c r="BX398" s="39"/>
      <c r="BY398" s="39"/>
      <c r="BZ398" s="39"/>
      <c r="CA398" s="39"/>
      <c r="CB398" s="39"/>
      <c r="CC398" s="39"/>
      <c r="CD398" s="39"/>
      <c r="CE398" s="39"/>
      <c r="CF398" s="39"/>
      <c r="CG398" s="39"/>
      <c r="CH398" s="39"/>
      <c r="CI398" s="39"/>
      <c r="CJ398" s="39"/>
      <c r="CK398" s="39"/>
      <c r="CL398" s="39"/>
      <c r="CM398" s="39"/>
      <c r="CN398" s="39"/>
      <c r="CO398" s="39"/>
      <c r="CP398" s="39"/>
      <c r="CQ398" s="39"/>
      <c r="CR398" s="39"/>
      <c r="CS398" s="39"/>
      <c r="CT398" s="39"/>
      <c r="CU398" s="39"/>
      <c r="CV398" s="39"/>
      <c r="CW398" s="39"/>
      <c r="CX398" s="39"/>
      <c r="CY398" s="39"/>
      <c r="CZ398" s="39"/>
      <c r="DA398" s="39"/>
      <c r="DB398" s="39"/>
      <c r="DC398" s="39"/>
      <c r="DD398" s="39"/>
      <c r="DE398" s="39"/>
      <c r="DF398" s="39"/>
      <c r="DG398" s="39"/>
      <c r="DH398" s="39"/>
      <c r="DI398" s="39"/>
    </row>
    <row r="399" spans="1:113">
      <c r="C399" s="48" t="str">
        <f t="shared" si="76"/>
        <v>Tele2</v>
      </c>
      <c r="D399" s="44" t="str">
        <f t="shared" si="76"/>
        <v>SEK 101.1</v>
      </c>
      <c r="E399" s="44" t="str">
        <f t="shared" si="76"/>
        <v>SEK 110.0</v>
      </c>
      <c r="F399" s="45">
        <f t="shared" si="76"/>
        <v>8.8570014844136624E-2</v>
      </c>
      <c r="G399" s="44" t="str">
        <f t="shared" si="76"/>
        <v>Neutral</v>
      </c>
      <c r="H399" s="46"/>
      <c r="I399" s="45">
        <f>TELE2!$D$24/TELE2!$D$23</f>
        <v>0.34845081432169134</v>
      </c>
      <c r="J399" s="45">
        <f>TELE2!$E$24/TELE2!$E$23</f>
        <v>0.35870315725361068</v>
      </c>
      <c r="K399" s="45">
        <f>TELE2!$F$24/TELE2!$F$23</f>
        <v>0.36449649957603786</v>
      </c>
      <c r="L399" s="45">
        <f>TELE2!$G$24/TELE2!$G$23</f>
        <v>0.36570624940697871</v>
      </c>
      <c r="M399" s="45">
        <f t="shared" si="78"/>
        <v>1.7255435085287374E-2</v>
      </c>
      <c r="N399" s="46"/>
      <c r="O399" s="45">
        <f>TELE2!$D$25/TELE2!$D$23</f>
        <v>0.21234002060181395</v>
      </c>
      <c r="P399" s="45">
        <f>TELE2!$E$25/TELE2!$E$23</f>
        <v>0.23479819902451288</v>
      </c>
      <c r="Q399" s="45">
        <f>TELE2!$F$25/TELE2!$F$23</f>
        <v>0.23575389706099409</v>
      </c>
      <c r="R399" s="45">
        <f>TELE2!$G$25/TELE2!$G$23</f>
        <v>0.23799645850705656</v>
      </c>
      <c r="S399" s="45">
        <f t="shared" si="79"/>
        <v>2.5656437905242607E-2</v>
      </c>
      <c r="T399" s="46"/>
      <c r="U399" s="48" t="str">
        <f t="shared" si="77"/>
        <v>SEK 101.1</v>
      </c>
      <c r="V399" s="44" t="str">
        <f t="shared" si="77"/>
        <v>Tele2</v>
      </c>
      <c r="W399" s="59"/>
      <c r="X399" s="59"/>
      <c r="Y399" s="59"/>
      <c r="Z399" s="49"/>
      <c r="BU399" s="39"/>
      <c r="BV399" s="39"/>
      <c r="BW399" s="39"/>
      <c r="BX399" s="39"/>
      <c r="BY399" s="39"/>
      <c r="BZ399" s="39"/>
      <c r="CA399" s="39"/>
      <c r="CB399" s="39"/>
      <c r="CC399" s="39"/>
      <c r="CD399" s="39"/>
      <c r="CE399" s="39"/>
      <c r="CF399" s="39"/>
      <c r="CG399" s="39"/>
      <c r="CH399" s="39"/>
      <c r="CI399" s="39"/>
      <c r="CJ399" s="39"/>
      <c r="CK399" s="39"/>
      <c r="CL399" s="39"/>
      <c r="CM399" s="39"/>
      <c r="CN399" s="39"/>
      <c r="CO399" s="39"/>
      <c r="CP399" s="39"/>
      <c r="CQ399" s="39"/>
      <c r="CR399" s="39"/>
      <c r="CS399" s="39"/>
      <c r="CT399" s="39"/>
      <c r="CU399" s="39"/>
      <c r="CV399" s="39"/>
      <c r="CW399" s="39"/>
      <c r="CX399" s="39"/>
      <c r="CY399" s="39"/>
      <c r="CZ399" s="39"/>
      <c r="DA399" s="39"/>
      <c r="DB399" s="39"/>
      <c r="DC399" s="39"/>
      <c r="DD399" s="39"/>
      <c r="DE399" s="39"/>
      <c r="DF399" s="39"/>
      <c r="DG399" s="39"/>
      <c r="DH399" s="39"/>
      <c r="DI399" s="39"/>
    </row>
    <row r="400" spans="1:113">
      <c r="A400" s="41"/>
      <c r="C400" s="48" t="str">
        <f t="shared" si="76"/>
        <v>United Internet</v>
      </c>
      <c r="D400" s="44" t="str">
        <f t="shared" si="76"/>
        <v>EUR 22.1</v>
      </c>
      <c r="E400" s="44" t="str">
        <f t="shared" si="76"/>
        <v>EUR 30.0</v>
      </c>
      <c r="F400" s="45">
        <f t="shared" si="76"/>
        <v>0.35869565217391308</v>
      </c>
      <c r="G400" s="44" t="str">
        <f t="shared" si="76"/>
        <v>Buy</v>
      </c>
      <c r="H400" s="46"/>
      <c r="I400" s="45">
        <f>UTDI!$D$24/UTDI!$D$23</f>
        <v>0.17681597377953476</v>
      </c>
      <c r="J400" s="45">
        <f>UTDI!$E$24/UTDI!$E$23</f>
        <v>0.18543921736437494</v>
      </c>
      <c r="K400" s="45">
        <f>UTDI!$F$24/UTDI!$F$23</f>
        <v>0.1984371396562149</v>
      </c>
      <c r="L400" s="45">
        <f>UTDI!$G$24/UTDI!$G$23</f>
        <v>0.20808779197565883</v>
      </c>
      <c r="M400" s="45">
        <f>L400-I400</f>
        <v>3.1271818196124068E-2</v>
      </c>
      <c r="N400" s="46"/>
      <c r="O400" s="45">
        <f>UTDI!$D$25/UTDI!$D$23</f>
        <v>5.4750120754364903E-2</v>
      </c>
      <c r="P400" s="45">
        <f>UTDI!$E$25/UTDI!$E$23</f>
        <v>5.6825596326597415E-2</v>
      </c>
      <c r="Q400" s="45">
        <f>UTDI!$F$25/UTDI!$F$23</f>
        <v>7.8421339014690644E-2</v>
      </c>
      <c r="R400" s="45">
        <f>UTDI!$G$25/UTDI!$G$23</f>
        <v>9.7837253508309185E-2</v>
      </c>
      <c r="S400" s="45">
        <f>R400-O400</f>
        <v>4.3087132753944282E-2</v>
      </c>
      <c r="T400" s="46"/>
      <c r="U400" s="48" t="str">
        <f t="shared" si="77"/>
        <v>EUR 22.1</v>
      </c>
      <c r="V400" s="44" t="str">
        <f t="shared" si="77"/>
        <v>United Internet</v>
      </c>
      <c r="W400" s="59"/>
      <c r="X400" s="59"/>
      <c r="Y400" s="59"/>
      <c r="Z400" s="49"/>
      <c r="BU400" s="39"/>
      <c r="BV400" s="39"/>
      <c r="BW400" s="39"/>
      <c r="BX400" s="39"/>
      <c r="BY400" s="39"/>
      <c r="BZ400" s="39"/>
      <c r="CA400" s="39"/>
      <c r="CB400" s="39"/>
      <c r="CC400" s="39"/>
      <c r="CD400" s="39"/>
      <c r="CE400" s="39"/>
      <c r="CF400" s="39"/>
      <c r="CG400" s="39"/>
      <c r="CH400" s="39"/>
      <c r="CI400" s="39"/>
      <c r="CJ400" s="39"/>
      <c r="CK400" s="39"/>
      <c r="CL400" s="39"/>
      <c r="CM400" s="39"/>
      <c r="CN400" s="39"/>
      <c r="CO400" s="39"/>
      <c r="CP400" s="39"/>
      <c r="CQ400" s="39"/>
      <c r="CR400" s="39"/>
      <c r="CS400" s="39"/>
      <c r="CT400" s="39"/>
      <c r="CU400" s="39"/>
      <c r="CV400" s="39"/>
      <c r="CW400" s="39"/>
      <c r="CX400" s="39"/>
      <c r="CY400" s="39"/>
      <c r="CZ400" s="39"/>
      <c r="DA400" s="39"/>
      <c r="DB400" s="39"/>
      <c r="DC400" s="39"/>
      <c r="DD400" s="39"/>
      <c r="DE400" s="39"/>
      <c r="DF400" s="39"/>
      <c r="DG400" s="39"/>
      <c r="DH400" s="39"/>
      <c r="DI400" s="39"/>
    </row>
    <row r="401" spans="1:113">
      <c r="C401" s="48" t="str">
        <f t="shared" si="76"/>
        <v>Vodafone</v>
      </c>
      <c r="D401" s="44" t="str">
        <f t="shared" si="76"/>
        <v>GBP 0.74</v>
      </c>
      <c r="E401" s="44" t="str">
        <f t="shared" si="76"/>
        <v>GBP 1.35</v>
      </c>
      <c r="F401" s="45">
        <f t="shared" si="76"/>
        <v>0.83673469387755106</v>
      </c>
      <c r="G401" s="44" t="str">
        <f t="shared" si="76"/>
        <v>Buy</v>
      </c>
      <c r="H401" s="46"/>
      <c r="I401" s="45">
        <f>VOD!$D$24/VOD!$D$23</f>
        <v>0.32327317955929785</v>
      </c>
      <c r="J401" s="45">
        <f>VOD!$E$24/VOD!$E$23</f>
        <v>0.29794612647084801</v>
      </c>
      <c r="K401" s="45">
        <f>VOD!$F$24/VOD!$F$23</f>
        <v>0.31042719238693145</v>
      </c>
      <c r="L401" s="45">
        <f>VOD!$G$24/VOD!$G$23</f>
        <v>0.31780044730611856</v>
      </c>
      <c r="M401" s="45">
        <f t="shared" si="78"/>
        <v>-5.472732253179291E-3</v>
      </c>
      <c r="N401" s="46"/>
      <c r="O401" s="45">
        <f>VOD!$D$25/VOD!$D$23</f>
        <v>0.1339084037633779</v>
      </c>
      <c r="P401" s="45">
        <f>VOD!$E$25/VOD!$E$23</f>
        <v>0.122008066007414</v>
      </c>
      <c r="Q401" s="45">
        <f>VOD!$F$25/VOD!$F$23</f>
        <v>0.14315935205361338</v>
      </c>
      <c r="R401" s="45">
        <f>VOD!$G$25/VOD!$G$23</f>
        <v>0.15513291660799247</v>
      </c>
      <c r="S401" s="45">
        <f t="shared" si="79"/>
        <v>2.1224512844614574E-2</v>
      </c>
      <c r="T401" s="46"/>
      <c r="U401" s="48" t="str">
        <f>U341</f>
        <v>GBP 0.74</v>
      </c>
      <c r="V401" s="44" t="s">
        <v>281</v>
      </c>
      <c r="W401" s="59"/>
      <c r="X401" s="59"/>
      <c r="Y401" s="59"/>
      <c r="Z401" s="49"/>
      <c r="BU401" s="39"/>
      <c r="BV401" s="39"/>
      <c r="BW401" s="39"/>
      <c r="BX401" s="39"/>
      <c r="BY401" s="39"/>
      <c r="BZ401" s="39"/>
      <c r="CA401" s="39"/>
      <c r="CB401" s="39"/>
      <c r="CC401" s="39"/>
      <c r="CD401" s="39"/>
      <c r="CE401" s="39"/>
      <c r="CF401" s="39"/>
      <c r="CG401" s="39"/>
      <c r="CH401" s="39"/>
      <c r="CI401" s="39"/>
      <c r="CJ401" s="39"/>
      <c r="CK401" s="39"/>
      <c r="CL401" s="39"/>
      <c r="CM401" s="39"/>
      <c r="CN401" s="39"/>
      <c r="CO401" s="39"/>
      <c r="CP401" s="39"/>
      <c r="CQ401" s="39"/>
      <c r="CR401" s="39"/>
      <c r="CS401" s="39"/>
      <c r="CT401" s="39"/>
      <c r="CU401" s="39"/>
      <c r="CV401" s="39"/>
      <c r="CW401" s="39"/>
      <c r="CX401" s="39"/>
      <c r="CY401" s="39"/>
      <c r="CZ401" s="39"/>
      <c r="DA401" s="39"/>
      <c r="DB401" s="39"/>
      <c r="DC401" s="39"/>
      <c r="DD401" s="39"/>
      <c r="DE401" s="39"/>
      <c r="DF401" s="39"/>
      <c r="DG401" s="39"/>
      <c r="DH401" s="39"/>
      <c r="DI401" s="39"/>
    </row>
    <row r="402" spans="1:113">
      <c r="C402" s="51" t="str">
        <f>C342</f>
        <v>Agg. W. Europe Other</v>
      </c>
      <c r="D402" s="52"/>
      <c r="E402" s="52"/>
      <c r="F402" s="53"/>
      <c r="G402" s="52"/>
      <c r="H402" s="46"/>
      <c r="I402" s="55">
        <f>'W.EUR OTHER'!$D$24/'W.EUR OTHER'!$D$23</f>
        <v>0.30793301824894886</v>
      </c>
      <c r="J402" s="55">
        <f>'W.EUR OTHER'!$E$24/'W.EUR OTHER'!$E$23</f>
        <v>0.29640055583997943</v>
      </c>
      <c r="K402" s="55">
        <f>'W.EUR OTHER'!$F$24/'W.EUR OTHER'!$F$23</f>
        <v>0.30632400243751889</v>
      </c>
      <c r="L402" s="55">
        <f>'W.EUR OTHER'!$G$24/'W.EUR OTHER'!$G$23</f>
        <v>0.3121439338686981</v>
      </c>
      <c r="M402" s="55">
        <f t="shared" si="78"/>
        <v>4.2109156197492337E-3</v>
      </c>
      <c r="N402" s="56"/>
      <c r="O402" s="55">
        <f>'W.EUR OTHER'!$D$25/'W.EUR OTHER'!$D$23</f>
        <v>0.12764730012229636</v>
      </c>
      <c r="P402" s="55">
        <f>'W.EUR OTHER'!$E$25/'W.EUR OTHER'!$E$23</f>
        <v>0.12219788034176651</v>
      </c>
      <c r="Q402" s="55">
        <f>'W.EUR OTHER'!$F$25/'W.EUR OTHER'!$F$23</f>
        <v>0.13910731688725017</v>
      </c>
      <c r="R402" s="55">
        <f>'W.EUR OTHER'!$G$25/'W.EUR OTHER'!$G$23</f>
        <v>0.15075121987042625</v>
      </c>
      <c r="S402" s="55">
        <f t="shared" si="79"/>
        <v>2.3103919748129892E-2</v>
      </c>
      <c r="T402" s="46"/>
      <c r="U402" s="57"/>
      <c r="V402" s="58" t="str">
        <f>C402</f>
        <v>Agg. W. Europe Other</v>
      </c>
      <c r="W402" s="59"/>
      <c r="X402" s="59"/>
      <c r="Y402" s="59"/>
      <c r="Z402" s="49"/>
      <c r="AC402" s="63"/>
      <c r="BU402" s="39"/>
      <c r="BV402" s="39"/>
      <c r="BW402" s="39"/>
      <c r="BX402" s="39"/>
      <c r="BY402" s="39"/>
      <c r="BZ402" s="39"/>
      <c r="CA402" s="39"/>
      <c r="CB402" s="39"/>
      <c r="CC402" s="39"/>
      <c r="CD402" s="39"/>
      <c r="CE402" s="39"/>
      <c r="CF402" s="39"/>
      <c r="CG402" s="39"/>
      <c r="CH402" s="39"/>
      <c r="CI402" s="39"/>
      <c r="CJ402" s="39"/>
      <c r="CK402" s="39"/>
      <c r="CL402" s="39"/>
      <c r="CM402" s="39"/>
      <c r="CN402" s="39"/>
      <c r="CO402" s="39"/>
      <c r="CP402" s="39"/>
      <c r="CQ402" s="39"/>
      <c r="CR402" s="39"/>
      <c r="CS402" s="39"/>
      <c r="CT402" s="39"/>
      <c r="CU402" s="39"/>
      <c r="CV402" s="39"/>
      <c r="CW402" s="39"/>
      <c r="CX402" s="39"/>
      <c r="CY402" s="39"/>
      <c r="CZ402" s="39"/>
      <c r="DA402" s="39"/>
      <c r="DB402" s="39"/>
      <c r="DC402" s="39"/>
      <c r="DD402" s="39"/>
      <c r="DE402" s="39"/>
      <c r="DF402" s="39"/>
      <c r="DG402" s="39"/>
      <c r="DH402" s="39"/>
      <c r="DI402" s="39"/>
    </row>
    <row r="403" spans="1:113">
      <c r="C403" s="48"/>
      <c r="D403" s="44"/>
      <c r="E403" s="44"/>
      <c r="F403" s="45"/>
      <c r="G403" s="44"/>
      <c r="H403" s="46"/>
      <c r="I403" s="45"/>
      <c r="J403" s="45"/>
      <c r="K403" s="45"/>
      <c r="L403" s="45"/>
      <c r="M403" s="45"/>
      <c r="N403" s="46"/>
      <c r="O403" s="45"/>
      <c r="P403" s="45"/>
      <c r="Q403" s="45"/>
      <c r="R403" s="45"/>
      <c r="S403" s="45"/>
      <c r="T403" s="46"/>
      <c r="U403" s="48"/>
      <c r="V403" s="44"/>
      <c r="W403" s="59"/>
      <c r="X403" s="59"/>
      <c r="Y403" s="59"/>
      <c r="Z403" s="49"/>
      <c r="AC403" s="63"/>
      <c r="BU403" s="39"/>
      <c r="BV403" s="39"/>
      <c r="BW403" s="39"/>
      <c r="BX403" s="39"/>
      <c r="BY403" s="39"/>
      <c r="BZ403" s="39"/>
      <c r="CA403" s="39"/>
      <c r="CB403" s="39"/>
      <c r="CC403" s="39"/>
      <c r="CD403" s="39"/>
      <c r="CE403" s="39"/>
      <c r="CF403" s="39"/>
      <c r="CG403" s="39"/>
      <c r="CH403" s="39"/>
      <c r="CI403" s="39"/>
      <c r="CJ403" s="39"/>
      <c r="CK403" s="39"/>
      <c r="CL403" s="39"/>
      <c r="CM403" s="39"/>
      <c r="CN403" s="39"/>
      <c r="CO403" s="39"/>
      <c r="CP403" s="39"/>
      <c r="CQ403" s="39"/>
      <c r="CR403" s="39"/>
      <c r="CS403" s="39"/>
      <c r="CT403" s="39"/>
      <c r="CU403" s="39"/>
      <c r="CV403" s="39"/>
      <c r="CW403" s="39"/>
      <c r="CX403" s="39"/>
      <c r="CY403" s="39"/>
      <c r="CZ403" s="39"/>
      <c r="DA403" s="39"/>
      <c r="DB403" s="39"/>
      <c r="DC403" s="39"/>
      <c r="DD403" s="39"/>
      <c r="DE403" s="39"/>
      <c r="DF403" s="39"/>
      <c r="DG403" s="39"/>
      <c r="DH403" s="39"/>
      <c r="DI403" s="39"/>
    </row>
    <row r="404" spans="1:113">
      <c r="A404" s="41"/>
      <c r="B404" s="42" t="s">
        <v>556</v>
      </c>
      <c r="C404" s="48" t="s">
        <v>836</v>
      </c>
      <c r="D404" s="44" t="str">
        <f t="shared" ref="D404:G409" si="80">D344</f>
        <v>HKD 3</v>
      </c>
      <c r="E404" s="44" t="str">
        <f t="shared" si="80"/>
        <v>HKD 16</v>
      </c>
      <c r="F404" s="45">
        <f t="shared" si="80"/>
        <v>5.2256809338521402</v>
      </c>
      <c r="G404" s="44" t="str">
        <f t="shared" si="80"/>
        <v>Buy</v>
      </c>
      <c r="H404" s="46"/>
      <c r="I404" s="45">
        <f>HKBN!$D$24/HKBN!$D$23</f>
        <v>0.28250000000000003</v>
      </c>
      <c r="J404" s="45">
        <f>HKBN!$E$24/HKBN!$E$23</f>
        <v>0.28250000000000003</v>
      </c>
      <c r="K404" s="45">
        <f>HKBN!$F$24/HKBN!$F$23</f>
        <v>0.28250000000000003</v>
      </c>
      <c r="L404" s="45">
        <f>HKBN!$G$24/HKBN!$G$23</f>
        <v>0.28250000000000003</v>
      </c>
      <c r="M404" s="45">
        <f>L404-I404</f>
        <v>0</v>
      </c>
      <c r="N404" s="46"/>
      <c r="O404" s="45">
        <f>HKBN!$D$25/HKBN!$D$23</f>
        <v>0.22626098086484805</v>
      </c>
      <c r="P404" s="45">
        <f>HKBN!$E$25/HKBN!$E$23</f>
        <v>0.22889893989809168</v>
      </c>
      <c r="Q404" s="45">
        <f>HKBN!$F$25/HKBN!$F$23</f>
        <v>0.22799126686087751</v>
      </c>
      <c r="R404" s="45">
        <f>HKBN!$G$25/HKBN!$G$23</f>
        <v>0.23074399028408749</v>
      </c>
      <c r="S404" s="45">
        <f>R404-O404</f>
        <v>4.483009419239431E-3</v>
      </c>
      <c r="T404" s="46"/>
      <c r="U404" s="48" t="str">
        <f t="shared" ref="U404:V409" si="81">U344</f>
        <v>HKD 3</v>
      </c>
      <c r="V404" s="69" t="str">
        <f t="shared" si="81"/>
        <v>HKBN</v>
      </c>
      <c r="W404" s="59"/>
      <c r="X404" s="59"/>
      <c r="Y404" s="59"/>
      <c r="Z404" s="49"/>
      <c r="BU404" s="39"/>
      <c r="BV404" s="39"/>
      <c r="BW404" s="39"/>
      <c r="BX404" s="39"/>
      <c r="BY404" s="39"/>
      <c r="BZ404" s="39"/>
      <c r="CA404" s="39"/>
      <c r="CB404" s="39"/>
      <c r="CC404" s="39"/>
      <c r="CD404" s="39"/>
      <c r="CE404" s="39"/>
      <c r="CF404" s="39"/>
      <c r="CG404" s="39"/>
      <c r="CH404" s="39"/>
      <c r="CI404" s="39"/>
      <c r="CJ404" s="39"/>
      <c r="CK404" s="39"/>
      <c r="CL404" s="39"/>
      <c r="CM404" s="39"/>
      <c r="CN404" s="39"/>
      <c r="CO404" s="39"/>
      <c r="CP404" s="39"/>
      <c r="CQ404" s="39"/>
      <c r="CR404" s="39"/>
      <c r="CS404" s="39"/>
      <c r="CT404" s="39"/>
      <c r="CU404" s="39"/>
      <c r="CV404" s="39"/>
      <c r="CW404" s="39"/>
      <c r="CX404" s="39"/>
      <c r="CY404" s="39"/>
      <c r="CZ404" s="39"/>
      <c r="DA404" s="39"/>
      <c r="DB404" s="39"/>
      <c r="DC404" s="39"/>
      <c r="DD404" s="39"/>
      <c r="DE404" s="39"/>
      <c r="DF404" s="39"/>
      <c r="DG404" s="39"/>
      <c r="DH404" s="39"/>
      <c r="DI404" s="39"/>
    </row>
    <row r="405" spans="1:113">
      <c r="C405" s="48" t="str">
        <f t="shared" ref="C405:C410" si="82">C345</f>
        <v>KDDI</v>
      </c>
      <c r="D405" s="44" t="str">
        <f t="shared" si="80"/>
        <v>JPY 4,302</v>
      </c>
      <c r="E405" s="44" t="str">
        <f t="shared" si="80"/>
        <v>JPY 6,600</v>
      </c>
      <c r="F405" s="45">
        <f t="shared" si="80"/>
        <v>0.53417015341701535</v>
      </c>
      <c r="G405" s="44" t="str">
        <f t="shared" si="80"/>
        <v>Buy</v>
      </c>
      <c r="H405" s="46"/>
      <c r="I405" s="45">
        <f>KDDI!$D$24/KDDI!$D$23</f>
        <v>0.288788345178907</v>
      </c>
      <c r="J405" s="45">
        <f>KDDI!$E$24/KDDI!$E$23</f>
        <v>0.29119862858767442</v>
      </c>
      <c r="K405" s="45">
        <f>KDDI!$F$24/KDDI!$F$23</f>
        <v>0.29253131713835645</v>
      </c>
      <c r="L405" s="45">
        <f>KDDI!$G$24/KDDI!$G$23</f>
        <v>0.29424845689418166</v>
      </c>
      <c r="M405" s="45">
        <f t="shared" ref="M405:M410" si="83">L405-I405</f>
        <v>5.4601117152746625E-3</v>
      </c>
      <c r="N405" s="46"/>
      <c r="O405" s="45">
        <f>KDDI!$D$25/KDDI!$D$23</f>
        <v>0.158567498915546</v>
      </c>
      <c r="P405" s="45">
        <f>KDDI!$E$25/KDDI!$E$23</f>
        <v>0.18619862858767444</v>
      </c>
      <c r="Q405" s="45">
        <f>KDDI!$F$25/KDDI!$F$23</f>
        <v>0.18753131713835644</v>
      </c>
      <c r="R405" s="45">
        <f>KDDI!$G$25/KDDI!$G$23</f>
        <v>0.18924845689418163</v>
      </c>
      <c r="S405" s="45">
        <f t="shared" ref="S405:S410" si="84">R405-O405</f>
        <v>3.0680957978635626E-2</v>
      </c>
      <c r="T405" s="46"/>
      <c r="U405" s="48" t="str">
        <f t="shared" si="81"/>
        <v>JPY 4,302</v>
      </c>
      <c r="V405" s="44" t="str">
        <f t="shared" si="81"/>
        <v>KDDI</v>
      </c>
      <c r="W405" s="59"/>
      <c r="X405" s="59"/>
      <c r="Y405" s="59"/>
      <c r="Z405" s="49"/>
      <c r="BU405" s="39"/>
      <c r="BV405" s="39"/>
      <c r="BW405" s="39"/>
      <c r="BX405" s="39"/>
      <c r="BY405" s="39"/>
      <c r="BZ405" s="39"/>
      <c r="CA405" s="39"/>
      <c r="CB405" s="39"/>
      <c r="CC405" s="39"/>
      <c r="CD405" s="39"/>
      <c r="CE405" s="39"/>
      <c r="CF405" s="39"/>
      <c r="CG405" s="39"/>
      <c r="CH405" s="39"/>
      <c r="CI405" s="39"/>
      <c r="CJ405" s="39"/>
      <c r="CK405" s="39"/>
      <c r="CL405" s="39"/>
      <c r="CM405" s="39"/>
      <c r="CN405" s="39"/>
      <c r="CO405" s="39"/>
      <c r="CP405" s="39"/>
      <c r="CQ405" s="39"/>
      <c r="CR405" s="39"/>
      <c r="CS405" s="39"/>
      <c r="CT405" s="39"/>
      <c r="CU405" s="39"/>
      <c r="CV405" s="39"/>
      <c r="CW405" s="39"/>
      <c r="CX405" s="39"/>
      <c r="CY405" s="39"/>
      <c r="CZ405" s="39"/>
      <c r="DA405" s="39"/>
      <c r="DB405" s="39"/>
      <c r="DC405" s="39"/>
      <c r="DD405" s="39"/>
      <c r="DE405" s="39"/>
      <c r="DF405" s="39"/>
      <c r="DG405" s="39"/>
      <c r="DH405" s="39"/>
      <c r="DI405" s="39"/>
    </row>
    <row r="406" spans="1:113">
      <c r="A406" s="41"/>
      <c r="C406" s="48" t="str">
        <f t="shared" si="82"/>
        <v>Macquarie Telecom</v>
      </c>
      <c r="D406" s="44" t="str">
        <f t="shared" si="80"/>
        <v>AUD 85.20</v>
      </c>
      <c r="E406" s="44" t="str">
        <f t="shared" si="80"/>
        <v>AUD 28.00</v>
      </c>
      <c r="F406" s="45">
        <f t="shared" si="80"/>
        <v>-0.67136150234741787</v>
      </c>
      <c r="G406" s="44" t="str">
        <f t="shared" si="80"/>
        <v>Neutral</v>
      </c>
      <c r="H406" s="46"/>
      <c r="I406" s="45">
        <f>MAQ!$D$24/MAQ!$D$23</f>
        <v>0.21946144545216734</v>
      </c>
      <c r="J406" s="45">
        <f>MAQ!$E$24/MAQ!$E$23</f>
        <v>0.22727403464492796</v>
      </c>
      <c r="K406" s="45">
        <f>MAQ!$F$24/MAQ!$F$23</f>
        <v>0.2396257525061008</v>
      </c>
      <c r="L406" s="45">
        <f>MAQ!$G$24/MAQ!$G$23</f>
        <v>0.24203192608785001</v>
      </c>
      <c r="M406" s="45">
        <f>L406-I406</f>
        <v>2.2570480635682677E-2</v>
      </c>
      <c r="N406" s="46"/>
      <c r="O406" s="45">
        <f>MAQ!$D$25/MAQ!$D$23</f>
        <v>1.783792918266457E-2</v>
      </c>
      <c r="P406" s="45">
        <f>MAQ!$E$25/MAQ!$E$23</f>
        <v>7.0989002613532179E-2</v>
      </c>
      <c r="Q406" s="45">
        <f>MAQ!$F$25/MAQ!$F$23</f>
        <v>9.6273421643928547E-2</v>
      </c>
      <c r="R406" s="45">
        <f>MAQ!$G$25/MAQ!$G$23</f>
        <v>0.12307762652106168</v>
      </c>
      <c r="S406" s="45">
        <f>R406-O406</f>
        <v>0.10523969733839711</v>
      </c>
      <c r="T406" s="46"/>
      <c r="U406" s="48" t="str">
        <f t="shared" si="81"/>
        <v>AUD 85.20</v>
      </c>
      <c r="V406" s="69" t="str">
        <f t="shared" si="81"/>
        <v>Macquarie Telecom</v>
      </c>
      <c r="W406" s="59"/>
      <c r="X406" s="59"/>
      <c r="Y406" s="59"/>
      <c r="Z406" s="49"/>
      <c r="BU406" s="39"/>
      <c r="BV406" s="39"/>
      <c r="BW406" s="39"/>
      <c r="BX406" s="39"/>
      <c r="BY406" s="39"/>
      <c r="BZ406" s="39"/>
      <c r="CA406" s="39"/>
      <c r="CB406" s="39"/>
      <c r="CC406" s="39"/>
      <c r="CD406" s="39"/>
      <c r="CE406" s="39"/>
      <c r="CF406" s="39"/>
      <c r="CG406" s="39"/>
      <c r="CH406" s="39"/>
      <c r="CI406" s="39"/>
      <c r="CJ406" s="39"/>
      <c r="CK406" s="39"/>
      <c r="CL406" s="39"/>
      <c r="CM406" s="39"/>
      <c r="CN406" s="39"/>
      <c r="CO406" s="39"/>
      <c r="CP406" s="39"/>
      <c r="CQ406" s="39"/>
      <c r="CR406" s="39"/>
      <c r="CS406" s="39"/>
      <c r="CT406" s="39"/>
      <c r="CU406" s="39"/>
      <c r="CV406" s="39"/>
      <c r="CW406" s="39"/>
      <c r="CX406" s="39"/>
      <c r="CY406" s="39"/>
      <c r="CZ406" s="39"/>
      <c r="DA406" s="39"/>
      <c r="DB406" s="39"/>
      <c r="DC406" s="39"/>
      <c r="DD406" s="39"/>
      <c r="DE406" s="39"/>
      <c r="DF406" s="39"/>
      <c r="DG406" s="39"/>
      <c r="DH406" s="39"/>
      <c r="DI406" s="39"/>
    </row>
    <row r="407" spans="1:113">
      <c r="C407" s="48" t="str">
        <f t="shared" si="82"/>
        <v>Rakuten</v>
      </c>
      <c r="D407" s="44" t="str">
        <f t="shared" si="80"/>
        <v>JPY 776</v>
      </c>
      <c r="E407" s="44" t="str">
        <f t="shared" si="80"/>
        <v>JPY 400</v>
      </c>
      <c r="F407" s="45">
        <f t="shared" si="80"/>
        <v>-0.48446964815053484</v>
      </c>
      <c r="G407" s="44" t="str">
        <f t="shared" si="80"/>
        <v>Reduce</v>
      </c>
      <c r="H407" s="46"/>
      <c r="I407" s="45">
        <f>RAK!$D$24/RAK!$D$23</f>
        <v>7.1538611944585911E-2</v>
      </c>
      <c r="J407" s="45">
        <f>RAK!$E$24/RAK!$E$23</f>
        <v>7.8904323249187419E-2</v>
      </c>
      <c r="K407" s="45">
        <f>RAK!$F$24/RAK!$F$23</f>
        <v>0.10196028166433729</v>
      </c>
      <c r="L407" s="45">
        <f>RAK!$G$24/RAK!$G$23</f>
        <v>0.12408848679927957</v>
      </c>
      <c r="M407" s="45">
        <f>L407-I407</f>
        <v>5.2549874854693659E-2</v>
      </c>
      <c r="N407" s="46"/>
      <c r="O407" s="45">
        <f>RAK!$D$25/RAK!$D$23</f>
        <v>-0.11475560211749543</v>
      </c>
      <c r="P407" s="45">
        <f>RAK!$E$25/RAK!$E$23</f>
        <v>-4.1751269294371576E-2</v>
      </c>
      <c r="Q407" s="45">
        <f>RAK!$F$25/RAK!$F$23</f>
        <v>-1.3728483855783616E-2</v>
      </c>
      <c r="R407" s="45">
        <f>RAK!$G$25/RAK!$G$23</f>
        <v>-9.8488695229846292E-3</v>
      </c>
      <c r="S407" s="45">
        <f>R407-O407</f>
        <v>0.1049067325945108</v>
      </c>
      <c r="T407" s="46"/>
      <c r="U407" s="48" t="str">
        <f t="shared" si="81"/>
        <v>JPY 776</v>
      </c>
      <c r="V407" s="44" t="str">
        <f t="shared" si="81"/>
        <v>Rakuten</v>
      </c>
      <c r="W407" s="59"/>
      <c r="X407" s="59"/>
      <c r="Y407" s="59"/>
      <c r="Z407" s="49"/>
      <c r="BU407" s="39"/>
      <c r="BV407" s="39"/>
      <c r="BW407" s="39"/>
      <c r="BX407" s="39"/>
      <c r="BY407" s="39"/>
      <c r="BZ407" s="39"/>
      <c r="CA407" s="39"/>
      <c r="CB407" s="39"/>
      <c r="CC407" s="39"/>
      <c r="CD407" s="39"/>
      <c r="CE407" s="39"/>
      <c r="CF407" s="39"/>
      <c r="CG407" s="39"/>
      <c r="CH407" s="39"/>
      <c r="CI407" s="39"/>
      <c r="CJ407" s="39"/>
      <c r="CK407" s="39"/>
      <c r="CL407" s="39"/>
      <c r="CM407" s="39"/>
      <c r="CN407" s="39"/>
      <c r="CO407" s="39"/>
      <c r="CP407" s="39"/>
      <c r="CQ407" s="39"/>
      <c r="CR407" s="39"/>
      <c r="CS407" s="39"/>
      <c r="CT407" s="39"/>
      <c r="CU407" s="39"/>
      <c r="CV407" s="39"/>
      <c r="CW407" s="39"/>
      <c r="CX407" s="39"/>
      <c r="CY407" s="39"/>
      <c r="CZ407" s="39"/>
      <c r="DA407" s="39"/>
      <c r="DB407" s="39"/>
      <c r="DC407" s="39"/>
      <c r="DD407" s="39"/>
      <c r="DE407" s="39"/>
      <c r="DF407" s="39"/>
      <c r="DG407" s="39"/>
      <c r="DH407" s="39"/>
      <c r="DI407" s="39"/>
    </row>
    <row r="408" spans="1:113">
      <c r="C408" s="48" t="str">
        <f t="shared" si="82"/>
        <v>SoftBank KK (Corp)</v>
      </c>
      <c r="D408" s="44" t="str">
        <f t="shared" si="80"/>
        <v>JPY 1,898</v>
      </c>
      <c r="E408" s="44" t="str">
        <f t="shared" si="80"/>
        <v>JPY 2,500</v>
      </c>
      <c r="F408" s="45">
        <f t="shared" si="80"/>
        <v>0.31752305665349145</v>
      </c>
      <c r="G408" s="44" t="str">
        <f t="shared" si="80"/>
        <v>Buy</v>
      </c>
      <c r="H408" s="46"/>
      <c r="I408" s="45">
        <f>SBKK!$D$24/SBKK!$D$23</f>
        <v>0.27409598948060487</v>
      </c>
      <c r="J408" s="45">
        <f>SBKK!$E$24/SBKK!$E$23</f>
        <v>0.25861545763251376</v>
      </c>
      <c r="K408" s="45">
        <f>SBKK!$F$24/SBKK!$F$23</f>
        <v>0.25949984540695187</v>
      </c>
      <c r="L408" s="45">
        <f>SBKK!$G$24/SBKK!$G$23</f>
        <v>0.26133046044732433</v>
      </c>
      <c r="M408" s="45">
        <f t="shared" si="83"/>
        <v>-1.2765529033280543E-2</v>
      </c>
      <c r="N408" s="46"/>
      <c r="O408" s="45">
        <f>SBKK!$D$25/SBKK!$D$23</f>
        <v>0.18333333333333332</v>
      </c>
      <c r="P408" s="45">
        <f>SBKK!$E$25/SBKK!$E$23</f>
        <v>0.1775497540154187</v>
      </c>
      <c r="Q408" s="45">
        <f>SBKK!$F$25/SBKK!$F$23</f>
        <v>0.18190368940435334</v>
      </c>
      <c r="R408" s="45">
        <f>SBKK!$G$25/SBKK!$G$23</f>
        <v>0.18718720535146738</v>
      </c>
      <c r="S408" s="45">
        <f t="shared" si="84"/>
        <v>3.853872018134058E-3</v>
      </c>
      <c r="T408" s="46"/>
      <c r="U408" s="48" t="str">
        <f t="shared" si="81"/>
        <v>JPY 1,898</v>
      </c>
      <c r="V408" s="44" t="str">
        <f t="shared" si="81"/>
        <v>SoftBank KK (Corp)</v>
      </c>
      <c r="W408" s="59"/>
      <c r="X408" s="59"/>
      <c r="Y408" s="59"/>
      <c r="Z408" s="49"/>
      <c r="BU408" s="39"/>
      <c r="BV408" s="39"/>
      <c r="BW408" s="39"/>
      <c r="BX408" s="39"/>
      <c r="BY408" s="39"/>
      <c r="BZ408" s="39"/>
      <c r="CA408" s="39"/>
      <c r="CB408" s="39"/>
      <c r="CC408" s="39"/>
      <c r="CD408" s="39"/>
      <c r="CE408" s="39"/>
      <c r="CF408" s="39"/>
      <c r="CG408" s="39"/>
      <c r="CH408" s="39"/>
      <c r="CI408" s="39"/>
      <c r="CJ408" s="39"/>
      <c r="CK408" s="39"/>
      <c r="CL408" s="39"/>
      <c r="CM408" s="39"/>
      <c r="CN408" s="39"/>
      <c r="CO408" s="39"/>
      <c r="CP408" s="39"/>
      <c r="CQ408" s="39"/>
      <c r="CR408" s="39"/>
      <c r="CS408" s="39"/>
      <c r="CT408" s="39"/>
      <c r="CU408" s="39"/>
      <c r="CV408" s="39"/>
      <c r="CW408" s="39"/>
      <c r="CX408" s="39"/>
      <c r="CY408" s="39"/>
      <c r="CZ408" s="39"/>
      <c r="DA408" s="39"/>
      <c r="DB408" s="39"/>
      <c r="DC408" s="39"/>
      <c r="DD408" s="39"/>
      <c r="DE408" s="39"/>
      <c r="DF408" s="39"/>
      <c r="DG408" s="39"/>
      <c r="DH408" s="39"/>
      <c r="DI408" s="39"/>
    </row>
    <row r="409" spans="1:113">
      <c r="A409" s="41"/>
      <c r="C409" s="48" t="str">
        <f t="shared" si="82"/>
        <v>TPG</v>
      </c>
      <c r="D409" s="44" t="str">
        <f t="shared" si="80"/>
        <v>AUD 4.60</v>
      </c>
      <c r="E409" s="44" t="str">
        <f t="shared" si="80"/>
        <v>AUD 7.50</v>
      </c>
      <c r="F409" s="45">
        <f t="shared" si="80"/>
        <v>0.63043478260869579</v>
      </c>
      <c r="G409" s="44" t="str">
        <f t="shared" si="80"/>
        <v>Neutral</v>
      </c>
      <c r="H409" s="46"/>
      <c r="I409" s="45">
        <f>TPG!$D$24/TPG!$D$23</f>
        <v>0.2550265618946374</v>
      </c>
      <c r="J409" s="45">
        <f>TPG!$E$24/TPG!$E$23</f>
        <v>0.23951893163457549</v>
      </c>
      <c r="K409" s="45">
        <f>TPG!$F$24/TPG!$F$23</f>
        <v>0.24091862532431282</v>
      </c>
      <c r="L409" s="45">
        <f>TPG!$G$24/TPG!$G$23</f>
        <v>0.24273300867273676</v>
      </c>
      <c r="M409" s="45">
        <f>L409-I409</f>
        <v>-1.2293553221900649E-2</v>
      </c>
      <c r="N409" s="46"/>
      <c r="O409" s="45">
        <f>TPG!$D$25/TPG!$D$23</f>
        <v>0.13555902671074502</v>
      </c>
      <c r="P409" s="45">
        <f>TPG!$E$25/TPG!$E$23</f>
        <v>0.13453046901025517</v>
      </c>
      <c r="Q409" s="45">
        <f>TPG!$F$25/TPG!$F$23</f>
        <v>0.13133944885584165</v>
      </c>
      <c r="R409" s="45">
        <f>TPG!$G$25/TPG!$G$23</f>
        <v>0.13450851994937038</v>
      </c>
      <c r="S409" s="45">
        <f>R409-O409</f>
        <v>-1.0505067613746366E-3</v>
      </c>
      <c r="T409" s="46"/>
      <c r="U409" s="48" t="str">
        <f t="shared" si="81"/>
        <v>AUD 4.60</v>
      </c>
      <c r="V409" s="44" t="str">
        <f t="shared" si="81"/>
        <v>TPG</v>
      </c>
      <c r="W409" s="59"/>
      <c r="X409" s="59"/>
      <c r="Y409" s="59"/>
      <c r="Z409" s="49"/>
      <c r="BU409" s="39"/>
      <c r="BV409" s="39"/>
      <c r="BW409" s="39"/>
      <c r="BX409" s="39"/>
      <c r="BY409" s="39"/>
      <c r="BZ409" s="39"/>
      <c r="CA409" s="39"/>
      <c r="CB409" s="39"/>
      <c r="CC409" s="39"/>
      <c r="CD409" s="39"/>
      <c r="CE409" s="39"/>
      <c r="CF409" s="39"/>
      <c r="CG409" s="39"/>
      <c r="CH409" s="39"/>
      <c r="CI409" s="39"/>
      <c r="CJ409" s="39"/>
      <c r="CK409" s="39"/>
      <c r="CL409" s="39"/>
      <c r="CM409" s="39"/>
      <c r="CN409" s="39"/>
      <c r="CO409" s="39"/>
      <c r="CP409" s="39"/>
      <c r="CQ409" s="39"/>
      <c r="CR409" s="39"/>
      <c r="CS409" s="39"/>
      <c r="CT409" s="39"/>
      <c r="CU409" s="39"/>
      <c r="CV409" s="39"/>
      <c r="CW409" s="39"/>
      <c r="CX409" s="39"/>
      <c r="CY409" s="39"/>
      <c r="CZ409" s="39"/>
      <c r="DA409" s="39"/>
      <c r="DB409" s="39"/>
      <c r="DC409" s="39"/>
      <c r="DD409" s="39"/>
      <c r="DE409" s="39"/>
      <c r="DF409" s="39"/>
      <c r="DG409" s="39"/>
      <c r="DH409" s="39"/>
      <c r="DI409" s="39"/>
    </row>
    <row r="410" spans="1:113">
      <c r="C410" s="51" t="str">
        <f t="shared" si="82"/>
        <v>Agg. Developed Asia Other</v>
      </c>
      <c r="D410" s="52"/>
      <c r="E410" s="52"/>
      <c r="F410" s="53"/>
      <c r="G410" s="52"/>
      <c r="H410" s="46"/>
      <c r="I410" s="55">
        <f>'DM ASIA OTHER'!$D$24/'DM ASIA OTHER'!$D$23</f>
        <v>0.25072280017831089</v>
      </c>
      <c r="J410" s="55">
        <f>'DM ASIA OTHER'!$E$24/'DM ASIA OTHER'!$E$23</f>
        <v>0.24433335253299504</v>
      </c>
      <c r="K410" s="55">
        <f>'DM ASIA OTHER'!$F$24/'DM ASIA OTHER'!$F$23</f>
        <v>0.24754654059525769</v>
      </c>
      <c r="L410" s="55">
        <f>'DM ASIA OTHER'!$G$24/'DM ASIA OTHER'!$G$23</f>
        <v>0.25153564568473524</v>
      </c>
      <c r="M410" s="55">
        <f t="shared" si="83"/>
        <v>8.1284550642435338E-4</v>
      </c>
      <c r="N410" s="56"/>
      <c r="O410" s="55">
        <f>'DM ASIA OTHER'!$D$25/'DM ASIA OTHER'!$D$23</f>
        <v>0.13049396733671478</v>
      </c>
      <c r="P410" s="55">
        <f>'DM ASIA OTHER'!$E$25/'DM ASIA OTHER'!$E$23</f>
        <v>0.14777842565873653</v>
      </c>
      <c r="Q410" s="55">
        <f>'DM ASIA OTHER'!$F$25/'DM ASIA OTHER'!$F$23</f>
        <v>0.15293556439935621</v>
      </c>
      <c r="R410" s="55">
        <f>'DM ASIA OTHER'!$G$25/'DM ASIA OTHER'!$G$23</f>
        <v>0.15564031533564862</v>
      </c>
      <c r="S410" s="55">
        <f t="shared" si="84"/>
        <v>2.5146347998933838E-2</v>
      </c>
      <c r="T410" s="46"/>
      <c r="U410" s="57"/>
      <c r="V410" s="58" t="str">
        <f>V350</f>
        <v>Agg. Developed Asia Cellular</v>
      </c>
      <c r="W410" s="59"/>
      <c r="X410" s="59"/>
      <c r="Y410" s="59"/>
      <c r="Z410" s="49"/>
      <c r="BU410" s="39"/>
      <c r="BV410" s="39"/>
      <c r="BW410" s="39"/>
      <c r="BX410" s="39"/>
      <c r="BY410" s="39"/>
      <c r="BZ410" s="39"/>
      <c r="CA410" s="39"/>
      <c r="CB410" s="39"/>
      <c r="CC410" s="39"/>
      <c r="CD410" s="39"/>
      <c r="CE410" s="39"/>
      <c r="CF410" s="39"/>
      <c r="CG410" s="39"/>
      <c r="CH410" s="39"/>
      <c r="CI410" s="39"/>
      <c r="CJ410" s="39"/>
      <c r="CK410" s="39"/>
      <c r="CL410" s="39"/>
      <c r="CM410" s="39"/>
      <c r="CN410" s="39"/>
      <c r="CO410" s="39"/>
      <c r="CP410" s="39"/>
      <c r="CQ410" s="39"/>
      <c r="CR410" s="39"/>
      <c r="CS410" s="39"/>
      <c r="CT410" s="39"/>
      <c r="CU410" s="39"/>
      <c r="CV410" s="39"/>
      <c r="CW410" s="39"/>
      <c r="CX410" s="39"/>
      <c r="CY410" s="39"/>
      <c r="CZ410" s="39"/>
      <c r="DA410" s="39"/>
      <c r="DB410" s="39"/>
      <c r="DC410" s="39"/>
      <c r="DD410" s="39"/>
      <c r="DE410" s="39"/>
      <c r="DF410" s="39"/>
      <c r="DG410" s="39"/>
      <c r="DH410" s="39"/>
      <c r="DI410" s="39"/>
    </row>
    <row r="411" spans="1:113">
      <c r="A411" s="41"/>
      <c r="C411" s="48"/>
      <c r="D411" s="44"/>
      <c r="E411" s="44"/>
      <c r="F411" s="45"/>
      <c r="G411" s="44"/>
      <c r="H411" s="46"/>
      <c r="I411" s="45"/>
      <c r="J411" s="45"/>
      <c r="K411" s="45"/>
      <c r="L411" s="45"/>
      <c r="M411" s="45"/>
      <c r="N411" s="46"/>
      <c r="O411" s="45"/>
      <c r="P411" s="45"/>
      <c r="Q411" s="45"/>
      <c r="R411" s="45"/>
      <c r="S411" s="45"/>
      <c r="T411" s="46"/>
      <c r="U411" s="48"/>
      <c r="V411" s="44"/>
      <c r="W411" s="59"/>
      <c r="X411" s="59"/>
      <c r="Y411" s="59"/>
      <c r="Z411" s="49"/>
      <c r="BU411" s="39"/>
      <c r="BV411" s="39"/>
      <c r="BW411" s="39"/>
      <c r="BX411" s="39"/>
      <c r="BY411" s="39"/>
      <c r="BZ411" s="39"/>
      <c r="CA411" s="39"/>
      <c r="CB411" s="39"/>
      <c r="CC411" s="39"/>
      <c r="CD411" s="39"/>
      <c r="CE411" s="39"/>
      <c r="CF411" s="39"/>
      <c r="CG411" s="39"/>
      <c r="CH411" s="39"/>
      <c r="CI411" s="39"/>
      <c r="CJ411" s="39"/>
      <c r="CK411" s="39"/>
      <c r="CL411" s="39"/>
      <c r="CM411" s="39"/>
      <c r="CN411" s="39"/>
      <c r="CO411" s="39"/>
      <c r="CP411" s="39"/>
      <c r="CQ411" s="39"/>
      <c r="CR411" s="39"/>
      <c r="CS411" s="39"/>
      <c r="CT411" s="39"/>
      <c r="CU411" s="39"/>
      <c r="CV411" s="39"/>
      <c r="CW411" s="39"/>
      <c r="CX411" s="39"/>
      <c r="CY411" s="39"/>
      <c r="CZ411" s="39"/>
      <c r="DA411" s="39"/>
      <c r="DB411" s="39"/>
      <c r="DC411" s="39"/>
      <c r="DD411" s="39"/>
      <c r="DE411" s="39"/>
      <c r="DF411" s="39"/>
      <c r="DG411" s="39"/>
      <c r="DH411" s="39"/>
      <c r="DI411" s="39"/>
    </row>
    <row r="412" spans="1:113">
      <c r="A412" s="41"/>
      <c r="B412" s="42" t="s">
        <v>519</v>
      </c>
      <c r="C412" s="48" t="str">
        <f>C352</f>
        <v>Altice US</v>
      </c>
      <c r="D412" s="44" t="str">
        <f>D352</f>
        <v>US$2.3</v>
      </c>
      <c r="E412" s="44" t="str">
        <f>E352</f>
        <v>US$4.0</v>
      </c>
      <c r="F412" s="45">
        <f>F352</f>
        <v>0.71673819742489275</v>
      </c>
      <c r="G412" s="44" t="str">
        <f>G352</f>
        <v>Neutral</v>
      </c>
      <c r="H412" s="46"/>
      <c r="I412" s="45">
        <f>(ATCUS!D$24/ATCUS!D$23)</f>
        <v>0.39069665426157046</v>
      </c>
      <c r="J412" s="45">
        <f>(ATCUS!E$24/ATCUS!E$23)</f>
        <v>0.39069331073505481</v>
      </c>
      <c r="K412" s="45">
        <f>(ATCUS!F$24/ATCUS!F$23)</f>
        <v>0.38588049472686481</v>
      </c>
      <c r="L412" s="45">
        <f>(ATCUS!G$24/ATCUS!G$23)</f>
        <v>0.38688330828388429</v>
      </c>
      <c r="M412" s="45">
        <f t="shared" ref="M412:M417" si="85">L412-I412</f>
        <v>-3.8133459776861778E-3</v>
      </c>
      <c r="N412" s="46"/>
      <c r="O412" s="45">
        <f>(ATCUS!D$25/ATCUS!D$23)</f>
        <v>0.20613465490766325</v>
      </c>
      <c r="P412" s="45">
        <f>(ATCUS!E$25/ATCUS!E$23)</f>
        <v>0.20872086323012928</v>
      </c>
      <c r="Q412" s="45">
        <f>(ATCUS!F$25/ATCUS!F$23)</f>
        <v>0.21697304788631896</v>
      </c>
      <c r="R412" s="45">
        <f>(ATCUS!G$25/ATCUS!G$23)</f>
        <v>0.23106272758194416</v>
      </c>
      <c r="S412" s="45">
        <f t="shared" ref="S412:S417" si="86">R412-O412</f>
        <v>2.4928072674280904E-2</v>
      </c>
      <c r="T412" s="46"/>
      <c r="U412" s="48" t="str">
        <f>D412</f>
        <v>US$2.3</v>
      </c>
      <c r="V412" s="44" t="str">
        <f>C412</f>
        <v>Altice US</v>
      </c>
      <c r="W412" s="59"/>
      <c r="X412" s="59"/>
      <c r="Y412" s="59"/>
      <c r="Z412" s="49"/>
      <c r="BU412" s="39"/>
      <c r="BV412" s="39"/>
      <c r="BW412" s="39"/>
      <c r="BX412" s="39"/>
      <c r="BY412" s="39"/>
      <c r="BZ412" s="39"/>
      <c r="CA412" s="39"/>
      <c r="CB412" s="39"/>
      <c r="CC412" s="39"/>
      <c r="CD412" s="39"/>
      <c r="CE412" s="39"/>
      <c r="CF412" s="39"/>
      <c r="CG412" s="39"/>
      <c r="CH412" s="39"/>
      <c r="CI412" s="39"/>
      <c r="CJ412" s="39"/>
      <c r="CK412" s="39"/>
      <c r="CL412" s="39"/>
      <c r="CM412" s="39"/>
      <c r="CN412" s="39"/>
      <c r="CO412" s="39"/>
      <c r="CP412" s="39"/>
      <c r="CQ412" s="39"/>
      <c r="CR412" s="39"/>
      <c r="CS412" s="39"/>
      <c r="CT412" s="39"/>
      <c r="CU412" s="39"/>
      <c r="CV412" s="39"/>
      <c r="CW412" s="39"/>
      <c r="CX412" s="39"/>
      <c r="CY412" s="39"/>
      <c r="CZ412" s="39"/>
      <c r="DA412" s="39"/>
      <c r="DB412" s="39"/>
      <c r="DC412" s="39"/>
      <c r="DD412" s="39"/>
      <c r="DE412" s="39"/>
      <c r="DF412" s="39"/>
      <c r="DG412" s="39"/>
      <c r="DH412" s="39"/>
      <c r="DI412" s="39"/>
    </row>
    <row r="413" spans="1:113">
      <c r="A413" s="41"/>
      <c r="B413" s="42" t="s">
        <v>519</v>
      </c>
      <c r="C413" s="48" t="s">
        <v>311</v>
      </c>
      <c r="D413" s="44" t="str">
        <f>B413&amp;TEXT(Prices!$C$45,"0.0")</f>
        <v>US$271.5</v>
      </c>
      <c r="E413" s="44" t="str">
        <f>B413&amp;TEXT(Prices!$E$45,"0.0")</f>
        <v>US$581.0</v>
      </c>
      <c r="F413" s="45">
        <f>Prices!$F$45</f>
        <v>1.1402784940691078</v>
      </c>
      <c r="G413" s="44" t="str">
        <f>Prices!$D$45</f>
        <v>Buy</v>
      </c>
      <c r="H413" s="46"/>
      <c r="I413" s="45">
        <f>(CHTR!D$24/CHTR!D$23)</f>
        <v>0.40093760873148132</v>
      </c>
      <c r="J413" s="45">
        <f>(CHTR!E$24/CHTR!E$23)</f>
        <v>0.40691163177323347</v>
      </c>
      <c r="K413" s="45">
        <f>(CHTR!F$24/CHTR!F$23)</f>
        <v>0.41007258856609002</v>
      </c>
      <c r="L413" s="45">
        <f>(CHTR!G$24/CHTR!G$23)</f>
        <v>0.41696377070962709</v>
      </c>
      <c r="M413" s="45">
        <f t="shared" si="85"/>
        <v>1.602616197814577E-2</v>
      </c>
      <c r="N413" s="46"/>
      <c r="O413" s="45">
        <f>(CHTR!D$25/CHTR!D$23)</f>
        <v>0.19739227571556761</v>
      </c>
      <c r="P413" s="45">
        <f>(CHTR!E$25/CHTR!E$23)</f>
        <v>0.18433836855493624</v>
      </c>
      <c r="Q413" s="45">
        <f>(CHTR!F$25/CHTR!F$23)</f>
        <v>0.18588953224463756</v>
      </c>
      <c r="R413" s="45">
        <f>(CHTR!G$25/CHTR!G$23)</f>
        <v>0.22045767678637529</v>
      </c>
      <c r="S413" s="45">
        <f t="shared" si="86"/>
        <v>2.3065401070807678E-2</v>
      </c>
      <c r="T413" s="46"/>
      <c r="U413" s="48" t="str">
        <f>D413</f>
        <v>US$271.5</v>
      </c>
      <c r="V413" s="44" t="str">
        <f>C413</f>
        <v>Charter</v>
      </c>
      <c r="W413" s="59"/>
      <c r="X413" s="59"/>
      <c r="Y413" s="59"/>
      <c r="Z413" s="49"/>
      <c r="BU413" s="39"/>
      <c r="BV413" s="39"/>
      <c r="BW413" s="39"/>
      <c r="BX413" s="39"/>
      <c r="BY413" s="39"/>
      <c r="BZ413" s="39"/>
      <c r="CA413" s="39"/>
      <c r="CB413" s="39"/>
      <c r="CC413" s="39"/>
      <c r="CD413" s="39"/>
      <c r="CE413" s="39"/>
      <c r="CF413" s="39"/>
      <c r="CG413" s="39"/>
      <c r="CH413" s="39"/>
      <c r="CI413" s="39"/>
      <c r="CJ413" s="39"/>
      <c r="CK413" s="39"/>
      <c r="CL413" s="39"/>
      <c r="CM413" s="39"/>
      <c r="CN413" s="39"/>
      <c r="CO413" s="39"/>
      <c r="CP413" s="39"/>
      <c r="CQ413" s="39"/>
      <c r="CR413" s="39"/>
      <c r="CS413" s="39"/>
      <c r="CT413" s="39"/>
      <c r="CU413" s="39"/>
      <c r="CV413" s="39"/>
      <c r="CW413" s="39"/>
      <c r="CX413" s="39"/>
      <c r="CY413" s="39"/>
      <c r="CZ413" s="39"/>
      <c r="DA413" s="39"/>
      <c r="DB413" s="39"/>
      <c r="DC413" s="39"/>
      <c r="DD413" s="39"/>
      <c r="DE413" s="39"/>
      <c r="DF413" s="39"/>
      <c r="DG413" s="39"/>
      <c r="DH413" s="39"/>
      <c r="DI413" s="39"/>
    </row>
    <row r="414" spans="1:113">
      <c r="A414" s="41"/>
      <c r="B414" s="42" t="s">
        <v>519</v>
      </c>
      <c r="C414" s="48" t="s">
        <v>309</v>
      </c>
      <c r="D414" s="44" t="str">
        <f>B414&amp;TEXT(Prices!$C$46,"0.0")</f>
        <v>US$38.5</v>
      </c>
      <c r="E414" s="44" t="str">
        <f>B414&amp;TEXT(Prices!$E$46,"0.0")</f>
        <v>US$50.0</v>
      </c>
      <c r="F414" s="45">
        <f>Prices!$F$46</f>
        <v>0.29735339906590563</v>
      </c>
      <c r="G414" s="44" t="str">
        <f>Prices!$D$46</f>
        <v>Buy</v>
      </c>
      <c r="H414" s="46"/>
      <c r="I414" s="45">
        <f>(CMCSA!D$24/CMCSA!D$23)</f>
        <v>0.30955513932918166</v>
      </c>
      <c r="J414" s="45">
        <f>(CMCSA!E$24/CMCSA!E$23)</f>
        <v>0.31279778225482874</v>
      </c>
      <c r="K414" s="45">
        <f>(CMCSA!F$24/CMCSA!F$23)</f>
        <v>0.32169536414950373</v>
      </c>
      <c r="L414" s="45">
        <f>(CMCSA!G$24/CMCSA!G$23)</f>
        <v>0.33106051090177163</v>
      </c>
      <c r="M414" s="45">
        <f t="shared" si="85"/>
        <v>2.1505371572589971E-2</v>
      </c>
      <c r="N414" s="46"/>
      <c r="O414" s="45">
        <f>(CMCSA!D$25/CMCSA!D$23)</f>
        <v>0.20887175858355575</v>
      </c>
      <c r="P414" s="45">
        <f>(CMCSA!E$25/CMCSA!E$23)</f>
        <v>0.21583304594821151</v>
      </c>
      <c r="Q414" s="45">
        <f>(CMCSA!F$25/CMCSA!F$23)</f>
        <v>0.23316889677911556</v>
      </c>
      <c r="R414" s="45">
        <f>(CMCSA!G$25/CMCSA!G$23)</f>
        <v>0.25461733574986362</v>
      </c>
      <c r="S414" s="45">
        <f t="shared" si="86"/>
        <v>4.5745577166307866E-2</v>
      </c>
      <c r="T414" s="46"/>
      <c r="U414" s="48" t="str">
        <f>D414</f>
        <v>US$38.5</v>
      </c>
      <c r="V414" s="44" t="str">
        <f>C414</f>
        <v>Comcast</v>
      </c>
      <c r="W414" s="59"/>
      <c r="X414" s="59"/>
      <c r="Y414" s="59"/>
      <c r="Z414" s="49"/>
      <c r="BU414" s="39"/>
      <c r="BV414" s="39"/>
      <c r="BW414" s="39"/>
      <c r="BX414" s="39"/>
      <c r="BY414" s="39"/>
      <c r="BZ414" s="39"/>
      <c r="CA414" s="39"/>
      <c r="CB414" s="39"/>
      <c r="CC414" s="39"/>
      <c r="CD414" s="39"/>
      <c r="CE414" s="39"/>
      <c r="CF414" s="39"/>
      <c r="CG414" s="39"/>
      <c r="CH414" s="39"/>
      <c r="CI414" s="39"/>
      <c r="CJ414" s="39"/>
      <c r="CK414" s="39"/>
      <c r="CL414" s="39"/>
      <c r="CM414" s="39"/>
      <c r="CN414" s="39"/>
      <c r="CO414" s="39"/>
      <c r="CP414" s="39"/>
      <c r="CQ414" s="39"/>
      <c r="CR414" s="39"/>
      <c r="CS414" s="39"/>
      <c r="CT414" s="39"/>
      <c r="CU414" s="39"/>
      <c r="CV414" s="39"/>
      <c r="CW414" s="39"/>
      <c r="CX414" s="39"/>
      <c r="CY414" s="39"/>
      <c r="CZ414" s="39"/>
      <c r="DA414" s="39"/>
      <c r="DB414" s="39"/>
      <c r="DC414" s="39"/>
      <c r="DD414" s="39"/>
      <c r="DE414" s="39"/>
      <c r="DF414" s="39"/>
      <c r="DG414" s="39"/>
      <c r="DH414" s="39"/>
      <c r="DI414" s="39"/>
    </row>
    <row r="415" spans="1:113" s="5" customFormat="1">
      <c r="A415" s="41"/>
      <c r="B415" s="42" t="s">
        <v>527</v>
      </c>
      <c r="C415" s="48" t="s">
        <v>1615</v>
      </c>
      <c r="D415" s="44" t="str">
        <f>B415&amp;TEXT(Prices!C$47,"0.00")</f>
        <v>US$ 25.58</v>
      </c>
      <c r="E415" s="44" t="str">
        <f>B415&amp;TEXT(Prices!E$47,"0.00")</f>
        <v>US$ 54.00</v>
      </c>
      <c r="F415" s="45">
        <f>Prices!F$47</f>
        <v>1.111024237685692</v>
      </c>
      <c r="G415" s="44" t="str">
        <f>Prices!D$47</f>
        <v>Buy</v>
      </c>
      <c r="H415" s="46"/>
      <c r="I415" s="45">
        <f>(FYBR!D$24/FYBR!D$23)</f>
        <v>0.36984872196139801</v>
      </c>
      <c r="J415" s="45">
        <f>(FYBR!E$24/FYBR!E$23)</f>
        <v>0.37874611877097475</v>
      </c>
      <c r="K415" s="45">
        <f>(FYBR!F$24/FYBR!F$23)</f>
        <v>0.38850186881422261</v>
      </c>
      <c r="L415" s="45">
        <f>(FYBR!G$24/FYBR!G$23)</f>
        <v>0.3869260337479124</v>
      </c>
      <c r="M415" s="45">
        <f t="shared" si="85"/>
        <v>1.7077311786514393E-2</v>
      </c>
      <c r="N415" s="46"/>
      <c r="O415" s="45">
        <f>(FYBR!D$25/FYBR!D$23)</f>
        <v>-0.18848895844201008</v>
      </c>
      <c r="P415" s="45">
        <f>(FYBR!E$25/FYBR!E$23)</f>
        <v>-0.37631821654668796</v>
      </c>
      <c r="Q415" s="45">
        <f>(FYBR!F$25/FYBR!F$23)</f>
        <v>-0.28390687644983192</v>
      </c>
      <c r="R415" s="45">
        <f>(FYBR!G$25/FYBR!G$23)</f>
        <v>-4.6169748700264628E-2</v>
      </c>
      <c r="S415" s="45">
        <f t="shared" si="86"/>
        <v>0.14231920974174544</v>
      </c>
      <c r="T415" s="46"/>
      <c r="U415" s="48" t="str">
        <f>D415</f>
        <v>US$ 25.58</v>
      </c>
      <c r="V415" s="44" t="str">
        <f>C415</f>
        <v>Frontier</v>
      </c>
      <c r="W415" s="59"/>
      <c r="X415" s="59"/>
      <c r="Y415" s="59"/>
      <c r="Z415" s="49"/>
    </row>
    <row r="416" spans="1:113" s="5" customFormat="1">
      <c r="A416" s="41"/>
      <c r="B416" s="42" t="s">
        <v>527</v>
      </c>
      <c r="C416" s="48" t="s">
        <v>1616</v>
      </c>
      <c r="D416" s="44" t="str">
        <f>B416&amp;TEXT(Prices!C$48,"0.00")</f>
        <v>US$ 18.49</v>
      </c>
      <c r="E416" s="44" t="str">
        <f>B416&amp;TEXT(Prices!E$48,"0.00")</f>
        <v>US$ 100.00</v>
      </c>
      <c r="F416" s="45">
        <f>Prices!F$48</f>
        <v>4.408328826392645</v>
      </c>
      <c r="G416" s="44" t="str">
        <f>Prices!D$48</f>
        <v>Buy</v>
      </c>
      <c r="H416" s="46"/>
      <c r="I416" s="45">
        <f>(SATS!D$24/SATS!D$23)</f>
        <v>9.4370799756765905E-2</v>
      </c>
      <c r="J416" s="45">
        <f>(SATS!E$24/SATS!E$23)</f>
        <v>0.12980795541709708</v>
      </c>
      <c r="K416" s="45">
        <f>(SATS!F$24/SATS!F$23)</f>
        <v>0.15533989703765375</v>
      </c>
      <c r="L416" s="45">
        <f>(SATS!G$24/SATS!G$23)</f>
        <v>0.17705929543996624</v>
      </c>
      <c r="M416" s="45">
        <f t="shared" si="85"/>
        <v>8.268849568320033E-2</v>
      </c>
      <c r="N416" s="46"/>
      <c r="O416" s="45">
        <f>(SATS!D$25/SATS!D$23)</f>
        <v>-7.7567484603178763E-2</v>
      </c>
      <c r="P416" s="45">
        <f>(SATS!E$25/SATS!E$23)</f>
        <v>6.4806278450659033E-2</v>
      </c>
      <c r="Q416" s="45">
        <f>(SATS!F$25/SATS!F$23)</f>
        <v>8.6792955037391054E-2</v>
      </c>
      <c r="R416" s="45">
        <f>(SATS!G$25/SATS!G$23)</f>
        <v>0.12914997050236299</v>
      </c>
      <c r="S416" s="45">
        <f t="shared" si="86"/>
        <v>0.20671745510554174</v>
      </c>
      <c r="T416" s="46"/>
      <c r="U416" s="48" t="str">
        <f>D416</f>
        <v>US$ 18.49</v>
      </c>
      <c r="V416" s="44" t="str">
        <f>C416</f>
        <v>EchoStar</v>
      </c>
      <c r="W416" s="59"/>
      <c r="X416" s="59"/>
      <c r="Y416" s="59"/>
      <c r="Z416" s="49"/>
    </row>
    <row r="417" spans="1:113">
      <c r="A417" s="41"/>
      <c r="C417" s="51" t="str">
        <f>C357</f>
        <v>Agg. US Other</v>
      </c>
      <c r="D417" s="58"/>
      <c r="E417" s="58"/>
      <c r="F417" s="55"/>
      <c r="G417" s="58"/>
      <c r="H417" s="56"/>
      <c r="I417" s="55">
        <f>('US OTHER'!D$24/'US OTHER'!D$23)</f>
        <v>0.3211646015118893</v>
      </c>
      <c r="J417" s="55">
        <f>('US OTHER'!E$24/'US OTHER'!E$23)</f>
        <v>0.32695269026283263</v>
      </c>
      <c r="K417" s="55">
        <f>('US OTHER'!F$24/'US OTHER'!F$23)</f>
        <v>0.33461300185937498</v>
      </c>
      <c r="L417" s="55">
        <f>('US OTHER'!G$24/'US OTHER'!G$23)</f>
        <v>0.34378304305261248</v>
      </c>
      <c r="M417" s="55">
        <f t="shared" si="85"/>
        <v>2.2618441540723178E-2</v>
      </c>
      <c r="N417" s="56"/>
      <c r="O417" s="55">
        <f>('US OTHER'!D$25/'US OTHER'!D$23)</f>
        <v>0.17130825692306995</v>
      </c>
      <c r="P417" s="55">
        <f>('US OTHER'!E$25/'US OTHER'!E$23)</f>
        <v>0.19082367636308578</v>
      </c>
      <c r="Q417" s="55">
        <f>('US OTHER'!F$25/'US OTHER'!F$23)</f>
        <v>0.20412033101761604</v>
      </c>
      <c r="R417" s="55">
        <f>('US OTHER'!G$25/'US OTHER'!G$23)</f>
        <v>0.23186552483325548</v>
      </c>
      <c r="S417" s="55">
        <f t="shared" si="86"/>
        <v>6.0557267910185536E-2</v>
      </c>
      <c r="T417" s="56"/>
      <c r="U417" s="51"/>
      <c r="V417" s="58" t="str">
        <f>V357</f>
        <v>Agg. US CATV</v>
      </c>
      <c r="W417" s="59"/>
      <c r="X417" s="59"/>
      <c r="Y417" s="59"/>
      <c r="Z417" s="49"/>
      <c r="BU417" s="39"/>
      <c r="BV417" s="39"/>
      <c r="BW417" s="39"/>
      <c r="BX417" s="39"/>
      <c r="BY417" s="39"/>
      <c r="BZ417" s="39"/>
      <c r="CA417" s="39"/>
      <c r="CB417" s="39"/>
      <c r="CC417" s="39"/>
      <c r="CD417" s="39"/>
      <c r="CE417" s="39"/>
      <c r="CF417" s="39"/>
      <c r="CG417" s="39"/>
      <c r="CH417" s="39"/>
      <c r="CI417" s="39"/>
      <c r="CJ417" s="39"/>
      <c r="CK417" s="39"/>
      <c r="CL417" s="39"/>
      <c r="CM417" s="39"/>
      <c r="CN417" s="39"/>
      <c r="CO417" s="39"/>
      <c r="CP417" s="39"/>
      <c r="CQ417" s="39"/>
      <c r="CR417" s="39"/>
      <c r="CS417" s="39"/>
      <c r="CT417" s="39"/>
      <c r="CU417" s="39"/>
      <c r="CV417" s="39"/>
      <c r="CW417" s="39"/>
      <c r="CX417" s="39"/>
      <c r="CY417" s="39"/>
      <c r="CZ417" s="39"/>
      <c r="DA417" s="39"/>
      <c r="DB417" s="39"/>
      <c r="DC417" s="39"/>
      <c r="DD417" s="39"/>
      <c r="DE417" s="39"/>
      <c r="DF417" s="39"/>
      <c r="DG417" s="39"/>
      <c r="DH417" s="39"/>
      <c r="DI417" s="39"/>
    </row>
    <row r="418" spans="1:113">
      <c r="A418" s="41"/>
      <c r="C418" s="48"/>
      <c r="D418" s="44"/>
      <c r="E418" s="44"/>
      <c r="F418" s="45"/>
      <c r="G418" s="44"/>
      <c r="H418" s="46"/>
      <c r="I418" s="45"/>
      <c r="J418" s="45"/>
      <c r="K418" s="45"/>
      <c r="L418" s="45"/>
      <c r="M418" s="45"/>
      <c r="N418" s="46"/>
      <c r="O418" s="45"/>
      <c r="P418" s="45"/>
      <c r="Q418" s="45"/>
      <c r="R418" s="45"/>
      <c r="S418" s="45"/>
      <c r="T418" s="46"/>
      <c r="U418" s="48"/>
      <c r="V418" s="44"/>
      <c r="W418" s="59"/>
      <c r="X418" s="59"/>
      <c r="Y418" s="59"/>
      <c r="Z418" s="49"/>
      <c r="BU418" s="39"/>
      <c r="BV418" s="39"/>
      <c r="BW418" s="39"/>
      <c r="BX418" s="39"/>
      <c r="BY418" s="39"/>
      <c r="BZ418" s="39"/>
      <c r="CA418" s="39"/>
      <c r="CB418" s="39"/>
      <c r="CC418" s="39"/>
      <c r="CD418" s="39"/>
      <c r="CE418" s="39"/>
      <c r="CF418" s="39"/>
      <c r="CG418" s="39"/>
      <c r="CH418" s="39"/>
      <c r="CI418" s="39"/>
      <c r="CJ418" s="39"/>
      <c r="CK418" s="39"/>
      <c r="CL418" s="39"/>
      <c r="CM418" s="39"/>
      <c r="CN418" s="39"/>
      <c r="CO418" s="39"/>
      <c r="CP418" s="39"/>
      <c r="CQ418" s="39"/>
      <c r="CR418" s="39"/>
      <c r="CS418" s="39"/>
      <c r="CT418" s="39"/>
      <c r="CU418" s="39"/>
      <c r="CV418" s="39"/>
      <c r="CW418" s="39"/>
      <c r="CX418" s="39"/>
      <c r="CY418" s="39"/>
      <c r="CZ418" s="39"/>
      <c r="DA418" s="39"/>
      <c r="DB418" s="39"/>
      <c r="DC418" s="39"/>
      <c r="DD418" s="39"/>
      <c r="DE418" s="39"/>
      <c r="DF418" s="39"/>
      <c r="DG418" s="39"/>
      <c r="DH418" s="39"/>
      <c r="DI418" s="39"/>
    </row>
    <row r="419" spans="1:113" s="5" customFormat="1">
      <c r="A419" s="146"/>
      <c r="B419" s="42"/>
      <c r="C419" s="48"/>
      <c r="D419" s="44"/>
      <c r="E419" s="44"/>
      <c r="F419" s="45"/>
      <c r="G419" s="44"/>
      <c r="H419" s="46"/>
      <c r="I419" s="45"/>
      <c r="J419" s="45"/>
      <c r="K419" s="45"/>
      <c r="L419" s="45"/>
      <c r="M419" s="45"/>
      <c r="N419" s="46"/>
      <c r="O419" s="45"/>
      <c r="P419" s="45"/>
      <c r="Q419" s="45"/>
      <c r="R419" s="45"/>
      <c r="S419" s="45"/>
      <c r="T419" s="46"/>
      <c r="U419" s="48"/>
      <c r="V419" s="44"/>
      <c r="W419" s="59"/>
      <c r="X419" s="59"/>
      <c r="Y419" s="59"/>
      <c r="Z419" s="49"/>
    </row>
    <row r="420" spans="1:113" s="5" customFormat="1">
      <c r="A420" s="146"/>
      <c r="B420" s="42"/>
      <c r="C420" s="51" t="str">
        <f>C360</f>
        <v>Agg. W Europe</v>
      </c>
      <c r="D420" s="52"/>
      <c r="E420" s="52"/>
      <c r="F420" s="53"/>
      <c r="G420" s="52"/>
      <c r="H420" s="46"/>
      <c r="I420" s="55">
        <f>'W.EUR AGG'!$D$24/'W.EUR AGG'!$D$23</f>
        <v>0.32696965120731175</v>
      </c>
      <c r="J420" s="55">
        <f>'W.EUR AGG'!$E$24/'W.EUR AGG'!$E$23</f>
        <v>0.33082663500790555</v>
      </c>
      <c r="K420" s="55">
        <f>'W.EUR AGG'!$F$24/'W.EUR AGG'!$F$23</f>
        <v>0.33721748511626165</v>
      </c>
      <c r="L420" s="55">
        <f>'W.EUR AGG'!$G$24/'W.EUR AGG'!$G$23</f>
        <v>0.34198081217630621</v>
      </c>
      <c r="M420" s="55">
        <f>L420-I420</f>
        <v>1.5011160968994464E-2</v>
      </c>
      <c r="N420" s="56"/>
      <c r="O420" s="55">
        <f>'W.EUR AGG'!$D$25/'W.EUR AGG'!$D$23</f>
        <v>0.15229817857636505</v>
      </c>
      <c r="P420" s="55">
        <f>'W.EUR AGG'!$E$25/'W.EUR AGG'!$E$23</f>
        <v>0.16499594401314818</v>
      </c>
      <c r="Q420" s="55">
        <f>'W.EUR AGG'!$F$25/'W.EUR AGG'!$F$23</f>
        <v>0.17697440560537966</v>
      </c>
      <c r="R420" s="55">
        <f>'W.EUR AGG'!$G$25/'W.EUR AGG'!$G$23</f>
        <v>0.18810108188113034</v>
      </c>
      <c r="S420" s="55">
        <f>R420-O420</f>
        <v>3.5802903304765293E-2</v>
      </c>
      <c r="T420" s="46"/>
      <c r="U420" s="57"/>
      <c r="V420" s="58" t="str">
        <f>V360</f>
        <v>Agg. W Europe</v>
      </c>
      <c r="W420" s="59"/>
      <c r="X420" s="59"/>
      <c r="Y420" s="59"/>
      <c r="Z420" s="49"/>
      <c r="AB420" s="63"/>
    </row>
    <row r="421" spans="1:113" s="5" customFormat="1">
      <c r="A421" s="146"/>
      <c r="B421" s="42"/>
      <c r="C421" s="41" t="s">
        <v>1621</v>
      </c>
      <c r="D421" s="44"/>
      <c r="E421" s="44"/>
      <c r="F421" s="45"/>
      <c r="G421" s="44"/>
      <c r="H421" s="46"/>
      <c r="I421" s="59">
        <f>'US AGG'!D$24/'US AGG'!D$23</f>
        <v>0.35548641176202622</v>
      </c>
      <c r="J421" s="59">
        <f>'US AGG'!E$24/'US AGG'!E$23</f>
        <v>0.36308030106702049</v>
      </c>
      <c r="K421" s="59">
        <f>'US AGG'!F$24/'US AGG'!F$23</f>
        <v>0.36784222720898196</v>
      </c>
      <c r="L421" s="59">
        <f>'US AGG'!G$24/'US AGG'!G$23</f>
        <v>0.37274094205282843</v>
      </c>
      <c r="M421" s="59">
        <f>L421-I421</f>
        <v>1.7254530290802206E-2</v>
      </c>
      <c r="N421" s="56"/>
      <c r="O421" s="59">
        <f>'US AGG'!D$25/'US AGG'!D$23</f>
        <v>0.2013643740256493</v>
      </c>
      <c r="P421" s="59">
        <f>'US AGG'!E$25/'US AGG'!E$23</f>
        <v>0.22355318787887205</v>
      </c>
      <c r="Q421" s="59">
        <f>'US AGG'!F$25/'US AGG'!F$23</f>
        <v>0.2330119382259275</v>
      </c>
      <c r="R421" s="59">
        <f>'US AGG'!G$25/'US AGG'!G$23</f>
        <v>0.24637578634572685</v>
      </c>
      <c r="S421" s="59">
        <f>R421-O421</f>
        <v>4.5011412320077548E-2</v>
      </c>
      <c r="T421" s="46"/>
      <c r="U421" s="48"/>
      <c r="V421" s="50" t="str">
        <f>V361</f>
        <v>Agg. US</v>
      </c>
      <c r="W421" s="59"/>
      <c r="X421" s="59"/>
      <c r="Y421" s="59"/>
      <c r="Z421" s="49"/>
    </row>
    <row r="422" spans="1:113" s="5" customFormat="1">
      <c r="A422" s="146"/>
      <c r="B422" s="42"/>
      <c r="C422" s="67" t="str">
        <f>C362</f>
        <v xml:space="preserve">Agg. Developed Asia </v>
      </c>
      <c r="D422" s="52"/>
      <c r="E422" s="52"/>
      <c r="F422" s="53"/>
      <c r="G422" s="52"/>
      <c r="H422" s="46"/>
      <c r="I422" s="55">
        <f>'AGG DM ASIA'!$D$24/'AGG DM ASIA'!$D$23</f>
        <v>0.26179290743168426</v>
      </c>
      <c r="J422" s="55">
        <f>'AGG DM ASIA'!$E$24/'AGG DM ASIA'!$E$23</f>
        <v>0.27027627943836241</v>
      </c>
      <c r="K422" s="55">
        <f>'AGG DM ASIA'!$F$24/'AGG DM ASIA'!$F$23</f>
        <v>0.27237514937240553</v>
      </c>
      <c r="L422" s="55">
        <f>'AGG DM ASIA'!$G$24/'AGG DM ASIA'!$G$23</f>
        <v>0.27511290000270838</v>
      </c>
      <c r="M422" s="55">
        <f>L422-I422</f>
        <v>1.331999257102412E-2</v>
      </c>
      <c r="N422" s="56"/>
      <c r="O422" s="55">
        <f>'AGG DM ASIA'!$D$25/'AGG DM ASIA'!$D$23</f>
        <v>0.13027447789147534</v>
      </c>
      <c r="P422" s="55">
        <f>'AGG DM ASIA'!$E$25/'AGG DM ASIA'!$E$23</f>
        <v>0.15816399647313922</v>
      </c>
      <c r="Q422" s="55">
        <f>'AGG DM ASIA'!$F$25/'AGG DM ASIA'!$F$23</f>
        <v>0.16332191548559508</v>
      </c>
      <c r="R422" s="55">
        <f>'AGG DM ASIA'!$G$25/'AGG DM ASIA'!$G$23</f>
        <v>0.16676318500802315</v>
      </c>
      <c r="S422" s="55">
        <f>R422-O422</f>
        <v>3.6488707116547808E-2</v>
      </c>
      <c r="T422" s="46"/>
      <c r="U422" s="57"/>
      <c r="V422" s="58" t="str">
        <f>V362</f>
        <v xml:space="preserve">Agg. Developed Asia </v>
      </c>
      <c r="W422" s="59"/>
      <c r="X422" s="59"/>
      <c r="Y422" s="59"/>
      <c r="Z422" s="49"/>
    </row>
    <row r="423" spans="1:113" s="5" customFormat="1">
      <c r="A423" s="146"/>
      <c r="B423" s="42"/>
      <c r="C423" s="41"/>
      <c r="D423" s="44"/>
      <c r="E423" s="44"/>
      <c r="F423" s="45"/>
      <c r="G423" s="44"/>
      <c r="H423" s="46"/>
      <c r="I423" s="59"/>
      <c r="J423" s="59"/>
      <c r="K423" s="59"/>
      <c r="L423" s="59"/>
      <c r="M423" s="59"/>
      <c r="N423" s="56"/>
      <c r="O423" s="59"/>
      <c r="P423" s="59"/>
      <c r="Q423" s="59"/>
      <c r="R423" s="59"/>
      <c r="S423" s="59"/>
      <c r="T423" s="46"/>
      <c r="U423" s="48"/>
      <c r="V423" s="50"/>
      <c r="W423" s="59"/>
      <c r="X423" s="59"/>
      <c r="Y423" s="59"/>
      <c r="Z423" s="49"/>
    </row>
    <row r="424" spans="1:113" s="5" customFormat="1">
      <c r="A424" s="146"/>
      <c r="B424" s="42"/>
      <c r="C424" s="67" t="str">
        <f>C364</f>
        <v>Agg. Global Developed</v>
      </c>
      <c r="D424" s="52"/>
      <c r="E424" s="52"/>
      <c r="F424" s="53"/>
      <c r="G424" s="52"/>
      <c r="H424" s="46"/>
      <c r="I424" s="55">
        <f>'AGG DM'!$D$24/'AGG DM'!$D$23</f>
        <v>0.32881855703411977</v>
      </c>
      <c r="J424" s="55">
        <f>'AGG DM'!$E$24/'AGG DM'!$E$23</f>
        <v>0.33502762745091719</v>
      </c>
      <c r="K424" s="55">
        <f>'AGG DM'!$F$24/'AGG DM'!$F$23</f>
        <v>0.33953235148028549</v>
      </c>
      <c r="L424" s="55">
        <f>'AGG DM'!$G$24/'AGG DM'!$G$23</f>
        <v>0.34370109726329567</v>
      </c>
      <c r="M424" s="55">
        <f>L424-I424</f>
        <v>1.48825402291759E-2</v>
      </c>
      <c r="N424" s="56"/>
      <c r="O424" s="55">
        <f>'AGG DM'!$D$25/'AGG DM'!$D$23</f>
        <v>0.17212463028886374</v>
      </c>
      <c r="P424" s="55">
        <f>'AGG DM'!$E$25/'AGG DM'!$E$23</f>
        <v>0.19202194820331234</v>
      </c>
      <c r="Q424" s="55">
        <f>'AGG DM'!$F$25/'AGG DM'!$F$23</f>
        <v>0.20132389518146293</v>
      </c>
      <c r="R424" s="55">
        <f>'AGG DM'!$G$25/'AGG DM'!$G$23</f>
        <v>0.21190754646550231</v>
      </c>
      <c r="S424" s="55">
        <f>R424-O424</f>
        <v>3.9782916176638566E-2</v>
      </c>
      <c r="T424" s="46"/>
      <c r="U424" s="57"/>
      <c r="V424" s="58" t="str">
        <f>V364</f>
        <v xml:space="preserve">Agg. Global Developed </v>
      </c>
      <c r="W424" s="59"/>
      <c r="X424" s="59"/>
      <c r="Y424" s="59"/>
      <c r="Z424" s="49"/>
    </row>
    <row r="425" spans="1:113" s="5" customFormat="1">
      <c r="A425" s="146"/>
      <c r="B425" s="42"/>
      <c r="C425" s="41"/>
      <c r="D425" s="44"/>
      <c r="E425" s="44"/>
      <c r="F425" s="45"/>
      <c r="G425" s="44"/>
      <c r="H425" s="46"/>
      <c r="I425" s="59"/>
      <c r="J425" s="59"/>
      <c r="K425" s="59"/>
      <c r="L425" s="59"/>
      <c r="M425" s="72"/>
      <c r="N425" s="73"/>
      <c r="O425" s="59"/>
      <c r="P425" s="59"/>
      <c r="Q425" s="59"/>
      <c r="R425" s="59"/>
      <c r="S425" s="59"/>
      <c r="T425" s="46"/>
      <c r="U425" s="48"/>
      <c r="V425" s="50"/>
      <c r="W425" s="59"/>
      <c r="X425" s="59"/>
      <c r="Y425" s="59"/>
      <c r="Z425" s="49"/>
    </row>
    <row r="426" spans="1:113" s="5" customFormat="1">
      <c r="A426" s="146"/>
      <c r="B426" s="42"/>
      <c r="C426" s="41"/>
      <c r="D426" s="44"/>
      <c r="E426" s="44"/>
      <c r="F426" s="45"/>
      <c r="G426" s="44"/>
      <c r="H426" s="46"/>
      <c r="I426" s="59"/>
      <c r="J426" s="59"/>
      <c r="K426" s="59"/>
      <c r="L426" s="59"/>
      <c r="M426" s="72"/>
      <c r="N426" s="73"/>
      <c r="O426" s="59"/>
      <c r="P426" s="59"/>
      <c r="Q426" s="59"/>
      <c r="R426" s="59"/>
      <c r="S426" s="59"/>
      <c r="T426" s="46"/>
      <c r="U426" s="48"/>
      <c r="V426" s="50"/>
      <c r="W426" s="59"/>
      <c r="X426" s="59"/>
      <c r="Y426" s="59"/>
      <c r="Z426" s="49"/>
    </row>
    <row r="427" spans="1:113" s="41" customFormat="1">
      <c r="B427" s="147"/>
      <c r="C427" s="164"/>
      <c r="D427" s="165" t="s">
        <v>464</v>
      </c>
      <c r="E427" s="165" t="s">
        <v>57</v>
      </c>
      <c r="F427" s="165" t="s">
        <v>59</v>
      </c>
      <c r="G427" s="165" t="s">
        <v>56</v>
      </c>
      <c r="H427" s="49"/>
      <c r="I427" s="166" t="s">
        <v>472</v>
      </c>
      <c r="J427" s="166"/>
      <c r="K427" s="166"/>
      <c r="L427" s="166"/>
      <c r="M427" s="166"/>
      <c r="O427" s="166" t="s">
        <v>289</v>
      </c>
      <c r="P427" s="166"/>
      <c r="Q427" s="166"/>
      <c r="R427" s="166"/>
      <c r="S427" s="166"/>
      <c r="T427" s="49"/>
      <c r="U427" s="167" t="s">
        <v>464</v>
      </c>
      <c r="V427" s="165"/>
      <c r="Z427" s="49"/>
      <c r="AC427" s="135"/>
      <c r="AD427" s="136"/>
      <c r="AE427" s="136"/>
      <c r="AF427" s="136"/>
      <c r="AG427" s="136"/>
      <c r="AH427" s="136"/>
      <c r="AI427" s="136"/>
      <c r="AJ427" s="136"/>
      <c r="AK427" s="136"/>
      <c r="AL427" s="136"/>
      <c r="AM427" s="136"/>
      <c r="AN427" s="136"/>
      <c r="AO427" s="136"/>
      <c r="AP427" s="136"/>
      <c r="AQ427" s="136"/>
      <c r="AR427" s="136"/>
      <c r="AS427" s="136"/>
      <c r="AT427" s="136"/>
      <c r="AU427" s="136"/>
      <c r="AV427" s="136"/>
      <c r="AW427" s="136"/>
      <c r="BC427" s="137"/>
      <c r="BD427" s="137"/>
      <c r="BE427" s="137"/>
      <c r="BG427" s="137"/>
      <c r="BH427" s="137"/>
      <c r="BI427" s="137"/>
      <c r="BK427" s="137"/>
      <c r="BL427" s="137"/>
      <c r="BM427" s="137"/>
      <c r="BO427" s="137"/>
      <c r="BP427" s="137"/>
      <c r="BQ427" s="137"/>
    </row>
    <row r="428" spans="1:113" s="5" customFormat="1">
      <c r="A428" s="41" t="s">
        <v>506</v>
      </c>
      <c r="B428" s="42"/>
      <c r="C428" s="48" t="s">
        <v>186</v>
      </c>
      <c r="D428" s="44" t="str">
        <f t="shared" ref="D428:G438" si="87">D368</f>
        <v>GBP1.27</v>
      </c>
      <c r="E428" s="44" t="str">
        <f t="shared" si="87"/>
        <v>GBP1.95</v>
      </c>
      <c r="F428" s="45">
        <f t="shared" si="87"/>
        <v>0.53422501966955149</v>
      </c>
      <c r="G428" s="44" t="str">
        <f t="shared" si="87"/>
        <v>Buy</v>
      </c>
      <c r="H428" s="46"/>
      <c r="I428" s="45">
        <f>BT!$D$30/BT!$D$23</f>
        <v>7.9727374992998243E-2</v>
      </c>
      <c r="J428" s="45">
        <f>BT!$E$30/BT!$E$23</f>
        <v>7.9673748213657372E-2</v>
      </c>
      <c r="K428" s="45">
        <f>BT!$F$30/BT!$F$23</f>
        <v>7.2724642678985277E-2</v>
      </c>
      <c r="L428" s="45">
        <f>BT!$G$30/BT!$G$23</f>
        <v>7.15330986109598E-2</v>
      </c>
      <c r="M428" s="45">
        <f t="shared" ref="M428:M439" si="88">L428-I428</f>
        <v>-8.1942763820384429E-3</v>
      </c>
      <c r="N428" s="46"/>
      <c r="O428" s="47">
        <f>BT!$D$12/BT!$D$24</f>
        <v>2.0358023894478117</v>
      </c>
      <c r="P428" s="47">
        <f>BT!$E$12/BT!$E$24</f>
        <v>2.096737720526324</v>
      </c>
      <c r="Q428" s="47">
        <f>BT!$F$12/BT!$F$24</f>
        <v>2.1884896808993104</v>
      </c>
      <c r="R428" s="47">
        <f>BT!$G$12/BT!$G$24</f>
        <v>2.2945475872470094</v>
      </c>
      <c r="S428" s="45">
        <f t="shared" ref="S428:S439" si="89">R428-O428</f>
        <v>0.25874519779919769</v>
      </c>
      <c r="T428" s="46"/>
      <c r="U428" s="48" t="str">
        <f t="shared" ref="U428:U438" si="90">U368</f>
        <v>GBP1.27</v>
      </c>
      <c r="V428" s="69" t="str">
        <f>C428</f>
        <v>British Telecom</v>
      </c>
      <c r="W428" s="59"/>
      <c r="X428" s="59"/>
      <c r="Y428" s="59"/>
      <c r="Z428" s="49"/>
    </row>
    <row r="429" spans="1:113">
      <c r="A429" s="41"/>
      <c r="C429" s="48" t="s">
        <v>187</v>
      </c>
      <c r="D429" s="44" t="str">
        <f t="shared" si="87"/>
        <v>EUR 21.76</v>
      </c>
      <c r="E429" s="44" t="str">
        <f t="shared" si="87"/>
        <v>EUR 32.00</v>
      </c>
      <c r="F429" s="45">
        <f t="shared" si="87"/>
        <v>0.47058823529411753</v>
      </c>
      <c r="G429" s="44" t="str">
        <f t="shared" si="87"/>
        <v>Buy</v>
      </c>
      <c r="H429" s="46"/>
      <c r="I429" s="45">
        <f>DT!$D$30/DT!$D$23</f>
        <v>6.497260753684074E-2</v>
      </c>
      <c r="J429" s="45">
        <f>DT!$E$30/DT!$E$23</f>
        <v>7.2895331826065571E-2</v>
      </c>
      <c r="K429" s="45">
        <f>DT!$F$30/DT!$F$23</f>
        <v>7.9825204190023757E-2</v>
      </c>
      <c r="L429" s="45">
        <f>DT!$G$30/DT!$G$23</f>
        <v>8.478568118745565E-2</v>
      </c>
      <c r="M429" s="45">
        <f t="shared" si="88"/>
        <v>1.981307365061491E-2</v>
      </c>
      <c r="N429" s="46"/>
      <c r="O429" s="47">
        <f>DT!$D$12/DT!$D$24</f>
        <v>2.3353712558419004</v>
      </c>
      <c r="P429" s="47">
        <f>DT!$E$12/DT!$E$24</f>
        <v>2.3354355090419103</v>
      </c>
      <c r="Q429" s="47">
        <f>DT!$F$12/DT!$F$24</f>
        <v>2.2079706367009879</v>
      </c>
      <c r="R429" s="47">
        <f>DT!$G$12/DT!$G$24</f>
        <v>2.0492344775303324</v>
      </c>
      <c r="S429" s="45">
        <f t="shared" si="89"/>
        <v>-0.28613677831156803</v>
      </c>
      <c r="T429" s="46"/>
      <c r="U429" s="48" t="str">
        <f t="shared" si="90"/>
        <v>EUR 21.76</v>
      </c>
      <c r="V429" s="69" t="str">
        <f>C429</f>
        <v>Deutsche Telekom</v>
      </c>
      <c r="W429" s="59"/>
      <c r="X429" s="59"/>
      <c r="Y429" s="59"/>
      <c r="Z429" s="49"/>
      <c r="AB429" s="5"/>
    </row>
    <row r="430" spans="1:113" s="5" customFormat="1">
      <c r="A430" s="41"/>
      <c r="B430" s="42"/>
      <c r="C430" s="48" t="s">
        <v>458</v>
      </c>
      <c r="D430" s="44" t="str">
        <f t="shared" si="87"/>
        <v>EUR 3.44</v>
      </c>
      <c r="E430" s="44" t="str">
        <f t="shared" si="87"/>
        <v>EUR 3.70</v>
      </c>
      <c r="F430" s="45">
        <f t="shared" si="87"/>
        <v>7.4332171893147558E-2</v>
      </c>
      <c r="G430" s="44" t="str">
        <f t="shared" si="87"/>
        <v>Neutral</v>
      </c>
      <c r="H430" s="46"/>
      <c r="I430" s="45">
        <f>KPN!$D$30/KPN!$D$23</f>
        <v>9.4131135956496206E-2</v>
      </c>
      <c r="J430" s="45">
        <f>KPN!$E$30/KPN!$E$23</f>
        <v>0.10098236284283846</v>
      </c>
      <c r="K430" s="45">
        <f>KPN!$F$30/KPN!$F$23</f>
        <v>0.10705223916979992</v>
      </c>
      <c r="L430" s="45">
        <f>KPN!$G$30/KPN!$G$23</f>
        <v>0.11194486373351094</v>
      </c>
      <c r="M430" s="45">
        <f t="shared" si="88"/>
        <v>1.7813727777014732E-2</v>
      </c>
      <c r="N430" s="46"/>
      <c r="O430" s="47">
        <f>KPN!$D$12/KPN!$D$24</f>
        <v>2.2578575910741034</v>
      </c>
      <c r="P430" s="47">
        <f>KPN!$E$12/KPN!$E$24</f>
        <v>2.2309471909641481</v>
      </c>
      <c r="Q430" s="47">
        <f>KPN!$F$12/KPN!$F$24</f>
        <v>2.3734997324214544</v>
      </c>
      <c r="R430" s="47">
        <f>KPN!$G$12/KPN!$G$24</f>
        <v>2.3550619174226588</v>
      </c>
      <c r="S430" s="45">
        <f t="shared" si="89"/>
        <v>9.7204326348555359E-2</v>
      </c>
      <c r="T430" s="46"/>
      <c r="U430" s="48" t="str">
        <f t="shared" si="90"/>
        <v>EUR 3.44</v>
      </c>
      <c r="V430" s="69" t="str">
        <f>C430</f>
        <v>KPN</v>
      </c>
      <c r="W430" s="59"/>
      <c r="X430" s="59"/>
      <c r="Y430" s="59"/>
      <c r="Z430" s="49"/>
      <c r="AB430" s="63"/>
    </row>
    <row r="431" spans="1:113" s="5" customFormat="1">
      <c r="A431" s="41"/>
      <c r="B431" s="42"/>
      <c r="C431" s="48" t="s">
        <v>728</v>
      </c>
      <c r="D431" s="44" t="str">
        <f t="shared" si="87"/>
        <v>EUR 10.68</v>
      </c>
      <c r="E431" s="44" t="str">
        <f t="shared" si="87"/>
        <v>EUR 14.00</v>
      </c>
      <c r="F431" s="45">
        <f t="shared" si="87"/>
        <v>0.31147540983606548</v>
      </c>
      <c r="G431" s="44" t="str">
        <f t="shared" si="87"/>
        <v>Buy</v>
      </c>
      <c r="H431" s="46"/>
      <c r="I431" s="45">
        <f>ORA!$D$30/ORA!$D$23</f>
        <v>8.15639879780206E-2</v>
      </c>
      <c r="J431" s="45">
        <f>ORA!$E$30/ORA!$E$23</f>
        <v>7.4388977147979346E-2</v>
      </c>
      <c r="K431" s="45">
        <f>ORA!$F$30/ORA!$F$23</f>
        <v>8.1518690432525312E-2</v>
      </c>
      <c r="L431" s="45">
        <f>ORA!$G$30/ORA!$G$23</f>
        <v>8.5294686666620767E-2</v>
      </c>
      <c r="M431" s="45">
        <f t="shared" si="88"/>
        <v>3.7306986886001675E-3</v>
      </c>
      <c r="N431" s="46"/>
      <c r="O431" s="47">
        <f>ORA!$D$12/ORA!$D$24</f>
        <v>1.9407748369773685</v>
      </c>
      <c r="P431" s="47">
        <f>ORA!$E$12/ORA!$E$24</f>
        <v>1.8875057363292711</v>
      </c>
      <c r="Q431" s="47">
        <f>ORA!$F$12/ORA!$F$24</f>
        <v>1.7860732354938851</v>
      </c>
      <c r="R431" s="47">
        <f>ORA!$G$12/ORA!$G$24</f>
        <v>1.6871068286244888</v>
      </c>
      <c r="S431" s="45">
        <f t="shared" si="89"/>
        <v>-0.25366800835287973</v>
      </c>
      <c r="T431" s="46"/>
      <c r="U431" s="48" t="str">
        <f t="shared" si="90"/>
        <v>EUR 10.68</v>
      </c>
      <c r="V431" s="69" t="str">
        <f>C431</f>
        <v>Orange</v>
      </c>
      <c r="W431" s="59"/>
      <c r="X431" s="59"/>
      <c r="Y431" s="59"/>
      <c r="Z431" s="49"/>
    </row>
    <row r="432" spans="1:113" s="5" customFormat="1">
      <c r="A432" s="41"/>
      <c r="B432" s="42"/>
      <c r="C432" s="48" t="s">
        <v>459</v>
      </c>
      <c r="D432" s="44" t="str">
        <f t="shared" si="87"/>
        <v>EUR 13.75</v>
      </c>
      <c r="E432" s="44" t="str">
        <f t="shared" si="87"/>
        <v>EUR 22.00</v>
      </c>
      <c r="F432" s="45">
        <f t="shared" si="87"/>
        <v>0.60000000000000009</v>
      </c>
      <c r="G432" s="44" t="str">
        <f t="shared" si="87"/>
        <v>Neutral</v>
      </c>
      <c r="H432" s="46"/>
      <c r="I432" s="45">
        <f>OTE!$D$30/OTE!$D$23</f>
        <v>0.12533180722289539</v>
      </c>
      <c r="J432" s="45">
        <f>OTE!$E$30/OTE!$E$23</f>
        <v>0.13672932725573281</v>
      </c>
      <c r="K432" s="45">
        <f>OTE!$F$30/OTE!$F$23</f>
        <v>0.14195767389610145</v>
      </c>
      <c r="L432" s="45">
        <f>OTE!$G$30/OTE!$G$23</f>
        <v>0.14323439914471511</v>
      </c>
      <c r="M432" s="45">
        <f t="shared" si="88"/>
        <v>1.7902591921819727E-2</v>
      </c>
      <c r="N432" s="46"/>
      <c r="O432" s="47">
        <f>OTE!$D$12/OTE!$D$24</f>
        <v>0.67258787041285284</v>
      </c>
      <c r="P432" s="47">
        <f>OTE!$E$12/OTE!$E$24</f>
        <v>0.66524534990749684</v>
      </c>
      <c r="Q432" s="47">
        <f>OTE!$F$12/OTE!$F$24</f>
        <v>0.65769928453603665</v>
      </c>
      <c r="R432" s="47">
        <f>OTE!$G$12/OTE!$G$24</f>
        <v>0.65727711408387524</v>
      </c>
      <c r="S432" s="45">
        <f t="shared" si="89"/>
        <v>-1.5310756328977604E-2</v>
      </c>
      <c r="T432" s="46"/>
      <c r="U432" s="48" t="str">
        <f t="shared" si="90"/>
        <v>EUR 13.75</v>
      </c>
      <c r="V432" s="69" t="str">
        <f>C432</f>
        <v>OTE</v>
      </c>
      <c r="W432" s="59"/>
      <c r="X432" s="59"/>
      <c r="Y432" s="59"/>
      <c r="Z432" s="49"/>
    </row>
    <row r="433" spans="1:28" s="5" customFormat="1">
      <c r="A433" s="41"/>
      <c r="B433" s="42"/>
      <c r="C433" s="48" t="s">
        <v>817</v>
      </c>
      <c r="D433" s="44" t="str">
        <f t="shared" si="87"/>
        <v>EUR 7.4</v>
      </c>
      <c r="E433" s="44" t="str">
        <f t="shared" si="87"/>
        <v>EUR 10.0</v>
      </c>
      <c r="F433" s="45">
        <f t="shared" si="87"/>
        <v>0.35135135135135132</v>
      </c>
      <c r="G433" s="44" t="str">
        <f t="shared" si="87"/>
        <v>Neutral</v>
      </c>
      <c r="H433" s="46"/>
      <c r="I433" s="45">
        <f>PROX!$D$30/PROX!$D$23</f>
        <v>7.5603239286402918E-2</v>
      </c>
      <c r="J433" s="45">
        <f>PROX!$E$30/PROX!$E$23</f>
        <v>3.185074079704054E-2</v>
      </c>
      <c r="K433" s="45">
        <f>PROX!$F$30/PROX!$F$23</f>
        <v>1.2662071310074853E-2</v>
      </c>
      <c r="L433" s="45">
        <f>PROX!$G$30/PROX!$G$23</f>
        <v>2.8165484260515351E-3</v>
      </c>
      <c r="M433" s="45">
        <f t="shared" si="88"/>
        <v>-7.2786690860351388E-2</v>
      </c>
      <c r="N433" s="46"/>
      <c r="O433" s="47">
        <f>PROX!$D$12/PROX!$D$24</f>
        <v>1.9299172569404113</v>
      </c>
      <c r="P433" s="47">
        <f>PROX!$E$12/PROX!$E$24</f>
        <v>1.9589903483184905</v>
      </c>
      <c r="Q433" s="47">
        <f>PROX!$F$12/PROX!$F$24</f>
        <v>1.8776601394907142</v>
      </c>
      <c r="R433" s="47">
        <f>PROX!$G$12/PROX!$G$24</f>
        <v>1.7933098106688012</v>
      </c>
      <c r="S433" s="45">
        <f t="shared" si="89"/>
        <v>-0.13660744627161003</v>
      </c>
      <c r="T433" s="46"/>
      <c r="U433" s="48" t="str">
        <f t="shared" si="90"/>
        <v>EUR 7.4</v>
      </c>
      <c r="V433" s="69" t="s">
        <v>817</v>
      </c>
      <c r="W433" s="59"/>
      <c r="X433" s="59"/>
      <c r="Y433" s="59"/>
      <c r="Z433" s="49"/>
    </row>
    <row r="434" spans="1:28">
      <c r="C434" s="48" t="s">
        <v>463</v>
      </c>
      <c r="D434" s="44" t="str">
        <f t="shared" si="87"/>
        <v>CHF492</v>
      </c>
      <c r="E434" s="44" t="str">
        <f t="shared" si="87"/>
        <v>CHF620</v>
      </c>
      <c r="F434" s="45">
        <f t="shared" si="87"/>
        <v>0.26016260162601634</v>
      </c>
      <c r="G434" s="44" t="str">
        <f t="shared" si="87"/>
        <v>Neutral</v>
      </c>
      <c r="H434" s="46"/>
      <c r="I434" s="45">
        <f>SWISS!$D$30/SWISS!$D$23</f>
        <v>0.15640909571198519</v>
      </c>
      <c r="J434" s="45">
        <f>SWISS!$E$30/SWISS!$E$23</f>
        <v>0.15224199331004445</v>
      </c>
      <c r="K434" s="45">
        <f>SWISS!$F$30/SWISS!$F$23</f>
        <v>0.15013997438460913</v>
      </c>
      <c r="L434" s="45">
        <f>SWISS!$G$30/SWISS!$G$23</f>
        <v>0.14888073732683924</v>
      </c>
      <c r="M434" s="45">
        <f t="shared" si="88"/>
        <v>-7.5283583851459557E-3</v>
      </c>
      <c r="N434" s="46"/>
      <c r="O434" s="47">
        <f>SWISS!$D$12/SWISS!$D$24</f>
        <v>1.1821588196025867</v>
      </c>
      <c r="P434" s="47">
        <f>SWISS!$E$12/SWISS!$E$24</f>
        <v>1.1273527656135063</v>
      </c>
      <c r="Q434" s="47">
        <f>SWISS!$F$12/SWISS!$F$24</f>
        <v>1.0566997289361442</v>
      </c>
      <c r="R434" s="47">
        <f>SWISS!$G$12/SWISS!$G$24</f>
        <v>0.98828681215568304</v>
      </c>
      <c r="S434" s="45">
        <f t="shared" si="89"/>
        <v>-0.19387200744690369</v>
      </c>
      <c r="T434" s="46"/>
      <c r="U434" s="48" t="str">
        <f t="shared" si="90"/>
        <v>CHF492</v>
      </c>
      <c r="V434" s="69" t="str">
        <f t="shared" ref="V434:V438" si="91">C434</f>
        <v>Swisscom</v>
      </c>
    </row>
    <row r="435" spans="1:28" s="5" customFormat="1">
      <c r="A435" s="41"/>
      <c r="B435" s="42"/>
      <c r="C435" s="48" t="s">
        <v>270</v>
      </c>
      <c r="D435" s="44" t="str">
        <f t="shared" si="87"/>
        <v>EUR 0.25</v>
      </c>
      <c r="E435" s="44" t="str">
        <f t="shared" si="87"/>
        <v>EUR 0.35</v>
      </c>
      <c r="F435" s="45">
        <f t="shared" si="87"/>
        <v>0.42103126268777902</v>
      </c>
      <c r="G435" s="44" t="str">
        <f t="shared" si="87"/>
        <v>Buy</v>
      </c>
      <c r="H435" s="46"/>
      <c r="I435" s="45">
        <f>TI!$D$30/TI!$D$23</f>
        <v>-3.7754285902953356E-2</v>
      </c>
      <c r="J435" s="45">
        <f>TI!$E$30/TI!$E$23</f>
        <v>-6.725109710778188E-3</v>
      </c>
      <c r="K435" s="45">
        <f>TI!$F$30/TI!$F$23</f>
        <v>1.069332403890309E-2</v>
      </c>
      <c r="L435" s="45">
        <f>TI!$G$30/TI!$G$23</f>
        <v>2.0904413220742019E-2</v>
      </c>
      <c r="M435" s="45">
        <f t="shared" si="88"/>
        <v>5.8658699123695375E-2</v>
      </c>
      <c r="N435" s="46"/>
      <c r="O435" s="47">
        <f>TI!$D$12/TI!$D$24</f>
        <v>3.8489042770888617</v>
      </c>
      <c r="P435" s="47">
        <f>TI!$E$12/TI!$E$24</f>
        <v>3.721596128920174</v>
      </c>
      <c r="Q435" s="47">
        <f>TI!$F$12/TI!$F$24</f>
        <v>3.5311908356895758</v>
      </c>
      <c r="R435" s="47">
        <f>TI!$G$12/TI!$G$24</f>
        <v>3.3356044455137281</v>
      </c>
      <c r="S435" s="45">
        <f t="shared" si="89"/>
        <v>-0.51329983157513359</v>
      </c>
      <c r="T435" s="46"/>
      <c r="U435" s="48" t="str">
        <f t="shared" si="90"/>
        <v>EUR 0.25</v>
      </c>
      <c r="V435" s="69" t="str">
        <f t="shared" si="91"/>
        <v>Telecom Italia</v>
      </c>
      <c r="W435" s="59"/>
      <c r="X435" s="59"/>
      <c r="Y435" s="59"/>
      <c r="Z435" s="49"/>
    </row>
    <row r="436" spans="1:28" s="5" customFormat="1">
      <c r="A436" s="41"/>
      <c r="B436" s="42"/>
      <c r="C436" s="48" t="s">
        <v>461</v>
      </c>
      <c r="D436" s="44" t="str">
        <f t="shared" si="87"/>
        <v>EUR 4.16</v>
      </c>
      <c r="E436" s="44" t="str">
        <f t="shared" si="87"/>
        <v>EUR 4.80</v>
      </c>
      <c r="F436" s="45">
        <f t="shared" si="87"/>
        <v>0.15523465703971118</v>
      </c>
      <c r="G436" s="44" t="str">
        <f t="shared" si="87"/>
        <v>Buy</v>
      </c>
      <c r="H436" s="46"/>
      <c r="I436" s="45">
        <f>TEF!$D$30/TEF!$D$23</f>
        <v>4.1170423443794527E-2</v>
      </c>
      <c r="J436" s="45">
        <f>TEF!$E$30/TEF!$E$23</f>
        <v>5.3911889565229028E-2</v>
      </c>
      <c r="K436" s="45">
        <f>TEF!$F$30/TEF!$F$23</f>
        <v>5.8625687680868906E-2</v>
      </c>
      <c r="L436" s="45">
        <f>TEF!$G$30/TEF!$G$23</f>
        <v>6.7071939029702377E-2</v>
      </c>
      <c r="M436" s="45">
        <f t="shared" si="88"/>
        <v>2.590151558590785E-2</v>
      </c>
      <c r="N436" s="46"/>
      <c r="O436" s="47">
        <f>TEF!$D$12/TEF!$D$24</f>
        <v>2.5980484763457818</v>
      </c>
      <c r="P436" s="47">
        <f>TEF!$E$12/TEF!$E$24</f>
        <v>2.6022423113916457</v>
      </c>
      <c r="Q436" s="47">
        <f>TEF!$F$12/TEF!$F$24</f>
        <v>2.6258869028596892</v>
      </c>
      <c r="R436" s="47">
        <f>TEF!$G$12/TEF!$G$24</f>
        <v>2.5105008903839323</v>
      </c>
      <c r="S436" s="45">
        <f t="shared" si="89"/>
        <v>-8.7547585961849528E-2</v>
      </c>
      <c r="T436" s="46"/>
      <c r="U436" s="48" t="str">
        <f t="shared" si="90"/>
        <v>EUR 4.16</v>
      </c>
      <c r="V436" s="69" t="str">
        <f t="shared" si="91"/>
        <v>Telefonica</v>
      </c>
      <c r="W436" s="59"/>
      <c r="X436" s="59"/>
      <c r="Y436" s="59"/>
      <c r="Z436" s="49"/>
    </row>
    <row r="437" spans="1:28" s="5" customFormat="1">
      <c r="A437" s="41"/>
      <c r="B437" s="42"/>
      <c r="C437" s="48" t="s">
        <v>462</v>
      </c>
      <c r="D437" s="44" t="str">
        <f t="shared" si="87"/>
        <v>NOK 124</v>
      </c>
      <c r="E437" s="44" t="str">
        <f t="shared" si="87"/>
        <v>NOK 136</v>
      </c>
      <c r="F437" s="45">
        <f t="shared" si="87"/>
        <v>9.9434114793855999E-2</v>
      </c>
      <c r="G437" s="44" t="str">
        <f t="shared" si="87"/>
        <v>Buy</v>
      </c>
      <c r="H437" s="46"/>
      <c r="I437" s="45">
        <f>TNOR!$D$30/TNOR!$D$23</f>
        <v>0.10535141735804875</v>
      </c>
      <c r="J437" s="45">
        <f>TNOR!$E$30/TNOR!$E$23</f>
        <v>0.11247138701937076</v>
      </c>
      <c r="K437" s="45">
        <f>TNOR!$F$30/TNOR!$F$23</f>
        <v>0.11696171486508038</v>
      </c>
      <c r="L437" s="45">
        <f>TNOR!$G$30/TNOR!$G$23</f>
        <v>0.13758041046726727</v>
      </c>
      <c r="M437" s="45">
        <f t="shared" si="88"/>
        <v>3.2228993109218521E-2</v>
      </c>
      <c r="N437" s="46"/>
      <c r="O437" s="47">
        <f>TNOR!$D$12/TNOR!$D$24</f>
        <v>2.4021716491148886</v>
      </c>
      <c r="P437" s="47">
        <f>TNOR!$E$12/TNOR!$E$24</f>
        <v>2.3370592504465786</v>
      </c>
      <c r="Q437" s="47">
        <f>TNOR!$F$12/TNOR!$F$24</f>
        <v>2.3413940068237085</v>
      </c>
      <c r="R437" s="47">
        <f>TNOR!$G$12/TNOR!$G$24</f>
        <v>2.3252772848723873</v>
      </c>
      <c r="S437" s="45">
        <f t="shared" si="89"/>
        <v>-7.689436424250129E-2</v>
      </c>
      <c r="T437" s="46"/>
      <c r="U437" s="48" t="str">
        <f t="shared" si="90"/>
        <v>NOK 124</v>
      </c>
      <c r="V437" s="44" t="str">
        <f t="shared" si="91"/>
        <v>Telenor</v>
      </c>
      <c r="W437" s="59"/>
      <c r="X437" s="59"/>
      <c r="Y437" s="59"/>
      <c r="Z437" s="49"/>
    </row>
    <row r="438" spans="1:28" s="5" customFormat="1">
      <c r="A438" s="41"/>
      <c r="B438" s="42"/>
      <c r="C438" s="48" t="s">
        <v>1039</v>
      </c>
      <c r="D438" s="44" t="str">
        <f t="shared" si="87"/>
        <v>SEK26.4</v>
      </c>
      <c r="E438" s="44" t="str">
        <f t="shared" si="87"/>
        <v>SEK36.0</v>
      </c>
      <c r="F438" s="45">
        <f t="shared" si="87"/>
        <v>0.36415308829101933</v>
      </c>
      <c r="G438" s="44" t="str">
        <f t="shared" si="87"/>
        <v>Buy</v>
      </c>
      <c r="H438" s="46"/>
      <c r="I438" s="45">
        <f>TELIA!$D$30/TELIA!$D$23</f>
        <v>1.9107851837427074E-2</v>
      </c>
      <c r="J438" s="45">
        <f>TELIA!$E$30/TELIA!$E$23</f>
        <v>3.4288553445783569E-2</v>
      </c>
      <c r="K438" s="45">
        <f>TELIA!$F$30/TELIA!$F$23</f>
        <v>4.4914635270302976E-2</v>
      </c>
      <c r="L438" s="45">
        <f>TELIA!$G$30/TELIA!$G$23</f>
        <v>5.9733621017108114E-2</v>
      </c>
      <c r="M438" s="45">
        <f t="shared" si="88"/>
        <v>4.062576917968104E-2</v>
      </c>
      <c r="N438" s="46"/>
      <c r="O438" s="47">
        <f>TELIA!$D$12/TELIA!$D$24</f>
        <v>2.0440437508494989</v>
      </c>
      <c r="P438" s="47">
        <f>TELIA!$E$12/TELIA!$E$24</f>
        <v>1.6257098345176038</v>
      </c>
      <c r="Q438" s="47">
        <f>TELIA!$F$12/TELIA!$F$24</f>
        <v>1.5798519106883326</v>
      </c>
      <c r="R438" s="47">
        <f>TELIA!$G$12/TELIA!$G$24</f>
        <v>1.5540872402886141</v>
      </c>
      <c r="S438" s="45">
        <f t="shared" si="89"/>
        <v>-0.48995651056088474</v>
      </c>
      <c r="T438" s="46"/>
      <c r="U438" s="48" t="str">
        <f t="shared" si="90"/>
        <v>SEK26.4</v>
      </c>
      <c r="V438" s="44" t="str">
        <f t="shared" si="91"/>
        <v>Telia</v>
      </c>
      <c r="W438" s="59"/>
      <c r="X438" s="59"/>
      <c r="Y438" s="59"/>
      <c r="Z438" s="49"/>
    </row>
    <row r="439" spans="1:28" s="5" customFormat="1">
      <c r="A439" s="41"/>
      <c r="B439" s="42"/>
      <c r="C439" s="51" t="str">
        <f>C379</f>
        <v>Agg. W.Europe Incumbent</v>
      </c>
      <c r="D439" s="52"/>
      <c r="E439" s="52"/>
      <c r="F439" s="53"/>
      <c r="G439" s="52"/>
      <c r="H439" s="46"/>
      <c r="I439" s="55">
        <f>'W.EUR INCUMB'!$D$30/'W.EUR INCUMB'!$D$23</f>
        <v>6.4289092080327431E-2</v>
      </c>
      <c r="J439" s="55">
        <f>'W.EUR INCUMB'!$E$30/'W.EUR INCUMB'!$E$23</f>
        <v>6.9730605321363104E-2</v>
      </c>
      <c r="K439" s="55">
        <f>'W.EUR INCUMB'!$F$30/'W.EUR INCUMB'!$F$23</f>
        <v>7.489713873218401E-2</v>
      </c>
      <c r="L439" s="55">
        <f>'W.EUR INCUMB'!$G$30/'W.EUR INCUMB'!$G$23</f>
        <v>8.0000401994643117E-2</v>
      </c>
      <c r="M439" s="55">
        <f t="shared" si="88"/>
        <v>1.5711309914315685E-2</v>
      </c>
      <c r="N439" s="56"/>
      <c r="O439" s="54">
        <f>'W.EUR INCUMB'!$D$12/'W.EUR INCUMB'!$D$24</f>
        <v>2.2748800368903757</v>
      </c>
      <c r="P439" s="54">
        <f>'W.EUR INCUMB'!$E$12/'W.EUR INCUMB'!$E$24</f>
        <v>2.2554646929916826</v>
      </c>
      <c r="Q439" s="54">
        <f>'W.EUR INCUMB'!$F$12/'W.EUR INCUMB'!$F$24</f>
        <v>2.1856713009895636</v>
      </c>
      <c r="R439" s="54">
        <f>'W.EUR INCUMB'!$G$12/'W.EUR INCUMB'!$G$24</f>
        <v>2.0811851703953193</v>
      </c>
      <c r="S439" s="55">
        <f t="shared" si="89"/>
        <v>-0.19369486649505641</v>
      </c>
      <c r="T439" s="46"/>
      <c r="U439" s="57"/>
      <c r="V439" s="58" t="str">
        <f>V379</f>
        <v>Agg. W.Europe Incumbent</v>
      </c>
      <c r="W439" s="59"/>
      <c r="X439" s="59"/>
      <c r="Y439" s="59"/>
      <c r="Z439" s="49"/>
    </row>
    <row r="440" spans="1:28" s="5" customFormat="1">
      <c r="A440" s="41"/>
      <c r="B440" s="42"/>
      <c r="C440" s="48"/>
      <c r="D440" s="44"/>
      <c r="E440" s="44"/>
      <c r="F440" s="45"/>
      <c r="G440" s="44"/>
      <c r="H440" s="46"/>
      <c r="I440" s="45"/>
      <c r="J440" s="45"/>
      <c r="K440" s="45"/>
      <c r="L440" s="45"/>
      <c r="M440" s="45"/>
      <c r="N440" s="46"/>
      <c r="O440" s="47"/>
      <c r="P440" s="47"/>
      <c r="Q440" s="47"/>
      <c r="R440" s="47"/>
      <c r="S440" s="45"/>
      <c r="T440" s="46"/>
      <c r="U440" s="48"/>
      <c r="V440" s="44"/>
      <c r="W440" s="59"/>
      <c r="X440" s="59"/>
      <c r="Y440" s="59"/>
      <c r="Z440" s="49"/>
    </row>
    <row r="441" spans="1:28" s="5" customFormat="1">
      <c r="A441" s="41"/>
      <c r="B441" s="42" t="s">
        <v>519</v>
      </c>
      <c r="C441" s="48" t="s">
        <v>491</v>
      </c>
      <c r="D441" s="44" t="str">
        <f>B441&amp;TEXT(Prices!$C$40,"0.0")</f>
        <v>US$17.5</v>
      </c>
      <c r="E441" s="44" t="str">
        <f>B441&amp;TEXT(Prices!$E$40,"0.00")</f>
        <v>US$21.00</v>
      </c>
      <c r="F441" s="45">
        <f>Prices!$F$40</f>
        <v>0.19999999999999996</v>
      </c>
      <c r="G441" s="44" t="str">
        <f>Prices!$D$40</f>
        <v>Neutral</v>
      </c>
      <c r="H441" s="46"/>
      <c r="I441" s="45">
        <f>(ATT!D$30/ATT!D$23)</f>
        <v>0.14191647904055713</v>
      </c>
      <c r="J441" s="45">
        <f>(ATT!E$30/ATT!E$23)</f>
        <v>0.13194993389835821</v>
      </c>
      <c r="K441" s="45">
        <f>(ATT!F$30/ATT!F$23)</f>
        <v>0.13077007733326856</v>
      </c>
      <c r="L441" s="45">
        <f>(ATT!G$30/ATT!G$23)</f>
        <v>0.13467567715404447</v>
      </c>
      <c r="M441" s="45">
        <f>L441-I441</f>
        <v>-7.24080188651266E-3</v>
      </c>
      <c r="N441" s="46"/>
      <c r="O441" s="47">
        <f>(ATT!D$12/ATT!D$24)</f>
        <v>3.0094239631336404</v>
      </c>
      <c r="P441" s="47">
        <f>(ATT!E$12/ATT!E$24)</f>
        <v>2.7140517339723518</v>
      </c>
      <c r="Q441" s="47">
        <f>(ATT!F$12/ATT!F$24)</f>
        <v>2.4637180401209511</v>
      </c>
      <c r="R441" s="47">
        <f>(ATT!G$12/ATT!G$24)</f>
        <v>2.2193507241217545</v>
      </c>
      <c r="S441" s="45">
        <f>R441-O441</f>
        <v>-0.79007323901188586</v>
      </c>
      <c r="T441" s="46"/>
      <c r="U441" s="48" t="str">
        <f>D441</f>
        <v>US$17.5</v>
      </c>
      <c r="V441" s="44" t="str">
        <f>C441</f>
        <v xml:space="preserve">AT&amp;T </v>
      </c>
      <c r="W441" s="59"/>
      <c r="X441" s="59"/>
      <c r="Y441" s="59"/>
      <c r="Z441" s="49"/>
    </row>
    <row r="442" spans="1:28" s="5" customFormat="1">
      <c r="A442" s="146"/>
      <c r="B442" s="42" t="s">
        <v>519</v>
      </c>
      <c r="C442" s="48" t="s">
        <v>693</v>
      </c>
      <c r="D442" s="44" t="str">
        <f>B442&amp;TEXT(Prices!$C$41,"0.0")</f>
        <v>US$166.0</v>
      </c>
      <c r="E442" s="44" t="str">
        <f>B442&amp;TEXT(Prices!$E$41,"0.0")</f>
        <v>US$205.0</v>
      </c>
      <c r="F442" s="45">
        <f>Prices!$F$41</f>
        <v>0.23493975903614461</v>
      </c>
      <c r="G442" s="44" t="str">
        <f>Prices!$D$41</f>
        <v>Buy</v>
      </c>
      <c r="H442" s="46"/>
      <c r="I442" s="45">
        <f>(TMUS!D$30/TMUS!D$23)</f>
        <v>0.10949921801801957</v>
      </c>
      <c r="J442" s="45">
        <f>(TMUS!E$30/TMUS!E$23)</f>
        <v>0.12671386344652311</v>
      </c>
      <c r="K442" s="45">
        <f>(TMUS!F$30/TMUS!F$23)</f>
        <v>0.14447452877659489</v>
      </c>
      <c r="L442" s="45">
        <f>(TMUS!G$30/TMUS!G$23)</f>
        <v>0.1569532450181555</v>
      </c>
      <c r="M442" s="45">
        <f>L442-I442</f>
        <v>4.7454027000135929E-2</v>
      </c>
      <c r="N442" s="46"/>
      <c r="O442" s="47">
        <f>(TMUS!D$12/TMUS!D$24)</f>
        <v>2.2942147055790452</v>
      </c>
      <c r="P442" s="47">
        <f>(TMUS!E$12/TMUS!E$24)</f>
        <v>2.3249007710756073</v>
      </c>
      <c r="Q442" s="47">
        <f>(TMUS!F$12/TMUS!F$24)</f>
        <v>2.3070007079174921</v>
      </c>
      <c r="R442" s="47">
        <f>(TMUS!G$12/TMUS!G$24)</f>
        <v>2.292313472925422</v>
      </c>
      <c r="S442" s="45">
        <f>R442-O442</f>
        <v>-1.9012326536231861E-3</v>
      </c>
      <c r="T442" s="46"/>
      <c r="U442" s="48" t="str">
        <f>D442</f>
        <v>US$166.0</v>
      </c>
      <c r="V442" s="44" t="str">
        <f>C442</f>
        <v>TMUS</v>
      </c>
      <c r="W442" s="59"/>
      <c r="X442" s="59"/>
      <c r="Y442" s="59"/>
      <c r="Z442" s="49"/>
    </row>
    <row r="443" spans="1:28">
      <c r="A443" s="41"/>
      <c r="B443" s="42" t="s">
        <v>519</v>
      </c>
      <c r="C443" s="48" t="s">
        <v>33</v>
      </c>
      <c r="D443" s="44" t="str">
        <f>B443&amp;TEXT(Prices!$C$39,"0.0")</f>
        <v>US$39.7</v>
      </c>
      <c r="E443" s="44" t="str">
        <f>B443&amp;TEXT(Prices!$E$39,"0.00")</f>
        <v>US$45.00</v>
      </c>
      <c r="F443" s="45">
        <f>Prices!$F$39</f>
        <v>0.13236034222445903</v>
      </c>
      <c r="G443" s="44" t="str">
        <f>Prices!$D$39</f>
        <v>Neutral</v>
      </c>
      <c r="H443" s="46"/>
      <c r="I443" s="45">
        <f>(VZN!D$30/VZN!D$23)</f>
        <v>0.14827514868526501</v>
      </c>
      <c r="J443" s="45">
        <f>(VZN!E$30/VZN!E$23)</f>
        <v>0.14252943929891304</v>
      </c>
      <c r="K443" s="45">
        <f>(VZN!F$30/VZN!F$23)</f>
        <v>0.14574483923817796</v>
      </c>
      <c r="L443" s="45">
        <f>(VZN!G$30/VZN!G$23)</f>
        <v>0.14829194889510899</v>
      </c>
      <c r="M443" s="45">
        <f>L443-I443</f>
        <v>1.680020984398678E-5</v>
      </c>
      <c r="N443" s="46"/>
      <c r="O443" s="47">
        <f>(VZN!D$12/VZN!D$24)</f>
        <v>2.6155391408064617</v>
      </c>
      <c r="P443" s="47">
        <f>(VZN!E$12/VZN!E$24)</f>
        <v>2.4177692081962356</v>
      </c>
      <c r="Q443" s="47">
        <f>(VZN!F$12/VZN!F$24)</f>
        <v>2.2345617324971774</v>
      </c>
      <c r="R443" s="47">
        <f>(VZN!G$12/VZN!G$24)</f>
        <v>2.0479153403930694</v>
      </c>
      <c r="S443" s="45">
        <f>R443-O443</f>
        <v>-0.56762380041339222</v>
      </c>
      <c r="T443" s="46"/>
      <c r="U443" s="48" t="str">
        <f>D443</f>
        <v>US$39.7</v>
      </c>
      <c r="V443" s="44" t="str">
        <f>C443</f>
        <v>Verizon</v>
      </c>
      <c r="W443" s="59"/>
      <c r="X443" s="59"/>
      <c r="Y443" s="59"/>
      <c r="Z443" s="49"/>
      <c r="AB443" s="5"/>
    </row>
    <row r="444" spans="1:28">
      <c r="A444" s="41"/>
      <c r="C444" s="51" t="s">
        <v>262</v>
      </c>
      <c r="D444" s="52"/>
      <c r="E444" s="52"/>
      <c r="F444" s="53"/>
      <c r="G444" s="52"/>
      <c r="H444" s="46"/>
      <c r="I444" s="55">
        <f>('US TELCO'!D$30/'US TELCO'!D$23)</f>
        <v>0.1368569531735031</v>
      </c>
      <c r="J444" s="55">
        <f>('US TELCO'!E$30/'US TELCO'!E$23)</f>
        <v>0.13491742107875837</v>
      </c>
      <c r="K444" s="55">
        <f>('US TELCO'!F$30/'US TELCO'!F$23)</f>
        <v>0.14009711399031152</v>
      </c>
      <c r="L444" s="55">
        <f>('US TELCO'!G$30/'US TELCO'!G$23)</f>
        <v>0.14565377197375312</v>
      </c>
      <c r="M444" s="55">
        <f>L444-I444</f>
        <v>8.7968188002500169E-3</v>
      </c>
      <c r="N444" s="46"/>
      <c r="O444" s="54">
        <f>('US TELCO'!D$12/'US TELCO'!D$24)</f>
        <v>2.6799467908214165</v>
      </c>
      <c r="P444" s="54">
        <f>('US TELCO'!E$12/'US TELCO'!E$24)</f>
        <v>2.5000887088341637</v>
      </c>
      <c r="Q444" s="54">
        <f>('US TELCO'!F$12/'US TELCO'!F$24)</f>
        <v>2.334580175713326</v>
      </c>
      <c r="R444" s="54">
        <f>('US TELCO'!G$12/'US TELCO'!G$24)</f>
        <v>2.1748515971269726</v>
      </c>
      <c r="S444" s="55">
        <f>R444-O444</f>
        <v>-0.50509519369444389</v>
      </c>
      <c r="T444" s="46"/>
      <c r="U444" s="57"/>
      <c r="V444" s="58" t="str">
        <f>C444</f>
        <v>Agg. US Telecoms</v>
      </c>
      <c r="Z444" s="49"/>
    </row>
    <row r="445" spans="1:28">
      <c r="A445" s="41"/>
      <c r="C445" s="48"/>
      <c r="D445" s="44"/>
      <c r="E445" s="44"/>
      <c r="F445" s="45"/>
      <c r="G445" s="44"/>
      <c r="H445" s="46"/>
      <c r="I445" s="45"/>
      <c r="J445" s="45"/>
      <c r="K445" s="45"/>
      <c r="L445" s="45"/>
      <c r="M445" s="45"/>
      <c r="N445" s="46"/>
      <c r="O445" s="47"/>
      <c r="P445" s="47"/>
      <c r="Q445" s="47"/>
      <c r="R445" s="47"/>
      <c r="S445" s="45"/>
      <c r="T445" s="46"/>
      <c r="U445" s="48"/>
      <c r="V445" s="44"/>
      <c r="Z445" s="49"/>
    </row>
    <row r="446" spans="1:28">
      <c r="A446" s="41"/>
      <c r="C446" s="48" t="str">
        <f t="shared" ref="C446:G449" si="92">C386</f>
        <v>NTT</v>
      </c>
      <c r="D446" s="44" t="str">
        <f t="shared" si="92"/>
        <v>JPY 153</v>
      </c>
      <c r="E446" s="44" t="str">
        <f t="shared" si="92"/>
        <v>JPY 240</v>
      </c>
      <c r="F446" s="45">
        <f t="shared" si="92"/>
        <v>0.57273918741808649</v>
      </c>
      <c r="G446" s="44" t="str">
        <f t="shared" si="92"/>
        <v>Buy</v>
      </c>
      <c r="H446" s="46"/>
      <c r="I446" s="45">
        <f>NTT!$D$30/NTT!$D$23</f>
        <v>9.5673889312577545E-2</v>
      </c>
      <c r="J446" s="45">
        <f>NTT!$E$30/NTT!$E$23</f>
        <v>9.8151186403049789E-2</v>
      </c>
      <c r="K446" s="45">
        <f>NTT!$F$30/NTT!$F$23</f>
        <v>0.10085724402638045</v>
      </c>
      <c r="L446" s="45">
        <f>NTT!$G$30/NTT!$G$23</f>
        <v>0.10265988805362053</v>
      </c>
      <c r="M446" s="45">
        <f t="shared" ref="M446:M450" si="93">L446-I446</f>
        <v>6.9859987410429841E-3</v>
      </c>
      <c r="N446" s="46"/>
      <c r="O446" s="47">
        <f>NTT!$D$12/NTT!$D$24</f>
        <v>1.7743549236440235</v>
      </c>
      <c r="P446" s="47">
        <f>NTT!$E$12/NTT!$E$24</f>
        <v>1.5669243408762588</v>
      </c>
      <c r="Q446" s="47">
        <f>NTT!$F$12/NTT!$F$24</f>
        <v>1.4756767845585013</v>
      </c>
      <c r="R446" s="47">
        <f>NTT!$G$12/NTT!$G$24</f>
        <v>1.395387664954981</v>
      </c>
      <c r="S446" s="45">
        <f t="shared" ref="S446:S450" si="94">R446-O446</f>
        <v>-0.37896725868904246</v>
      </c>
      <c r="T446" s="46"/>
      <c r="U446" s="48" t="str">
        <f t="shared" ref="U446:V449" si="95">U386</f>
        <v>JPY 153</v>
      </c>
      <c r="V446" s="44" t="str">
        <f t="shared" si="95"/>
        <v>NTT</v>
      </c>
      <c r="Z446" s="49"/>
    </row>
    <row r="447" spans="1:28">
      <c r="A447" s="41"/>
      <c r="C447" s="48" t="str">
        <f t="shared" si="92"/>
        <v>Spark NZ</v>
      </c>
      <c r="D447" s="44" t="str">
        <f t="shared" si="92"/>
        <v>NZD 4.19</v>
      </c>
      <c r="E447" s="44" t="str">
        <f t="shared" si="92"/>
        <v>NZD 5.00</v>
      </c>
      <c r="F447" s="45">
        <f t="shared" si="92"/>
        <v>0.19331742243436745</v>
      </c>
      <c r="G447" s="44" t="str">
        <f t="shared" si="92"/>
        <v>Neutral</v>
      </c>
      <c r="H447" s="46"/>
      <c r="I447" s="45">
        <f>SPK!$D$30/SPK!$D$23</f>
        <v>0.12607619891666605</v>
      </c>
      <c r="J447" s="45">
        <f>SPK!$E$30/SPK!$E$23</f>
        <v>0.12884720320182336</v>
      </c>
      <c r="K447" s="45">
        <f>SPK!$F$30/SPK!$F$23</f>
        <v>0.12938791451179471</v>
      </c>
      <c r="L447" s="45">
        <f>SPK!$G$30/SPK!$G$23</f>
        <v>0.13508388951142716</v>
      </c>
      <c r="M447" s="45">
        <f t="shared" si="93"/>
        <v>9.0076905947611141E-3</v>
      </c>
      <c r="N447" s="46"/>
      <c r="O447" s="47">
        <f>SPK!$D$12/SPK!$D$24</f>
        <v>0.99068565969249867</v>
      </c>
      <c r="P447" s="47">
        <f>SPK!$E$12/SPK!$E$24</f>
        <v>0.93565304616375022</v>
      </c>
      <c r="Q447" s="47">
        <f>SPK!$F$12/SPK!$F$24</f>
        <v>0.88527015956005439</v>
      </c>
      <c r="R447" s="47">
        <f>SPK!$G$12/SPK!$G$24</f>
        <v>0.81100812017879431</v>
      </c>
      <c r="S447" s="45">
        <f t="shared" si="94"/>
        <v>-0.17967753951370435</v>
      </c>
      <c r="T447" s="46"/>
      <c r="U447" s="48" t="str">
        <f t="shared" si="95"/>
        <v>NZD 4.19</v>
      </c>
      <c r="V447" s="44" t="str">
        <f t="shared" si="95"/>
        <v>Spark NZ</v>
      </c>
      <c r="Z447" s="49"/>
    </row>
    <row r="448" spans="1:28">
      <c r="A448" s="41"/>
      <c r="C448" s="48" t="str">
        <f t="shared" si="92"/>
        <v>SingTel</v>
      </c>
      <c r="D448" s="44" t="str">
        <f t="shared" si="92"/>
        <v>SGD 2.42</v>
      </c>
      <c r="E448" s="44" t="str">
        <f t="shared" si="92"/>
        <v>SGD 4.40</v>
      </c>
      <c r="F448" s="45">
        <f t="shared" si="92"/>
        <v>0.81818181818181834</v>
      </c>
      <c r="G448" s="44" t="str">
        <f t="shared" si="92"/>
        <v>Buy</v>
      </c>
      <c r="H448" s="46"/>
      <c r="I448" s="45">
        <f>SINGTEL!$D$30/SINGTEL!$D$23</f>
        <v>0.22034420447889763</v>
      </c>
      <c r="J448" s="45">
        <f>SINGTEL!$E$30/SINGTEL!$E$23</f>
        <v>0.19778273835855623</v>
      </c>
      <c r="K448" s="45">
        <f>SINGTEL!$F$30/SINGTEL!$F$23</f>
        <v>0.23083269781443508</v>
      </c>
      <c r="L448" s="45">
        <f>SINGTEL!$G$30/SINGTEL!$G$23</f>
        <v>0.25062650512729223</v>
      </c>
      <c r="M448" s="45">
        <f t="shared" si="93"/>
        <v>3.02823006483946E-2</v>
      </c>
      <c r="N448" s="46"/>
      <c r="O448" s="47">
        <f>SINGTEL!$D$12/SINGTEL!$D$24</f>
        <v>2.059751078506304</v>
      </c>
      <c r="P448" s="47">
        <f>SINGTEL!$E$12/SINGTEL!$E$24</f>
        <v>1.8064045244129829</v>
      </c>
      <c r="Q448" s="47">
        <f>SINGTEL!$F$12/SINGTEL!$F$24</f>
        <v>1.6045597239468774</v>
      </c>
      <c r="R448" s="47">
        <f>SINGTEL!$G$12/SINGTEL!$G$24</f>
        <v>1.6314853102818858</v>
      </c>
      <c r="S448" s="45">
        <f t="shared" si="94"/>
        <v>-0.4282657682244182</v>
      </c>
      <c r="T448" s="46"/>
      <c r="U448" s="48" t="str">
        <f t="shared" si="95"/>
        <v>SGD 2.42</v>
      </c>
      <c r="V448" s="44" t="str">
        <f t="shared" si="95"/>
        <v>SingTel</v>
      </c>
      <c r="Z448" s="49"/>
    </row>
    <row r="449" spans="1:113">
      <c r="A449" s="41"/>
      <c r="C449" s="48" t="str">
        <f t="shared" si="92"/>
        <v xml:space="preserve">Telstra </v>
      </c>
      <c r="D449" s="44" t="str">
        <f t="shared" si="92"/>
        <v>AUD 3.45</v>
      </c>
      <c r="E449" s="44" t="str">
        <f t="shared" si="92"/>
        <v>AUD 3.50</v>
      </c>
      <c r="F449" s="45">
        <f t="shared" si="92"/>
        <v>1.4492753623188248E-2</v>
      </c>
      <c r="G449" s="44" t="str">
        <f t="shared" si="92"/>
        <v>Buy</v>
      </c>
      <c r="H449" s="46"/>
      <c r="I449" s="45">
        <f>TLS!$D$30/TLS!$D$23</f>
        <v>0.10923067054153364</v>
      </c>
      <c r="J449" s="45">
        <f>TLS!$E$30/TLS!$E$23</f>
        <v>0.11968557322485998</v>
      </c>
      <c r="K449" s="45">
        <f>TLS!$F$30/TLS!$F$23</f>
        <v>0.10676711582464216</v>
      </c>
      <c r="L449" s="45">
        <f>TLS!$G$30/TLS!$G$23</f>
        <v>0.10589288487204815</v>
      </c>
      <c r="M449" s="45">
        <f t="shared" si="93"/>
        <v>-3.3377856694854907E-3</v>
      </c>
      <c r="N449" s="46"/>
      <c r="O449" s="47">
        <f>TLS!$D$12/TLS!$D$24</f>
        <v>1.7005663279663783</v>
      </c>
      <c r="P449" s="47">
        <f>TLS!$E$12/TLS!$E$24</f>
        <v>1.4519910174144381</v>
      </c>
      <c r="Q449" s="47">
        <f>TLS!$F$12/TLS!$F$24</f>
        <v>1.4479276760702273</v>
      </c>
      <c r="R449" s="47">
        <f>TLS!$G$12/TLS!$G$24</f>
        <v>1.3229817960405044</v>
      </c>
      <c r="S449" s="45">
        <f t="shared" si="94"/>
        <v>-0.37758453192587393</v>
      </c>
      <c r="T449" s="46"/>
      <c r="U449" s="48" t="str">
        <f t="shared" si="95"/>
        <v>AUD 3.45</v>
      </c>
      <c r="V449" s="44" t="str">
        <f t="shared" si="95"/>
        <v>Telstra</v>
      </c>
      <c r="Z449" s="49"/>
    </row>
    <row r="450" spans="1:113">
      <c r="A450" s="41"/>
      <c r="C450" s="51" t="str">
        <f>C390</f>
        <v>Agg. Developed Asia Incumbent</v>
      </c>
      <c r="D450" s="58"/>
      <c r="E450" s="58"/>
      <c r="F450" s="55"/>
      <c r="G450" s="58"/>
      <c r="H450" s="56"/>
      <c r="I450" s="55">
        <f>'DM ASIA INCUMB'!$D$30/'DM ASIA INCUMB'!$D$23</f>
        <v>0.11024390869045853</v>
      </c>
      <c r="J450" s="55">
        <f>'DM ASIA INCUMB'!$E$30/'DM ASIA INCUMB'!$E$23</f>
        <v>0.11184104501041282</v>
      </c>
      <c r="K450" s="55">
        <f>'DM ASIA INCUMB'!$F$30/'DM ASIA INCUMB'!$F$23</f>
        <v>0.11518921905261492</v>
      </c>
      <c r="L450" s="55">
        <f>'DM ASIA INCUMB'!$G$30/'DM ASIA INCUMB'!$G$23</f>
        <v>0.11845697742038079</v>
      </c>
      <c r="M450" s="55">
        <f t="shared" si="93"/>
        <v>8.2130687299222654E-3</v>
      </c>
      <c r="N450" s="56"/>
      <c r="O450" s="54">
        <f>'DM ASIA INCUMB'!$D$12/'DM ASIA INCUMB'!$D$24</f>
        <v>1.7398202994210545</v>
      </c>
      <c r="P450" s="54">
        <f>'DM ASIA INCUMB'!$E$12/'DM ASIA INCUMB'!$E$24</f>
        <v>1.5334875664289629</v>
      </c>
      <c r="Q450" s="54">
        <f>'DM ASIA INCUMB'!$F$12/'DM ASIA INCUMB'!$F$24</f>
        <v>1.4526506298683202</v>
      </c>
      <c r="R450" s="54">
        <f>'DM ASIA INCUMB'!$G$12/'DM ASIA INCUMB'!$G$24</f>
        <v>1.3746848210831299</v>
      </c>
      <c r="S450" s="55">
        <f t="shared" si="94"/>
        <v>-0.36513547833792459</v>
      </c>
      <c r="T450" s="56"/>
      <c r="U450" s="51"/>
      <c r="V450" s="58" t="str">
        <f>V390</f>
        <v xml:space="preserve">Agg. Developed Asia Incumbent </v>
      </c>
      <c r="Z450" s="49"/>
    </row>
    <row r="451" spans="1:113">
      <c r="A451" s="41"/>
      <c r="C451" s="43"/>
      <c r="D451" s="50"/>
      <c r="E451" s="50"/>
      <c r="F451" s="61"/>
      <c r="G451" s="50"/>
      <c r="H451" s="56"/>
      <c r="I451" s="61"/>
      <c r="J451" s="61"/>
      <c r="K451" s="61"/>
      <c r="L451" s="61"/>
      <c r="M451" s="61"/>
      <c r="N451" s="56"/>
      <c r="O451" s="62"/>
      <c r="P451" s="62"/>
      <c r="Q451" s="62"/>
      <c r="R451" s="62"/>
      <c r="S451" s="61"/>
      <c r="T451" s="56"/>
      <c r="U451" s="43"/>
      <c r="V451" s="50"/>
      <c r="Z451" s="49"/>
    </row>
    <row r="452" spans="1:113">
      <c r="A452" s="41"/>
      <c r="C452" s="51" t="s">
        <v>865</v>
      </c>
      <c r="D452" s="58"/>
      <c r="E452" s="58"/>
      <c r="F452" s="55"/>
      <c r="G452" s="58"/>
      <c r="H452" s="56"/>
      <c r="I452" s="55">
        <f>'AGG DM INCUMB'!$D$30/'AGG DM INCUMB'!$D$23</f>
        <v>0.10345460409144935</v>
      </c>
      <c r="J452" s="55">
        <f>'AGG DM INCUMB'!$E$30/'AGG DM INCUMB'!$E$23</f>
        <v>0.10504753138906034</v>
      </c>
      <c r="K452" s="55">
        <f>'AGG DM INCUMB'!$F$30/'AGG DM INCUMB'!$F$23</f>
        <v>0.11000156953180087</v>
      </c>
      <c r="L452" s="55">
        <f>'AGG DM INCUMB'!$G$30/'AGG DM INCUMB'!$G$23</f>
        <v>0.11508034411355726</v>
      </c>
      <c r="M452" s="55">
        <f>L452-I452</f>
        <v>1.1625740022107908E-2</v>
      </c>
      <c r="N452" s="56"/>
      <c r="O452" s="54">
        <f>'AGG DM INCUMB'!$D$12/'AGG DM INCUMB'!$D$24</f>
        <v>2.3987405667506652</v>
      </c>
      <c r="P452" s="54">
        <f>'AGG DM INCUMB'!$E$12/'AGG DM INCUMB'!$E$24</f>
        <v>2.2739901844768249</v>
      </c>
      <c r="Q452" s="54">
        <f>'AGG DM INCUMB'!$F$12/'AGG DM INCUMB'!$F$24</f>
        <v>2.1571256637417022</v>
      </c>
      <c r="R452" s="54">
        <f>'AGG DM INCUMB'!$G$12/'AGG DM INCUMB'!$G$24</f>
        <v>2.0289596100080831</v>
      </c>
      <c r="S452" s="55">
        <f>R452-O452</f>
        <v>-0.36978095674258205</v>
      </c>
      <c r="T452" s="56"/>
      <c r="U452" s="51"/>
      <c r="V452" s="58" t="str">
        <f>C452</f>
        <v>Agg. DM Incumbent total</v>
      </c>
      <c r="Z452" s="49"/>
    </row>
    <row r="453" spans="1:113">
      <c r="A453" s="41"/>
      <c r="C453" s="41"/>
      <c r="D453" s="44"/>
      <c r="E453" s="44"/>
      <c r="F453" s="45"/>
      <c r="G453" s="44"/>
      <c r="H453" s="46"/>
      <c r="I453" s="45"/>
      <c r="J453" s="45"/>
      <c r="K453" s="45"/>
      <c r="L453" s="45"/>
      <c r="M453" s="45"/>
      <c r="N453" s="46"/>
      <c r="O453" s="47"/>
      <c r="P453" s="47"/>
      <c r="Q453" s="47"/>
      <c r="R453" s="47"/>
      <c r="S453" s="45"/>
      <c r="T453" s="46"/>
      <c r="U453" s="48"/>
      <c r="V453" s="50"/>
      <c r="Z453" s="49"/>
    </row>
    <row r="454" spans="1:113">
      <c r="A454" s="41" t="s">
        <v>1385</v>
      </c>
      <c r="C454" s="48" t="str">
        <f t="shared" ref="C454:G461" si="96">C394</f>
        <v>1&amp;1</v>
      </c>
      <c r="D454" s="44" t="str">
        <f t="shared" si="96"/>
        <v>EUR 17.5</v>
      </c>
      <c r="E454" s="44" t="str">
        <f t="shared" si="96"/>
        <v>EUR 28.0</v>
      </c>
      <c r="F454" s="45">
        <f t="shared" si="96"/>
        <v>0.60000000000000009</v>
      </c>
      <c r="G454" s="44" t="str">
        <f t="shared" si="96"/>
        <v>Buy</v>
      </c>
      <c r="H454" s="46"/>
      <c r="I454" s="45">
        <f>DRI!$D$30/DRI!$D$23</f>
        <v>7.4630671904699908E-2</v>
      </c>
      <c r="J454" s="45">
        <f>DRI!$E$30/DRI!$E$23</f>
        <v>7.5195135931328233E-2</v>
      </c>
      <c r="K454" s="45">
        <f>DRI!$F$30/DRI!$F$23</f>
        <v>7.3839675302513175E-2</v>
      </c>
      <c r="L454" s="45">
        <f>DRI!$G$30/DRI!$G$23</f>
        <v>6.7311694669983907E-2</v>
      </c>
      <c r="M454" s="45">
        <f>L454-I454</f>
        <v>-7.3189772347160009E-3</v>
      </c>
      <c r="N454" s="46"/>
      <c r="O454" s="47">
        <f>DRI!$D$12/DRI!$D$24</f>
        <v>-0.34843439704845464</v>
      </c>
      <c r="P454" s="47">
        <f>DRI!$E$12/DRI!$E$24</f>
        <v>3.4933451761183419E-2</v>
      </c>
      <c r="Q454" s="47">
        <f>DRI!$F$12/DRI!$F$24</f>
        <v>0.90327233462448986</v>
      </c>
      <c r="R454" s="47">
        <f>DRI!$G$12/DRI!$G$24</f>
        <v>0.80294804392531316</v>
      </c>
      <c r="S454" s="45">
        <f>R454-O454</f>
        <v>1.1513824409737679</v>
      </c>
      <c r="T454" s="46"/>
      <c r="U454" s="48" t="str">
        <f t="shared" ref="U454:V460" si="97">U394</f>
        <v>EUR 17.5</v>
      </c>
      <c r="V454" s="44" t="str">
        <f t="shared" si="97"/>
        <v>1&amp;1</v>
      </c>
      <c r="Z454" s="49"/>
      <c r="BU454" s="39"/>
      <c r="BV454" s="39"/>
      <c r="BW454" s="39"/>
      <c r="BX454" s="39"/>
      <c r="BY454" s="39"/>
      <c r="BZ454" s="39"/>
      <c r="CA454" s="39"/>
      <c r="CB454" s="39"/>
      <c r="CC454" s="39"/>
      <c r="CD454" s="39"/>
      <c r="CE454" s="39"/>
      <c r="CF454" s="39"/>
      <c r="CG454" s="39"/>
      <c r="CH454" s="39"/>
      <c r="CI454" s="39"/>
      <c r="CJ454" s="39"/>
      <c r="CK454" s="39"/>
      <c r="CL454" s="39"/>
      <c r="CM454" s="39"/>
      <c r="CN454" s="39"/>
      <c r="CO454" s="39"/>
      <c r="CP454" s="39"/>
      <c r="CQ454" s="39"/>
      <c r="CR454" s="39"/>
      <c r="CS454" s="39"/>
      <c r="CT454" s="39"/>
      <c r="CU454" s="39"/>
      <c r="CV454" s="39"/>
      <c r="CW454" s="39"/>
      <c r="CX454" s="39"/>
      <c r="CY454" s="39"/>
      <c r="CZ454" s="39"/>
      <c r="DA454" s="39"/>
      <c r="DB454" s="39"/>
      <c r="DC454" s="39"/>
      <c r="DD454" s="39"/>
      <c r="DE454" s="39"/>
      <c r="DF454" s="39"/>
      <c r="DG454" s="39"/>
      <c r="DH454" s="39"/>
      <c r="DI454" s="39"/>
    </row>
    <row r="455" spans="1:113">
      <c r="C455" s="48" t="str">
        <f t="shared" si="96"/>
        <v>Elisa</v>
      </c>
      <c r="D455" s="44" t="str">
        <f t="shared" si="96"/>
        <v>EUR 41.6</v>
      </c>
      <c r="E455" s="44" t="str">
        <f t="shared" si="96"/>
        <v>EUR 54.0</v>
      </c>
      <c r="F455" s="45">
        <f t="shared" si="96"/>
        <v>0.29745314752522845</v>
      </c>
      <c r="G455" s="44" t="str">
        <f t="shared" si="96"/>
        <v>Neutral</v>
      </c>
      <c r="H455" s="46"/>
      <c r="I455" s="45">
        <f>ELISA!$D$30/ELISA!$D$23</f>
        <v>0.16156021340428686</v>
      </c>
      <c r="J455" s="45">
        <f>ELISA!$E$30/ELISA!$E$23</f>
        <v>0.16265277148369339</v>
      </c>
      <c r="K455" s="45">
        <f>ELISA!$F$30/ELISA!$F$23</f>
        <v>0.16646638949344192</v>
      </c>
      <c r="L455" s="45">
        <f>ELISA!$G$30/ELISA!$G$23</f>
        <v>0.16911984454825849</v>
      </c>
      <c r="M455" s="45">
        <f t="shared" ref="M455:M462" si="98">L455-I455</f>
        <v>7.5596311439716235E-3</v>
      </c>
      <c r="N455" s="46"/>
      <c r="O455" s="47">
        <f>ELISA!$D$12/ELISA!$D$24</f>
        <v>1.7144546336036819</v>
      </c>
      <c r="P455" s="47">
        <f>ELISA!$E$12/ELISA!$E$24</f>
        <v>1.6301387750759877</v>
      </c>
      <c r="Q455" s="47">
        <f>ELISA!$F$12/ELISA!$F$24</f>
        <v>1.5347193016693612</v>
      </c>
      <c r="R455" s="47">
        <f>ELISA!$G$12/ELISA!$G$24</f>
        <v>1.4487413965124463</v>
      </c>
      <c r="S455" s="45">
        <f t="shared" ref="S455:S462" si="99">R455-O455</f>
        <v>-0.26571323709123562</v>
      </c>
      <c r="T455" s="46"/>
      <c r="U455" s="48" t="str">
        <f t="shared" si="97"/>
        <v>EUR 41.6</v>
      </c>
      <c r="V455" s="44" t="str">
        <f t="shared" si="97"/>
        <v>Elisa</v>
      </c>
      <c r="Z455" s="49"/>
      <c r="BU455" s="39"/>
      <c r="BV455" s="39"/>
      <c r="BW455" s="39"/>
      <c r="BX455" s="39"/>
      <c r="BY455" s="39"/>
      <c r="BZ455" s="39"/>
      <c r="CA455" s="39"/>
      <c r="CB455" s="39"/>
      <c r="CC455" s="39"/>
      <c r="CD455" s="39"/>
      <c r="CE455" s="39"/>
      <c r="CF455" s="39"/>
      <c r="CG455" s="39"/>
      <c r="CH455" s="39"/>
      <c r="CI455" s="39"/>
      <c r="CJ455" s="39"/>
      <c r="CK455" s="39"/>
      <c r="CL455" s="39"/>
      <c r="CM455" s="39"/>
      <c r="CN455" s="39"/>
      <c r="CO455" s="39"/>
      <c r="CP455" s="39"/>
      <c r="CQ455" s="39"/>
      <c r="CR455" s="39"/>
      <c r="CS455" s="39"/>
      <c r="CT455" s="39"/>
      <c r="CU455" s="39"/>
      <c r="CV455" s="39"/>
      <c r="CW455" s="39"/>
      <c r="CX455" s="39"/>
      <c r="CY455" s="39"/>
      <c r="CZ455" s="39"/>
      <c r="DA455" s="39"/>
      <c r="DB455" s="39"/>
      <c r="DC455" s="39"/>
      <c r="DD455" s="39"/>
      <c r="DE455" s="39"/>
      <c r="DF455" s="39"/>
      <c r="DG455" s="39"/>
      <c r="DH455" s="39"/>
      <c r="DI455" s="39"/>
    </row>
    <row r="456" spans="1:113">
      <c r="A456" s="41"/>
      <c r="C456" s="48" t="str">
        <f t="shared" si="96"/>
        <v>Liberty Global (prop.)</v>
      </c>
      <c r="D456" s="44" t="str">
        <f t="shared" si="96"/>
        <v>USD 16.2</v>
      </c>
      <c r="E456" s="44" t="str">
        <f t="shared" si="96"/>
        <v>USD 24.0</v>
      </c>
      <c r="F456" s="45">
        <f t="shared" si="96"/>
        <v>0.47783251231527113</v>
      </c>
      <c r="G456" s="44" t="str">
        <f t="shared" si="96"/>
        <v>Buy</v>
      </c>
      <c r="H456" s="46"/>
      <c r="I456" s="45">
        <f>LBTY!$D$30/LBTY!$D$23</f>
        <v>-0.1372161139408013</v>
      </c>
      <c r="J456" s="45">
        <f>LBTY!$E$30/LBTY!$E$23</f>
        <v>-6.3769162126196738E-2</v>
      </c>
      <c r="K456" s="45">
        <f>LBTY!$F$30/LBTY!$F$23</f>
        <v>-5.5186991030392679E-2</v>
      </c>
      <c r="L456" s="45">
        <f>LBTY!$G$30/LBTY!$G$23</f>
        <v>-3.7894465541085595E-2</v>
      </c>
      <c r="M456" s="45">
        <f>L456-I456</f>
        <v>9.9321648399715703E-2</v>
      </c>
      <c r="N456" s="46"/>
      <c r="O456" s="47">
        <f>LBTY!$D$12/LBTY!$D$24</f>
        <v>4.8732610588354239</v>
      </c>
      <c r="P456" s="47">
        <f>LBTY!$E$12/LBTY!$E$24</f>
        <v>4.333332596590008</v>
      </c>
      <c r="Q456" s="47">
        <f>LBTY!$F$12/LBTY!$F$24</f>
        <v>4.3185780057184902</v>
      </c>
      <c r="R456" s="47">
        <f>LBTY!$G$12/LBTY!$G$24</f>
        <v>4.2482750538470349</v>
      </c>
      <c r="S456" s="45">
        <f>R456-O456</f>
        <v>-0.62498600498838908</v>
      </c>
      <c r="T456" s="46"/>
      <c r="U456" s="48" t="str">
        <f t="shared" si="97"/>
        <v>USD 16.2</v>
      </c>
      <c r="V456" s="44" t="str">
        <f t="shared" si="97"/>
        <v>Liberty Global</v>
      </c>
      <c r="Z456" s="49"/>
      <c r="BU456" s="39"/>
      <c r="BV456" s="39"/>
      <c r="BW456" s="39"/>
      <c r="BX456" s="39"/>
      <c r="BY456" s="39"/>
      <c r="BZ456" s="39"/>
      <c r="CA456" s="39"/>
      <c r="CB456" s="39"/>
      <c r="CC456" s="39"/>
      <c r="CD456" s="39"/>
      <c r="CE456" s="39"/>
      <c r="CF456" s="39"/>
      <c r="CG456" s="39"/>
      <c r="CH456" s="39"/>
      <c r="CI456" s="39"/>
      <c r="CJ456" s="39"/>
      <c r="CK456" s="39"/>
      <c r="CL456" s="39"/>
      <c r="CM456" s="39"/>
      <c r="CN456" s="39"/>
      <c r="CO456" s="39"/>
      <c r="CP456" s="39"/>
      <c r="CQ456" s="39"/>
      <c r="CR456" s="39"/>
      <c r="CS456" s="39"/>
      <c r="CT456" s="39"/>
      <c r="CU456" s="39"/>
      <c r="CV456" s="39"/>
      <c r="CW456" s="39"/>
      <c r="CX456" s="39"/>
      <c r="CY456" s="39"/>
      <c r="CZ456" s="39"/>
      <c r="DA456" s="39"/>
      <c r="DB456" s="39"/>
      <c r="DC456" s="39"/>
      <c r="DD456" s="39"/>
      <c r="DE456" s="39"/>
      <c r="DF456" s="39"/>
      <c r="DG456" s="39"/>
      <c r="DH456" s="39"/>
      <c r="DI456" s="39"/>
    </row>
    <row r="457" spans="1:113">
      <c r="A457" s="41"/>
      <c r="C457" s="48" t="str">
        <f t="shared" si="96"/>
        <v>NOS</v>
      </c>
      <c r="D457" s="44" t="str">
        <f t="shared" si="96"/>
        <v>EUR 3.35</v>
      </c>
      <c r="E457" s="44" t="str">
        <f t="shared" si="96"/>
        <v>EUR 4.00</v>
      </c>
      <c r="F457" s="45">
        <f t="shared" si="96"/>
        <v>0.19581464872944676</v>
      </c>
      <c r="G457" s="44" t="str">
        <f t="shared" si="96"/>
        <v>Neutral</v>
      </c>
      <c r="H457" s="46"/>
      <c r="I457" s="45">
        <f>NOS!$D$30/NOS!$D$23</f>
        <v>7.6522336650255984E-2</v>
      </c>
      <c r="J457" s="45">
        <f>NOS!$E$30/NOS!$E$23</f>
        <v>8.9853147185416871E-2</v>
      </c>
      <c r="K457" s="45">
        <f>NOS!$F$30/NOS!$F$23</f>
        <v>9.398995539543141E-2</v>
      </c>
      <c r="L457" s="45">
        <f>NOS!$G$30/NOS!$G$23</f>
        <v>9.7178336411304106E-2</v>
      </c>
      <c r="M457" s="45">
        <f>L457-I457</f>
        <v>2.0655999761048122E-2</v>
      </c>
      <c r="N457" s="46"/>
      <c r="O457" s="47">
        <f>NOS!$D$12/NOS!$D$24</f>
        <v>1.3738396965573725</v>
      </c>
      <c r="P457" s="47">
        <f>NOS!$E$12/NOS!$E$24</f>
        <v>1.1575876589560792</v>
      </c>
      <c r="Q457" s="47">
        <f>NOS!$F$12/NOS!$F$24</f>
        <v>1.0595862029027217</v>
      </c>
      <c r="R457" s="47">
        <f>NOS!$G$12/NOS!$G$24</f>
        <v>0.90337837690291267</v>
      </c>
      <c r="S457" s="45">
        <f>R457-O457</f>
        <v>-0.47046131965445981</v>
      </c>
      <c r="T457" s="46"/>
      <c r="U457" s="48" t="str">
        <f t="shared" si="97"/>
        <v>EUR 3.35</v>
      </c>
      <c r="V457" s="44" t="str">
        <f t="shared" si="97"/>
        <v>NOS</v>
      </c>
      <c r="Z457" s="49"/>
      <c r="BU457" s="39"/>
      <c r="BV457" s="39"/>
      <c r="BW457" s="39"/>
      <c r="BX457" s="39"/>
      <c r="BY457" s="39"/>
      <c r="BZ457" s="39"/>
      <c r="CA457" s="39"/>
      <c r="CB457" s="39"/>
      <c r="CC457" s="39"/>
      <c r="CD457" s="39"/>
      <c r="CE457" s="39"/>
      <c r="CF457" s="39"/>
      <c r="CG457" s="39"/>
      <c r="CH457" s="39"/>
      <c r="CI457" s="39"/>
      <c r="CJ457" s="39"/>
      <c r="CK457" s="39"/>
      <c r="CL457" s="39"/>
      <c r="CM457" s="39"/>
      <c r="CN457" s="39"/>
      <c r="CO457" s="39"/>
      <c r="CP457" s="39"/>
      <c r="CQ457" s="39"/>
      <c r="CR457" s="39"/>
      <c r="CS457" s="39"/>
      <c r="CT457" s="39"/>
      <c r="CU457" s="39"/>
      <c r="CV457" s="39"/>
      <c r="CW457" s="39"/>
      <c r="CX457" s="39"/>
      <c r="CY457" s="39"/>
      <c r="CZ457" s="39"/>
      <c r="DA457" s="39"/>
      <c r="DB457" s="39"/>
      <c r="DC457" s="39"/>
      <c r="DD457" s="39"/>
      <c r="DE457" s="39"/>
      <c r="DF457" s="39"/>
      <c r="DG457" s="39"/>
      <c r="DH457" s="39"/>
      <c r="DI457" s="39"/>
    </row>
    <row r="458" spans="1:113">
      <c r="C458" s="48" t="str">
        <f t="shared" si="96"/>
        <v>Orange Belgium</v>
      </c>
      <c r="D458" s="44" t="str">
        <f t="shared" si="96"/>
        <v>EUR 14.9</v>
      </c>
      <c r="E458" s="44" t="str">
        <f t="shared" si="96"/>
        <v>EUR 13.0</v>
      </c>
      <c r="F458" s="45">
        <f t="shared" si="96"/>
        <v>-0.12868632707774796</v>
      </c>
      <c r="G458" s="44" t="str">
        <f t="shared" si="96"/>
        <v>Neutral</v>
      </c>
      <c r="H458" s="46"/>
      <c r="I458" s="45">
        <f>OBEL!$D$30/OBEL!$D$23</f>
        <v>8.6829627718548075E-2</v>
      </c>
      <c r="J458" s="45">
        <f>OBEL!$E$30/OBEL!$E$23</f>
        <v>0.1009210282327294</v>
      </c>
      <c r="K458" s="45">
        <f>OBEL!$F$30/OBEL!$F$23</f>
        <v>0.10045784855840843</v>
      </c>
      <c r="L458" s="45">
        <f>OBEL!$G$30/OBEL!$G$23</f>
        <v>0.10229577651531827</v>
      </c>
      <c r="M458" s="45">
        <f t="shared" si="98"/>
        <v>1.546614879677019E-2</v>
      </c>
      <c r="N458" s="46"/>
      <c r="O458" s="47">
        <f>OBEL!$D$12/OBEL!$D$24</f>
        <v>3.3633240755695275</v>
      </c>
      <c r="P458" s="47">
        <f>OBEL!$E$12/OBEL!$E$24</f>
        <v>2.6958856706221739</v>
      </c>
      <c r="Q458" s="47">
        <f>OBEL!$F$12/OBEL!$F$24</f>
        <v>2.458510029325637</v>
      </c>
      <c r="R458" s="47">
        <f>OBEL!$G$12/OBEL!$G$24</f>
        <v>2.2178800222968227</v>
      </c>
      <c r="S458" s="45">
        <f t="shared" si="99"/>
        <v>-1.1454440532727048</v>
      </c>
      <c r="T458" s="46"/>
      <c r="U458" s="48" t="str">
        <f t="shared" si="97"/>
        <v>EUR 14.9</v>
      </c>
      <c r="V458" s="44" t="str">
        <f t="shared" si="97"/>
        <v>Mobistar</v>
      </c>
      <c r="Z458" s="49"/>
      <c r="BU458" s="39"/>
      <c r="BV458" s="39"/>
      <c r="BW458" s="39"/>
      <c r="BX458" s="39"/>
      <c r="BY458" s="39"/>
      <c r="BZ458" s="39"/>
      <c r="CA458" s="39"/>
      <c r="CB458" s="39"/>
      <c r="CC458" s="39"/>
      <c r="CD458" s="39"/>
      <c r="CE458" s="39"/>
      <c r="CF458" s="39"/>
      <c r="CG458" s="39"/>
      <c r="CH458" s="39"/>
      <c r="CI458" s="39"/>
      <c r="CJ458" s="39"/>
      <c r="CK458" s="39"/>
      <c r="CL458" s="39"/>
      <c r="CM458" s="39"/>
      <c r="CN458" s="39"/>
      <c r="CO458" s="39"/>
      <c r="CP458" s="39"/>
      <c r="CQ458" s="39"/>
      <c r="CR458" s="39"/>
      <c r="CS458" s="39"/>
      <c r="CT458" s="39"/>
      <c r="CU458" s="39"/>
      <c r="CV458" s="39"/>
      <c r="CW458" s="39"/>
      <c r="CX458" s="39"/>
      <c r="CY458" s="39"/>
      <c r="CZ458" s="39"/>
      <c r="DA458" s="39"/>
      <c r="DB458" s="39"/>
      <c r="DC458" s="39"/>
      <c r="DD458" s="39"/>
      <c r="DE458" s="39"/>
      <c r="DF458" s="39"/>
      <c r="DG458" s="39"/>
      <c r="DH458" s="39"/>
      <c r="DI458" s="39"/>
    </row>
    <row r="459" spans="1:113">
      <c r="C459" s="48" t="str">
        <f t="shared" si="96"/>
        <v>Tele2</v>
      </c>
      <c r="D459" s="44" t="str">
        <f t="shared" si="96"/>
        <v>SEK 101.1</v>
      </c>
      <c r="E459" s="44" t="str">
        <f t="shared" si="96"/>
        <v>SEK 110.0</v>
      </c>
      <c r="F459" s="45">
        <f t="shared" si="96"/>
        <v>8.8570014844136624E-2</v>
      </c>
      <c r="G459" s="44" t="str">
        <f t="shared" si="96"/>
        <v>Neutral</v>
      </c>
      <c r="H459" s="46"/>
      <c r="I459" s="45">
        <f>TELE2!$D$30/TELE2!$D$23</f>
        <v>0.12633443405046241</v>
      </c>
      <c r="J459" s="45">
        <f>TELE2!$E$30/TELE2!$E$23</f>
        <v>0.13541691871428826</v>
      </c>
      <c r="K459" s="45">
        <f>TELE2!$F$30/TELE2!$F$23</f>
        <v>0.1427755304133623</v>
      </c>
      <c r="L459" s="45">
        <f>TELE2!$G$30/TELE2!$G$23</f>
        <v>0.1457172365362048</v>
      </c>
      <c r="M459" s="45">
        <f t="shared" si="98"/>
        <v>1.9382802485742395E-2</v>
      </c>
      <c r="N459" s="46"/>
      <c r="O459" s="47">
        <f>TELE2!$D$12/TELE2!$D$24</f>
        <v>2.5580046472213716</v>
      </c>
      <c r="P459" s="47">
        <f>TELE2!$E$12/TELE2!$E$24</f>
        <v>2.531779327019184</v>
      </c>
      <c r="Q459" s="47">
        <f>TELE2!$F$12/TELE2!$F$24</f>
        <v>2.5377372285070212</v>
      </c>
      <c r="R459" s="47">
        <f>TELE2!$G$12/TELE2!$G$24</f>
        <v>2.5963815970420314</v>
      </c>
      <c r="S459" s="45">
        <f t="shared" si="99"/>
        <v>3.8376949820659867E-2</v>
      </c>
      <c r="T459" s="46"/>
      <c r="U459" s="48" t="str">
        <f t="shared" si="97"/>
        <v>SEK 101.1</v>
      </c>
      <c r="V459" s="44" t="str">
        <f t="shared" si="97"/>
        <v>Tele2</v>
      </c>
      <c r="Z459" s="49"/>
      <c r="BU459" s="39"/>
      <c r="BV459" s="39"/>
      <c r="BW459" s="39"/>
      <c r="BX459" s="39"/>
      <c r="BY459" s="39"/>
      <c r="BZ459" s="39"/>
      <c r="CA459" s="39"/>
      <c r="CB459" s="39"/>
      <c r="CC459" s="39"/>
      <c r="CD459" s="39"/>
      <c r="CE459" s="39"/>
      <c r="CF459" s="39"/>
      <c r="CG459" s="39"/>
      <c r="CH459" s="39"/>
      <c r="CI459" s="39"/>
      <c r="CJ459" s="39"/>
      <c r="CK459" s="39"/>
      <c r="CL459" s="39"/>
      <c r="CM459" s="39"/>
      <c r="CN459" s="39"/>
      <c r="CO459" s="39"/>
      <c r="CP459" s="39"/>
      <c r="CQ459" s="39"/>
      <c r="CR459" s="39"/>
      <c r="CS459" s="39"/>
      <c r="CT459" s="39"/>
      <c r="CU459" s="39"/>
      <c r="CV459" s="39"/>
      <c r="CW459" s="39"/>
      <c r="CX459" s="39"/>
      <c r="CY459" s="39"/>
      <c r="CZ459" s="39"/>
      <c r="DA459" s="39"/>
      <c r="DB459" s="39"/>
      <c r="DC459" s="39"/>
      <c r="DD459" s="39"/>
      <c r="DE459" s="39"/>
      <c r="DF459" s="39"/>
      <c r="DG459" s="39"/>
      <c r="DH459" s="39"/>
      <c r="DI459" s="39"/>
    </row>
    <row r="460" spans="1:113">
      <c r="A460" s="41"/>
      <c r="C460" s="48" t="str">
        <f t="shared" si="96"/>
        <v>United Internet</v>
      </c>
      <c r="D460" s="44" t="str">
        <f t="shared" si="96"/>
        <v>EUR 22.1</v>
      </c>
      <c r="E460" s="44" t="str">
        <f t="shared" si="96"/>
        <v>EUR 30.0</v>
      </c>
      <c r="F460" s="45">
        <f t="shared" si="96"/>
        <v>0.35869565217391308</v>
      </c>
      <c r="G460" s="44" t="str">
        <f t="shared" si="96"/>
        <v>Buy</v>
      </c>
      <c r="H460" s="46"/>
      <c r="I460" s="45">
        <f>UTDI!$D$30/UTDI!$D$23</f>
        <v>5.3686107068565248E-2</v>
      </c>
      <c r="J460" s="45">
        <f>UTDI!$E$30/UTDI!$E$23</f>
        <v>6.7457274380169976E-2</v>
      </c>
      <c r="K460" s="45">
        <f>UTDI!$F$30/UTDI!$F$23</f>
        <v>6.8939933814932353E-2</v>
      </c>
      <c r="L460" s="45">
        <f>UTDI!$G$30/UTDI!$G$23</f>
        <v>6.5634117085900973E-2</v>
      </c>
      <c r="M460" s="45">
        <f>L460-I460</f>
        <v>1.1948010017335725E-2</v>
      </c>
      <c r="N460" s="46"/>
      <c r="O460" s="47">
        <f>UTDI!$D$12/UTDI!$D$24</f>
        <v>2.1081806933905538</v>
      </c>
      <c r="P460" s="47">
        <f>UTDI!$E$12/UTDI!$E$24</f>
        <v>2.2391917914499939</v>
      </c>
      <c r="Q460" s="47">
        <f>UTDI!$F$12/UTDI!$F$24</f>
        <v>2.5540493778932585</v>
      </c>
      <c r="R460" s="47">
        <f>UTDI!$G$12/UTDI!$G$24</f>
        <v>2.3145195935314358</v>
      </c>
      <c r="S460" s="45">
        <f>R460-O460</f>
        <v>0.20633890014088196</v>
      </c>
      <c r="T460" s="46"/>
      <c r="U460" s="48" t="str">
        <f t="shared" si="97"/>
        <v>EUR 22.1</v>
      </c>
      <c r="V460" s="44" t="str">
        <f t="shared" si="97"/>
        <v>United Internet</v>
      </c>
      <c r="Z460" s="49"/>
      <c r="BU460" s="39"/>
      <c r="BV460" s="39"/>
      <c r="BW460" s="39"/>
      <c r="BX460" s="39"/>
      <c r="BY460" s="39"/>
      <c r="BZ460" s="39"/>
      <c r="CA460" s="39"/>
      <c r="CB460" s="39"/>
      <c r="CC460" s="39"/>
      <c r="CD460" s="39"/>
      <c r="CE460" s="39"/>
      <c r="CF460" s="39"/>
      <c r="CG460" s="39"/>
      <c r="CH460" s="39"/>
      <c r="CI460" s="39"/>
      <c r="CJ460" s="39"/>
      <c r="CK460" s="39"/>
      <c r="CL460" s="39"/>
      <c r="CM460" s="39"/>
      <c r="CN460" s="39"/>
      <c r="CO460" s="39"/>
      <c r="CP460" s="39"/>
      <c r="CQ460" s="39"/>
      <c r="CR460" s="39"/>
      <c r="CS460" s="39"/>
      <c r="CT460" s="39"/>
      <c r="CU460" s="39"/>
      <c r="CV460" s="39"/>
      <c r="CW460" s="39"/>
      <c r="CX460" s="39"/>
      <c r="CY460" s="39"/>
      <c r="CZ460" s="39"/>
      <c r="DA460" s="39"/>
      <c r="DB460" s="39"/>
      <c r="DC460" s="39"/>
      <c r="DD460" s="39"/>
      <c r="DE460" s="39"/>
      <c r="DF460" s="39"/>
      <c r="DG460" s="39"/>
      <c r="DH460" s="39"/>
      <c r="DI460" s="39"/>
    </row>
    <row r="461" spans="1:113">
      <c r="C461" s="48" t="str">
        <f t="shared" si="96"/>
        <v>Vodafone</v>
      </c>
      <c r="D461" s="44" t="str">
        <f t="shared" si="96"/>
        <v>GBP 0.74</v>
      </c>
      <c r="E461" s="44" t="str">
        <f t="shared" si="96"/>
        <v>GBP 1.35</v>
      </c>
      <c r="F461" s="45">
        <f t="shared" si="96"/>
        <v>0.83673469387755106</v>
      </c>
      <c r="G461" s="44" t="str">
        <f t="shared" si="96"/>
        <v>Buy</v>
      </c>
      <c r="H461" s="46"/>
      <c r="I461" s="45">
        <f>VOD!$D$30/VOD!$D$23</f>
        <v>6.9833916148976397E-2</v>
      </c>
      <c r="J461" s="45">
        <f>VOD!$E$30/VOD!$E$23</f>
        <v>6.6857639696941931E-2</v>
      </c>
      <c r="K461" s="45">
        <f>VOD!$F$30/VOD!$F$23</f>
        <v>8.0258782385296046E-2</v>
      </c>
      <c r="L461" s="45">
        <f>VOD!$G$30/VOD!$G$23</f>
        <v>8.8150517500802925E-2</v>
      </c>
      <c r="M461" s="45">
        <f>L461-I461</f>
        <v>1.8316601351826528E-2</v>
      </c>
      <c r="N461" s="46"/>
      <c r="O461" s="47">
        <f>VOD!$D$12/VOD!$D$24</f>
        <v>2.545139249692518</v>
      </c>
      <c r="P461" s="47">
        <f>VOD!$E$12/VOD!$E$24</f>
        <v>2.5117796231770799</v>
      </c>
      <c r="Q461" s="47">
        <f>VOD!$F$12/VOD!$F$24</f>
        <v>2.3337164370952106</v>
      </c>
      <c r="R461" s="47">
        <f>VOD!$G$12/VOD!$G$24</f>
        <v>1.975965149932039</v>
      </c>
      <c r="S461" s="45">
        <f>R461-O461</f>
        <v>-0.56917409976047906</v>
      </c>
      <c r="T461" s="46"/>
      <c r="U461" s="48" t="str">
        <f>U401</f>
        <v>GBP 0.74</v>
      </c>
      <c r="V461" s="44" t="s">
        <v>281</v>
      </c>
      <c r="Z461" s="49"/>
      <c r="BU461" s="39"/>
      <c r="BV461" s="39"/>
      <c r="BW461" s="39"/>
      <c r="BX461" s="39"/>
      <c r="BY461" s="39"/>
      <c r="BZ461" s="39"/>
      <c r="CA461" s="39"/>
      <c r="CB461" s="39"/>
      <c r="CC461" s="39"/>
      <c r="CD461" s="39"/>
      <c r="CE461" s="39"/>
      <c r="CF461" s="39"/>
      <c r="CG461" s="39"/>
      <c r="CH461" s="39"/>
      <c r="CI461" s="39"/>
      <c r="CJ461" s="39"/>
      <c r="CK461" s="39"/>
      <c r="CL461" s="39"/>
      <c r="CM461" s="39"/>
      <c r="CN461" s="39"/>
      <c r="CO461" s="39"/>
      <c r="CP461" s="39"/>
      <c r="CQ461" s="39"/>
      <c r="CR461" s="39"/>
      <c r="CS461" s="39"/>
      <c r="CT461" s="39"/>
      <c r="CU461" s="39"/>
      <c r="CV461" s="39"/>
      <c r="CW461" s="39"/>
      <c r="CX461" s="39"/>
      <c r="CY461" s="39"/>
      <c r="CZ461" s="39"/>
      <c r="DA461" s="39"/>
      <c r="DB461" s="39"/>
      <c r="DC461" s="39"/>
      <c r="DD461" s="39"/>
      <c r="DE461" s="39"/>
      <c r="DF461" s="39"/>
      <c r="DG461" s="39"/>
      <c r="DH461" s="39"/>
      <c r="DI461" s="39"/>
    </row>
    <row r="462" spans="1:113">
      <c r="C462" s="51" t="str">
        <f>C402</f>
        <v>Agg. W. Europe Other</v>
      </c>
      <c r="D462" s="52"/>
      <c r="E462" s="52"/>
      <c r="F462" s="53"/>
      <c r="G462" s="52"/>
      <c r="H462" s="46"/>
      <c r="I462" s="55">
        <f>'W.EUR OTHER'!$D$30/'W.EUR OTHER'!$D$23</f>
        <v>5.1667959706527343E-2</v>
      </c>
      <c r="J462" s="55">
        <f>'W.EUR OTHER'!$E$30/'W.EUR OTHER'!$E$23</f>
        <v>6.0850142304410264E-2</v>
      </c>
      <c r="K462" s="55">
        <f>'W.EUR OTHER'!$F$30/'W.EUR OTHER'!$F$23</f>
        <v>7.140865638732985E-2</v>
      </c>
      <c r="L462" s="55">
        <f>'W.EUR OTHER'!$G$30/'W.EUR OTHER'!$G$23</f>
        <v>7.8552886779024292E-2</v>
      </c>
      <c r="M462" s="55">
        <f t="shared" si="98"/>
        <v>2.6884927072496949E-2</v>
      </c>
      <c r="N462" s="56"/>
      <c r="O462" s="54">
        <f>'W.EUR OTHER'!$D$12/'W.EUR OTHER'!$D$24</f>
        <v>2.7261328126728532</v>
      </c>
      <c r="P462" s="54">
        <f>'W.EUR OTHER'!$E$12/'W.EUR OTHER'!$E$24</f>
        <v>2.6373847573905018</v>
      </c>
      <c r="Q462" s="54">
        <f>'W.EUR OTHER'!$F$12/'W.EUR OTHER'!$F$24</f>
        <v>2.5224370392219981</v>
      </c>
      <c r="R462" s="54">
        <f>'W.EUR OTHER'!$G$12/'W.EUR OTHER'!$G$24</f>
        <v>2.245231370554555</v>
      </c>
      <c r="S462" s="55">
        <f t="shared" si="99"/>
        <v>-0.48090144211829822</v>
      </c>
      <c r="T462" s="46"/>
      <c r="U462" s="57"/>
      <c r="V462" s="58" t="str">
        <f>C462</f>
        <v>Agg. W. Europe Other</v>
      </c>
      <c r="Z462" s="49"/>
      <c r="BU462" s="39"/>
      <c r="BV462" s="39"/>
      <c r="BW462" s="39"/>
      <c r="BX462" s="39"/>
      <c r="BY462" s="39"/>
      <c r="BZ462" s="39"/>
      <c r="CA462" s="39"/>
      <c r="CB462" s="39"/>
      <c r="CC462" s="39"/>
      <c r="CD462" s="39"/>
      <c r="CE462" s="39"/>
      <c r="CF462" s="39"/>
      <c r="CG462" s="39"/>
      <c r="CH462" s="39"/>
      <c r="CI462" s="39"/>
      <c r="CJ462" s="39"/>
      <c r="CK462" s="39"/>
      <c r="CL462" s="39"/>
      <c r="CM462" s="39"/>
      <c r="CN462" s="39"/>
      <c r="CO462" s="39"/>
      <c r="CP462" s="39"/>
      <c r="CQ462" s="39"/>
      <c r="CR462" s="39"/>
      <c r="CS462" s="39"/>
      <c r="CT462" s="39"/>
      <c r="CU462" s="39"/>
      <c r="CV462" s="39"/>
      <c r="CW462" s="39"/>
      <c r="CX462" s="39"/>
      <c r="CY462" s="39"/>
      <c r="CZ462" s="39"/>
      <c r="DA462" s="39"/>
      <c r="DB462" s="39"/>
      <c r="DC462" s="39"/>
      <c r="DD462" s="39"/>
      <c r="DE462" s="39"/>
      <c r="DF462" s="39"/>
      <c r="DG462" s="39"/>
      <c r="DH462" s="39"/>
      <c r="DI462" s="39"/>
    </row>
    <row r="463" spans="1:113">
      <c r="C463" s="48"/>
      <c r="D463" s="44"/>
      <c r="E463" s="44"/>
      <c r="F463" s="45"/>
      <c r="G463" s="44"/>
      <c r="H463" s="46"/>
      <c r="I463" s="45"/>
      <c r="J463" s="45"/>
      <c r="K463" s="45"/>
      <c r="L463" s="45"/>
      <c r="M463" s="45"/>
      <c r="N463" s="46"/>
      <c r="O463" s="47"/>
      <c r="P463" s="47"/>
      <c r="Q463" s="47"/>
      <c r="R463" s="47"/>
      <c r="S463" s="45"/>
      <c r="T463" s="46"/>
      <c r="U463" s="48"/>
      <c r="V463" s="44"/>
      <c r="Z463" s="49"/>
      <c r="BU463" s="39"/>
      <c r="BV463" s="39"/>
      <c r="BW463" s="39"/>
      <c r="BX463" s="39"/>
      <c r="BY463" s="39"/>
      <c r="BZ463" s="39"/>
      <c r="CA463" s="39"/>
      <c r="CB463" s="39"/>
      <c r="CC463" s="39"/>
      <c r="CD463" s="39"/>
      <c r="CE463" s="39"/>
      <c r="CF463" s="39"/>
      <c r="CG463" s="39"/>
      <c r="CH463" s="39"/>
      <c r="CI463" s="39"/>
      <c r="CJ463" s="39"/>
      <c r="CK463" s="39"/>
      <c r="CL463" s="39"/>
      <c r="CM463" s="39"/>
      <c r="CN463" s="39"/>
      <c r="CO463" s="39"/>
      <c r="CP463" s="39"/>
      <c r="CQ463" s="39"/>
      <c r="CR463" s="39"/>
      <c r="CS463" s="39"/>
      <c r="CT463" s="39"/>
      <c r="CU463" s="39"/>
      <c r="CV463" s="39"/>
      <c r="CW463" s="39"/>
      <c r="CX463" s="39"/>
      <c r="CY463" s="39"/>
      <c r="CZ463" s="39"/>
      <c r="DA463" s="39"/>
      <c r="DB463" s="39"/>
      <c r="DC463" s="39"/>
      <c r="DD463" s="39"/>
      <c r="DE463" s="39"/>
      <c r="DF463" s="39"/>
      <c r="DG463" s="39"/>
      <c r="DH463" s="39"/>
      <c r="DI463" s="39"/>
    </row>
    <row r="464" spans="1:113">
      <c r="A464" s="41"/>
      <c r="B464" s="42" t="s">
        <v>556</v>
      </c>
      <c r="C464" s="48" t="str">
        <f t="shared" ref="C464:G469" si="100">C404</f>
        <v>HKBN</v>
      </c>
      <c r="D464" s="44" t="str">
        <f t="shared" si="100"/>
        <v>HKD 3</v>
      </c>
      <c r="E464" s="44" t="str">
        <f t="shared" si="100"/>
        <v>HKD 16</v>
      </c>
      <c r="F464" s="45">
        <f t="shared" si="100"/>
        <v>5.2256809338521402</v>
      </c>
      <c r="G464" s="44" t="str">
        <f t="shared" si="100"/>
        <v>Buy</v>
      </c>
      <c r="H464" s="46"/>
      <c r="I464" s="45">
        <f>HKBN!$D$30/HKBN!$D$23</f>
        <v>4.4060578154516798E-2</v>
      </c>
      <c r="J464" s="45">
        <f>HKBN!$E$30/HKBN!$E$23</f>
        <v>4.8068910192093021E-2</v>
      </c>
      <c r="K464" s="45">
        <f>HKBN!$F$30/HKBN!$F$23</f>
        <v>5.1967945376251511E-2</v>
      </c>
      <c r="L464" s="45">
        <f>HKBN!$G$30/HKBN!$G$23</f>
        <v>5.5585997350571868E-2</v>
      </c>
      <c r="M464" s="45">
        <f>L464-I464</f>
        <v>1.152541919605507E-2</v>
      </c>
      <c r="N464" s="46"/>
      <c r="O464" s="47">
        <f>HKBN!$D$12/HKBN!$D$24</f>
        <v>3.4564336066530585</v>
      </c>
      <c r="P464" s="47">
        <f>HKBN!$E$12/HKBN!$E$24</f>
        <v>3.3162997202605173</v>
      </c>
      <c r="Q464" s="47">
        <f>HKBN!$F$12/HKBN!$F$24</f>
        <v>3.1928881834596572</v>
      </c>
      <c r="R464" s="47">
        <f>HKBN!$G$12/HKBN!$G$24</f>
        <v>3.0660966277584292</v>
      </c>
      <c r="S464" s="45">
        <f>R464-O464</f>
        <v>-0.39033697889462937</v>
      </c>
      <c r="T464" s="46"/>
      <c r="U464" s="48" t="str">
        <f t="shared" ref="U464:V469" si="101">U404</f>
        <v>HKD 3</v>
      </c>
      <c r="V464" s="69" t="str">
        <f t="shared" si="101"/>
        <v>HKBN</v>
      </c>
      <c r="Z464" s="49"/>
      <c r="BU464" s="39"/>
      <c r="BV464" s="39"/>
      <c r="BW464" s="39"/>
      <c r="BX464" s="39"/>
      <c r="BY464" s="39"/>
      <c r="BZ464" s="39"/>
      <c r="CA464" s="39"/>
      <c r="CB464" s="39"/>
      <c r="CC464" s="39"/>
      <c r="CD464" s="39"/>
      <c r="CE464" s="39"/>
      <c r="CF464" s="39"/>
      <c r="CG464" s="39"/>
      <c r="CH464" s="39"/>
      <c r="CI464" s="39"/>
      <c r="CJ464" s="39"/>
      <c r="CK464" s="39"/>
      <c r="CL464" s="39"/>
      <c r="CM464" s="39"/>
      <c r="CN464" s="39"/>
      <c r="CO464" s="39"/>
      <c r="CP464" s="39"/>
      <c r="CQ464" s="39"/>
      <c r="CR464" s="39"/>
      <c r="CS464" s="39"/>
      <c r="CT464" s="39"/>
      <c r="CU464" s="39"/>
      <c r="CV464" s="39"/>
      <c r="CW464" s="39"/>
      <c r="CX464" s="39"/>
      <c r="CY464" s="39"/>
      <c r="CZ464" s="39"/>
      <c r="DA464" s="39"/>
      <c r="DB464" s="39"/>
      <c r="DC464" s="39"/>
      <c r="DD464" s="39"/>
      <c r="DE464" s="39"/>
      <c r="DF464" s="39"/>
      <c r="DG464" s="39"/>
      <c r="DH464" s="39"/>
      <c r="DI464" s="39"/>
    </row>
    <row r="465" spans="1:113">
      <c r="C465" s="48" t="str">
        <f t="shared" si="100"/>
        <v>KDDI</v>
      </c>
      <c r="D465" s="44" t="str">
        <f t="shared" si="100"/>
        <v>JPY 4,302</v>
      </c>
      <c r="E465" s="44" t="str">
        <f t="shared" si="100"/>
        <v>JPY 6,600</v>
      </c>
      <c r="F465" s="45">
        <f t="shared" si="100"/>
        <v>0.53417015341701535</v>
      </c>
      <c r="G465" s="44" t="str">
        <f t="shared" si="100"/>
        <v>Buy</v>
      </c>
      <c r="H465" s="46"/>
      <c r="I465" s="45">
        <f>KDDI!$D$30/KDDI!$D$23</f>
        <v>0.11088750041709763</v>
      </c>
      <c r="J465" s="45">
        <f>KDDI!$E$30/KDDI!$E$23</f>
        <v>0.11334377257283723</v>
      </c>
      <c r="K465" s="45">
        <f>KDDI!$F$30/KDDI!$F$23</f>
        <v>0.11730895835461186</v>
      </c>
      <c r="L465" s="45">
        <f>KDDI!$G$30/KDDI!$G$23</f>
        <v>0.1211495555202588</v>
      </c>
      <c r="M465" s="45">
        <f t="shared" ref="M465:M470" si="102">L465-I465</f>
        <v>1.0262055103161166E-2</v>
      </c>
      <c r="N465" s="46"/>
      <c r="O465" s="47">
        <f>KDDI!$D$12/KDDI!$D$24</f>
        <v>0.926965490831966</v>
      </c>
      <c r="P465" s="47">
        <f>KDDI!$E$12/KDDI!$E$24</f>
        <v>0.75934688579757259</v>
      </c>
      <c r="Q465" s="47">
        <f>KDDI!$F$12/KDDI!$F$24</f>
        <v>0.62321714282024421</v>
      </c>
      <c r="R465" s="47">
        <f>KDDI!$G$12/KDDI!$G$24</f>
        <v>0.48262024461892228</v>
      </c>
      <c r="S465" s="45">
        <f t="shared" ref="S465:S470" si="103">R465-O465</f>
        <v>-0.44434524621304372</v>
      </c>
      <c r="T465" s="46"/>
      <c r="U465" s="48" t="str">
        <f t="shared" si="101"/>
        <v>JPY 4,302</v>
      </c>
      <c r="V465" s="44" t="str">
        <f t="shared" si="101"/>
        <v>KDDI</v>
      </c>
      <c r="Z465" s="49"/>
      <c r="BU465" s="39"/>
      <c r="BV465" s="39"/>
      <c r="BW465" s="39"/>
      <c r="BX465" s="39"/>
      <c r="BY465" s="39"/>
      <c r="BZ465" s="39"/>
      <c r="CA465" s="39"/>
      <c r="CB465" s="39"/>
      <c r="CC465" s="39"/>
      <c r="CD465" s="39"/>
      <c r="CE465" s="39"/>
      <c r="CF465" s="39"/>
      <c r="CG465" s="39"/>
      <c r="CH465" s="39"/>
      <c r="CI465" s="39"/>
      <c r="CJ465" s="39"/>
      <c r="CK465" s="39"/>
      <c r="CL465" s="39"/>
      <c r="CM465" s="39"/>
      <c r="CN465" s="39"/>
      <c r="CO465" s="39"/>
      <c r="CP465" s="39"/>
      <c r="CQ465" s="39"/>
      <c r="CR465" s="39"/>
      <c r="CS465" s="39"/>
      <c r="CT465" s="39"/>
      <c r="CU465" s="39"/>
      <c r="CV465" s="39"/>
      <c r="CW465" s="39"/>
      <c r="CX465" s="39"/>
      <c r="CY465" s="39"/>
      <c r="CZ465" s="39"/>
      <c r="DA465" s="39"/>
      <c r="DB465" s="39"/>
      <c r="DC465" s="39"/>
      <c r="DD465" s="39"/>
      <c r="DE465" s="39"/>
      <c r="DF465" s="39"/>
      <c r="DG465" s="39"/>
      <c r="DH465" s="39"/>
      <c r="DI465" s="39"/>
    </row>
    <row r="466" spans="1:113">
      <c r="A466" s="41"/>
      <c r="C466" s="48" t="str">
        <f t="shared" si="100"/>
        <v>Macquarie Telecom</v>
      </c>
      <c r="D466" s="44" t="str">
        <f t="shared" si="100"/>
        <v>AUD 85.20</v>
      </c>
      <c r="E466" s="44" t="str">
        <f t="shared" si="100"/>
        <v>AUD 28.00</v>
      </c>
      <c r="F466" s="45">
        <f t="shared" si="100"/>
        <v>-0.67136150234741787</v>
      </c>
      <c r="G466" s="44" t="str">
        <f t="shared" si="100"/>
        <v>Neutral</v>
      </c>
      <c r="H466" s="46"/>
      <c r="I466" s="45">
        <f>MAQ!$D$30/MAQ!$D$23</f>
        <v>6.5404469582332647E-2</v>
      </c>
      <c r="J466" s="45">
        <f>MAQ!$E$30/MAQ!$E$23</f>
        <v>6.9107592391874653E-2</v>
      </c>
      <c r="K466" s="45">
        <f>MAQ!$F$30/MAQ!$F$23</f>
        <v>7.7643173399958396E-2</v>
      </c>
      <c r="L466" s="45">
        <f>MAQ!$G$30/MAQ!$G$23</f>
        <v>8.1456314440227273E-2</v>
      </c>
      <c r="M466" s="45">
        <f>L466-I466</f>
        <v>1.6051844857894626E-2</v>
      </c>
      <c r="N466" s="46"/>
      <c r="O466" s="47">
        <f>MAQ!$D$12/MAQ!$D$24</f>
        <v>-0.27981817046257362</v>
      </c>
      <c r="P466" s="47">
        <f>MAQ!$E$12/MAQ!$E$24</f>
        <v>-0.45554131042779494</v>
      </c>
      <c r="Q466" s="47">
        <f>MAQ!$F$12/MAQ!$F$24</f>
        <v>-0.53347252619737706</v>
      </c>
      <c r="R466" s="47">
        <f>MAQ!$G$12/MAQ!$G$24</f>
        <v>-0.74312821645389171</v>
      </c>
      <c r="S466" s="45">
        <f>R466-O466</f>
        <v>-0.46331004599131809</v>
      </c>
      <c r="T466" s="46"/>
      <c r="U466" s="48" t="str">
        <f t="shared" si="101"/>
        <v>AUD 85.20</v>
      </c>
      <c r="V466" s="69" t="str">
        <f t="shared" si="101"/>
        <v>Macquarie Telecom</v>
      </c>
      <c r="Z466" s="49"/>
    </row>
    <row r="467" spans="1:113">
      <c r="C467" s="48" t="str">
        <f t="shared" si="100"/>
        <v>Rakuten</v>
      </c>
      <c r="D467" s="44" t="str">
        <f t="shared" si="100"/>
        <v>JPY 776</v>
      </c>
      <c r="E467" s="44" t="str">
        <f t="shared" si="100"/>
        <v>JPY 400</v>
      </c>
      <c r="F467" s="45">
        <f t="shared" si="100"/>
        <v>-0.48446964815053484</v>
      </c>
      <c r="G467" s="44" t="str">
        <f t="shared" si="100"/>
        <v>Reduce</v>
      </c>
      <c r="H467" s="46"/>
      <c r="I467" s="45">
        <f>RAK!$D$30/RAK!$D$23</f>
        <v>-0.16389298585681075</v>
      </c>
      <c r="J467" s="45">
        <f>RAK!$E$30/RAK!$E$23</f>
        <v>-8.7981324637832772E-2</v>
      </c>
      <c r="K467" s="45">
        <f>RAK!$F$30/RAK!$F$23</f>
        <v>-7.3104795043426027E-2</v>
      </c>
      <c r="L467" s="45">
        <f>RAK!$G$30/RAK!$G$23</f>
        <v>-6.1074304392746331E-2</v>
      </c>
      <c r="M467" s="45">
        <f>L467-I467</f>
        <v>0.10281868146406442</v>
      </c>
      <c r="N467" s="46"/>
      <c r="O467" s="47">
        <f>RAK!$D$12/RAK!$D$24</f>
        <v>0.6006249198604392</v>
      </c>
      <c r="P467" s="47">
        <f>RAK!$E$12/RAK!$E$24</f>
        <v>0.49486783260442296</v>
      </c>
      <c r="Q467" s="47">
        <f>RAK!$F$12/RAK!$F$24</f>
        <v>0.35023295052665077</v>
      </c>
      <c r="R467" s="47">
        <f>RAK!$G$12/RAK!$G$24</f>
        <v>0.265365206042465</v>
      </c>
      <c r="S467" s="45">
        <f>R467-O467</f>
        <v>-0.3352597138179742</v>
      </c>
      <c r="T467" s="46"/>
      <c r="U467" s="48" t="str">
        <f t="shared" si="101"/>
        <v>JPY 776</v>
      </c>
      <c r="V467" s="44" t="str">
        <f t="shared" si="101"/>
        <v>Rakuten</v>
      </c>
      <c r="Z467" s="49"/>
      <c r="BU467" s="39"/>
      <c r="BV467" s="39"/>
      <c r="BW467" s="39"/>
      <c r="BX467" s="39"/>
      <c r="BY467" s="39"/>
      <c r="BZ467" s="39"/>
      <c r="CA467" s="39"/>
      <c r="CB467" s="39"/>
      <c r="CC467" s="39"/>
      <c r="CD467" s="39"/>
      <c r="CE467" s="39"/>
      <c r="CF467" s="39"/>
      <c r="CG467" s="39"/>
      <c r="CH467" s="39"/>
      <c r="CI467" s="39"/>
      <c r="CJ467" s="39"/>
      <c r="CK467" s="39"/>
      <c r="CL467" s="39"/>
      <c r="CM467" s="39"/>
      <c r="CN467" s="39"/>
      <c r="CO467" s="39"/>
      <c r="CP467" s="39"/>
      <c r="CQ467" s="39"/>
      <c r="CR467" s="39"/>
      <c r="CS467" s="39"/>
      <c r="CT467" s="39"/>
      <c r="CU467" s="39"/>
      <c r="CV467" s="39"/>
      <c r="CW467" s="39"/>
      <c r="CX467" s="39"/>
      <c r="CY467" s="39"/>
      <c r="CZ467" s="39"/>
      <c r="DA467" s="39"/>
      <c r="DB467" s="39"/>
      <c r="DC467" s="39"/>
      <c r="DD467" s="39"/>
      <c r="DE467" s="39"/>
      <c r="DF467" s="39"/>
      <c r="DG467" s="39"/>
      <c r="DH467" s="39"/>
      <c r="DI467" s="39"/>
    </row>
    <row r="468" spans="1:113">
      <c r="C468" s="48" t="str">
        <f t="shared" si="100"/>
        <v>SoftBank KK (Corp)</v>
      </c>
      <c r="D468" s="44" t="str">
        <f t="shared" si="100"/>
        <v>JPY 1,898</v>
      </c>
      <c r="E468" s="44" t="str">
        <f t="shared" si="100"/>
        <v>JPY 2,500</v>
      </c>
      <c r="F468" s="45">
        <f t="shared" si="100"/>
        <v>0.31752305665349145</v>
      </c>
      <c r="G468" s="44" t="str">
        <f t="shared" si="100"/>
        <v>Buy</v>
      </c>
      <c r="H468" s="46"/>
      <c r="I468" s="45">
        <f>SBKK!$D$30/SBKK!$D$23</f>
        <v>8.0374753451676523E-2</v>
      </c>
      <c r="J468" s="45">
        <f>SBKK!$E$30/SBKK!$E$23</f>
        <v>7.9848543078766931E-2</v>
      </c>
      <c r="K468" s="45">
        <f>SBKK!$F$30/SBKK!$F$23</f>
        <v>8.216481318644929E-2</v>
      </c>
      <c r="L468" s="45">
        <f>SBKK!$G$30/SBKK!$G$23</f>
        <v>8.2416126663212422E-2</v>
      </c>
      <c r="M468" s="45">
        <f t="shared" si="102"/>
        <v>2.041373211535899E-3</v>
      </c>
      <c r="N468" s="46"/>
      <c r="O468" s="47">
        <f>SBKK!$D$12/SBKK!$D$24</f>
        <v>2.7612210617399322</v>
      </c>
      <c r="P468" s="47">
        <f>SBKK!$E$12/SBKK!$E$24</f>
        <v>2.5210680426392544</v>
      </c>
      <c r="Q468" s="47">
        <f>SBKK!$F$12/SBKK!$F$24</f>
        <v>2.1542847200800801</v>
      </c>
      <c r="R468" s="47">
        <f>SBKK!$G$12/SBKK!$G$24</f>
        <v>1.7931163447634013</v>
      </c>
      <c r="S468" s="45">
        <f t="shared" si="103"/>
        <v>-0.96810471697653089</v>
      </c>
      <c r="T468" s="46"/>
      <c r="U468" s="48" t="str">
        <f t="shared" si="101"/>
        <v>JPY 1,898</v>
      </c>
      <c r="V468" s="44" t="str">
        <f t="shared" si="101"/>
        <v>SoftBank KK (Corp)</v>
      </c>
      <c r="Z468" s="49"/>
      <c r="BU468" s="39"/>
      <c r="BV468" s="39"/>
      <c r="BW468" s="39"/>
      <c r="BX468" s="39"/>
      <c r="BY468" s="39"/>
      <c r="BZ468" s="39"/>
      <c r="CA468" s="39"/>
      <c r="CB468" s="39"/>
      <c r="CC468" s="39"/>
      <c r="CD468" s="39"/>
      <c r="CE468" s="39"/>
      <c r="CF468" s="39"/>
      <c r="CG468" s="39"/>
      <c r="CH468" s="39"/>
      <c r="CI468" s="39"/>
      <c r="CJ468" s="39"/>
      <c r="CK468" s="39"/>
      <c r="CL468" s="39"/>
      <c r="CM468" s="39"/>
      <c r="CN468" s="39"/>
      <c r="CO468" s="39"/>
      <c r="CP468" s="39"/>
      <c r="CQ468" s="39"/>
      <c r="CR468" s="39"/>
      <c r="CS468" s="39"/>
      <c r="CT468" s="39"/>
      <c r="CU468" s="39"/>
      <c r="CV468" s="39"/>
      <c r="CW468" s="39"/>
      <c r="CX468" s="39"/>
      <c r="CY468" s="39"/>
      <c r="CZ468" s="39"/>
      <c r="DA468" s="39"/>
      <c r="DB468" s="39"/>
      <c r="DC468" s="39"/>
      <c r="DD468" s="39"/>
      <c r="DE468" s="39"/>
      <c r="DF468" s="39"/>
      <c r="DG468" s="39"/>
      <c r="DH468" s="39"/>
      <c r="DI468" s="39"/>
    </row>
    <row r="469" spans="1:113">
      <c r="A469" s="41"/>
      <c r="C469" s="48" t="str">
        <f t="shared" si="100"/>
        <v>TPG</v>
      </c>
      <c r="D469" s="44" t="str">
        <f t="shared" si="100"/>
        <v>AUD 4.60</v>
      </c>
      <c r="E469" s="44" t="str">
        <f t="shared" si="100"/>
        <v>AUD 7.50</v>
      </c>
      <c r="F469" s="45">
        <f t="shared" si="100"/>
        <v>0.63043478260869579</v>
      </c>
      <c r="G469" s="44" t="str">
        <f t="shared" si="100"/>
        <v>Neutral</v>
      </c>
      <c r="H469" s="46"/>
      <c r="I469" s="45">
        <f>TPG!$D$30/TPG!$D$23</f>
        <v>8.1736920496538787E-2</v>
      </c>
      <c r="J469" s="45">
        <f>TPG!$E$30/TPG!$E$23</f>
        <v>7.9596456458852771E-2</v>
      </c>
      <c r="K469" s="45">
        <f>TPG!$F$30/TPG!$F$23</f>
        <v>8.3062767030333565E-2</v>
      </c>
      <c r="L469" s="45">
        <f>TPG!$G$30/TPG!$G$23</f>
        <v>8.5726282763352576E-2</v>
      </c>
      <c r="M469" s="45">
        <f>L469-I469</f>
        <v>3.9893622668137896E-3</v>
      </c>
      <c r="N469" s="46"/>
      <c r="O469" s="47">
        <f>TPG!$D$12/TPG!$D$24</f>
        <v>2.6518882418815704</v>
      </c>
      <c r="P469" s="47">
        <f>TPG!$E$12/TPG!$E$24</f>
        <v>2.5591656812657231</v>
      </c>
      <c r="Q469" s="47">
        <f>TPG!$F$12/TPG!$F$24</f>
        <v>2.362866143691456</v>
      </c>
      <c r="R469" s="47">
        <f>TPG!$G$12/TPG!$G$24</f>
        <v>2.1750917488950332</v>
      </c>
      <c r="S469" s="45">
        <f>R469-O469</f>
        <v>-0.47679649298653715</v>
      </c>
      <c r="T469" s="46"/>
      <c r="U469" s="48" t="str">
        <f t="shared" si="101"/>
        <v>AUD 4.60</v>
      </c>
      <c r="V469" s="44" t="str">
        <f t="shared" si="101"/>
        <v>TPG</v>
      </c>
      <c r="Z469" s="49"/>
    </row>
    <row r="470" spans="1:113">
      <c r="C470" s="51" t="str">
        <f>C410</f>
        <v>Agg. Developed Asia Other</v>
      </c>
      <c r="D470" s="52"/>
      <c r="E470" s="52"/>
      <c r="F470" s="53"/>
      <c r="G470" s="52"/>
      <c r="H470" s="46"/>
      <c r="I470" s="55">
        <f>'DM ASIA OTHER'!$D$30/'DM ASIA OTHER'!$D$23</f>
        <v>5.7482543222597202E-2</v>
      </c>
      <c r="J470" s="55">
        <f>'DM ASIA OTHER'!$E$30/'DM ASIA OTHER'!$E$23</f>
        <v>6.7589923335924687E-2</v>
      </c>
      <c r="K470" s="55">
        <f>'DM ASIA OTHER'!$F$30/'DM ASIA OTHER'!$F$23</f>
        <v>7.1348459521369922E-2</v>
      </c>
      <c r="L470" s="55">
        <f>'DM ASIA OTHER'!$G$30/'DM ASIA OTHER'!$G$23</f>
        <v>7.3950976328599496E-2</v>
      </c>
      <c r="M470" s="55">
        <f t="shared" si="102"/>
        <v>1.6468433106002295E-2</v>
      </c>
      <c r="N470" s="56"/>
      <c r="O470" s="54">
        <f>'DM ASIA OTHER'!$D$12/'DM ASIA OTHER'!$D$24</f>
        <v>1.8012419608645003</v>
      </c>
      <c r="P470" s="54">
        <f>'DM ASIA OTHER'!$E$12/'DM ASIA OTHER'!$E$24</f>
        <v>1.5875785929795749</v>
      </c>
      <c r="Q470" s="54">
        <f>'DM ASIA OTHER'!$F$12/'DM ASIA OTHER'!$F$24</f>
        <v>1.3412905108490274</v>
      </c>
      <c r="R470" s="54">
        <f>'DM ASIA OTHER'!$G$12/'DM ASIA OTHER'!$G$24</f>
        <v>1.1029916307539636</v>
      </c>
      <c r="S470" s="55">
        <f t="shared" si="103"/>
        <v>-0.69825033011053672</v>
      </c>
      <c r="T470" s="46"/>
      <c r="U470" s="57"/>
      <c r="V470" s="58" t="str">
        <f>V410</f>
        <v>Agg. Developed Asia Cellular</v>
      </c>
      <c r="Z470" s="49"/>
      <c r="BU470" s="39"/>
      <c r="BV470" s="39"/>
      <c r="BW470" s="39"/>
      <c r="BX470" s="39"/>
      <c r="BY470" s="39"/>
      <c r="BZ470" s="39"/>
      <c r="CA470" s="39"/>
      <c r="CB470" s="39"/>
      <c r="CC470" s="39"/>
      <c r="CD470" s="39"/>
      <c r="CE470" s="39"/>
      <c r="CF470" s="39"/>
      <c r="CG470" s="39"/>
      <c r="CH470" s="39"/>
      <c r="CI470" s="39"/>
      <c r="CJ470" s="39"/>
      <c r="CK470" s="39"/>
      <c r="CL470" s="39"/>
      <c r="CM470" s="39"/>
      <c r="CN470" s="39"/>
      <c r="CO470" s="39"/>
      <c r="CP470" s="39"/>
      <c r="CQ470" s="39"/>
      <c r="CR470" s="39"/>
      <c r="CS470" s="39"/>
      <c r="CT470" s="39"/>
      <c r="CU470" s="39"/>
      <c r="CV470" s="39"/>
      <c r="CW470" s="39"/>
      <c r="CX470" s="39"/>
      <c r="CY470" s="39"/>
      <c r="CZ470" s="39"/>
      <c r="DA470" s="39"/>
      <c r="DB470" s="39"/>
      <c r="DC470" s="39"/>
      <c r="DD470" s="39"/>
      <c r="DE470" s="39"/>
      <c r="DF470" s="39"/>
      <c r="DG470" s="39"/>
      <c r="DH470" s="39"/>
      <c r="DI470" s="39"/>
    </row>
    <row r="471" spans="1:113">
      <c r="A471" s="41"/>
      <c r="C471" s="48"/>
      <c r="D471" s="44"/>
      <c r="E471" s="44"/>
      <c r="F471" s="45"/>
      <c r="G471" s="44"/>
      <c r="H471" s="46"/>
      <c r="I471" s="45"/>
      <c r="J471" s="45"/>
      <c r="K471" s="45"/>
      <c r="L471" s="45"/>
      <c r="M471" s="45"/>
      <c r="N471" s="46"/>
      <c r="O471" s="47"/>
      <c r="P471" s="47"/>
      <c r="Q471" s="47"/>
      <c r="R471" s="47"/>
      <c r="S471" s="45"/>
      <c r="T471" s="46"/>
      <c r="U471" s="48"/>
      <c r="V471" s="44"/>
      <c r="Z471" s="49"/>
      <c r="BU471" s="39"/>
      <c r="BV471" s="39"/>
      <c r="BW471" s="39"/>
      <c r="BX471" s="39"/>
      <c r="BY471" s="39"/>
      <c r="BZ471" s="39"/>
      <c r="CA471" s="39"/>
      <c r="CB471" s="39"/>
      <c r="CC471" s="39"/>
      <c r="CD471" s="39"/>
      <c r="CE471" s="39"/>
      <c r="CF471" s="39"/>
      <c r="CG471" s="39"/>
      <c r="CH471" s="39"/>
      <c r="CI471" s="39"/>
      <c r="CJ471" s="39"/>
      <c r="CK471" s="39"/>
      <c r="CL471" s="39"/>
      <c r="CM471" s="39"/>
      <c r="CN471" s="39"/>
      <c r="CO471" s="39"/>
      <c r="CP471" s="39"/>
      <c r="CQ471" s="39"/>
      <c r="CR471" s="39"/>
      <c r="CS471" s="39"/>
      <c r="CT471" s="39"/>
      <c r="CU471" s="39"/>
      <c r="CV471" s="39"/>
      <c r="CW471" s="39"/>
      <c r="CX471" s="39"/>
      <c r="CY471" s="39"/>
      <c r="CZ471" s="39"/>
      <c r="DA471" s="39"/>
      <c r="DB471" s="39"/>
      <c r="DC471" s="39"/>
      <c r="DD471" s="39"/>
      <c r="DE471" s="39"/>
      <c r="DF471" s="39"/>
      <c r="DG471" s="39"/>
      <c r="DH471" s="39"/>
      <c r="DI471" s="39"/>
    </row>
    <row r="472" spans="1:113">
      <c r="A472" s="41"/>
      <c r="B472" s="42" t="s">
        <v>519</v>
      </c>
      <c r="C472" s="48" t="str">
        <f>C412</f>
        <v>Altice US</v>
      </c>
      <c r="D472" s="44" t="str">
        <f>D412</f>
        <v>US$2.3</v>
      </c>
      <c r="E472" s="44" t="str">
        <f>E412</f>
        <v>US$4.0</v>
      </c>
      <c r="F472" s="45">
        <f>F412</f>
        <v>0.71673819742489275</v>
      </c>
      <c r="G472" s="44" t="str">
        <f>G412</f>
        <v>Neutral</v>
      </c>
      <c r="H472" s="46"/>
      <c r="I472" s="45">
        <f>(ATCUS!D$30/ATCUS!D$23)</f>
        <v>3.4193873724378196E-2</v>
      </c>
      <c r="J472" s="45">
        <f>(ATCUS!E$30/ATCUS!E$23)</f>
        <v>-6.3396147949493446E-3</v>
      </c>
      <c r="K472" s="45">
        <f>(ATCUS!F$30/ATCUS!F$23)</f>
        <v>-1.2834276057259932E-2</v>
      </c>
      <c r="L472" s="45">
        <f>(ATCUS!G$30/ATCUS!G$23)</f>
        <v>-1.0831834485953096E-2</v>
      </c>
      <c r="M472" s="45">
        <f>L472-I472</f>
        <v>-4.5025708210331292E-2</v>
      </c>
      <c r="N472" s="46"/>
      <c r="O472" s="47">
        <f>(ATCUS!D$12/ATCUS!D$24)</f>
        <v>6.7671777194649891</v>
      </c>
      <c r="P472" s="47">
        <f>(ATCUS!E$12/ATCUS!E$24)</f>
        <v>6.8960080585378583</v>
      </c>
      <c r="Q472" s="47">
        <f>(ATCUS!F$12/ATCUS!F$24)</f>
        <v>7.0798582252954239</v>
      </c>
      <c r="R472" s="47">
        <f>(ATCUS!G$12/ATCUS!G$24)</f>
        <v>7.0496839644457685</v>
      </c>
      <c r="S472" s="45">
        <f t="shared" ref="S472:S477" si="104">R472-O472</f>
        <v>0.28250624498077936</v>
      </c>
      <c r="T472" s="46"/>
      <c r="U472" s="48" t="str">
        <f>D472</f>
        <v>US$2.3</v>
      </c>
      <c r="V472" s="44" t="str">
        <f t="shared" ref="V472:V477" si="105">C472</f>
        <v>Altice US</v>
      </c>
      <c r="Z472" s="49"/>
      <c r="BU472" s="39"/>
      <c r="BV472" s="39"/>
      <c r="BW472" s="39"/>
      <c r="BX472" s="39"/>
      <c r="BY472" s="39"/>
      <c r="BZ472" s="39"/>
      <c r="CA472" s="39"/>
      <c r="CB472" s="39"/>
      <c r="CC472" s="39"/>
      <c r="CD472" s="39"/>
      <c r="CE472" s="39"/>
      <c r="CF472" s="39"/>
      <c r="CG472" s="39"/>
      <c r="CH472" s="39"/>
      <c r="CI472" s="39"/>
      <c r="CJ472" s="39"/>
      <c r="CK472" s="39"/>
      <c r="CL472" s="39"/>
      <c r="CM472" s="39"/>
      <c r="CN472" s="39"/>
      <c r="CO472" s="39"/>
      <c r="CP472" s="39"/>
      <c r="CQ472" s="39"/>
      <c r="CR472" s="39"/>
      <c r="CS472" s="39"/>
      <c r="CT472" s="39"/>
      <c r="CU472" s="39"/>
      <c r="CV472" s="39"/>
      <c r="CW472" s="39"/>
      <c r="CX472" s="39"/>
      <c r="CY472" s="39"/>
      <c r="CZ472" s="39"/>
      <c r="DA472" s="39"/>
      <c r="DB472" s="39"/>
      <c r="DC472" s="39"/>
      <c r="DD472" s="39"/>
      <c r="DE472" s="39"/>
      <c r="DF472" s="39"/>
      <c r="DG472" s="39"/>
      <c r="DH472" s="39"/>
      <c r="DI472" s="39"/>
    </row>
    <row r="473" spans="1:113">
      <c r="A473" s="41"/>
      <c r="B473" s="42" t="s">
        <v>519</v>
      </c>
      <c r="C473" s="48" t="s">
        <v>311</v>
      </c>
      <c r="D473" s="44" t="str">
        <f>B473&amp;TEXT(Prices!$C$45,"0.0")</f>
        <v>US$271.5</v>
      </c>
      <c r="E473" s="44" t="str">
        <f>B473&amp;TEXT(Prices!$E$45,"0.0")</f>
        <v>US$581.0</v>
      </c>
      <c r="F473" s="45">
        <f>Prices!$F$45</f>
        <v>1.1402784940691078</v>
      </c>
      <c r="G473" s="44" t="str">
        <f>Prices!$D$45</f>
        <v>Buy</v>
      </c>
      <c r="H473" s="46"/>
      <c r="I473" s="45">
        <f>(CHTR!D$30/CHTR!D$23)</f>
        <v>7.9123778203381803E-2</v>
      </c>
      <c r="J473" s="45">
        <f>(CHTR!E$30/CHTR!E$23)</f>
        <v>9.6071126184011632E-2</v>
      </c>
      <c r="K473" s="45">
        <f>(CHTR!F$30/CHTR!F$23)</f>
        <v>0.10404166327410599</v>
      </c>
      <c r="L473" s="45">
        <f>(CHTR!G$30/CHTR!G$23)</f>
        <v>0.10978919338261196</v>
      </c>
      <c r="M473" s="45">
        <f>L473-I473</f>
        <v>3.066541517923016E-2</v>
      </c>
      <c r="N473" s="46"/>
      <c r="O473" s="47">
        <f>(CHTR!D$12/CHTR!D$24)</f>
        <v>4.4335434365579607</v>
      </c>
      <c r="P473" s="47">
        <f>(CHTR!E$12/CHTR!E$24)</f>
        <v>4.4339270155663897</v>
      </c>
      <c r="Q473" s="47">
        <f>(CHTR!F$12/CHTR!F$24)</f>
        <v>4.4324809609447025</v>
      </c>
      <c r="R473" s="47">
        <f>(CHTR!G$12/CHTR!G$24)</f>
        <v>4.4309560147019109</v>
      </c>
      <c r="S473" s="45">
        <f t="shared" si="104"/>
        <v>-2.5874218560497653E-3</v>
      </c>
      <c r="T473" s="46"/>
      <c r="U473" s="48" t="str">
        <f>D473</f>
        <v>US$271.5</v>
      </c>
      <c r="V473" s="44" t="str">
        <f t="shared" si="105"/>
        <v>Charter</v>
      </c>
      <c r="Z473" s="49"/>
      <c r="BU473" s="39"/>
      <c r="BV473" s="39"/>
      <c r="BW473" s="39"/>
      <c r="BX473" s="39"/>
      <c r="BY473" s="39"/>
      <c r="BZ473" s="39"/>
      <c r="CA473" s="39"/>
      <c r="CB473" s="39"/>
      <c r="CC473" s="39"/>
      <c r="CD473" s="39"/>
      <c r="CE473" s="39"/>
      <c r="CF473" s="39"/>
      <c r="CG473" s="39"/>
      <c r="CH473" s="39"/>
      <c r="CI473" s="39"/>
      <c r="CJ473" s="39"/>
      <c r="CK473" s="39"/>
      <c r="CL473" s="39"/>
      <c r="CM473" s="39"/>
      <c r="CN473" s="39"/>
      <c r="CO473" s="39"/>
      <c r="CP473" s="39"/>
      <c r="CQ473" s="39"/>
      <c r="CR473" s="39"/>
      <c r="CS473" s="39"/>
      <c r="CT473" s="39"/>
      <c r="CU473" s="39"/>
      <c r="CV473" s="39"/>
      <c r="CW473" s="39"/>
      <c r="CX473" s="39"/>
      <c r="CY473" s="39"/>
      <c r="CZ473" s="39"/>
      <c r="DA473" s="39"/>
      <c r="DB473" s="39"/>
      <c r="DC473" s="39"/>
      <c r="DD473" s="39"/>
      <c r="DE473" s="39"/>
      <c r="DF473" s="39"/>
      <c r="DG473" s="39"/>
      <c r="DH473" s="39"/>
      <c r="DI473" s="39"/>
    </row>
    <row r="474" spans="1:113">
      <c r="A474" s="41"/>
      <c r="B474" s="42" t="s">
        <v>519</v>
      </c>
      <c r="C474" s="48" t="s">
        <v>309</v>
      </c>
      <c r="D474" s="44" t="str">
        <f>B474&amp;TEXT(Prices!$C$46,"0.0")</f>
        <v>US$38.5</v>
      </c>
      <c r="E474" s="44" t="str">
        <f>B474&amp;TEXT(Prices!$E$46,"0.0")</f>
        <v>US$50.0</v>
      </c>
      <c r="F474" s="45">
        <f>Prices!$F$46</f>
        <v>0.29735339906590563</v>
      </c>
      <c r="G474" s="44" t="str">
        <f>Prices!$D$46</f>
        <v>Buy</v>
      </c>
      <c r="H474" s="46"/>
      <c r="I474" s="45">
        <f>(CMCSA!D$30/CMCSA!D$23)</f>
        <v>0.13058824506029199</v>
      </c>
      <c r="J474" s="45">
        <f>(CMCSA!E$30/CMCSA!E$23)</f>
        <v>0.13896332396791827</v>
      </c>
      <c r="K474" s="45">
        <f>(CMCSA!F$30/CMCSA!F$23)</f>
        <v>0.14867288397116193</v>
      </c>
      <c r="L474" s="45">
        <f>(CMCSA!G$30/CMCSA!G$23)</f>
        <v>0.16420778213566758</v>
      </c>
      <c r="M474" s="45">
        <f>L474-I474</f>
        <v>3.36195370753756E-2</v>
      </c>
      <c r="N474" s="46"/>
      <c r="O474" s="47">
        <f>(CMCSA!D$12/CMCSA!D$24)</f>
        <v>2.3279999999999998</v>
      </c>
      <c r="P474" s="47">
        <f>(CMCSA!E$12/CMCSA!E$24)</f>
        <v>2.4</v>
      </c>
      <c r="Q474" s="47">
        <f>(CMCSA!F$12/CMCSA!F$24)</f>
        <v>2.4</v>
      </c>
      <c r="R474" s="47">
        <f>(CMCSA!G$12/CMCSA!G$24)</f>
        <v>2.4</v>
      </c>
      <c r="S474" s="45">
        <f t="shared" si="104"/>
        <v>7.2000000000000064E-2</v>
      </c>
      <c r="T474" s="46"/>
      <c r="U474" s="48" t="str">
        <f>D474</f>
        <v>US$38.5</v>
      </c>
      <c r="V474" s="44" t="str">
        <f t="shared" si="105"/>
        <v>Comcast</v>
      </c>
      <c r="Z474" s="49"/>
      <c r="BU474" s="39"/>
      <c r="BV474" s="39"/>
      <c r="BW474" s="39"/>
      <c r="BX474" s="39"/>
      <c r="BY474" s="39"/>
      <c r="BZ474" s="39"/>
      <c r="CA474" s="39"/>
      <c r="CB474" s="39"/>
      <c r="CC474" s="39"/>
      <c r="CD474" s="39"/>
      <c r="CE474" s="39"/>
      <c r="CF474" s="39"/>
      <c r="CG474" s="39"/>
      <c r="CH474" s="39"/>
      <c r="CI474" s="39"/>
      <c r="CJ474" s="39"/>
      <c r="CK474" s="39"/>
      <c r="CL474" s="39"/>
      <c r="CM474" s="39"/>
      <c r="CN474" s="39"/>
      <c r="CO474" s="39"/>
      <c r="CP474" s="39"/>
      <c r="CQ474" s="39"/>
      <c r="CR474" s="39"/>
      <c r="CS474" s="39"/>
      <c r="CT474" s="39"/>
      <c r="CU474" s="39"/>
      <c r="CV474" s="39"/>
      <c r="CW474" s="39"/>
      <c r="CX474" s="39"/>
      <c r="CY474" s="39"/>
      <c r="CZ474" s="39"/>
      <c r="DA474" s="39"/>
      <c r="DB474" s="39"/>
      <c r="DC474" s="39"/>
      <c r="DD474" s="39"/>
      <c r="DE474" s="39"/>
      <c r="DF474" s="39"/>
      <c r="DG474" s="39"/>
      <c r="DH474" s="39"/>
      <c r="DI474" s="39"/>
    </row>
    <row r="475" spans="1:113">
      <c r="A475" s="41"/>
      <c r="B475" s="42" t="s">
        <v>527</v>
      </c>
      <c r="C475" s="48" t="s">
        <v>1615</v>
      </c>
      <c r="D475" s="44" t="str">
        <f>B475&amp;TEXT(Prices!C$47,"0.0")</f>
        <v>US$ 25.6</v>
      </c>
      <c r="E475" s="44" t="str">
        <f>B475&amp;TEXT(Prices!E$47,"0.0")</f>
        <v>US$ 54.0</v>
      </c>
      <c r="F475" s="45">
        <f>Prices!F$47</f>
        <v>1.111024237685692</v>
      </c>
      <c r="G475" s="44" t="str">
        <f>Prices!D$47</f>
        <v>Buy</v>
      </c>
      <c r="H475" s="46"/>
      <c r="I475" s="45">
        <f>(FYBR!D$30/FYBR!D$23)</f>
        <v>5.0426012867327424E-3</v>
      </c>
      <c r="J475" s="45">
        <f>(FYBR!E$30/FYBR!E$23)</f>
        <v>-4.6189121569402226E-2</v>
      </c>
      <c r="K475" s="45">
        <f>(FYBR!F$30/FYBR!F$23)</f>
        <v>-4.6409140302670508E-2</v>
      </c>
      <c r="L475" s="45">
        <f>(FYBR!G$30/FYBR!G$23)</f>
        <v>-3.7654525320458966E-2</v>
      </c>
      <c r="M475" s="45">
        <f>FYBR!H$42</f>
        <v>3.3177717934998796E-2</v>
      </c>
      <c r="N475" s="46"/>
      <c r="O475" s="47">
        <f>(FYBR!D$12/FYBR!D$24)</f>
        <v>4.2599905970850962</v>
      </c>
      <c r="P475" s="47">
        <f>(FYBR!E$12/FYBR!E$24)</f>
        <v>17.906079686570077</v>
      </c>
      <c r="Q475" s="47">
        <f>(FYBR!F$12/FYBR!F$24)</f>
        <v>18.725202619067911</v>
      </c>
      <c r="R475" s="47">
        <f>(FYBR!G$12/FYBR!G$24)</f>
        <v>19.421824341508977</v>
      </c>
      <c r="S475" s="45">
        <f t="shared" si="104"/>
        <v>15.16183374442388</v>
      </c>
      <c r="T475" s="46"/>
      <c r="U475" s="48" t="str">
        <f>D475</f>
        <v>US$ 25.6</v>
      </c>
      <c r="V475" s="44" t="str">
        <f t="shared" si="105"/>
        <v>Frontier</v>
      </c>
      <c r="Z475" s="49"/>
      <c r="BU475" s="39"/>
      <c r="BV475" s="39"/>
      <c r="BW475" s="39"/>
      <c r="BX475" s="39"/>
      <c r="BY475" s="39"/>
      <c r="BZ475" s="39"/>
      <c r="CA475" s="39"/>
      <c r="CB475" s="39"/>
      <c r="CC475" s="39"/>
      <c r="CD475" s="39"/>
      <c r="CE475" s="39"/>
      <c r="CF475" s="39"/>
      <c r="CG475" s="39"/>
      <c r="CH475" s="39"/>
      <c r="CI475" s="39"/>
      <c r="CJ475" s="39"/>
      <c r="CK475" s="39"/>
      <c r="CL475" s="39"/>
      <c r="CM475" s="39"/>
      <c r="CN475" s="39"/>
      <c r="CO475" s="39"/>
      <c r="CP475" s="39"/>
      <c r="CQ475" s="39"/>
      <c r="CR475" s="39"/>
      <c r="CS475" s="39"/>
      <c r="CT475" s="39"/>
      <c r="CU475" s="39"/>
      <c r="CV475" s="39"/>
      <c r="CW475" s="39"/>
      <c r="CX475" s="39"/>
      <c r="CY475" s="39"/>
      <c r="CZ475" s="39"/>
      <c r="DA475" s="39"/>
      <c r="DB475" s="39"/>
      <c r="DC475" s="39"/>
      <c r="DD475" s="39"/>
      <c r="DE475" s="39"/>
      <c r="DF475" s="39"/>
      <c r="DG475" s="39"/>
      <c r="DH475" s="39"/>
      <c r="DI475" s="39"/>
    </row>
    <row r="476" spans="1:113">
      <c r="A476" s="41"/>
      <c r="B476" s="42" t="s">
        <v>527</v>
      </c>
      <c r="C476" s="48" t="s">
        <v>1616</v>
      </c>
      <c r="D476" s="44" t="str">
        <f>B476&amp;TEXT(Prices!C$48,"0.0")</f>
        <v>US$ 18.5</v>
      </c>
      <c r="E476" s="44" t="str">
        <f>B476&amp;TEXT(Prices!E$48,"0.0")</f>
        <v>US$ 100.0</v>
      </c>
      <c r="F476" s="45">
        <f>Prices!F$48</f>
        <v>4.408328826392645</v>
      </c>
      <c r="G476" s="44" t="str">
        <f>Prices!D$48</f>
        <v>Buy</v>
      </c>
      <c r="H476" s="46"/>
      <c r="I476" s="45">
        <f>(SATS!D$30/SATS!D$23)</f>
        <v>-1.2821269170116188E-2</v>
      </c>
      <c r="J476" s="45">
        <f>(SATS!E$30/SATS!E$23)</f>
        <v>4.4880646060447508E-4</v>
      </c>
      <c r="K476" s="45">
        <f>(SATS!F$30/SATS!F$23)</f>
        <v>1.4755570921519809E-2</v>
      </c>
      <c r="L476" s="45">
        <f>(SATS!G$30/SATS!G$23)</f>
        <v>1.2082469530482278E-2</v>
      </c>
      <c r="M476" s="45">
        <f>SATS!H$42</f>
        <v>4.5519366726737731E-2</v>
      </c>
      <c r="N476" s="46"/>
      <c r="O476" s="47">
        <f>(SATS!D$12/SATS!D$24)</f>
        <v>12.587577815865098</v>
      </c>
      <c r="P476" s="47">
        <f>(SATS!E$12/SATS!E$24)</f>
        <v>9.0602166772369017</v>
      </c>
      <c r="Q476" s="47">
        <f>(SATS!F$12/SATS!F$24)</f>
        <v>6.9743049686105234</v>
      </c>
      <c r="R476" s="47">
        <f>(SATS!G$12/SATS!G$24)</f>
        <v>4.5891485200586262</v>
      </c>
      <c r="S476" s="45">
        <f t="shared" si="104"/>
        <v>-7.9984292958064716</v>
      </c>
      <c r="T476" s="46"/>
      <c r="U476" s="48" t="str">
        <f>D476</f>
        <v>US$ 18.5</v>
      </c>
      <c r="V476" s="44" t="str">
        <f t="shared" si="105"/>
        <v>EchoStar</v>
      </c>
      <c r="Z476" s="49"/>
      <c r="BU476" s="39"/>
      <c r="BV476" s="39"/>
      <c r="BW476" s="39"/>
      <c r="BX476" s="39"/>
      <c r="BY476" s="39"/>
      <c r="BZ476" s="39"/>
      <c r="CA476" s="39"/>
      <c r="CB476" s="39"/>
      <c r="CC476" s="39"/>
      <c r="CD476" s="39"/>
      <c r="CE476" s="39"/>
      <c r="CF476" s="39"/>
      <c r="CG476" s="39"/>
      <c r="CH476" s="39"/>
      <c r="CI476" s="39"/>
      <c r="CJ476" s="39"/>
      <c r="CK476" s="39"/>
      <c r="CL476" s="39"/>
      <c r="CM476" s="39"/>
      <c r="CN476" s="39"/>
      <c r="CO476" s="39"/>
      <c r="CP476" s="39"/>
      <c r="CQ476" s="39"/>
      <c r="CR476" s="39"/>
      <c r="CS476" s="39"/>
      <c r="CT476" s="39"/>
      <c r="CU476" s="39"/>
      <c r="CV476" s="39"/>
      <c r="CW476" s="39"/>
      <c r="CX476" s="39"/>
      <c r="CY476" s="39"/>
      <c r="CZ476" s="39"/>
      <c r="DA476" s="39"/>
      <c r="DB476" s="39"/>
      <c r="DC476" s="39"/>
      <c r="DD476" s="39"/>
      <c r="DE476" s="39"/>
      <c r="DF476" s="39"/>
      <c r="DG476" s="39"/>
      <c r="DH476" s="39"/>
      <c r="DI476" s="39"/>
    </row>
    <row r="477" spans="1:113">
      <c r="A477" s="41"/>
      <c r="C477" s="51" t="str">
        <f>C417</f>
        <v>Agg. US Other</v>
      </c>
      <c r="D477" s="58"/>
      <c r="E477" s="58"/>
      <c r="F477" s="55"/>
      <c r="G477" s="58"/>
      <c r="H477" s="56"/>
      <c r="I477" s="55">
        <f>('US OTHER'!D$30/'US OTHER'!D$23)</f>
        <v>9.7603649672715606E-2</v>
      </c>
      <c r="J477" s="55">
        <f>('US OTHER'!E$30/'US OTHER'!E$23)</f>
        <v>0.10871302273049306</v>
      </c>
      <c r="K477" s="55">
        <f>('US OTHER'!F$30/'US OTHER'!F$23)</f>
        <v>0.11736951027663342</v>
      </c>
      <c r="L477" s="55">
        <f>('US OTHER'!G$30/'US OTHER'!G$23)</f>
        <v>0.12809948625861939</v>
      </c>
      <c r="M477" s="55">
        <f>L477-I477</f>
        <v>3.0495836585903782E-2</v>
      </c>
      <c r="N477" s="56"/>
      <c r="O477" s="66">
        <f>('US OTHER'!D$12/'US OTHER'!D$24)</f>
        <v>3.5652440130546639</v>
      </c>
      <c r="P477" s="66">
        <f>('US OTHER'!E$12/'US OTHER'!E$24)</f>
        <v>3.6472477047343377</v>
      </c>
      <c r="Q477" s="66">
        <f>('US OTHER'!F$12/'US OTHER'!F$24)</f>
        <v>3.602594157703781</v>
      </c>
      <c r="R477" s="66">
        <f>('US OTHER'!G$12/'US OTHER'!G$24)</f>
        <v>3.5030938738494388</v>
      </c>
      <c r="S477" s="55">
        <f t="shared" si="104"/>
        <v>-6.2150139205225052E-2</v>
      </c>
      <c r="T477" s="56"/>
      <c r="U477" s="51"/>
      <c r="V477" s="58" t="str">
        <f t="shared" si="105"/>
        <v>Agg. US Other</v>
      </c>
      <c r="Z477" s="49"/>
      <c r="BU477" s="39"/>
      <c r="BV477" s="39"/>
      <c r="BW477" s="39"/>
      <c r="BX477" s="39"/>
      <c r="BY477" s="39"/>
      <c r="BZ477" s="39"/>
      <c r="CA477" s="39"/>
      <c r="CB477" s="39"/>
      <c r="CC477" s="39"/>
      <c r="CD477" s="39"/>
      <c r="CE477" s="39"/>
      <c r="CF477" s="39"/>
      <c r="CG477" s="39"/>
      <c r="CH477" s="39"/>
      <c r="CI477" s="39"/>
      <c r="CJ477" s="39"/>
      <c r="CK477" s="39"/>
      <c r="CL477" s="39"/>
      <c r="CM477" s="39"/>
      <c r="CN477" s="39"/>
      <c r="CO477" s="39"/>
      <c r="CP477" s="39"/>
      <c r="CQ477" s="39"/>
      <c r="CR477" s="39"/>
      <c r="CS477" s="39"/>
      <c r="CT477" s="39"/>
      <c r="CU477" s="39"/>
      <c r="CV477" s="39"/>
      <c r="CW477" s="39"/>
      <c r="CX477" s="39"/>
      <c r="CY477" s="39"/>
      <c r="CZ477" s="39"/>
      <c r="DA477" s="39"/>
      <c r="DB477" s="39"/>
      <c r="DC477" s="39"/>
      <c r="DD477" s="39"/>
      <c r="DE477" s="39"/>
      <c r="DF477" s="39"/>
      <c r="DG477" s="39"/>
      <c r="DH477" s="39"/>
      <c r="DI477" s="39"/>
    </row>
    <row r="478" spans="1:113">
      <c r="A478" s="41"/>
      <c r="C478" s="48"/>
      <c r="D478" s="44"/>
      <c r="E478" s="44"/>
      <c r="F478" s="45"/>
      <c r="G478" s="44"/>
      <c r="H478" s="46"/>
      <c r="I478" s="45"/>
      <c r="J478" s="45"/>
      <c r="K478" s="45"/>
      <c r="L478" s="45"/>
      <c r="M478" s="45"/>
      <c r="N478" s="46"/>
      <c r="O478" s="47"/>
      <c r="P478" s="47"/>
      <c r="Q478" s="47"/>
      <c r="R478" s="47"/>
      <c r="S478" s="45"/>
      <c r="T478" s="46"/>
      <c r="U478" s="48"/>
      <c r="V478" s="44"/>
      <c r="Z478" s="49"/>
      <c r="BU478" s="39"/>
      <c r="BV478" s="39"/>
      <c r="BW478" s="39"/>
      <c r="BX478" s="39"/>
      <c r="BY478" s="39"/>
      <c r="BZ478" s="39"/>
      <c r="CA478" s="39"/>
      <c r="CB478" s="39"/>
      <c r="CC478" s="39"/>
      <c r="CD478" s="39"/>
      <c r="CE478" s="39"/>
      <c r="CF478" s="39"/>
      <c r="CG478" s="39"/>
      <c r="CH478" s="39"/>
      <c r="CI478" s="39"/>
      <c r="CJ478" s="39"/>
      <c r="CK478" s="39"/>
      <c r="CL478" s="39"/>
      <c r="CM478" s="39"/>
      <c r="CN478" s="39"/>
      <c r="CO478" s="39"/>
      <c r="CP478" s="39"/>
      <c r="CQ478" s="39"/>
      <c r="CR478" s="39"/>
      <c r="CS478" s="39"/>
      <c r="CT478" s="39"/>
      <c r="CU478" s="39"/>
      <c r="CV478" s="39"/>
      <c r="CW478" s="39"/>
      <c r="CX478" s="39"/>
      <c r="CY478" s="39"/>
      <c r="CZ478" s="39"/>
      <c r="DA478" s="39"/>
      <c r="DB478" s="39"/>
      <c r="DC478" s="39"/>
      <c r="DD478" s="39"/>
      <c r="DE478" s="39"/>
      <c r="DF478" s="39"/>
      <c r="DG478" s="39"/>
      <c r="DH478" s="39"/>
      <c r="DI478" s="39"/>
    </row>
    <row r="479" spans="1:113">
      <c r="C479" s="48"/>
      <c r="D479" s="44"/>
      <c r="E479" s="44"/>
      <c r="F479" s="45"/>
      <c r="G479" s="44"/>
      <c r="H479" s="46"/>
      <c r="I479" s="45"/>
      <c r="J479" s="45"/>
      <c r="K479" s="45"/>
      <c r="L479" s="45"/>
      <c r="M479" s="45"/>
      <c r="N479" s="46"/>
      <c r="O479" s="47"/>
      <c r="P479" s="47"/>
      <c r="Q479" s="47"/>
      <c r="R479" s="47"/>
      <c r="S479" s="45"/>
      <c r="T479" s="46"/>
      <c r="U479" s="48"/>
      <c r="V479" s="44"/>
      <c r="Z479" s="49"/>
      <c r="BU479" s="39"/>
      <c r="BV479" s="39"/>
      <c r="BW479" s="39"/>
      <c r="BX479" s="39"/>
      <c r="BY479" s="39"/>
      <c r="BZ479" s="39"/>
      <c r="CA479" s="39"/>
      <c r="CB479" s="39"/>
      <c r="CC479" s="39"/>
      <c r="CD479" s="39"/>
      <c r="CE479" s="39"/>
      <c r="CF479" s="39"/>
      <c r="CG479" s="39"/>
      <c r="CH479" s="39"/>
      <c r="CI479" s="39"/>
      <c r="CJ479" s="39"/>
      <c r="CK479" s="39"/>
      <c r="CL479" s="39"/>
      <c r="CM479" s="39"/>
      <c r="CN479" s="39"/>
      <c r="CO479" s="39"/>
      <c r="CP479" s="39"/>
      <c r="CQ479" s="39"/>
      <c r="CR479" s="39"/>
      <c r="CS479" s="39"/>
      <c r="CT479" s="39"/>
      <c r="CU479" s="39"/>
      <c r="CV479" s="39"/>
      <c r="CW479" s="39"/>
      <c r="CX479" s="39"/>
      <c r="CY479" s="39"/>
      <c r="CZ479" s="39"/>
      <c r="DA479" s="39"/>
      <c r="DB479" s="39"/>
      <c r="DC479" s="39"/>
      <c r="DD479" s="39"/>
      <c r="DE479" s="39"/>
      <c r="DF479" s="39"/>
      <c r="DG479" s="39"/>
      <c r="DH479" s="39"/>
      <c r="DI479" s="39"/>
    </row>
    <row r="480" spans="1:113">
      <c r="C480" s="51" t="str">
        <f>C420</f>
        <v>Agg. W Europe</v>
      </c>
      <c r="D480" s="52"/>
      <c r="E480" s="52"/>
      <c r="F480" s="53"/>
      <c r="G480" s="52"/>
      <c r="H480" s="46"/>
      <c r="I480" s="55">
        <f>'W.EUR AGG'!$D$30/'W.EUR AGG'!$D$23</f>
        <v>6.1170480127103598E-2</v>
      </c>
      <c r="J480" s="55">
        <f>'W.EUR AGG'!$E$30/'W.EUR AGG'!$E$23</f>
        <v>6.7594617582149005E-2</v>
      </c>
      <c r="K480" s="55">
        <f>'W.EUR AGG'!$F$30/'W.EUR AGG'!$F$23</f>
        <v>7.4107506620893826E-2</v>
      </c>
      <c r="L480" s="55">
        <f>'W.EUR AGG'!$G$30/'W.EUR AGG'!$G$23</f>
        <v>7.9877993099399108E-2</v>
      </c>
      <c r="M480" s="55">
        <f>L480-I480</f>
        <v>1.8707512972295511E-2</v>
      </c>
      <c r="N480" s="56"/>
      <c r="O480" s="54">
        <f>'W.EUR AGG'!$D$12/'W.EUR AGG'!$D$24</f>
        <v>2.4762562401541506</v>
      </c>
      <c r="P480" s="54">
        <f>'W.EUR AGG'!$E$12/'W.EUR AGG'!$E$24</f>
        <v>2.4426664099980062</v>
      </c>
      <c r="Q480" s="54">
        <f>'W.EUR AGG'!$F$12/'W.EUR AGG'!$F$24</f>
        <v>2.3627030941731357</v>
      </c>
      <c r="R480" s="54">
        <f>'W.EUR AGG'!$G$12/'W.EUR AGG'!$G$24</f>
        <v>2.2272735134766037</v>
      </c>
      <c r="S480" s="55">
        <f>R480-O480</f>
        <v>-0.24898272667754684</v>
      </c>
      <c r="T480" s="46"/>
      <c r="U480" s="57"/>
      <c r="V480" s="58" t="str">
        <f>V420</f>
        <v>Agg. W Europe</v>
      </c>
      <c r="Z480" s="49"/>
      <c r="BF480" s="39"/>
      <c r="BG480" s="39"/>
      <c r="BH480" s="39"/>
      <c r="BI480" s="39"/>
      <c r="BJ480" s="39"/>
      <c r="BK480" s="39"/>
      <c r="BL480" s="39"/>
      <c r="BM480" s="39"/>
      <c r="BN480" s="39"/>
      <c r="BO480" s="39"/>
      <c r="BP480" s="39"/>
      <c r="BQ480" s="39"/>
      <c r="BR480" s="39"/>
      <c r="BS480" s="39"/>
      <c r="BT480" s="39"/>
      <c r="BU480" s="39"/>
      <c r="BV480" s="39"/>
      <c r="BW480" s="39"/>
      <c r="BX480" s="39"/>
      <c r="BY480" s="39"/>
      <c r="BZ480" s="39"/>
      <c r="CA480" s="39"/>
      <c r="CB480" s="39"/>
      <c r="CC480" s="39"/>
      <c r="CD480" s="39"/>
      <c r="CE480" s="39"/>
      <c r="CF480" s="39"/>
      <c r="CG480" s="39"/>
      <c r="CH480" s="39"/>
      <c r="CI480" s="39"/>
      <c r="CJ480" s="39"/>
      <c r="CK480" s="39"/>
      <c r="CL480" s="39"/>
      <c r="CM480" s="39"/>
      <c r="CN480" s="39"/>
      <c r="CO480" s="39"/>
      <c r="CP480" s="39"/>
      <c r="CQ480" s="39"/>
      <c r="CR480" s="39"/>
      <c r="CS480" s="39"/>
      <c r="CT480" s="39"/>
      <c r="CU480" s="39"/>
      <c r="CV480" s="39"/>
      <c r="CW480" s="39"/>
      <c r="CX480" s="39"/>
      <c r="CY480" s="39"/>
      <c r="CZ480" s="39"/>
      <c r="DA480" s="39"/>
      <c r="DB480" s="39"/>
      <c r="DC480" s="39"/>
      <c r="DD480" s="39"/>
      <c r="DE480" s="39"/>
      <c r="DF480" s="39"/>
      <c r="DG480" s="39"/>
      <c r="DH480" s="39"/>
      <c r="DI480" s="39"/>
    </row>
    <row r="481" spans="1:113">
      <c r="C481" s="41" t="s">
        <v>1621</v>
      </c>
      <c r="D481" s="44"/>
      <c r="E481" s="44"/>
      <c r="F481" s="45"/>
      <c r="G481" s="44"/>
      <c r="H481" s="46"/>
      <c r="I481" s="59">
        <f>'US AGG'!D$30/'US AGG'!D$23</f>
        <v>0.12644121932178587</v>
      </c>
      <c r="J481" s="59">
        <f>'US AGG'!E$30/'US AGG'!E$23</f>
        <v>0.13002136317803062</v>
      </c>
      <c r="K481" s="59">
        <f>'US AGG'!F$30/'US AGG'!F$23</f>
        <v>0.1369569824420391</v>
      </c>
      <c r="L481" s="59">
        <f>'US AGG'!G$30/'US AGG'!G$23</f>
        <v>0.14556456739487547</v>
      </c>
      <c r="M481" s="59">
        <f>L481-I481</f>
        <v>1.9123348073089602E-2</v>
      </c>
      <c r="N481" s="56"/>
      <c r="O481" s="60">
        <f>'US AGG'!D$12/'US AGG'!D$24</f>
        <v>3.1282789397169881</v>
      </c>
      <c r="P481" s="60">
        <f>'US AGG'!E$12/'US AGG'!E$24</f>
        <v>3.0389462004325782</v>
      </c>
      <c r="Q481" s="60">
        <f>'US AGG'!F$12/'US AGG'!F$24</f>
        <v>2.9224554424667044</v>
      </c>
      <c r="R481" s="60">
        <f>'US AGG'!G$12/'US AGG'!G$24</f>
        <v>2.7934912690468372</v>
      </c>
      <c r="S481" s="59">
        <f>R481-O481</f>
        <v>-0.33478767067015092</v>
      </c>
      <c r="T481" s="46"/>
      <c r="U481" s="48"/>
      <c r="V481" s="50" t="str">
        <f>V421</f>
        <v>Agg. US</v>
      </c>
      <c r="Z481" s="49"/>
      <c r="BF481" s="39"/>
      <c r="BG481" s="39"/>
      <c r="BH481" s="39"/>
      <c r="BI481" s="39"/>
      <c r="BJ481" s="39"/>
      <c r="BK481" s="39"/>
      <c r="BL481" s="39"/>
      <c r="BM481" s="39"/>
      <c r="BN481" s="39"/>
      <c r="BO481" s="39"/>
      <c r="BP481" s="39"/>
      <c r="BQ481" s="39"/>
      <c r="BR481" s="39"/>
      <c r="BS481" s="39"/>
      <c r="BT481" s="39"/>
      <c r="BU481" s="39"/>
      <c r="BV481" s="39"/>
      <c r="BW481" s="39"/>
      <c r="BX481" s="39"/>
      <c r="BY481" s="39"/>
      <c r="BZ481" s="39"/>
      <c r="CA481" s="39"/>
      <c r="CB481" s="39"/>
      <c r="CC481" s="39"/>
      <c r="CD481" s="39"/>
      <c r="CE481" s="39"/>
      <c r="CF481" s="39"/>
      <c r="CG481" s="39"/>
      <c r="CH481" s="39"/>
      <c r="CI481" s="39"/>
      <c r="CJ481" s="39"/>
      <c r="CK481" s="39"/>
      <c r="CL481" s="39"/>
      <c r="CM481" s="39"/>
      <c r="CN481" s="39"/>
      <c r="CO481" s="39"/>
      <c r="CP481" s="39"/>
      <c r="CQ481" s="39"/>
      <c r="CR481" s="39"/>
      <c r="CS481" s="39"/>
      <c r="CT481" s="39"/>
      <c r="CU481" s="39"/>
      <c r="CV481" s="39"/>
      <c r="CW481" s="39"/>
      <c r="CX481" s="39"/>
      <c r="CY481" s="39"/>
      <c r="CZ481" s="39"/>
      <c r="DA481" s="39"/>
      <c r="DB481" s="39"/>
      <c r="DC481" s="39"/>
      <c r="DD481" s="39"/>
      <c r="DE481" s="39"/>
      <c r="DF481" s="39"/>
      <c r="DG481" s="39"/>
      <c r="DH481" s="39"/>
      <c r="DI481" s="39"/>
    </row>
    <row r="482" spans="1:113">
      <c r="C482" s="67" t="str">
        <f>C422</f>
        <v xml:space="preserve">Agg. Developed Asia </v>
      </c>
      <c r="D482" s="52"/>
      <c r="E482" s="52"/>
      <c r="F482" s="53"/>
      <c r="G482" s="52"/>
      <c r="H482" s="46"/>
      <c r="I482" s="55">
        <f>'AGG DM ASIA'!$D$30/'AGG DM ASIA'!$D$23</f>
        <v>8.7063245033711115E-2</v>
      </c>
      <c r="J482" s="55">
        <f>'AGG DM ASIA'!$E$30/'AGG DM ASIA'!$E$23</f>
        <v>9.2000995130905053E-2</v>
      </c>
      <c r="K482" s="55">
        <f>'AGG DM ASIA'!$F$30/'AGG DM ASIA'!$F$23</f>
        <v>9.5261864924801029E-2</v>
      </c>
      <c r="L482" s="55">
        <f>'AGG DM ASIA'!$G$30/'AGG DM ASIA'!$G$23</f>
        <v>9.8022835920715271E-2</v>
      </c>
      <c r="M482" s="55">
        <f>L482-I482</f>
        <v>1.0959590887004156E-2</v>
      </c>
      <c r="N482" s="56"/>
      <c r="O482" s="54">
        <f>'AGG DM ASIA'!$D$12/'AGG DM ASIA'!$D$24</f>
        <v>1.7656647528538389</v>
      </c>
      <c r="P482" s="54">
        <f>'AGG DM ASIA'!$E$12/'AGG DM ASIA'!$E$24</f>
        <v>1.5554115022379864</v>
      </c>
      <c r="Q482" s="54">
        <f>'AGG DM ASIA'!$F$12/'AGG DM ASIA'!$F$24</f>
        <v>1.4066471551763664</v>
      </c>
      <c r="R482" s="54">
        <f>'AGG DM ASIA'!$G$12/'AGG DM ASIA'!$G$24</f>
        <v>1.2606322291603866</v>
      </c>
      <c r="S482" s="55">
        <f>R482-O482</f>
        <v>-0.50503252369345231</v>
      </c>
      <c r="T482" s="46"/>
      <c r="U482" s="57"/>
      <c r="V482" s="58" t="str">
        <f>V422</f>
        <v xml:space="preserve">Agg. Developed Asia </v>
      </c>
      <c r="Z482" s="49"/>
      <c r="BF482" s="39"/>
      <c r="BG482" s="39"/>
      <c r="BH482" s="39"/>
      <c r="BI482" s="39"/>
      <c r="BJ482" s="39"/>
      <c r="BK482" s="39"/>
      <c r="BL482" s="39"/>
      <c r="BM482" s="39"/>
      <c r="BN482" s="39"/>
      <c r="BO482" s="39"/>
      <c r="BP482" s="39"/>
      <c r="BQ482" s="39"/>
      <c r="BR482" s="39"/>
      <c r="BS482" s="39"/>
      <c r="BT482" s="39"/>
      <c r="BU482" s="39"/>
      <c r="BV482" s="39"/>
      <c r="BW482" s="39"/>
      <c r="BX482" s="39"/>
      <c r="BY482" s="39"/>
      <c r="BZ482" s="39"/>
      <c r="CA482" s="39"/>
      <c r="CB482" s="39"/>
      <c r="CC482" s="39"/>
      <c r="CD482" s="39"/>
      <c r="CE482" s="39"/>
      <c r="CF482" s="39"/>
      <c r="CG482" s="39"/>
      <c r="CH482" s="39"/>
      <c r="CI482" s="39"/>
      <c r="CJ482" s="39"/>
      <c r="CK482" s="39"/>
      <c r="CL482" s="39"/>
      <c r="CM482" s="39"/>
      <c r="CN482" s="39"/>
      <c r="CO482" s="39"/>
      <c r="CP482" s="39"/>
      <c r="CQ482" s="39"/>
      <c r="CR482" s="39"/>
      <c r="CS482" s="39"/>
      <c r="CT482" s="39"/>
      <c r="CU482" s="39"/>
      <c r="CV482" s="39"/>
      <c r="CW482" s="39"/>
      <c r="CX482" s="39"/>
      <c r="CY482" s="39"/>
      <c r="CZ482" s="39"/>
      <c r="DA482" s="39"/>
      <c r="DB482" s="39"/>
      <c r="DC482" s="39"/>
      <c r="DD482" s="39"/>
      <c r="DE482" s="39"/>
      <c r="DF482" s="39"/>
      <c r="DG482" s="39"/>
      <c r="DH482" s="39"/>
      <c r="DI482" s="39"/>
    </row>
    <row r="483" spans="1:113">
      <c r="C483" s="41"/>
      <c r="D483" s="44"/>
      <c r="E483" s="44"/>
      <c r="F483" s="45"/>
      <c r="G483" s="44"/>
      <c r="H483" s="46"/>
      <c r="I483" s="59"/>
      <c r="J483" s="59"/>
      <c r="K483" s="59"/>
      <c r="L483" s="59"/>
      <c r="M483" s="59"/>
      <c r="N483" s="56"/>
      <c r="O483" s="60"/>
      <c r="P483" s="60"/>
      <c r="Q483" s="60"/>
      <c r="R483" s="60"/>
      <c r="S483" s="59"/>
      <c r="T483" s="46"/>
      <c r="U483" s="48"/>
      <c r="V483" s="50"/>
      <c r="Z483" s="49"/>
      <c r="BF483" s="39"/>
      <c r="BG483" s="39"/>
      <c r="BH483" s="39"/>
      <c r="BI483" s="39"/>
      <c r="BJ483" s="39"/>
      <c r="BK483" s="39"/>
      <c r="BL483" s="39"/>
      <c r="BM483" s="39"/>
      <c r="BN483" s="39"/>
      <c r="BO483" s="39"/>
      <c r="BP483" s="39"/>
      <c r="BQ483" s="39"/>
      <c r="BR483" s="39"/>
      <c r="BS483" s="39"/>
      <c r="BT483" s="39"/>
      <c r="BU483" s="39"/>
      <c r="BV483" s="39"/>
      <c r="BW483" s="39"/>
      <c r="BX483" s="39"/>
      <c r="BY483" s="39"/>
      <c r="BZ483" s="39"/>
      <c r="CA483" s="39"/>
      <c r="CB483" s="39"/>
      <c r="CC483" s="39"/>
      <c r="CD483" s="39"/>
      <c r="CE483" s="39"/>
      <c r="CF483" s="39"/>
      <c r="CG483" s="39"/>
      <c r="CH483" s="39"/>
      <c r="CI483" s="39"/>
      <c r="CJ483" s="39"/>
      <c r="CK483" s="39"/>
      <c r="CL483" s="39"/>
      <c r="CM483" s="39"/>
      <c r="CN483" s="39"/>
      <c r="CO483" s="39"/>
      <c r="CP483" s="39"/>
      <c r="CQ483" s="39"/>
      <c r="CR483" s="39"/>
      <c r="CS483" s="39"/>
      <c r="CT483" s="39"/>
      <c r="CU483" s="39"/>
      <c r="CV483" s="39"/>
      <c r="CW483" s="39"/>
      <c r="CX483" s="39"/>
      <c r="CY483" s="39"/>
      <c r="CZ483" s="39"/>
      <c r="DA483" s="39"/>
      <c r="DB483" s="39"/>
      <c r="DC483" s="39"/>
      <c r="DD483" s="39"/>
      <c r="DE483" s="39"/>
      <c r="DF483" s="39"/>
      <c r="DG483" s="39"/>
      <c r="DH483" s="39"/>
      <c r="DI483" s="39"/>
    </row>
    <row r="484" spans="1:113">
      <c r="C484" s="67" t="str">
        <f>C424</f>
        <v>Agg. Global Developed</v>
      </c>
      <c r="D484" s="52"/>
      <c r="E484" s="52"/>
      <c r="F484" s="53"/>
      <c r="G484" s="52"/>
      <c r="H484" s="46"/>
      <c r="I484" s="55">
        <f>'AGG DM'!$D$30/'AGG DM'!$D$23</f>
        <v>9.7738410533451933E-2</v>
      </c>
      <c r="J484" s="55">
        <f>'AGG DM'!$E$30/'AGG DM'!$E$23</f>
        <v>0.10236926317635182</v>
      </c>
      <c r="K484" s="55">
        <f>'AGG DM'!$F$30/'AGG DM'!$F$23</f>
        <v>0.10840262562529739</v>
      </c>
      <c r="L484" s="55">
        <f>'AGG DM'!$G$30/'AGG DM'!$G$23</f>
        <v>0.11494296070091607</v>
      </c>
      <c r="M484" s="55">
        <f>L484-I484</f>
        <v>1.7204550167464139E-2</v>
      </c>
      <c r="N484" s="56"/>
      <c r="O484" s="54">
        <f>'AGG DM'!$D$12/'AGG DM'!$D$24</f>
        <v>2.7150361273080192</v>
      </c>
      <c r="P484" s="54">
        <f>'AGG DM'!$E$12/'AGG DM'!$E$24</f>
        <v>2.6204177798626334</v>
      </c>
      <c r="Q484" s="54">
        <f>'AGG DM'!$F$12/'AGG DM'!$F$24</f>
        <v>2.5075879637819667</v>
      </c>
      <c r="R484" s="54">
        <f>'AGG DM'!$G$12/'AGG DM'!$G$24</f>
        <v>2.371065475737951</v>
      </c>
      <c r="S484" s="55">
        <f>R484-O484</f>
        <v>-0.34397065157006823</v>
      </c>
      <c r="T484" s="46"/>
      <c r="U484" s="57"/>
      <c r="V484" s="58" t="str">
        <f>V424</f>
        <v xml:space="preserve">Agg. Global Developed </v>
      </c>
      <c r="Z484" s="49"/>
      <c r="BF484" s="39"/>
      <c r="BG484" s="39"/>
      <c r="BH484" s="39"/>
      <c r="BI484" s="39"/>
      <c r="BJ484" s="39"/>
      <c r="BK484" s="39"/>
      <c r="BL484" s="39"/>
      <c r="BM484" s="39"/>
      <c r="BN484" s="39"/>
      <c r="BO484" s="39"/>
      <c r="BP484" s="39"/>
      <c r="BQ484" s="39"/>
      <c r="BR484" s="39"/>
      <c r="BS484" s="39"/>
      <c r="BT484" s="39"/>
      <c r="BU484" s="39"/>
      <c r="BV484" s="39"/>
      <c r="BW484" s="39"/>
      <c r="BX484" s="39"/>
      <c r="BY484" s="39"/>
      <c r="BZ484" s="39"/>
      <c r="CA484" s="39"/>
      <c r="CB484" s="39"/>
      <c r="CC484" s="39"/>
      <c r="CD484" s="39"/>
      <c r="CE484" s="39"/>
      <c r="CF484" s="39"/>
      <c r="CG484" s="39"/>
      <c r="CH484" s="39"/>
      <c r="CI484" s="39"/>
      <c r="CJ484" s="39"/>
      <c r="CK484" s="39"/>
      <c r="CL484" s="39"/>
      <c r="CM484" s="39"/>
      <c r="CN484" s="39"/>
      <c r="CO484" s="39"/>
      <c r="CP484" s="39"/>
      <c r="CQ484" s="39"/>
      <c r="CR484" s="39"/>
      <c r="CS484" s="39"/>
      <c r="CT484" s="39"/>
      <c r="CU484" s="39"/>
      <c r="CV484" s="39"/>
      <c r="CW484" s="39"/>
      <c r="CX484" s="39"/>
      <c r="CY484" s="39"/>
      <c r="CZ484" s="39"/>
      <c r="DA484" s="39"/>
      <c r="DB484" s="39"/>
      <c r="DC484" s="39"/>
      <c r="DD484" s="39"/>
      <c r="DE484" s="39"/>
      <c r="DF484" s="39"/>
      <c r="DG484" s="39"/>
      <c r="DH484" s="39"/>
      <c r="DI484" s="39"/>
    </row>
    <row r="485" spans="1:113">
      <c r="C485" s="43"/>
      <c r="D485" s="44"/>
      <c r="E485" s="44"/>
      <c r="F485" s="45"/>
      <c r="G485" s="44"/>
      <c r="H485" s="134"/>
      <c r="I485" s="45"/>
      <c r="J485" s="45"/>
      <c r="K485" s="45"/>
      <c r="L485" s="45"/>
      <c r="M485" s="45"/>
      <c r="N485" s="46"/>
      <c r="O485" s="45"/>
      <c r="P485" s="45"/>
      <c r="Q485" s="45"/>
      <c r="R485" s="45"/>
      <c r="S485" s="45"/>
      <c r="T485" s="46"/>
      <c r="U485" s="48"/>
      <c r="V485" s="50"/>
      <c r="Z485" s="49"/>
      <c r="BF485" s="39"/>
      <c r="BG485" s="39"/>
      <c r="BH485" s="39"/>
      <c r="BI485" s="39"/>
      <c r="BJ485" s="39"/>
      <c r="BK485" s="39"/>
      <c r="BL485" s="39"/>
      <c r="BM485" s="39"/>
      <c r="BN485" s="39"/>
      <c r="BO485" s="39"/>
      <c r="BP485" s="39"/>
      <c r="BQ485" s="39"/>
      <c r="BR485" s="39"/>
      <c r="BS485" s="39"/>
      <c r="BT485" s="39"/>
      <c r="BU485" s="39"/>
      <c r="BV485" s="39"/>
      <c r="BW485" s="39"/>
      <c r="BX485" s="39"/>
      <c r="BY485" s="39"/>
      <c r="BZ485" s="39"/>
      <c r="CA485" s="39"/>
      <c r="CB485" s="39"/>
      <c r="CC485" s="39"/>
      <c r="CD485" s="39"/>
      <c r="CE485" s="39"/>
      <c r="CF485" s="39"/>
      <c r="CG485" s="39"/>
      <c r="CH485" s="39"/>
      <c r="CI485" s="39"/>
      <c r="CJ485" s="39"/>
      <c r="CK485" s="39"/>
      <c r="CL485" s="39"/>
      <c r="CM485" s="39"/>
      <c r="CN485" s="39"/>
      <c r="CO485" s="39"/>
      <c r="CP485" s="39"/>
      <c r="CQ485" s="39"/>
      <c r="CR485" s="39"/>
      <c r="CS485" s="39"/>
      <c r="CT485" s="39"/>
      <c r="CU485" s="39"/>
      <c r="CV485" s="39"/>
      <c r="CW485" s="39"/>
      <c r="CX485" s="39"/>
      <c r="CY485" s="39"/>
      <c r="CZ485" s="39"/>
      <c r="DA485" s="39"/>
      <c r="DB485" s="39"/>
      <c r="DC485" s="39"/>
      <c r="DD485" s="39"/>
      <c r="DE485" s="39"/>
      <c r="DF485" s="39"/>
      <c r="DG485" s="39"/>
      <c r="DH485" s="39"/>
      <c r="DI485" s="39"/>
    </row>
    <row r="486" spans="1:113">
      <c r="C486" s="43"/>
      <c r="D486" s="44"/>
      <c r="E486" s="44"/>
      <c r="F486" s="45"/>
      <c r="G486" s="44"/>
      <c r="H486" s="134"/>
      <c r="I486" s="45"/>
      <c r="J486" s="45"/>
      <c r="K486" s="45"/>
      <c r="L486" s="45"/>
      <c r="M486" s="45"/>
      <c r="N486" s="46"/>
      <c r="O486" s="45"/>
      <c r="P486" s="45"/>
      <c r="Q486" s="45"/>
      <c r="R486" s="45"/>
      <c r="S486" s="45"/>
      <c r="T486" s="46"/>
      <c r="U486" s="48"/>
      <c r="V486" s="50"/>
      <c r="Z486" s="49"/>
      <c r="BF486" s="39"/>
      <c r="BG486" s="39"/>
      <c r="BH486" s="39"/>
      <c r="BI486" s="39"/>
      <c r="BJ486" s="39"/>
      <c r="BK486" s="39"/>
      <c r="BL486" s="39"/>
      <c r="BM486" s="39"/>
      <c r="BN486" s="39"/>
      <c r="BO486" s="39"/>
      <c r="BP486" s="39"/>
      <c r="BQ486" s="39"/>
      <c r="BR486" s="39"/>
      <c r="BS486" s="39"/>
      <c r="BT486" s="39"/>
      <c r="BU486" s="39"/>
      <c r="BV486" s="39"/>
      <c r="BW486" s="39"/>
      <c r="BX486" s="39"/>
      <c r="BY486" s="39"/>
      <c r="BZ486" s="39"/>
      <c r="CA486" s="39"/>
      <c r="CB486" s="39"/>
      <c r="CC486" s="39"/>
      <c r="CD486" s="39"/>
      <c r="CE486" s="39"/>
      <c r="CF486" s="39"/>
      <c r="CG486" s="39"/>
      <c r="CH486" s="39"/>
      <c r="CI486" s="39"/>
      <c r="CJ486" s="39"/>
      <c r="CK486" s="39"/>
      <c r="CL486" s="39"/>
      <c r="CM486" s="39"/>
      <c r="CN486" s="39"/>
      <c r="CO486" s="39"/>
      <c r="CP486" s="39"/>
      <c r="CQ486" s="39"/>
      <c r="CR486" s="39"/>
      <c r="CS486" s="39"/>
      <c r="CT486" s="39"/>
      <c r="CU486" s="39"/>
      <c r="CV486" s="39"/>
      <c r="CW486" s="39"/>
      <c r="CX486" s="39"/>
      <c r="CY486" s="39"/>
      <c r="CZ486" s="39"/>
      <c r="DA486" s="39"/>
      <c r="DB486" s="39"/>
      <c r="DC486" s="39"/>
      <c r="DD486" s="39"/>
      <c r="DE486" s="39"/>
      <c r="DF486" s="39"/>
      <c r="DG486" s="39"/>
      <c r="DH486" s="39"/>
      <c r="DI486" s="39"/>
    </row>
    <row r="487" spans="1:113" s="41" customFormat="1">
      <c r="B487" s="147"/>
      <c r="C487" s="164"/>
      <c r="D487" s="165" t="s">
        <v>464</v>
      </c>
      <c r="E487" s="165" t="s">
        <v>57</v>
      </c>
      <c r="F487" s="165" t="s">
        <v>59</v>
      </c>
      <c r="G487" s="165" t="s">
        <v>56</v>
      </c>
      <c r="H487" s="49"/>
      <c r="I487" s="166" t="s">
        <v>290</v>
      </c>
      <c r="J487" s="166"/>
      <c r="K487" s="166"/>
      <c r="L487" s="166"/>
      <c r="M487" s="166"/>
      <c r="O487" s="166" t="s">
        <v>474</v>
      </c>
      <c r="P487" s="166"/>
      <c r="Q487" s="166"/>
      <c r="R487" s="166"/>
      <c r="S487" s="166"/>
      <c r="T487" s="49"/>
      <c r="U487" s="167" t="s">
        <v>464</v>
      </c>
      <c r="V487" s="165"/>
      <c r="Z487" s="49"/>
      <c r="AC487" s="135"/>
      <c r="AD487" s="136"/>
      <c r="AE487" s="136"/>
      <c r="AF487" s="136"/>
      <c r="AG487" s="136"/>
      <c r="AH487" s="136"/>
      <c r="AI487" s="136"/>
      <c r="AJ487" s="136"/>
      <c r="AK487" s="136"/>
      <c r="AL487" s="136"/>
      <c r="AM487" s="136"/>
      <c r="AN487" s="136"/>
      <c r="AO487" s="136"/>
      <c r="AP487" s="136"/>
      <c r="AQ487" s="136"/>
      <c r="AR487" s="136"/>
      <c r="AS487" s="136"/>
      <c r="AT487" s="136"/>
      <c r="AU487" s="136"/>
      <c r="AV487" s="136"/>
      <c r="AW487" s="136"/>
      <c r="BC487" s="137"/>
      <c r="BD487" s="137"/>
      <c r="BE487" s="137"/>
      <c r="BG487" s="137"/>
      <c r="BH487" s="137"/>
      <c r="BI487" s="137"/>
      <c r="BK487" s="137"/>
      <c r="BL487" s="137"/>
      <c r="BM487" s="137"/>
      <c r="BO487" s="137"/>
      <c r="BP487" s="137"/>
      <c r="BQ487" s="137"/>
    </row>
    <row r="488" spans="1:113">
      <c r="A488" s="41" t="s">
        <v>506</v>
      </c>
      <c r="C488" s="48" t="s">
        <v>186</v>
      </c>
      <c r="D488" s="44" t="str">
        <f t="shared" ref="D488:G498" si="106">D428</f>
        <v>GBP1.27</v>
      </c>
      <c r="E488" s="44" t="str">
        <f t="shared" si="106"/>
        <v>GBP1.95</v>
      </c>
      <c r="F488" s="45">
        <f t="shared" si="106"/>
        <v>0.53422501966955149</v>
      </c>
      <c r="G488" s="44" t="str">
        <f t="shared" si="106"/>
        <v>Buy</v>
      </c>
      <c r="H488" s="46"/>
      <c r="I488" s="47">
        <f>BT!$D$25/BT!$D$33</f>
        <v>2.3694859821270575</v>
      </c>
      <c r="J488" s="47">
        <f>BT!$E$25/BT!$E$33</f>
        <v>2.4104680943406072</v>
      </c>
      <c r="K488" s="47">
        <f>BT!$F$25/BT!$F$33</f>
        <v>2.2273688565467515</v>
      </c>
      <c r="L488" s="47">
        <f>BT!$G$25/BT!$G$33</f>
        <v>2.3480302591464608</v>
      </c>
      <c r="M488" s="45">
        <f t="shared" ref="M488:M499" si="107">L488-I488</f>
        <v>-2.1455722980596725E-2</v>
      </c>
      <c r="N488" s="46"/>
      <c r="O488" s="45">
        <f>(BT!$D$24-BT!$D$25)/BT!$D$23</f>
        <v>0.24663553124021115</v>
      </c>
      <c r="P488" s="45">
        <f>(BT!$E$24-BT!$E$25)/BT!$E$23</f>
        <v>0.24517838308382481</v>
      </c>
      <c r="Q488" s="45">
        <f>(BT!$F$24-BT!$F$25)/BT!$F$23</f>
        <v>0.23938703496741259</v>
      </c>
      <c r="R488" s="45">
        <f>(BT!$G$24-BT!$G$25)/BT!$G$23</f>
        <v>0.23692852838605774</v>
      </c>
      <c r="S488" s="45">
        <f t="shared" ref="S488:S499" si="108">R488-O488</f>
        <v>-9.707002854153407E-3</v>
      </c>
      <c r="T488" s="46"/>
      <c r="U488" s="48" t="str">
        <f t="shared" ref="U488:V492" si="109">U428</f>
        <v>GBP1.27</v>
      </c>
      <c r="V488" s="69" t="str">
        <f t="shared" si="109"/>
        <v>British Telecom</v>
      </c>
      <c r="Z488" s="49"/>
      <c r="BF488" s="39"/>
      <c r="BG488" s="39"/>
      <c r="BH488" s="39"/>
      <c r="BI488" s="39"/>
      <c r="BJ488" s="39"/>
      <c r="BK488" s="39"/>
      <c r="BL488" s="39"/>
      <c r="BM488" s="39"/>
      <c r="BN488" s="39"/>
      <c r="BO488" s="39"/>
      <c r="BP488" s="39"/>
      <c r="BQ488" s="39"/>
      <c r="BR488" s="39"/>
      <c r="BS488" s="39"/>
      <c r="BT488" s="39"/>
      <c r="BU488" s="39"/>
      <c r="BV488" s="39"/>
      <c r="BW488" s="39"/>
      <c r="BX488" s="39"/>
      <c r="BY488" s="39"/>
      <c r="BZ488" s="39"/>
      <c r="CA488" s="39"/>
      <c r="CB488" s="39"/>
      <c r="CC488" s="39"/>
      <c r="CD488" s="39"/>
      <c r="CE488" s="39"/>
      <c r="CF488" s="39"/>
      <c r="CG488" s="39"/>
      <c r="CH488" s="39"/>
      <c r="CI488" s="39"/>
      <c r="CJ488" s="39"/>
      <c r="CK488" s="39"/>
      <c r="CL488" s="39"/>
      <c r="CM488" s="39"/>
      <c r="CN488" s="39"/>
      <c r="CO488" s="39"/>
      <c r="CP488" s="39"/>
      <c r="CQ488" s="39"/>
      <c r="CR488" s="39"/>
      <c r="CS488" s="39"/>
      <c r="CT488" s="39"/>
      <c r="CU488" s="39"/>
      <c r="CV488" s="39"/>
      <c r="CW488" s="39"/>
      <c r="CX488" s="39"/>
      <c r="CY488" s="39"/>
      <c r="CZ488" s="39"/>
      <c r="DA488" s="39"/>
      <c r="DB488" s="39"/>
      <c r="DC488" s="39"/>
      <c r="DD488" s="39"/>
      <c r="DE488" s="39"/>
      <c r="DF488" s="39"/>
      <c r="DG488" s="39"/>
      <c r="DH488" s="39"/>
      <c r="DI488" s="39"/>
    </row>
    <row r="489" spans="1:113">
      <c r="A489" s="41"/>
      <c r="C489" s="48" t="s">
        <v>187</v>
      </c>
      <c r="D489" s="44" t="str">
        <f t="shared" si="106"/>
        <v>EUR 21.76</v>
      </c>
      <c r="E489" s="44" t="str">
        <f t="shared" si="106"/>
        <v>EUR 32.00</v>
      </c>
      <c r="F489" s="45">
        <f t="shared" si="106"/>
        <v>0.47058823529411753</v>
      </c>
      <c r="G489" s="44" t="str">
        <f t="shared" si="106"/>
        <v>Buy</v>
      </c>
      <c r="H489" s="46"/>
      <c r="I489" s="47">
        <f>DT!$D$25/DT!$D$33</f>
        <v>3.8749398978243916</v>
      </c>
      <c r="J489" s="47">
        <f>DT!$E$25/DT!$E$33</f>
        <v>4.656587768160013</v>
      </c>
      <c r="K489" s="47">
        <f>DT!$F$25/DT!$F$33</f>
        <v>5.1523683427588889</v>
      </c>
      <c r="L489" s="47">
        <f>DT!$G$25/DT!$G$33</f>
        <v>5.8889815723270251</v>
      </c>
      <c r="M489" s="45">
        <f t="shared" si="107"/>
        <v>2.0140416745026335</v>
      </c>
      <c r="N489" s="46"/>
      <c r="O489" s="45">
        <f>(DT!$D$24-DT!$D$25)/DT!$D$23</f>
        <v>0.15725748786251714</v>
      </c>
      <c r="P489" s="45">
        <f>(DT!$E$24-DT!$E$25)/DT!$E$23</f>
        <v>0.13799697326460741</v>
      </c>
      <c r="Q489" s="45">
        <f>(DT!$F$24-DT!$F$25)/DT!$F$23</f>
        <v>0.13303786525231137</v>
      </c>
      <c r="R489" s="45">
        <f>(DT!$G$24-DT!$G$25)/DT!$G$23</f>
        <v>0.12954000784056</v>
      </c>
      <c r="S489" s="45">
        <f t="shared" si="108"/>
        <v>-2.7717480021957147E-2</v>
      </c>
      <c r="T489" s="46"/>
      <c r="U489" s="48" t="str">
        <f t="shared" si="109"/>
        <v>EUR 21.76</v>
      </c>
      <c r="V489" s="69" t="str">
        <f t="shared" si="109"/>
        <v>Deutsche Telekom</v>
      </c>
      <c r="Z489" s="49"/>
      <c r="BF489" s="39"/>
      <c r="BG489" s="39"/>
      <c r="BH489" s="39"/>
      <c r="BI489" s="39"/>
      <c r="BJ489" s="39"/>
      <c r="BK489" s="39"/>
      <c r="BL489" s="39"/>
      <c r="BM489" s="39"/>
      <c r="BN489" s="39"/>
      <c r="BO489" s="39"/>
      <c r="BP489" s="39"/>
      <c r="BQ489" s="39"/>
      <c r="BR489" s="39"/>
      <c r="BS489" s="39"/>
      <c r="BT489" s="39"/>
      <c r="BU489" s="39"/>
      <c r="BV489" s="39"/>
      <c r="BW489" s="39"/>
      <c r="BX489" s="39"/>
      <c r="BY489" s="39"/>
      <c r="BZ489" s="39"/>
      <c r="CA489" s="39"/>
      <c r="CB489" s="39"/>
      <c r="CC489" s="39"/>
      <c r="CD489" s="39"/>
      <c r="CE489" s="39"/>
      <c r="CF489" s="39"/>
      <c r="CG489" s="39"/>
      <c r="CH489" s="39"/>
      <c r="CI489" s="39"/>
      <c r="CJ489" s="39"/>
      <c r="CK489" s="39"/>
      <c r="CL489" s="39"/>
      <c r="CM489" s="39"/>
      <c r="CN489" s="39"/>
      <c r="CO489" s="39"/>
      <c r="CP489" s="39"/>
      <c r="CQ489" s="39"/>
      <c r="CR489" s="39"/>
      <c r="CS489" s="39"/>
      <c r="CT489" s="39"/>
      <c r="CU489" s="39"/>
      <c r="CV489" s="39"/>
      <c r="CW489" s="39"/>
      <c r="CX489" s="39"/>
      <c r="CY489" s="39"/>
      <c r="CZ489" s="39"/>
      <c r="DA489" s="39"/>
      <c r="DB489" s="39"/>
      <c r="DC489" s="39"/>
      <c r="DD489" s="39"/>
      <c r="DE489" s="39"/>
      <c r="DF489" s="39"/>
      <c r="DG489" s="39"/>
      <c r="DH489" s="39"/>
      <c r="DI489" s="39"/>
    </row>
    <row r="490" spans="1:113">
      <c r="A490" s="41"/>
      <c r="C490" s="48" t="s">
        <v>458</v>
      </c>
      <c r="D490" s="44" t="str">
        <f t="shared" si="106"/>
        <v>EUR 3.44</v>
      </c>
      <c r="E490" s="44" t="str">
        <f t="shared" si="106"/>
        <v>EUR 3.70</v>
      </c>
      <c r="F490" s="45">
        <f t="shared" si="106"/>
        <v>7.4332171893147558E-2</v>
      </c>
      <c r="G490" s="44" t="str">
        <f t="shared" si="106"/>
        <v>Neutral</v>
      </c>
      <c r="H490" s="46"/>
      <c r="I490" s="47">
        <f>KPN!$D$25/KPN!$D$33</f>
        <v>5.2555998722354849</v>
      </c>
      <c r="J490" s="47">
        <f>KPN!$E$25/KPN!$E$33</f>
        <v>5.2122326186745562</v>
      </c>
      <c r="K490" s="47">
        <f>KPN!$F$25/KPN!$F$33</f>
        <v>5.402761200899767</v>
      </c>
      <c r="L490" s="47">
        <f>KPN!$G$25/KPN!$G$33</f>
        <v>5.6238772870980744</v>
      </c>
      <c r="M490" s="45">
        <f t="shared" si="107"/>
        <v>0.36827741486258958</v>
      </c>
      <c r="N490" s="46"/>
      <c r="O490" s="45">
        <f>(KPN!$D$24-KPN!$D$25)/KPN!$D$23</f>
        <v>0.21534501222133873</v>
      </c>
      <c r="P490" s="45">
        <f>(KPN!$E$24-KPN!$E$25)/KPN!$E$23</f>
        <v>0.21029095339457615</v>
      </c>
      <c r="Q490" s="45">
        <f>(KPN!$F$24-KPN!$F$25)/KPN!$F$23</f>
        <v>0.20543962685414144</v>
      </c>
      <c r="R490" s="45">
        <f>(KPN!$G$24-KPN!$G$25)/KPN!$G$23</f>
        <v>0.20099564600538694</v>
      </c>
      <c r="S490" s="45">
        <f t="shared" si="108"/>
        <v>-1.4349366215951787E-2</v>
      </c>
      <c r="T490" s="46"/>
      <c r="U490" s="48" t="str">
        <f t="shared" si="109"/>
        <v>EUR 3.44</v>
      </c>
      <c r="V490" s="69" t="str">
        <f t="shared" si="109"/>
        <v>KPN</v>
      </c>
      <c r="Z490" s="49"/>
      <c r="BF490" s="39"/>
      <c r="BG490" s="39"/>
      <c r="BH490" s="39"/>
      <c r="BI490" s="39"/>
      <c r="BJ490" s="39"/>
      <c r="BK490" s="39"/>
      <c r="BL490" s="39"/>
      <c r="BM490" s="39"/>
      <c r="BN490" s="39"/>
      <c r="BO490" s="39"/>
      <c r="BP490" s="39"/>
      <c r="BQ490" s="39"/>
      <c r="BR490" s="39"/>
      <c r="BS490" s="39"/>
      <c r="BT490" s="39"/>
      <c r="BU490" s="39"/>
      <c r="BV490" s="39"/>
      <c r="BW490" s="39"/>
      <c r="BX490" s="39"/>
      <c r="BY490" s="39"/>
      <c r="BZ490" s="39"/>
      <c r="CA490" s="39"/>
      <c r="CB490" s="39"/>
      <c r="CC490" s="39"/>
      <c r="CD490" s="39"/>
      <c r="CE490" s="39"/>
      <c r="CF490" s="39"/>
      <c r="CG490" s="39"/>
      <c r="CH490" s="39"/>
      <c r="CI490" s="39"/>
      <c r="CJ490" s="39"/>
      <c r="CK490" s="39"/>
      <c r="CL490" s="39"/>
      <c r="CM490" s="39"/>
      <c r="CN490" s="39"/>
      <c r="CO490" s="39"/>
      <c r="CP490" s="39"/>
      <c r="CQ490" s="39"/>
      <c r="CR490" s="39"/>
      <c r="CS490" s="39"/>
      <c r="CT490" s="39"/>
      <c r="CU490" s="39"/>
      <c r="CV490" s="39"/>
      <c r="CW490" s="39"/>
      <c r="CX490" s="39"/>
      <c r="CY490" s="39"/>
      <c r="CZ490" s="39"/>
      <c r="DA490" s="39"/>
      <c r="DB490" s="39"/>
      <c r="DC490" s="39"/>
      <c r="DD490" s="39"/>
      <c r="DE490" s="39"/>
      <c r="DF490" s="39"/>
      <c r="DG490" s="39"/>
      <c r="DH490" s="39"/>
      <c r="DI490" s="39"/>
    </row>
    <row r="491" spans="1:113">
      <c r="A491" s="41"/>
      <c r="C491" s="48" t="s">
        <v>728</v>
      </c>
      <c r="D491" s="44" t="str">
        <f t="shared" si="106"/>
        <v>EUR 10.68</v>
      </c>
      <c r="E491" s="44" t="str">
        <f t="shared" si="106"/>
        <v>EUR 14.00</v>
      </c>
      <c r="F491" s="45">
        <f t="shared" si="106"/>
        <v>0.31147540983606548</v>
      </c>
      <c r="G491" s="44" t="str">
        <f t="shared" si="106"/>
        <v>Buy</v>
      </c>
      <c r="H491" s="46"/>
      <c r="I491" s="47">
        <f>ORA!$D$25/ORA!$D$33</f>
        <v>5.160995850622407</v>
      </c>
      <c r="J491" s="47">
        <f>ORA!$E$25/ORA!$E$33</f>
        <v>8.5062008723521298</v>
      </c>
      <c r="K491" s="47">
        <f>ORA!$F$25/ORA!$F$33</f>
        <v>9.0020033520588498</v>
      </c>
      <c r="L491" s="47">
        <f>ORA!$G$25/ORA!$G$33</f>
        <v>9.6085076885195217</v>
      </c>
      <c r="M491" s="45">
        <f t="shared" si="107"/>
        <v>4.4475118378971148</v>
      </c>
      <c r="N491" s="46"/>
      <c r="O491" s="45">
        <f>(ORA!$D$24-ORA!$D$25)/ORA!$D$23</f>
        <v>0.15462188556983142</v>
      </c>
      <c r="P491" s="45">
        <f>(ORA!$E$24-ORA!$E$25)/ORA!$E$23</f>
        <v>0.1539379190724145</v>
      </c>
      <c r="Q491" s="45">
        <f>(ORA!$F$24-ORA!$F$25)/ORA!$F$23</f>
        <v>0.14808665195324061</v>
      </c>
      <c r="R491" s="45">
        <f>(ORA!$G$24-ORA!$G$25)/ORA!$G$23</f>
        <v>0.14101864108895509</v>
      </c>
      <c r="S491" s="45">
        <f t="shared" si="108"/>
        <v>-1.3603244480876325E-2</v>
      </c>
      <c r="T491" s="46"/>
      <c r="U491" s="48" t="str">
        <f t="shared" si="109"/>
        <v>EUR 10.68</v>
      </c>
      <c r="V491" s="69" t="str">
        <f t="shared" si="109"/>
        <v>Orange</v>
      </c>
      <c r="Z491" s="49"/>
      <c r="BF491" s="39"/>
      <c r="BG491" s="39"/>
      <c r="BH491" s="39"/>
      <c r="BI491" s="39"/>
      <c r="BJ491" s="39"/>
      <c r="BK491" s="39"/>
      <c r="BL491" s="39"/>
      <c r="BM491" s="39"/>
      <c r="BN491" s="39"/>
      <c r="BO491" s="39"/>
      <c r="BP491" s="39"/>
      <c r="BQ491" s="39"/>
      <c r="BR491" s="39"/>
      <c r="BS491" s="39"/>
      <c r="BT491" s="39"/>
      <c r="BU491" s="39"/>
      <c r="BV491" s="39"/>
      <c r="BW491" s="39"/>
      <c r="BX491" s="39"/>
      <c r="BY491" s="39"/>
      <c r="BZ491" s="39"/>
      <c r="CA491" s="39"/>
      <c r="CB491" s="39"/>
      <c r="CC491" s="39"/>
      <c r="CD491" s="39"/>
      <c r="CE491" s="39"/>
      <c r="CF491" s="39"/>
      <c r="CG491" s="39"/>
      <c r="CH491" s="39"/>
      <c r="CI491" s="39"/>
      <c r="CJ491" s="39"/>
      <c r="CK491" s="39"/>
      <c r="CL491" s="39"/>
      <c r="CM491" s="39"/>
      <c r="CN491" s="39"/>
      <c r="CO491" s="39"/>
      <c r="CP491" s="39"/>
      <c r="CQ491" s="39"/>
      <c r="CR491" s="39"/>
      <c r="CS491" s="39"/>
      <c r="CT491" s="39"/>
      <c r="CU491" s="39"/>
      <c r="CV491" s="39"/>
      <c r="CW491" s="39"/>
      <c r="CX491" s="39"/>
      <c r="CY491" s="39"/>
      <c r="CZ491" s="39"/>
      <c r="DA491" s="39"/>
      <c r="DB491" s="39"/>
      <c r="DC491" s="39"/>
      <c r="DD491" s="39"/>
      <c r="DE491" s="39"/>
      <c r="DF491" s="39"/>
      <c r="DG491" s="39"/>
      <c r="DH491" s="39"/>
      <c r="DI491" s="39"/>
    </row>
    <row r="492" spans="1:113">
      <c r="A492" s="41"/>
      <c r="C492" s="48" t="s">
        <v>459</v>
      </c>
      <c r="D492" s="44" t="str">
        <f t="shared" si="106"/>
        <v>EUR 13.75</v>
      </c>
      <c r="E492" s="44" t="str">
        <f t="shared" si="106"/>
        <v>EUR 22.00</v>
      </c>
      <c r="F492" s="45">
        <f t="shared" si="106"/>
        <v>0.60000000000000009</v>
      </c>
      <c r="G492" s="44" t="str">
        <f t="shared" si="106"/>
        <v>Neutral</v>
      </c>
      <c r="H492" s="46"/>
      <c r="I492" s="47">
        <f>OTE!$D$25/OTE!$D$33</f>
        <v>26.228098279605636</v>
      </c>
      <c r="J492" s="47">
        <f>OTE!$E$25/OTE!$E$33</f>
        <v>90.937415559476761</v>
      </c>
      <c r="K492" s="47">
        <f>OTE!$F$25/OTE!$F$33</f>
        <v>47.085435213185114</v>
      </c>
      <c r="L492" s="47">
        <f>OTE!$G$25/OTE!$G$33</f>
        <v>38.470518288587328</v>
      </c>
      <c r="M492" s="45">
        <f t="shared" si="107"/>
        <v>12.242420008981693</v>
      </c>
      <c r="N492" s="46"/>
      <c r="O492" s="45">
        <f>(OTE!$D$24-OTE!$D$25)/OTE!$D$23</f>
        <v>0.18175721220951602</v>
      </c>
      <c r="P492" s="45">
        <f>(OTE!$E$24-OTE!$E$25)/OTE!$E$23</f>
        <v>0.1775129589577443</v>
      </c>
      <c r="Q492" s="45">
        <f>(OTE!$F$24-OTE!$F$25)/OTE!$F$23</f>
        <v>0.17576556070958993</v>
      </c>
      <c r="R492" s="45">
        <f>(OTE!$G$24-OTE!$G$25)/OTE!$G$23</f>
        <v>0.17367396966551352</v>
      </c>
      <c r="S492" s="45">
        <f t="shared" si="108"/>
        <v>-8.0832425440025002E-3</v>
      </c>
      <c r="T492" s="46"/>
      <c r="U492" s="48" t="str">
        <f t="shared" si="109"/>
        <v>EUR 13.75</v>
      </c>
      <c r="V492" s="69" t="str">
        <f t="shared" si="109"/>
        <v>OTE</v>
      </c>
      <c r="Z492" s="49"/>
      <c r="BF492" s="39"/>
      <c r="BG492" s="39"/>
      <c r="BH492" s="39"/>
      <c r="BI492" s="39"/>
      <c r="BJ492" s="39"/>
      <c r="BK492" s="39"/>
      <c r="BL492" s="39"/>
      <c r="BM492" s="39"/>
      <c r="BN492" s="39"/>
      <c r="BO492" s="39"/>
      <c r="BP492" s="39"/>
      <c r="BQ492" s="39"/>
      <c r="BR492" s="39"/>
      <c r="BS492" s="39"/>
      <c r="BT492" s="39"/>
      <c r="BU492" s="39"/>
      <c r="BV492" s="39"/>
      <c r="BW492" s="39"/>
      <c r="BX492" s="39"/>
      <c r="BY492" s="39"/>
      <c r="BZ492" s="39"/>
      <c r="CA492" s="39"/>
      <c r="CB492" s="39"/>
      <c r="CC492" s="39"/>
      <c r="CD492" s="39"/>
      <c r="CE492" s="39"/>
      <c r="CF492" s="39"/>
      <c r="CG492" s="39"/>
      <c r="CH492" s="39"/>
      <c r="CI492" s="39"/>
      <c r="CJ492" s="39"/>
      <c r="CK492" s="39"/>
      <c r="CL492" s="39"/>
      <c r="CM492" s="39"/>
      <c r="CN492" s="39"/>
      <c r="CO492" s="39"/>
      <c r="CP492" s="39"/>
      <c r="CQ492" s="39"/>
      <c r="CR492" s="39"/>
      <c r="CS492" s="39"/>
      <c r="CT492" s="39"/>
      <c r="CU492" s="39"/>
      <c r="CV492" s="39"/>
      <c r="CW492" s="39"/>
      <c r="CX492" s="39"/>
      <c r="CY492" s="39"/>
      <c r="CZ492" s="39"/>
      <c r="DA492" s="39"/>
      <c r="DB492" s="39"/>
      <c r="DC492" s="39"/>
      <c r="DD492" s="39"/>
      <c r="DE492" s="39"/>
      <c r="DF492" s="39"/>
      <c r="DG492" s="39"/>
      <c r="DH492" s="39"/>
      <c r="DI492" s="39"/>
    </row>
    <row r="493" spans="1:113">
      <c r="A493" s="41"/>
      <c r="C493" s="48" t="s">
        <v>817</v>
      </c>
      <c r="D493" s="44" t="str">
        <f t="shared" si="106"/>
        <v>EUR 7.4</v>
      </c>
      <c r="E493" s="44" t="str">
        <f t="shared" si="106"/>
        <v>EUR 10.0</v>
      </c>
      <c r="F493" s="45">
        <f t="shared" si="106"/>
        <v>0.35135135135135132</v>
      </c>
      <c r="G493" s="44" t="str">
        <f t="shared" si="106"/>
        <v>Neutral</v>
      </c>
      <c r="H493" s="46"/>
      <c r="I493" s="47">
        <f>PROX!$D$25/PROX!$D$33</f>
        <v>7.3173219320473049</v>
      </c>
      <c r="J493" s="47">
        <f>PROX!$E$25/PROX!$E$33</f>
        <v>7.4913347365948164</v>
      </c>
      <c r="K493" s="47">
        <f>PROX!$F$25/PROX!$F$33</f>
        <v>8.3373630543148973</v>
      </c>
      <c r="L493" s="47">
        <f>PROX!$G$25/PROX!$G$33</f>
        <v>8.8284627422092896</v>
      </c>
      <c r="M493" s="45">
        <f t="shared" si="107"/>
        <v>1.5111408101619848</v>
      </c>
      <c r="N493" s="46"/>
      <c r="O493" s="45">
        <f>(PROX!$D$24-PROX!$D$25)/PROX!$D$23</f>
        <v>0.2084817513611823</v>
      </c>
      <c r="P493" s="45">
        <f>(PROX!$E$24-PROX!$E$25)/PROX!$E$23</f>
        <v>0.18949038405389571</v>
      </c>
      <c r="Q493" s="45">
        <f>(PROX!$F$24-PROX!$F$25)/PROX!$F$23</f>
        <v>0.16492837577901859</v>
      </c>
      <c r="R493" s="45">
        <f>(PROX!$G$24-PROX!$G$25)/PROX!$G$23</f>
        <v>0.16397061176421543</v>
      </c>
      <c r="S493" s="45">
        <f t="shared" si="108"/>
        <v>-4.451113959696687E-2</v>
      </c>
      <c r="T493" s="46"/>
      <c r="U493" s="48" t="str">
        <f t="shared" ref="U493:U498" si="110">U433</f>
        <v>EUR 7.4</v>
      </c>
      <c r="V493" s="69" t="s">
        <v>817</v>
      </c>
      <c r="Z493" s="49"/>
      <c r="BF493" s="39"/>
      <c r="BG493" s="39"/>
      <c r="BH493" s="39"/>
      <c r="BI493" s="39"/>
      <c r="BJ493" s="39"/>
      <c r="BK493" s="39"/>
      <c r="BL493" s="39"/>
      <c r="BM493" s="39"/>
      <c r="BN493" s="39"/>
      <c r="BO493" s="39"/>
      <c r="BP493" s="39"/>
      <c r="BQ493" s="39"/>
      <c r="BR493" s="39"/>
      <c r="BS493" s="39"/>
      <c r="BT493" s="39"/>
      <c r="BU493" s="39"/>
      <c r="BV493" s="39"/>
      <c r="BW493" s="39"/>
      <c r="BX493" s="39"/>
      <c r="BY493" s="39"/>
      <c r="BZ493" s="39"/>
      <c r="CA493" s="39"/>
      <c r="CB493" s="39"/>
      <c r="CC493" s="39"/>
      <c r="CD493" s="39"/>
      <c r="CE493" s="39"/>
      <c r="CF493" s="39"/>
      <c r="CG493" s="39"/>
      <c r="CH493" s="39"/>
      <c r="CI493" s="39"/>
      <c r="CJ493" s="39"/>
      <c r="CK493" s="39"/>
      <c r="CL493" s="39"/>
      <c r="CM493" s="39"/>
      <c r="CN493" s="39"/>
      <c r="CO493" s="39"/>
      <c r="CP493" s="39"/>
      <c r="CQ493" s="39"/>
      <c r="CR493" s="39"/>
      <c r="CS493" s="39"/>
      <c r="CT493" s="39"/>
      <c r="CU493" s="39"/>
      <c r="CV493" s="39"/>
      <c r="CW493" s="39"/>
      <c r="CX493" s="39"/>
      <c r="CY493" s="39"/>
      <c r="CZ493" s="39"/>
      <c r="DA493" s="39"/>
      <c r="DB493" s="39"/>
      <c r="DC493" s="39"/>
      <c r="DD493" s="39"/>
      <c r="DE493" s="39"/>
      <c r="DF493" s="39"/>
      <c r="DG493" s="39"/>
      <c r="DH493" s="39"/>
      <c r="DI493" s="39"/>
    </row>
    <row r="494" spans="1:113">
      <c r="C494" s="48" t="s">
        <v>463</v>
      </c>
      <c r="D494" s="44" t="str">
        <f t="shared" si="106"/>
        <v>CHF492</v>
      </c>
      <c r="E494" s="44" t="str">
        <f t="shared" si="106"/>
        <v>CHF620</v>
      </c>
      <c r="F494" s="45">
        <f t="shared" si="106"/>
        <v>0.26016260162601634</v>
      </c>
      <c r="G494" s="44" t="str">
        <f t="shared" si="106"/>
        <v>Neutral</v>
      </c>
      <c r="H494" s="46"/>
      <c r="I494" s="47">
        <f>SWISS!$D$25/SWISS!$D$33</f>
        <v>13.389187293340433</v>
      </c>
      <c r="J494" s="47">
        <f>SWISS!$E$25/SWISS!$E$33</f>
        <v>13.529666464806036</v>
      </c>
      <c r="K494" s="47">
        <f>SWISS!$F$25/SWISS!$F$33</f>
        <v>13.54539679479756</v>
      </c>
      <c r="L494" s="47">
        <f>SWISS!$G$25/SWISS!$G$33</f>
        <v>13.455070330116046</v>
      </c>
      <c r="M494" s="45">
        <f t="shared" si="107"/>
        <v>6.5883036775613135E-2</v>
      </c>
      <c r="N494" s="46"/>
      <c r="O494" s="45">
        <f>(SWISS!$D$24-SWISS!$D$25)/SWISS!$D$23</f>
        <v>0.20793392090220503</v>
      </c>
      <c r="P494" s="45">
        <f>(SWISS!$E$24-SWISS!$E$25)/SWISS!$E$23</f>
        <v>0.20687561838736479</v>
      </c>
      <c r="Q494" s="45">
        <f>(SWISS!$F$24-SWISS!$F$25)/SWISS!$F$23</f>
        <v>0.20659920256432457</v>
      </c>
      <c r="R494" s="45">
        <f>(SWISS!$G$24-SWISS!$G$25)/SWISS!$G$23</f>
        <v>0.20626447520981978</v>
      </c>
      <c r="S494" s="45">
        <f t="shared" si="108"/>
        <v>-1.6694456923852519E-3</v>
      </c>
      <c r="T494" s="46"/>
      <c r="U494" s="48" t="str">
        <f t="shared" si="110"/>
        <v>CHF492</v>
      </c>
      <c r="V494" s="69" t="str">
        <f t="shared" ref="V494:V499" si="111">V434</f>
        <v>Swisscom</v>
      </c>
    </row>
    <row r="495" spans="1:113">
      <c r="A495" s="41"/>
      <c r="C495" s="48" t="s">
        <v>270</v>
      </c>
      <c r="D495" s="44" t="str">
        <f t="shared" si="106"/>
        <v>EUR 0.25</v>
      </c>
      <c r="E495" s="44" t="str">
        <f t="shared" si="106"/>
        <v>EUR 0.35</v>
      </c>
      <c r="F495" s="45">
        <f t="shared" si="106"/>
        <v>0.42103126268777902</v>
      </c>
      <c r="G495" s="44" t="str">
        <f t="shared" si="106"/>
        <v>Buy</v>
      </c>
      <c r="H495" s="46"/>
      <c r="I495" s="47">
        <f>TI!$D$25/TI!$D$33</f>
        <v>0.75865393655039137</v>
      </c>
      <c r="J495" s="47">
        <f>TI!$E$25/TI!$E$33</f>
        <v>0.85398015894859669</v>
      </c>
      <c r="K495" s="47">
        <f>TI!$F$25/TI!$F$33</f>
        <v>1.0057684315523774</v>
      </c>
      <c r="L495" s="47">
        <f>TI!$G$25/TI!$G$33</f>
        <v>1.2386979663252371</v>
      </c>
      <c r="M495" s="45">
        <f t="shared" si="107"/>
        <v>0.48004402977484573</v>
      </c>
      <c r="N495" s="46"/>
      <c r="O495" s="45">
        <f>(TI!$D$24-TI!$D$25)/TI!$D$23</f>
        <v>0.24364026520170853</v>
      </c>
      <c r="P495" s="45">
        <f>(TI!$E$24-TI!$E$25)/TI!$E$23</f>
        <v>0.236878823305819</v>
      </c>
      <c r="Q495" s="45">
        <f>(TI!$F$24-TI!$F$25)/TI!$F$23</f>
        <v>0.23258610575473179</v>
      </c>
      <c r="R495" s="45">
        <f>(TI!$G$24-TI!$G$25)/TI!$G$23</f>
        <v>0.21258760728309006</v>
      </c>
      <c r="S495" s="45">
        <f t="shared" si="108"/>
        <v>-3.105265791861847E-2</v>
      </c>
      <c r="T495" s="46"/>
      <c r="U495" s="48" t="str">
        <f t="shared" si="110"/>
        <v>EUR 0.25</v>
      </c>
      <c r="V495" s="69" t="str">
        <f t="shared" si="111"/>
        <v>Telecom Italia</v>
      </c>
      <c r="Z495" s="49"/>
      <c r="BF495" s="39"/>
      <c r="BG495" s="39"/>
      <c r="BH495" s="39"/>
      <c r="BI495" s="39"/>
      <c r="BJ495" s="39"/>
      <c r="BK495" s="39"/>
      <c r="BL495" s="39"/>
      <c r="BM495" s="39"/>
      <c r="BN495" s="39"/>
      <c r="BO495" s="39"/>
      <c r="BP495" s="39"/>
      <c r="BQ495" s="39"/>
      <c r="BR495" s="39"/>
      <c r="BS495" s="39"/>
      <c r="BT495" s="39"/>
      <c r="BU495" s="39"/>
      <c r="BV495" s="39"/>
      <c r="BW495" s="39"/>
      <c r="BX495" s="39"/>
      <c r="BY495" s="39"/>
      <c r="BZ495" s="39"/>
      <c r="CA495" s="39"/>
      <c r="CB495" s="39"/>
      <c r="CC495" s="39"/>
      <c r="CD495" s="39"/>
      <c r="CE495" s="39"/>
      <c r="CF495" s="39"/>
      <c r="CG495" s="39"/>
      <c r="CH495" s="39"/>
      <c r="CI495" s="39"/>
      <c r="CJ495" s="39"/>
      <c r="CK495" s="39"/>
      <c r="CL495" s="39"/>
      <c r="CM495" s="39"/>
      <c r="CN495" s="39"/>
      <c r="CO495" s="39"/>
      <c r="CP495" s="39"/>
      <c r="CQ495" s="39"/>
      <c r="CR495" s="39"/>
      <c r="CS495" s="39"/>
      <c r="CT495" s="39"/>
      <c r="CU495" s="39"/>
      <c r="CV495" s="39"/>
      <c r="CW495" s="39"/>
      <c r="CX495" s="39"/>
      <c r="CY495" s="39"/>
      <c r="CZ495" s="39"/>
      <c r="DA495" s="39"/>
      <c r="DB495" s="39"/>
      <c r="DC495" s="39"/>
      <c r="DD495" s="39"/>
      <c r="DE495" s="39"/>
      <c r="DF495" s="39"/>
      <c r="DG495" s="39"/>
      <c r="DH495" s="39"/>
      <c r="DI495" s="39"/>
    </row>
    <row r="496" spans="1:113">
      <c r="A496" s="41"/>
      <c r="C496" s="48" t="s">
        <v>461</v>
      </c>
      <c r="D496" s="44" t="str">
        <f t="shared" si="106"/>
        <v>EUR 4.16</v>
      </c>
      <c r="E496" s="44" t="str">
        <f t="shared" si="106"/>
        <v>EUR 4.80</v>
      </c>
      <c r="F496" s="45">
        <f t="shared" si="106"/>
        <v>0.15523465703971118</v>
      </c>
      <c r="G496" s="44" t="str">
        <f t="shared" si="106"/>
        <v>Buy</v>
      </c>
      <c r="H496" s="46"/>
      <c r="I496" s="47">
        <f>TEF!$D$25/TEF!$D$33</f>
        <v>2.8326754158475977</v>
      </c>
      <c r="J496" s="47">
        <f>TEF!$E$25/TEF!$E$33</f>
        <v>3.4399090685939897</v>
      </c>
      <c r="K496" s="47">
        <f>TEF!$F$25/TEF!$F$33</f>
        <v>3.6298223418479965</v>
      </c>
      <c r="L496" s="47">
        <f>TEF!$G$25/TEF!$G$33</f>
        <v>3.7279142795383362</v>
      </c>
      <c r="M496" s="45">
        <f t="shared" si="107"/>
        <v>0.89523886369073846</v>
      </c>
      <c r="N496" s="46"/>
      <c r="O496" s="45">
        <f>(TEF!$D$24-TEF!$D$25)/TEF!$D$23</f>
        <v>0.13050729678302636</v>
      </c>
      <c r="P496" s="45">
        <f>(TEF!$E$24-TEF!$E$25)/TEF!$E$23</f>
        <v>0.13041775087604035</v>
      </c>
      <c r="Q496" s="45">
        <f>(TEF!$F$24-TEF!$F$25)/TEF!$F$23</f>
        <v>0.12436812624889579</v>
      </c>
      <c r="R496" s="45">
        <f>(TEF!$G$24-TEF!$G$25)/TEF!$G$23</f>
        <v>0.1186846907647261</v>
      </c>
      <c r="S496" s="45">
        <f t="shared" si="108"/>
        <v>-1.1822606018300263E-2</v>
      </c>
      <c r="T496" s="46"/>
      <c r="U496" s="48" t="str">
        <f t="shared" si="110"/>
        <v>EUR 4.16</v>
      </c>
      <c r="V496" s="69" t="str">
        <f t="shared" si="111"/>
        <v>Telefonica</v>
      </c>
      <c r="Z496" s="49"/>
      <c r="BF496" s="39"/>
      <c r="BG496" s="39"/>
      <c r="BH496" s="39"/>
      <c r="BI496" s="39"/>
      <c r="BJ496" s="39"/>
      <c r="BK496" s="39"/>
      <c r="BL496" s="39"/>
      <c r="BM496" s="39"/>
      <c r="BN496" s="39"/>
      <c r="BO496" s="39"/>
      <c r="BP496" s="39"/>
      <c r="BQ496" s="39"/>
      <c r="BR496" s="39"/>
      <c r="BS496" s="39"/>
      <c r="BT496" s="39"/>
      <c r="BU496" s="39"/>
      <c r="BV496" s="39"/>
      <c r="BW496" s="39"/>
      <c r="BX496" s="39"/>
      <c r="BY496" s="39"/>
      <c r="BZ496" s="39"/>
      <c r="CA496" s="39"/>
      <c r="CB496" s="39"/>
      <c r="CC496" s="39"/>
      <c r="CD496" s="39"/>
      <c r="CE496" s="39"/>
      <c r="CF496" s="39"/>
      <c r="CG496" s="39"/>
      <c r="CH496" s="39"/>
      <c r="CI496" s="39"/>
      <c r="CJ496" s="39"/>
      <c r="CK496" s="39"/>
      <c r="CL496" s="39"/>
      <c r="CM496" s="39"/>
      <c r="CN496" s="39"/>
      <c r="CO496" s="39"/>
      <c r="CP496" s="39"/>
      <c r="CQ496" s="39"/>
      <c r="CR496" s="39"/>
      <c r="CS496" s="39"/>
      <c r="CT496" s="39"/>
      <c r="CU496" s="39"/>
      <c r="CV496" s="39"/>
      <c r="CW496" s="39"/>
      <c r="CX496" s="39"/>
      <c r="CY496" s="39"/>
      <c r="CZ496" s="39"/>
      <c r="DA496" s="39"/>
      <c r="DB496" s="39"/>
      <c r="DC496" s="39"/>
      <c r="DD496" s="39"/>
      <c r="DE496" s="39"/>
      <c r="DF496" s="39"/>
      <c r="DG496" s="39"/>
      <c r="DH496" s="39"/>
      <c r="DI496" s="39"/>
    </row>
    <row r="497" spans="1:113">
      <c r="A497" s="41"/>
      <c r="C497" s="48" t="s">
        <v>462</v>
      </c>
      <c r="D497" s="44" t="str">
        <f t="shared" si="106"/>
        <v>NOK 124</v>
      </c>
      <c r="E497" s="44" t="str">
        <f t="shared" si="106"/>
        <v>NOK 136</v>
      </c>
      <c r="F497" s="45">
        <f t="shared" si="106"/>
        <v>9.9434114793855999E-2</v>
      </c>
      <c r="G497" s="44" t="str">
        <f t="shared" si="106"/>
        <v>Buy</v>
      </c>
      <c r="H497" s="46"/>
      <c r="I497" s="47">
        <f>TNOR!$D$25/TNOR!$D$33</f>
        <v>-7.2819696682250408</v>
      </c>
      <c r="J497" s="47">
        <f>TNOR!$E$25/TNOR!$E$33</f>
        <v>-8.4209500618631665</v>
      </c>
      <c r="K497" s="47">
        <f>TNOR!$F$25/TNOR!$F$33</f>
        <v>-8.3746261293349136</v>
      </c>
      <c r="L497" s="47">
        <f>TNOR!$G$25/TNOR!$G$33</f>
        <v>-8.4870314545182506</v>
      </c>
      <c r="M497" s="45">
        <f t="shared" si="107"/>
        <v>-1.2050617862932098</v>
      </c>
      <c r="N497" s="46"/>
      <c r="O497" s="45">
        <f>(TNOR!$D$24-TNOR!$D$25)/TNOR!$D$23</f>
        <v>0.16779130549451446</v>
      </c>
      <c r="P497" s="45">
        <f>(TNOR!$E$24-TNOR!$E$25)/TNOR!$E$23</f>
        <v>0.16109693440866321</v>
      </c>
      <c r="Q497" s="45">
        <f>(TNOR!$F$24-TNOR!$F$25)/TNOR!$F$23</f>
        <v>0.14769196584960892</v>
      </c>
      <c r="R497" s="45">
        <f>(TNOR!$G$24-TNOR!$G$25)/TNOR!$G$23</f>
        <v>0.14595744323870852</v>
      </c>
      <c r="S497" s="45">
        <f t="shared" si="108"/>
        <v>-2.1833862255805941E-2</v>
      </c>
      <c r="T497" s="46"/>
      <c r="U497" s="48" t="str">
        <f t="shared" si="110"/>
        <v>NOK 124</v>
      </c>
      <c r="V497" s="44" t="str">
        <f t="shared" si="111"/>
        <v>Telenor</v>
      </c>
      <c r="Z497" s="49"/>
      <c r="BF497" s="39"/>
      <c r="BG497" s="39"/>
      <c r="BH497" s="39"/>
      <c r="BI497" s="39"/>
      <c r="BJ497" s="39"/>
      <c r="BK497" s="39"/>
      <c r="BL497" s="39"/>
      <c r="BM497" s="39"/>
      <c r="BN497" s="39"/>
      <c r="BO497" s="39"/>
      <c r="BP497" s="39"/>
      <c r="BQ497" s="39"/>
      <c r="BR497" s="39"/>
      <c r="BS497" s="39"/>
      <c r="BT497" s="39"/>
      <c r="BU497" s="39"/>
      <c r="BV497" s="39"/>
      <c r="BW497" s="39"/>
      <c r="BX497" s="39"/>
      <c r="BY497" s="39"/>
      <c r="BZ497" s="39"/>
      <c r="CA497" s="39"/>
      <c r="CB497" s="39"/>
      <c r="CC497" s="39"/>
      <c r="CD497" s="39"/>
      <c r="CE497" s="39"/>
      <c r="CF497" s="39"/>
      <c r="CG497" s="39"/>
      <c r="CH497" s="39"/>
      <c r="CI497" s="39"/>
      <c r="CJ497" s="39"/>
      <c r="CK497" s="39"/>
      <c r="CL497" s="39"/>
      <c r="CM497" s="39"/>
      <c r="CN497" s="39"/>
      <c r="CO497" s="39"/>
      <c r="CP497" s="39"/>
      <c r="CQ497" s="39"/>
      <c r="CR497" s="39"/>
      <c r="CS497" s="39"/>
      <c r="CT497" s="39"/>
      <c r="CU497" s="39"/>
      <c r="CV497" s="39"/>
      <c r="CW497" s="39"/>
      <c r="CX497" s="39"/>
      <c r="CY497" s="39"/>
      <c r="CZ497" s="39"/>
      <c r="DA497" s="39"/>
      <c r="DB497" s="39"/>
      <c r="DC497" s="39"/>
      <c r="DD497" s="39"/>
      <c r="DE497" s="39"/>
      <c r="DF497" s="39"/>
      <c r="DG497" s="39"/>
      <c r="DH497" s="39"/>
      <c r="DI497" s="39"/>
    </row>
    <row r="498" spans="1:113">
      <c r="A498" s="41"/>
      <c r="C498" s="48" t="s">
        <v>1039</v>
      </c>
      <c r="D498" s="44" t="str">
        <f t="shared" si="106"/>
        <v>SEK26.4</v>
      </c>
      <c r="E498" s="44" t="str">
        <f t="shared" si="106"/>
        <v>SEK36.0</v>
      </c>
      <c r="F498" s="45">
        <f t="shared" si="106"/>
        <v>0.36415308829101933</v>
      </c>
      <c r="G498" s="44" t="str">
        <f t="shared" si="106"/>
        <v>Buy</v>
      </c>
      <c r="H498" s="46"/>
      <c r="I498" s="47">
        <f>TELIA!$D$25/TELIA!$D$33</f>
        <v>3.1500053731736615</v>
      </c>
      <c r="J498" s="47">
        <f>TELIA!$E$25/TELIA!$E$33</f>
        <v>3.1142793080719313</v>
      </c>
      <c r="K498" s="47">
        <f>TELIA!$F$25/TELIA!$F$33</f>
        <v>3.4429785553862882</v>
      </c>
      <c r="L498" s="47">
        <f>TELIA!$G$25/TELIA!$G$33</f>
        <v>3.5381384157401823</v>
      </c>
      <c r="M498" s="45">
        <f t="shared" si="107"/>
        <v>0.38813304256652081</v>
      </c>
      <c r="N498" s="46"/>
      <c r="O498" s="45">
        <f>(TELIA!$D$24-TELIA!$D$25)/TELIA!$D$23</f>
        <v>0.14957517069393969</v>
      </c>
      <c r="P498" s="45">
        <f>(TELIA!$E$24-TELIA!$E$25)/TELIA!$E$23</f>
        <v>0.1490445727422651</v>
      </c>
      <c r="Q498" s="45">
        <f>(TELIA!$F$24-TELIA!$F$25)/TELIA!$F$23</f>
        <v>0.14810173067224705</v>
      </c>
      <c r="R498" s="45">
        <f>(TELIA!$G$24-TELIA!$G$25)/TELIA!$G$23</f>
        <v>0.14707208186771223</v>
      </c>
      <c r="S498" s="45">
        <f t="shared" si="108"/>
        <v>-2.503088826227462E-3</v>
      </c>
      <c r="T498" s="46"/>
      <c r="U498" s="48" t="str">
        <f t="shared" si="110"/>
        <v>SEK26.4</v>
      </c>
      <c r="V498" s="44" t="str">
        <f t="shared" si="111"/>
        <v>Telia</v>
      </c>
      <c r="Z498" s="49"/>
      <c r="BF498" s="39"/>
      <c r="BG498" s="39"/>
      <c r="BH498" s="39"/>
      <c r="BI498" s="39"/>
      <c r="BJ498" s="39"/>
      <c r="BK498" s="39"/>
      <c r="BL498" s="39"/>
      <c r="BM498" s="39"/>
      <c r="BN498" s="39"/>
      <c r="BO498" s="39"/>
      <c r="BP498" s="39"/>
      <c r="BQ498" s="39"/>
      <c r="BR498" s="39"/>
      <c r="BS498" s="39"/>
      <c r="BT498" s="39"/>
      <c r="BU498" s="39"/>
      <c r="BV498" s="39"/>
      <c r="BW498" s="39"/>
      <c r="BX498" s="39"/>
      <c r="BY498" s="39"/>
      <c r="BZ498" s="39"/>
      <c r="CA498" s="39"/>
      <c r="CB498" s="39"/>
      <c r="CC498" s="39"/>
      <c r="CD498" s="39"/>
      <c r="CE498" s="39"/>
      <c r="CF498" s="39"/>
      <c r="CG498" s="39"/>
      <c r="CH498" s="39"/>
      <c r="CI498" s="39"/>
      <c r="CJ498" s="39"/>
      <c r="CK498" s="39"/>
      <c r="CL498" s="39"/>
      <c r="CM498" s="39"/>
      <c r="CN498" s="39"/>
      <c r="CO498" s="39"/>
      <c r="CP498" s="39"/>
      <c r="CQ498" s="39"/>
      <c r="CR498" s="39"/>
      <c r="CS498" s="39"/>
      <c r="CT498" s="39"/>
      <c r="CU498" s="39"/>
      <c r="CV498" s="39"/>
      <c r="CW498" s="39"/>
      <c r="CX498" s="39"/>
      <c r="CY498" s="39"/>
      <c r="CZ498" s="39"/>
      <c r="DA498" s="39"/>
      <c r="DB498" s="39"/>
      <c r="DC498" s="39"/>
      <c r="DD498" s="39"/>
      <c r="DE498" s="39"/>
      <c r="DF498" s="39"/>
      <c r="DG498" s="39"/>
      <c r="DH498" s="39"/>
      <c r="DI498" s="39"/>
    </row>
    <row r="499" spans="1:113">
      <c r="A499" s="41"/>
      <c r="C499" s="51" t="str">
        <f>C439</f>
        <v>Agg. W.Europe Incumbent</v>
      </c>
      <c r="D499" s="52"/>
      <c r="E499" s="52"/>
      <c r="F499" s="53"/>
      <c r="G499" s="52"/>
      <c r="H499" s="46"/>
      <c r="I499" s="54">
        <f>'W.EUR INCUMB'!$D$25/'W.EUR INCUMB'!$D$33</f>
        <v>3.7198401076085958</v>
      </c>
      <c r="J499" s="54">
        <f>'W.EUR INCUMB'!$E$25/'W.EUR INCUMB'!$E$33</f>
        <v>4.372395631462437</v>
      </c>
      <c r="K499" s="54">
        <f>'W.EUR INCUMB'!$F$25/'W.EUR INCUMB'!$F$33</f>
        <v>4.679177869571248</v>
      </c>
      <c r="L499" s="54">
        <f>'W.EUR INCUMB'!$G$25/'W.EUR INCUMB'!$G$33</f>
        <v>5.1058513759921498</v>
      </c>
      <c r="M499" s="55">
        <f t="shared" si="107"/>
        <v>1.3860112683835539</v>
      </c>
      <c r="N499" s="56"/>
      <c r="O499" s="55">
        <f>('W.EUR INCUMB'!$D$24-'W.EUR INCUMB'!$D$25)/'W.EUR INCUMB'!$D$23</f>
        <v>0.17039277752715914</v>
      </c>
      <c r="P499" s="55">
        <f>('W.EUR INCUMB'!$E$24-'W.EUR INCUMB'!$E$25)/'W.EUR INCUMB'!$E$23</f>
        <v>0.16093285878752087</v>
      </c>
      <c r="Q499" s="55">
        <f>('W.EUR INCUMB'!$F$24-'W.EUR INCUMB'!$F$25)/'W.EUR INCUMB'!$F$23</f>
        <v>0.1551700979544465</v>
      </c>
      <c r="R499" s="55">
        <f>('W.EUR INCUMB'!$G$24-'W.EUR INCUMB'!$G$25)/'W.EUR INCUMB'!$G$23</f>
        <v>0.15003675641872302</v>
      </c>
      <c r="S499" s="55">
        <f t="shared" si="108"/>
        <v>-2.0356021108436123E-2</v>
      </c>
      <c r="T499" s="46"/>
      <c r="U499" s="57"/>
      <c r="V499" s="58" t="str">
        <f t="shared" si="111"/>
        <v>Agg. W.Europe Incumbent</v>
      </c>
      <c r="Z499" s="49"/>
      <c r="BF499" s="39"/>
      <c r="BG499" s="39"/>
      <c r="BH499" s="39"/>
      <c r="BI499" s="39"/>
      <c r="BJ499" s="39"/>
      <c r="BK499" s="39"/>
      <c r="BL499" s="39"/>
      <c r="BM499" s="39"/>
      <c r="BN499" s="39"/>
      <c r="BO499" s="39"/>
      <c r="BP499" s="39"/>
      <c r="BQ499" s="39"/>
      <c r="BR499" s="39"/>
      <c r="BS499" s="39"/>
      <c r="BT499" s="39"/>
      <c r="BU499" s="39"/>
      <c r="BV499" s="39"/>
      <c r="BW499" s="39"/>
      <c r="BX499" s="39"/>
      <c r="BY499" s="39"/>
      <c r="BZ499" s="39"/>
      <c r="CA499" s="39"/>
      <c r="CB499" s="39"/>
      <c r="CC499" s="39"/>
      <c r="CD499" s="39"/>
      <c r="CE499" s="39"/>
      <c r="CF499" s="39"/>
      <c r="CG499" s="39"/>
      <c r="CH499" s="39"/>
      <c r="CI499" s="39"/>
      <c r="CJ499" s="39"/>
      <c r="CK499" s="39"/>
      <c r="CL499" s="39"/>
      <c r="CM499" s="39"/>
      <c r="CN499" s="39"/>
      <c r="CO499" s="39"/>
      <c r="CP499" s="39"/>
      <c r="CQ499" s="39"/>
      <c r="CR499" s="39"/>
      <c r="CS499" s="39"/>
      <c r="CT499" s="39"/>
      <c r="CU499" s="39"/>
      <c r="CV499" s="39"/>
      <c r="CW499" s="39"/>
      <c r="CX499" s="39"/>
      <c r="CY499" s="39"/>
      <c r="CZ499" s="39"/>
      <c r="DA499" s="39"/>
      <c r="DB499" s="39"/>
      <c r="DC499" s="39"/>
      <c r="DD499" s="39"/>
      <c r="DE499" s="39"/>
      <c r="DF499" s="39"/>
      <c r="DG499" s="39"/>
      <c r="DH499" s="39"/>
      <c r="DI499" s="39"/>
    </row>
    <row r="500" spans="1:113">
      <c r="A500" s="41"/>
      <c r="C500" s="48"/>
      <c r="D500" s="44"/>
      <c r="E500" s="44"/>
      <c r="F500" s="45"/>
      <c r="G500" s="44"/>
      <c r="H500" s="46"/>
      <c r="I500" s="47"/>
      <c r="J500" s="47"/>
      <c r="K500" s="47"/>
      <c r="L500" s="47"/>
      <c r="M500" s="45"/>
      <c r="N500" s="46"/>
      <c r="O500" s="45"/>
      <c r="P500" s="45"/>
      <c r="Q500" s="45"/>
      <c r="R500" s="45"/>
      <c r="S500" s="45"/>
      <c r="T500" s="46"/>
      <c r="U500" s="48"/>
      <c r="V500" s="44"/>
      <c r="Z500" s="49"/>
      <c r="BF500" s="39"/>
      <c r="BG500" s="39"/>
      <c r="BH500" s="39"/>
      <c r="BI500" s="39"/>
      <c r="BJ500" s="39"/>
      <c r="BK500" s="39"/>
      <c r="BL500" s="39"/>
      <c r="BM500" s="39"/>
      <c r="BN500" s="39"/>
      <c r="BO500" s="39"/>
      <c r="BP500" s="39"/>
      <c r="BQ500" s="39"/>
      <c r="BR500" s="39"/>
      <c r="BS500" s="39"/>
      <c r="BT500" s="39"/>
      <c r="BU500" s="39"/>
      <c r="BV500" s="39"/>
      <c r="BW500" s="39"/>
      <c r="BX500" s="39"/>
      <c r="BY500" s="39"/>
      <c r="BZ500" s="39"/>
      <c r="CA500" s="39"/>
      <c r="CB500" s="39"/>
      <c r="CC500" s="39"/>
      <c r="CD500" s="39"/>
      <c r="CE500" s="39"/>
      <c r="CF500" s="39"/>
      <c r="CG500" s="39"/>
      <c r="CH500" s="39"/>
      <c r="CI500" s="39"/>
      <c r="CJ500" s="39"/>
      <c r="CK500" s="39"/>
      <c r="CL500" s="39"/>
      <c r="CM500" s="39"/>
      <c r="CN500" s="39"/>
      <c r="CO500" s="39"/>
      <c r="CP500" s="39"/>
      <c r="CQ500" s="39"/>
      <c r="CR500" s="39"/>
      <c r="CS500" s="39"/>
      <c r="CT500" s="39"/>
      <c r="CU500" s="39"/>
      <c r="CV500" s="39"/>
      <c r="CW500" s="39"/>
      <c r="CX500" s="39"/>
      <c r="CY500" s="39"/>
      <c r="CZ500" s="39"/>
      <c r="DA500" s="39"/>
      <c r="DB500" s="39"/>
      <c r="DC500" s="39"/>
      <c r="DD500" s="39"/>
      <c r="DE500" s="39"/>
      <c r="DF500" s="39"/>
      <c r="DG500" s="39"/>
      <c r="DH500" s="39"/>
      <c r="DI500" s="39"/>
    </row>
    <row r="501" spans="1:113">
      <c r="A501" s="41"/>
      <c r="B501" s="42" t="s">
        <v>519</v>
      </c>
      <c r="C501" s="48" t="s">
        <v>491</v>
      </c>
      <c r="D501" s="44" t="str">
        <f>B501&amp;TEXT(Prices!$C$40,"0.0")</f>
        <v>US$17.5</v>
      </c>
      <c r="E501" s="44" t="str">
        <f>B501&amp;TEXT(Prices!$E$40,"0.00")</f>
        <v>US$21.00</v>
      </c>
      <c r="F501" s="45">
        <f>Prices!$F$40</f>
        <v>0.19999999999999996</v>
      </c>
      <c r="G501" s="44" t="str">
        <f>Prices!$D$40</f>
        <v>Neutral</v>
      </c>
      <c r="H501" s="46"/>
      <c r="I501" s="47">
        <f>(ATT!$D$25/ATT!$D$33)</f>
        <v>2.9542064439140812</v>
      </c>
      <c r="J501" s="47">
        <f>(ATT!$D$25/ATT!$D$33)</f>
        <v>2.9542064439140812</v>
      </c>
      <c r="K501" s="47">
        <f>(ATT!$D$25/ATT!$D$33)</f>
        <v>2.9542064439140812</v>
      </c>
      <c r="L501" s="47">
        <f>(ATT!$D$25/ATT!$D$33)</f>
        <v>2.9542064439140812</v>
      </c>
      <c r="M501" s="45">
        <f>L501-I501</f>
        <v>0</v>
      </c>
      <c r="N501" s="46"/>
      <c r="O501" s="45">
        <f>(ATT!D$24-ATT!D$25)/ATT!D$23</f>
        <v>0.19272552030581239</v>
      </c>
      <c r="P501" s="45">
        <f>(ATT!E$24-ATT!E$25)/ATT!E$23</f>
        <v>0.1754327791817229</v>
      </c>
      <c r="Q501" s="45">
        <f>(ATT!F$24-ATT!F$25)/ATT!F$23</f>
        <v>0.16979531974752662</v>
      </c>
      <c r="R501" s="45">
        <f>(ATT!G$24-ATT!G$25)/ATT!G$23</f>
        <v>0.16786142443940386</v>
      </c>
      <c r="S501" s="45">
        <f>R501-O501</f>
        <v>-2.4864095866408531E-2</v>
      </c>
      <c r="T501" s="46"/>
      <c r="U501" s="48" t="str">
        <f>D501</f>
        <v>US$17.5</v>
      </c>
      <c r="V501" s="44" t="str">
        <f>C501</f>
        <v xml:space="preserve">AT&amp;T </v>
      </c>
      <c r="Z501" s="49"/>
      <c r="BF501" s="39"/>
      <c r="BG501" s="39"/>
      <c r="BH501" s="39"/>
      <c r="BI501" s="39"/>
      <c r="BJ501" s="39"/>
      <c r="BK501" s="39"/>
      <c r="BL501" s="39"/>
      <c r="BM501" s="39"/>
      <c r="BN501" s="39"/>
      <c r="BO501" s="39"/>
      <c r="BP501" s="39"/>
      <c r="BQ501" s="39"/>
      <c r="BR501" s="39"/>
      <c r="BS501" s="39"/>
      <c r="BT501" s="39"/>
      <c r="BU501" s="39"/>
      <c r="BV501" s="39"/>
      <c r="BW501" s="39"/>
      <c r="BX501" s="39"/>
      <c r="BY501" s="39"/>
      <c r="BZ501" s="39"/>
      <c r="CA501" s="39"/>
      <c r="CB501" s="39"/>
      <c r="CC501" s="39"/>
      <c r="CD501" s="39"/>
      <c r="CE501" s="39"/>
      <c r="CF501" s="39"/>
      <c r="CG501" s="39"/>
      <c r="CH501" s="39"/>
      <c r="CI501" s="39"/>
      <c r="CJ501" s="39"/>
      <c r="CK501" s="39"/>
      <c r="CL501" s="39"/>
      <c r="CM501" s="39"/>
      <c r="CN501" s="39"/>
      <c r="CO501" s="39"/>
      <c r="CP501" s="39"/>
      <c r="CQ501" s="39"/>
      <c r="CR501" s="39"/>
      <c r="CS501" s="39"/>
      <c r="CT501" s="39"/>
      <c r="CU501" s="39"/>
      <c r="CV501" s="39"/>
      <c r="CW501" s="39"/>
      <c r="CX501" s="39"/>
      <c r="CY501" s="39"/>
      <c r="CZ501" s="39"/>
      <c r="DA501" s="39"/>
      <c r="DB501" s="39"/>
      <c r="DC501" s="39"/>
      <c r="DD501" s="39"/>
      <c r="DE501" s="39"/>
      <c r="DF501" s="39"/>
      <c r="DG501" s="39"/>
      <c r="DH501" s="39"/>
      <c r="DI501" s="39"/>
    </row>
    <row r="502" spans="1:113">
      <c r="B502" s="42" t="s">
        <v>519</v>
      </c>
      <c r="C502" s="48" t="s">
        <v>693</v>
      </c>
      <c r="D502" s="44" t="str">
        <f>B502&amp;TEXT(Prices!$C$41,"0.0")</f>
        <v>US$166.0</v>
      </c>
      <c r="E502" s="44" t="str">
        <f>B502&amp;TEXT(Prices!$E$41,"0.0")</f>
        <v>US$205.0</v>
      </c>
      <c r="F502" s="45">
        <f>Prices!$F$41</f>
        <v>0.23493975903614461</v>
      </c>
      <c r="G502" s="44" t="str">
        <f>Prices!$D$41</f>
        <v>Buy</v>
      </c>
      <c r="H502" s="46"/>
      <c r="I502" s="47">
        <f>TMUS!D$25/TMUS!D$33</f>
        <v>5.9044995408631769</v>
      </c>
      <c r="J502" s="47">
        <f>TMUS!E$25/TMUS!E$33</f>
        <v>6.4308505559497524</v>
      </c>
      <c r="K502" s="47">
        <f>TMUS!F$25/TMUS!F$33</f>
        <v>6.7523616243166469</v>
      </c>
      <c r="L502" s="47">
        <f>TMUS!G$25/TMUS!G$33</f>
        <v>7.3113102043582492</v>
      </c>
      <c r="M502" s="45">
        <f>L502-I502</f>
        <v>1.4068106634950723</v>
      </c>
      <c r="N502" s="46"/>
      <c r="O502" s="45">
        <f>(TMUS!D$24-TMUS!D$25)/TMUS!D$23</f>
        <v>0.12476132284426793</v>
      </c>
      <c r="P502" s="45">
        <f>(TMUS!E$24-TMUS!E$25)/TMUS!E$23</f>
        <v>0.11083701695715932</v>
      </c>
      <c r="Q502" s="45">
        <f>(TMUS!F$24-TMUS!F$25)/TMUS!F$23</f>
        <v>0.10686337277448896</v>
      </c>
      <c r="R502" s="45">
        <f>(TMUS!G$24-TMUS!G$25)/TMUS!G$23</f>
        <v>0.10307063716159309</v>
      </c>
      <c r="S502" s="45">
        <f>R502-O502</f>
        <v>-2.1690685682674835E-2</v>
      </c>
      <c r="T502" s="46"/>
      <c r="U502" s="48" t="str">
        <f>D502</f>
        <v>US$166.0</v>
      </c>
      <c r="V502" s="44" t="str">
        <f>C502</f>
        <v>TMUS</v>
      </c>
      <c r="Z502" s="49"/>
      <c r="BF502" s="39"/>
      <c r="BG502" s="39"/>
      <c r="BH502" s="39"/>
      <c r="BI502" s="39"/>
      <c r="BJ502" s="39"/>
      <c r="BK502" s="39"/>
      <c r="BL502" s="39"/>
      <c r="BM502" s="39"/>
      <c r="BN502" s="39"/>
      <c r="BO502" s="39"/>
      <c r="BP502" s="39"/>
      <c r="BQ502" s="39"/>
      <c r="BR502" s="39"/>
      <c r="BS502" s="39"/>
      <c r="BT502" s="39"/>
      <c r="BU502" s="39"/>
      <c r="BV502" s="39"/>
      <c r="BW502" s="39"/>
      <c r="BX502" s="39"/>
      <c r="BY502" s="39"/>
      <c r="BZ502" s="39"/>
      <c r="CA502" s="39"/>
      <c r="CB502" s="39"/>
      <c r="CC502" s="39"/>
      <c r="CD502" s="39"/>
      <c r="CE502" s="39"/>
      <c r="CF502" s="39"/>
      <c r="CG502" s="39"/>
      <c r="CH502" s="39"/>
      <c r="CI502" s="39"/>
      <c r="CJ502" s="39"/>
      <c r="CK502" s="39"/>
      <c r="CL502" s="39"/>
      <c r="CM502" s="39"/>
      <c r="CN502" s="39"/>
      <c r="CO502" s="39"/>
      <c r="CP502" s="39"/>
      <c r="CQ502" s="39"/>
      <c r="CR502" s="39"/>
      <c r="CS502" s="39"/>
      <c r="CT502" s="39"/>
      <c r="CU502" s="39"/>
      <c r="CV502" s="39"/>
      <c r="CW502" s="39"/>
      <c r="CX502" s="39"/>
      <c r="CY502" s="39"/>
      <c r="CZ502" s="39"/>
      <c r="DA502" s="39"/>
      <c r="DB502" s="39"/>
      <c r="DC502" s="39"/>
      <c r="DD502" s="39"/>
      <c r="DE502" s="39"/>
      <c r="DF502" s="39"/>
      <c r="DG502" s="39"/>
      <c r="DH502" s="39"/>
      <c r="DI502" s="39"/>
    </row>
    <row r="503" spans="1:113">
      <c r="A503" s="41"/>
      <c r="B503" s="42" t="s">
        <v>519</v>
      </c>
      <c r="C503" s="48" t="s">
        <v>33</v>
      </c>
      <c r="D503" s="44" t="str">
        <f>B503&amp;TEXT(Prices!$C$39,"0.0")</f>
        <v>US$39.7</v>
      </c>
      <c r="E503" s="44" t="str">
        <f>B503&amp;TEXT(Prices!$E$39,"0.00")</f>
        <v>US$45.00</v>
      </c>
      <c r="F503" s="45">
        <f>Prices!$F$39</f>
        <v>0.13236034222445903</v>
      </c>
      <c r="G503" s="44" t="str">
        <f>Prices!$D$39</f>
        <v>Neutral</v>
      </c>
      <c r="H503" s="46"/>
      <c r="I503" s="47">
        <f>(VZN!D$25/VZN!D$33)</f>
        <v>5.2538015930485154</v>
      </c>
      <c r="J503" s="47">
        <f>(VZN!E$25/VZN!E$33)</f>
        <v>4.8881776360968985</v>
      </c>
      <c r="K503" s="47">
        <f>(VZN!F$25/VZN!F$33)</f>
        <v>5.5282261891178202</v>
      </c>
      <c r="L503" s="47">
        <f>(VZN!G$25/VZN!G$33)</f>
        <v>6.0967229800583231</v>
      </c>
      <c r="M503" s="45">
        <f>L503-I503</f>
        <v>0.84292138700980779</v>
      </c>
      <c r="N503" s="46"/>
      <c r="O503" s="45">
        <f>(VZN!D$24-VZN!D$25)/VZN!D$23</f>
        <v>0.14007941839461388</v>
      </c>
      <c r="P503" s="45">
        <f>(VZN!E$24-VZN!E$25)/VZN!E$23</f>
        <v>0.12696293589837732</v>
      </c>
      <c r="Q503" s="45">
        <f>(VZN!F$24-VZN!F$25)/VZN!F$23</f>
        <v>0.12495793392643062</v>
      </c>
      <c r="R503" s="45">
        <f>(VZN!G$24-VZN!G$25)/VZN!G$23</f>
        <v>0.12317802741475305</v>
      </c>
      <c r="S503" s="45">
        <f>R503-O503</f>
        <v>-1.6901390979860834E-2</v>
      </c>
      <c r="T503" s="46"/>
      <c r="U503" s="48" t="str">
        <f>D503</f>
        <v>US$39.7</v>
      </c>
      <c r="V503" s="44" t="str">
        <f>C503</f>
        <v>Verizon</v>
      </c>
      <c r="Z503" s="49"/>
      <c r="BF503" s="39"/>
      <c r="BG503" s="39"/>
      <c r="BH503" s="39"/>
      <c r="BI503" s="39"/>
      <c r="BJ503" s="39"/>
      <c r="BK503" s="39"/>
      <c r="BL503" s="39"/>
      <c r="BM503" s="39"/>
      <c r="BN503" s="39"/>
      <c r="BO503" s="39"/>
      <c r="BP503" s="39"/>
      <c r="BQ503" s="39"/>
      <c r="BR503" s="39"/>
      <c r="BS503" s="39"/>
      <c r="BT503" s="39"/>
      <c r="BU503" s="39"/>
      <c r="BV503" s="39"/>
      <c r="BW503" s="39"/>
      <c r="BX503" s="39"/>
      <c r="BY503" s="39"/>
      <c r="BZ503" s="39"/>
      <c r="CA503" s="39"/>
      <c r="CB503" s="39"/>
      <c r="CC503" s="39"/>
      <c r="CD503" s="39"/>
      <c r="CE503" s="39"/>
      <c r="CF503" s="39"/>
      <c r="CG503" s="39"/>
      <c r="CH503" s="39"/>
      <c r="CI503" s="39"/>
      <c r="CJ503" s="39"/>
      <c r="CK503" s="39"/>
      <c r="CL503" s="39"/>
      <c r="CM503" s="39"/>
      <c r="CN503" s="39"/>
      <c r="CO503" s="39"/>
      <c r="CP503" s="39"/>
      <c r="CQ503" s="39"/>
      <c r="CR503" s="39"/>
      <c r="CS503" s="39"/>
      <c r="CT503" s="39"/>
      <c r="CU503" s="39"/>
      <c r="CV503" s="39"/>
      <c r="CW503" s="39"/>
      <c r="CX503" s="39"/>
      <c r="CY503" s="39"/>
      <c r="CZ503" s="39"/>
      <c r="DA503" s="39"/>
      <c r="DB503" s="39"/>
      <c r="DC503" s="39"/>
      <c r="DD503" s="39"/>
      <c r="DE503" s="39"/>
      <c r="DF503" s="39"/>
      <c r="DG503" s="39"/>
      <c r="DH503" s="39"/>
      <c r="DI503" s="39"/>
    </row>
    <row r="504" spans="1:113">
      <c r="A504" s="41"/>
      <c r="C504" s="51" t="s">
        <v>262</v>
      </c>
      <c r="D504" s="52"/>
      <c r="E504" s="52"/>
      <c r="F504" s="53"/>
      <c r="G504" s="52"/>
      <c r="H504" s="46"/>
      <c r="I504" s="54">
        <f>'US TELCO'!D$25/'US TELCO'!D$33</f>
        <v>4.3960632462084543</v>
      </c>
      <c r="J504" s="54">
        <f>'US TELCO'!E$25/'US TELCO'!E$33</f>
        <v>4.5590133678839528</v>
      </c>
      <c r="K504" s="54">
        <f>'US TELCO'!F$25/'US TELCO'!F$33</f>
        <v>5.0983803052962067</v>
      </c>
      <c r="L504" s="54">
        <f>'US TELCO'!G$25/'US TELCO'!G$33</f>
        <v>5.7200973685046419</v>
      </c>
      <c r="M504" s="55">
        <f>L504-I504</f>
        <v>1.3240341222961876</v>
      </c>
      <c r="N504" s="46"/>
      <c r="O504" s="55">
        <f>('US TELCO'!D$24-'US TELCO'!D$25)/'US TELCO'!D$23</f>
        <v>0.15572904227370432</v>
      </c>
      <c r="P504" s="55">
        <f>('US TELCO'!E$24-'US TELCO'!E$25)/'US TELCO'!E$23</f>
        <v>0.14055049391837962</v>
      </c>
      <c r="Q504" s="55">
        <f>('US TELCO'!F$24-'US TELCO'!F$25)/'US TELCO'!F$23</f>
        <v>0.13648014860190891</v>
      </c>
      <c r="R504" s="55">
        <f>('US TELCO'!G$24-'US TELCO'!G$25)/'US TELCO'!G$23</f>
        <v>0.13392266142768711</v>
      </c>
      <c r="S504" s="55">
        <f>R504-O504</f>
        <v>-2.1806380846017215E-2</v>
      </c>
      <c r="T504" s="46"/>
      <c r="U504" s="57"/>
      <c r="V504" s="58" t="str">
        <f>C504</f>
        <v>Agg. US Telecoms</v>
      </c>
      <c r="Z504" s="49"/>
      <c r="BF504" s="39"/>
      <c r="BG504" s="39"/>
      <c r="BH504" s="39"/>
      <c r="BI504" s="39"/>
      <c r="BJ504" s="39"/>
      <c r="BK504" s="39"/>
      <c r="BL504" s="39"/>
      <c r="BM504" s="39"/>
      <c r="BN504" s="39"/>
      <c r="BO504" s="39"/>
      <c r="BP504" s="39"/>
      <c r="BQ504" s="39"/>
      <c r="BR504" s="39"/>
      <c r="BS504" s="39"/>
      <c r="BT504" s="39"/>
      <c r="BU504" s="39"/>
      <c r="BV504" s="39"/>
      <c r="BW504" s="39"/>
      <c r="BX504" s="39"/>
      <c r="BY504" s="39"/>
      <c r="BZ504" s="39"/>
      <c r="CA504" s="39"/>
      <c r="CB504" s="39"/>
      <c r="CC504" s="39"/>
      <c r="CD504" s="39"/>
      <c r="CE504" s="39"/>
      <c r="CF504" s="39"/>
      <c r="CG504" s="39"/>
      <c r="CH504" s="39"/>
      <c r="CI504" s="39"/>
      <c r="CJ504" s="39"/>
      <c r="CK504" s="39"/>
      <c r="CL504" s="39"/>
      <c r="CM504" s="39"/>
      <c r="CN504" s="39"/>
      <c r="CO504" s="39"/>
      <c r="CP504" s="39"/>
      <c r="CQ504" s="39"/>
      <c r="CR504" s="39"/>
      <c r="CS504" s="39"/>
      <c r="CT504" s="39"/>
      <c r="CU504" s="39"/>
      <c r="CV504" s="39"/>
      <c r="CW504" s="39"/>
      <c r="CX504" s="39"/>
      <c r="CY504" s="39"/>
      <c r="CZ504" s="39"/>
      <c r="DA504" s="39"/>
      <c r="DB504" s="39"/>
      <c r="DC504" s="39"/>
      <c r="DD504" s="39"/>
      <c r="DE504" s="39"/>
      <c r="DF504" s="39"/>
      <c r="DG504" s="39"/>
      <c r="DH504" s="39"/>
      <c r="DI504" s="39"/>
    </row>
    <row r="505" spans="1:113">
      <c r="A505" s="41"/>
      <c r="C505" s="48"/>
      <c r="D505" s="44"/>
      <c r="E505" s="44"/>
      <c r="F505" s="45"/>
      <c r="G505" s="44"/>
      <c r="H505" s="46"/>
      <c r="I505" s="47"/>
      <c r="J505" s="47"/>
      <c r="K505" s="47"/>
      <c r="L505" s="47"/>
      <c r="M505" s="45"/>
      <c r="N505" s="46"/>
      <c r="O505" s="45"/>
      <c r="P505" s="45"/>
      <c r="Q505" s="45"/>
      <c r="R505" s="45"/>
      <c r="S505" s="45"/>
      <c r="T505" s="46"/>
      <c r="U505" s="48"/>
      <c r="V505" s="44"/>
      <c r="Z505" s="49"/>
      <c r="BF505" s="39"/>
      <c r="BG505" s="39"/>
      <c r="BH505" s="39"/>
      <c r="BI505" s="39"/>
      <c r="BJ505" s="39"/>
      <c r="BK505" s="39"/>
      <c r="BL505" s="39"/>
      <c r="BM505" s="39"/>
      <c r="BN505" s="39"/>
      <c r="BO505" s="39"/>
      <c r="BP505" s="39"/>
      <c r="BQ505" s="39"/>
      <c r="BR505" s="39"/>
      <c r="BS505" s="39"/>
      <c r="BT505" s="39"/>
      <c r="BU505" s="39"/>
      <c r="BV505" s="39"/>
      <c r="BW505" s="39"/>
      <c r="BX505" s="39"/>
      <c r="BY505" s="39"/>
      <c r="BZ505" s="39"/>
      <c r="CA505" s="39"/>
      <c r="CB505" s="39"/>
      <c r="CC505" s="39"/>
      <c r="CD505" s="39"/>
      <c r="CE505" s="39"/>
      <c r="CF505" s="39"/>
      <c r="CG505" s="39"/>
      <c r="CH505" s="39"/>
      <c r="CI505" s="39"/>
      <c r="CJ505" s="39"/>
      <c r="CK505" s="39"/>
      <c r="CL505" s="39"/>
      <c r="CM505" s="39"/>
      <c r="CN505" s="39"/>
      <c r="CO505" s="39"/>
      <c r="CP505" s="39"/>
      <c r="CQ505" s="39"/>
      <c r="CR505" s="39"/>
      <c r="CS505" s="39"/>
      <c r="CT505" s="39"/>
      <c r="CU505" s="39"/>
      <c r="CV505" s="39"/>
      <c r="CW505" s="39"/>
      <c r="CX505" s="39"/>
      <c r="CY505" s="39"/>
      <c r="CZ505" s="39"/>
      <c r="DA505" s="39"/>
      <c r="DB505" s="39"/>
      <c r="DC505" s="39"/>
      <c r="DD505" s="39"/>
      <c r="DE505" s="39"/>
      <c r="DF505" s="39"/>
      <c r="DG505" s="39"/>
      <c r="DH505" s="39"/>
      <c r="DI505" s="39"/>
    </row>
    <row r="506" spans="1:113">
      <c r="A506" s="41"/>
      <c r="C506" s="48" t="str">
        <f t="shared" ref="C506:G509" si="112">C446</f>
        <v>NTT</v>
      </c>
      <c r="D506" s="44" t="str">
        <f t="shared" si="112"/>
        <v>JPY 153</v>
      </c>
      <c r="E506" s="44" t="str">
        <f t="shared" si="112"/>
        <v>JPY 240</v>
      </c>
      <c r="F506" s="45">
        <f t="shared" si="112"/>
        <v>0.57273918741808649</v>
      </c>
      <c r="G506" s="44" t="str">
        <f t="shared" si="112"/>
        <v>Buy</v>
      </c>
      <c r="H506" s="46"/>
      <c r="I506" s="47">
        <f>NTT!$D$25/NTT!$D$33</f>
        <v>43.594973156174106</v>
      </c>
      <c r="J506" s="47">
        <f>NTT!$E$25/NTT!$E$33</f>
        <v>52.924436816111154</v>
      </c>
      <c r="K506" s="47">
        <f>NTT!$F$25/NTT!$F$33</f>
        <v>50.259261146080043</v>
      </c>
      <c r="L506" s="47">
        <f>NTT!$G$25/NTT!$G$33</f>
        <v>48.062059584310433</v>
      </c>
      <c r="M506" s="45">
        <f t="shared" ref="M506:M510" si="113">L506-I506</f>
        <v>4.4670864281363265</v>
      </c>
      <c r="N506" s="46"/>
      <c r="O506" s="45">
        <f>(NTT!$D$24-NTT!$D$25)/NTT!$D$23</f>
        <v>0.14689785115068857</v>
      </c>
      <c r="P506" s="45">
        <f>(NTT!$E$24-NTT!$E$25)/NTT!$E$23</f>
        <v>0.12616227210388134</v>
      </c>
      <c r="Q506" s="45">
        <f>(NTT!$F$24-NTT!$F$25)/NTT!$F$23</f>
        <v>0.12204875733135842</v>
      </c>
      <c r="R506" s="45">
        <f>(NTT!$G$24-NTT!$G$25)/NTT!$G$23</f>
        <v>0.11904227042362141</v>
      </c>
      <c r="S506" s="45">
        <f t="shared" ref="S506:S510" si="114">R506-O506</f>
        <v>-2.7855580727067161E-2</v>
      </c>
      <c r="T506" s="46"/>
      <c r="U506" s="48" t="str">
        <f t="shared" ref="U506:V509" si="115">U446</f>
        <v>JPY 153</v>
      </c>
      <c r="V506" s="44" t="str">
        <f t="shared" si="115"/>
        <v>NTT</v>
      </c>
      <c r="Z506" s="49"/>
      <c r="BF506" s="39"/>
      <c r="BG506" s="39"/>
      <c r="BH506" s="39"/>
      <c r="BI506" s="39"/>
      <c r="BJ506" s="39"/>
      <c r="BK506" s="39"/>
      <c r="BL506" s="39"/>
      <c r="BM506" s="39"/>
      <c r="BN506" s="39"/>
      <c r="BO506" s="39"/>
      <c r="BP506" s="39"/>
      <c r="BQ506" s="39"/>
      <c r="BR506" s="39"/>
      <c r="BS506" s="39"/>
      <c r="BT506" s="39"/>
      <c r="BU506" s="39"/>
      <c r="BV506" s="39"/>
      <c r="BW506" s="39"/>
      <c r="BX506" s="39"/>
      <c r="BY506" s="39"/>
      <c r="BZ506" s="39"/>
      <c r="CA506" s="39"/>
      <c r="CB506" s="39"/>
      <c r="CC506" s="39"/>
      <c r="CD506" s="39"/>
      <c r="CE506" s="39"/>
      <c r="CF506" s="39"/>
      <c r="CG506" s="39"/>
      <c r="CH506" s="39"/>
      <c r="CI506" s="39"/>
      <c r="CJ506" s="39"/>
      <c r="CK506" s="39"/>
      <c r="CL506" s="39"/>
      <c r="CM506" s="39"/>
      <c r="CN506" s="39"/>
      <c r="CO506" s="39"/>
      <c r="CP506" s="39"/>
      <c r="CQ506" s="39"/>
      <c r="CR506" s="39"/>
      <c r="CS506" s="39"/>
      <c r="CT506" s="39"/>
      <c r="CU506" s="39"/>
      <c r="CV506" s="39"/>
      <c r="CW506" s="39"/>
      <c r="CX506" s="39"/>
      <c r="CY506" s="39"/>
      <c r="CZ506" s="39"/>
      <c r="DA506" s="39"/>
      <c r="DB506" s="39"/>
      <c r="DC506" s="39"/>
      <c r="DD506" s="39"/>
      <c r="DE506" s="39"/>
      <c r="DF506" s="39"/>
      <c r="DG506" s="39"/>
      <c r="DH506" s="39"/>
      <c r="DI506" s="39"/>
    </row>
    <row r="507" spans="1:113">
      <c r="A507" s="41"/>
      <c r="C507" s="48" t="str">
        <f t="shared" si="112"/>
        <v>Spark NZ</v>
      </c>
      <c r="D507" s="44" t="str">
        <f t="shared" si="112"/>
        <v>NZD 4.19</v>
      </c>
      <c r="E507" s="44" t="str">
        <f t="shared" si="112"/>
        <v>NZD 5.00</v>
      </c>
      <c r="F507" s="45">
        <f t="shared" si="112"/>
        <v>0.19331742243436745</v>
      </c>
      <c r="G507" s="44" t="str">
        <f t="shared" si="112"/>
        <v>Neutral</v>
      </c>
      <c r="H507" s="46"/>
      <c r="I507" s="47">
        <f>SPK!$D$25/SPK!$D$33</f>
        <v>36.049363704179697</v>
      </c>
      <c r="J507" s="47">
        <f>SPK!$E$25/SPK!$E$33</f>
        <v>64.104626290788602</v>
      </c>
      <c r="K507" s="47">
        <f>SPK!$F$25/SPK!$F$33</f>
        <v>432.82351836836057</v>
      </c>
      <c r="L507" s="47">
        <f>SPK!$G$25/SPK!$G$33</f>
        <v>-90.827108207454302</v>
      </c>
      <c r="M507" s="45">
        <f t="shared" si="113"/>
        <v>-126.876471911634</v>
      </c>
      <c r="N507" s="46"/>
      <c r="O507" s="45">
        <f>(SPK!$D$24-SPK!$D$25)/SPK!$D$23</f>
        <v>0.11551348282713594</v>
      </c>
      <c r="P507" s="45">
        <f>(SPK!$E$24-SPK!$E$25)/SPK!$E$23</f>
        <v>0.11551348282713594</v>
      </c>
      <c r="Q507" s="45">
        <f>(SPK!$F$24-SPK!$F$25)/SPK!$F$23</f>
        <v>0.11551348282713597</v>
      </c>
      <c r="R507" s="45">
        <f>(SPK!$G$24-SPK!$G$25)/SPK!$G$23</f>
        <v>0.11551348282713594</v>
      </c>
      <c r="S507" s="45">
        <f t="shared" si="114"/>
        <v>0</v>
      </c>
      <c r="T507" s="46"/>
      <c r="U507" s="48" t="str">
        <f t="shared" si="115"/>
        <v>NZD 4.19</v>
      </c>
      <c r="V507" s="44" t="str">
        <f t="shared" si="115"/>
        <v>Spark NZ</v>
      </c>
      <c r="Z507" s="49"/>
      <c r="BF507" s="39"/>
      <c r="BG507" s="39"/>
      <c r="BH507" s="39"/>
      <c r="BI507" s="39"/>
      <c r="BJ507" s="39"/>
      <c r="BK507" s="39"/>
      <c r="BL507" s="39"/>
      <c r="BM507" s="39"/>
      <c r="BN507" s="39"/>
      <c r="BO507" s="39"/>
      <c r="BP507" s="39"/>
      <c r="BQ507" s="39"/>
      <c r="BR507" s="39"/>
      <c r="BS507" s="39"/>
      <c r="BT507" s="39"/>
      <c r="BU507" s="39"/>
      <c r="BV507" s="39"/>
      <c r="BW507" s="39"/>
      <c r="BX507" s="39"/>
      <c r="BY507" s="39"/>
      <c r="BZ507" s="39"/>
      <c r="CA507" s="39"/>
      <c r="CB507" s="39"/>
      <c r="CC507" s="39"/>
      <c r="CD507" s="39"/>
      <c r="CE507" s="39"/>
      <c r="CF507" s="39"/>
      <c r="CG507" s="39"/>
      <c r="CH507" s="39"/>
      <c r="CI507" s="39"/>
      <c r="CJ507" s="39"/>
      <c r="CK507" s="39"/>
      <c r="CL507" s="39"/>
      <c r="CM507" s="39"/>
      <c r="CN507" s="39"/>
      <c r="CO507" s="39"/>
      <c r="CP507" s="39"/>
      <c r="CQ507" s="39"/>
      <c r="CR507" s="39"/>
      <c r="CS507" s="39"/>
      <c r="CT507" s="39"/>
      <c r="CU507" s="39"/>
      <c r="CV507" s="39"/>
      <c r="CW507" s="39"/>
      <c r="CX507" s="39"/>
      <c r="CY507" s="39"/>
      <c r="CZ507" s="39"/>
      <c r="DA507" s="39"/>
      <c r="DB507" s="39"/>
      <c r="DC507" s="39"/>
      <c r="DD507" s="39"/>
      <c r="DE507" s="39"/>
      <c r="DF507" s="39"/>
      <c r="DG507" s="39"/>
      <c r="DH507" s="39"/>
      <c r="DI507" s="39"/>
    </row>
    <row r="508" spans="1:113">
      <c r="A508" s="41"/>
      <c r="C508" s="48" t="str">
        <f t="shared" si="112"/>
        <v>SingTel</v>
      </c>
      <c r="D508" s="44" t="str">
        <f t="shared" si="112"/>
        <v>SGD 2.42</v>
      </c>
      <c r="E508" s="44" t="str">
        <f t="shared" si="112"/>
        <v>SGD 4.40</v>
      </c>
      <c r="F508" s="45">
        <f t="shared" si="112"/>
        <v>0.81818181818181834</v>
      </c>
      <c r="G508" s="44" t="str">
        <f t="shared" si="112"/>
        <v>Buy</v>
      </c>
      <c r="H508" s="46"/>
      <c r="I508" s="47">
        <f>SINGTEL!$D$25/SINGTEL!$D$33</f>
        <v>-4.6223957409530545</v>
      </c>
      <c r="J508" s="47">
        <f>SINGTEL!$E$25/SINGTEL!$E$33</f>
        <v>-6.3675064451146479</v>
      </c>
      <c r="K508" s="47">
        <f>SINGTEL!$F$25/SINGTEL!$F$33</f>
        <v>-7.8356013877971691</v>
      </c>
      <c r="L508" s="47">
        <f>SINGTEL!$G$25/SINGTEL!$G$33</f>
        <v>-8.0357214734519147</v>
      </c>
      <c r="M508" s="45">
        <f t="shared" si="113"/>
        <v>-3.4133257324988602</v>
      </c>
      <c r="N508" s="46"/>
      <c r="O508" s="45">
        <f>(SINGTEL!$D$24-SINGTEL!$D$25)/SINGTEL!$D$23</f>
        <v>0.14184622211084968</v>
      </c>
      <c r="P508" s="45">
        <f>(SINGTEL!$E$24-SINGTEL!$E$25)/SINGTEL!$E$23</f>
        <v>0.13349278461343869</v>
      </c>
      <c r="Q508" s="45">
        <f>(SINGTEL!$F$24-SINGTEL!$F$25)/SINGTEL!$F$23</f>
        <v>0.12357852891323835</v>
      </c>
      <c r="R508" s="45">
        <f>(SINGTEL!$G$24-SINGTEL!$G$25)/SINGTEL!$G$23</f>
        <v>0.12264406537095816</v>
      </c>
      <c r="S508" s="45">
        <f t="shared" si="114"/>
        <v>-1.9202156739891521E-2</v>
      </c>
      <c r="T508" s="46"/>
      <c r="U508" s="48" t="str">
        <f t="shared" si="115"/>
        <v>SGD 2.42</v>
      </c>
      <c r="V508" s="44" t="str">
        <f t="shared" si="115"/>
        <v>SingTel</v>
      </c>
      <c r="Z508" s="49"/>
      <c r="BF508" s="39"/>
      <c r="BG508" s="39"/>
      <c r="BH508" s="39"/>
      <c r="BI508" s="39"/>
      <c r="BJ508" s="39"/>
      <c r="BK508" s="39"/>
      <c r="BL508" s="39"/>
      <c r="BM508" s="39"/>
      <c r="BN508" s="39"/>
      <c r="BO508" s="39"/>
      <c r="BP508" s="39"/>
      <c r="BQ508" s="39"/>
      <c r="BR508" s="39"/>
      <c r="BS508" s="39"/>
      <c r="BT508" s="39"/>
      <c r="BU508" s="39"/>
      <c r="BV508" s="39"/>
      <c r="BW508" s="39"/>
      <c r="BX508" s="39"/>
      <c r="BY508" s="39"/>
      <c r="BZ508" s="39"/>
      <c r="CA508" s="39"/>
      <c r="CB508" s="39"/>
      <c r="CC508" s="39"/>
      <c r="CD508" s="39"/>
      <c r="CE508" s="39"/>
      <c r="CF508" s="39"/>
      <c r="CG508" s="39"/>
      <c r="CH508" s="39"/>
      <c r="CI508" s="39"/>
      <c r="CJ508" s="39"/>
      <c r="CK508" s="39"/>
      <c r="CL508" s="39"/>
      <c r="CM508" s="39"/>
      <c r="CN508" s="39"/>
      <c r="CO508" s="39"/>
      <c r="CP508" s="39"/>
      <c r="CQ508" s="39"/>
      <c r="CR508" s="39"/>
      <c r="CS508" s="39"/>
      <c r="CT508" s="39"/>
      <c r="CU508" s="39"/>
      <c r="CV508" s="39"/>
      <c r="CW508" s="39"/>
      <c r="CX508" s="39"/>
      <c r="CY508" s="39"/>
      <c r="CZ508" s="39"/>
      <c r="DA508" s="39"/>
      <c r="DB508" s="39"/>
      <c r="DC508" s="39"/>
      <c r="DD508" s="39"/>
      <c r="DE508" s="39"/>
      <c r="DF508" s="39"/>
      <c r="DG508" s="39"/>
      <c r="DH508" s="39"/>
      <c r="DI508" s="39"/>
    </row>
    <row r="509" spans="1:113">
      <c r="A509" s="41"/>
      <c r="C509" s="48" t="str">
        <f t="shared" si="112"/>
        <v xml:space="preserve">Telstra </v>
      </c>
      <c r="D509" s="44" t="str">
        <f t="shared" si="112"/>
        <v>AUD 3.45</v>
      </c>
      <c r="E509" s="44" t="str">
        <f t="shared" si="112"/>
        <v>AUD 3.50</v>
      </c>
      <c r="F509" s="45">
        <f t="shared" si="112"/>
        <v>1.4492753623188248E-2</v>
      </c>
      <c r="G509" s="44" t="str">
        <f t="shared" si="112"/>
        <v>Buy</v>
      </c>
      <c r="H509" s="46"/>
      <c r="I509" s="47">
        <f>TLS!$D$25/TLS!$D$33</f>
        <v>18.671639426785564</v>
      </c>
      <c r="J509" s="47">
        <f>TLS!$E$25/TLS!$E$33</f>
        <v>20.784434568950573</v>
      </c>
      <c r="K509" s="47">
        <f>TLS!$F$25/TLS!$F$33</f>
        <v>19.965379673136187</v>
      </c>
      <c r="L509" s="47">
        <f>TLS!$G$25/TLS!$G$33</f>
        <v>20.634434854990104</v>
      </c>
      <c r="M509" s="45">
        <f t="shared" si="113"/>
        <v>1.9627954282045401</v>
      </c>
      <c r="N509" s="46"/>
      <c r="O509" s="45">
        <f>(TLS!$D$24-TLS!$D$25)/TLS!$D$23</f>
        <v>0.11704756019759542</v>
      </c>
      <c r="P509" s="45">
        <f>(TLS!$E$24-TLS!$E$25)/TLS!$E$23</f>
        <v>0.11552873707898187</v>
      </c>
      <c r="Q509" s="45">
        <f>(TLS!$F$24-TLS!$F$25)/TLS!$F$23</f>
        <v>0.11642486585801105</v>
      </c>
      <c r="R509" s="45">
        <f>(TLS!$G$24-TLS!$G$25)/TLS!$G$23</f>
        <v>0.11699146068467961</v>
      </c>
      <c r="S509" s="45">
        <f t="shared" si="114"/>
        <v>-5.6099512915810945E-5</v>
      </c>
      <c r="T509" s="46"/>
      <c r="U509" s="48" t="str">
        <f t="shared" si="115"/>
        <v>AUD 3.45</v>
      </c>
      <c r="V509" s="44" t="str">
        <f t="shared" si="115"/>
        <v>Telstra</v>
      </c>
      <c r="Z509" s="49"/>
      <c r="BF509" s="39"/>
      <c r="BG509" s="39"/>
      <c r="BH509" s="39"/>
      <c r="BI509" s="39"/>
      <c r="BJ509" s="39"/>
      <c r="BK509" s="39"/>
      <c r="BL509" s="39"/>
      <c r="BM509" s="39"/>
      <c r="BN509" s="39"/>
      <c r="BO509" s="39"/>
      <c r="BP509" s="39"/>
      <c r="BQ509" s="39"/>
      <c r="BR509" s="39"/>
      <c r="BS509" s="39"/>
      <c r="BT509" s="39"/>
      <c r="BU509" s="39"/>
      <c r="BV509" s="39"/>
      <c r="BW509" s="39"/>
      <c r="BX509" s="39"/>
      <c r="BY509" s="39"/>
      <c r="BZ509" s="39"/>
      <c r="CA509" s="39"/>
      <c r="CB509" s="39"/>
      <c r="CC509" s="39"/>
      <c r="CD509" s="39"/>
      <c r="CE509" s="39"/>
      <c r="CF509" s="39"/>
      <c r="CG509" s="39"/>
      <c r="CH509" s="39"/>
      <c r="CI509" s="39"/>
      <c r="CJ509" s="39"/>
      <c r="CK509" s="39"/>
      <c r="CL509" s="39"/>
      <c r="CM509" s="39"/>
      <c r="CN509" s="39"/>
      <c r="CO509" s="39"/>
      <c r="CP509" s="39"/>
      <c r="CQ509" s="39"/>
      <c r="CR509" s="39"/>
      <c r="CS509" s="39"/>
      <c r="CT509" s="39"/>
      <c r="CU509" s="39"/>
      <c r="CV509" s="39"/>
      <c r="CW509" s="39"/>
      <c r="CX509" s="39"/>
      <c r="CY509" s="39"/>
      <c r="CZ509" s="39"/>
      <c r="DA509" s="39"/>
      <c r="DB509" s="39"/>
      <c r="DC509" s="39"/>
      <c r="DD509" s="39"/>
      <c r="DE509" s="39"/>
      <c r="DF509" s="39"/>
      <c r="DG509" s="39"/>
      <c r="DH509" s="39"/>
      <c r="DI509" s="39"/>
    </row>
    <row r="510" spans="1:113">
      <c r="A510" s="41"/>
      <c r="C510" s="51" t="str">
        <f>C450</f>
        <v>Agg. Developed Asia Incumbent</v>
      </c>
      <c r="D510" s="58"/>
      <c r="E510" s="58"/>
      <c r="F510" s="55"/>
      <c r="G510" s="58"/>
      <c r="H510" s="56"/>
      <c r="I510" s="54">
        <f>'DM ASIA INCUMB'!$D$25/'DM ASIA INCUMB'!$D$33</f>
        <v>74.015919710580491</v>
      </c>
      <c r="J510" s="54">
        <f>'DM ASIA INCUMB'!$E$25/'DM ASIA INCUMB'!$E$33</f>
        <v>80.877784074234626</v>
      </c>
      <c r="K510" s="54">
        <f>'DM ASIA INCUMB'!$F$25/'DM ASIA INCUMB'!$F$33</f>
        <v>80.260572383173681</v>
      </c>
      <c r="L510" s="54">
        <f>'DM ASIA INCUMB'!$G$25/'DM ASIA INCUMB'!$G$33</f>
        <v>79.273139595619909</v>
      </c>
      <c r="M510" s="55">
        <f t="shared" si="113"/>
        <v>5.2572198850394187</v>
      </c>
      <c r="N510" s="56"/>
      <c r="O510" s="55">
        <f>('DM ASIA INCUMB'!$D$24-'DM ASIA INCUMB'!$D$25)/'DM ASIA INCUMB'!$D$23</f>
        <v>0.1403654253133973</v>
      </c>
      <c r="P510" s="55">
        <f>('DM ASIA INCUMB'!$E$24-'DM ASIA INCUMB'!$E$25)/'DM ASIA INCUMB'!$E$23</f>
        <v>0.12475649307735245</v>
      </c>
      <c r="Q510" s="55">
        <f>('DM ASIA INCUMB'!$F$24-'DM ASIA INCUMB'!$F$25)/'DM ASIA INCUMB'!$F$23</f>
        <v>0.12108815649848477</v>
      </c>
      <c r="R510" s="55">
        <f>('DM ASIA INCUMB'!$G$24-'DM ASIA INCUMB'!$G$25)/'DM ASIA INCUMB'!$G$23</f>
        <v>0.11892200406797224</v>
      </c>
      <c r="S510" s="55">
        <f t="shared" si="114"/>
        <v>-2.1443421245425059E-2</v>
      </c>
      <c r="T510" s="56"/>
      <c r="U510" s="51"/>
      <c r="V510" s="58" t="str">
        <f>V450</f>
        <v xml:space="preserve">Agg. Developed Asia Incumbent </v>
      </c>
      <c r="Z510" s="49"/>
      <c r="BF510" s="39"/>
      <c r="BG510" s="39"/>
      <c r="BH510" s="39"/>
      <c r="BI510" s="39"/>
      <c r="BJ510" s="39"/>
      <c r="BK510" s="39"/>
      <c r="BL510" s="39"/>
      <c r="BM510" s="39"/>
      <c r="BN510" s="39"/>
      <c r="BO510" s="39"/>
      <c r="BP510" s="39"/>
      <c r="BQ510" s="39"/>
      <c r="BR510" s="39"/>
      <c r="BS510" s="39"/>
      <c r="BT510" s="39"/>
      <c r="BU510" s="39"/>
      <c r="BV510" s="39"/>
      <c r="BW510" s="39"/>
      <c r="BX510" s="39"/>
      <c r="BY510" s="39"/>
      <c r="BZ510" s="39"/>
      <c r="CA510" s="39"/>
      <c r="CB510" s="39"/>
      <c r="CC510" s="39"/>
      <c r="CD510" s="39"/>
      <c r="CE510" s="39"/>
      <c r="CF510" s="39"/>
      <c r="CG510" s="39"/>
      <c r="CH510" s="39"/>
      <c r="CI510" s="39"/>
      <c r="CJ510" s="39"/>
      <c r="CK510" s="39"/>
      <c r="CL510" s="39"/>
      <c r="CM510" s="39"/>
      <c r="CN510" s="39"/>
      <c r="CO510" s="39"/>
      <c r="CP510" s="39"/>
      <c r="CQ510" s="39"/>
      <c r="CR510" s="39"/>
      <c r="CS510" s="39"/>
      <c r="CT510" s="39"/>
      <c r="CU510" s="39"/>
      <c r="CV510" s="39"/>
      <c r="CW510" s="39"/>
      <c r="CX510" s="39"/>
      <c r="CY510" s="39"/>
      <c r="CZ510" s="39"/>
      <c r="DA510" s="39"/>
      <c r="DB510" s="39"/>
      <c r="DC510" s="39"/>
      <c r="DD510" s="39"/>
      <c r="DE510" s="39"/>
      <c r="DF510" s="39"/>
      <c r="DG510" s="39"/>
      <c r="DH510" s="39"/>
      <c r="DI510" s="39"/>
    </row>
    <row r="511" spans="1:113">
      <c r="A511" s="41"/>
      <c r="C511" s="43"/>
      <c r="D511" s="50"/>
      <c r="E511" s="50"/>
      <c r="F511" s="61"/>
      <c r="G511" s="50"/>
      <c r="H511" s="56"/>
      <c r="I511" s="62"/>
      <c r="J511" s="62"/>
      <c r="K511" s="62"/>
      <c r="L511" s="62"/>
      <c r="M511" s="61"/>
      <c r="N511" s="56"/>
      <c r="O511" s="61"/>
      <c r="P511" s="61"/>
      <c r="Q511" s="61"/>
      <c r="R511" s="61"/>
      <c r="S511" s="61"/>
      <c r="T511" s="56"/>
      <c r="U511" s="43"/>
      <c r="V511" s="50"/>
      <c r="Z511" s="49"/>
      <c r="BF511" s="39"/>
      <c r="BG511" s="39"/>
      <c r="BH511" s="39"/>
      <c r="BI511" s="39"/>
      <c r="BJ511" s="39"/>
      <c r="BK511" s="39"/>
      <c r="BL511" s="39"/>
      <c r="BM511" s="39"/>
      <c r="BN511" s="39"/>
      <c r="BO511" s="39"/>
      <c r="BP511" s="39"/>
      <c r="BQ511" s="39"/>
      <c r="BR511" s="39"/>
      <c r="BS511" s="39"/>
      <c r="BT511" s="39"/>
      <c r="BU511" s="39"/>
      <c r="BV511" s="39"/>
      <c r="BW511" s="39"/>
      <c r="BX511" s="39"/>
      <c r="BY511" s="39"/>
      <c r="BZ511" s="39"/>
      <c r="CA511" s="39"/>
      <c r="CB511" s="39"/>
      <c r="CC511" s="39"/>
      <c r="CD511" s="39"/>
      <c r="CE511" s="39"/>
      <c r="CF511" s="39"/>
      <c r="CG511" s="39"/>
      <c r="CH511" s="39"/>
      <c r="CI511" s="39"/>
      <c r="CJ511" s="39"/>
      <c r="CK511" s="39"/>
      <c r="CL511" s="39"/>
      <c r="CM511" s="39"/>
      <c r="CN511" s="39"/>
      <c r="CO511" s="39"/>
      <c r="CP511" s="39"/>
      <c r="CQ511" s="39"/>
      <c r="CR511" s="39"/>
      <c r="CS511" s="39"/>
      <c r="CT511" s="39"/>
      <c r="CU511" s="39"/>
      <c r="CV511" s="39"/>
      <c r="CW511" s="39"/>
      <c r="CX511" s="39"/>
      <c r="CY511" s="39"/>
      <c r="CZ511" s="39"/>
      <c r="DA511" s="39"/>
      <c r="DB511" s="39"/>
      <c r="DC511" s="39"/>
      <c r="DD511" s="39"/>
      <c r="DE511" s="39"/>
      <c r="DF511" s="39"/>
      <c r="DG511" s="39"/>
      <c r="DH511" s="39"/>
      <c r="DI511" s="39"/>
    </row>
    <row r="512" spans="1:113">
      <c r="A512" s="41"/>
      <c r="C512" s="51" t="s">
        <v>865</v>
      </c>
      <c r="D512" s="58"/>
      <c r="E512" s="58"/>
      <c r="F512" s="55"/>
      <c r="G512" s="58"/>
      <c r="H512" s="56"/>
      <c r="I512" s="54">
        <f>'AGG DM INCUMB'!$D$25/'AGG DM INCUMB'!$D$33</f>
        <v>4.6021532629743165</v>
      </c>
      <c r="J512" s="54">
        <f>'AGG DM INCUMB'!$E$25/'AGG DM INCUMB'!$E$33</f>
        <v>5.1307860504062441</v>
      </c>
      <c r="K512" s="54">
        <f>'AGG DM INCUMB'!$F$25/'AGG DM INCUMB'!$F$33</f>
        <v>5.6204896303535783</v>
      </c>
      <c r="L512" s="54">
        <f>'AGG DM INCUMB'!$G$25/'AGG DM INCUMB'!$G$33</f>
        <v>6.2223162989983187</v>
      </c>
      <c r="M512" s="55">
        <f>L512-I512</f>
        <v>1.6201630360240022</v>
      </c>
      <c r="N512" s="56"/>
      <c r="O512" s="55">
        <f>('AGG DM INCUMB'!$D$24-'AGG DM INCUMB'!$D$25)/'AGG DM INCUMB'!$D$23</f>
        <v>0.15921065095666342</v>
      </c>
      <c r="P512" s="55">
        <f>('AGG DM INCUMB'!$E$24-'AGG DM INCUMB'!$E$25)/'AGG DM INCUMB'!$E$23</f>
        <v>0.14625543180327075</v>
      </c>
      <c r="Q512" s="55">
        <f>('AGG DM INCUMB'!$F$24-'AGG DM INCUMB'!$F$25)/'AGG DM INCUMB'!$F$23</f>
        <v>0.14152334827393778</v>
      </c>
      <c r="R512" s="55">
        <f>('AGG DM INCUMB'!$G$24-'AGG DM INCUMB'!$G$25)/'AGG DM INCUMB'!$G$23</f>
        <v>0.13793720787264546</v>
      </c>
      <c r="S512" s="55">
        <f>R512-O512</f>
        <v>-2.1273443084017962E-2</v>
      </c>
      <c r="T512" s="56"/>
      <c r="U512" s="51"/>
      <c r="V512" s="58" t="str">
        <f>C512</f>
        <v>Agg. DM Incumbent total</v>
      </c>
      <c r="Z512" s="49"/>
      <c r="BF512" s="39"/>
      <c r="BG512" s="39"/>
      <c r="BH512" s="39"/>
      <c r="BI512" s="39"/>
      <c r="BJ512" s="39"/>
      <c r="BK512" s="39"/>
      <c r="BL512" s="39"/>
      <c r="BM512" s="39"/>
      <c r="BN512" s="39"/>
      <c r="BO512" s="39"/>
      <c r="BP512" s="39"/>
      <c r="BQ512" s="39"/>
      <c r="BR512" s="39"/>
      <c r="BS512" s="39"/>
      <c r="BT512" s="39"/>
      <c r="BU512" s="39"/>
      <c r="BV512" s="39"/>
      <c r="BW512" s="39"/>
      <c r="BX512" s="39"/>
      <c r="BY512" s="39"/>
      <c r="BZ512" s="39"/>
      <c r="CA512" s="39"/>
      <c r="CB512" s="39"/>
      <c r="CC512" s="39"/>
      <c r="CD512" s="39"/>
      <c r="CE512" s="39"/>
      <c r="CF512" s="39"/>
      <c r="CG512" s="39"/>
      <c r="CH512" s="39"/>
      <c r="CI512" s="39"/>
      <c r="CJ512" s="39"/>
      <c r="CK512" s="39"/>
      <c r="CL512" s="39"/>
      <c r="CM512" s="39"/>
      <c r="CN512" s="39"/>
      <c r="CO512" s="39"/>
      <c r="CP512" s="39"/>
      <c r="CQ512" s="39"/>
      <c r="CR512" s="39"/>
      <c r="CS512" s="39"/>
      <c r="CT512" s="39"/>
      <c r="CU512" s="39"/>
      <c r="CV512" s="39"/>
      <c r="CW512" s="39"/>
      <c r="CX512" s="39"/>
      <c r="CY512" s="39"/>
      <c r="CZ512" s="39"/>
      <c r="DA512" s="39"/>
      <c r="DB512" s="39"/>
      <c r="DC512" s="39"/>
      <c r="DD512" s="39"/>
      <c r="DE512" s="39"/>
      <c r="DF512" s="39"/>
      <c r="DG512" s="39"/>
      <c r="DH512" s="39"/>
      <c r="DI512" s="39"/>
    </row>
    <row r="513" spans="1:113">
      <c r="A513" s="41"/>
      <c r="C513" s="41"/>
      <c r="D513" s="44"/>
      <c r="E513" s="44"/>
      <c r="F513" s="45"/>
      <c r="G513" s="44"/>
      <c r="H513" s="46"/>
      <c r="I513" s="47"/>
      <c r="J513" s="47"/>
      <c r="K513" s="47"/>
      <c r="L513" s="47"/>
      <c r="M513" s="45"/>
      <c r="N513" s="46"/>
      <c r="O513" s="45"/>
      <c r="P513" s="45"/>
      <c r="Q513" s="45"/>
      <c r="R513" s="45"/>
      <c r="S513" s="45"/>
      <c r="T513" s="46"/>
      <c r="U513" s="48"/>
      <c r="V513" s="50"/>
      <c r="Z513" s="49"/>
      <c r="BF513" s="39"/>
      <c r="BG513" s="39"/>
      <c r="BH513" s="39"/>
      <c r="BI513" s="39"/>
      <c r="BJ513" s="39"/>
      <c r="BK513" s="39"/>
      <c r="BL513" s="39"/>
      <c r="BM513" s="39"/>
      <c r="BN513" s="39"/>
      <c r="BO513" s="39"/>
      <c r="BP513" s="39"/>
      <c r="BQ513" s="39"/>
      <c r="BR513" s="39"/>
      <c r="BS513" s="39"/>
      <c r="BT513" s="39"/>
      <c r="BU513" s="39"/>
      <c r="BV513" s="39"/>
      <c r="BW513" s="39"/>
      <c r="BX513" s="39"/>
      <c r="BY513" s="39"/>
      <c r="BZ513" s="39"/>
      <c r="CA513" s="39"/>
      <c r="CB513" s="39"/>
      <c r="CC513" s="39"/>
      <c r="CD513" s="39"/>
      <c r="CE513" s="39"/>
      <c r="CF513" s="39"/>
      <c r="CG513" s="39"/>
      <c r="CH513" s="39"/>
      <c r="CI513" s="39"/>
      <c r="CJ513" s="39"/>
      <c r="CK513" s="39"/>
      <c r="CL513" s="39"/>
      <c r="CM513" s="39"/>
      <c r="CN513" s="39"/>
      <c r="CO513" s="39"/>
      <c r="CP513" s="39"/>
      <c r="CQ513" s="39"/>
      <c r="CR513" s="39"/>
      <c r="CS513" s="39"/>
      <c r="CT513" s="39"/>
      <c r="CU513" s="39"/>
      <c r="CV513" s="39"/>
      <c r="CW513" s="39"/>
      <c r="CX513" s="39"/>
      <c r="CY513" s="39"/>
      <c r="CZ513" s="39"/>
      <c r="DA513" s="39"/>
      <c r="DB513" s="39"/>
      <c r="DC513" s="39"/>
      <c r="DD513" s="39"/>
      <c r="DE513" s="39"/>
      <c r="DF513" s="39"/>
      <c r="DG513" s="39"/>
      <c r="DH513" s="39"/>
      <c r="DI513" s="39"/>
    </row>
    <row r="514" spans="1:113">
      <c r="A514" s="41" t="s">
        <v>1385</v>
      </c>
      <c r="C514" s="48" t="str">
        <f t="shared" ref="C514:G521" si="116">C454</f>
        <v>1&amp;1</v>
      </c>
      <c r="D514" s="44" t="str">
        <f t="shared" si="116"/>
        <v>EUR 17.5</v>
      </c>
      <c r="E514" s="44" t="str">
        <f t="shared" si="116"/>
        <v>EUR 28.0</v>
      </c>
      <c r="F514" s="45">
        <f t="shared" si="116"/>
        <v>0.60000000000000009</v>
      </c>
      <c r="G514" s="44" t="str">
        <f t="shared" si="116"/>
        <v>Buy</v>
      </c>
      <c r="H514" s="46"/>
      <c r="I514" s="47">
        <f>DRI!$D$25/DRI!$D$33</f>
        <v>-36.944842801985665</v>
      </c>
      <c r="J514" s="47">
        <f>DRI!$E$25/DRI!$E$33</f>
        <v>740.00056433534303</v>
      </c>
      <c r="K514" s="47">
        <f>DRI!$F$25/DRI!$F$33</f>
        <v>22.852698143510832</v>
      </c>
      <c r="L514" s="47">
        <f>DRI!$G$25/DRI!$G$33</f>
        <v>8.635169173146533</v>
      </c>
      <c r="M514" s="45">
        <f>L514-I514</f>
        <v>45.580011975132194</v>
      </c>
      <c r="N514" s="46"/>
      <c r="O514" s="45">
        <f>(DRI!$D$24-DRI!$D$25)/DRI!$D$23</f>
        <v>7.0867267138259388E-2</v>
      </c>
      <c r="P514" s="45">
        <f>(DRI!$E$24-DRI!$E$25)/DRI!$E$23</f>
        <v>8.7730872550687788E-2</v>
      </c>
      <c r="Q514" s="45">
        <f>(DRI!$F$24-DRI!$F$25)/DRI!$F$23</f>
        <v>7.9126429591715897E-2</v>
      </c>
      <c r="R514" s="45">
        <f>(DRI!$G$24-DRI!$G$25)/DRI!$G$23</f>
        <v>7.5131824865659128E-2</v>
      </c>
      <c r="S514" s="45">
        <f>R514-O514</f>
        <v>4.2645577273997398E-3</v>
      </c>
      <c r="T514" s="46"/>
      <c r="U514" s="48" t="str">
        <f t="shared" ref="U514:V520" si="117">U454</f>
        <v>EUR 17.5</v>
      </c>
      <c r="V514" s="44" t="str">
        <f t="shared" si="117"/>
        <v>1&amp;1</v>
      </c>
      <c r="Z514" s="49"/>
      <c r="BF514" s="39"/>
      <c r="BG514" s="39"/>
      <c r="BH514" s="39"/>
      <c r="BI514" s="39"/>
      <c r="BJ514" s="39"/>
      <c r="BK514" s="39"/>
      <c r="BL514" s="39"/>
      <c r="BM514" s="39"/>
      <c r="BN514" s="39"/>
      <c r="BO514" s="39"/>
      <c r="BP514" s="39"/>
      <c r="BQ514" s="39"/>
      <c r="BR514" s="39"/>
      <c r="BS514" s="39"/>
      <c r="BT514" s="39"/>
      <c r="BU514" s="39"/>
      <c r="BV514" s="39"/>
      <c r="BW514" s="39"/>
      <c r="BX514" s="39"/>
      <c r="BY514" s="39"/>
      <c r="BZ514" s="39"/>
      <c r="CA514" s="39"/>
      <c r="CB514" s="39"/>
      <c r="CC514" s="39"/>
      <c r="CD514" s="39"/>
      <c r="CE514" s="39"/>
      <c r="CF514" s="39"/>
      <c r="CG514" s="39"/>
      <c r="CH514" s="39"/>
      <c r="CI514" s="39"/>
      <c r="CJ514" s="39"/>
      <c r="CK514" s="39"/>
      <c r="CL514" s="39"/>
      <c r="CM514" s="39"/>
      <c r="CN514" s="39"/>
      <c r="CO514" s="39"/>
      <c r="CP514" s="39"/>
      <c r="CQ514" s="39"/>
      <c r="CR514" s="39"/>
      <c r="CS514" s="39"/>
      <c r="CT514" s="39"/>
      <c r="CU514" s="39"/>
      <c r="CV514" s="39"/>
      <c r="CW514" s="39"/>
      <c r="CX514" s="39"/>
      <c r="CY514" s="39"/>
      <c r="CZ514" s="39"/>
      <c r="DA514" s="39"/>
      <c r="DB514" s="39"/>
      <c r="DC514" s="39"/>
      <c r="DD514" s="39"/>
      <c r="DE514" s="39"/>
      <c r="DF514" s="39"/>
      <c r="DG514" s="39"/>
      <c r="DH514" s="39"/>
      <c r="DI514" s="39"/>
    </row>
    <row r="515" spans="1:113">
      <c r="C515" s="48" t="str">
        <f t="shared" si="116"/>
        <v>Elisa</v>
      </c>
      <c r="D515" s="44" t="str">
        <f t="shared" si="116"/>
        <v>EUR 41.6</v>
      </c>
      <c r="E515" s="44" t="str">
        <f t="shared" si="116"/>
        <v>EUR 54.0</v>
      </c>
      <c r="F515" s="45">
        <f t="shared" si="116"/>
        <v>0.29745314752522845</v>
      </c>
      <c r="G515" s="44" t="str">
        <f t="shared" si="116"/>
        <v>Neutral</v>
      </c>
      <c r="H515" s="46"/>
      <c r="I515" s="47">
        <f>ELISA!$D$25/ELISA!$D$33</f>
        <v>26.295998306706537</v>
      </c>
      <c r="J515" s="47">
        <f>ELISA!$E$25/ELISA!$E$33</f>
        <v>21.583624515315783</v>
      </c>
      <c r="K515" s="47">
        <f>ELISA!$F$25/ELISA!$F$33</f>
        <v>23.581319658462352</v>
      </c>
      <c r="L515" s="47">
        <f>ELISA!$G$25/ELISA!$G$33</f>
        <v>21.546810450601988</v>
      </c>
      <c r="M515" s="45">
        <f t="shared" ref="M515:M522" si="118">L515-I515</f>
        <v>-4.7491878561045482</v>
      </c>
      <c r="N515" s="46"/>
      <c r="O515" s="45">
        <f>(ELISA!$D$24-ELISA!$D$25)/ELISA!$D$23</f>
        <v>0.11107761703913906</v>
      </c>
      <c r="P515" s="45">
        <f>(ELISA!$E$24-ELISA!$E$25)/ELISA!$E$23</f>
        <v>0.10766942557414813</v>
      </c>
      <c r="Q515" s="45">
        <f>(ELISA!$F$24-ELISA!$F$25)/ELISA!$F$23</f>
        <v>0.10012939379669876</v>
      </c>
      <c r="R515" s="45">
        <f>(ELISA!$G$24-ELISA!$G$25)/ELISA!$G$23</f>
        <v>9.7348030667880683E-2</v>
      </c>
      <c r="S515" s="45">
        <f t="shared" ref="S515:S522" si="119">R515-O515</f>
        <v>-1.3729586371258373E-2</v>
      </c>
      <c r="T515" s="46"/>
      <c r="U515" s="48" t="str">
        <f t="shared" si="117"/>
        <v>EUR 41.6</v>
      </c>
      <c r="V515" s="44" t="str">
        <f t="shared" si="117"/>
        <v>Elisa</v>
      </c>
      <c r="Z515" s="49"/>
      <c r="BF515" s="39"/>
      <c r="BG515" s="39"/>
      <c r="BH515" s="39"/>
      <c r="BI515" s="39"/>
      <c r="BJ515" s="39"/>
      <c r="BK515" s="39"/>
      <c r="BL515" s="39"/>
      <c r="BM515" s="39"/>
      <c r="BN515" s="39"/>
      <c r="BO515" s="39"/>
      <c r="BP515" s="39"/>
      <c r="BQ515" s="39"/>
      <c r="BR515" s="39"/>
      <c r="BS515" s="39"/>
      <c r="BT515" s="39"/>
      <c r="BU515" s="39"/>
      <c r="BV515" s="39"/>
      <c r="BW515" s="39"/>
      <c r="BX515" s="39"/>
      <c r="BY515" s="39"/>
      <c r="BZ515" s="39"/>
      <c r="CA515" s="39"/>
      <c r="CB515" s="39"/>
      <c r="CC515" s="39"/>
      <c r="CD515" s="39"/>
      <c r="CE515" s="39"/>
      <c r="CF515" s="39"/>
      <c r="CG515" s="39"/>
      <c r="CH515" s="39"/>
      <c r="CI515" s="39"/>
      <c r="CJ515" s="39"/>
      <c r="CK515" s="39"/>
      <c r="CL515" s="39"/>
      <c r="CM515" s="39"/>
      <c r="CN515" s="39"/>
      <c r="CO515" s="39"/>
      <c r="CP515" s="39"/>
      <c r="CQ515" s="39"/>
      <c r="CR515" s="39"/>
      <c r="CS515" s="39"/>
      <c r="CT515" s="39"/>
      <c r="CU515" s="39"/>
      <c r="CV515" s="39"/>
      <c r="CW515" s="39"/>
      <c r="CX515" s="39"/>
      <c r="CY515" s="39"/>
      <c r="CZ515" s="39"/>
      <c r="DA515" s="39"/>
      <c r="DB515" s="39"/>
      <c r="DC515" s="39"/>
      <c r="DD515" s="39"/>
      <c r="DE515" s="39"/>
      <c r="DF515" s="39"/>
      <c r="DG515" s="39"/>
      <c r="DH515" s="39"/>
      <c r="DI515" s="39"/>
    </row>
    <row r="516" spans="1:113">
      <c r="A516" s="41"/>
      <c r="C516" s="48" t="str">
        <f t="shared" si="116"/>
        <v>Liberty Global (prop.)</v>
      </c>
      <c r="D516" s="44" t="str">
        <f t="shared" si="116"/>
        <v>USD 16.2</v>
      </c>
      <c r="E516" s="44" t="str">
        <f t="shared" si="116"/>
        <v>USD 24.0</v>
      </c>
      <c r="F516" s="45">
        <f t="shared" si="116"/>
        <v>0.47783251231527113</v>
      </c>
      <c r="G516" s="44" t="str">
        <f t="shared" si="116"/>
        <v>Buy</v>
      </c>
      <c r="H516" s="46"/>
      <c r="I516" s="47">
        <f>LBTY!$D$25/LBTY!$D$33</f>
        <v>2.124403303081396</v>
      </c>
      <c r="J516" s="47">
        <f>LBTY!$E$25/LBTY!$E$33</f>
        <v>2.2996907248846581</v>
      </c>
      <c r="K516" s="47">
        <f>LBTY!$F$25/LBTY!$F$33</f>
        <v>2.4130594473444527</v>
      </c>
      <c r="L516" s="47">
        <f>LBTY!$G$25/LBTY!$G$33</f>
        <v>2.7105521047298216</v>
      </c>
      <c r="M516" s="45">
        <f>L516-I516</f>
        <v>0.58614880164842553</v>
      </c>
      <c r="N516" s="46"/>
      <c r="O516" s="45">
        <f>(LBTY!$D$24-LBTY!$D$25)/LBTY!$D$23</f>
        <v>0.21759016633136505</v>
      </c>
      <c r="P516" s="45">
        <f>(LBTY!$E$24-LBTY!$E$25)/LBTY!$E$23</f>
        <v>0.2386729173958072</v>
      </c>
      <c r="Q516" s="45">
        <f>(LBTY!$F$24-LBTY!$F$25)/LBTY!$F$23</f>
        <v>0.24348932858400227</v>
      </c>
      <c r="R516" s="45">
        <f>(LBTY!$G$24-LBTY!$G$25)/LBTY!$G$23</f>
        <v>0.23221520458039457</v>
      </c>
      <c r="S516" s="45">
        <f>R516-O516</f>
        <v>1.4625038249029526E-2</v>
      </c>
      <c r="T516" s="46"/>
      <c r="U516" s="48" t="str">
        <f t="shared" si="117"/>
        <v>USD 16.2</v>
      </c>
      <c r="V516" s="44" t="str">
        <f t="shared" si="117"/>
        <v>Liberty Global</v>
      </c>
      <c r="Z516" s="49"/>
    </row>
    <row r="517" spans="1:113" s="5" customFormat="1">
      <c r="A517" s="41"/>
      <c r="B517" s="42"/>
      <c r="C517" s="48" t="str">
        <f t="shared" si="116"/>
        <v>NOS</v>
      </c>
      <c r="D517" s="44" t="str">
        <f t="shared" si="116"/>
        <v>EUR 3.35</v>
      </c>
      <c r="E517" s="44" t="str">
        <f t="shared" si="116"/>
        <v>EUR 4.00</v>
      </c>
      <c r="F517" s="45">
        <f t="shared" si="116"/>
        <v>0.19581464872944676</v>
      </c>
      <c r="G517" s="44" t="str">
        <f t="shared" si="116"/>
        <v>Neutral</v>
      </c>
      <c r="H517" s="46"/>
      <c r="I517" s="47">
        <f>NOS!$D$25/NOS!$D$33</f>
        <v>8.7044192606716138</v>
      </c>
      <c r="J517" s="47">
        <f>NOS!$E$25/NOS!$E$33</f>
        <v>8.9546848048103236</v>
      </c>
      <c r="K517" s="47">
        <f>NOS!$F$25/NOS!$F$33</f>
        <v>10.435422658467489</v>
      </c>
      <c r="L517" s="47">
        <f>NOS!$G$25/NOS!$G$33</f>
        <v>11.49397186725815</v>
      </c>
      <c r="M517" s="45">
        <f>L517-I517</f>
        <v>2.7895526065865361</v>
      </c>
      <c r="N517" s="46"/>
      <c r="O517" s="45">
        <f>(NOS!$D$24-NOS!$D$25)/NOS!$D$23</f>
        <v>0.24203005504509223</v>
      </c>
      <c r="P517" s="45">
        <f>(NOS!$E$24-NOS!$E$25)/NOS!$E$23</f>
        <v>0.23809126607525385</v>
      </c>
      <c r="Q517" s="45">
        <f>(NOS!$F$24-NOS!$F$25)/NOS!$F$23</f>
        <v>0.23173144845311183</v>
      </c>
      <c r="R517" s="45">
        <f>(NOS!$G$24-NOS!$G$25)/NOS!$G$23</f>
        <v>0.22432517284525105</v>
      </c>
      <c r="S517" s="45">
        <f>R517-O517</f>
        <v>-1.7704882199841177E-2</v>
      </c>
      <c r="T517" s="46"/>
      <c r="U517" s="48" t="str">
        <f t="shared" si="117"/>
        <v>EUR 3.35</v>
      </c>
      <c r="V517" s="44" t="str">
        <f t="shared" si="117"/>
        <v>NOS</v>
      </c>
      <c r="Z517" s="49"/>
      <c r="AB517" s="63"/>
    </row>
    <row r="518" spans="1:113">
      <c r="B518" s="88"/>
      <c r="C518" s="48" t="str">
        <f t="shared" si="116"/>
        <v>Orange Belgium</v>
      </c>
      <c r="D518" s="44" t="str">
        <f t="shared" si="116"/>
        <v>EUR 14.9</v>
      </c>
      <c r="E518" s="44" t="str">
        <f t="shared" si="116"/>
        <v>EUR 13.0</v>
      </c>
      <c r="F518" s="45">
        <f t="shared" si="116"/>
        <v>-0.12868632707774796</v>
      </c>
      <c r="G518" s="44" t="str">
        <f t="shared" si="116"/>
        <v>Neutral</v>
      </c>
      <c r="H518" s="46"/>
      <c r="I518" s="47">
        <f>OBEL!$D$25/OBEL!$D$33</f>
        <v>4.7667372891884083</v>
      </c>
      <c r="J518" s="47">
        <f>OBEL!$E$25/OBEL!$E$33</f>
        <v>3.1339913102914494</v>
      </c>
      <c r="K518" s="47">
        <f>OBEL!$F$25/OBEL!$F$33</f>
        <v>4.0062751493657824</v>
      </c>
      <c r="L518" s="47">
        <f>OBEL!$G$25/OBEL!$G$33</f>
        <v>4.4759102338186336</v>
      </c>
      <c r="M518" s="45">
        <f t="shared" si="118"/>
        <v>-0.29082705536977471</v>
      </c>
      <c r="N518" s="46"/>
      <c r="O518" s="45">
        <f>(OBEL!$D$24-OBEL!$D$25)/OBEL!$D$23</f>
        <v>0.14269257481043518</v>
      </c>
      <c r="P518" s="45">
        <f>(OBEL!$E$24-OBEL!$E$25)/OBEL!$E$23</f>
        <v>0.16498205011441355</v>
      </c>
      <c r="Q518" s="45">
        <f>(OBEL!$F$24-OBEL!$F$25)/OBEL!$F$23</f>
        <v>0.1503768185201019</v>
      </c>
      <c r="R518" s="45">
        <f>(OBEL!$G$24-OBEL!$G$25)/OBEL!$G$23</f>
        <v>0.1487366721335403</v>
      </c>
      <c r="S518" s="45">
        <f t="shared" si="119"/>
        <v>6.0440973231051243E-3</v>
      </c>
      <c r="T518" s="46"/>
      <c r="U518" s="48" t="str">
        <f t="shared" si="117"/>
        <v>EUR 14.9</v>
      </c>
      <c r="V518" s="44" t="str">
        <f t="shared" si="117"/>
        <v>Mobistar</v>
      </c>
      <c r="Z518" s="49"/>
      <c r="BF518" s="39"/>
      <c r="BG518" s="39"/>
      <c r="BH518" s="39"/>
      <c r="BI518" s="39"/>
      <c r="BJ518" s="39"/>
      <c r="BK518" s="39"/>
      <c r="BL518" s="39"/>
      <c r="BM518" s="39"/>
      <c r="BN518" s="39"/>
      <c r="BO518" s="39"/>
      <c r="BP518" s="39"/>
      <c r="BQ518" s="39"/>
      <c r="BR518" s="39"/>
      <c r="BS518" s="39"/>
      <c r="BT518" s="39"/>
      <c r="BU518" s="39"/>
      <c r="BV518" s="39"/>
      <c r="BW518" s="39"/>
      <c r="BX518" s="39"/>
      <c r="BY518" s="39"/>
      <c r="BZ518" s="39"/>
      <c r="CA518" s="39"/>
      <c r="CB518" s="39"/>
      <c r="CC518" s="39"/>
      <c r="CD518" s="39"/>
      <c r="CE518" s="39"/>
      <c r="CF518" s="39"/>
      <c r="CG518" s="39"/>
      <c r="CH518" s="39"/>
      <c r="CI518" s="39"/>
      <c r="CJ518" s="39"/>
      <c r="CK518" s="39"/>
      <c r="CL518" s="39"/>
      <c r="CM518" s="39"/>
      <c r="CN518" s="39"/>
      <c r="CO518" s="39"/>
      <c r="CP518" s="39"/>
      <c r="CQ518" s="39"/>
      <c r="CR518" s="39"/>
      <c r="CS518" s="39"/>
      <c r="CT518" s="39"/>
      <c r="CU518" s="39"/>
      <c r="CV518" s="39"/>
      <c r="CW518" s="39"/>
      <c r="CX518" s="39"/>
      <c r="CY518" s="39"/>
      <c r="CZ518" s="39"/>
      <c r="DA518" s="39"/>
      <c r="DB518" s="39"/>
      <c r="DC518" s="39"/>
      <c r="DD518" s="39"/>
      <c r="DE518" s="39"/>
      <c r="DF518" s="39"/>
      <c r="DG518" s="39"/>
      <c r="DH518" s="39"/>
      <c r="DI518" s="39"/>
    </row>
    <row r="519" spans="1:113">
      <c r="B519" s="88"/>
      <c r="C519" s="48" t="str">
        <f t="shared" si="116"/>
        <v>Tele2</v>
      </c>
      <c r="D519" s="44" t="str">
        <f t="shared" si="116"/>
        <v>SEK 101.1</v>
      </c>
      <c r="E519" s="44" t="str">
        <f t="shared" si="116"/>
        <v>SEK 110.0</v>
      </c>
      <c r="F519" s="45">
        <f t="shared" si="116"/>
        <v>8.8570014844136624E-2</v>
      </c>
      <c r="G519" s="44" t="str">
        <f t="shared" si="116"/>
        <v>Neutral</v>
      </c>
      <c r="H519" s="46"/>
      <c r="I519" s="47">
        <f>TELE2!$D$25/TELE2!$D$33</f>
        <v>8.5465978858259586</v>
      </c>
      <c r="J519" s="47">
        <f>TELE2!$E$25/TELE2!$E$33</f>
        <v>8.3444572890703235</v>
      </c>
      <c r="K519" s="47">
        <f>TELE2!$F$25/TELE2!$F$33</f>
        <v>8.0818556762503047</v>
      </c>
      <c r="L519" s="47">
        <f>TELE2!$G$25/TELE2!$G$33</f>
        <v>7.7317646875316361</v>
      </c>
      <c r="M519" s="45">
        <f t="shared" si="118"/>
        <v>-0.81483319829432244</v>
      </c>
      <c r="N519" s="46"/>
      <c r="O519" s="45">
        <f>(TELE2!$D$24-TELE2!$D$25)/TELE2!$D$23</f>
        <v>0.13611079371987736</v>
      </c>
      <c r="P519" s="45">
        <f>(TELE2!$E$24-TELE2!$E$25)/TELE2!$E$23</f>
        <v>0.12390495822909776</v>
      </c>
      <c r="Q519" s="45">
        <f>(TELE2!$F$24-TELE2!$F$25)/TELE2!$F$23</f>
        <v>0.1287426025150438</v>
      </c>
      <c r="R519" s="45">
        <f>(TELE2!$G$24-TELE2!$G$25)/TELE2!$G$23</f>
        <v>0.12770979089992215</v>
      </c>
      <c r="S519" s="45">
        <f t="shared" si="119"/>
        <v>-8.4010028199552056E-3</v>
      </c>
      <c r="T519" s="46"/>
      <c r="U519" s="48" t="str">
        <f t="shared" si="117"/>
        <v>SEK 101.1</v>
      </c>
      <c r="V519" s="44" t="str">
        <f t="shared" si="117"/>
        <v>Tele2</v>
      </c>
      <c r="Z519" s="49"/>
      <c r="BF519" s="39"/>
      <c r="BG519" s="39"/>
      <c r="BH519" s="39"/>
      <c r="BI519" s="39"/>
      <c r="BJ519" s="39"/>
      <c r="BK519" s="39"/>
      <c r="BL519" s="39"/>
      <c r="BM519" s="39"/>
      <c r="BN519" s="39"/>
      <c r="BO519" s="39"/>
      <c r="BP519" s="39"/>
      <c r="BQ519" s="39"/>
      <c r="BR519" s="39"/>
      <c r="BS519" s="39"/>
      <c r="BT519" s="39"/>
      <c r="BU519" s="39"/>
      <c r="BV519" s="39"/>
      <c r="BW519" s="39"/>
      <c r="BX519" s="39"/>
      <c r="BY519" s="39"/>
      <c r="BZ519" s="39"/>
      <c r="CA519" s="39"/>
      <c r="CB519" s="39"/>
      <c r="CC519" s="39"/>
      <c r="CD519" s="39"/>
      <c r="CE519" s="39"/>
      <c r="CF519" s="39"/>
      <c r="CG519" s="39"/>
      <c r="CH519" s="39"/>
      <c r="CI519" s="39"/>
      <c r="CJ519" s="39"/>
      <c r="CK519" s="39"/>
      <c r="CL519" s="39"/>
      <c r="CM519" s="39"/>
      <c r="CN519" s="39"/>
      <c r="CO519" s="39"/>
      <c r="CP519" s="39"/>
      <c r="CQ519" s="39"/>
      <c r="CR519" s="39"/>
      <c r="CS519" s="39"/>
      <c r="CT519" s="39"/>
      <c r="CU519" s="39"/>
      <c r="CV519" s="39"/>
      <c r="CW519" s="39"/>
      <c r="CX519" s="39"/>
      <c r="CY519" s="39"/>
      <c r="CZ519" s="39"/>
      <c r="DA519" s="39"/>
      <c r="DB519" s="39"/>
      <c r="DC519" s="39"/>
      <c r="DD519" s="39"/>
      <c r="DE519" s="39"/>
      <c r="DF519" s="39"/>
      <c r="DG519" s="39"/>
      <c r="DH519" s="39"/>
      <c r="DI519" s="39"/>
    </row>
    <row r="520" spans="1:113">
      <c r="A520" s="41"/>
      <c r="C520" s="48" t="str">
        <f t="shared" si="116"/>
        <v>United Internet</v>
      </c>
      <c r="D520" s="44" t="str">
        <f t="shared" si="116"/>
        <v>EUR 22.1</v>
      </c>
      <c r="E520" s="44" t="str">
        <f t="shared" si="116"/>
        <v>EUR 30.0</v>
      </c>
      <c r="F520" s="45">
        <f t="shared" si="116"/>
        <v>0.35869565217391308</v>
      </c>
      <c r="G520" s="44" t="str">
        <f t="shared" si="116"/>
        <v>Buy</v>
      </c>
      <c r="H520" s="46"/>
      <c r="I520" s="47">
        <f>UTDI!$D$25/UTDI!$D$33</f>
        <v>3.6446757373309424</v>
      </c>
      <c r="J520" s="47">
        <f>UTDI!$E$25/UTDI!$E$33</f>
        <v>3.2057815618934429</v>
      </c>
      <c r="K520" s="47">
        <f>UTDI!$F$25/UTDI!$F$33</f>
        <v>3.6099485632002204</v>
      </c>
      <c r="L520" s="47">
        <f>UTDI!$G$25/UTDI!$G$33</f>
        <v>4.0638724074784038</v>
      </c>
      <c r="M520" s="45">
        <f>L520-I520</f>
        <v>0.41919667014746143</v>
      </c>
      <c r="N520" s="46"/>
      <c r="O520" s="45">
        <f>(UTDI!$D$24-UTDI!$D$25)/UTDI!$D$23</f>
        <v>0.12206585302516984</v>
      </c>
      <c r="P520" s="45">
        <f>(UTDI!$E$24-UTDI!$E$25)/UTDI!$E$23</f>
        <v>0.12861362103777754</v>
      </c>
      <c r="Q520" s="45">
        <f>(UTDI!$F$24-UTDI!$F$25)/UTDI!$F$23</f>
        <v>0.12001580064152426</v>
      </c>
      <c r="R520" s="45">
        <f>(UTDI!$G$24-UTDI!$G$25)/UTDI!$G$23</f>
        <v>0.11025053846734963</v>
      </c>
      <c r="S520" s="45">
        <f>R520-O520</f>
        <v>-1.1815314557820214E-2</v>
      </c>
      <c r="T520" s="46"/>
      <c r="U520" s="48" t="str">
        <f t="shared" si="117"/>
        <v>EUR 22.1</v>
      </c>
      <c r="V520" s="44" t="str">
        <f t="shared" si="117"/>
        <v>United Internet</v>
      </c>
      <c r="Z520" s="49"/>
      <c r="BF520" s="39"/>
      <c r="BG520" s="39"/>
      <c r="BH520" s="39"/>
      <c r="BI520" s="39"/>
      <c r="BJ520" s="39"/>
      <c r="BK520" s="39"/>
      <c r="BL520" s="39"/>
      <c r="BM520" s="39"/>
      <c r="BN520" s="39"/>
      <c r="BO520" s="39"/>
      <c r="BP520" s="39"/>
      <c r="BQ520" s="39"/>
      <c r="BR520" s="39"/>
      <c r="BS520" s="39"/>
      <c r="BT520" s="39"/>
      <c r="BU520" s="39"/>
      <c r="BV520" s="39"/>
      <c r="BW520" s="39"/>
      <c r="BX520" s="39"/>
      <c r="BY520" s="39"/>
      <c r="BZ520" s="39"/>
      <c r="CA520" s="39"/>
      <c r="CB520" s="39"/>
      <c r="CC520" s="39"/>
      <c r="CD520" s="39"/>
      <c r="CE520" s="39"/>
      <c r="CF520" s="39"/>
      <c r="CG520" s="39"/>
      <c r="CH520" s="39"/>
      <c r="CI520" s="39"/>
      <c r="CJ520" s="39"/>
      <c r="CK520" s="39"/>
      <c r="CL520" s="39"/>
      <c r="CM520" s="39"/>
      <c r="CN520" s="39"/>
      <c r="CO520" s="39"/>
      <c r="CP520" s="39"/>
      <c r="CQ520" s="39"/>
      <c r="CR520" s="39"/>
      <c r="CS520" s="39"/>
      <c r="CT520" s="39"/>
      <c r="CU520" s="39"/>
      <c r="CV520" s="39"/>
      <c r="CW520" s="39"/>
      <c r="CX520" s="39"/>
      <c r="CY520" s="39"/>
      <c r="CZ520" s="39"/>
      <c r="DA520" s="39"/>
      <c r="DB520" s="39"/>
      <c r="DC520" s="39"/>
      <c r="DD520" s="39"/>
      <c r="DE520" s="39"/>
      <c r="DF520" s="39"/>
      <c r="DG520" s="39"/>
      <c r="DH520" s="39"/>
      <c r="DI520" s="39"/>
    </row>
    <row r="521" spans="1:113">
      <c r="B521" s="88"/>
      <c r="C521" s="48" t="str">
        <f t="shared" si="116"/>
        <v>Vodafone</v>
      </c>
      <c r="D521" s="44" t="str">
        <f t="shared" si="116"/>
        <v>GBP 0.74</v>
      </c>
      <c r="E521" s="44" t="str">
        <f t="shared" si="116"/>
        <v>GBP 1.35</v>
      </c>
      <c r="F521" s="45">
        <f t="shared" si="116"/>
        <v>0.83673469387755106</v>
      </c>
      <c r="G521" s="44" t="str">
        <f t="shared" si="116"/>
        <v>Buy</v>
      </c>
      <c r="H521" s="46"/>
      <c r="I521" s="47">
        <f>VOD!$D$25/VOD!$D$33</f>
        <v>3.3019417065072907</v>
      </c>
      <c r="J521" s="47">
        <f>VOD!$E$25/VOD!$E$33</f>
        <v>3.0667597980287931</v>
      </c>
      <c r="K521" s="47">
        <f>VOD!$F$25/VOD!$F$33</f>
        <v>3.4859093626823152</v>
      </c>
      <c r="L521" s="47">
        <f>VOD!$G$25/VOD!$G$33</f>
        <v>3.8072387414678732</v>
      </c>
      <c r="M521" s="45">
        <f>L521-I521</f>
        <v>0.50529703496058254</v>
      </c>
      <c r="N521" s="46"/>
      <c r="O521" s="45">
        <f>(VOD!$D$24-VOD!$D$25)/VOD!$D$23</f>
        <v>0.18936477579591995</v>
      </c>
      <c r="P521" s="45">
        <f>(VOD!$E$24-VOD!$E$25)/VOD!$E$23</f>
        <v>0.17593806046343402</v>
      </c>
      <c r="Q521" s="45">
        <f>(VOD!$F$24-VOD!$F$25)/VOD!$F$23</f>
        <v>0.1672678403333181</v>
      </c>
      <c r="R521" s="45">
        <f>(VOD!$G$24-VOD!$G$25)/VOD!$G$23</f>
        <v>0.16266753069812609</v>
      </c>
      <c r="S521" s="45">
        <f>R521-O521</f>
        <v>-2.6697245097793865E-2</v>
      </c>
      <c r="T521" s="46"/>
      <c r="U521" s="48" t="str">
        <f>U461</f>
        <v>GBP 0.74</v>
      </c>
      <c r="V521" s="44" t="s">
        <v>281</v>
      </c>
      <c r="Z521" s="49"/>
      <c r="BF521" s="39"/>
      <c r="BG521" s="39"/>
      <c r="BH521" s="39"/>
      <c r="BI521" s="39"/>
      <c r="BJ521" s="39"/>
      <c r="BK521" s="39"/>
      <c r="BL521" s="39"/>
      <c r="BM521" s="39"/>
      <c r="BN521" s="39"/>
      <c r="BO521" s="39"/>
      <c r="BP521" s="39"/>
      <c r="BQ521" s="39"/>
      <c r="BR521" s="39"/>
      <c r="BS521" s="39"/>
      <c r="BT521" s="39"/>
      <c r="BU521" s="39"/>
      <c r="BV521" s="39"/>
      <c r="BW521" s="39"/>
      <c r="BX521" s="39"/>
      <c r="BY521" s="39"/>
      <c r="BZ521" s="39"/>
      <c r="CA521" s="39"/>
      <c r="CB521" s="39"/>
      <c r="CC521" s="39"/>
      <c r="CD521" s="39"/>
      <c r="CE521" s="39"/>
      <c r="CF521" s="39"/>
      <c r="CG521" s="39"/>
      <c r="CH521" s="39"/>
      <c r="CI521" s="39"/>
      <c r="CJ521" s="39"/>
      <c r="CK521" s="39"/>
      <c r="CL521" s="39"/>
      <c r="CM521" s="39"/>
      <c r="CN521" s="39"/>
      <c r="CO521" s="39"/>
      <c r="CP521" s="39"/>
      <c r="CQ521" s="39"/>
      <c r="CR521" s="39"/>
      <c r="CS521" s="39"/>
      <c r="CT521" s="39"/>
      <c r="CU521" s="39"/>
      <c r="CV521" s="39"/>
      <c r="CW521" s="39"/>
      <c r="CX521" s="39"/>
      <c r="CY521" s="39"/>
      <c r="CZ521" s="39"/>
      <c r="DA521" s="39"/>
      <c r="DB521" s="39"/>
      <c r="DC521" s="39"/>
      <c r="DD521" s="39"/>
      <c r="DE521" s="39"/>
      <c r="DF521" s="39"/>
      <c r="DG521" s="39"/>
      <c r="DH521" s="39"/>
      <c r="DI521" s="39"/>
    </row>
    <row r="522" spans="1:113">
      <c r="B522" s="88"/>
      <c r="C522" s="51" t="str">
        <f>C462</f>
        <v>Agg. W. Europe Other</v>
      </c>
      <c r="D522" s="52"/>
      <c r="E522" s="52"/>
      <c r="F522" s="53"/>
      <c r="G522" s="52"/>
      <c r="H522" s="46"/>
      <c r="I522" s="54">
        <f>'W.EUR OTHER'!$D$25/'W.EUR OTHER'!$D$33</f>
        <v>3.6045299396087933</v>
      </c>
      <c r="J522" s="54">
        <f>'W.EUR OTHER'!$E$25/'W.EUR OTHER'!$E$33</f>
        <v>3.440636367530197</v>
      </c>
      <c r="K522" s="54">
        <f>'W.EUR OTHER'!$F$25/'W.EUR OTHER'!$F$33</f>
        <v>3.8238165208272235</v>
      </c>
      <c r="L522" s="54">
        <f>'W.EUR OTHER'!$G$25/'W.EUR OTHER'!$G$33</f>
        <v>4.1394347779126139</v>
      </c>
      <c r="M522" s="55">
        <f t="shared" si="118"/>
        <v>0.53490483830382063</v>
      </c>
      <c r="N522" s="56"/>
      <c r="O522" s="55">
        <f>('W.EUR OTHER'!$D$24-'W.EUR OTHER'!$D$25)/'W.EUR OTHER'!$D$23</f>
        <v>0.18028571812665251</v>
      </c>
      <c r="P522" s="55">
        <f>('W.EUR OTHER'!$E$24-'W.EUR OTHER'!$E$25)/'W.EUR OTHER'!$E$23</f>
        <v>0.17420267549821292</v>
      </c>
      <c r="Q522" s="55">
        <f>('W.EUR OTHER'!$F$24-'W.EUR OTHER'!$F$25)/'W.EUR OTHER'!$F$23</f>
        <v>0.16721668555026872</v>
      </c>
      <c r="R522" s="55">
        <f>('W.EUR OTHER'!$G$24-'W.EUR OTHER'!$G$25)/'W.EUR OTHER'!$G$23</f>
        <v>0.16139271399827185</v>
      </c>
      <c r="S522" s="55">
        <f t="shared" si="119"/>
        <v>-1.8893004128380658E-2</v>
      </c>
      <c r="T522" s="46"/>
      <c r="U522" s="57"/>
      <c r="V522" s="58" t="str">
        <f>V462</f>
        <v>Agg. W. Europe Other</v>
      </c>
      <c r="Z522" s="49"/>
      <c r="BF522" s="39"/>
      <c r="BG522" s="39"/>
      <c r="BH522" s="39"/>
      <c r="BI522" s="39"/>
      <c r="BJ522" s="39"/>
      <c r="BK522" s="39"/>
      <c r="BL522" s="39"/>
      <c r="BM522" s="39"/>
      <c r="BN522" s="39"/>
      <c r="BO522" s="39"/>
      <c r="BP522" s="39"/>
      <c r="BQ522" s="39"/>
      <c r="BR522" s="39"/>
      <c r="BS522" s="39"/>
      <c r="BT522" s="39"/>
      <c r="BU522" s="39"/>
      <c r="BV522" s="39"/>
      <c r="BW522" s="39"/>
      <c r="BX522" s="39"/>
      <c r="BY522" s="39"/>
      <c r="BZ522" s="39"/>
      <c r="CA522" s="39"/>
      <c r="CB522" s="39"/>
      <c r="CC522" s="39"/>
      <c r="CD522" s="39"/>
      <c r="CE522" s="39"/>
      <c r="CF522" s="39"/>
      <c r="CG522" s="39"/>
      <c r="CH522" s="39"/>
      <c r="CI522" s="39"/>
      <c r="CJ522" s="39"/>
      <c r="CK522" s="39"/>
      <c r="CL522" s="39"/>
      <c r="CM522" s="39"/>
      <c r="CN522" s="39"/>
      <c r="CO522" s="39"/>
      <c r="CP522" s="39"/>
      <c r="CQ522" s="39"/>
      <c r="CR522" s="39"/>
      <c r="CS522" s="39"/>
      <c r="CT522" s="39"/>
      <c r="CU522" s="39"/>
      <c r="CV522" s="39"/>
      <c r="CW522" s="39"/>
      <c r="CX522" s="39"/>
      <c r="CY522" s="39"/>
      <c r="CZ522" s="39"/>
      <c r="DA522" s="39"/>
      <c r="DB522" s="39"/>
      <c r="DC522" s="39"/>
      <c r="DD522" s="39"/>
      <c r="DE522" s="39"/>
      <c r="DF522" s="39"/>
      <c r="DG522" s="39"/>
      <c r="DH522" s="39"/>
      <c r="DI522" s="39"/>
    </row>
    <row r="523" spans="1:113">
      <c r="B523" s="88"/>
      <c r="C523" s="48"/>
      <c r="D523" s="44"/>
      <c r="E523" s="44"/>
      <c r="F523" s="45"/>
      <c r="G523" s="44"/>
      <c r="H523" s="46"/>
      <c r="I523" s="47"/>
      <c r="J523" s="47"/>
      <c r="K523" s="47"/>
      <c r="L523" s="47"/>
      <c r="M523" s="45"/>
      <c r="N523" s="46"/>
      <c r="O523" s="45"/>
      <c r="P523" s="45"/>
      <c r="Q523" s="45"/>
      <c r="R523" s="45"/>
      <c r="S523" s="45"/>
      <c r="T523" s="46"/>
      <c r="U523" s="48"/>
      <c r="V523" s="44"/>
      <c r="Z523" s="49"/>
      <c r="BF523" s="39"/>
      <c r="BG523" s="39"/>
      <c r="BH523" s="39"/>
      <c r="BI523" s="39"/>
      <c r="BJ523" s="39"/>
      <c r="BK523" s="39"/>
      <c r="BL523" s="39"/>
      <c r="BM523" s="39"/>
      <c r="BN523" s="39"/>
      <c r="BO523" s="39"/>
      <c r="BP523" s="39"/>
      <c r="BQ523" s="39"/>
      <c r="BR523" s="39"/>
      <c r="BS523" s="39"/>
      <c r="BT523" s="39"/>
      <c r="BU523" s="39"/>
      <c r="BV523" s="39"/>
      <c r="BW523" s="39"/>
      <c r="BX523" s="39"/>
      <c r="BY523" s="39"/>
      <c r="BZ523" s="39"/>
      <c r="CA523" s="39"/>
      <c r="CB523" s="39"/>
      <c r="CC523" s="39"/>
      <c r="CD523" s="39"/>
      <c r="CE523" s="39"/>
      <c r="CF523" s="39"/>
      <c r="CG523" s="39"/>
      <c r="CH523" s="39"/>
      <c r="CI523" s="39"/>
      <c r="CJ523" s="39"/>
      <c r="CK523" s="39"/>
      <c r="CL523" s="39"/>
      <c r="CM523" s="39"/>
      <c r="CN523" s="39"/>
      <c r="CO523" s="39"/>
      <c r="CP523" s="39"/>
      <c r="CQ523" s="39"/>
      <c r="CR523" s="39"/>
      <c r="CS523" s="39"/>
      <c r="CT523" s="39"/>
      <c r="CU523" s="39"/>
      <c r="CV523" s="39"/>
      <c r="CW523" s="39"/>
      <c r="CX523" s="39"/>
      <c r="CY523" s="39"/>
      <c r="CZ523" s="39"/>
      <c r="DA523" s="39"/>
      <c r="DB523" s="39"/>
      <c r="DC523" s="39"/>
      <c r="DD523" s="39"/>
      <c r="DE523" s="39"/>
      <c r="DF523" s="39"/>
      <c r="DG523" s="39"/>
      <c r="DH523" s="39"/>
      <c r="DI523" s="39"/>
    </row>
    <row r="524" spans="1:113">
      <c r="A524" s="41"/>
      <c r="B524" s="42" t="s">
        <v>556</v>
      </c>
      <c r="C524" s="48" t="str">
        <f t="shared" ref="C524:G529" si="120">C464</f>
        <v>HKBN</v>
      </c>
      <c r="D524" s="44" t="str">
        <f t="shared" si="120"/>
        <v>HKD 3</v>
      </c>
      <c r="E524" s="44" t="str">
        <f t="shared" si="120"/>
        <v>HKD 16</v>
      </c>
      <c r="F524" s="45">
        <f t="shared" si="120"/>
        <v>5.2256809338521402</v>
      </c>
      <c r="G524" s="44" t="str">
        <f t="shared" si="120"/>
        <v>Buy</v>
      </c>
      <c r="H524" s="46"/>
      <c r="I524" s="47">
        <f>HKBN!$D$25/HKBN!$D$33</f>
        <v>7.2909441765952563</v>
      </c>
      <c r="J524" s="47">
        <f>HKBN!$E$25/HKBN!$E$33</f>
        <v>7.6475647463880545</v>
      </c>
      <c r="K524" s="47">
        <f>HKBN!$F$25/HKBN!$F$33</f>
        <v>7.8831870849307561</v>
      </c>
      <c r="L524" s="47">
        <f>HKBN!$G$25/HKBN!$G$33</f>
        <v>8.2468458732835916</v>
      </c>
      <c r="M524" s="45">
        <f>L524-I524</f>
        <v>0.95590169668833536</v>
      </c>
      <c r="N524" s="46"/>
      <c r="O524" s="45">
        <f>(HKBN!$D$24-HKBN!$D$25)/HKBN!$D$23</f>
        <v>5.6239019135151981E-2</v>
      </c>
      <c r="P524" s="45">
        <f>(HKBN!$E$24-HKBN!$E$25)/HKBN!$E$23</f>
        <v>5.3601060101908363E-2</v>
      </c>
      <c r="Q524" s="45">
        <f>(HKBN!$F$24-HKBN!$F$25)/HKBN!$F$23</f>
        <v>5.4508733139122516E-2</v>
      </c>
      <c r="R524" s="45">
        <f>(HKBN!$G$24-HKBN!$G$25)/HKBN!$G$23</f>
        <v>5.1756009715912536E-2</v>
      </c>
      <c r="S524" s="45">
        <f>R524-O524</f>
        <v>-4.4830094192394448E-3</v>
      </c>
      <c r="T524" s="46"/>
      <c r="U524" s="48" t="str">
        <f t="shared" ref="U524:V529" si="121">U464</f>
        <v>HKD 3</v>
      </c>
      <c r="V524" s="69" t="str">
        <f t="shared" si="121"/>
        <v>HKBN</v>
      </c>
      <c r="Z524" s="49"/>
      <c r="BF524" s="39"/>
      <c r="BG524" s="39"/>
      <c r="BH524" s="39"/>
      <c r="BI524" s="39"/>
      <c r="BJ524" s="39"/>
      <c r="BK524" s="39"/>
      <c r="BL524" s="39"/>
      <c r="BM524" s="39"/>
      <c r="BN524" s="39"/>
      <c r="BO524" s="39"/>
      <c r="BP524" s="39"/>
      <c r="BQ524" s="39"/>
      <c r="BR524" s="39"/>
      <c r="BS524" s="39"/>
      <c r="BT524" s="39"/>
      <c r="BU524" s="39"/>
      <c r="BV524" s="39"/>
      <c r="BW524" s="39"/>
      <c r="BX524" s="39"/>
      <c r="BY524" s="39"/>
      <c r="BZ524" s="39"/>
      <c r="CA524" s="39"/>
      <c r="CB524" s="39"/>
      <c r="CC524" s="39"/>
      <c r="CD524" s="39"/>
      <c r="CE524" s="39"/>
      <c r="CF524" s="39"/>
      <c r="CG524" s="39"/>
      <c r="CH524" s="39"/>
      <c r="CI524" s="39"/>
      <c r="CJ524" s="39"/>
      <c r="CK524" s="39"/>
      <c r="CL524" s="39"/>
      <c r="CM524" s="39"/>
      <c r="CN524" s="39"/>
      <c r="CO524" s="39"/>
      <c r="CP524" s="39"/>
      <c r="CQ524" s="39"/>
      <c r="CR524" s="39"/>
      <c r="CS524" s="39"/>
      <c r="CT524" s="39"/>
      <c r="CU524" s="39"/>
      <c r="CV524" s="39"/>
      <c r="CW524" s="39"/>
      <c r="CX524" s="39"/>
      <c r="CY524" s="39"/>
      <c r="CZ524" s="39"/>
      <c r="DA524" s="39"/>
      <c r="DB524" s="39"/>
      <c r="DC524" s="39"/>
      <c r="DD524" s="39"/>
      <c r="DE524" s="39"/>
      <c r="DF524" s="39"/>
      <c r="DG524" s="39"/>
      <c r="DH524" s="39"/>
      <c r="DI524" s="39"/>
    </row>
    <row r="525" spans="1:113">
      <c r="B525" s="88"/>
      <c r="C525" s="48" t="str">
        <f t="shared" si="120"/>
        <v>KDDI</v>
      </c>
      <c r="D525" s="44" t="str">
        <f t="shared" si="120"/>
        <v>JPY 4,302</v>
      </c>
      <c r="E525" s="44" t="str">
        <f t="shared" si="120"/>
        <v>JPY 6,600</v>
      </c>
      <c r="F525" s="45">
        <f t="shared" si="120"/>
        <v>0.53417015341701535</v>
      </c>
      <c r="G525" s="44" t="str">
        <f t="shared" si="120"/>
        <v>Buy</v>
      </c>
      <c r="H525" s="46"/>
      <c r="I525" s="47" t="e">
        <f>KDDI!$D$25/KDDI!$D$33</f>
        <v>#DIV/0!</v>
      </c>
      <c r="J525" s="47" t="e">
        <f>KDDI!$E$25/KDDI!$E$33</f>
        <v>#DIV/0!</v>
      </c>
      <c r="K525" s="47" t="e">
        <f>KDDI!$F$25/KDDI!$F$33</f>
        <v>#DIV/0!</v>
      </c>
      <c r="L525" s="47" t="e">
        <f>KDDI!$G$25/KDDI!$G$33</f>
        <v>#DIV/0!</v>
      </c>
      <c r="M525" s="45" t="e">
        <f t="shared" ref="M525:M530" si="122">L525-I525</f>
        <v>#DIV/0!</v>
      </c>
      <c r="N525" s="46"/>
      <c r="O525" s="45">
        <f>(KDDI!$D$24-KDDI!$D$25)/KDDI!$D$23</f>
        <v>0.13022084626336103</v>
      </c>
      <c r="P525" s="45">
        <f>(KDDI!$E$24-KDDI!$E$25)/KDDI!$E$23</f>
        <v>0.10500000000000001</v>
      </c>
      <c r="Q525" s="45">
        <f>(KDDI!$F$24-KDDI!$F$25)/KDDI!$F$23</f>
        <v>0.105</v>
      </c>
      <c r="R525" s="45">
        <f>(KDDI!$G$24-KDDI!$G$25)/KDDI!$G$23</f>
        <v>0.10500000000000002</v>
      </c>
      <c r="S525" s="45">
        <f t="shared" ref="S525:S530" si="123">R525-O525</f>
        <v>-2.5220846263361005E-2</v>
      </c>
      <c r="T525" s="46"/>
      <c r="U525" s="48" t="str">
        <f t="shared" si="121"/>
        <v>JPY 4,302</v>
      </c>
      <c r="V525" s="44" t="str">
        <f t="shared" si="121"/>
        <v>KDDI</v>
      </c>
      <c r="Z525" s="49"/>
      <c r="BF525" s="39"/>
      <c r="BG525" s="39"/>
      <c r="BH525" s="39"/>
      <c r="BI525" s="39"/>
      <c r="BJ525" s="39"/>
      <c r="BK525" s="39"/>
      <c r="BL525" s="39"/>
      <c r="BM525" s="39"/>
      <c r="BN525" s="39"/>
      <c r="BO525" s="39"/>
      <c r="BP525" s="39"/>
      <c r="BQ525" s="39"/>
      <c r="BR525" s="39"/>
      <c r="BS525" s="39"/>
      <c r="BT525" s="39"/>
      <c r="BU525" s="39"/>
      <c r="BV525" s="39"/>
      <c r="BW525" s="39"/>
      <c r="BX525" s="39"/>
      <c r="BY525" s="39"/>
      <c r="BZ525" s="39"/>
      <c r="CA525" s="39"/>
      <c r="CB525" s="39"/>
      <c r="CC525" s="39"/>
      <c r="CD525" s="39"/>
      <c r="CE525" s="39"/>
      <c r="CF525" s="39"/>
      <c r="CG525" s="39"/>
      <c r="CH525" s="39"/>
      <c r="CI525" s="39"/>
      <c r="CJ525" s="39"/>
      <c r="CK525" s="39"/>
      <c r="CL525" s="39"/>
      <c r="CM525" s="39"/>
      <c r="CN525" s="39"/>
      <c r="CO525" s="39"/>
      <c r="CP525" s="39"/>
      <c r="CQ525" s="39"/>
      <c r="CR525" s="39"/>
      <c r="CS525" s="39"/>
      <c r="CT525" s="39"/>
      <c r="CU525" s="39"/>
      <c r="CV525" s="39"/>
      <c r="CW525" s="39"/>
      <c r="CX525" s="39"/>
      <c r="CY525" s="39"/>
      <c r="CZ525" s="39"/>
      <c r="DA525" s="39"/>
      <c r="DB525" s="39"/>
      <c r="DC525" s="39"/>
      <c r="DD525" s="39"/>
      <c r="DE525" s="39"/>
      <c r="DF525" s="39"/>
      <c r="DG525" s="39"/>
      <c r="DH525" s="39"/>
      <c r="DI525" s="39"/>
    </row>
    <row r="526" spans="1:113">
      <c r="A526" s="41"/>
      <c r="C526" s="48" t="str">
        <f t="shared" si="120"/>
        <v>Macquarie Telecom</v>
      </c>
      <c r="D526" s="44" t="str">
        <f t="shared" si="120"/>
        <v>AUD 85.20</v>
      </c>
      <c r="E526" s="44" t="str">
        <f t="shared" si="120"/>
        <v>AUD 28.00</v>
      </c>
      <c r="F526" s="45">
        <f t="shared" si="120"/>
        <v>-0.67136150234741787</v>
      </c>
      <c r="G526" s="44" t="str">
        <f t="shared" si="120"/>
        <v>Neutral</v>
      </c>
      <c r="H526" s="46"/>
      <c r="I526" s="47">
        <f>MAQ!$D$25/MAQ!$D$33</f>
        <v>-23.338257652176388</v>
      </c>
      <c r="J526" s="47">
        <f>MAQ!$E$25/MAQ!$E$33</f>
        <v>-178.16415494742481</v>
      </c>
      <c r="K526" s="47">
        <f>MAQ!$F$25/MAQ!$F$33</f>
        <v>606.43971804794558</v>
      </c>
      <c r="L526" s="47">
        <f>MAQ!$G$25/MAQ!$G$33</f>
        <v>158.29771112441586</v>
      </c>
      <c r="M526" s="45">
        <f>L526-I526</f>
        <v>181.63596877659225</v>
      </c>
      <c r="N526" s="46"/>
      <c r="O526" s="45">
        <f>(MAQ!$D$24-MAQ!$D$25)/MAQ!$D$23</f>
        <v>0.20162351626950278</v>
      </c>
      <c r="P526" s="45">
        <f>(MAQ!$E$24-MAQ!$E$25)/MAQ!$E$23</f>
        <v>0.15628503203139577</v>
      </c>
      <c r="Q526" s="45">
        <f>(MAQ!$F$24-MAQ!$F$25)/MAQ!$F$23</f>
        <v>0.14335233086217225</v>
      </c>
      <c r="R526" s="45">
        <f>(MAQ!$G$24-MAQ!$G$25)/MAQ!$G$23</f>
        <v>0.11895429956678835</v>
      </c>
      <c r="S526" s="45">
        <f>R526-O526</f>
        <v>-8.2669216702714432E-2</v>
      </c>
      <c r="T526" s="46"/>
      <c r="U526" s="48" t="str">
        <f t="shared" si="121"/>
        <v>AUD 85.20</v>
      </c>
      <c r="V526" s="69" t="str">
        <f t="shared" si="121"/>
        <v>Macquarie Telecom</v>
      </c>
      <c r="Z526" s="49"/>
      <c r="BF526" s="39"/>
      <c r="BG526" s="39"/>
      <c r="BH526" s="39"/>
      <c r="BI526" s="39"/>
      <c r="BJ526" s="39"/>
      <c r="BK526" s="39"/>
      <c r="BL526" s="39"/>
      <c r="BM526" s="39"/>
      <c r="BN526" s="39"/>
      <c r="BO526" s="39"/>
      <c r="BP526" s="39"/>
      <c r="BQ526" s="39"/>
      <c r="BR526" s="39"/>
      <c r="BS526" s="39"/>
      <c r="BT526" s="39"/>
      <c r="BU526" s="39"/>
      <c r="BV526" s="39"/>
      <c r="BW526" s="39"/>
      <c r="BX526" s="39"/>
      <c r="BY526" s="39"/>
      <c r="BZ526" s="39"/>
      <c r="CA526" s="39"/>
      <c r="CB526" s="39"/>
      <c r="CC526" s="39"/>
      <c r="CD526" s="39"/>
      <c r="CE526" s="39"/>
      <c r="CF526" s="39"/>
      <c r="CG526" s="39"/>
      <c r="CH526" s="39"/>
      <c r="CI526" s="39"/>
      <c r="CJ526" s="39"/>
      <c r="CK526" s="39"/>
      <c r="CL526" s="39"/>
      <c r="CM526" s="39"/>
      <c r="CN526" s="39"/>
      <c r="CO526" s="39"/>
      <c r="CP526" s="39"/>
      <c r="CQ526" s="39"/>
      <c r="CR526" s="39"/>
      <c r="CS526" s="39"/>
      <c r="CT526" s="39"/>
      <c r="CU526" s="39"/>
      <c r="CV526" s="39"/>
      <c r="CW526" s="39"/>
      <c r="CX526" s="39"/>
      <c r="CY526" s="39"/>
      <c r="CZ526" s="39"/>
      <c r="DA526" s="39"/>
      <c r="DB526" s="39"/>
      <c r="DC526" s="39"/>
      <c r="DD526" s="39"/>
      <c r="DE526" s="39"/>
      <c r="DF526" s="39"/>
      <c r="DG526" s="39"/>
      <c r="DH526" s="39"/>
      <c r="DI526" s="39"/>
    </row>
    <row r="527" spans="1:113">
      <c r="B527" s="88"/>
      <c r="C527" s="48" t="str">
        <f t="shared" si="120"/>
        <v>Rakuten</v>
      </c>
      <c r="D527" s="44" t="str">
        <f t="shared" si="120"/>
        <v>JPY 776</v>
      </c>
      <c r="E527" s="44" t="str">
        <f t="shared" si="120"/>
        <v>JPY 400</v>
      </c>
      <c r="F527" s="45">
        <f t="shared" si="120"/>
        <v>-0.48446964815053484</v>
      </c>
      <c r="G527" s="44" t="str">
        <f t="shared" si="120"/>
        <v>Reduce</v>
      </c>
      <c r="H527" s="46"/>
      <c r="I527" s="47">
        <f>RAK!$D$25/RAK!$D$33</f>
        <v>26.867299649598714</v>
      </c>
      <c r="J527" s="47">
        <f>RAK!$E$25/RAK!$E$33</f>
        <v>-0.7144287645474332</v>
      </c>
      <c r="K527" s="47">
        <f>RAK!$F$25/RAK!$F$33</f>
        <v>-0.2112815511599142</v>
      </c>
      <c r="L527" s="47">
        <f>RAK!$G$25/RAK!$G$33</f>
        <v>-0.14224604153598741</v>
      </c>
      <c r="M527" s="45">
        <f>L527-I527</f>
        <v>-27.009545691134701</v>
      </c>
      <c r="N527" s="46"/>
      <c r="O527" s="45">
        <f>(RAK!$D$24-RAK!$D$25)/RAK!$D$23</f>
        <v>0.18629421406208135</v>
      </c>
      <c r="P527" s="45">
        <f>(RAK!$E$24-RAK!$E$25)/RAK!$E$23</f>
        <v>0.120655592543559</v>
      </c>
      <c r="Q527" s="45">
        <f>(RAK!$F$24-RAK!$F$25)/RAK!$F$23</f>
        <v>0.1156887655201209</v>
      </c>
      <c r="R527" s="45">
        <f>(RAK!$G$24-RAK!$G$25)/RAK!$G$23</f>
        <v>0.13393735632226419</v>
      </c>
      <c r="S527" s="45">
        <f>R527-O527</f>
        <v>-5.2356857739817159E-2</v>
      </c>
      <c r="T527" s="46"/>
      <c r="U527" s="48" t="str">
        <f t="shared" si="121"/>
        <v>JPY 776</v>
      </c>
      <c r="V527" s="44" t="str">
        <f t="shared" si="121"/>
        <v>Rakuten</v>
      </c>
      <c r="Z527" s="49"/>
      <c r="BF527" s="39"/>
      <c r="BG527" s="39"/>
      <c r="BH527" s="39"/>
      <c r="BI527" s="39"/>
      <c r="BJ527" s="39"/>
      <c r="BK527" s="39"/>
      <c r="BL527" s="39"/>
      <c r="BM527" s="39"/>
      <c r="BN527" s="39"/>
      <c r="BO527" s="39"/>
      <c r="BP527" s="39"/>
      <c r="BQ527" s="39"/>
      <c r="BR527" s="39"/>
      <c r="BS527" s="39"/>
      <c r="BT527" s="39"/>
      <c r="BU527" s="39"/>
      <c r="BV527" s="39"/>
      <c r="BW527" s="39"/>
      <c r="BX527" s="39"/>
      <c r="BY527" s="39"/>
      <c r="BZ527" s="39"/>
      <c r="CA527" s="39"/>
      <c r="CB527" s="39"/>
      <c r="CC527" s="39"/>
      <c r="CD527" s="39"/>
      <c r="CE527" s="39"/>
      <c r="CF527" s="39"/>
      <c r="CG527" s="39"/>
      <c r="CH527" s="39"/>
      <c r="CI527" s="39"/>
      <c r="CJ527" s="39"/>
      <c r="CK527" s="39"/>
      <c r="CL527" s="39"/>
      <c r="CM527" s="39"/>
      <c r="CN527" s="39"/>
      <c r="CO527" s="39"/>
      <c r="CP527" s="39"/>
      <c r="CQ527" s="39"/>
      <c r="CR527" s="39"/>
      <c r="CS527" s="39"/>
      <c r="CT527" s="39"/>
      <c r="CU527" s="39"/>
      <c r="CV527" s="39"/>
      <c r="CW527" s="39"/>
      <c r="CX527" s="39"/>
      <c r="CY527" s="39"/>
      <c r="CZ527" s="39"/>
      <c r="DA527" s="39"/>
      <c r="DB527" s="39"/>
      <c r="DC527" s="39"/>
      <c r="DD527" s="39"/>
      <c r="DE527" s="39"/>
      <c r="DF527" s="39"/>
      <c r="DG527" s="39"/>
      <c r="DH527" s="39"/>
      <c r="DI527" s="39"/>
    </row>
    <row r="528" spans="1:113">
      <c r="B528" s="88"/>
      <c r="C528" s="48" t="str">
        <f t="shared" si="120"/>
        <v>SoftBank KK (Corp)</v>
      </c>
      <c r="D528" s="44" t="str">
        <f t="shared" si="120"/>
        <v>JPY 1,898</v>
      </c>
      <c r="E528" s="44" t="str">
        <f t="shared" si="120"/>
        <v>JPY 2,500</v>
      </c>
      <c r="F528" s="45">
        <f t="shared" si="120"/>
        <v>0.31752305665349145</v>
      </c>
      <c r="G528" s="44" t="str">
        <f t="shared" si="120"/>
        <v>Buy</v>
      </c>
      <c r="H528" s="46"/>
      <c r="I528" s="47">
        <f>SBKK!$D$25/SBKK!$D$33</f>
        <v>-23.000783602095101</v>
      </c>
      <c r="J528" s="47">
        <f>SBKK!$E$25/SBKK!$E$33</f>
        <v>-22.699775674793287</v>
      </c>
      <c r="K528" s="47">
        <f>SBKK!$F$25/SBKK!$F$33</f>
        <v>-27.278625634200615</v>
      </c>
      <c r="L528" s="47">
        <f>SBKK!$G$25/SBKK!$G$33</f>
        <v>-33.873922634695511</v>
      </c>
      <c r="M528" s="45">
        <f t="shared" si="122"/>
        <v>-10.87313903260041</v>
      </c>
      <c r="N528" s="46"/>
      <c r="O528" s="45">
        <f>(SBKK!$D$24-SBKK!$D$25)/SBKK!$D$23</f>
        <v>9.0762656147271539E-2</v>
      </c>
      <c r="P528" s="45">
        <f>(SBKK!$E$24-SBKK!$E$25)/SBKK!$E$23</f>
        <v>8.1065703617095045E-2</v>
      </c>
      <c r="Q528" s="45">
        <f>(SBKK!$F$24-SBKK!$F$25)/SBKK!$F$23</f>
        <v>7.7596156002598518E-2</v>
      </c>
      <c r="R528" s="45">
        <f>(SBKK!$G$24-SBKK!$G$25)/SBKK!$G$23</f>
        <v>7.4143255095856966E-2</v>
      </c>
      <c r="S528" s="45">
        <f t="shared" si="123"/>
        <v>-1.6619401051414573E-2</v>
      </c>
      <c r="T528" s="46"/>
      <c r="U528" s="48" t="str">
        <f t="shared" si="121"/>
        <v>JPY 1,898</v>
      </c>
      <c r="V528" s="44" t="str">
        <f t="shared" si="121"/>
        <v>SoftBank KK (Corp)</v>
      </c>
      <c r="Z528" s="49"/>
      <c r="BF528" s="39"/>
      <c r="BG528" s="39"/>
      <c r="BH528" s="39"/>
      <c r="BI528" s="39"/>
      <c r="BJ528" s="39"/>
      <c r="BK528" s="39"/>
      <c r="BL528" s="39"/>
      <c r="BM528" s="39"/>
      <c r="BN528" s="39"/>
      <c r="BO528" s="39"/>
      <c r="BP528" s="39"/>
      <c r="BQ528" s="39"/>
      <c r="BR528" s="39"/>
      <c r="BS528" s="39"/>
      <c r="BT528" s="39"/>
      <c r="BU528" s="39"/>
      <c r="BV528" s="39"/>
      <c r="BW528" s="39"/>
      <c r="BX528" s="39"/>
      <c r="BY528" s="39"/>
      <c r="BZ528" s="39"/>
      <c r="CA528" s="39"/>
      <c r="CB528" s="39"/>
      <c r="CC528" s="39"/>
      <c r="CD528" s="39"/>
      <c r="CE528" s="39"/>
      <c r="CF528" s="39"/>
      <c r="CG528" s="39"/>
      <c r="CH528" s="39"/>
      <c r="CI528" s="39"/>
      <c r="CJ528" s="39"/>
      <c r="CK528" s="39"/>
      <c r="CL528" s="39"/>
      <c r="CM528" s="39"/>
      <c r="CN528" s="39"/>
      <c r="CO528" s="39"/>
      <c r="CP528" s="39"/>
      <c r="CQ528" s="39"/>
      <c r="CR528" s="39"/>
      <c r="CS528" s="39"/>
      <c r="CT528" s="39"/>
      <c r="CU528" s="39"/>
      <c r="CV528" s="39"/>
      <c r="CW528" s="39"/>
      <c r="CX528" s="39"/>
      <c r="CY528" s="39"/>
      <c r="CZ528" s="39"/>
      <c r="DA528" s="39"/>
      <c r="DB528" s="39"/>
      <c r="DC528" s="39"/>
      <c r="DD528" s="39"/>
      <c r="DE528" s="39"/>
      <c r="DF528" s="39"/>
      <c r="DG528" s="39"/>
      <c r="DH528" s="39"/>
      <c r="DI528" s="39"/>
    </row>
    <row r="529" spans="1:113">
      <c r="A529" s="41"/>
      <c r="C529" s="48" t="str">
        <f t="shared" si="120"/>
        <v>TPG</v>
      </c>
      <c r="D529" s="44" t="str">
        <f t="shared" si="120"/>
        <v>AUD 4.60</v>
      </c>
      <c r="E529" s="44" t="str">
        <f t="shared" si="120"/>
        <v>AUD 7.50</v>
      </c>
      <c r="F529" s="45">
        <f t="shared" si="120"/>
        <v>0.63043478260869579</v>
      </c>
      <c r="G529" s="44" t="str">
        <f t="shared" si="120"/>
        <v>Neutral</v>
      </c>
      <c r="H529" s="46"/>
      <c r="I529" s="47">
        <f>TPG!$D$25/TPG!$D$33</f>
        <v>3.1923258665060681</v>
      </c>
      <c r="J529" s="47">
        <f>TPG!$E$25/TPG!$E$33</f>
        <v>4.2663393576568414</v>
      </c>
      <c r="K529" s="47">
        <f>TPG!$F$25/TPG!$F$33</f>
        <v>4.5129630833965173</v>
      </c>
      <c r="L529" s="47">
        <f>TPG!$G$25/TPG!$G$33</f>
        <v>4.9642573311072002</v>
      </c>
      <c r="M529" s="45">
        <f>L529-I529</f>
        <v>1.7719314646011322</v>
      </c>
      <c r="N529" s="46"/>
      <c r="O529" s="45">
        <f>(TPG!$D$24-TPG!$D$25)/TPG!$D$23</f>
        <v>0.1194675351838924</v>
      </c>
      <c r="P529" s="45">
        <f>(TPG!$E$24-TPG!$E$25)/TPG!$E$23</f>
        <v>0.10498846262432035</v>
      </c>
      <c r="Q529" s="45">
        <f>(TPG!$F$24-TPG!$F$25)/TPG!$F$23</f>
        <v>0.10957917646847119</v>
      </c>
      <c r="R529" s="45">
        <f>(TPG!$G$24-TPG!$G$25)/TPG!$G$23</f>
        <v>0.10822448872336637</v>
      </c>
      <c r="S529" s="45">
        <f>R529-O529</f>
        <v>-1.1243046460526027E-2</v>
      </c>
      <c r="T529" s="46"/>
      <c r="U529" s="48" t="str">
        <f t="shared" si="121"/>
        <v>AUD 4.60</v>
      </c>
      <c r="V529" s="44" t="str">
        <f t="shared" si="121"/>
        <v>TPG</v>
      </c>
      <c r="Z529" s="49"/>
      <c r="BF529" s="39"/>
      <c r="BG529" s="39"/>
      <c r="BH529" s="39"/>
      <c r="BI529" s="39"/>
      <c r="BJ529" s="39"/>
      <c r="BK529" s="39"/>
      <c r="BL529" s="39"/>
      <c r="BM529" s="39"/>
      <c r="BN529" s="39"/>
      <c r="BO529" s="39"/>
      <c r="BP529" s="39"/>
      <c r="BQ529" s="39"/>
      <c r="BR529" s="39"/>
      <c r="BS529" s="39"/>
      <c r="BT529" s="39"/>
      <c r="BU529" s="39"/>
      <c r="BV529" s="39"/>
      <c r="BW529" s="39"/>
      <c r="BX529" s="39"/>
      <c r="BY529" s="39"/>
      <c r="BZ529" s="39"/>
      <c r="CA529" s="39"/>
      <c r="CB529" s="39"/>
      <c r="CC529" s="39"/>
      <c r="CD529" s="39"/>
      <c r="CE529" s="39"/>
      <c r="CF529" s="39"/>
      <c r="CG529" s="39"/>
      <c r="CH529" s="39"/>
      <c r="CI529" s="39"/>
      <c r="CJ529" s="39"/>
      <c r="CK529" s="39"/>
      <c r="CL529" s="39"/>
      <c r="CM529" s="39"/>
      <c r="CN529" s="39"/>
      <c r="CO529" s="39"/>
      <c r="CP529" s="39"/>
      <c r="CQ529" s="39"/>
      <c r="CR529" s="39"/>
      <c r="CS529" s="39"/>
      <c r="CT529" s="39"/>
      <c r="CU529" s="39"/>
      <c r="CV529" s="39"/>
      <c r="CW529" s="39"/>
      <c r="CX529" s="39"/>
      <c r="CY529" s="39"/>
      <c r="CZ529" s="39"/>
      <c r="DA529" s="39"/>
      <c r="DB529" s="39"/>
      <c r="DC529" s="39"/>
      <c r="DD529" s="39"/>
      <c r="DE529" s="39"/>
      <c r="DF529" s="39"/>
      <c r="DG529" s="39"/>
      <c r="DH529" s="39"/>
      <c r="DI529" s="39"/>
    </row>
    <row r="530" spans="1:113">
      <c r="B530" s="88"/>
      <c r="C530" s="51" t="str">
        <f>C470</f>
        <v>Agg. Developed Asia Other</v>
      </c>
      <c r="D530" s="52"/>
      <c r="E530" s="52"/>
      <c r="F530" s="53"/>
      <c r="G530" s="52"/>
      <c r="H530" s="46"/>
      <c r="I530" s="54">
        <f>'DM ASIA OTHER'!$D$25/'DM ASIA OTHER'!$D$33</f>
        <v>-80.396797056939249</v>
      </c>
      <c r="J530" s="54">
        <f>'DM ASIA OTHER'!$E$25/'DM ASIA OTHER'!$E$33</f>
        <v>20.958342479547213</v>
      </c>
      <c r="K530" s="54">
        <f>'DM ASIA OTHER'!$F$25/'DM ASIA OTHER'!$F$33</f>
        <v>17.592354800062008</v>
      </c>
      <c r="L530" s="54">
        <f>'DM ASIA OTHER'!$G$25/'DM ASIA OTHER'!$G$33</f>
        <v>15.569028342703811</v>
      </c>
      <c r="M530" s="55">
        <f t="shared" si="122"/>
        <v>95.965825399643066</v>
      </c>
      <c r="N530" s="56"/>
      <c r="O530" s="55">
        <f>('DM ASIA OTHER'!$D$24-'DM ASIA OTHER'!$D$25)/'DM ASIA OTHER'!$D$23</f>
        <v>0.12022883284159608</v>
      </c>
      <c r="P530" s="55">
        <f>('DM ASIA OTHER'!$E$24-'DM ASIA OTHER'!$E$25)/'DM ASIA OTHER'!$E$23</f>
        <v>9.6554926874258512E-2</v>
      </c>
      <c r="Q530" s="55">
        <f>('DM ASIA OTHER'!$F$24-'DM ASIA OTHER'!$F$25)/'DM ASIA OTHER'!$F$23</f>
        <v>9.4610976195901475E-2</v>
      </c>
      <c r="R530" s="55">
        <f>('DM ASIA OTHER'!$G$24-'DM ASIA OTHER'!$G$25)/'DM ASIA OTHER'!$G$23</f>
        <v>9.5895330349086594E-2</v>
      </c>
      <c r="S530" s="55">
        <f t="shared" si="123"/>
        <v>-2.4333502492509484E-2</v>
      </c>
      <c r="T530" s="46"/>
      <c r="U530" s="57"/>
      <c r="V530" s="58" t="str">
        <f>V470</f>
        <v>Agg. Developed Asia Cellular</v>
      </c>
      <c r="Z530" s="49"/>
      <c r="BF530" s="39"/>
      <c r="BG530" s="39"/>
      <c r="BH530" s="39"/>
      <c r="BI530" s="39"/>
      <c r="BJ530" s="39"/>
      <c r="BK530" s="39"/>
      <c r="BL530" s="39"/>
      <c r="BM530" s="39"/>
      <c r="BN530" s="39"/>
      <c r="BO530" s="39"/>
      <c r="BP530" s="39"/>
      <c r="BQ530" s="39"/>
      <c r="BR530" s="39"/>
      <c r="BS530" s="39"/>
      <c r="BT530" s="39"/>
      <c r="BU530" s="39"/>
      <c r="BV530" s="39"/>
      <c r="BW530" s="39"/>
      <c r="BX530" s="39"/>
      <c r="BY530" s="39"/>
      <c r="BZ530" s="39"/>
      <c r="CA530" s="39"/>
      <c r="CB530" s="39"/>
      <c r="CC530" s="39"/>
      <c r="CD530" s="39"/>
      <c r="CE530" s="39"/>
      <c r="CF530" s="39"/>
      <c r="CG530" s="39"/>
      <c r="CH530" s="39"/>
      <c r="CI530" s="39"/>
      <c r="CJ530" s="39"/>
      <c r="CK530" s="39"/>
      <c r="CL530" s="39"/>
      <c r="CM530" s="39"/>
      <c r="CN530" s="39"/>
      <c r="CO530" s="39"/>
      <c r="CP530" s="39"/>
      <c r="CQ530" s="39"/>
      <c r="CR530" s="39"/>
      <c r="CS530" s="39"/>
      <c r="CT530" s="39"/>
      <c r="CU530" s="39"/>
      <c r="CV530" s="39"/>
      <c r="CW530" s="39"/>
      <c r="CX530" s="39"/>
      <c r="CY530" s="39"/>
      <c r="CZ530" s="39"/>
      <c r="DA530" s="39"/>
      <c r="DB530" s="39"/>
      <c r="DC530" s="39"/>
      <c r="DD530" s="39"/>
      <c r="DE530" s="39"/>
      <c r="DF530" s="39"/>
      <c r="DG530" s="39"/>
      <c r="DH530" s="39"/>
      <c r="DI530" s="39"/>
    </row>
    <row r="531" spans="1:113">
      <c r="A531" s="41"/>
      <c r="C531" s="48"/>
      <c r="D531" s="44"/>
      <c r="E531" s="44"/>
      <c r="F531" s="45"/>
      <c r="G531" s="44"/>
      <c r="H531" s="46"/>
      <c r="I531" s="47"/>
      <c r="J531" s="47"/>
      <c r="K531" s="47"/>
      <c r="L531" s="47"/>
      <c r="M531" s="45"/>
      <c r="N531" s="46"/>
      <c r="O531" s="45"/>
      <c r="P531" s="45"/>
      <c r="Q531" s="45"/>
      <c r="R531" s="45"/>
      <c r="S531" s="45"/>
      <c r="T531" s="46"/>
      <c r="U531" s="48"/>
      <c r="V531" s="44"/>
      <c r="Z531" s="49"/>
    </row>
    <row r="532" spans="1:113">
      <c r="A532" s="41"/>
      <c r="B532" s="42" t="s">
        <v>519</v>
      </c>
      <c r="C532" s="48" t="str">
        <f>C472</f>
        <v>Altice US</v>
      </c>
      <c r="D532" s="44" t="str">
        <f>D472</f>
        <v>US$2.3</v>
      </c>
      <c r="E532" s="44" t="str">
        <f>E472</f>
        <v>US$4.0</v>
      </c>
      <c r="F532" s="45">
        <f>F472</f>
        <v>0.71673819742489275</v>
      </c>
      <c r="G532" s="44" t="str">
        <f>G472</f>
        <v>Neutral</v>
      </c>
      <c r="H532" s="46"/>
      <c r="I532" s="47">
        <f>ATCUS!D$25/ATCUS!D$33</f>
        <v>-1.1616471033237346</v>
      </c>
      <c r="J532" s="47">
        <f>ATCUS!E$25/ATCUS!E$33</f>
        <v>-1.1027911849407777</v>
      </c>
      <c r="K532" s="47">
        <f>ATCUS!F$25/ATCUS!F$33</f>
        <v>-1.136403695644477</v>
      </c>
      <c r="L532" s="47">
        <f>ATCUS!G$25/ATCUS!G$33</f>
        <v>-1.2077089178764628</v>
      </c>
      <c r="M532" s="45">
        <f t="shared" ref="M532:M537" si="124">L532-I532</f>
        <v>-4.6061814552728286E-2</v>
      </c>
      <c r="N532" s="46"/>
      <c r="O532" s="45">
        <f>(ATCUS!D$24-ATCUS!D$25)/ATCUS!D$23</f>
        <v>0.18456199935390724</v>
      </c>
      <c r="P532" s="45">
        <f>(ATCUS!E$24-ATCUS!E$25)/ATCUS!E$23</f>
        <v>0.18197244750492556</v>
      </c>
      <c r="Q532" s="45">
        <f>(ATCUS!F$24-ATCUS!F$25)/ATCUS!F$23</f>
        <v>0.16890744684054584</v>
      </c>
      <c r="R532" s="45">
        <f>(ATCUS!G$24-ATCUS!G$25)/ATCUS!G$23</f>
        <v>0.15582058070194013</v>
      </c>
      <c r="S532" s="45">
        <f t="shared" ref="S532:S537" si="125">R532-O532</f>
        <v>-2.874141865196711E-2</v>
      </c>
      <c r="T532" s="46"/>
      <c r="U532" s="48" t="str">
        <f>D532</f>
        <v>US$2.3</v>
      </c>
      <c r="V532" s="44" t="str">
        <f t="shared" ref="V532:V537" si="126">C532</f>
        <v>Altice US</v>
      </c>
      <c r="Z532" s="49"/>
    </row>
    <row r="533" spans="1:113">
      <c r="A533" s="41"/>
      <c r="B533" s="42" t="s">
        <v>519</v>
      </c>
      <c r="C533" s="48" t="s">
        <v>311</v>
      </c>
      <c r="D533" s="44" t="str">
        <f>B533&amp;TEXT(Prices!$C$45,"0.0")</f>
        <v>US$271.5</v>
      </c>
      <c r="E533" s="44" t="str">
        <f>B533&amp;TEXT(Prices!$E$45,"0.0")</f>
        <v>US$581.0</v>
      </c>
      <c r="F533" s="45">
        <f>Prices!$F$45</f>
        <v>1.1402784940691078</v>
      </c>
      <c r="G533" s="44" t="str">
        <f>Prices!$D$45</f>
        <v>Buy</v>
      </c>
      <c r="H533" s="46"/>
      <c r="I533" s="47" t="e">
        <f>CHTR!D$25/CHTR!D$33</f>
        <v>#DIV/0!</v>
      </c>
      <c r="J533" s="47" t="e">
        <f>CHTR!E$25/CHTR!E$33</f>
        <v>#DIV/0!</v>
      </c>
      <c r="K533" s="47" t="e">
        <f>CHTR!F$25/CHTR!F$33</f>
        <v>#DIV/0!</v>
      </c>
      <c r="L533" s="47" t="e">
        <f>CHTR!G$25/CHTR!G$33</f>
        <v>#DIV/0!</v>
      </c>
      <c r="M533" s="45" t="e">
        <f t="shared" si="124"/>
        <v>#DIV/0!</v>
      </c>
      <c r="N533" s="46"/>
      <c r="O533" s="45">
        <f>(CHTR!D$24-CHTR!D$25)/CHTR!D$23</f>
        <v>0.20354533301591371</v>
      </c>
      <c r="P533" s="45">
        <f>(CHTR!E$24-CHTR!E$25)/CHTR!E$23</f>
        <v>0.22257326321829726</v>
      </c>
      <c r="Q533" s="45">
        <f>(CHTR!F$24-CHTR!F$25)/CHTR!F$23</f>
        <v>0.2241830563214525</v>
      </c>
      <c r="R533" s="45">
        <f>(CHTR!G$24-CHTR!G$25)/CHTR!G$23</f>
        <v>0.19650609392325183</v>
      </c>
      <c r="S533" s="45">
        <f t="shared" si="125"/>
        <v>-7.0392390926618809E-3</v>
      </c>
      <c r="T533" s="46"/>
      <c r="U533" s="48" t="str">
        <f>D533</f>
        <v>US$271.5</v>
      </c>
      <c r="V533" s="44" t="str">
        <f t="shared" si="126"/>
        <v>Charter</v>
      </c>
      <c r="Z533" s="49"/>
    </row>
    <row r="534" spans="1:113">
      <c r="A534" s="41"/>
      <c r="B534" s="42" t="s">
        <v>519</v>
      </c>
      <c r="C534" s="48" t="s">
        <v>309</v>
      </c>
      <c r="D534" s="44" t="str">
        <f>B534&amp;TEXT(Prices!$C$46,"0.0")</f>
        <v>US$38.5</v>
      </c>
      <c r="E534" s="44" t="str">
        <f>B534&amp;TEXT(Prices!$E$46,"0.0")</f>
        <v>US$50.0</v>
      </c>
      <c r="F534" s="45">
        <f>Prices!$F$46</f>
        <v>0.29735339906590563</v>
      </c>
      <c r="G534" s="44" t="str">
        <f>Prices!$D$46</f>
        <v>Buy</v>
      </c>
      <c r="H534" s="46"/>
      <c r="I534" s="47">
        <f>CMCSA!D$25/CMCSA!D$33</f>
        <v>-6.5389143270685723</v>
      </c>
      <c r="J534" s="47">
        <f>CMCSA!E$25/CMCSA!E$33</f>
        <v>-6.9722092419189945</v>
      </c>
      <c r="K534" s="47">
        <f>CMCSA!F$25/CMCSA!F$33</f>
        <v>-7.2588928602454406</v>
      </c>
      <c r="L534" s="47">
        <f>CMCSA!G$25/CMCSA!G$33</f>
        <v>-7.8066141774879103</v>
      </c>
      <c r="M534" s="45">
        <f t="shared" si="124"/>
        <v>-1.267699850419338</v>
      </c>
      <c r="N534" s="46"/>
      <c r="O534" s="45">
        <f>(CMCSA!D$24-CMCSA!D$25)/CMCSA!D$23</f>
        <v>0.10068338074562588</v>
      </c>
      <c r="P534" s="45">
        <f>(CMCSA!E$24-CMCSA!E$25)/CMCSA!E$23</f>
        <v>9.6964736306617214E-2</v>
      </c>
      <c r="Q534" s="45">
        <f>(CMCSA!F$24-CMCSA!F$25)/CMCSA!F$23</f>
        <v>8.8526467370388148E-2</v>
      </c>
      <c r="R534" s="45">
        <f>(CMCSA!G$24-CMCSA!G$25)/CMCSA!G$23</f>
        <v>7.6443175151908058E-2</v>
      </c>
      <c r="S534" s="45">
        <f t="shared" si="125"/>
        <v>-2.4240205593717826E-2</v>
      </c>
      <c r="T534" s="46"/>
      <c r="U534" s="48" t="str">
        <f>D534</f>
        <v>US$38.5</v>
      </c>
      <c r="V534" s="44" t="str">
        <f t="shared" si="126"/>
        <v>Comcast</v>
      </c>
      <c r="Z534" s="49"/>
    </row>
    <row r="535" spans="1:113">
      <c r="A535" s="41"/>
      <c r="B535" s="42" t="s">
        <v>527</v>
      </c>
      <c r="C535" s="48" t="s">
        <v>1615</v>
      </c>
      <c r="D535" s="44" t="str">
        <f>B535&amp;TEXT(Prices!C$47,"0.0")</f>
        <v>US$ 25.6</v>
      </c>
      <c r="E535" s="44" t="str">
        <f>B535&amp;TEXT(Prices!E$47,"0.0")</f>
        <v>US$ 54.0</v>
      </c>
      <c r="F535" s="45">
        <f>Prices!F$47</f>
        <v>1.111024237685692</v>
      </c>
      <c r="G535" s="44" t="str">
        <f>Prices!D$47</f>
        <v>Buy</v>
      </c>
      <c r="H535" s="46"/>
      <c r="I535" s="47">
        <f>(FYBR!D$25/FYBR!D$33)</f>
        <v>1.660030627871363</v>
      </c>
      <c r="J535" s="47">
        <f>(FYBR!E$25/FYBR!E$33)</f>
        <v>2.9239620374201398</v>
      </c>
      <c r="K535" s="47">
        <f>(FYBR!F$25/FYBR!F$33)</f>
        <v>2.2125330265953966</v>
      </c>
      <c r="L535" s="47">
        <f>(FYBR!G$25/FYBR!G$33)</f>
        <v>0.35712168414182449</v>
      </c>
      <c r="M535" s="45">
        <f t="shared" si="124"/>
        <v>-1.3029089437295385</v>
      </c>
      <c r="N535" s="46"/>
      <c r="O535" s="45">
        <f>(FYBR!D$24-FYBR!D$25)/FYBR!D$23</f>
        <v>0.55833768040340814</v>
      </c>
      <c r="P535" s="45">
        <f>(FYBR!E$24-FYBR!E$25)/FYBR!E$23</f>
        <v>0.7550643353176627</v>
      </c>
      <c r="Q535" s="45">
        <f>(FYBR!F$24-FYBR!F$25)/FYBR!F$23</f>
        <v>0.67240874526405459</v>
      </c>
      <c r="R535" s="45">
        <f>(FYBR!G$24-FYBR!G$25)/FYBR!G$23</f>
        <v>0.43309578244817704</v>
      </c>
      <c r="S535" s="45">
        <f t="shared" si="125"/>
        <v>-0.12524189795523111</v>
      </c>
      <c r="T535" s="46"/>
      <c r="U535" s="48" t="str">
        <f>D535</f>
        <v>US$ 25.6</v>
      </c>
      <c r="V535" s="44" t="str">
        <f t="shared" si="126"/>
        <v>Frontier</v>
      </c>
      <c r="Z535" s="49"/>
      <c r="BF535" s="39"/>
      <c r="BG535" s="39"/>
      <c r="BH535" s="39"/>
      <c r="BI535" s="39"/>
      <c r="BJ535" s="39"/>
      <c r="BK535" s="39"/>
      <c r="BL535" s="39"/>
      <c r="BM535" s="39"/>
      <c r="BN535" s="39"/>
      <c r="BO535" s="39"/>
      <c r="BP535" s="39"/>
      <c r="BQ535" s="39"/>
      <c r="BR535" s="39"/>
      <c r="BS535" s="39"/>
      <c r="BT535" s="39"/>
      <c r="BU535" s="39"/>
      <c r="BV535" s="39"/>
      <c r="BW535" s="39"/>
      <c r="BX535" s="39"/>
      <c r="BY535" s="39"/>
      <c r="BZ535" s="39"/>
      <c r="CA535" s="39"/>
      <c r="CB535" s="39"/>
      <c r="CC535" s="39"/>
      <c r="CD535" s="39"/>
      <c r="CE535" s="39"/>
      <c r="CF535" s="39"/>
      <c r="CG535" s="39"/>
      <c r="CH535" s="39"/>
      <c r="CI535" s="39"/>
      <c r="CJ535" s="39"/>
      <c r="CK535" s="39"/>
      <c r="CL535" s="39"/>
      <c r="CM535" s="39"/>
      <c r="CN535" s="39"/>
      <c r="CO535" s="39"/>
      <c r="CP535" s="39"/>
      <c r="CQ535" s="39"/>
      <c r="CR535" s="39"/>
      <c r="CS535" s="39"/>
      <c r="CT535" s="39"/>
      <c r="CU535" s="39"/>
      <c r="CV535" s="39"/>
      <c r="CW535" s="39"/>
      <c r="CX535" s="39"/>
      <c r="CY535" s="39"/>
      <c r="CZ535" s="39"/>
      <c r="DA535" s="39"/>
      <c r="DB535" s="39"/>
      <c r="DC535" s="39"/>
      <c r="DD535" s="39"/>
      <c r="DE535" s="39"/>
      <c r="DF535" s="39"/>
      <c r="DG535" s="39"/>
      <c r="DH535" s="39"/>
      <c r="DI535" s="39"/>
    </row>
    <row r="536" spans="1:113">
      <c r="A536" s="41"/>
      <c r="B536" s="42" t="s">
        <v>527</v>
      </c>
      <c r="C536" s="48" t="s">
        <v>1616</v>
      </c>
      <c r="D536" s="44" t="str">
        <f>B536&amp;TEXT(Prices!C$48,"0.0")</f>
        <v>US$ 18.5</v>
      </c>
      <c r="E536" s="44" t="str">
        <f>B536&amp;TEXT(Prices!E$48,"0.0")</f>
        <v>US$ 100.0</v>
      </c>
      <c r="F536" s="45">
        <f>Prices!F$48</f>
        <v>4.408328826392645</v>
      </c>
      <c r="G536" s="44" t="str">
        <f>Prices!D$48</f>
        <v>Buy</v>
      </c>
      <c r="H536" s="46"/>
      <c r="I536" s="47">
        <f>(SATS!D$25/SATS!D$33)</f>
        <v>-1.0282579514332699</v>
      </c>
      <c r="J536" s="47">
        <f>(SATS!E$25/SATS!E$33)</f>
        <v>0.82357698716938044</v>
      </c>
      <c r="K536" s="47">
        <f>(SATS!F$25/SATS!F$33)</f>
        <v>1.2641712060496699</v>
      </c>
      <c r="L536" s="47">
        <f>(SATS!G$25/SATS!G$33)</f>
        <v>2.0188209406367701</v>
      </c>
      <c r="M536" s="45">
        <f t="shared" si="124"/>
        <v>3.04707889207004</v>
      </c>
      <c r="N536" s="46"/>
      <c r="O536" s="45">
        <f>(SATS!D$24-SATS!D$25)/SATS!D$23</f>
        <v>0.17193828435994468</v>
      </c>
      <c r="P536" s="45">
        <f>(SATS!E$24-SATS!E$25)/SATS!E$23</f>
        <v>6.5001676966438035E-2</v>
      </c>
      <c r="Q536" s="45">
        <f>(SATS!F$24-SATS!F$25)/SATS!F$23</f>
        <v>6.8546942000262692E-2</v>
      </c>
      <c r="R536" s="45">
        <f>(SATS!G$24-SATS!G$25)/SATS!G$23</f>
        <v>4.7909324937603255E-2</v>
      </c>
      <c r="S536" s="45">
        <f t="shared" si="125"/>
        <v>-0.12402895942234143</v>
      </c>
      <c r="T536" s="46"/>
      <c r="U536" s="48" t="str">
        <f>D536</f>
        <v>US$ 18.5</v>
      </c>
      <c r="V536" s="44" t="str">
        <f t="shared" si="126"/>
        <v>EchoStar</v>
      </c>
      <c r="Z536" s="49"/>
      <c r="BF536" s="39"/>
      <c r="BG536" s="39"/>
      <c r="BH536" s="39"/>
      <c r="BI536" s="39"/>
      <c r="BJ536" s="39"/>
      <c r="BK536" s="39"/>
      <c r="BL536" s="39"/>
      <c r="BM536" s="39"/>
      <c r="BN536" s="39"/>
      <c r="BO536" s="39"/>
      <c r="BP536" s="39"/>
      <c r="BQ536" s="39"/>
      <c r="BR536" s="39"/>
      <c r="BS536" s="39"/>
      <c r="BT536" s="39"/>
      <c r="BU536" s="39"/>
      <c r="BV536" s="39"/>
      <c r="BW536" s="39"/>
      <c r="BX536" s="39"/>
      <c r="BY536" s="39"/>
      <c r="BZ536" s="39"/>
      <c r="CA536" s="39"/>
      <c r="CB536" s="39"/>
      <c r="CC536" s="39"/>
      <c r="CD536" s="39"/>
      <c r="CE536" s="39"/>
      <c r="CF536" s="39"/>
      <c r="CG536" s="39"/>
      <c r="CH536" s="39"/>
      <c r="CI536" s="39"/>
      <c r="CJ536" s="39"/>
      <c r="CK536" s="39"/>
      <c r="CL536" s="39"/>
      <c r="CM536" s="39"/>
      <c r="CN536" s="39"/>
      <c r="CO536" s="39"/>
      <c r="CP536" s="39"/>
      <c r="CQ536" s="39"/>
      <c r="CR536" s="39"/>
      <c r="CS536" s="39"/>
      <c r="CT536" s="39"/>
      <c r="CU536" s="39"/>
      <c r="CV536" s="39"/>
      <c r="CW536" s="39"/>
      <c r="CX536" s="39"/>
      <c r="CY536" s="39"/>
      <c r="CZ536" s="39"/>
      <c r="DA536" s="39"/>
      <c r="DB536" s="39"/>
      <c r="DC536" s="39"/>
      <c r="DD536" s="39"/>
      <c r="DE536" s="39"/>
      <c r="DF536" s="39"/>
      <c r="DG536" s="39"/>
      <c r="DH536" s="39"/>
      <c r="DI536" s="39"/>
    </row>
    <row r="537" spans="1:113">
      <c r="A537" s="41"/>
      <c r="C537" s="51" t="str">
        <f>C477</f>
        <v>Agg. US Other</v>
      </c>
      <c r="D537" s="58"/>
      <c r="E537" s="58"/>
      <c r="F537" s="55"/>
      <c r="G537" s="58"/>
      <c r="H537" s="56"/>
      <c r="I537" s="54">
        <f>('US OTHER'!D$25/'US OTHER'!D$33)</f>
        <v>-7.2955071339394966</v>
      </c>
      <c r="J537" s="54">
        <f>('US OTHER'!E$25/'US OTHER'!E$33)</f>
        <v>-8.904956946078352</v>
      </c>
      <c r="K537" s="54">
        <f>('US OTHER'!F$25/'US OTHER'!F$33)</f>
        <v>-9.016765723680523</v>
      </c>
      <c r="L537" s="54">
        <f>('US OTHER'!G$25/'US OTHER'!G$33)</f>
        <v>-10.069741169883414</v>
      </c>
      <c r="M537" s="55">
        <f t="shared" si="124"/>
        <v>-2.7742340359439179</v>
      </c>
      <c r="N537" s="56"/>
      <c r="O537" s="55">
        <f>('US OTHER'!D$24-'US OTHER'!D$25)/'US OTHER'!D$23</f>
        <v>0.14985634458881938</v>
      </c>
      <c r="P537" s="55">
        <f>('US OTHER'!E$24-'US OTHER'!E$25)/'US OTHER'!E$23</f>
        <v>0.13612901389974683</v>
      </c>
      <c r="Q537" s="55">
        <f>('US OTHER'!F$24-'US OTHER'!F$25)/'US OTHER'!F$23</f>
        <v>0.13049267084175895</v>
      </c>
      <c r="R537" s="55">
        <f>('US OTHER'!G$24-'US OTHER'!G$25)/'US OTHER'!G$23</f>
        <v>0.11191751821935698</v>
      </c>
      <c r="S537" s="55">
        <f t="shared" si="125"/>
        <v>-3.79388263694624E-2</v>
      </c>
      <c r="T537" s="56"/>
      <c r="U537" s="51"/>
      <c r="V537" s="58" t="str">
        <f t="shared" si="126"/>
        <v>Agg. US Other</v>
      </c>
      <c r="Z537" s="49"/>
    </row>
    <row r="538" spans="1:113">
      <c r="A538" s="41"/>
      <c r="C538" s="48"/>
      <c r="D538" s="44"/>
      <c r="E538" s="44"/>
      <c r="F538" s="45"/>
      <c r="G538" s="44"/>
      <c r="H538" s="46"/>
      <c r="I538" s="47"/>
      <c r="J538" s="47"/>
      <c r="K538" s="47"/>
      <c r="L538" s="47"/>
      <c r="M538" s="45"/>
      <c r="N538" s="46"/>
      <c r="O538" s="45"/>
      <c r="P538" s="45"/>
      <c r="Q538" s="45"/>
      <c r="R538" s="45"/>
      <c r="S538" s="45"/>
      <c r="T538" s="46"/>
      <c r="U538" s="48"/>
      <c r="V538" s="44"/>
      <c r="Z538" s="49"/>
    </row>
    <row r="539" spans="1:113">
      <c r="C539" s="48"/>
      <c r="D539" s="44"/>
      <c r="E539" s="44"/>
      <c r="F539" s="45"/>
      <c r="G539" s="44"/>
      <c r="H539" s="46"/>
      <c r="I539" s="47"/>
      <c r="J539" s="47"/>
      <c r="K539" s="47"/>
      <c r="L539" s="47"/>
      <c r="M539" s="45"/>
      <c r="N539" s="46"/>
      <c r="O539" s="45"/>
      <c r="P539" s="45"/>
      <c r="Q539" s="45"/>
      <c r="R539" s="45"/>
      <c r="S539" s="45"/>
      <c r="T539" s="46"/>
      <c r="U539" s="48"/>
      <c r="V539" s="44"/>
      <c r="Z539" s="49"/>
      <c r="BF539" s="39"/>
      <c r="BG539" s="39"/>
      <c r="BH539" s="39"/>
      <c r="BI539" s="39"/>
      <c r="BJ539" s="39"/>
      <c r="BK539" s="39"/>
      <c r="BL539" s="39"/>
      <c r="BM539" s="39"/>
      <c r="BN539" s="39"/>
      <c r="BO539" s="39"/>
      <c r="BP539" s="39"/>
      <c r="BQ539" s="39"/>
      <c r="BR539" s="39"/>
      <c r="BS539" s="39"/>
      <c r="BT539" s="39"/>
      <c r="BU539" s="39"/>
      <c r="BV539" s="39"/>
      <c r="BW539" s="39"/>
      <c r="BX539" s="39"/>
      <c r="BY539" s="39"/>
      <c r="BZ539" s="39"/>
      <c r="CA539" s="39"/>
      <c r="CB539" s="39"/>
      <c r="CC539" s="39"/>
      <c r="CD539" s="39"/>
      <c r="CE539" s="39"/>
      <c r="CF539" s="39"/>
      <c r="CG539" s="39"/>
      <c r="CH539" s="39"/>
      <c r="CI539" s="39"/>
      <c r="CJ539" s="39"/>
      <c r="CK539" s="39"/>
      <c r="CL539" s="39"/>
      <c r="CM539" s="39"/>
      <c r="CN539" s="39"/>
      <c r="CO539" s="39"/>
      <c r="CP539" s="39"/>
      <c r="CQ539" s="39"/>
      <c r="CR539" s="39"/>
      <c r="CS539" s="39"/>
      <c r="CT539" s="39"/>
      <c r="CU539" s="39"/>
      <c r="CV539" s="39"/>
      <c r="CW539" s="39"/>
      <c r="CX539" s="39"/>
      <c r="CY539" s="39"/>
      <c r="CZ539" s="39"/>
      <c r="DA539" s="39"/>
      <c r="DB539" s="39"/>
      <c r="DC539" s="39"/>
      <c r="DD539" s="39"/>
      <c r="DE539" s="39"/>
      <c r="DF539" s="39"/>
      <c r="DG539" s="39"/>
      <c r="DH539" s="39"/>
      <c r="DI539" s="39"/>
    </row>
    <row r="540" spans="1:113">
      <c r="C540" s="51" t="str">
        <f>C480</f>
        <v>Agg. W Europe</v>
      </c>
      <c r="D540" s="52"/>
      <c r="E540" s="52"/>
      <c r="F540" s="53"/>
      <c r="G540" s="52"/>
      <c r="H540" s="46"/>
      <c r="I540" s="54">
        <f>'W.EUR AGG'!$D$25/'W.EUR AGG'!$D$33</f>
        <v>3.866239480796831</v>
      </c>
      <c r="J540" s="54">
        <f>'W.EUR AGG'!$E$25/'W.EUR AGG'!$E$33</f>
        <v>4.4204305869419311</v>
      </c>
      <c r="K540" s="54">
        <f>'W.EUR AGG'!$F$25/'W.EUR AGG'!$F$33</f>
        <v>4.7601426247038594</v>
      </c>
      <c r="L540" s="54">
        <f>'W.EUR AGG'!$G$25/'W.EUR AGG'!$G$33</f>
        <v>5.2148790191378769</v>
      </c>
      <c r="M540" s="55">
        <f>L540-I540</f>
        <v>1.3486395383410459</v>
      </c>
      <c r="N540" s="56"/>
      <c r="O540" s="55">
        <f>('W.EUR AGG'!$D$24-'W.EUR AGG'!$D$25)/'W.EUR AGG'!$D$23</f>
        <v>0.17467147263094671</v>
      </c>
      <c r="P540" s="55">
        <f>('W.EUR AGG'!$E$24-'W.EUR AGG'!$E$25)/'W.EUR AGG'!$E$23</f>
        <v>0.16583069099475736</v>
      </c>
      <c r="Q540" s="55">
        <f>('W.EUR AGG'!$F$24-'W.EUR AGG'!$F$25)/'W.EUR AGG'!$F$23</f>
        <v>0.16024307951088199</v>
      </c>
      <c r="R540" s="55">
        <f>('W.EUR AGG'!$G$24-'W.EUR AGG'!$G$25)/'W.EUR AGG'!$G$23</f>
        <v>0.15387973029517588</v>
      </c>
      <c r="S540" s="55">
        <f>R540-O540</f>
        <v>-2.079174233577083E-2</v>
      </c>
      <c r="T540" s="46"/>
      <c r="U540" s="57"/>
      <c r="V540" s="58" t="str">
        <f>V480</f>
        <v>Agg. W Europe</v>
      </c>
      <c r="Z540" s="49"/>
      <c r="BF540" s="39"/>
      <c r="BG540" s="39"/>
      <c r="BH540" s="39"/>
      <c r="BI540" s="39"/>
      <c r="BJ540" s="39"/>
      <c r="BK540" s="39"/>
      <c r="BL540" s="39"/>
      <c r="BM540" s="39"/>
      <c r="BN540" s="39"/>
      <c r="BO540" s="39"/>
      <c r="BP540" s="39"/>
      <c r="BQ540" s="39"/>
      <c r="BR540" s="39"/>
      <c r="BS540" s="39"/>
      <c r="BT540" s="39"/>
      <c r="BU540" s="39"/>
      <c r="BV540" s="39"/>
      <c r="BW540" s="39"/>
      <c r="BX540" s="39"/>
      <c r="BY540" s="39"/>
      <c r="BZ540" s="39"/>
      <c r="CA540" s="39"/>
      <c r="CB540" s="39"/>
      <c r="CC540" s="39"/>
      <c r="CD540" s="39"/>
      <c r="CE540" s="39"/>
      <c r="CF540" s="39"/>
      <c r="CG540" s="39"/>
      <c r="CH540" s="39"/>
      <c r="CI540" s="39"/>
      <c r="CJ540" s="39"/>
      <c r="CK540" s="39"/>
      <c r="CL540" s="39"/>
      <c r="CM540" s="39"/>
      <c r="CN540" s="39"/>
      <c r="CO540" s="39"/>
      <c r="CP540" s="39"/>
      <c r="CQ540" s="39"/>
      <c r="CR540" s="39"/>
      <c r="CS540" s="39"/>
      <c r="CT540" s="39"/>
      <c r="CU540" s="39"/>
      <c r="CV540" s="39"/>
      <c r="CW540" s="39"/>
      <c r="CX540" s="39"/>
      <c r="CY540" s="39"/>
      <c r="CZ540" s="39"/>
      <c r="DA540" s="39"/>
      <c r="DB540" s="39"/>
      <c r="DC540" s="39"/>
      <c r="DD540" s="39"/>
      <c r="DE540" s="39"/>
      <c r="DF540" s="39"/>
      <c r="DG540" s="39"/>
      <c r="DH540" s="39"/>
      <c r="DI540" s="39"/>
    </row>
    <row r="541" spans="1:113">
      <c r="C541" s="41" t="s">
        <v>1621</v>
      </c>
      <c r="D541" s="44"/>
      <c r="E541" s="44"/>
      <c r="F541" s="45"/>
      <c r="G541" s="44"/>
      <c r="H541" s="46"/>
      <c r="I541" s="60">
        <f>'US AGG'!D$25/'US AGG'!D$33</f>
        <v>14.088095167166689</v>
      </c>
      <c r="J541" s="60">
        <f>'US AGG'!$E$25/'US AGG'!$E$33</f>
        <v>12.801876092735794</v>
      </c>
      <c r="K541" s="60">
        <f>'US AGG'!F$25/'US AGG'!F$33</f>
        <v>15.768152535760972</v>
      </c>
      <c r="L541" s="60">
        <f>'US AGG'!G$25/'US AGG'!G$33</f>
        <v>19.959504395217206</v>
      </c>
      <c r="M541" s="59">
        <f>L541-I541</f>
        <v>5.871409228050517</v>
      </c>
      <c r="N541" s="56"/>
      <c r="O541" s="59">
        <f>('US AGG'!D$24-'US AGG'!D$25)/'US AGG'!D$23</f>
        <v>0.15412203773637692</v>
      </c>
      <c r="P541" s="59">
        <f>('US AGG'!E$24-'US AGG'!E$25)/'US AGG'!E$23</f>
        <v>0.13952711318814848</v>
      </c>
      <c r="Q541" s="59">
        <f>('US AGG'!F$24-'US AGG'!F$25)/'US AGG'!F$23</f>
        <v>0.13483028898305444</v>
      </c>
      <c r="R541" s="59">
        <f>('US AGG'!G$24-'US AGG'!G$25)/'US AGG'!G$23</f>
        <v>0.12636515570710158</v>
      </c>
      <c r="S541" s="59">
        <f>R541-O541</f>
        <v>-2.7756882029275343E-2</v>
      </c>
      <c r="T541" s="46"/>
      <c r="U541" s="48"/>
      <c r="V541" s="50" t="str">
        <f>V481</f>
        <v>Agg. US</v>
      </c>
      <c r="Z541" s="49"/>
      <c r="BF541" s="39"/>
      <c r="BG541" s="39"/>
      <c r="BH541" s="39"/>
      <c r="BI541" s="39"/>
      <c r="BJ541" s="39"/>
      <c r="BK541" s="39"/>
      <c r="BL541" s="39"/>
      <c r="BM541" s="39"/>
      <c r="BN541" s="39"/>
      <c r="BO541" s="39"/>
      <c r="BP541" s="39"/>
      <c r="BQ541" s="39"/>
      <c r="BR541" s="39"/>
      <c r="BS541" s="39"/>
      <c r="BT541" s="39"/>
      <c r="BU541" s="39"/>
      <c r="BV541" s="39"/>
      <c r="BW541" s="39"/>
      <c r="BX541" s="39"/>
      <c r="BY541" s="39"/>
      <c r="BZ541" s="39"/>
      <c r="CA541" s="39"/>
      <c r="CB541" s="39"/>
      <c r="CC541" s="39"/>
      <c r="CD541" s="39"/>
      <c r="CE541" s="39"/>
      <c r="CF541" s="39"/>
      <c r="CG541" s="39"/>
      <c r="CH541" s="39"/>
      <c r="CI541" s="39"/>
      <c r="CJ541" s="39"/>
      <c r="CK541" s="39"/>
      <c r="CL541" s="39"/>
      <c r="CM541" s="39"/>
      <c r="CN541" s="39"/>
      <c r="CO541" s="39"/>
      <c r="CP541" s="39"/>
      <c r="CQ541" s="39"/>
      <c r="CR541" s="39"/>
      <c r="CS541" s="39"/>
      <c r="CT541" s="39"/>
      <c r="CU541" s="39"/>
      <c r="CV541" s="39"/>
      <c r="CW541" s="39"/>
      <c r="CX541" s="39"/>
      <c r="CY541" s="39"/>
      <c r="CZ541" s="39"/>
      <c r="DA541" s="39"/>
      <c r="DB541" s="39"/>
      <c r="DC541" s="39"/>
      <c r="DD541" s="39"/>
      <c r="DE541" s="39"/>
      <c r="DF541" s="39"/>
      <c r="DG541" s="39"/>
      <c r="DH541" s="39"/>
      <c r="DI541" s="39"/>
    </row>
    <row r="542" spans="1:113">
      <c r="C542" s="67" t="str">
        <f>C482</f>
        <v xml:space="preserve">Agg. Developed Asia </v>
      </c>
      <c r="D542" s="52"/>
      <c r="E542" s="52"/>
      <c r="F542" s="53"/>
      <c r="G542" s="52"/>
      <c r="H542" s="46"/>
      <c r="I542" s="54">
        <f>'AGG DM ASIA'!$D$25/'AGG DM ASIA'!$D$33</f>
        <v>478.29392557241874</v>
      </c>
      <c r="J542" s="54">
        <f>'AGG DM ASIA'!$E$25/'AGG DM ASIA'!$E$33</f>
        <v>36.801811577735293</v>
      </c>
      <c r="K542" s="54">
        <f>'AGG DM ASIA'!$F$25/'AGG DM ASIA'!$F$33</f>
        <v>31.897423645002064</v>
      </c>
      <c r="L542" s="54">
        <f>'AGG DM ASIA'!$G$25/'AGG DM ASIA'!$G$33</f>
        <v>28.791646294714763</v>
      </c>
      <c r="M542" s="55">
        <f>L542-I542</f>
        <v>-449.50227927770396</v>
      </c>
      <c r="N542" s="56"/>
      <c r="O542" s="55">
        <f>('AGG DM ASIA'!$D$24-'AGG DM ASIA'!$D$25)/'AGG DM ASIA'!$D$23</f>
        <v>0.13151842954020893</v>
      </c>
      <c r="P542" s="55">
        <f>('AGG DM ASIA'!$E$24-'AGG DM ASIA'!$E$25)/'AGG DM ASIA'!$E$23</f>
        <v>0.11211228296522319</v>
      </c>
      <c r="Q542" s="55">
        <f>('AGG DM ASIA'!$F$24-'AGG DM ASIA'!$F$25)/'AGG DM ASIA'!$F$23</f>
        <v>0.10905323388681047</v>
      </c>
      <c r="R542" s="55">
        <f>('AGG DM ASIA'!$G$24-'AGG DM ASIA'!$G$25)/'AGG DM ASIA'!$G$23</f>
        <v>0.10834971499468525</v>
      </c>
      <c r="S542" s="55">
        <f>R542-O542</f>
        <v>-2.3168714545523675E-2</v>
      </c>
      <c r="T542" s="46"/>
      <c r="U542" s="57"/>
      <c r="V542" s="58" t="str">
        <f>V482</f>
        <v xml:space="preserve">Agg. Developed Asia </v>
      </c>
      <c r="Z542" s="49"/>
      <c r="BF542" s="39"/>
      <c r="BG542" s="39"/>
      <c r="BH542" s="39"/>
      <c r="BI542" s="39"/>
      <c r="BJ542" s="39"/>
      <c r="BK542" s="39"/>
      <c r="BL542" s="39"/>
      <c r="BM542" s="39"/>
      <c r="BN542" s="39"/>
      <c r="BO542" s="39"/>
      <c r="BP542" s="39"/>
      <c r="BQ542" s="39"/>
      <c r="BR542" s="39"/>
      <c r="BS542" s="39"/>
      <c r="BT542" s="39"/>
      <c r="BU542" s="39"/>
      <c r="BV542" s="39"/>
      <c r="BW542" s="39"/>
      <c r="BX542" s="39"/>
      <c r="BY542" s="39"/>
      <c r="BZ542" s="39"/>
      <c r="CA542" s="39"/>
      <c r="CB542" s="39"/>
      <c r="CC542" s="39"/>
      <c r="CD542" s="39"/>
      <c r="CE542" s="39"/>
      <c r="CF542" s="39"/>
      <c r="CG542" s="39"/>
      <c r="CH542" s="39"/>
      <c r="CI542" s="39"/>
      <c r="CJ542" s="39"/>
      <c r="CK542" s="39"/>
      <c r="CL542" s="39"/>
      <c r="CM542" s="39"/>
      <c r="CN542" s="39"/>
      <c r="CO542" s="39"/>
      <c r="CP542" s="39"/>
      <c r="CQ542" s="39"/>
      <c r="CR542" s="39"/>
      <c r="CS542" s="39"/>
      <c r="CT542" s="39"/>
      <c r="CU542" s="39"/>
      <c r="CV542" s="39"/>
      <c r="CW542" s="39"/>
      <c r="CX542" s="39"/>
      <c r="CY542" s="39"/>
      <c r="CZ542" s="39"/>
      <c r="DA542" s="39"/>
      <c r="DB542" s="39"/>
      <c r="DC542" s="39"/>
      <c r="DD542" s="39"/>
      <c r="DE542" s="39"/>
      <c r="DF542" s="39"/>
      <c r="DG542" s="39"/>
      <c r="DH542" s="39"/>
      <c r="DI542" s="39"/>
    </row>
    <row r="543" spans="1:113">
      <c r="C543" s="41"/>
      <c r="D543" s="44"/>
      <c r="E543" s="44"/>
      <c r="F543" s="45"/>
      <c r="G543" s="44"/>
      <c r="H543" s="46"/>
      <c r="I543" s="60"/>
      <c r="J543" s="60"/>
      <c r="K543" s="60"/>
      <c r="L543" s="60"/>
      <c r="M543" s="59"/>
      <c r="N543" s="56"/>
      <c r="O543" s="59"/>
      <c r="P543" s="59"/>
      <c r="Q543" s="59"/>
      <c r="R543" s="59"/>
      <c r="S543" s="59"/>
      <c r="T543" s="46"/>
      <c r="U543" s="48"/>
      <c r="V543" s="50"/>
      <c r="Z543" s="49"/>
      <c r="BF543" s="39"/>
      <c r="BG543" s="39"/>
      <c r="BH543" s="39"/>
      <c r="BI543" s="39"/>
      <c r="BJ543" s="39"/>
      <c r="BK543" s="39"/>
      <c r="BL543" s="39"/>
      <c r="BM543" s="39"/>
      <c r="BN543" s="39"/>
      <c r="BO543" s="39"/>
      <c r="BP543" s="39"/>
      <c r="BQ543" s="39"/>
      <c r="BR543" s="39"/>
      <c r="BS543" s="39"/>
      <c r="BT543" s="39"/>
      <c r="BU543" s="39"/>
      <c r="BV543" s="39"/>
      <c r="BW543" s="39"/>
      <c r="BX543" s="39"/>
      <c r="BY543" s="39"/>
      <c r="BZ543" s="39"/>
      <c r="CA543" s="39"/>
      <c r="CB543" s="39"/>
      <c r="CC543" s="39"/>
      <c r="CD543" s="39"/>
      <c r="CE543" s="39"/>
      <c r="CF543" s="39"/>
      <c r="CG543" s="39"/>
      <c r="CH543" s="39"/>
      <c r="CI543" s="39"/>
      <c r="CJ543" s="39"/>
      <c r="CK543" s="39"/>
      <c r="CL543" s="39"/>
      <c r="CM543" s="39"/>
      <c r="CN543" s="39"/>
      <c r="CO543" s="39"/>
      <c r="CP543" s="39"/>
      <c r="CQ543" s="39"/>
      <c r="CR543" s="39"/>
      <c r="CS543" s="39"/>
      <c r="CT543" s="39"/>
      <c r="CU543" s="39"/>
      <c r="CV543" s="39"/>
      <c r="CW543" s="39"/>
      <c r="CX543" s="39"/>
      <c r="CY543" s="39"/>
      <c r="CZ543" s="39"/>
      <c r="DA543" s="39"/>
      <c r="DB543" s="39"/>
      <c r="DC543" s="39"/>
      <c r="DD543" s="39"/>
      <c r="DE543" s="39"/>
      <c r="DF543" s="39"/>
      <c r="DG543" s="39"/>
      <c r="DH543" s="39"/>
      <c r="DI543" s="39"/>
    </row>
    <row r="544" spans="1:113">
      <c r="C544" s="67" t="str">
        <f>C484</f>
        <v>Agg. Global Developed</v>
      </c>
      <c r="D544" s="52"/>
      <c r="E544" s="52"/>
      <c r="F544" s="53"/>
      <c r="G544" s="52"/>
      <c r="H544" s="46"/>
      <c r="I544" s="54">
        <f>'AGG DM'!$D$25/'AGG DM'!$D$33</f>
        <v>8.6304259351588684</v>
      </c>
      <c r="J544" s="54">
        <f>'AGG DM'!$E$25/'AGG DM'!$E$33</f>
        <v>8.9280748885327732</v>
      </c>
      <c r="K544" s="54">
        <f>'AGG DM'!$F$25/'AGG DM'!$F$33</f>
        <v>9.9380097243054255</v>
      </c>
      <c r="L544" s="54">
        <f>'AGG DM'!$G$25/'AGG DM'!$G$33</f>
        <v>11.285481628757958</v>
      </c>
      <c r="M544" s="55">
        <f>L544-I544</f>
        <v>2.6550556935990901</v>
      </c>
      <c r="N544" s="56"/>
      <c r="O544" s="55">
        <f>('AGG DM'!$D$24-'AGG DM'!$D$25)/'AGG DM'!$D$23</f>
        <v>0.15669392674525603</v>
      </c>
      <c r="P544" s="55">
        <f>('AGG DM'!$E$24-'AGG DM'!$E$25)/'AGG DM'!$E$23</f>
        <v>0.14300567924760485</v>
      </c>
      <c r="Q544" s="55">
        <f>('AGG DM'!$F$24-'AGG DM'!$F$25)/'AGG DM'!$F$23</f>
        <v>0.13820845629882259</v>
      </c>
      <c r="R544" s="55">
        <f>('AGG DM'!$G$24-'AGG DM'!$G$25)/'AGG DM'!$G$23</f>
        <v>0.13179355079779337</v>
      </c>
      <c r="S544" s="55">
        <f>R544-O544</f>
        <v>-2.4900375947462666E-2</v>
      </c>
      <c r="T544" s="46"/>
      <c r="U544" s="57"/>
      <c r="V544" s="58" t="str">
        <f>V484</f>
        <v xml:space="preserve">Agg. Global Developed </v>
      </c>
      <c r="Z544" s="49"/>
      <c r="BF544" s="39"/>
      <c r="BG544" s="39"/>
      <c r="BH544" s="39"/>
      <c r="BI544" s="39"/>
      <c r="BJ544" s="39"/>
      <c r="BK544" s="39"/>
      <c r="BL544" s="39"/>
      <c r="BM544" s="39"/>
      <c r="BN544" s="39"/>
      <c r="BO544" s="39"/>
      <c r="BP544" s="39"/>
      <c r="BQ544" s="39"/>
      <c r="BR544" s="39"/>
      <c r="BS544" s="39"/>
      <c r="BT544" s="39"/>
      <c r="BU544" s="39"/>
      <c r="BV544" s="39"/>
      <c r="BW544" s="39"/>
      <c r="BX544" s="39"/>
      <c r="BY544" s="39"/>
      <c r="BZ544" s="39"/>
      <c r="CA544" s="39"/>
      <c r="CB544" s="39"/>
      <c r="CC544" s="39"/>
      <c r="CD544" s="39"/>
      <c r="CE544" s="39"/>
      <c r="CF544" s="39"/>
      <c r="CG544" s="39"/>
      <c r="CH544" s="39"/>
      <c r="CI544" s="39"/>
      <c r="CJ544" s="39"/>
      <c r="CK544" s="39"/>
      <c r="CL544" s="39"/>
      <c r="CM544" s="39"/>
      <c r="CN544" s="39"/>
      <c r="CO544" s="39"/>
      <c r="CP544" s="39"/>
      <c r="CQ544" s="39"/>
      <c r="CR544" s="39"/>
      <c r="CS544" s="39"/>
      <c r="CT544" s="39"/>
      <c r="CU544" s="39"/>
      <c r="CV544" s="39"/>
      <c r="CW544" s="39"/>
      <c r="CX544" s="39"/>
      <c r="CY544" s="39"/>
      <c r="CZ544" s="39"/>
      <c r="DA544" s="39"/>
      <c r="DB544" s="39"/>
      <c r="DC544" s="39"/>
      <c r="DD544" s="39"/>
      <c r="DE544" s="39"/>
      <c r="DF544" s="39"/>
      <c r="DG544" s="39"/>
      <c r="DH544" s="39"/>
      <c r="DI544" s="39"/>
    </row>
    <row r="545" spans="1:113">
      <c r="C545" s="43"/>
      <c r="D545" s="44"/>
      <c r="E545" s="44"/>
      <c r="F545" s="45"/>
      <c r="G545" s="44"/>
      <c r="H545" s="134"/>
      <c r="I545" s="47"/>
      <c r="J545" s="47"/>
      <c r="K545" s="47"/>
      <c r="L545" s="47"/>
      <c r="M545" s="47"/>
      <c r="N545" s="46"/>
      <c r="O545" s="47"/>
      <c r="P545" s="47"/>
      <c r="Q545" s="47"/>
      <c r="R545" s="47"/>
      <c r="S545" s="47"/>
      <c r="T545" s="46"/>
      <c r="U545" s="48"/>
      <c r="V545" s="50"/>
      <c r="Z545" s="49"/>
      <c r="BF545" s="39"/>
      <c r="BG545" s="39"/>
      <c r="BH545" s="39"/>
      <c r="BI545" s="39"/>
      <c r="BJ545" s="39"/>
      <c r="BK545" s="39"/>
      <c r="BL545" s="39"/>
      <c r="BM545" s="39"/>
      <c r="BN545" s="39"/>
      <c r="BO545" s="39"/>
      <c r="BP545" s="39"/>
      <c r="BQ545" s="39"/>
      <c r="BR545" s="39"/>
      <c r="BS545" s="39"/>
      <c r="BT545" s="39"/>
      <c r="BU545" s="39"/>
      <c r="BV545" s="39"/>
      <c r="BW545" s="39"/>
      <c r="BX545" s="39"/>
      <c r="BY545" s="39"/>
      <c r="BZ545" s="39"/>
      <c r="CA545" s="39"/>
      <c r="CB545" s="39"/>
      <c r="CC545" s="39"/>
      <c r="CD545" s="39"/>
      <c r="CE545" s="39"/>
      <c r="CF545" s="39"/>
      <c r="CG545" s="39"/>
      <c r="CH545" s="39"/>
      <c r="CI545" s="39"/>
      <c r="CJ545" s="39"/>
      <c r="CK545" s="39"/>
      <c r="CL545" s="39"/>
      <c r="CM545" s="39"/>
      <c r="CN545" s="39"/>
      <c r="CO545" s="39"/>
      <c r="CP545" s="39"/>
      <c r="CQ545" s="39"/>
      <c r="CR545" s="39"/>
      <c r="CS545" s="39"/>
      <c r="CT545" s="39"/>
      <c r="CU545" s="39"/>
      <c r="CV545" s="39"/>
      <c r="CW545" s="39"/>
      <c r="CX545" s="39"/>
      <c r="CY545" s="39"/>
      <c r="CZ545" s="39"/>
      <c r="DA545" s="39"/>
      <c r="DB545" s="39"/>
      <c r="DC545" s="39"/>
      <c r="DD545" s="39"/>
      <c r="DE545" s="39"/>
      <c r="DF545" s="39"/>
      <c r="DG545" s="39"/>
      <c r="DH545" s="39"/>
      <c r="DI545" s="39"/>
    </row>
    <row r="546" spans="1:113">
      <c r="C546" s="43"/>
      <c r="D546" s="44"/>
      <c r="E546" s="44"/>
      <c r="F546" s="45"/>
      <c r="G546" s="44"/>
      <c r="H546" s="134"/>
      <c r="I546" s="47"/>
      <c r="J546" s="47"/>
      <c r="K546" s="47"/>
      <c r="L546" s="47"/>
      <c r="M546" s="47"/>
      <c r="N546" s="46"/>
      <c r="O546" s="47"/>
      <c r="P546" s="47"/>
      <c r="Q546" s="47"/>
      <c r="R546" s="47"/>
      <c r="S546" s="47"/>
      <c r="T546" s="46"/>
      <c r="U546" s="48"/>
      <c r="V546" s="50"/>
      <c r="Z546" s="49"/>
      <c r="BF546" s="39"/>
      <c r="BG546" s="39"/>
      <c r="BH546" s="39"/>
      <c r="BI546" s="39"/>
      <c r="BJ546" s="39"/>
      <c r="BK546" s="39"/>
      <c r="BL546" s="39"/>
      <c r="BM546" s="39"/>
      <c r="BN546" s="39"/>
      <c r="BO546" s="39"/>
      <c r="BP546" s="39"/>
      <c r="BQ546" s="39"/>
      <c r="BR546" s="39"/>
      <c r="BS546" s="39"/>
      <c r="BT546" s="39"/>
      <c r="BU546" s="39"/>
      <c r="BV546" s="39"/>
      <c r="BW546" s="39"/>
      <c r="BX546" s="39"/>
      <c r="BY546" s="39"/>
      <c r="BZ546" s="39"/>
      <c r="CA546" s="39"/>
      <c r="CB546" s="39"/>
      <c r="CC546" s="39"/>
      <c r="CD546" s="39"/>
      <c r="CE546" s="39"/>
      <c r="CF546" s="39"/>
      <c r="CG546" s="39"/>
      <c r="CH546" s="39"/>
      <c r="CI546" s="39"/>
      <c r="CJ546" s="39"/>
      <c r="CK546" s="39"/>
      <c r="CL546" s="39"/>
      <c r="CM546" s="39"/>
      <c r="CN546" s="39"/>
      <c r="CO546" s="39"/>
      <c r="CP546" s="39"/>
      <c r="CQ546" s="39"/>
      <c r="CR546" s="39"/>
      <c r="CS546" s="39"/>
      <c r="CT546" s="39"/>
      <c r="CU546" s="39"/>
      <c r="CV546" s="39"/>
      <c r="CW546" s="39"/>
      <c r="CX546" s="39"/>
      <c r="CY546" s="39"/>
      <c r="CZ546" s="39"/>
      <c r="DA546" s="39"/>
      <c r="DB546" s="39"/>
      <c r="DC546" s="39"/>
      <c r="DD546" s="39"/>
      <c r="DE546" s="39"/>
      <c r="DF546" s="39"/>
      <c r="DG546" s="39"/>
      <c r="DH546" s="39"/>
      <c r="DI546" s="39"/>
    </row>
    <row r="547" spans="1:113" s="41" customFormat="1">
      <c r="B547" s="147"/>
      <c r="C547" s="164"/>
      <c r="D547" s="165" t="s">
        <v>464</v>
      </c>
      <c r="E547" s="165" t="s">
        <v>57</v>
      </c>
      <c r="F547" s="165" t="s">
        <v>59</v>
      </c>
      <c r="G547" s="165" t="s">
        <v>56</v>
      </c>
      <c r="H547" s="49"/>
      <c r="I547" s="166" t="s">
        <v>633</v>
      </c>
      <c r="J547" s="166"/>
      <c r="K547" s="166"/>
      <c r="L547" s="166"/>
      <c r="M547" s="166"/>
      <c r="O547" s="166" t="s">
        <v>625</v>
      </c>
      <c r="P547" s="166"/>
      <c r="Q547" s="166"/>
      <c r="R547" s="166"/>
      <c r="S547" s="166"/>
      <c r="T547" s="49"/>
      <c r="U547" s="167" t="s">
        <v>464</v>
      </c>
      <c r="V547" s="165"/>
      <c r="Z547" s="49"/>
      <c r="AC547" s="135"/>
      <c r="AD547" s="136"/>
      <c r="AE547" s="136"/>
      <c r="AF547" s="136"/>
      <c r="AG547" s="136"/>
      <c r="AH547" s="136"/>
      <c r="AI547" s="136"/>
      <c r="AJ547" s="136"/>
      <c r="AK547" s="136"/>
      <c r="AL547" s="136"/>
      <c r="AM547" s="136"/>
      <c r="AN547" s="136"/>
      <c r="AO547" s="136"/>
      <c r="AP547" s="136"/>
      <c r="AQ547" s="136"/>
      <c r="AR547" s="136"/>
      <c r="AS547" s="136"/>
      <c r="AT547" s="136"/>
      <c r="AU547" s="136"/>
      <c r="AV547" s="136"/>
      <c r="AW547" s="136"/>
      <c r="BC547" s="137"/>
      <c r="BD547" s="137"/>
      <c r="BE547" s="137"/>
      <c r="BG547" s="137"/>
      <c r="BH547" s="137"/>
      <c r="BI547" s="137"/>
      <c r="BK547" s="137"/>
      <c r="BL547" s="137"/>
      <c r="BM547" s="137"/>
      <c r="BO547" s="137"/>
      <c r="BP547" s="137"/>
      <c r="BQ547" s="137"/>
    </row>
    <row r="548" spans="1:113">
      <c r="A548" s="41" t="s">
        <v>506</v>
      </c>
      <c r="C548" s="48" t="s">
        <v>186</v>
      </c>
      <c r="D548" s="44" t="str">
        <f t="shared" ref="D548:G558" si="127">D488</f>
        <v>GBP1.27</v>
      </c>
      <c r="E548" s="44" t="str">
        <f t="shared" si="127"/>
        <v>GBP1.95</v>
      </c>
      <c r="F548" s="45">
        <f t="shared" si="127"/>
        <v>0.53422501966955149</v>
      </c>
      <c r="G548" s="44" t="str">
        <f t="shared" si="127"/>
        <v>Buy</v>
      </c>
      <c r="H548" s="46"/>
      <c r="I548" s="45">
        <f>BT!$D$31/BT!$D$29</f>
        <v>0.96677414585623389</v>
      </c>
      <c r="J548" s="45">
        <f>BT!$E$31/BT!$E$29</f>
        <v>0.89779336216942829</v>
      </c>
      <c r="K548" s="45">
        <f>BT!$F$31/BT!$F$29</f>
        <v>0.90309082089331383</v>
      </c>
      <c r="L548" s="45">
        <f>BT!$G$31/BT!$G$29</f>
        <v>1.1229424155149486</v>
      </c>
      <c r="M548" s="45">
        <f t="shared" ref="M548:M559" si="128">L548-I548</f>
        <v>0.15616826965871466</v>
      </c>
      <c r="N548" s="46"/>
      <c r="O548" s="45">
        <f>BT!$D$31/BT!$D$30</f>
        <v>0.45384252748655707</v>
      </c>
      <c r="P548" s="45">
        <f>BT!$E$31/BT!$E$30</f>
        <v>0.46044068867876375</v>
      </c>
      <c r="Q548" s="45">
        <f>BT!$F$31/BT!$F$30</f>
        <v>0.51089050797217916</v>
      </c>
      <c r="R548" s="45">
        <f>BT!$G$31/BT!$G$30</f>
        <v>0.62121737969988977</v>
      </c>
      <c r="S548" s="45">
        <f>R548-O548</f>
        <v>0.1673748522133327</v>
      </c>
      <c r="T548" s="46"/>
      <c r="U548" s="48" t="str">
        <f t="shared" ref="U548:V552" si="129">U488</f>
        <v>GBP1.27</v>
      </c>
      <c r="V548" s="69" t="str">
        <f t="shared" si="129"/>
        <v>British Telecom</v>
      </c>
      <c r="AF548" s="39"/>
      <c r="AG548" s="39"/>
      <c r="AH548" s="39"/>
      <c r="AI548" s="39"/>
      <c r="AJ548" s="39"/>
      <c r="AK548" s="39"/>
      <c r="AL548" s="39"/>
      <c r="AM548" s="39"/>
      <c r="AN548" s="39"/>
      <c r="AO548" s="39"/>
      <c r="AP548" s="39"/>
      <c r="AQ548" s="39"/>
      <c r="AR548" s="39"/>
      <c r="AS548" s="39"/>
      <c r="AT548" s="39"/>
      <c r="AU548" s="39"/>
      <c r="AV548" s="39"/>
      <c r="AW548" s="39"/>
      <c r="AX548" s="39"/>
      <c r="AY548" s="39"/>
      <c r="AZ548" s="39"/>
      <c r="BA548" s="39"/>
      <c r="BB548" s="39"/>
      <c r="BC548" s="39"/>
      <c r="BD548" s="39"/>
      <c r="BE548" s="39"/>
      <c r="BF548" s="39"/>
      <c r="BG548" s="39"/>
      <c r="BH548" s="39"/>
      <c r="BI548" s="39"/>
      <c r="BJ548" s="39"/>
      <c r="BK548" s="39"/>
      <c r="BL548" s="39"/>
      <c r="BM548" s="39"/>
      <c r="BN548" s="39"/>
      <c r="BO548" s="39"/>
      <c r="BP548" s="39"/>
      <c r="BQ548" s="39"/>
      <c r="BR548" s="39"/>
      <c r="BS548" s="39"/>
      <c r="BT548" s="39"/>
      <c r="BU548" s="39"/>
      <c r="BV548" s="39"/>
      <c r="BW548" s="39"/>
      <c r="BX548" s="39"/>
      <c r="BY548" s="39"/>
      <c r="BZ548" s="39"/>
      <c r="CA548" s="39"/>
      <c r="CB548" s="39"/>
      <c r="CC548" s="39"/>
      <c r="CD548" s="39"/>
      <c r="CE548" s="39"/>
      <c r="CF548" s="39"/>
      <c r="CG548" s="39"/>
      <c r="CH548" s="39"/>
      <c r="CI548" s="39"/>
      <c r="CJ548" s="39"/>
      <c r="CK548" s="39"/>
      <c r="CL548" s="39"/>
      <c r="CM548" s="39"/>
      <c r="CN548" s="39"/>
      <c r="CO548" s="39"/>
      <c r="CP548" s="39"/>
      <c r="CQ548" s="39"/>
      <c r="CR548" s="39"/>
      <c r="CS548" s="39"/>
      <c r="CT548" s="39"/>
      <c r="CU548" s="39"/>
      <c r="CV548" s="39"/>
      <c r="CW548" s="39"/>
      <c r="CX548" s="39"/>
      <c r="CY548" s="39"/>
      <c r="CZ548" s="39"/>
      <c r="DA548" s="39"/>
      <c r="DB548" s="39"/>
      <c r="DC548" s="39"/>
      <c r="DD548" s="39"/>
      <c r="DE548" s="39"/>
      <c r="DF548" s="39"/>
      <c r="DG548" s="39"/>
      <c r="DH548" s="39"/>
      <c r="DI548" s="39"/>
    </row>
    <row r="549" spans="1:113">
      <c r="A549" s="41"/>
      <c r="C549" s="48" t="s">
        <v>187</v>
      </c>
      <c r="D549" s="44" t="str">
        <f t="shared" si="127"/>
        <v>EUR 21.76</v>
      </c>
      <c r="E549" s="44" t="str">
        <f t="shared" si="127"/>
        <v>EUR 32.00</v>
      </c>
      <c r="F549" s="45">
        <f t="shared" si="127"/>
        <v>0.47058823529411753</v>
      </c>
      <c r="G549" s="44" t="str">
        <f t="shared" si="127"/>
        <v>Buy</v>
      </c>
      <c r="H549" s="46"/>
      <c r="I549" s="45">
        <f>DT!$D$31/DT!$D$29</f>
        <v>0.39774978785330878</v>
      </c>
      <c r="J549" s="45">
        <f>DT!$E$31/DT!$E$29</f>
        <v>0.37048537740686499</v>
      </c>
      <c r="K549" s="45">
        <f>DT!$F$31/DT!$F$29</f>
        <v>0.38222528785891741</v>
      </c>
      <c r="L549" s="45">
        <f>DT!$G$31/DT!$G$29</f>
        <v>0.39455745260344305</v>
      </c>
      <c r="M549" s="45">
        <f t="shared" si="128"/>
        <v>-3.1923352498657298E-3</v>
      </c>
      <c r="N549" s="46"/>
      <c r="O549" s="45">
        <f>DT!$D$31/DT!$D$30</f>
        <v>0.51410365800024493</v>
      </c>
      <c r="P549" s="45">
        <f>DT!$E$31/DT!$E$30</f>
        <v>0.48723212587424647</v>
      </c>
      <c r="Q549" s="45">
        <f>DT!$F$31/DT!$F$30</f>
        <v>0.48460746792763471</v>
      </c>
      <c r="R549" s="45">
        <f>DT!$G$31/DT!$G$30</f>
        <v>0.48933722810979824</v>
      </c>
      <c r="S549" s="45">
        <f>R549-O549</f>
        <v>-2.4766429890446695E-2</v>
      </c>
      <c r="T549" s="46"/>
      <c r="U549" s="48" t="str">
        <f t="shared" si="129"/>
        <v>EUR 21.76</v>
      </c>
      <c r="V549" s="69" t="str">
        <f t="shared" si="129"/>
        <v>Deutsche Telekom</v>
      </c>
      <c r="AF549" s="39"/>
      <c r="AG549" s="39"/>
      <c r="AH549" s="39"/>
      <c r="AI549" s="39"/>
      <c r="AJ549" s="39"/>
      <c r="AK549" s="39"/>
      <c r="AL549" s="39"/>
      <c r="AM549" s="39"/>
      <c r="AN549" s="39"/>
      <c r="AO549" s="39"/>
      <c r="AP549" s="39"/>
      <c r="AQ549" s="39"/>
      <c r="AR549" s="39"/>
      <c r="AS549" s="39"/>
      <c r="AT549" s="39"/>
      <c r="AU549" s="39"/>
      <c r="AV549" s="39"/>
      <c r="AW549" s="39"/>
      <c r="AX549" s="39"/>
      <c r="AY549" s="39"/>
      <c r="AZ549" s="39"/>
      <c r="BA549" s="39"/>
      <c r="BB549" s="39"/>
      <c r="BC549" s="39"/>
      <c r="BD549" s="39"/>
      <c r="BE549" s="39"/>
      <c r="BF549" s="39"/>
      <c r="BG549" s="39"/>
      <c r="BH549" s="39"/>
      <c r="BI549" s="39"/>
      <c r="BJ549" s="39"/>
      <c r="BK549" s="39"/>
      <c r="BL549" s="39"/>
      <c r="BM549" s="39"/>
      <c r="BN549" s="39"/>
      <c r="BO549" s="39"/>
      <c r="BP549" s="39"/>
      <c r="BQ549" s="39"/>
      <c r="BR549" s="39"/>
      <c r="BS549" s="39"/>
      <c r="BT549" s="39"/>
      <c r="BU549" s="39"/>
      <c r="BV549" s="39"/>
      <c r="BW549" s="39"/>
      <c r="BX549" s="39"/>
      <c r="BY549" s="39"/>
      <c r="BZ549" s="39"/>
      <c r="CA549" s="39"/>
      <c r="CB549" s="39"/>
      <c r="CC549" s="39"/>
      <c r="CD549" s="39"/>
      <c r="CE549" s="39"/>
      <c r="CF549" s="39"/>
      <c r="CG549" s="39"/>
      <c r="CH549" s="39"/>
      <c r="CI549" s="39"/>
      <c r="CJ549" s="39"/>
      <c r="CK549" s="39"/>
      <c r="CL549" s="39"/>
      <c r="CM549" s="39"/>
      <c r="CN549" s="39"/>
      <c r="CO549" s="39"/>
      <c r="CP549" s="39"/>
      <c r="CQ549" s="39"/>
      <c r="CR549" s="39"/>
      <c r="CS549" s="39"/>
      <c r="CT549" s="39"/>
      <c r="CU549" s="39"/>
      <c r="CV549" s="39"/>
      <c r="CW549" s="39"/>
      <c r="CX549" s="39"/>
      <c r="CY549" s="39"/>
      <c r="CZ549" s="39"/>
      <c r="DA549" s="39"/>
      <c r="DB549" s="39"/>
      <c r="DC549" s="39"/>
      <c r="DD549" s="39"/>
      <c r="DE549" s="39"/>
      <c r="DF549" s="39"/>
      <c r="DG549" s="39"/>
      <c r="DH549" s="39"/>
      <c r="DI549" s="39"/>
    </row>
    <row r="550" spans="1:113">
      <c r="A550" s="41"/>
      <c r="C550" s="48" t="s">
        <v>458</v>
      </c>
      <c r="D550" s="44" t="str">
        <f t="shared" si="127"/>
        <v>EUR 3.44</v>
      </c>
      <c r="E550" s="44" t="str">
        <f t="shared" si="127"/>
        <v>EUR 3.70</v>
      </c>
      <c r="F550" s="45">
        <f t="shared" si="127"/>
        <v>7.4332171893147558E-2</v>
      </c>
      <c r="G550" s="44" t="str">
        <f t="shared" si="127"/>
        <v>Neutral</v>
      </c>
      <c r="H550" s="46"/>
      <c r="I550" s="45">
        <f>KPN!$D$31/KPN!$D$29</f>
        <v>0.67452134699990007</v>
      </c>
      <c r="J550" s="45">
        <f>KPN!$E$31/KPN!$E$29</f>
        <v>0.73359484119718632</v>
      </c>
      <c r="K550" s="45">
        <f>KPN!$F$31/KPN!$F$29</f>
        <v>0.75755825493794515</v>
      </c>
      <c r="L550" s="45">
        <f>KPN!$G$31/KPN!$G$29</f>
        <v>0.78382072461999031</v>
      </c>
      <c r="M550" s="45">
        <f t="shared" si="128"/>
        <v>0.10929937762009023</v>
      </c>
      <c r="N550" s="46"/>
      <c r="O550" s="45" t="s">
        <v>607</v>
      </c>
      <c r="P550" s="45">
        <f>KPN!$E$31/KPN!$E$30</f>
        <v>1.1387263877129299</v>
      </c>
      <c r="Q550" s="45">
        <f>KPN!$F$31/KPN!$F$30</f>
        <v>1.1066751024360362</v>
      </c>
      <c r="R550" s="45">
        <f>KPN!$G$31/KPN!$G$30</f>
        <v>1.0928504788508868</v>
      </c>
      <c r="S550" s="45" t="s">
        <v>607</v>
      </c>
      <c r="T550" s="46"/>
      <c r="U550" s="48" t="str">
        <f t="shared" si="129"/>
        <v>EUR 3.44</v>
      </c>
      <c r="V550" s="69" t="str">
        <f t="shared" si="129"/>
        <v>KPN</v>
      </c>
      <c r="AF550" s="39"/>
      <c r="AG550" s="39"/>
      <c r="AH550" s="39"/>
      <c r="AI550" s="39"/>
      <c r="AJ550" s="39"/>
      <c r="AK550" s="39"/>
      <c r="AL550" s="39"/>
      <c r="AM550" s="39"/>
      <c r="AN550" s="39"/>
      <c r="AO550" s="39"/>
      <c r="AP550" s="39"/>
      <c r="AQ550" s="39"/>
      <c r="AR550" s="39"/>
      <c r="AS550" s="39"/>
      <c r="AT550" s="39"/>
      <c r="AU550" s="39"/>
      <c r="AV550" s="39"/>
      <c r="AW550" s="39"/>
      <c r="AX550" s="39"/>
      <c r="AY550" s="39"/>
      <c r="AZ550" s="39"/>
      <c r="BA550" s="39"/>
      <c r="BB550" s="39"/>
      <c r="BC550" s="39"/>
      <c r="BD550" s="39"/>
      <c r="BE550" s="39"/>
      <c r="BF550" s="39"/>
      <c r="BG550" s="39"/>
      <c r="BH550" s="39"/>
      <c r="BI550" s="39"/>
      <c r="BJ550" s="39"/>
      <c r="BK550" s="39"/>
      <c r="BL550" s="39"/>
      <c r="BM550" s="39"/>
      <c r="BN550" s="39"/>
      <c r="BO550" s="39"/>
      <c r="BP550" s="39"/>
      <c r="BQ550" s="39"/>
      <c r="BR550" s="39"/>
      <c r="BS550" s="39"/>
      <c r="BT550" s="39"/>
      <c r="BU550" s="39"/>
      <c r="BV550" s="39"/>
      <c r="BW550" s="39"/>
      <c r="BX550" s="39"/>
      <c r="BY550" s="39"/>
      <c r="BZ550" s="39"/>
      <c r="CA550" s="39"/>
      <c r="CB550" s="39"/>
      <c r="CC550" s="39"/>
      <c r="CD550" s="39"/>
      <c r="CE550" s="39"/>
      <c r="CF550" s="39"/>
      <c r="CG550" s="39"/>
      <c r="CH550" s="39"/>
      <c r="CI550" s="39"/>
      <c r="CJ550" s="39"/>
      <c r="CK550" s="39"/>
      <c r="CL550" s="39"/>
      <c r="CM550" s="39"/>
      <c r="CN550" s="39"/>
      <c r="CO550" s="39"/>
      <c r="CP550" s="39"/>
      <c r="CQ550" s="39"/>
      <c r="CR550" s="39"/>
      <c r="CS550" s="39"/>
      <c r="CT550" s="39"/>
      <c r="CU550" s="39"/>
      <c r="CV550" s="39"/>
      <c r="CW550" s="39"/>
      <c r="CX550" s="39"/>
      <c r="CY550" s="39"/>
      <c r="CZ550" s="39"/>
      <c r="DA550" s="39"/>
      <c r="DB550" s="39"/>
      <c r="DC550" s="39"/>
      <c r="DD550" s="39"/>
      <c r="DE550" s="39"/>
      <c r="DF550" s="39"/>
      <c r="DG550" s="39"/>
      <c r="DH550" s="39"/>
      <c r="DI550" s="39"/>
    </row>
    <row r="551" spans="1:113">
      <c r="A551" s="41"/>
      <c r="C551" s="48" t="s">
        <v>728</v>
      </c>
      <c r="D551" s="44" t="str">
        <f t="shared" si="127"/>
        <v>EUR 10.68</v>
      </c>
      <c r="E551" s="44" t="str">
        <f t="shared" si="127"/>
        <v>EUR 14.00</v>
      </c>
      <c r="F551" s="45">
        <f t="shared" si="127"/>
        <v>0.31147540983606548</v>
      </c>
      <c r="G551" s="44" t="str">
        <f t="shared" si="127"/>
        <v>Buy</v>
      </c>
      <c r="H551" s="46"/>
      <c r="I551" s="45">
        <f>ORA!$D$31/ORA!$D$29</f>
        <v>0.83749662917967727</v>
      </c>
      <c r="J551" s="45">
        <f>ORA!$E$31/ORA!$E$29</f>
        <v>0.97766813947066944</v>
      </c>
      <c r="K551" s="45">
        <f>ORA!$F$31/ORA!$F$29</f>
        <v>0.81639826401018001</v>
      </c>
      <c r="L551" s="45">
        <f>ORA!$G$31/ORA!$G$29</f>
        <v>0.72848496381204675</v>
      </c>
      <c r="M551" s="45">
        <f t="shared" si="128"/>
        <v>-0.10901166536763052</v>
      </c>
      <c r="N551" s="46"/>
      <c r="O551" s="45">
        <f>ORA!$D$31/ORA!$D$30</f>
        <v>0.53267989461372334</v>
      </c>
      <c r="P551" s="45">
        <f>ORA!$E$31/ORA!$E$30</f>
        <v>0.60612710893859434</v>
      </c>
      <c r="Q551" s="45">
        <f>ORA!$F$31/ORA!$F$30</f>
        <v>0.57125053528267133</v>
      </c>
      <c r="R551" s="45">
        <f>ORA!$G$31/ORA!$G$30</f>
        <v>0.56284810258454465</v>
      </c>
      <c r="S551" s="45">
        <f t="shared" ref="S551:S559" si="130">R551-O551</f>
        <v>3.0168207970821315E-2</v>
      </c>
      <c r="T551" s="46"/>
      <c r="U551" s="48" t="str">
        <f t="shared" si="129"/>
        <v>EUR 10.68</v>
      </c>
      <c r="V551" s="69" t="str">
        <f t="shared" si="129"/>
        <v>Orange</v>
      </c>
      <c r="AF551" s="39"/>
      <c r="AG551" s="39"/>
      <c r="AH551" s="39"/>
      <c r="AI551" s="39"/>
      <c r="AJ551" s="39"/>
      <c r="AK551" s="39"/>
      <c r="AL551" s="39"/>
      <c r="AM551" s="39"/>
      <c r="AN551" s="39"/>
      <c r="AO551" s="39"/>
      <c r="AP551" s="39"/>
      <c r="AQ551" s="39"/>
      <c r="AR551" s="39"/>
      <c r="AS551" s="39"/>
      <c r="AT551" s="39"/>
      <c r="AU551" s="39"/>
      <c r="AV551" s="39"/>
      <c r="AW551" s="39"/>
      <c r="AX551" s="39"/>
      <c r="AY551" s="39"/>
      <c r="AZ551" s="39"/>
      <c r="BA551" s="39"/>
      <c r="BB551" s="39"/>
      <c r="BC551" s="39"/>
      <c r="BD551" s="39"/>
      <c r="BE551" s="39"/>
      <c r="BF551" s="39"/>
      <c r="BG551" s="39"/>
      <c r="BH551" s="39"/>
      <c r="BI551" s="39"/>
      <c r="BJ551" s="39"/>
      <c r="BK551" s="39"/>
      <c r="BL551" s="39"/>
      <c r="BM551" s="39"/>
      <c r="BN551" s="39"/>
      <c r="BO551" s="39"/>
      <c r="BP551" s="39"/>
      <c r="BQ551" s="39"/>
      <c r="BR551" s="39"/>
      <c r="BS551" s="39"/>
      <c r="BT551" s="39"/>
      <c r="BU551" s="39"/>
      <c r="BV551" s="39"/>
      <c r="BW551" s="39"/>
      <c r="BX551" s="39"/>
      <c r="BY551" s="39"/>
      <c r="BZ551" s="39"/>
      <c r="CA551" s="39"/>
      <c r="CB551" s="39"/>
      <c r="CC551" s="39"/>
      <c r="CD551" s="39"/>
      <c r="CE551" s="39"/>
      <c r="CF551" s="39"/>
      <c r="CG551" s="39"/>
      <c r="CH551" s="39"/>
      <c r="CI551" s="39"/>
      <c r="CJ551" s="39"/>
      <c r="CK551" s="39"/>
      <c r="CL551" s="39"/>
      <c r="CM551" s="39"/>
      <c r="CN551" s="39"/>
      <c r="CO551" s="39"/>
      <c r="CP551" s="39"/>
      <c r="CQ551" s="39"/>
      <c r="CR551" s="39"/>
      <c r="CS551" s="39"/>
      <c r="CT551" s="39"/>
      <c r="CU551" s="39"/>
      <c r="CV551" s="39"/>
      <c r="CW551" s="39"/>
      <c r="CX551" s="39"/>
      <c r="CY551" s="39"/>
      <c r="CZ551" s="39"/>
      <c r="DA551" s="39"/>
      <c r="DB551" s="39"/>
      <c r="DC551" s="39"/>
      <c r="DD551" s="39"/>
      <c r="DE551" s="39"/>
      <c r="DF551" s="39"/>
      <c r="DG551" s="39"/>
      <c r="DH551" s="39"/>
      <c r="DI551" s="39"/>
    </row>
    <row r="552" spans="1:113">
      <c r="A552" s="41"/>
      <c r="C552" s="48" t="s">
        <v>459</v>
      </c>
      <c r="D552" s="44" t="str">
        <f t="shared" si="127"/>
        <v>EUR 13.75</v>
      </c>
      <c r="E552" s="44" t="str">
        <f t="shared" si="127"/>
        <v>EUR 22.00</v>
      </c>
      <c r="F552" s="45">
        <f t="shared" si="127"/>
        <v>0.60000000000000009</v>
      </c>
      <c r="G552" s="44" t="str">
        <f t="shared" si="127"/>
        <v>Neutral</v>
      </c>
      <c r="H552" s="46"/>
      <c r="I552" s="45">
        <f>OTE!$D$31/OTE!$D$29</f>
        <v>0.45884070853369746</v>
      </c>
      <c r="J552" s="45">
        <f>OTE!$E$31/OTE!$E$29</f>
        <v>0.4932425066777047</v>
      </c>
      <c r="K552" s="45">
        <f>OTE!$F$31/OTE!$F$29</f>
        <v>0.50018784851717935</v>
      </c>
      <c r="L552" s="45">
        <f>OTE!$G$31/OTE!$G$29</f>
        <v>0.51557600916854207</v>
      </c>
      <c r="M552" s="45">
        <f t="shared" si="128"/>
        <v>5.673530063484461E-2</v>
      </c>
      <c r="N552" s="46"/>
      <c r="O552" s="45">
        <f>OTE!$D$31/OTE!$D$30</f>
        <v>0.57541281060355598</v>
      </c>
      <c r="P552" s="45">
        <f>OTE!$E$31/OTE!$E$30</f>
        <v>0.58421589507213323</v>
      </c>
      <c r="Q552" s="45">
        <f>OTE!$F$31/OTE!$F$30</f>
        <v>0.5679532665873307</v>
      </c>
      <c r="R552" s="45">
        <f>OTE!$G$31/OTE!$G$30</f>
        <v>0.5672829397633351</v>
      </c>
      <c r="S552" s="45">
        <f t="shared" si="130"/>
        <v>-8.1298708402208764E-3</v>
      </c>
      <c r="T552" s="46"/>
      <c r="U552" s="48" t="str">
        <f t="shared" si="129"/>
        <v>EUR 13.75</v>
      </c>
      <c r="V552" s="69" t="str">
        <f t="shared" si="129"/>
        <v>OTE</v>
      </c>
      <c r="AF552" s="39"/>
      <c r="AG552" s="39"/>
      <c r="AH552" s="39"/>
      <c r="AI552" s="39"/>
      <c r="AJ552" s="39"/>
      <c r="AK552" s="39"/>
      <c r="AL552" s="39"/>
      <c r="AM552" s="39"/>
      <c r="AN552" s="39"/>
      <c r="AO552" s="39"/>
      <c r="AP552" s="39"/>
      <c r="AQ552" s="39"/>
      <c r="AR552" s="39"/>
      <c r="AS552" s="39"/>
      <c r="AT552" s="39"/>
      <c r="AU552" s="39"/>
      <c r="AV552" s="39"/>
      <c r="AW552" s="39"/>
      <c r="AX552" s="39"/>
      <c r="AY552" s="39"/>
      <c r="AZ552" s="39"/>
      <c r="BA552" s="39"/>
      <c r="BB552" s="39"/>
      <c r="BC552" s="39"/>
      <c r="BD552" s="39"/>
      <c r="BE552" s="39"/>
      <c r="BF552" s="39"/>
      <c r="BG552" s="39"/>
      <c r="BH552" s="39"/>
      <c r="BI552" s="39"/>
      <c r="BJ552" s="39"/>
      <c r="BK552" s="39"/>
      <c r="BL552" s="39"/>
      <c r="BM552" s="39"/>
      <c r="BN552" s="39"/>
      <c r="BO552" s="39"/>
      <c r="BP552" s="39"/>
      <c r="BQ552" s="39"/>
      <c r="BR552" s="39"/>
      <c r="BS552" s="39"/>
      <c r="BT552" s="39"/>
      <c r="BU552" s="39"/>
      <c r="BV552" s="39"/>
      <c r="BW552" s="39"/>
      <c r="BX552" s="39"/>
      <c r="BY552" s="39"/>
      <c r="BZ552" s="39"/>
      <c r="CA552" s="39"/>
      <c r="CB552" s="39"/>
      <c r="CC552" s="39"/>
      <c r="CD552" s="39"/>
      <c r="CE552" s="39"/>
      <c r="CF552" s="39"/>
      <c r="CG552" s="39"/>
      <c r="CH552" s="39"/>
      <c r="CI552" s="39"/>
      <c r="CJ552" s="39"/>
      <c r="CK552" s="39"/>
      <c r="CL552" s="39"/>
      <c r="CM552" s="39"/>
      <c r="CN552" s="39"/>
      <c r="CO552" s="39"/>
      <c r="CP552" s="39"/>
      <c r="CQ552" s="39"/>
      <c r="CR552" s="39"/>
      <c r="CS552" s="39"/>
      <c r="CT552" s="39"/>
      <c r="CU552" s="39"/>
      <c r="CV552" s="39"/>
      <c r="CW552" s="39"/>
      <c r="CX552" s="39"/>
      <c r="CY552" s="39"/>
      <c r="CZ552" s="39"/>
      <c r="DA552" s="39"/>
      <c r="DB552" s="39"/>
      <c r="DC552" s="39"/>
      <c r="DD552" s="39"/>
      <c r="DE552" s="39"/>
      <c r="DF552" s="39"/>
      <c r="DG552" s="39"/>
      <c r="DH552" s="39"/>
      <c r="DI552" s="39"/>
    </row>
    <row r="553" spans="1:113">
      <c r="A553" s="41"/>
      <c r="C553" s="48" t="s">
        <v>817</v>
      </c>
      <c r="D553" s="44" t="str">
        <f t="shared" si="127"/>
        <v>EUR 7.4</v>
      </c>
      <c r="E553" s="44" t="str">
        <f t="shared" si="127"/>
        <v>EUR 10.0</v>
      </c>
      <c r="F553" s="45">
        <f t="shared" si="127"/>
        <v>0.35135135135135132</v>
      </c>
      <c r="G553" s="44" t="str">
        <f t="shared" si="127"/>
        <v>Neutral</v>
      </c>
      <c r="H553" s="46"/>
      <c r="I553" s="45">
        <f>PROX!$D$31/PROX!$D$29</f>
        <v>2.5133872001732414</v>
      </c>
      <c r="J553" s="45">
        <f>PROX!$E$31/PROX!$E$29</f>
        <v>2.468676713022786</v>
      </c>
      <c r="K553" s="45">
        <f>PROX!$F$31/PROX!$F$29</f>
        <v>0.98187290291233009</v>
      </c>
      <c r="L553" s="45">
        <f>PROX!$G$31/PROX!$G$29</f>
        <v>1.2378675802686929</v>
      </c>
      <c r="M553" s="45">
        <f t="shared" si="128"/>
        <v>-1.2755196199045484</v>
      </c>
      <c r="N553" s="46"/>
      <c r="O553" s="45">
        <f>PROX!$D$31/PROX!$D$30</f>
        <v>0.82013542888538637</v>
      </c>
      <c r="P553" s="45">
        <f>PROX!$E$31/PROX!$E$30</f>
        <v>1.6102263484253976</v>
      </c>
      <c r="Q553" s="45">
        <f>PROX!$F$31/PROX!$F$30</f>
        <v>2.4073529826254116</v>
      </c>
      <c r="R553" s="45">
        <f>PROX!$G$31/PROX!$G$30</f>
        <v>10.759644973655879</v>
      </c>
      <c r="S553" s="45">
        <f t="shared" si="130"/>
        <v>9.9395095447704929</v>
      </c>
      <c r="T553" s="46"/>
      <c r="U553" s="48" t="str">
        <f t="shared" ref="U553:U558" si="131">U493</f>
        <v>EUR 7.4</v>
      </c>
      <c r="V553" s="69" t="s">
        <v>817</v>
      </c>
      <c r="AF553" s="39"/>
      <c r="AG553" s="39"/>
      <c r="AH553" s="39"/>
      <c r="AI553" s="39"/>
      <c r="AJ553" s="39"/>
      <c r="AK553" s="39"/>
      <c r="AL553" s="39"/>
      <c r="AM553" s="39"/>
      <c r="AN553" s="39"/>
      <c r="AO553" s="39"/>
      <c r="AP553" s="39"/>
      <c r="AQ553" s="39"/>
      <c r="AR553" s="39"/>
      <c r="AS553" s="39"/>
      <c r="AT553" s="39"/>
      <c r="AU553" s="39"/>
      <c r="AV553" s="39"/>
      <c r="AW553" s="39"/>
      <c r="AX553" s="39"/>
      <c r="AY553" s="39"/>
      <c r="AZ553" s="39"/>
      <c r="BA553" s="39"/>
      <c r="BB553" s="39"/>
      <c r="BC553" s="39"/>
      <c r="BD553" s="39"/>
      <c r="BE553" s="39"/>
      <c r="BF553" s="39"/>
      <c r="BG553" s="39"/>
      <c r="BH553" s="39"/>
      <c r="BI553" s="39"/>
      <c r="BJ553" s="39"/>
      <c r="BK553" s="39"/>
      <c r="BL553" s="39"/>
      <c r="BM553" s="39"/>
      <c r="BN553" s="39"/>
      <c r="BO553" s="39"/>
      <c r="BP553" s="39"/>
      <c r="BQ553" s="39"/>
      <c r="BR553" s="39"/>
      <c r="BS553" s="39"/>
      <c r="BT553" s="39"/>
      <c r="BU553" s="39"/>
      <c r="BV553" s="39"/>
      <c r="BW553" s="39"/>
      <c r="BX553" s="39"/>
      <c r="BY553" s="39"/>
      <c r="BZ553" s="39"/>
      <c r="CA553" s="39"/>
      <c r="CB553" s="39"/>
      <c r="CC553" s="39"/>
      <c r="CD553" s="39"/>
      <c r="CE553" s="39"/>
      <c r="CF553" s="39"/>
      <c r="CG553" s="39"/>
      <c r="CH553" s="39"/>
      <c r="CI553" s="39"/>
      <c r="CJ553" s="39"/>
      <c r="CK553" s="39"/>
      <c r="CL553" s="39"/>
      <c r="CM553" s="39"/>
      <c r="CN553" s="39"/>
      <c r="CO553" s="39"/>
      <c r="CP553" s="39"/>
      <c r="CQ553" s="39"/>
      <c r="CR553" s="39"/>
      <c r="CS553" s="39"/>
      <c r="CT553" s="39"/>
      <c r="CU553" s="39"/>
      <c r="CV553" s="39"/>
      <c r="CW553" s="39"/>
      <c r="CX553" s="39"/>
      <c r="CY553" s="39"/>
      <c r="CZ553" s="39"/>
      <c r="DA553" s="39"/>
      <c r="DB553" s="39"/>
      <c r="DC553" s="39"/>
      <c r="DD553" s="39"/>
      <c r="DE553" s="39"/>
      <c r="DF553" s="39"/>
      <c r="DG553" s="39"/>
      <c r="DH553" s="39"/>
      <c r="DI553" s="39"/>
    </row>
    <row r="554" spans="1:113">
      <c r="C554" s="48" t="s">
        <v>463</v>
      </c>
      <c r="D554" s="44" t="str">
        <f t="shared" si="127"/>
        <v>CHF492</v>
      </c>
      <c r="E554" s="44" t="str">
        <f t="shared" si="127"/>
        <v>CHF620</v>
      </c>
      <c r="F554" s="45">
        <f t="shared" si="127"/>
        <v>0.26016260162601634</v>
      </c>
      <c r="G554" s="44" t="str">
        <f t="shared" si="127"/>
        <v>Neutral</v>
      </c>
      <c r="H554" s="46"/>
      <c r="I554" s="45">
        <f>SWISS!$D$31/SWISS!$D$29</f>
        <v>0.75212452307813826</v>
      </c>
      <c r="J554" s="45">
        <f>SWISS!$E$31/SWISS!$E$29</f>
        <v>0.78358639417121601</v>
      </c>
      <c r="K554" s="45">
        <f>SWISS!$F$31/SWISS!$F$29</f>
        <v>0.78859018605432174</v>
      </c>
      <c r="L554" s="45">
        <f>SWISS!$G$31/SWISS!$G$29</f>
        <v>0.79397999064467351</v>
      </c>
      <c r="M554" s="45">
        <f t="shared" si="128"/>
        <v>4.1855467566535243E-2</v>
      </c>
      <c r="N554" s="46"/>
      <c r="O554" s="45">
        <f>SWISS!$D$31/SWISS!$D$30</f>
        <v>0.65747760891934026</v>
      </c>
      <c r="P554" s="45">
        <f>SWISS!$E$31/SWISS!$E$30</f>
        <v>0.67491553289472883</v>
      </c>
      <c r="Q554" s="45">
        <f>SWISS!$F$31/SWISS!$F$30</f>
        <v>0.68359497439058159</v>
      </c>
      <c r="R554" s="45">
        <f>SWISS!$G$31/SWISS!$G$30</f>
        <v>0.68839973106844787</v>
      </c>
      <c r="S554" s="45">
        <f t="shared" si="130"/>
        <v>3.0922122149107611E-2</v>
      </c>
      <c r="T554" s="46"/>
      <c r="U554" s="48" t="str">
        <f t="shared" si="131"/>
        <v>CHF492</v>
      </c>
      <c r="V554" s="69" t="str">
        <f t="shared" ref="V554:V559" si="132">V494</f>
        <v>Swisscom</v>
      </c>
    </row>
    <row r="555" spans="1:113">
      <c r="A555" s="41"/>
      <c r="C555" s="48" t="s">
        <v>270</v>
      </c>
      <c r="D555" s="44" t="str">
        <f t="shared" si="127"/>
        <v>EUR 0.25</v>
      </c>
      <c r="E555" s="44" t="str">
        <f t="shared" si="127"/>
        <v>EUR 0.35</v>
      </c>
      <c r="F555" s="45">
        <f t="shared" si="127"/>
        <v>0.42103126268777902</v>
      </c>
      <c r="G555" s="44" t="str">
        <f t="shared" si="127"/>
        <v>Buy</v>
      </c>
      <c r="H555" s="46"/>
      <c r="I555" s="45">
        <f>TI!$D$31/TI!$D$29</f>
        <v>0</v>
      </c>
      <c r="J555" s="45">
        <f>TI!$E$31/TI!$E$29</f>
        <v>0</v>
      </c>
      <c r="K555" s="45">
        <f>TI!$F$31/TI!$F$29</f>
        <v>0</v>
      </c>
      <c r="L555" s="45">
        <f>TI!$G$31/TI!$G$29</f>
        <v>0</v>
      </c>
      <c r="M555" s="45">
        <f t="shared" si="128"/>
        <v>0</v>
      </c>
      <c r="N555" s="46"/>
      <c r="O555" s="45">
        <f>TI!$D$31/TI!$D$30</f>
        <v>0</v>
      </c>
      <c r="P555" s="45">
        <f>TI!$E$31/TI!$E$30</f>
        <v>0</v>
      </c>
      <c r="Q555" s="45">
        <f>TI!$F$31/TI!$F$30</f>
        <v>0</v>
      </c>
      <c r="R555" s="45">
        <f>TI!$G$31/TI!$G$30</f>
        <v>0</v>
      </c>
      <c r="S555" s="45">
        <f t="shared" si="130"/>
        <v>0</v>
      </c>
      <c r="T555" s="46"/>
      <c r="U555" s="48" t="str">
        <f t="shared" si="131"/>
        <v>EUR 0.25</v>
      </c>
      <c r="V555" s="69" t="str">
        <f t="shared" si="132"/>
        <v>Telecom Italia</v>
      </c>
      <c r="AF555" s="39"/>
      <c r="AG555" s="39"/>
      <c r="AH555" s="39"/>
      <c r="AI555" s="39"/>
      <c r="AJ555" s="39"/>
      <c r="AK555" s="39"/>
      <c r="AL555" s="39"/>
      <c r="AM555" s="39"/>
      <c r="AN555" s="39"/>
      <c r="AO555" s="39"/>
      <c r="AP555" s="39"/>
      <c r="AQ555" s="39"/>
      <c r="AR555" s="39"/>
      <c r="AS555" s="39"/>
      <c r="AT555" s="39"/>
      <c r="AU555" s="39"/>
      <c r="AV555" s="39"/>
      <c r="AW555" s="39"/>
      <c r="AX555" s="39"/>
      <c r="AY555" s="39"/>
      <c r="AZ555" s="39"/>
      <c r="BA555" s="39"/>
      <c r="BB555" s="39"/>
      <c r="BC555" s="39"/>
      <c r="BD555" s="39"/>
      <c r="BE555" s="39"/>
      <c r="BF555" s="39"/>
      <c r="BG555" s="39"/>
      <c r="BH555" s="39"/>
      <c r="BI555" s="39"/>
      <c r="BJ555" s="39"/>
      <c r="BK555" s="39"/>
      <c r="BL555" s="39"/>
      <c r="BM555" s="39"/>
      <c r="BN555" s="39"/>
      <c r="BO555" s="39"/>
      <c r="BP555" s="39"/>
      <c r="BQ555" s="39"/>
      <c r="BR555" s="39"/>
      <c r="BS555" s="39"/>
      <c r="BT555" s="39"/>
      <c r="BU555" s="39"/>
      <c r="BV555" s="39"/>
      <c r="BW555" s="39"/>
      <c r="BX555" s="39"/>
      <c r="BY555" s="39"/>
      <c r="BZ555" s="39"/>
      <c r="CA555" s="39"/>
      <c r="CB555" s="39"/>
      <c r="CC555" s="39"/>
      <c r="CD555" s="39"/>
      <c r="CE555" s="39"/>
      <c r="CF555" s="39"/>
      <c r="CG555" s="39"/>
      <c r="CH555" s="39"/>
      <c r="CI555" s="39"/>
      <c r="CJ555" s="39"/>
      <c r="CK555" s="39"/>
      <c r="CL555" s="39"/>
      <c r="CM555" s="39"/>
      <c r="CN555" s="39"/>
      <c r="CO555" s="39"/>
      <c r="CP555" s="39"/>
      <c r="CQ555" s="39"/>
      <c r="CR555" s="39"/>
      <c r="CS555" s="39"/>
      <c r="CT555" s="39"/>
      <c r="CU555" s="39"/>
      <c r="CV555" s="39"/>
      <c r="CW555" s="39"/>
      <c r="CX555" s="39"/>
      <c r="CY555" s="39"/>
      <c r="CZ555" s="39"/>
      <c r="DA555" s="39"/>
      <c r="DB555" s="39"/>
      <c r="DC555" s="39"/>
      <c r="DD555" s="39"/>
      <c r="DE555" s="39"/>
      <c r="DF555" s="39"/>
      <c r="DG555" s="39"/>
      <c r="DH555" s="39"/>
      <c r="DI555" s="39"/>
    </row>
    <row r="556" spans="1:113">
      <c r="A556" s="41"/>
      <c r="C556" s="48" t="s">
        <v>461</v>
      </c>
      <c r="D556" s="44" t="str">
        <f t="shared" si="127"/>
        <v>EUR 4.16</v>
      </c>
      <c r="E556" s="44" t="str">
        <f t="shared" si="127"/>
        <v>EUR 4.80</v>
      </c>
      <c r="F556" s="45">
        <f t="shared" si="127"/>
        <v>0.15523465703971118</v>
      </c>
      <c r="G556" s="44" t="str">
        <f t="shared" si="127"/>
        <v>Buy</v>
      </c>
      <c r="H556" s="46"/>
      <c r="I556" s="45">
        <f>TEF!$D$31/TEF!$D$29</f>
        <v>1.1151342476349397</v>
      </c>
      <c r="J556" s="45">
        <f>TEF!$E$31/TEF!$E$29</f>
        <v>1.518414058405088</v>
      </c>
      <c r="K556" s="45">
        <f>TEF!$F$31/TEF!$F$29</f>
        <v>0.64459041512594872</v>
      </c>
      <c r="L556" s="45">
        <f>TEF!$G$31/TEF!$G$29</f>
        <v>0.58075912754286818</v>
      </c>
      <c r="M556" s="45">
        <f t="shared" si="128"/>
        <v>-0.53437512009207155</v>
      </c>
      <c r="N556" s="46"/>
      <c r="O556" s="45">
        <f>TEF!$D$31/TEF!$D$30</f>
        <v>0.99374508186524357</v>
      </c>
      <c r="P556" s="45">
        <f>TEF!$E$31/TEF!$E$30</f>
        <v>0.75659526001493282</v>
      </c>
      <c r="Q556" s="45">
        <f>TEF!$F$31/TEF!$F$30</f>
        <v>0.69212063631836351</v>
      </c>
      <c r="R556" s="45">
        <f>TEF!$G$31/TEF!$G$30</f>
        <v>0.59995988215312235</v>
      </c>
      <c r="S556" s="45">
        <f t="shared" si="130"/>
        <v>-0.39378519971212123</v>
      </c>
      <c r="T556" s="46"/>
      <c r="U556" s="48" t="str">
        <f t="shared" si="131"/>
        <v>EUR 4.16</v>
      </c>
      <c r="V556" s="69" t="str">
        <f t="shared" si="132"/>
        <v>Telefonica</v>
      </c>
      <c r="AF556" s="39"/>
      <c r="AG556" s="39"/>
      <c r="AH556" s="39"/>
      <c r="AI556" s="39"/>
      <c r="AJ556" s="39"/>
      <c r="AK556" s="39"/>
      <c r="AL556" s="39"/>
      <c r="AM556" s="39"/>
      <c r="AN556" s="39"/>
      <c r="AO556" s="39"/>
      <c r="AP556" s="39"/>
      <c r="AQ556" s="39"/>
      <c r="AR556" s="39"/>
      <c r="AS556" s="39"/>
      <c r="AT556" s="39"/>
      <c r="AU556" s="39"/>
      <c r="AV556" s="39"/>
      <c r="AW556" s="39"/>
      <c r="AX556" s="39"/>
      <c r="AY556" s="39"/>
      <c r="AZ556" s="39"/>
      <c r="BA556" s="39"/>
      <c r="BB556" s="39"/>
      <c r="BC556" s="39"/>
      <c r="BD556" s="39"/>
      <c r="BE556" s="39"/>
      <c r="BF556" s="39"/>
      <c r="BG556" s="39"/>
      <c r="BH556" s="39"/>
      <c r="BI556" s="39"/>
      <c r="BJ556" s="39"/>
      <c r="BK556" s="39"/>
      <c r="BL556" s="39"/>
      <c r="BM556" s="39"/>
      <c r="BN556" s="39"/>
      <c r="BO556" s="39"/>
      <c r="BP556" s="39"/>
      <c r="BQ556" s="39"/>
      <c r="BR556" s="39"/>
      <c r="BS556" s="39"/>
      <c r="BT556" s="39"/>
      <c r="BU556" s="39"/>
      <c r="BV556" s="39"/>
      <c r="BW556" s="39"/>
      <c r="BX556" s="39"/>
      <c r="BY556" s="39"/>
      <c r="BZ556" s="39"/>
      <c r="CA556" s="39"/>
      <c r="CB556" s="39"/>
      <c r="CC556" s="39"/>
      <c r="CD556" s="39"/>
      <c r="CE556" s="39"/>
      <c r="CF556" s="39"/>
      <c r="CG556" s="39"/>
      <c r="CH556" s="39"/>
      <c r="CI556" s="39"/>
      <c r="CJ556" s="39"/>
      <c r="CK556" s="39"/>
      <c r="CL556" s="39"/>
      <c r="CM556" s="39"/>
      <c r="CN556" s="39"/>
      <c r="CO556" s="39"/>
      <c r="CP556" s="39"/>
      <c r="CQ556" s="39"/>
      <c r="CR556" s="39"/>
      <c r="CS556" s="39"/>
      <c r="CT556" s="39"/>
      <c r="CU556" s="39"/>
      <c r="CV556" s="39"/>
      <c r="CW556" s="39"/>
      <c r="CX556" s="39"/>
      <c r="CY556" s="39"/>
      <c r="CZ556" s="39"/>
      <c r="DA556" s="39"/>
      <c r="DB556" s="39"/>
      <c r="DC556" s="39"/>
      <c r="DD556" s="39"/>
      <c r="DE556" s="39"/>
      <c r="DF556" s="39"/>
      <c r="DG556" s="39"/>
      <c r="DH556" s="39"/>
      <c r="DI556" s="39"/>
    </row>
    <row r="557" spans="1:113">
      <c r="A557" s="41"/>
      <c r="C557" s="48" t="s">
        <v>462</v>
      </c>
      <c r="D557" s="44" t="str">
        <f t="shared" si="127"/>
        <v>NOK 124</v>
      </c>
      <c r="E557" s="44" t="str">
        <f t="shared" si="127"/>
        <v>NOK 136</v>
      </c>
      <c r="F557" s="45">
        <f t="shared" si="127"/>
        <v>9.9434114793855999E-2</v>
      </c>
      <c r="G557" s="44" t="str">
        <f t="shared" si="127"/>
        <v>Buy</v>
      </c>
      <c r="H557" s="46"/>
      <c r="I557" s="45">
        <f>TNOR!$D$31/TNOR!$D$29</f>
        <v>1.2701174256797079</v>
      </c>
      <c r="J557" s="45">
        <f>TNOR!$E$31/TNOR!$E$29</f>
        <v>1.1386807532288792</v>
      </c>
      <c r="K557" s="45">
        <f>TNOR!$F$31/TNOR!$F$29</f>
        <v>1.0002612247557552</v>
      </c>
      <c r="L557" s="45">
        <f>TNOR!$G$31/TNOR!$G$29</f>
        <v>0.89953915288882291</v>
      </c>
      <c r="M557" s="45">
        <f t="shared" si="128"/>
        <v>-0.37057827279088495</v>
      </c>
      <c r="N557" s="46"/>
      <c r="O557" s="45">
        <f>TNOR!$D$31/TNOR!$D$30</f>
        <v>1.6443417042564812</v>
      </c>
      <c r="P557" s="45">
        <f>TNOR!$E$31/TNOR!$E$30</f>
        <v>1.6142328754778144</v>
      </c>
      <c r="Q557" s="45">
        <f>TNOR!$F$31/TNOR!$F$30</f>
        <v>1.559188148850259</v>
      </c>
      <c r="R557" s="45">
        <f>TNOR!$G$31/TNOR!$G$30</f>
        <v>1.3513174944384874</v>
      </c>
      <c r="S557" s="45">
        <f t="shared" si="130"/>
        <v>-0.29302420981799382</v>
      </c>
      <c r="T557" s="46"/>
      <c r="U557" s="48" t="str">
        <f t="shared" si="131"/>
        <v>NOK 124</v>
      </c>
      <c r="V557" s="44" t="str">
        <f t="shared" si="132"/>
        <v>Telenor</v>
      </c>
      <c r="AF557" s="39"/>
      <c r="AG557" s="39"/>
      <c r="AH557" s="39"/>
      <c r="AI557" s="39"/>
      <c r="AJ557" s="39"/>
      <c r="AK557" s="39"/>
      <c r="AL557" s="39"/>
      <c r="AM557" s="39"/>
      <c r="AN557" s="39"/>
      <c r="AO557" s="39"/>
      <c r="AP557" s="39"/>
      <c r="AQ557" s="39"/>
      <c r="AR557" s="39"/>
      <c r="AS557" s="39"/>
      <c r="AT557" s="39"/>
      <c r="AU557" s="39"/>
      <c r="AV557" s="39"/>
      <c r="AW557" s="39"/>
      <c r="AX557" s="39"/>
      <c r="AY557" s="39"/>
      <c r="AZ557" s="39"/>
      <c r="BA557" s="39"/>
      <c r="BB557" s="39"/>
      <c r="BC557" s="39"/>
      <c r="BD557" s="39"/>
      <c r="BE557" s="39"/>
      <c r="BF557" s="39"/>
      <c r="BG557" s="39"/>
      <c r="BH557" s="39"/>
      <c r="BI557" s="39"/>
      <c r="BJ557" s="39"/>
      <c r="BK557" s="39"/>
      <c r="BL557" s="39"/>
      <c r="BM557" s="39"/>
      <c r="BN557" s="39"/>
      <c r="BO557" s="39"/>
      <c r="BP557" s="39"/>
      <c r="BQ557" s="39"/>
      <c r="BR557" s="39"/>
      <c r="BS557" s="39"/>
      <c r="BT557" s="39"/>
      <c r="BU557" s="39"/>
      <c r="BV557" s="39"/>
      <c r="BW557" s="39"/>
      <c r="BX557" s="39"/>
      <c r="BY557" s="39"/>
      <c r="BZ557" s="39"/>
      <c r="CA557" s="39"/>
      <c r="CB557" s="39"/>
      <c r="CC557" s="39"/>
      <c r="CD557" s="39"/>
      <c r="CE557" s="39"/>
      <c r="CF557" s="39"/>
      <c r="CG557" s="39"/>
      <c r="CH557" s="39"/>
      <c r="CI557" s="39"/>
      <c r="CJ557" s="39"/>
      <c r="CK557" s="39"/>
      <c r="CL557" s="39"/>
      <c r="CM557" s="39"/>
      <c r="CN557" s="39"/>
      <c r="CO557" s="39"/>
      <c r="CP557" s="39"/>
      <c r="CQ557" s="39"/>
      <c r="CR557" s="39"/>
      <c r="CS557" s="39"/>
      <c r="CT557" s="39"/>
      <c r="CU557" s="39"/>
      <c r="CV557" s="39"/>
      <c r="CW557" s="39"/>
      <c r="CX557" s="39"/>
      <c r="CY557" s="39"/>
      <c r="CZ557" s="39"/>
      <c r="DA557" s="39"/>
      <c r="DB557" s="39"/>
      <c r="DC557" s="39"/>
      <c r="DD557" s="39"/>
      <c r="DE557" s="39"/>
      <c r="DF557" s="39"/>
      <c r="DG557" s="39"/>
      <c r="DH557" s="39"/>
      <c r="DI557" s="39"/>
    </row>
    <row r="558" spans="1:113">
      <c r="A558" s="41"/>
      <c r="C558" s="48" t="s">
        <v>1039</v>
      </c>
      <c r="D558" s="44" t="str">
        <f t="shared" si="127"/>
        <v>SEK26.4</v>
      </c>
      <c r="E558" s="44" t="str">
        <f t="shared" si="127"/>
        <v>SEK36.0</v>
      </c>
      <c r="F558" s="45">
        <f t="shared" si="127"/>
        <v>0.36415308829101933</v>
      </c>
      <c r="G558" s="44" t="str">
        <f t="shared" si="127"/>
        <v>Buy</v>
      </c>
      <c r="H558" s="46"/>
      <c r="I558" s="45">
        <f>TELIA!$D$31/TELIA!$D$29</f>
        <v>0.9206179281775525</v>
      </c>
      <c r="J558" s="45">
        <f>TELIA!$E$31/TELIA!$E$29</f>
        <v>0.8758114132609901</v>
      </c>
      <c r="K558" s="45">
        <f>TELIA!$F$31/TELIA!$F$29</f>
        <v>0.84830252682350016</v>
      </c>
      <c r="L558" s="45">
        <f>TELIA!$G$31/TELIA!$G$29</f>
        <v>0.87608643473965464</v>
      </c>
      <c r="M558" s="45">
        <f t="shared" si="128"/>
        <v>-4.4531493437897862E-2</v>
      </c>
      <c r="N558" s="46"/>
      <c r="O558" s="45">
        <f>TELIA!$D$31/TELIA!$D$30</f>
        <v>4.5423773221063932</v>
      </c>
      <c r="P558" s="45">
        <f>TELIA!$E$31/TELIA!$E$30</f>
        <v>2.5101069741494255</v>
      </c>
      <c r="Q558" s="45">
        <f>TELIA!$F$31/TELIA!$F$30</f>
        <v>1.9469539889999727</v>
      </c>
      <c r="R558" s="45">
        <f>TELIA!$G$31/TELIA!$G$30</f>
        <v>1.4868007309765745</v>
      </c>
      <c r="S558" s="45">
        <f t="shared" si="130"/>
        <v>-3.0555765911298187</v>
      </c>
      <c r="T558" s="46"/>
      <c r="U558" s="48" t="str">
        <f t="shared" si="131"/>
        <v>SEK26.4</v>
      </c>
      <c r="V558" s="44" t="str">
        <f t="shared" si="132"/>
        <v>Telia</v>
      </c>
      <c r="AF558" s="39"/>
      <c r="AG558" s="39"/>
      <c r="AH558" s="39"/>
      <c r="AI558" s="39"/>
      <c r="AJ558" s="39"/>
      <c r="AK558" s="39"/>
      <c r="AL558" s="39"/>
      <c r="AM558" s="39"/>
      <c r="AN558" s="39"/>
      <c r="AO558" s="39"/>
      <c r="AP558" s="39"/>
      <c r="AQ558" s="39"/>
      <c r="AR558" s="39"/>
      <c r="AS558" s="39"/>
      <c r="AT558" s="39"/>
      <c r="AU558" s="39"/>
      <c r="AV558" s="39"/>
      <c r="AW558" s="39"/>
      <c r="AX558" s="39"/>
      <c r="AY558" s="39"/>
      <c r="AZ558" s="39"/>
      <c r="BA558" s="39"/>
      <c r="BB558" s="39"/>
      <c r="BC558" s="39"/>
      <c r="BD558" s="39"/>
      <c r="BE558" s="39"/>
      <c r="BF558" s="39"/>
      <c r="BG558" s="39"/>
      <c r="BH558" s="39"/>
      <c r="BI558" s="39"/>
      <c r="BJ558" s="39"/>
      <c r="BK558" s="39"/>
      <c r="BL558" s="39"/>
      <c r="BM558" s="39"/>
      <c r="BN558" s="39"/>
      <c r="BO558" s="39"/>
      <c r="BP558" s="39"/>
      <c r="BQ558" s="39"/>
      <c r="BR558" s="39"/>
      <c r="BS558" s="39"/>
      <c r="BT558" s="39"/>
      <c r="BU558" s="39"/>
      <c r="BV558" s="39"/>
      <c r="BW558" s="39"/>
      <c r="BX558" s="39"/>
      <c r="BY558" s="39"/>
      <c r="BZ558" s="39"/>
      <c r="CA558" s="39"/>
      <c r="CB558" s="39"/>
      <c r="CC558" s="39"/>
      <c r="CD558" s="39"/>
      <c r="CE558" s="39"/>
      <c r="CF558" s="39"/>
      <c r="CG558" s="39"/>
      <c r="CH558" s="39"/>
      <c r="CI558" s="39"/>
      <c r="CJ558" s="39"/>
      <c r="CK558" s="39"/>
      <c r="CL558" s="39"/>
      <c r="CM558" s="39"/>
      <c r="CN558" s="39"/>
      <c r="CO558" s="39"/>
      <c r="CP558" s="39"/>
      <c r="CQ558" s="39"/>
      <c r="CR558" s="39"/>
      <c r="CS558" s="39"/>
      <c r="CT558" s="39"/>
      <c r="CU558" s="39"/>
      <c r="CV558" s="39"/>
      <c r="CW558" s="39"/>
      <c r="CX558" s="39"/>
      <c r="CY558" s="39"/>
      <c r="CZ558" s="39"/>
      <c r="DA558" s="39"/>
      <c r="DB558" s="39"/>
      <c r="DC558" s="39"/>
      <c r="DD558" s="39"/>
      <c r="DE558" s="39"/>
      <c r="DF558" s="39"/>
      <c r="DG558" s="39"/>
      <c r="DH558" s="39"/>
      <c r="DI558" s="39"/>
    </row>
    <row r="559" spans="1:113">
      <c r="A559" s="41"/>
      <c r="C559" s="51" t="str">
        <f>C499</f>
        <v>Agg. W.Europe Incumbent</v>
      </c>
      <c r="D559" s="52"/>
      <c r="E559" s="52"/>
      <c r="F559" s="53"/>
      <c r="G559" s="52"/>
      <c r="H559" s="46"/>
      <c r="I559" s="55">
        <f>'W.EUR INCUMB'!$D$31/'W.EUR INCUMB'!$D$29</f>
        <v>0.69753103513272863</v>
      </c>
      <c r="J559" s="55">
        <f>'W.EUR INCUMB'!$E$31/'W.EUR INCUMB'!$E$29</f>
        <v>0.66278263399293669</v>
      </c>
      <c r="K559" s="55">
        <f>'W.EUR INCUMB'!$F$31/'W.EUR INCUMB'!$F$29</f>
        <v>0.5878425682239502</v>
      </c>
      <c r="L559" s="55">
        <f>'W.EUR INCUMB'!$G$31/'W.EUR INCUMB'!$G$29</f>
        <v>0.5759521808171526</v>
      </c>
      <c r="M559" s="55">
        <f t="shared" si="128"/>
        <v>-0.12157885431557602</v>
      </c>
      <c r="N559" s="56"/>
      <c r="O559" s="55">
        <f>'W.EUR INCUMB'!$D$31/'W.EUR INCUMB'!$D$30</f>
        <v>0.69149959371207104</v>
      </c>
      <c r="P559" s="55">
        <f>'W.EUR INCUMB'!$E$31/'W.EUR INCUMB'!$E$30</f>
        <v>0.65345910378777139</v>
      </c>
      <c r="Q559" s="55">
        <f>'W.EUR INCUMB'!$F$31/'W.EUR INCUMB'!$F$30</f>
        <v>0.6242413765459397</v>
      </c>
      <c r="R559" s="55">
        <f>'W.EUR INCUMB'!$G$31/'W.EUR INCUMB'!$G$30</f>
        <v>0.61114750895449399</v>
      </c>
      <c r="S559" s="55">
        <f t="shared" si="130"/>
        <v>-8.0352084757577047E-2</v>
      </c>
      <c r="T559" s="46"/>
      <c r="U559" s="57"/>
      <c r="V559" s="58" t="str">
        <f t="shared" si="132"/>
        <v>Agg. W.Europe Incumbent</v>
      </c>
      <c r="AF559" s="39"/>
      <c r="AG559" s="39"/>
      <c r="AH559" s="39"/>
      <c r="AI559" s="39"/>
      <c r="AJ559" s="39"/>
      <c r="AK559" s="39"/>
      <c r="AL559" s="39"/>
      <c r="AM559" s="39"/>
      <c r="AN559" s="39"/>
      <c r="AO559" s="39"/>
      <c r="AP559" s="39"/>
      <c r="AQ559" s="39"/>
      <c r="AR559" s="39"/>
      <c r="AS559" s="39"/>
      <c r="AT559" s="39"/>
      <c r="AU559" s="39"/>
      <c r="AV559" s="39"/>
      <c r="AW559" s="39"/>
      <c r="AX559" s="39"/>
      <c r="AY559" s="39"/>
      <c r="AZ559" s="39"/>
      <c r="BA559" s="39"/>
      <c r="BB559" s="39"/>
      <c r="BC559" s="39"/>
      <c r="BD559" s="39"/>
      <c r="BE559" s="39"/>
      <c r="BF559" s="39"/>
      <c r="BG559" s="39"/>
      <c r="BH559" s="39"/>
      <c r="BI559" s="39"/>
      <c r="BJ559" s="39"/>
      <c r="BK559" s="39"/>
      <c r="BL559" s="39"/>
      <c r="BM559" s="39"/>
      <c r="BN559" s="39"/>
      <c r="BO559" s="39"/>
      <c r="BP559" s="39"/>
      <c r="BQ559" s="39"/>
      <c r="BR559" s="39"/>
      <c r="BS559" s="39"/>
      <c r="BT559" s="39"/>
      <c r="BU559" s="39"/>
      <c r="BV559" s="39"/>
      <c r="BW559" s="39"/>
      <c r="BX559" s="39"/>
      <c r="BY559" s="39"/>
      <c r="BZ559" s="39"/>
      <c r="CA559" s="39"/>
      <c r="CB559" s="39"/>
      <c r="CC559" s="39"/>
      <c r="CD559" s="39"/>
      <c r="CE559" s="39"/>
      <c r="CF559" s="39"/>
      <c r="CG559" s="39"/>
      <c r="CH559" s="39"/>
      <c r="CI559" s="39"/>
      <c r="CJ559" s="39"/>
      <c r="CK559" s="39"/>
      <c r="CL559" s="39"/>
      <c r="CM559" s="39"/>
      <c r="CN559" s="39"/>
      <c r="CO559" s="39"/>
      <c r="CP559" s="39"/>
      <c r="CQ559" s="39"/>
      <c r="CR559" s="39"/>
      <c r="CS559" s="39"/>
      <c r="CT559" s="39"/>
      <c r="CU559" s="39"/>
      <c r="CV559" s="39"/>
      <c r="CW559" s="39"/>
      <c r="CX559" s="39"/>
      <c r="CY559" s="39"/>
      <c r="CZ559" s="39"/>
      <c r="DA559" s="39"/>
      <c r="DB559" s="39"/>
      <c r="DC559" s="39"/>
      <c r="DD559" s="39"/>
      <c r="DE559" s="39"/>
      <c r="DF559" s="39"/>
      <c r="DG559" s="39"/>
      <c r="DH559" s="39"/>
      <c r="DI559" s="39"/>
    </row>
    <row r="560" spans="1:113">
      <c r="A560" s="41"/>
      <c r="C560" s="48"/>
      <c r="D560" s="44"/>
      <c r="E560" s="44"/>
      <c r="F560" s="45"/>
      <c r="G560" s="44"/>
      <c r="H560" s="46"/>
      <c r="I560" s="45"/>
      <c r="J560" s="45"/>
      <c r="K560" s="45"/>
      <c r="L560" s="45"/>
      <c r="M560" s="45"/>
      <c r="N560" s="46"/>
      <c r="O560" s="45"/>
      <c r="P560" s="45"/>
      <c r="Q560" s="45"/>
      <c r="R560" s="45"/>
      <c r="S560" s="45"/>
      <c r="T560" s="46"/>
      <c r="U560" s="48"/>
      <c r="V560" s="44"/>
      <c r="AF560" s="39"/>
      <c r="AG560" s="39"/>
      <c r="AH560" s="39"/>
      <c r="AI560" s="39"/>
      <c r="AJ560" s="39"/>
      <c r="AK560" s="39"/>
      <c r="AL560" s="39"/>
      <c r="AM560" s="39"/>
      <c r="AN560" s="39"/>
      <c r="AO560" s="39"/>
      <c r="AP560" s="39"/>
      <c r="AQ560" s="39"/>
      <c r="AR560" s="39"/>
      <c r="AS560" s="39"/>
      <c r="AT560" s="39"/>
      <c r="AU560" s="39"/>
      <c r="AV560" s="39"/>
      <c r="AW560" s="39"/>
      <c r="AX560" s="39"/>
      <c r="AY560" s="39"/>
      <c r="AZ560" s="39"/>
      <c r="BA560" s="39"/>
      <c r="BB560" s="39"/>
      <c r="BC560" s="39"/>
      <c r="BD560" s="39"/>
      <c r="BE560" s="39"/>
      <c r="BF560" s="39"/>
      <c r="BG560" s="39"/>
      <c r="BH560" s="39"/>
      <c r="BI560" s="39"/>
      <c r="BJ560" s="39"/>
      <c r="BK560" s="39"/>
      <c r="BL560" s="39"/>
      <c r="BM560" s="39"/>
      <c r="BN560" s="39"/>
      <c r="BO560" s="39"/>
      <c r="BP560" s="39"/>
      <c r="BQ560" s="39"/>
      <c r="BR560" s="39"/>
      <c r="BS560" s="39"/>
      <c r="BT560" s="39"/>
      <c r="BU560" s="39"/>
      <c r="BV560" s="39"/>
      <c r="BW560" s="39"/>
      <c r="BX560" s="39"/>
      <c r="BY560" s="39"/>
      <c r="BZ560" s="39"/>
      <c r="CA560" s="39"/>
      <c r="CB560" s="39"/>
      <c r="CC560" s="39"/>
      <c r="CD560" s="39"/>
      <c r="CE560" s="39"/>
      <c r="CF560" s="39"/>
      <c r="CG560" s="39"/>
      <c r="CH560" s="39"/>
      <c r="CI560" s="39"/>
      <c r="CJ560" s="39"/>
      <c r="CK560" s="39"/>
      <c r="CL560" s="39"/>
      <c r="CM560" s="39"/>
      <c r="CN560" s="39"/>
      <c r="CO560" s="39"/>
      <c r="CP560" s="39"/>
      <c r="CQ560" s="39"/>
      <c r="CR560" s="39"/>
      <c r="CS560" s="39"/>
      <c r="CT560" s="39"/>
      <c r="CU560" s="39"/>
      <c r="CV560" s="39"/>
      <c r="CW560" s="39"/>
      <c r="CX560" s="39"/>
      <c r="CY560" s="39"/>
      <c r="CZ560" s="39"/>
      <c r="DA560" s="39"/>
      <c r="DB560" s="39"/>
      <c r="DC560" s="39"/>
      <c r="DD560" s="39"/>
      <c r="DE560" s="39"/>
      <c r="DF560" s="39"/>
      <c r="DG560" s="39"/>
      <c r="DH560" s="39"/>
      <c r="DI560" s="39"/>
    </row>
    <row r="561" spans="1:113">
      <c r="A561" s="41"/>
      <c r="B561" s="42" t="s">
        <v>519</v>
      </c>
      <c r="C561" s="48" t="s">
        <v>491</v>
      </c>
      <c r="D561" s="44" t="str">
        <f>B561&amp;TEXT(Prices!$C$40,"0.0")</f>
        <v>US$17.5</v>
      </c>
      <c r="E561" s="44" t="str">
        <f>B561&amp;TEXT(Prices!$E$40,"0.00")</f>
        <v>US$21.00</v>
      </c>
      <c r="F561" s="45">
        <f>Prices!$F$40</f>
        <v>0.19999999999999996</v>
      </c>
      <c r="G561" s="44" t="str">
        <f>Prices!$D$40</f>
        <v>Neutral</v>
      </c>
      <c r="H561" s="46"/>
      <c r="I561" s="45">
        <f>ATT!$D$31/ATT!$D$29</f>
        <v>0.65189431125201536</v>
      </c>
      <c r="J561" s="45">
        <f>ATT!$E$31/ATT!$E$29</f>
        <v>0.57081703102455938</v>
      </c>
      <c r="K561" s="45">
        <f>ATT!$F$31/ATT!$F$29</f>
        <v>0.52998478950154737</v>
      </c>
      <c r="L561" s="45">
        <f>ATT!$G$31/ATT!$G$29</f>
        <v>0.50188166035141257</v>
      </c>
      <c r="M561" s="45">
        <f>L561-I561</f>
        <v>-0.15001265090060278</v>
      </c>
      <c r="N561" s="46"/>
      <c r="O561" s="45">
        <f>ATT!$D$31/ATT!$D$30</f>
        <v>0.46827110193322591</v>
      </c>
      <c r="P561" s="45">
        <f>ATT!$E$31/ATT!$E$30</f>
        <v>0.50352480946420342</v>
      </c>
      <c r="Q561" s="45">
        <f>ATT!$F$31/ATT!$F$30</f>
        <v>0.50344937620144914</v>
      </c>
      <c r="R561" s="45">
        <f>ATT!$G$31/ATT!$G$30</f>
        <v>0.48328154238007703</v>
      </c>
      <c r="S561" s="45">
        <f>R561-O561</f>
        <v>1.5010440446851125E-2</v>
      </c>
      <c r="T561" s="46"/>
      <c r="U561" s="48" t="str">
        <f>D561</f>
        <v>US$17.5</v>
      </c>
      <c r="V561" s="44" t="str">
        <f>C561</f>
        <v xml:space="preserve">AT&amp;T </v>
      </c>
      <c r="AF561" s="39"/>
      <c r="AG561" s="39"/>
      <c r="AH561" s="39"/>
      <c r="AI561" s="39"/>
      <c r="AJ561" s="39"/>
      <c r="AK561" s="39"/>
      <c r="AL561" s="39"/>
      <c r="AM561" s="39"/>
      <c r="AN561" s="39"/>
      <c r="AO561" s="39"/>
      <c r="AP561" s="39"/>
      <c r="AQ561" s="39"/>
      <c r="AR561" s="39"/>
      <c r="AS561" s="39"/>
      <c r="AT561" s="39"/>
      <c r="AU561" s="39"/>
      <c r="AV561" s="39"/>
      <c r="AW561" s="39"/>
      <c r="AX561" s="39"/>
      <c r="AY561" s="39"/>
      <c r="AZ561" s="39"/>
      <c r="BA561" s="39"/>
      <c r="BB561" s="39"/>
      <c r="BC561" s="39"/>
      <c r="BD561" s="39"/>
      <c r="BE561" s="39"/>
      <c r="BF561" s="39"/>
      <c r="BG561" s="39"/>
      <c r="BH561" s="39"/>
      <c r="BI561" s="39"/>
      <c r="BJ561" s="39"/>
      <c r="BK561" s="39"/>
      <c r="BL561" s="39"/>
      <c r="BM561" s="39"/>
      <c r="BN561" s="39"/>
      <c r="BO561" s="39"/>
      <c r="BP561" s="39"/>
      <c r="BQ561" s="39"/>
      <c r="BR561" s="39"/>
      <c r="BS561" s="39"/>
      <c r="BT561" s="39"/>
      <c r="BU561" s="39"/>
      <c r="BV561" s="39"/>
      <c r="BW561" s="39"/>
      <c r="BX561" s="39"/>
      <c r="BY561" s="39"/>
      <c r="BZ561" s="39"/>
      <c r="CA561" s="39"/>
      <c r="CB561" s="39"/>
      <c r="CC561" s="39"/>
      <c r="CD561" s="39"/>
      <c r="CE561" s="39"/>
      <c r="CF561" s="39"/>
      <c r="CG561" s="39"/>
      <c r="CH561" s="39"/>
      <c r="CI561" s="39"/>
      <c r="CJ561" s="39"/>
      <c r="CK561" s="39"/>
      <c r="CL561" s="39"/>
      <c r="CM561" s="39"/>
      <c r="CN561" s="39"/>
      <c r="CO561" s="39"/>
      <c r="CP561" s="39"/>
      <c r="CQ561" s="39"/>
      <c r="CR561" s="39"/>
      <c r="CS561" s="39"/>
      <c r="CT561" s="39"/>
      <c r="CU561" s="39"/>
      <c r="CV561" s="39"/>
      <c r="CW561" s="39"/>
      <c r="CX561" s="39"/>
      <c r="CY561" s="39"/>
      <c r="CZ561" s="39"/>
      <c r="DA561" s="39"/>
      <c r="DB561" s="39"/>
      <c r="DC561" s="39"/>
      <c r="DD561" s="39"/>
      <c r="DE561" s="39"/>
      <c r="DF561" s="39"/>
      <c r="DG561" s="39"/>
      <c r="DH561" s="39"/>
      <c r="DI561" s="39"/>
    </row>
    <row r="562" spans="1:113">
      <c r="B562" s="42" t="s">
        <v>519</v>
      </c>
      <c r="C562" s="48" t="s">
        <v>693</v>
      </c>
      <c r="D562" s="44" t="str">
        <f>B562&amp;TEXT(Prices!$C$41,"0.0")</f>
        <v>US$166.0</v>
      </c>
      <c r="E562" s="44" t="str">
        <f>B562&amp;TEXT(Prices!$E$41,"0.0")</f>
        <v>US$205.0</v>
      </c>
      <c r="F562" s="45">
        <f>Prices!$F$41</f>
        <v>0.23493975903614461</v>
      </c>
      <c r="G562" s="44" t="str">
        <f>Prices!$D$41</f>
        <v>Buy</v>
      </c>
      <c r="H562" s="46"/>
      <c r="I562" s="45">
        <v>0</v>
      </c>
      <c r="J562" s="45">
        <f>TMUS!$E$31/TMUS!$E$29</f>
        <v>0.96296166782136172</v>
      </c>
      <c r="K562" s="45">
        <f>TMUS!$F$31/TMUS!$F$29</f>
        <v>0.79371958176529189</v>
      </c>
      <c r="L562" s="45">
        <f>TMUS!$G$31/TMUS!$G$29</f>
        <v>0.75836834145351051</v>
      </c>
      <c r="M562" s="45">
        <f>L562-I562</f>
        <v>0.75836834145351051</v>
      </c>
      <c r="N562" s="46"/>
      <c r="O562" s="45">
        <f>TMUS!$D$31/TMUS!$D$30</f>
        <v>8.6839870242734291E-2</v>
      </c>
      <c r="P562" s="45">
        <f>TMUS!$E$31/TMUS!$E$30</f>
        <v>0.29451342204380249</v>
      </c>
      <c r="Q562" s="45">
        <f>TMUS!$F$31/TMUS!$F$30</f>
        <v>0.24772053317551518</v>
      </c>
      <c r="R562" s="45">
        <f>TMUS!$G$31/TMUS!$G$30</f>
        <v>0.22973668044118434</v>
      </c>
      <c r="S562" s="45">
        <f>R562-O562</f>
        <v>0.14289681019845005</v>
      </c>
      <c r="T562" s="46"/>
      <c r="U562" s="48" t="str">
        <f>D562</f>
        <v>US$166.0</v>
      </c>
      <c r="V562" s="44" t="str">
        <f>C562</f>
        <v>TMUS</v>
      </c>
      <c r="AF562" s="39"/>
      <c r="AG562" s="39"/>
      <c r="AH562" s="39"/>
      <c r="AI562" s="39"/>
      <c r="AJ562" s="39"/>
      <c r="AK562" s="39"/>
      <c r="AL562" s="39"/>
      <c r="AM562" s="39"/>
      <c r="AN562" s="39"/>
      <c r="AO562" s="39"/>
      <c r="AP562" s="39"/>
      <c r="AQ562" s="39"/>
      <c r="AR562" s="39"/>
      <c r="AS562" s="39"/>
      <c r="AT562" s="39"/>
      <c r="AU562" s="39"/>
      <c r="AV562" s="39"/>
      <c r="AW562" s="39"/>
      <c r="AX562" s="39"/>
      <c r="AY562" s="39"/>
      <c r="AZ562" s="39"/>
      <c r="BA562" s="39"/>
      <c r="BB562" s="39"/>
      <c r="BC562" s="39"/>
      <c r="BD562" s="39"/>
      <c r="BE562" s="39"/>
      <c r="BF562" s="39"/>
      <c r="BG562" s="39"/>
      <c r="BH562" s="39"/>
      <c r="BI562" s="39"/>
      <c r="BJ562" s="39"/>
      <c r="BK562" s="39"/>
      <c r="BL562" s="39"/>
      <c r="BM562" s="39"/>
      <c r="BN562" s="39"/>
      <c r="BO562" s="39"/>
      <c r="BP562" s="39"/>
      <c r="BQ562" s="39"/>
      <c r="BR562" s="39"/>
      <c r="BS562" s="39"/>
      <c r="BT562" s="39"/>
      <c r="BU562" s="39"/>
      <c r="BV562" s="39"/>
      <c r="BW562" s="39"/>
      <c r="BX562" s="39"/>
      <c r="BY562" s="39"/>
      <c r="BZ562" s="39"/>
      <c r="CA562" s="39"/>
      <c r="CB562" s="39"/>
      <c r="CC562" s="39"/>
      <c r="CD562" s="39"/>
      <c r="CE562" s="39"/>
      <c r="CF562" s="39"/>
      <c r="CG562" s="39"/>
      <c r="CH562" s="39"/>
      <c r="CI562" s="39"/>
      <c r="CJ562" s="39"/>
      <c r="CK562" s="39"/>
      <c r="CL562" s="39"/>
      <c r="CM562" s="39"/>
      <c r="CN562" s="39"/>
      <c r="CO562" s="39"/>
      <c r="CP562" s="39"/>
      <c r="CQ562" s="39"/>
      <c r="CR562" s="39"/>
      <c r="CS562" s="39"/>
      <c r="CT562" s="39"/>
      <c r="CU562" s="39"/>
      <c r="CV562" s="39"/>
      <c r="CW562" s="39"/>
      <c r="CX562" s="39"/>
      <c r="CY562" s="39"/>
      <c r="CZ562" s="39"/>
      <c r="DA562" s="39"/>
      <c r="DB562" s="39"/>
      <c r="DC562" s="39"/>
      <c r="DD562" s="39"/>
      <c r="DE562" s="39"/>
      <c r="DF562" s="39"/>
      <c r="DG562" s="39"/>
      <c r="DH562" s="39"/>
      <c r="DI562" s="39"/>
    </row>
    <row r="563" spans="1:113">
      <c r="A563" s="41"/>
      <c r="B563" s="42" t="s">
        <v>519</v>
      </c>
      <c r="C563" s="48" t="s">
        <v>33</v>
      </c>
      <c r="D563" s="44" t="str">
        <f>B563&amp;TEXT(Prices!$C$39,"0.0")</f>
        <v>US$39.7</v>
      </c>
      <c r="E563" s="44" t="str">
        <f>B563&amp;TEXT(Prices!$E$39,"0.00")</f>
        <v>US$45.00</v>
      </c>
      <c r="F563" s="45">
        <f>Prices!$F$39</f>
        <v>0.13236034222445903</v>
      </c>
      <c r="G563" s="44" t="str">
        <f>Prices!$D$39</f>
        <v>Neutral</v>
      </c>
      <c r="H563" s="46"/>
      <c r="I563" s="45">
        <f>VZN!$D$31/VZN!$D$29</f>
        <v>0.58887892865516289</v>
      </c>
      <c r="J563" s="45">
        <f>VZN!$E$31/VZN!$E$29</f>
        <v>0.57195827693583967</v>
      </c>
      <c r="K563" s="45">
        <f>VZN!$F$31/VZN!$F$29</f>
        <v>0.57423711400768862</v>
      </c>
      <c r="L563" s="45">
        <f>VZN!$G$31/VZN!$G$29</f>
        <v>0.56723232496193177</v>
      </c>
      <c r="M563" s="45">
        <f>L563-I563</f>
        <v>-2.1646603693231126E-2</v>
      </c>
      <c r="N563" s="46"/>
      <c r="O563" s="45">
        <f>VZN!$D$31/VZN!$D$30</f>
        <v>0.55499581186681246</v>
      </c>
      <c r="P563" s="45">
        <f>VZN!$E$31/VZN!$E$30</f>
        <v>0.58315543368607736</v>
      </c>
      <c r="Q563" s="45">
        <f>VZN!$F$31/VZN!$F$30</f>
        <v>0.57175260235023162</v>
      </c>
      <c r="R563" s="45">
        <f>VZN!$G$31/VZN!$G$30</f>
        <v>0.56405446393307224</v>
      </c>
      <c r="S563" s="45">
        <f>R563-O563</f>
        <v>9.0586520662597758E-3</v>
      </c>
      <c r="T563" s="46"/>
      <c r="U563" s="48" t="str">
        <f>D563</f>
        <v>US$39.7</v>
      </c>
      <c r="V563" s="44" t="str">
        <f>C563</f>
        <v>Verizon</v>
      </c>
      <c r="AF563" s="39"/>
      <c r="AG563" s="39"/>
      <c r="AH563" s="39"/>
      <c r="AI563" s="39"/>
      <c r="AJ563" s="39"/>
      <c r="AK563" s="39"/>
      <c r="AL563" s="39"/>
      <c r="AM563" s="39"/>
      <c r="AN563" s="39"/>
      <c r="AO563" s="39"/>
      <c r="AP563" s="39"/>
      <c r="AQ563" s="39"/>
      <c r="AR563" s="39"/>
      <c r="AS563" s="39"/>
      <c r="AT563" s="39"/>
      <c r="AU563" s="39"/>
      <c r="AV563" s="39"/>
      <c r="AW563" s="39"/>
      <c r="AX563" s="39"/>
      <c r="AY563" s="39"/>
      <c r="AZ563" s="39"/>
      <c r="BA563" s="39"/>
      <c r="BB563" s="39"/>
      <c r="BC563" s="39"/>
      <c r="BD563" s="39"/>
      <c r="BE563" s="39"/>
      <c r="BF563" s="39"/>
      <c r="BG563" s="39"/>
      <c r="BH563" s="39"/>
      <c r="BI563" s="39"/>
      <c r="BJ563" s="39"/>
      <c r="BK563" s="39"/>
      <c r="BL563" s="39"/>
      <c r="BM563" s="39"/>
      <c r="BN563" s="39"/>
      <c r="BO563" s="39"/>
      <c r="BP563" s="39"/>
      <c r="BQ563" s="39"/>
      <c r="BR563" s="39"/>
      <c r="BS563" s="39"/>
      <c r="BT563" s="39"/>
      <c r="BU563" s="39"/>
      <c r="BV563" s="39"/>
      <c r="BW563" s="39"/>
      <c r="BX563" s="39"/>
      <c r="BY563" s="39"/>
      <c r="BZ563" s="39"/>
      <c r="CA563" s="39"/>
      <c r="CB563" s="39"/>
      <c r="CC563" s="39"/>
      <c r="CD563" s="39"/>
      <c r="CE563" s="39"/>
      <c r="CF563" s="39"/>
      <c r="CG563" s="39"/>
      <c r="CH563" s="39"/>
      <c r="CI563" s="39"/>
      <c r="CJ563" s="39"/>
      <c r="CK563" s="39"/>
      <c r="CL563" s="39"/>
      <c r="CM563" s="39"/>
      <c r="CN563" s="39"/>
      <c r="CO563" s="39"/>
      <c r="CP563" s="39"/>
      <c r="CQ563" s="39"/>
      <c r="CR563" s="39"/>
      <c r="CS563" s="39"/>
      <c r="CT563" s="39"/>
      <c r="CU563" s="39"/>
      <c r="CV563" s="39"/>
      <c r="CW563" s="39"/>
      <c r="CX563" s="39"/>
      <c r="CY563" s="39"/>
      <c r="CZ563" s="39"/>
      <c r="DA563" s="39"/>
      <c r="DB563" s="39"/>
      <c r="DC563" s="39"/>
      <c r="DD563" s="39"/>
      <c r="DE563" s="39"/>
      <c r="DF563" s="39"/>
      <c r="DG563" s="39"/>
      <c r="DH563" s="39"/>
      <c r="DI563" s="39"/>
    </row>
    <row r="564" spans="1:113">
      <c r="A564" s="41"/>
      <c r="C564" s="51" t="s">
        <v>262</v>
      </c>
      <c r="D564" s="52"/>
      <c r="E564" s="52"/>
      <c r="F564" s="53"/>
      <c r="G564" s="52"/>
      <c r="H564" s="46"/>
      <c r="I564" s="55">
        <f>'US TELCO'!$D$31/'US TELCO'!$D$29</f>
        <v>0.45003493807243083</v>
      </c>
      <c r="J564" s="55">
        <f>'US TELCO'!$E$31/'US TELCO'!$E$29</f>
        <v>0.60483746568122188</v>
      </c>
      <c r="K564" s="55">
        <f>'US TELCO'!$F$31/'US TELCO'!$F$29</f>
        <v>0.57845282021107813</v>
      </c>
      <c r="L564" s="55">
        <f>'US TELCO'!$G$31/'US TELCO'!$G$29</f>
        <v>0.56108132177383385</v>
      </c>
      <c r="M564" s="55">
        <f>L564-I564</f>
        <v>0.11104638370140302</v>
      </c>
      <c r="N564" s="46"/>
      <c r="O564" s="55">
        <f>'US TELCO'!$D$31/'US TELCO'!$D$30</f>
        <v>0.43427798797188155</v>
      </c>
      <c r="P564" s="55">
        <f>'US TELCO'!$E$31/'US TELCO'!$E$30</f>
        <v>0.4899544585410186</v>
      </c>
      <c r="Q564" s="55">
        <f>'US TELCO'!$F$31/'US TELCO'!$F$30</f>
        <v>0.46681627580743579</v>
      </c>
      <c r="R564" s="55">
        <f>'US TELCO'!$G$31/'US TELCO'!$G$30</f>
        <v>0.44724054295077309</v>
      </c>
      <c r="S564" s="55">
        <f>R564-O564</f>
        <v>1.2962554978891538E-2</v>
      </c>
      <c r="T564" s="46"/>
      <c r="U564" s="57"/>
      <c r="V564" s="58" t="str">
        <f>C564</f>
        <v>Agg. US Telecoms</v>
      </c>
      <c r="AF564" s="39"/>
      <c r="AG564" s="39"/>
      <c r="AH564" s="39"/>
      <c r="AI564" s="39"/>
      <c r="AJ564" s="39"/>
      <c r="AK564" s="39"/>
      <c r="AL564" s="39"/>
      <c r="AM564" s="39"/>
      <c r="AN564" s="39"/>
      <c r="AO564" s="39"/>
      <c r="AP564" s="39"/>
      <c r="AQ564" s="39"/>
      <c r="AR564" s="39"/>
      <c r="AS564" s="39"/>
      <c r="AT564" s="39"/>
      <c r="AU564" s="39"/>
      <c r="AV564" s="39"/>
      <c r="AW564" s="39"/>
      <c r="AX564" s="39"/>
      <c r="AY564" s="39"/>
      <c r="AZ564" s="39"/>
      <c r="BA564" s="39"/>
      <c r="BB564" s="39"/>
      <c r="BC564" s="39"/>
      <c r="BD564" s="39"/>
      <c r="BE564" s="39"/>
      <c r="BF564" s="39"/>
      <c r="BG564" s="39"/>
      <c r="BH564" s="39"/>
      <c r="BI564" s="39"/>
      <c r="BJ564" s="39"/>
      <c r="BK564" s="39"/>
      <c r="BL564" s="39"/>
      <c r="BM564" s="39"/>
      <c r="BN564" s="39"/>
      <c r="BO564" s="39"/>
      <c r="BP564" s="39"/>
      <c r="BQ564" s="39"/>
      <c r="BR564" s="39"/>
      <c r="BS564" s="39"/>
      <c r="BT564" s="39"/>
      <c r="BU564" s="39"/>
      <c r="BV564" s="39"/>
      <c r="BW564" s="39"/>
      <c r="BX564" s="39"/>
      <c r="BY564" s="39"/>
      <c r="BZ564" s="39"/>
      <c r="CA564" s="39"/>
      <c r="CB564" s="39"/>
      <c r="CC564" s="39"/>
      <c r="CD564" s="39"/>
      <c r="CE564" s="39"/>
      <c r="CF564" s="39"/>
      <c r="CG564" s="39"/>
      <c r="CH564" s="39"/>
      <c r="CI564" s="39"/>
      <c r="CJ564" s="39"/>
      <c r="CK564" s="39"/>
      <c r="CL564" s="39"/>
      <c r="CM564" s="39"/>
      <c r="CN564" s="39"/>
      <c r="CO564" s="39"/>
      <c r="CP564" s="39"/>
      <c r="CQ564" s="39"/>
      <c r="CR564" s="39"/>
      <c r="CS564" s="39"/>
      <c r="CT564" s="39"/>
      <c r="CU564" s="39"/>
      <c r="CV564" s="39"/>
      <c r="CW564" s="39"/>
      <c r="CX564" s="39"/>
      <c r="CY564" s="39"/>
      <c r="CZ564" s="39"/>
      <c r="DA564" s="39"/>
      <c r="DB564" s="39"/>
      <c r="DC564" s="39"/>
      <c r="DD564" s="39"/>
      <c r="DE564" s="39"/>
      <c r="DF564" s="39"/>
      <c r="DG564" s="39"/>
      <c r="DH564" s="39"/>
      <c r="DI564" s="39"/>
    </row>
    <row r="565" spans="1:113">
      <c r="A565" s="41"/>
      <c r="C565" s="48"/>
      <c r="D565" s="44"/>
      <c r="E565" s="44"/>
      <c r="F565" s="45"/>
      <c r="G565" s="44"/>
      <c r="H565" s="46"/>
      <c r="I565" s="45"/>
      <c r="J565" s="45"/>
      <c r="K565" s="45"/>
      <c r="L565" s="45"/>
      <c r="M565" s="45"/>
      <c r="N565" s="46"/>
      <c r="O565" s="45"/>
      <c r="P565" s="45"/>
      <c r="Q565" s="45"/>
      <c r="R565" s="45"/>
      <c r="S565" s="45"/>
      <c r="T565" s="46"/>
      <c r="U565" s="48"/>
      <c r="V565" s="44"/>
      <c r="AF565" s="39"/>
      <c r="AG565" s="39"/>
      <c r="AH565" s="39"/>
      <c r="AI565" s="39"/>
      <c r="AJ565" s="39"/>
      <c r="AK565" s="39"/>
      <c r="AL565" s="39"/>
      <c r="AM565" s="39"/>
      <c r="AN565" s="39"/>
      <c r="AO565" s="39"/>
      <c r="AP565" s="39"/>
      <c r="AQ565" s="39"/>
      <c r="AR565" s="39"/>
      <c r="AS565" s="39"/>
      <c r="AT565" s="39"/>
      <c r="AU565" s="39"/>
      <c r="AV565" s="39"/>
      <c r="AW565" s="39"/>
      <c r="AX565" s="39"/>
      <c r="AY565" s="39"/>
      <c r="AZ565" s="39"/>
      <c r="BA565" s="39"/>
      <c r="BB565" s="39"/>
      <c r="BC565" s="39"/>
      <c r="BD565" s="39"/>
      <c r="BE565" s="39"/>
      <c r="BF565" s="39"/>
      <c r="BG565" s="39"/>
      <c r="BH565" s="39"/>
      <c r="BI565" s="39"/>
      <c r="BJ565" s="39"/>
      <c r="BK565" s="39"/>
      <c r="BL565" s="39"/>
      <c r="BM565" s="39"/>
      <c r="BN565" s="39"/>
      <c r="BO565" s="39"/>
      <c r="BP565" s="39"/>
      <c r="BQ565" s="39"/>
      <c r="BR565" s="39"/>
      <c r="BS565" s="39"/>
      <c r="BT565" s="39"/>
      <c r="BU565" s="39"/>
      <c r="BV565" s="39"/>
      <c r="BW565" s="39"/>
      <c r="BX565" s="39"/>
      <c r="BY565" s="39"/>
      <c r="BZ565" s="39"/>
      <c r="CA565" s="39"/>
      <c r="CB565" s="39"/>
      <c r="CC565" s="39"/>
      <c r="CD565" s="39"/>
      <c r="CE565" s="39"/>
      <c r="CF565" s="39"/>
      <c r="CG565" s="39"/>
      <c r="CH565" s="39"/>
      <c r="CI565" s="39"/>
      <c r="CJ565" s="39"/>
      <c r="CK565" s="39"/>
      <c r="CL565" s="39"/>
      <c r="CM565" s="39"/>
      <c r="CN565" s="39"/>
      <c r="CO565" s="39"/>
      <c r="CP565" s="39"/>
      <c r="CQ565" s="39"/>
      <c r="CR565" s="39"/>
      <c r="CS565" s="39"/>
      <c r="CT565" s="39"/>
      <c r="CU565" s="39"/>
      <c r="CV565" s="39"/>
      <c r="CW565" s="39"/>
      <c r="CX565" s="39"/>
      <c r="CY565" s="39"/>
      <c r="CZ565" s="39"/>
      <c r="DA565" s="39"/>
      <c r="DB565" s="39"/>
      <c r="DC565" s="39"/>
      <c r="DD565" s="39"/>
      <c r="DE565" s="39"/>
      <c r="DF565" s="39"/>
      <c r="DG565" s="39"/>
      <c r="DH565" s="39"/>
      <c r="DI565" s="39"/>
    </row>
    <row r="566" spans="1:113">
      <c r="A566" s="41"/>
      <c r="C566" s="48" t="str">
        <f t="shared" ref="C566:G569" si="133">C506</f>
        <v>NTT</v>
      </c>
      <c r="D566" s="44" t="str">
        <f t="shared" si="133"/>
        <v>JPY 153</v>
      </c>
      <c r="E566" s="44" t="str">
        <f t="shared" si="133"/>
        <v>JPY 240</v>
      </c>
      <c r="F566" s="45">
        <f t="shared" si="133"/>
        <v>0.57273918741808649</v>
      </c>
      <c r="G566" s="44" t="str">
        <f t="shared" si="133"/>
        <v>Buy</v>
      </c>
      <c r="H566" s="46"/>
      <c r="I566" s="45">
        <f>NTT!$D$31/NTT!$D$29</f>
        <v>0.48962876430444013</v>
      </c>
      <c r="J566" s="45">
        <f>NTT!$E$31/NTT!$E$29</f>
        <v>0.34745208847457887</v>
      </c>
      <c r="K566" s="45">
        <f>NTT!$F$31/NTT!$F$29</f>
        <v>0.34489723777335934</v>
      </c>
      <c r="L566" s="45">
        <f>NTT!$G$31/NTT!$G$29</f>
        <v>0.34538367798985309</v>
      </c>
      <c r="M566" s="45">
        <f t="shared" ref="M566:M570" si="134">L566-I566</f>
        <v>-0.14424508631458705</v>
      </c>
      <c r="N566" s="46"/>
      <c r="O566" s="45">
        <f>NTT!$D$31/NTT!$D$30</f>
        <v>0.33511714013777738</v>
      </c>
      <c r="P566" s="45">
        <f>NTT!$E$31/NTT!$E$30</f>
        <v>0.39276923127507996</v>
      </c>
      <c r="Q566" s="45">
        <f>NTT!$F$31/NTT!$F$30</f>
        <v>0.40867970408719395</v>
      </c>
      <c r="R566" s="45">
        <f>NTT!$G$31/NTT!$G$30</f>
        <v>0.42321962769473331</v>
      </c>
      <c r="S566" s="45">
        <f t="shared" ref="S566:S570" si="135">R566-O566</f>
        <v>8.8102487556955933E-2</v>
      </c>
      <c r="T566" s="46"/>
      <c r="U566" s="48" t="str">
        <f t="shared" ref="U566:V569" si="136">U506</f>
        <v>JPY 153</v>
      </c>
      <c r="V566" s="44" t="str">
        <f t="shared" si="136"/>
        <v>NTT</v>
      </c>
      <c r="AF566" s="39"/>
      <c r="AG566" s="39"/>
      <c r="AH566" s="39"/>
      <c r="AI566" s="39"/>
      <c r="AJ566" s="39"/>
      <c r="AK566" s="39"/>
      <c r="AL566" s="39"/>
      <c r="AM566" s="39"/>
      <c r="AN566" s="39"/>
      <c r="AO566" s="39"/>
      <c r="AP566" s="39"/>
      <c r="AQ566" s="39"/>
      <c r="AR566" s="39"/>
      <c r="AS566" s="39"/>
      <c r="AT566" s="39"/>
      <c r="AU566" s="39"/>
      <c r="AV566" s="39"/>
      <c r="AW566" s="39"/>
      <c r="AX566" s="39"/>
      <c r="AY566" s="39"/>
      <c r="AZ566" s="39"/>
      <c r="BA566" s="39"/>
      <c r="BB566" s="39"/>
      <c r="BC566" s="39"/>
      <c r="BD566" s="39"/>
      <c r="BE566" s="39"/>
      <c r="BF566" s="39"/>
      <c r="BG566" s="39"/>
      <c r="BH566" s="39"/>
      <c r="BI566" s="39"/>
      <c r="BJ566" s="39"/>
      <c r="BK566" s="39"/>
      <c r="BL566" s="39"/>
      <c r="BM566" s="39"/>
      <c r="BN566" s="39"/>
      <c r="BO566" s="39"/>
      <c r="BP566" s="39"/>
      <c r="BQ566" s="39"/>
      <c r="BR566" s="39"/>
      <c r="BS566" s="39"/>
      <c r="BT566" s="39"/>
      <c r="BU566" s="39"/>
      <c r="BV566" s="39"/>
      <c r="BW566" s="39"/>
      <c r="BX566" s="39"/>
      <c r="BY566" s="39"/>
      <c r="BZ566" s="39"/>
      <c r="CA566" s="39"/>
      <c r="CB566" s="39"/>
      <c r="CC566" s="39"/>
      <c r="CD566" s="39"/>
      <c r="CE566" s="39"/>
      <c r="CF566" s="39"/>
      <c r="CG566" s="39"/>
      <c r="CH566" s="39"/>
      <c r="CI566" s="39"/>
      <c r="CJ566" s="39"/>
      <c r="CK566" s="39"/>
      <c r="CL566" s="39"/>
      <c r="CM566" s="39"/>
      <c r="CN566" s="39"/>
      <c r="CO566" s="39"/>
      <c r="CP566" s="39"/>
      <c r="CQ566" s="39"/>
      <c r="CR566" s="39"/>
      <c r="CS566" s="39"/>
      <c r="CT566" s="39"/>
      <c r="CU566" s="39"/>
      <c r="CV566" s="39"/>
      <c r="CW566" s="39"/>
      <c r="CX566" s="39"/>
      <c r="CY566" s="39"/>
      <c r="CZ566" s="39"/>
      <c r="DA566" s="39"/>
      <c r="DB566" s="39"/>
      <c r="DC566" s="39"/>
      <c r="DD566" s="39"/>
      <c r="DE566" s="39"/>
      <c r="DF566" s="39"/>
      <c r="DG566" s="39"/>
      <c r="DH566" s="39"/>
      <c r="DI566" s="39"/>
    </row>
    <row r="567" spans="1:113">
      <c r="A567" s="41"/>
      <c r="C567" s="48" t="str">
        <f t="shared" si="133"/>
        <v>Spark NZ</v>
      </c>
      <c r="D567" s="44" t="str">
        <f t="shared" si="133"/>
        <v>NZD 4.19</v>
      </c>
      <c r="E567" s="44" t="str">
        <f t="shared" si="133"/>
        <v>NZD 5.00</v>
      </c>
      <c r="F567" s="45">
        <f t="shared" si="133"/>
        <v>0.19331742243436745</v>
      </c>
      <c r="G567" s="44" t="str">
        <f t="shared" si="133"/>
        <v>Neutral</v>
      </c>
      <c r="H567" s="46"/>
      <c r="I567" s="45">
        <f>SPK!$D$31/SPK!$D$29</f>
        <v>0.93399995043208206</v>
      </c>
      <c r="J567" s="45">
        <f>SPK!$E$31/SPK!$E$29</f>
        <v>0.91531255942319412</v>
      </c>
      <c r="K567" s="45">
        <f>SPK!$F$31/SPK!$F$29</f>
        <v>0.91583074210603277</v>
      </c>
      <c r="L567" s="45">
        <f>SPK!$G$31/SPK!$G$29</f>
        <v>0.91580065985487868</v>
      </c>
      <c r="M567" s="45">
        <f t="shared" si="134"/>
        <v>-1.8199290577203375E-2</v>
      </c>
      <c r="N567" s="46"/>
      <c r="O567" s="45">
        <f>SPK!$D$31/SPK!$D$30</f>
        <v>1.0215154389093228</v>
      </c>
      <c r="P567" s="45">
        <f>SPK!$E$31/SPK!$E$30</f>
        <v>0.97935190008557049</v>
      </c>
      <c r="Q567" s="45">
        <f>SPK!$F$31/SPK!$F$30</f>
        <v>0.94952145036585944</v>
      </c>
      <c r="R567" s="45">
        <f>SPK!$G$31/SPK!$G$30</f>
        <v>0.92387325305913992</v>
      </c>
      <c r="S567" s="45">
        <f t="shared" si="135"/>
        <v>-9.7642185850182917E-2</v>
      </c>
      <c r="T567" s="46"/>
      <c r="U567" s="48" t="str">
        <f t="shared" si="136"/>
        <v>NZD 4.19</v>
      </c>
      <c r="V567" s="44" t="str">
        <f t="shared" si="136"/>
        <v>Spark NZ</v>
      </c>
      <c r="AF567" s="39"/>
      <c r="AG567" s="39"/>
      <c r="AH567" s="39"/>
      <c r="AI567" s="39"/>
      <c r="AJ567" s="39"/>
      <c r="AK567" s="39"/>
      <c r="AL567" s="39"/>
      <c r="AM567" s="39"/>
      <c r="AN567" s="39"/>
      <c r="AO567" s="39"/>
      <c r="AP567" s="39"/>
      <c r="AQ567" s="39"/>
      <c r="AR567" s="39"/>
      <c r="AS567" s="39"/>
      <c r="AT567" s="39"/>
      <c r="AU567" s="39"/>
      <c r="AV567" s="39"/>
      <c r="AW567" s="39"/>
      <c r="AX567" s="39"/>
      <c r="AY567" s="39"/>
      <c r="AZ567" s="39"/>
      <c r="BA567" s="39"/>
      <c r="BB567" s="39"/>
      <c r="BC567" s="39"/>
      <c r="BD567" s="39"/>
      <c r="BE567" s="39"/>
      <c r="BF567" s="39"/>
      <c r="BG567" s="39"/>
      <c r="BH567" s="39"/>
      <c r="BI567" s="39"/>
      <c r="BJ567" s="39"/>
      <c r="BK567" s="39"/>
      <c r="BL567" s="39"/>
      <c r="BM567" s="39"/>
      <c r="BN567" s="39"/>
      <c r="BO567" s="39"/>
      <c r="BP567" s="39"/>
      <c r="BQ567" s="39"/>
      <c r="BR567" s="39"/>
      <c r="BS567" s="39"/>
      <c r="BT567" s="39"/>
      <c r="BU567" s="39"/>
      <c r="BV567" s="39"/>
      <c r="BW567" s="39"/>
      <c r="BX567" s="39"/>
      <c r="BY567" s="39"/>
      <c r="BZ567" s="39"/>
      <c r="CA567" s="39"/>
      <c r="CB567" s="39"/>
      <c r="CC567" s="39"/>
      <c r="CD567" s="39"/>
      <c r="CE567" s="39"/>
      <c r="CF567" s="39"/>
      <c r="CG567" s="39"/>
      <c r="CH567" s="39"/>
      <c r="CI567" s="39"/>
      <c r="CJ567" s="39"/>
      <c r="CK567" s="39"/>
      <c r="CL567" s="39"/>
      <c r="CM567" s="39"/>
      <c r="CN567" s="39"/>
      <c r="CO567" s="39"/>
      <c r="CP567" s="39"/>
      <c r="CQ567" s="39"/>
      <c r="CR567" s="39"/>
      <c r="CS567" s="39"/>
      <c r="CT567" s="39"/>
      <c r="CU567" s="39"/>
      <c r="CV567" s="39"/>
      <c r="CW567" s="39"/>
      <c r="CX567" s="39"/>
      <c r="CY567" s="39"/>
      <c r="CZ567" s="39"/>
      <c r="DA567" s="39"/>
      <c r="DB567" s="39"/>
      <c r="DC567" s="39"/>
      <c r="DD567" s="39"/>
      <c r="DE567" s="39"/>
      <c r="DF567" s="39"/>
      <c r="DG567" s="39"/>
      <c r="DH567" s="39"/>
      <c r="DI567" s="39"/>
    </row>
    <row r="568" spans="1:113">
      <c r="A568" s="41"/>
      <c r="C568" s="48" t="str">
        <f t="shared" si="133"/>
        <v>SingTel</v>
      </c>
      <c r="D568" s="44" t="str">
        <f t="shared" si="133"/>
        <v>SGD 2.42</v>
      </c>
      <c r="E568" s="44" t="str">
        <f t="shared" si="133"/>
        <v>SGD 4.40</v>
      </c>
      <c r="F568" s="45">
        <f t="shared" si="133"/>
        <v>0.81818181818181834</v>
      </c>
      <c r="G568" s="44" t="str">
        <f t="shared" si="133"/>
        <v>Buy</v>
      </c>
      <c r="H568" s="46"/>
      <c r="I568" s="45">
        <f>SINGTEL!$D$31/SINGTEL!$D$29</f>
        <v>1.1607280031852565</v>
      </c>
      <c r="J568" s="45">
        <f>SINGTEL!$E$31/SINGTEL!$E$29</f>
        <v>1.0782141514973784</v>
      </c>
      <c r="K568" s="45">
        <f>SINGTEL!$F$31/SINGTEL!$F$29</f>
        <v>1.1130732531157079</v>
      </c>
      <c r="L568" s="45">
        <f>SINGTEL!$G$31/SINGTEL!$G$29</f>
        <v>1.206300347859516</v>
      </c>
      <c r="M568" s="45">
        <f t="shared" si="134"/>
        <v>4.5572344674259524E-2</v>
      </c>
      <c r="N568" s="46"/>
      <c r="O568" s="45">
        <f>SINGTEL!$D$31/SINGTEL!$D$30</f>
        <v>0.61221225514530897</v>
      </c>
      <c r="P568" s="45">
        <f>SINGTEL!$E$31/SINGTEL!$E$30</f>
        <v>0.80240296115926046</v>
      </c>
      <c r="Q568" s="45">
        <f>SINGTEL!$F$31/SINGTEL!$F$30</f>
        <v>0.80240296115926046</v>
      </c>
      <c r="R568" s="45">
        <f>SINGTEL!$G$31/SINGTEL!$G$30</f>
        <v>0.80240296115926057</v>
      </c>
      <c r="S568" s="45">
        <f t="shared" si="135"/>
        <v>0.1901907060139516</v>
      </c>
      <c r="T568" s="46"/>
      <c r="U568" s="48" t="str">
        <f t="shared" si="136"/>
        <v>SGD 2.42</v>
      </c>
      <c r="V568" s="44" t="str">
        <f t="shared" si="136"/>
        <v>SingTel</v>
      </c>
      <c r="AF568" s="39"/>
      <c r="AG568" s="39"/>
      <c r="AH568" s="39"/>
      <c r="AI568" s="39"/>
      <c r="AJ568" s="39"/>
      <c r="AK568" s="39"/>
      <c r="AL568" s="39"/>
      <c r="AM568" s="39"/>
      <c r="AN568" s="39"/>
      <c r="AO568" s="39"/>
      <c r="AP568" s="39"/>
      <c r="AQ568" s="39"/>
      <c r="AR568" s="39"/>
      <c r="AS568" s="39"/>
      <c r="AT568" s="39"/>
      <c r="AU568" s="39"/>
      <c r="AV568" s="39"/>
      <c r="AW568" s="39"/>
      <c r="AX568" s="39"/>
      <c r="AY568" s="39"/>
      <c r="AZ568" s="39"/>
      <c r="BA568" s="39"/>
      <c r="BB568" s="39"/>
      <c r="BC568" s="39"/>
      <c r="BD568" s="39"/>
      <c r="BE568" s="39"/>
      <c r="BF568" s="39"/>
      <c r="BG568" s="39"/>
      <c r="BH568" s="39"/>
      <c r="BI568" s="39"/>
      <c r="BJ568" s="39"/>
      <c r="BK568" s="39"/>
      <c r="BL568" s="39"/>
      <c r="BM568" s="39"/>
      <c r="BN568" s="39"/>
      <c r="BO568" s="39"/>
      <c r="BP568" s="39"/>
      <c r="BQ568" s="39"/>
      <c r="BR568" s="39"/>
      <c r="BS568" s="39"/>
      <c r="BT568" s="39"/>
      <c r="BU568" s="39"/>
      <c r="BV568" s="39"/>
      <c r="BW568" s="39"/>
      <c r="BX568" s="39"/>
      <c r="BY568" s="39"/>
      <c r="BZ568" s="39"/>
      <c r="CA568" s="39"/>
      <c r="CB568" s="39"/>
      <c r="CC568" s="39"/>
      <c r="CD568" s="39"/>
      <c r="CE568" s="39"/>
      <c r="CF568" s="39"/>
      <c r="CG568" s="39"/>
      <c r="CH568" s="39"/>
      <c r="CI568" s="39"/>
      <c r="CJ568" s="39"/>
      <c r="CK568" s="39"/>
      <c r="CL568" s="39"/>
      <c r="CM568" s="39"/>
      <c r="CN568" s="39"/>
      <c r="CO568" s="39"/>
      <c r="CP568" s="39"/>
      <c r="CQ568" s="39"/>
      <c r="CR568" s="39"/>
      <c r="CS568" s="39"/>
      <c r="CT568" s="39"/>
      <c r="CU568" s="39"/>
      <c r="CV568" s="39"/>
      <c r="CW568" s="39"/>
      <c r="CX568" s="39"/>
      <c r="CY568" s="39"/>
      <c r="CZ568" s="39"/>
      <c r="DA568" s="39"/>
      <c r="DB568" s="39"/>
      <c r="DC568" s="39"/>
      <c r="DD568" s="39"/>
      <c r="DE568" s="39"/>
      <c r="DF568" s="39"/>
      <c r="DG568" s="39"/>
      <c r="DH568" s="39"/>
      <c r="DI568" s="39"/>
    </row>
    <row r="569" spans="1:113">
      <c r="A569" s="41"/>
      <c r="C569" s="48" t="str">
        <f t="shared" si="133"/>
        <v xml:space="preserve">Telstra </v>
      </c>
      <c r="D569" s="44" t="str">
        <f t="shared" si="133"/>
        <v>AUD 3.45</v>
      </c>
      <c r="E569" s="44" t="str">
        <f t="shared" si="133"/>
        <v>AUD 3.50</v>
      </c>
      <c r="F569" s="45">
        <f t="shared" si="133"/>
        <v>1.4492753623188248E-2</v>
      </c>
      <c r="G569" s="44" t="str">
        <f t="shared" si="133"/>
        <v>Buy</v>
      </c>
      <c r="H569" s="46"/>
      <c r="I569" s="45">
        <f>TLS!$D$31/TLS!$D$29</f>
        <v>0.39961644605460811</v>
      </c>
      <c r="J569" s="45">
        <f>TLS!$E$31/TLS!$E$29</f>
        <v>0.34366048085890921</v>
      </c>
      <c r="K569" s="45">
        <f>TLS!$F$31/TLS!$F$29</f>
        <v>0.43340137234380699</v>
      </c>
      <c r="L569" s="45">
        <f>TLS!$G$31/TLS!$G$29</f>
        <v>0.47491131263137731</v>
      </c>
      <c r="M569" s="45">
        <f t="shared" si="134"/>
        <v>7.5294866576769204E-2</v>
      </c>
      <c r="N569" s="46"/>
      <c r="O569" s="45">
        <f>TLS!$D$31/TLS!$D$30</f>
        <v>0.63053107295381938</v>
      </c>
      <c r="P569" s="45">
        <f>TLS!$E$31/TLS!$E$30</f>
        <v>0.5913181871697788</v>
      </c>
      <c r="Q569" s="45">
        <f>TLS!$F$31/TLS!$F$30</f>
        <v>0.67635422034683024</v>
      </c>
      <c r="R569" s="45">
        <f>TLS!$G$31/TLS!$G$30</f>
        <v>0.70617104309422285</v>
      </c>
      <c r="S569" s="45">
        <f t="shared" si="135"/>
        <v>7.5639970140403467E-2</v>
      </c>
      <c r="T569" s="46"/>
      <c r="U569" s="48" t="str">
        <f t="shared" si="136"/>
        <v>AUD 3.45</v>
      </c>
      <c r="V569" s="44" t="str">
        <f t="shared" si="136"/>
        <v>Telstra</v>
      </c>
      <c r="AF569" s="39"/>
      <c r="AG569" s="39"/>
      <c r="AH569" s="39"/>
      <c r="AI569" s="39"/>
      <c r="AJ569" s="39"/>
      <c r="AK569" s="39"/>
      <c r="AL569" s="39"/>
      <c r="AM569" s="39"/>
      <c r="AN569" s="39"/>
      <c r="AO569" s="39"/>
      <c r="AP569" s="39"/>
      <c r="AQ569" s="39"/>
      <c r="AR569" s="39"/>
      <c r="AS569" s="39"/>
      <c r="AT569" s="39"/>
      <c r="AU569" s="39"/>
      <c r="AV569" s="39"/>
      <c r="AW569" s="39"/>
      <c r="AX569" s="39"/>
      <c r="AY569" s="39"/>
      <c r="AZ569" s="39"/>
      <c r="BA569" s="39"/>
      <c r="BB569" s="39"/>
      <c r="BC569" s="39"/>
      <c r="BD569" s="39"/>
      <c r="BE569" s="39"/>
      <c r="BF569" s="39"/>
      <c r="BG569" s="39"/>
      <c r="BH569" s="39"/>
      <c r="BI569" s="39"/>
      <c r="BJ569" s="39"/>
      <c r="BK569" s="39"/>
      <c r="BL569" s="39"/>
      <c r="BM569" s="39"/>
      <c r="BN569" s="39"/>
      <c r="BO569" s="39"/>
      <c r="BP569" s="39"/>
      <c r="BQ569" s="39"/>
      <c r="BR569" s="39"/>
      <c r="BS569" s="39"/>
      <c r="BT569" s="39"/>
      <c r="BU569" s="39"/>
      <c r="BV569" s="39"/>
      <c r="BW569" s="39"/>
      <c r="BX569" s="39"/>
      <c r="BY569" s="39"/>
      <c r="BZ569" s="39"/>
      <c r="CA569" s="39"/>
      <c r="CB569" s="39"/>
      <c r="CC569" s="39"/>
      <c r="CD569" s="39"/>
      <c r="CE569" s="39"/>
      <c r="CF569" s="39"/>
      <c r="CG569" s="39"/>
      <c r="CH569" s="39"/>
      <c r="CI569" s="39"/>
      <c r="CJ569" s="39"/>
      <c r="CK569" s="39"/>
      <c r="CL569" s="39"/>
      <c r="CM569" s="39"/>
      <c r="CN569" s="39"/>
      <c r="CO569" s="39"/>
      <c r="CP569" s="39"/>
      <c r="CQ569" s="39"/>
      <c r="CR569" s="39"/>
      <c r="CS569" s="39"/>
      <c r="CT569" s="39"/>
      <c r="CU569" s="39"/>
      <c r="CV569" s="39"/>
      <c r="CW569" s="39"/>
      <c r="CX569" s="39"/>
      <c r="CY569" s="39"/>
      <c r="CZ569" s="39"/>
      <c r="DA569" s="39"/>
      <c r="DB569" s="39"/>
      <c r="DC569" s="39"/>
      <c r="DD569" s="39"/>
      <c r="DE569" s="39"/>
      <c r="DF569" s="39"/>
      <c r="DG569" s="39"/>
      <c r="DH569" s="39"/>
      <c r="DI569" s="39"/>
    </row>
    <row r="570" spans="1:113">
      <c r="A570" s="41"/>
      <c r="C570" s="51" t="str">
        <f>C510</f>
        <v>Agg. Developed Asia Incumbent</v>
      </c>
      <c r="D570" s="58"/>
      <c r="E570" s="58"/>
      <c r="F570" s="55"/>
      <c r="G570" s="58"/>
      <c r="H570" s="56"/>
      <c r="I570" s="55">
        <f>'DM ASIA INCUMB'!$D$31/'DM ASIA INCUMB'!$D$29</f>
        <v>0.5732368891450601</v>
      </c>
      <c r="J570" s="55">
        <f>'DM ASIA INCUMB'!$E$31/'DM ASIA INCUMB'!$E$29</f>
        <v>0.45161532804015553</v>
      </c>
      <c r="K570" s="55">
        <f>'DM ASIA INCUMB'!$F$31/'DM ASIA INCUMB'!$F$29</f>
        <v>0.47997082627129539</v>
      </c>
      <c r="L570" s="55">
        <f>'DM ASIA INCUMB'!$G$31/'DM ASIA INCUMB'!$G$29</f>
        <v>0.49381306524219321</v>
      </c>
      <c r="M570" s="55">
        <f t="shared" si="134"/>
        <v>-7.9423823902866897E-2</v>
      </c>
      <c r="N570" s="56"/>
      <c r="O570" s="55">
        <f>'DM ASIA INCUMB'!$D$31/'DM ASIA INCUMB'!$D$30</f>
        <v>0.46698375123407343</v>
      </c>
      <c r="P570" s="55">
        <f>'DM ASIA INCUMB'!$E$31/'DM ASIA INCUMB'!$E$30</f>
        <v>0.52257716103644403</v>
      </c>
      <c r="Q570" s="55">
        <f>'DM ASIA INCUMB'!$F$31/'DM ASIA INCUMB'!$F$30</f>
        <v>0.54650067829384452</v>
      </c>
      <c r="R570" s="55">
        <f>'DM ASIA INCUMB'!$G$31/'DM ASIA INCUMB'!$G$30</f>
        <v>0.56067415071165394</v>
      </c>
      <c r="S570" s="55">
        <f t="shared" si="135"/>
        <v>9.369039947758051E-2</v>
      </c>
      <c r="T570" s="56"/>
      <c r="U570" s="51"/>
      <c r="V570" s="58" t="str">
        <f>V510</f>
        <v xml:space="preserve">Agg. Developed Asia Incumbent </v>
      </c>
      <c r="AF570" s="39"/>
      <c r="AG570" s="39"/>
      <c r="AH570" s="39"/>
      <c r="AI570" s="39"/>
      <c r="AJ570" s="39"/>
      <c r="AK570" s="39"/>
      <c r="AL570" s="39"/>
      <c r="AM570" s="39"/>
      <c r="AN570" s="39"/>
      <c r="AO570" s="39"/>
      <c r="AP570" s="39"/>
      <c r="AQ570" s="39"/>
      <c r="AR570" s="39"/>
      <c r="AS570" s="39"/>
      <c r="AT570" s="39"/>
      <c r="AU570" s="39"/>
      <c r="AV570" s="39"/>
      <c r="AW570" s="39"/>
      <c r="AX570" s="39"/>
      <c r="AY570" s="39"/>
      <c r="AZ570" s="39"/>
      <c r="BA570" s="39"/>
      <c r="BB570" s="39"/>
      <c r="BC570" s="39"/>
      <c r="BD570" s="39"/>
      <c r="BE570" s="39"/>
      <c r="BF570" s="39"/>
      <c r="BG570" s="39"/>
      <c r="BH570" s="39"/>
      <c r="BI570" s="39"/>
      <c r="BJ570" s="39"/>
      <c r="BK570" s="39"/>
      <c r="BL570" s="39"/>
      <c r="BM570" s="39"/>
      <c r="BN570" s="39"/>
      <c r="BO570" s="39"/>
      <c r="BP570" s="39"/>
      <c r="BQ570" s="39"/>
      <c r="BR570" s="39"/>
      <c r="BS570" s="39"/>
      <c r="BT570" s="39"/>
      <c r="BU570" s="39"/>
      <c r="BV570" s="39"/>
      <c r="BW570" s="39"/>
      <c r="BX570" s="39"/>
      <c r="BY570" s="39"/>
      <c r="BZ570" s="39"/>
      <c r="CA570" s="39"/>
      <c r="CB570" s="39"/>
      <c r="CC570" s="39"/>
      <c r="CD570" s="39"/>
      <c r="CE570" s="39"/>
      <c r="CF570" s="39"/>
      <c r="CG570" s="39"/>
      <c r="CH570" s="39"/>
      <c r="CI570" s="39"/>
      <c r="CJ570" s="39"/>
      <c r="CK570" s="39"/>
      <c r="CL570" s="39"/>
      <c r="CM570" s="39"/>
      <c r="CN570" s="39"/>
      <c r="CO570" s="39"/>
      <c r="CP570" s="39"/>
      <c r="CQ570" s="39"/>
      <c r="CR570" s="39"/>
      <c r="CS570" s="39"/>
      <c r="CT570" s="39"/>
      <c r="CU570" s="39"/>
      <c r="CV570" s="39"/>
      <c r="CW570" s="39"/>
      <c r="CX570" s="39"/>
      <c r="CY570" s="39"/>
      <c r="CZ570" s="39"/>
      <c r="DA570" s="39"/>
      <c r="DB570" s="39"/>
      <c r="DC570" s="39"/>
      <c r="DD570" s="39"/>
      <c r="DE570" s="39"/>
      <c r="DF570" s="39"/>
      <c r="DG570" s="39"/>
      <c r="DH570" s="39"/>
      <c r="DI570" s="39"/>
    </row>
    <row r="571" spans="1:113">
      <c r="A571" s="41"/>
      <c r="C571" s="43"/>
      <c r="D571" s="50"/>
      <c r="E571" s="50"/>
      <c r="F571" s="61"/>
      <c r="G571" s="50"/>
      <c r="H571" s="56"/>
      <c r="I571" s="61"/>
      <c r="J571" s="61"/>
      <c r="K571" s="61"/>
      <c r="L571" s="61"/>
      <c r="M571" s="61"/>
      <c r="N571" s="56"/>
      <c r="O571" s="61"/>
      <c r="P571" s="61"/>
      <c r="Q571" s="61"/>
      <c r="R571" s="61"/>
      <c r="S571" s="61"/>
      <c r="T571" s="56"/>
      <c r="U571" s="43"/>
      <c r="V571" s="50"/>
      <c r="AF571" s="39"/>
      <c r="AG571" s="39"/>
      <c r="AH571" s="39"/>
      <c r="AI571" s="39"/>
      <c r="AJ571" s="39"/>
      <c r="AK571" s="39"/>
      <c r="AL571" s="39"/>
      <c r="AM571" s="39"/>
      <c r="AN571" s="39"/>
      <c r="AO571" s="39"/>
      <c r="AP571" s="39"/>
      <c r="AQ571" s="39"/>
      <c r="AR571" s="39"/>
      <c r="AS571" s="39"/>
      <c r="AT571" s="39"/>
      <c r="AU571" s="39"/>
      <c r="AV571" s="39"/>
      <c r="AW571" s="39"/>
      <c r="AX571" s="39"/>
      <c r="AY571" s="39"/>
      <c r="AZ571" s="39"/>
      <c r="BA571" s="39"/>
      <c r="BB571" s="39"/>
      <c r="BC571" s="39"/>
      <c r="BD571" s="39"/>
      <c r="BE571" s="39"/>
      <c r="BF571" s="39"/>
      <c r="BG571" s="39"/>
      <c r="BH571" s="39"/>
      <c r="BI571" s="39"/>
      <c r="BJ571" s="39"/>
      <c r="BK571" s="39"/>
      <c r="BL571" s="39"/>
      <c r="BM571" s="39"/>
      <c r="BN571" s="39"/>
      <c r="BO571" s="39"/>
      <c r="BP571" s="39"/>
      <c r="BQ571" s="39"/>
      <c r="BR571" s="39"/>
      <c r="BS571" s="39"/>
      <c r="BT571" s="39"/>
      <c r="BU571" s="39"/>
      <c r="BV571" s="39"/>
      <c r="BW571" s="39"/>
      <c r="BX571" s="39"/>
      <c r="BY571" s="39"/>
      <c r="BZ571" s="39"/>
      <c r="CA571" s="39"/>
      <c r="CB571" s="39"/>
      <c r="CC571" s="39"/>
      <c r="CD571" s="39"/>
      <c r="CE571" s="39"/>
      <c r="CF571" s="39"/>
      <c r="CG571" s="39"/>
      <c r="CH571" s="39"/>
      <c r="CI571" s="39"/>
      <c r="CJ571" s="39"/>
      <c r="CK571" s="39"/>
      <c r="CL571" s="39"/>
      <c r="CM571" s="39"/>
      <c r="CN571" s="39"/>
      <c r="CO571" s="39"/>
      <c r="CP571" s="39"/>
      <c r="CQ571" s="39"/>
      <c r="CR571" s="39"/>
      <c r="CS571" s="39"/>
      <c r="CT571" s="39"/>
      <c r="CU571" s="39"/>
      <c r="CV571" s="39"/>
      <c r="CW571" s="39"/>
      <c r="CX571" s="39"/>
      <c r="CY571" s="39"/>
      <c r="CZ571" s="39"/>
      <c r="DA571" s="39"/>
      <c r="DB571" s="39"/>
      <c r="DC571" s="39"/>
      <c r="DD571" s="39"/>
      <c r="DE571" s="39"/>
      <c r="DF571" s="39"/>
      <c r="DG571" s="39"/>
      <c r="DH571" s="39"/>
      <c r="DI571" s="39"/>
    </row>
    <row r="572" spans="1:113">
      <c r="A572" s="41"/>
      <c r="C572" s="51" t="s">
        <v>865</v>
      </c>
      <c r="D572" s="58"/>
      <c r="E572" s="58"/>
      <c r="F572" s="55"/>
      <c r="G572" s="58"/>
      <c r="H572" s="56"/>
      <c r="I572" s="55">
        <f>'AGG DM INCUMB'!$D$31/'AGG DM INCUMB'!$D$29</f>
        <v>0.53269219668468681</v>
      </c>
      <c r="J572" s="55">
        <f>'AGG DM INCUMB'!$E$31/'AGG DM INCUMB'!$E$29</f>
        <v>0.58893013813492567</v>
      </c>
      <c r="K572" s="55">
        <f>'AGG DM INCUMB'!$F$31/'AGG DM INCUMB'!$F$29</f>
        <v>0.56132981369067703</v>
      </c>
      <c r="L572" s="55">
        <f>'AGG DM INCUMB'!$G$31/'AGG DM INCUMB'!$G$29</f>
        <v>0.55214412491536702</v>
      </c>
      <c r="M572" s="55">
        <f>L572-I572</f>
        <v>1.9451928230680204E-2</v>
      </c>
      <c r="N572" s="56"/>
      <c r="O572" s="55">
        <f>'AGG DM INCUMB'!$D$31/'AGG DM INCUMB'!$D$30</f>
        <v>0.50410770255026627</v>
      </c>
      <c r="P572" s="55">
        <f>'AGG DM INCUMB'!$E$31/'AGG DM INCUMB'!$E$30</f>
        <v>0.53910434465932811</v>
      </c>
      <c r="Q572" s="55">
        <f>'AGG DM INCUMB'!$F$31/'AGG DM INCUMB'!$F$30</f>
        <v>0.52305137762216947</v>
      </c>
      <c r="R572" s="55">
        <f>'AGG DM INCUMB'!$G$31/'AGG DM INCUMB'!$G$30</f>
        <v>0.51149974041216772</v>
      </c>
      <c r="S572" s="55">
        <f>R572-O572</f>
        <v>7.3920378619014571E-3</v>
      </c>
      <c r="T572" s="56"/>
      <c r="U572" s="51"/>
      <c r="V572" s="58" t="str">
        <f>C572</f>
        <v>Agg. DM Incumbent total</v>
      </c>
      <c r="AF572" s="39"/>
      <c r="AG572" s="39"/>
      <c r="AH572" s="39"/>
      <c r="AI572" s="39"/>
      <c r="AJ572" s="39"/>
      <c r="AK572" s="39"/>
      <c r="AL572" s="39"/>
      <c r="AM572" s="39"/>
      <c r="AN572" s="39"/>
      <c r="AO572" s="39"/>
      <c r="AP572" s="39"/>
      <c r="AQ572" s="39"/>
      <c r="AR572" s="39"/>
      <c r="AS572" s="39"/>
      <c r="AT572" s="39"/>
      <c r="AU572" s="39"/>
      <c r="AV572" s="39"/>
      <c r="AW572" s="39"/>
      <c r="AX572" s="39"/>
      <c r="AY572" s="39"/>
      <c r="AZ572" s="39"/>
      <c r="BA572" s="39"/>
      <c r="BB572" s="39"/>
      <c r="BC572" s="39"/>
      <c r="BD572" s="39"/>
      <c r="BE572" s="39"/>
      <c r="BF572" s="39"/>
      <c r="BG572" s="39"/>
      <c r="BH572" s="39"/>
      <c r="BI572" s="39"/>
      <c r="BJ572" s="39"/>
      <c r="BK572" s="39"/>
      <c r="BL572" s="39"/>
      <c r="BM572" s="39"/>
      <c r="BN572" s="39"/>
      <c r="BO572" s="39"/>
      <c r="BP572" s="39"/>
      <c r="BQ572" s="39"/>
      <c r="BR572" s="39"/>
      <c r="BS572" s="39"/>
      <c r="BT572" s="39"/>
      <c r="BU572" s="39"/>
      <c r="BV572" s="39"/>
      <c r="BW572" s="39"/>
      <c r="BX572" s="39"/>
      <c r="BY572" s="39"/>
      <c r="BZ572" s="39"/>
      <c r="CA572" s="39"/>
      <c r="CB572" s="39"/>
      <c r="CC572" s="39"/>
      <c r="CD572" s="39"/>
      <c r="CE572" s="39"/>
      <c r="CF572" s="39"/>
      <c r="CG572" s="39"/>
      <c r="CH572" s="39"/>
      <c r="CI572" s="39"/>
      <c r="CJ572" s="39"/>
      <c r="CK572" s="39"/>
      <c r="CL572" s="39"/>
      <c r="CM572" s="39"/>
      <c r="CN572" s="39"/>
      <c r="CO572" s="39"/>
      <c r="CP572" s="39"/>
      <c r="CQ572" s="39"/>
      <c r="CR572" s="39"/>
      <c r="CS572" s="39"/>
      <c r="CT572" s="39"/>
      <c r="CU572" s="39"/>
      <c r="CV572" s="39"/>
      <c r="CW572" s="39"/>
      <c r="CX572" s="39"/>
      <c r="CY572" s="39"/>
      <c r="CZ572" s="39"/>
      <c r="DA572" s="39"/>
      <c r="DB572" s="39"/>
      <c r="DC572" s="39"/>
      <c r="DD572" s="39"/>
      <c r="DE572" s="39"/>
      <c r="DF572" s="39"/>
      <c r="DG572" s="39"/>
      <c r="DH572" s="39"/>
      <c r="DI572" s="39"/>
    </row>
    <row r="573" spans="1:113">
      <c r="A573" s="41"/>
      <c r="C573" s="41"/>
      <c r="D573" s="44"/>
      <c r="E573" s="44"/>
      <c r="F573" s="45"/>
      <c r="G573" s="44"/>
      <c r="H573" s="46"/>
      <c r="I573" s="45"/>
      <c r="J573" s="45"/>
      <c r="K573" s="45"/>
      <c r="L573" s="45"/>
      <c r="M573" s="45"/>
      <c r="N573" s="46"/>
      <c r="O573" s="45"/>
      <c r="P573" s="45"/>
      <c r="Q573" s="45"/>
      <c r="R573" s="45"/>
      <c r="S573" s="45"/>
      <c r="T573" s="46"/>
      <c r="U573" s="48"/>
      <c r="V573" s="50"/>
      <c r="AF573" s="39"/>
      <c r="AG573" s="39"/>
      <c r="AH573" s="39"/>
      <c r="AI573" s="39"/>
      <c r="AJ573" s="39"/>
      <c r="AK573" s="39"/>
      <c r="AL573" s="39"/>
      <c r="AM573" s="39"/>
      <c r="AN573" s="39"/>
      <c r="AO573" s="39"/>
      <c r="AP573" s="39"/>
      <c r="AQ573" s="39"/>
      <c r="AR573" s="39"/>
      <c r="AS573" s="39"/>
      <c r="AT573" s="39"/>
      <c r="AU573" s="39"/>
      <c r="AV573" s="39"/>
      <c r="AW573" s="39"/>
      <c r="AX573" s="39"/>
      <c r="AY573" s="39"/>
      <c r="AZ573" s="39"/>
      <c r="BA573" s="39"/>
      <c r="BB573" s="39"/>
      <c r="BC573" s="39"/>
      <c r="BD573" s="39"/>
      <c r="BE573" s="39"/>
      <c r="BF573" s="39"/>
      <c r="BG573" s="39"/>
      <c r="BH573" s="39"/>
      <c r="BI573" s="39"/>
      <c r="BJ573" s="39"/>
      <c r="BK573" s="39"/>
      <c r="BL573" s="39"/>
      <c r="BM573" s="39"/>
      <c r="BN573" s="39"/>
      <c r="BO573" s="39"/>
      <c r="BP573" s="39"/>
      <c r="BQ573" s="39"/>
      <c r="BR573" s="39"/>
      <c r="BS573" s="39"/>
      <c r="BT573" s="39"/>
      <c r="BU573" s="39"/>
      <c r="BV573" s="39"/>
      <c r="BW573" s="39"/>
      <c r="BX573" s="39"/>
      <c r="BY573" s="39"/>
      <c r="BZ573" s="39"/>
      <c r="CA573" s="39"/>
      <c r="CB573" s="39"/>
      <c r="CC573" s="39"/>
      <c r="CD573" s="39"/>
      <c r="CE573" s="39"/>
      <c r="CF573" s="39"/>
      <c r="CG573" s="39"/>
      <c r="CH573" s="39"/>
      <c r="CI573" s="39"/>
      <c r="CJ573" s="39"/>
      <c r="CK573" s="39"/>
      <c r="CL573" s="39"/>
      <c r="CM573" s="39"/>
      <c r="CN573" s="39"/>
      <c r="CO573" s="39"/>
      <c r="CP573" s="39"/>
      <c r="CQ573" s="39"/>
      <c r="CR573" s="39"/>
      <c r="CS573" s="39"/>
      <c r="CT573" s="39"/>
      <c r="CU573" s="39"/>
      <c r="CV573" s="39"/>
      <c r="CW573" s="39"/>
      <c r="CX573" s="39"/>
      <c r="CY573" s="39"/>
      <c r="CZ573" s="39"/>
      <c r="DA573" s="39"/>
      <c r="DB573" s="39"/>
      <c r="DC573" s="39"/>
      <c r="DD573" s="39"/>
      <c r="DE573" s="39"/>
      <c r="DF573" s="39"/>
      <c r="DG573" s="39"/>
      <c r="DH573" s="39"/>
      <c r="DI573" s="39"/>
    </row>
    <row r="574" spans="1:113">
      <c r="A574" s="41" t="s">
        <v>1385</v>
      </c>
      <c r="C574" s="48" t="str">
        <f t="shared" ref="C574:G581" si="137">C514</f>
        <v>1&amp;1</v>
      </c>
      <c r="D574" s="44" t="str">
        <f t="shared" si="137"/>
        <v>EUR 17.5</v>
      </c>
      <c r="E574" s="44" t="str">
        <f t="shared" si="137"/>
        <v>EUR 28.0</v>
      </c>
      <c r="F574" s="45">
        <f t="shared" si="137"/>
        <v>0.60000000000000009</v>
      </c>
      <c r="G574" s="44" t="str">
        <f t="shared" si="137"/>
        <v>Buy</v>
      </c>
      <c r="H574" s="46"/>
      <c r="I574" s="45">
        <f>DRI!$D$31/DRI!$D$29</f>
        <v>-7.0360563284723343E-2</v>
      </c>
      <c r="J574" s="45">
        <f>DRI!$E$31/DRI!$E$29</f>
        <v>-5.0529909621292154E-2</v>
      </c>
      <c r="K574" s="45">
        <f>DRI!$F$31/DRI!$F$29</f>
        <v>0.66459638560529277</v>
      </c>
      <c r="L574" s="45">
        <f>DRI!$G$31/DRI!$G$29</f>
        <v>0.5283002647596502</v>
      </c>
      <c r="M574" s="45">
        <f t="shared" ref="M574:M580" si="138">L574-I574</f>
        <v>0.59866082804437348</v>
      </c>
      <c r="N574" s="46"/>
      <c r="O574" s="45">
        <f>DRI!$D$31/DRI!$D$30</f>
        <v>2.7988513891093827E-2</v>
      </c>
      <c r="P574" s="45">
        <f>DRI!$E$31/DRI!$E$30</f>
        <v>2.7064534101463689E-2</v>
      </c>
      <c r="Q574" s="45">
        <f>DRI!$F$31/DRI!$F$30</f>
        <v>0.54104029480496929</v>
      </c>
      <c r="R574" s="45">
        <f>DRI!$G$31/DRI!$G$30</f>
        <v>0.58365892438753408</v>
      </c>
      <c r="S574" s="45">
        <f>R574-O574</f>
        <v>0.55567041049644028</v>
      </c>
      <c r="T574" s="46"/>
      <c r="U574" s="48" t="str">
        <f t="shared" ref="U574:V580" si="139">U514</f>
        <v>EUR 17.5</v>
      </c>
      <c r="V574" s="44" t="str">
        <f t="shared" si="139"/>
        <v>1&amp;1</v>
      </c>
      <c r="AF574" s="39"/>
      <c r="AG574" s="39"/>
      <c r="AH574" s="39"/>
      <c r="AI574" s="39"/>
      <c r="AJ574" s="39"/>
      <c r="AK574" s="39"/>
      <c r="AL574" s="39"/>
      <c r="AM574" s="39"/>
      <c r="AN574" s="39"/>
      <c r="AO574" s="39"/>
      <c r="AP574" s="39"/>
      <c r="AQ574" s="39"/>
      <c r="AR574" s="39"/>
      <c r="AS574" s="39"/>
      <c r="AT574" s="39"/>
      <c r="AU574" s="39"/>
      <c r="AV574" s="39"/>
      <c r="AW574" s="39"/>
      <c r="AX574" s="39"/>
      <c r="AY574" s="39"/>
      <c r="AZ574" s="39"/>
      <c r="BA574" s="39"/>
      <c r="BB574" s="39"/>
      <c r="BC574" s="39"/>
      <c r="BD574" s="39"/>
      <c r="BE574" s="39"/>
      <c r="BF574" s="39"/>
      <c r="BG574" s="39"/>
      <c r="BH574" s="39"/>
      <c r="BI574" s="39"/>
      <c r="BJ574" s="39"/>
      <c r="BK574" s="39"/>
      <c r="BL574" s="39"/>
      <c r="BM574" s="39"/>
      <c r="BN574" s="39"/>
      <c r="BO574" s="39"/>
      <c r="BP574" s="39"/>
      <c r="BQ574" s="39"/>
      <c r="BR574" s="39"/>
      <c r="BS574" s="39"/>
      <c r="BT574" s="39"/>
      <c r="BU574" s="39"/>
      <c r="BV574" s="39"/>
      <c r="BW574" s="39"/>
      <c r="BX574" s="39"/>
      <c r="BY574" s="39"/>
      <c r="BZ574" s="39"/>
      <c r="CA574" s="39"/>
      <c r="CB574" s="39"/>
      <c r="CC574" s="39"/>
      <c r="CD574" s="39"/>
      <c r="CE574" s="39"/>
      <c r="CF574" s="39"/>
      <c r="CG574" s="39"/>
      <c r="CH574" s="39"/>
      <c r="CI574" s="39"/>
      <c r="CJ574" s="39"/>
      <c r="CK574" s="39"/>
      <c r="CL574" s="39"/>
      <c r="CM574" s="39"/>
      <c r="CN574" s="39"/>
      <c r="CO574" s="39"/>
      <c r="CP574" s="39"/>
      <c r="CQ574" s="39"/>
      <c r="CR574" s="39"/>
      <c r="CS574" s="39"/>
      <c r="CT574" s="39"/>
      <c r="CU574" s="39"/>
      <c r="CV574" s="39"/>
      <c r="CW574" s="39"/>
      <c r="CX574" s="39"/>
      <c r="CY574" s="39"/>
      <c r="CZ574" s="39"/>
      <c r="DA574" s="39"/>
      <c r="DB574" s="39"/>
      <c r="DC574" s="39"/>
      <c r="DD574" s="39"/>
      <c r="DE574" s="39"/>
      <c r="DF574" s="39"/>
      <c r="DG574" s="39"/>
      <c r="DH574" s="39"/>
      <c r="DI574" s="39"/>
    </row>
    <row r="575" spans="1:113">
      <c r="C575" s="48" t="str">
        <f t="shared" si="137"/>
        <v>Elisa</v>
      </c>
      <c r="D575" s="44" t="str">
        <f t="shared" si="137"/>
        <v>EUR 41.6</v>
      </c>
      <c r="E575" s="44" t="str">
        <f t="shared" si="137"/>
        <v>EUR 54.0</v>
      </c>
      <c r="F575" s="45">
        <f t="shared" si="137"/>
        <v>0.29745314752522845</v>
      </c>
      <c r="G575" s="44" t="str">
        <f t="shared" si="137"/>
        <v>Neutral</v>
      </c>
      <c r="H575" s="46"/>
      <c r="I575" s="45">
        <f>ELISA!$D$31/ELISA!$D$29</f>
        <v>0.9492403649129747</v>
      </c>
      <c r="J575" s="45">
        <f>ELISA!$E$31/ELISA!$E$29</f>
        <v>0.93358461022849537</v>
      </c>
      <c r="K575" s="45">
        <f>ELISA!$F$31/ELISA!$F$29</f>
        <v>0.89931439754175191</v>
      </c>
      <c r="L575" s="45">
        <f>ELISA!$G$31/ELISA!$G$29</f>
        <v>0.904626222366406</v>
      </c>
      <c r="M575" s="45">
        <f t="shared" si="138"/>
        <v>-4.4614142546568702E-2</v>
      </c>
      <c r="N575" s="46"/>
      <c r="O575" s="45">
        <f>ELISA!$D$31/ELISA!$D$30</f>
        <v>0.95868357778334623</v>
      </c>
      <c r="P575" s="45">
        <f>ELISA!$E$31/ELISA!$E$30</f>
        <v>0.95964765869880464</v>
      </c>
      <c r="Q575" s="45">
        <f>ELISA!$F$31/ELISA!$F$30</f>
        <v>0.95521328050754839</v>
      </c>
      <c r="R575" s="45">
        <f>ELISA!$G$31/ELISA!$G$30</f>
        <v>0.95727342233080948</v>
      </c>
      <c r="S575" s="45">
        <f t="shared" ref="S575:S582" si="140">R575-O575</f>
        <v>-1.4101554525367543E-3</v>
      </c>
      <c r="T575" s="46"/>
      <c r="U575" s="48" t="str">
        <f t="shared" si="139"/>
        <v>EUR 41.6</v>
      </c>
      <c r="V575" s="44" t="str">
        <f t="shared" si="139"/>
        <v>Elisa</v>
      </c>
      <c r="AF575" s="39"/>
      <c r="AG575" s="39"/>
      <c r="AH575" s="39"/>
      <c r="AI575" s="39"/>
      <c r="AJ575" s="39"/>
      <c r="AK575" s="39"/>
      <c r="AL575" s="39"/>
      <c r="AM575" s="39"/>
      <c r="AN575" s="39"/>
      <c r="AO575" s="39"/>
      <c r="AP575" s="39"/>
      <c r="AQ575" s="39"/>
      <c r="AR575" s="39"/>
      <c r="AS575" s="39"/>
      <c r="AT575" s="39"/>
      <c r="AU575" s="39"/>
      <c r="AV575" s="39"/>
      <c r="AW575" s="39"/>
      <c r="AX575" s="39"/>
      <c r="AY575" s="39"/>
      <c r="AZ575" s="39"/>
      <c r="BA575" s="39"/>
      <c r="BB575" s="39"/>
      <c r="BC575" s="39"/>
      <c r="BD575" s="39"/>
      <c r="BE575" s="39"/>
      <c r="BF575" s="39"/>
      <c r="BG575" s="39"/>
      <c r="BH575" s="39"/>
      <c r="BI575" s="39"/>
      <c r="BJ575" s="39"/>
      <c r="BK575" s="39"/>
      <c r="BL575" s="39"/>
      <c r="BM575" s="39"/>
      <c r="BN575" s="39"/>
      <c r="BO575" s="39"/>
      <c r="BP575" s="39"/>
      <c r="BQ575" s="39"/>
      <c r="BR575" s="39"/>
      <c r="BS575" s="39"/>
      <c r="BT575" s="39"/>
      <c r="BU575" s="39"/>
      <c r="BV575" s="39"/>
      <c r="BW575" s="39"/>
      <c r="BX575" s="39"/>
      <c r="BY575" s="39"/>
      <c r="BZ575" s="39"/>
      <c r="CA575" s="39"/>
      <c r="CB575" s="39"/>
      <c r="CC575" s="39"/>
      <c r="CD575" s="39"/>
      <c r="CE575" s="39"/>
      <c r="CF575" s="39"/>
      <c r="CG575" s="39"/>
      <c r="CH575" s="39"/>
      <c r="CI575" s="39"/>
      <c r="CJ575" s="39"/>
      <c r="CK575" s="39"/>
      <c r="CL575" s="39"/>
      <c r="CM575" s="39"/>
      <c r="CN575" s="39"/>
      <c r="CO575" s="39"/>
      <c r="CP575" s="39"/>
      <c r="CQ575" s="39"/>
      <c r="CR575" s="39"/>
      <c r="CS575" s="39"/>
      <c r="CT575" s="39"/>
      <c r="CU575" s="39"/>
      <c r="CV575" s="39"/>
      <c r="CW575" s="39"/>
      <c r="CX575" s="39"/>
      <c r="CY575" s="39"/>
      <c r="CZ575" s="39"/>
      <c r="DA575" s="39"/>
      <c r="DB575" s="39"/>
      <c r="DC575" s="39"/>
      <c r="DD575" s="39"/>
      <c r="DE575" s="39"/>
      <c r="DF575" s="39"/>
      <c r="DG575" s="39"/>
      <c r="DH575" s="39"/>
      <c r="DI575" s="39"/>
    </row>
    <row r="576" spans="1:113">
      <c r="A576" s="41"/>
      <c r="C576" s="48" t="str">
        <f t="shared" si="137"/>
        <v>Liberty Global (prop.)</v>
      </c>
      <c r="D576" s="44" t="str">
        <f t="shared" si="137"/>
        <v>USD 16.2</v>
      </c>
      <c r="E576" s="44" t="str">
        <f t="shared" si="137"/>
        <v>USD 24.0</v>
      </c>
      <c r="F576" s="45">
        <f t="shared" si="137"/>
        <v>0.47783251231527113</v>
      </c>
      <c r="G576" s="44" t="str">
        <f t="shared" si="137"/>
        <v>Buy</v>
      </c>
      <c r="H576" s="46"/>
      <c r="I576" s="45">
        <f>LBTY!$D$31/LBTY!$D$29</f>
        <v>0</v>
      </c>
      <c r="J576" s="45">
        <f>LBTY!$E$31/LBTY!$E$29</f>
        <v>0</v>
      </c>
      <c r="K576" s="45">
        <f>LBTY!$F$31/LBTY!$F$29</f>
        <v>0</v>
      </c>
      <c r="L576" s="45">
        <f>LBTY!$G$31/LBTY!$G$29</f>
        <v>0</v>
      </c>
      <c r="M576" s="45">
        <f t="shared" si="138"/>
        <v>0</v>
      </c>
      <c r="N576" s="46"/>
      <c r="O576" s="45">
        <f>LBTY!$D$31/LBTY!$D$30</f>
        <v>0</v>
      </c>
      <c r="P576" s="45">
        <f>LBTY!$E$31/LBTY!$E$30</f>
        <v>0</v>
      </c>
      <c r="Q576" s="45">
        <f>LBTY!$F$31/LBTY!$F$30</f>
        <v>0</v>
      </c>
      <c r="R576" s="45">
        <f>LBTY!$G$31/LBTY!$G$30</f>
        <v>0</v>
      </c>
      <c r="S576" s="45">
        <f>R576-O576</f>
        <v>0</v>
      </c>
      <c r="T576" s="46"/>
      <c r="U576" s="48" t="str">
        <f t="shared" si="139"/>
        <v>USD 16.2</v>
      </c>
      <c r="V576" s="44" t="str">
        <f t="shared" si="139"/>
        <v>Liberty Global</v>
      </c>
      <c r="AF576" s="39"/>
      <c r="AG576" s="39"/>
      <c r="AH576" s="39"/>
      <c r="AI576" s="39"/>
      <c r="AJ576" s="39"/>
      <c r="AK576" s="39"/>
      <c r="AL576" s="39"/>
      <c r="AM576" s="39"/>
      <c r="AN576" s="39"/>
      <c r="AO576" s="39"/>
      <c r="AP576" s="39"/>
      <c r="AQ576" s="39"/>
      <c r="AR576" s="39"/>
      <c r="AS576" s="39"/>
      <c r="AT576" s="39"/>
      <c r="AU576" s="39"/>
      <c r="AV576" s="39"/>
      <c r="AW576" s="39"/>
      <c r="AX576" s="39"/>
      <c r="AY576" s="39"/>
      <c r="AZ576" s="39"/>
      <c r="BA576" s="39"/>
      <c r="BB576" s="39"/>
      <c r="BC576" s="39"/>
      <c r="BD576" s="39"/>
      <c r="BE576" s="39"/>
      <c r="BF576" s="39"/>
      <c r="BG576" s="39"/>
      <c r="BH576" s="39"/>
      <c r="BI576" s="39"/>
      <c r="BJ576" s="39"/>
      <c r="BK576" s="39"/>
      <c r="BL576" s="39"/>
      <c r="BM576" s="39"/>
      <c r="BN576" s="39"/>
      <c r="BO576" s="39"/>
      <c r="BP576" s="39"/>
      <c r="BQ576" s="39"/>
      <c r="BR576" s="39"/>
      <c r="BS576" s="39"/>
      <c r="BT576" s="39"/>
      <c r="BU576" s="39"/>
      <c r="BV576" s="39"/>
      <c r="BW576" s="39"/>
      <c r="BX576" s="39"/>
      <c r="BY576" s="39"/>
      <c r="BZ576" s="39"/>
      <c r="CA576" s="39"/>
      <c r="CB576" s="39"/>
      <c r="CC576" s="39"/>
      <c r="CD576" s="39"/>
      <c r="CE576" s="39"/>
      <c r="CF576" s="39"/>
      <c r="CG576" s="39"/>
      <c r="CH576" s="39"/>
      <c r="CI576" s="39"/>
      <c r="CJ576" s="39"/>
      <c r="CK576" s="39"/>
      <c r="CL576" s="39"/>
      <c r="CM576" s="39"/>
      <c r="CN576" s="39"/>
      <c r="CO576" s="39"/>
      <c r="CP576" s="39"/>
      <c r="CQ576" s="39"/>
      <c r="CR576" s="39"/>
      <c r="CS576" s="39"/>
      <c r="CT576" s="39"/>
      <c r="CU576" s="39"/>
      <c r="CV576" s="39"/>
      <c r="CW576" s="39"/>
      <c r="CX576" s="39"/>
      <c r="CY576" s="39"/>
      <c r="CZ576" s="39"/>
      <c r="DA576" s="39"/>
      <c r="DB576" s="39"/>
      <c r="DC576" s="39"/>
      <c r="DD576" s="39"/>
      <c r="DE576" s="39"/>
      <c r="DF576" s="39"/>
      <c r="DG576" s="39"/>
      <c r="DH576" s="39"/>
      <c r="DI576" s="39"/>
    </row>
    <row r="577" spans="1:113">
      <c r="A577" s="41"/>
      <c r="C577" s="48" t="str">
        <f t="shared" si="137"/>
        <v>NOS</v>
      </c>
      <c r="D577" s="44" t="str">
        <f t="shared" si="137"/>
        <v>EUR 3.35</v>
      </c>
      <c r="E577" s="44" t="str">
        <f t="shared" si="137"/>
        <v>EUR 4.00</v>
      </c>
      <c r="F577" s="45">
        <f t="shared" si="137"/>
        <v>0.19581464872944676</v>
      </c>
      <c r="G577" s="44" t="str">
        <f t="shared" si="137"/>
        <v>Neutral</v>
      </c>
      <c r="H577" s="46"/>
      <c r="I577" s="45">
        <f>NOS!$D$31/NOS!$D$29</f>
        <v>0.66853965800416759</v>
      </c>
      <c r="J577" s="45">
        <f>NOS!$E$31/NOS!$E$29</f>
        <v>0.67875318685500174</v>
      </c>
      <c r="K577" s="45">
        <f>NOS!$F$31/NOS!$F$29</f>
        <v>0.71917694478760064</v>
      </c>
      <c r="L577" s="45">
        <f>NOS!$G$31/NOS!$G$29</f>
        <v>0.75795003212700829</v>
      </c>
      <c r="M577" s="45">
        <f t="shared" si="138"/>
        <v>8.9410374122840697E-2</v>
      </c>
      <c r="N577" s="46"/>
      <c r="O577" s="45">
        <f>NOS!$D$31/NOS!$D$30</f>
        <v>1.1534809077955357</v>
      </c>
      <c r="P577" s="45">
        <f>NOS!$E$31/NOS!$E$30</f>
        <v>1.0406118189772802</v>
      </c>
      <c r="Q577" s="45">
        <f>NOS!$F$31/NOS!$F$30</f>
        <v>1.0475347162232866</v>
      </c>
      <c r="R577" s="45">
        <f>NOS!$G$31/NOS!$G$30</f>
        <v>1.0618591855330495</v>
      </c>
      <c r="S577" s="45">
        <f>R577-O577</f>
        <v>-9.1621722262486216E-2</v>
      </c>
      <c r="T577" s="46"/>
      <c r="U577" s="48" t="str">
        <f t="shared" si="139"/>
        <v>EUR 3.35</v>
      </c>
      <c r="V577" s="44" t="str">
        <f t="shared" si="139"/>
        <v>NOS</v>
      </c>
      <c r="AF577" s="39"/>
      <c r="AG577" s="39"/>
      <c r="AH577" s="39"/>
      <c r="AI577" s="39"/>
      <c r="AJ577" s="39"/>
      <c r="AK577" s="39"/>
      <c r="AL577" s="39"/>
      <c r="AM577" s="39"/>
      <c r="AN577" s="39"/>
      <c r="AO577" s="39"/>
      <c r="AP577" s="39"/>
      <c r="AQ577" s="39"/>
      <c r="AR577" s="39"/>
      <c r="AS577" s="39"/>
      <c r="AT577" s="39"/>
      <c r="AU577" s="39"/>
      <c r="AV577" s="39"/>
      <c r="AW577" s="39"/>
      <c r="AX577" s="39"/>
      <c r="AY577" s="39"/>
      <c r="AZ577" s="39"/>
      <c r="BA577" s="39"/>
      <c r="BB577" s="39"/>
      <c r="BC577" s="39"/>
      <c r="BD577" s="39"/>
      <c r="BE577" s="39"/>
      <c r="BF577" s="39"/>
      <c r="BG577" s="39"/>
      <c r="BH577" s="39"/>
      <c r="BI577" s="39"/>
      <c r="BJ577" s="39"/>
      <c r="BK577" s="39"/>
      <c r="BL577" s="39"/>
      <c r="BM577" s="39"/>
      <c r="BN577" s="39"/>
      <c r="BO577" s="39"/>
      <c r="BP577" s="39"/>
      <c r="BQ577" s="39"/>
      <c r="BR577" s="39"/>
      <c r="BS577" s="39"/>
      <c r="BT577" s="39"/>
      <c r="BU577" s="39"/>
      <c r="BV577" s="39"/>
      <c r="BW577" s="39"/>
      <c r="BX577" s="39"/>
      <c r="BY577" s="39"/>
      <c r="BZ577" s="39"/>
      <c r="CA577" s="39"/>
      <c r="CB577" s="39"/>
      <c r="CC577" s="39"/>
      <c r="CD577" s="39"/>
      <c r="CE577" s="39"/>
      <c r="CF577" s="39"/>
      <c r="CG577" s="39"/>
      <c r="CH577" s="39"/>
      <c r="CI577" s="39"/>
      <c r="CJ577" s="39"/>
      <c r="CK577" s="39"/>
      <c r="CL577" s="39"/>
      <c r="CM577" s="39"/>
      <c r="CN577" s="39"/>
      <c r="CO577" s="39"/>
      <c r="CP577" s="39"/>
      <c r="CQ577" s="39"/>
      <c r="CR577" s="39"/>
      <c r="CS577" s="39"/>
      <c r="CT577" s="39"/>
      <c r="CU577" s="39"/>
      <c r="CV577" s="39"/>
      <c r="CW577" s="39"/>
      <c r="CX577" s="39"/>
      <c r="CY577" s="39"/>
      <c r="CZ577" s="39"/>
      <c r="DA577" s="39"/>
      <c r="DB577" s="39"/>
      <c r="DC577" s="39"/>
      <c r="DD577" s="39"/>
      <c r="DE577" s="39"/>
      <c r="DF577" s="39"/>
      <c r="DG577" s="39"/>
      <c r="DH577" s="39"/>
      <c r="DI577" s="39"/>
    </row>
    <row r="578" spans="1:113">
      <c r="C578" s="48" t="str">
        <f t="shared" si="137"/>
        <v>Orange Belgium</v>
      </c>
      <c r="D578" s="44" t="str">
        <f t="shared" si="137"/>
        <v>EUR 14.9</v>
      </c>
      <c r="E578" s="44" t="str">
        <f t="shared" si="137"/>
        <v>EUR 13.0</v>
      </c>
      <c r="F578" s="45">
        <f t="shared" si="137"/>
        <v>-0.12868632707774796</v>
      </c>
      <c r="G578" s="44" t="str">
        <f t="shared" si="137"/>
        <v>Neutral</v>
      </c>
      <c r="H578" s="46"/>
      <c r="I578" s="45">
        <f>OBEL!$D$31/OBEL!$D$29</f>
        <v>0</v>
      </c>
      <c r="J578" s="45">
        <f>OBEL!$E$31/OBEL!$E$29</f>
        <v>0</v>
      </c>
      <c r="K578" s="45">
        <f>OBEL!$F$31/OBEL!$F$29</f>
        <v>0</v>
      </c>
      <c r="L578" s="45">
        <f>OBEL!$G$31/OBEL!$G$29</f>
        <v>0</v>
      </c>
      <c r="M578" s="45">
        <f t="shared" si="138"/>
        <v>0</v>
      </c>
      <c r="N578" s="46"/>
      <c r="O578" s="45">
        <f>OBEL!$D$31/OBEL!$D$30</f>
        <v>0</v>
      </c>
      <c r="P578" s="45">
        <f>OBEL!$E$31/OBEL!$E$30</f>
        <v>0</v>
      </c>
      <c r="Q578" s="45">
        <f>OBEL!$F$31/OBEL!$F$30</f>
        <v>0</v>
      </c>
      <c r="R578" s="45">
        <f>OBEL!$G$31/OBEL!$G$30</f>
        <v>0</v>
      </c>
      <c r="S578" s="45">
        <f t="shared" si="140"/>
        <v>0</v>
      </c>
      <c r="T578" s="46"/>
      <c r="U578" s="48" t="str">
        <f t="shared" si="139"/>
        <v>EUR 14.9</v>
      </c>
      <c r="V578" s="44" t="str">
        <f t="shared" si="139"/>
        <v>Mobistar</v>
      </c>
      <c r="AF578" s="39"/>
      <c r="AG578" s="39"/>
      <c r="AH578" s="39"/>
      <c r="AI578" s="39"/>
      <c r="AJ578" s="39"/>
      <c r="AK578" s="39"/>
      <c r="AL578" s="39"/>
      <c r="AM578" s="39"/>
      <c r="AN578" s="39"/>
      <c r="AO578" s="39"/>
      <c r="AP578" s="39"/>
      <c r="AQ578" s="39"/>
      <c r="AR578" s="39"/>
      <c r="AS578" s="39"/>
      <c r="AT578" s="39"/>
      <c r="AU578" s="39"/>
      <c r="AV578" s="39"/>
      <c r="AW578" s="39"/>
      <c r="AX578" s="39"/>
      <c r="AY578" s="39"/>
      <c r="AZ578" s="39"/>
      <c r="BA578" s="39"/>
      <c r="BB578" s="39"/>
      <c r="BC578" s="39"/>
      <c r="BD578" s="39"/>
      <c r="BE578" s="39"/>
      <c r="BF578" s="39"/>
      <c r="BG578" s="39"/>
      <c r="BH578" s="39"/>
      <c r="BI578" s="39"/>
      <c r="BJ578" s="39"/>
      <c r="BK578" s="39"/>
      <c r="BL578" s="39"/>
      <c r="BM578" s="39"/>
      <c r="BN578" s="39"/>
      <c r="BO578" s="39"/>
      <c r="BP578" s="39"/>
      <c r="BQ578" s="39"/>
      <c r="BR578" s="39"/>
      <c r="BS578" s="39"/>
      <c r="BT578" s="39"/>
      <c r="BU578" s="39"/>
      <c r="BV578" s="39"/>
      <c r="BW578" s="39"/>
      <c r="BX578" s="39"/>
      <c r="BY578" s="39"/>
      <c r="BZ578" s="39"/>
      <c r="CA578" s="39"/>
      <c r="CB578" s="39"/>
      <c r="CC578" s="39"/>
      <c r="CD578" s="39"/>
      <c r="CE578" s="39"/>
      <c r="CF578" s="39"/>
      <c r="CG578" s="39"/>
      <c r="CH578" s="39"/>
      <c r="CI578" s="39"/>
      <c r="CJ578" s="39"/>
      <c r="CK578" s="39"/>
      <c r="CL578" s="39"/>
      <c r="CM578" s="39"/>
      <c r="CN578" s="39"/>
      <c r="CO578" s="39"/>
      <c r="CP578" s="39"/>
      <c r="CQ578" s="39"/>
      <c r="CR578" s="39"/>
      <c r="CS578" s="39"/>
      <c r="CT578" s="39"/>
      <c r="CU578" s="39"/>
      <c r="CV578" s="39"/>
      <c r="CW578" s="39"/>
      <c r="CX578" s="39"/>
      <c r="CY578" s="39"/>
      <c r="CZ578" s="39"/>
      <c r="DA578" s="39"/>
      <c r="DB578" s="39"/>
      <c r="DC578" s="39"/>
      <c r="DD578" s="39"/>
      <c r="DE578" s="39"/>
      <c r="DF578" s="39"/>
      <c r="DG578" s="39"/>
      <c r="DH578" s="39"/>
      <c r="DI578" s="39"/>
    </row>
    <row r="579" spans="1:113">
      <c r="C579" s="48" t="str">
        <f t="shared" si="137"/>
        <v>Tele2</v>
      </c>
      <c r="D579" s="44" t="str">
        <f t="shared" si="137"/>
        <v>SEK 101.1</v>
      </c>
      <c r="E579" s="44" t="str">
        <f t="shared" si="137"/>
        <v>SEK 110.0</v>
      </c>
      <c r="F579" s="45">
        <f t="shared" si="137"/>
        <v>8.8570014844136624E-2</v>
      </c>
      <c r="G579" s="44" t="str">
        <f t="shared" si="137"/>
        <v>Neutral</v>
      </c>
      <c r="H579" s="46"/>
      <c r="I579" s="45">
        <f>TELE2!$D$31/TELE2!$D$29</f>
        <v>0.87148906990234609</v>
      </c>
      <c r="J579" s="45">
        <f>TELE2!$E$31/TELE2!$E$29</f>
        <v>0.81298546709410746</v>
      </c>
      <c r="K579" s="45">
        <f>TELE2!$F$31/TELE2!$F$29</f>
        <v>0.84945774392023277</v>
      </c>
      <c r="L579" s="45">
        <f>TELE2!$G$31/TELE2!$G$29</f>
        <v>0.83582015834056622</v>
      </c>
      <c r="M579" s="45">
        <f t="shared" si="138"/>
        <v>-3.566891156177987E-2</v>
      </c>
      <c r="N579" s="46"/>
      <c r="O579" s="45">
        <f>TELE2!$D$31/TELE2!$D$30</f>
        <v>1.0782661374150155</v>
      </c>
      <c r="P579" s="45">
        <f>TELE2!$E$31/TELE2!$E$30</f>
        <v>1.0409170610559404</v>
      </c>
      <c r="Q579" s="45">
        <f>TELE2!$F$31/TELE2!$F$30</f>
        <v>1.020716501268798</v>
      </c>
      <c r="R579" s="45">
        <f>TELE2!$G$31/TELE2!$G$30</f>
        <v>0.98391871382447305</v>
      </c>
      <c r="S579" s="45">
        <f t="shared" si="140"/>
        <v>-9.434742359054249E-2</v>
      </c>
      <c r="T579" s="46"/>
      <c r="U579" s="48" t="str">
        <f t="shared" si="139"/>
        <v>SEK 101.1</v>
      </c>
      <c r="V579" s="44" t="str">
        <f t="shared" si="139"/>
        <v>Tele2</v>
      </c>
      <c r="AF579" s="39"/>
      <c r="AG579" s="39"/>
      <c r="AH579" s="39"/>
      <c r="AI579" s="39"/>
      <c r="AJ579" s="39"/>
      <c r="AK579" s="39"/>
      <c r="AL579" s="39"/>
      <c r="AM579" s="39"/>
      <c r="AN579" s="39"/>
      <c r="AO579" s="39"/>
      <c r="AP579" s="39"/>
      <c r="AQ579" s="39"/>
      <c r="AR579" s="39"/>
      <c r="AS579" s="39"/>
      <c r="AT579" s="39"/>
      <c r="AU579" s="39"/>
      <c r="AV579" s="39"/>
      <c r="AW579" s="39"/>
      <c r="AX579" s="39"/>
      <c r="AY579" s="39"/>
      <c r="AZ579" s="39"/>
      <c r="BA579" s="39"/>
      <c r="BB579" s="39"/>
      <c r="BC579" s="39"/>
      <c r="BD579" s="39"/>
      <c r="BE579" s="39"/>
      <c r="BF579" s="39"/>
      <c r="BG579" s="39"/>
      <c r="BH579" s="39"/>
      <c r="BI579" s="39"/>
      <c r="BJ579" s="39"/>
      <c r="BK579" s="39"/>
      <c r="BL579" s="39"/>
      <c r="BM579" s="39"/>
      <c r="BN579" s="39"/>
      <c r="BO579" s="39"/>
      <c r="BP579" s="39"/>
      <c r="BQ579" s="39"/>
      <c r="BR579" s="39"/>
      <c r="BS579" s="39"/>
      <c r="BT579" s="39"/>
      <c r="BU579" s="39"/>
      <c r="BV579" s="39"/>
      <c r="BW579" s="39"/>
      <c r="BX579" s="39"/>
      <c r="BY579" s="39"/>
      <c r="BZ579" s="39"/>
      <c r="CA579" s="39"/>
      <c r="CB579" s="39"/>
      <c r="CC579" s="39"/>
      <c r="CD579" s="39"/>
      <c r="CE579" s="39"/>
      <c r="CF579" s="39"/>
      <c r="CG579" s="39"/>
      <c r="CH579" s="39"/>
      <c r="CI579" s="39"/>
      <c r="CJ579" s="39"/>
      <c r="CK579" s="39"/>
      <c r="CL579" s="39"/>
      <c r="CM579" s="39"/>
      <c r="CN579" s="39"/>
      <c r="CO579" s="39"/>
      <c r="CP579" s="39"/>
      <c r="CQ579" s="39"/>
      <c r="CR579" s="39"/>
      <c r="CS579" s="39"/>
      <c r="CT579" s="39"/>
      <c r="CU579" s="39"/>
      <c r="CV579" s="39"/>
      <c r="CW579" s="39"/>
      <c r="CX579" s="39"/>
      <c r="CY579" s="39"/>
      <c r="CZ579" s="39"/>
      <c r="DA579" s="39"/>
      <c r="DB579" s="39"/>
      <c r="DC579" s="39"/>
      <c r="DD579" s="39"/>
      <c r="DE579" s="39"/>
      <c r="DF579" s="39"/>
      <c r="DG579" s="39"/>
      <c r="DH579" s="39"/>
      <c r="DI579" s="39"/>
    </row>
    <row r="580" spans="1:113">
      <c r="A580" s="41"/>
      <c r="C580" s="48" t="str">
        <f t="shared" si="137"/>
        <v>United Internet</v>
      </c>
      <c r="D580" s="44" t="str">
        <f t="shared" si="137"/>
        <v>EUR 22.1</v>
      </c>
      <c r="E580" s="44" t="str">
        <f t="shared" si="137"/>
        <v>EUR 30.0</v>
      </c>
      <c r="F580" s="45">
        <f t="shared" si="137"/>
        <v>0.35869565217391308</v>
      </c>
      <c r="G580" s="44" t="str">
        <f t="shared" si="137"/>
        <v>Buy</v>
      </c>
      <c r="H580" s="46"/>
      <c r="I580" s="45">
        <f>UTDI!$D$31/UTDI!$D$29</f>
        <v>-0.54536482034321887</v>
      </c>
      <c r="J580" s="45">
        <f>UTDI!$E$31/UTDI!$E$29</f>
        <v>-0.36353743685567957</v>
      </c>
      <c r="K580" s="45">
        <f>UTDI!$F$31/UTDI!$F$29</f>
        <v>0.35421411871965919</v>
      </c>
      <c r="L580" s="45">
        <f>UTDI!$G$31/UTDI!$G$29</f>
        <v>0.21567658157135347</v>
      </c>
      <c r="M580" s="45">
        <f t="shared" si="138"/>
        <v>0.76104140191457237</v>
      </c>
      <c r="N580" s="46"/>
      <c r="O580" s="45">
        <f>UTDI!$D$31/UTDI!$D$30</f>
        <v>0.24623107490817081</v>
      </c>
      <c r="P580" s="45">
        <f>UTDI!$E$31/UTDI!$E$30</f>
        <v>0.18835538299164262</v>
      </c>
      <c r="Q580" s="45">
        <f>UTDI!$F$31/UTDI!$F$30</f>
        <v>0.17902987416626753</v>
      </c>
      <c r="R580" s="45">
        <f>UTDI!$G$31/UTDI!$G$30</f>
        <v>0.18373888152881579</v>
      </c>
      <c r="S580" s="45">
        <f>R580-O580</f>
        <v>-6.2492193379355021E-2</v>
      </c>
      <c r="T580" s="46"/>
      <c r="U580" s="48" t="str">
        <f t="shared" si="139"/>
        <v>EUR 22.1</v>
      </c>
      <c r="V580" s="44" t="str">
        <f t="shared" si="139"/>
        <v>United Internet</v>
      </c>
      <c r="AF580" s="39"/>
      <c r="AG580" s="39"/>
      <c r="AH580" s="39"/>
      <c r="AI580" s="39"/>
      <c r="AJ580" s="39"/>
      <c r="AK580" s="39"/>
      <c r="AL580" s="39"/>
      <c r="AM580" s="39"/>
      <c r="AN580" s="39"/>
      <c r="AO580" s="39"/>
      <c r="AP580" s="39"/>
      <c r="AQ580" s="39"/>
      <c r="AR580" s="39"/>
      <c r="AS580" s="39"/>
      <c r="AT580" s="39"/>
      <c r="AU580" s="39"/>
      <c r="AV580" s="39"/>
      <c r="AW580" s="39"/>
      <c r="AX580" s="39"/>
      <c r="AY580" s="39"/>
      <c r="AZ580" s="39"/>
      <c r="BA580" s="39"/>
      <c r="BB580" s="39"/>
      <c r="BC580" s="39"/>
      <c r="BD580" s="39"/>
      <c r="BE580" s="39"/>
      <c r="BF580" s="39"/>
      <c r="BG580" s="39"/>
      <c r="BH580" s="39"/>
      <c r="BI580" s="39"/>
      <c r="BJ580" s="39"/>
      <c r="BK580" s="39"/>
      <c r="BL580" s="39"/>
      <c r="BM580" s="39"/>
      <c r="BN580" s="39"/>
      <c r="BO580" s="39"/>
      <c r="BP580" s="39"/>
      <c r="BQ580" s="39"/>
      <c r="BR580" s="39"/>
      <c r="BS580" s="39"/>
      <c r="BT580" s="39"/>
      <c r="BU580" s="39"/>
      <c r="BV580" s="39"/>
      <c r="BW580" s="39"/>
      <c r="BX580" s="39"/>
      <c r="BY580" s="39"/>
      <c r="BZ580" s="39"/>
      <c r="CA580" s="39"/>
      <c r="CB580" s="39"/>
      <c r="CC580" s="39"/>
      <c r="CD580" s="39"/>
      <c r="CE580" s="39"/>
      <c r="CF580" s="39"/>
      <c r="CG580" s="39"/>
      <c r="CH580" s="39"/>
      <c r="CI580" s="39"/>
      <c r="CJ580" s="39"/>
      <c r="CK580" s="39"/>
      <c r="CL580" s="39"/>
      <c r="CM580" s="39"/>
      <c r="CN580" s="39"/>
      <c r="CO580" s="39"/>
      <c r="CP580" s="39"/>
      <c r="CQ580" s="39"/>
      <c r="CR580" s="39"/>
      <c r="CS580" s="39"/>
      <c r="CT580" s="39"/>
      <c r="CU580" s="39"/>
      <c r="CV580" s="39"/>
      <c r="CW580" s="39"/>
      <c r="CX580" s="39"/>
      <c r="CY580" s="39"/>
      <c r="CZ580" s="39"/>
      <c r="DA580" s="39"/>
      <c r="DB580" s="39"/>
      <c r="DC580" s="39"/>
      <c r="DD580" s="39"/>
      <c r="DE580" s="39"/>
      <c r="DF580" s="39"/>
      <c r="DG580" s="39"/>
      <c r="DH580" s="39"/>
      <c r="DI580" s="39"/>
    </row>
    <row r="581" spans="1:113">
      <c r="C581" s="48" t="str">
        <f t="shared" si="137"/>
        <v>Vodafone</v>
      </c>
      <c r="D581" s="44" t="str">
        <f t="shared" si="137"/>
        <v>GBP 0.74</v>
      </c>
      <c r="E581" s="44" t="str">
        <f t="shared" si="137"/>
        <v>GBP 1.35</v>
      </c>
      <c r="F581" s="45">
        <f t="shared" si="137"/>
        <v>0.83673469387755106</v>
      </c>
      <c r="G581" s="44" t="str">
        <f t="shared" si="137"/>
        <v>Buy</v>
      </c>
      <c r="H581" s="46"/>
      <c r="I581" s="45" t="s">
        <v>116</v>
      </c>
      <c r="J581" s="45" t="s">
        <v>116</v>
      </c>
      <c r="K581" s="45">
        <f>VOD!$F$31/VOD!$F$29</f>
        <v>0.43587993388637158</v>
      </c>
      <c r="L581" s="45">
        <f>VOD!$G$31/VOD!$G$29</f>
        <v>0.34598648864536824</v>
      </c>
      <c r="M581" s="45" t="s">
        <v>811</v>
      </c>
      <c r="N581" s="46"/>
      <c r="O581" s="45">
        <f>VOD!$D$31/VOD!$D$30</f>
        <v>0.86418786553069737</v>
      </c>
      <c r="P581" s="45">
        <f>VOD!$E$31/VOD!$E$30</f>
        <v>0.40048131209437049</v>
      </c>
      <c r="Q581" s="45">
        <f>VOD!$F$31/VOD!$F$30</f>
        <v>0.32849036242138691</v>
      </c>
      <c r="R581" s="45">
        <f>VOD!$G$31/VOD!$G$30</f>
        <v>0.29536425295996399</v>
      </c>
      <c r="S581" s="45">
        <f t="shared" si="140"/>
        <v>-0.56882361257073333</v>
      </c>
      <c r="T581" s="46"/>
      <c r="U581" s="48" t="str">
        <f>U521</f>
        <v>GBP 0.74</v>
      </c>
      <c r="V581" s="44" t="s">
        <v>281</v>
      </c>
      <c r="AF581" s="39"/>
      <c r="AG581" s="39"/>
      <c r="AH581" s="39"/>
      <c r="AI581" s="39"/>
      <c r="AJ581" s="39"/>
      <c r="AK581" s="39"/>
      <c r="AL581" s="39"/>
      <c r="AM581" s="39"/>
      <c r="AN581" s="39"/>
      <c r="AO581" s="39"/>
      <c r="AP581" s="39"/>
      <c r="AQ581" s="39"/>
      <c r="AR581" s="39"/>
      <c r="AS581" s="39"/>
      <c r="AT581" s="39"/>
      <c r="AU581" s="39"/>
      <c r="AV581" s="39"/>
      <c r="AW581" s="39"/>
      <c r="AX581" s="39"/>
      <c r="AY581" s="39"/>
      <c r="AZ581" s="39"/>
      <c r="BA581" s="39"/>
      <c r="BB581" s="39"/>
      <c r="BC581" s="39"/>
      <c r="BD581" s="39"/>
      <c r="BE581" s="39"/>
      <c r="BF581" s="39"/>
      <c r="BG581" s="39"/>
      <c r="BH581" s="39"/>
      <c r="BI581" s="39"/>
      <c r="BJ581" s="39"/>
      <c r="BK581" s="39"/>
      <c r="BL581" s="39"/>
      <c r="BM581" s="39"/>
      <c r="BN581" s="39"/>
      <c r="BO581" s="39"/>
      <c r="BP581" s="39"/>
      <c r="BQ581" s="39"/>
      <c r="BR581" s="39"/>
      <c r="BS581" s="39"/>
      <c r="BT581" s="39"/>
      <c r="BU581" s="39"/>
      <c r="BV581" s="39"/>
      <c r="BW581" s="39"/>
      <c r="BX581" s="39"/>
      <c r="BY581" s="39"/>
      <c r="BZ581" s="39"/>
      <c r="CA581" s="39"/>
      <c r="CB581" s="39"/>
      <c r="CC581" s="39"/>
      <c r="CD581" s="39"/>
      <c r="CE581" s="39"/>
      <c r="CF581" s="39"/>
      <c r="CG581" s="39"/>
      <c r="CH581" s="39"/>
      <c r="CI581" s="39"/>
      <c r="CJ581" s="39"/>
      <c r="CK581" s="39"/>
      <c r="CL581" s="39"/>
      <c r="CM581" s="39"/>
      <c r="CN581" s="39"/>
      <c r="CO581" s="39"/>
      <c r="CP581" s="39"/>
      <c r="CQ581" s="39"/>
      <c r="CR581" s="39"/>
      <c r="CS581" s="39"/>
      <c r="CT581" s="39"/>
      <c r="CU581" s="39"/>
      <c r="CV581" s="39"/>
      <c r="CW581" s="39"/>
      <c r="CX581" s="39"/>
      <c r="CY581" s="39"/>
      <c r="CZ581" s="39"/>
      <c r="DA581" s="39"/>
      <c r="DB581" s="39"/>
      <c r="DC581" s="39"/>
      <c r="DD581" s="39"/>
      <c r="DE581" s="39"/>
      <c r="DF581" s="39"/>
      <c r="DG581" s="39"/>
      <c r="DH581" s="39"/>
      <c r="DI581" s="39"/>
    </row>
    <row r="582" spans="1:113">
      <c r="C582" s="51" t="str">
        <f>C522</f>
        <v>Agg. W. Europe Other</v>
      </c>
      <c r="D582" s="52"/>
      <c r="E582" s="52"/>
      <c r="F582" s="53"/>
      <c r="G582" s="52"/>
      <c r="H582" s="46"/>
      <c r="I582" s="55">
        <f>'W.EUR OTHER'!$D$31/'W.EUR OTHER'!$D$29</f>
        <v>1.1058218246883247</v>
      </c>
      <c r="J582" s="55">
        <f>'W.EUR OTHER'!$E$31/'W.EUR OTHER'!$E$29</f>
        <v>0.7720587558994737</v>
      </c>
      <c r="K582" s="55">
        <f>'W.EUR OTHER'!$F$31/'W.EUR OTHER'!$F$29</f>
        <v>0.47387935381738827</v>
      </c>
      <c r="L582" s="55">
        <f>'W.EUR OTHER'!$G$31/'W.EUR OTHER'!$G$29</f>
        <v>0.38783222312893756</v>
      </c>
      <c r="M582" s="55">
        <f t="shared" ref="M582" si="141">L582-I582</f>
        <v>-0.71798960155938718</v>
      </c>
      <c r="N582" s="56"/>
      <c r="O582" s="55">
        <f>'W.EUR OTHER'!$D$31/'W.EUR OTHER'!$D$30</f>
        <v>1.0488989144328655</v>
      </c>
      <c r="P582" s="55">
        <f>'W.EUR OTHER'!$E$31/'W.EUR OTHER'!$E$30</f>
        <v>0.53817947333731442</v>
      </c>
      <c r="Q582" s="55">
        <f>'W.EUR OTHER'!$F$31/'W.EUR OTHER'!$F$30</f>
        <v>0.46110359830682007</v>
      </c>
      <c r="R582" s="55">
        <f>'W.EUR OTHER'!$G$31/'W.EUR OTHER'!$G$30</f>
        <v>0.41888461810100297</v>
      </c>
      <c r="S582" s="55">
        <f t="shared" si="140"/>
        <v>-0.63001429633186257</v>
      </c>
      <c r="T582" s="46"/>
      <c r="U582" s="57"/>
      <c r="V582" s="58" t="str">
        <f>V522</f>
        <v>Agg. W. Europe Other</v>
      </c>
      <c r="AF582" s="39"/>
      <c r="AG582" s="39"/>
      <c r="AH582" s="39"/>
      <c r="AI582" s="39"/>
      <c r="AJ582" s="39"/>
      <c r="AK582" s="39"/>
      <c r="AL582" s="39"/>
      <c r="AM582" s="39"/>
      <c r="AN582" s="39"/>
      <c r="AO582" s="39"/>
      <c r="AP582" s="39"/>
      <c r="AQ582" s="39"/>
      <c r="AR582" s="39"/>
      <c r="AS582" s="39"/>
      <c r="AT582" s="39"/>
      <c r="AU582" s="39"/>
      <c r="AV582" s="39"/>
      <c r="AW582" s="39"/>
      <c r="AX582" s="39"/>
      <c r="AY582" s="39"/>
      <c r="AZ582" s="39"/>
      <c r="BA582" s="39"/>
      <c r="BB582" s="39"/>
      <c r="BC582" s="39"/>
      <c r="BD582" s="39"/>
      <c r="BE582" s="39"/>
      <c r="BF582" s="39"/>
      <c r="BG582" s="39"/>
      <c r="BH582" s="39"/>
      <c r="BI582" s="39"/>
      <c r="BJ582" s="39"/>
      <c r="BK582" s="39"/>
      <c r="BL582" s="39"/>
      <c r="BM582" s="39"/>
      <c r="BN582" s="39"/>
      <c r="BO582" s="39"/>
      <c r="BP582" s="39"/>
      <c r="BQ582" s="39"/>
      <c r="BR582" s="39"/>
      <c r="BS582" s="39"/>
      <c r="BT582" s="39"/>
      <c r="BU582" s="39"/>
      <c r="BV582" s="39"/>
      <c r="BW582" s="39"/>
      <c r="BX582" s="39"/>
      <c r="BY582" s="39"/>
      <c r="BZ582" s="39"/>
      <c r="CA582" s="39"/>
      <c r="CB582" s="39"/>
      <c r="CC582" s="39"/>
      <c r="CD582" s="39"/>
      <c r="CE582" s="39"/>
      <c r="CF582" s="39"/>
      <c r="CG582" s="39"/>
      <c r="CH582" s="39"/>
      <c r="CI582" s="39"/>
      <c r="CJ582" s="39"/>
      <c r="CK582" s="39"/>
      <c r="CL582" s="39"/>
      <c r="CM582" s="39"/>
      <c r="CN582" s="39"/>
      <c r="CO582" s="39"/>
      <c r="CP582" s="39"/>
      <c r="CQ582" s="39"/>
      <c r="CR582" s="39"/>
      <c r="CS582" s="39"/>
      <c r="CT582" s="39"/>
      <c r="CU582" s="39"/>
      <c r="CV582" s="39"/>
      <c r="CW582" s="39"/>
      <c r="CX582" s="39"/>
      <c r="CY582" s="39"/>
      <c r="CZ582" s="39"/>
      <c r="DA582" s="39"/>
      <c r="DB582" s="39"/>
      <c r="DC582" s="39"/>
      <c r="DD582" s="39"/>
      <c r="DE582" s="39"/>
      <c r="DF582" s="39"/>
      <c r="DG582" s="39"/>
      <c r="DH582" s="39"/>
      <c r="DI582" s="39"/>
    </row>
    <row r="583" spans="1:113">
      <c r="C583" s="48"/>
      <c r="D583" s="44"/>
      <c r="E583" s="44"/>
      <c r="F583" s="45"/>
      <c r="G583" s="44"/>
      <c r="H583" s="46"/>
      <c r="I583" s="45"/>
      <c r="J583" s="45"/>
      <c r="K583" s="45"/>
      <c r="L583" s="45"/>
      <c r="M583" s="45"/>
      <c r="N583" s="46"/>
      <c r="O583" s="45"/>
      <c r="P583" s="45"/>
      <c r="Q583" s="45"/>
      <c r="R583" s="45"/>
      <c r="S583" s="45"/>
      <c r="T583" s="46"/>
      <c r="U583" s="48"/>
      <c r="V583" s="44"/>
      <c r="AF583" s="39"/>
      <c r="AG583" s="39"/>
      <c r="AH583" s="39"/>
      <c r="AI583" s="39"/>
      <c r="AJ583" s="39"/>
      <c r="AK583" s="39"/>
      <c r="AL583" s="39"/>
      <c r="AM583" s="39"/>
      <c r="AN583" s="39"/>
      <c r="AO583" s="39"/>
      <c r="AP583" s="39"/>
      <c r="AQ583" s="39"/>
      <c r="AR583" s="39"/>
      <c r="AS583" s="39"/>
      <c r="AT583" s="39"/>
      <c r="AU583" s="39"/>
      <c r="AV583" s="39"/>
      <c r="AW583" s="39"/>
      <c r="AX583" s="39"/>
      <c r="AY583" s="39"/>
      <c r="AZ583" s="39"/>
      <c r="BA583" s="39"/>
      <c r="BB583" s="39"/>
      <c r="BC583" s="39"/>
      <c r="BD583" s="39"/>
      <c r="BE583" s="39"/>
      <c r="BF583" s="39"/>
      <c r="BG583" s="39"/>
      <c r="BH583" s="39"/>
      <c r="BI583" s="39"/>
      <c r="BJ583" s="39"/>
      <c r="BK583" s="39"/>
      <c r="BL583" s="39"/>
      <c r="BM583" s="39"/>
      <c r="BN583" s="39"/>
      <c r="BO583" s="39"/>
      <c r="BP583" s="39"/>
      <c r="BQ583" s="39"/>
      <c r="BR583" s="39"/>
      <c r="BS583" s="39"/>
      <c r="BT583" s="39"/>
      <c r="BU583" s="39"/>
      <c r="BV583" s="39"/>
      <c r="BW583" s="39"/>
      <c r="BX583" s="39"/>
      <c r="BY583" s="39"/>
      <c r="BZ583" s="39"/>
      <c r="CA583" s="39"/>
      <c r="CB583" s="39"/>
      <c r="CC583" s="39"/>
      <c r="CD583" s="39"/>
      <c r="CE583" s="39"/>
      <c r="CF583" s="39"/>
      <c r="CG583" s="39"/>
      <c r="CH583" s="39"/>
      <c r="CI583" s="39"/>
      <c r="CJ583" s="39"/>
      <c r="CK583" s="39"/>
      <c r="CL583" s="39"/>
      <c r="CM583" s="39"/>
      <c r="CN583" s="39"/>
      <c r="CO583" s="39"/>
      <c r="CP583" s="39"/>
      <c r="CQ583" s="39"/>
      <c r="CR583" s="39"/>
      <c r="CS583" s="39"/>
      <c r="CT583" s="39"/>
      <c r="CU583" s="39"/>
      <c r="CV583" s="39"/>
      <c r="CW583" s="39"/>
      <c r="CX583" s="39"/>
      <c r="CY583" s="39"/>
      <c r="CZ583" s="39"/>
      <c r="DA583" s="39"/>
      <c r="DB583" s="39"/>
      <c r="DC583" s="39"/>
      <c r="DD583" s="39"/>
      <c r="DE583" s="39"/>
      <c r="DF583" s="39"/>
      <c r="DG583" s="39"/>
      <c r="DH583" s="39"/>
      <c r="DI583" s="39"/>
    </row>
    <row r="584" spans="1:113">
      <c r="A584" s="41"/>
      <c r="B584" s="42" t="s">
        <v>556</v>
      </c>
      <c r="C584" s="48" t="str">
        <f t="shared" ref="C584:G589" si="142">C524</f>
        <v>HKBN</v>
      </c>
      <c r="D584" s="44" t="str">
        <f t="shared" si="142"/>
        <v>HKD 3</v>
      </c>
      <c r="E584" s="44" t="str">
        <f t="shared" si="142"/>
        <v>HKD 16</v>
      </c>
      <c r="F584" s="45">
        <f t="shared" si="142"/>
        <v>5.2256809338521402</v>
      </c>
      <c r="G584" s="44" t="str">
        <f t="shared" si="142"/>
        <v>Buy</v>
      </c>
      <c r="H584" s="46"/>
      <c r="I584" s="45">
        <f>HKBN!$D$31/HKBN!$D$29</f>
        <v>0.77212291378111308</v>
      </c>
      <c r="J584" s="45">
        <f>HKBN!$E$31/HKBN!$E$29</f>
        <v>0.78797997904366801</v>
      </c>
      <c r="K584" s="45">
        <f>HKBN!$F$31/HKBN!$F$29</f>
        <v>0.79763659833525391</v>
      </c>
      <c r="L584" s="45">
        <f>HKBN!$G$31/HKBN!$G$29</f>
        <v>0.81112065043088766</v>
      </c>
      <c r="M584" s="45">
        <f>L584-I584</f>
        <v>3.8997736649774573E-2</v>
      </c>
      <c r="N584" s="46"/>
      <c r="O584" s="45">
        <f>HKBN!$D$31/HKBN!$D$30</f>
        <v>3.0963519763442893</v>
      </c>
      <c r="P584" s="45">
        <f>HKBN!$E$31/HKBN!$E$30</f>
        <v>2.9505051991159608</v>
      </c>
      <c r="Q584" s="45">
        <f>HKBN!$F$31/HKBN!$F$30</f>
        <v>2.7569515367549173</v>
      </c>
      <c r="R584" s="45">
        <f>HKBN!$G$31/HKBN!$G$30</f>
        <v>2.6687637633823718</v>
      </c>
      <c r="S584" s="45">
        <f>R584-O584</f>
        <v>-0.42758821296191751</v>
      </c>
      <c r="T584" s="46"/>
      <c r="U584" s="48" t="str">
        <f t="shared" ref="U584:V589" si="143">U524</f>
        <v>HKD 3</v>
      </c>
      <c r="V584" s="69" t="str">
        <f t="shared" si="143"/>
        <v>HKBN</v>
      </c>
      <c r="AF584" s="39"/>
      <c r="AG584" s="39"/>
      <c r="AH584" s="39"/>
      <c r="AI584" s="39"/>
      <c r="AJ584" s="39"/>
      <c r="AK584" s="39"/>
      <c r="AL584" s="39"/>
      <c r="AM584" s="39"/>
      <c r="AN584" s="39"/>
      <c r="AO584" s="39"/>
      <c r="AP584" s="39"/>
      <c r="AQ584" s="39"/>
      <c r="AR584" s="39"/>
      <c r="AS584" s="39"/>
      <c r="AT584" s="39"/>
      <c r="AU584" s="39"/>
      <c r="AV584" s="39"/>
      <c r="AW584" s="39"/>
      <c r="AX584" s="39"/>
      <c r="AY584" s="39"/>
      <c r="AZ584" s="39"/>
      <c r="BA584" s="39"/>
      <c r="BB584" s="39"/>
      <c r="BC584" s="39"/>
      <c r="BD584" s="39"/>
      <c r="BE584" s="39"/>
      <c r="BF584" s="39"/>
      <c r="BG584" s="39"/>
      <c r="BH584" s="39"/>
      <c r="BI584" s="39"/>
      <c r="BJ584" s="39"/>
      <c r="BK584" s="39"/>
      <c r="BL584" s="39"/>
      <c r="BM584" s="39"/>
      <c r="BN584" s="39"/>
      <c r="BO584" s="39"/>
      <c r="BP584" s="39"/>
      <c r="BQ584" s="39"/>
      <c r="BR584" s="39"/>
      <c r="BS584" s="39"/>
      <c r="BT584" s="39"/>
      <c r="BU584" s="39"/>
      <c r="BV584" s="39"/>
      <c r="BW584" s="39"/>
      <c r="BX584" s="39"/>
      <c r="BY584" s="39"/>
      <c r="BZ584" s="39"/>
      <c r="CA584" s="39"/>
      <c r="CB584" s="39"/>
      <c r="CC584" s="39"/>
      <c r="CD584" s="39"/>
      <c r="CE584" s="39"/>
      <c r="CF584" s="39"/>
      <c r="CG584" s="39"/>
      <c r="CH584" s="39"/>
      <c r="CI584" s="39"/>
      <c r="CJ584" s="39"/>
      <c r="CK584" s="39"/>
      <c r="CL584" s="39"/>
      <c r="CM584" s="39"/>
      <c r="CN584" s="39"/>
      <c r="CO584" s="39"/>
      <c r="CP584" s="39"/>
      <c r="CQ584" s="39"/>
      <c r="CR584" s="39"/>
      <c r="CS584" s="39"/>
      <c r="CT584" s="39"/>
      <c r="CU584" s="39"/>
      <c r="CV584" s="39"/>
      <c r="CW584" s="39"/>
      <c r="CX584" s="39"/>
      <c r="CY584" s="39"/>
      <c r="CZ584" s="39"/>
      <c r="DA584" s="39"/>
      <c r="DB584" s="39"/>
      <c r="DC584" s="39"/>
      <c r="DD584" s="39"/>
      <c r="DE584" s="39"/>
      <c r="DF584" s="39"/>
      <c r="DG584" s="39"/>
      <c r="DH584" s="39"/>
      <c r="DI584" s="39"/>
    </row>
    <row r="585" spans="1:113">
      <c r="C585" s="48" t="str">
        <f t="shared" si="142"/>
        <v>KDDI</v>
      </c>
      <c r="D585" s="44" t="str">
        <f t="shared" si="142"/>
        <v>JPY 4,302</v>
      </c>
      <c r="E585" s="44" t="str">
        <f t="shared" si="142"/>
        <v>JPY 6,600</v>
      </c>
      <c r="F585" s="45">
        <f t="shared" si="142"/>
        <v>0.53417015341701535</v>
      </c>
      <c r="G585" s="44" t="str">
        <f t="shared" si="142"/>
        <v>Buy</v>
      </c>
      <c r="H585" s="46"/>
      <c r="I585" s="45">
        <f>KDDI!$D$31/KDDI!$D$29</f>
        <v>0.53056017496326646</v>
      </c>
      <c r="J585" s="45">
        <f>KDDI!$E$31/KDDI!$E$29</f>
        <v>0.43712519070531636</v>
      </c>
      <c r="K585" s="45">
        <f>KDDI!$F$31/KDDI!$F$29</f>
        <v>0.43849190960309981</v>
      </c>
      <c r="L585" s="45">
        <f>KDDI!$G$31/KDDI!$G$29</f>
        <v>0.41303647064520393</v>
      </c>
      <c r="M585" s="45">
        <f t="shared" ref="M585:M590" si="144">L585-I585</f>
        <v>-0.11752370431806253</v>
      </c>
      <c r="N585" s="46"/>
      <c r="O585" s="45">
        <f>KDDI!$D$31/KDDI!$D$30</f>
        <v>0.48951828722423885</v>
      </c>
      <c r="P585" s="45">
        <f>KDDI!$E$31/KDDI!$E$30</f>
        <v>0.48398366552261973</v>
      </c>
      <c r="Q585" s="45">
        <f>KDDI!$F$31/KDDI!$F$30</f>
        <v>0.46686524391385548</v>
      </c>
      <c r="R585" s="45">
        <f>KDDI!$G$31/KDDI!$G$30</f>
        <v>0.42528597220036768</v>
      </c>
      <c r="S585" s="45">
        <f t="shared" ref="S585:S590" si="145">R585-O585</f>
        <v>-6.4232315023871167E-2</v>
      </c>
      <c r="T585" s="46"/>
      <c r="U585" s="48" t="str">
        <f t="shared" si="143"/>
        <v>JPY 4,302</v>
      </c>
      <c r="V585" s="44" t="str">
        <f t="shared" si="143"/>
        <v>KDDI</v>
      </c>
      <c r="AF585" s="39"/>
      <c r="AG585" s="39"/>
      <c r="AH585" s="39"/>
      <c r="AI585" s="39"/>
      <c r="AJ585" s="39"/>
      <c r="AK585" s="39"/>
      <c r="AL585" s="39"/>
      <c r="AM585" s="39"/>
      <c r="AN585" s="39"/>
      <c r="AO585" s="39"/>
      <c r="AP585" s="39"/>
      <c r="AQ585" s="39"/>
      <c r="AR585" s="39"/>
      <c r="AS585" s="39"/>
      <c r="AT585" s="39"/>
      <c r="AU585" s="39"/>
      <c r="AV585" s="39"/>
      <c r="AW585" s="39"/>
      <c r="AX585" s="39"/>
      <c r="AY585" s="39"/>
      <c r="AZ585" s="39"/>
      <c r="BA585" s="39"/>
      <c r="BB585" s="39"/>
      <c r="BC585" s="39"/>
      <c r="BD585" s="39"/>
      <c r="BE585" s="39"/>
      <c r="BF585" s="39"/>
      <c r="BG585" s="39"/>
      <c r="BH585" s="39"/>
      <c r="BI585" s="39"/>
      <c r="BJ585" s="39"/>
      <c r="BK585" s="39"/>
      <c r="BL585" s="39"/>
      <c r="BM585" s="39"/>
      <c r="BN585" s="39"/>
      <c r="BO585" s="39"/>
      <c r="BP585" s="39"/>
      <c r="BQ585" s="39"/>
      <c r="BR585" s="39"/>
      <c r="BS585" s="39"/>
      <c r="BT585" s="39"/>
      <c r="BU585" s="39"/>
      <c r="BV585" s="39"/>
      <c r="BW585" s="39"/>
      <c r="BX585" s="39"/>
      <c r="BY585" s="39"/>
      <c r="BZ585" s="39"/>
      <c r="CA585" s="39"/>
      <c r="CB585" s="39"/>
      <c r="CC585" s="39"/>
      <c r="CD585" s="39"/>
      <c r="CE585" s="39"/>
      <c r="CF585" s="39"/>
      <c r="CG585" s="39"/>
      <c r="CH585" s="39"/>
      <c r="CI585" s="39"/>
      <c r="CJ585" s="39"/>
      <c r="CK585" s="39"/>
      <c r="CL585" s="39"/>
      <c r="CM585" s="39"/>
      <c r="CN585" s="39"/>
      <c r="CO585" s="39"/>
      <c r="CP585" s="39"/>
      <c r="CQ585" s="39"/>
      <c r="CR585" s="39"/>
      <c r="CS585" s="39"/>
      <c r="CT585" s="39"/>
      <c r="CU585" s="39"/>
      <c r="CV585" s="39"/>
      <c r="CW585" s="39"/>
      <c r="CX585" s="39"/>
      <c r="CY585" s="39"/>
      <c r="CZ585" s="39"/>
      <c r="DA585" s="39"/>
      <c r="DB585" s="39"/>
      <c r="DC585" s="39"/>
      <c r="DD585" s="39"/>
      <c r="DE585" s="39"/>
      <c r="DF585" s="39"/>
      <c r="DG585" s="39"/>
      <c r="DH585" s="39"/>
      <c r="DI585" s="39"/>
    </row>
    <row r="586" spans="1:113">
      <c r="A586" s="41"/>
      <c r="C586" s="48" t="str">
        <f t="shared" si="142"/>
        <v>Macquarie Telecom</v>
      </c>
      <c r="D586" s="44" t="str">
        <f t="shared" si="142"/>
        <v>AUD 85.20</v>
      </c>
      <c r="E586" s="44" t="str">
        <f t="shared" si="142"/>
        <v>AUD 28.00</v>
      </c>
      <c r="F586" s="45">
        <f t="shared" si="142"/>
        <v>-0.67136150234741787</v>
      </c>
      <c r="G586" s="44" t="str">
        <f t="shared" si="142"/>
        <v>Neutral</v>
      </c>
      <c r="H586" s="46"/>
      <c r="I586" s="45">
        <f>MAQ!$D$31/MAQ!$D$29</f>
        <v>0</v>
      </c>
      <c r="J586" s="45">
        <f>MAQ!$E$31/MAQ!$E$29</f>
        <v>0.21644284491816676</v>
      </c>
      <c r="K586" s="45">
        <f>MAQ!$F$31/MAQ!$F$29</f>
        <v>0.3445675998761783</v>
      </c>
      <c r="L586" s="45">
        <f>MAQ!$G$31/MAQ!$G$29</f>
        <v>0.29857489669301807</v>
      </c>
      <c r="M586" s="45">
        <f>L586-I586</f>
        <v>0.29857489669301807</v>
      </c>
      <c r="N586" s="46"/>
      <c r="O586" s="45">
        <f>MAQ!$D$31/MAQ!$D$30</f>
        <v>0</v>
      </c>
      <c r="P586" s="45">
        <f>MAQ!$E$31/MAQ!$E$30</f>
        <v>0.27784171710725131</v>
      </c>
      <c r="Q586" s="45">
        <f>MAQ!$F$31/MAQ!$F$30</f>
        <v>0.4791387955086267</v>
      </c>
      <c r="R586" s="45">
        <f>MAQ!$G$31/MAQ!$G$30</f>
        <v>0.49267992943522398</v>
      </c>
      <c r="S586" s="45">
        <f>R586-O586</f>
        <v>0.49267992943522398</v>
      </c>
      <c r="T586" s="46"/>
      <c r="U586" s="48" t="str">
        <f t="shared" si="143"/>
        <v>AUD 85.20</v>
      </c>
      <c r="V586" s="69" t="str">
        <f t="shared" si="143"/>
        <v>Macquarie Telecom</v>
      </c>
      <c r="AF586" s="39"/>
      <c r="AG586" s="39"/>
      <c r="AH586" s="39"/>
      <c r="AI586" s="39"/>
      <c r="AJ586" s="39"/>
      <c r="AK586" s="39"/>
      <c r="AL586" s="39"/>
      <c r="AM586" s="39"/>
      <c r="AN586" s="39"/>
      <c r="AO586" s="39"/>
      <c r="AP586" s="39"/>
      <c r="AQ586" s="39"/>
      <c r="AR586" s="39"/>
      <c r="AS586" s="39"/>
      <c r="AT586" s="39"/>
      <c r="AU586" s="39"/>
      <c r="AV586" s="39"/>
      <c r="AW586" s="39"/>
      <c r="AX586" s="39"/>
      <c r="AY586" s="39"/>
      <c r="AZ586" s="39"/>
      <c r="BA586" s="39"/>
      <c r="BB586" s="39"/>
      <c r="BC586" s="39"/>
      <c r="BD586" s="39"/>
      <c r="BE586" s="39"/>
      <c r="BF586" s="39"/>
      <c r="BG586" s="39"/>
      <c r="BH586" s="39"/>
      <c r="BI586" s="39"/>
      <c r="BJ586" s="39"/>
      <c r="BK586" s="39"/>
      <c r="BL586" s="39"/>
      <c r="BM586" s="39"/>
      <c r="BN586" s="39"/>
      <c r="BO586" s="39"/>
      <c r="BP586" s="39"/>
      <c r="BQ586" s="39"/>
      <c r="BR586" s="39"/>
      <c r="BS586" s="39"/>
      <c r="BT586" s="39"/>
      <c r="BU586" s="39"/>
      <c r="BV586" s="39"/>
      <c r="BW586" s="39"/>
      <c r="BX586" s="39"/>
      <c r="BY586" s="39"/>
      <c r="BZ586" s="39"/>
      <c r="CA586" s="39"/>
      <c r="CB586" s="39"/>
      <c r="CC586" s="39"/>
      <c r="CD586" s="39"/>
      <c r="CE586" s="39"/>
      <c r="CF586" s="39"/>
      <c r="CG586" s="39"/>
      <c r="CH586" s="39"/>
      <c r="CI586" s="39"/>
      <c r="CJ586" s="39"/>
      <c r="CK586" s="39"/>
      <c r="CL586" s="39"/>
      <c r="CM586" s="39"/>
      <c r="CN586" s="39"/>
      <c r="CO586" s="39"/>
      <c r="CP586" s="39"/>
      <c r="CQ586" s="39"/>
      <c r="CR586" s="39"/>
      <c r="CS586" s="39"/>
      <c r="CT586" s="39"/>
      <c r="CU586" s="39"/>
      <c r="CV586" s="39"/>
      <c r="CW586" s="39"/>
      <c r="CX586" s="39"/>
      <c r="CY586" s="39"/>
      <c r="CZ586" s="39"/>
      <c r="DA586" s="39"/>
      <c r="DB586" s="39"/>
      <c r="DC586" s="39"/>
      <c r="DD586" s="39"/>
      <c r="DE586" s="39"/>
      <c r="DF586" s="39"/>
      <c r="DG586" s="39"/>
      <c r="DH586" s="39"/>
      <c r="DI586" s="39"/>
    </row>
    <row r="587" spans="1:113">
      <c r="C587" s="48" t="str">
        <f t="shared" si="142"/>
        <v>Rakuten</v>
      </c>
      <c r="D587" s="44" t="str">
        <f t="shared" si="142"/>
        <v>JPY 776</v>
      </c>
      <c r="E587" s="44" t="str">
        <f t="shared" si="142"/>
        <v>JPY 400</v>
      </c>
      <c r="F587" s="45">
        <f t="shared" si="142"/>
        <v>-0.48446964815053484</v>
      </c>
      <c r="G587" s="44" t="str">
        <f t="shared" si="142"/>
        <v>Reduce</v>
      </c>
      <c r="H587" s="46"/>
      <c r="I587" s="45">
        <f>RAK!$D$31/RAK!$D$29</f>
        <v>0</v>
      </c>
      <c r="J587" s="45">
        <f>RAK!$E$31/RAK!$E$29</f>
        <v>0</v>
      </c>
      <c r="K587" s="45">
        <f>RAK!$F$31/RAK!$F$29</f>
        <v>0</v>
      </c>
      <c r="L587" s="45">
        <f>RAK!$G$31/RAK!$G$29</f>
        <v>0</v>
      </c>
      <c r="M587" s="45">
        <f>L587-I587</f>
        <v>0</v>
      </c>
      <c r="N587" s="46"/>
      <c r="O587" s="45">
        <f>RAK!$D$31/RAK!$D$30</f>
        <v>0</v>
      </c>
      <c r="P587" s="45">
        <f>RAK!$E$31/RAK!$E$30</f>
        <v>0</v>
      </c>
      <c r="Q587" s="45">
        <f>RAK!$F$31/RAK!$F$30</f>
        <v>0</v>
      </c>
      <c r="R587" s="45">
        <f>RAK!$G$31/RAK!$G$30</f>
        <v>0</v>
      </c>
      <c r="S587" s="45">
        <f>R587-O587</f>
        <v>0</v>
      </c>
      <c r="T587" s="46"/>
      <c r="U587" s="48" t="str">
        <f t="shared" si="143"/>
        <v>JPY 776</v>
      </c>
      <c r="V587" s="44" t="str">
        <f t="shared" si="143"/>
        <v>Rakuten</v>
      </c>
      <c r="AF587" s="39"/>
      <c r="AG587" s="39"/>
      <c r="AH587" s="39"/>
      <c r="AI587" s="39"/>
      <c r="AJ587" s="39"/>
      <c r="AK587" s="39"/>
      <c r="AL587" s="39"/>
      <c r="AM587" s="39"/>
      <c r="AN587" s="39"/>
      <c r="AO587" s="39"/>
      <c r="AP587" s="39"/>
      <c r="AQ587" s="39"/>
      <c r="AR587" s="39"/>
      <c r="AS587" s="39"/>
      <c r="AT587" s="39"/>
      <c r="AU587" s="39"/>
      <c r="AV587" s="39"/>
      <c r="AW587" s="39"/>
      <c r="AX587" s="39"/>
      <c r="AY587" s="39"/>
      <c r="AZ587" s="39"/>
      <c r="BA587" s="39"/>
      <c r="BB587" s="39"/>
      <c r="BC587" s="39"/>
      <c r="BD587" s="39"/>
      <c r="BE587" s="39"/>
      <c r="BF587" s="39"/>
      <c r="BG587" s="39"/>
      <c r="BH587" s="39"/>
      <c r="BI587" s="39"/>
      <c r="BJ587" s="39"/>
      <c r="BK587" s="39"/>
      <c r="BL587" s="39"/>
      <c r="BM587" s="39"/>
      <c r="BN587" s="39"/>
      <c r="BO587" s="39"/>
      <c r="BP587" s="39"/>
      <c r="BQ587" s="39"/>
      <c r="BR587" s="39"/>
      <c r="BS587" s="39"/>
      <c r="BT587" s="39"/>
      <c r="BU587" s="39"/>
      <c r="BV587" s="39"/>
      <c r="BW587" s="39"/>
      <c r="BX587" s="39"/>
      <c r="BY587" s="39"/>
      <c r="BZ587" s="39"/>
      <c r="CA587" s="39"/>
      <c r="CB587" s="39"/>
      <c r="CC587" s="39"/>
      <c r="CD587" s="39"/>
      <c r="CE587" s="39"/>
      <c r="CF587" s="39"/>
      <c r="CG587" s="39"/>
      <c r="CH587" s="39"/>
      <c r="CI587" s="39"/>
      <c r="CJ587" s="39"/>
      <c r="CK587" s="39"/>
      <c r="CL587" s="39"/>
      <c r="CM587" s="39"/>
      <c r="CN587" s="39"/>
      <c r="CO587" s="39"/>
      <c r="CP587" s="39"/>
      <c r="CQ587" s="39"/>
      <c r="CR587" s="39"/>
      <c r="CS587" s="39"/>
      <c r="CT587" s="39"/>
      <c r="CU587" s="39"/>
      <c r="CV587" s="39"/>
      <c r="CW587" s="39"/>
      <c r="CX587" s="39"/>
      <c r="CY587" s="39"/>
      <c r="CZ587" s="39"/>
      <c r="DA587" s="39"/>
      <c r="DB587" s="39"/>
      <c r="DC587" s="39"/>
      <c r="DD587" s="39"/>
      <c r="DE587" s="39"/>
      <c r="DF587" s="39"/>
      <c r="DG587" s="39"/>
      <c r="DH587" s="39"/>
      <c r="DI587" s="39"/>
    </row>
    <row r="588" spans="1:113">
      <c r="C588" s="48" t="str">
        <f t="shared" si="142"/>
        <v>SoftBank KK (Corp)</v>
      </c>
      <c r="D588" s="44" t="str">
        <f t="shared" si="142"/>
        <v>JPY 1,898</v>
      </c>
      <c r="E588" s="44" t="str">
        <f t="shared" si="142"/>
        <v>JPY 2,500</v>
      </c>
      <c r="F588" s="45">
        <f t="shared" si="142"/>
        <v>0.31752305665349145</v>
      </c>
      <c r="G588" s="44" t="str">
        <f t="shared" si="142"/>
        <v>Buy</v>
      </c>
      <c r="H588" s="46"/>
      <c r="I588" s="45">
        <f>SBKK!$D$31/SBKK!$D$29</f>
        <v>0.59337850426674466</v>
      </c>
      <c r="J588" s="45">
        <f>SBKK!$E$31/SBKK!$E$29</f>
        <v>0.54893448140036083</v>
      </c>
      <c r="K588" s="45">
        <f>SBKK!$F$31/SBKK!$F$29</f>
        <v>0.54949492542618872</v>
      </c>
      <c r="L588" s="45">
        <f>SBKK!$G$31/SBKK!$G$29</f>
        <v>0.54635741735870591</v>
      </c>
      <c r="M588" s="45">
        <f t="shared" si="144"/>
        <v>-4.7021086908038745E-2</v>
      </c>
      <c r="N588" s="46"/>
      <c r="O588" s="45">
        <f>SBKK!$D$31/SBKK!$D$30</f>
        <v>0.83157932305521487</v>
      </c>
      <c r="P588" s="45">
        <f>SBKK!$E$31/SBKK!$E$30</f>
        <v>0.80351280222933041</v>
      </c>
      <c r="Q588" s="45">
        <f>SBKK!$F$31/SBKK!$F$30</f>
        <v>0.79999999999999993</v>
      </c>
      <c r="R588" s="45">
        <f>SBKK!$G$31/SBKK!$G$30</f>
        <v>0.8</v>
      </c>
      <c r="S588" s="45">
        <f t="shared" si="145"/>
        <v>-3.1579323055214825E-2</v>
      </c>
      <c r="T588" s="46"/>
      <c r="U588" s="48" t="str">
        <f t="shared" si="143"/>
        <v>JPY 1,898</v>
      </c>
      <c r="V588" s="44" t="str">
        <f t="shared" si="143"/>
        <v>SoftBank KK (Corp)</v>
      </c>
      <c r="AF588" s="39"/>
      <c r="AG588" s="39"/>
      <c r="AH588" s="39"/>
      <c r="AI588" s="39"/>
      <c r="AJ588" s="39"/>
      <c r="AK588" s="39"/>
      <c r="AL588" s="39"/>
      <c r="AM588" s="39"/>
      <c r="AN588" s="39"/>
      <c r="AO588" s="39"/>
      <c r="AP588" s="39"/>
      <c r="AQ588" s="39"/>
      <c r="AR588" s="39"/>
      <c r="AS588" s="39"/>
      <c r="AT588" s="39"/>
      <c r="AU588" s="39"/>
      <c r="AV588" s="39"/>
      <c r="AW588" s="39"/>
      <c r="AX588" s="39"/>
      <c r="AY588" s="39"/>
      <c r="AZ588" s="39"/>
      <c r="BA588" s="39"/>
      <c r="BB588" s="39"/>
      <c r="BC588" s="39"/>
      <c r="BD588" s="39"/>
      <c r="BE588" s="39"/>
      <c r="BF588" s="39"/>
      <c r="BG588" s="39"/>
      <c r="BH588" s="39"/>
      <c r="BI588" s="39"/>
      <c r="BJ588" s="39"/>
      <c r="BK588" s="39"/>
      <c r="BL588" s="39"/>
      <c r="BM588" s="39"/>
      <c r="BN588" s="39"/>
      <c r="BO588" s="39"/>
      <c r="BP588" s="39"/>
      <c r="BQ588" s="39"/>
      <c r="BR588" s="39"/>
      <c r="BS588" s="39"/>
      <c r="BT588" s="39"/>
      <c r="BU588" s="39"/>
      <c r="BV588" s="39"/>
      <c r="BW588" s="39"/>
      <c r="BX588" s="39"/>
      <c r="BY588" s="39"/>
      <c r="BZ588" s="39"/>
      <c r="CA588" s="39"/>
      <c r="CB588" s="39"/>
      <c r="CC588" s="39"/>
      <c r="CD588" s="39"/>
      <c r="CE588" s="39"/>
      <c r="CF588" s="39"/>
      <c r="CG588" s="39"/>
      <c r="CH588" s="39"/>
      <c r="CI588" s="39"/>
      <c r="CJ588" s="39"/>
      <c r="CK588" s="39"/>
      <c r="CL588" s="39"/>
      <c r="CM588" s="39"/>
      <c r="CN588" s="39"/>
      <c r="CO588" s="39"/>
      <c r="CP588" s="39"/>
      <c r="CQ588" s="39"/>
      <c r="CR588" s="39"/>
      <c r="CS588" s="39"/>
      <c r="CT588" s="39"/>
      <c r="CU588" s="39"/>
      <c r="CV588" s="39"/>
      <c r="CW588" s="39"/>
      <c r="CX588" s="39"/>
      <c r="CY588" s="39"/>
      <c r="CZ588" s="39"/>
      <c r="DA588" s="39"/>
      <c r="DB588" s="39"/>
      <c r="DC588" s="39"/>
      <c r="DD588" s="39"/>
      <c r="DE588" s="39"/>
      <c r="DF588" s="39"/>
      <c r="DG588" s="39"/>
      <c r="DH588" s="39"/>
      <c r="DI588" s="39"/>
    </row>
    <row r="589" spans="1:113">
      <c r="A589" s="41"/>
      <c r="C589" s="48" t="str">
        <f t="shared" si="142"/>
        <v>TPG</v>
      </c>
      <c r="D589" s="44" t="str">
        <f t="shared" si="142"/>
        <v>AUD 4.60</v>
      </c>
      <c r="E589" s="44" t="str">
        <f t="shared" si="142"/>
        <v>AUD 7.50</v>
      </c>
      <c r="F589" s="45">
        <f t="shared" si="142"/>
        <v>0.63043478260869579</v>
      </c>
      <c r="G589" s="44" t="str">
        <f t="shared" si="142"/>
        <v>Neutral</v>
      </c>
      <c r="H589" s="46"/>
      <c r="I589" s="45">
        <f>TPG!$D$31/TPG!$D$29</f>
        <v>0.47271961947656349</v>
      </c>
      <c r="J589" s="45">
        <f>TPG!$E$31/TPG!$E$29</f>
        <v>0.46258474184744919</v>
      </c>
      <c r="K589" s="45">
        <f>TPG!$F$31/TPG!$F$29</f>
        <v>0.54467129302190564</v>
      </c>
      <c r="L589" s="45">
        <f>TPG!$G$31/TPG!$G$29</f>
        <v>0.54264804997646732</v>
      </c>
      <c r="M589" s="45">
        <f>L589-I589</f>
        <v>6.9928430499903826E-2</v>
      </c>
      <c r="N589" s="46"/>
      <c r="O589" s="45">
        <f>TPG!$D$31/TPG!$D$30</f>
        <v>0.42116811147324357</v>
      </c>
      <c r="P589" s="45">
        <f>TPG!$E$31/TPG!$E$30</f>
        <v>0.45344299556920259</v>
      </c>
      <c r="Q589" s="45">
        <f>TPG!$F$31/TPG!$F$30</f>
        <v>0.45795800006309251</v>
      </c>
      <c r="R589" s="45">
        <f>TPG!$G$31/TPG!$G$30</f>
        <v>0.46777248851637748</v>
      </c>
      <c r="S589" s="45">
        <f>R589-O589</f>
        <v>4.6604377043133915E-2</v>
      </c>
      <c r="T589" s="46"/>
      <c r="U589" s="48" t="str">
        <f t="shared" si="143"/>
        <v>AUD 4.60</v>
      </c>
      <c r="V589" s="44" t="str">
        <f t="shared" si="143"/>
        <v>TPG</v>
      </c>
      <c r="AF589" s="39"/>
      <c r="AG589" s="39"/>
      <c r="AH589" s="39"/>
      <c r="AI589" s="39"/>
      <c r="AJ589" s="39"/>
      <c r="AK589" s="39"/>
      <c r="AL589" s="39"/>
      <c r="AM589" s="39"/>
      <c r="AN589" s="39"/>
      <c r="AO589" s="39"/>
      <c r="AP589" s="39"/>
      <c r="AQ589" s="39"/>
      <c r="AR589" s="39"/>
      <c r="AS589" s="39"/>
      <c r="AT589" s="39"/>
      <c r="AU589" s="39"/>
      <c r="AV589" s="39"/>
      <c r="AW589" s="39"/>
      <c r="AX589" s="39"/>
      <c r="AY589" s="39"/>
      <c r="AZ589" s="39"/>
      <c r="BA589" s="39"/>
      <c r="BB589" s="39"/>
      <c r="BC589" s="39"/>
      <c r="BD589" s="39"/>
      <c r="BE589" s="39"/>
      <c r="BF589" s="39"/>
      <c r="BG589" s="39"/>
      <c r="BH589" s="39"/>
      <c r="BI589" s="39"/>
      <c r="BJ589" s="39"/>
      <c r="BK589" s="39"/>
      <c r="BL589" s="39"/>
      <c r="BM589" s="39"/>
      <c r="BN589" s="39"/>
      <c r="BO589" s="39"/>
      <c r="BP589" s="39"/>
      <c r="BQ589" s="39"/>
      <c r="BR589" s="39"/>
      <c r="BS589" s="39"/>
      <c r="BT589" s="39"/>
      <c r="BU589" s="39"/>
      <c r="BV589" s="39"/>
      <c r="BW589" s="39"/>
      <c r="BX589" s="39"/>
      <c r="BY589" s="39"/>
      <c r="BZ589" s="39"/>
      <c r="CA589" s="39"/>
      <c r="CB589" s="39"/>
      <c r="CC589" s="39"/>
      <c r="CD589" s="39"/>
      <c r="CE589" s="39"/>
      <c r="CF589" s="39"/>
      <c r="CG589" s="39"/>
      <c r="CH589" s="39"/>
      <c r="CI589" s="39"/>
      <c r="CJ589" s="39"/>
      <c r="CK589" s="39"/>
      <c r="CL589" s="39"/>
      <c r="CM589" s="39"/>
      <c r="CN589" s="39"/>
      <c r="CO589" s="39"/>
      <c r="CP589" s="39"/>
      <c r="CQ589" s="39"/>
      <c r="CR589" s="39"/>
      <c r="CS589" s="39"/>
      <c r="CT589" s="39"/>
      <c r="CU589" s="39"/>
      <c r="CV589" s="39"/>
      <c r="CW589" s="39"/>
      <c r="CX589" s="39"/>
      <c r="CY589" s="39"/>
      <c r="CZ589" s="39"/>
      <c r="DA589" s="39"/>
      <c r="DB589" s="39"/>
      <c r="DC589" s="39"/>
      <c r="DD589" s="39"/>
      <c r="DE589" s="39"/>
      <c r="DF589" s="39"/>
      <c r="DG589" s="39"/>
      <c r="DH589" s="39"/>
      <c r="DI589" s="39"/>
    </row>
    <row r="590" spans="1:113">
      <c r="C590" s="51" t="str">
        <f>C530</f>
        <v>Agg. Developed Asia Other</v>
      </c>
      <c r="D590" s="52"/>
      <c r="E590" s="52"/>
      <c r="F590" s="53"/>
      <c r="G590" s="52"/>
      <c r="H590" s="46"/>
      <c r="I590" s="55">
        <f>'DM ASIA OTHER'!$D$31/'DM ASIA OTHER'!$D$29</f>
        <v>0.8133255445584151</v>
      </c>
      <c r="J590" s="55">
        <f>'DM ASIA OTHER'!$E$31/'DM ASIA OTHER'!$E$29</f>
        <v>0.57216139328324611</v>
      </c>
      <c r="K590" s="55">
        <f>'DM ASIA OTHER'!$F$31/'DM ASIA OTHER'!$F$29</f>
        <v>0.56427885109408016</v>
      </c>
      <c r="L590" s="55">
        <f>'DM ASIA OTHER'!$G$31/'DM ASIA OTHER'!$G$29</f>
        <v>0.55924314359302019</v>
      </c>
      <c r="M590" s="55">
        <f t="shared" si="144"/>
        <v>-0.25408240096539492</v>
      </c>
      <c r="N590" s="56"/>
      <c r="O590" s="55">
        <f>'DM ASIA OTHER'!$D$31/'DM ASIA OTHER'!$D$30</f>
        <v>0.90940543466232404</v>
      </c>
      <c r="P590" s="55">
        <f>'DM ASIA OTHER'!$E$31/'DM ASIA OTHER'!$E$30</f>
        <v>0.7581658425107709</v>
      </c>
      <c r="Q590" s="55">
        <f>'DM ASIA OTHER'!$F$31/'DM ASIA OTHER'!$F$30</f>
        <v>0.72414248025069861</v>
      </c>
      <c r="R590" s="55">
        <f>'DM ASIA OTHER'!$G$31/'DM ASIA OTHER'!$G$30</f>
        <v>0.6826031184994461</v>
      </c>
      <c r="S590" s="55">
        <f t="shared" si="145"/>
        <v>-0.22680231616287794</v>
      </c>
      <c r="T590" s="46"/>
      <c r="U590" s="57"/>
      <c r="V590" s="58" t="str">
        <f>V530</f>
        <v>Agg. Developed Asia Cellular</v>
      </c>
      <c r="AF590" s="39"/>
      <c r="AG590" s="39"/>
      <c r="AH590" s="39"/>
      <c r="AI590" s="39"/>
      <c r="AJ590" s="39"/>
      <c r="AK590" s="39"/>
      <c r="AL590" s="39"/>
      <c r="AM590" s="39"/>
      <c r="AN590" s="39"/>
      <c r="AO590" s="39"/>
      <c r="AP590" s="39"/>
      <c r="AQ590" s="39"/>
      <c r="AR590" s="39"/>
      <c r="AS590" s="39"/>
      <c r="AT590" s="39"/>
      <c r="AU590" s="39"/>
      <c r="AV590" s="39"/>
      <c r="AW590" s="39"/>
      <c r="AX590" s="39"/>
      <c r="AY590" s="39"/>
      <c r="AZ590" s="39"/>
      <c r="BA590" s="39"/>
      <c r="BB590" s="39"/>
      <c r="BC590" s="39"/>
      <c r="BD590" s="39"/>
      <c r="BE590" s="39"/>
      <c r="BF590" s="39"/>
      <c r="BG590" s="39"/>
      <c r="BH590" s="39"/>
      <c r="BI590" s="39"/>
      <c r="BJ590" s="39"/>
      <c r="BK590" s="39"/>
      <c r="BL590" s="39"/>
      <c r="BM590" s="39"/>
      <c r="BN590" s="39"/>
      <c r="BO590" s="39"/>
      <c r="BP590" s="39"/>
      <c r="BQ590" s="39"/>
      <c r="BR590" s="39"/>
      <c r="BS590" s="39"/>
      <c r="BT590" s="39"/>
      <c r="BU590" s="39"/>
      <c r="BV590" s="39"/>
      <c r="BW590" s="39"/>
      <c r="BX590" s="39"/>
      <c r="BY590" s="39"/>
      <c r="BZ590" s="39"/>
      <c r="CA590" s="39"/>
      <c r="CB590" s="39"/>
      <c r="CC590" s="39"/>
      <c r="CD590" s="39"/>
      <c r="CE590" s="39"/>
      <c r="CF590" s="39"/>
      <c r="CG590" s="39"/>
      <c r="CH590" s="39"/>
      <c r="CI590" s="39"/>
      <c r="CJ590" s="39"/>
      <c r="CK590" s="39"/>
      <c r="CL590" s="39"/>
      <c r="CM590" s="39"/>
      <c r="CN590" s="39"/>
      <c r="CO590" s="39"/>
      <c r="CP590" s="39"/>
      <c r="CQ590" s="39"/>
      <c r="CR590" s="39"/>
      <c r="CS590" s="39"/>
      <c r="CT590" s="39"/>
      <c r="CU590" s="39"/>
      <c r="CV590" s="39"/>
      <c r="CW590" s="39"/>
      <c r="CX590" s="39"/>
      <c r="CY590" s="39"/>
      <c r="CZ590" s="39"/>
      <c r="DA590" s="39"/>
      <c r="DB590" s="39"/>
      <c r="DC590" s="39"/>
      <c r="DD590" s="39"/>
      <c r="DE590" s="39"/>
      <c r="DF590" s="39"/>
      <c r="DG590" s="39"/>
      <c r="DH590" s="39"/>
      <c r="DI590" s="39"/>
    </row>
    <row r="591" spans="1:113">
      <c r="A591" s="41"/>
      <c r="C591" s="48"/>
      <c r="D591" s="44"/>
      <c r="E591" s="44"/>
      <c r="F591" s="45"/>
      <c r="G591" s="44"/>
      <c r="H591" s="46"/>
      <c r="I591" s="45"/>
      <c r="J591" s="45"/>
      <c r="K591" s="45"/>
      <c r="L591" s="45"/>
      <c r="M591" s="45"/>
      <c r="N591" s="46"/>
      <c r="O591" s="45"/>
      <c r="P591" s="45"/>
      <c r="Q591" s="45"/>
      <c r="R591" s="45"/>
      <c r="S591" s="45"/>
      <c r="T591" s="46"/>
      <c r="U591" s="48"/>
      <c r="V591" s="44"/>
      <c r="AF591" s="39"/>
      <c r="AG591" s="39"/>
      <c r="AH591" s="39"/>
      <c r="AI591" s="39"/>
      <c r="AJ591" s="39"/>
      <c r="AK591" s="39"/>
      <c r="AL591" s="39"/>
      <c r="AM591" s="39"/>
      <c r="AN591" s="39"/>
      <c r="AO591" s="39"/>
      <c r="AP591" s="39"/>
      <c r="AQ591" s="39"/>
      <c r="AR591" s="39"/>
      <c r="AS591" s="39"/>
      <c r="AT591" s="39"/>
      <c r="AU591" s="39"/>
      <c r="AV591" s="39"/>
      <c r="AW591" s="39"/>
      <c r="AX591" s="39"/>
      <c r="AY591" s="39"/>
      <c r="AZ591" s="39"/>
      <c r="BA591" s="39"/>
      <c r="BB591" s="39"/>
      <c r="BC591" s="39"/>
      <c r="BD591" s="39"/>
      <c r="BE591" s="39"/>
      <c r="BF591" s="39"/>
      <c r="BG591" s="39"/>
      <c r="BH591" s="39"/>
      <c r="BI591" s="39"/>
      <c r="BJ591" s="39"/>
      <c r="BK591" s="39"/>
      <c r="BL591" s="39"/>
      <c r="BM591" s="39"/>
      <c r="BN591" s="39"/>
      <c r="BO591" s="39"/>
      <c r="BP591" s="39"/>
      <c r="BQ591" s="39"/>
      <c r="BR591" s="39"/>
      <c r="BS591" s="39"/>
      <c r="BT591" s="39"/>
      <c r="BU591" s="39"/>
      <c r="BV591" s="39"/>
      <c r="BW591" s="39"/>
      <c r="BX591" s="39"/>
      <c r="BY591" s="39"/>
      <c r="BZ591" s="39"/>
      <c r="CA591" s="39"/>
      <c r="CB591" s="39"/>
      <c r="CC591" s="39"/>
      <c r="CD591" s="39"/>
      <c r="CE591" s="39"/>
      <c r="CF591" s="39"/>
      <c r="CG591" s="39"/>
      <c r="CH591" s="39"/>
      <c r="CI591" s="39"/>
      <c r="CJ591" s="39"/>
      <c r="CK591" s="39"/>
      <c r="CL591" s="39"/>
      <c r="CM591" s="39"/>
      <c r="CN591" s="39"/>
      <c r="CO591" s="39"/>
      <c r="CP591" s="39"/>
      <c r="CQ591" s="39"/>
      <c r="CR591" s="39"/>
      <c r="CS591" s="39"/>
      <c r="CT591" s="39"/>
      <c r="CU591" s="39"/>
      <c r="CV591" s="39"/>
      <c r="CW591" s="39"/>
      <c r="CX591" s="39"/>
      <c r="CY591" s="39"/>
      <c r="CZ591" s="39"/>
      <c r="DA591" s="39"/>
      <c r="DB591" s="39"/>
      <c r="DC591" s="39"/>
      <c r="DD591" s="39"/>
      <c r="DE591" s="39"/>
      <c r="DF591" s="39"/>
      <c r="DG591" s="39"/>
      <c r="DH591" s="39"/>
      <c r="DI591" s="39"/>
    </row>
    <row r="592" spans="1:113">
      <c r="A592" s="41"/>
      <c r="B592" s="42" t="s">
        <v>519</v>
      </c>
      <c r="C592" s="48" t="str">
        <f>C532</f>
        <v>Altice US</v>
      </c>
      <c r="D592" s="44" t="str">
        <f>D532</f>
        <v>US$2.3</v>
      </c>
      <c r="E592" s="44" t="str">
        <f>E532</f>
        <v>US$4.0</v>
      </c>
      <c r="F592" s="45">
        <f>F532</f>
        <v>0.71673819742489275</v>
      </c>
      <c r="G592" s="44" t="str">
        <f>G532</f>
        <v>Neutral</v>
      </c>
      <c r="H592" s="46"/>
      <c r="I592" s="45">
        <f>ATCUS!$D$31/ATCUS!$D$29</f>
        <v>0</v>
      </c>
      <c r="J592" s="45">
        <f>ATCUS!$E$31/ATCUS!$E$29</f>
        <v>0</v>
      </c>
      <c r="K592" s="45">
        <f>ATCUS!$F$31/ATCUS!$F$29</f>
        <v>0</v>
      </c>
      <c r="L592" s="45">
        <f>ATCUS!$G$31/ATCUS!$G$29</f>
        <v>0</v>
      </c>
      <c r="M592" s="45">
        <f t="shared" ref="M592:M597" si="146">L592-I592</f>
        <v>0</v>
      </c>
      <c r="N592" s="46"/>
      <c r="O592" s="45">
        <f>ATCUS!$D$31/ATCUS!$D$30</f>
        <v>0</v>
      </c>
      <c r="P592" s="45">
        <f>ATCUS!$E$31/ATCUS!$E$30</f>
        <v>0</v>
      </c>
      <c r="Q592" s="45">
        <f>ATCUS!$F$31/ATCUS!$F$30</f>
        <v>0</v>
      </c>
      <c r="R592" s="45">
        <f>ATCUS!$G$31/ATCUS!$G$30</f>
        <v>0</v>
      </c>
      <c r="S592" s="45">
        <f t="shared" ref="S592:S597" si="147">R592-O592</f>
        <v>0</v>
      </c>
      <c r="T592" s="46"/>
      <c r="U592" s="48" t="str">
        <f>D592</f>
        <v>US$2.3</v>
      </c>
      <c r="V592" s="44" t="str">
        <f t="shared" ref="V592:V597" si="148">C592</f>
        <v>Altice US</v>
      </c>
      <c r="AF592" s="39"/>
      <c r="AG592" s="39"/>
      <c r="AH592" s="39"/>
      <c r="AI592" s="39"/>
      <c r="AJ592" s="39"/>
      <c r="AK592" s="39"/>
      <c r="AL592" s="39"/>
      <c r="AM592" s="39"/>
      <c r="AN592" s="39"/>
      <c r="AO592" s="39"/>
      <c r="AP592" s="39"/>
      <c r="AQ592" s="39"/>
      <c r="AR592" s="39"/>
      <c r="AS592" s="39"/>
      <c r="AT592" s="39"/>
      <c r="AU592" s="39"/>
      <c r="AV592" s="39"/>
      <c r="AW592" s="39"/>
      <c r="AX592" s="39"/>
      <c r="AY592" s="39"/>
      <c r="AZ592" s="39"/>
      <c r="BA592" s="39"/>
      <c r="BB592" s="39"/>
      <c r="BC592" s="39"/>
      <c r="BD592" s="39"/>
      <c r="BE592" s="39"/>
      <c r="BF592" s="39"/>
      <c r="BG592" s="39"/>
      <c r="BH592" s="39"/>
      <c r="BI592" s="39"/>
      <c r="BJ592" s="39"/>
      <c r="BK592" s="39"/>
      <c r="BL592" s="39"/>
      <c r="BM592" s="39"/>
      <c r="BN592" s="39"/>
      <c r="BO592" s="39"/>
      <c r="BP592" s="39"/>
      <c r="BQ592" s="39"/>
      <c r="BR592" s="39"/>
      <c r="BS592" s="39"/>
      <c r="BT592" s="39"/>
      <c r="BU592" s="39"/>
      <c r="BV592" s="39"/>
      <c r="BW592" s="39"/>
      <c r="BX592" s="39"/>
      <c r="BY592" s="39"/>
      <c r="BZ592" s="39"/>
      <c r="CA592" s="39"/>
      <c r="CB592" s="39"/>
      <c r="CC592" s="39"/>
      <c r="CD592" s="39"/>
      <c r="CE592" s="39"/>
      <c r="CF592" s="39"/>
      <c r="CG592" s="39"/>
      <c r="CH592" s="39"/>
      <c r="CI592" s="39"/>
      <c r="CJ592" s="39"/>
      <c r="CK592" s="39"/>
      <c r="CL592" s="39"/>
      <c r="CM592" s="39"/>
      <c r="CN592" s="39"/>
      <c r="CO592" s="39"/>
      <c r="CP592" s="39"/>
      <c r="CQ592" s="39"/>
      <c r="CR592" s="39"/>
      <c r="CS592" s="39"/>
      <c r="CT592" s="39"/>
      <c r="CU592" s="39"/>
      <c r="CV592" s="39"/>
      <c r="CW592" s="39"/>
      <c r="CX592" s="39"/>
      <c r="CY592" s="39"/>
      <c r="CZ592" s="39"/>
      <c r="DA592" s="39"/>
      <c r="DB592" s="39"/>
      <c r="DC592" s="39"/>
      <c r="DD592" s="39"/>
      <c r="DE592" s="39"/>
      <c r="DF592" s="39"/>
      <c r="DG592" s="39"/>
      <c r="DH592" s="39"/>
      <c r="DI592" s="39"/>
    </row>
    <row r="593" spans="1:113">
      <c r="A593" s="41"/>
      <c r="B593" s="42" t="s">
        <v>519</v>
      </c>
      <c r="C593" s="48" t="s">
        <v>311</v>
      </c>
      <c r="D593" s="44" t="str">
        <f>B593&amp;TEXT(Prices!$C$45,"0.0")</f>
        <v>US$271.5</v>
      </c>
      <c r="E593" s="44" t="str">
        <f>B593&amp;TEXT(Prices!$E$45,"0.0")</f>
        <v>US$581.0</v>
      </c>
      <c r="F593" s="45">
        <f>Prices!$F$45</f>
        <v>1.1402784940691078</v>
      </c>
      <c r="G593" s="44" t="str">
        <f>Prices!$D$45</f>
        <v>Buy</v>
      </c>
      <c r="H593" s="46"/>
      <c r="I593" s="45">
        <f>CHTR!$D$31/CHTR!$D$29</f>
        <v>0</v>
      </c>
      <c r="J593" s="45">
        <f>CHTR!$E$31/CHTR!$E$29</f>
        <v>0</v>
      </c>
      <c r="K593" s="45">
        <f>CHTR!$F$31/CHTR!$F$29</f>
        <v>0</v>
      </c>
      <c r="L593" s="45">
        <f>CHTR!$G$31/CHTR!$G$29</f>
        <v>0</v>
      </c>
      <c r="M593" s="45">
        <f t="shared" si="146"/>
        <v>0</v>
      </c>
      <c r="N593" s="46"/>
      <c r="O593" s="45">
        <f>CHTR!$D$31/CHTR!$D$30</f>
        <v>0</v>
      </c>
      <c r="P593" s="45">
        <f>CHTR!$E$31/CHTR!$E$30</f>
        <v>0</v>
      </c>
      <c r="Q593" s="45">
        <f>CHTR!$F$31/CHTR!$F$30</f>
        <v>0</v>
      </c>
      <c r="R593" s="45">
        <f>CHTR!$G$31/CHTR!$G$30</f>
        <v>0</v>
      </c>
      <c r="S593" s="45">
        <f t="shared" si="147"/>
        <v>0</v>
      </c>
      <c r="T593" s="46"/>
      <c r="U593" s="48" t="str">
        <f>D593</f>
        <v>US$271.5</v>
      </c>
      <c r="V593" s="44" t="str">
        <f t="shared" si="148"/>
        <v>Charter</v>
      </c>
      <c r="AF593" s="39"/>
      <c r="AG593" s="39"/>
      <c r="AH593" s="39"/>
      <c r="AI593" s="39"/>
      <c r="AJ593" s="39"/>
      <c r="AK593" s="39"/>
      <c r="AL593" s="39"/>
      <c r="AM593" s="39"/>
      <c r="AN593" s="39"/>
      <c r="AO593" s="39"/>
      <c r="AP593" s="39"/>
      <c r="AQ593" s="39"/>
      <c r="AR593" s="39"/>
      <c r="AS593" s="39"/>
      <c r="AT593" s="39"/>
      <c r="AU593" s="39"/>
      <c r="AV593" s="39"/>
      <c r="AW593" s="39"/>
      <c r="AX593" s="39"/>
      <c r="AY593" s="39"/>
      <c r="AZ593" s="39"/>
      <c r="BA593" s="39"/>
      <c r="BB593" s="39"/>
      <c r="BC593" s="39"/>
      <c r="BD593" s="39"/>
      <c r="BE593" s="39"/>
      <c r="BF593" s="39"/>
      <c r="BG593" s="39"/>
      <c r="BH593" s="39"/>
      <c r="BI593" s="39"/>
      <c r="BJ593" s="39"/>
      <c r="BK593" s="39"/>
      <c r="BL593" s="39"/>
      <c r="BM593" s="39"/>
      <c r="BN593" s="39"/>
      <c r="BO593" s="39"/>
      <c r="BP593" s="39"/>
      <c r="BQ593" s="39"/>
      <c r="BR593" s="39"/>
      <c r="BS593" s="39"/>
      <c r="BT593" s="39"/>
      <c r="BU593" s="39"/>
      <c r="BV593" s="39"/>
      <c r="BW593" s="39"/>
      <c r="BX593" s="39"/>
      <c r="BY593" s="39"/>
      <c r="BZ593" s="39"/>
      <c r="CA593" s="39"/>
      <c r="CB593" s="39"/>
      <c r="CC593" s="39"/>
      <c r="CD593" s="39"/>
      <c r="CE593" s="39"/>
      <c r="CF593" s="39"/>
      <c r="CG593" s="39"/>
      <c r="CH593" s="39"/>
      <c r="CI593" s="39"/>
      <c r="CJ593" s="39"/>
      <c r="CK593" s="39"/>
      <c r="CL593" s="39"/>
      <c r="CM593" s="39"/>
      <c r="CN593" s="39"/>
      <c r="CO593" s="39"/>
      <c r="CP593" s="39"/>
      <c r="CQ593" s="39"/>
      <c r="CR593" s="39"/>
      <c r="CS593" s="39"/>
      <c r="CT593" s="39"/>
      <c r="CU593" s="39"/>
      <c r="CV593" s="39"/>
      <c r="CW593" s="39"/>
      <c r="CX593" s="39"/>
      <c r="CY593" s="39"/>
      <c r="CZ593" s="39"/>
      <c r="DA593" s="39"/>
      <c r="DB593" s="39"/>
      <c r="DC593" s="39"/>
      <c r="DD593" s="39"/>
      <c r="DE593" s="39"/>
      <c r="DF593" s="39"/>
      <c r="DG593" s="39"/>
      <c r="DH593" s="39"/>
      <c r="DI593" s="39"/>
    </row>
    <row r="594" spans="1:113">
      <c r="A594" s="41"/>
      <c r="B594" s="42" t="s">
        <v>519</v>
      </c>
      <c r="C594" s="48" t="s">
        <v>309</v>
      </c>
      <c r="D594" s="44" t="str">
        <f>B594&amp;TEXT(Prices!$C$46,"0.0")</f>
        <v>US$38.5</v>
      </c>
      <c r="E594" s="44" t="str">
        <f>B594&amp;TEXT(Prices!$E$46,"0.0")</f>
        <v>US$50.0</v>
      </c>
      <c r="F594" s="45">
        <f>Prices!$F$46</f>
        <v>0.29735339906590563</v>
      </c>
      <c r="G594" s="44" t="str">
        <f>Prices!$D$46</f>
        <v>Buy</v>
      </c>
      <c r="H594" s="46"/>
      <c r="I594" s="45">
        <f>CMCSA!$D$31/CMCSA!$D$29</f>
        <v>0.11918760761130938</v>
      </c>
      <c r="J594" s="45">
        <f>CMCSA!$E$31/CMCSA!$E$29</f>
        <v>0.12147847989528492</v>
      </c>
      <c r="K594" s="45">
        <f>CMCSA!$F$31/CMCSA!$F$29</f>
        <v>0.12006175586080597</v>
      </c>
      <c r="L594" s="45">
        <f>CMCSA!$G$31/CMCSA!$G$29</f>
        <v>0.11565138810734359</v>
      </c>
      <c r="M594" s="45">
        <f t="shared" si="146"/>
        <v>-3.5362195039657929E-3</v>
      </c>
      <c r="N594" s="46"/>
      <c r="O594" s="45">
        <f>CMCSA!$D$31/CMCSA!$D$30</f>
        <v>0.30173363109732415</v>
      </c>
      <c r="P594" s="45">
        <f>CMCSA!$E$31/CMCSA!$E$30</f>
        <v>0.28954863750050969</v>
      </c>
      <c r="Q594" s="45">
        <f>CMCSA!$F$31/CMCSA!$F$30</f>
        <v>0.26780114999825333</v>
      </c>
      <c r="R594" s="45">
        <f>CMCSA!$G$31/CMCSA!$G$30</f>
        <v>0.23376874165182829</v>
      </c>
      <c r="S594" s="45">
        <f t="shared" si="147"/>
        <v>-6.7964889445495863E-2</v>
      </c>
      <c r="T594" s="46"/>
      <c r="U594" s="48" t="str">
        <f>D594</f>
        <v>US$38.5</v>
      </c>
      <c r="V594" s="44" t="str">
        <f t="shared" si="148"/>
        <v>Comcast</v>
      </c>
      <c r="AF594" s="39"/>
      <c r="AG594" s="39"/>
      <c r="AH594" s="39"/>
      <c r="AI594" s="39"/>
      <c r="AJ594" s="39"/>
      <c r="AK594" s="39"/>
      <c r="AL594" s="39"/>
      <c r="AM594" s="39"/>
      <c r="AN594" s="39"/>
      <c r="AO594" s="39"/>
      <c r="AP594" s="39"/>
      <c r="AQ594" s="39"/>
      <c r="AR594" s="39"/>
      <c r="AS594" s="39"/>
      <c r="AT594" s="39"/>
      <c r="AU594" s="39"/>
      <c r="AV594" s="39"/>
      <c r="AW594" s="39"/>
      <c r="AX594" s="39"/>
      <c r="AY594" s="39"/>
      <c r="AZ594" s="39"/>
      <c r="BA594" s="39"/>
      <c r="BB594" s="39"/>
      <c r="BC594" s="39"/>
      <c r="BD594" s="39"/>
      <c r="BE594" s="39"/>
      <c r="BF594" s="39"/>
      <c r="BG594" s="39"/>
      <c r="BH594" s="39"/>
      <c r="BI594" s="39"/>
      <c r="BJ594" s="39"/>
      <c r="BK594" s="39"/>
      <c r="BL594" s="39"/>
      <c r="BM594" s="39"/>
      <c r="BN594" s="39"/>
      <c r="BO594" s="39"/>
      <c r="BP594" s="39"/>
      <c r="BQ594" s="39"/>
      <c r="BR594" s="39"/>
      <c r="BS594" s="39"/>
      <c r="BT594" s="39"/>
      <c r="BU594" s="39"/>
      <c r="BV594" s="39"/>
      <c r="BW594" s="39"/>
      <c r="BX594" s="39"/>
      <c r="BY594" s="39"/>
      <c r="BZ594" s="39"/>
      <c r="CA594" s="39"/>
      <c r="CB594" s="39"/>
      <c r="CC594" s="39"/>
      <c r="CD594" s="39"/>
      <c r="CE594" s="39"/>
      <c r="CF594" s="39"/>
      <c r="CG594" s="39"/>
      <c r="CH594" s="39"/>
      <c r="CI594" s="39"/>
      <c r="CJ594" s="39"/>
      <c r="CK594" s="39"/>
      <c r="CL594" s="39"/>
      <c r="CM594" s="39"/>
      <c r="CN594" s="39"/>
      <c r="CO594" s="39"/>
      <c r="CP594" s="39"/>
      <c r="CQ594" s="39"/>
      <c r="CR594" s="39"/>
      <c r="CS594" s="39"/>
      <c r="CT594" s="39"/>
      <c r="CU594" s="39"/>
      <c r="CV594" s="39"/>
      <c r="CW594" s="39"/>
      <c r="CX594" s="39"/>
      <c r="CY594" s="39"/>
      <c r="CZ594" s="39"/>
      <c r="DA594" s="39"/>
      <c r="DB594" s="39"/>
      <c r="DC594" s="39"/>
      <c r="DD594" s="39"/>
      <c r="DE594" s="39"/>
      <c r="DF594" s="39"/>
      <c r="DG594" s="39"/>
      <c r="DH594" s="39"/>
      <c r="DI594" s="39"/>
    </row>
    <row r="595" spans="1:113">
      <c r="A595" s="41"/>
      <c r="B595" s="42" t="s">
        <v>527</v>
      </c>
      <c r="C595" s="48" t="s">
        <v>1615</v>
      </c>
      <c r="D595" s="44" t="str">
        <f>B595&amp;TEXT(Prices!C$47,"0.0")</f>
        <v>US$ 25.6</v>
      </c>
      <c r="E595" s="44" t="str">
        <f>B595&amp;TEXT(Prices!E$47,"0.0")</f>
        <v>US$ 54.0</v>
      </c>
      <c r="F595" s="45">
        <f>Prices!F$47</f>
        <v>1.111024237685692</v>
      </c>
      <c r="G595" s="44" t="str">
        <f>Prices!D$47</f>
        <v>Buy</v>
      </c>
      <c r="H595" s="46"/>
      <c r="I595" s="45">
        <f>FYBR!$D$31/FYBR!$D$29</f>
        <v>0</v>
      </c>
      <c r="J595" s="45">
        <f>FYBR!$D$31/FYBR!$D$29</f>
        <v>0</v>
      </c>
      <c r="K595" s="45">
        <f>FYBR!$D$31/FYBR!$D$29</f>
        <v>0</v>
      </c>
      <c r="L595" s="45">
        <f>FYBR!$D$31/FYBR!$D$29</f>
        <v>0</v>
      </c>
      <c r="M595" s="45">
        <f t="shared" si="146"/>
        <v>0</v>
      </c>
      <c r="N595" s="46"/>
      <c r="O595" s="45">
        <f>FYBR!$D$31/FYBR!$D$30</f>
        <v>0</v>
      </c>
      <c r="P595" s="45">
        <f>FYBR!$D$31/FYBR!$D$30</f>
        <v>0</v>
      </c>
      <c r="Q595" s="45">
        <f>FYBR!$D$31/FYBR!$D$30</f>
        <v>0</v>
      </c>
      <c r="R595" s="45">
        <f>FYBR!$D$31/FYBR!$D$30</f>
        <v>0</v>
      </c>
      <c r="S595" s="45">
        <f t="shared" si="147"/>
        <v>0</v>
      </c>
      <c r="T595" s="46"/>
      <c r="U595" s="48" t="str">
        <f>D595</f>
        <v>US$ 25.6</v>
      </c>
      <c r="V595" s="44" t="str">
        <f t="shared" si="148"/>
        <v>Frontier</v>
      </c>
      <c r="AF595" s="39"/>
      <c r="AG595" s="39"/>
      <c r="AH595" s="39"/>
      <c r="AI595" s="39"/>
      <c r="AJ595" s="39"/>
      <c r="AK595" s="39"/>
      <c r="AL595" s="39"/>
      <c r="AM595" s="39"/>
      <c r="AN595" s="39"/>
      <c r="AO595" s="39"/>
      <c r="AP595" s="39"/>
      <c r="AQ595" s="39"/>
      <c r="AR595" s="39"/>
      <c r="AS595" s="39"/>
      <c r="AT595" s="39"/>
      <c r="AU595" s="39"/>
      <c r="AV595" s="39"/>
      <c r="AW595" s="39"/>
      <c r="AX595" s="39"/>
      <c r="AY595" s="39"/>
      <c r="AZ595" s="39"/>
      <c r="BA595" s="39"/>
      <c r="BB595" s="39"/>
      <c r="BC595" s="39"/>
      <c r="BD595" s="39"/>
      <c r="BE595" s="39"/>
      <c r="BF595" s="39"/>
      <c r="BG595" s="39"/>
      <c r="BH595" s="39"/>
      <c r="BI595" s="39"/>
      <c r="BJ595" s="39"/>
      <c r="BK595" s="39"/>
      <c r="BL595" s="39"/>
      <c r="BM595" s="39"/>
      <c r="BN595" s="39"/>
      <c r="BO595" s="39"/>
      <c r="BP595" s="39"/>
      <c r="BQ595" s="39"/>
      <c r="BR595" s="39"/>
      <c r="BS595" s="39"/>
      <c r="BT595" s="39"/>
      <c r="BU595" s="39"/>
      <c r="BV595" s="39"/>
      <c r="BW595" s="39"/>
      <c r="BX595" s="39"/>
      <c r="BY595" s="39"/>
      <c r="BZ595" s="39"/>
      <c r="CA595" s="39"/>
      <c r="CB595" s="39"/>
      <c r="CC595" s="39"/>
      <c r="CD595" s="39"/>
      <c r="CE595" s="39"/>
      <c r="CF595" s="39"/>
      <c r="CG595" s="39"/>
      <c r="CH595" s="39"/>
      <c r="CI595" s="39"/>
      <c r="CJ595" s="39"/>
      <c r="CK595" s="39"/>
      <c r="CL595" s="39"/>
      <c r="CM595" s="39"/>
      <c r="CN595" s="39"/>
      <c r="CO595" s="39"/>
      <c r="CP595" s="39"/>
      <c r="CQ595" s="39"/>
      <c r="CR595" s="39"/>
      <c r="CS595" s="39"/>
      <c r="CT595" s="39"/>
      <c r="CU595" s="39"/>
      <c r="CV595" s="39"/>
      <c r="CW595" s="39"/>
      <c r="CX595" s="39"/>
      <c r="CY595" s="39"/>
      <c r="CZ595" s="39"/>
      <c r="DA595" s="39"/>
      <c r="DB595" s="39"/>
      <c r="DC595" s="39"/>
      <c r="DD595" s="39"/>
      <c r="DE595" s="39"/>
      <c r="DF595" s="39"/>
      <c r="DG595" s="39"/>
      <c r="DH595" s="39"/>
      <c r="DI595" s="39"/>
    </row>
    <row r="596" spans="1:113">
      <c r="A596" s="41"/>
      <c r="B596" s="42" t="s">
        <v>527</v>
      </c>
      <c r="C596" s="48" t="s">
        <v>1616</v>
      </c>
      <c r="D596" s="44" t="str">
        <f>B596&amp;TEXT(Prices!C$48,"0.0")</f>
        <v>US$ 18.5</v>
      </c>
      <c r="E596" s="44" t="str">
        <f>B596&amp;TEXT(Prices!E$48,"0.0")</f>
        <v>US$ 100.0</v>
      </c>
      <c r="F596" s="45">
        <f>Prices!F$48</f>
        <v>4.408328826392645</v>
      </c>
      <c r="G596" s="44" t="str">
        <f>Prices!D$48</f>
        <v>Buy</v>
      </c>
      <c r="H596" s="46"/>
      <c r="I596" s="45">
        <f>SATS!$D$31/SATS!$D$29</f>
        <v>0</v>
      </c>
      <c r="J596" s="45">
        <f>SATS!$D$31/SATS!$D$29</f>
        <v>0</v>
      </c>
      <c r="K596" s="45">
        <f>SATS!$D$31/SATS!$D$29</f>
        <v>0</v>
      </c>
      <c r="L596" s="45">
        <f>SATS!$D$31/SATS!$D$29</f>
        <v>0</v>
      </c>
      <c r="M596" s="45">
        <f t="shared" si="146"/>
        <v>0</v>
      </c>
      <c r="N596" s="46"/>
      <c r="O596" s="45">
        <f>SATS!$D$31/SATS!$D$30</f>
        <v>0</v>
      </c>
      <c r="P596" s="45">
        <f>SATS!$D$31/SATS!$D$30</f>
        <v>0</v>
      </c>
      <c r="Q596" s="45">
        <f>SATS!$D$31/SATS!$D$30</f>
        <v>0</v>
      </c>
      <c r="R596" s="45">
        <f>SATS!$D$31/SATS!$D$30</f>
        <v>0</v>
      </c>
      <c r="S596" s="45">
        <f t="shared" si="147"/>
        <v>0</v>
      </c>
      <c r="T596" s="46"/>
      <c r="U596" s="48" t="str">
        <f>D596</f>
        <v>US$ 18.5</v>
      </c>
      <c r="V596" s="44" t="str">
        <f t="shared" si="148"/>
        <v>EchoStar</v>
      </c>
      <c r="AF596" s="39"/>
      <c r="AG596" s="39"/>
      <c r="AH596" s="39"/>
      <c r="AI596" s="39"/>
      <c r="AJ596" s="39"/>
      <c r="AK596" s="39"/>
      <c r="AL596" s="39"/>
      <c r="AM596" s="39"/>
      <c r="AN596" s="39"/>
      <c r="AO596" s="39"/>
      <c r="AP596" s="39"/>
      <c r="AQ596" s="39"/>
      <c r="AR596" s="39"/>
      <c r="AS596" s="39"/>
      <c r="AT596" s="39"/>
      <c r="AU596" s="39"/>
      <c r="AV596" s="39"/>
      <c r="AW596" s="39"/>
      <c r="AX596" s="39"/>
      <c r="AY596" s="39"/>
      <c r="AZ596" s="39"/>
      <c r="BA596" s="39"/>
      <c r="BB596" s="39"/>
      <c r="BC596" s="39"/>
      <c r="BD596" s="39"/>
      <c r="BE596" s="39"/>
      <c r="BF596" s="39"/>
      <c r="BG596" s="39"/>
      <c r="BH596" s="39"/>
      <c r="BI596" s="39"/>
      <c r="BJ596" s="39"/>
      <c r="BK596" s="39"/>
      <c r="BL596" s="39"/>
      <c r="BM596" s="39"/>
      <c r="BN596" s="39"/>
      <c r="BO596" s="39"/>
      <c r="BP596" s="39"/>
      <c r="BQ596" s="39"/>
      <c r="BR596" s="39"/>
      <c r="BS596" s="39"/>
      <c r="BT596" s="39"/>
      <c r="BU596" s="39"/>
      <c r="BV596" s="39"/>
      <c r="BW596" s="39"/>
      <c r="BX596" s="39"/>
      <c r="BY596" s="39"/>
      <c r="BZ596" s="39"/>
      <c r="CA596" s="39"/>
      <c r="CB596" s="39"/>
      <c r="CC596" s="39"/>
      <c r="CD596" s="39"/>
      <c r="CE596" s="39"/>
      <c r="CF596" s="39"/>
      <c r="CG596" s="39"/>
      <c r="CH596" s="39"/>
      <c r="CI596" s="39"/>
      <c r="CJ596" s="39"/>
      <c r="CK596" s="39"/>
      <c r="CL596" s="39"/>
      <c r="CM596" s="39"/>
      <c r="CN596" s="39"/>
      <c r="CO596" s="39"/>
      <c r="CP596" s="39"/>
      <c r="CQ596" s="39"/>
      <c r="CR596" s="39"/>
      <c r="CS596" s="39"/>
      <c r="CT596" s="39"/>
      <c r="CU596" s="39"/>
      <c r="CV596" s="39"/>
      <c r="CW596" s="39"/>
      <c r="CX596" s="39"/>
      <c r="CY596" s="39"/>
      <c r="CZ596" s="39"/>
      <c r="DA596" s="39"/>
      <c r="DB596" s="39"/>
      <c r="DC596" s="39"/>
      <c r="DD596" s="39"/>
      <c r="DE596" s="39"/>
      <c r="DF596" s="39"/>
      <c r="DG596" s="39"/>
      <c r="DH596" s="39"/>
      <c r="DI596" s="39"/>
    </row>
    <row r="597" spans="1:113">
      <c r="A597" s="41"/>
      <c r="C597" s="51" t="str">
        <f>C537</f>
        <v>Agg. US Other</v>
      </c>
      <c r="D597" s="58"/>
      <c r="E597" s="58"/>
      <c r="F597" s="55"/>
      <c r="G597" s="58"/>
      <c r="H597" s="56"/>
      <c r="I597" s="55">
        <f>'US OTHER'!$D$31/'US OTHER'!$D$29</f>
        <v>0.122956651873093</v>
      </c>
      <c r="J597" s="55">
        <f>'US OTHER'!$E$31/'US OTHER'!$E$29</f>
        <v>0.11420338650121682</v>
      </c>
      <c r="K597" s="55">
        <f>'US OTHER'!$F$31/'US OTHER'!$F$29</f>
        <v>0.10996826737203369</v>
      </c>
      <c r="L597" s="55">
        <f>'US OTHER'!$G$31/'US OTHER'!$G$29</f>
        <v>9.9553686168744285E-2</v>
      </c>
      <c r="M597" s="55">
        <f t="shared" si="146"/>
        <v>-2.3402965704348716E-2</v>
      </c>
      <c r="N597" s="56"/>
      <c r="O597" s="55">
        <f>'US OTHER'!$D$31/'US OTHER'!$D$30</f>
        <v>0.23570971126168488</v>
      </c>
      <c r="P597" s="55">
        <f>'US OTHER'!$E$31/'US OTHER'!$E$30</f>
        <v>0.22283282006444646</v>
      </c>
      <c r="Q597" s="55">
        <f>'US OTHER'!$F$31/'US OTHER'!$F$30</f>
        <v>0.20371762475254798</v>
      </c>
      <c r="R597" s="55">
        <f>'US OTHER'!$G$31/'US OTHER'!$G$30</f>
        <v>0.17953649915466222</v>
      </c>
      <c r="S597" s="55">
        <f t="shared" si="147"/>
        <v>-5.6173212107022669E-2</v>
      </c>
      <c r="T597" s="56"/>
      <c r="U597" s="51"/>
      <c r="V597" s="58" t="str">
        <f t="shared" si="148"/>
        <v>Agg. US Other</v>
      </c>
      <c r="AF597" s="39"/>
      <c r="AG597" s="39"/>
      <c r="AH597" s="39"/>
      <c r="AI597" s="39"/>
      <c r="AJ597" s="39"/>
      <c r="AK597" s="39"/>
      <c r="AL597" s="39"/>
      <c r="AM597" s="39"/>
      <c r="AN597" s="39"/>
      <c r="AO597" s="39"/>
      <c r="AP597" s="39"/>
      <c r="AQ597" s="39"/>
      <c r="AR597" s="39"/>
      <c r="AS597" s="39"/>
      <c r="AT597" s="39"/>
      <c r="AU597" s="39"/>
      <c r="AV597" s="39"/>
      <c r="AW597" s="39"/>
      <c r="AX597" s="39"/>
      <c r="AY597" s="39"/>
      <c r="AZ597" s="39"/>
      <c r="BA597" s="39"/>
      <c r="BB597" s="39"/>
      <c r="BC597" s="39"/>
      <c r="BD597" s="39"/>
      <c r="BE597" s="39"/>
      <c r="BF597" s="39"/>
      <c r="BG597" s="39"/>
      <c r="BH597" s="39"/>
      <c r="BI597" s="39"/>
      <c r="BJ597" s="39"/>
      <c r="BK597" s="39"/>
      <c r="BL597" s="39"/>
      <c r="BM597" s="39"/>
      <c r="BN597" s="39"/>
      <c r="BO597" s="39"/>
      <c r="BP597" s="39"/>
      <c r="BQ597" s="39"/>
      <c r="BR597" s="39"/>
      <c r="BS597" s="39"/>
      <c r="BT597" s="39"/>
      <c r="BU597" s="39"/>
      <c r="BV597" s="39"/>
      <c r="BW597" s="39"/>
      <c r="BX597" s="39"/>
      <c r="BY597" s="39"/>
      <c r="BZ597" s="39"/>
      <c r="CA597" s="39"/>
      <c r="CB597" s="39"/>
      <c r="CC597" s="39"/>
      <c r="CD597" s="39"/>
      <c r="CE597" s="39"/>
      <c r="CF597" s="39"/>
      <c r="CG597" s="39"/>
      <c r="CH597" s="39"/>
      <c r="CI597" s="39"/>
      <c r="CJ597" s="39"/>
      <c r="CK597" s="39"/>
      <c r="CL597" s="39"/>
      <c r="CM597" s="39"/>
      <c r="CN597" s="39"/>
      <c r="CO597" s="39"/>
      <c r="CP597" s="39"/>
      <c r="CQ597" s="39"/>
      <c r="CR597" s="39"/>
      <c r="CS597" s="39"/>
      <c r="CT597" s="39"/>
      <c r="CU597" s="39"/>
      <c r="CV597" s="39"/>
      <c r="CW597" s="39"/>
      <c r="CX597" s="39"/>
      <c r="CY597" s="39"/>
      <c r="CZ597" s="39"/>
      <c r="DA597" s="39"/>
      <c r="DB597" s="39"/>
      <c r="DC597" s="39"/>
      <c r="DD597" s="39"/>
      <c r="DE597" s="39"/>
      <c r="DF597" s="39"/>
      <c r="DG597" s="39"/>
      <c r="DH597" s="39"/>
      <c r="DI597" s="39"/>
    </row>
    <row r="598" spans="1:113">
      <c r="A598" s="41"/>
      <c r="C598" s="48"/>
      <c r="D598" s="44"/>
      <c r="E598" s="44"/>
      <c r="F598" s="45"/>
      <c r="G598" s="44"/>
      <c r="H598" s="46"/>
      <c r="I598" s="45"/>
      <c r="J598" s="45"/>
      <c r="K598" s="45"/>
      <c r="L598" s="45"/>
      <c r="M598" s="45"/>
      <c r="N598" s="46"/>
      <c r="O598" s="45"/>
      <c r="P598" s="45"/>
      <c r="Q598" s="45"/>
      <c r="R598" s="45"/>
      <c r="S598" s="45"/>
      <c r="T598" s="46"/>
      <c r="U598" s="48"/>
      <c r="V598" s="44"/>
      <c r="AF598" s="39"/>
      <c r="AG598" s="39"/>
      <c r="AH598" s="39"/>
      <c r="AI598" s="39"/>
      <c r="AJ598" s="39"/>
      <c r="AK598" s="39"/>
      <c r="AL598" s="39"/>
      <c r="AM598" s="39"/>
      <c r="AN598" s="39"/>
      <c r="AO598" s="39"/>
      <c r="AP598" s="39"/>
      <c r="AQ598" s="39"/>
      <c r="AR598" s="39"/>
      <c r="AS598" s="39"/>
      <c r="AT598" s="39"/>
      <c r="AU598" s="39"/>
      <c r="AV598" s="39"/>
      <c r="AW598" s="39"/>
      <c r="AX598" s="39"/>
      <c r="AY598" s="39"/>
      <c r="AZ598" s="39"/>
      <c r="BA598" s="39"/>
      <c r="BB598" s="39"/>
      <c r="BC598" s="39"/>
      <c r="BD598" s="39"/>
      <c r="BE598" s="39"/>
      <c r="BF598" s="39"/>
      <c r="BG598" s="39"/>
      <c r="BH598" s="39"/>
      <c r="BI598" s="39"/>
      <c r="BJ598" s="39"/>
      <c r="BK598" s="39"/>
      <c r="BL598" s="39"/>
      <c r="BM598" s="39"/>
      <c r="BN598" s="39"/>
      <c r="BO598" s="39"/>
      <c r="BP598" s="39"/>
      <c r="BQ598" s="39"/>
      <c r="BR598" s="39"/>
      <c r="BS598" s="39"/>
      <c r="BT598" s="39"/>
      <c r="BU598" s="39"/>
      <c r="BV598" s="39"/>
      <c r="BW598" s="39"/>
      <c r="BX598" s="39"/>
      <c r="BY598" s="39"/>
      <c r="BZ598" s="39"/>
      <c r="CA598" s="39"/>
      <c r="CB598" s="39"/>
      <c r="CC598" s="39"/>
      <c r="CD598" s="39"/>
      <c r="CE598" s="39"/>
      <c r="CF598" s="39"/>
      <c r="CG598" s="39"/>
      <c r="CH598" s="39"/>
      <c r="CI598" s="39"/>
      <c r="CJ598" s="39"/>
      <c r="CK598" s="39"/>
      <c r="CL598" s="39"/>
      <c r="CM598" s="39"/>
      <c r="CN598" s="39"/>
      <c r="CO598" s="39"/>
      <c r="CP598" s="39"/>
      <c r="CQ598" s="39"/>
      <c r="CR598" s="39"/>
      <c r="CS598" s="39"/>
      <c r="CT598" s="39"/>
      <c r="CU598" s="39"/>
      <c r="CV598" s="39"/>
      <c r="CW598" s="39"/>
      <c r="CX598" s="39"/>
      <c r="CY598" s="39"/>
      <c r="CZ598" s="39"/>
      <c r="DA598" s="39"/>
      <c r="DB598" s="39"/>
      <c r="DC598" s="39"/>
      <c r="DD598" s="39"/>
      <c r="DE598" s="39"/>
      <c r="DF598" s="39"/>
      <c r="DG598" s="39"/>
      <c r="DH598" s="39"/>
      <c r="DI598" s="39"/>
    </row>
    <row r="599" spans="1:113">
      <c r="C599" s="48"/>
      <c r="D599" s="44"/>
      <c r="E599" s="44"/>
      <c r="F599" s="45"/>
      <c r="G599" s="44"/>
      <c r="H599" s="46"/>
      <c r="I599" s="45"/>
      <c r="J599" s="45"/>
      <c r="K599" s="45"/>
      <c r="L599" s="45"/>
      <c r="M599" s="45"/>
      <c r="N599" s="46"/>
      <c r="O599" s="45"/>
      <c r="P599" s="45"/>
      <c r="Q599" s="45"/>
      <c r="R599" s="45"/>
      <c r="S599" s="45"/>
      <c r="T599" s="46"/>
      <c r="U599" s="48"/>
      <c r="V599" s="44"/>
      <c r="AF599" s="39"/>
      <c r="AG599" s="39"/>
      <c r="AH599" s="39"/>
      <c r="AI599" s="39"/>
      <c r="AJ599" s="39"/>
      <c r="AK599" s="39"/>
      <c r="AL599" s="39"/>
      <c r="AM599" s="39"/>
      <c r="AN599" s="39"/>
      <c r="AO599" s="39"/>
      <c r="AP599" s="39"/>
      <c r="AQ599" s="39"/>
      <c r="AR599" s="39"/>
      <c r="AS599" s="39"/>
      <c r="AT599" s="39"/>
      <c r="AU599" s="39"/>
      <c r="AV599" s="39"/>
      <c r="AW599" s="39"/>
      <c r="AX599" s="39"/>
      <c r="AY599" s="39"/>
      <c r="AZ599" s="39"/>
      <c r="BA599" s="39"/>
      <c r="BB599" s="39"/>
      <c r="BC599" s="39"/>
      <c r="BD599" s="39"/>
      <c r="BE599" s="39"/>
      <c r="BF599" s="39"/>
      <c r="BG599" s="39"/>
      <c r="BH599" s="39"/>
      <c r="BI599" s="39"/>
      <c r="BJ599" s="39"/>
      <c r="BK599" s="39"/>
      <c r="BL599" s="39"/>
      <c r="BM599" s="39"/>
      <c r="BN599" s="39"/>
      <c r="BO599" s="39"/>
      <c r="BP599" s="39"/>
      <c r="BQ599" s="39"/>
      <c r="BR599" s="39"/>
      <c r="BS599" s="39"/>
      <c r="BT599" s="39"/>
      <c r="BU599" s="39"/>
      <c r="BV599" s="39"/>
      <c r="BW599" s="39"/>
      <c r="BX599" s="39"/>
      <c r="BY599" s="39"/>
      <c r="BZ599" s="39"/>
      <c r="CA599" s="39"/>
      <c r="CB599" s="39"/>
      <c r="CC599" s="39"/>
      <c r="CD599" s="39"/>
      <c r="CE599" s="39"/>
      <c r="CF599" s="39"/>
      <c r="CG599" s="39"/>
      <c r="CH599" s="39"/>
      <c r="CI599" s="39"/>
      <c r="CJ599" s="39"/>
      <c r="CK599" s="39"/>
      <c r="CL599" s="39"/>
      <c r="CM599" s="39"/>
      <c r="CN599" s="39"/>
      <c r="CO599" s="39"/>
      <c r="CP599" s="39"/>
      <c r="CQ599" s="39"/>
      <c r="CR599" s="39"/>
      <c r="CS599" s="39"/>
      <c r="CT599" s="39"/>
      <c r="CU599" s="39"/>
      <c r="CV599" s="39"/>
      <c r="CW599" s="39"/>
      <c r="CX599" s="39"/>
      <c r="CY599" s="39"/>
      <c r="CZ599" s="39"/>
      <c r="DA599" s="39"/>
      <c r="DB599" s="39"/>
      <c r="DC599" s="39"/>
      <c r="DD599" s="39"/>
      <c r="DE599" s="39"/>
      <c r="DF599" s="39"/>
      <c r="DG599" s="39"/>
      <c r="DH599" s="39"/>
      <c r="DI599" s="39"/>
    </row>
    <row r="600" spans="1:113">
      <c r="C600" s="51" t="str">
        <f>C540</f>
        <v>Agg. W Europe</v>
      </c>
      <c r="D600" s="52"/>
      <c r="E600" s="52"/>
      <c r="F600" s="53"/>
      <c r="G600" s="52"/>
      <c r="H600" s="46"/>
      <c r="I600" s="55">
        <f>'W.EUR AGG'!$D$31/'W.EUR AGG'!$D$29</f>
        <v>0.76708868144703035</v>
      </c>
      <c r="J600" s="55">
        <f>'W.EUR AGG'!$E$31/'W.EUR AGG'!$E$29</f>
        <v>0.68448684962688577</v>
      </c>
      <c r="K600" s="55">
        <f>'W.EUR AGG'!$F$31/'W.EUR AGG'!$F$29</f>
        <v>0.57881557649625592</v>
      </c>
      <c r="L600" s="55">
        <f>'W.EUR AGG'!$G$31/'W.EUR AGG'!$G$29</f>
        <v>0.5569948515413532</v>
      </c>
      <c r="M600" s="55">
        <f>L600-I600</f>
        <v>-0.21009382990567715</v>
      </c>
      <c r="N600" s="56"/>
      <c r="O600" s="55">
        <f>'W.EUR AGG'!$D$31/'W.EUR AGG'!$D$30</f>
        <v>0.76725837760878901</v>
      </c>
      <c r="P600" s="55">
        <f>'W.EUR AGG'!$E$31/'W.EUR AGG'!$E$30</f>
        <v>0.65134281212888012</v>
      </c>
      <c r="Q600" s="55">
        <f>'W.EUR AGG'!$F$31/'W.EUR AGG'!$F$30</f>
        <v>0.60807570508653164</v>
      </c>
      <c r="R600" s="55">
        <f>'W.EUR AGG'!$G$31/'W.EUR AGG'!$G$30</f>
        <v>0.60162103605613793</v>
      </c>
      <c r="S600" s="55">
        <f>R600-O600</f>
        <v>-0.16563734155265109</v>
      </c>
      <c r="T600" s="46"/>
      <c r="U600" s="57"/>
      <c r="V600" s="58" t="str">
        <f>V540</f>
        <v>Agg. W Europe</v>
      </c>
      <c r="AC600" s="63"/>
    </row>
    <row r="601" spans="1:113">
      <c r="C601" s="41" t="s">
        <v>1621</v>
      </c>
      <c r="D601" s="44"/>
      <c r="E601" s="44"/>
      <c r="F601" s="45"/>
      <c r="G601" s="44"/>
      <c r="H601" s="46"/>
      <c r="I601" s="59">
        <f>'US AGG'!$D$31/'US AGG'!$D$29</f>
        <v>0.34042855312367443</v>
      </c>
      <c r="J601" s="59">
        <f>'US AGG'!$E$31/'US AGG'!$E$29</f>
        <v>0.40749940814543628</v>
      </c>
      <c r="K601" s="59">
        <f>'US AGG'!$F$31/'US AGG'!$F$29</f>
        <v>0.39852724802079237</v>
      </c>
      <c r="L601" s="59">
        <f>'US AGG'!$F$31/'US AGG'!$F$29</f>
        <v>0.39852724802079237</v>
      </c>
      <c r="M601" s="59">
        <f>L601-I601</f>
        <v>5.8098694897117942E-2</v>
      </c>
      <c r="N601" s="56"/>
      <c r="O601" s="59">
        <f>'US AGG'!$D$31/'US AGG'!$D$30</f>
        <v>0.43107231802779822</v>
      </c>
      <c r="P601" s="59">
        <f>'US AGG'!$E$31/'US AGG'!$E$30</f>
        <v>0.48879497395532578</v>
      </c>
      <c r="Q601" s="59">
        <f>'US AGG'!$F$31/'US AGG'!$F$30</f>
        <v>0.46572924509906288</v>
      </c>
      <c r="R601" s="59">
        <f>'US AGG'!$F$31/'US AGG'!$F$30</f>
        <v>0.46572924509906288</v>
      </c>
      <c r="S601" s="59">
        <f>R601-O601</f>
        <v>3.4656927071264665E-2</v>
      </c>
      <c r="T601" s="46"/>
      <c r="U601" s="48"/>
      <c r="V601" s="50" t="str">
        <f>V541</f>
        <v>Agg. US</v>
      </c>
      <c r="AC601" s="63"/>
    </row>
    <row r="602" spans="1:113">
      <c r="C602" s="67" t="str">
        <f>C542</f>
        <v xml:space="preserve">Agg. Developed Asia </v>
      </c>
      <c r="D602" s="52"/>
      <c r="E602" s="52"/>
      <c r="F602" s="53"/>
      <c r="G602" s="52"/>
      <c r="H602" s="46"/>
      <c r="I602" s="55">
        <f>'AGG DM ASIA'!$D$31/'AGG DM ASIA'!$D$29</f>
        <v>0.65950351281770536</v>
      </c>
      <c r="J602" s="55">
        <f>'AGG DM ASIA'!$E$31/'AGG DM ASIA'!$E$29</f>
        <v>0.49501050683247422</v>
      </c>
      <c r="K602" s="55">
        <f>'AGG DM ASIA'!$F$31/'AGG DM ASIA'!$F$29</f>
        <v>0.51097833074790944</v>
      </c>
      <c r="L602" s="55">
        <f>'AGG DM ASIA'!$G$31/'AGG DM ASIA'!$G$29</f>
        <v>0.51756008943989462</v>
      </c>
      <c r="M602" s="55">
        <f>L602-I602</f>
        <v>-0.14194342337781074</v>
      </c>
      <c r="N602" s="56"/>
      <c r="O602" s="55">
        <f>'AGG DM ASIA'!$D$31/'AGG DM ASIA'!$D$30</f>
        <v>0.59531941679061851</v>
      </c>
      <c r="P602" s="55">
        <f>'AGG DM ASIA'!$E$31/'AGG DM ASIA'!$E$30</f>
        <v>0.60017726918110892</v>
      </c>
      <c r="Q602" s="55">
        <f>'AGG DM ASIA'!$F$31/'AGG DM ASIA'!$F$30</f>
        <v>0.60697656717284254</v>
      </c>
      <c r="R602" s="55">
        <f>'AGG DM ASIA'!$G$31/'AGG DM ASIA'!$G$30</f>
        <v>0.60290806832804467</v>
      </c>
      <c r="S602" s="55">
        <f>R602-O602</f>
        <v>7.5886515374261609E-3</v>
      </c>
      <c r="T602" s="46"/>
      <c r="U602" s="57"/>
      <c r="V602" s="58" t="str">
        <f>V542</f>
        <v xml:space="preserve">Agg. Developed Asia </v>
      </c>
    </row>
    <row r="603" spans="1:113">
      <c r="C603" s="41"/>
      <c r="D603" s="44"/>
      <c r="E603" s="44"/>
      <c r="F603" s="45"/>
      <c r="G603" s="44"/>
      <c r="H603" s="46"/>
      <c r="I603" s="59"/>
      <c r="J603" s="59"/>
      <c r="K603" s="59"/>
      <c r="L603" s="59"/>
      <c r="M603" s="59"/>
      <c r="N603" s="56"/>
      <c r="O603" s="59"/>
      <c r="P603" s="59"/>
      <c r="Q603" s="59"/>
      <c r="R603" s="59"/>
      <c r="S603" s="59"/>
      <c r="T603" s="46"/>
      <c r="U603" s="48"/>
      <c r="V603" s="50"/>
    </row>
    <row r="604" spans="1:113">
      <c r="C604" s="67" t="str">
        <f>C544</f>
        <v>Agg. Global Developed</v>
      </c>
      <c r="D604" s="52"/>
      <c r="E604" s="52"/>
      <c r="F604" s="53"/>
      <c r="G604" s="52"/>
      <c r="H604" s="46"/>
      <c r="I604" s="55">
        <f>'AGG DM'!$D$31/'AGG DM'!$D$29</f>
        <v>0.45770628705874244</v>
      </c>
      <c r="J604" s="55">
        <f>'AGG DM'!$E$31/'AGG DM'!$E$29</f>
        <v>0.47291165163323612</v>
      </c>
      <c r="K604" s="55">
        <f>'AGG DM'!$F$31/'AGG DM'!$F$29</f>
        <v>0.45515009617149715</v>
      </c>
      <c r="L604" s="55">
        <f>'AGG DM'!$F$31/'AGG DM'!$F$29</f>
        <v>0.45515009617149715</v>
      </c>
      <c r="M604" s="55">
        <f>L604-I604</f>
        <v>-2.556190887245291E-3</v>
      </c>
      <c r="N604" s="56"/>
      <c r="O604" s="55">
        <f>'AGG DM'!$D$31/'AGG DM'!$D$30</f>
        <v>0.52717560281557896</v>
      </c>
      <c r="P604" s="55">
        <f>'AGG DM'!$E$31/'AGG DM'!$E$30</f>
        <v>0.54287264854337036</v>
      </c>
      <c r="Q604" s="55">
        <f>'AGG DM'!$F$31/'AGG DM'!$F$30</f>
        <v>0.52135210213299077</v>
      </c>
      <c r="R604" s="55">
        <f>'AGG DM'!$F$31/'AGG DM'!$F$30</f>
        <v>0.52135210213299077</v>
      </c>
      <c r="S604" s="55">
        <f>R604-O604</f>
        <v>-5.8235006825881896E-3</v>
      </c>
      <c r="T604" s="46"/>
      <c r="U604" s="57"/>
      <c r="V604" s="58" t="str">
        <f>V544</f>
        <v xml:space="preserve">Agg. Global Developed </v>
      </c>
    </row>
    <row r="605" spans="1:113">
      <c r="C605" s="41"/>
      <c r="D605" s="44"/>
      <c r="E605" s="44"/>
      <c r="F605" s="68"/>
      <c r="G605" s="44"/>
      <c r="H605" s="46"/>
      <c r="I605" s="61"/>
      <c r="J605" s="61"/>
      <c r="K605" s="61"/>
      <c r="L605" s="61"/>
      <c r="M605" s="61"/>
      <c r="N605" s="56"/>
      <c r="O605" s="61"/>
      <c r="P605" s="61"/>
      <c r="Q605" s="61"/>
      <c r="R605" s="61"/>
      <c r="S605" s="61"/>
      <c r="T605" s="46"/>
      <c r="U605" s="48"/>
      <c r="V605" s="50"/>
    </row>
    <row r="606" spans="1:113">
      <c r="C606" s="41"/>
      <c r="D606" s="44"/>
      <c r="E606" s="44"/>
      <c r="F606" s="68"/>
      <c r="G606" s="44"/>
      <c r="H606" s="46"/>
      <c r="I606" s="61"/>
      <c r="J606" s="61"/>
      <c r="K606" s="61"/>
      <c r="L606" s="61"/>
      <c r="M606" s="61"/>
      <c r="N606" s="56"/>
      <c r="O606" s="61"/>
      <c r="P606" s="61"/>
      <c r="Q606" s="61"/>
      <c r="R606" s="61"/>
      <c r="S606" s="61"/>
      <c r="T606" s="46"/>
      <c r="U606" s="48"/>
      <c r="V606" s="50"/>
    </row>
    <row r="607" spans="1:113" s="41" customFormat="1">
      <c r="B607" s="147"/>
      <c r="C607" s="164"/>
      <c r="D607" s="165" t="s">
        <v>464</v>
      </c>
      <c r="E607" s="165" t="s">
        <v>57</v>
      </c>
      <c r="F607" s="165" t="s">
        <v>59</v>
      </c>
      <c r="G607" s="165" t="s">
        <v>56</v>
      </c>
      <c r="H607" s="49"/>
      <c r="I607" s="166" t="s">
        <v>626</v>
      </c>
      <c r="J607" s="166"/>
      <c r="K607" s="166"/>
      <c r="L607" s="166"/>
      <c r="M607" s="166"/>
      <c r="O607" s="166" t="s">
        <v>627</v>
      </c>
      <c r="P607" s="166"/>
      <c r="Q607" s="166"/>
      <c r="R607" s="166"/>
      <c r="S607" s="166"/>
      <c r="T607" s="49"/>
      <c r="U607" s="167" t="s">
        <v>464</v>
      </c>
      <c r="V607" s="165"/>
      <c r="Z607" s="49"/>
      <c r="AC607" s="135"/>
      <c r="AD607" s="136"/>
      <c r="AE607" s="136"/>
      <c r="AF607" s="136"/>
      <c r="AG607" s="136"/>
      <c r="AH607" s="136"/>
      <c r="AI607" s="136"/>
      <c r="AJ607" s="136"/>
      <c r="AK607" s="136"/>
      <c r="AL607" s="136"/>
      <c r="AM607" s="136"/>
      <c r="AN607" s="136"/>
      <c r="AO607" s="136"/>
      <c r="AP607" s="136"/>
      <c r="AQ607" s="136"/>
      <c r="AR607" s="136"/>
      <c r="AS607" s="136"/>
      <c r="AT607" s="136"/>
      <c r="AU607" s="136"/>
      <c r="AV607" s="136"/>
      <c r="AW607" s="136"/>
      <c r="BC607" s="137"/>
      <c r="BD607" s="137"/>
      <c r="BE607" s="137"/>
      <c r="BG607" s="137"/>
      <c r="BH607" s="137"/>
      <c r="BI607" s="137"/>
      <c r="BK607" s="137"/>
      <c r="BL607" s="137"/>
      <c r="BM607" s="137"/>
      <c r="BO607" s="137"/>
      <c r="BP607" s="137"/>
      <c r="BQ607" s="137"/>
    </row>
    <row r="608" spans="1:113">
      <c r="A608" s="41" t="s">
        <v>506</v>
      </c>
      <c r="C608" s="48" t="s">
        <v>186</v>
      </c>
      <c r="D608" s="44" t="str">
        <f t="shared" ref="D608:G618" si="149">D548</f>
        <v>GBP1.27</v>
      </c>
      <c r="E608" s="44" t="str">
        <f t="shared" si="149"/>
        <v>GBP1.95</v>
      </c>
      <c r="F608" s="45">
        <f t="shared" si="149"/>
        <v>0.53422501966955149</v>
      </c>
      <c r="G608" s="44" t="str">
        <f t="shared" si="149"/>
        <v>Buy</v>
      </c>
      <c r="H608" s="46"/>
      <c r="I608" s="45">
        <f>BT!$D$32/BT!$D$11</f>
        <v>0</v>
      </c>
      <c r="J608" s="45">
        <f>BT!$E$32/BT!$E$11</f>
        <v>0</v>
      </c>
      <c r="K608" s="45">
        <f>BT!$F$32/BT!$F$11</f>
        <v>0</v>
      </c>
      <c r="L608" s="45">
        <f>BT!$G$32/BT!$G$11</f>
        <v>0</v>
      </c>
      <c r="M608" s="45" t="str">
        <f>BT!$H$32</f>
        <v>nm</v>
      </c>
      <c r="N608" s="46"/>
      <c r="O608" s="45">
        <f>(BT!$D$31+BT!$D$32)/BT!$D$11</f>
        <v>6.1793863099921319E-2</v>
      </c>
      <c r="P608" s="45">
        <f>(BT!$E$31+BT!$E$32)/BT!$E$11</f>
        <v>6.3029740361919745E-2</v>
      </c>
      <c r="Q608" s="45">
        <f>(BT!$F$31+BT!$F$32)/BT!$F$11</f>
        <v>6.4290335169158136E-2</v>
      </c>
      <c r="R608" s="45">
        <f>(BT!$G$31+BT!$G$32)/BT!$G$11</f>
        <v>7.7148402202989755E-2</v>
      </c>
      <c r="S608" s="45">
        <f>BT!$H$46</f>
        <v>7.3442742495179125E-2</v>
      </c>
      <c r="T608" s="46"/>
      <c r="U608" s="48" t="str">
        <f t="shared" ref="U608:V612" si="150">U548</f>
        <v>GBP1.27</v>
      </c>
      <c r="V608" s="69" t="str">
        <f t="shared" si="150"/>
        <v>British Telecom</v>
      </c>
      <c r="X608" s="43"/>
      <c r="Y608" s="76"/>
    </row>
    <row r="609" spans="1:113">
      <c r="A609" s="41"/>
      <c r="C609" s="48" t="s">
        <v>187</v>
      </c>
      <c r="D609" s="44" t="str">
        <f t="shared" si="149"/>
        <v>EUR 21.76</v>
      </c>
      <c r="E609" s="44" t="str">
        <f t="shared" si="149"/>
        <v>EUR 32.00</v>
      </c>
      <c r="F609" s="45">
        <f t="shared" si="149"/>
        <v>0.47058823529411753</v>
      </c>
      <c r="G609" s="44" t="str">
        <f t="shared" si="149"/>
        <v>Buy</v>
      </c>
      <c r="H609" s="46"/>
      <c r="I609" s="45">
        <f>DT!$D$32/DT!$D$11</f>
        <v>0</v>
      </c>
      <c r="J609" s="45">
        <f>DT!$E$32/DT!$E$11</f>
        <v>0</v>
      </c>
      <c r="K609" s="45">
        <f>DT!$F$32/DT!$F$11</f>
        <v>0</v>
      </c>
      <c r="L609" s="45">
        <f>DT!$G$32/DT!$G$11</f>
        <v>0</v>
      </c>
      <c r="M609" s="45" t="str">
        <f>DT!$H$32</f>
        <v>nm</v>
      </c>
      <c r="N609" s="46"/>
      <c r="O609" s="45">
        <f>(DT!$D$31+DT!$D$32)/DT!$D$11</f>
        <v>3.5386029411764705E-2</v>
      </c>
      <c r="P609" s="45">
        <f>(DT!$E$31+DT!$E$32)/DT!$E$11</f>
        <v>3.9632352941176473E-2</v>
      </c>
      <c r="Q609" s="45">
        <f>(DT!$F$31+DT!$F$32)/DT!$F$11</f>
        <v>4.4388235294117652E-2</v>
      </c>
      <c r="R609" s="45">
        <f>(DT!$G$31+DT!$G$32)/DT!$G$11</f>
        <v>4.8827058823529425E-2</v>
      </c>
      <c r="S609" s="45">
        <f>DT!$H$46</f>
        <v>0.10580083205039381</v>
      </c>
      <c r="T609" s="46"/>
      <c r="U609" s="48" t="str">
        <f t="shared" si="150"/>
        <v>EUR 21.76</v>
      </c>
      <c r="V609" s="69" t="str">
        <f t="shared" si="150"/>
        <v>Deutsche Telekom</v>
      </c>
      <c r="X609" s="43"/>
      <c r="Y609" s="76"/>
    </row>
    <row r="610" spans="1:113">
      <c r="A610" s="41"/>
      <c r="C610" s="48" t="s">
        <v>458</v>
      </c>
      <c r="D610" s="44" t="str">
        <f t="shared" si="149"/>
        <v>EUR 3.44</v>
      </c>
      <c r="E610" s="44" t="str">
        <f t="shared" si="149"/>
        <v>EUR 3.70</v>
      </c>
      <c r="F610" s="45">
        <f t="shared" si="149"/>
        <v>7.4332171893147558E-2</v>
      </c>
      <c r="G610" s="44" t="str">
        <f t="shared" si="149"/>
        <v>Neutral</v>
      </c>
      <c r="H610" s="46"/>
      <c r="I610" s="45">
        <f>KPN!$D$32/KPN!$D$11</f>
        <v>0</v>
      </c>
      <c r="J610" s="45">
        <f>KPN!$E$32/KPN!$E$11</f>
        <v>0</v>
      </c>
      <c r="K610" s="45">
        <f>KPN!$F$32/KPN!$F$11</f>
        <v>0</v>
      </c>
      <c r="L610" s="45">
        <f>KPN!$G$32/KPN!$G$11</f>
        <v>0</v>
      </c>
      <c r="M610" s="45" t="str">
        <f>KPN!$H$32</f>
        <v>nm</v>
      </c>
      <c r="N610" s="46"/>
      <c r="O610" s="45">
        <f>(KPN!$D$31+KPN!$D$32)/KPN!$D$11</f>
        <v>4.3597560975609767E-2</v>
      </c>
      <c r="P610" s="45">
        <f>(KPN!$E$31+KPN!$E$32)/KPN!$E$11</f>
        <v>4.9361207897793274E-2</v>
      </c>
      <c r="Q610" s="45">
        <f>(KPN!$F$31+KPN!$F$32)/KPN!$F$11</f>
        <v>5.2816492450638804E-2</v>
      </c>
      <c r="R610" s="45">
        <f>(KPN!$G$31+KPN!$G$32)/KPN!$G$11</f>
        <v>5.6513646922183525E-2</v>
      </c>
      <c r="S610" s="45" t="str">
        <f>KPN!$H$46</f>
        <v>nm</v>
      </c>
      <c r="T610" s="46"/>
      <c r="U610" s="48" t="str">
        <f t="shared" si="150"/>
        <v>EUR 3.44</v>
      </c>
      <c r="V610" s="69" t="str">
        <f t="shared" si="150"/>
        <v>KPN</v>
      </c>
    </row>
    <row r="611" spans="1:113">
      <c r="A611" s="41"/>
      <c r="C611" s="48" t="s">
        <v>728</v>
      </c>
      <c r="D611" s="44" t="str">
        <f t="shared" si="149"/>
        <v>EUR 10.68</v>
      </c>
      <c r="E611" s="44" t="str">
        <f t="shared" si="149"/>
        <v>EUR 14.00</v>
      </c>
      <c r="F611" s="45">
        <f t="shared" si="149"/>
        <v>0.31147540983606548</v>
      </c>
      <c r="G611" s="44" t="str">
        <f t="shared" si="149"/>
        <v>Buy</v>
      </c>
      <c r="H611" s="46"/>
      <c r="I611" s="45">
        <f>ORA!$D$32/ORA!$D$11</f>
        <v>0</v>
      </c>
      <c r="J611" s="45">
        <f>ORA!$E$32/ORA!$E$11</f>
        <v>0</v>
      </c>
      <c r="K611" s="45">
        <f>ORA!$F$32/ORA!$F$11</f>
        <v>0</v>
      </c>
      <c r="L611" s="45">
        <f>ORA!$G$32/ORA!$G$11</f>
        <v>0</v>
      </c>
      <c r="M611" s="45" t="str">
        <f>ORA!$H$32</f>
        <v>nm</v>
      </c>
      <c r="N611" s="46"/>
      <c r="O611" s="45">
        <f>(ORA!$D$31+ORA!$D$32)/ORA!$D$11</f>
        <v>6.7447306791569087E-2</v>
      </c>
      <c r="P611" s="45">
        <f>(ORA!$E$31+ORA!$E$32)/ORA!$E$11</f>
        <v>7.0257611241217793E-2</v>
      </c>
      <c r="Q611" s="45">
        <f>(ORA!$F$31+ORA!$F$32)/ORA!$F$11</f>
        <v>7.3067915690866514E-2</v>
      </c>
      <c r="R611" s="45">
        <f>(ORA!$G$31+ORA!$G$32)/ORA!$G$11</f>
        <v>7.5990632318501158E-2</v>
      </c>
      <c r="S611" s="45">
        <f>ORA!$H$46</f>
        <v>4.0555259048362657E-2</v>
      </c>
      <c r="T611" s="46"/>
      <c r="U611" s="48" t="str">
        <f t="shared" si="150"/>
        <v>EUR 10.68</v>
      </c>
      <c r="V611" s="69" t="str">
        <f t="shared" si="150"/>
        <v>Orange</v>
      </c>
      <c r="X611" s="43"/>
      <c r="Y611" s="76"/>
    </row>
    <row r="612" spans="1:113">
      <c r="A612" s="41"/>
      <c r="C612" s="48" t="s">
        <v>459</v>
      </c>
      <c r="D612" s="44" t="str">
        <f t="shared" si="149"/>
        <v>EUR 13.75</v>
      </c>
      <c r="E612" s="44" t="str">
        <f t="shared" si="149"/>
        <v>EUR 22.00</v>
      </c>
      <c r="F612" s="45">
        <f t="shared" si="149"/>
        <v>0.60000000000000009</v>
      </c>
      <c r="G612" s="44" t="str">
        <f t="shared" si="149"/>
        <v>Neutral</v>
      </c>
      <c r="H612" s="46"/>
      <c r="I612" s="45">
        <f>OTE!$D$32/OTE!$D$11</f>
        <v>0</v>
      </c>
      <c r="J612" s="45">
        <f>OTE!$E$32/OTE!$E$11</f>
        <v>0</v>
      </c>
      <c r="K612" s="45">
        <f>OTE!$F$32/OTE!$F$11</f>
        <v>0</v>
      </c>
      <c r="L612" s="45">
        <f>OTE!$G$32/OTE!$G$11</f>
        <v>0</v>
      </c>
      <c r="M612" s="45" t="str">
        <f>OTE!$H$32</f>
        <v>nm</v>
      </c>
      <c r="N612" s="46"/>
      <c r="O612" s="45">
        <f>(OTE!$D$31+OTE!$D$32)/OTE!$D$11</f>
        <v>4.4290909090909089E-2</v>
      </c>
      <c r="P612" s="45">
        <f>(OTE!$E$31+OTE!$E$32)/OTE!$E$11</f>
        <v>5.163636363636364E-2</v>
      </c>
      <c r="Q612" s="45">
        <f>(OTE!$F$31+OTE!$F$32)/OTE!$F$11</f>
        <v>5.4218181818181804E-2</v>
      </c>
      <c r="R612" s="45">
        <f>(OTE!$G$31+OTE!$G$32)/OTE!$G$11</f>
        <v>5.6929090909090908E-2</v>
      </c>
      <c r="S612" s="45">
        <f>OTE!$H$46</f>
        <v>5.2838609974597883E-2</v>
      </c>
      <c r="T612" s="46"/>
      <c r="U612" s="48" t="str">
        <f t="shared" si="150"/>
        <v>EUR 13.75</v>
      </c>
      <c r="V612" s="69" t="str">
        <f t="shared" si="150"/>
        <v>OTE</v>
      </c>
      <c r="X612" s="43"/>
    </row>
    <row r="613" spans="1:113">
      <c r="A613" s="41"/>
      <c r="C613" s="48" t="s">
        <v>817</v>
      </c>
      <c r="D613" s="44" t="str">
        <f t="shared" si="149"/>
        <v>EUR 7.4</v>
      </c>
      <c r="E613" s="44" t="str">
        <f t="shared" si="149"/>
        <v>EUR 10.0</v>
      </c>
      <c r="F613" s="45">
        <f t="shared" si="149"/>
        <v>0.35135135135135132</v>
      </c>
      <c r="G613" s="44" t="str">
        <f t="shared" si="149"/>
        <v>Neutral</v>
      </c>
      <c r="H613" s="46"/>
      <c r="I613" s="45">
        <f>PROX!$D$32/PROX!$D$11</f>
        <v>0</v>
      </c>
      <c r="J613" s="45">
        <f>PROX!$E$32/PROX!$E$11</f>
        <v>0</v>
      </c>
      <c r="K613" s="45">
        <f>PROX!$F$32/PROX!$F$11</f>
        <v>0</v>
      </c>
      <c r="L613" s="45">
        <f>PROX!$G$32/PROX!$G$11</f>
        <v>0</v>
      </c>
      <c r="M613" s="45" t="str">
        <f>PROX!$H$32</f>
        <v>nm</v>
      </c>
      <c r="N613" s="46"/>
      <c r="O613" s="45">
        <f>(PROX!$D$31+PROX!$D$32)/PROX!$D$11</f>
        <v>0.16216216216216214</v>
      </c>
      <c r="P613" s="45">
        <f>(PROX!$E$31+PROX!$E$32)/PROX!$E$11</f>
        <v>0.13513513513513511</v>
      </c>
      <c r="Q613" s="45">
        <f>(PROX!$F$31+PROX!$F$32)/PROX!$F$11</f>
        <v>8.1081081081081072E-2</v>
      </c>
      <c r="R613" s="45">
        <f>(PROX!$G$31+PROX!$G$32)/PROX!$G$11</f>
        <v>8.1081081081081072E-2</v>
      </c>
      <c r="S613" s="45">
        <f>PROX!$H$46</f>
        <v>-0.20629947401590021</v>
      </c>
      <c r="T613" s="46"/>
      <c r="U613" s="48" t="str">
        <f t="shared" ref="U613:U618" si="151">U553</f>
        <v>EUR 7.4</v>
      </c>
      <c r="V613" s="69" t="s">
        <v>817</v>
      </c>
      <c r="X613" s="43"/>
      <c r="Y613" s="76"/>
    </row>
    <row r="614" spans="1:113">
      <c r="C614" s="48" t="s">
        <v>463</v>
      </c>
      <c r="D614" s="44" t="str">
        <f t="shared" si="149"/>
        <v>CHF492</v>
      </c>
      <c r="E614" s="44" t="str">
        <f t="shared" si="149"/>
        <v>CHF620</v>
      </c>
      <c r="F614" s="45">
        <f t="shared" si="149"/>
        <v>0.26016260162601634</v>
      </c>
      <c r="G614" s="44" t="str">
        <f t="shared" si="149"/>
        <v>Neutral</v>
      </c>
      <c r="H614" s="46"/>
      <c r="I614" s="45">
        <f>SWISS!$D$32/SWISS!$D$11</f>
        <v>0</v>
      </c>
      <c r="J614" s="45">
        <f>SWISS!$E$32/SWISS!$E$11</f>
        <v>0</v>
      </c>
      <c r="K614" s="45">
        <f>SWISS!$F$32/SWISS!$F$11</f>
        <v>0</v>
      </c>
      <c r="L614" s="45">
        <f>SWISS!$G$32/SWISS!$G$11</f>
        <v>0</v>
      </c>
      <c r="M614" s="45" t="str">
        <f>SWISS!$H$32</f>
        <v>nm</v>
      </c>
      <c r="N614" s="46"/>
      <c r="O614" s="45">
        <f>(SWISS!$D$31+SWISS!$D$32)/SWISS!$D$11</f>
        <v>4.4715447154471545E-2</v>
      </c>
      <c r="P614" s="45">
        <f>(SWISS!$E$31+SWISS!$E$32)/SWISS!$E$11</f>
        <v>4.4715447154471545E-2</v>
      </c>
      <c r="Q614" s="45">
        <f>(SWISS!$F$31+SWISS!$F$32)/SWISS!$F$11</f>
        <v>4.4715447154471545E-2</v>
      </c>
      <c r="R614" s="45">
        <f>(SWISS!$G$31+SWISS!$G$32)/SWISS!$G$11</f>
        <v>4.4715447154471545E-2</v>
      </c>
      <c r="S614" s="45">
        <f>SWISS!$H$46</f>
        <v>0</v>
      </c>
      <c r="T614" s="46"/>
      <c r="U614" s="48" t="str">
        <f t="shared" si="151"/>
        <v>CHF492</v>
      </c>
      <c r="V614" s="69" t="str">
        <f t="shared" ref="V614:V619" si="152">V554</f>
        <v>Swisscom</v>
      </c>
    </row>
    <row r="615" spans="1:113">
      <c r="A615" s="41"/>
      <c r="C615" s="48" t="s">
        <v>270</v>
      </c>
      <c r="D615" s="44" t="str">
        <f t="shared" si="149"/>
        <v>EUR 0.25</v>
      </c>
      <c r="E615" s="44" t="str">
        <f t="shared" si="149"/>
        <v>EUR 0.35</v>
      </c>
      <c r="F615" s="45">
        <f t="shared" si="149"/>
        <v>0.42103126268777902</v>
      </c>
      <c r="G615" s="44" t="str">
        <f t="shared" si="149"/>
        <v>Buy</v>
      </c>
      <c r="H615" s="46"/>
      <c r="I615" s="45">
        <f>TI!$D$32/TI!$D$11</f>
        <v>0</v>
      </c>
      <c r="J615" s="45">
        <f>TI!$E$32/TI!$E$11</f>
        <v>0</v>
      </c>
      <c r="K615" s="45">
        <f>TI!$F$32/TI!$F$11</f>
        <v>0</v>
      </c>
      <c r="L615" s="45">
        <f>TI!$G$32/TI!$G$11</f>
        <v>0</v>
      </c>
      <c r="M615" s="45" t="str">
        <f>TI!$H$32</f>
        <v>nm</v>
      </c>
      <c r="N615" s="46"/>
      <c r="O615" s="45">
        <f>(TI!$D$31+TI!$D$32)/TI!$D$11</f>
        <v>0</v>
      </c>
      <c r="P615" s="45">
        <f>(TI!$E$31+TI!$E$32)/TI!$E$11</f>
        <v>0</v>
      </c>
      <c r="Q615" s="45">
        <f>(TI!$F$31+TI!$F$32)/TI!$F$11</f>
        <v>0</v>
      </c>
      <c r="R615" s="45">
        <f>(TI!$G$31+TI!$G$32)/TI!$G$11</f>
        <v>0</v>
      </c>
      <c r="S615" s="45" t="str">
        <f>TI!$H$46</f>
        <v>nm</v>
      </c>
      <c r="T615" s="46"/>
      <c r="U615" s="48" t="str">
        <f t="shared" si="151"/>
        <v>EUR 0.25</v>
      </c>
      <c r="V615" s="69" t="str">
        <f t="shared" si="152"/>
        <v>Telecom Italia</v>
      </c>
      <c r="BF615" s="39"/>
      <c r="BG615" s="39"/>
      <c r="BH615" s="39"/>
      <c r="BI615" s="39"/>
      <c r="BJ615" s="39"/>
      <c r="BK615" s="39"/>
      <c r="BL615" s="39"/>
      <c r="BM615" s="39"/>
      <c r="BN615" s="39"/>
      <c r="BO615" s="39"/>
      <c r="BP615" s="39"/>
      <c r="BQ615" s="39"/>
      <c r="BR615" s="39"/>
      <c r="BS615" s="39"/>
      <c r="BT615" s="39"/>
      <c r="BU615" s="39"/>
      <c r="BV615" s="39"/>
      <c r="BW615" s="39"/>
      <c r="BX615" s="39"/>
      <c r="BY615" s="39"/>
      <c r="BZ615" s="39"/>
      <c r="CA615" s="39"/>
      <c r="CB615" s="39"/>
      <c r="CC615" s="39"/>
      <c r="CD615" s="39"/>
      <c r="CE615" s="39"/>
      <c r="CF615" s="39"/>
      <c r="CG615" s="39"/>
      <c r="CH615" s="39"/>
      <c r="CI615" s="39"/>
      <c r="CJ615" s="39"/>
      <c r="CK615" s="39"/>
      <c r="CL615" s="39"/>
      <c r="CM615" s="39"/>
      <c r="CN615" s="39"/>
      <c r="CO615" s="39"/>
      <c r="CP615" s="39"/>
      <c r="CQ615" s="39"/>
      <c r="CR615" s="39"/>
      <c r="CS615" s="39"/>
      <c r="CT615" s="39"/>
      <c r="CU615" s="39"/>
      <c r="CV615" s="39"/>
      <c r="CW615" s="39"/>
      <c r="CX615" s="39"/>
      <c r="CY615" s="39"/>
      <c r="CZ615" s="39"/>
      <c r="DA615" s="39"/>
      <c r="DB615" s="39"/>
      <c r="DC615" s="39"/>
      <c r="DD615" s="39"/>
      <c r="DE615" s="39"/>
      <c r="DF615" s="39"/>
      <c r="DG615" s="39"/>
      <c r="DH615" s="39"/>
      <c r="DI615" s="39"/>
    </row>
    <row r="616" spans="1:113">
      <c r="A616" s="41"/>
      <c r="C616" s="48" t="s">
        <v>461</v>
      </c>
      <c r="D616" s="44" t="str">
        <f t="shared" si="149"/>
        <v>EUR 4.16</v>
      </c>
      <c r="E616" s="44" t="str">
        <f t="shared" si="149"/>
        <v>EUR 4.80</v>
      </c>
      <c r="F616" s="45">
        <f t="shared" si="149"/>
        <v>0.15523465703971118</v>
      </c>
      <c r="G616" s="44" t="str">
        <f t="shared" si="149"/>
        <v>Buy</v>
      </c>
      <c r="H616" s="46"/>
      <c r="I616" s="45">
        <f>TEF!$D$32/TEF!$D$11</f>
        <v>0</v>
      </c>
      <c r="J616" s="45">
        <f>TEF!$E$32/TEF!$E$11</f>
        <v>0</v>
      </c>
      <c r="K616" s="45">
        <f>TEF!$F$32/TEF!$F$11</f>
        <v>0</v>
      </c>
      <c r="L616" s="45">
        <f>TEF!$G$32/TEF!$G$11</f>
        <v>0</v>
      </c>
      <c r="M616" s="45" t="str">
        <f>TEF!$H$32</f>
        <v>nm</v>
      </c>
      <c r="N616" s="46"/>
      <c r="O616" s="45">
        <f>(TEF!$D$31+TEF!$D$32)/TEF!$D$11</f>
        <v>7.2202166064981949E-2</v>
      </c>
      <c r="P616" s="45">
        <f>(TEF!$E$31+TEF!$E$32)/TEF!$E$11</f>
        <v>7.2202166064981949E-2</v>
      </c>
      <c r="Q616" s="45">
        <f>(TEF!$F$31+TEF!$F$32)/TEF!$F$11</f>
        <v>7.2202166064981949E-2</v>
      </c>
      <c r="R616" s="45">
        <f>(TEF!$G$31+TEF!$G$32)/TEF!$G$11</f>
        <v>7.2202166064981949E-2</v>
      </c>
      <c r="S616" s="45">
        <f>TEF!$H$46</f>
        <v>0</v>
      </c>
      <c r="T616" s="46"/>
      <c r="U616" s="48" t="str">
        <f t="shared" si="151"/>
        <v>EUR 4.16</v>
      </c>
      <c r="V616" s="69" t="str">
        <f t="shared" si="152"/>
        <v>Telefonica</v>
      </c>
      <c r="X616" s="43"/>
      <c r="Y616" s="76"/>
      <c r="BF616" s="39"/>
      <c r="BG616" s="39"/>
      <c r="BH616" s="39"/>
      <c r="BI616" s="39"/>
      <c r="BJ616" s="39"/>
      <c r="BK616" s="39"/>
      <c r="BL616" s="39"/>
      <c r="BM616" s="39"/>
      <c r="BN616" s="39"/>
      <c r="BO616" s="39"/>
      <c r="BP616" s="39"/>
      <c r="BQ616" s="39"/>
      <c r="BR616" s="39"/>
      <c r="BS616" s="39"/>
      <c r="BT616" s="39"/>
      <c r="BU616" s="39"/>
      <c r="BV616" s="39"/>
      <c r="BW616" s="39"/>
      <c r="BX616" s="39"/>
      <c r="BY616" s="39"/>
      <c r="BZ616" s="39"/>
      <c r="CA616" s="39"/>
      <c r="CB616" s="39"/>
      <c r="CC616" s="39"/>
      <c r="CD616" s="39"/>
      <c r="CE616" s="39"/>
      <c r="CF616" s="39"/>
      <c r="CG616" s="39"/>
      <c r="CH616" s="39"/>
      <c r="CI616" s="39"/>
      <c r="CJ616" s="39"/>
      <c r="CK616" s="39"/>
      <c r="CL616" s="39"/>
      <c r="CM616" s="39"/>
      <c r="CN616" s="39"/>
      <c r="CO616" s="39"/>
      <c r="CP616" s="39"/>
      <c r="CQ616" s="39"/>
      <c r="CR616" s="39"/>
      <c r="CS616" s="39"/>
      <c r="CT616" s="39"/>
      <c r="CU616" s="39"/>
      <c r="CV616" s="39"/>
      <c r="CW616" s="39"/>
      <c r="CX616" s="39"/>
      <c r="CY616" s="39"/>
      <c r="CZ616" s="39"/>
      <c r="DA616" s="39"/>
      <c r="DB616" s="39"/>
      <c r="DC616" s="39"/>
      <c r="DD616" s="39"/>
      <c r="DE616" s="39"/>
      <c r="DF616" s="39"/>
      <c r="DG616" s="39"/>
      <c r="DH616" s="39"/>
      <c r="DI616" s="39"/>
    </row>
    <row r="617" spans="1:113">
      <c r="A617" s="41"/>
      <c r="C617" s="48" t="s">
        <v>462</v>
      </c>
      <c r="D617" s="44" t="str">
        <f t="shared" si="149"/>
        <v>NOK 124</v>
      </c>
      <c r="E617" s="44" t="str">
        <f t="shared" si="149"/>
        <v>NOK 136</v>
      </c>
      <c r="F617" s="45">
        <f t="shared" si="149"/>
        <v>9.9434114793855999E-2</v>
      </c>
      <c r="G617" s="44" t="str">
        <f t="shared" si="149"/>
        <v>Buy</v>
      </c>
      <c r="H617" s="46"/>
      <c r="I617" s="45">
        <f>TNOR!$D$32/TNOR!$D$11</f>
        <v>0</v>
      </c>
      <c r="J617" s="45">
        <f>TNOR!$E$32/TNOR!$E$11</f>
        <v>0</v>
      </c>
      <c r="K617" s="45">
        <f>TNOR!$F$32/TNOR!$F$11</f>
        <v>0</v>
      </c>
      <c r="L617" s="45">
        <f>TNOR!$G$32/TNOR!$G$11</f>
        <v>0</v>
      </c>
      <c r="M617" s="45" t="str">
        <f>TNOR!$H$32</f>
        <v>nm</v>
      </c>
      <c r="N617" s="46"/>
      <c r="O617" s="45">
        <f>(TNOR!$D$31+TNOR!$D$32)/TNOR!$D$11</f>
        <v>7.7130153597413084E-2</v>
      </c>
      <c r="P617" s="45">
        <f>(TNOR!$E$31+TNOR!$E$32)/TNOR!$E$11</f>
        <v>7.8287105901374276E-2</v>
      </c>
      <c r="Q617" s="45">
        <f>(TNOR!$F$31+TNOR!$F$32)/TNOR!$F$11</f>
        <v>7.9852848019401762E-2</v>
      </c>
      <c r="R617" s="45">
        <f>(TNOR!$G$31+TNOR!$G$32)/TNOR!$G$11</f>
        <v>8.2647697700080819E-2</v>
      </c>
      <c r="S617" s="45">
        <f>TNOR!$H$46</f>
        <v>2.0347606146203789E-2</v>
      </c>
      <c r="T617" s="46"/>
      <c r="U617" s="48" t="str">
        <f t="shared" si="151"/>
        <v>NOK 124</v>
      </c>
      <c r="V617" s="44" t="str">
        <f t="shared" si="152"/>
        <v>Telenor</v>
      </c>
      <c r="X617" s="43"/>
      <c r="Y617" s="76"/>
      <c r="BF617" s="39"/>
      <c r="BG617" s="39"/>
      <c r="BH617" s="39"/>
      <c r="BI617" s="39"/>
      <c r="BJ617" s="39"/>
      <c r="BK617" s="39"/>
      <c r="BL617" s="39"/>
      <c r="BM617" s="39"/>
      <c r="BN617" s="39"/>
      <c r="BO617" s="39"/>
      <c r="BP617" s="39"/>
      <c r="BQ617" s="39"/>
      <c r="BR617" s="39"/>
      <c r="BS617" s="39"/>
      <c r="BT617" s="39"/>
      <c r="BU617" s="39"/>
      <c r="BV617" s="39"/>
      <c r="BW617" s="39"/>
      <c r="BX617" s="39"/>
      <c r="BY617" s="39"/>
      <c r="BZ617" s="39"/>
      <c r="CA617" s="39"/>
      <c r="CB617" s="39"/>
      <c r="CC617" s="39"/>
      <c r="CD617" s="39"/>
      <c r="CE617" s="39"/>
      <c r="CF617" s="39"/>
      <c r="CG617" s="39"/>
      <c r="CH617" s="39"/>
      <c r="CI617" s="39"/>
      <c r="CJ617" s="39"/>
      <c r="CK617" s="39"/>
      <c r="CL617" s="39"/>
      <c r="CM617" s="39"/>
      <c r="CN617" s="39"/>
      <c r="CO617" s="39"/>
      <c r="CP617" s="39"/>
      <c r="CQ617" s="39"/>
      <c r="CR617" s="39"/>
      <c r="CS617" s="39"/>
      <c r="CT617" s="39"/>
      <c r="CU617" s="39"/>
      <c r="CV617" s="39"/>
      <c r="CW617" s="39"/>
      <c r="CX617" s="39"/>
      <c r="CY617" s="39"/>
      <c r="CZ617" s="39"/>
      <c r="DA617" s="39"/>
      <c r="DB617" s="39"/>
      <c r="DC617" s="39"/>
      <c r="DD617" s="39"/>
      <c r="DE617" s="39"/>
      <c r="DF617" s="39"/>
      <c r="DG617" s="39"/>
      <c r="DH617" s="39"/>
      <c r="DI617" s="39"/>
    </row>
    <row r="618" spans="1:113">
      <c r="A618" s="41"/>
      <c r="C618" s="48" t="s">
        <v>1039</v>
      </c>
      <c r="D618" s="44" t="str">
        <f t="shared" si="149"/>
        <v>SEK26.4</v>
      </c>
      <c r="E618" s="44" t="str">
        <f t="shared" si="149"/>
        <v>SEK36.0</v>
      </c>
      <c r="F618" s="45">
        <f t="shared" si="149"/>
        <v>0.36415308829101933</v>
      </c>
      <c r="G618" s="44" t="str">
        <f t="shared" si="149"/>
        <v>Buy</v>
      </c>
      <c r="H618" s="46"/>
      <c r="I618" s="45">
        <f>TELIA!$D$32/TELIA!$D$11</f>
        <v>0</v>
      </c>
      <c r="J618" s="45">
        <f>TELIA!$E$32/TELIA!$E$11</f>
        <v>0</v>
      </c>
      <c r="K618" s="45">
        <f>TELIA!$F$32/TELIA!$F$11</f>
        <v>0</v>
      </c>
      <c r="L618" s="45">
        <f>TELIA!$G$32/TELIA!$G$11</f>
        <v>0</v>
      </c>
      <c r="M618" s="45" t="str">
        <f>TELIA!$H$32</f>
        <v>nm</v>
      </c>
      <c r="N618" s="46"/>
      <c r="O618" s="45">
        <f>(TELIA!$D$31+TELIA!$D$32)/TELIA!$D$11</f>
        <v>7.5786282682834397E-2</v>
      </c>
      <c r="P618" s="45">
        <f>(TELIA!$E$31+TELIA!$E$32)/TELIA!$E$11</f>
        <v>7.5786282682834397E-2</v>
      </c>
      <c r="Q618" s="45">
        <f>(TELIA!$F$31+TELIA!$F$32)/TELIA!$F$11</f>
        <v>7.7680939749905253E-2</v>
      </c>
      <c r="R618" s="45">
        <f>(TELIA!$G$31+TELIA!$G$32)/TELIA!$G$11</f>
        <v>7.9622963243652894E-2</v>
      </c>
      <c r="S618" s="45">
        <f>TELIA!$H$46</f>
        <v>1.6597982758808305E-2</v>
      </c>
      <c r="T618" s="46"/>
      <c r="U618" s="48" t="str">
        <f t="shared" si="151"/>
        <v>SEK26.4</v>
      </c>
      <c r="V618" s="44" t="str">
        <f t="shared" si="152"/>
        <v>Telia</v>
      </c>
      <c r="X618" s="43"/>
      <c r="Y618" s="76"/>
      <c r="BF618" s="39"/>
      <c r="BG618" s="39"/>
      <c r="BH618" s="39"/>
      <c r="BI618" s="39"/>
      <c r="BJ618" s="39"/>
      <c r="BK618" s="39"/>
      <c r="BL618" s="39"/>
      <c r="BM618" s="39"/>
      <c r="BN618" s="39"/>
      <c r="BO618" s="39"/>
      <c r="BP618" s="39"/>
      <c r="BQ618" s="39"/>
      <c r="BR618" s="39"/>
      <c r="BS618" s="39"/>
      <c r="BT618" s="39"/>
      <c r="BU618" s="39"/>
      <c r="BV618" s="39"/>
      <c r="BW618" s="39"/>
      <c r="BX618" s="39"/>
      <c r="BY618" s="39"/>
      <c r="BZ618" s="39"/>
      <c r="CA618" s="39"/>
      <c r="CB618" s="39"/>
      <c r="CC618" s="39"/>
      <c r="CD618" s="39"/>
      <c r="CE618" s="39"/>
      <c r="CF618" s="39"/>
      <c r="CG618" s="39"/>
      <c r="CH618" s="39"/>
      <c r="CI618" s="39"/>
      <c r="CJ618" s="39"/>
      <c r="CK618" s="39"/>
      <c r="CL618" s="39"/>
      <c r="CM618" s="39"/>
      <c r="CN618" s="39"/>
      <c r="CO618" s="39"/>
      <c r="CP618" s="39"/>
      <c r="CQ618" s="39"/>
      <c r="CR618" s="39"/>
      <c r="CS618" s="39"/>
      <c r="CT618" s="39"/>
      <c r="CU618" s="39"/>
      <c r="CV618" s="39"/>
      <c r="CW618" s="39"/>
      <c r="CX618" s="39"/>
      <c r="CY618" s="39"/>
      <c r="CZ618" s="39"/>
      <c r="DA618" s="39"/>
      <c r="DB618" s="39"/>
      <c r="DC618" s="39"/>
      <c r="DD618" s="39"/>
      <c r="DE618" s="39"/>
      <c r="DF618" s="39"/>
      <c r="DG618" s="39"/>
      <c r="DH618" s="39"/>
      <c r="DI618" s="39"/>
    </row>
    <row r="619" spans="1:113">
      <c r="A619" s="41"/>
      <c r="C619" s="51" t="str">
        <f>C559</f>
        <v>Agg. W.Europe Incumbent</v>
      </c>
      <c r="D619" s="52"/>
      <c r="E619" s="52"/>
      <c r="F619" s="53"/>
      <c r="G619" s="52"/>
      <c r="H619" s="46"/>
      <c r="I619" s="55">
        <f>'W.EUR INCUMB'!$D$32/'W.EUR INCUMB'!$D$11</f>
        <v>0</v>
      </c>
      <c r="J619" s="55">
        <f>'W.EUR INCUMB'!$E$32/'W.EUR INCUMB'!$E$11</f>
        <v>0</v>
      </c>
      <c r="K619" s="55">
        <f>'W.EUR INCUMB'!$F$32/'W.EUR INCUMB'!$F$11</f>
        <v>0</v>
      </c>
      <c r="L619" s="55">
        <f>'W.EUR INCUMB'!$G$32/'W.EUR INCUMB'!$G$11</f>
        <v>0</v>
      </c>
      <c r="M619" s="55" t="str">
        <f>'W.EUR INCUMB'!$H$32</f>
        <v>nm</v>
      </c>
      <c r="N619" s="56"/>
      <c r="O619" s="55">
        <f>('W.EUR INCUMB'!$D$31+'W.EUR INCUMB'!$D$32)/'W.EUR INCUMB'!$D$11</f>
        <v>4.9929768285127372E-2</v>
      </c>
      <c r="P619" s="55">
        <f>('W.EUR INCUMB'!$E$31+'W.EUR INCUMB'!$E$32)/'W.EUR INCUMB'!$E$11</f>
        <v>5.2540326500089954E-2</v>
      </c>
      <c r="Q619" s="55">
        <f>('W.EUR INCUMB'!$F$31+'W.EUR INCUMB'!$F$32)/'W.EUR INCUMB'!$F$11</f>
        <v>5.4852141769022943E-2</v>
      </c>
      <c r="R619" s="55">
        <f>('W.EUR INCUMB'!$G$31+'W.EUR INCUMB'!$G$32)/'W.EUR INCUMB'!$G$11</f>
        <v>5.8322596586761276E-2</v>
      </c>
      <c r="S619" s="55">
        <f>'W.EUR INCUMB'!$H$46</f>
        <v>4.8261067786518064E-2</v>
      </c>
      <c r="T619" s="46"/>
      <c r="U619" s="57"/>
      <c r="V619" s="58" t="str">
        <f t="shared" si="152"/>
        <v>Agg. W.Europe Incumbent</v>
      </c>
      <c r="X619" s="43"/>
      <c r="Y619" s="76"/>
      <c r="BF619" s="39"/>
      <c r="BG619" s="39"/>
      <c r="BH619" s="39"/>
      <c r="BI619" s="39"/>
      <c r="BJ619" s="39"/>
      <c r="BK619" s="39"/>
      <c r="BL619" s="39"/>
      <c r="BM619" s="39"/>
      <c r="BN619" s="39"/>
      <c r="BO619" s="39"/>
      <c r="BP619" s="39"/>
      <c r="BQ619" s="39"/>
      <c r="BR619" s="39"/>
      <c r="BS619" s="39"/>
      <c r="BT619" s="39"/>
      <c r="BU619" s="39"/>
      <c r="BV619" s="39"/>
      <c r="BW619" s="39"/>
      <c r="BX619" s="39"/>
      <c r="BY619" s="39"/>
      <c r="BZ619" s="39"/>
      <c r="CA619" s="39"/>
      <c r="CB619" s="39"/>
      <c r="CC619" s="39"/>
      <c r="CD619" s="39"/>
      <c r="CE619" s="39"/>
      <c r="CF619" s="39"/>
      <c r="CG619" s="39"/>
      <c r="CH619" s="39"/>
      <c r="CI619" s="39"/>
      <c r="CJ619" s="39"/>
      <c r="CK619" s="39"/>
      <c r="CL619" s="39"/>
      <c r="CM619" s="39"/>
      <c r="CN619" s="39"/>
      <c r="CO619" s="39"/>
      <c r="CP619" s="39"/>
      <c r="CQ619" s="39"/>
      <c r="CR619" s="39"/>
      <c r="CS619" s="39"/>
      <c r="CT619" s="39"/>
      <c r="CU619" s="39"/>
      <c r="CV619" s="39"/>
      <c r="CW619" s="39"/>
      <c r="CX619" s="39"/>
      <c r="CY619" s="39"/>
      <c r="CZ619" s="39"/>
      <c r="DA619" s="39"/>
      <c r="DB619" s="39"/>
      <c r="DC619" s="39"/>
      <c r="DD619" s="39"/>
      <c r="DE619" s="39"/>
      <c r="DF619" s="39"/>
      <c r="DG619" s="39"/>
      <c r="DH619" s="39"/>
      <c r="DI619" s="39"/>
    </row>
    <row r="620" spans="1:113">
      <c r="A620" s="41"/>
      <c r="C620" s="48"/>
      <c r="D620" s="44"/>
      <c r="E620" s="44"/>
      <c r="F620" s="45"/>
      <c r="G620" s="44"/>
      <c r="H620" s="46"/>
      <c r="I620" s="45"/>
      <c r="J620" s="45"/>
      <c r="K620" s="45"/>
      <c r="L620" s="45"/>
      <c r="M620" s="45"/>
      <c r="N620" s="46"/>
      <c r="O620" s="45"/>
      <c r="P620" s="45"/>
      <c r="Q620" s="45"/>
      <c r="R620" s="45"/>
      <c r="S620" s="45"/>
      <c r="T620" s="46"/>
      <c r="U620" s="48"/>
      <c r="V620" s="44"/>
      <c r="BF620" s="39"/>
      <c r="BG620" s="39"/>
      <c r="BH620" s="39"/>
      <c r="BI620" s="39"/>
      <c r="BJ620" s="39"/>
      <c r="BK620" s="39"/>
      <c r="BL620" s="39"/>
      <c r="BM620" s="39"/>
      <c r="BN620" s="39"/>
      <c r="BO620" s="39"/>
      <c r="BP620" s="39"/>
      <c r="BQ620" s="39"/>
      <c r="BR620" s="39"/>
      <c r="BS620" s="39"/>
      <c r="BT620" s="39"/>
      <c r="BU620" s="39"/>
      <c r="BV620" s="39"/>
      <c r="BW620" s="39"/>
      <c r="BX620" s="39"/>
      <c r="BY620" s="39"/>
      <c r="BZ620" s="39"/>
      <c r="CA620" s="39"/>
      <c r="CB620" s="39"/>
      <c r="CC620" s="39"/>
      <c r="CD620" s="39"/>
      <c r="CE620" s="39"/>
      <c r="CF620" s="39"/>
      <c r="CG620" s="39"/>
      <c r="CH620" s="39"/>
      <c r="CI620" s="39"/>
      <c r="CJ620" s="39"/>
      <c r="CK620" s="39"/>
      <c r="CL620" s="39"/>
      <c r="CM620" s="39"/>
      <c r="CN620" s="39"/>
      <c r="CO620" s="39"/>
      <c r="CP620" s="39"/>
      <c r="CQ620" s="39"/>
      <c r="CR620" s="39"/>
      <c r="CS620" s="39"/>
      <c r="CT620" s="39"/>
      <c r="CU620" s="39"/>
      <c r="CV620" s="39"/>
      <c r="CW620" s="39"/>
      <c r="CX620" s="39"/>
      <c r="CY620" s="39"/>
      <c r="CZ620" s="39"/>
      <c r="DA620" s="39"/>
      <c r="DB620" s="39"/>
      <c r="DC620" s="39"/>
      <c r="DD620" s="39"/>
      <c r="DE620" s="39"/>
      <c r="DF620" s="39"/>
      <c r="DG620" s="39"/>
      <c r="DH620" s="39"/>
      <c r="DI620" s="39"/>
    </row>
    <row r="621" spans="1:113">
      <c r="A621" s="41"/>
      <c r="B621" s="42" t="s">
        <v>519</v>
      </c>
      <c r="C621" s="48" t="s">
        <v>491</v>
      </c>
      <c r="D621" s="44" t="str">
        <f>B621&amp;TEXT(Prices!$C$40,"0.0")</f>
        <v>US$17.5</v>
      </c>
      <c r="E621" s="44" t="str">
        <f>B621&amp;TEXT(Prices!$E$40,"0.00")</f>
        <v>US$21.00</v>
      </c>
      <c r="F621" s="45">
        <f>Prices!$F$40</f>
        <v>0.19999999999999996</v>
      </c>
      <c r="G621" s="44" t="str">
        <f>Prices!$D$40</f>
        <v>Neutral</v>
      </c>
      <c r="H621" s="46"/>
      <c r="I621" s="45">
        <f>ATT!$D$32/ATT!$D$11</f>
        <v>0</v>
      </c>
      <c r="J621" s="45">
        <f>ATT!$E$32/ATT!$E$11</f>
        <v>-3.6958707883617025E-6</v>
      </c>
      <c r="K621" s="45">
        <f>ATT!$F$32/ATT!$F$11</f>
        <v>0</v>
      </c>
      <c r="L621" s="45">
        <f>ATT!$G$32/ATT!$G$11</f>
        <v>0</v>
      </c>
      <c r="M621" s="45" t="str">
        <f>ATT!$H$32</f>
        <v>nm</v>
      </c>
      <c r="N621" s="46"/>
      <c r="O621" s="45">
        <f>(ATT!$D$31+ATT!$D$32)/ATT!$D$11</f>
        <v>6.4692727435369884E-2</v>
      </c>
      <c r="P621" s="45">
        <f>(ATT!$E$31+ATT!$E$32)/ATT!$E$11</f>
        <v>6.4700199871905881E-2</v>
      </c>
      <c r="Q621" s="45">
        <f>(ATT!$F$31+ATT!$F$32)/ATT!$F$11</f>
        <v>6.4703895742694251E-2</v>
      </c>
      <c r="R621" s="45">
        <f>(ATT!$G$31+ATT!$G$32)/ATT!$G$11</f>
        <v>6.4703895742694251E-2</v>
      </c>
      <c r="S621" s="45">
        <f>ATT!$H$46</f>
        <v>2.6623524164381962E-4</v>
      </c>
      <c r="T621" s="46"/>
      <c r="U621" s="48" t="str">
        <f>D621</f>
        <v>US$17.5</v>
      </c>
      <c r="V621" s="44" t="str">
        <f>C621</f>
        <v xml:space="preserve">AT&amp;T </v>
      </c>
      <c r="X621" s="43"/>
      <c r="Y621" s="76"/>
      <c r="BF621" s="39"/>
      <c r="BG621" s="39"/>
      <c r="BH621" s="39"/>
      <c r="BI621" s="39"/>
      <c r="BJ621" s="39"/>
      <c r="BK621" s="39"/>
      <c r="BL621" s="39"/>
      <c r="BM621" s="39"/>
      <c r="BN621" s="39"/>
      <c r="BO621" s="39"/>
      <c r="BP621" s="39"/>
      <c r="BQ621" s="39"/>
      <c r="BR621" s="39"/>
      <c r="BS621" s="39"/>
      <c r="BT621" s="39"/>
      <c r="BU621" s="39"/>
      <c r="BV621" s="39"/>
      <c r="BW621" s="39"/>
      <c r="BX621" s="39"/>
      <c r="BY621" s="39"/>
      <c r="BZ621" s="39"/>
      <c r="CA621" s="39"/>
      <c r="CB621" s="39"/>
      <c r="CC621" s="39"/>
      <c r="CD621" s="39"/>
      <c r="CE621" s="39"/>
      <c r="CF621" s="39"/>
      <c r="CG621" s="39"/>
      <c r="CH621" s="39"/>
      <c r="CI621" s="39"/>
      <c r="CJ621" s="39"/>
      <c r="CK621" s="39"/>
      <c r="CL621" s="39"/>
      <c r="CM621" s="39"/>
      <c r="CN621" s="39"/>
      <c r="CO621" s="39"/>
      <c r="CP621" s="39"/>
      <c r="CQ621" s="39"/>
      <c r="CR621" s="39"/>
      <c r="CS621" s="39"/>
      <c r="CT621" s="39"/>
      <c r="CU621" s="39"/>
      <c r="CV621" s="39"/>
      <c r="CW621" s="39"/>
      <c r="CX621" s="39"/>
      <c r="CY621" s="39"/>
      <c r="CZ621" s="39"/>
      <c r="DA621" s="39"/>
      <c r="DB621" s="39"/>
      <c r="DC621" s="39"/>
      <c r="DD621" s="39"/>
      <c r="DE621" s="39"/>
      <c r="DF621" s="39"/>
      <c r="DG621" s="39"/>
      <c r="DH621" s="39"/>
      <c r="DI621" s="39"/>
    </row>
    <row r="622" spans="1:113">
      <c r="B622" s="42" t="s">
        <v>519</v>
      </c>
      <c r="C622" s="48" t="s">
        <v>693</v>
      </c>
      <c r="D622" s="44" t="str">
        <f>B622&amp;TEXT(Prices!$C$41,"0.0")</f>
        <v>US$166.0</v>
      </c>
      <c r="E622" s="44" t="str">
        <f>B622&amp;TEXT(Prices!$E$41,"0.0")</f>
        <v>US$205.0</v>
      </c>
      <c r="F622" s="45">
        <f>Prices!$F$41</f>
        <v>0.23493975903614461</v>
      </c>
      <c r="G622" s="44" t="str">
        <f>Prices!$D$41</f>
        <v>Buy</v>
      </c>
      <c r="H622" s="46"/>
      <c r="I622" s="45">
        <f>TMUS!$D$32/TMUS!$D$11</f>
        <v>6.3463757664964343E-2</v>
      </c>
      <c r="J622" s="45">
        <f>TMUS!$E$32/TMUS!$E$11</f>
        <v>9.0647512282420628E-2</v>
      </c>
      <c r="K622" s="45">
        <f>TMUS!$F$32/TMUS!$F$11</f>
        <v>0.10855209496998051</v>
      </c>
      <c r="L622" s="45">
        <f>TMUS!$G$32/TMUS!$G$11</f>
        <v>0.13397596708546031</v>
      </c>
      <c r="M622" s="45">
        <f>TMUS!$H$32</f>
        <v>0.17195801699036917</v>
      </c>
      <c r="N622" s="46"/>
      <c r="O622" s="45">
        <f>(TMUS!$D$31+TMUS!$D$32)/TMUS!$D$11</f>
        <v>6.708984202902496E-2</v>
      </c>
      <c r="P622" s="45">
        <f>(TMUS!$E$31+TMUS!$E$32)/TMUS!$E$11</f>
        <v>0.10649666307423737</v>
      </c>
      <c r="Q622" s="45">
        <f>(TMUS!$F$31+TMUS!$F$32)/TMUS!$F$11</f>
        <v>0.12611337496203978</v>
      </c>
      <c r="R622" s="45">
        <f>(TMUS!$G$31+TMUS!$G$32)/TMUS!$G$11</f>
        <v>0.15437140296800866</v>
      </c>
      <c r="S622" s="45">
        <f>IFERROR(TMUS!$H$46,"na")</f>
        <v>0.17195801699036917</v>
      </c>
      <c r="T622" s="46"/>
      <c r="U622" s="48" t="str">
        <f>D622</f>
        <v>US$166.0</v>
      </c>
      <c r="V622" s="44" t="str">
        <f>C622</f>
        <v>TMUS</v>
      </c>
      <c r="X622" s="43"/>
      <c r="Y622" s="76"/>
      <c r="BF622" s="39"/>
      <c r="BG622" s="39"/>
      <c r="BH622" s="39"/>
      <c r="BI622" s="39"/>
      <c r="BJ622" s="39"/>
      <c r="BK622" s="39"/>
      <c r="BL622" s="39"/>
      <c r="BM622" s="39"/>
      <c r="BN622" s="39"/>
      <c r="BO622" s="39"/>
      <c r="BP622" s="39"/>
      <c r="BQ622" s="39"/>
      <c r="BR622" s="39"/>
      <c r="BS622" s="39"/>
      <c r="BT622" s="39"/>
      <c r="BU622" s="39"/>
      <c r="BV622" s="39"/>
      <c r="BW622" s="39"/>
      <c r="BX622" s="39"/>
      <c r="BY622" s="39"/>
      <c r="BZ622" s="39"/>
      <c r="CA622" s="39"/>
      <c r="CB622" s="39"/>
      <c r="CC622" s="39"/>
      <c r="CD622" s="39"/>
      <c r="CE622" s="39"/>
      <c r="CF622" s="39"/>
      <c r="CG622" s="39"/>
      <c r="CH622" s="39"/>
      <c r="CI622" s="39"/>
      <c r="CJ622" s="39"/>
      <c r="CK622" s="39"/>
      <c r="CL622" s="39"/>
      <c r="CM622" s="39"/>
      <c r="CN622" s="39"/>
      <c r="CO622" s="39"/>
      <c r="CP622" s="39"/>
      <c r="CQ622" s="39"/>
      <c r="CR622" s="39"/>
      <c r="CS622" s="39"/>
      <c r="CT622" s="39"/>
      <c r="CU622" s="39"/>
      <c r="CV622" s="39"/>
      <c r="CW622" s="39"/>
      <c r="CX622" s="39"/>
      <c r="CY622" s="39"/>
      <c r="CZ622" s="39"/>
      <c r="DA622" s="39"/>
      <c r="DB622" s="39"/>
      <c r="DC622" s="39"/>
      <c r="DD622" s="39"/>
      <c r="DE622" s="39"/>
      <c r="DF622" s="39"/>
      <c r="DG622" s="39"/>
      <c r="DH622" s="39"/>
      <c r="DI622" s="39"/>
    </row>
    <row r="623" spans="1:113">
      <c r="A623" s="41"/>
      <c r="B623" s="42" t="s">
        <v>519</v>
      </c>
      <c r="C623" s="48" t="s">
        <v>33</v>
      </c>
      <c r="D623" s="44" t="str">
        <f>B623&amp;TEXT(Prices!$C$39,"0.0")</f>
        <v>US$39.7</v>
      </c>
      <c r="E623" s="44" t="str">
        <f>B623&amp;TEXT(Prices!$E$39,"0.00")</f>
        <v>US$45.00</v>
      </c>
      <c r="F623" s="45">
        <f>Prices!$F$39</f>
        <v>0.13236034222445903</v>
      </c>
      <c r="G623" s="44" t="str">
        <f>Prices!$D$39</f>
        <v>Neutral</v>
      </c>
      <c r="H623" s="46"/>
      <c r="I623" s="45">
        <f>VZN!$D$32/VZN!$D$11</f>
        <v>0</v>
      </c>
      <c r="J623" s="45">
        <f>VZN!$E$32/VZN!$E$11</f>
        <v>0</v>
      </c>
      <c r="K623" s="45">
        <f>VZN!$F$32/VZN!$F$11</f>
        <v>0</v>
      </c>
      <c r="L623" s="45">
        <f>VZN!$G$32/VZN!$G$11</f>
        <v>0</v>
      </c>
      <c r="M623" s="45" t="str">
        <f>VZN!$H$32</f>
        <v>nm</v>
      </c>
      <c r="N623" s="46"/>
      <c r="O623" s="45">
        <f>(VZN!$D$31+VZN!$D$32)/VZN!$D$11</f>
        <v>5.5660275125332177E-2</v>
      </c>
      <c r="P623" s="45">
        <f>(VZN!$E$31+VZN!$E$32)/VZN!$E$11</f>
        <v>5.7007077329677816E-2</v>
      </c>
      <c r="Q623" s="45">
        <f>(VZN!$F$31+VZN!$F$32)/VZN!$F$11</f>
        <v>5.8068661637493031E-2</v>
      </c>
      <c r="R623" s="45">
        <f>(VZN!$G$31+VZN!$G$32)/VZN!$G$11</f>
        <v>5.913024594530826E-2</v>
      </c>
      <c r="S623" s="45">
        <f>VZN!$H$46</f>
        <v>2.0403539933700809E-2</v>
      </c>
      <c r="T623" s="46"/>
      <c r="U623" s="48" t="str">
        <f>D623</f>
        <v>US$39.7</v>
      </c>
      <c r="V623" s="44" t="str">
        <f>C623</f>
        <v>Verizon</v>
      </c>
      <c r="X623" s="43"/>
      <c r="Y623" s="76"/>
      <c r="BF623" s="39"/>
      <c r="BG623" s="39"/>
      <c r="BH623" s="39"/>
      <c r="BI623" s="39"/>
      <c r="BJ623" s="39"/>
      <c r="BK623" s="39"/>
      <c r="BL623" s="39"/>
      <c r="BM623" s="39"/>
      <c r="BN623" s="39"/>
      <c r="BO623" s="39"/>
      <c r="BP623" s="39"/>
      <c r="BQ623" s="39"/>
      <c r="BR623" s="39"/>
      <c r="BS623" s="39"/>
      <c r="BT623" s="39"/>
      <c r="BU623" s="39"/>
      <c r="BV623" s="39"/>
      <c r="BW623" s="39"/>
      <c r="BX623" s="39"/>
      <c r="BY623" s="39"/>
      <c r="BZ623" s="39"/>
      <c r="CA623" s="39"/>
      <c r="CB623" s="39"/>
      <c r="CC623" s="39"/>
      <c r="CD623" s="39"/>
      <c r="CE623" s="39"/>
      <c r="CF623" s="39"/>
      <c r="CG623" s="39"/>
      <c r="CH623" s="39"/>
      <c r="CI623" s="39"/>
      <c r="CJ623" s="39"/>
      <c r="CK623" s="39"/>
      <c r="CL623" s="39"/>
      <c r="CM623" s="39"/>
      <c r="CN623" s="39"/>
      <c r="CO623" s="39"/>
      <c r="CP623" s="39"/>
      <c r="CQ623" s="39"/>
      <c r="CR623" s="39"/>
      <c r="CS623" s="39"/>
      <c r="CT623" s="39"/>
      <c r="CU623" s="39"/>
      <c r="CV623" s="39"/>
      <c r="CW623" s="39"/>
      <c r="CX623" s="39"/>
      <c r="CY623" s="39"/>
      <c r="CZ623" s="39"/>
      <c r="DA623" s="39"/>
      <c r="DB623" s="39"/>
      <c r="DC623" s="39"/>
      <c r="DD623" s="39"/>
      <c r="DE623" s="39"/>
      <c r="DF623" s="39"/>
      <c r="DG623" s="39"/>
      <c r="DH623" s="39"/>
      <c r="DI623" s="39"/>
    </row>
    <row r="624" spans="1:113">
      <c r="A624" s="41"/>
      <c r="C624" s="51" t="s">
        <v>262</v>
      </c>
      <c r="D624" s="52"/>
      <c r="E624" s="52"/>
      <c r="F624" s="53"/>
      <c r="G624" s="52"/>
      <c r="H624" s="46"/>
      <c r="I624" s="55">
        <f>'US TELCO'!$D$32/'US TELCO'!$D$11</f>
        <v>2.467501386794084E-2</v>
      </c>
      <c r="J624" s="55">
        <f>'US TELCO'!$E$32/'US TELCO'!$E$11</f>
        <v>3.3784052285535229E-2</v>
      </c>
      <c r="K624" s="55">
        <f>'US TELCO'!$F$32/'US TELCO'!$F$11</f>
        <v>3.794300758459461E-2</v>
      </c>
      <c r="L624" s="55">
        <f>'US TELCO'!$G$32/'US TELCO'!$G$11</f>
        <v>4.3750211255598789E-2</v>
      </c>
      <c r="M624" s="55">
        <f>'US TELCO'!$H$32</f>
        <v>0.17195801699036917</v>
      </c>
      <c r="N624" s="46"/>
      <c r="O624" s="55">
        <f>('US TELCO'!$D$31+'US TELCO'!$D$32)/'US TELCO'!$D$11</f>
        <v>6.2248073075755299E-2</v>
      </c>
      <c r="P624" s="55">
        <f>('US TELCO'!$E$31+'US TELCO'!$E$32)/'US TELCO'!$E$11</f>
        <v>7.7326889817020045E-2</v>
      </c>
      <c r="Q624" s="55">
        <f>('US TELCO'!$F$31+'US TELCO'!$F$32)/'US TELCO'!$F$11</f>
        <v>8.3529460308981493E-2</v>
      </c>
      <c r="R624" s="55">
        <f>('US TELCO'!$G$31+'US TELCO'!$G$32)/'US TELCO'!$G$11</f>
        <v>9.1689652210717787E-2</v>
      </c>
      <c r="S624" s="55">
        <f>'US TELCO'!$H$46</f>
        <v>0.10171503351667854</v>
      </c>
      <c r="T624" s="46"/>
      <c r="U624" s="57"/>
      <c r="V624" s="58" t="str">
        <f>C624</f>
        <v>Agg. US Telecoms</v>
      </c>
      <c r="BF624" s="39"/>
      <c r="BG624" s="39"/>
      <c r="BH624" s="39"/>
      <c r="BI624" s="39"/>
      <c r="BJ624" s="39"/>
      <c r="BK624" s="39"/>
      <c r="BL624" s="39"/>
      <c r="BM624" s="39"/>
      <c r="BN624" s="39"/>
      <c r="BO624" s="39"/>
      <c r="BP624" s="39"/>
      <c r="BQ624" s="39"/>
      <c r="BR624" s="39"/>
      <c r="BS624" s="39"/>
      <c r="BT624" s="39"/>
      <c r="BU624" s="39"/>
      <c r="BV624" s="39"/>
      <c r="BW624" s="39"/>
      <c r="BX624" s="39"/>
      <c r="BY624" s="39"/>
      <c r="BZ624" s="39"/>
      <c r="CA624" s="39"/>
      <c r="CB624" s="39"/>
      <c r="CC624" s="39"/>
      <c r="CD624" s="39"/>
      <c r="CE624" s="39"/>
      <c r="CF624" s="39"/>
      <c r="CG624" s="39"/>
      <c r="CH624" s="39"/>
      <c r="CI624" s="39"/>
      <c r="CJ624" s="39"/>
      <c r="CK624" s="39"/>
      <c r="CL624" s="39"/>
      <c r="CM624" s="39"/>
      <c r="CN624" s="39"/>
      <c r="CO624" s="39"/>
      <c r="CP624" s="39"/>
      <c r="CQ624" s="39"/>
      <c r="CR624" s="39"/>
      <c r="CS624" s="39"/>
      <c r="CT624" s="39"/>
      <c r="CU624" s="39"/>
      <c r="CV624" s="39"/>
      <c r="CW624" s="39"/>
      <c r="CX624" s="39"/>
      <c r="CY624" s="39"/>
      <c r="CZ624" s="39"/>
      <c r="DA624" s="39"/>
      <c r="DB624" s="39"/>
      <c r="DC624" s="39"/>
      <c r="DD624" s="39"/>
      <c r="DE624" s="39"/>
      <c r="DF624" s="39"/>
      <c r="DG624" s="39"/>
      <c r="DH624" s="39"/>
      <c r="DI624" s="39"/>
    </row>
    <row r="625" spans="1:113">
      <c r="A625" s="41"/>
      <c r="C625" s="48"/>
      <c r="D625" s="44"/>
      <c r="E625" s="44"/>
      <c r="F625" s="45"/>
      <c r="G625" s="44"/>
      <c r="H625" s="46"/>
      <c r="I625" s="45"/>
      <c r="J625" s="45"/>
      <c r="K625" s="45"/>
      <c r="L625" s="45"/>
      <c r="M625" s="45"/>
      <c r="N625" s="46"/>
      <c r="O625" s="45"/>
      <c r="P625" s="45"/>
      <c r="Q625" s="45"/>
      <c r="R625" s="45"/>
      <c r="S625" s="45"/>
      <c r="T625" s="46"/>
      <c r="U625" s="48"/>
      <c r="V625" s="44"/>
      <c r="BF625" s="39"/>
      <c r="BG625" s="39"/>
      <c r="BH625" s="39"/>
      <c r="BI625" s="39"/>
      <c r="BJ625" s="39"/>
      <c r="BK625" s="39"/>
      <c r="BL625" s="39"/>
      <c r="BM625" s="39"/>
      <c r="BN625" s="39"/>
      <c r="BO625" s="39"/>
      <c r="BP625" s="39"/>
      <c r="BQ625" s="39"/>
      <c r="BR625" s="39"/>
      <c r="BS625" s="39"/>
      <c r="BT625" s="39"/>
      <c r="BU625" s="39"/>
      <c r="BV625" s="39"/>
      <c r="BW625" s="39"/>
      <c r="BX625" s="39"/>
      <c r="BY625" s="39"/>
      <c r="BZ625" s="39"/>
      <c r="CA625" s="39"/>
      <c r="CB625" s="39"/>
      <c r="CC625" s="39"/>
      <c r="CD625" s="39"/>
      <c r="CE625" s="39"/>
      <c r="CF625" s="39"/>
      <c r="CG625" s="39"/>
      <c r="CH625" s="39"/>
      <c r="CI625" s="39"/>
      <c r="CJ625" s="39"/>
      <c r="CK625" s="39"/>
      <c r="CL625" s="39"/>
      <c r="CM625" s="39"/>
      <c r="CN625" s="39"/>
      <c r="CO625" s="39"/>
      <c r="CP625" s="39"/>
      <c r="CQ625" s="39"/>
      <c r="CR625" s="39"/>
      <c r="CS625" s="39"/>
      <c r="CT625" s="39"/>
      <c r="CU625" s="39"/>
      <c r="CV625" s="39"/>
      <c r="CW625" s="39"/>
      <c r="CX625" s="39"/>
      <c r="CY625" s="39"/>
      <c r="CZ625" s="39"/>
      <c r="DA625" s="39"/>
      <c r="DB625" s="39"/>
      <c r="DC625" s="39"/>
      <c r="DD625" s="39"/>
      <c r="DE625" s="39"/>
      <c r="DF625" s="39"/>
      <c r="DG625" s="39"/>
      <c r="DH625" s="39"/>
      <c r="DI625" s="39"/>
    </row>
    <row r="626" spans="1:113">
      <c r="A626" s="41"/>
      <c r="C626" s="48" t="str">
        <f t="shared" ref="C626:G629" si="153">C566</f>
        <v>NTT</v>
      </c>
      <c r="D626" s="44" t="str">
        <f t="shared" si="153"/>
        <v>JPY 153</v>
      </c>
      <c r="E626" s="44" t="str">
        <f t="shared" si="153"/>
        <v>JPY 240</v>
      </c>
      <c r="F626" s="45">
        <f t="shared" si="153"/>
        <v>0.57273918741808649</v>
      </c>
      <c r="G626" s="44" t="str">
        <f t="shared" si="153"/>
        <v>Buy</v>
      </c>
      <c r="H626" s="46"/>
      <c r="I626" s="45">
        <f>NTT!$D$32/NTT!$D$11</f>
        <v>0</v>
      </c>
      <c r="J626" s="45">
        <f>NTT!$E$32/NTT!$E$11</f>
        <v>0</v>
      </c>
      <c r="K626" s="45">
        <f>NTT!$F$32/NTT!$F$11</f>
        <v>0</v>
      </c>
      <c r="L626" s="45">
        <f>NTT!$G$32/NTT!$G$11</f>
        <v>0</v>
      </c>
      <c r="M626" s="45" t="str">
        <f>NTT!$H$32</f>
        <v>nm</v>
      </c>
      <c r="N626" s="46"/>
      <c r="O626" s="45">
        <f>(NTT!$D$31+NTT!$D$32)/NTT!$D$11</f>
        <v>3.3420707732634336E-2</v>
      </c>
      <c r="P626" s="45">
        <f>(NTT!$E$31+NTT!$E$32)/NTT!$E$11</f>
        <v>4.1939711664482314E-2</v>
      </c>
      <c r="Q626" s="45">
        <f>(NTT!$F$31+NTT!$F$32)/NTT!$F$11</f>
        <v>4.7182175622542601E-2</v>
      </c>
      <c r="R626" s="45">
        <f>(NTT!$G$31+NTT!$G$32)/NTT!$G$11</f>
        <v>5.2424639580602887E-2</v>
      </c>
      <c r="S626" s="45">
        <f>NTT!$H$46</f>
        <v>0.14031868726274976</v>
      </c>
      <c r="T626" s="46"/>
      <c r="U626" s="48" t="str">
        <f t="shared" ref="U626:V629" si="154">U566</f>
        <v>JPY 153</v>
      </c>
      <c r="V626" s="44" t="str">
        <f t="shared" si="154"/>
        <v>NTT</v>
      </c>
      <c r="X626" s="43"/>
      <c r="Y626" s="76"/>
      <c r="BF626" s="39"/>
      <c r="BG626" s="39"/>
      <c r="BH626" s="39"/>
      <c r="BI626" s="39"/>
      <c r="BJ626" s="39"/>
      <c r="BK626" s="39"/>
      <c r="BL626" s="39"/>
      <c r="BM626" s="39"/>
      <c r="BN626" s="39"/>
      <c r="BO626" s="39"/>
      <c r="BP626" s="39"/>
      <c r="BQ626" s="39"/>
      <c r="BR626" s="39"/>
      <c r="BS626" s="39"/>
      <c r="BT626" s="39"/>
      <c r="BU626" s="39"/>
      <c r="BV626" s="39"/>
      <c r="BW626" s="39"/>
      <c r="BX626" s="39"/>
      <c r="BY626" s="39"/>
      <c r="BZ626" s="39"/>
      <c r="CA626" s="39"/>
      <c r="CB626" s="39"/>
      <c r="CC626" s="39"/>
      <c r="CD626" s="39"/>
      <c r="CE626" s="39"/>
      <c r="CF626" s="39"/>
      <c r="CG626" s="39"/>
      <c r="CH626" s="39"/>
      <c r="CI626" s="39"/>
      <c r="CJ626" s="39"/>
      <c r="CK626" s="39"/>
      <c r="CL626" s="39"/>
      <c r="CM626" s="39"/>
      <c r="CN626" s="39"/>
      <c r="CO626" s="39"/>
      <c r="CP626" s="39"/>
      <c r="CQ626" s="39"/>
      <c r="CR626" s="39"/>
      <c r="CS626" s="39"/>
      <c r="CT626" s="39"/>
      <c r="CU626" s="39"/>
      <c r="CV626" s="39"/>
      <c r="CW626" s="39"/>
      <c r="CX626" s="39"/>
      <c r="CY626" s="39"/>
      <c r="CZ626" s="39"/>
      <c r="DA626" s="39"/>
      <c r="DB626" s="39"/>
      <c r="DC626" s="39"/>
      <c r="DD626" s="39"/>
      <c r="DE626" s="39"/>
      <c r="DF626" s="39"/>
      <c r="DG626" s="39"/>
      <c r="DH626" s="39"/>
      <c r="DI626" s="39"/>
    </row>
    <row r="627" spans="1:113">
      <c r="A627" s="41"/>
      <c r="C627" s="48" t="str">
        <f t="shared" si="153"/>
        <v>Spark NZ</v>
      </c>
      <c r="D627" s="44" t="str">
        <f t="shared" si="153"/>
        <v>NZD 4.19</v>
      </c>
      <c r="E627" s="44" t="str">
        <f t="shared" si="153"/>
        <v>NZD 5.00</v>
      </c>
      <c r="F627" s="45">
        <f t="shared" si="153"/>
        <v>0.19331742243436745</v>
      </c>
      <c r="G627" s="44" t="str">
        <f t="shared" si="153"/>
        <v>Neutral</v>
      </c>
      <c r="H627" s="46"/>
      <c r="I627" s="45">
        <f>SPK!$D$32/SPK!$D$11</f>
        <v>7.7788684136275636E-4</v>
      </c>
      <c r="J627" s="45">
        <f>SPK!$E$32/SPK!$E$11</f>
        <v>7.7665397470124797E-4</v>
      </c>
      <c r="K627" s="45">
        <f>SPK!$F$32/SPK!$F$11</f>
        <v>7.7537252625176371E-4</v>
      </c>
      <c r="L627" s="45">
        <f>SPK!$G$32/SPK!$G$11</f>
        <v>7.7404299582888611E-4</v>
      </c>
      <c r="M627" s="45">
        <f>SPK!$H$32</f>
        <v>0</v>
      </c>
      <c r="N627" s="46"/>
      <c r="O627" s="45">
        <f>(SPK!$D$31+SPK!$D$32)/SPK!$D$11</f>
        <v>6.0443757963081129E-2</v>
      </c>
      <c r="P627" s="45">
        <f>(SPK!$E$31+SPK!$E$32)/SPK!$E$11</f>
        <v>6.0442525096419619E-2</v>
      </c>
      <c r="Q627" s="45">
        <f>(SPK!$F$31+SPK!$F$32)/SPK!$F$11</f>
        <v>6.0441243647970135E-2</v>
      </c>
      <c r="R627" s="45">
        <f>(SPK!$G$31+SPK!$G$32)/SPK!$G$11</f>
        <v>6.282654896241599E-2</v>
      </c>
      <c r="S627" s="45">
        <f>SPK!$H$46</f>
        <v>1.4645567015539651E-2</v>
      </c>
      <c r="T627" s="46"/>
      <c r="U627" s="48" t="str">
        <f t="shared" si="154"/>
        <v>NZD 4.19</v>
      </c>
      <c r="V627" s="44" t="str">
        <f t="shared" si="154"/>
        <v>Spark NZ</v>
      </c>
      <c r="X627" s="43"/>
      <c r="Y627" s="76"/>
      <c r="BF627" s="39"/>
      <c r="BG627" s="39"/>
      <c r="BH627" s="39"/>
      <c r="BI627" s="39"/>
      <c r="BJ627" s="39"/>
      <c r="BK627" s="39"/>
      <c r="BL627" s="39"/>
      <c r="BM627" s="39"/>
      <c r="BN627" s="39"/>
      <c r="BO627" s="39"/>
      <c r="BP627" s="39"/>
      <c r="BQ627" s="39"/>
      <c r="BR627" s="39"/>
      <c r="BS627" s="39"/>
      <c r="BT627" s="39"/>
      <c r="BU627" s="39"/>
      <c r="BV627" s="39"/>
      <c r="BW627" s="39"/>
      <c r="BX627" s="39"/>
      <c r="BY627" s="39"/>
      <c r="BZ627" s="39"/>
      <c r="CA627" s="39"/>
      <c r="CB627" s="39"/>
      <c r="CC627" s="39"/>
      <c r="CD627" s="39"/>
      <c r="CE627" s="39"/>
      <c r="CF627" s="39"/>
      <c r="CG627" s="39"/>
      <c r="CH627" s="39"/>
      <c r="CI627" s="39"/>
      <c r="CJ627" s="39"/>
      <c r="CK627" s="39"/>
      <c r="CL627" s="39"/>
      <c r="CM627" s="39"/>
      <c r="CN627" s="39"/>
      <c r="CO627" s="39"/>
      <c r="CP627" s="39"/>
      <c r="CQ627" s="39"/>
      <c r="CR627" s="39"/>
      <c r="CS627" s="39"/>
      <c r="CT627" s="39"/>
      <c r="CU627" s="39"/>
      <c r="CV627" s="39"/>
      <c r="CW627" s="39"/>
      <c r="CX627" s="39"/>
      <c r="CY627" s="39"/>
      <c r="CZ627" s="39"/>
      <c r="DA627" s="39"/>
      <c r="DB627" s="39"/>
      <c r="DC627" s="39"/>
      <c r="DD627" s="39"/>
      <c r="DE627" s="39"/>
      <c r="DF627" s="39"/>
      <c r="DG627" s="39"/>
      <c r="DH627" s="39"/>
      <c r="DI627" s="39"/>
    </row>
    <row r="628" spans="1:113">
      <c r="A628" s="41"/>
      <c r="C628" s="48" t="str">
        <f t="shared" si="153"/>
        <v>SingTel</v>
      </c>
      <c r="D628" s="44" t="str">
        <f t="shared" si="153"/>
        <v>SGD 2.42</v>
      </c>
      <c r="E628" s="44" t="str">
        <f t="shared" si="153"/>
        <v>SGD 4.40</v>
      </c>
      <c r="F628" s="45">
        <f t="shared" si="153"/>
        <v>0.81818181818181834</v>
      </c>
      <c r="G628" s="44" t="str">
        <f t="shared" si="153"/>
        <v>Buy</v>
      </c>
      <c r="H628" s="46"/>
      <c r="I628" s="45">
        <f>SINGTEL!$D$32/SINGTEL!$D$11</f>
        <v>0</v>
      </c>
      <c r="J628" s="45">
        <f>SINGTEL!$E$32/SINGTEL!$E$11</f>
        <v>0</v>
      </c>
      <c r="K628" s="45">
        <f>SINGTEL!$F$32/SINGTEL!$F$11</f>
        <v>0</v>
      </c>
      <c r="L628" s="45">
        <f>SINGTEL!$G$32/SINGTEL!$G$11</f>
        <v>0</v>
      </c>
      <c r="M628" s="45" t="str">
        <f>SINGTEL!$H$32</f>
        <v>nm</v>
      </c>
      <c r="N628" s="46"/>
      <c r="O628" s="45">
        <f>(SINGTEL!$D$31+SINGTEL!$D$32)/SINGTEL!$D$11</f>
        <v>4.8197155788028335E-2</v>
      </c>
      <c r="P628" s="45">
        <f>(SINGTEL!$E$31+SINGTEL!$E$32)/SINGTEL!$E$11</f>
        <v>5.9344151939744877E-2</v>
      </c>
      <c r="Q628" s="45">
        <f>(SINGTEL!$F$31+SINGTEL!$F$32)/SINGTEL!$F$11</f>
        <v>7.2960832743836898E-2</v>
      </c>
      <c r="R628" s="45">
        <f>(SINGTEL!$G$31+SINGTEL!$G$32)/SINGTEL!$G$11</f>
        <v>8.1680703477985742E-2</v>
      </c>
      <c r="S628" s="45">
        <f>SINGTEL!$H$46</f>
        <v>0.19224639983662173</v>
      </c>
      <c r="T628" s="46"/>
      <c r="U628" s="48" t="str">
        <f t="shared" si="154"/>
        <v>SGD 2.42</v>
      </c>
      <c r="V628" s="44" t="str">
        <f t="shared" si="154"/>
        <v>SingTel</v>
      </c>
      <c r="BF628" s="39"/>
      <c r="BG628" s="39"/>
      <c r="BH628" s="39"/>
      <c r="BI628" s="39"/>
      <c r="BJ628" s="39"/>
      <c r="BK628" s="39"/>
      <c r="BL628" s="39"/>
      <c r="BM628" s="39"/>
      <c r="BN628" s="39"/>
      <c r="BO628" s="39"/>
      <c r="BP628" s="39"/>
      <c r="BQ628" s="39"/>
      <c r="BR628" s="39"/>
      <c r="BS628" s="39"/>
      <c r="BT628" s="39"/>
      <c r="BU628" s="39"/>
      <c r="BV628" s="39"/>
      <c r="BW628" s="39"/>
      <c r="BX628" s="39"/>
      <c r="BY628" s="39"/>
      <c r="BZ628" s="39"/>
      <c r="CA628" s="39"/>
      <c r="CB628" s="39"/>
      <c r="CC628" s="39"/>
      <c r="CD628" s="39"/>
      <c r="CE628" s="39"/>
      <c r="CF628" s="39"/>
      <c r="CG628" s="39"/>
      <c r="CH628" s="39"/>
      <c r="CI628" s="39"/>
      <c r="CJ628" s="39"/>
      <c r="CK628" s="39"/>
      <c r="CL628" s="39"/>
      <c r="CM628" s="39"/>
      <c r="CN628" s="39"/>
      <c r="CO628" s="39"/>
      <c r="CP628" s="39"/>
      <c r="CQ628" s="39"/>
      <c r="CR628" s="39"/>
      <c r="CS628" s="39"/>
      <c r="CT628" s="39"/>
      <c r="CU628" s="39"/>
      <c r="CV628" s="39"/>
      <c r="CW628" s="39"/>
      <c r="CX628" s="39"/>
      <c r="CY628" s="39"/>
      <c r="CZ628" s="39"/>
      <c r="DA628" s="39"/>
      <c r="DB628" s="39"/>
      <c r="DC628" s="39"/>
      <c r="DD628" s="39"/>
      <c r="DE628" s="39"/>
      <c r="DF628" s="39"/>
      <c r="DG628" s="39"/>
      <c r="DH628" s="39"/>
      <c r="DI628" s="39"/>
    </row>
    <row r="629" spans="1:113">
      <c r="A629" s="41"/>
      <c r="C629" s="48" t="str">
        <f t="shared" si="153"/>
        <v xml:space="preserve">Telstra </v>
      </c>
      <c r="D629" s="44" t="str">
        <f t="shared" si="153"/>
        <v>AUD 3.45</v>
      </c>
      <c r="E629" s="44" t="str">
        <f t="shared" si="153"/>
        <v>AUD 3.50</v>
      </c>
      <c r="F629" s="45">
        <f t="shared" si="153"/>
        <v>1.4492753623188248E-2</v>
      </c>
      <c r="G629" s="44" t="str">
        <f t="shared" si="153"/>
        <v>Buy</v>
      </c>
      <c r="H629" s="46"/>
      <c r="I629" s="45">
        <f>TLS!$D$32/TLS!$D$11</f>
        <v>0</v>
      </c>
      <c r="J629" s="45">
        <f>TLS!$E$32/TLS!$E$11</f>
        <v>0</v>
      </c>
      <c r="K629" s="45">
        <f>TLS!$F$32/TLS!$F$11</f>
        <v>0</v>
      </c>
      <c r="L629" s="45">
        <f>TLS!$G$32/TLS!$G$11</f>
        <v>0</v>
      </c>
      <c r="M629" s="45" t="str">
        <f>TLS!$H$32</f>
        <v>nm</v>
      </c>
      <c r="N629" s="46"/>
      <c r="O629" s="45">
        <f>(TLS!$D$31+TLS!$D$32)/TLS!$D$11</f>
        <v>4.6376811594202892E-2</v>
      </c>
      <c r="P629" s="45">
        <f>(TLS!$E$31+TLS!$E$32)/TLS!$E$11</f>
        <v>4.6376811594202892E-2</v>
      </c>
      <c r="Q629" s="45">
        <f>(TLS!$F$31+TLS!$F$32)/TLS!$F$11</f>
        <v>4.6376811594202892E-2</v>
      </c>
      <c r="R629" s="45">
        <f>(TLS!$G$31+TLS!$G$32)/TLS!$G$11</f>
        <v>4.9275362318840575E-2</v>
      </c>
      <c r="S629" s="45">
        <f>TLS!$H$46</f>
        <v>2.0413775479336982E-2</v>
      </c>
      <c r="T629" s="46"/>
      <c r="U629" s="48" t="str">
        <f t="shared" si="154"/>
        <v>AUD 3.45</v>
      </c>
      <c r="V629" s="44" t="str">
        <f t="shared" si="154"/>
        <v>Telstra</v>
      </c>
      <c r="BF629" s="39"/>
      <c r="BG629" s="39"/>
      <c r="BH629" s="39"/>
      <c r="BI629" s="39"/>
      <c r="BJ629" s="39"/>
      <c r="BK629" s="39"/>
      <c r="BL629" s="39"/>
      <c r="BM629" s="39"/>
      <c r="BN629" s="39"/>
      <c r="BO629" s="39"/>
      <c r="BP629" s="39"/>
      <c r="BQ629" s="39"/>
      <c r="BR629" s="39"/>
      <c r="BS629" s="39"/>
      <c r="BT629" s="39"/>
      <c r="BU629" s="39"/>
      <c r="BV629" s="39"/>
      <c r="BW629" s="39"/>
      <c r="BX629" s="39"/>
      <c r="BY629" s="39"/>
      <c r="BZ629" s="39"/>
      <c r="CA629" s="39"/>
      <c r="CB629" s="39"/>
      <c r="CC629" s="39"/>
      <c r="CD629" s="39"/>
      <c r="CE629" s="39"/>
      <c r="CF629" s="39"/>
      <c r="CG629" s="39"/>
      <c r="CH629" s="39"/>
      <c r="CI629" s="39"/>
      <c r="CJ629" s="39"/>
      <c r="CK629" s="39"/>
      <c r="CL629" s="39"/>
      <c r="CM629" s="39"/>
      <c r="CN629" s="39"/>
      <c r="CO629" s="39"/>
      <c r="CP629" s="39"/>
      <c r="CQ629" s="39"/>
      <c r="CR629" s="39"/>
      <c r="CS629" s="39"/>
      <c r="CT629" s="39"/>
      <c r="CU629" s="39"/>
      <c r="CV629" s="39"/>
      <c r="CW629" s="39"/>
      <c r="CX629" s="39"/>
      <c r="CY629" s="39"/>
      <c r="CZ629" s="39"/>
      <c r="DA629" s="39"/>
      <c r="DB629" s="39"/>
      <c r="DC629" s="39"/>
      <c r="DD629" s="39"/>
      <c r="DE629" s="39"/>
      <c r="DF629" s="39"/>
      <c r="DG629" s="39"/>
      <c r="DH629" s="39"/>
      <c r="DI629" s="39"/>
    </row>
    <row r="630" spans="1:113">
      <c r="A630" s="41"/>
      <c r="C630" s="51" t="str">
        <f>C570</f>
        <v>Agg. Developed Asia Incumbent</v>
      </c>
      <c r="D630" s="58"/>
      <c r="E630" s="58"/>
      <c r="F630" s="55"/>
      <c r="G630" s="58"/>
      <c r="H630" s="56"/>
      <c r="I630" s="55">
        <f>'DM ASIA INCUMB'!$D$32/'DM ASIA INCUMB'!$D$11</f>
        <v>6.4855626665548218E-5</v>
      </c>
      <c r="J630" s="55">
        <f>'DM ASIA INCUMB'!$E$32/'DM ASIA INCUMB'!$E$11</f>
        <v>6.5492671811341802E-5</v>
      </c>
      <c r="K630" s="55">
        <f>'DM ASIA INCUMB'!$F$32/'DM ASIA INCUMB'!$F$11</f>
        <v>6.6141973987320202E-5</v>
      </c>
      <c r="L630" s="55">
        <f>'DM ASIA INCUMB'!$G$32/'DM ASIA INCUMB'!$G$11</f>
        <v>6.6803890035668732E-5</v>
      </c>
      <c r="M630" s="55">
        <f>'DM ASIA INCUMB'!$H$32</f>
        <v>0</v>
      </c>
      <c r="N630" s="56"/>
      <c r="O630" s="55">
        <f>('DM ASIA INCUMB'!$D$31+'DM ASIA INCUMB'!$D$32)/'DM ASIA INCUMB'!$D$11</f>
        <v>4.0904110026756764E-2</v>
      </c>
      <c r="P630" s="55">
        <f>('DM ASIA INCUMB'!$E$31+'DM ASIA INCUMB'!$E$32)/'DM ASIA INCUMB'!$E$11</f>
        <v>4.7755145928980933E-2</v>
      </c>
      <c r="Q630" s="55">
        <f>('DM ASIA INCUMB'!$F$31+'DM ASIA INCUMB'!$F$32)/'DM ASIA INCUMB'!$F$11</f>
        <v>5.3324907546073927E-2</v>
      </c>
      <c r="R630" s="55">
        <f>('DM ASIA INCUMB'!$G$31+'DM ASIA INCUMB'!$G$32)/'DM ASIA INCUMB'!$G$11</f>
        <v>5.865288602089775E-2</v>
      </c>
      <c r="S630" s="55">
        <f>'DM ASIA INCUMB'!H949</f>
        <v>0</v>
      </c>
      <c r="T630" s="56"/>
      <c r="U630" s="51"/>
      <c r="V630" s="58" t="str">
        <f>V570</f>
        <v xml:space="preserve">Agg. Developed Asia Incumbent </v>
      </c>
      <c r="X630" s="43"/>
      <c r="Y630" s="76"/>
      <c r="BF630" s="39"/>
      <c r="BG630" s="39"/>
      <c r="BH630" s="39"/>
      <c r="BI630" s="39"/>
      <c r="BJ630" s="39"/>
      <c r="BK630" s="39"/>
      <c r="BL630" s="39"/>
      <c r="BM630" s="39"/>
      <c r="BN630" s="39"/>
      <c r="BO630" s="39"/>
      <c r="BP630" s="39"/>
      <c r="BQ630" s="39"/>
      <c r="BR630" s="39"/>
      <c r="BS630" s="39"/>
      <c r="BT630" s="39"/>
      <c r="BU630" s="39"/>
      <c r="BV630" s="39"/>
      <c r="BW630" s="39"/>
      <c r="BX630" s="39"/>
      <c r="BY630" s="39"/>
      <c r="BZ630" s="39"/>
      <c r="CA630" s="39"/>
      <c r="CB630" s="39"/>
      <c r="CC630" s="39"/>
      <c r="CD630" s="39"/>
      <c r="CE630" s="39"/>
      <c r="CF630" s="39"/>
      <c r="CG630" s="39"/>
      <c r="CH630" s="39"/>
      <c r="CI630" s="39"/>
      <c r="CJ630" s="39"/>
      <c r="CK630" s="39"/>
      <c r="CL630" s="39"/>
      <c r="CM630" s="39"/>
      <c r="CN630" s="39"/>
      <c r="CO630" s="39"/>
      <c r="CP630" s="39"/>
      <c r="CQ630" s="39"/>
      <c r="CR630" s="39"/>
      <c r="CS630" s="39"/>
      <c r="CT630" s="39"/>
      <c r="CU630" s="39"/>
      <c r="CV630" s="39"/>
      <c r="CW630" s="39"/>
      <c r="CX630" s="39"/>
      <c r="CY630" s="39"/>
      <c r="CZ630" s="39"/>
      <c r="DA630" s="39"/>
      <c r="DB630" s="39"/>
      <c r="DC630" s="39"/>
      <c r="DD630" s="39"/>
      <c r="DE630" s="39"/>
      <c r="DF630" s="39"/>
      <c r="DG630" s="39"/>
      <c r="DH630" s="39"/>
      <c r="DI630" s="39"/>
    </row>
    <row r="631" spans="1:113">
      <c r="A631" s="41"/>
      <c r="C631" s="43"/>
      <c r="D631" s="50"/>
      <c r="E631" s="50"/>
      <c r="F631" s="61"/>
      <c r="G631" s="50"/>
      <c r="H631" s="56"/>
      <c r="I631" s="61"/>
      <c r="J631" s="61"/>
      <c r="K631" s="61"/>
      <c r="L631" s="61"/>
      <c r="M631" s="61"/>
      <c r="N631" s="56"/>
      <c r="O631" s="61"/>
      <c r="P631" s="61"/>
      <c r="Q631" s="61"/>
      <c r="R631" s="61"/>
      <c r="S631" s="61"/>
      <c r="T631" s="56"/>
      <c r="U631" s="43"/>
      <c r="V631" s="50"/>
      <c r="X631" s="43"/>
      <c r="Y631" s="76"/>
      <c r="BF631" s="39"/>
      <c r="BG631" s="39"/>
      <c r="BH631" s="39"/>
      <c r="BI631" s="39"/>
      <c r="BJ631" s="39"/>
      <c r="BK631" s="39"/>
      <c r="BL631" s="39"/>
      <c r="BM631" s="39"/>
      <c r="BN631" s="39"/>
      <c r="BO631" s="39"/>
      <c r="BP631" s="39"/>
      <c r="BQ631" s="39"/>
      <c r="BR631" s="39"/>
      <c r="BS631" s="39"/>
      <c r="BT631" s="39"/>
      <c r="BU631" s="39"/>
      <c r="BV631" s="39"/>
      <c r="BW631" s="39"/>
      <c r="BX631" s="39"/>
      <c r="BY631" s="39"/>
      <c r="BZ631" s="39"/>
      <c r="CA631" s="39"/>
      <c r="CB631" s="39"/>
      <c r="CC631" s="39"/>
      <c r="CD631" s="39"/>
      <c r="CE631" s="39"/>
      <c r="CF631" s="39"/>
      <c r="CG631" s="39"/>
      <c r="CH631" s="39"/>
      <c r="CI631" s="39"/>
      <c r="CJ631" s="39"/>
      <c r="CK631" s="39"/>
      <c r="CL631" s="39"/>
      <c r="CM631" s="39"/>
      <c r="CN631" s="39"/>
      <c r="CO631" s="39"/>
      <c r="CP631" s="39"/>
      <c r="CQ631" s="39"/>
      <c r="CR631" s="39"/>
      <c r="CS631" s="39"/>
      <c r="CT631" s="39"/>
      <c r="CU631" s="39"/>
      <c r="CV631" s="39"/>
      <c r="CW631" s="39"/>
      <c r="CX631" s="39"/>
      <c r="CY631" s="39"/>
      <c r="CZ631" s="39"/>
      <c r="DA631" s="39"/>
      <c r="DB631" s="39"/>
      <c r="DC631" s="39"/>
      <c r="DD631" s="39"/>
      <c r="DE631" s="39"/>
      <c r="DF631" s="39"/>
      <c r="DG631" s="39"/>
      <c r="DH631" s="39"/>
      <c r="DI631" s="39"/>
    </row>
    <row r="632" spans="1:113">
      <c r="A632" s="41"/>
      <c r="C632" s="51" t="s">
        <v>865</v>
      </c>
      <c r="D632" s="58"/>
      <c r="E632" s="58"/>
      <c r="F632" s="55"/>
      <c r="G632" s="58"/>
      <c r="H632" s="56"/>
      <c r="I632" s="55">
        <f>'AGG DM INCUMB'!$D$32/'AGG DM INCUMB'!$D$11</f>
        <v>1.3715502849532827E-2</v>
      </c>
      <c r="J632" s="55">
        <f>'AGG DM INCUMB'!$E$32/'AGG DM INCUMB'!$E$11</f>
        <v>1.864862365523029E-2</v>
      </c>
      <c r="K632" s="55">
        <f>'AGG DM INCUMB'!$F$32/'AGG DM INCUMB'!$F$11</f>
        <v>2.0644890167509179E-2</v>
      </c>
      <c r="L632" s="55">
        <f>'AGG DM INCUMB'!$G$32/'AGG DM INCUMB'!$G$11</f>
        <v>2.3474339980552119E-2</v>
      </c>
      <c r="M632" s="55">
        <f>'AGG DM INCUMB'!$H$32</f>
        <v>0.17184709136998255</v>
      </c>
      <c r="N632" s="56"/>
      <c r="O632" s="55">
        <f>('AGG DM INCUMB'!$D$31+'AGG DM INCUMB'!$D$32)/'AGG DM INCUMB'!$D$11</f>
        <v>5.5340890022387609E-2</v>
      </c>
      <c r="P632" s="55">
        <f>('AGG DM INCUMB'!$E$31+'AGG DM INCUMB'!$E$32)/'AGG DM INCUMB'!$E$11</f>
        <v>6.5449140297581879E-2</v>
      </c>
      <c r="Q632" s="55">
        <f>('AGG DM INCUMB'!$F$31+'AGG DM INCUMB'!$F$32)/'AGG DM INCUMB'!$F$11</f>
        <v>7.0200156503187131E-2</v>
      </c>
      <c r="R632" s="55">
        <f>('AGG DM INCUMB'!$G$31+'AGG DM INCUMB'!$G$32)/'AGG DM INCUMB'!$G$11</f>
        <v>7.6271540597454418E-2</v>
      </c>
      <c r="S632" s="55">
        <f>'AGG DM INCUMB'!H951</f>
        <v>0</v>
      </c>
      <c r="T632" s="56"/>
      <c r="U632" s="51"/>
      <c r="V632" s="58" t="str">
        <f>C632</f>
        <v>Agg. DM Incumbent total</v>
      </c>
      <c r="X632" s="43"/>
      <c r="Y632" s="76"/>
      <c r="BF632" s="39"/>
      <c r="BG632" s="39"/>
      <c r="BH632" s="39"/>
      <c r="BI632" s="39"/>
      <c r="BJ632" s="39"/>
      <c r="BK632" s="39"/>
      <c r="BL632" s="39"/>
      <c r="BM632" s="39"/>
      <c r="BN632" s="39"/>
      <c r="BO632" s="39"/>
      <c r="BP632" s="39"/>
      <c r="BQ632" s="39"/>
      <c r="BR632" s="39"/>
      <c r="BS632" s="39"/>
      <c r="BT632" s="39"/>
      <c r="BU632" s="39"/>
      <c r="BV632" s="39"/>
      <c r="BW632" s="39"/>
      <c r="BX632" s="39"/>
      <c r="BY632" s="39"/>
      <c r="BZ632" s="39"/>
      <c r="CA632" s="39"/>
      <c r="CB632" s="39"/>
      <c r="CC632" s="39"/>
      <c r="CD632" s="39"/>
      <c r="CE632" s="39"/>
      <c r="CF632" s="39"/>
      <c r="CG632" s="39"/>
      <c r="CH632" s="39"/>
      <c r="CI632" s="39"/>
      <c r="CJ632" s="39"/>
      <c r="CK632" s="39"/>
      <c r="CL632" s="39"/>
      <c r="CM632" s="39"/>
      <c r="CN632" s="39"/>
      <c r="CO632" s="39"/>
      <c r="CP632" s="39"/>
      <c r="CQ632" s="39"/>
      <c r="CR632" s="39"/>
      <c r="CS632" s="39"/>
      <c r="CT632" s="39"/>
      <c r="CU632" s="39"/>
      <c r="CV632" s="39"/>
      <c r="CW632" s="39"/>
      <c r="CX632" s="39"/>
      <c r="CY632" s="39"/>
      <c r="CZ632" s="39"/>
      <c r="DA632" s="39"/>
      <c r="DB632" s="39"/>
      <c r="DC632" s="39"/>
      <c r="DD632" s="39"/>
      <c r="DE632" s="39"/>
      <c r="DF632" s="39"/>
      <c r="DG632" s="39"/>
      <c r="DH632" s="39"/>
      <c r="DI632" s="39"/>
    </row>
    <row r="633" spans="1:113">
      <c r="A633" s="41"/>
      <c r="C633" s="41"/>
      <c r="D633" s="44"/>
      <c r="E633" s="44"/>
      <c r="F633" s="45"/>
      <c r="G633" s="44"/>
      <c r="H633" s="46"/>
      <c r="I633" s="45"/>
      <c r="J633" s="45"/>
      <c r="K633" s="45"/>
      <c r="L633" s="45"/>
      <c r="M633" s="45"/>
      <c r="N633" s="46"/>
      <c r="O633" s="45"/>
      <c r="P633" s="45"/>
      <c r="Q633" s="45"/>
      <c r="R633" s="45"/>
      <c r="S633" s="45"/>
      <c r="T633" s="46"/>
      <c r="U633" s="48"/>
      <c r="V633" s="50"/>
      <c r="X633" s="43"/>
      <c r="Y633" s="76"/>
      <c r="BF633" s="39"/>
      <c r="BG633" s="39"/>
      <c r="BH633" s="39"/>
      <c r="BI633" s="39"/>
      <c r="BJ633" s="39"/>
      <c r="BK633" s="39"/>
      <c r="BL633" s="39"/>
      <c r="BM633" s="39"/>
      <c r="BN633" s="39"/>
      <c r="BO633" s="39"/>
      <c r="BP633" s="39"/>
      <c r="BQ633" s="39"/>
      <c r="BR633" s="39"/>
      <c r="BS633" s="39"/>
      <c r="BT633" s="39"/>
      <c r="BU633" s="39"/>
      <c r="BV633" s="39"/>
      <c r="BW633" s="39"/>
      <c r="BX633" s="39"/>
      <c r="BY633" s="39"/>
      <c r="BZ633" s="39"/>
      <c r="CA633" s="39"/>
      <c r="CB633" s="39"/>
      <c r="CC633" s="39"/>
      <c r="CD633" s="39"/>
      <c r="CE633" s="39"/>
      <c r="CF633" s="39"/>
      <c r="CG633" s="39"/>
      <c r="CH633" s="39"/>
      <c r="CI633" s="39"/>
      <c r="CJ633" s="39"/>
      <c r="CK633" s="39"/>
      <c r="CL633" s="39"/>
      <c r="CM633" s="39"/>
      <c r="CN633" s="39"/>
      <c r="CO633" s="39"/>
      <c r="CP633" s="39"/>
      <c r="CQ633" s="39"/>
      <c r="CR633" s="39"/>
      <c r="CS633" s="39"/>
      <c r="CT633" s="39"/>
      <c r="CU633" s="39"/>
      <c r="CV633" s="39"/>
      <c r="CW633" s="39"/>
      <c r="CX633" s="39"/>
      <c r="CY633" s="39"/>
      <c r="CZ633" s="39"/>
      <c r="DA633" s="39"/>
      <c r="DB633" s="39"/>
      <c r="DC633" s="39"/>
      <c r="DD633" s="39"/>
      <c r="DE633" s="39"/>
      <c r="DF633" s="39"/>
      <c r="DG633" s="39"/>
      <c r="DH633" s="39"/>
      <c r="DI633" s="39"/>
    </row>
    <row r="634" spans="1:113">
      <c r="A634" s="41" t="s">
        <v>1385</v>
      </c>
      <c r="C634" s="48" t="str">
        <f t="shared" ref="C634:G641" si="155">C574</f>
        <v>1&amp;1</v>
      </c>
      <c r="D634" s="44" t="str">
        <f t="shared" si="155"/>
        <v>EUR 17.5</v>
      </c>
      <c r="E634" s="44" t="str">
        <f t="shared" si="155"/>
        <v>EUR 28.0</v>
      </c>
      <c r="F634" s="45">
        <f t="shared" si="155"/>
        <v>0.60000000000000009</v>
      </c>
      <c r="G634" s="44" t="str">
        <f t="shared" si="155"/>
        <v>Buy</v>
      </c>
      <c r="H634" s="46"/>
      <c r="I634" s="45">
        <f>DRI!$D$32/DRI!$D$11</f>
        <v>0</v>
      </c>
      <c r="J634" s="45">
        <f>DRI!$E$32/DRI!$E$11</f>
        <v>0</v>
      </c>
      <c r="K634" s="45">
        <f>DRI!$F$32/DRI!$F$11</f>
        <v>0</v>
      </c>
      <c r="L634" s="45">
        <f>DRI!$G$32/DRI!$G$11</f>
        <v>0</v>
      </c>
      <c r="M634" s="45" t="str">
        <f>DRI!$H$32</f>
        <v>nm</v>
      </c>
      <c r="N634" s="46"/>
      <c r="O634" s="45">
        <f>(DRI!$D$31+DRI!$D$32)/DRI!$D$11</f>
        <v>2.8571428571428576E-3</v>
      </c>
      <c r="P634" s="45">
        <f>(DRI!$E$31+DRI!$E$32)/DRI!$E$11</f>
        <v>2.8571428571428576E-3</v>
      </c>
      <c r="Q634" s="45">
        <f>(DRI!$F$31+DRI!$F$32)/DRI!$F$11</f>
        <v>5.7142857142857148E-2</v>
      </c>
      <c r="R634" s="45">
        <f>(DRI!$G$31+DRI!$G$32)/DRI!$G$11</f>
        <v>5.7142857142857148E-2</v>
      </c>
      <c r="S634" s="45">
        <f>DRI!$H$46</f>
        <v>1.7144176165949063</v>
      </c>
      <c r="T634" s="46"/>
      <c r="U634" s="48" t="str">
        <f t="shared" ref="U634:V640" si="156">U574</f>
        <v>EUR 17.5</v>
      </c>
      <c r="V634" s="44" t="str">
        <f t="shared" si="156"/>
        <v>1&amp;1</v>
      </c>
      <c r="AF634" s="39"/>
      <c r="AG634" s="39"/>
      <c r="AH634" s="39"/>
      <c r="AI634" s="39"/>
      <c r="AJ634" s="39"/>
      <c r="AK634" s="39"/>
      <c r="AL634" s="39"/>
      <c r="AM634" s="39"/>
      <c r="AN634" s="39"/>
      <c r="AO634" s="39"/>
      <c r="AP634" s="39"/>
      <c r="AQ634" s="39"/>
      <c r="AR634" s="39"/>
      <c r="AS634" s="39"/>
      <c r="AT634" s="39"/>
      <c r="AU634" s="39"/>
      <c r="AV634" s="39"/>
      <c r="AW634" s="39"/>
      <c r="AX634" s="39"/>
      <c r="AY634" s="39"/>
      <c r="AZ634" s="39"/>
      <c r="BA634" s="39"/>
      <c r="BB634" s="39"/>
      <c r="BC634" s="39"/>
      <c r="BD634" s="39"/>
      <c r="BE634" s="39"/>
      <c r="BF634" s="39"/>
      <c r="BG634" s="39"/>
      <c r="BH634" s="39"/>
      <c r="BI634" s="39"/>
      <c r="BJ634" s="39"/>
      <c r="BK634" s="39"/>
      <c r="BL634" s="39"/>
      <c r="BM634" s="39"/>
      <c r="BN634" s="39"/>
      <c r="BO634" s="39"/>
      <c r="BP634" s="39"/>
      <c r="BQ634" s="39"/>
      <c r="BR634" s="39"/>
      <c r="BS634" s="39"/>
      <c r="BT634" s="39"/>
      <c r="BU634" s="39"/>
      <c r="BV634" s="39"/>
      <c r="BW634" s="39"/>
      <c r="BX634" s="39"/>
      <c r="BY634" s="39"/>
      <c r="BZ634" s="39"/>
      <c r="CA634" s="39"/>
      <c r="CB634" s="39"/>
      <c r="CC634" s="39"/>
      <c r="CD634" s="39"/>
      <c r="CE634" s="39"/>
      <c r="CF634" s="39"/>
      <c r="CG634" s="39"/>
      <c r="CH634" s="39"/>
      <c r="CI634" s="39"/>
      <c r="CJ634" s="39"/>
      <c r="CK634" s="39"/>
      <c r="CL634" s="39"/>
      <c r="CM634" s="39"/>
      <c r="CN634" s="39"/>
      <c r="CO634" s="39"/>
      <c r="CP634" s="39"/>
      <c r="CQ634" s="39"/>
      <c r="CR634" s="39"/>
      <c r="CS634" s="39"/>
      <c r="CT634" s="39"/>
      <c r="CU634" s="39"/>
      <c r="CV634" s="39"/>
      <c r="CW634" s="39"/>
      <c r="CX634" s="39"/>
      <c r="CY634" s="39"/>
      <c r="CZ634" s="39"/>
      <c r="DA634" s="39"/>
      <c r="DB634" s="39"/>
      <c r="DC634" s="39"/>
      <c r="DD634" s="39"/>
      <c r="DE634" s="39"/>
      <c r="DF634" s="39"/>
      <c r="DG634" s="39"/>
      <c r="DH634" s="39"/>
      <c r="DI634" s="39"/>
    </row>
    <row r="635" spans="1:113">
      <c r="C635" s="48" t="str">
        <f t="shared" si="155"/>
        <v>Elisa</v>
      </c>
      <c r="D635" s="44" t="str">
        <f t="shared" si="155"/>
        <v>EUR 41.6</v>
      </c>
      <c r="E635" s="44" t="str">
        <f t="shared" si="155"/>
        <v>EUR 54.0</v>
      </c>
      <c r="F635" s="45">
        <f t="shared" si="155"/>
        <v>0.29745314752522845</v>
      </c>
      <c r="G635" s="44" t="str">
        <f t="shared" si="155"/>
        <v>Neutral</v>
      </c>
      <c r="H635" s="46"/>
      <c r="I635" s="45">
        <f>ELISA!$D$32/ELISA!$D$11</f>
        <v>0</v>
      </c>
      <c r="J635" s="45">
        <f>ELISA!$E$32/ELISA!$E$11</f>
        <v>0</v>
      </c>
      <c r="K635" s="45">
        <f>ELISA!$F$32/ELISA!$F$11</f>
        <v>0</v>
      </c>
      <c r="L635" s="45">
        <f>ELISA!$G$32/ELISA!$G$11</f>
        <v>0</v>
      </c>
      <c r="M635" s="45" t="str">
        <f>ELISA!$H$32</f>
        <v>nm</v>
      </c>
      <c r="N635" s="46"/>
      <c r="O635" s="45">
        <f>(ELISA!$D$31+ELISA!$D$32)/ELISA!$D$11</f>
        <v>5.4060547813551185E-2</v>
      </c>
      <c r="P635" s="45">
        <f>(ELISA!$E$31+ELISA!$E$32)/ELISA!$E$11</f>
        <v>5.6463238827486793E-2</v>
      </c>
      <c r="Q635" s="45">
        <f>(ELISA!$F$31+ELISA!$F$32)/ELISA!$F$11</f>
        <v>5.9286400768861137E-2</v>
      </c>
      <c r="R635" s="45">
        <f>(ELISA!$G$31+ELISA!$G$32)/ELISA!$G$11</f>
        <v>6.2250720807304205E-2</v>
      </c>
      <c r="S635" s="45">
        <f>ELISA!$H$46</f>
        <v>4.8144872461113764E-2</v>
      </c>
      <c r="T635" s="46"/>
      <c r="U635" s="48" t="str">
        <f t="shared" si="156"/>
        <v>EUR 41.6</v>
      </c>
      <c r="V635" s="44" t="str">
        <f t="shared" si="156"/>
        <v>Elisa</v>
      </c>
      <c r="X635" s="43"/>
      <c r="Y635" s="76"/>
      <c r="BF635" s="39"/>
      <c r="BG635" s="39"/>
      <c r="BH635" s="39"/>
      <c r="BI635" s="39"/>
      <c r="BJ635" s="39"/>
      <c r="BK635" s="39"/>
      <c r="BL635" s="39"/>
      <c r="BM635" s="39"/>
      <c r="BN635" s="39"/>
      <c r="BO635" s="39"/>
      <c r="BP635" s="39"/>
      <c r="BQ635" s="39"/>
      <c r="BR635" s="39"/>
      <c r="BS635" s="39"/>
      <c r="BT635" s="39"/>
      <c r="BU635" s="39"/>
      <c r="BV635" s="39"/>
      <c r="BW635" s="39"/>
      <c r="BX635" s="39"/>
      <c r="BY635" s="39"/>
      <c r="BZ635" s="39"/>
      <c r="CA635" s="39"/>
      <c r="CB635" s="39"/>
      <c r="CC635" s="39"/>
      <c r="CD635" s="39"/>
      <c r="CE635" s="39"/>
      <c r="CF635" s="39"/>
      <c r="CG635" s="39"/>
      <c r="CH635" s="39"/>
      <c r="CI635" s="39"/>
      <c r="CJ635" s="39"/>
      <c r="CK635" s="39"/>
      <c r="CL635" s="39"/>
      <c r="CM635" s="39"/>
      <c r="CN635" s="39"/>
      <c r="CO635" s="39"/>
      <c r="CP635" s="39"/>
      <c r="CQ635" s="39"/>
      <c r="CR635" s="39"/>
      <c r="CS635" s="39"/>
      <c r="CT635" s="39"/>
      <c r="CU635" s="39"/>
      <c r="CV635" s="39"/>
      <c r="CW635" s="39"/>
      <c r="CX635" s="39"/>
      <c r="CY635" s="39"/>
      <c r="CZ635" s="39"/>
      <c r="DA635" s="39"/>
      <c r="DB635" s="39"/>
      <c r="DC635" s="39"/>
      <c r="DD635" s="39"/>
      <c r="DE635" s="39"/>
      <c r="DF635" s="39"/>
      <c r="DG635" s="39"/>
      <c r="DH635" s="39"/>
      <c r="DI635" s="39"/>
    </row>
    <row r="636" spans="1:113">
      <c r="A636" s="41"/>
      <c r="C636" s="48" t="str">
        <f t="shared" si="155"/>
        <v>Liberty Global (prop.)</v>
      </c>
      <c r="D636" s="44" t="str">
        <f t="shared" si="155"/>
        <v>USD 16.2</v>
      </c>
      <c r="E636" s="44" t="str">
        <f t="shared" si="155"/>
        <v>USD 24.0</v>
      </c>
      <c r="F636" s="45">
        <f t="shared" si="155"/>
        <v>0.47783251231527113</v>
      </c>
      <c r="G636" s="44" t="str">
        <f t="shared" si="155"/>
        <v>Buy</v>
      </c>
      <c r="H636" s="46"/>
      <c r="I636" s="45">
        <f>LBTY!$D$32/LBTY!$D$11</f>
        <v>0</v>
      </c>
      <c r="J636" s="45">
        <f>LBTY!$E$32/LBTY!$E$11</f>
        <v>0</v>
      </c>
      <c r="K636" s="45">
        <f>LBTY!$F$32/LBTY!$F$11</f>
        <v>0</v>
      </c>
      <c r="L636" s="45">
        <f>LBTY!$G$32/LBTY!$G$11</f>
        <v>0</v>
      </c>
      <c r="M636" s="45" t="str">
        <f>LBTY!$H$32</f>
        <v>nm</v>
      </c>
      <c r="N636" s="46"/>
      <c r="O636" s="45">
        <f>(LBTY!$D$31+LBTY!$D$32)/LBTY!$D$11</f>
        <v>0</v>
      </c>
      <c r="P636" s="45">
        <f>(LBTY!$E$31+LBTY!$E$32)/LBTY!$E$11</f>
        <v>0</v>
      </c>
      <c r="Q636" s="45">
        <f>(LBTY!$F$31+LBTY!$F$32)/LBTY!$F$11</f>
        <v>0</v>
      </c>
      <c r="R636" s="45">
        <f>(LBTY!$G$31+LBTY!$G$32)/LBTY!$G$11</f>
        <v>0</v>
      </c>
      <c r="S636" s="45" t="str">
        <f>IFERROR(LBTY!$H$46,"na")</f>
        <v>na</v>
      </c>
      <c r="T636" s="46"/>
      <c r="U636" s="48" t="str">
        <f t="shared" si="156"/>
        <v>USD 16.2</v>
      </c>
      <c r="V636" s="44" t="str">
        <f t="shared" si="156"/>
        <v>Liberty Global</v>
      </c>
      <c r="X636" s="43"/>
      <c r="Y636" s="76"/>
      <c r="AF636" s="39"/>
      <c r="AG636" s="39"/>
      <c r="AH636" s="39"/>
      <c r="AI636" s="39"/>
      <c r="AJ636" s="39"/>
      <c r="AK636" s="39"/>
      <c r="AL636" s="39"/>
      <c r="AM636" s="39"/>
      <c r="AN636" s="39"/>
      <c r="AO636" s="39"/>
      <c r="AP636" s="39"/>
      <c r="AQ636" s="39"/>
      <c r="AR636" s="39"/>
      <c r="AS636" s="39"/>
      <c r="AT636" s="39"/>
      <c r="AU636" s="39"/>
      <c r="AV636" s="39"/>
      <c r="AW636" s="39"/>
      <c r="AX636" s="39"/>
      <c r="AY636" s="39"/>
      <c r="AZ636" s="39"/>
      <c r="BA636" s="39"/>
      <c r="BB636" s="39"/>
      <c r="BC636" s="39"/>
      <c r="BD636" s="39"/>
      <c r="BE636" s="39"/>
      <c r="BF636" s="39"/>
      <c r="BG636" s="39"/>
      <c r="BH636" s="39"/>
      <c r="BI636" s="39"/>
      <c r="BJ636" s="39"/>
      <c r="BK636" s="39"/>
      <c r="BL636" s="39"/>
      <c r="BM636" s="39"/>
      <c r="BN636" s="39"/>
      <c r="BO636" s="39"/>
      <c r="BP636" s="39"/>
      <c r="BQ636" s="39"/>
      <c r="BR636" s="39"/>
      <c r="BS636" s="39"/>
      <c r="BT636" s="39"/>
      <c r="BU636" s="39"/>
      <c r="BV636" s="39"/>
      <c r="BW636" s="39"/>
      <c r="BX636" s="39"/>
      <c r="BY636" s="39"/>
      <c r="BZ636" s="39"/>
      <c r="CA636" s="39"/>
      <c r="CB636" s="39"/>
      <c r="CC636" s="39"/>
      <c r="CD636" s="39"/>
      <c r="CE636" s="39"/>
      <c r="CF636" s="39"/>
      <c r="CG636" s="39"/>
      <c r="CH636" s="39"/>
      <c r="CI636" s="39"/>
      <c r="CJ636" s="39"/>
      <c r="CK636" s="39"/>
      <c r="CL636" s="39"/>
      <c r="CM636" s="39"/>
      <c r="CN636" s="39"/>
      <c r="CO636" s="39"/>
      <c r="CP636" s="39"/>
      <c r="CQ636" s="39"/>
      <c r="CR636" s="39"/>
      <c r="CS636" s="39"/>
      <c r="CT636" s="39"/>
      <c r="CU636" s="39"/>
      <c r="CV636" s="39"/>
      <c r="CW636" s="39"/>
      <c r="CX636" s="39"/>
      <c r="CY636" s="39"/>
      <c r="CZ636" s="39"/>
      <c r="DA636" s="39"/>
      <c r="DB636" s="39"/>
      <c r="DC636" s="39"/>
      <c r="DD636" s="39"/>
      <c r="DE636" s="39"/>
      <c r="DF636" s="39"/>
      <c r="DG636" s="39"/>
      <c r="DH636" s="39"/>
      <c r="DI636" s="39"/>
    </row>
    <row r="637" spans="1:113">
      <c r="A637" s="41"/>
      <c r="C637" s="48" t="str">
        <f t="shared" si="155"/>
        <v>NOS</v>
      </c>
      <c r="D637" s="44" t="str">
        <f t="shared" si="155"/>
        <v>EUR 3.35</v>
      </c>
      <c r="E637" s="44" t="str">
        <f t="shared" si="155"/>
        <v>EUR 4.00</v>
      </c>
      <c r="F637" s="45">
        <f t="shared" si="155"/>
        <v>0.19581464872944676</v>
      </c>
      <c r="G637" s="44" t="str">
        <f t="shared" si="155"/>
        <v>Neutral</v>
      </c>
      <c r="H637" s="46"/>
      <c r="I637" s="45">
        <f>NOS!$D$32/NOS!$D$11</f>
        <v>0</v>
      </c>
      <c r="J637" s="45">
        <f>NOS!$E$32/NOS!$E$11</f>
        <v>0</v>
      </c>
      <c r="K637" s="45">
        <f>NOS!$F$32/NOS!$F$11</f>
        <v>0</v>
      </c>
      <c r="L637" s="45">
        <f>NOS!$G$32/NOS!$G$11</f>
        <v>0</v>
      </c>
      <c r="M637" s="45" t="str">
        <f>NOS!$H$32</f>
        <v>nm</v>
      </c>
      <c r="N637" s="46"/>
      <c r="O637" s="45">
        <f>(NOS!$D$31+NOS!$D$32)/NOS!$D$11</f>
        <v>8.3109118086696562E-2</v>
      </c>
      <c r="P637" s="45">
        <f>(NOS!$E$31+NOS!$E$32)/NOS!$E$11</f>
        <v>8.7264573991031394E-2</v>
      </c>
      <c r="Q637" s="45">
        <f>(NOS!$F$31+NOS!$F$32)/NOS!$F$11</f>
        <v>9.1627802690582974E-2</v>
      </c>
      <c r="R637" s="45">
        <f>(NOS!$G$31+NOS!$G$32)/NOS!$G$11</f>
        <v>9.620919282511213E-2</v>
      </c>
      <c r="S637" s="45">
        <f>NOS!$H$46</f>
        <v>5.0000000000000044E-2</v>
      </c>
      <c r="T637" s="46"/>
      <c r="U637" s="48" t="str">
        <f t="shared" si="156"/>
        <v>EUR 3.35</v>
      </c>
      <c r="V637" s="44" t="str">
        <f t="shared" si="156"/>
        <v>NOS</v>
      </c>
      <c r="X637" s="43"/>
      <c r="Y637" s="76"/>
      <c r="AF637" s="39"/>
      <c r="AG637" s="39"/>
      <c r="AH637" s="39"/>
      <c r="AI637" s="39"/>
      <c r="AJ637" s="39"/>
      <c r="AK637" s="39"/>
      <c r="AL637" s="39"/>
      <c r="AM637" s="39"/>
      <c r="AN637" s="39"/>
      <c r="AO637" s="39"/>
      <c r="AP637" s="39"/>
      <c r="AQ637" s="39"/>
      <c r="AR637" s="39"/>
      <c r="AS637" s="39"/>
      <c r="AT637" s="39"/>
      <c r="AU637" s="39"/>
      <c r="AV637" s="39"/>
      <c r="AW637" s="39"/>
      <c r="AX637" s="39"/>
      <c r="AY637" s="39"/>
      <c r="AZ637" s="39"/>
      <c r="BA637" s="39"/>
      <c r="BB637" s="39"/>
      <c r="BC637" s="39"/>
      <c r="BD637" s="39"/>
      <c r="BE637" s="39"/>
      <c r="BF637" s="39"/>
      <c r="BG637" s="39"/>
      <c r="BH637" s="39"/>
      <c r="BI637" s="39"/>
      <c r="BJ637" s="39"/>
      <c r="BK637" s="39"/>
      <c r="BL637" s="39"/>
      <c r="BM637" s="39"/>
      <c r="BN637" s="39"/>
      <c r="BO637" s="39"/>
      <c r="BP637" s="39"/>
      <c r="BQ637" s="39"/>
      <c r="BR637" s="39"/>
      <c r="BS637" s="39"/>
      <c r="BT637" s="39"/>
      <c r="BU637" s="39"/>
      <c r="BV637" s="39"/>
      <c r="BW637" s="39"/>
      <c r="BX637" s="39"/>
      <c r="BY637" s="39"/>
      <c r="BZ637" s="39"/>
      <c r="CA637" s="39"/>
      <c r="CB637" s="39"/>
      <c r="CC637" s="39"/>
      <c r="CD637" s="39"/>
      <c r="CE637" s="39"/>
      <c r="CF637" s="39"/>
      <c r="CG637" s="39"/>
      <c r="CH637" s="39"/>
      <c r="CI637" s="39"/>
      <c r="CJ637" s="39"/>
      <c r="CK637" s="39"/>
      <c r="CL637" s="39"/>
      <c r="CM637" s="39"/>
      <c r="CN637" s="39"/>
      <c r="CO637" s="39"/>
      <c r="CP637" s="39"/>
      <c r="CQ637" s="39"/>
      <c r="CR637" s="39"/>
      <c r="CS637" s="39"/>
      <c r="CT637" s="39"/>
      <c r="CU637" s="39"/>
      <c r="CV637" s="39"/>
      <c r="CW637" s="39"/>
      <c r="CX637" s="39"/>
      <c r="CY637" s="39"/>
      <c r="CZ637" s="39"/>
      <c r="DA637" s="39"/>
      <c r="DB637" s="39"/>
      <c r="DC637" s="39"/>
      <c r="DD637" s="39"/>
      <c r="DE637" s="39"/>
      <c r="DF637" s="39"/>
      <c r="DG637" s="39"/>
      <c r="DH637" s="39"/>
      <c r="DI637" s="39"/>
    </row>
    <row r="638" spans="1:113">
      <c r="C638" s="48" t="str">
        <f t="shared" si="155"/>
        <v>Orange Belgium</v>
      </c>
      <c r="D638" s="44" t="str">
        <f t="shared" si="155"/>
        <v>EUR 14.9</v>
      </c>
      <c r="E638" s="44" t="str">
        <f t="shared" si="155"/>
        <v>EUR 13.0</v>
      </c>
      <c r="F638" s="45">
        <f t="shared" si="155"/>
        <v>-0.12868632707774796</v>
      </c>
      <c r="G638" s="44" t="str">
        <f t="shared" si="155"/>
        <v>Neutral</v>
      </c>
      <c r="H638" s="46"/>
      <c r="I638" s="45">
        <f>OBEL!$D$32/OBEL!$D$11</f>
        <v>0</v>
      </c>
      <c r="J638" s="45">
        <f>OBEL!$E$32/OBEL!$E$11</f>
        <v>0</v>
      </c>
      <c r="K638" s="45">
        <f>OBEL!$F$32/OBEL!$F$11</f>
        <v>0</v>
      </c>
      <c r="L638" s="45">
        <f>OBEL!$G$32/OBEL!$G$11</f>
        <v>0</v>
      </c>
      <c r="M638" s="45" t="str">
        <f>OBEL!$H$32</f>
        <v>nm</v>
      </c>
      <c r="N638" s="46"/>
      <c r="O638" s="45">
        <f>(OBEL!$D$31+OBEL!$D$32)/OBEL!$D$11</f>
        <v>0</v>
      </c>
      <c r="P638" s="45">
        <f>(OBEL!$E$31+OBEL!$E$32)/OBEL!$E$11</f>
        <v>0</v>
      </c>
      <c r="Q638" s="45">
        <f>(OBEL!$F$31+OBEL!$F$32)/OBEL!$F$11</f>
        <v>0</v>
      </c>
      <c r="R638" s="45">
        <f>(OBEL!$G$31+OBEL!$G$32)/OBEL!$G$11</f>
        <v>0</v>
      </c>
      <c r="S638" s="45" t="str">
        <f>OBEL!$H$46</f>
        <v>nm</v>
      </c>
      <c r="T638" s="46"/>
      <c r="U638" s="48" t="str">
        <f t="shared" si="156"/>
        <v>EUR 14.9</v>
      </c>
      <c r="V638" s="44" t="str">
        <f t="shared" si="156"/>
        <v>Mobistar</v>
      </c>
      <c r="X638" s="43"/>
      <c r="Y638" s="76"/>
      <c r="BF638" s="39"/>
      <c r="BG638" s="39"/>
      <c r="BH638" s="39"/>
      <c r="BI638" s="39"/>
      <c r="BJ638" s="39"/>
      <c r="BK638" s="39"/>
      <c r="BL638" s="39"/>
      <c r="BM638" s="39"/>
      <c r="BN638" s="39"/>
      <c r="BO638" s="39"/>
      <c r="BP638" s="39"/>
      <c r="BQ638" s="39"/>
      <c r="BR638" s="39"/>
      <c r="BS638" s="39"/>
      <c r="BT638" s="39"/>
      <c r="BU638" s="39"/>
      <c r="BV638" s="39"/>
      <c r="BW638" s="39"/>
      <c r="BX638" s="39"/>
      <c r="BY638" s="39"/>
      <c r="BZ638" s="39"/>
      <c r="CA638" s="39"/>
      <c r="CB638" s="39"/>
      <c r="CC638" s="39"/>
      <c r="CD638" s="39"/>
      <c r="CE638" s="39"/>
      <c r="CF638" s="39"/>
      <c r="CG638" s="39"/>
      <c r="CH638" s="39"/>
      <c r="CI638" s="39"/>
      <c r="CJ638" s="39"/>
      <c r="CK638" s="39"/>
      <c r="CL638" s="39"/>
      <c r="CM638" s="39"/>
      <c r="CN638" s="39"/>
      <c r="CO638" s="39"/>
      <c r="CP638" s="39"/>
      <c r="CQ638" s="39"/>
      <c r="CR638" s="39"/>
      <c r="CS638" s="39"/>
      <c r="CT638" s="39"/>
      <c r="CU638" s="39"/>
      <c r="CV638" s="39"/>
      <c r="CW638" s="39"/>
      <c r="CX638" s="39"/>
      <c r="CY638" s="39"/>
      <c r="CZ638" s="39"/>
      <c r="DA638" s="39"/>
      <c r="DB638" s="39"/>
      <c r="DC638" s="39"/>
      <c r="DD638" s="39"/>
      <c r="DE638" s="39"/>
      <c r="DF638" s="39"/>
      <c r="DG638" s="39"/>
      <c r="DH638" s="39"/>
      <c r="DI638" s="39"/>
    </row>
    <row r="639" spans="1:113">
      <c r="C639" s="48" t="str">
        <f t="shared" si="155"/>
        <v>Tele2</v>
      </c>
      <c r="D639" s="44" t="str">
        <f t="shared" si="155"/>
        <v>SEK 101.1</v>
      </c>
      <c r="E639" s="44" t="str">
        <f t="shared" si="155"/>
        <v>SEK 110.0</v>
      </c>
      <c r="F639" s="45">
        <f t="shared" si="155"/>
        <v>8.8570014844136624E-2</v>
      </c>
      <c r="G639" s="44" t="str">
        <f t="shared" si="155"/>
        <v>Neutral</v>
      </c>
      <c r="H639" s="46"/>
      <c r="I639" s="45">
        <f>TELE2!$D$32/TELE2!$D$11</f>
        <v>0</v>
      </c>
      <c r="J639" s="45">
        <f>TELE2!$E$32/TELE2!$E$11</f>
        <v>0</v>
      </c>
      <c r="K639" s="45">
        <f>TELE2!$F$32/TELE2!$F$11</f>
        <v>0</v>
      </c>
      <c r="L639" s="45">
        <f>TELE2!$G$32/TELE2!$G$11</f>
        <v>0</v>
      </c>
      <c r="M639" s="45" t="str">
        <f>TELE2!$H$32</f>
        <v>nm</v>
      </c>
      <c r="N639" s="46"/>
      <c r="O639" s="45">
        <f>(TELE2!$D$31+TELE2!$D$32)/TELE2!$D$11</f>
        <v>5.6375810719748086E-2</v>
      </c>
      <c r="P639" s="45">
        <f>(TELE2!$E$31+TELE2!$E$32)/TELE2!$E$11</f>
        <v>5.9194601255735488E-2</v>
      </c>
      <c r="Q639" s="45">
        <f>(TELE2!$F$31+TELE2!$F$32)/TELE2!$F$11</f>
        <v>6.2154331318522271E-2</v>
      </c>
      <c r="R639" s="45">
        <f>(TELE2!$G$31+TELE2!$G$32)/TELE2!$G$11</f>
        <v>6.2154331318522271E-2</v>
      </c>
      <c r="S639" s="45">
        <f>TELE2!$H$46</f>
        <v>3.3061554146506911E-2</v>
      </c>
      <c r="T639" s="46"/>
      <c r="U639" s="48" t="str">
        <f t="shared" si="156"/>
        <v>SEK 101.1</v>
      </c>
      <c r="V639" s="44" t="str">
        <f t="shared" si="156"/>
        <v>Tele2</v>
      </c>
      <c r="X639" s="43"/>
      <c r="Y639" s="76"/>
      <c r="BF639" s="39"/>
      <c r="BG639" s="39"/>
      <c r="BH639" s="39"/>
      <c r="BI639" s="39"/>
      <c r="BJ639" s="39"/>
      <c r="BK639" s="39"/>
      <c r="BL639" s="39"/>
      <c r="BM639" s="39"/>
      <c r="BN639" s="39"/>
      <c r="BO639" s="39"/>
      <c r="BP639" s="39"/>
      <c r="BQ639" s="39"/>
      <c r="BR639" s="39"/>
      <c r="BS639" s="39"/>
      <c r="BT639" s="39"/>
      <c r="BU639" s="39"/>
      <c r="BV639" s="39"/>
      <c r="BW639" s="39"/>
      <c r="BX639" s="39"/>
      <c r="BY639" s="39"/>
      <c r="BZ639" s="39"/>
      <c r="CA639" s="39"/>
      <c r="CB639" s="39"/>
      <c r="CC639" s="39"/>
      <c r="CD639" s="39"/>
      <c r="CE639" s="39"/>
      <c r="CF639" s="39"/>
      <c r="CG639" s="39"/>
      <c r="CH639" s="39"/>
      <c r="CI639" s="39"/>
      <c r="CJ639" s="39"/>
      <c r="CK639" s="39"/>
      <c r="CL639" s="39"/>
      <c r="CM639" s="39"/>
      <c r="CN639" s="39"/>
      <c r="CO639" s="39"/>
      <c r="CP639" s="39"/>
      <c r="CQ639" s="39"/>
      <c r="CR639" s="39"/>
      <c r="CS639" s="39"/>
      <c r="CT639" s="39"/>
      <c r="CU639" s="39"/>
      <c r="CV639" s="39"/>
      <c r="CW639" s="39"/>
      <c r="CX639" s="39"/>
      <c r="CY639" s="39"/>
      <c r="CZ639" s="39"/>
      <c r="DA639" s="39"/>
      <c r="DB639" s="39"/>
      <c r="DC639" s="39"/>
      <c r="DD639" s="39"/>
      <c r="DE639" s="39"/>
      <c r="DF639" s="39"/>
      <c r="DG639" s="39"/>
      <c r="DH639" s="39"/>
      <c r="DI639" s="39"/>
    </row>
    <row r="640" spans="1:113">
      <c r="A640" s="41"/>
      <c r="C640" s="48" t="str">
        <f t="shared" si="155"/>
        <v>United Internet</v>
      </c>
      <c r="D640" s="44" t="str">
        <f t="shared" si="155"/>
        <v>EUR 22.1</v>
      </c>
      <c r="E640" s="44" t="str">
        <f t="shared" si="155"/>
        <v>EUR 30.0</v>
      </c>
      <c r="F640" s="45">
        <f t="shared" si="155"/>
        <v>0.35869565217391308</v>
      </c>
      <c r="G640" s="44" t="str">
        <f t="shared" si="155"/>
        <v>Buy</v>
      </c>
      <c r="H640" s="46"/>
      <c r="I640" s="45">
        <f>UTDI!$D$32/UTDI!$D$11</f>
        <v>0</v>
      </c>
      <c r="J640" s="45">
        <f>UTDI!$E$32/UTDI!$E$11</f>
        <v>0</v>
      </c>
      <c r="K640" s="45">
        <f>UTDI!$F$32/UTDI!$F$11</f>
        <v>0</v>
      </c>
      <c r="L640" s="45">
        <f>UTDI!$G$32/UTDI!$G$11</f>
        <v>0</v>
      </c>
      <c r="M640" s="45" t="str">
        <f>UTDI!$H$32</f>
        <v>nm</v>
      </c>
      <c r="N640" s="46"/>
      <c r="O640" s="45">
        <f>(UTDI!$D$31+UTDI!$D$32)/UTDI!$D$11</f>
        <v>2.2644927536231887E-2</v>
      </c>
      <c r="P640" s="45">
        <f>(UTDI!$E$31+UTDI!$E$32)/UTDI!$E$11</f>
        <v>2.2644927536231887E-2</v>
      </c>
      <c r="Q640" s="45">
        <f>(UTDI!$F$31+UTDI!$F$32)/UTDI!$F$11</f>
        <v>2.2644927536231887E-2</v>
      </c>
      <c r="R640" s="45">
        <f>(UTDI!$G$31+UTDI!$G$32)/UTDI!$G$11</f>
        <v>2.2644927536231887E-2</v>
      </c>
      <c r="S640" s="45">
        <f>UTDI!$H$46</f>
        <v>0</v>
      </c>
      <c r="T640" s="46"/>
      <c r="U640" s="48" t="str">
        <f t="shared" si="156"/>
        <v>EUR 22.1</v>
      </c>
      <c r="V640" s="44" t="str">
        <f t="shared" si="156"/>
        <v>United Internet</v>
      </c>
      <c r="X640" s="43"/>
      <c r="Y640" s="76"/>
      <c r="AF640" s="39"/>
      <c r="AG640" s="39"/>
      <c r="AH640" s="39"/>
      <c r="AI640" s="39"/>
      <c r="AJ640" s="39"/>
      <c r="AK640" s="39"/>
      <c r="AL640" s="39"/>
      <c r="AM640" s="39"/>
      <c r="AN640" s="39"/>
      <c r="AO640" s="39"/>
      <c r="AP640" s="39"/>
      <c r="AQ640" s="39"/>
      <c r="AR640" s="39"/>
      <c r="AS640" s="39"/>
      <c r="AT640" s="39"/>
      <c r="AU640" s="39"/>
      <c r="AV640" s="39"/>
      <c r="AW640" s="39"/>
      <c r="AX640" s="39"/>
      <c r="AY640" s="39"/>
      <c r="AZ640" s="39"/>
      <c r="BA640" s="39"/>
      <c r="BB640" s="39"/>
      <c r="BC640" s="39"/>
      <c r="BD640" s="39"/>
      <c r="BE640" s="39"/>
      <c r="BF640" s="39"/>
      <c r="BG640" s="39"/>
      <c r="BH640" s="39"/>
      <c r="BI640" s="39"/>
      <c r="BJ640" s="39"/>
      <c r="BK640" s="39"/>
      <c r="BL640" s="39"/>
      <c r="BM640" s="39"/>
      <c r="BN640" s="39"/>
      <c r="BO640" s="39"/>
      <c r="BP640" s="39"/>
      <c r="BQ640" s="39"/>
      <c r="BR640" s="39"/>
      <c r="BS640" s="39"/>
      <c r="BT640" s="39"/>
      <c r="BU640" s="39"/>
      <c r="BV640" s="39"/>
      <c r="BW640" s="39"/>
      <c r="BX640" s="39"/>
      <c r="BY640" s="39"/>
      <c r="BZ640" s="39"/>
      <c r="CA640" s="39"/>
      <c r="CB640" s="39"/>
      <c r="CC640" s="39"/>
      <c r="CD640" s="39"/>
      <c r="CE640" s="39"/>
      <c r="CF640" s="39"/>
      <c r="CG640" s="39"/>
      <c r="CH640" s="39"/>
      <c r="CI640" s="39"/>
      <c r="CJ640" s="39"/>
      <c r="CK640" s="39"/>
      <c r="CL640" s="39"/>
      <c r="CM640" s="39"/>
      <c r="CN640" s="39"/>
      <c r="CO640" s="39"/>
      <c r="CP640" s="39"/>
      <c r="CQ640" s="39"/>
      <c r="CR640" s="39"/>
      <c r="CS640" s="39"/>
      <c r="CT640" s="39"/>
      <c r="CU640" s="39"/>
      <c r="CV640" s="39"/>
      <c r="CW640" s="39"/>
      <c r="CX640" s="39"/>
      <c r="CY640" s="39"/>
      <c r="CZ640" s="39"/>
      <c r="DA640" s="39"/>
      <c r="DB640" s="39"/>
      <c r="DC640" s="39"/>
      <c r="DD640" s="39"/>
      <c r="DE640" s="39"/>
      <c r="DF640" s="39"/>
      <c r="DG640" s="39"/>
      <c r="DH640" s="39"/>
      <c r="DI640" s="39"/>
    </row>
    <row r="641" spans="1:113">
      <c r="C641" s="48" t="str">
        <f t="shared" si="155"/>
        <v>Vodafone</v>
      </c>
      <c r="D641" s="44" t="str">
        <f t="shared" si="155"/>
        <v>GBP 0.74</v>
      </c>
      <c r="E641" s="44" t="str">
        <f t="shared" si="155"/>
        <v>GBP 1.35</v>
      </c>
      <c r="F641" s="45">
        <f t="shared" si="155"/>
        <v>0.83673469387755106</v>
      </c>
      <c r="G641" s="44" t="str">
        <f t="shared" si="155"/>
        <v>Buy</v>
      </c>
      <c r="H641" s="46"/>
      <c r="I641" s="45">
        <f>VOD!$D$32/VOD!$D$11</f>
        <v>0</v>
      </c>
      <c r="J641" s="45">
        <f>VOD!$E$32/VOD!$E$11</f>
        <v>0</v>
      </c>
      <c r="K641" s="45">
        <f>VOD!$F$32/VOD!$F$11</f>
        <v>0</v>
      </c>
      <c r="L641" s="45">
        <f>VOD!$G$32/VOD!$G$11</f>
        <v>0</v>
      </c>
      <c r="M641" s="45" t="str">
        <f>VOD!$H$32</f>
        <v>nm</v>
      </c>
      <c r="N641" s="46"/>
      <c r="O641" s="45">
        <f>(VOD!$D$31+VOD!$D$32)/VOD!$D$11</f>
        <v>0.10569408489795919</v>
      </c>
      <c r="P641" s="45">
        <f>(VOD!$E$31+VOD!$E$32)/VOD!$E$11</f>
        <v>5.2497873673469392E-2</v>
      </c>
      <c r="Q641" s="45">
        <f>(VOD!$F$31+VOD!$F$32)/VOD!$F$11</f>
        <v>5.2497873673469392E-2</v>
      </c>
      <c r="R641" s="45">
        <f>(VOD!$G$31+VOD!$G$32)/VOD!$G$11</f>
        <v>5.2497873673469392E-2</v>
      </c>
      <c r="S641" s="45">
        <f>VOD!$H$46</f>
        <v>-0.2327747984585482</v>
      </c>
      <c r="T641" s="46"/>
      <c r="U641" s="48" t="str">
        <f>U581</f>
        <v>GBP 0.74</v>
      </c>
      <c r="V641" s="44" t="s">
        <v>281</v>
      </c>
      <c r="BF641" s="39"/>
      <c r="BG641" s="39"/>
      <c r="BH641" s="39"/>
      <c r="BI641" s="39"/>
      <c r="BJ641" s="39"/>
      <c r="BK641" s="39"/>
      <c r="BL641" s="39"/>
      <c r="BM641" s="39"/>
      <c r="BN641" s="39"/>
      <c r="BO641" s="39"/>
      <c r="BP641" s="39"/>
      <c r="BQ641" s="39"/>
      <c r="BR641" s="39"/>
      <c r="BS641" s="39"/>
      <c r="BT641" s="39"/>
      <c r="BU641" s="39"/>
      <c r="BV641" s="39"/>
      <c r="BW641" s="39"/>
      <c r="BX641" s="39"/>
      <c r="BY641" s="39"/>
      <c r="BZ641" s="39"/>
      <c r="CA641" s="39"/>
      <c r="CB641" s="39"/>
      <c r="CC641" s="39"/>
      <c r="CD641" s="39"/>
      <c r="CE641" s="39"/>
      <c r="CF641" s="39"/>
      <c r="CG641" s="39"/>
      <c r="CH641" s="39"/>
      <c r="CI641" s="39"/>
      <c r="CJ641" s="39"/>
      <c r="CK641" s="39"/>
      <c r="CL641" s="39"/>
      <c r="CM641" s="39"/>
      <c r="CN641" s="39"/>
      <c r="CO641" s="39"/>
      <c r="CP641" s="39"/>
      <c r="CQ641" s="39"/>
      <c r="CR641" s="39"/>
      <c r="CS641" s="39"/>
      <c r="CT641" s="39"/>
      <c r="CU641" s="39"/>
      <c r="CV641" s="39"/>
      <c r="CW641" s="39"/>
      <c r="CX641" s="39"/>
      <c r="CY641" s="39"/>
      <c r="CZ641" s="39"/>
      <c r="DA641" s="39"/>
      <c r="DB641" s="39"/>
      <c r="DC641" s="39"/>
      <c r="DD641" s="39"/>
      <c r="DE641" s="39"/>
      <c r="DF641" s="39"/>
      <c r="DG641" s="39"/>
      <c r="DH641" s="39"/>
      <c r="DI641" s="39"/>
    </row>
    <row r="642" spans="1:113">
      <c r="C642" s="51" t="str">
        <f>C582</f>
        <v>Agg. W. Europe Other</v>
      </c>
      <c r="D642" s="52"/>
      <c r="E642" s="52"/>
      <c r="F642" s="53"/>
      <c r="G642" s="52"/>
      <c r="H642" s="46"/>
      <c r="I642" s="55">
        <f>'W.EUR OTHER'!$D$32/'W.EUR OTHER'!$D$11</f>
        <v>0</v>
      </c>
      <c r="J642" s="55">
        <f>'W.EUR OTHER'!$E$32/'W.EUR OTHER'!$E$11</f>
        <v>0</v>
      </c>
      <c r="K642" s="55">
        <f>'W.EUR OTHER'!$F$32/'W.EUR OTHER'!$F$11</f>
        <v>0</v>
      </c>
      <c r="L642" s="55">
        <f>'W.EUR OTHER'!$G$32/'W.EUR OTHER'!$G$11</f>
        <v>0</v>
      </c>
      <c r="M642" s="55" t="str">
        <f>'W.EUR OTHER'!$H$32</f>
        <v>nm</v>
      </c>
      <c r="N642" s="56"/>
      <c r="O642" s="55">
        <f>('W.EUR OTHER'!$D$31+'W.EUR OTHER'!$D$32)/'W.EUR OTHER'!$D$11</f>
        <v>7.0241435315537989E-2</v>
      </c>
      <c r="P642" s="55">
        <f>('W.EUR OTHER'!$E$31+'W.EUR OTHER'!$E$32)/'W.EUR OTHER'!$E$11</f>
        <v>4.5697904024259245E-2</v>
      </c>
      <c r="Q642" s="55">
        <f>('W.EUR OTHER'!$F$31+'W.EUR OTHER'!$F$32)/'W.EUR OTHER'!$F$11</f>
        <v>4.7170150494817063E-2</v>
      </c>
      <c r="R642" s="55">
        <f>('W.EUR OTHER'!$G$31+'W.EUR OTHER'!$G$32)/'W.EUR OTHER'!$G$11</f>
        <v>4.8241300976334903E-2</v>
      </c>
      <c r="S642" s="55">
        <f>'W.EUR OTHER'!$H$46</f>
        <v>-0.13991829578276849</v>
      </c>
      <c r="T642" s="46"/>
      <c r="U642" s="57"/>
      <c r="V642" s="58" t="str">
        <f>V582</f>
        <v>Agg. W. Europe Other</v>
      </c>
      <c r="BF642" s="39"/>
      <c r="BG642" s="39"/>
      <c r="BH642" s="39"/>
      <c r="BI642" s="39"/>
      <c r="BJ642" s="39"/>
      <c r="BK642" s="39"/>
      <c r="BL642" s="39"/>
      <c r="BM642" s="39"/>
      <c r="BN642" s="39"/>
      <c r="BO642" s="39"/>
      <c r="BP642" s="39"/>
      <c r="BQ642" s="39"/>
      <c r="BR642" s="39"/>
      <c r="BS642" s="39"/>
      <c r="BT642" s="39"/>
      <c r="BU642" s="39"/>
      <c r="BV642" s="39"/>
      <c r="BW642" s="39"/>
      <c r="BX642" s="39"/>
      <c r="BY642" s="39"/>
      <c r="BZ642" s="39"/>
      <c r="CA642" s="39"/>
      <c r="CB642" s="39"/>
      <c r="CC642" s="39"/>
      <c r="CD642" s="39"/>
      <c r="CE642" s="39"/>
      <c r="CF642" s="39"/>
      <c r="CG642" s="39"/>
      <c r="CH642" s="39"/>
      <c r="CI642" s="39"/>
      <c r="CJ642" s="39"/>
      <c r="CK642" s="39"/>
      <c r="CL642" s="39"/>
      <c r="CM642" s="39"/>
      <c r="CN642" s="39"/>
      <c r="CO642" s="39"/>
      <c r="CP642" s="39"/>
      <c r="CQ642" s="39"/>
      <c r="CR642" s="39"/>
      <c r="CS642" s="39"/>
      <c r="CT642" s="39"/>
      <c r="CU642" s="39"/>
      <c r="CV642" s="39"/>
      <c r="CW642" s="39"/>
      <c r="CX642" s="39"/>
      <c r="CY642" s="39"/>
      <c r="CZ642" s="39"/>
      <c r="DA642" s="39"/>
      <c r="DB642" s="39"/>
      <c r="DC642" s="39"/>
      <c r="DD642" s="39"/>
      <c r="DE642" s="39"/>
      <c r="DF642" s="39"/>
      <c r="DG642" s="39"/>
      <c r="DH642" s="39"/>
      <c r="DI642" s="39"/>
    </row>
    <row r="643" spans="1:113">
      <c r="C643" s="48"/>
      <c r="D643" s="44"/>
      <c r="E643" s="44"/>
      <c r="F643" s="45"/>
      <c r="G643" s="44"/>
      <c r="H643" s="46"/>
      <c r="I643" s="45"/>
      <c r="J643" s="45"/>
      <c r="K643" s="45"/>
      <c r="L643" s="45"/>
      <c r="M643" s="45"/>
      <c r="N643" s="46"/>
      <c r="O643" s="45"/>
      <c r="P643" s="45"/>
      <c r="Q643" s="45"/>
      <c r="R643" s="45"/>
      <c r="S643" s="45"/>
      <c r="T643" s="46"/>
      <c r="U643" s="48"/>
      <c r="V643" s="44"/>
      <c r="X643" s="43"/>
      <c r="Y643" s="76"/>
      <c r="BF643" s="39"/>
      <c r="BG643" s="39"/>
      <c r="BH643" s="39"/>
      <c r="BI643" s="39"/>
      <c r="BJ643" s="39"/>
      <c r="BK643" s="39"/>
      <c r="BL643" s="39"/>
      <c r="BM643" s="39"/>
      <c r="BN643" s="39"/>
      <c r="BO643" s="39"/>
      <c r="BP643" s="39"/>
      <c r="BQ643" s="39"/>
      <c r="BR643" s="39"/>
      <c r="BS643" s="39"/>
      <c r="BT643" s="39"/>
      <c r="BU643" s="39"/>
      <c r="BV643" s="39"/>
      <c r="BW643" s="39"/>
      <c r="BX643" s="39"/>
      <c r="BY643" s="39"/>
      <c r="BZ643" s="39"/>
      <c r="CA643" s="39"/>
      <c r="CB643" s="39"/>
      <c r="CC643" s="39"/>
      <c r="CD643" s="39"/>
      <c r="CE643" s="39"/>
      <c r="CF643" s="39"/>
      <c r="CG643" s="39"/>
      <c r="CH643" s="39"/>
      <c r="CI643" s="39"/>
      <c r="CJ643" s="39"/>
      <c r="CK643" s="39"/>
      <c r="CL643" s="39"/>
      <c r="CM643" s="39"/>
      <c r="CN643" s="39"/>
      <c r="CO643" s="39"/>
      <c r="CP643" s="39"/>
      <c r="CQ643" s="39"/>
      <c r="CR643" s="39"/>
      <c r="CS643" s="39"/>
      <c r="CT643" s="39"/>
      <c r="CU643" s="39"/>
      <c r="CV643" s="39"/>
      <c r="CW643" s="39"/>
      <c r="CX643" s="39"/>
      <c r="CY643" s="39"/>
      <c r="CZ643" s="39"/>
      <c r="DA643" s="39"/>
      <c r="DB643" s="39"/>
      <c r="DC643" s="39"/>
      <c r="DD643" s="39"/>
      <c r="DE643" s="39"/>
      <c r="DF643" s="39"/>
      <c r="DG643" s="39"/>
      <c r="DH643" s="39"/>
      <c r="DI643" s="39"/>
    </row>
    <row r="644" spans="1:113">
      <c r="A644" s="41"/>
      <c r="B644" s="42" t="s">
        <v>556</v>
      </c>
      <c r="C644" s="48" t="str">
        <f t="shared" ref="C644:G649" si="157">C584</f>
        <v>HKBN</v>
      </c>
      <c r="D644" s="44" t="str">
        <f t="shared" si="157"/>
        <v>HKD 3</v>
      </c>
      <c r="E644" s="44" t="str">
        <f t="shared" si="157"/>
        <v>HKD 16</v>
      </c>
      <c r="F644" s="45">
        <f t="shared" si="157"/>
        <v>5.2256809338521402</v>
      </c>
      <c r="G644" s="44" t="str">
        <f t="shared" si="157"/>
        <v>Buy</v>
      </c>
      <c r="H644" s="46"/>
      <c r="I644" s="45">
        <f>HKBN!$D$32/HKBN!$D$11</f>
        <v>0</v>
      </c>
      <c r="J644" s="45">
        <f>HKBN!$E$32/HKBN!$E$11</f>
        <v>0</v>
      </c>
      <c r="K644" s="45">
        <f>HKBN!$F$32/HKBN!$F$11</f>
        <v>0</v>
      </c>
      <c r="L644" s="45">
        <f>HKBN!$G$32/HKBN!$G$11</f>
        <v>0</v>
      </c>
      <c r="M644" s="45" t="str">
        <f>HKBN!$H$32</f>
        <v>nm</v>
      </c>
      <c r="N644" s="46"/>
      <c r="O644" s="45">
        <f>(HKBN!$D$31+HKBN!$D$32)/HKBN!$D$11</f>
        <v>0.39155784773459196</v>
      </c>
      <c r="P644" s="45">
        <f>(HKBN!$E$31+HKBN!$E$32)/HKBN!$E$11</f>
        <v>0.42121402277925529</v>
      </c>
      <c r="Q644" s="45">
        <f>(HKBN!$F$31+HKBN!$F$32)/HKBN!$F$11</f>
        <v>0.43969278047763816</v>
      </c>
      <c r="R644" s="45">
        <f>(HKBN!$G$31+HKBN!$G$32)/HKBN!$G$11</f>
        <v>0.46975470999048069</v>
      </c>
      <c r="S644" s="45">
        <f>HKBN!$H$46</f>
        <v>6.2572087987454283E-2</v>
      </c>
      <c r="T644" s="46"/>
      <c r="U644" s="48" t="str">
        <f t="shared" ref="U644:V649" si="158">U584</f>
        <v>HKD 3</v>
      </c>
      <c r="V644" s="69" t="str">
        <f t="shared" si="158"/>
        <v>HKBN</v>
      </c>
      <c r="X644" s="43"/>
      <c r="Y644" s="76"/>
      <c r="AF644" s="39"/>
      <c r="AG644" s="39"/>
      <c r="AH644" s="39"/>
      <c r="AI644" s="39"/>
      <c r="AJ644" s="39"/>
      <c r="AK644" s="39"/>
      <c r="AL644" s="39"/>
      <c r="AM644" s="39"/>
      <c r="AN644" s="39"/>
      <c r="AO644" s="39"/>
      <c r="AP644" s="39"/>
      <c r="AQ644" s="39"/>
      <c r="AR644" s="39"/>
      <c r="AS644" s="39"/>
      <c r="AT644" s="39"/>
      <c r="AU644" s="39"/>
      <c r="AV644" s="39"/>
      <c r="AW644" s="39"/>
      <c r="AX644" s="39"/>
      <c r="AY644" s="39"/>
      <c r="AZ644" s="39"/>
      <c r="BA644" s="39"/>
      <c r="BB644" s="39"/>
      <c r="BC644" s="39"/>
      <c r="BD644" s="39"/>
      <c r="BE644" s="39"/>
      <c r="BF644" s="39"/>
      <c r="BG644" s="39"/>
      <c r="BH644" s="39"/>
      <c r="BI644" s="39"/>
      <c r="BJ644" s="39"/>
      <c r="BK644" s="39"/>
      <c r="BL644" s="39"/>
      <c r="BM644" s="39"/>
      <c r="BN644" s="39"/>
      <c r="BO644" s="39"/>
      <c r="BP644" s="39"/>
      <c r="BQ644" s="39"/>
      <c r="BR644" s="39"/>
      <c r="BS644" s="39"/>
      <c r="BT644" s="39"/>
      <c r="BU644" s="39"/>
      <c r="BV644" s="39"/>
      <c r="BW644" s="39"/>
      <c r="BX644" s="39"/>
      <c r="BY644" s="39"/>
      <c r="BZ644" s="39"/>
      <c r="CA644" s="39"/>
      <c r="CB644" s="39"/>
      <c r="CC644" s="39"/>
      <c r="CD644" s="39"/>
      <c r="CE644" s="39"/>
      <c r="CF644" s="39"/>
      <c r="CG644" s="39"/>
      <c r="CH644" s="39"/>
      <c r="CI644" s="39"/>
      <c r="CJ644" s="39"/>
      <c r="CK644" s="39"/>
      <c r="CL644" s="39"/>
      <c r="CM644" s="39"/>
      <c r="CN644" s="39"/>
      <c r="CO644" s="39"/>
      <c r="CP644" s="39"/>
      <c r="CQ644" s="39"/>
      <c r="CR644" s="39"/>
      <c r="CS644" s="39"/>
      <c r="CT644" s="39"/>
      <c r="CU644" s="39"/>
      <c r="CV644" s="39"/>
      <c r="CW644" s="39"/>
      <c r="CX644" s="39"/>
      <c r="CY644" s="39"/>
      <c r="CZ644" s="39"/>
      <c r="DA644" s="39"/>
      <c r="DB644" s="39"/>
      <c r="DC644" s="39"/>
      <c r="DD644" s="39"/>
      <c r="DE644" s="39"/>
      <c r="DF644" s="39"/>
      <c r="DG644" s="39"/>
      <c r="DH644" s="39"/>
      <c r="DI644" s="39"/>
    </row>
    <row r="645" spans="1:113">
      <c r="C645" s="48" t="str">
        <f t="shared" si="157"/>
        <v>KDDI</v>
      </c>
      <c r="D645" s="44" t="str">
        <f t="shared" si="157"/>
        <v>JPY 4,302</v>
      </c>
      <c r="E645" s="44" t="str">
        <f t="shared" si="157"/>
        <v>JPY 6,600</v>
      </c>
      <c r="F645" s="45">
        <f t="shared" si="157"/>
        <v>0.53417015341701535</v>
      </c>
      <c r="G645" s="44" t="str">
        <f t="shared" si="157"/>
        <v>Buy</v>
      </c>
      <c r="H645" s="46"/>
      <c r="I645" s="45">
        <f>KDDI!$D$32/KDDI!$D$11</f>
        <v>2.0094090927511708E-2</v>
      </c>
      <c r="J645" s="45">
        <f>KDDI!$E$32/KDDI!$E$11</f>
        <v>-1.7110284353791121E-2</v>
      </c>
      <c r="K645" s="45">
        <f>KDDI!$F$32/KDDI!$F$11</f>
        <v>1.7589824958585656E-2</v>
      </c>
      <c r="L645" s="45">
        <f>KDDI!$G$32/KDDI!$G$11</f>
        <v>1.8097020272648454E-2</v>
      </c>
      <c r="M645" s="45">
        <f>KDDI!$H$32</f>
        <v>-5.8963971118971448E-2</v>
      </c>
      <c r="N645" s="46"/>
      <c r="O645" s="45">
        <f>(KDDI!$D$31+KDDI!$D$32)/KDDI!$D$11</f>
        <v>5.4961594414262051E-2</v>
      </c>
      <c r="P645" s="45">
        <f>(KDDI!$E$31+KDDI!$E$32)/KDDI!$E$11</f>
        <v>2.0081719365409246E-2</v>
      </c>
      <c r="Q645" s="45">
        <f>(KDDI!$F$31+KDDI!$F$32)/KDDI!$F$11</f>
        <v>5.7106328910236051E-2</v>
      </c>
      <c r="R645" s="45">
        <f>(KDDI!$G$31+KDDI!$G$32)/KDDI!$G$11</f>
        <v>5.7613524224298843E-2</v>
      </c>
      <c r="S645" s="45">
        <f>KDDI!$H$46</f>
        <v>-1.0121888633322307E-2</v>
      </c>
      <c r="T645" s="46"/>
      <c r="U645" s="48" t="str">
        <f t="shared" si="158"/>
        <v>JPY 4,302</v>
      </c>
      <c r="V645" s="44" t="str">
        <f t="shared" si="158"/>
        <v>KDDI</v>
      </c>
      <c r="AF645" s="39"/>
      <c r="AG645" s="39"/>
      <c r="AH645" s="39"/>
      <c r="AI645" s="39"/>
      <c r="AJ645" s="39"/>
      <c r="AK645" s="39"/>
      <c r="AL645" s="39"/>
      <c r="AM645" s="39"/>
      <c r="AN645" s="39"/>
      <c r="AO645" s="39"/>
      <c r="AP645" s="39"/>
      <c r="AQ645" s="39"/>
      <c r="AR645" s="39"/>
      <c r="AS645" s="39"/>
      <c r="AT645" s="39"/>
      <c r="AU645" s="39"/>
      <c r="AV645" s="39"/>
      <c r="AW645" s="39"/>
      <c r="AX645" s="39"/>
      <c r="AY645" s="39"/>
      <c r="AZ645" s="39"/>
      <c r="BA645" s="39"/>
      <c r="BB645" s="39"/>
      <c r="BC645" s="39"/>
      <c r="BD645" s="39"/>
      <c r="BE645" s="39"/>
      <c r="BF645" s="39"/>
      <c r="BG645" s="39"/>
      <c r="BH645" s="39"/>
      <c r="BI645" s="39"/>
      <c r="BJ645" s="39"/>
      <c r="BK645" s="39"/>
      <c r="BL645" s="39"/>
      <c r="BM645" s="39"/>
      <c r="BN645" s="39"/>
      <c r="BO645" s="39"/>
      <c r="BP645" s="39"/>
      <c r="BQ645" s="39"/>
      <c r="BR645" s="39"/>
      <c r="BS645" s="39"/>
      <c r="BT645" s="39"/>
      <c r="BU645" s="39"/>
      <c r="BV645" s="39"/>
      <c r="BW645" s="39"/>
      <c r="BX645" s="39"/>
      <c r="BY645" s="39"/>
      <c r="BZ645" s="39"/>
      <c r="CA645" s="39"/>
      <c r="CB645" s="39"/>
      <c r="CC645" s="39"/>
      <c r="CD645" s="39"/>
      <c r="CE645" s="39"/>
      <c r="CF645" s="39"/>
      <c r="CG645" s="39"/>
      <c r="CH645" s="39"/>
      <c r="CI645" s="39"/>
      <c r="CJ645" s="39"/>
      <c r="CK645" s="39"/>
      <c r="CL645" s="39"/>
      <c r="CM645" s="39"/>
      <c r="CN645" s="39"/>
      <c r="CO645" s="39"/>
      <c r="CP645" s="39"/>
      <c r="CQ645" s="39"/>
      <c r="CR645" s="39"/>
      <c r="CS645" s="39"/>
      <c r="CT645" s="39"/>
      <c r="CU645" s="39"/>
      <c r="CV645" s="39"/>
      <c r="CW645" s="39"/>
      <c r="CX645" s="39"/>
      <c r="CY645" s="39"/>
      <c r="CZ645" s="39"/>
      <c r="DA645" s="39"/>
      <c r="DB645" s="39"/>
      <c r="DC645" s="39"/>
      <c r="DD645" s="39"/>
      <c r="DE645" s="39"/>
      <c r="DF645" s="39"/>
      <c r="DG645" s="39"/>
      <c r="DH645" s="39"/>
      <c r="DI645" s="39"/>
    </row>
    <row r="646" spans="1:113">
      <c r="A646" s="41"/>
      <c r="C646" s="48" t="str">
        <f t="shared" si="157"/>
        <v>Macquarie Telecom</v>
      </c>
      <c r="D646" s="44" t="str">
        <f t="shared" si="157"/>
        <v>AUD 85.20</v>
      </c>
      <c r="E646" s="44" t="str">
        <f t="shared" si="157"/>
        <v>AUD 28.00</v>
      </c>
      <c r="F646" s="45">
        <f t="shared" si="157"/>
        <v>-0.67136150234741787</v>
      </c>
      <c r="G646" s="44" t="str">
        <f t="shared" si="157"/>
        <v>Neutral</v>
      </c>
      <c r="H646" s="46"/>
      <c r="I646" s="45">
        <f>MAQ!$D$32/MAQ!$D$11</f>
        <v>0</v>
      </c>
      <c r="J646" s="45">
        <f>MAQ!$E$32/MAQ!$E$11</f>
        <v>0</v>
      </c>
      <c r="K646" s="45">
        <f>MAQ!$F$32/MAQ!$F$11</f>
        <v>0</v>
      </c>
      <c r="L646" s="45">
        <f>MAQ!$G$32/MAQ!$G$11</f>
        <v>0</v>
      </c>
      <c r="M646" s="45" t="str">
        <f>MAQ!$H$32</f>
        <v>nm</v>
      </c>
      <c r="N646" s="46"/>
      <c r="O646" s="45">
        <f>(MAQ!$D$31+MAQ!$D$32)/MAQ!$D$11</f>
        <v>0</v>
      </c>
      <c r="P646" s="45">
        <f>(MAQ!$E$31+MAQ!$E$32)/MAQ!$E$11</f>
        <v>2.9342723004694834E-3</v>
      </c>
      <c r="Q646" s="45">
        <f>(MAQ!$F$31+MAQ!$F$32)/MAQ!$F$11</f>
        <v>5.8685446009389677E-3</v>
      </c>
      <c r="R646" s="45">
        <f>(MAQ!$G$31+MAQ!$G$32)/MAQ!$G$11</f>
        <v>6.4553990610328642E-3</v>
      </c>
      <c r="S646" s="45" t="e">
        <f>MAQ!$H$46</f>
        <v>#DIV/0!</v>
      </c>
      <c r="T646" s="46"/>
      <c r="U646" s="48" t="str">
        <f t="shared" si="158"/>
        <v>AUD 85.20</v>
      </c>
      <c r="V646" s="69" t="str">
        <f t="shared" si="158"/>
        <v>Macquarie Telecom</v>
      </c>
      <c r="X646" s="43"/>
      <c r="BF646" s="39"/>
      <c r="BG646" s="39"/>
      <c r="BH646" s="39"/>
      <c r="BI646" s="39"/>
      <c r="BJ646" s="39"/>
      <c r="BK646" s="39"/>
      <c r="BL646" s="39"/>
      <c r="BM646" s="39"/>
      <c r="BN646" s="39"/>
      <c r="BO646" s="39"/>
      <c r="BP646" s="39"/>
      <c r="BQ646" s="39"/>
      <c r="BR646" s="39"/>
      <c r="BS646" s="39"/>
      <c r="BT646" s="39"/>
      <c r="BU646" s="39"/>
      <c r="BV646" s="39"/>
      <c r="BW646" s="39"/>
      <c r="BX646" s="39"/>
      <c r="BY646" s="39"/>
      <c r="BZ646" s="39"/>
      <c r="CA646" s="39"/>
      <c r="CB646" s="39"/>
      <c r="CC646" s="39"/>
      <c r="CD646" s="39"/>
      <c r="CE646" s="39"/>
      <c r="CF646" s="39"/>
      <c r="CG646" s="39"/>
      <c r="CH646" s="39"/>
      <c r="CI646" s="39"/>
      <c r="CJ646" s="39"/>
      <c r="CK646" s="39"/>
      <c r="CL646" s="39"/>
      <c r="CM646" s="39"/>
      <c r="CN646" s="39"/>
      <c r="CO646" s="39"/>
      <c r="CP646" s="39"/>
      <c r="CQ646" s="39"/>
      <c r="CR646" s="39"/>
      <c r="CS646" s="39"/>
      <c r="CT646" s="39"/>
      <c r="CU646" s="39"/>
      <c r="CV646" s="39"/>
      <c r="CW646" s="39"/>
      <c r="CX646" s="39"/>
      <c r="CY646" s="39"/>
      <c r="CZ646" s="39"/>
      <c r="DA646" s="39"/>
      <c r="DB646" s="39"/>
      <c r="DC646" s="39"/>
      <c r="DD646" s="39"/>
      <c r="DE646" s="39"/>
      <c r="DF646" s="39"/>
      <c r="DG646" s="39"/>
      <c r="DH646" s="39"/>
      <c r="DI646" s="39"/>
    </row>
    <row r="647" spans="1:113">
      <c r="C647" s="48" t="str">
        <f t="shared" si="157"/>
        <v>Rakuten</v>
      </c>
      <c r="D647" s="44" t="str">
        <f t="shared" si="157"/>
        <v>JPY 776</v>
      </c>
      <c r="E647" s="44" t="str">
        <f t="shared" si="157"/>
        <v>JPY 400</v>
      </c>
      <c r="F647" s="45">
        <f t="shared" si="157"/>
        <v>-0.48446964815053484</v>
      </c>
      <c r="G647" s="44" t="str">
        <f t="shared" si="157"/>
        <v>Reduce</v>
      </c>
      <c r="H647" s="46"/>
      <c r="I647" s="45">
        <f>RAK!$D$32/RAK!$D$11</f>
        <v>0</v>
      </c>
      <c r="J647" s="45">
        <f>RAK!$E$32/RAK!$E$11</f>
        <v>0</v>
      </c>
      <c r="K647" s="45">
        <f>RAK!$F$32/RAK!$F$11</f>
        <v>0</v>
      </c>
      <c r="L647" s="45">
        <f>RAK!$G$32/RAK!$G$11</f>
        <v>-0.3327198474010904</v>
      </c>
      <c r="M647" s="45" t="str">
        <f>RAK!$H$32</f>
        <v>nm</v>
      </c>
      <c r="N647" s="46"/>
      <c r="O647" s="45">
        <f>(RAK!$D$31+RAK!$D$32)/RAK!$D$11</f>
        <v>0</v>
      </c>
      <c r="P647" s="45">
        <f>(RAK!$E$31+RAK!$E$32)/RAK!$E$11</f>
        <v>0</v>
      </c>
      <c r="Q647" s="45">
        <f>(RAK!$F$31+RAK!$F$32)/RAK!$F$11</f>
        <v>0</v>
      </c>
      <c r="R647" s="45">
        <f>(RAK!$G$31+RAK!$G$32)/RAK!$G$11</f>
        <v>-0.3327198474010904</v>
      </c>
      <c r="S647" s="45" t="e">
        <f>RAK!$H$46</f>
        <v>#DIV/0!</v>
      </c>
      <c r="T647" s="46"/>
      <c r="U647" s="48" t="str">
        <f t="shared" si="158"/>
        <v>JPY 776</v>
      </c>
      <c r="V647" s="44" t="str">
        <f t="shared" si="158"/>
        <v>Rakuten</v>
      </c>
      <c r="X647" s="43"/>
      <c r="Y647" s="76"/>
      <c r="AC647" s="63"/>
      <c r="AF647" s="39"/>
      <c r="AG647" s="39"/>
      <c r="AH647" s="39"/>
      <c r="AI647" s="39"/>
      <c r="AJ647" s="39"/>
      <c r="AK647" s="39"/>
      <c r="AL647" s="39"/>
      <c r="AM647" s="39"/>
      <c r="AN647" s="39"/>
      <c r="AO647" s="39"/>
      <c r="AP647" s="39"/>
      <c r="AQ647" s="39"/>
      <c r="AR647" s="39"/>
      <c r="AS647" s="39"/>
      <c r="AT647" s="39"/>
      <c r="AU647" s="39"/>
      <c r="AV647" s="39"/>
      <c r="AW647" s="39"/>
      <c r="AX647" s="39"/>
      <c r="AY647" s="39"/>
      <c r="AZ647" s="39"/>
      <c r="BA647" s="39"/>
      <c r="BB647" s="39"/>
      <c r="BC647" s="39"/>
      <c r="BD647" s="39"/>
      <c r="BE647" s="39"/>
      <c r="BF647" s="39"/>
      <c r="BG647" s="39"/>
      <c r="BH647" s="39"/>
      <c r="BI647" s="39"/>
      <c r="BJ647" s="39"/>
      <c r="BK647" s="39"/>
      <c r="BL647" s="39"/>
      <c r="BM647" s="39"/>
      <c r="BN647" s="39"/>
      <c r="BO647" s="39"/>
      <c r="BP647" s="39"/>
      <c r="BQ647" s="39"/>
      <c r="BR647" s="39"/>
      <c r="BS647" s="39"/>
      <c r="BT647" s="39"/>
      <c r="BU647" s="39"/>
      <c r="BV647" s="39"/>
      <c r="BW647" s="39"/>
      <c r="BX647" s="39"/>
      <c r="BY647" s="39"/>
      <c r="BZ647" s="39"/>
      <c r="CA647" s="39"/>
      <c r="CB647" s="39"/>
      <c r="CC647" s="39"/>
      <c r="CD647" s="39"/>
      <c r="CE647" s="39"/>
      <c r="CF647" s="39"/>
      <c r="CG647" s="39"/>
      <c r="CH647" s="39"/>
      <c r="CI647" s="39"/>
      <c r="CJ647" s="39"/>
      <c r="CK647" s="39"/>
      <c r="CL647" s="39"/>
      <c r="CM647" s="39"/>
      <c r="CN647" s="39"/>
      <c r="CO647" s="39"/>
      <c r="CP647" s="39"/>
      <c r="CQ647" s="39"/>
      <c r="CR647" s="39"/>
      <c r="CS647" s="39"/>
      <c r="CT647" s="39"/>
      <c r="CU647" s="39"/>
      <c r="CV647" s="39"/>
      <c r="CW647" s="39"/>
      <c r="CX647" s="39"/>
      <c r="CY647" s="39"/>
      <c r="CZ647" s="39"/>
      <c r="DA647" s="39"/>
      <c r="DB647" s="39"/>
      <c r="DC647" s="39"/>
      <c r="DD647" s="39"/>
      <c r="DE647" s="39"/>
      <c r="DF647" s="39"/>
      <c r="DG647" s="39"/>
      <c r="DH647" s="39"/>
      <c r="DI647" s="39"/>
    </row>
    <row r="648" spans="1:113">
      <c r="C648" s="48" t="str">
        <f t="shared" si="157"/>
        <v>SoftBank KK (Corp)</v>
      </c>
      <c r="D648" s="44" t="str">
        <f t="shared" si="157"/>
        <v>JPY 1,898</v>
      </c>
      <c r="E648" s="44" t="str">
        <f t="shared" si="157"/>
        <v>JPY 2,500</v>
      </c>
      <c r="F648" s="45">
        <f t="shared" si="157"/>
        <v>0.31752305665349145</v>
      </c>
      <c r="G648" s="44" t="str">
        <f t="shared" si="157"/>
        <v>Buy</v>
      </c>
      <c r="H648" s="46"/>
      <c r="I648" s="45">
        <f>SBKK!$D$32/SBKK!$D$11</f>
        <v>0</v>
      </c>
      <c r="J648" s="45">
        <f>SBKK!$E$32/SBKK!$E$11</f>
        <v>5.8725031519376802E-2</v>
      </c>
      <c r="K648" s="45">
        <f>SBKK!$F$32/SBKK!$F$11</f>
        <v>7.4704357987910967E-3</v>
      </c>
      <c r="L648" s="45">
        <f>SBKK!$G$32/SBKK!$G$11</f>
        <v>0</v>
      </c>
      <c r="M648" s="45" t="str">
        <f>SBKK!$H$32</f>
        <v>nm</v>
      </c>
      <c r="N648" s="46"/>
      <c r="O648" s="45">
        <f>(SBKK!$D$31+SBKK!$D$32)/SBKK!$D$11</f>
        <v>4.5322793148880103E-2</v>
      </c>
      <c r="P648" s="45">
        <f>(SBKK!$E$31+SBKK!$E$32)/SBKK!$E$11</f>
        <v>0.1051018431135797</v>
      </c>
      <c r="Q648" s="45">
        <f>(SBKK!$F$31+SBKK!$F$32)/SBKK!$F$11</f>
        <v>5.7715081921090497E-2</v>
      </c>
      <c r="R648" s="45">
        <f>(SBKK!$G$31+SBKK!$G$32)/SBKK!$G$11</f>
        <v>5.3426184039247038E-2</v>
      </c>
      <c r="S648" s="45">
        <f>SBKK!$H$46</f>
        <v>5.6050983129868115E-2</v>
      </c>
      <c r="T648" s="46"/>
      <c r="U648" s="48" t="str">
        <f t="shared" si="158"/>
        <v>JPY 1,898</v>
      </c>
      <c r="V648" s="44" t="str">
        <f t="shared" si="158"/>
        <v>SoftBank KK (Corp)</v>
      </c>
      <c r="X648" s="43"/>
      <c r="Y648" s="76"/>
      <c r="AF648" s="39"/>
      <c r="AG648" s="39"/>
      <c r="AH648" s="39"/>
      <c r="AI648" s="39"/>
      <c r="AJ648" s="39"/>
      <c r="AK648" s="39"/>
      <c r="AL648" s="39"/>
      <c r="AM648" s="39"/>
      <c r="AN648" s="39"/>
      <c r="AO648" s="39"/>
      <c r="AP648" s="39"/>
      <c r="AQ648" s="39"/>
      <c r="AR648" s="39"/>
      <c r="AS648" s="39"/>
      <c r="AT648" s="39"/>
      <c r="AU648" s="39"/>
      <c r="AV648" s="39"/>
      <c r="AW648" s="39"/>
      <c r="AX648" s="39"/>
      <c r="AY648" s="39"/>
      <c r="AZ648" s="39"/>
      <c r="BA648" s="39"/>
      <c r="BB648" s="39"/>
      <c r="BC648" s="39"/>
      <c r="BD648" s="39"/>
      <c r="BE648" s="39"/>
      <c r="BF648" s="39"/>
      <c r="BG648" s="39"/>
      <c r="BH648" s="39"/>
      <c r="BI648" s="39"/>
      <c r="BJ648" s="39"/>
      <c r="BK648" s="39"/>
      <c r="BL648" s="39"/>
      <c r="BM648" s="39"/>
      <c r="BN648" s="39"/>
      <c r="BO648" s="39"/>
      <c r="BP648" s="39"/>
      <c r="BQ648" s="39"/>
      <c r="BR648" s="39"/>
      <c r="BS648" s="39"/>
      <c r="BT648" s="39"/>
      <c r="BU648" s="39"/>
      <c r="BV648" s="39"/>
      <c r="BW648" s="39"/>
      <c r="BX648" s="39"/>
      <c r="BY648" s="39"/>
      <c r="BZ648" s="39"/>
      <c r="CA648" s="39"/>
      <c r="CB648" s="39"/>
      <c r="CC648" s="39"/>
      <c r="CD648" s="39"/>
      <c r="CE648" s="39"/>
      <c r="CF648" s="39"/>
      <c r="CG648" s="39"/>
      <c r="CH648" s="39"/>
      <c r="CI648" s="39"/>
      <c r="CJ648" s="39"/>
      <c r="CK648" s="39"/>
      <c r="CL648" s="39"/>
      <c r="CM648" s="39"/>
      <c r="CN648" s="39"/>
      <c r="CO648" s="39"/>
      <c r="CP648" s="39"/>
      <c r="CQ648" s="39"/>
      <c r="CR648" s="39"/>
      <c r="CS648" s="39"/>
      <c r="CT648" s="39"/>
      <c r="CU648" s="39"/>
      <c r="CV648" s="39"/>
      <c r="CW648" s="39"/>
      <c r="CX648" s="39"/>
      <c r="CY648" s="39"/>
      <c r="CZ648" s="39"/>
      <c r="DA648" s="39"/>
      <c r="DB648" s="39"/>
      <c r="DC648" s="39"/>
      <c r="DD648" s="39"/>
      <c r="DE648" s="39"/>
      <c r="DF648" s="39"/>
      <c r="DG648" s="39"/>
      <c r="DH648" s="39"/>
      <c r="DI648" s="39"/>
    </row>
    <row r="649" spans="1:113">
      <c r="A649" s="41"/>
      <c r="C649" s="48" t="str">
        <f t="shared" si="157"/>
        <v>TPG</v>
      </c>
      <c r="D649" s="44" t="str">
        <f t="shared" si="157"/>
        <v>AUD 4.60</v>
      </c>
      <c r="E649" s="44" t="str">
        <f t="shared" si="157"/>
        <v>AUD 7.50</v>
      </c>
      <c r="F649" s="45">
        <f t="shared" si="157"/>
        <v>0.63043478260869579</v>
      </c>
      <c r="G649" s="44" t="str">
        <f t="shared" si="157"/>
        <v>Neutral</v>
      </c>
      <c r="H649" s="46"/>
      <c r="I649" s="45">
        <f>TPG!$D$32/TPG!$D$11</f>
        <v>3.0883581474152105E-3</v>
      </c>
      <c r="J649" s="45">
        <f>TPG!$E$32/TPG!$E$11</f>
        <v>3.18100889183768E-3</v>
      </c>
      <c r="K649" s="45">
        <f>TPG!$F$32/TPG!$F$11</f>
        <v>3.2764391585928033E-3</v>
      </c>
      <c r="L649" s="45">
        <f>TPG!$G$32/TPG!$G$11</f>
        <v>3.3747323333506089E-3</v>
      </c>
      <c r="M649" s="45">
        <f>TPG!$H$32</f>
        <v>3.2575000000002907E-2</v>
      </c>
      <c r="N649" s="46"/>
      <c r="O649" s="45">
        <f>(TPG!$D$31+TPG!$D$32)/TPG!$D$11</f>
        <v>2.7001401625676078E-2</v>
      </c>
      <c r="P649" s="45">
        <f>(TPG!$E$31+TPG!$E$32)/TPG!$E$11</f>
        <v>2.9267965413576815E-2</v>
      </c>
      <c r="Q649" s="45">
        <f>(TPG!$F$31+TPG!$F$32)/TPG!$F$11</f>
        <v>3.1537308723810199E-2</v>
      </c>
      <c r="R649" s="45">
        <f>(TPG!$G$31+TPG!$G$32)/TPG!$G$11</f>
        <v>3.3809514942046266E-2</v>
      </c>
      <c r="S649" s="45">
        <f>TPG!$H$46</f>
        <v>8.0526091874885797E-2</v>
      </c>
      <c r="T649" s="46"/>
      <c r="U649" s="48" t="str">
        <f t="shared" si="158"/>
        <v>AUD 4.60</v>
      </c>
      <c r="V649" s="44" t="str">
        <f t="shared" si="158"/>
        <v>TPG</v>
      </c>
      <c r="BF649" s="39"/>
      <c r="BG649" s="39"/>
      <c r="BH649" s="39"/>
      <c r="BI649" s="39"/>
      <c r="BJ649" s="39"/>
      <c r="BK649" s="39"/>
      <c r="BL649" s="39"/>
      <c r="BM649" s="39"/>
      <c r="BN649" s="39"/>
      <c r="BO649" s="39"/>
      <c r="BP649" s="39"/>
      <c r="BQ649" s="39"/>
      <c r="BR649" s="39"/>
      <c r="BS649" s="39"/>
      <c r="BT649" s="39"/>
      <c r="BU649" s="39"/>
      <c r="BV649" s="39"/>
      <c r="BW649" s="39"/>
      <c r="BX649" s="39"/>
      <c r="BY649" s="39"/>
      <c r="BZ649" s="39"/>
      <c r="CA649" s="39"/>
      <c r="CB649" s="39"/>
      <c r="CC649" s="39"/>
      <c r="CD649" s="39"/>
      <c r="CE649" s="39"/>
      <c r="CF649" s="39"/>
      <c r="CG649" s="39"/>
      <c r="CH649" s="39"/>
      <c r="CI649" s="39"/>
      <c r="CJ649" s="39"/>
      <c r="CK649" s="39"/>
      <c r="CL649" s="39"/>
      <c r="CM649" s="39"/>
      <c r="CN649" s="39"/>
      <c r="CO649" s="39"/>
      <c r="CP649" s="39"/>
      <c r="CQ649" s="39"/>
      <c r="CR649" s="39"/>
      <c r="CS649" s="39"/>
      <c r="CT649" s="39"/>
      <c r="CU649" s="39"/>
      <c r="CV649" s="39"/>
      <c r="CW649" s="39"/>
      <c r="CX649" s="39"/>
      <c r="CY649" s="39"/>
      <c r="CZ649" s="39"/>
      <c r="DA649" s="39"/>
      <c r="DB649" s="39"/>
      <c r="DC649" s="39"/>
      <c r="DD649" s="39"/>
      <c r="DE649" s="39"/>
      <c r="DF649" s="39"/>
      <c r="DG649" s="39"/>
      <c r="DH649" s="39"/>
      <c r="DI649" s="39"/>
    </row>
    <row r="650" spans="1:113">
      <c r="C650" s="51" t="str">
        <f>C590</f>
        <v>Agg. Developed Asia Other</v>
      </c>
      <c r="D650" s="52"/>
      <c r="E650" s="52"/>
      <c r="F650" s="53"/>
      <c r="G650" s="52"/>
      <c r="H650" s="46"/>
      <c r="I650" s="55">
        <f>'DM ASIA OTHER'!$D$32/'DM ASIA OTHER'!$D$11</f>
        <v>8.9993362616789009E-3</v>
      </c>
      <c r="J650" s="55">
        <f>'DM ASIA OTHER'!$E$32/'DM ASIA OTHER'!$E$11</f>
        <v>1.887219117843153E-2</v>
      </c>
      <c r="K650" s="55">
        <f>'DM ASIA OTHER'!$F$32/'DM ASIA OTHER'!$F$11</f>
        <v>1.1063634081645657E-2</v>
      </c>
      <c r="L650" s="55">
        <f>'DM ASIA OTHER'!$G$32/'DM ASIA OTHER'!$G$11</f>
        <v>-2.036508908393183E-2</v>
      </c>
      <c r="M650" s="55">
        <f>'DM ASIA OTHER'!$H$32</f>
        <v>-2.2983010122073342</v>
      </c>
      <c r="N650" s="56"/>
      <c r="O650" s="55">
        <f>('DM ASIA OTHER'!$D$31+'DM ASIA OTHER'!$D$32)/'DM ASIA OTHER'!$D$11</f>
        <v>4.6986261175090624E-2</v>
      </c>
      <c r="P650" s="55">
        <f>('DM ASIA OTHER'!$E$31+'DM ASIA OTHER'!$E$32)/'DM ASIA OTHER'!$E$11</f>
        <v>5.8582666975493018E-2</v>
      </c>
      <c r="Q650" s="55">
        <f>('DM ASIA OTHER'!$F$31+'DM ASIA OTHER'!$F$32)/'DM ASIA OTHER'!$F$11</f>
        <v>5.3715214121812398E-2</v>
      </c>
      <c r="R650" s="55">
        <f>('DM ASIA OTHER'!$G$31+'DM ASIA OTHER'!$G$32)/'DM ASIA OTHER'!$G$11</f>
        <v>2.3993687474799737E-2</v>
      </c>
      <c r="S650" s="55">
        <f>'DM ASIA OTHER'!H$46</f>
        <v>-0.20957836211079617</v>
      </c>
      <c r="T650" s="46"/>
      <c r="U650" s="57"/>
      <c r="V650" s="58" t="str">
        <f>V590</f>
        <v>Agg. Developed Asia Cellular</v>
      </c>
      <c r="X650" s="43"/>
      <c r="Y650" s="76"/>
      <c r="AF650" s="39"/>
      <c r="AG650" s="39"/>
      <c r="AH650" s="39"/>
      <c r="AI650" s="39"/>
      <c r="AJ650" s="39"/>
      <c r="AK650" s="39"/>
      <c r="AL650" s="39"/>
      <c r="AM650" s="39"/>
      <c r="AN650" s="39"/>
      <c r="AO650" s="39"/>
      <c r="AP650" s="39"/>
      <c r="AQ650" s="39"/>
      <c r="AR650" s="39"/>
      <c r="AS650" s="39"/>
      <c r="AT650" s="39"/>
      <c r="AU650" s="39"/>
      <c r="AV650" s="39"/>
      <c r="AW650" s="39"/>
      <c r="AX650" s="39"/>
      <c r="AY650" s="39"/>
      <c r="AZ650" s="39"/>
      <c r="BA650" s="39"/>
      <c r="BB650" s="39"/>
      <c r="BC650" s="39"/>
      <c r="BD650" s="39"/>
      <c r="BE650" s="39"/>
      <c r="BF650" s="39"/>
      <c r="BG650" s="39"/>
      <c r="BH650" s="39"/>
      <c r="BI650" s="39"/>
      <c r="BJ650" s="39"/>
      <c r="BK650" s="39"/>
      <c r="BL650" s="39"/>
      <c r="BM650" s="39"/>
      <c r="BN650" s="39"/>
      <c r="BO650" s="39"/>
      <c r="BP650" s="39"/>
      <c r="BQ650" s="39"/>
      <c r="BR650" s="39"/>
      <c r="BS650" s="39"/>
      <c r="BT650" s="39"/>
      <c r="BU650" s="39"/>
      <c r="BV650" s="39"/>
      <c r="BW650" s="39"/>
      <c r="BX650" s="39"/>
      <c r="BY650" s="39"/>
      <c r="BZ650" s="39"/>
      <c r="CA650" s="39"/>
      <c r="CB650" s="39"/>
      <c r="CC650" s="39"/>
      <c r="CD650" s="39"/>
      <c r="CE650" s="39"/>
      <c r="CF650" s="39"/>
      <c r="CG650" s="39"/>
      <c r="CH650" s="39"/>
      <c r="CI650" s="39"/>
      <c r="CJ650" s="39"/>
      <c r="CK650" s="39"/>
      <c r="CL650" s="39"/>
      <c r="CM650" s="39"/>
      <c r="CN650" s="39"/>
      <c r="CO650" s="39"/>
      <c r="CP650" s="39"/>
      <c r="CQ650" s="39"/>
      <c r="CR650" s="39"/>
      <c r="CS650" s="39"/>
      <c r="CT650" s="39"/>
      <c r="CU650" s="39"/>
      <c r="CV650" s="39"/>
      <c r="CW650" s="39"/>
      <c r="CX650" s="39"/>
      <c r="CY650" s="39"/>
      <c r="CZ650" s="39"/>
      <c r="DA650" s="39"/>
      <c r="DB650" s="39"/>
      <c r="DC650" s="39"/>
      <c r="DD650" s="39"/>
      <c r="DE650" s="39"/>
      <c r="DF650" s="39"/>
      <c r="DG650" s="39"/>
      <c r="DH650" s="39"/>
      <c r="DI650" s="39"/>
    </row>
    <row r="651" spans="1:113">
      <c r="A651" s="41"/>
      <c r="C651" s="48"/>
      <c r="D651" s="44"/>
      <c r="E651" s="44"/>
      <c r="F651" s="45"/>
      <c r="G651" s="44"/>
      <c r="H651" s="46"/>
      <c r="I651" s="45"/>
      <c r="J651" s="45"/>
      <c r="K651" s="45"/>
      <c r="L651" s="45"/>
      <c r="M651" s="45"/>
      <c r="N651" s="46"/>
      <c r="O651" s="45"/>
      <c r="P651" s="45"/>
      <c r="Q651" s="45"/>
      <c r="R651" s="45"/>
      <c r="S651" s="45"/>
      <c r="T651" s="46"/>
      <c r="U651" s="48"/>
      <c r="V651" s="44"/>
      <c r="X651" s="43"/>
      <c r="Y651" s="76"/>
      <c r="AF651" s="39"/>
      <c r="AG651" s="39"/>
      <c r="AH651" s="39"/>
      <c r="AI651" s="39"/>
      <c r="AJ651" s="39"/>
      <c r="AK651" s="39"/>
      <c r="AL651" s="39"/>
      <c r="AM651" s="39"/>
      <c r="AN651" s="39"/>
      <c r="AO651" s="39"/>
      <c r="AP651" s="39"/>
      <c r="AQ651" s="39"/>
      <c r="AR651" s="39"/>
      <c r="AS651" s="39"/>
      <c r="AT651" s="39"/>
      <c r="AU651" s="39"/>
      <c r="AV651" s="39"/>
      <c r="AW651" s="39"/>
      <c r="AX651" s="39"/>
      <c r="AY651" s="39"/>
      <c r="AZ651" s="39"/>
      <c r="BA651" s="39"/>
      <c r="BB651" s="39"/>
      <c r="BC651" s="39"/>
      <c r="BD651" s="39"/>
      <c r="BE651" s="39"/>
      <c r="BF651" s="39"/>
      <c r="BG651" s="39"/>
      <c r="BH651" s="39"/>
      <c r="BI651" s="39"/>
      <c r="BJ651" s="39"/>
      <c r="BK651" s="39"/>
      <c r="BL651" s="39"/>
      <c r="BM651" s="39"/>
      <c r="BN651" s="39"/>
      <c r="BO651" s="39"/>
      <c r="BP651" s="39"/>
      <c r="BQ651" s="39"/>
      <c r="BR651" s="39"/>
      <c r="BS651" s="39"/>
      <c r="BT651" s="39"/>
      <c r="BU651" s="39"/>
      <c r="BV651" s="39"/>
      <c r="BW651" s="39"/>
      <c r="BX651" s="39"/>
      <c r="BY651" s="39"/>
      <c r="BZ651" s="39"/>
      <c r="CA651" s="39"/>
      <c r="CB651" s="39"/>
      <c r="CC651" s="39"/>
      <c r="CD651" s="39"/>
      <c r="CE651" s="39"/>
      <c r="CF651" s="39"/>
      <c r="CG651" s="39"/>
      <c r="CH651" s="39"/>
      <c r="CI651" s="39"/>
      <c r="CJ651" s="39"/>
      <c r="CK651" s="39"/>
      <c r="CL651" s="39"/>
      <c r="CM651" s="39"/>
      <c r="CN651" s="39"/>
      <c r="CO651" s="39"/>
      <c r="CP651" s="39"/>
      <c r="CQ651" s="39"/>
      <c r="CR651" s="39"/>
      <c r="CS651" s="39"/>
      <c r="CT651" s="39"/>
      <c r="CU651" s="39"/>
      <c r="CV651" s="39"/>
      <c r="CW651" s="39"/>
      <c r="CX651" s="39"/>
      <c r="CY651" s="39"/>
      <c r="CZ651" s="39"/>
      <c r="DA651" s="39"/>
      <c r="DB651" s="39"/>
      <c r="DC651" s="39"/>
      <c r="DD651" s="39"/>
      <c r="DE651" s="39"/>
      <c r="DF651" s="39"/>
      <c r="DG651" s="39"/>
      <c r="DH651" s="39"/>
      <c r="DI651" s="39"/>
    </row>
    <row r="652" spans="1:113">
      <c r="A652" s="41"/>
      <c r="B652" s="42" t="s">
        <v>519</v>
      </c>
      <c r="C652" s="48" t="str">
        <f>C592</f>
        <v>Altice US</v>
      </c>
      <c r="D652" s="44" t="str">
        <f>D592</f>
        <v>US$2.3</v>
      </c>
      <c r="E652" s="44" t="str">
        <f>E592</f>
        <v>US$4.0</v>
      </c>
      <c r="F652" s="45">
        <f>F592</f>
        <v>0.71673819742489275</v>
      </c>
      <c r="G652" s="44" t="str">
        <f>G592</f>
        <v>Neutral</v>
      </c>
      <c r="H652" s="46"/>
      <c r="I652" s="45">
        <f>ATCUS!$D$32/ATCUS!$D$11</f>
        <v>0</v>
      </c>
      <c r="J652" s="45">
        <f>ATCUS!$E$32/ATCUS!$E$11</f>
        <v>0</v>
      </c>
      <c r="K652" s="45">
        <f>ATCUS!$F$32/ATCUS!$F$11</f>
        <v>0</v>
      </c>
      <c r="L652" s="45">
        <f>ATCUS!$G$32/ATCUS!$G$11</f>
        <v>0</v>
      </c>
      <c r="M652" s="45" t="str">
        <f>ATCUS!$H$32</f>
        <v>nm</v>
      </c>
      <c r="N652" s="46"/>
      <c r="O652" s="45">
        <f>(ATCUS!$D$31+ATCUS!$D$32)/ATCUS!$D$11</f>
        <v>0</v>
      </c>
      <c r="P652" s="45">
        <f>(ATCUS!$E$31+ATCUS!$E$32)/ATCUS!$E$11</f>
        <v>0</v>
      </c>
      <c r="Q652" s="45">
        <f>(ATCUS!$F$31+ATCUS!$F$32)/ATCUS!$F$11</f>
        <v>0</v>
      </c>
      <c r="R652" s="45">
        <f>(ATCUS!$G$31+ATCUS!$G$32)/ATCUS!$G$11</f>
        <v>0</v>
      </c>
      <c r="S652" s="45" t="e">
        <f>ATCUS!$H$46</f>
        <v>#DIV/0!</v>
      </c>
      <c r="T652" s="46"/>
      <c r="U652" s="48" t="str">
        <f>D652</f>
        <v>US$2.3</v>
      </c>
      <c r="V652" s="44" t="str">
        <f t="shared" ref="V652:V657" si="159">C652</f>
        <v>Altice US</v>
      </c>
      <c r="AF652" s="39"/>
      <c r="AG652" s="39"/>
      <c r="AH652" s="39"/>
      <c r="AI652" s="39"/>
      <c r="AJ652" s="39"/>
      <c r="AK652" s="39"/>
      <c r="AL652" s="39"/>
      <c r="AM652" s="39"/>
      <c r="AN652" s="39"/>
      <c r="AO652" s="39"/>
      <c r="AP652" s="39"/>
      <c r="AQ652" s="39"/>
      <c r="AR652" s="39"/>
      <c r="AS652" s="39"/>
      <c r="AT652" s="39"/>
      <c r="AU652" s="39"/>
      <c r="AV652" s="39"/>
      <c r="AW652" s="39"/>
      <c r="AX652" s="39"/>
      <c r="AY652" s="39"/>
      <c r="AZ652" s="39"/>
      <c r="BA652" s="39"/>
      <c r="BB652" s="39"/>
      <c r="BC652" s="39"/>
      <c r="BD652" s="39"/>
      <c r="BE652" s="39"/>
      <c r="BF652" s="39"/>
      <c r="BG652" s="39"/>
      <c r="BH652" s="39"/>
      <c r="BI652" s="39"/>
      <c r="BJ652" s="39"/>
      <c r="BK652" s="39"/>
      <c r="BL652" s="39"/>
      <c r="BM652" s="39"/>
      <c r="BN652" s="39"/>
      <c r="BO652" s="39"/>
      <c r="BP652" s="39"/>
      <c r="BQ652" s="39"/>
      <c r="BR652" s="39"/>
      <c r="BS652" s="39"/>
      <c r="BT652" s="39"/>
      <c r="BU652" s="39"/>
      <c r="BV652" s="39"/>
      <c r="BW652" s="39"/>
      <c r="BX652" s="39"/>
      <c r="BY652" s="39"/>
      <c r="BZ652" s="39"/>
      <c r="CA652" s="39"/>
      <c r="CB652" s="39"/>
      <c r="CC652" s="39"/>
      <c r="CD652" s="39"/>
      <c r="CE652" s="39"/>
      <c r="CF652" s="39"/>
      <c r="CG652" s="39"/>
      <c r="CH652" s="39"/>
      <c r="CI652" s="39"/>
      <c r="CJ652" s="39"/>
      <c r="CK652" s="39"/>
      <c r="CL652" s="39"/>
      <c r="CM652" s="39"/>
      <c r="CN652" s="39"/>
      <c r="CO652" s="39"/>
      <c r="CP652" s="39"/>
      <c r="CQ652" s="39"/>
      <c r="CR652" s="39"/>
      <c r="CS652" s="39"/>
      <c r="CT652" s="39"/>
      <c r="CU652" s="39"/>
      <c r="CV652" s="39"/>
      <c r="CW652" s="39"/>
      <c r="CX652" s="39"/>
      <c r="CY652" s="39"/>
      <c r="CZ652" s="39"/>
      <c r="DA652" s="39"/>
      <c r="DB652" s="39"/>
      <c r="DC652" s="39"/>
      <c r="DD652" s="39"/>
      <c r="DE652" s="39"/>
      <c r="DF652" s="39"/>
      <c r="DG652" s="39"/>
      <c r="DH652" s="39"/>
      <c r="DI652" s="39"/>
    </row>
    <row r="653" spans="1:113">
      <c r="A653" s="41"/>
      <c r="B653" s="42" t="s">
        <v>519</v>
      </c>
      <c r="C653" s="48" t="s">
        <v>311</v>
      </c>
      <c r="D653" s="44" t="str">
        <f>B653&amp;TEXT(Prices!$C$45,"0.0")</f>
        <v>US$271.5</v>
      </c>
      <c r="E653" s="44" t="str">
        <f>B653&amp;TEXT(Prices!$E$45,"0.0")</f>
        <v>US$581.0</v>
      </c>
      <c r="F653" s="45">
        <f>Prices!$F$45</f>
        <v>1.1402784940691078</v>
      </c>
      <c r="G653" s="44" t="str">
        <f>Prices!$D$45</f>
        <v>Buy</v>
      </c>
      <c r="H653" s="46"/>
      <c r="I653" s="45">
        <f>CHTR!$D$32/CHTR!$D$11</f>
        <v>0.12674859876726435</v>
      </c>
      <c r="J653" s="45">
        <f>CHTR!$E$32/CHTR!$E$11</f>
        <v>0.24728210448774024</v>
      </c>
      <c r="K653" s="45">
        <f>CHTR!$F$32/CHTR!$F$11</f>
        <v>0.24603003234736573</v>
      </c>
      <c r="L653" s="45">
        <f>CHTR!$G$32/CHTR!$G$11</f>
        <v>0.41028512281802565</v>
      </c>
      <c r="M653" s="45">
        <f>CHTR!$H$32</f>
        <v>0.36134729872699389</v>
      </c>
      <c r="N653" s="46"/>
      <c r="O653" s="45">
        <f>(CHTR!$D$31+CHTR!$D$32)/CHTR!$D$11</f>
        <v>0.12674859876726435</v>
      </c>
      <c r="P653" s="45">
        <f>(CHTR!$E$31+CHTR!$E$32)/CHTR!$E$11</f>
        <v>0.24728210448774024</v>
      </c>
      <c r="Q653" s="45">
        <f>(CHTR!$F$31+CHTR!$F$32)/CHTR!$F$11</f>
        <v>0.24603003234736573</v>
      </c>
      <c r="R653" s="45">
        <f>(CHTR!$G$31+CHTR!$G$32)/CHTR!$G$11</f>
        <v>0.41028512281802565</v>
      </c>
      <c r="S653" s="45">
        <f>CHTR!$H$46</f>
        <v>0.36134729872699389</v>
      </c>
      <c r="T653" s="46"/>
      <c r="U653" s="48" t="str">
        <f>D653</f>
        <v>US$271.5</v>
      </c>
      <c r="V653" s="44" t="str">
        <f t="shared" si="159"/>
        <v>Charter</v>
      </c>
      <c r="AF653" s="39"/>
      <c r="AG653" s="39"/>
      <c r="AH653" s="39"/>
      <c r="AI653" s="39"/>
      <c r="AJ653" s="39"/>
      <c r="AK653" s="39"/>
      <c r="AL653" s="39"/>
      <c r="AM653" s="39"/>
      <c r="AN653" s="39"/>
      <c r="AO653" s="39"/>
      <c r="AP653" s="39"/>
      <c r="AQ653" s="39"/>
      <c r="AR653" s="39"/>
      <c r="AS653" s="39"/>
      <c r="AT653" s="39"/>
      <c r="AU653" s="39"/>
      <c r="AV653" s="39"/>
      <c r="AW653" s="39"/>
      <c r="AX653" s="39"/>
      <c r="AY653" s="39"/>
      <c r="AZ653" s="39"/>
      <c r="BA653" s="39"/>
      <c r="BB653" s="39"/>
      <c r="BC653" s="39"/>
      <c r="BD653" s="39"/>
      <c r="BE653" s="39"/>
      <c r="BF653" s="39"/>
      <c r="BG653" s="39"/>
      <c r="BH653" s="39"/>
      <c r="BI653" s="39"/>
      <c r="BJ653" s="39"/>
      <c r="BK653" s="39"/>
      <c r="BL653" s="39"/>
      <c r="BM653" s="39"/>
      <c r="BN653" s="39"/>
      <c r="BO653" s="39"/>
      <c r="BP653" s="39"/>
      <c r="BQ653" s="39"/>
      <c r="BR653" s="39"/>
      <c r="BS653" s="39"/>
      <c r="BT653" s="39"/>
      <c r="BU653" s="39"/>
      <c r="BV653" s="39"/>
      <c r="BW653" s="39"/>
      <c r="BX653" s="39"/>
      <c r="BY653" s="39"/>
      <c r="BZ653" s="39"/>
      <c r="CA653" s="39"/>
      <c r="CB653" s="39"/>
      <c r="CC653" s="39"/>
      <c r="CD653" s="39"/>
      <c r="CE653" s="39"/>
      <c r="CF653" s="39"/>
      <c r="CG653" s="39"/>
      <c r="CH653" s="39"/>
      <c r="CI653" s="39"/>
      <c r="CJ653" s="39"/>
      <c r="CK653" s="39"/>
      <c r="CL653" s="39"/>
      <c r="CM653" s="39"/>
      <c r="CN653" s="39"/>
      <c r="CO653" s="39"/>
      <c r="CP653" s="39"/>
      <c r="CQ653" s="39"/>
      <c r="CR653" s="39"/>
      <c r="CS653" s="39"/>
      <c r="CT653" s="39"/>
      <c r="CU653" s="39"/>
      <c r="CV653" s="39"/>
      <c r="CW653" s="39"/>
      <c r="CX653" s="39"/>
      <c r="CY653" s="39"/>
      <c r="CZ653" s="39"/>
      <c r="DA653" s="39"/>
      <c r="DB653" s="39"/>
      <c r="DC653" s="39"/>
      <c r="DD653" s="39"/>
      <c r="DE653" s="39"/>
      <c r="DF653" s="39"/>
      <c r="DG653" s="39"/>
      <c r="DH653" s="39"/>
      <c r="DI653" s="39"/>
    </row>
    <row r="654" spans="1:113">
      <c r="A654" s="41"/>
      <c r="B654" s="42" t="s">
        <v>519</v>
      </c>
      <c r="C654" s="48" t="s">
        <v>309</v>
      </c>
      <c r="D654" s="44" t="str">
        <f>B654&amp;TEXT(Prices!$C$46,"0.0")</f>
        <v>US$38.5</v>
      </c>
      <c r="E654" s="44" t="str">
        <f>B654&amp;TEXT(Prices!$E$46,"0.0")</f>
        <v>US$50.0</v>
      </c>
      <c r="F654" s="45">
        <f>Prices!$F$46</f>
        <v>0.29735339906590563</v>
      </c>
      <c r="G654" s="44" t="str">
        <f>Prices!$D$46</f>
        <v>Buy</v>
      </c>
      <c r="H654" s="46"/>
      <c r="I654" s="45">
        <f>CMCSA!$D$32/CMCSA!$D$11</f>
        <v>4.002275221285586E-2</v>
      </c>
      <c r="J654" s="45">
        <f>CMCSA!$E$32/CMCSA!$E$11</f>
        <v>8.0610623778323953E-2</v>
      </c>
      <c r="K654" s="45">
        <f>CMCSA!$F$32/CMCSA!$F$11</f>
        <v>9.6557189431061147E-2</v>
      </c>
      <c r="L654" s="45">
        <f>CMCSA!$G$32/CMCSA!$G$11</f>
        <v>0.15134584044845109</v>
      </c>
      <c r="M654" s="45">
        <f>CMCSA!$H$32</f>
        <v>0.46388715124320856</v>
      </c>
      <c r="N654" s="46"/>
      <c r="O654" s="45">
        <f>(CMCSA!$D$31+CMCSA!$D$32)/CMCSA!$D$11</f>
        <v>6.997911304373429E-2</v>
      </c>
      <c r="P654" s="45">
        <f>(CMCSA!$E$31+CMCSA!$E$32)/CMCSA!$E$11</f>
        <v>0.11401929637098845</v>
      </c>
      <c r="Q654" s="45">
        <f>(CMCSA!$F$31+CMCSA!$F$32)/CMCSA!$F$11</f>
        <v>0.13163429252879993</v>
      </c>
      <c r="R654" s="45">
        <f>(CMCSA!$G$31+CMCSA!$G$32)/CMCSA!$G$11</f>
        <v>0.18818829064031428</v>
      </c>
      <c r="S654" s="45">
        <f>CMCSA!$H$46</f>
        <v>0.30665561911893535</v>
      </c>
      <c r="T654" s="46"/>
      <c r="U654" s="48" t="str">
        <f>D654</f>
        <v>US$38.5</v>
      </c>
      <c r="V654" s="44" t="str">
        <f t="shared" si="159"/>
        <v>Comcast</v>
      </c>
      <c r="AF654" s="39"/>
      <c r="AG654" s="39"/>
      <c r="AH654" s="39"/>
      <c r="AI654" s="39"/>
      <c r="AJ654" s="39"/>
      <c r="AK654" s="39"/>
      <c r="AL654" s="39"/>
      <c r="AM654" s="39"/>
      <c r="AN654" s="39"/>
      <c r="AO654" s="39"/>
      <c r="AP654" s="39"/>
      <c r="AQ654" s="39"/>
      <c r="AR654" s="39"/>
      <c r="AS654" s="39"/>
      <c r="AT654" s="39"/>
      <c r="AU654" s="39"/>
      <c r="AV654" s="39"/>
      <c r="AW654" s="39"/>
      <c r="AX654" s="39"/>
      <c r="AY654" s="39"/>
      <c r="AZ654" s="39"/>
      <c r="BA654" s="39"/>
      <c r="BB654" s="39"/>
      <c r="BC654" s="39"/>
      <c r="BD654" s="39"/>
      <c r="BE654" s="39"/>
      <c r="BF654" s="39"/>
      <c r="BG654" s="39"/>
      <c r="BH654" s="39"/>
      <c r="BI654" s="39"/>
      <c r="BJ654" s="39"/>
      <c r="BK654" s="39"/>
      <c r="BL654" s="39"/>
      <c r="BM654" s="39"/>
      <c r="BN654" s="39"/>
      <c r="BO654" s="39"/>
      <c r="BP654" s="39"/>
      <c r="BQ654" s="39"/>
      <c r="BR654" s="39"/>
      <c r="BS654" s="39"/>
      <c r="BT654" s="39"/>
      <c r="BU654" s="39"/>
      <c r="BV654" s="39"/>
      <c r="BW654" s="39"/>
      <c r="BX654" s="39"/>
      <c r="BY654" s="39"/>
      <c r="BZ654" s="39"/>
      <c r="CA654" s="39"/>
      <c r="CB654" s="39"/>
      <c r="CC654" s="39"/>
      <c r="CD654" s="39"/>
      <c r="CE654" s="39"/>
      <c r="CF654" s="39"/>
      <c r="CG654" s="39"/>
      <c r="CH654" s="39"/>
      <c r="CI654" s="39"/>
      <c r="CJ654" s="39"/>
      <c r="CK654" s="39"/>
      <c r="CL654" s="39"/>
      <c r="CM654" s="39"/>
      <c r="CN654" s="39"/>
      <c r="CO654" s="39"/>
      <c r="CP654" s="39"/>
      <c r="CQ654" s="39"/>
      <c r="CR654" s="39"/>
      <c r="CS654" s="39"/>
      <c r="CT654" s="39"/>
      <c r="CU654" s="39"/>
      <c r="CV654" s="39"/>
      <c r="CW654" s="39"/>
      <c r="CX654" s="39"/>
      <c r="CY654" s="39"/>
      <c r="CZ654" s="39"/>
      <c r="DA654" s="39"/>
      <c r="DB654" s="39"/>
      <c r="DC654" s="39"/>
      <c r="DD654" s="39"/>
      <c r="DE654" s="39"/>
      <c r="DF654" s="39"/>
      <c r="DG654" s="39"/>
      <c r="DH654" s="39"/>
      <c r="DI654" s="39"/>
    </row>
    <row r="655" spans="1:113">
      <c r="A655" s="41"/>
      <c r="B655" s="42" t="s">
        <v>527</v>
      </c>
      <c r="C655" s="48" t="s">
        <v>1615</v>
      </c>
      <c r="D655" s="44" t="str">
        <f>B655&amp;TEXT(Prices!C$47,"0.0")</f>
        <v>US$ 25.6</v>
      </c>
      <c r="E655" s="44" t="str">
        <f>B655&amp;TEXT(Prices!E$47,"0.0")</f>
        <v>US$ 54.0</v>
      </c>
      <c r="F655" s="45">
        <f>Prices!F$47</f>
        <v>1.111024237685692</v>
      </c>
      <c r="G655" s="44" t="str">
        <f>Prices!D$47</f>
        <v>Buy</v>
      </c>
      <c r="H655" s="46"/>
      <c r="I655" s="45">
        <f>FYBR!D$32/FYBR!D$11</f>
        <v>0</v>
      </c>
      <c r="J655" s="45">
        <f>FYBR!E$32/FYBR!E$11</f>
        <v>0</v>
      </c>
      <c r="K655" s="45">
        <f>FYBR!F$32/FYBR!F$11</f>
        <v>0</v>
      </c>
      <c r="L655" s="45">
        <f>FYBR!G$32/FYBR!G$11</f>
        <v>0</v>
      </c>
      <c r="M655" s="45" t="str">
        <f>FYBR!H$32</f>
        <v>nm</v>
      </c>
      <c r="N655" s="46"/>
      <c r="O655" s="45">
        <f>(FYBR!D$31+FYBR!D$32)/FYBR!D$11</f>
        <v>0</v>
      </c>
      <c r="P655" s="45">
        <f>(FYBR!E$31+FYBR!E$32)/FYBR!E$11</f>
        <v>0</v>
      </c>
      <c r="Q655" s="45">
        <f>(FYBR!F$31+FYBR!F$32)/FYBR!F$11</f>
        <v>0</v>
      </c>
      <c r="R655" s="45">
        <f>(FYBR!G$31+FYBR!G$32)/FYBR!G$11</f>
        <v>0</v>
      </c>
      <c r="S655" s="45" t="e">
        <f>FYBR!H$46</f>
        <v>#DIV/0!</v>
      </c>
      <c r="T655" s="46"/>
      <c r="U655" s="48" t="str">
        <f>D655</f>
        <v>US$ 25.6</v>
      </c>
      <c r="V655" s="44" t="str">
        <f t="shared" si="159"/>
        <v>Frontier</v>
      </c>
    </row>
    <row r="656" spans="1:113">
      <c r="A656" s="41"/>
      <c r="B656" s="42" t="s">
        <v>527</v>
      </c>
      <c r="C656" s="48" t="s">
        <v>1616</v>
      </c>
      <c r="D656" s="44" t="str">
        <f>B656&amp;TEXT(Prices!C$48,"0.0")</f>
        <v>US$ 18.5</v>
      </c>
      <c r="E656" s="44" t="str">
        <f>B656&amp;TEXT(Prices!E$48,"0.0")</f>
        <v>US$ 100.0</v>
      </c>
      <c r="F656" s="45">
        <f>Prices!F$48</f>
        <v>4.408328826392645</v>
      </c>
      <c r="G656" s="44" t="str">
        <f>Prices!D$48</f>
        <v>Buy</v>
      </c>
      <c r="H656" s="46"/>
      <c r="I656" s="45">
        <f>SATS!D$32/SATS!D$11</f>
        <v>0</v>
      </c>
      <c r="J656" s="45">
        <f>SATS!E$32/SATS!E$11</f>
        <v>0</v>
      </c>
      <c r="K656" s="45">
        <f>SATS!F$32/SATS!F$11</f>
        <v>0</v>
      </c>
      <c r="L656" s="45">
        <f>SATS!G$32/SATS!G$11</f>
        <v>0</v>
      </c>
      <c r="M656" s="45" t="str">
        <f>SATS!H$32</f>
        <v>nm</v>
      </c>
      <c r="N656" s="46"/>
      <c r="O656" s="45">
        <f>(SATS!D$31+SATS!D$32)/SATS!D$11</f>
        <v>0</v>
      </c>
      <c r="P656" s="45">
        <f>(SATS!E$31+SATS!E$32)/SATS!E$11</f>
        <v>0</v>
      </c>
      <c r="Q656" s="45">
        <f>(SATS!F$31+SATS!F$32)/SATS!F$11</f>
        <v>0</v>
      </c>
      <c r="R656" s="45">
        <f>(SATS!G$31+SATS!G$32)/SATS!G$11</f>
        <v>0</v>
      </c>
      <c r="S656" s="45" t="str">
        <f>SATS!H$46</f>
        <v>nm</v>
      </c>
      <c r="T656" s="46"/>
      <c r="U656" s="48" t="str">
        <f>D656</f>
        <v>US$ 18.5</v>
      </c>
      <c r="V656" s="44" t="str">
        <f t="shared" si="159"/>
        <v>EchoStar</v>
      </c>
    </row>
    <row r="657" spans="1:113">
      <c r="A657" s="41"/>
      <c r="C657" s="51" t="str">
        <f>C597</f>
        <v>Agg. US Other</v>
      </c>
      <c r="D657" s="58"/>
      <c r="E657" s="58"/>
      <c r="F657" s="55"/>
      <c r="G657" s="58"/>
      <c r="H657" s="56"/>
      <c r="I657" s="55">
        <f>'US OTHER'!D$32/'US OTHER'!D$11</f>
        <v>5.5693856167951326E-2</v>
      </c>
      <c r="J657" s="55">
        <f>'US OTHER'!E$32/'US OTHER'!E$11</f>
        <v>0.1095639265275372</v>
      </c>
      <c r="K657" s="55">
        <f>'US OTHER'!F$32/'US OTHER'!F$11</f>
        <v>0.12070778934645399</v>
      </c>
      <c r="L657" s="55">
        <f>'US OTHER'!G$32/'US OTHER'!G$11</f>
        <v>0.19136374204490028</v>
      </c>
      <c r="M657" s="55">
        <f>'US OTHER'!H$32</f>
        <v>0.41743695354137067</v>
      </c>
      <c r="N657" s="56"/>
      <c r="O657" s="55">
        <f>('US OTHER'!D$31+'US OTHER'!D$32)/'US OTHER'!D$11</f>
        <v>7.7745880700654107E-2</v>
      </c>
      <c r="P657" s="55">
        <f>('US OTHER'!E$31+'US OTHER'!E$32)/'US OTHER'!E$11</f>
        <v>0.1341751769191605</v>
      </c>
      <c r="Q657" s="55">
        <f>('US OTHER'!F$31+'US OTHER'!F$32)/'US OTHER'!F$11</f>
        <v>0.14644095604748741</v>
      </c>
      <c r="R657" s="55">
        <f>('US OTHER'!G$31+'US OTHER'!G$32)/'US OTHER'!G$11</f>
        <v>0.21850989486146546</v>
      </c>
      <c r="S657" s="55">
        <f>'US OTHER'!H$46</f>
        <v>0.3256153847966301</v>
      </c>
      <c r="T657" s="56"/>
      <c r="U657" s="51"/>
      <c r="V657" s="58" t="str">
        <f t="shared" si="159"/>
        <v>Agg. US Other</v>
      </c>
      <c r="AF657" s="39"/>
      <c r="AG657" s="39"/>
      <c r="AH657" s="39"/>
      <c r="AI657" s="39"/>
      <c r="AJ657" s="39"/>
      <c r="AK657" s="39"/>
      <c r="AL657" s="39"/>
      <c r="AM657" s="39"/>
      <c r="AN657" s="39"/>
      <c r="AO657" s="39"/>
      <c r="AP657" s="39"/>
      <c r="AQ657" s="39"/>
      <c r="AR657" s="39"/>
      <c r="AS657" s="39"/>
      <c r="AT657" s="39"/>
      <c r="AU657" s="39"/>
      <c r="AV657" s="39"/>
      <c r="AW657" s="39"/>
      <c r="AX657" s="39"/>
      <c r="AY657" s="39"/>
      <c r="AZ657" s="39"/>
      <c r="BA657" s="39"/>
      <c r="BB657" s="39"/>
      <c r="BC657" s="39"/>
      <c r="BD657" s="39"/>
      <c r="BE657" s="39"/>
      <c r="BF657" s="39"/>
      <c r="BG657" s="39"/>
      <c r="BH657" s="39"/>
      <c r="BI657" s="39"/>
      <c r="BJ657" s="39"/>
      <c r="BK657" s="39"/>
      <c r="BL657" s="39"/>
      <c r="BM657" s="39"/>
      <c r="BN657" s="39"/>
      <c r="BO657" s="39"/>
      <c r="BP657" s="39"/>
      <c r="BQ657" s="39"/>
      <c r="BR657" s="39"/>
      <c r="BS657" s="39"/>
      <c r="BT657" s="39"/>
      <c r="BU657" s="39"/>
      <c r="BV657" s="39"/>
      <c r="BW657" s="39"/>
      <c r="BX657" s="39"/>
      <c r="BY657" s="39"/>
      <c r="BZ657" s="39"/>
      <c r="CA657" s="39"/>
      <c r="CB657" s="39"/>
      <c r="CC657" s="39"/>
      <c r="CD657" s="39"/>
      <c r="CE657" s="39"/>
      <c r="CF657" s="39"/>
      <c r="CG657" s="39"/>
      <c r="CH657" s="39"/>
      <c r="CI657" s="39"/>
      <c r="CJ657" s="39"/>
      <c r="CK657" s="39"/>
      <c r="CL657" s="39"/>
      <c r="CM657" s="39"/>
      <c r="CN657" s="39"/>
      <c r="CO657" s="39"/>
      <c r="CP657" s="39"/>
      <c r="CQ657" s="39"/>
      <c r="CR657" s="39"/>
      <c r="CS657" s="39"/>
      <c r="CT657" s="39"/>
      <c r="CU657" s="39"/>
      <c r="CV657" s="39"/>
      <c r="CW657" s="39"/>
      <c r="CX657" s="39"/>
      <c r="CY657" s="39"/>
      <c r="CZ657" s="39"/>
      <c r="DA657" s="39"/>
      <c r="DB657" s="39"/>
      <c r="DC657" s="39"/>
      <c r="DD657" s="39"/>
      <c r="DE657" s="39"/>
      <c r="DF657" s="39"/>
      <c r="DG657" s="39"/>
      <c r="DH657" s="39"/>
      <c r="DI657" s="39"/>
    </row>
    <row r="658" spans="1:113">
      <c r="A658" s="41"/>
      <c r="C658" s="48"/>
      <c r="D658" s="44"/>
      <c r="E658" s="44"/>
      <c r="F658" s="45"/>
      <c r="G658" s="44"/>
      <c r="H658" s="46"/>
      <c r="I658" s="45"/>
      <c r="J658" s="45"/>
      <c r="K658" s="45"/>
      <c r="L658" s="45"/>
      <c r="M658" s="45"/>
      <c r="N658" s="46"/>
      <c r="O658" s="45"/>
      <c r="P658" s="45"/>
      <c r="Q658" s="45"/>
      <c r="R658" s="45"/>
      <c r="S658" s="45"/>
      <c r="T658" s="46"/>
      <c r="U658" s="48"/>
      <c r="V658" s="44"/>
      <c r="AF658" s="39"/>
      <c r="AG658" s="39"/>
      <c r="AH658" s="39"/>
      <c r="AI658" s="39"/>
      <c r="AJ658" s="39"/>
      <c r="AK658" s="39"/>
      <c r="AL658" s="39"/>
      <c r="AM658" s="39"/>
      <c r="AN658" s="39"/>
      <c r="AO658" s="39"/>
      <c r="AP658" s="39"/>
      <c r="AQ658" s="39"/>
      <c r="AR658" s="39"/>
      <c r="AS658" s="39"/>
      <c r="AT658" s="39"/>
      <c r="AU658" s="39"/>
      <c r="AV658" s="39"/>
      <c r="AW658" s="39"/>
      <c r="AX658" s="39"/>
      <c r="AY658" s="39"/>
      <c r="AZ658" s="39"/>
      <c r="BA658" s="39"/>
      <c r="BB658" s="39"/>
      <c r="BC658" s="39"/>
      <c r="BD658" s="39"/>
      <c r="BE658" s="39"/>
      <c r="BF658" s="39"/>
      <c r="BG658" s="39"/>
      <c r="BH658" s="39"/>
      <c r="BI658" s="39"/>
      <c r="BJ658" s="39"/>
      <c r="BK658" s="39"/>
      <c r="BL658" s="39"/>
      <c r="BM658" s="39"/>
      <c r="BN658" s="39"/>
      <c r="BO658" s="39"/>
      <c r="BP658" s="39"/>
      <c r="BQ658" s="39"/>
      <c r="BR658" s="39"/>
      <c r="BS658" s="39"/>
      <c r="BT658" s="39"/>
      <c r="BU658" s="39"/>
      <c r="BV658" s="39"/>
      <c r="BW658" s="39"/>
      <c r="BX658" s="39"/>
      <c r="BY658" s="39"/>
      <c r="BZ658" s="39"/>
      <c r="CA658" s="39"/>
      <c r="CB658" s="39"/>
      <c r="CC658" s="39"/>
      <c r="CD658" s="39"/>
      <c r="CE658" s="39"/>
      <c r="CF658" s="39"/>
      <c r="CG658" s="39"/>
      <c r="CH658" s="39"/>
      <c r="CI658" s="39"/>
      <c r="CJ658" s="39"/>
      <c r="CK658" s="39"/>
      <c r="CL658" s="39"/>
      <c r="CM658" s="39"/>
      <c r="CN658" s="39"/>
      <c r="CO658" s="39"/>
      <c r="CP658" s="39"/>
      <c r="CQ658" s="39"/>
      <c r="CR658" s="39"/>
      <c r="CS658" s="39"/>
      <c r="CT658" s="39"/>
      <c r="CU658" s="39"/>
      <c r="CV658" s="39"/>
      <c r="CW658" s="39"/>
      <c r="CX658" s="39"/>
      <c r="CY658" s="39"/>
      <c r="CZ658" s="39"/>
      <c r="DA658" s="39"/>
      <c r="DB658" s="39"/>
      <c r="DC658" s="39"/>
      <c r="DD658" s="39"/>
      <c r="DE658" s="39"/>
      <c r="DF658" s="39"/>
      <c r="DG658" s="39"/>
      <c r="DH658" s="39"/>
      <c r="DI658" s="39"/>
    </row>
    <row r="659" spans="1:113">
      <c r="C659" s="48"/>
      <c r="D659" s="44"/>
      <c r="E659" s="44"/>
      <c r="F659" s="45"/>
      <c r="G659" s="44"/>
      <c r="H659" s="46"/>
      <c r="I659" s="45"/>
      <c r="J659" s="45"/>
      <c r="K659" s="45"/>
      <c r="L659" s="45"/>
      <c r="M659" s="45"/>
      <c r="N659" s="46"/>
      <c r="O659" s="45"/>
      <c r="P659" s="45"/>
      <c r="Q659" s="45"/>
      <c r="R659" s="45"/>
      <c r="S659" s="45"/>
      <c r="T659" s="46"/>
      <c r="U659" s="48"/>
      <c r="V659" s="44"/>
    </row>
    <row r="660" spans="1:113">
      <c r="C660" s="51" t="str">
        <f>C600</f>
        <v>Agg. W Europe</v>
      </c>
      <c r="D660" s="52"/>
      <c r="E660" s="52"/>
      <c r="F660" s="53"/>
      <c r="G660" s="52"/>
      <c r="H660" s="46"/>
      <c r="I660" s="55">
        <f>'W.EUR AGG'!$D$32/'W.EUR AGG'!$D$11</f>
        <v>0</v>
      </c>
      <c r="J660" s="55">
        <f>'W.EUR AGG'!$E$32/'W.EUR AGG'!$E$11</f>
        <v>0</v>
      </c>
      <c r="K660" s="55">
        <f>'W.EUR AGG'!$F$32/'W.EUR AGG'!$F$11</f>
        <v>0</v>
      </c>
      <c r="L660" s="55">
        <f>'W.EUR AGG'!$G$32/'W.EUR AGG'!$G$11</f>
        <v>0</v>
      </c>
      <c r="M660" s="55" t="str">
        <f>'W.EUR AGG'!$H$32</f>
        <v>nm</v>
      </c>
      <c r="N660" s="56"/>
      <c r="O660" s="55">
        <f>('W.EUR AGG'!$D$31+'W.EUR AGG'!$D$32)/'W.EUR AGG'!$D$11</f>
        <v>4.9413347426465755E-2</v>
      </c>
      <c r="P660" s="55">
        <f>('W.EUR AGG'!$E$31+'W.EUR AGG'!$E$32)/'W.EUR AGG'!$E$11</f>
        <v>4.7908128532266774E-2</v>
      </c>
      <c r="Q660" s="55">
        <f>('W.EUR AGG'!$F$31+'W.EUR AGG'!$F$32)/'W.EUR AGG'!$F$11</f>
        <v>5.0002509594523167E-2</v>
      </c>
      <c r="R660" s="55">
        <f>('W.EUR AGG'!$G$31+'W.EUR AGG'!$G$32)/'W.EUR AGG'!$G$11</f>
        <v>5.4280756027676326E-2</v>
      </c>
      <c r="S660" s="55">
        <f>'W.EUR AGG'!$H$46</f>
        <v>2.4096967308986583E-2</v>
      </c>
      <c r="T660" s="46"/>
      <c r="U660" s="57"/>
      <c r="V660" s="58" t="str">
        <f>V600</f>
        <v>Agg. W Europe</v>
      </c>
    </row>
    <row r="661" spans="1:113">
      <c r="C661" s="41" t="s">
        <v>1621</v>
      </c>
      <c r="D661" s="44"/>
      <c r="E661" s="44"/>
      <c r="F661" s="45"/>
      <c r="G661" s="44"/>
      <c r="H661" s="46"/>
      <c r="I661" s="59">
        <f>'US AGG'!$D$32/'US AGG'!$D$11</f>
        <v>2.7204524650725165E-2</v>
      </c>
      <c r="J661" s="59">
        <f>'US AGG'!$E$32/'US AGG'!$E$11</f>
        <v>5.4276840958266549E-2</v>
      </c>
      <c r="K661" s="59">
        <f>'US AGG'!$F$32/'US AGG'!$F$11</f>
        <v>5.8045925942508583E-2</v>
      </c>
      <c r="L661" s="59">
        <f>'US AGG'!$G$32/'US AGG'!$G$11</f>
        <v>7.8596904117107777E-2</v>
      </c>
      <c r="M661" s="59">
        <f>'US AGG'!H$32</f>
        <v>0.37381479061401857</v>
      </c>
      <c r="N661" s="56"/>
      <c r="O661" s="59">
        <f>('US AGG'!$D$31+'US AGG'!$D$32)/'US AGG'!$D$11</f>
        <v>6.1339230161407243E-2</v>
      </c>
      <c r="P661" s="59">
        <f>('US AGG'!$E$31+'US AGG'!$E$32)/'US AGG'!$E$11</f>
        <v>9.5682905719412417E-2</v>
      </c>
      <c r="Q661" s="59">
        <f>('US AGG'!$F$31+'US AGG'!$F$32)/'US AGG'!$F$11</f>
        <v>0.10180885611316383</v>
      </c>
      <c r="R661" s="59">
        <f>('US AGG'!$F$31+'US AGG'!$F$32)/'US AGG'!$F$11</f>
        <v>0.10180885611316383</v>
      </c>
      <c r="S661" s="59">
        <f>'W.EUR AGG'!$H$46</f>
        <v>2.4096967308986583E-2</v>
      </c>
      <c r="T661" s="46"/>
      <c r="U661" s="48"/>
      <c r="V661" s="50" t="str">
        <f>V601</f>
        <v>Agg. US</v>
      </c>
    </row>
    <row r="662" spans="1:113">
      <c r="C662" s="67" t="str">
        <f>C602</f>
        <v xml:space="preserve">Agg. Developed Asia </v>
      </c>
      <c r="D662" s="52"/>
      <c r="E662" s="52"/>
      <c r="F662" s="53"/>
      <c r="G662" s="52"/>
      <c r="H662" s="46"/>
      <c r="I662" s="55">
        <f>'AGG DM ASIA'!$D$32/'AGG DM ASIA'!$D$11</f>
        <v>4.1840910518320161E-3</v>
      </c>
      <c r="J662" s="55">
        <f>'AGG DM ASIA'!$E$32/'AGG DM ASIA'!$E$11</f>
        <v>8.7381498933835795E-3</v>
      </c>
      <c r="K662" s="55">
        <f>'AGG DM ASIA'!$F$32/'AGG DM ASIA'!$F$11</f>
        <v>5.13194720433135E-3</v>
      </c>
      <c r="L662" s="55">
        <f>'AGG DM ASIA'!$G$32/'AGG DM ASIA'!$G$11</f>
        <v>-9.3334863691399775E-3</v>
      </c>
      <c r="M662" s="55">
        <f>'AGG DM ASIA'!$H$32</f>
        <v>-2.2930120992206806</v>
      </c>
      <c r="N662" s="56"/>
      <c r="O662" s="55">
        <f>('AGG DM ASIA'!$D$31+'AGG DM ASIA'!$D$32)/'AGG DM ASIA'!$D$11</f>
        <v>4.3708281135847356E-2</v>
      </c>
      <c r="P662" s="55">
        <f>('AGG DM ASIA'!$E$31+'AGG DM ASIA'!$E$32)/'AGG DM ASIA'!$E$11</f>
        <v>5.2748227439949127E-2</v>
      </c>
      <c r="Q662" s="55">
        <f>('AGG DM ASIA'!$F$31+'AGG DM ASIA'!$F$32)/'AGG DM ASIA'!$F$11</f>
        <v>5.3504695544415545E-2</v>
      </c>
      <c r="R662" s="55">
        <f>('AGG DM ASIA'!$G$31+'AGG DM ASIA'!$G$32)/'AGG DM ASIA'!$G$11</f>
        <v>4.2706907501000764E-2</v>
      </c>
      <c r="S662" s="55">
        <f>'AGG DM ASIA'!$H$46</f>
        <v>-1.8026433307370304E-2</v>
      </c>
      <c r="T662" s="46"/>
      <c r="U662" s="57"/>
      <c r="V662" s="58" t="str">
        <f>V602</f>
        <v xml:space="preserve">Agg. Developed Asia </v>
      </c>
    </row>
    <row r="663" spans="1:113">
      <c r="C663" s="41"/>
      <c r="D663" s="44"/>
      <c r="E663" s="44"/>
      <c r="F663" s="45"/>
      <c r="G663" s="44"/>
      <c r="H663" s="46"/>
      <c r="I663" s="59"/>
      <c r="J663" s="59"/>
      <c r="K663" s="59"/>
      <c r="L663" s="59"/>
      <c r="M663" s="59"/>
      <c r="N663" s="56"/>
      <c r="O663" s="59"/>
      <c r="P663" s="59"/>
      <c r="Q663" s="59"/>
      <c r="R663" s="59"/>
      <c r="S663" s="59"/>
      <c r="T663" s="46"/>
      <c r="U663" s="48"/>
      <c r="V663" s="50"/>
    </row>
    <row r="664" spans="1:113">
      <c r="C664" s="67" t="str">
        <f>C604</f>
        <v>Agg. Global Developed</v>
      </c>
      <c r="D664" s="52"/>
      <c r="E664" s="52"/>
      <c r="F664" s="53"/>
      <c r="G664" s="52"/>
      <c r="H664" s="46"/>
      <c r="I664" s="55">
        <f>'AGG DM'!$D$32/'AGG DM'!$D$11</f>
        <v>1.6646697841053382E-2</v>
      </c>
      <c r="J664" s="55">
        <f>'AGG DM'!$E$32/'AGG DM'!$E$11</f>
        <v>3.3081168282478091E-2</v>
      </c>
      <c r="K664" s="55">
        <f>'AGG DM'!$F$32/'AGG DM'!$F$11</f>
        <v>3.4185223751278353E-2</v>
      </c>
      <c r="L664" s="55">
        <f>'AGG DM'!$G$32/'AGG DM'!$G$11</f>
        <v>4.2553448597263177E-2</v>
      </c>
      <c r="M664" s="55">
        <f>'AGG DM'!$H$32</f>
        <v>0.33429935433101754</v>
      </c>
      <c r="N664" s="56"/>
      <c r="O664" s="55">
        <f>('AGG DM'!$D$31+'AGG DM'!$D$32)/'AGG DM'!$D$11</f>
        <v>5.5339609483801136E-2</v>
      </c>
      <c r="P664" s="55">
        <f>('AGG DM'!$E$31+'AGG DM'!$E$32)/'AGG DM'!$E$11</f>
        <v>7.6500460251698113E-2</v>
      </c>
      <c r="Q664" s="55">
        <f>('AGG DM'!$F$31+'AGG DM'!$F$32)/'AGG DM'!$F$11</f>
        <v>8.0311545489538158E-2</v>
      </c>
      <c r="R664" s="55">
        <f>('AGG DM'!$F$31+'AGG DM'!$F$32)/'AGG DM'!$F$11</f>
        <v>8.0311545489538158E-2</v>
      </c>
      <c r="S664" s="55">
        <f>'W.EUR AGG'!$H$46</f>
        <v>2.4096967308986583E-2</v>
      </c>
      <c r="T664" s="46"/>
      <c r="U664" s="57"/>
      <c r="V664" s="58" t="str">
        <f>V604</f>
        <v xml:space="preserve">Agg. Global Developed </v>
      </c>
    </row>
    <row r="667" spans="1:113" s="41" customFormat="1">
      <c r="B667" s="147"/>
      <c r="C667" s="164"/>
      <c r="D667" s="165" t="s">
        <v>464</v>
      </c>
      <c r="E667" s="165" t="s">
        <v>57</v>
      </c>
      <c r="F667" s="165" t="s">
        <v>59</v>
      </c>
      <c r="G667" s="165" t="s">
        <v>56</v>
      </c>
      <c r="H667" s="49"/>
      <c r="I667" s="166" t="s">
        <v>17</v>
      </c>
      <c r="J667" s="166"/>
      <c r="K667" s="166"/>
      <c r="L667" s="166"/>
      <c r="M667" s="166"/>
      <c r="O667" s="166" t="s">
        <v>19</v>
      </c>
      <c r="P667" s="166"/>
      <c r="Q667" s="166"/>
      <c r="R667" s="166"/>
      <c r="S667" s="166"/>
      <c r="T667" s="49"/>
      <c r="U667" s="167" t="s">
        <v>464</v>
      </c>
      <c r="V667" s="165"/>
      <c r="Z667" s="49"/>
      <c r="AC667" s="135"/>
      <c r="AD667" s="136"/>
      <c r="AE667" s="136"/>
      <c r="AF667" s="136"/>
      <c r="AG667" s="136"/>
      <c r="AH667" s="136"/>
      <c r="AI667" s="136"/>
      <c r="AJ667" s="136"/>
      <c r="AK667" s="136"/>
      <c r="AL667" s="136"/>
      <c r="AM667" s="136"/>
      <c r="AN667" s="136"/>
      <c r="AO667" s="136"/>
      <c r="AP667" s="136"/>
      <c r="AQ667" s="136"/>
      <c r="AR667" s="136"/>
      <c r="AS667" s="136"/>
      <c r="AT667" s="136"/>
      <c r="AU667" s="136"/>
      <c r="AV667" s="136"/>
      <c r="AW667" s="136"/>
      <c r="BC667" s="137"/>
      <c r="BD667" s="137"/>
      <c r="BE667" s="137"/>
      <c r="BG667" s="137"/>
      <c r="BH667" s="137"/>
      <c r="BI667" s="137"/>
      <c r="BK667" s="137"/>
      <c r="BL667" s="137"/>
      <c r="BM667" s="137"/>
      <c r="BO667" s="137"/>
      <c r="BP667" s="137"/>
      <c r="BQ667" s="137"/>
    </row>
    <row r="668" spans="1:113">
      <c r="A668" s="41" t="s">
        <v>506</v>
      </c>
      <c r="C668" s="48" t="s">
        <v>186</v>
      </c>
      <c r="D668" s="44" t="str">
        <f t="shared" ref="D668:G678" si="160">D608</f>
        <v>GBP1.27</v>
      </c>
      <c r="E668" s="44" t="str">
        <f t="shared" si="160"/>
        <v>GBP1.95</v>
      </c>
      <c r="F668" s="45">
        <f t="shared" si="160"/>
        <v>0.53422501966955149</v>
      </c>
      <c r="G668" s="44" t="str">
        <f t="shared" si="160"/>
        <v>Buy</v>
      </c>
      <c r="H668" s="46"/>
      <c r="I668" s="47">
        <f>BT!D$11/1000/Prices!$F$153</f>
        <v>14.492061223307733</v>
      </c>
      <c r="J668" s="47">
        <f>BT!$E$11/1000/Prices!$F$153</f>
        <v>14.447277985679147</v>
      </c>
      <c r="K668" s="47">
        <f>BT!$F$11/1000/Prices!$F$153</f>
        <v>14.402494748050565</v>
      </c>
      <c r="L668" s="47">
        <f>BT!$G$11/1000/Prices!$F$153</f>
        <v>14.35771151042198</v>
      </c>
      <c r="M668" s="45">
        <f t="shared" ref="M668:M679" si="161">(L668/I668)^(1/3)-1</f>
        <v>-3.099789800571795E-3</v>
      </c>
      <c r="N668" s="46"/>
      <c r="O668" s="47">
        <f>BT!D$12/1000/Prices!$F$153</f>
        <v>16.920514065443463</v>
      </c>
      <c r="P668" s="47">
        <f>BT!E$12/1000/Prices!$F$153</f>
        <v>17.729730257172555</v>
      </c>
      <c r="Q668" s="47">
        <f>BT!F$12/1000/Prices!$F$153</f>
        <v>18.504554216586158</v>
      </c>
      <c r="R668" s="47">
        <f>BT!G$12/1000/Prices!$F$153</f>
        <v>19.697387204371381</v>
      </c>
      <c r="S668" s="45">
        <f t="shared" ref="S668:S679" si="162">(R668/O668)^(1/3)-1</f>
        <v>5.1957892420025242E-2</v>
      </c>
      <c r="T668" s="46"/>
      <c r="U668" s="48" t="str">
        <f t="shared" ref="U668:V672" si="163">U608</f>
        <v>GBP1.27</v>
      </c>
      <c r="V668" s="69" t="str">
        <f t="shared" si="163"/>
        <v>British Telecom</v>
      </c>
      <c r="Z668" s="49"/>
      <c r="BF668" s="39"/>
      <c r="BG668" s="39"/>
      <c r="BH668" s="39"/>
      <c r="BI668" s="39"/>
      <c r="BJ668" s="39"/>
      <c r="BK668" s="39"/>
      <c r="BL668" s="39"/>
      <c r="BM668" s="39"/>
      <c r="BN668" s="39"/>
      <c r="BO668" s="39"/>
      <c r="BP668" s="39"/>
      <c r="BQ668" s="39"/>
      <c r="BR668" s="39"/>
      <c r="BS668" s="39"/>
      <c r="BT668" s="39"/>
      <c r="BU668" s="39"/>
      <c r="BV668" s="39"/>
      <c r="BW668" s="39"/>
      <c r="BX668" s="39"/>
      <c r="BY668" s="39"/>
      <c r="BZ668" s="39"/>
      <c r="CA668" s="39"/>
      <c r="CB668" s="39"/>
      <c r="CC668" s="39"/>
      <c r="CD668" s="39"/>
      <c r="CE668" s="39"/>
      <c r="CF668" s="39"/>
      <c r="CG668" s="39"/>
      <c r="CH668" s="39"/>
      <c r="CI668" s="39"/>
      <c r="CJ668" s="39"/>
      <c r="CK668" s="39"/>
      <c r="CL668" s="39"/>
      <c r="CM668" s="39"/>
      <c r="CN668" s="39"/>
      <c r="CO668" s="39"/>
      <c r="CP668" s="39"/>
      <c r="CQ668" s="39"/>
      <c r="CR668" s="39"/>
      <c r="CS668" s="39"/>
      <c r="CT668" s="39"/>
      <c r="CU668" s="39"/>
      <c r="CV668" s="39"/>
      <c r="CW668" s="39"/>
      <c r="CX668" s="39"/>
      <c r="CY668" s="39"/>
      <c r="CZ668" s="39"/>
      <c r="DA668" s="39"/>
      <c r="DB668" s="39"/>
      <c r="DC668" s="39"/>
      <c r="DD668" s="39"/>
      <c r="DE668" s="39"/>
      <c r="DF668" s="39"/>
      <c r="DG668" s="39"/>
      <c r="DH668" s="39"/>
      <c r="DI668" s="39"/>
    </row>
    <row r="669" spans="1:113">
      <c r="A669" s="41"/>
      <c r="C669" s="48" t="s">
        <v>187</v>
      </c>
      <c r="D669" s="44" t="str">
        <f t="shared" si="160"/>
        <v>EUR 21.76</v>
      </c>
      <c r="E669" s="44" t="str">
        <f t="shared" si="160"/>
        <v>EUR 32.00</v>
      </c>
      <c r="F669" s="45">
        <f t="shared" si="160"/>
        <v>0.47058823529411753</v>
      </c>
      <c r="G669" s="44" t="str">
        <f t="shared" si="160"/>
        <v>Buy</v>
      </c>
      <c r="H669" s="46"/>
      <c r="I669" s="47">
        <f>DT!$D$11/1000</f>
        <v>108.50534784</v>
      </c>
      <c r="J669" s="47">
        <f>DT!$E$11/1000</f>
        <v>106.32934784</v>
      </c>
      <c r="K669" s="47">
        <f>DT!$F$11/1000</f>
        <v>106.32934784</v>
      </c>
      <c r="L669" s="47">
        <f>DT!$G$11/1000</f>
        <v>106.32934784</v>
      </c>
      <c r="M669" s="45">
        <f t="shared" si="161"/>
        <v>-6.729961133304263E-3</v>
      </c>
      <c r="N669" s="46"/>
      <c r="O669" s="47">
        <f>DT!$D$12/1000</f>
        <v>93.745999999999995</v>
      </c>
      <c r="P669" s="47">
        <f>DT!$E$12/1000</f>
        <v>99.370944570084717</v>
      </c>
      <c r="Q669" s="47">
        <f>DT!$F$12/1000</f>
        <v>99.11924988059171</v>
      </c>
      <c r="R669" s="47">
        <f>DT!$G$12/1000</f>
        <v>96.21522762949769</v>
      </c>
      <c r="S669" s="45">
        <f t="shared" si="162"/>
        <v>8.7038734161970499E-3</v>
      </c>
      <c r="T669" s="46"/>
      <c r="U669" s="48" t="str">
        <f t="shared" si="163"/>
        <v>EUR 21.76</v>
      </c>
      <c r="V669" s="69" t="str">
        <f t="shared" si="163"/>
        <v>Deutsche Telekom</v>
      </c>
      <c r="Z669" s="49"/>
      <c r="BF669" s="39"/>
      <c r="BG669" s="39"/>
      <c r="BH669" s="39"/>
      <c r="BI669" s="39"/>
      <c r="BJ669" s="39"/>
      <c r="BK669" s="39"/>
      <c r="BL669" s="39"/>
      <c r="BM669" s="39"/>
      <c r="BN669" s="39"/>
      <c r="BO669" s="39"/>
      <c r="BP669" s="39"/>
      <c r="BQ669" s="39"/>
      <c r="BR669" s="39"/>
      <c r="BS669" s="39"/>
      <c r="BT669" s="39"/>
      <c r="BU669" s="39"/>
      <c r="BV669" s="39"/>
      <c r="BW669" s="39"/>
      <c r="BX669" s="39"/>
      <c r="BY669" s="39"/>
      <c r="BZ669" s="39"/>
      <c r="CA669" s="39"/>
      <c r="CB669" s="39"/>
      <c r="CC669" s="39"/>
      <c r="CD669" s="39"/>
      <c r="CE669" s="39"/>
      <c r="CF669" s="39"/>
      <c r="CG669" s="39"/>
      <c r="CH669" s="39"/>
      <c r="CI669" s="39"/>
      <c r="CJ669" s="39"/>
      <c r="CK669" s="39"/>
      <c r="CL669" s="39"/>
      <c r="CM669" s="39"/>
      <c r="CN669" s="39"/>
      <c r="CO669" s="39"/>
      <c r="CP669" s="39"/>
      <c r="CQ669" s="39"/>
      <c r="CR669" s="39"/>
      <c r="CS669" s="39"/>
      <c r="CT669" s="39"/>
      <c r="CU669" s="39"/>
      <c r="CV669" s="39"/>
      <c r="CW669" s="39"/>
      <c r="CX669" s="39"/>
      <c r="CY669" s="39"/>
      <c r="CZ669" s="39"/>
      <c r="DA669" s="39"/>
      <c r="DB669" s="39"/>
      <c r="DC669" s="39"/>
      <c r="DD669" s="39"/>
      <c r="DE669" s="39"/>
      <c r="DF669" s="39"/>
      <c r="DG669" s="39"/>
      <c r="DH669" s="39"/>
      <c r="DI669" s="39"/>
    </row>
    <row r="670" spans="1:113">
      <c r="A670" s="41"/>
      <c r="C670" s="48" t="s">
        <v>458</v>
      </c>
      <c r="D670" s="44" t="str">
        <f t="shared" si="160"/>
        <v>EUR 3.44</v>
      </c>
      <c r="E670" s="44" t="str">
        <f t="shared" si="160"/>
        <v>EUR 3.70</v>
      </c>
      <c r="F670" s="45">
        <f t="shared" si="160"/>
        <v>7.4332171893147558E-2</v>
      </c>
      <c r="G670" s="44" t="str">
        <f t="shared" si="160"/>
        <v>Neutral</v>
      </c>
      <c r="H670" s="46"/>
      <c r="I670" s="47">
        <f>KPN!$D$11/1000</f>
        <v>13.602264144273196</v>
      </c>
      <c r="J670" s="47">
        <f>KPN!$E$11/1000</f>
        <v>13.416081385953692</v>
      </c>
      <c r="K670" s="47">
        <f>KPN!$F$11/1000</f>
        <v>13.242078808084997</v>
      </c>
      <c r="L670" s="47">
        <f>KPN!$G$11/1000</f>
        <v>13.079459576432011</v>
      </c>
      <c r="M670" s="45">
        <f t="shared" si="161"/>
        <v>-1.2979441578422235E-2</v>
      </c>
      <c r="N670" s="46"/>
      <c r="O670" s="47">
        <f>KPN!$D$12/1000</f>
        <v>5.4380775518226621</v>
      </c>
      <c r="P670" s="47">
        <f>KPN!$E$12/1000</f>
        <v>5.5357598581372347</v>
      </c>
      <c r="Q670" s="47">
        <f>KPN!$F$12/1000</f>
        <v>6.0357301025535195</v>
      </c>
      <c r="R670" s="47">
        <f>KPN!$G$12/1000</f>
        <v>6.1147645381564741</v>
      </c>
      <c r="S670" s="45">
        <f t="shared" si="162"/>
        <v>3.9867760663065077E-2</v>
      </c>
      <c r="T670" s="46"/>
      <c r="U670" s="48" t="str">
        <f t="shared" si="163"/>
        <v>EUR 3.44</v>
      </c>
      <c r="V670" s="69" t="str">
        <f t="shared" si="163"/>
        <v>KPN</v>
      </c>
      <c r="Z670" s="49"/>
      <c r="BF670" s="39"/>
      <c r="BG670" s="39"/>
      <c r="BH670" s="39"/>
      <c r="BI670" s="39"/>
      <c r="BJ670" s="39"/>
      <c r="BK670" s="39"/>
      <c r="BL670" s="39"/>
      <c r="BM670" s="39"/>
      <c r="BN670" s="39"/>
      <c r="BO670" s="39"/>
      <c r="BP670" s="39"/>
      <c r="BQ670" s="39"/>
      <c r="BR670" s="39"/>
      <c r="BS670" s="39"/>
      <c r="BT670" s="39"/>
      <c r="BU670" s="39"/>
      <c r="BV670" s="39"/>
      <c r="BW670" s="39"/>
      <c r="BX670" s="39"/>
      <c r="BY670" s="39"/>
      <c r="BZ670" s="39"/>
      <c r="CA670" s="39"/>
      <c r="CB670" s="39"/>
      <c r="CC670" s="39"/>
      <c r="CD670" s="39"/>
      <c r="CE670" s="39"/>
      <c r="CF670" s="39"/>
      <c r="CG670" s="39"/>
      <c r="CH670" s="39"/>
      <c r="CI670" s="39"/>
      <c r="CJ670" s="39"/>
      <c r="CK670" s="39"/>
      <c r="CL670" s="39"/>
      <c r="CM670" s="39"/>
      <c r="CN670" s="39"/>
      <c r="CO670" s="39"/>
      <c r="CP670" s="39"/>
      <c r="CQ670" s="39"/>
      <c r="CR670" s="39"/>
      <c r="CS670" s="39"/>
      <c r="CT670" s="39"/>
      <c r="CU670" s="39"/>
      <c r="CV670" s="39"/>
      <c r="CW670" s="39"/>
      <c r="CX670" s="39"/>
      <c r="CY670" s="39"/>
      <c r="CZ670" s="39"/>
      <c r="DA670" s="39"/>
      <c r="DB670" s="39"/>
      <c r="DC670" s="39"/>
      <c r="DD670" s="39"/>
      <c r="DE670" s="39"/>
      <c r="DF670" s="39"/>
      <c r="DG670" s="39"/>
      <c r="DH670" s="39"/>
      <c r="DI670" s="39"/>
    </row>
    <row r="671" spans="1:113">
      <c r="A671" s="41"/>
      <c r="C671" s="48" t="s">
        <v>728</v>
      </c>
      <c r="D671" s="44" t="str">
        <f t="shared" si="160"/>
        <v>EUR 10.68</v>
      </c>
      <c r="E671" s="44" t="str">
        <f t="shared" si="160"/>
        <v>EUR 14.00</v>
      </c>
      <c r="F671" s="45">
        <f t="shared" si="160"/>
        <v>0.31147540983606548</v>
      </c>
      <c r="G671" s="44" t="str">
        <f t="shared" si="160"/>
        <v>Buy</v>
      </c>
      <c r="H671" s="46"/>
      <c r="I671" s="47">
        <f>ORA!$D$11/1000</f>
        <v>28.396104194325002</v>
      </c>
      <c r="J671" s="47">
        <f>ORA!$E$11/1000</f>
        <v>28.396104194325002</v>
      </c>
      <c r="K671" s="47">
        <f>ORA!$F$11/1000</f>
        <v>28.396104194325002</v>
      </c>
      <c r="L671" s="47">
        <f>ORA!$G$11/1000</f>
        <v>28.396104194325002</v>
      </c>
      <c r="M671" s="45">
        <f t="shared" si="161"/>
        <v>0</v>
      </c>
      <c r="N671" s="46"/>
      <c r="O671" s="47">
        <f>ORA!$D$12/1000</f>
        <v>25.297999999999998</v>
      </c>
      <c r="P671" s="47">
        <f>ORA!$E$12/1000</f>
        <v>24.885700974422775</v>
      </c>
      <c r="Q671" s="47">
        <f>ORA!$F$12/1000</f>
        <v>24.081134886246343</v>
      </c>
      <c r="R671" s="47">
        <f>ORA!$G$12/1000</f>
        <v>22.947858071817837</v>
      </c>
      <c r="S671" s="45">
        <f t="shared" si="162"/>
        <v>-3.1977788714676492E-2</v>
      </c>
      <c r="T671" s="46"/>
      <c r="U671" s="48" t="str">
        <f t="shared" si="163"/>
        <v>EUR 10.68</v>
      </c>
      <c r="V671" s="69" t="str">
        <f t="shared" si="163"/>
        <v>Orange</v>
      </c>
      <c r="Z671" s="49"/>
      <c r="BF671" s="39"/>
      <c r="BG671" s="39"/>
      <c r="BH671" s="39"/>
      <c r="BI671" s="39"/>
      <c r="BJ671" s="39"/>
      <c r="BK671" s="39"/>
      <c r="BL671" s="39"/>
      <c r="BM671" s="39"/>
      <c r="BN671" s="39"/>
      <c r="BO671" s="39"/>
      <c r="BP671" s="39"/>
      <c r="BQ671" s="39"/>
      <c r="BR671" s="39"/>
      <c r="BS671" s="39"/>
      <c r="BT671" s="39"/>
      <c r="BU671" s="39"/>
      <c r="BV671" s="39"/>
      <c r="BW671" s="39"/>
      <c r="BX671" s="39"/>
      <c r="BY671" s="39"/>
      <c r="BZ671" s="39"/>
      <c r="CA671" s="39"/>
      <c r="CB671" s="39"/>
      <c r="CC671" s="39"/>
      <c r="CD671" s="39"/>
      <c r="CE671" s="39"/>
      <c r="CF671" s="39"/>
      <c r="CG671" s="39"/>
      <c r="CH671" s="39"/>
      <c r="CI671" s="39"/>
      <c r="CJ671" s="39"/>
      <c r="CK671" s="39"/>
      <c r="CL671" s="39"/>
      <c r="CM671" s="39"/>
      <c r="CN671" s="39"/>
      <c r="CO671" s="39"/>
      <c r="CP671" s="39"/>
      <c r="CQ671" s="39"/>
      <c r="CR671" s="39"/>
      <c r="CS671" s="39"/>
      <c r="CT671" s="39"/>
      <c r="CU671" s="39"/>
      <c r="CV671" s="39"/>
      <c r="CW671" s="39"/>
      <c r="CX671" s="39"/>
      <c r="CY671" s="39"/>
      <c r="CZ671" s="39"/>
      <c r="DA671" s="39"/>
      <c r="DB671" s="39"/>
      <c r="DC671" s="39"/>
      <c r="DD671" s="39"/>
      <c r="DE671" s="39"/>
      <c r="DF671" s="39"/>
      <c r="DG671" s="39"/>
      <c r="DH671" s="39"/>
      <c r="DI671" s="39"/>
    </row>
    <row r="672" spans="1:113">
      <c r="A672" s="41"/>
      <c r="C672" s="48" t="s">
        <v>459</v>
      </c>
      <c r="D672" s="44" t="str">
        <f t="shared" si="160"/>
        <v>EUR 13.75</v>
      </c>
      <c r="E672" s="44" t="str">
        <f t="shared" si="160"/>
        <v>EUR 22.00</v>
      </c>
      <c r="F672" s="45">
        <f t="shared" si="160"/>
        <v>0.60000000000000009</v>
      </c>
      <c r="G672" s="44" t="str">
        <f t="shared" si="160"/>
        <v>Neutral</v>
      </c>
      <c r="H672" s="46"/>
      <c r="I672" s="47">
        <f>OTE!$D$11/1000</f>
        <v>5.7475934863047096</v>
      </c>
      <c r="J672" s="47">
        <f>OTE!$D$11/1000</f>
        <v>5.7475934863047096</v>
      </c>
      <c r="K672" s="47">
        <f>OTE!$F$11/1000</f>
        <v>5.3723768359922071</v>
      </c>
      <c r="L672" s="47">
        <f>OTE!$G$11/1000</f>
        <v>5.2185734337562568</v>
      </c>
      <c r="M672" s="45">
        <f t="shared" si="161"/>
        <v>-3.1673274550136798E-2</v>
      </c>
      <c r="N672" s="46"/>
      <c r="O672" s="47">
        <f>OTE!$D$12/1000</f>
        <v>0.91749999999999987</v>
      </c>
      <c r="P672" s="47">
        <f>OTE!$E$12/1000</f>
        <v>0.91749999999999987</v>
      </c>
      <c r="Q672" s="47">
        <f>OTE!$F$12/1000</f>
        <v>0.91749999999999987</v>
      </c>
      <c r="R672" s="47">
        <f>OTE!$G$12/1000</f>
        <v>0.91749999999999987</v>
      </c>
      <c r="S672" s="45">
        <f t="shared" si="162"/>
        <v>0</v>
      </c>
      <c r="T672" s="46"/>
      <c r="U672" s="48" t="str">
        <f t="shared" si="163"/>
        <v>EUR 13.75</v>
      </c>
      <c r="V672" s="69" t="str">
        <f t="shared" si="163"/>
        <v>OTE</v>
      </c>
      <c r="Z672" s="49"/>
      <c r="BF672" s="39"/>
      <c r="BG672" s="39"/>
      <c r="BH672" s="39"/>
      <c r="BI672" s="39"/>
      <c r="BJ672" s="39"/>
      <c r="BK672" s="39"/>
      <c r="BL672" s="39"/>
      <c r="BM672" s="39"/>
      <c r="BN672" s="39"/>
      <c r="BO672" s="39"/>
      <c r="BP672" s="39"/>
      <c r="BQ672" s="39"/>
      <c r="BR672" s="39"/>
      <c r="BS672" s="39"/>
      <c r="BT672" s="39"/>
      <c r="BU672" s="39"/>
      <c r="BV672" s="39"/>
      <c r="BW672" s="39"/>
      <c r="BX672" s="39"/>
      <c r="BY672" s="39"/>
      <c r="BZ672" s="39"/>
      <c r="CA672" s="39"/>
      <c r="CB672" s="39"/>
      <c r="CC672" s="39"/>
      <c r="CD672" s="39"/>
      <c r="CE672" s="39"/>
      <c r="CF672" s="39"/>
      <c r="CG672" s="39"/>
      <c r="CH672" s="39"/>
      <c r="CI672" s="39"/>
      <c r="CJ672" s="39"/>
      <c r="CK672" s="39"/>
      <c r="CL672" s="39"/>
      <c r="CM672" s="39"/>
      <c r="CN672" s="39"/>
      <c r="CO672" s="39"/>
      <c r="CP672" s="39"/>
      <c r="CQ672" s="39"/>
      <c r="CR672" s="39"/>
      <c r="CS672" s="39"/>
      <c r="CT672" s="39"/>
      <c r="CU672" s="39"/>
      <c r="CV672" s="39"/>
      <c r="CW672" s="39"/>
      <c r="CX672" s="39"/>
      <c r="CY672" s="39"/>
      <c r="CZ672" s="39"/>
      <c r="DA672" s="39"/>
      <c r="DB672" s="39"/>
      <c r="DC672" s="39"/>
      <c r="DD672" s="39"/>
      <c r="DE672" s="39"/>
      <c r="DF672" s="39"/>
      <c r="DG672" s="39"/>
      <c r="DH672" s="39"/>
      <c r="DI672" s="39"/>
    </row>
    <row r="673" spans="1:113">
      <c r="A673" s="41"/>
      <c r="C673" s="48" t="s">
        <v>817</v>
      </c>
      <c r="D673" s="44" t="str">
        <f t="shared" si="160"/>
        <v>EUR 7.4</v>
      </c>
      <c r="E673" s="44" t="str">
        <f t="shared" si="160"/>
        <v>EUR 10.0</v>
      </c>
      <c r="F673" s="45">
        <f t="shared" si="160"/>
        <v>0.35135135135135132</v>
      </c>
      <c r="G673" s="44" t="str">
        <f t="shared" si="160"/>
        <v>Neutral</v>
      </c>
      <c r="H673" s="46"/>
      <c r="I673" s="47">
        <f>PROX!$D$11/1000</f>
        <v>2.3934199990000002</v>
      </c>
      <c r="J673" s="47">
        <f>PROX!$E$11/1000</f>
        <v>2.3934199990000002</v>
      </c>
      <c r="K673" s="47">
        <f>PROX!$F$11/1000</f>
        <v>2.3934199990000002</v>
      </c>
      <c r="L673" s="47">
        <f>PROX!$G$11/1000</f>
        <v>2.3934199990000002</v>
      </c>
      <c r="M673" s="45">
        <f t="shared" si="161"/>
        <v>0</v>
      </c>
      <c r="N673" s="46"/>
      <c r="O673" s="47">
        <f>PROX!$D$12/1000</f>
        <v>3.3910090868810476</v>
      </c>
      <c r="P673" s="47">
        <f>PROX!$E$12/1000</f>
        <v>3.5138678367485836</v>
      </c>
      <c r="Q673" s="47">
        <f>PROX!$F$12/1000</f>
        <v>3.3656311618816024</v>
      </c>
      <c r="R673" s="47">
        <f>PROX!$G$12/1000</f>
        <v>3.2363481811420987</v>
      </c>
      <c r="S673" s="45">
        <f t="shared" si="162"/>
        <v>-1.5440209689185025E-2</v>
      </c>
      <c r="T673" s="46"/>
      <c r="U673" s="48" t="str">
        <f t="shared" ref="U673:U678" si="164">U613</f>
        <v>EUR 7.4</v>
      </c>
      <c r="V673" s="69" t="s">
        <v>817</v>
      </c>
      <c r="Z673" s="49"/>
      <c r="BF673" s="39"/>
      <c r="BG673" s="39"/>
      <c r="BH673" s="39"/>
      <c r="BI673" s="39"/>
      <c r="BJ673" s="39"/>
      <c r="BK673" s="39"/>
      <c r="BL673" s="39"/>
      <c r="BM673" s="39"/>
      <c r="BN673" s="39"/>
      <c r="BO673" s="39"/>
      <c r="BP673" s="39"/>
      <c r="BQ673" s="39"/>
      <c r="BR673" s="39"/>
      <c r="BS673" s="39"/>
      <c r="BT673" s="39"/>
      <c r="BU673" s="39"/>
      <c r="BV673" s="39"/>
      <c r="BW673" s="39"/>
      <c r="BX673" s="39"/>
      <c r="BY673" s="39"/>
      <c r="BZ673" s="39"/>
      <c r="CA673" s="39"/>
      <c r="CB673" s="39"/>
      <c r="CC673" s="39"/>
      <c r="CD673" s="39"/>
      <c r="CE673" s="39"/>
      <c r="CF673" s="39"/>
      <c r="CG673" s="39"/>
      <c r="CH673" s="39"/>
      <c r="CI673" s="39"/>
      <c r="CJ673" s="39"/>
      <c r="CK673" s="39"/>
      <c r="CL673" s="39"/>
      <c r="CM673" s="39"/>
      <c r="CN673" s="39"/>
      <c r="CO673" s="39"/>
      <c r="CP673" s="39"/>
      <c r="CQ673" s="39"/>
      <c r="CR673" s="39"/>
      <c r="CS673" s="39"/>
      <c r="CT673" s="39"/>
      <c r="CU673" s="39"/>
      <c r="CV673" s="39"/>
      <c r="CW673" s="39"/>
      <c r="CX673" s="39"/>
      <c r="CY673" s="39"/>
      <c r="CZ673" s="39"/>
      <c r="DA673" s="39"/>
      <c r="DB673" s="39"/>
      <c r="DC673" s="39"/>
      <c r="DD673" s="39"/>
      <c r="DE673" s="39"/>
      <c r="DF673" s="39"/>
      <c r="DG673" s="39"/>
      <c r="DH673" s="39"/>
      <c r="DI673" s="39"/>
    </row>
    <row r="674" spans="1:113">
      <c r="C674" s="48" t="s">
        <v>463</v>
      </c>
      <c r="D674" s="44" t="str">
        <f t="shared" si="160"/>
        <v>CHF492</v>
      </c>
      <c r="E674" s="44" t="str">
        <f t="shared" si="160"/>
        <v>CHF620</v>
      </c>
      <c r="F674" s="45">
        <f t="shared" si="160"/>
        <v>0.26016260162601634</v>
      </c>
      <c r="G674" s="44" t="str">
        <f t="shared" si="160"/>
        <v>Neutral</v>
      </c>
      <c r="H674" s="46"/>
      <c r="I674" s="47">
        <f>SWISS!D$11/1000/Prices!$F$148</f>
        <v>25.693672982583397</v>
      </c>
      <c r="J674" s="47">
        <f>SWISS!E$11/1000/Prices!$F$148</f>
        <v>25.693672982583397</v>
      </c>
      <c r="K674" s="47">
        <f>SWISS!F$11/1000/Prices!$F$148</f>
        <v>25.693672982583397</v>
      </c>
      <c r="L674" s="47">
        <f>SWISS!G$11/1000/Prices!$F$148</f>
        <v>25.693672982583397</v>
      </c>
      <c r="M674" s="45">
        <f t="shared" si="161"/>
        <v>0</v>
      </c>
      <c r="N674" s="46"/>
      <c r="O674" s="47">
        <f>SWISS!D$12/1000/Prices!$F$148</f>
        <v>5.1979949651833639</v>
      </c>
      <c r="P674" s="47">
        <f>SWISS!E$12/1000/Prices!$F$148</f>
        <v>4.8644559580529867</v>
      </c>
      <c r="Q674" s="47">
        <f>SWISS!F$12/1000/Prices!$F$148</f>
        <v>4.5407476267779758</v>
      </c>
      <c r="R674" s="47">
        <f>SWISS!G$12/1000/Prices!$F$148</f>
        <v>4.2296379184658583</v>
      </c>
      <c r="S674" s="45">
        <f t="shared" si="162"/>
        <v>-6.6410886540302139E-2</v>
      </c>
      <c r="T674" s="46"/>
      <c r="U674" s="48" t="str">
        <f t="shared" si="164"/>
        <v>CHF492</v>
      </c>
      <c r="V674" s="69" t="str">
        <f t="shared" ref="V674:V679" si="165">V614</f>
        <v>Swisscom</v>
      </c>
    </row>
    <row r="675" spans="1:113">
      <c r="A675" s="41"/>
      <c r="C675" s="48" t="s">
        <v>270</v>
      </c>
      <c r="D675" s="44" t="str">
        <f t="shared" si="160"/>
        <v>EUR 0.25</v>
      </c>
      <c r="E675" s="44" t="str">
        <f t="shared" si="160"/>
        <v>EUR 0.35</v>
      </c>
      <c r="F675" s="45">
        <f t="shared" si="160"/>
        <v>0.42103126268777902</v>
      </c>
      <c r="G675" s="44" t="str">
        <f t="shared" si="160"/>
        <v>Buy</v>
      </c>
      <c r="H675" s="46"/>
      <c r="I675" s="47">
        <f>TI!$D$11/1000</f>
        <v>5.3776086896694997</v>
      </c>
      <c r="J675" s="47">
        <f>TI!$E$11/1000</f>
        <v>5.3776086896694997</v>
      </c>
      <c r="K675" s="47">
        <f>TI!$F$11/1000</f>
        <v>5.3776086896694997</v>
      </c>
      <c r="L675" s="47">
        <f>TI!$G$11/1000</f>
        <v>5.3776086896694997</v>
      </c>
      <c r="M675" s="45">
        <f t="shared" si="161"/>
        <v>0</v>
      </c>
      <c r="N675" s="46"/>
      <c r="O675" s="47">
        <f>TI!$D$12/1000</f>
        <v>20.343363882101308</v>
      </c>
      <c r="P675" s="47">
        <f>TI!$E$12/1000</f>
        <v>20.410952238983409</v>
      </c>
      <c r="Q675" s="47">
        <f>TI!$F$12/1000</f>
        <v>20.228624513579188</v>
      </c>
      <c r="R675" s="47">
        <f>TI!$G$12/1000</f>
        <v>19.632956568416017</v>
      </c>
      <c r="S675" s="45">
        <f t="shared" si="162"/>
        <v>-1.1778466918364594E-2</v>
      </c>
      <c r="T675" s="46"/>
      <c r="U675" s="48" t="str">
        <f t="shared" si="164"/>
        <v>EUR 0.25</v>
      </c>
      <c r="V675" s="69" t="str">
        <f t="shared" si="165"/>
        <v>Telecom Italia</v>
      </c>
      <c r="BF675" s="39"/>
      <c r="BG675" s="39"/>
      <c r="BH675" s="39"/>
      <c r="BI675" s="39"/>
      <c r="BJ675" s="39"/>
      <c r="BK675" s="39"/>
      <c r="BL675" s="39"/>
      <c r="BM675" s="39"/>
      <c r="BN675" s="39"/>
      <c r="BO675" s="39"/>
      <c r="BP675" s="39"/>
      <c r="BQ675" s="39"/>
      <c r="BR675" s="39"/>
      <c r="BS675" s="39"/>
      <c r="BT675" s="39"/>
      <c r="BU675" s="39"/>
      <c r="BV675" s="39"/>
      <c r="BW675" s="39"/>
      <c r="BX675" s="39"/>
      <c r="BY675" s="39"/>
      <c r="BZ675" s="39"/>
      <c r="CA675" s="39"/>
      <c r="CB675" s="39"/>
      <c r="CC675" s="39"/>
      <c r="CD675" s="39"/>
      <c r="CE675" s="39"/>
      <c r="CF675" s="39"/>
      <c r="CG675" s="39"/>
      <c r="CH675" s="39"/>
      <c r="CI675" s="39"/>
      <c r="CJ675" s="39"/>
      <c r="CK675" s="39"/>
      <c r="CL675" s="39"/>
      <c r="CM675" s="39"/>
      <c r="CN675" s="39"/>
      <c r="CO675" s="39"/>
      <c r="CP675" s="39"/>
      <c r="CQ675" s="39"/>
      <c r="CR675" s="39"/>
      <c r="CS675" s="39"/>
      <c r="CT675" s="39"/>
      <c r="CU675" s="39"/>
      <c r="CV675" s="39"/>
      <c r="CW675" s="39"/>
      <c r="CX675" s="39"/>
      <c r="CY675" s="39"/>
      <c r="CZ675" s="39"/>
      <c r="DA675" s="39"/>
      <c r="DB675" s="39"/>
      <c r="DC675" s="39"/>
      <c r="DD675" s="39"/>
      <c r="DE675" s="39"/>
      <c r="DF675" s="39"/>
      <c r="DG675" s="39"/>
      <c r="DH675" s="39"/>
      <c r="DI675" s="39"/>
    </row>
    <row r="676" spans="1:113">
      <c r="A676" s="41"/>
      <c r="C676" s="48" t="s">
        <v>461</v>
      </c>
      <c r="D676" s="44" t="str">
        <f t="shared" si="160"/>
        <v>EUR 4.16</v>
      </c>
      <c r="E676" s="44" t="str">
        <f t="shared" si="160"/>
        <v>EUR 4.80</v>
      </c>
      <c r="F676" s="45">
        <f t="shared" si="160"/>
        <v>0.15523465703971118</v>
      </c>
      <c r="G676" s="44" t="str">
        <f t="shared" si="160"/>
        <v>Buy</v>
      </c>
      <c r="H676" s="46"/>
      <c r="I676" s="47">
        <f>TEF!$D$11/1000</f>
        <v>23.431535253074998</v>
      </c>
      <c r="J676" s="47">
        <f>TEF!$E$11/1000</f>
        <v>23.431535253074998</v>
      </c>
      <c r="K676" s="47">
        <f>TEF!$F$11/1000</f>
        <v>23.431535253074998</v>
      </c>
      <c r="L676" s="47">
        <f>TEF!$G$11/1000</f>
        <v>23.431535253074998</v>
      </c>
      <c r="M676" s="45">
        <f t="shared" si="161"/>
        <v>0</v>
      </c>
      <c r="N676" s="46"/>
      <c r="O676" s="47">
        <f>TEF!$D$12/1000</f>
        <v>27.348720816887901</v>
      </c>
      <c r="P676" s="47">
        <f>TEF!$E$12/1000</f>
        <v>28.000882361854828</v>
      </c>
      <c r="Q676" s="47">
        <f>TEF!$F$12/1000</f>
        <v>28.629934277822201</v>
      </c>
      <c r="R676" s="47">
        <f>TEF!$G$12/1000</f>
        <v>27.752369084233759</v>
      </c>
      <c r="S676" s="45">
        <f t="shared" si="162"/>
        <v>4.8957626216634687E-3</v>
      </c>
      <c r="T676" s="46"/>
      <c r="U676" s="48" t="str">
        <f t="shared" si="164"/>
        <v>EUR 4.16</v>
      </c>
      <c r="V676" s="69" t="str">
        <f t="shared" si="165"/>
        <v>Telefonica</v>
      </c>
      <c r="BF676" s="39"/>
      <c r="BG676" s="39"/>
      <c r="BH676" s="39"/>
      <c r="BI676" s="39"/>
      <c r="BJ676" s="39"/>
      <c r="BK676" s="39"/>
      <c r="BL676" s="39"/>
      <c r="BM676" s="39"/>
      <c r="BN676" s="39"/>
      <c r="BO676" s="39"/>
      <c r="BP676" s="39"/>
      <c r="BQ676" s="39"/>
      <c r="BR676" s="39"/>
      <c r="BS676" s="39"/>
      <c r="BT676" s="39"/>
      <c r="BU676" s="39"/>
      <c r="BV676" s="39"/>
      <c r="BW676" s="39"/>
      <c r="BX676" s="39"/>
      <c r="BY676" s="39"/>
      <c r="BZ676" s="39"/>
      <c r="CA676" s="39"/>
      <c r="CB676" s="39"/>
      <c r="CC676" s="39"/>
      <c r="CD676" s="39"/>
      <c r="CE676" s="39"/>
      <c r="CF676" s="39"/>
      <c r="CG676" s="39"/>
      <c r="CH676" s="39"/>
      <c r="CI676" s="39"/>
      <c r="CJ676" s="39"/>
      <c r="CK676" s="39"/>
      <c r="CL676" s="39"/>
      <c r="CM676" s="39"/>
      <c r="CN676" s="39"/>
      <c r="CO676" s="39"/>
      <c r="CP676" s="39"/>
      <c r="CQ676" s="39"/>
      <c r="CR676" s="39"/>
      <c r="CS676" s="39"/>
      <c r="CT676" s="39"/>
      <c r="CU676" s="39"/>
      <c r="CV676" s="39"/>
      <c r="CW676" s="39"/>
      <c r="CX676" s="39"/>
      <c r="CY676" s="39"/>
      <c r="CZ676" s="39"/>
      <c r="DA676" s="39"/>
      <c r="DB676" s="39"/>
      <c r="DC676" s="39"/>
      <c r="DD676" s="39"/>
      <c r="DE676" s="39"/>
      <c r="DF676" s="39"/>
      <c r="DG676" s="39"/>
      <c r="DH676" s="39"/>
      <c r="DI676" s="39"/>
    </row>
    <row r="677" spans="1:113">
      <c r="A677" s="41"/>
      <c r="C677" s="48" t="s">
        <v>462</v>
      </c>
      <c r="D677" s="44" t="str">
        <f t="shared" si="160"/>
        <v>NOK 124</v>
      </c>
      <c r="E677" s="44" t="str">
        <f t="shared" si="160"/>
        <v>NOK 136</v>
      </c>
      <c r="F677" s="45">
        <f t="shared" si="160"/>
        <v>9.9434114793855999E-2</v>
      </c>
      <c r="G677" s="44" t="str">
        <f t="shared" si="160"/>
        <v>Buy</v>
      </c>
      <c r="H677" s="46"/>
      <c r="I677" s="47">
        <f>TNOR!D$11/1000/Prices!$F$157</f>
        <v>14.964334129818559</v>
      </c>
      <c r="J677" s="47">
        <f>TNOR!E$11/1000/Prices!$F$157</f>
        <v>14.835264119298008</v>
      </c>
      <c r="K677" s="47">
        <f>TNOR!F$11/1000/Prices!$F$157</f>
        <v>14.835264119298008</v>
      </c>
      <c r="L677" s="47">
        <f>TNOR!G$11/1000/Prices!$F$157</f>
        <v>14.835264119298008</v>
      </c>
      <c r="M677" s="45">
        <f t="shared" si="161"/>
        <v>-2.8833643531191999E-3</v>
      </c>
      <c r="N677" s="46"/>
      <c r="O677" s="47">
        <f>TNOR!D$12/1000/Prices!$F$157</f>
        <v>7.2267497593358483</v>
      </c>
      <c r="P677" s="47">
        <f>TNOR!E$12/1000/Prices!$F$157</f>
        <v>7.1758773058967122</v>
      </c>
      <c r="Q677" s="47">
        <f>TNOR!F$12/1000/Prices!$F$157</f>
        <v>6.9777001256899842</v>
      </c>
      <c r="R677" s="47">
        <f>TNOR!G$12/1000/Prices!$F$157</f>
        <v>7.0753713881024272</v>
      </c>
      <c r="S677" s="45">
        <f t="shared" si="162"/>
        <v>-7.0316450552142529E-3</v>
      </c>
      <c r="T677" s="46"/>
      <c r="U677" s="48" t="str">
        <f t="shared" si="164"/>
        <v>NOK 124</v>
      </c>
      <c r="V677" s="44" t="str">
        <f t="shared" si="165"/>
        <v>Telenor</v>
      </c>
      <c r="BF677" s="39"/>
      <c r="BG677" s="39"/>
      <c r="BH677" s="39"/>
      <c r="BI677" s="39"/>
      <c r="BJ677" s="39"/>
      <c r="BK677" s="39"/>
      <c r="BL677" s="39"/>
      <c r="BM677" s="39"/>
      <c r="BN677" s="39"/>
      <c r="BO677" s="39"/>
      <c r="BP677" s="39"/>
      <c r="BQ677" s="39"/>
      <c r="BR677" s="39"/>
      <c r="BS677" s="39"/>
      <c r="BT677" s="39"/>
      <c r="BU677" s="39"/>
      <c r="BV677" s="39"/>
      <c r="BW677" s="39"/>
      <c r="BX677" s="39"/>
      <c r="BY677" s="39"/>
      <c r="BZ677" s="39"/>
      <c r="CA677" s="39"/>
      <c r="CB677" s="39"/>
      <c r="CC677" s="39"/>
      <c r="CD677" s="39"/>
      <c r="CE677" s="39"/>
      <c r="CF677" s="39"/>
      <c r="CG677" s="39"/>
      <c r="CH677" s="39"/>
      <c r="CI677" s="39"/>
      <c r="CJ677" s="39"/>
      <c r="CK677" s="39"/>
      <c r="CL677" s="39"/>
      <c r="CM677" s="39"/>
      <c r="CN677" s="39"/>
      <c r="CO677" s="39"/>
      <c r="CP677" s="39"/>
      <c r="CQ677" s="39"/>
      <c r="CR677" s="39"/>
      <c r="CS677" s="39"/>
      <c r="CT677" s="39"/>
      <c r="CU677" s="39"/>
      <c r="CV677" s="39"/>
      <c r="CW677" s="39"/>
      <c r="CX677" s="39"/>
      <c r="CY677" s="39"/>
      <c r="CZ677" s="39"/>
      <c r="DA677" s="39"/>
      <c r="DB677" s="39"/>
      <c r="DC677" s="39"/>
      <c r="DD677" s="39"/>
      <c r="DE677" s="39"/>
      <c r="DF677" s="39"/>
      <c r="DG677" s="39"/>
      <c r="DH677" s="39"/>
      <c r="DI677" s="39"/>
    </row>
    <row r="678" spans="1:113">
      <c r="A678" s="41"/>
      <c r="C678" s="48" t="s">
        <v>1039</v>
      </c>
      <c r="D678" s="44" t="str">
        <f t="shared" si="160"/>
        <v>SEK26.4</v>
      </c>
      <c r="E678" s="44" t="str">
        <f t="shared" si="160"/>
        <v>SEK36.0</v>
      </c>
      <c r="F678" s="45">
        <f t="shared" si="160"/>
        <v>0.36415308829101933</v>
      </c>
      <c r="G678" s="44" t="str">
        <f t="shared" si="160"/>
        <v>Buy</v>
      </c>
      <c r="H678" s="46"/>
      <c r="I678" s="47">
        <f>TELIA!D$11/1000/Prices!$F$158</f>
        <v>8.9802154001700476</v>
      </c>
      <c r="J678" s="47">
        <f>TELIA!E$11/1000/Prices!$F$158</f>
        <v>8.9802154001700476</v>
      </c>
      <c r="K678" s="47">
        <f>TELIA!F$11/1000/Prices!$F$158</f>
        <v>8.9802154001700476</v>
      </c>
      <c r="L678" s="47">
        <f>TELIA!G$11/1000/Prices!$F$158</f>
        <v>8.9802154001700476</v>
      </c>
      <c r="M678" s="45">
        <f t="shared" si="161"/>
        <v>0</v>
      </c>
      <c r="N678" s="46"/>
      <c r="O678" s="47">
        <f>TELIA!D$12/1000/Prices!$F$158</f>
        <v>4.8950141774644313</v>
      </c>
      <c r="P678" s="47">
        <f>TELIA!E$12/1000/Prices!$F$158</f>
        <v>4.0749434031172225</v>
      </c>
      <c r="Q678" s="47">
        <f>TELIA!F$12/1000/Prices!$F$158</f>
        <v>4.0460382585091139</v>
      </c>
      <c r="R678" s="47">
        <f>TELIA!G$12/1000/Prices!$F$158</f>
        <v>4.038636655238661</v>
      </c>
      <c r="S678" s="45">
        <f t="shared" si="162"/>
        <v>-6.2091922284758017E-2</v>
      </c>
      <c r="T678" s="46"/>
      <c r="U678" s="48" t="str">
        <f t="shared" si="164"/>
        <v>SEK26.4</v>
      </c>
      <c r="V678" s="44" t="str">
        <f t="shared" si="165"/>
        <v>Telia</v>
      </c>
      <c r="BF678" s="39"/>
      <c r="BG678" s="39"/>
      <c r="BH678" s="39"/>
      <c r="BI678" s="39"/>
      <c r="BJ678" s="39"/>
      <c r="BK678" s="39"/>
      <c r="BL678" s="39"/>
      <c r="BM678" s="39"/>
      <c r="BN678" s="39"/>
      <c r="BO678" s="39"/>
      <c r="BP678" s="39"/>
      <c r="BQ678" s="39"/>
      <c r="BR678" s="39"/>
      <c r="BS678" s="39"/>
      <c r="BT678" s="39"/>
      <c r="BU678" s="39"/>
      <c r="BV678" s="39"/>
      <c r="BW678" s="39"/>
      <c r="BX678" s="39"/>
      <c r="BY678" s="39"/>
      <c r="BZ678" s="39"/>
      <c r="CA678" s="39"/>
      <c r="CB678" s="39"/>
      <c r="CC678" s="39"/>
      <c r="CD678" s="39"/>
      <c r="CE678" s="39"/>
      <c r="CF678" s="39"/>
      <c r="CG678" s="39"/>
      <c r="CH678" s="39"/>
      <c r="CI678" s="39"/>
      <c r="CJ678" s="39"/>
      <c r="CK678" s="39"/>
      <c r="CL678" s="39"/>
      <c r="CM678" s="39"/>
      <c r="CN678" s="39"/>
      <c r="CO678" s="39"/>
      <c r="CP678" s="39"/>
      <c r="CQ678" s="39"/>
      <c r="CR678" s="39"/>
      <c r="CS678" s="39"/>
      <c r="CT678" s="39"/>
      <c r="CU678" s="39"/>
      <c r="CV678" s="39"/>
      <c r="CW678" s="39"/>
      <c r="CX678" s="39"/>
      <c r="CY678" s="39"/>
      <c r="CZ678" s="39"/>
      <c r="DA678" s="39"/>
      <c r="DB678" s="39"/>
      <c r="DC678" s="39"/>
      <c r="DD678" s="39"/>
      <c r="DE678" s="39"/>
      <c r="DF678" s="39"/>
      <c r="DG678" s="39"/>
      <c r="DH678" s="39"/>
      <c r="DI678" s="39"/>
    </row>
    <row r="679" spans="1:113">
      <c r="A679" s="41"/>
      <c r="C679" s="51" t="str">
        <f>C619</f>
        <v>Agg. W.Europe Incumbent</v>
      </c>
      <c r="D679" s="52"/>
      <c r="E679" s="52"/>
      <c r="F679" s="53"/>
      <c r="G679" s="52"/>
      <c r="H679" s="46"/>
      <c r="I679" s="54">
        <f>'W.EUR INCUMB'!$D$11/1000</f>
        <v>251.58415734252713</v>
      </c>
      <c r="J679" s="54">
        <f>'W.EUR INCUMB'!$E$11/1000</f>
        <v>248.8444832817386</v>
      </c>
      <c r="K679" s="54">
        <f>'W.EUR INCUMB'!$F$11/1000</f>
        <v>248.45411887024875</v>
      </c>
      <c r="L679" s="54">
        <f>'W.EUR INCUMB'!$G$11/1000</f>
        <v>248.09291299873121</v>
      </c>
      <c r="M679" s="55">
        <f t="shared" si="161"/>
        <v>-4.6472446584328031E-3</v>
      </c>
      <c r="N679" s="56"/>
      <c r="O679" s="54">
        <f>'W.EUR INCUMB'!$D$12/1000</f>
        <v>210.72294430512005</v>
      </c>
      <c r="P679" s="54">
        <f>'W.EUR INCUMB'!$E$12/1000</f>
        <v>216.48061476447103</v>
      </c>
      <c r="Q679" s="54">
        <f>'W.EUR INCUMB'!$F$12/1000</f>
        <v>216.44684505023784</v>
      </c>
      <c r="R679" s="54">
        <f>'W.EUR INCUMB'!$G$12/1000</f>
        <v>211.85805723944219</v>
      </c>
      <c r="S679" s="55">
        <f t="shared" si="162"/>
        <v>1.7923705839621995E-3</v>
      </c>
      <c r="T679" s="46"/>
      <c r="U679" s="57"/>
      <c r="V679" s="58" t="str">
        <f t="shared" si="165"/>
        <v>Agg. W.Europe Incumbent</v>
      </c>
      <c r="BF679" s="39"/>
      <c r="BG679" s="39"/>
      <c r="BH679" s="39"/>
      <c r="BI679" s="39"/>
      <c r="BJ679" s="39"/>
      <c r="BK679" s="39"/>
      <c r="BL679" s="39"/>
      <c r="BM679" s="39"/>
      <c r="BN679" s="39"/>
      <c r="BO679" s="39"/>
      <c r="BP679" s="39"/>
      <c r="BQ679" s="39"/>
      <c r="BR679" s="39"/>
      <c r="BS679" s="39"/>
      <c r="BT679" s="39"/>
      <c r="BU679" s="39"/>
      <c r="BV679" s="39"/>
      <c r="BW679" s="39"/>
      <c r="BX679" s="39"/>
      <c r="BY679" s="39"/>
      <c r="BZ679" s="39"/>
      <c r="CA679" s="39"/>
      <c r="CB679" s="39"/>
      <c r="CC679" s="39"/>
      <c r="CD679" s="39"/>
      <c r="CE679" s="39"/>
      <c r="CF679" s="39"/>
      <c r="CG679" s="39"/>
      <c r="CH679" s="39"/>
      <c r="CI679" s="39"/>
      <c r="CJ679" s="39"/>
      <c r="CK679" s="39"/>
      <c r="CL679" s="39"/>
      <c r="CM679" s="39"/>
      <c r="CN679" s="39"/>
      <c r="CO679" s="39"/>
      <c r="CP679" s="39"/>
      <c r="CQ679" s="39"/>
      <c r="CR679" s="39"/>
      <c r="CS679" s="39"/>
      <c r="CT679" s="39"/>
      <c r="CU679" s="39"/>
      <c r="CV679" s="39"/>
      <c r="CW679" s="39"/>
      <c r="CX679" s="39"/>
      <c r="CY679" s="39"/>
      <c r="CZ679" s="39"/>
      <c r="DA679" s="39"/>
      <c r="DB679" s="39"/>
      <c r="DC679" s="39"/>
      <c r="DD679" s="39"/>
      <c r="DE679" s="39"/>
      <c r="DF679" s="39"/>
      <c r="DG679" s="39"/>
      <c r="DH679" s="39"/>
      <c r="DI679" s="39"/>
    </row>
    <row r="680" spans="1:113">
      <c r="A680" s="41"/>
      <c r="C680" s="48"/>
      <c r="D680" s="44"/>
      <c r="E680" s="44"/>
      <c r="F680" s="45"/>
      <c r="G680" s="44"/>
      <c r="H680" s="46"/>
      <c r="I680" s="47"/>
      <c r="J680" s="47"/>
      <c r="K680" s="47"/>
      <c r="L680" s="47"/>
      <c r="M680" s="45"/>
      <c r="N680" s="46"/>
      <c r="O680" s="47"/>
      <c r="P680" s="47"/>
      <c r="Q680" s="47"/>
      <c r="R680" s="47"/>
      <c r="S680" s="45"/>
      <c r="T680" s="46"/>
      <c r="U680" s="48"/>
      <c r="V680" s="44"/>
      <c r="BF680" s="39"/>
      <c r="BG680" s="39"/>
      <c r="BH680" s="39"/>
      <c r="BI680" s="39"/>
      <c r="BJ680" s="39"/>
      <c r="BK680" s="39"/>
      <c r="BL680" s="39"/>
      <c r="BM680" s="39"/>
      <c r="BN680" s="39"/>
      <c r="BO680" s="39"/>
      <c r="BP680" s="39"/>
      <c r="BQ680" s="39"/>
      <c r="BR680" s="39"/>
      <c r="BS680" s="39"/>
      <c r="BT680" s="39"/>
      <c r="BU680" s="39"/>
      <c r="BV680" s="39"/>
      <c r="BW680" s="39"/>
      <c r="BX680" s="39"/>
      <c r="BY680" s="39"/>
      <c r="BZ680" s="39"/>
      <c r="CA680" s="39"/>
      <c r="CB680" s="39"/>
      <c r="CC680" s="39"/>
      <c r="CD680" s="39"/>
      <c r="CE680" s="39"/>
      <c r="CF680" s="39"/>
      <c r="CG680" s="39"/>
      <c r="CH680" s="39"/>
      <c r="CI680" s="39"/>
      <c r="CJ680" s="39"/>
      <c r="CK680" s="39"/>
      <c r="CL680" s="39"/>
      <c r="CM680" s="39"/>
      <c r="CN680" s="39"/>
      <c r="CO680" s="39"/>
      <c r="CP680" s="39"/>
      <c r="CQ680" s="39"/>
      <c r="CR680" s="39"/>
      <c r="CS680" s="39"/>
      <c r="CT680" s="39"/>
      <c r="CU680" s="39"/>
      <c r="CV680" s="39"/>
      <c r="CW680" s="39"/>
      <c r="CX680" s="39"/>
      <c r="CY680" s="39"/>
      <c r="CZ680" s="39"/>
      <c r="DA680" s="39"/>
      <c r="DB680" s="39"/>
      <c r="DC680" s="39"/>
      <c r="DD680" s="39"/>
      <c r="DE680" s="39"/>
      <c r="DF680" s="39"/>
      <c r="DG680" s="39"/>
      <c r="DH680" s="39"/>
      <c r="DI680" s="39"/>
    </row>
    <row r="681" spans="1:113">
      <c r="A681" s="41"/>
      <c r="B681" s="42" t="s">
        <v>519</v>
      </c>
      <c r="C681" s="48" t="s">
        <v>491</v>
      </c>
      <c r="D681" s="44" t="str">
        <f>B681&amp;TEXT(Prices!$C$40,"0.0")</f>
        <v>US$17.5</v>
      </c>
      <c r="E681" s="44" t="str">
        <f>B681&amp;TEXT(Prices!$E$40,"0.00")</f>
        <v>US$21.00</v>
      </c>
      <c r="F681" s="45">
        <f>Prices!$F$40</f>
        <v>0.19999999999999996</v>
      </c>
      <c r="G681" s="44" t="str">
        <f>Prices!$D$40</f>
        <v>Neutral</v>
      </c>
      <c r="H681" s="46"/>
      <c r="I681" s="47">
        <f>ATT!D$11/1000</f>
        <v>125.76375</v>
      </c>
      <c r="J681" s="47">
        <f>ATT!E$11/1000</f>
        <v>125.8425</v>
      </c>
      <c r="K681" s="47">
        <f>ATT!F$11/1000</f>
        <v>125.8425</v>
      </c>
      <c r="L681" s="47">
        <f>ATT!G$11/1000</f>
        <v>125.8425</v>
      </c>
      <c r="M681" s="45">
        <f>(L681/I681)^(1/3)-1</f>
        <v>2.0868114128314019E-4</v>
      </c>
      <c r="N681" s="46"/>
      <c r="O681" s="47">
        <f>ATT!D$12/1000</f>
        <v>130.60900000000001</v>
      </c>
      <c r="P681" s="47">
        <f>ATT!E$12/1000</f>
        <v>121.26260842952378</v>
      </c>
      <c r="Q681" s="47">
        <f>ATT!F$12/1000</f>
        <v>111.91458475733302</v>
      </c>
      <c r="R681" s="47">
        <f>ATT!G$12/1000</f>
        <v>102.01765874716072</v>
      </c>
      <c r="S681" s="45">
        <f>(R681/O681)^(1/3)-1</f>
        <v>-7.9054176454394387E-2</v>
      </c>
      <c r="T681" s="46"/>
      <c r="U681" s="48" t="str">
        <f>D681</f>
        <v>US$17.5</v>
      </c>
      <c r="V681" s="44" t="str">
        <f>C681</f>
        <v xml:space="preserve">AT&amp;T </v>
      </c>
      <c r="BF681" s="39"/>
      <c r="BG681" s="39"/>
      <c r="BH681" s="39"/>
      <c r="BI681" s="39"/>
      <c r="BJ681" s="39"/>
      <c r="BK681" s="39"/>
      <c r="BL681" s="39"/>
      <c r="BM681" s="39"/>
      <c r="BN681" s="39"/>
      <c r="BO681" s="39"/>
      <c r="BP681" s="39"/>
      <c r="BQ681" s="39"/>
      <c r="BR681" s="39"/>
      <c r="BS681" s="39"/>
      <c r="BT681" s="39"/>
      <c r="BU681" s="39"/>
      <c r="BV681" s="39"/>
      <c r="BW681" s="39"/>
      <c r="BX681" s="39"/>
      <c r="BY681" s="39"/>
      <c r="BZ681" s="39"/>
      <c r="CA681" s="39"/>
      <c r="CB681" s="39"/>
      <c r="CC681" s="39"/>
      <c r="CD681" s="39"/>
      <c r="CE681" s="39"/>
      <c r="CF681" s="39"/>
      <c r="CG681" s="39"/>
      <c r="CH681" s="39"/>
      <c r="CI681" s="39"/>
      <c r="CJ681" s="39"/>
      <c r="CK681" s="39"/>
      <c r="CL681" s="39"/>
      <c r="CM681" s="39"/>
      <c r="CN681" s="39"/>
      <c r="CO681" s="39"/>
      <c r="CP681" s="39"/>
      <c r="CQ681" s="39"/>
      <c r="CR681" s="39"/>
      <c r="CS681" s="39"/>
      <c r="CT681" s="39"/>
      <c r="CU681" s="39"/>
      <c r="CV681" s="39"/>
      <c r="CW681" s="39"/>
      <c r="CX681" s="39"/>
      <c r="CY681" s="39"/>
      <c r="CZ681" s="39"/>
      <c r="DA681" s="39"/>
      <c r="DB681" s="39"/>
      <c r="DC681" s="39"/>
      <c r="DD681" s="39"/>
      <c r="DE681" s="39"/>
      <c r="DF681" s="39"/>
      <c r="DG681" s="39"/>
      <c r="DH681" s="39"/>
      <c r="DI681" s="39"/>
    </row>
    <row r="682" spans="1:113">
      <c r="B682" s="42" t="s">
        <v>519</v>
      </c>
      <c r="C682" s="48" t="s">
        <v>693</v>
      </c>
      <c r="D682" s="44" t="str">
        <f>B682&amp;TEXT(Prices!$C$41,"0.0")</f>
        <v>US$166.0</v>
      </c>
      <c r="E682" s="44" t="str">
        <f>B682&amp;TEXT(Prices!$E$41,"0.0")</f>
        <v>US$205.0</v>
      </c>
      <c r="F682" s="45">
        <f>Prices!$F$41</f>
        <v>0.23493975903614461</v>
      </c>
      <c r="G682" s="44" t="str">
        <f>Prices!$D$41</f>
        <v>Buy</v>
      </c>
      <c r="H682" s="46"/>
      <c r="I682" s="47">
        <f>TMUS!D$11/1000</f>
        <v>206.00734152899997</v>
      </c>
      <c r="J682" s="47">
        <f>TMUS!E$11/1000</f>
        <v>192.47087999030435</v>
      </c>
      <c r="K682" s="47">
        <f>TMUS!F$11/1000</f>
        <v>174.0761494254572</v>
      </c>
      <c r="L682" s="47">
        <f>TMUS!G$11/1000</f>
        <v>157.07886073486097</v>
      </c>
      <c r="M682" s="45">
        <f>(L682/I682)^(1/3)-1</f>
        <v>-8.6423299393016295E-2</v>
      </c>
      <c r="N682" s="46"/>
      <c r="O682" s="47">
        <f>TMUS!D$12/1000</f>
        <v>66.741</v>
      </c>
      <c r="P682" s="47">
        <f>TMUS!E$12/1000</f>
        <v>73.519440882862867</v>
      </c>
      <c r="Q682" s="47">
        <f>TMUS!F$12/1000</f>
        <v>78.378854461961197</v>
      </c>
      <c r="R682" s="47">
        <f>TMUS!G$12/1000</f>
        <v>83.108981461362163</v>
      </c>
      <c r="S682" s="45">
        <f>(R682/O682)^(1/3)-1</f>
        <v>7.5850064192702016E-2</v>
      </c>
      <c r="T682" s="46"/>
      <c r="U682" s="48" t="str">
        <f>D682</f>
        <v>US$166.0</v>
      </c>
      <c r="V682" s="44" t="str">
        <f>C682</f>
        <v>TMUS</v>
      </c>
      <c r="BF682" s="39"/>
      <c r="BG682" s="39"/>
      <c r="BH682" s="39"/>
      <c r="BI682" s="39"/>
      <c r="BJ682" s="39"/>
      <c r="BK682" s="39"/>
      <c r="BL682" s="39"/>
      <c r="BM682" s="39"/>
      <c r="BN682" s="39"/>
      <c r="BO682" s="39"/>
      <c r="BP682" s="39"/>
      <c r="BQ682" s="39"/>
      <c r="BR682" s="39"/>
      <c r="BS682" s="39"/>
      <c r="BT682" s="39"/>
      <c r="BU682" s="39"/>
      <c r="BV682" s="39"/>
      <c r="BW682" s="39"/>
      <c r="BX682" s="39"/>
      <c r="BY682" s="39"/>
      <c r="BZ682" s="39"/>
      <c r="CA682" s="39"/>
      <c r="CB682" s="39"/>
      <c r="CC682" s="39"/>
      <c r="CD682" s="39"/>
      <c r="CE682" s="39"/>
      <c r="CF682" s="39"/>
      <c r="CG682" s="39"/>
      <c r="CH682" s="39"/>
      <c r="CI682" s="39"/>
      <c r="CJ682" s="39"/>
      <c r="CK682" s="39"/>
      <c r="CL682" s="39"/>
      <c r="CM682" s="39"/>
      <c r="CN682" s="39"/>
      <c r="CO682" s="39"/>
      <c r="CP682" s="39"/>
      <c r="CQ682" s="39"/>
      <c r="CR682" s="39"/>
      <c r="CS682" s="39"/>
      <c r="CT682" s="39"/>
      <c r="CU682" s="39"/>
      <c r="CV682" s="39"/>
      <c r="CW682" s="39"/>
      <c r="CX682" s="39"/>
      <c r="CY682" s="39"/>
      <c r="CZ682" s="39"/>
      <c r="DA682" s="39"/>
      <c r="DB682" s="39"/>
      <c r="DC682" s="39"/>
      <c r="DD682" s="39"/>
      <c r="DE682" s="39"/>
      <c r="DF682" s="39"/>
      <c r="DG682" s="39"/>
      <c r="DH682" s="39"/>
      <c r="DI682" s="39"/>
    </row>
    <row r="683" spans="1:113">
      <c r="A683" s="41"/>
      <c r="B683" s="42" t="s">
        <v>519</v>
      </c>
      <c r="C683" s="48" t="s">
        <v>33</v>
      </c>
      <c r="D683" s="44" t="str">
        <f>B683&amp;TEXT(Prices!$C$39,"0.0")</f>
        <v>US$39.7</v>
      </c>
      <c r="E683" s="44" t="str">
        <f>B683&amp;TEXT(Prices!$E$39,"0.00")</f>
        <v>US$45.00</v>
      </c>
      <c r="F683" s="45">
        <f>Prices!$F$39</f>
        <v>0.13236034222445903</v>
      </c>
      <c r="G683" s="44" t="str">
        <f>Prices!$D$39</f>
        <v>Neutral</v>
      </c>
      <c r="H683" s="46"/>
      <c r="I683" s="47">
        <f>VZN!D$11/1000</f>
        <v>198.07663499999998</v>
      </c>
      <c r="J683" s="47">
        <f>VZN!E$11/1000</f>
        <v>198.10013999999998</v>
      </c>
      <c r="K683" s="47">
        <f>VZN!F$11/1000</f>
        <v>198.10013999999998</v>
      </c>
      <c r="L683" s="47">
        <f>VZN!G$11/1000</f>
        <v>198.10013999999998</v>
      </c>
      <c r="M683" s="45">
        <f>(L683/I683)^(1/3)-1</f>
        <v>3.9553832807737166E-5</v>
      </c>
      <c r="N683" s="46"/>
      <c r="O683" s="47">
        <f>VZN!D$12/1000</f>
        <v>124.994</v>
      </c>
      <c r="P683" s="47">
        <f>VZN!E$12/1000</f>
        <v>118.06582954521515</v>
      </c>
      <c r="Q683" s="47">
        <f>VZN!F$12/1000</f>
        <v>110.12354006926986</v>
      </c>
      <c r="R683" s="47">
        <f>VZN!G$12/1000</f>
        <v>101.70740937903604</v>
      </c>
      <c r="S683" s="45">
        <f>(R683/O683)^(1/3)-1</f>
        <v>-6.6413688488832445E-2</v>
      </c>
      <c r="T683" s="46"/>
      <c r="U683" s="48" t="str">
        <f>D683</f>
        <v>US$39.7</v>
      </c>
      <c r="V683" s="44" t="str">
        <f>C683</f>
        <v>Verizon</v>
      </c>
      <c r="BF683" s="39"/>
      <c r="BG683" s="39"/>
      <c r="BH683" s="39"/>
      <c r="BI683" s="39"/>
      <c r="BJ683" s="39"/>
      <c r="BK683" s="39"/>
      <c r="BL683" s="39"/>
      <c r="BM683" s="39"/>
      <c r="BN683" s="39"/>
      <c r="BO683" s="39"/>
      <c r="BP683" s="39"/>
      <c r="BQ683" s="39"/>
      <c r="BR683" s="39"/>
      <c r="BS683" s="39"/>
      <c r="BT683" s="39"/>
      <c r="BU683" s="39"/>
      <c r="BV683" s="39"/>
      <c r="BW683" s="39"/>
      <c r="BX683" s="39"/>
      <c r="BY683" s="39"/>
      <c r="BZ683" s="39"/>
      <c r="CA683" s="39"/>
      <c r="CB683" s="39"/>
      <c r="CC683" s="39"/>
      <c r="CD683" s="39"/>
      <c r="CE683" s="39"/>
      <c r="CF683" s="39"/>
      <c r="CG683" s="39"/>
      <c r="CH683" s="39"/>
      <c r="CI683" s="39"/>
      <c r="CJ683" s="39"/>
      <c r="CK683" s="39"/>
      <c r="CL683" s="39"/>
      <c r="CM683" s="39"/>
      <c r="CN683" s="39"/>
      <c r="CO683" s="39"/>
      <c r="CP683" s="39"/>
      <c r="CQ683" s="39"/>
      <c r="CR683" s="39"/>
      <c r="CS683" s="39"/>
      <c r="CT683" s="39"/>
      <c r="CU683" s="39"/>
      <c r="CV683" s="39"/>
      <c r="CW683" s="39"/>
      <c r="CX683" s="39"/>
      <c r="CY683" s="39"/>
      <c r="CZ683" s="39"/>
      <c r="DA683" s="39"/>
      <c r="DB683" s="39"/>
      <c r="DC683" s="39"/>
      <c r="DD683" s="39"/>
      <c r="DE683" s="39"/>
      <c r="DF683" s="39"/>
      <c r="DG683" s="39"/>
      <c r="DH683" s="39"/>
      <c r="DI683" s="39"/>
    </row>
    <row r="684" spans="1:113">
      <c r="A684" s="41"/>
      <c r="C684" s="51" t="s">
        <v>262</v>
      </c>
      <c r="D684" s="52"/>
      <c r="E684" s="52"/>
      <c r="F684" s="53"/>
      <c r="G684" s="52"/>
      <c r="H684" s="46"/>
      <c r="I684" s="54">
        <f>'US TELCO'!D$11/1000</f>
        <v>529.84772652899994</v>
      </c>
      <c r="J684" s="54">
        <f>'US TELCO'!E$11/1000</f>
        <v>516.41351999030439</v>
      </c>
      <c r="K684" s="54">
        <f>'US TELCO'!F$11/1000</f>
        <v>498.01878942545727</v>
      </c>
      <c r="L684" s="54">
        <f>'US TELCO'!G$11/1000</f>
        <v>481.02150073486104</v>
      </c>
      <c r="M684" s="55">
        <f>(L684/I684)^(1/3)-1</f>
        <v>-3.1712174861638798E-2</v>
      </c>
      <c r="N684" s="46"/>
      <c r="O684" s="54">
        <f>'US TELCO'!D$12/1000</f>
        <v>322.34399999999999</v>
      </c>
      <c r="P684" s="54">
        <f>'US TELCO'!E$12/1000</f>
        <v>312.84787885760176</v>
      </c>
      <c r="Q684" s="54">
        <f>'US TELCO'!F$12/1000</f>
        <v>300.41697928856405</v>
      </c>
      <c r="R684" s="54">
        <f>'US TELCO'!G$12/1000</f>
        <v>286.83404958755892</v>
      </c>
      <c r="S684" s="55">
        <f>(R684/O684)^(1/3)-1</f>
        <v>-3.8158072226600392E-2</v>
      </c>
      <c r="T684" s="46"/>
      <c r="U684" s="57"/>
      <c r="V684" s="58" t="str">
        <f>C684</f>
        <v>Agg. US Telecoms</v>
      </c>
      <c r="BF684" s="39"/>
      <c r="BG684" s="39"/>
      <c r="BH684" s="39"/>
      <c r="BI684" s="39"/>
      <c r="BJ684" s="39"/>
      <c r="BK684" s="39"/>
      <c r="BL684" s="39"/>
      <c r="BM684" s="39"/>
      <c r="BN684" s="39"/>
      <c r="BO684" s="39"/>
      <c r="BP684" s="39"/>
      <c r="BQ684" s="39"/>
      <c r="BR684" s="39"/>
      <c r="BS684" s="39"/>
      <c r="BT684" s="39"/>
      <c r="BU684" s="39"/>
      <c r="BV684" s="39"/>
      <c r="BW684" s="39"/>
      <c r="BX684" s="39"/>
      <c r="BY684" s="39"/>
      <c r="BZ684" s="39"/>
      <c r="CA684" s="39"/>
      <c r="CB684" s="39"/>
      <c r="CC684" s="39"/>
      <c r="CD684" s="39"/>
      <c r="CE684" s="39"/>
      <c r="CF684" s="39"/>
      <c r="CG684" s="39"/>
      <c r="CH684" s="39"/>
      <c r="CI684" s="39"/>
      <c r="CJ684" s="39"/>
      <c r="CK684" s="39"/>
      <c r="CL684" s="39"/>
      <c r="CM684" s="39"/>
      <c r="CN684" s="39"/>
      <c r="CO684" s="39"/>
      <c r="CP684" s="39"/>
      <c r="CQ684" s="39"/>
      <c r="CR684" s="39"/>
      <c r="CS684" s="39"/>
      <c r="CT684" s="39"/>
      <c r="CU684" s="39"/>
      <c r="CV684" s="39"/>
      <c r="CW684" s="39"/>
      <c r="CX684" s="39"/>
      <c r="CY684" s="39"/>
      <c r="CZ684" s="39"/>
      <c r="DA684" s="39"/>
      <c r="DB684" s="39"/>
      <c r="DC684" s="39"/>
      <c r="DD684" s="39"/>
      <c r="DE684" s="39"/>
      <c r="DF684" s="39"/>
      <c r="DG684" s="39"/>
      <c r="DH684" s="39"/>
      <c r="DI684" s="39"/>
    </row>
    <row r="685" spans="1:113">
      <c r="A685" s="41"/>
      <c r="C685" s="48"/>
      <c r="D685" s="44"/>
      <c r="E685" s="44"/>
      <c r="F685" s="45"/>
      <c r="G685" s="44"/>
      <c r="H685" s="46"/>
      <c r="I685" s="47"/>
      <c r="J685" s="47"/>
      <c r="K685" s="47"/>
      <c r="L685" s="47"/>
      <c r="M685" s="45"/>
      <c r="N685" s="46"/>
      <c r="O685" s="47"/>
      <c r="P685" s="47"/>
      <c r="Q685" s="47"/>
      <c r="R685" s="47"/>
      <c r="S685" s="45"/>
      <c r="T685" s="46"/>
      <c r="U685" s="48"/>
      <c r="V685" s="44"/>
      <c r="BF685" s="39"/>
      <c r="BG685" s="39"/>
      <c r="BH685" s="39"/>
      <c r="BI685" s="39"/>
      <c r="BJ685" s="39"/>
      <c r="BK685" s="39"/>
      <c r="BL685" s="39"/>
      <c r="BM685" s="39"/>
      <c r="BN685" s="39"/>
      <c r="BO685" s="39"/>
      <c r="BP685" s="39"/>
      <c r="BQ685" s="39"/>
      <c r="BR685" s="39"/>
      <c r="BS685" s="39"/>
      <c r="BT685" s="39"/>
      <c r="BU685" s="39"/>
      <c r="BV685" s="39"/>
      <c r="BW685" s="39"/>
      <c r="BX685" s="39"/>
      <c r="BY685" s="39"/>
      <c r="BZ685" s="39"/>
      <c r="CA685" s="39"/>
      <c r="CB685" s="39"/>
      <c r="CC685" s="39"/>
      <c r="CD685" s="39"/>
      <c r="CE685" s="39"/>
      <c r="CF685" s="39"/>
      <c r="CG685" s="39"/>
      <c r="CH685" s="39"/>
      <c r="CI685" s="39"/>
      <c r="CJ685" s="39"/>
      <c r="CK685" s="39"/>
      <c r="CL685" s="39"/>
      <c r="CM685" s="39"/>
      <c r="CN685" s="39"/>
      <c r="CO685" s="39"/>
      <c r="CP685" s="39"/>
      <c r="CQ685" s="39"/>
      <c r="CR685" s="39"/>
      <c r="CS685" s="39"/>
      <c r="CT685" s="39"/>
      <c r="CU685" s="39"/>
      <c r="CV685" s="39"/>
      <c r="CW685" s="39"/>
      <c r="CX685" s="39"/>
      <c r="CY685" s="39"/>
      <c r="CZ685" s="39"/>
      <c r="DA685" s="39"/>
      <c r="DB685" s="39"/>
      <c r="DC685" s="39"/>
      <c r="DD685" s="39"/>
      <c r="DE685" s="39"/>
      <c r="DF685" s="39"/>
      <c r="DG685" s="39"/>
      <c r="DH685" s="39"/>
      <c r="DI685" s="39"/>
    </row>
    <row r="686" spans="1:113">
      <c r="A686" s="41"/>
      <c r="C686" s="48" t="str">
        <f t="shared" ref="C686:G689" si="166">C626</f>
        <v>NTT</v>
      </c>
      <c r="D686" s="44" t="str">
        <f t="shared" si="166"/>
        <v>JPY 153</v>
      </c>
      <c r="E686" s="44" t="str">
        <f t="shared" si="166"/>
        <v>JPY 240</v>
      </c>
      <c r="F686" s="45">
        <f t="shared" si="166"/>
        <v>0.57273918741808649</v>
      </c>
      <c r="G686" s="44" t="str">
        <f t="shared" si="166"/>
        <v>Buy</v>
      </c>
      <c r="H686" s="46"/>
      <c r="I686" s="47">
        <f>NTT!$D$11/Prices!$C$161</f>
        <v>81.738137643496088</v>
      </c>
      <c r="J686" s="47">
        <f>NTT!$E$11/Prices!$C$161</f>
        <v>80.24714175399393</v>
      </c>
      <c r="K686" s="47">
        <f>NTT!$F$11/Prices!$C$161</f>
        <v>78.756145864491771</v>
      </c>
      <c r="L686" s="47">
        <f>NTT!$G$11/Prices!$C$161</f>
        <v>77.265149974989598</v>
      </c>
      <c r="M686" s="45">
        <f t="shared" ref="M686:M690" si="167">(L686/I686)^(1/3)-1</f>
        <v>-1.8584367894405651E-2</v>
      </c>
      <c r="N686" s="46"/>
      <c r="O686" s="47">
        <f>NTT!$D$12/Prices!$C$161</f>
        <v>38.637362637362642</v>
      </c>
      <c r="P686" s="47">
        <f>NTT!$E$12/Prices!$C$161</f>
        <v>38.318840579710148</v>
      </c>
      <c r="Q686" s="47">
        <f>NTT!$F$12/Prices!$C$161</f>
        <v>38.000318522057654</v>
      </c>
      <c r="R686" s="47">
        <f>NTT!$G$12/Prices!$C$161</f>
        <v>37.681796464405167</v>
      </c>
      <c r="S686" s="45">
        <f t="shared" ref="S686:S690" si="168">(R686/O686)^(1/3)-1</f>
        <v>-8.3127982944555256E-3</v>
      </c>
      <c r="T686" s="46"/>
      <c r="U686" s="48" t="str">
        <f t="shared" ref="U686:V689" si="169">U626</f>
        <v>JPY 153</v>
      </c>
      <c r="V686" s="44" t="str">
        <f t="shared" si="169"/>
        <v>NTT</v>
      </c>
      <c r="BF686" s="39"/>
      <c r="BG686" s="39"/>
      <c r="BH686" s="39"/>
      <c r="BI686" s="39"/>
      <c r="BJ686" s="39"/>
      <c r="BK686" s="39"/>
      <c r="BL686" s="39"/>
      <c r="BM686" s="39"/>
      <c r="BN686" s="39"/>
      <c r="BO686" s="39"/>
      <c r="BP686" s="39"/>
      <c r="BQ686" s="39"/>
      <c r="BR686" s="39"/>
      <c r="BS686" s="39"/>
      <c r="BT686" s="39"/>
      <c r="BU686" s="39"/>
      <c r="BV686" s="39"/>
      <c r="BW686" s="39"/>
      <c r="BX686" s="39"/>
      <c r="BY686" s="39"/>
      <c r="BZ686" s="39"/>
      <c r="CA686" s="39"/>
      <c r="CB686" s="39"/>
      <c r="CC686" s="39"/>
      <c r="CD686" s="39"/>
      <c r="CE686" s="39"/>
      <c r="CF686" s="39"/>
      <c r="CG686" s="39"/>
      <c r="CH686" s="39"/>
      <c r="CI686" s="39"/>
      <c r="CJ686" s="39"/>
      <c r="CK686" s="39"/>
      <c r="CL686" s="39"/>
      <c r="CM686" s="39"/>
      <c r="CN686" s="39"/>
      <c r="CO686" s="39"/>
      <c r="CP686" s="39"/>
      <c r="CQ686" s="39"/>
      <c r="CR686" s="39"/>
      <c r="CS686" s="39"/>
      <c r="CT686" s="39"/>
      <c r="CU686" s="39"/>
      <c r="CV686" s="39"/>
      <c r="CW686" s="39"/>
      <c r="CX686" s="39"/>
      <c r="CY686" s="39"/>
      <c r="CZ686" s="39"/>
      <c r="DA686" s="39"/>
      <c r="DB686" s="39"/>
      <c r="DC686" s="39"/>
      <c r="DD686" s="39"/>
      <c r="DE686" s="39"/>
      <c r="DF686" s="39"/>
      <c r="DG686" s="39"/>
      <c r="DH686" s="39"/>
      <c r="DI686" s="39"/>
    </row>
    <row r="687" spans="1:113">
      <c r="A687" s="41"/>
      <c r="C687" s="48" t="str">
        <f t="shared" si="166"/>
        <v>Spark NZ</v>
      </c>
      <c r="D687" s="44" t="str">
        <f t="shared" si="166"/>
        <v>NZD 4.19</v>
      </c>
      <c r="E687" s="44" t="str">
        <f t="shared" si="166"/>
        <v>NZD 5.00</v>
      </c>
      <c r="F687" s="45">
        <f t="shared" si="166"/>
        <v>0.19331742243436745</v>
      </c>
      <c r="G687" s="44" t="str">
        <f t="shared" si="166"/>
        <v>Neutral</v>
      </c>
      <c r="H687" s="46"/>
      <c r="I687" s="47">
        <f>SPK!D$11/1000*Prices!$C$187</f>
        <v>4.7185526285156882</v>
      </c>
      <c r="J687" s="47">
        <f>SPK!E$11/1000*Prices!$C$187</f>
        <v>4.726042896274258</v>
      </c>
      <c r="K687" s="47">
        <f>SPK!F$11/1000*Prices!$C$187</f>
        <v>4.733853568095328</v>
      </c>
      <c r="L687" s="47">
        <f>SPK!G$11/1000*Prices!$C$187</f>
        <v>4.7419846439788982</v>
      </c>
      <c r="M687" s="45">
        <f t="shared" si="167"/>
        <v>1.6525784273671018E-3</v>
      </c>
      <c r="N687" s="46"/>
      <c r="O687" s="47">
        <f>SPK!D$12/1000*Prices!$C$167</f>
        <v>8.5964539131619322</v>
      </c>
      <c r="P687" s="47">
        <f>SPK!E$12/1000*Prices!$C$167</f>
        <v>8.216342317333428</v>
      </c>
      <c r="Q687" s="47">
        <f>SPK!F$12/1000*Prices!$C$167</f>
        <v>7.8379100254502045</v>
      </c>
      <c r="R687" s="47">
        <f>SPK!G$12/1000*Prices!$C$167</f>
        <v>7.4454886167042993</v>
      </c>
      <c r="S687" s="45">
        <f t="shared" si="168"/>
        <v>-4.6784077331404328E-2</v>
      </c>
      <c r="T687" s="46"/>
      <c r="U687" s="48" t="str">
        <f t="shared" si="169"/>
        <v>NZD 4.19</v>
      </c>
      <c r="V687" s="44" t="str">
        <f t="shared" si="169"/>
        <v>Spark NZ</v>
      </c>
      <c r="BF687" s="39"/>
      <c r="BG687" s="39"/>
      <c r="BH687" s="39"/>
      <c r="BI687" s="39"/>
      <c r="BJ687" s="39"/>
      <c r="BK687" s="39"/>
      <c r="BL687" s="39"/>
      <c r="BM687" s="39"/>
      <c r="BN687" s="39"/>
      <c r="BO687" s="39"/>
      <c r="BP687" s="39"/>
      <c r="BQ687" s="39"/>
      <c r="BR687" s="39"/>
      <c r="BS687" s="39"/>
      <c r="BT687" s="39"/>
      <c r="BU687" s="39"/>
      <c r="BV687" s="39"/>
      <c r="BW687" s="39"/>
      <c r="BX687" s="39"/>
      <c r="BY687" s="39"/>
      <c r="BZ687" s="39"/>
      <c r="CA687" s="39"/>
      <c r="CB687" s="39"/>
      <c r="CC687" s="39"/>
      <c r="CD687" s="39"/>
      <c r="CE687" s="39"/>
      <c r="CF687" s="39"/>
      <c r="CG687" s="39"/>
      <c r="CH687" s="39"/>
      <c r="CI687" s="39"/>
      <c r="CJ687" s="39"/>
      <c r="CK687" s="39"/>
      <c r="CL687" s="39"/>
      <c r="CM687" s="39"/>
      <c r="CN687" s="39"/>
      <c r="CO687" s="39"/>
      <c r="CP687" s="39"/>
      <c r="CQ687" s="39"/>
      <c r="CR687" s="39"/>
      <c r="CS687" s="39"/>
      <c r="CT687" s="39"/>
      <c r="CU687" s="39"/>
      <c r="CV687" s="39"/>
      <c r="CW687" s="39"/>
      <c r="CX687" s="39"/>
      <c r="CY687" s="39"/>
      <c r="CZ687" s="39"/>
      <c r="DA687" s="39"/>
      <c r="DB687" s="39"/>
      <c r="DC687" s="39"/>
      <c r="DD687" s="39"/>
      <c r="DE687" s="39"/>
      <c r="DF687" s="39"/>
      <c r="DG687" s="39"/>
      <c r="DH687" s="39"/>
      <c r="DI687" s="39"/>
    </row>
    <row r="688" spans="1:113">
      <c r="A688" s="41"/>
      <c r="C688" s="48" t="str">
        <f t="shared" si="166"/>
        <v>SingTel</v>
      </c>
      <c r="D688" s="44" t="str">
        <f t="shared" si="166"/>
        <v>SGD 2.42</v>
      </c>
      <c r="E688" s="44" t="str">
        <f t="shared" si="166"/>
        <v>SGD 4.40</v>
      </c>
      <c r="F688" s="45">
        <f t="shared" si="166"/>
        <v>0.81818181818181834</v>
      </c>
      <c r="G688" s="44" t="str">
        <f t="shared" si="166"/>
        <v>Buy</v>
      </c>
      <c r="H688" s="46"/>
      <c r="I688" s="47">
        <f>SINGTEL!D$11/Prices!$C$176/1000</f>
        <v>29.67845012037483</v>
      </c>
      <c r="J688" s="47">
        <f>SINGTEL!E$11/Prices!$C$176/1000</f>
        <v>29.67845012037483</v>
      </c>
      <c r="K688" s="47">
        <f>SINGTEL!F$11/Prices!$C$176/1000</f>
        <v>29.67845012037483</v>
      </c>
      <c r="L688" s="47">
        <f>SINGTEL!G$11/Prices!$C$176/1000</f>
        <v>29.67845012037483</v>
      </c>
      <c r="M688" s="45">
        <f t="shared" si="167"/>
        <v>0</v>
      </c>
      <c r="N688" s="46"/>
      <c r="O688" s="47">
        <f>SINGTEL!D$12/Prices!$C$176/1000</f>
        <v>5.4796968575558829</v>
      </c>
      <c r="P688" s="47">
        <f>SINGTEL!E$12/Prices!$C$176/1000</f>
        <v>5.2979770794452783</v>
      </c>
      <c r="Q688" s="47">
        <f>SINGTEL!F$12/Prices!$C$176/1000</f>
        <v>5.1350903462431887</v>
      </c>
      <c r="R688" s="47">
        <f>SINGTEL!G$12/Prices!$C$176/1000</f>
        <v>5.3106181554867025</v>
      </c>
      <c r="S688" s="45">
        <f t="shared" si="168"/>
        <v>-1.0392797603310355E-2</v>
      </c>
      <c r="T688" s="46"/>
      <c r="U688" s="48" t="str">
        <f t="shared" si="169"/>
        <v>SGD 2.42</v>
      </c>
      <c r="V688" s="44" t="str">
        <f t="shared" si="169"/>
        <v>SingTel</v>
      </c>
      <c r="BF688" s="39"/>
      <c r="BG688" s="39"/>
      <c r="BH688" s="39"/>
      <c r="BI688" s="39"/>
      <c r="BJ688" s="39"/>
      <c r="BK688" s="39"/>
      <c r="BL688" s="39"/>
      <c r="BM688" s="39"/>
      <c r="BN688" s="39"/>
      <c r="BO688" s="39"/>
      <c r="BP688" s="39"/>
      <c r="BQ688" s="39"/>
      <c r="BR688" s="39"/>
      <c r="BS688" s="39"/>
      <c r="BT688" s="39"/>
      <c r="BU688" s="39"/>
      <c r="BV688" s="39"/>
      <c r="BW688" s="39"/>
      <c r="BX688" s="39"/>
      <c r="BY688" s="39"/>
      <c r="BZ688" s="39"/>
      <c r="CA688" s="39"/>
      <c r="CB688" s="39"/>
      <c r="CC688" s="39"/>
      <c r="CD688" s="39"/>
      <c r="CE688" s="39"/>
      <c r="CF688" s="39"/>
      <c r="CG688" s="39"/>
      <c r="CH688" s="39"/>
      <c r="CI688" s="39"/>
      <c r="CJ688" s="39"/>
      <c r="CK688" s="39"/>
      <c r="CL688" s="39"/>
      <c r="CM688" s="39"/>
      <c r="CN688" s="39"/>
      <c r="CO688" s="39"/>
      <c r="CP688" s="39"/>
      <c r="CQ688" s="39"/>
      <c r="CR688" s="39"/>
      <c r="CS688" s="39"/>
      <c r="CT688" s="39"/>
      <c r="CU688" s="39"/>
      <c r="CV688" s="39"/>
      <c r="CW688" s="39"/>
      <c r="CX688" s="39"/>
      <c r="CY688" s="39"/>
      <c r="CZ688" s="39"/>
      <c r="DA688" s="39"/>
      <c r="DB688" s="39"/>
      <c r="DC688" s="39"/>
      <c r="DD688" s="39"/>
      <c r="DE688" s="39"/>
      <c r="DF688" s="39"/>
      <c r="DG688" s="39"/>
      <c r="DH688" s="39"/>
      <c r="DI688" s="39"/>
    </row>
    <row r="689" spans="1:113">
      <c r="A689" s="41"/>
      <c r="C689" s="48" t="str">
        <f t="shared" si="166"/>
        <v xml:space="preserve">Telstra </v>
      </c>
      <c r="D689" s="44" t="str">
        <f t="shared" si="166"/>
        <v>AUD 3.45</v>
      </c>
      <c r="E689" s="44" t="str">
        <f t="shared" si="166"/>
        <v>AUD 3.50</v>
      </c>
      <c r="F689" s="45">
        <f t="shared" si="166"/>
        <v>1.4492753623188248E-2</v>
      </c>
      <c r="G689" s="44" t="str">
        <f t="shared" si="166"/>
        <v>Buy</v>
      </c>
      <c r="H689" s="46"/>
      <c r="I689" s="47">
        <f>TLS!$D$11/1000/Prices!$C$168</f>
        <v>27.202082935673833</v>
      </c>
      <c r="J689" s="47">
        <f>TLS!$E$11/1000/Prices!$C$168</f>
        <v>27.202082935673833</v>
      </c>
      <c r="K689" s="47">
        <f>TLS!$F$11/1000/Prices!$C$168</f>
        <v>27.202082935673833</v>
      </c>
      <c r="L689" s="47">
        <f>TLS!$G$11/1000/Prices!$C$168</f>
        <v>27.202082935673833</v>
      </c>
      <c r="M689" s="45">
        <f t="shared" si="167"/>
        <v>0</v>
      </c>
      <c r="N689" s="46"/>
      <c r="O689" s="47">
        <f>TLS!$D$12/1000/Prices!$C$168</f>
        <v>10.535423881023364</v>
      </c>
      <c r="P689" s="47">
        <f>TLS!$E$12/1000/Prices!$C$168</f>
        <v>9.2613116325007248</v>
      </c>
      <c r="Q689" s="47">
        <f>TLS!$F$12/1000/Prices!$C$168</f>
        <v>8.6337793695245306</v>
      </c>
      <c r="R689" s="47">
        <f>TLS!$G$12/1000/Prices!$C$168</f>
        <v>7.992471426942136</v>
      </c>
      <c r="S689" s="45">
        <f t="shared" si="168"/>
        <v>-8.7968805498939262E-2</v>
      </c>
      <c r="T689" s="46"/>
      <c r="U689" s="48" t="str">
        <f t="shared" si="169"/>
        <v>AUD 3.45</v>
      </c>
      <c r="V689" s="44" t="str">
        <f t="shared" si="169"/>
        <v>Telstra</v>
      </c>
      <c r="BF689" s="39"/>
      <c r="BG689" s="39"/>
      <c r="BH689" s="39"/>
      <c r="BI689" s="39"/>
      <c r="BJ689" s="39"/>
      <c r="BK689" s="39"/>
      <c r="BL689" s="39"/>
      <c r="BM689" s="39"/>
      <c r="BN689" s="39"/>
      <c r="BO689" s="39"/>
      <c r="BP689" s="39"/>
      <c r="BQ689" s="39"/>
      <c r="BR689" s="39"/>
      <c r="BS689" s="39"/>
      <c r="BT689" s="39"/>
      <c r="BU689" s="39"/>
      <c r="BV689" s="39"/>
      <c r="BW689" s="39"/>
      <c r="BX689" s="39"/>
      <c r="BY689" s="39"/>
      <c r="BZ689" s="39"/>
      <c r="CA689" s="39"/>
      <c r="CB689" s="39"/>
      <c r="CC689" s="39"/>
      <c r="CD689" s="39"/>
      <c r="CE689" s="39"/>
      <c r="CF689" s="39"/>
      <c r="CG689" s="39"/>
      <c r="CH689" s="39"/>
      <c r="CI689" s="39"/>
      <c r="CJ689" s="39"/>
      <c r="CK689" s="39"/>
      <c r="CL689" s="39"/>
      <c r="CM689" s="39"/>
      <c r="CN689" s="39"/>
      <c r="CO689" s="39"/>
      <c r="CP689" s="39"/>
      <c r="CQ689" s="39"/>
      <c r="CR689" s="39"/>
      <c r="CS689" s="39"/>
      <c r="CT689" s="39"/>
      <c r="CU689" s="39"/>
      <c r="CV689" s="39"/>
      <c r="CW689" s="39"/>
      <c r="CX689" s="39"/>
      <c r="CY689" s="39"/>
      <c r="CZ689" s="39"/>
      <c r="DA689" s="39"/>
      <c r="DB689" s="39"/>
      <c r="DC689" s="39"/>
      <c r="DD689" s="39"/>
      <c r="DE689" s="39"/>
      <c r="DF689" s="39"/>
      <c r="DG689" s="39"/>
      <c r="DH689" s="39"/>
      <c r="DI689" s="39"/>
    </row>
    <row r="690" spans="1:113">
      <c r="A690" s="41"/>
      <c r="C690" s="51" t="str">
        <f>C630</f>
        <v>Agg. Developed Asia Incumbent</v>
      </c>
      <c r="D690" s="58"/>
      <c r="E690" s="58"/>
      <c r="F690" s="55"/>
      <c r="G690" s="58"/>
      <c r="H690" s="56"/>
      <c r="I690" s="54">
        <f>'DM ASIA INCUMB'!$D$11/1000</f>
        <v>151.22709592757906</v>
      </c>
      <c r="J690" s="54">
        <f>'DM ASIA INCUMB'!$E$11/1000</f>
        <v>149.75611475199597</v>
      </c>
      <c r="K690" s="54">
        <f>'DM ASIA INCUMB'!$F$11/1000</f>
        <v>148.28598972680118</v>
      </c>
      <c r="L690" s="54">
        <f>'DM ASIA INCUMB'!$G$11/1000</f>
        <v>146.81672085199452</v>
      </c>
      <c r="M690" s="55">
        <f t="shared" si="167"/>
        <v>-9.8173723917599487E-3</v>
      </c>
      <c r="N690" s="56"/>
      <c r="O690" s="54">
        <f>'DM ASIA INCUMB'!$D$12/1000</f>
        <v>56.45093907616188</v>
      </c>
      <c r="P690" s="54">
        <f>'DM ASIA INCUMB'!$E$12/1000</f>
        <v>54.5970622173527</v>
      </c>
      <c r="Q690" s="54">
        <f>'DM ASIA INCUMB'!$F$12/1000</f>
        <v>53.408949714531474</v>
      </c>
      <c r="R690" s="54">
        <f>'DM ASIA INCUMB'!$G$12/1000</f>
        <v>52.542549425117585</v>
      </c>
      <c r="S690" s="55">
        <f t="shared" si="168"/>
        <v>-2.3632480387924759E-2</v>
      </c>
      <c r="T690" s="56"/>
      <c r="U690" s="51"/>
      <c r="V690" s="58" t="str">
        <f>V630</f>
        <v xml:space="preserve">Agg. Developed Asia Incumbent </v>
      </c>
      <c r="BF690" s="39"/>
      <c r="BG690" s="39"/>
      <c r="BH690" s="39"/>
      <c r="BI690" s="39"/>
      <c r="BJ690" s="39"/>
      <c r="BK690" s="39"/>
      <c r="BL690" s="39"/>
      <c r="BM690" s="39"/>
      <c r="BN690" s="39"/>
      <c r="BO690" s="39"/>
      <c r="BP690" s="39"/>
      <c r="BQ690" s="39"/>
      <c r="BR690" s="39"/>
      <c r="BS690" s="39"/>
      <c r="BT690" s="39"/>
      <c r="BU690" s="39"/>
      <c r="BV690" s="39"/>
      <c r="BW690" s="39"/>
      <c r="BX690" s="39"/>
      <c r="BY690" s="39"/>
      <c r="BZ690" s="39"/>
      <c r="CA690" s="39"/>
      <c r="CB690" s="39"/>
      <c r="CC690" s="39"/>
      <c r="CD690" s="39"/>
      <c r="CE690" s="39"/>
      <c r="CF690" s="39"/>
      <c r="CG690" s="39"/>
      <c r="CH690" s="39"/>
      <c r="CI690" s="39"/>
      <c r="CJ690" s="39"/>
      <c r="CK690" s="39"/>
      <c r="CL690" s="39"/>
      <c r="CM690" s="39"/>
      <c r="CN690" s="39"/>
      <c r="CO690" s="39"/>
      <c r="CP690" s="39"/>
      <c r="CQ690" s="39"/>
      <c r="CR690" s="39"/>
      <c r="CS690" s="39"/>
      <c r="CT690" s="39"/>
      <c r="CU690" s="39"/>
      <c r="CV690" s="39"/>
      <c r="CW690" s="39"/>
      <c r="CX690" s="39"/>
      <c r="CY690" s="39"/>
      <c r="CZ690" s="39"/>
      <c r="DA690" s="39"/>
      <c r="DB690" s="39"/>
      <c r="DC690" s="39"/>
      <c r="DD690" s="39"/>
      <c r="DE690" s="39"/>
      <c r="DF690" s="39"/>
      <c r="DG690" s="39"/>
      <c r="DH690" s="39"/>
      <c r="DI690" s="39"/>
    </row>
    <row r="691" spans="1:113">
      <c r="A691" s="41"/>
      <c r="C691" s="43"/>
      <c r="D691" s="50"/>
      <c r="E691" s="50"/>
      <c r="F691" s="61"/>
      <c r="G691" s="50"/>
      <c r="H691" s="56"/>
      <c r="I691" s="62"/>
      <c r="J691" s="62"/>
      <c r="K691" s="62"/>
      <c r="L691" s="62"/>
      <c r="M691" s="61"/>
      <c r="N691" s="56"/>
      <c r="O691" s="62"/>
      <c r="P691" s="62"/>
      <c r="Q691" s="62"/>
      <c r="R691" s="62"/>
      <c r="S691" s="61"/>
      <c r="T691" s="56"/>
      <c r="U691" s="43"/>
      <c r="V691" s="50"/>
      <c r="BF691" s="39"/>
      <c r="BG691" s="39"/>
      <c r="BH691" s="39"/>
      <c r="BI691" s="39"/>
      <c r="BJ691" s="39"/>
      <c r="BK691" s="39"/>
      <c r="BL691" s="39"/>
      <c r="BM691" s="39"/>
      <c r="BN691" s="39"/>
      <c r="BO691" s="39"/>
      <c r="BP691" s="39"/>
      <c r="BQ691" s="39"/>
      <c r="BR691" s="39"/>
      <c r="BS691" s="39"/>
      <c r="BT691" s="39"/>
      <c r="BU691" s="39"/>
      <c r="BV691" s="39"/>
      <c r="BW691" s="39"/>
      <c r="BX691" s="39"/>
      <c r="BY691" s="39"/>
      <c r="BZ691" s="39"/>
      <c r="CA691" s="39"/>
      <c r="CB691" s="39"/>
      <c r="CC691" s="39"/>
      <c r="CD691" s="39"/>
      <c r="CE691" s="39"/>
      <c r="CF691" s="39"/>
      <c r="CG691" s="39"/>
      <c r="CH691" s="39"/>
      <c r="CI691" s="39"/>
      <c r="CJ691" s="39"/>
      <c r="CK691" s="39"/>
      <c r="CL691" s="39"/>
      <c r="CM691" s="39"/>
      <c r="CN691" s="39"/>
      <c r="CO691" s="39"/>
      <c r="CP691" s="39"/>
      <c r="CQ691" s="39"/>
      <c r="CR691" s="39"/>
      <c r="CS691" s="39"/>
      <c r="CT691" s="39"/>
      <c r="CU691" s="39"/>
      <c r="CV691" s="39"/>
      <c r="CW691" s="39"/>
      <c r="CX691" s="39"/>
      <c r="CY691" s="39"/>
      <c r="CZ691" s="39"/>
      <c r="DA691" s="39"/>
      <c r="DB691" s="39"/>
      <c r="DC691" s="39"/>
      <c r="DD691" s="39"/>
      <c r="DE691" s="39"/>
      <c r="DF691" s="39"/>
      <c r="DG691" s="39"/>
      <c r="DH691" s="39"/>
      <c r="DI691" s="39"/>
    </row>
    <row r="692" spans="1:113">
      <c r="A692" s="41"/>
      <c r="C692" s="51" t="s">
        <v>865</v>
      </c>
      <c r="D692" s="58"/>
      <c r="E692" s="58"/>
      <c r="F692" s="55"/>
      <c r="G692" s="58"/>
      <c r="H692" s="56"/>
      <c r="I692" s="54">
        <f>'AGG DM INCUMB'!$D$11/1000</f>
        <v>953.94299951028404</v>
      </c>
      <c r="J692" s="54">
        <f>'AGG DM INCUMB'!$E$11/1000</f>
        <v>936.06636130967411</v>
      </c>
      <c r="K692" s="54">
        <f>'AGG DM INCUMB'!$F$11/1000</f>
        <v>915.7781164789302</v>
      </c>
      <c r="L692" s="54">
        <f>'AGG DM INCUMB'!$G$11/1000</f>
        <v>896.91979502527954</v>
      </c>
      <c r="M692" s="55">
        <f>(L692/I692)^(1/3)-1</f>
        <v>-2.0336198414838136E-2</v>
      </c>
      <c r="N692" s="56"/>
      <c r="O692" s="54">
        <f>'AGG DM INCUMB'!$D$12/1000</f>
        <v>607.34504446949506</v>
      </c>
      <c r="P692" s="54">
        <f>'AGG DM INCUMB'!$E$12/1000</f>
        <v>602.2398158484998</v>
      </c>
      <c r="Q692" s="54">
        <f>'AGG DM INCUMB'!$F$12/1000</f>
        <v>588.58417714458346</v>
      </c>
      <c r="R692" s="54">
        <f>'AGG DM INCUMB'!$G$12/1000</f>
        <v>569.15784789457541</v>
      </c>
      <c r="S692" s="55">
        <f>(R692/O692)^(1/3)-1</f>
        <v>-2.1413818709984822E-2</v>
      </c>
      <c r="T692" s="56"/>
      <c r="U692" s="51"/>
      <c r="V692" s="58" t="str">
        <f>C692</f>
        <v>Agg. DM Incumbent total</v>
      </c>
      <c r="BF692" s="39"/>
      <c r="BG692" s="39"/>
      <c r="BH692" s="39"/>
      <c r="BI692" s="39"/>
      <c r="BJ692" s="39"/>
      <c r="BK692" s="39"/>
      <c r="BL692" s="39"/>
      <c r="BM692" s="39"/>
      <c r="BN692" s="39"/>
      <c r="BO692" s="39"/>
      <c r="BP692" s="39"/>
      <c r="BQ692" s="39"/>
      <c r="BR692" s="39"/>
      <c r="BS692" s="39"/>
      <c r="BT692" s="39"/>
      <c r="BU692" s="39"/>
      <c r="BV692" s="39"/>
      <c r="BW692" s="39"/>
      <c r="BX692" s="39"/>
      <c r="BY692" s="39"/>
      <c r="BZ692" s="39"/>
      <c r="CA692" s="39"/>
      <c r="CB692" s="39"/>
      <c r="CC692" s="39"/>
      <c r="CD692" s="39"/>
      <c r="CE692" s="39"/>
      <c r="CF692" s="39"/>
      <c r="CG692" s="39"/>
      <c r="CH692" s="39"/>
      <c r="CI692" s="39"/>
      <c r="CJ692" s="39"/>
      <c r="CK692" s="39"/>
      <c r="CL692" s="39"/>
      <c r="CM692" s="39"/>
      <c r="CN692" s="39"/>
      <c r="CO692" s="39"/>
      <c r="CP692" s="39"/>
      <c r="CQ692" s="39"/>
      <c r="CR692" s="39"/>
      <c r="CS692" s="39"/>
      <c r="CT692" s="39"/>
      <c r="CU692" s="39"/>
      <c r="CV692" s="39"/>
      <c r="CW692" s="39"/>
      <c r="CX692" s="39"/>
      <c r="CY692" s="39"/>
      <c r="CZ692" s="39"/>
      <c r="DA692" s="39"/>
      <c r="DB692" s="39"/>
      <c r="DC692" s="39"/>
      <c r="DD692" s="39"/>
      <c r="DE692" s="39"/>
      <c r="DF692" s="39"/>
      <c r="DG692" s="39"/>
      <c r="DH692" s="39"/>
      <c r="DI692" s="39"/>
    </row>
    <row r="693" spans="1:113">
      <c r="A693" s="41"/>
      <c r="C693" s="41"/>
      <c r="D693" s="44"/>
      <c r="E693" s="44"/>
      <c r="F693" s="45"/>
      <c r="G693" s="44"/>
      <c r="H693" s="46"/>
      <c r="I693" s="47"/>
      <c r="J693" s="47"/>
      <c r="K693" s="47"/>
      <c r="L693" s="47"/>
      <c r="M693" s="45"/>
      <c r="N693" s="46"/>
      <c r="O693" s="47"/>
      <c r="P693" s="47"/>
      <c r="Q693" s="47"/>
      <c r="R693" s="47"/>
      <c r="S693" s="45"/>
      <c r="T693" s="46"/>
      <c r="U693" s="48"/>
      <c r="V693" s="50"/>
      <c r="BF693" s="39"/>
      <c r="BG693" s="39"/>
      <c r="BH693" s="39"/>
      <c r="BI693" s="39"/>
      <c r="BJ693" s="39"/>
      <c r="BK693" s="39"/>
      <c r="BL693" s="39"/>
      <c r="BM693" s="39"/>
      <c r="BN693" s="39"/>
      <c r="BO693" s="39"/>
      <c r="BP693" s="39"/>
      <c r="BQ693" s="39"/>
      <c r="BR693" s="39"/>
      <c r="BS693" s="39"/>
      <c r="BT693" s="39"/>
      <c r="BU693" s="39"/>
      <c r="BV693" s="39"/>
      <c r="BW693" s="39"/>
      <c r="BX693" s="39"/>
      <c r="BY693" s="39"/>
      <c r="BZ693" s="39"/>
      <c r="CA693" s="39"/>
      <c r="CB693" s="39"/>
      <c r="CC693" s="39"/>
      <c r="CD693" s="39"/>
      <c r="CE693" s="39"/>
      <c r="CF693" s="39"/>
      <c r="CG693" s="39"/>
      <c r="CH693" s="39"/>
      <c r="CI693" s="39"/>
      <c r="CJ693" s="39"/>
      <c r="CK693" s="39"/>
      <c r="CL693" s="39"/>
      <c r="CM693" s="39"/>
      <c r="CN693" s="39"/>
      <c r="CO693" s="39"/>
      <c r="CP693" s="39"/>
      <c r="CQ693" s="39"/>
      <c r="CR693" s="39"/>
      <c r="CS693" s="39"/>
      <c r="CT693" s="39"/>
      <c r="CU693" s="39"/>
      <c r="CV693" s="39"/>
      <c r="CW693" s="39"/>
      <c r="CX693" s="39"/>
      <c r="CY693" s="39"/>
      <c r="CZ693" s="39"/>
      <c r="DA693" s="39"/>
      <c r="DB693" s="39"/>
      <c r="DC693" s="39"/>
      <c r="DD693" s="39"/>
      <c r="DE693" s="39"/>
      <c r="DF693" s="39"/>
      <c r="DG693" s="39"/>
      <c r="DH693" s="39"/>
      <c r="DI693" s="39"/>
    </row>
    <row r="694" spans="1:113">
      <c r="A694" s="41" t="s">
        <v>1385</v>
      </c>
      <c r="C694" s="48" t="str">
        <f t="shared" ref="C694:G701" si="170">C634</f>
        <v>1&amp;1</v>
      </c>
      <c r="D694" s="44" t="str">
        <f t="shared" si="170"/>
        <v>EUR 17.5</v>
      </c>
      <c r="E694" s="44" t="str">
        <f t="shared" si="170"/>
        <v>EUR 28.0</v>
      </c>
      <c r="F694" s="45">
        <f t="shared" si="170"/>
        <v>0.60000000000000009</v>
      </c>
      <c r="G694" s="44" t="str">
        <f t="shared" si="170"/>
        <v>Buy</v>
      </c>
      <c r="H694" s="46"/>
      <c r="I694" s="47">
        <f>DRI!$D$11/1000</f>
        <v>3.0852438574999996</v>
      </c>
      <c r="J694" s="47">
        <f>DRI!$E$11/1000</f>
        <v>3.0852438574999996</v>
      </c>
      <c r="K694" s="47">
        <f>DRI!$F$11/1000</f>
        <v>3.0852438574999996</v>
      </c>
      <c r="L694" s="47">
        <f>DRI!$G$11/1000</f>
        <v>3.0852438574999996</v>
      </c>
      <c r="M694" s="45">
        <f>(L694/I694)^(1/3)-1</f>
        <v>0</v>
      </c>
      <c r="N694" s="46"/>
      <c r="O694" s="47">
        <f>DRI!$D$12/1000</f>
        <v>-0.2208979999999999</v>
      </c>
      <c r="P694" s="47">
        <f>DRI!$E$12/1000</f>
        <v>2.363376845112063E-2</v>
      </c>
      <c r="Q694" s="47">
        <f>DRI!$F$12/1000</f>
        <v>0.64717549209542913</v>
      </c>
      <c r="R694" s="47">
        <f>DRI!$G$12/1000</f>
        <v>0.61776406661734351</v>
      </c>
      <c r="S694" s="45">
        <f>(R694/O694)^(1/3)-1</f>
        <v>-2.4088895669424391</v>
      </c>
      <c r="T694" s="46"/>
      <c r="U694" s="48" t="str">
        <f t="shared" ref="U694:V700" si="171">U634</f>
        <v>EUR 17.5</v>
      </c>
      <c r="V694" s="44" t="str">
        <f t="shared" si="171"/>
        <v>1&amp;1</v>
      </c>
      <c r="BF694" s="39"/>
      <c r="BG694" s="39"/>
      <c r="BH694" s="39"/>
      <c r="BI694" s="39"/>
      <c r="BJ694" s="39"/>
      <c r="BK694" s="39"/>
      <c r="BL694" s="39"/>
      <c r="BM694" s="39"/>
      <c r="BN694" s="39"/>
      <c r="BO694" s="39"/>
      <c r="BP694" s="39"/>
      <c r="BQ694" s="39"/>
      <c r="BR694" s="39"/>
      <c r="BS694" s="39"/>
      <c r="BT694" s="39"/>
      <c r="BU694" s="39"/>
      <c r="BV694" s="39"/>
      <c r="BW694" s="39"/>
      <c r="BX694" s="39"/>
      <c r="BY694" s="39"/>
      <c r="BZ694" s="39"/>
      <c r="CA694" s="39"/>
      <c r="CB694" s="39"/>
      <c r="CC694" s="39"/>
      <c r="CD694" s="39"/>
      <c r="CE694" s="39"/>
      <c r="CF694" s="39"/>
      <c r="CG694" s="39"/>
      <c r="CH694" s="39"/>
      <c r="CI694" s="39"/>
      <c r="CJ694" s="39"/>
      <c r="CK694" s="39"/>
      <c r="CL694" s="39"/>
      <c r="CM694" s="39"/>
      <c r="CN694" s="39"/>
      <c r="CO694" s="39"/>
      <c r="CP694" s="39"/>
      <c r="CQ694" s="39"/>
      <c r="CR694" s="39"/>
      <c r="CS694" s="39"/>
      <c r="CT694" s="39"/>
      <c r="CU694" s="39"/>
      <c r="CV694" s="39"/>
      <c r="CW694" s="39"/>
      <c r="CX694" s="39"/>
      <c r="CY694" s="39"/>
      <c r="CZ694" s="39"/>
      <c r="DA694" s="39"/>
      <c r="DB694" s="39"/>
      <c r="DC694" s="39"/>
      <c r="DD694" s="39"/>
      <c r="DE694" s="39"/>
      <c r="DF694" s="39"/>
      <c r="DG694" s="39"/>
      <c r="DH694" s="39"/>
      <c r="DI694" s="39"/>
    </row>
    <row r="695" spans="1:113">
      <c r="C695" s="48" t="str">
        <f t="shared" si="170"/>
        <v>Elisa</v>
      </c>
      <c r="D695" s="44" t="str">
        <f t="shared" si="170"/>
        <v>EUR 41.6</v>
      </c>
      <c r="E695" s="44" t="str">
        <f t="shared" si="170"/>
        <v>EUR 54.0</v>
      </c>
      <c r="F695" s="45">
        <f t="shared" si="170"/>
        <v>0.29745314752522845</v>
      </c>
      <c r="G695" s="44" t="str">
        <f t="shared" si="170"/>
        <v>Neutral</v>
      </c>
      <c r="H695" s="46"/>
      <c r="I695" s="47">
        <f>ELISA!$D$11/1000</f>
        <v>6.6619469199999992</v>
      </c>
      <c r="J695" s="47">
        <f>ELISA!$E$11/1000</f>
        <v>6.6619469199999992</v>
      </c>
      <c r="K695" s="47">
        <f>ELISA!$F$11/1000</f>
        <v>6.6619469199999992</v>
      </c>
      <c r="L695" s="47">
        <f>ELISA!$G$11/1000</f>
        <v>6.6619469199999992</v>
      </c>
      <c r="M695" s="45">
        <f t="shared" ref="M695:M702" si="172">(L695/I695)^(1/3)-1</f>
        <v>0</v>
      </c>
      <c r="N695" s="46"/>
      <c r="O695" s="47">
        <f>ELISA!$D$12/1000</f>
        <v>1.2858112828063832</v>
      </c>
      <c r="P695" s="47">
        <f>ELISA!$E$12/1000</f>
        <v>1.2786347180832465</v>
      </c>
      <c r="Q695" s="47">
        <f>ELISA!$F$12/1000</f>
        <v>1.2507170332562982</v>
      </c>
      <c r="R695" s="47">
        <f>ELISA!$G$12/1000</f>
        <v>1.2217954956566062</v>
      </c>
      <c r="S695" s="45">
        <f t="shared" ref="S695:S702" si="173">(R695/O695)^(1/3)-1</f>
        <v>-1.6878721949509345E-2</v>
      </c>
      <c r="T695" s="46"/>
      <c r="U695" s="48" t="str">
        <f t="shared" si="171"/>
        <v>EUR 41.6</v>
      </c>
      <c r="V695" s="44" t="str">
        <f t="shared" si="171"/>
        <v>Elisa</v>
      </c>
      <c r="BF695" s="39"/>
      <c r="BG695" s="39"/>
      <c r="BH695" s="39"/>
      <c r="BI695" s="39"/>
      <c r="BJ695" s="39"/>
      <c r="BK695" s="39"/>
      <c r="BL695" s="39"/>
      <c r="BM695" s="39"/>
      <c r="BN695" s="39"/>
      <c r="BO695" s="39"/>
      <c r="BP695" s="39"/>
      <c r="BQ695" s="39"/>
      <c r="BR695" s="39"/>
      <c r="BS695" s="39"/>
      <c r="BT695" s="39"/>
      <c r="BU695" s="39"/>
      <c r="BV695" s="39"/>
      <c r="BW695" s="39"/>
      <c r="BX695" s="39"/>
      <c r="BY695" s="39"/>
      <c r="BZ695" s="39"/>
      <c r="CA695" s="39"/>
      <c r="CB695" s="39"/>
      <c r="CC695" s="39"/>
      <c r="CD695" s="39"/>
      <c r="CE695" s="39"/>
      <c r="CF695" s="39"/>
      <c r="CG695" s="39"/>
      <c r="CH695" s="39"/>
      <c r="CI695" s="39"/>
      <c r="CJ695" s="39"/>
      <c r="CK695" s="39"/>
      <c r="CL695" s="39"/>
      <c r="CM695" s="39"/>
      <c r="CN695" s="39"/>
      <c r="CO695" s="39"/>
      <c r="CP695" s="39"/>
      <c r="CQ695" s="39"/>
      <c r="CR695" s="39"/>
      <c r="CS695" s="39"/>
      <c r="CT695" s="39"/>
      <c r="CU695" s="39"/>
      <c r="CV695" s="39"/>
      <c r="CW695" s="39"/>
      <c r="CX695" s="39"/>
      <c r="CY695" s="39"/>
      <c r="CZ695" s="39"/>
      <c r="DA695" s="39"/>
      <c r="DB695" s="39"/>
      <c r="DC695" s="39"/>
      <c r="DD695" s="39"/>
      <c r="DE695" s="39"/>
      <c r="DF695" s="39"/>
      <c r="DG695" s="39"/>
      <c r="DH695" s="39"/>
      <c r="DI695" s="39"/>
    </row>
    <row r="696" spans="1:113">
      <c r="A696" s="41"/>
      <c r="C696" s="48" t="str">
        <f t="shared" si="170"/>
        <v>Liberty Global (prop.)</v>
      </c>
      <c r="D696" s="44" t="str">
        <f t="shared" si="170"/>
        <v>USD 16.2</v>
      </c>
      <c r="E696" s="44" t="str">
        <f t="shared" si="170"/>
        <v>USD 24.0</v>
      </c>
      <c r="F696" s="45">
        <f t="shared" si="170"/>
        <v>0.47783251231527113</v>
      </c>
      <c r="G696" s="44" t="str">
        <f t="shared" si="170"/>
        <v>Buy</v>
      </c>
      <c r="H696" s="46"/>
      <c r="I696" s="47">
        <f>LBTY!D$11/1000</f>
        <v>6.326638299999999</v>
      </c>
      <c r="J696" s="47">
        <f>LBTY!E$11/1000</f>
        <v>5.7460794508339808</v>
      </c>
      <c r="K696" s="47">
        <f>LBTY!F$11/1000</f>
        <v>5.2235764865845633</v>
      </c>
      <c r="L696" s="47">
        <f>LBTY!G$11/1000</f>
        <v>4.7533238187600872</v>
      </c>
      <c r="M696" s="45">
        <f>(L696/I696)^(1/3)-1</f>
        <v>-9.0907380838078478E-2</v>
      </c>
      <c r="N696" s="46"/>
      <c r="O696" s="47">
        <f>LBTY!D$12/1000/Prices!$C$155</f>
        <v>10.647243223308132</v>
      </c>
      <c r="P696" s="47">
        <f>LBTY!E$12/1000/Prices!$C$155</f>
        <v>10.171706189122277</v>
      </c>
      <c r="Q696" s="47">
        <f>LBTY!F$12/1000/Prices!$C$155</f>
        <v>10.302737431657272</v>
      </c>
      <c r="R696" s="47">
        <f>LBTY!G$12/1000/Prices!$C$155</f>
        <v>10.239946383137807</v>
      </c>
      <c r="S696" s="45">
        <f>(R696/O696)^(1/3)-1</f>
        <v>-1.2917386009357434E-2</v>
      </c>
      <c r="T696" s="46"/>
      <c r="U696" s="48" t="str">
        <f t="shared" si="171"/>
        <v>USD 16.2</v>
      </c>
      <c r="V696" s="44" t="str">
        <f t="shared" si="171"/>
        <v>Liberty Global</v>
      </c>
      <c r="BF696" s="39"/>
      <c r="BG696" s="39"/>
      <c r="BH696" s="39"/>
      <c r="BI696" s="39"/>
      <c r="BJ696" s="39"/>
      <c r="BK696" s="39"/>
      <c r="BL696" s="39"/>
      <c r="BM696" s="39"/>
      <c r="BN696" s="39"/>
      <c r="BO696" s="39"/>
      <c r="BP696" s="39"/>
      <c r="BQ696" s="39"/>
      <c r="BR696" s="39"/>
      <c r="BS696" s="39"/>
      <c r="BT696" s="39"/>
      <c r="BU696" s="39"/>
      <c r="BV696" s="39"/>
      <c r="BW696" s="39"/>
      <c r="BX696" s="39"/>
      <c r="BY696" s="39"/>
      <c r="BZ696" s="39"/>
      <c r="CA696" s="39"/>
      <c r="CB696" s="39"/>
      <c r="CC696" s="39"/>
      <c r="CD696" s="39"/>
      <c r="CE696" s="39"/>
      <c r="CF696" s="39"/>
      <c r="CG696" s="39"/>
      <c r="CH696" s="39"/>
      <c r="CI696" s="39"/>
      <c r="CJ696" s="39"/>
      <c r="CK696" s="39"/>
      <c r="CL696" s="39"/>
      <c r="CM696" s="39"/>
      <c r="CN696" s="39"/>
      <c r="CO696" s="39"/>
      <c r="CP696" s="39"/>
      <c r="CQ696" s="39"/>
      <c r="CR696" s="39"/>
      <c r="CS696" s="39"/>
      <c r="CT696" s="39"/>
      <c r="CU696" s="39"/>
      <c r="CV696" s="39"/>
      <c r="CW696" s="39"/>
      <c r="CX696" s="39"/>
      <c r="CY696" s="39"/>
      <c r="CZ696" s="39"/>
      <c r="DA696" s="39"/>
      <c r="DB696" s="39"/>
      <c r="DC696" s="39"/>
      <c r="DD696" s="39"/>
      <c r="DE696" s="39"/>
      <c r="DF696" s="39"/>
      <c r="DG696" s="39"/>
      <c r="DH696" s="39"/>
      <c r="DI696" s="39"/>
    </row>
    <row r="697" spans="1:113">
      <c r="A697" s="41"/>
      <c r="C697" s="48" t="str">
        <f t="shared" si="170"/>
        <v>NOS</v>
      </c>
      <c r="D697" s="44" t="str">
        <f t="shared" si="170"/>
        <v>EUR 3.35</v>
      </c>
      <c r="E697" s="44" t="str">
        <f t="shared" si="170"/>
        <v>EUR 4.00</v>
      </c>
      <c r="F697" s="45">
        <f t="shared" si="170"/>
        <v>0.19581464872944676</v>
      </c>
      <c r="G697" s="44" t="str">
        <f t="shared" si="170"/>
        <v>Neutral</v>
      </c>
      <c r="H697" s="46"/>
      <c r="I697" s="47">
        <f>NOS!D$11/1000</f>
        <v>1.71653070999</v>
      </c>
      <c r="J697" s="47">
        <f>NOS!$E$11/1000</f>
        <v>1.71653070999</v>
      </c>
      <c r="K697" s="47">
        <f>NOS!$F$11/1000</f>
        <v>1.71653070999</v>
      </c>
      <c r="L697" s="47">
        <f>NOS!$G$11/1000</f>
        <v>1.71653070999</v>
      </c>
      <c r="M697" s="45">
        <f>(L697/I697)^(1/3)-1</f>
        <v>0</v>
      </c>
      <c r="N697" s="46"/>
      <c r="O697" s="47">
        <f>NOS!$D$12/1000</f>
        <v>0.97664092278832004</v>
      </c>
      <c r="P697" s="47">
        <f>NOS!$E$12/1000</f>
        <v>0.83333035231127128</v>
      </c>
      <c r="Q697" s="47">
        <f>NOS!$F$12/1000</f>
        <v>0.74884073429773323</v>
      </c>
      <c r="R697" s="47">
        <f>NOS!$G$12/1000</f>
        <v>0.62976935277773216</v>
      </c>
      <c r="S697" s="45">
        <f>(R697/O697)^(1/3)-1</f>
        <v>-0.13606274655418171</v>
      </c>
      <c r="T697" s="46"/>
      <c r="U697" s="48" t="str">
        <f t="shared" si="171"/>
        <v>EUR 3.35</v>
      </c>
      <c r="V697" s="44" t="str">
        <f t="shared" si="171"/>
        <v>NOS</v>
      </c>
      <c r="BF697" s="39"/>
      <c r="BG697" s="39"/>
      <c r="BH697" s="39"/>
      <c r="BI697" s="39"/>
      <c r="BJ697" s="39"/>
      <c r="BK697" s="39"/>
      <c r="BL697" s="39"/>
      <c r="BM697" s="39"/>
      <c r="BN697" s="39"/>
      <c r="BO697" s="39"/>
      <c r="BP697" s="39"/>
      <c r="BQ697" s="39"/>
      <c r="BR697" s="39"/>
      <c r="BS697" s="39"/>
      <c r="BT697" s="39"/>
      <c r="BU697" s="39"/>
      <c r="BV697" s="39"/>
      <c r="BW697" s="39"/>
      <c r="BX697" s="39"/>
      <c r="BY697" s="39"/>
      <c r="BZ697" s="39"/>
      <c r="CA697" s="39"/>
      <c r="CB697" s="39"/>
      <c r="CC697" s="39"/>
      <c r="CD697" s="39"/>
      <c r="CE697" s="39"/>
      <c r="CF697" s="39"/>
      <c r="CG697" s="39"/>
      <c r="CH697" s="39"/>
      <c r="CI697" s="39"/>
      <c r="CJ697" s="39"/>
      <c r="CK697" s="39"/>
      <c r="CL697" s="39"/>
      <c r="CM697" s="39"/>
      <c r="CN697" s="39"/>
      <c r="CO697" s="39"/>
      <c r="CP697" s="39"/>
      <c r="CQ697" s="39"/>
      <c r="CR697" s="39"/>
      <c r="CS697" s="39"/>
      <c r="CT697" s="39"/>
      <c r="CU697" s="39"/>
      <c r="CV697" s="39"/>
      <c r="CW697" s="39"/>
      <c r="CX697" s="39"/>
      <c r="CY697" s="39"/>
      <c r="CZ697" s="39"/>
      <c r="DA697" s="39"/>
      <c r="DB697" s="39"/>
      <c r="DC697" s="39"/>
      <c r="DD697" s="39"/>
      <c r="DE697" s="39"/>
      <c r="DF697" s="39"/>
      <c r="DG697" s="39"/>
      <c r="DH697" s="39"/>
      <c r="DI697" s="39"/>
    </row>
    <row r="698" spans="1:113">
      <c r="C698" s="48" t="str">
        <f t="shared" si="170"/>
        <v>Orange Belgium</v>
      </c>
      <c r="D698" s="44" t="str">
        <f t="shared" si="170"/>
        <v>EUR 14.9</v>
      </c>
      <c r="E698" s="44" t="str">
        <f t="shared" si="170"/>
        <v>EUR 13.0</v>
      </c>
      <c r="F698" s="45">
        <f t="shared" si="170"/>
        <v>-0.12868632707774796</v>
      </c>
      <c r="G698" s="44" t="str">
        <f t="shared" si="170"/>
        <v>Neutral</v>
      </c>
      <c r="H698" s="46"/>
      <c r="I698" s="47">
        <f>OBEL!$D$11/1000</f>
        <v>0.89541505688000012</v>
      </c>
      <c r="J698" s="47">
        <f>OBEL!$E$11/1000</f>
        <v>0.89541505688000012</v>
      </c>
      <c r="K698" s="47">
        <f>OBEL!$F$11/1000</f>
        <v>0.89541505688000012</v>
      </c>
      <c r="L698" s="47">
        <f>OBEL!$G$11/1000</f>
        <v>0.89541505688000012</v>
      </c>
      <c r="M698" s="45">
        <f t="shared" si="172"/>
        <v>0</v>
      </c>
      <c r="N698" s="46"/>
      <c r="O698" s="47">
        <f>OBEL!$D$12/1000</f>
        <v>1.4860973209409911</v>
      </c>
      <c r="P698" s="47">
        <f>OBEL!$E$12/1000</f>
        <v>1.3814202223512944</v>
      </c>
      <c r="Q698" s="47">
        <f>OBEL!$F$12/1000</f>
        <v>1.2850622207905253</v>
      </c>
      <c r="R698" s="47">
        <f>OBEL!$G$12/1000</f>
        <v>1.1795598037392676</v>
      </c>
      <c r="S698" s="45">
        <f t="shared" si="173"/>
        <v>-7.4113885387382505E-2</v>
      </c>
      <c r="T698" s="46"/>
      <c r="U698" s="48" t="str">
        <f t="shared" si="171"/>
        <v>EUR 14.9</v>
      </c>
      <c r="V698" s="44" t="str">
        <f t="shared" si="171"/>
        <v>Mobistar</v>
      </c>
      <c r="BF698" s="39"/>
      <c r="BG698" s="39"/>
      <c r="BH698" s="39"/>
      <c r="BI698" s="39"/>
      <c r="BJ698" s="39"/>
      <c r="BK698" s="39"/>
      <c r="BL698" s="39"/>
      <c r="BM698" s="39"/>
      <c r="BN698" s="39"/>
      <c r="BO698" s="39"/>
      <c r="BP698" s="39"/>
      <c r="BQ698" s="39"/>
      <c r="BR698" s="39"/>
      <c r="BS698" s="39"/>
      <c r="BT698" s="39"/>
      <c r="BU698" s="39"/>
      <c r="BV698" s="39"/>
      <c r="BW698" s="39"/>
      <c r="BX698" s="39"/>
      <c r="BY698" s="39"/>
      <c r="BZ698" s="39"/>
      <c r="CA698" s="39"/>
      <c r="CB698" s="39"/>
      <c r="CC698" s="39"/>
      <c r="CD698" s="39"/>
      <c r="CE698" s="39"/>
      <c r="CF698" s="39"/>
      <c r="CG698" s="39"/>
      <c r="CH698" s="39"/>
      <c r="CI698" s="39"/>
      <c r="CJ698" s="39"/>
      <c r="CK698" s="39"/>
      <c r="CL698" s="39"/>
      <c r="CM698" s="39"/>
      <c r="CN698" s="39"/>
      <c r="CO698" s="39"/>
      <c r="CP698" s="39"/>
      <c r="CQ698" s="39"/>
      <c r="CR698" s="39"/>
      <c r="CS698" s="39"/>
      <c r="CT698" s="39"/>
      <c r="CU698" s="39"/>
      <c r="CV698" s="39"/>
      <c r="CW698" s="39"/>
      <c r="CX698" s="39"/>
      <c r="CY698" s="39"/>
      <c r="CZ698" s="39"/>
      <c r="DA698" s="39"/>
      <c r="DB698" s="39"/>
      <c r="DC698" s="39"/>
      <c r="DD698" s="39"/>
      <c r="DE698" s="39"/>
      <c r="DF698" s="39"/>
      <c r="DG698" s="39"/>
      <c r="DH698" s="39"/>
      <c r="DI698" s="39"/>
    </row>
    <row r="699" spans="1:113">
      <c r="C699" s="48" t="str">
        <f t="shared" si="170"/>
        <v>Tele2</v>
      </c>
      <c r="D699" s="44" t="str">
        <f t="shared" si="170"/>
        <v>SEK 101.1</v>
      </c>
      <c r="E699" s="44" t="str">
        <f t="shared" si="170"/>
        <v>SEK 110.0</v>
      </c>
      <c r="F699" s="45">
        <f t="shared" si="170"/>
        <v>8.8570014844136624E-2</v>
      </c>
      <c r="G699" s="44" t="str">
        <f t="shared" si="170"/>
        <v>Neutral</v>
      </c>
      <c r="H699" s="46"/>
      <c r="I699" s="47">
        <f>TELE2!D$11/1000/Prices!$F$158</f>
        <v>6.2126392990318093</v>
      </c>
      <c r="J699" s="47">
        <f>TELE2!E$11/1000/Prices!$F$158</f>
        <v>6.2126392990318093</v>
      </c>
      <c r="K699" s="47">
        <f>TELE2!F$11/1000/Prices!$F$158</f>
        <v>6.2126392990318093</v>
      </c>
      <c r="L699" s="47">
        <f>TELE2!G$11/1000/Prices!$F$158</f>
        <v>6.2126392990318093</v>
      </c>
      <c r="M699" s="45">
        <f t="shared" si="172"/>
        <v>0</v>
      </c>
      <c r="N699" s="46"/>
      <c r="O699" s="47">
        <f>TELE2!D$12/1000/Prices!$F$158</f>
        <v>2.2917331513765027</v>
      </c>
      <c r="P699" s="47">
        <f>TELE2!E$12/1000/Prices!$F$158</f>
        <v>2.3693555308477952</v>
      </c>
      <c r="Q699" s="47">
        <f>TELE2!F$12/1000/Prices!$F$158</f>
        <v>2.4509171613707323</v>
      </c>
      <c r="R699" s="47">
        <f>TELE2!G$12/1000/Prices!$F$158</f>
        <v>2.5572800754157865</v>
      </c>
      <c r="S699" s="45">
        <f t="shared" si="173"/>
        <v>3.7221274264809701E-2</v>
      </c>
      <c r="T699" s="46"/>
      <c r="U699" s="48" t="str">
        <f t="shared" si="171"/>
        <v>SEK 101.1</v>
      </c>
      <c r="V699" s="44" t="str">
        <f t="shared" si="171"/>
        <v>Tele2</v>
      </c>
      <c r="BF699" s="39"/>
      <c r="BG699" s="39"/>
      <c r="BH699" s="39"/>
      <c r="BI699" s="39"/>
      <c r="BJ699" s="39"/>
      <c r="BK699" s="39"/>
      <c r="BL699" s="39"/>
      <c r="BM699" s="39"/>
      <c r="BN699" s="39"/>
      <c r="BO699" s="39"/>
      <c r="BP699" s="39"/>
      <c r="BQ699" s="39"/>
      <c r="BR699" s="39"/>
      <c r="BS699" s="39"/>
      <c r="BT699" s="39"/>
      <c r="BU699" s="39"/>
      <c r="BV699" s="39"/>
      <c r="BW699" s="39"/>
      <c r="BX699" s="39"/>
      <c r="BY699" s="39"/>
      <c r="BZ699" s="39"/>
      <c r="CA699" s="39"/>
      <c r="CB699" s="39"/>
      <c r="CC699" s="39"/>
      <c r="CD699" s="39"/>
      <c r="CE699" s="39"/>
      <c r="CF699" s="39"/>
      <c r="CG699" s="39"/>
      <c r="CH699" s="39"/>
      <c r="CI699" s="39"/>
      <c r="CJ699" s="39"/>
      <c r="CK699" s="39"/>
      <c r="CL699" s="39"/>
      <c r="CM699" s="39"/>
      <c r="CN699" s="39"/>
      <c r="CO699" s="39"/>
      <c r="CP699" s="39"/>
      <c r="CQ699" s="39"/>
      <c r="CR699" s="39"/>
      <c r="CS699" s="39"/>
      <c r="CT699" s="39"/>
      <c r="CU699" s="39"/>
      <c r="CV699" s="39"/>
      <c r="CW699" s="39"/>
      <c r="CX699" s="39"/>
      <c r="CY699" s="39"/>
      <c r="CZ699" s="39"/>
      <c r="DA699" s="39"/>
      <c r="DB699" s="39"/>
      <c r="DC699" s="39"/>
      <c r="DD699" s="39"/>
      <c r="DE699" s="39"/>
      <c r="DF699" s="39"/>
      <c r="DG699" s="39"/>
      <c r="DH699" s="39"/>
      <c r="DI699" s="39"/>
    </row>
    <row r="700" spans="1:113">
      <c r="A700" s="41"/>
      <c r="C700" s="48" t="str">
        <f t="shared" si="170"/>
        <v>United Internet</v>
      </c>
      <c r="D700" s="44" t="str">
        <f t="shared" si="170"/>
        <v>EUR 22.1</v>
      </c>
      <c r="E700" s="44" t="str">
        <f t="shared" si="170"/>
        <v>EUR 30.0</v>
      </c>
      <c r="F700" s="45">
        <f t="shared" si="170"/>
        <v>0.35869565217391308</v>
      </c>
      <c r="G700" s="44" t="str">
        <f t="shared" si="170"/>
        <v>Buy</v>
      </c>
      <c r="H700" s="46"/>
      <c r="I700" s="47">
        <f>UTDI!$D$11/1000</f>
        <v>3.8157837935999996</v>
      </c>
      <c r="J700" s="47">
        <f>UTDI!$E$11/1000</f>
        <v>3.8157837935999996</v>
      </c>
      <c r="K700" s="47">
        <f>UTDI!$F$11/1000</f>
        <v>3.8157837935999996</v>
      </c>
      <c r="L700" s="47">
        <f>UTDI!$G$11/1000</f>
        <v>3.8157837935999996</v>
      </c>
      <c r="M700" s="45">
        <f>(L700/I700)^(1/3)-1</f>
        <v>0</v>
      </c>
      <c r="N700" s="46"/>
      <c r="O700" s="47">
        <f>UTDI!$D$12/1000</f>
        <v>2.436572</v>
      </c>
      <c r="P700" s="47">
        <f>UTDI!$E$12/1000</f>
        <v>2.8238443037654095</v>
      </c>
      <c r="Q700" s="47">
        <f>UTDI!$F$12/1000</f>
        <v>3.54822027764952</v>
      </c>
      <c r="R700" s="47">
        <f>UTDI!$G$12/1000</f>
        <v>3.4508925914496023</v>
      </c>
      <c r="S700" s="45">
        <f>(R700/O700)^(1/3)-1</f>
        <v>0.12301113984884671</v>
      </c>
      <c r="T700" s="46"/>
      <c r="U700" s="48" t="str">
        <f t="shared" si="171"/>
        <v>EUR 22.1</v>
      </c>
      <c r="V700" s="44" t="str">
        <f t="shared" si="171"/>
        <v>United Internet</v>
      </c>
      <c r="BF700" s="39"/>
      <c r="BG700" s="39"/>
      <c r="BH700" s="39"/>
      <c r="BI700" s="39"/>
      <c r="BJ700" s="39"/>
      <c r="BK700" s="39"/>
      <c r="BL700" s="39"/>
      <c r="BM700" s="39"/>
      <c r="BN700" s="39"/>
      <c r="BO700" s="39"/>
      <c r="BP700" s="39"/>
      <c r="BQ700" s="39"/>
      <c r="BR700" s="39"/>
      <c r="BS700" s="39"/>
      <c r="BT700" s="39"/>
      <c r="BU700" s="39"/>
      <c r="BV700" s="39"/>
      <c r="BW700" s="39"/>
      <c r="BX700" s="39"/>
      <c r="BY700" s="39"/>
      <c r="BZ700" s="39"/>
      <c r="CA700" s="39"/>
      <c r="CB700" s="39"/>
      <c r="CC700" s="39"/>
      <c r="CD700" s="39"/>
      <c r="CE700" s="39"/>
      <c r="CF700" s="39"/>
      <c r="CG700" s="39"/>
      <c r="CH700" s="39"/>
      <c r="CI700" s="39"/>
      <c r="CJ700" s="39"/>
      <c r="CK700" s="39"/>
      <c r="CL700" s="39"/>
      <c r="CM700" s="39"/>
      <c r="CN700" s="39"/>
      <c r="CO700" s="39"/>
      <c r="CP700" s="39"/>
      <c r="CQ700" s="39"/>
      <c r="CR700" s="39"/>
      <c r="CS700" s="39"/>
      <c r="CT700" s="39"/>
      <c r="CU700" s="39"/>
      <c r="CV700" s="39"/>
      <c r="CW700" s="39"/>
      <c r="CX700" s="39"/>
      <c r="CY700" s="39"/>
      <c r="CZ700" s="39"/>
      <c r="DA700" s="39"/>
      <c r="DB700" s="39"/>
      <c r="DC700" s="39"/>
      <c r="DD700" s="39"/>
      <c r="DE700" s="39"/>
      <c r="DF700" s="39"/>
      <c r="DG700" s="39"/>
      <c r="DH700" s="39"/>
      <c r="DI700" s="39"/>
    </row>
    <row r="701" spans="1:113">
      <c r="C701" s="48" t="str">
        <f t="shared" si="170"/>
        <v>Vodafone</v>
      </c>
      <c r="D701" s="44" t="str">
        <f t="shared" si="170"/>
        <v>GBP 0.74</v>
      </c>
      <c r="E701" s="44" t="str">
        <f t="shared" si="170"/>
        <v>GBP 1.35</v>
      </c>
      <c r="F701" s="45">
        <f t="shared" si="170"/>
        <v>0.83673469387755106</v>
      </c>
      <c r="G701" s="44" t="str">
        <f t="shared" si="170"/>
        <v>Buy</v>
      </c>
      <c r="H701" s="46"/>
      <c r="I701" s="47">
        <f>VOD!D$11/1000/Prices!$F$153</f>
        <v>23.301301087051648</v>
      </c>
      <c r="J701" s="47">
        <f>VOD!E$11/1000/Prices!$F$153</f>
        <v>21.186426998832335</v>
      </c>
      <c r="K701" s="47">
        <f>VOD!F$11/1000/Prices!$F$153</f>
        <v>21.186426998832335</v>
      </c>
      <c r="L701" s="47">
        <f>VOD!G$11/1000/Prices!$F$153</f>
        <v>21.186426998832335</v>
      </c>
      <c r="M701" s="45">
        <f>(L701/I701)^(1/3)-1</f>
        <v>-3.1218471188681485E-2</v>
      </c>
      <c r="N701" s="46"/>
      <c r="O701" s="47">
        <f>VOD!$D$12/Prices!$F$153/1000</f>
        <v>33.576661841464137</v>
      </c>
      <c r="P701" s="47">
        <f>VOD!$E$12/Prices!$F$153/1000</f>
        <v>31.087472592695576</v>
      </c>
      <c r="Q701" s="47">
        <f>VOD!$F$12/Prices!$F$153/1000</f>
        <v>30.562725266840353</v>
      </c>
      <c r="R701" s="47">
        <f>VOD!$G$12/Prices!$F$153/1000</f>
        <v>26.825660270121059</v>
      </c>
      <c r="S701" s="45">
        <f>(R701/O701)^(1/3)-1</f>
        <v>-7.2093320182401333E-2</v>
      </c>
      <c r="T701" s="46"/>
      <c r="U701" s="48" t="str">
        <f>U641</f>
        <v>GBP 0.74</v>
      </c>
      <c r="V701" s="44" t="s">
        <v>281</v>
      </c>
      <c r="AC701" s="63"/>
      <c r="BF701" s="39"/>
      <c r="BG701" s="39"/>
      <c r="BH701" s="39"/>
      <c r="BI701" s="39"/>
      <c r="BJ701" s="39"/>
      <c r="BK701" s="39"/>
      <c r="BL701" s="39"/>
      <c r="BM701" s="39"/>
      <c r="BN701" s="39"/>
      <c r="BO701" s="39"/>
      <c r="BP701" s="39"/>
      <c r="BQ701" s="39"/>
      <c r="BR701" s="39"/>
      <c r="BS701" s="39"/>
      <c r="BT701" s="39"/>
      <c r="BU701" s="39"/>
      <c r="BV701" s="39"/>
      <c r="BW701" s="39"/>
      <c r="BX701" s="39"/>
      <c r="BY701" s="39"/>
      <c r="BZ701" s="39"/>
      <c r="CA701" s="39"/>
      <c r="CB701" s="39"/>
      <c r="CC701" s="39"/>
      <c r="CD701" s="39"/>
      <c r="CE701" s="39"/>
      <c r="CF701" s="39"/>
      <c r="CG701" s="39"/>
      <c r="CH701" s="39"/>
      <c r="CI701" s="39"/>
      <c r="CJ701" s="39"/>
      <c r="CK701" s="39"/>
      <c r="CL701" s="39"/>
      <c r="CM701" s="39"/>
      <c r="CN701" s="39"/>
      <c r="CO701" s="39"/>
      <c r="CP701" s="39"/>
      <c r="CQ701" s="39"/>
      <c r="CR701" s="39"/>
      <c r="CS701" s="39"/>
      <c r="CT701" s="39"/>
      <c r="CU701" s="39"/>
      <c r="CV701" s="39"/>
      <c r="CW701" s="39"/>
      <c r="CX701" s="39"/>
      <c r="CY701" s="39"/>
      <c r="CZ701" s="39"/>
      <c r="DA701" s="39"/>
      <c r="DB701" s="39"/>
      <c r="DC701" s="39"/>
      <c r="DD701" s="39"/>
      <c r="DE701" s="39"/>
      <c r="DF701" s="39"/>
      <c r="DG701" s="39"/>
      <c r="DH701" s="39"/>
      <c r="DI701" s="39"/>
    </row>
    <row r="702" spans="1:113">
      <c r="C702" s="51" t="str">
        <f>C642</f>
        <v>Agg. W. Europe Other</v>
      </c>
      <c r="D702" s="52"/>
      <c r="E702" s="52"/>
      <c r="F702" s="53"/>
      <c r="G702" s="52"/>
      <c r="H702" s="46"/>
      <c r="I702" s="54">
        <f>'W.EUR OTHER'!$D$11/1000</f>
        <v>48.43677037936925</v>
      </c>
      <c r="J702" s="54">
        <f>'W.EUR OTHER'!$E$11/1000</f>
        <v>45.786621674548407</v>
      </c>
      <c r="K702" s="54">
        <f>'W.EUR OTHER'!$F$11/1000</f>
        <v>45.304874519607026</v>
      </c>
      <c r="L702" s="54">
        <f>'W.EUR OTHER'!$G$11/1000</f>
        <v>44.871302080159786</v>
      </c>
      <c r="M702" s="55">
        <f t="shared" si="172"/>
        <v>-2.5164885010567906E-2</v>
      </c>
      <c r="N702" s="56"/>
      <c r="O702" s="54">
        <f>'W.EUR OTHER'!$D$12/1000</f>
        <v>52.700759742684468</v>
      </c>
      <c r="P702" s="54">
        <f>'W.EUR OTHER'!$E$12/1000</f>
        <v>49.945763909176861</v>
      </c>
      <c r="Q702" s="54">
        <f>'W.EUR OTHER'!$F$12/1000</f>
        <v>50.149220125862428</v>
      </c>
      <c r="R702" s="54">
        <f>'W.EUR OTHER'!$G$12/1000</f>
        <v>46.104903972297855</v>
      </c>
      <c r="S702" s="55">
        <f t="shared" si="173"/>
        <v>-4.3591526397077751E-2</v>
      </c>
      <c r="T702" s="46"/>
      <c r="U702" s="57"/>
      <c r="V702" s="58" t="str">
        <f>V642</f>
        <v>Agg. W. Europe Other</v>
      </c>
      <c r="BF702" s="39"/>
      <c r="BG702" s="39"/>
      <c r="BH702" s="39"/>
      <c r="BI702" s="39"/>
      <c r="BJ702" s="39"/>
      <c r="BK702" s="39"/>
      <c r="BL702" s="39"/>
      <c r="BM702" s="39"/>
      <c r="BN702" s="39"/>
      <c r="BO702" s="39"/>
      <c r="BP702" s="39"/>
      <c r="BQ702" s="39"/>
      <c r="BR702" s="39"/>
      <c r="BS702" s="39"/>
      <c r="BT702" s="39"/>
      <c r="BU702" s="39"/>
      <c r="BV702" s="39"/>
      <c r="BW702" s="39"/>
      <c r="BX702" s="39"/>
      <c r="BY702" s="39"/>
      <c r="BZ702" s="39"/>
      <c r="CA702" s="39"/>
      <c r="CB702" s="39"/>
      <c r="CC702" s="39"/>
      <c r="CD702" s="39"/>
      <c r="CE702" s="39"/>
      <c r="CF702" s="39"/>
      <c r="CG702" s="39"/>
      <c r="CH702" s="39"/>
      <c r="CI702" s="39"/>
      <c r="CJ702" s="39"/>
      <c r="CK702" s="39"/>
      <c r="CL702" s="39"/>
      <c r="CM702" s="39"/>
      <c r="CN702" s="39"/>
      <c r="CO702" s="39"/>
      <c r="CP702" s="39"/>
      <c r="CQ702" s="39"/>
      <c r="CR702" s="39"/>
      <c r="CS702" s="39"/>
      <c r="CT702" s="39"/>
      <c r="CU702" s="39"/>
      <c r="CV702" s="39"/>
      <c r="CW702" s="39"/>
      <c r="CX702" s="39"/>
      <c r="CY702" s="39"/>
      <c r="CZ702" s="39"/>
      <c r="DA702" s="39"/>
      <c r="DB702" s="39"/>
      <c r="DC702" s="39"/>
      <c r="DD702" s="39"/>
      <c r="DE702" s="39"/>
      <c r="DF702" s="39"/>
      <c r="DG702" s="39"/>
      <c r="DH702" s="39"/>
      <c r="DI702" s="39"/>
    </row>
    <row r="703" spans="1:113">
      <c r="C703" s="48"/>
      <c r="D703" s="44"/>
      <c r="E703" s="44"/>
      <c r="F703" s="45"/>
      <c r="G703" s="44"/>
      <c r="H703" s="46"/>
      <c r="I703" s="47"/>
      <c r="J703" s="47"/>
      <c r="K703" s="47"/>
      <c r="L703" s="47"/>
      <c r="M703" s="45"/>
      <c r="N703" s="46"/>
      <c r="O703" s="47"/>
      <c r="P703" s="47"/>
      <c r="Q703" s="47"/>
      <c r="R703" s="47"/>
      <c r="S703" s="45"/>
      <c r="T703" s="46"/>
      <c r="U703" s="48"/>
      <c r="V703" s="44"/>
      <c r="BF703" s="39"/>
      <c r="BG703" s="39"/>
      <c r="BH703" s="39"/>
      <c r="BI703" s="39"/>
      <c r="BJ703" s="39"/>
      <c r="BK703" s="39"/>
      <c r="BL703" s="39"/>
      <c r="BM703" s="39"/>
      <c r="BN703" s="39"/>
      <c r="BO703" s="39"/>
      <c r="BP703" s="39"/>
      <c r="BQ703" s="39"/>
      <c r="BR703" s="39"/>
      <c r="BS703" s="39"/>
      <c r="BT703" s="39"/>
      <c r="BU703" s="39"/>
      <c r="BV703" s="39"/>
      <c r="BW703" s="39"/>
      <c r="BX703" s="39"/>
      <c r="BY703" s="39"/>
      <c r="BZ703" s="39"/>
      <c r="CA703" s="39"/>
      <c r="CB703" s="39"/>
      <c r="CC703" s="39"/>
      <c r="CD703" s="39"/>
      <c r="CE703" s="39"/>
      <c r="CF703" s="39"/>
      <c r="CG703" s="39"/>
      <c r="CH703" s="39"/>
      <c r="CI703" s="39"/>
      <c r="CJ703" s="39"/>
      <c r="CK703" s="39"/>
      <c r="CL703" s="39"/>
      <c r="CM703" s="39"/>
      <c r="CN703" s="39"/>
      <c r="CO703" s="39"/>
      <c r="CP703" s="39"/>
      <c r="CQ703" s="39"/>
      <c r="CR703" s="39"/>
      <c r="CS703" s="39"/>
      <c r="CT703" s="39"/>
      <c r="CU703" s="39"/>
      <c r="CV703" s="39"/>
      <c r="CW703" s="39"/>
      <c r="CX703" s="39"/>
      <c r="CY703" s="39"/>
      <c r="CZ703" s="39"/>
      <c r="DA703" s="39"/>
      <c r="DB703" s="39"/>
      <c r="DC703" s="39"/>
      <c r="DD703" s="39"/>
      <c r="DE703" s="39"/>
      <c r="DF703" s="39"/>
      <c r="DG703" s="39"/>
      <c r="DH703" s="39"/>
      <c r="DI703" s="39"/>
    </row>
    <row r="704" spans="1:113">
      <c r="A704" s="41"/>
      <c r="B704" s="42" t="s">
        <v>556</v>
      </c>
      <c r="C704" s="48" t="str">
        <f t="shared" ref="C704:G709" si="174">C644</f>
        <v>HKBN</v>
      </c>
      <c r="D704" s="44" t="str">
        <f t="shared" si="174"/>
        <v>HKD 3</v>
      </c>
      <c r="E704" s="44" t="str">
        <f t="shared" si="174"/>
        <v>HKD 16</v>
      </c>
      <c r="F704" s="45">
        <f t="shared" si="174"/>
        <v>5.2256809338521402</v>
      </c>
      <c r="G704" s="44" t="str">
        <f t="shared" si="174"/>
        <v>Buy</v>
      </c>
      <c r="H704" s="46"/>
      <c r="I704" s="47">
        <f>HKBN!D$11/1000/Prices!$C$167</f>
        <v>0.50617665545927359</v>
      </c>
      <c r="J704" s="47">
        <f>HKBN!E$11/1000/Prices!$C$167</f>
        <v>0.50617665545927359</v>
      </c>
      <c r="K704" s="47">
        <f>HKBN!F$11/1000/Prices!$C$167</f>
        <v>0.50617665545927359</v>
      </c>
      <c r="L704" s="47">
        <f>HKBN!G$11/1000/Prices!$C$167</f>
        <v>0.50617665545927359</v>
      </c>
      <c r="M704" s="45">
        <f>(L704/I704)^(1/3)-1</f>
        <v>0</v>
      </c>
      <c r="N704" s="46"/>
      <c r="O704" s="47">
        <f>HKBN!D$12/1000/Prices!$C$167</f>
        <v>1.4185485403193081</v>
      </c>
      <c r="P704" s="47">
        <f>HKBN!E$12/1000/Prices!$C$167</f>
        <v>1.4083691360475183</v>
      </c>
      <c r="Q704" s="47">
        <f>HKBN!F$12/1000/Prices!$C$167</f>
        <v>1.4011638687439025</v>
      </c>
      <c r="R704" s="47">
        <f>HKBN!G$12/1000/Prices!$C$167</f>
        <v>1.3883597363998352</v>
      </c>
      <c r="S704" s="45">
        <f>(R704/O704)^(1/3)-1</f>
        <v>-7.1447505631023756E-3</v>
      </c>
      <c r="T704" s="46"/>
      <c r="U704" s="48" t="str">
        <f t="shared" ref="U704:V709" si="175">U644</f>
        <v>HKD 3</v>
      </c>
      <c r="V704" s="69" t="str">
        <f t="shared" si="175"/>
        <v>HKBN</v>
      </c>
      <c r="BF704" s="39"/>
      <c r="BG704" s="39"/>
      <c r="BH704" s="39"/>
      <c r="BI704" s="39"/>
      <c r="BJ704" s="39"/>
      <c r="BK704" s="39"/>
      <c r="BL704" s="39"/>
      <c r="BM704" s="39"/>
      <c r="BN704" s="39"/>
      <c r="BO704" s="39"/>
      <c r="BP704" s="39"/>
      <c r="BQ704" s="39"/>
      <c r="BR704" s="39"/>
      <c r="BS704" s="39"/>
      <c r="BT704" s="39"/>
      <c r="BU704" s="39"/>
      <c r="BV704" s="39"/>
      <c r="BW704" s="39"/>
      <c r="BX704" s="39"/>
      <c r="BY704" s="39"/>
      <c r="BZ704" s="39"/>
      <c r="CA704" s="39"/>
      <c r="CB704" s="39"/>
      <c r="CC704" s="39"/>
      <c r="CD704" s="39"/>
      <c r="CE704" s="39"/>
      <c r="CF704" s="39"/>
      <c r="CG704" s="39"/>
      <c r="CH704" s="39"/>
      <c r="CI704" s="39"/>
      <c r="CJ704" s="39"/>
      <c r="CK704" s="39"/>
      <c r="CL704" s="39"/>
      <c r="CM704" s="39"/>
      <c r="CN704" s="39"/>
      <c r="CO704" s="39"/>
      <c r="CP704" s="39"/>
      <c r="CQ704" s="39"/>
      <c r="CR704" s="39"/>
      <c r="CS704" s="39"/>
      <c r="CT704" s="39"/>
      <c r="CU704" s="39"/>
      <c r="CV704" s="39"/>
      <c r="CW704" s="39"/>
      <c r="CX704" s="39"/>
      <c r="CY704" s="39"/>
      <c r="CZ704" s="39"/>
      <c r="DA704" s="39"/>
      <c r="DB704" s="39"/>
      <c r="DC704" s="39"/>
      <c r="DD704" s="39"/>
      <c r="DE704" s="39"/>
      <c r="DF704" s="39"/>
      <c r="DG704" s="39"/>
      <c r="DH704" s="39"/>
      <c r="DI704" s="39"/>
    </row>
    <row r="705" spans="1:113">
      <c r="C705" s="48" t="str">
        <f t="shared" si="174"/>
        <v>KDDI</v>
      </c>
      <c r="D705" s="44" t="str">
        <f t="shared" si="174"/>
        <v>JPY 4,302</v>
      </c>
      <c r="E705" s="44" t="str">
        <f t="shared" si="174"/>
        <v>JPY 6,600</v>
      </c>
      <c r="F705" s="45">
        <f t="shared" si="174"/>
        <v>0.53417015341701535</v>
      </c>
      <c r="G705" s="44" t="str">
        <f t="shared" si="174"/>
        <v>Buy</v>
      </c>
      <c r="H705" s="46"/>
      <c r="I705" s="47">
        <f>KDDI!$D$11/Prices!$C$161</f>
        <v>57.065503071801245</v>
      </c>
      <c r="J705" s="47">
        <f>KDDI!$E$11/Prices!$C$161</f>
        <v>55.847474723338117</v>
      </c>
      <c r="K705" s="47">
        <f>KDDI!$F$11/Prices!$C$161</f>
        <v>54.324939287759207</v>
      </c>
      <c r="L705" s="47">
        <f>KDDI!$G$11/Prices!$C$161</f>
        <v>52.802403852180284</v>
      </c>
      <c r="M705" s="45">
        <f t="shared" ref="M705:M710" si="176">(L705/I705)^(1/3)-1</f>
        <v>-2.554897955968527E-2</v>
      </c>
      <c r="N705" s="46"/>
      <c r="O705" s="47">
        <f>KDDI!$D$12/Prices!$C$161</f>
        <v>9.812647937865643</v>
      </c>
      <c r="P705" s="47">
        <f>KDDI!$E$12/Prices!$C$161</f>
        <v>8.3724833038035928</v>
      </c>
      <c r="Q705" s="47">
        <f>KDDI!$F$12/Prices!$C$161</f>
        <v>7.1460623350461825</v>
      </c>
      <c r="R705" s="47">
        <f>KDDI!$G$12/Prices!$C$161</f>
        <v>5.7510753279261353</v>
      </c>
      <c r="S705" s="45">
        <f t="shared" ref="S705:S710" si="177">(R705/O705)^(1/3)-1</f>
        <v>-0.16313716834696279</v>
      </c>
      <c r="T705" s="46"/>
      <c r="U705" s="48" t="str">
        <f t="shared" si="175"/>
        <v>JPY 4,302</v>
      </c>
      <c r="V705" s="44" t="str">
        <f t="shared" si="175"/>
        <v>KDDI</v>
      </c>
      <c r="BF705" s="39"/>
      <c r="BG705" s="39"/>
      <c r="BH705" s="39"/>
      <c r="BI705" s="39"/>
      <c r="BJ705" s="39"/>
      <c r="BK705" s="39"/>
      <c r="BL705" s="39"/>
      <c r="BM705" s="39"/>
      <c r="BN705" s="39"/>
      <c r="BO705" s="39"/>
      <c r="BP705" s="39"/>
      <c r="BQ705" s="39"/>
      <c r="BR705" s="39"/>
      <c r="BS705" s="39"/>
      <c r="BT705" s="39"/>
      <c r="BU705" s="39"/>
      <c r="BV705" s="39"/>
      <c r="BW705" s="39"/>
      <c r="BX705" s="39"/>
      <c r="BY705" s="39"/>
      <c r="BZ705" s="39"/>
      <c r="CA705" s="39"/>
      <c r="CB705" s="39"/>
      <c r="CC705" s="39"/>
      <c r="CD705" s="39"/>
      <c r="CE705" s="39"/>
      <c r="CF705" s="39"/>
      <c r="CG705" s="39"/>
      <c r="CH705" s="39"/>
      <c r="CI705" s="39"/>
      <c r="CJ705" s="39"/>
      <c r="CK705" s="39"/>
      <c r="CL705" s="39"/>
      <c r="CM705" s="39"/>
      <c r="CN705" s="39"/>
      <c r="CO705" s="39"/>
      <c r="CP705" s="39"/>
      <c r="CQ705" s="39"/>
      <c r="CR705" s="39"/>
      <c r="CS705" s="39"/>
      <c r="CT705" s="39"/>
      <c r="CU705" s="39"/>
      <c r="CV705" s="39"/>
      <c r="CW705" s="39"/>
      <c r="CX705" s="39"/>
      <c r="CY705" s="39"/>
      <c r="CZ705" s="39"/>
      <c r="DA705" s="39"/>
      <c r="DB705" s="39"/>
      <c r="DC705" s="39"/>
      <c r="DD705" s="39"/>
      <c r="DE705" s="39"/>
      <c r="DF705" s="39"/>
      <c r="DG705" s="39"/>
      <c r="DH705" s="39"/>
      <c r="DI705" s="39"/>
    </row>
    <row r="706" spans="1:113">
      <c r="A706" s="41"/>
      <c r="C706" s="48" t="str">
        <f t="shared" si="174"/>
        <v>Macquarie Telecom</v>
      </c>
      <c r="D706" s="44" t="str">
        <f t="shared" si="174"/>
        <v>AUD 85.20</v>
      </c>
      <c r="E706" s="44" t="str">
        <f t="shared" si="174"/>
        <v>AUD 28.00</v>
      </c>
      <c r="F706" s="45">
        <f t="shared" si="174"/>
        <v>-0.67136150234741787</v>
      </c>
      <c r="G706" s="44" t="str">
        <f t="shared" si="174"/>
        <v>Neutral</v>
      </c>
      <c r="H706" s="46"/>
      <c r="I706" s="47">
        <f>MAQ!$D$11/1000/Prices!$C$168</f>
        <v>1.2114052391877166</v>
      </c>
      <c r="J706" s="47">
        <f>MAQ!$E$11/1000/Prices!$C$168</f>
        <v>1.2213464198777866</v>
      </c>
      <c r="K706" s="47">
        <f>MAQ!$F$11/1000/Prices!$C$168</f>
        <v>1.2312876005678566</v>
      </c>
      <c r="L706" s="47">
        <f>MAQ!$G$11/1000/Prices!$C$168</f>
        <v>1.2412287812579266</v>
      </c>
      <c r="M706" s="45">
        <f>(L706/I706)^(1/3)-1</f>
        <v>8.1398838739210611E-3</v>
      </c>
      <c r="N706" s="46"/>
      <c r="O706" s="47">
        <f>((MAQ!$D$12/Prices!$C$168)/1000)</f>
        <v>-1.0802580601544591E-2</v>
      </c>
      <c r="P706" s="47">
        <f>((MAQ!$E$12/Prices!$C$168)/1000)</f>
        <v>-1.9323849604965374E-2</v>
      </c>
      <c r="Q706" s="47">
        <f>((MAQ!$F$12/Prices!$C$168)/1000)</f>
        <v>-2.4829664383418215E-2</v>
      </c>
      <c r="R706" s="47">
        <f>((MAQ!$G$12/Prices!$C$168)/1000)</f>
        <v>-3.5910521655331075E-2</v>
      </c>
      <c r="S706" s="45">
        <f>(R706/O706)^(1/3)-1</f>
        <v>0.49244407500639098</v>
      </c>
      <c r="T706" s="46"/>
      <c r="U706" s="48" t="str">
        <f t="shared" si="175"/>
        <v>AUD 85.20</v>
      </c>
      <c r="V706" s="69" t="str">
        <f t="shared" si="175"/>
        <v>Macquarie Telecom</v>
      </c>
      <c r="BF706" s="39"/>
      <c r="BG706" s="39"/>
      <c r="BH706" s="39"/>
      <c r="BI706" s="39"/>
      <c r="BJ706" s="39"/>
      <c r="BK706" s="39"/>
      <c r="BL706" s="39"/>
      <c r="BM706" s="39"/>
      <c r="BN706" s="39"/>
      <c r="BO706" s="39"/>
      <c r="BP706" s="39"/>
      <c r="BQ706" s="39"/>
      <c r="BR706" s="39"/>
      <c r="BS706" s="39"/>
      <c r="BT706" s="39"/>
      <c r="BU706" s="39"/>
      <c r="BV706" s="39"/>
      <c r="BW706" s="39"/>
      <c r="BX706" s="39"/>
      <c r="BY706" s="39"/>
      <c r="BZ706" s="39"/>
      <c r="CA706" s="39"/>
      <c r="CB706" s="39"/>
      <c r="CC706" s="39"/>
      <c r="CD706" s="39"/>
      <c r="CE706" s="39"/>
      <c r="CF706" s="39"/>
      <c r="CG706" s="39"/>
      <c r="CH706" s="39"/>
      <c r="CI706" s="39"/>
      <c r="CJ706" s="39"/>
      <c r="CK706" s="39"/>
      <c r="CL706" s="39"/>
      <c r="CM706" s="39"/>
      <c r="CN706" s="39"/>
      <c r="CO706" s="39"/>
      <c r="CP706" s="39"/>
      <c r="CQ706" s="39"/>
      <c r="CR706" s="39"/>
      <c r="CS706" s="39"/>
      <c r="CT706" s="39"/>
      <c r="CU706" s="39"/>
      <c r="CV706" s="39"/>
      <c r="CW706" s="39"/>
      <c r="CX706" s="39"/>
      <c r="CY706" s="39"/>
      <c r="CZ706" s="39"/>
      <c r="DA706" s="39"/>
      <c r="DB706" s="39"/>
      <c r="DC706" s="39"/>
      <c r="DD706" s="39"/>
      <c r="DE706" s="39"/>
      <c r="DF706" s="39"/>
      <c r="DG706" s="39"/>
      <c r="DH706" s="39"/>
      <c r="DI706" s="39"/>
    </row>
    <row r="707" spans="1:113">
      <c r="C707" s="48" t="str">
        <f t="shared" si="174"/>
        <v>Rakuten</v>
      </c>
      <c r="D707" s="44" t="str">
        <f t="shared" si="174"/>
        <v>JPY 776</v>
      </c>
      <c r="E707" s="44" t="str">
        <f t="shared" si="174"/>
        <v>JPY 400</v>
      </c>
      <c r="F707" s="45">
        <f t="shared" si="174"/>
        <v>-0.48446964815053484</v>
      </c>
      <c r="G707" s="44" t="str">
        <f t="shared" si="174"/>
        <v>Reduce</v>
      </c>
      <c r="H707" s="46"/>
      <c r="I707" s="47">
        <f>(RAK!D$11/Prices!$C$161)</f>
        <v>10.587531772575252</v>
      </c>
      <c r="J707" s="47">
        <f>(RAK!E$11/Prices!$C$161)</f>
        <v>10.587531772575252</v>
      </c>
      <c r="K707" s="47">
        <f>(RAK!F$11/Prices!$C$161)</f>
        <v>10.587531772575252</v>
      </c>
      <c r="L707" s="47">
        <f>(RAK!G$11/Prices!$C$161)</f>
        <v>10.587531772575252</v>
      </c>
      <c r="M707" s="45">
        <f>(L707/I707)^(1/3)-1</f>
        <v>0</v>
      </c>
      <c r="N707" s="46"/>
      <c r="O707" s="47">
        <f>RAK!D$12/Prices!$C$161</f>
        <v>0.56696926262143654</v>
      </c>
      <c r="P707" s="47">
        <f>RAK!E$12/Prices!$C$161</f>
        <v>0.56696926262143654</v>
      </c>
      <c r="Q707" s="47">
        <f>RAK!F$12/Prices!$C$161</f>
        <v>0.56696926262143654</v>
      </c>
      <c r="R707" s="47">
        <f>RAK!G$12/Prices!$C$161</f>
        <v>0.56696926262143654</v>
      </c>
      <c r="S707" s="45">
        <f>(R707/O707)^(1/3)-1</f>
        <v>0</v>
      </c>
      <c r="T707" s="46"/>
      <c r="U707" s="48" t="str">
        <f t="shared" si="175"/>
        <v>JPY 776</v>
      </c>
      <c r="V707" s="44" t="str">
        <f t="shared" si="175"/>
        <v>Rakuten</v>
      </c>
      <c r="BF707" s="39"/>
      <c r="BG707" s="39"/>
      <c r="BH707" s="39"/>
      <c r="BI707" s="39"/>
      <c r="BJ707" s="39"/>
      <c r="BK707" s="39"/>
      <c r="BL707" s="39"/>
      <c r="BM707" s="39"/>
      <c r="BN707" s="39"/>
      <c r="BO707" s="39"/>
      <c r="BP707" s="39"/>
      <c r="BQ707" s="39"/>
      <c r="BR707" s="39"/>
      <c r="BS707" s="39"/>
      <c r="BT707" s="39"/>
      <c r="BU707" s="39"/>
      <c r="BV707" s="39"/>
      <c r="BW707" s="39"/>
      <c r="BX707" s="39"/>
      <c r="BY707" s="39"/>
      <c r="BZ707" s="39"/>
      <c r="CA707" s="39"/>
      <c r="CB707" s="39"/>
      <c r="CC707" s="39"/>
      <c r="CD707" s="39"/>
      <c r="CE707" s="39"/>
      <c r="CF707" s="39"/>
      <c r="CG707" s="39"/>
      <c r="CH707" s="39"/>
      <c r="CI707" s="39"/>
      <c r="CJ707" s="39"/>
      <c r="CK707" s="39"/>
      <c r="CL707" s="39"/>
      <c r="CM707" s="39"/>
      <c r="CN707" s="39"/>
      <c r="CO707" s="39"/>
      <c r="CP707" s="39"/>
      <c r="CQ707" s="39"/>
      <c r="CR707" s="39"/>
      <c r="CS707" s="39"/>
      <c r="CT707" s="39"/>
      <c r="CU707" s="39"/>
      <c r="CV707" s="39"/>
      <c r="CW707" s="39"/>
      <c r="CX707" s="39"/>
      <c r="CY707" s="39"/>
      <c r="CZ707" s="39"/>
      <c r="DA707" s="39"/>
      <c r="DB707" s="39"/>
      <c r="DC707" s="39"/>
      <c r="DD707" s="39"/>
      <c r="DE707" s="39"/>
      <c r="DF707" s="39"/>
      <c r="DG707" s="39"/>
      <c r="DH707" s="39"/>
      <c r="DI707" s="39"/>
    </row>
    <row r="708" spans="1:113">
      <c r="C708" s="48" t="str">
        <f t="shared" si="174"/>
        <v>SoftBank KK (Corp)</v>
      </c>
      <c r="D708" s="44" t="str">
        <f t="shared" si="174"/>
        <v>JPY 1,898</v>
      </c>
      <c r="E708" s="44" t="str">
        <f t="shared" si="174"/>
        <v>JPY 2,500</v>
      </c>
      <c r="F708" s="45">
        <f t="shared" si="174"/>
        <v>0.31752305665349145</v>
      </c>
      <c r="G708" s="44" t="str">
        <f t="shared" si="174"/>
        <v>Buy</v>
      </c>
      <c r="H708" s="46"/>
      <c r="I708" s="47">
        <f>SBKK!D$11/Prices!$C$161</f>
        <v>57.156467910989022</v>
      </c>
      <c r="J708" s="47">
        <f>SBKK!E$11/Prices!$C$161</f>
        <v>57.149633538966476</v>
      </c>
      <c r="K708" s="47">
        <f>SBKK!F$11/Prices!$C$161</f>
        <v>57.134492384421527</v>
      </c>
      <c r="L708" s="47">
        <f>SBKK!G$11/Prices!$C$161</f>
        <v>57.10610629363341</v>
      </c>
      <c r="M708" s="45">
        <f t="shared" si="176"/>
        <v>-2.9379244938265714E-4</v>
      </c>
      <c r="N708" s="46"/>
      <c r="O708" s="47">
        <f>SBKK!D$12/Prices!$C$161</f>
        <v>29.333411323825516</v>
      </c>
      <c r="P708" s="47">
        <f>SBKK!E$12/Prices!$C$161</f>
        <v>26.933549215932892</v>
      </c>
      <c r="Q708" s="47">
        <f>SBKK!F$12/Prices!$C$161</f>
        <v>24.414762863612619</v>
      </c>
      <c r="R708" s="47">
        <f>SBKK!G$12/Prices!$C$161</f>
        <v>21.683681581549688</v>
      </c>
      <c r="S708" s="45">
        <f t="shared" si="177"/>
        <v>-9.5816002813980838E-2</v>
      </c>
      <c r="T708" s="46"/>
      <c r="U708" s="48" t="str">
        <f t="shared" si="175"/>
        <v>JPY 1,898</v>
      </c>
      <c r="V708" s="44" t="str">
        <f t="shared" si="175"/>
        <v>SoftBank KK (Corp)</v>
      </c>
      <c r="BF708" s="39"/>
      <c r="BG708" s="39"/>
      <c r="BH708" s="39"/>
      <c r="BI708" s="39"/>
      <c r="BJ708" s="39"/>
      <c r="BK708" s="39"/>
      <c r="BL708" s="39"/>
      <c r="BM708" s="39"/>
      <c r="BN708" s="39"/>
      <c r="BO708" s="39"/>
      <c r="BP708" s="39"/>
      <c r="BQ708" s="39"/>
      <c r="BR708" s="39"/>
      <c r="BS708" s="39"/>
      <c r="BT708" s="39"/>
      <c r="BU708" s="39"/>
      <c r="BV708" s="39"/>
      <c r="BW708" s="39"/>
      <c r="BX708" s="39"/>
      <c r="BY708" s="39"/>
      <c r="BZ708" s="39"/>
      <c r="CA708" s="39"/>
      <c r="CB708" s="39"/>
      <c r="CC708" s="39"/>
      <c r="CD708" s="39"/>
      <c r="CE708" s="39"/>
      <c r="CF708" s="39"/>
      <c r="CG708" s="39"/>
      <c r="CH708" s="39"/>
      <c r="CI708" s="39"/>
      <c r="CJ708" s="39"/>
      <c r="CK708" s="39"/>
      <c r="CL708" s="39"/>
      <c r="CM708" s="39"/>
      <c r="CN708" s="39"/>
      <c r="CO708" s="39"/>
      <c r="CP708" s="39"/>
      <c r="CQ708" s="39"/>
      <c r="CR708" s="39"/>
      <c r="CS708" s="39"/>
      <c r="CT708" s="39"/>
      <c r="CU708" s="39"/>
      <c r="CV708" s="39"/>
      <c r="CW708" s="39"/>
      <c r="CX708" s="39"/>
      <c r="CY708" s="39"/>
      <c r="CZ708" s="39"/>
      <c r="DA708" s="39"/>
      <c r="DB708" s="39"/>
      <c r="DC708" s="39"/>
      <c r="DD708" s="39"/>
      <c r="DE708" s="39"/>
      <c r="DF708" s="39"/>
      <c r="DG708" s="39"/>
      <c r="DH708" s="39"/>
      <c r="DI708" s="39"/>
    </row>
    <row r="709" spans="1:113">
      <c r="A709" s="41"/>
      <c r="C709" s="48" t="str">
        <f t="shared" si="174"/>
        <v>TPG</v>
      </c>
      <c r="D709" s="44" t="str">
        <f t="shared" si="174"/>
        <v>AUD 4.60</v>
      </c>
      <c r="E709" s="44" t="str">
        <f t="shared" si="174"/>
        <v>AUD 7.50</v>
      </c>
      <c r="F709" s="45">
        <f t="shared" si="174"/>
        <v>0.63043478260869579</v>
      </c>
      <c r="G709" s="44" t="str">
        <f t="shared" si="174"/>
        <v>Neutral</v>
      </c>
      <c r="H709" s="46"/>
      <c r="I709" s="47">
        <f>TPG!$D$11/1000/Prices!$C$168</f>
        <v>2.8411995478632002</v>
      </c>
      <c r="J709" s="47">
        <f>TPG!$E$11/1000/Prices!$C$168</f>
        <v>2.8483025467328575</v>
      </c>
      <c r="K709" s="47">
        <f>TPG!$F$11/1000/Prices!$C$168</f>
        <v>2.8554233030996903</v>
      </c>
      <c r="L709" s="47">
        <f>TPG!$G$11/1000/Prices!$C$168</f>
        <v>2.8625618613574391</v>
      </c>
      <c r="M709" s="45">
        <f>(L709/I709)^(1/3)-1</f>
        <v>2.4999999999999467E-3</v>
      </c>
      <c r="N709" s="46"/>
      <c r="O709" s="47">
        <f>((TPG!$D$12/Prices!$C$168)/1000)</f>
        <v>1.334760885738149</v>
      </c>
      <c r="P709" s="47">
        <f>((TPG!$E$12/Prices!$C$168)/1000)</f>
        <v>1.2619186243167484</v>
      </c>
      <c r="Q709" s="47">
        <f>((TPG!$F$12/Prices!$C$168)/1000)</f>
        <v>1.2076288273173779</v>
      </c>
      <c r="R709" s="47">
        <f>((TPG!$G$12/Prices!$C$168)/1000)</f>
        <v>1.1470512871485201</v>
      </c>
      <c r="S709" s="45">
        <f>(R709/O709)^(1/3)-1</f>
        <v>-4.9264329649302385E-2</v>
      </c>
      <c r="T709" s="46"/>
      <c r="U709" s="48" t="str">
        <f t="shared" si="175"/>
        <v>AUD 4.60</v>
      </c>
      <c r="V709" s="44" t="str">
        <f t="shared" si="175"/>
        <v>TPG</v>
      </c>
      <c r="BF709" s="39"/>
      <c r="BG709" s="39"/>
      <c r="BH709" s="39"/>
      <c r="BI709" s="39"/>
      <c r="BJ709" s="39"/>
      <c r="BK709" s="39"/>
      <c r="BL709" s="39"/>
      <c r="BM709" s="39"/>
      <c r="BN709" s="39"/>
      <c r="BO709" s="39"/>
      <c r="BP709" s="39"/>
      <c r="BQ709" s="39"/>
      <c r="BR709" s="39"/>
      <c r="BS709" s="39"/>
      <c r="BT709" s="39"/>
      <c r="BU709" s="39"/>
      <c r="BV709" s="39"/>
      <c r="BW709" s="39"/>
      <c r="BX709" s="39"/>
      <c r="BY709" s="39"/>
      <c r="BZ709" s="39"/>
      <c r="CA709" s="39"/>
      <c r="CB709" s="39"/>
      <c r="CC709" s="39"/>
      <c r="CD709" s="39"/>
      <c r="CE709" s="39"/>
      <c r="CF709" s="39"/>
      <c r="CG709" s="39"/>
      <c r="CH709" s="39"/>
      <c r="CI709" s="39"/>
      <c r="CJ709" s="39"/>
      <c r="CK709" s="39"/>
      <c r="CL709" s="39"/>
      <c r="CM709" s="39"/>
      <c r="CN709" s="39"/>
      <c r="CO709" s="39"/>
      <c r="CP709" s="39"/>
      <c r="CQ709" s="39"/>
      <c r="CR709" s="39"/>
      <c r="CS709" s="39"/>
      <c r="CT709" s="39"/>
      <c r="CU709" s="39"/>
      <c r="CV709" s="39"/>
      <c r="CW709" s="39"/>
      <c r="CX709" s="39"/>
      <c r="CY709" s="39"/>
      <c r="CZ709" s="39"/>
      <c r="DA709" s="39"/>
      <c r="DB709" s="39"/>
      <c r="DC709" s="39"/>
      <c r="DD709" s="39"/>
      <c r="DE709" s="39"/>
      <c r="DF709" s="39"/>
      <c r="DG709" s="39"/>
      <c r="DH709" s="39"/>
      <c r="DI709" s="39"/>
    </row>
    <row r="710" spans="1:113">
      <c r="C710" s="51" t="str">
        <f>C650</f>
        <v>Agg. Developed Asia Other</v>
      </c>
      <c r="D710" s="52"/>
      <c r="E710" s="52"/>
      <c r="F710" s="53"/>
      <c r="G710" s="52"/>
      <c r="H710" s="46"/>
      <c r="I710" s="54">
        <f>'DM ASIA OTHER'!$D$11/1000</f>
        <v>129.36828419787571</v>
      </c>
      <c r="J710" s="54">
        <f>'DM ASIA OTHER'!$E$11/1000</f>
        <v>128.16046565694975</v>
      </c>
      <c r="K710" s="54">
        <f>'DM ASIA OTHER'!$F$11/1000</f>
        <v>126.63985100388281</v>
      </c>
      <c r="L710" s="54">
        <f>'DM ASIA OTHER'!$G$11/1000</f>
        <v>125.10600921646359</v>
      </c>
      <c r="M710" s="55">
        <f t="shared" si="176"/>
        <v>-1.11051446892243E-2</v>
      </c>
      <c r="N710" s="56"/>
      <c r="O710" s="54">
        <f>'DM ASIA OTHER'!$D$12/1000</f>
        <v>42.455535369768512</v>
      </c>
      <c r="P710" s="54">
        <f>'DM ASIA OTHER'!$E$12/1000</f>
        <v>38.523965693117226</v>
      </c>
      <c r="Q710" s="54">
        <f>'DM ASIA OTHER'!$F$12/1000</f>
        <v>34.7117574929581</v>
      </c>
      <c r="R710" s="54">
        <f>'DM ASIA OTHER'!$G$12/1000</f>
        <v>30.501226673990281</v>
      </c>
      <c r="S710" s="55">
        <f t="shared" si="177"/>
        <v>-0.10437200228931165</v>
      </c>
      <c r="T710" s="46"/>
      <c r="U710" s="57"/>
      <c r="V710" s="58" t="str">
        <f>V650</f>
        <v>Agg. Developed Asia Cellular</v>
      </c>
      <c r="BF710" s="39"/>
      <c r="BG710" s="39"/>
      <c r="BH710" s="39"/>
      <c r="BI710" s="39"/>
      <c r="BJ710" s="39"/>
      <c r="BK710" s="39"/>
      <c r="BL710" s="39"/>
      <c r="BM710" s="39"/>
      <c r="BN710" s="39"/>
      <c r="BO710" s="39"/>
      <c r="BP710" s="39"/>
      <c r="BQ710" s="39"/>
      <c r="BR710" s="39"/>
      <c r="BS710" s="39"/>
      <c r="BT710" s="39"/>
      <c r="BU710" s="39"/>
      <c r="BV710" s="39"/>
      <c r="BW710" s="39"/>
      <c r="BX710" s="39"/>
      <c r="BY710" s="39"/>
      <c r="BZ710" s="39"/>
      <c r="CA710" s="39"/>
      <c r="CB710" s="39"/>
      <c r="CC710" s="39"/>
      <c r="CD710" s="39"/>
      <c r="CE710" s="39"/>
      <c r="CF710" s="39"/>
      <c r="CG710" s="39"/>
      <c r="CH710" s="39"/>
      <c r="CI710" s="39"/>
      <c r="CJ710" s="39"/>
      <c r="CK710" s="39"/>
      <c r="CL710" s="39"/>
      <c r="CM710" s="39"/>
      <c r="CN710" s="39"/>
      <c r="CO710" s="39"/>
      <c r="CP710" s="39"/>
      <c r="CQ710" s="39"/>
      <c r="CR710" s="39"/>
      <c r="CS710" s="39"/>
      <c r="CT710" s="39"/>
      <c r="CU710" s="39"/>
      <c r="CV710" s="39"/>
      <c r="CW710" s="39"/>
      <c r="CX710" s="39"/>
      <c r="CY710" s="39"/>
      <c r="CZ710" s="39"/>
      <c r="DA710" s="39"/>
      <c r="DB710" s="39"/>
      <c r="DC710" s="39"/>
      <c r="DD710" s="39"/>
      <c r="DE710" s="39"/>
      <c r="DF710" s="39"/>
      <c r="DG710" s="39"/>
      <c r="DH710" s="39"/>
      <c r="DI710" s="39"/>
    </row>
    <row r="711" spans="1:113">
      <c r="A711" s="41"/>
      <c r="C711" s="48"/>
      <c r="D711" s="44"/>
      <c r="E711" s="44"/>
      <c r="F711" s="45"/>
      <c r="G711" s="44"/>
      <c r="H711" s="46"/>
      <c r="I711" s="47"/>
      <c r="J711" s="47"/>
      <c r="K711" s="47"/>
      <c r="L711" s="47"/>
      <c r="M711" s="45"/>
      <c r="N711" s="46"/>
      <c r="O711" s="47"/>
      <c r="P711" s="47"/>
      <c r="Q711" s="47"/>
      <c r="R711" s="47"/>
      <c r="S711" s="45"/>
      <c r="T711" s="46"/>
      <c r="U711" s="48"/>
      <c r="V711" s="44"/>
      <c r="BF711" s="39"/>
      <c r="BG711" s="39"/>
      <c r="BH711" s="39"/>
      <c r="BI711" s="39"/>
      <c r="BJ711" s="39"/>
      <c r="BK711" s="39"/>
      <c r="BL711" s="39"/>
      <c r="BM711" s="39"/>
      <c r="BN711" s="39"/>
      <c r="BO711" s="39"/>
      <c r="BP711" s="39"/>
      <c r="BQ711" s="39"/>
      <c r="BR711" s="39"/>
      <c r="BS711" s="39"/>
      <c r="BT711" s="39"/>
      <c r="BU711" s="39"/>
      <c r="BV711" s="39"/>
      <c r="BW711" s="39"/>
      <c r="BX711" s="39"/>
      <c r="BY711" s="39"/>
      <c r="BZ711" s="39"/>
      <c r="CA711" s="39"/>
      <c r="CB711" s="39"/>
      <c r="CC711" s="39"/>
      <c r="CD711" s="39"/>
      <c r="CE711" s="39"/>
      <c r="CF711" s="39"/>
      <c r="CG711" s="39"/>
      <c r="CH711" s="39"/>
      <c r="CI711" s="39"/>
      <c r="CJ711" s="39"/>
      <c r="CK711" s="39"/>
      <c r="CL711" s="39"/>
      <c r="CM711" s="39"/>
      <c r="CN711" s="39"/>
      <c r="CO711" s="39"/>
      <c r="CP711" s="39"/>
      <c r="CQ711" s="39"/>
      <c r="CR711" s="39"/>
      <c r="CS711" s="39"/>
      <c r="CT711" s="39"/>
      <c r="CU711" s="39"/>
      <c r="CV711" s="39"/>
      <c r="CW711" s="39"/>
      <c r="CX711" s="39"/>
      <c r="CY711" s="39"/>
      <c r="CZ711" s="39"/>
      <c r="DA711" s="39"/>
      <c r="DB711" s="39"/>
      <c r="DC711" s="39"/>
      <c r="DD711" s="39"/>
      <c r="DE711" s="39"/>
      <c r="DF711" s="39"/>
      <c r="DG711" s="39"/>
      <c r="DH711" s="39"/>
      <c r="DI711" s="39"/>
    </row>
    <row r="712" spans="1:113">
      <c r="A712" s="41"/>
      <c r="B712" s="42" t="s">
        <v>519</v>
      </c>
      <c r="C712" s="48" t="str">
        <f>C652</f>
        <v>Altice US</v>
      </c>
      <c r="D712" s="44" t="str">
        <f>D652</f>
        <v>US$2.3</v>
      </c>
      <c r="E712" s="44" t="str">
        <f>E652</f>
        <v>US$4.0</v>
      </c>
      <c r="F712" s="45">
        <f>F652</f>
        <v>0.71673819742489275</v>
      </c>
      <c r="G712" s="44" t="str">
        <f>G652</f>
        <v>Neutral</v>
      </c>
      <c r="H712" s="46"/>
      <c r="I712" s="47">
        <f>ATCUS!D$11/1000</f>
        <v>1.0602332975000002</v>
      </c>
      <c r="J712" s="47">
        <f>ATCUS!E$11/1000</f>
        <v>1.0605173524416005</v>
      </c>
      <c r="K712" s="47">
        <f>ATCUS!F$11/1000</f>
        <v>1.0610231524760034</v>
      </c>
      <c r="L712" s="47">
        <f>ATCUS!G$11/1000</f>
        <v>1.0615289525104066</v>
      </c>
      <c r="M712" s="45">
        <f t="shared" ref="M712:M717" si="178">(L712/I712)^(1/3)-1</f>
        <v>4.0718320759514093E-4</v>
      </c>
      <c r="N712" s="46"/>
      <c r="O712" s="47">
        <f>(ATCUS!D$12/1000)</f>
        <v>24.422000000000001</v>
      </c>
      <c r="P712" s="47">
        <f>(ATCUS!E$12/1000)</f>
        <v>24.411807639729229</v>
      </c>
      <c r="Q712" s="47">
        <f>(ATCUS!F$12/1000)</f>
        <v>24.404817845797144</v>
      </c>
      <c r="R712" s="47">
        <f>(ATCUS!G$12/1000)</f>
        <v>24.280934226984005</v>
      </c>
      <c r="S712" s="45">
        <f t="shared" ref="S712:S717" si="179">(R712/O712)^(1/3)-1</f>
        <v>-1.9291111141002126E-3</v>
      </c>
      <c r="T712" s="46"/>
      <c r="U712" s="48" t="str">
        <f>D712</f>
        <v>US$2.3</v>
      </c>
      <c r="V712" s="44" t="str">
        <f t="shared" ref="V712:V717" si="180">C712</f>
        <v>Altice US</v>
      </c>
      <c r="BF712" s="39"/>
      <c r="BG712" s="39"/>
      <c r="BH712" s="39"/>
      <c r="BI712" s="39"/>
      <c r="BJ712" s="39"/>
      <c r="BK712" s="39"/>
      <c r="BL712" s="39"/>
      <c r="BM712" s="39"/>
      <c r="BN712" s="39"/>
      <c r="BO712" s="39"/>
      <c r="BP712" s="39"/>
      <c r="BQ712" s="39"/>
      <c r="BR712" s="39"/>
      <c r="BS712" s="39"/>
      <c r="BT712" s="39"/>
      <c r="BU712" s="39"/>
      <c r="BV712" s="39"/>
      <c r="BW712" s="39"/>
      <c r="BX712" s="39"/>
      <c r="BY712" s="39"/>
      <c r="BZ712" s="39"/>
      <c r="CA712" s="39"/>
      <c r="CB712" s="39"/>
      <c r="CC712" s="39"/>
      <c r="CD712" s="39"/>
      <c r="CE712" s="39"/>
      <c r="CF712" s="39"/>
      <c r="CG712" s="39"/>
      <c r="CH712" s="39"/>
      <c r="CI712" s="39"/>
      <c r="CJ712" s="39"/>
      <c r="CK712" s="39"/>
      <c r="CL712" s="39"/>
      <c r="CM712" s="39"/>
      <c r="CN712" s="39"/>
      <c r="CO712" s="39"/>
      <c r="CP712" s="39"/>
      <c r="CQ712" s="39"/>
      <c r="CR712" s="39"/>
      <c r="CS712" s="39"/>
      <c r="CT712" s="39"/>
      <c r="CU712" s="39"/>
      <c r="CV712" s="39"/>
      <c r="CW712" s="39"/>
      <c r="CX712" s="39"/>
      <c r="CY712" s="39"/>
      <c r="CZ712" s="39"/>
      <c r="DA712" s="39"/>
      <c r="DB712" s="39"/>
      <c r="DC712" s="39"/>
      <c r="DD712" s="39"/>
      <c r="DE712" s="39"/>
      <c r="DF712" s="39"/>
      <c r="DG712" s="39"/>
      <c r="DH712" s="39"/>
      <c r="DI712" s="39"/>
    </row>
    <row r="713" spans="1:113">
      <c r="A713" s="41"/>
      <c r="B713" s="42" t="s">
        <v>519</v>
      </c>
      <c r="C713" s="48" t="s">
        <v>311</v>
      </c>
      <c r="D713" s="44" t="str">
        <f>B713&amp;TEXT(Prices!$C$45,"0.0")</f>
        <v>US$271.5</v>
      </c>
      <c r="E713" s="44" t="str">
        <f>B713&amp;TEXT(Prices!$E$45,"0.0")</f>
        <v>US$581.0</v>
      </c>
      <c r="F713" s="45">
        <f>Prices!$F$45</f>
        <v>1.1402784940691078</v>
      </c>
      <c r="G713" s="44" t="str">
        <f>Prices!$D$45</f>
        <v>Buy</v>
      </c>
      <c r="H713" s="46"/>
      <c r="I713" s="47">
        <f>CHTR!D$11/1000</f>
        <v>44.956740614659999</v>
      </c>
      <c r="J713" s="47">
        <f>CHTR!E$11/1000</f>
        <v>41.469633525647886</v>
      </c>
      <c r="K713" s="47">
        <f>CHTR!F$11/1000</f>
        <v>39.294470311857388</v>
      </c>
      <c r="L713" s="47">
        <f>CHTR!G$11/1000</f>
        <v>35.039590036473832</v>
      </c>
      <c r="M713" s="45">
        <f t="shared" si="178"/>
        <v>-7.9716999683671297E-2</v>
      </c>
      <c r="N713" s="46"/>
      <c r="O713" s="47">
        <f>(CHTR!D$12/1000)</f>
        <v>97.067999999999998</v>
      </c>
      <c r="P713" s="47">
        <f>(CHTR!E$12/1000)</f>
        <v>99.85068047110407</v>
      </c>
      <c r="Q713" s="47">
        <f>(CHTR!F$12/1000)</f>
        <v>101.06326924865618</v>
      </c>
      <c r="R713" s="47">
        <f>(CHTR!G$12/1000)</f>
        <v>105.15781058783271</v>
      </c>
      <c r="S713" s="45">
        <f t="shared" si="179"/>
        <v>2.7042663548888513E-2</v>
      </c>
      <c r="T713" s="46"/>
      <c r="U713" s="48" t="str">
        <f>D713</f>
        <v>US$271.5</v>
      </c>
      <c r="V713" s="44" t="str">
        <f t="shared" si="180"/>
        <v>Charter</v>
      </c>
      <c r="BF713" s="39"/>
      <c r="BG713" s="39"/>
      <c r="BH713" s="39"/>
      <c r="BI713" s="39"/>
      <c r="BJ713" s="39"/>
      <c r="BK713" s="39"/>
      <c r="BL713" s="39"/>
      <c r="BM713" s="39"/>
      <c r="BN713" s="39"/>
      <c r="BO713" s="39"/>
      <c r="BP713" s="39"/>
      <c r="BQ713" s="39"/>
      <c r="BR713" s="39"/>
      <c r="BS713" s="39"/>
      <c r="BT713" s="39"/>
      <c r="BU713" s="39"/>
      <c r="BV713" s="39"/>
      <c r="BW713" s="39"/>
      <c r="BX713" s="39"/>
      <c r="BY713" s="39"/>
      <c r="BZ713" s="39"/>
      <c r="CA713" s="39"/>
      <c r="CB713" s="39"/>
      <c r="CC713" s="39"/>
      <c r="CD713" s="39"/>
      <c r="CE713" s="39"/>
      <c r="CF713" s="39"/>
      <c r="CG713" s="39"/>
      <c r="CH713" s="39"/>
      <c r="CI713" s="39"/>
      <c r="CJ713" s="39"/>
      <c r="CK713" s="39"/>
      <c r="CL713" s="39"/>
      <c r="CM713" s="39"/>
      <c r="CN713" s="39"/>
      <c r="CO713" s="39"/>
      <c r="CP713" s="39"/>
      <c r="CQ713" s="39"/>
      <c r="CR713" s="39"/>
      <c r="CS713" s="39"/>
      <c r="CT713" s="39"/>
      <c r="CU713" s="39"/>
      <c r="CV713" s="39"/>
      <c r="CW713" s="39"/>
      <c r="CX713" s="39"/>
      <c r="CY713" s="39"/>
      <c r="CZ713" s="39"/>
      <c r="DA713" s="39"/>
      <c r="DB713" s="39"/>
      <c r="DC713" s="39"/>
      <c r="DD713" s="39"/>
      <c r="DE713" s="39"/>
      <c r="DF713" s="39"/>
      <c r="DG713" s="39"/>
      <c r="DH713" s="39"/>
      <c r="DI713" s="39"/>
    </row>
    <row r="714" spans="1:113">
      <c r="A714" s="41"/>
      <c r="B714" s="42" t="s">
        <v>519</v>
      </c>
      <c r="C714" s="48" t="s">
        <v>309</v>
      </c>
      <c r="D714" s="44" t="str">
        <f>B714&amp;TEXT(Prices!$C$46,"0.0")</f>
        <v>US$38.5</v>
      </c>
      <c r="E714" s="44" t="str">
        <f>B714&amp;TEXT(Prices!$E$46,"0.0")</f>
        <v>US$50.0</v>
      </c>
      <c r="F714" s="45">
        <f>Prices!$F$46</f>
        <v>0.29735339906590563</v>
      </c>
      <c r="G714" s="44" t="str">
        <f>Prices!$D$46</f>
        <v>Buy</v>
      </c>
      <c r="H714" s="46"/>
      <c r="I714" s="47">
        <f>CMCSA!D$11/1000</f>
        <v>159.90904288546733</v>
      </c>
      <c r="J714" s="47">
        <f>CMCSA!E$11/1000</f>
        <v>150.54423154605448</v>
      </c>
      <c r="K714" s="47">
        <f>CMCSA!F$11/1000</f>
        <v>142.21135336371472</v>
      </c>
      <c r="L714" s="47">
        <f>CMCSA!G$11/1000</f>
        <v>132.65764443153489</v>
      </c>
      <c r="M714" s="45">
        <f t="shared" si="178"/>
        <v>-6.0378196492654856E-2</v>
      </c>
      <c r="N714" s="46"/>
      <c r="O714" s="47">
        <f>(CMCSA!D$12/1000)</f>
        <v>87.610320071999993</v>
      </c>
      <c r="P714" s="47">
        <f>(CMCSA!E$12/1000)</f>
        <v>93.837521219944065</v>
      </c>
      <c r="Q714" s="47">
        <f>(CMCSA!F$12/1000)</f>
        <v>96.731924716820117</v>
      </c>
      <c r="R714" s="47">
        <f>(CMCSA!G$12/1000)</f>
        <v>101.16242574620256</v>
      </c>
      <c r="S714" s="45">
        <f t="shared" si="179"/>
        <v>4.9110714689955426E-2</v>
      </c>
      <c r="T714" s="46"/>
      <c r="U714" s="48" t="str">
        <f>D714</f>
        <v>US$38.5</v>
      </c>
      <c r="V714" s="44" t="str">
        <f t="shared" si="180"/>
        <v>Comcast</v>
      </c>
      <c r="BF714" s="39"/>
      <c r="BG714" s="39"/>
      <c r="BH714" s="39"/>
      <c r="BI714" s="39"/>
      <c r="BJ714" s="39"/>
      <c r="BK714" s="39"/>
      <c r="BL714" s="39"/>
      <c r="BM714" s="39"/>
      <c r="BN714" s="39"/>
      <c r="BO714" s="39"/>
      <c r="BP714" s="39"/>
      <c r="BQ714" s="39"/>
      <c r="BR714" s="39"/>
      <c r="BS714" s="39"/>
      <c r="BT714" s="39"/>
      <c r="BU714" s="39"/>
      <c r="BV714" s="39"/>
      <c r="BW714" s="39"/>
      <c r="BX714" s="39"/>
      <c r="BY714" s="39"/>
      <c r="BZ714" s="39"/>
      <c r="CA714" s="39"/>
      <c r="CB714" s="39"/>
      <c r="CC714" s="39"/>
      <c r="CD714" s="39"/>
      <c r="CE714" s="39"/>
      <c r="CF714" s="39"/>
      <c r="CG714" s="39"/>
      <c r="CH714" s="39"/>
      <c r="CI714" s="39"/>
      <c r="CJ714" s="39"/>
      <c r="CK714" s="39"/>
      <c r="CL714" s="39"/>
      <c r="CM714" s="39"/>
      <c r="CN714" s="39"/>
      <c r="CO714" s="39"/>
      <c r="CP714" s="39"/>
      <c r="CQ714" s="39"/>
      <c r="CR714" s="39"/>
      <c r="CS714" s="39"/>
      <c r="CT714" s="39"/>
      <c r="CU714" s="39"/>
      <c r="CV714" s="39"/>
      <c r="CW714" s="39"/>
      <c r="CX714" s="39"/>
      <c r="CY714" s="39"/>
      <c r="CZ714" s="39"/>
      <c r="DA714" s="39"/>
      <c r="DB714" s="39"/>
      <c r="DC714" s="39"/>
      <c r="DD714" s="39"/>
      <c r="DE714" s="39"/>
      <c r="DF714" s="39"/>
      <c r="DG714" s="39"/>
      <c r="DH714" s="39"/>
      <c r="DI714" s="39"/>
    </row>
    <row r="715" spans="1:113">
      <c r="A715" s="41"/>
      <c r="B715" s="42" t="s">
        <v>527</v>
      </c>
      <c r="C715" s="48" t="s">
        <v>1615</v>
      </c>
      <c r="D715" s="44" t="str">
        <f>B715&amp;TEXT(Prices!C$47,"0.0")</f>
        <v>US$ 25.6</v>
      </c>
      <c r="E715" s="44" t="str">
        <f>B715&amp;TEXT(Prices!E$47,"0.0")</f>
        <v>US$ 54.0</v>
      </c>
      <c r="F715" s="45">
        <f>Prices!F$47</f>
        <v>1.111024237685692</v>
      </c>
      <c r="G715" s="44" t="str">
        <f>Prices!D$47</f>
        <v>Buy</v>
      </c>
      <c r="H715" s="46"/>
      <c r="I715" s="47">
        <f>(FYBR!D$11/1000)</f>
        <v>6.2858386788986662</v>
      </c>
      <c r="J715" s="47">
        <f>(FYBR!E$11/1000)</f>
        <v>6.2676371799999986</v>
      </c>
      <c r="K715" s="47">
        <f>(FYBR!F$11/1000)</f>
        <v>6.2676371799999986</v>
      </c>
      <c r="L715" s="47">
        <f>(FYBR!G$11/1000)</f>
        <v>6.2676371799999986</v>
      </c>
      <c r="M715" s="45">
        <f t="shared" si="178"/>
        <v>-9.6614503644754102E-4</v>
      </c>
      <c r="N715" s="46"/>
      <c r="O715" s="47">
        <f>(FYBR!D$12/1000)</f>
        <v>9.0609999999999999</v>
      </c>
      <c r="P715" s="47">
        <f>(FYBR!E$12/1000)</f>
        <v>9.7453625848544991</v>
      </c>
      <c r="Q715" s="47">
        <f>(FYBR!F$12/1000)</f>
        <v>10.484948429845428</v>
      </c>
      <c r="R715" s="47">
        <f>(FYBR!G$12/1000)</f>
        <v>10.750025487732428</v>
      </c>
      <c r="S715" s="45">
        <f t="shared" si="179"/>
        <v>5.8630627490400711E-2</v>
      </c>
      <c r="T715" s="46"/>
      <c r="U715" s="48" t="str">
        <f>D715</f>
        <v>US$ 25.6</v>
      </c>
      <c r="V715" s="44" t="str">
        <f t="shared" si="180"/>
        <v>Frontier</v>
      </c>
      <c r="BF715" s="39"/>
      <c r="BG715" s="39"/>
      <c r="BH715" s="39"/>
      <c r="BI715" s="39"/>
      <c r="BJ715" s="39"/>
      <c r="BK715" s="39"/>
      <c r="BL715" s="39"/>
      <c r="BM715" s="39"/>
      <c r="BN715" s="39"/>
      <c r="BO715" s="39"/>
      <c r="BP715" s="39"/>
      <c r="BQ715" s="39"/>
      <c r="BR715" s="39"/>
      <c r="BS715" s="39"/>
      <c r="BT715" s="39"/>
      <c r="BU715" s="39"/>
      <c r="BV715" s="39"/>
      <c r="BW715" s="39"/>
      <c r="BX715" s="39"/>
      <c r="BY715" s="39"/>
      <c r="BZ715" s="39"/>
      <c r="CA715" s="39"/>
      <c r="CB715" s="39"/>
      <c r="CC715" s="39"/>
      <c r="CD715" s="39"/>
      <c r="CE715" s="39"/>
      <c r="CF715" s="39"/>
      <c r="CG715" s="39"/>
      <c r="CH715" s="39"/>
      <c r="CI715" s="39"/>
      <c r="CJ715" s="39"/>
      <c r="CK715" s="39"/>
      <c r="CL715" s="39"/>
      <c r="CM715" s="39"/>
      <c r="CN715" s="39"/>
      <c r="CO715" s="39"/>
      <c r="CP715" s="39"/>
      <c r="CQ715" s="39"/>
      <c r="CR715" s="39"/>
      <c r="CS715" s="39"/>
      <c r="CT715" s="39"/>
      <c r="CU715" s="39"/>
      <c r="CV715" s="39"/>
      <c r="CW715" s="39"/>
      <c r="CX715" s="39"/>
      <c r="CY715" s="39"/>
      <c r="CZ715" s="39"/>
      <c r="DA715" s="39"/>
      <c r="DB715" s="39"/>
      <c r="DC715" s="39"/>
      <c r="DD715" s="39"/>
      <c r="DE715" s="39"/>
      <c r="DF715" s="39"/>
      <c r="DG715" s="39"/>
      <c r="DH715" s="39"/>
      <c r="DI715" s="39"/>
    </row>
    <row r="716" spans="1:113">
      <c r="A716" s="41"/>
      <c r="B716" s="42" t="s">
        <v>527</v>
      </c>
      <c r="C716" s="48" t="s">
        <v>1616</v>
      </c>
      <c r="D716" s="44" t="str">
        <f>B716&amp;TEXT(Prices!C$48,"0.0")</f>
        <v>US$ 18.5</v>
      </c>
      <c r="E716" s="44" t="str">
        <f>B716&amp;TEXT(Prices!E$48,"0.0")</f>
        <v>US$ 100.0</v>
      </c>
      <c r="F716" s="45">
        <f>Prices!F$48</f>
        <v>4.408328826392645</v>
      </c>
      <c r="G716" s="44" t="str">
        <f>Prices!D$48</f>
        <v>Buy</v>
      </c>
      <c r="H716" s="46"/>
      <c r="I716" s="47">
        <f>(SATS!D$11/1000)</f>
        <v>5.0150472821548187</v>
      </c>
      <c r="J716" s="47">
        <f>(SATS!E$11/1000)</f>
        <v>5.0150472821548187</v>
      </c>
      <c r="K716" s="47">
        <f>(SATS!F$11/1000)</f>
        <v>5.0150472821548187</v>
      </c>
      <c r="L716" s="47">
        <f>(SATS!G$11/1000)</f>
        <v>5.0150472821548187</v>
      </c>
      <c r="M716" s="45">
        <f t="shared" si="178"/>
        <v>0</v>
      </c>
      <c r="N716" s="46"/>
      <c r="O716" s="47">
        <f>(SATS!D$12/1000)</f>
        <v>20.254722332354586</v>
      </c>
      <c r="P716" s="47">
        <f>(SATS!E$12/1000)</f>
        <v>19.733047830269737</v>
      </c>
      <c r="Q716" s="47">
        <f>(SATS!F$12/1000)</f>
        <v>18.811713063872315</v>
      </c>
      <c r="R716" s="47">
        <f>(SATS!G$12/1000)</f>
        <v>14.576255951042933</v>
      </c>
      <c r="S716" s="45">
        <f t="shared" si="179"/>
        <v>-0.10386543154841965</v>
      </c>
      <c r="T716" s="46"/>
      <c r="U716" s="48" t="str">
        <f>D716</f>
        <v>US$ 18.5</v>
      </c>
      <c r="V716" s="44" t="str">
        <f t="shared" si="180"/>
        <v>EchoStar</v>
      </c>
      <c r="BF716" s="39"/>
      <c r="BG716" s="39"/>
      <c r="BH716" s="39"/>
      <c r="BI716" s="39"/>
      <c r="BJ716" s="39"/>
      <c r="BK716" s="39"/>
      <c r="BL716" s="39"/>
      <c r="BM716" s="39"/>
      <c r="BN716" s="39"/>
      <c r="BO716" s="39"/>
      <c r="BP716" s="39"/>
      <c r="BQ716" s="39"/>
      <c r="BR716" s="39"/>
      <c r="BS716" s="39"/>
      <c r="BT716" s="39"/>
      <c r="BU716" s="39"/>
      <c r="BV716" s="39"/>
      <c r="BW716" s="39"/>
      <c r="BX716" s="39"/>
      <c r="BY716" s="39"/>
      <c r="BZ716" s="39"/>
      <c r="CA716" s="39"/>
      <c r="CB716" s="39"/>
      <c r="CC716" s="39"/>
      <c r="CD716" s="39"/>
      <c r="CE716" s="39"/>
      <c r="CF716" s="39"/>
      <c r="CG716" s="39"/>
      <c r="CH716" s="39"/>
      <c r="CI716" s="39"/>
      <c r="CJ716" s="39"/>
      <c r="CK716" s="39"/>
      <c r="CL716" s="39"/>
      <c r="CM716" s="39"/>
      <c r="CN716" s="39"/>
      <c r="CO716" s="39"/>
      <c r="CP716" s="39"/>
      <c r="CQ716" s="39"/>
      <c r="CR716" s="39"/>
      <c r="CS716" s="39"/>
      <c r="CT716" s="39"/>
      <c r="CU716" s="39"/>
      <c r="CV716" s="39"/>
      <c r="CW716" s="39"/>
      <c r="CX716" s="39"/>
      <c r="CY716" s="39"/>
      <c r="CZ716" s="39"/>
      <c r="DA716" s="39"/>
      <c r="DB716" s="39"/>
      <c r="DC716" s="39"/>
      <c r="DD716" s="39"/>
      <c r="DE716" s="39"/>
      <c r="DF716" s="39"/>
      <c r="DG716" s="39"/>
      <c r="DH716" s="39"/>
      <c r="DI716" s="39"/>
    </row>
    <row r="717" spans="1:113">
      <c r="A717" s="41"/>
      <c r="C717" s="51" t="str">
        <f>C657</f>
        <v>Agg. US Other</v>
      </c>
      <c r="D717" s="58"/>
      <c r="E717" s="58"/>
      <c r="F717" s="55"/>
      <c r="G717" s="58"/>
      <c r="H717" s="56"/>
      <c r="I717" s="54">
        <f>('US OTHER'!D$11/1000)</f>
        <v>217.22690275868081</v>
      </c>
      <c r="J717" s="54">
        <f>('US OTHER'!E$11/1000)</f>
        <v>204.35706688629875</v>
      </c>
      <c r="K717" s="54">
        <f>('US OTHER'!F$11/1000)</f>
        <v>193.84953129020292</v>
      </c>
      <c r="L717" s="54">
        <f>('US OTHER'!G$11/1000)</f>
        <v>180.04144788267394</v>
      </c>
      <c r="M717" s="55">
        <f t="shared" si="178"/>
        <v>-6.0666894018180151E-2</v>
      </c>
      <c r="N717" s="56"/>
      <c r="O717" s="66">
        <f>('US OTHER'!D$12/1000)</f>
        <v>238.41604240435456</v>
      </c>
      <c r="P717" s="66">
        <f>('US OTHER'!E$12/1000)</f>
        <v>247.57841974590164</v>
      </c>
      <c r="Q717" s="66">
        <f>('US OTHER'!F$12/1000)</f>
        <v>251.49667330499119</v>
      </c>
      <c r="R717" s="66">
        <f>('US OTHER'!G$12/1000)</f>
        <v>255.92745199979464</v>
      </c>
      <c r="S717" s="55">
        <f t="shared" si="179"/>
        <v>2.3906891553946208E-2</v>
      </c>
      <c r="T717" s="56"/>
      <c r="U717" s="51"/>
      <c r="V717" s="58" t="str">
        <f t="shared" si="180"/>
        <v>Agg. US Other</v>
      </c>
      <c r="BF717" s="39"/>
      <c r="BG717" s="39"/>
      <c r="BH717" s="39"/>
      <c r="BI717" s="39"/>
      <c r="BJ717" s="39"/>
      <c r="BK717" s="39"/>
      <c r="BL717" s="39"/>
      <c r="BM717" s="39"/>
      <c r="BN717" s="39"/>
      <c r="BO717" s="39"/>
      <c r="BP717" s="39"/>
      <c r="BQ717" s="39"/>
      <c r="BR717" s="39"/>
      <c r="BS717" s="39"/>
      <c r="BT717" s="39"/>
      <c r="BU717" s="39"/>
      <c r="BV717" s="39"/>
      <c r="BW717" s="39"/>
      <c r="BX717" s="39"/>
      <c r="BY717" s="39"/>
      <c r="BZ717" s="39"/>
      <c r="CA717" s="39"/>
      <c r="CB717" s="39"/>
      <c r="CC717" s="39"/>
      <c r="CD717" s="39"/>
      <c r="CE717" s="39"/>
      <c r="CF717" s="39"/>
      <c r="CG717" s="39"/>
      <c r="CH717" s="39"/>
      <c r="CI717" s="39"/>
      <c r="CJ717" s="39"/>
      <c r="CK717" s="39"/>
      <c r="CL717" s="39"/>
      <c r="CM717" s="39"/>
      <c r="CN717" s="39"/>
      <c r="CO717" s="39"/>
      <c r="CP717" s="39"/>
      <c r="CQ717" s="39"/>
      <c r="CR717" s="39"/>
      <c r="CS717" s="39"/>
      <c r="CT717" s="39"/>
      <c r="CU717" s="39"/>
      <c r="CV717" s="39"/>
      <c r="CW717" s="39"/>
      <c r="CX717" s="39"/>
      <c r="CY717" s="39"/>
      <c r="CZ717" s="39"/>
      <c r="DA717" s="39"/>
      <c r="DB717" s="39"/>
      <c r="DC717" s="39"/>
      <c r="DD717" s="39"/>
      <c r="DE717" s="39"/>
      <c r="DF717" s="39"/>
      <c r="DG717" s="39"/>
      <c r="DH717" s="39"/>
      <c r="DI717" s="39"/>
    </row>
    <row r="718" spans="1:113">
      <c r="A718" s="41"/>
      <c r="C718" s="48"/>
      <c r="D718" s="44"/>
      <c r="E718" s="44"/>
      <c r="F718" s="45"/>
      <c r="G718" s="44"/>
      <c r="H718" s="46"/>
      <c r="I718" s="47"/>
      <c r="J718" s="47"/>
      <c r="K718" s="47"/>
      <c r="L718" s="47"/>
      <c r="M718" s="45"/>
      <c r="N718" s="46"/>
      <c r="O718" s="47"/>
      <c r="P718" s="47"/>
      <c r="Q718" s="47"/>
      <c r="R718" s="47"/>
      <c r="S718" s="45"/>
      <c r="T718" s="46"/>
      <c r="U718" s="48"/>
      <c r="V718" s="44"/>
      <c r="BF718" s="39"/>
      <c r="BG718" s="39"/>
      <c r="BH718" s="39"/>
      <c r="BI718" s="39"/>
      <c r="BJ718" s="39"/>
      <c r="BK718" s="39"/>
      <c r="BL718" s="39"/>
      <c r="BM718" s="39"/>
      <c r="BN718" s="39"/>
      <c r="BO718" s="39"/>
      <c r="BP718" s="39"/>
      <c r="BQ718" s="39"/>
      <c r="BR718" s="39"/>
      <c r="BS718" s="39"/>
      <c r="BT718" s="39"/>
      <c r="BU718" s="39"/>
      <c r="BV718" s="39"/>
      <c r="BW718" s="39"/>
      <c r="BX718" s="39"/>
      <c r="BY718" s="39"/>
      <c r="BZ718" s="39"/>
      <c r="CA718" s="39"/>
      <c r="CB718" s="39"/>
      <c r="CC718" s="39"/>
      <c r="CD718" s="39"/>
      <c r="CE718" s="39"/>
      <c r="CF718" s="39"/>
      <c r="CG718" s="39"/>
      <c r="CH718" s="39"/>
      <c r="CI718" s="39"/>
      <c r="CJ718" s="39"/>
      <c r="CK718" s="39"/>
      <c r="CL718" s="39"/>
      <c r="CM718" s="39"/>
      <c r="CN718" s="39"/>
      <c r="CO718" s="39"/>
      <c r="CP718" s="39"/>
      <c r="CQ718" s="39"/>
      <c r="CR718" s="39"/>
      <c r="CS718" s="39"/>
      <c r="CT718" s="39"/>
      <c r="CU718" s="39"/>
      <c r="CV718" s="39"/>
      <c r="CW718" s="39"/>
      <c r="CX718" s="39"/>
      <c r="CY718" s="39"/>
      <c r="CZ718" s="39"/>
      <c r="DA718" s="39"/>
      <c r="DB718" s="39"/>
      <c r="DC718" s="39"/>
      <c r="DD718" s="39"/>
      <c r="DE718" s="39"/>
      <c r="DF718" s="39"/>
      <c r="DG718" s="39"/>
      <c r="DH718" s="39"/>
      <c r="DI718" s="39"/>
    </row>
    <row r="719" spans="1:113">
      <c r="C719" s="48"/>
      <c r="D719" s="44"/>
      <c r="E719" s="44"/>
      <c r="F719" s="45"/>
      <c r="G719" s="44"/>
      <c r="H719" s="46"/>
      <c r="I719" s="47"/>
      <c r="J719" s="47"/>
      <c r="K719" s="47"/>
      <c r="L719" s="47"/>
      <c r="M719" s="45"/>
      <c r="N719" s="46"/>
      <c r="O719" s="47"/>
      <c r="P719" s="47"/>
      <c r="Q719" s="47"/>
      <c r="R719" s="47"/>
      <c r="S719" s="45"/>
      <c r="T719" s="46"/>
      <c r="U719" s="48"/>
      <c r="V719" s="44"/>
      <c r="BF719" s="39"/>
      <c r="BG719" s="39"/>
      <c r="BH719" s="39"/>
      <c r="BI719" s="39"/>
      <c r="BJ719" s="39"/>
      <c r="BK719" s="39"/>
      <c r="BL719" s="39"/>
      <c r="BM719" s="39"/>
      <c r="BN719" s="39"/>
      <c r="BO719" s="39"/>
      <c r="BP719" s="39"/>
      <c r="BQ719" s="39"/>
      <c r="BR719" s="39"/>
      <c r="BS719" s="39"/>
      <c r="BT719" s="39"/>
      <c r="BU719" s="39"/>
      <c r="BV719" s="39"/>
      <c r="BW719" s="39"/>
      <c r="BX719" s="39"/>
      <c r="BY719" s="39"/>
      <c r="BZ719" s="39"/>
      <c r="CA719" s="39"/>
      <c r="CB719" s="39"/>
      <c r="CC719" s="39"/>
      <c r="CD719" s="39"/>
      <c r="CE719" s="39"/>
      <c r="CF719" s="39"/>
      <c r="CG719" s="39"/>
      <c r="CH719" s="39"/>
      <c r="CI719" s="39"/>
      <c r="CJ719" s="39"/>
      <c r="CK719" s="39"/>
      <c r="CL719" s="39"/>
      <c r="CM719" s="39"/>
      <c r="CN719" s="39"/>
      <c r="CO719" s="39"/>
      <c r="CP719" s="39"/>
      <c r="CQ719" s="39"/>
      <c r="CR719" s="39"/>
      <c r="CS719" s="39"/>
      <c r="CT719" s="39"/>
      <c r="CU719" s="39"/>
      <c r="CV719" s="39"/>
      <c r="CW719" s="39"/>
      <c r="CX719" s="39"/>
      <c r="CY719" s="39"/>
      <c r="CZ719" s="39"/>
      <c r="DA719" s="39"/>
      <c r="DB719" s="39"/>
      <c r="DC719" s="39"/>
      <c r="DD719" s="39"/>
      <c r="DE719" s="39"/>
      <c r="DF719" s="39"/>
      <c r="DG719" s="39"/>
      <c r="DH719" s="39"/>
      <c r="DI719" s="39"/>
    </row>
    <row r="720" spans="1:113">
      <c r="C720" s="51" t="str">
        <f>C660</f>
        <v>Agg. W Europe</v>
      </c>
      <c r="D720" s="52"/>
      <c r="E720" s="52"/>
      <c r="F720" s="53"/>
      <c r="G720" s="52"/>
      <c r="H720" s="46"/>
      <c r="I720" s="54">
        <f>'W.EUR AGG'!$D$11/1000</f>
        <v>333.0866904178464</v>
      </c>
      <c r="J720" s="54">
        <f>'W.EUR AGG'!$E$11/1000</f>
        <v>327.53325343023698</v>
      </c>
      <c r="K720" s="54">
        <f>'W.EUR AGG'!$F$11/1000</f>
        <v>326.46564284227935</v>
      </c>
      <c r="L720" s="54">
        <f>'W.EUR AGG'!$G$11/1000</f>
        <v>325.67086453131458</v>
      </c>
      <c r="M720" s="55">
        <f>(L720/I720)^(1/3)-1</f>
        <v>-7.4770845863842972E-3</v>
      </c>
      <c r="N720" s="56"/>
      <c r="O720" s="54">
        <f>'W.EUR AGG'!$D$12/1000</f>
        <v>283.93638804780454</v>
      </c>
      <c r="P720" s="54">
        <f>'W.EUR AGG'!$E$12/1000</f>
        <v>288.00995068449987</v>
      </c>
      <c r="Q720" s="54">
        <f>'W.EUR AGG'!$F$12/1000</f>
        <v>288.62149142442911</v>
      </c>
      <c r="R720" s="54">
        <f>'W.EUR AGG'!$G$12/1000</f>
        <v>280.18825648599744</v>
      </c>
      <c r="S720" s="55">
        <f>(R720/O720)^(1/3)-1</f>
        <v>-4.4197060541639743E-3</v>
      </c>
      <c r="T720" s="46"/>
      <c r="U720" s="57"/>
      <c r="V720" s="58" t="str">
        <f>V660</f>
        <v>Agg. W Europe</v>
      </c>
      <c r="BF720" s="39"/>
      <c r="BG720" s="39"/>
      <c r="BH720" s="39"/>
      <c r="BI720" s="39"/>
      <c r="BJ720" s="39"/>
      <c r="BK720" s="39"/>
      <c r="BL720" s="39"/>
      <c r="BM720" s="39"/>
      <c r="BN720" s="39"/>
      <c r="BO720" s="39"/>
      <c r="BP720" s="39"/>
      <c r="BQ720" s="39"/>
      <c r="BR720" s="39"/>
      <c r="BS720" s="39"/>
      <c r="BT720" s="39"/>
      <c r="BU720" s="39"/>
      <c r="BV720" s="39"/>
      <c r="BW720" s="39"/>
      <c r="BX720" s="39"/>
      <c r="BY720" s="39"/>
      <c r="BZ720" s="39"/>
      <c r="CA720" s="39"/>
      <c r="CB720" s="39"/>
      <c r="CC720" s="39"/>
      <c r="CD720" s="39"/>
      <c r="CE720" s="39"/>
      <c r="CF720" s="39"/>
      <c r="CG720" s="39"/>
      <c r="CH720" s="39"/>
      <c r="CI720" s="39"/>
      <c r="CJ720" s="39"/>
      <c r="CK720" s="39"/>
      <c r="CL720" s="39"/>
      <c r="CM720" s="39"/>
      <c r="CN720" s="39"/>
      <c r="CO720" s="39"/>
      <c r="CP720" s="39"/>
      <c r="CQ720" s="39"/>
      <c r="CR720" s="39"/>
      <c r="CS720" s="39"/>
      <c r="CT720" s="39"/>
      <c r="CU720" s="39"/>
      <c r="CV720" s="39"/>
      <c r="CW720" s="39"/>
      <c r="CX720" s="39"/>
      <c r="CY720" s="39"/>
      <c r="CZ720" s="39"/>
      <c r="DA720" s="39"/>
      <c r="DB720" s="39"/>
      <c r="DC720" s="39"/>
      <c r="DD720" s="39"/>
      <c r="DE720" s="39"/>
      <c r="DF720" s="39"/>
      <c r="DG720" s="39"/>
      <c r="DH720" s="39"/>
      <c r="DI720" s="39"/>
    </row>
    <row r="721" spans="1:113">
      <c r="C721" s="41" t="s">
        <v>1621</v>
      </c>
      <c r="D721" s="44"/>
      <c r="E721" s="44"/>
      <c r="F721" s="45"/>
      <c r="G721" s="44"/>
      <c r="H721" s="46"/>
      <c r="I721" s="60">
        <f>'US AGG'!D$11/1000</f>
        <v>900.83244216523462</v>
      </c>
      <c r="J721" s="60">
        <f>'US AGG'!E$11/1000</f>
        <v>873.62962430559026</v>
      </c>
      <c r="K721" s="60">
        <f>'US AGG'!F$11/1000</f>
        <v>842.05229317752651</v>
      </c>
      <c r="L721" s="60">
        <f>'US AGG'!G$11/1000</f>
        <v>808.47069683569441</v>
      </c>
      <c r="M721" s="59">
        <f>(L721/I721)^(1/3)-1</f>
        <v>-3.5415923175468711E-2</v>
      </c>
      <c r="N721" s="56"/>
      <c r="O721" s="60">
        <f>'US AGG'!D$12/1000</f>
        <v>627.37880730428094</v>
      </c>
      <c r="P721" s="60">
        <f>'US AGG'!E$12/1000</f>
        <v>628.02301761307558</v>
      </c>
      <c r="Q721" s="60">
        <f>'US AGG'!F$12/1000</f>
        <v>621.06527672328082</v>
      </c>
      <c r="R721" s="60">
        <f>'US AGG'!G$12/1000</f>
        <v>613.47664695300523</v>
      </c>
      <c r="S721" s="59">
        <f>(R721/O721)^(1/3)-1</f>
        <v>-7.4416125414432654E-3</v>
      </c>
      <c r="T721" s="46"/>
      <c r="U721" s="48"/>
      <c r="V721" s="50" t="str">
        <f>V661</f>
        <v>Agg. US</v>
      </c>
      <c r="BF721" s="39"/>
      <c r="BG721" s="39"/>
      <c r="BH721" s="39"/>
      <c r="BI721" s="39"/>
      <c r="BJ721" s="39"/>
      <c r="BK721" s="39"/>
      <c r="BL721" s="39"/>
      <c r="BM721" s="39"/>
      <c r="BN721" s="39"/>
      <c r="BO721" s="39"/>
      <c r="BP721" s="39"/>
      <c r="BQ721" s="39"/>
      <c r="BR721" s="39"/>
      <c r="BS721" s="39"/>
      <c r="BT721" s="39"/>
      <c r="BU721" s="39"/>
      <c r="BV721" s="39"/>
      <c r="BW721" s="39"/>
      <c r="BX721" s="39"/>
      <c r="BY721" s="39"/>
      <c r="BZ721" s="39"/>
      <c r="CA721" s="39"/>
      <c r="CB721" s="39"/>
      <c r="CC721" s="39"/>
      <c r="CD721" s="39"/>
      <c r="CE721" s="39"/>
      <c r="CF721" s="39"/>
      <c r="CG721" s="39"/>
      <c r="CH721" s="39"/>
      <c r="CI721" s="39"/>
      <c r="CJ721" s="39"/>
      <c r="CK721" s="39"/>
      <c r="CL721" s="39"/>
      <c r="CM721" s="39"/>
      <c r="CN721" s="39"/>
      <c r="CO721" s="39"/>
      <c r="CP721" s="39"/>
      <c r="CQ721" s="39"/>
      <c r="CR721" s="39"/>
      <c r="CS721" s="39"/>
      <c r="CT721" s="39"/>
      <c r="CU721" s="39"/>
      <c r="CV721" s="39"/>
      <c r="CW721" s="39"/>
      <c r="CX721" s="39"/>
      <c r="CY721" s="39"/>
      <c r="CZ721" s="39"/>
      <c r="DA721" s="39"/>
      <c r="DB721" s="39"/>
      <c r="DC721" s="39"/>
      <c r="DD721" s="39"/>
      <c r="DE721" s="39"/>
      <c r="DF721" s="39"/>
      <c r="DG721" s="39"/>
      <c r="DH721" s="39"/>
      <c r="DI721" s="39"/>
    </row>
    <row r="722" spans="1:113">
      <c r="C722" s="67" t="str">
        <f>C662</f>
        <v xml:space="preserve">Agg. Developed Asia </v>
      </c>
      <c r="D722" s="52"/>
      <c r="E722" s="52"/>
      <c r="F722" s="53"/>
      <c r="G722" s="52"/>
      <c r="H722" s="46"/>
      <c r="I722" s="54">
        <f>'AGG DM ASIA'!$D$11/1000</f>
        <v>280.59538012545477</v>
      </c>
      <c r="J722" s="54">
        <f>'AGG DM ASIA'!$E$11/1000</f>
        <v>277.91658040894572</v>
      </c>
      <c r="K722" s="54">
        <f>'AGG DM ASIA'!$F$11/1000</f>
        <v>274.925840730684</v>
      </c>
      <c r="L722" s="54">
        <f>'AGG DM ASIA'!$G$11/1000</f>
        <v>271.92273006845812</v>
      </c>
      <c r="M722" s="55">
        <f>(L722/I722)^(1/3)-1</f>
        <v>-1.0410682424666029E-2</v>
      </c>
      <c r="N722" s="56"/>
      <c r="O722" s="54">
        <f>'AGG DM ASIA'!$D$12/1000</f>
        <v>98.906474445930385</v>
      </c>
      <c r="P722" s="54">
        <f>'AGG DM ASIA'!$E$12/1000</f>
        <v>93.121027910469934</v>
      </c>
      <c r="Q722" s="54">
        <f>'AGG DM ASIA'!$F$12/1000</f>
        <v>88.120707207489588</v>
      </c>
      <c r="R722" s="54">
        <f>'AGG DM ASIA'!$G$12/1000</f>
        <v>83.043776099107873</v>
      </c>
      <c r="S722" s="55">
        <f>(R722/O722)^(1/3)-1</f>
        <v>-5.660380032853507E-2</v>
      </c>
      <c r="T722" s="46"/>
      <c r="U722" s="57"/>
      <c r="V722" s="58" t="str">
        <f>V662</f>
        <v xml:space="preserve">Agg. Developed Asia </v>
      </c>
      <c r="BF722" s="39"/>
      <c r="BG722" s="39"/>
      <c r="BH722" s="39"/>
      <c r="BI722" s="39"/>
      <c r="BJ722" s="39"/>
      <c r="BK722" s="39"/>
      <c r="BL722" s="39"/>
      <c r="BM722" s="39"/>
      <c r="BN722" s="39"/>
      <c r="BO722" s="39"/>
      <c r="BP722" s="39"/>
      <c r="BQ722" s="39"/>
      <c r="BR722" s="39"/>
      <c r="BS722" s="39"/>
      <c r="BT722" s="39"/>
      <c r="BU722" s="39"/>
      <c r="BV722" s="39"/>
      <c r="BW722" s="39"/>
      <c r="BX722" s="39"/>
      <c r="BY722" s="39"/>
      <c r="BZ722" s="39"/>
      <c r="CA722" s="39"/>
      <c r="CB722" s="39"/>
      <c r="CC722" s="39"/>
      <c r="CD722" s="39"/>
      <c r="CE722" s="39"/>
      <c r="CF722" s="39"/>
      <c r="CG722" s="39"/>
      <c r="CH722" s="39"/>
      <c r="CI722" s="39"/>
      <c r="CJ722" s="39"/>
      <c r="CK722" s="39"/>
      <c r="CL722" s="39"/>
      <c r="CM722" s="39"/>
      <c r="CN722" s="39"/>
      <c r="CO722" s="39"/>
      <c r="CP722" s="39"/>
      <c r="CQ722" s="39"/>
      <c r="CR722" s="39"/>
      <c r="CS722" s="39"/>
      <c r="CT722" s="39"/>
      <c r="CU722" s="39"/>
      <c r="CV722" s="39"/>
      <c r="CW722" s="39"/>
      <c r="CX722" s="39"/>
      <c r="CY722" s="39"/>
      <c r="CZ722" s="39"/>
      <c r="DA722" s="39"/>
      <c r="DB722" s="39"/>
      <c r="DC722" s="39"/>
      <c r="DD722" s="39"/>
      <c r="DE722" s="39"/>
      <c r="DF722" s="39"/>
      <c r="DG722" s="39"/>
      <c r="DH722" s="39"/>
      <c r="DI722" s="39"/>
    </row>
    <row r="723" spans="1:113">
      <c r="C723" s="41"/>
      <c r="D723" s="44"/>
      <c r="E723" s="44"/>
      <c r="F723" s="45"/>
      <c r="G723" s="44"/>
      <c r="H723" s="46"/>
      <c r="I723" s="60"/>
      <c r="J723" s="60"/>
      <c r="K723" s="60"/>
      <c r="L723" s="60"/>
      <c r="M723" s="59"/>
      <c r="N723" s="56"/>
      <c r="O723" s="60"/>
      <c r="P723" s="60"/>
      <c r="Q723" s="60"/>
      <c r="R723" s="60"/>
      <c r="S723" s="59"/>
      <c r="T723" s="46"/>
      <c r="U723" s="48"/>
      <c r="V723" s="50"/>
      <c r="BF723" s="39"/>
      <c r="BG723" s="39"/>
      <c r="BH723" s="39"/>
      <c r="BI723" s="39"/>
      <c r="BJ723" s="39"/>
      <c r="BK723" s="39"/>
      <c r="BL723" s="39"/>
      <c r="BM723" s="39"/>
      <c r="BN723" s="39"/>
      <c r="BO723" s="39"/>
      <c r="BP723" s="39"/>
      <c r="BQ723" s="39"/>
      <c r="BR723" s="39"/>
      <c r="BS723" s="39"/>
      <c r="BT723" s="39"/>
      <c r="BU723" s="39"/>
      <c r="BV723" s="39"/>
      <c r="BW723" s="39"/>
      <c r="BX723" s="39"/>
      <c r="BY723" s="39"/>
      <c r="BZ723" s="39"/>
      <c r="CA723" s="39"/>
      <c r="CB723" s="39"/>
      <c r="CC723" s="39"/>
      <c r="CD723" s="39"/>
      <c r="CE723" s="39"/>
      <c r="CF723" s="39"/>
      <c r="CG723" s="39"/>
      <c r="CH723" s="39"/>
      <c r="CI723" s="39"/>
      <c r="CJ723" s="39"/>
      <c r="CK723" s="39"/>
      <c r="CL723" s="39"/>
      <c r="CM723" s="39"/>
      <c r="CN723" s="39"/>
      <c r="CO723" s="39"/>
      <c r="CP723" s="39"/>
      <c r="CQ723" s="39"/>
      <c r="CR723" s="39"/>
      <c r="CS723" s="39"/>
      <c r="CT723" s="39"/>
      <c r="CU723" s="39"/>
      <c r="CV723" s="39"/>
      <c r="CW723" s="39"/>
      <c r="CX723" s="39"/>
      <c r="CY723" s="39"/>
      <c r="CZ723" s="39"/>
      <c r="DA723" s="39"/>
      <c r="DB723" s="39"/>
      <c r="DC723" s="39"/>
      <c r="DD723" s="39"/>
      <c r="DE723" s="39"/>
      <c r="DF723" s="39"/>
      <c r="DG723" s="39"/>
      <c r="DH723" s="39"/>
      <c r="DI723" s="39"/>
    </row>
    <row r="724" spans="1:113">
      <c r="C724" s="67" t="str">
        <f>C664</f>
        <v>Agg. Global Developed</v>
      </c>
      <c r="D724" s="52"/>
      <c r="E724" s="52"/>
      <c r="F724" s="53"/>
      <c r="G724" s="52"/>
      <c r="H724" s="46"/>
      <c r="I724" s="54">
        <f>'AGG DM'!$D$11/1000</f>
        <v>1542.6936467178855</v>
      </c>
      <c r="J724" s="54">
        <f>'AGG DM'!$E$11/1000</f>
        <v>1506.7887713849711</v>
      </c>
      <c r="K724" s="54">
        <f>'AGG DM'!$F$11/1000</f>
        <v>1471.0627701349467</v>
      </c>
      <c r="L724" s="54">
        <f>'AGG DM'!$G$11/1000</f>
        <v>1433.6160465748164</v>
      </c>
      <c r="M724" s="55">
        <f>(L724/I724)^(1/3)-1</f>
        <v>-2.4147031670185393E-2</v>
      </c>
      <c r="N724" s="56"/>
      <c r="O724" s="54">
        <f>'AGG DM'!$D$12/1000</f>
        <v>1034.2426882268601</v>
      </c>
      <c r="P724" s="54">
        <f>'AGG DM'!$E$12/1000</f>
        <v>1033.5196380359539</v>
      </c>
      <c r="Q724" s="54">
        <f>'AGG DM'!$F$12/1000</f>
        <v>1022.2248535297061</v>
      </c>
      <c r="R724" s="54">
        <f>'AGG DM'!$G$12/1000</f>
        <v>1000.4126060368259</v>
      </c>
      <c r="S724" s="55">
        <f>(R724/O724)^(1/3)-1</f>
        <v>-1.1024425914778702E-2</v>
      </c>
      <c r="T724" s="46"/>
      <c r="U724" s="57"/>
      <c r="V724" s="58" t="str">
        <f>V664</f>
        <v xml:space="preserve">Agg. Global Developed </v>
      </c>
      <c r="BF724" s="39"/>
      <c r="BG724" s="39"/>
      <c r="BH724" s="39"/>
      <c r="BI724" s="39"/>
      <c r="BJ724" s="39"/>
      <c r="BK724" s="39"/>
      <c r="BL724" s="39"/>
      <c r="BM724" s="39"/>
      <c r="BN724" s="39"/>
      <c r="BO724" s="39"/>
      <c r="BP724" s="39"/>
      <c r="BQ724" s="39"/>
      <c r="BR724" s="39"/>
      <c r="BS724" s="39"/>
      <c r="BT724" s="39"/>
      <c r="BU724" s="39"/>
      <c r="BV724" s="39"/>
      <c r="BW724" s="39"/>
      <c r="BX724" s="39"/>
      <c r="BY724" s="39"/>
      <c r="BZ724" s="39"/>
      <c r="CA724" s="39"/>
      <c r="CB724" s="39"/>
      <c r="CC724" s="39"/>
      <c r="CD724" s="39"/>
      <c r="CE724" s="39"/>
      <c r="CF724" s="39"/>
      <c r="CG724" s="39"/>
      <c r="CH724" s="39"/>
      <c r="CI724" s="39"/>
      <c r="CJ724" s="39"/>
      <c r="CK724" s="39"/>
      <c r="CL724" s="39"/>
      <c r="CM724" s="39"/>
      <c r="CN724" s="39"/>
      <c r="CO724" s="39"/>
      <c r="CP724" s="39"/>
      <c r="CQ724" s="39"/>
      <c r="CR724" s="39"/>
      <c r="CS724" s="39"/>
      <c r="CT724" s="39"/>
      <c r="CU724" s="39"/>
      <c r="CV724" s="39"/>
      <c r="CW724" s="39"/>
      <c r="CX724" s="39"/>
      <c r="CY724" s="39"/>
      <c r="CZ724" s="39"/>
      <c r="DA724" s="39"/>
      <c r="DB724" s="39"/>
      <c r="DC724" s="39"/>
      <c r="DD724" s="39"/>
      <c r="DE724" s="39"/>
      <c r="DF724" s="39"/>
      <c r="DG724" s="39"/>
      <c r="DH724" s="39"/>
      <c r="DI724" s="39"/>
    </row>
    <row r="725" spans="1:113">
      <c r="C725" s="43"/>
      <c r="D725" s="44"/>
      <c r="E725" s="44"/>
      <c r="F725" s="45"/>
      <c r="G725" s="44"/>
      <c r="H725" s="134"/>
      <c r="I725" s="47"/>
      <c r="J725" s="47"/>
      <c r="K725" s="47"/>
      <c r="L725" s="47"/>
      <c r="M725" s="45"/>
      <c r="N725" s="74"/>
      <c r="O725" s="47"/>
      <c r="P725" s="47"/>
      <c r="Q725" s="47"/>
      <c r="R725" s="47"/>
      <c r="S725" s="75"/>
      <c r="T725" s="46"/>
      <c r="U725" s="48"/>
      <c r="V725" s="50"/>
      <c r="BF725" s="39"/>
      <c r="BG725" s="39"/>
      <c r="BH725" s="39"/>
      <c r="BI725" s="39"/>
      <c r="BJ725" s="39"/>
      <c r="BK725" s="39"/>
      <c r="BL725" s="39"/>
      <c r="BM725" s="39"/>
      <c r="BN725" s="39"/>
      <c r="BO725" s="39"/>
      <c r="BP725" s="39"/>
      <c r="BQ725" s="39"/>
      <c r="BR725" s="39"/>
      <c r="BS725" s="39"/>
      <c r="BT725" s="39"/>
      <c r="BU725" s="39"/>
      <c r="BV725" s="39"/>
      <c r="BW725" s="39"/>
      <c r="BX725" s="39"/>
      <c r="BY725" s="39"/>
      <c r="BZ725" s="39"/>
      <c r="CA725" s="39"/>
      <c r="CB725" s="39"/>
      <c r="CC725" s="39"/>
      <c r="CD725" s="39"/>
      <c r="CE725" s="39"/>
      <c r="CF725" s="39"/>
      <c r="CG725" s="39"/>
      <c r="CH725" s="39"/>
      <c r="CI725" s="39"/>
      <c r="CJ725" s="39"/>
      <c r="CK725" s="39"/>
      <c r="CL725" s="39"/>
      <c r="CM725" s="39"/>
      <c r="CN725" s="39"/>
      <c r="CO725" s="39"/>
      <c r="CP725" s="39"/>
      <c r="CQ725" s="39"/>
      <c r="CR725" s="39"/>
      <c r="CS725" s="39"/>
      <c r="CT725" s="39"/>
      <c r="CU725" s="39"/>
      <c r="CV725" s="39"/>
      <c r="CW725" s="39"/>
      <c r="CX725" s="39"/>
      <c r="CY725" s="39"/>
      <c r="CZ725" s="39"/>
      <c r="DA725" s="39"/>
      <c r="DB725" s="39"/>
      <c r="DC725" s="39"/>
      <c r="DD725" s="39"/>
      <c r="DE725" s="39"/>
      <c r="DF725" s="39"/>
      <c r="DG725" s="39"/>
      <c r="DH725" s="39"/>
      <c r="DI725" s="39"/>
    </row>
    <row r="726" spans="1:113">
      <c r="C726" s="43"/>
      <c r="D726" s="44"/>
      <c r="E726" s="44"/>
      <c r="F726" s="45"/>
      <c r="G726" s="44"/>
      <c r="H726" s="134"/>
      <c r="I726" s="47"/>
      <c r="J726" s="47"/>
      <c r="K726" s="47"/>
      <c r="L726" s="47"/>
      <c r="M726" s="45"/>
      <c r="N726" s="74"/>
      <c r="O726" s="47"/>
      <c r="P726" s="47"/>
      <c r="Q726" s="47"/>
      <c r="R726" s="47"/>
      <c r="S726" s="75"/>
      <c r="T726" s="46"/>
      <c r="U726" s="48"/>
      <c r="V726" s="50"/>
      <c r="BF726" s="39"/>
      <c r="BG726" s="39"/>
      <c r="BH726" s="39"/>
      <c r="BI726" s="39"/>
      <c r="BJ726" s="39"/>
      <c r="BK726" s="39"/>
      <c r="BL726" s="39"/>
      <c r="BM726" s="39"/>
      <c r="BN726" s="39"/>
      <c r="BO726" s="39"/>
      <c r="BP726" s="39"/>
      <c r="BQ726" s="39"/>
      <c r="BR726" s="39"/>
      <c r="BS726" s="39"/>
      <c r="BT726" s="39"/>
      <c r="BU726" s="39"/>
      <c r="BV726" s="39"/>
      <c r="BW726" s="39"/>
      <c r="BX726" s="39"/>
      <c r="BY726" s="39"/>
      <c r="BZ726" s="39"/>
      <c r="CA726" s="39"/>
      <c r="CB726" s="39"/>
      <c r="CC726" s="39"/>
      <c r="CD726" s="39"/>
      <c r="CE726" s="39"/>
      <c r="CF726" s="39"/>
      <c r="CG726" s="39"/>
      <c r="CH726" s="39"/>
      <c r="CI726" s="39"/>
      <c r="CJ726" s="39"/>
      <c r="CK726" s="39"/>
      <c r="CL726" s="39"/>
      <c r="CM726" s="39"/>
      <c r="CN726" s="39"/>
      <c r="CO726" s="39"/>
      <c r="CP726" s="39"/>
      <c r="CQ726" s="39"/>
      <c r="CR726" s="39"/>
      <c r="CS726" s="39"/>
      <c r="CT726" s="39"/>
      <c r="CU726" s="39"/>
      <c r="CV726" s="39"/>
      <c r="CW726" s="39"/>
      <c r="CX726" s="39"/>
      <c r="CY726" s="39"/>
      <c r="CZ726" s="39"/>
      <c r="DA726" s="39"/>
      <c r="DB726" s="39"/>
      <c r="DC726" s="39"/>
      <c r="DD726" s="39"/>
      <c r="DE726" s="39"/>
      <c r="DF726" s="39"/>
      <c r="DG726" s="39"/>
      <c r="DH726" s="39"/>
      <c r="DI726" s="39"/>
    </row>
    <row r="727" spans="1:113" s="41" customFormat="1">
      <c r="B727" s="147"/>
      <c r="C727" s="164"/>
      <c r="D727" s="165" t="s">
        <v>464</v>
      </c>
      <c r="E727" s="165" t="s">
        <v>57</v>
      </c>
      <c r="F727" s="165" t="s">
        <v>59</v>
      </c>
      <c r="G727" s="165" t="s">
        <v>56</v>
      </c>
      <c r="H727" s="49"/>
      <c r="I727" s="166" t="s">
        <v>18</v>
      </c>
      <c r="J727" s="166"/>
      <c r="K727" s="166"/>
      <c r="L727" s="166"/>
      <c r="M727" s="166"/>
      <c r="O727" s="166" t="s">
        <v>1135</v>
      </c>
      <c r="P727" s="166"/>
      <c r="Q727" s="166"/>
      <c r="R727" s="166"/>
      <c r="S727" s="166"/>
      <c r="T727" s="49"/>
      <c r="U727" s="167" t="s">
        <v>464</v>
      </c>
      <c r="V727" s="165"/>
      <c r="Z727" s="49"/>
      <c r="AC727" s="135"/>
      <c r="AD727" s="136"/>
      <c r="AE727" s="136"/>
      <c r="AF727" s="136"/>
      <c r="AG727" s="136"/>
      <c r="AH727" s="136"/>
      <c r="AI727" s="136"/>
      <c r="AJ727" s="136"/>
      <c r="AK727" s="136"/>
      <c r="AL727" s="136"/>
      <c r="AM727" s="136"/>
      <c r="AN727" s="136"/>
      <c r="AO727" s="136"/>
      <c r="AP727" s="136"/>
      <c r="AQ727" s="136"/>
      <c r="AR727" s="136"/>
      <c r="AS727" s="136"/>
      <c r="AT727" s="136"/>
      <c r="AU727" s="136"/>
      <c r="AV727" s="136"/>
      <c r="AW727" s="136"/>
      <c r="BC727" s="137"/>
      <c r="BD727" s="137"/>
      <c r="BE727" s="137"/>
      <c r="BG727" s="137"/>
      <c r="BH727" s="137"/>
      <c r="BI727" s="137"/>
      <c r="BK727" s="137"/>
      <c r="BL727" s="137"/>
      <c r="BM727" s="137"/>
      <c r="BO727" s="137"/>
      <c r="BP727" s="137"/>
      <c r="BQ727" s="137"/>
    </row>
    <row r="728" spans="1:113">
      <c r="A728" s="41" t="s">
        <v>506</v>
      </c>
      <c r="C728" s="48" t="s">
        <v>186</v>
      </c>
      <c r="D728" s="44" t="str">
        <f t="shared" ref="D728:G738" si="181">D668</f>
        <v>GBP1.27</v>
      </c>
      <c r="E728" s="44" t="str">
        <f t="shared" si="181"/>
        <v>GBP1.95</v>
      </c>
      <c r="F728" s="45">
        <f t="shared" si="181"/>
        <v>0.53422501966955149</v>
      </c>
      <c r="G728" s="44" t="str">
        <f t="shared" si="181"/>
        <v>Buy</v>
      </c>
      <c r="H728" s="46"/>
      <c r="I728" s="47">
        <f>BT!D$18/1000/Prices!$F$153</f>
        <v>36.663912495775847</v>
      </c>
      <c r="J728" s="47">
        <f>BT!E$18/1000/Prices!$F$153</f>
        <v>36.017478958705077</v>
      </c>
      <c r="K728" s="47">
        <f>BT!F$18/1000/Prices!$F$153</f>
        <v>35.033037747000776</v>
      </c>
      <c r="L728" s="47">
        <f>BT!G$18/1000/Prices!$F$153</f>
        <v>34.380166736378037</v>
      </c>
      <c r="M728" s="45">
        <f t="shared" ref="M728:M739" si="182">(L728/I728)^(1/3)-1</f>
        <v>-2.1209549309046394E-2</v>
      </c>
      <c r="N728" s="46"/>
      <c r="O728" s="47">
        <f>BT!L$26/1000/Prices!$F$153</f>
        <v>16.309632656107755</v>
      </c>
      <c r="P728" s="47">
        <f>BT!M$26/1000/Prices!$F$153</f>
        <v>16.455855798981439</v>
      </c>
      <c r="Q728" s="47">
        <f>BT!N$26/1000/Prices!$F$153</f>
        <v>16.322288222391617</v>
      </c>
      <c r="R728" s="47">
        <f>BT!O$26/1000/Prices!$F$153</f>
        <v>16.181744718873471</v>
      </c>
      <c r="S728" s="45">
        <f t="shared" ref="S728:S739" si="183">(R728/O728)^(1/3)-1</f>
        <v>-2.6206122259262443E-3</v>
      </c>
      <c r="T728" s="46"/>
      <c r="U728" s="48" t="str">
        <f t="shared" ref="U728:V732" si="184">U668</f>
        <v>GBP1.27</v>
      </c>
      <c r="V728" s="69" t="str">
        <f t="shared" si="184"/>
        <v>British Telecom</v>
      </c>
      <c r="X728" s="43"/>
      <c r="Y728" s="76"/>
      <c r="Z728" s="76"/>
      <c r="AA728" s="76"/>
      <c r="AB728" s="76"/>
      <c r="AC728" s="76"/>
      <c r="AD728" s="76"/>
      <c r="AE728" s="76"/>
      <c r="AF728" s="76"/>
      <c r="AG728" s="76"/>
      <c r="AH728" s="76"/>
      <c r="BF728" s="39"/>
      <c r="BG728" s="39"/>
      <c r="BH728" s="39"/>
      <c r="BI728" s="39"/>
      <c r="BJ728" s="39"/>
      <c r="BK728" s="39"/>
      <c r="BL728" s="39"/>
      <c r="BM728" s="39"/>
      <c r="BN728" s="39"/>
      <c r="BO728" s="39"/>
      <c r="BP728" s="39"/>
      <c r="BQ728" s="39"/>
      <c r="BR728" s="39"/>
      <c r="BS728" s="39"/>
      <c r="BT728" s="39"/>
      <c r="BU728" s="39"/>
      <c r="BV728" s="39"/>
      <c r="BW728" s="39"/>
      <c r="BX728" s="39"/>
      <c r="BY728" s="39"/>
      <c r="BZ728" s="39"/>
      <c r="CA728" s="39"/>
      <c r="CB728" s="39"/>
      <c r="CC728" s="39"/>
      <c r="CD728" s="39"/>
      <c r="CE728" s="39"/>
      <c r="CF728" s="39"/>
      <c r="CG728" s="39"/>
      <c r="CH728" s="39"/>
      <c r="CI728" s="39"/>
      <c r="CJ728" s="39"/>
      <c r="CK728" s="39"/>
      <c r="CL728" s="39"/>
      <c r="CM728" s="39"/>
      <c r="CN728" s="39"/>
      <c r="CO728" s="39"/>
      <c r="CP728" s="39"/>
      <c r="CQ728" s="39"/>
      <c r="CR728" s="39"/>
      <c r="CS728" s="39"/>
      <c r="CT728" s="39"/>
      <c r="CU728" s="39"/>
      <c r="CV728" s="39"/>
      <c r="CW728" s="39"/>
      <c r="CX728" s="39"/>
      <c r="CY728" s="39"/>
      <c r="CZ728" s="39"/>
      <c r="DA728" s="39"/>
      <c r="DB728" s="39"/>
      <c r="DC728" s="39"/>
      <c r="DD728" s="39"/>
      <c r="DE728" s="39"/>
      <c r="DF728" s="39"/>
      <c r="DG728" s="39"/>
      <c r="DH728" s="39"/>
      <c r="DI728" s="39"/>
    </row>
    <row r="729" spans="1:113">
      <c r="A729" s="41"/>
      <c r="C729" s="48" t="s">
        <v>187</v>
      </c>
      <c r="D729" s="44" t="str">
        <f t="shared" si="181"/>
        <v>EUR 21.76</v>
      </c>
      <c r="E729" s="44" t="str">
        <f t="shared" si="181"/>
        <v>EUR 32.00</v>
      </c>
      <c r="F729" s="45">
        <f t="shared" si="181"/>
        <v>0.47058823529411753</v>
      </c>
      <c r="G729" s="44" t="str">
        <f t="shared" si="181"/>
        <v>Buy</v>
      </c>
      <c r="H729" s="46"/>
      <c r="I729" s="47">
        <f>DT!$D$18/1000</f>
        <v>295.92743798071888</v>
      </c>
      <c r="J729" s="47">
        <f>DT!$E$18/1000</f>
        <v>292.13794171068639</v>
      </c>
      <c r="K729" s="47">
        <f>DT!$F$18/1000</f>
        <v>284.74104889480446</v>
      </c>
      <c r="L729" s="47">
        <f>DT!$G$18/1000</f>
        <v>274.08337019570376</v>
      </c>
      <c r="M729" s="45">
        <f t="shared" si="182"/>
        <v>-2.5236742680221136E-2</v>
      </c>
      <c r="N729" s="46"/>
      <c r="O729" s="47">
        <f>DT!L$26/1000</f>
        <v>115.26134784</v>
      </c>
      <c r="P729" s="47">
        <f>DT!M$26/1000</f>
        <v>113.08534784</v>
      </c>
      <c r="Q729" s="47">
        <f>DT!N$26/1000</f>
        <v>113.08534784</v>
      </c>
      <c r="R729" s="47">
        <f>DT!O$26/1000</f>
        <v>113.08534784</v>
      </c>
      <c r="S729" s="45">
        <f t="shared" si="183"/>
        <v>-6.3329668986942256E-3</v>
      </c>
      <c r="T729" s="46"/>
      <c r="U729" s="48" t="str">
        <f t="shared" si="184"/>
        <v>EUR 21.76</v>
      </c>
      <c r="V729" s="69" t="str">
        <f t="shared" si="184"/>
        <v>Deutsche Telekom</v>
      </c>
      <c r="X729" s="43"/>
      <c r="Y729" s="76"/>
      <c r="Z729" s="76"/>
      <c r="AA729" s="76"/>
      <c r="AB729" s="76"/>
      <c r="AC729" s="76"/>
      <c r="AD729" s="76"/>
      <c r="AE729" s="76"/>
      <c r="AF729" s="76"/>
      <c r="AG729" s="76"/>
      <c r="AH729" s="76"/>
      <c r="BF729" s="39"/>
      <c r="BG729" s="39"/>
      <c r="BH729" s="39"/>
      <c r="BI729" s="39"/>
      <c r="BJ729" s="39"/>
      <c r="BK729" s="39"/>
      <c r="BL729" s="39"/>
      <c r="BM729" s="39"/>
      <c r="BN729" s="39"/>
      <c r="BO729" s="39"/>
      <c r="BP729" s="39"/>
      <c r="BQ729" s="39"/>
      <c r="BR729" s="39"/>
      <c r="BS729" s="39"/>
      <c r="BT729" s="39"/>
      <c r="BU729" s="39"/>
      <c r="BV729" s="39"/>
      <c r="BW729" s="39"/>
      <c r="BX729" s="39"/>
      <c r="BY729" s="39"/>
      <c r="BZ729" s="39"/>
      <c r="CA729" s="39"/>
      <c r="CB729" s="39"/>
      <c r="CC729" s="39"/>
      <c r="CD729" s="39"/>
      <c r="CE729" s="39"/>
      <c r="CF729" s="39"/>
      <c r="CG729" s="39"/>
      <c r="CH729" s="39"/>
      <c r="CI729" s="39"/>
      <c r="CJ729" s="39"/>
      <c r="CK729" s="39"/>
      <c r="CL729" s="39"/>
      <c r="CM729" s="39"/>
      <c r="CN729" s="39"/>
      <c r="CO729" s="39"/>
      <c r="CP729" s="39"/>
      <c r="CQ729" s="39"/>
      <c r="CR729" s="39"/>
      <c r="CS729" s="39"/>
      <c r="CT729" s="39"/>
      <c r="CU729" s="39"/>
      <c r="CV729" s="39"/>
      <c r="CW729" s="39"/>
      <c r="CX729" s="39"/>
      <c r="CY729" s="39"/>
      <c r="CZ729" s="39"/>
      <c r="DA729" s="39"/>
      <c r="DB729" s="39"/>
      <c r="DC729" s="39"/>
      <c r="DD729" s="39"/>
      <c r="DE729" s="39"/>
      <c r="DF729" s="39"/>
      <c r="DG729" s="39"/>
      <c r="DH729" s="39"/>
      <c r="DI729" s="39"/>
    </row>
    <row r="730" spans="1:113">
      <c r="A730" s="41"/>
      <c r="C730" s="48" t="s">
        <v>458</v>
      </c>
      <c r="D730" s="44" t="str">
        <f t="shared" si="181"/>
        <v>EUR 3.44</v>
      </c>
      <c r="E730" s="44" t="str">
        <f t="shared" si="181"/>
        <v>EUR 3.70</v>
      </c>
      <c r="F730" s="45">
        <f t="shared" si="181"/>
        <v>7.4332171893147558E-2</v>
      </c>
      <c r="G730" s="44" t="str">
        <f t="shared" si="181"/>
        <v>Neutral</v>
      </c>
      <c r="H730" s="46"/>
      <c r="I730" s="47">
        <f>KPN!$D$18/1000</f>
        <v>20.713731175559627</v>
      </c>
      <c r="J730" s="47">
        <f>KPN!$E$18/1000</f>
        <v>20.030433569702282</v>
      </c>
      <c r="K730" s="47">
        <f>KPN!$F$18/1000</f>
        <v>19.742786817189323</v>
      </c>
      <c r="L730" s="47">
        <f>KPN!$G$18/1000</f>
        <v>18.952433104950963</v>
      </c>
      <c r="M730" s="45">
        <f t="shared" si="182"/>
        <v>-2.9187084215101522E-2</v>
      </c>
      <c r="N730" s="46"/>
      <c r="O730" s="47">
        <f>KPN!L$26/1000</f>
        <v>14.861264144273196</v>
      </c>
      <c r="P730" s="47">
        <f>KPN!M$26/1000</f>
        <v>14.654081385953692</v>
      </c>
      <c r="Q730" s="47">
        <f>KPN!N$26/1000</f>
        <v>14.503078808084998</v>
      </c>
      <c r="R730" s="47">
        <f>KPN!O$26/1000</f>
        <v>14.340459576432011</v>
      </c>
      <c r="S730" s="45">
        <f t="shared" si="183"/>
        <v>-1.1820654814553078E-2</v>
      </c>
      <c r="T730" s="46"/>
      <c r="U730" s="48" t="str">
        <f t="shared" si="184"/>
        <v>EUR 3.44</v>
      </c>
      <c r="V730" s="69" t="str">
        <f t="shared" si="184"/>
        <v>KPN</v>
      </c>
      <c r="X730" s="43"/>
      <c r="Y730" s="76"/>
      <c r="Z730" s="76"/>
      <c r="AA730" s="76"/>
      <c r="AB730" s="76"/>
      <c r="AC730" s="76"/>
      <c r="AD730" s="76"/>
      <c r="AE730" s="76"/>
      <c r="AF730" s="76"/>
      <c r="AG730" s="76"/>
      <c r="AH730" s="76"/>
      <c r="BF730" s="39"/>
      <c r="BG730" s="39"/>
      <c r="BH730" s="39"/>
      <c r="BI730" s="39"/>
      <c r="BJ730" s="39"/>
      <c r="BK730" s="39"/>
      <c r="BL730" s="39"/>
      <c r="BM730" s="39"/>
      <c r="BN730" s="39"/>
      <c r="BO730" s="39"/>
      <c r="BP730" s="39"/>
      <c r="BQ730" s="39"/>
      <c r="BR730" s="39"/>
      <c r="BS730" s="39"/>
      <c r="BT730" s="39"/>
      <c r="BU730" s="39"/>
      <c r="BV730" s="39"/>
      <c r="BW730" s="39"/>
      <c r="BX730" s="39"/>
      <c r="BY730" s="39"/>
      <c r="BZ730" s="39"/>
      <c r="CA730" s="39"/>
      <c r="CB730" s="39"/>
      <c r="CC730" s="39"/>
      <c r="CD730" s="39"/>
      <c r="CE730" s="39"/>
      <c r="CF730" s="39"/>
      <c r="CG730" s="39"/>
      <c r="CH730" s="39"/>
      <c r="CI730" s="39"/>
      <c r="CJ730" s="39"/>
      <c r="CK730" s="39"/>
      <c r="CL730" s="39"/>
      <c r="CM730" s="39"/>
      <c r="CN730" s="39"/>
      <c r="CO730" s="39"/>
      <c r="CP730" s="39"/>
      <c r="CQ730" s="39"/>
      <c r="CR730" s="39"/>
      <c r="CS730" s="39"/>
      <c r="CT730" s="39"/>
      <c r="CU730" s="39"/>
      <c r="CV730" s="39"/>
      <c r="CW730" s="39"/>
      <c r="CX730" s="39"/>
      <c r="CY730" s="39"/>
      <c r="CZ730" s="39"/>
      <c r="DA730" s="39"/>
      <c r="DB730" s="39"/>
      <c r="DC730" s="39"/>
      <c r="DD730" s="39"/>
      <c r="DE730" s="39"/>
      <c r="DF730" s="39"/>
      <c r="DG730" s="39"/>
      <c r="DH730" s="39"/>
      <c r="DI730" s="39"/>
    </row>
    <row r="731" spans="1:113">
      <c r="A731" s="41"/>
      <c r="C731" s="48" t="s">
        <v>728</v>
      </c>
      <c r="D731" s="44" t="str">
        <f t="shared" si="181"/>
        <v>EUR 10.68</v>
      </c>
      <c r="E731" s="44" t="str">
        <f t="shared" si="181"/>
        <v>EUR 14.00</v>
      </c>
      <c r="F731" s="45">
        <f t="shared" si="181"/>
        <v>0.31147540983606548</v>
      </c>
      <c r="G731" s="44" t="str">
        <f t="shared" si="181"/>
        <v>Buy</v>
      </c>
      <c r="H731" s="46"/>
      <c r="I731" s="47">
        <f>ORA!$D$18/1000</f>
        <v>77.609414761117421</v>
      </c>
      <c r="J731" s="47">
        <f>ORA!$E$18/1000</f>
        <v>74.69287438982829</v>
      </c>
      <c r="K731" s="47">
        <f>ORA!$F$18/1000</f>
        <v>71.463124518190156</v>
      </c>
      <c r="L731" s="47">
        <f>ORA!$G$18/1000</f>
        <v>67.955816370938678</v>
      </c>
      <c r="M731" s="45">
        <f t="shared" si="182"/>
        <v>-4.3311085039126951E-2</v>
      </c>
      <c r="N731" s="46"/>
      <c r="O731" s="47">
        <f>ORA!L$26/1000</f>
        <v>28.396104194325002</v>
      </c>
      <c r="P731" s="47">
        <f>ORA!M$26/1000</f>
        <v>28.396104194325002</v>
      </c>
      <c r="Q731" s="47">
        <f>ORA!N$26/1000</f>
        <v>28.396104194325002</v>
      </c>
      <c r="R731" s="47">
        <f>ORA!O$26/1000</f>
        <v>28.396104194325002</v>
      </c>
      <c r="S731" s="45">
        <f t="shared" si="183"/>
        <v>0</v>
      </c>
      <c r="T731" s="46"/>
      <c r="U731" s="48" t="str">
        <f t="shared" si="184"/>
        <v>EUR 10.68</v>
      </c>
      <c r="V731" s="69" t="str">
        <f t="shared" si="184"/>
        <v>Orange</v>
      </c>
      <c r="X731" s="43"/>
      <c r="Y731" s="76"/>
      <c r="Z731" s="76"/>
      <c r="AA731" s="76"/>
      <c r="AB731" s="76"/>
      <c r="AC731" s="76"/>
      <c r="AD731" s="76"/>
      <c r="AE731" s="76"/>
      <c r="AF731" s="76"/>
      <c r="AG731" s="76"/>
      <c r="AH731" s="76"/>
      <c r="BF731" s="39"/>
      <c r="BG731" s="39"/>
      <c r="BH731" s="39"/>
      <c r="BI731" s="39"/>
      <c r="BJ731" s="39"/>
      <c r="BK731" s="39"/>
      <c r="BL731" s="39"/>
      <c r="BM731" s="39"/>
      <c r="BN731" s="39"/>
      <c r="BO731" s="39"/>
      <c r="BP731" s="39"/>
      <c r="BQ731" s="39"/>
      <c r="BR731" s="39"/>
      <c r="BS731" s="39"/>
      <c r="BT731" s="39"/>
      <c r="BU731" s="39"/>
      <c r="BV731" s="39"/>
      <c r="BW731" s="39"/>
      <c r="BX731" s="39"/>
      <c r="BY731" s="39"/>
      <c r="BZ731" s="39"/>
      <c r="CA731" s="39"/>
      <c r="CB731" s="39"/>
      <c r="CC731" s="39"/>
      <c r="CD731" s="39"/>
      <c r="CE731" s="39"/>
      <c r="CF731" s="39"/>
      <c r="CG731" s="39"/>
      <c r="CH731" s="39"/>
      <c r="CI731" s="39"/>
      <c r="CJ731" s="39"/>
      <c r="CK731" s="39"/>
      <c r="CL731" s="39"/>
      <c r="CM731" s="39"/>
      <c r="CN731" s="39"/>
      <c r="CO731" s="39"/>
      <c r="CP731" s="39"/>
      <c r="CQ731" s="39"/>
      <c r="CR731" s="39"/>
      <c r="CS731" s="39"/>
      <c r="CT731" s="39"/>
      <c r="CU731" s="39"/>
      <c r="CV731" s="39"/>
      <c r="CW731" s="39"/>
      <c r="CX731" s="39"/>
      <c r="CY731" s="39"/>
      <c r="CZ731" s="39"/>
      <c r="DA731" s="39"/>
      <c r="DB731" s="39"/>
      <c r="DC731" s="39"/>
      <c r="DD731" s="39"/>
      <c r="DE731" s="39"/>
      <c r="DF731" s="39"/>
      <c r="DG731" s="39"/>
      <c r="DH731" s="39"/>
      <c r="DI731" s="39"/>
    </row>
    <row r="732" spans="1:113">
      <c r="A732" s="41"/>
      <c r="C732" s="48" t="s">
        <v>459</v>
      </c>
      <c r="D732" s="44" t="str">
        <f t="shared" si="181"/>
        <v>EUR 13.75</v>
      </c>
      <c r="E732" s="44" t="str">
        <f t="shared" si="181"/>
        <v>EUR 22.00</v>
      </c>
      <c r="F732" s="45">
        <f t="shared" si="181"/>
        <v>0.60000000000000009</v>
      </c>
      <c r="G732" s="44" t="str">
        <f t="shared" si="181"/>
        <v>Neutral</v>
      </c>
      <c r="H732" s="46"/>
      <c r="I732" s="47">
        <f>OTE!$D$18/1000</f>
        <v>7.3409885501572729</v>
      </c>
      <c r="J732" s="47">
        <f>OTE!$E$18/1000</f>
        <v>6.882784355243901</v>
      </c>
      <c r="K732" s="47">
        <f>OTE!$F$18/1000</f>
        <v>6.4249360605815884</v>
      </c>
      <c r="L732" s="47">
        <f>OTE!$G$18/1000</f>
        <v>5.979852154256025</v>
      </c>
      <c r="M732" s="45">
        <f t="shared" si="182"/>
        <v>-6.607507404076296E-2</v>
      </c>
      <c r="N732" s="46"/>
      <c r="O732" s="47">
        <f>OTE!L$26/1000</f>
        <v>6.5405934863047097</v>
      </c>
      <c r="P732" s="47">
        <f>OTE!M$26/1000</f>
        <v>6.3369554319847614</v>
      </c>
      <c r="Q732" s="47">
        <f>OTE!N$26/1000</f>
        <v>6.1653768359922072</v>
      </c>
      <c r="R732" s="47">
        <f>OTE!O$26/1000</f>
        <v>6.011573433756257</v>
      </c>
      <c r="S732" s="45">
        <f t="shared" si="183"/>
        <v>-2.7722281972686225E-2</v>
      </c>
      <c r="T732" s="46"/>
      <c r="U732" s="48" t="str">
        <f t="shared" si="184"/>
        <v>EUR 13.75</v>
      </c>
      <c r="V732" s="69" t="str">
        <f t="shared" si="184"/>
        <v>OTE</v>
      </c>
      <c r="X732" s="43"/>
      <c r="Y732" s="76"/>
      <c r="Z732" s="76"/>
      <c r="AA732" s="76"/>
      <c r="AB732" s="76"/>
      <c r="AC732" s="76"/>
      <c r="AD732" s="76"/>
      <c r="AE732" s="76"/>
      <c r="AF732" s="76"/>
      <c r="AG732" s="76"/>
      <c r="AH732" s="76"/>
      <c r="BF732" s="39"/>
      <c r="BG732" s="39"/>
      <c r="BH732" s="39"/>
      <c r="BI732" s="39"/>
      <c r="BJ732" s="39"/>
      <c r="BK732" s="39"/>
      <c r="BL732" s="39"/>
      <c r="BM732" s="39"/>
      <c r="BN732" s="39"/>
      <c r="BO732" s="39"/>
      <c r="BP732" s="39"/>
      <c r="BQ732" s="39"/>
      <c r="BR732" s="39"/>
      <c r="BS732" s="39"/>
      <c r="BT732" s="39"/>
      <c r="BU732" s="39"/>
      <c r="BV732" s="39"/>
      <c r="BW732" s="39"/>
      <c r="BX732" s="39"/>
      <c r="BY732" s="39"/>
      <c r="BZ732" s="39"/>
      <c r="CA732" s="39"/>
      <c r="CB732" s="39"/>
      <c r="CC732" s="39"/>
      <c r="CD732" s="39"/>
      <c r="CE732" s="39"/>
      <c r="CF732" s="39"/>
      <c r="CG732" s="39"/>
      <c r="CH732" s="39"/>
      <c r="CI732" s="39"/>
      <c r="CJ732" s="39"/>
      <c r="CK732" s="39"/>
      <c r="CL732" s="39"/>
      <c r="CM732" s="39"/>
      <c r="CN732" s="39"/>
      <c r="CO732" s="39"/>
      <c r="CP732" s="39"/>
      <c r="CQ732" s="39"/>
      <c r="CR732" s="39"/>
      <c r="CS732" s="39"/>
      <c r="CT732" s="39"/>
      <c r="CU732" s="39"/>
      <c r="CV732" s="39"/>
      <c r="CW732" s="39"/>
      <c r="CX732" s="39"/>
      <c r="CY732" s="39"/>
      <c r="CZ732" s="39"/>
      <c r="DA732" s="39"/>
      <c r="DB732" s="39"/>
      <c r="DC732" s="39"/>
      <c r="DD732" s="39"/>
      <c r="DE732" s="39"/>
      <c r="DF732" s="39"/>
      <c r="DG732" s="39"/>
      <c r="DH732" s="39"/>
      <c r="DI732" s="39"/>
    </row>
    <row r="733" spans="1:113">
      <c r="A733" s="41"/>
      <c r="C733" s="48" t="s">
        <v>817</v>
      </c>
      <c r="D733" s="44" t="str">
        <f t="shared" si="181"/>
        <v>EUR 7.4</v>
      </c>
      <c r="E733" s="44" t="str">
        <f t="shared" si="181"/>
        <v>EUR 10.0</v>
      </c>
      <c r="F733" s="45">
        <f t="shared" si="181"/>
        <v>0.35135135135135132</v>
      </c>
      <c r="G733" s="44" t="str">
        <f t="shared" si="181"/>
        <v>Neutral</v>
      </c>
      <c r="H733" s="46"/>
      <c r="I733" s="47">
        <f>PROX!$D$18/1000</f>
        <v>6.071515891948418</v>
      </c>
      <c r="J733" s="47">
        <f>PROX!$E$18/1000</f>
        <v>5.7968170911980303</v>
      </c>
      <c r="K733" s="47">
        <f>PROX!$F$18/1000</f>
        <v>5.5545564518797761</v>
      </c>
      <c r="L733" s="47">
        <f>PROX!$G$18/1000</f>
        <v>5.2346126678306772</v>
      </c>
      <c r="M733" s="45">
        <f t="shared" si="182"/>
        <v>-4.8236296346033436E-2</v>
      </c>
      <c r="N733" s="46"/>
      <c r="O733" s="47">
        <f>PROX!L$26/1000</f>
        <v>2.8464199990000001</v>
      </c>
      <c r="P733" s="47">
        <f>PROX!M$26/1000</f>
        <v>2.8464199990000001</v>
      </c>
      <c r="Q733" s="47">
        <f>PROX!N$26/1000</f>
        <v>2.8464199990000001</v>
      </c>
      <c r="R733" s="47">
        <f>PROX!O$26/1000</f>
        <v>2.8464199990000001</v>
      </c>
      <c r="S733" s="45">
        <f t="shared" si="183"/>
        <v>0</v>
      </c>
      <c r="T733" s="46"/>
      <c r="U733" s="48" t="str">
        <f t="shared" ref="U733:U738" si="185">U673</f>
        <v>EUR 7.4</v>
      </c>
      <c r="V733" s="69" t="s">
        <v>817</v>
      </c>
      <c r="X733" s="43"/>
      <c r="Y733" s="76"/>
      <c r="Z733" s="76"/>
      <c r="AA733" s="76"/>
      <c r="AB733" s="76"/>
      <c r="AC733" s="76"/>
      <c r="AD733" s="76"/>
      <c r="AE733" s="76"/>
      <c r="AF733" s="76"/>
      <c r="AG733" s="76"/>
      <c r="AH733" s="76"/>
      <c r="BF733" s="39"/>
      <c r="BG733" s="39"/>
      <c r="BH733" s="39"/>
      <c r="BI733" s="39"/>
      <c r="BJ733" s="39"/>
      <c r="BK733" s="39"/>
      <c r="BL733" s="39"/>
      <c r="BM733" s="39"/>
      <c r="BN733" s="39"/>
      <c r="BO733" s="39"/>
      <c r="BP733" s="39"/>
      <c r="BQ733" s="39"/>
      <c r="BR733" s="39"/>
      <c r="BS733" s="39"/>
      <c r="BT733" s="39"/>
      <c r="BU733" s="39"/>
      <c r="BV733" s="39"/>
      <c r="BW733" s="39"/>
      <c r="BX733" s="39"/>
      <c r="BY733" s="39"/>
      <c r="BZ733" s="39"/>
      <c r="CA733" s="39"/>
      <c r="CB733" s="39"/>
      <c r="CC733" s="39"/>
      <c r="CD733" s="39"/>
      <c r="CE733" s="39"/>
      <c r="CF733" s="39"/>
      <c r="CG733" s="39"/>
      <c r="CH733" s="39"/>
      <c r="CI733" s="39"/>
      <c r="CJ733" s="39"/>
      <c r="CK733" s="39"/>
      <c r="CL733" s="39"/>
      <c r="CM733" s="39"/>
      <c r="CN733" s="39"/>
      <c r="CO733" s="39"/>
      <c r="CP733" s="39"/>
      <c r="CQ733" s="39"/>
      <c r="CR733" s="39"/>
      <c r="CS733" s="39"/>
      <c r="CT733" s="39"/>
      <c r="CU733" s="39"/>
      <c r="CV733" s="39"/>
      <c r="CW733" s="39"/>
      <c r="CX733" s="39"/>
      <c r="CY733" s="39"/>
      <c r="CZ733" s="39"/>
      <c r="DA733" s="39"/>
      <c r="DB733" s="39"/>
      <c r="DC733" s="39"/>
      <c r="DD733" s="39"/>
      <c r="DE733" s="39"/>
      <c r="DF733" s="39"/>
      <c r="DG733" s="39"/>
      <c r="DH733" s="39"/>
      <c r="DI733" s="39"/>
    </row>
    <row r="734" spans="1:113">
      <c r="C734" s="48" t="s">
        <v>463</v>
      </c>
      <c r="D734" s="44" t="str">
        <f t="shared" si="181"/>
        <v>CHF492</v>
      </c>
      <c r="E734" s="44" t="str">
        <f t="shared" si="181"/>
        <v>CHF620</v>
      </c>
      <c r="F734" s="45">
        <f t="shared" si="181"/>
        <v>0.26016260162601634</v>
      </c>
      <c r="G734" s="44" t="str">
        <f t="shared" si="181"/>
        <v>Neutral</v>
      </c>
      <c r="H734" s="46"/>
      <c r="I734" s="47">
        <f>SWISS!D$18/1000/Prices!$F$148</f>
        <v>34.651056770846857</v>
      </c>
      <c r="J734" s="47">
        <f>SWISS!E$18/1000/Prices!$F$148</f>
        <v>33.168613687259487</v>
      </c>
      <c r="K734" s="47">
        <f>SWISS!F$18/1000/Prices!$F$148</f>
        <v>31.696001279527501</v>
      </c>
      <c r="L734" s="47">
        <f>SWISS!G$18/1000/Prices!$F$148</f>
        <v>30.235987494758394</v>
      </c>
      <c r="M734" s="45">
        <f t="shared" si="182"/>
        <v>-4.4415219138530415E-2</v>
      </c>
      <c r="N734" s="46"/>
      <c r="O734" s="47">
        <f>SWISS!L$26/1000/Prices!$F$148</f>
        <v>26.622174410615575</v>
      </c>
      <c r="P734" s="47">
        <f>SWISS!M$26/1000/Prices!$F$148</f>
        <v>26.622174410615575</v>
      </c>
      <c r="Q734" s="47">
        <f>SWISS!N$26/1000/Prices!$F$148</f>
        <v>26.622174410615575</v>
      </c>
      <c r="R734" s="47">
        <f>SWISS!O$26/1000/Prices!$F$148</f>
        <v>26.622174410615575</v>
      </c>
      <c r="S734" s="45">
        <f t="shared" si="183"/>
        <v>0</v>
      </c>
      <c r="T734" s="46"/>
      <c r="U734" s="48" t="str">
        <f t="shared" si="185"/>
        <v>CHF492</v>
      </c>
      <c r="V734" s="69" t="str">
        <f t="shared" ref="V734:V739" si="186">V674</f>
        <v>Swisscom</v>
      </c>
      <c r="Y734" s="76"/>
      <c r="Z734" s="76"/>
      <c r="AA734" s="76"/>
      <c r="AB734" s="76"/>
      <c r="AC734" s="76"/>
      <c r="AD734" s="76"/>
      <c r="AE734" s="76"/>
      <c r="AF734" s="76"/>
      <c r="AG734" s="76"/>
      <c r="AH734" s="76"/>
    </row>
    <row r="735" spans="1:113">
      <c r="A735" s="41"/>
      <c r="C735" s="48" t="s">
        <v>270</v>
      </c>
      <c r="D735" s="44" t="str">
        <f t="shared" si="181"/>
        <v>EUR 0.25</v>
      </c>
      <c r="E735" s="44" t="str">
        <f t="shared" si="181"/>
        <v>EUR 0.35</v>
      </c>
      <c r="F735" s="45">
        <f t="shared" si="181"/>
        <v>0.42103126268777902</v>
      </c>
      <c r="G735" s="44" t="str">
        <f t="shared" si="181"/>
        <v>Buy</v>
      </c>
      <c r="H735" s="46"/>
      <c r="I735" s="47">
        <f>TI!$D$18/1000</f>
        <v>31.822812299492789</v>
      </c>
      <c r="J735" s="47">
        <f>TI!$E$18/1000</f>
        <v>31.824701969362511</v>
      </c>
      <c r="K735" s="47">
        <f>TI!$F$18/1000</f>
        <v>31.719411575692071</v>
      </c>
      <c r="L735" s="47">
        <f>TI!$G$18/1000</f>
        <v>31.211675033334803</v>
      </c>
      <c r="M735" s="45">
        <f t="shared" si="182"/>
        <v>-6.4428803647160748E-3</v>
      </c>
      <c r="N735" s="46"/>
      <c r="O735" s="47">
        <f>TI!L$26/1000</f>
        <v>9.508608689669499</v>
      </c>
      <c r="P735" s="47">
        <f>TI!M$26/1000</f>
        <v>9.508608689669499</v>
      </c>
      <c r="Q735" s="47">
        <f>TI!N$26/1000</f>
        <v>9.508608689669499</v>
      </c>
      <c r="R735" s="47">
        <f>TI!O$26/1000</f>
        <v>9.508608689669499</v>
      </c>
      <c r="S735" s="45">
        <f t="shared" si="183"/>
        <v>0</v>
      </c>
      <c r="T735" s="46"/>
      <c r="U735" s="48" t="str">
        <f t="shared" si="185"/>
        <v>EUR 0.25</v>
      </c>
      <c r="V735" s="69" t="str">
        <f t="shared" si="186"/>
        <v>Telecom Italia</v>
      </c>
      <c r="X735" s="43"/>
      <c r="Y735" s="76"/>
      <c r="Z735" s="76"/>
      <c r="AA735" s="76"/>
      <c r="AB735" s="76"/>
      <c r="AC735" s="76"/>
      <c r="AD735" s="76"/>
      <c r="AE735" s="76"/>
      <c r="AF735" s="76"/>
      <c r="AG735" s="76"/>
      <c r="AH735" s="76"/>
      <c r="BF735" s="39"/>
      <c r="BG735" s="39"/>
      <c r="BH735" s="39"/>
      <c r="BI735" s="39"/>
      <c r="BJ735" s="39"/>
      <c r="BK735" s="39"/>
      <c r="BL735" s="39"/>
      <c r="BM735" s="39"/>
      <c r="BN735" s="39"/>
      <c r="BO735" s="39"/>
      <c r="BP735" s="39"/>
      <c r="BQ735" s="39"/>
      <c r="BR735" s="39"/>
      <c r="BS735" s="39"/>
      <c r="BT735" s="39"/>
      <c r="BU735" s="39"/>
      <c r="BV735" s="39"/>
      <c r="BW735" s="39"/>
      <c r="BX735" s="39"/>
      <c r="BY735" s="39"/>
      <c r="BZ735" s="39"/>
      <c r="CA735" s="39"/>
      <c r="CB735" s="39"/>
      <c r="CC735" s="39"/>
      <c r="CD735" s="39"/>
      <c r="CE735" s="39"/>
      <c r="CF735" s="39"/>
      <c r="CG735" s="39"/>
      <c r="CH735" s="39"/>
      <c r="CI735" s="39"/>
      <c r="CJ735" s="39"/>
      <c r="CK735" s="39"/>
      <c r="CL735" s="39"/>
      <c r="CM735" s="39"/>
      <c r="CN735" s="39"/>
      <c r="CO735" s="39"/>
      <c r="CP735" s="39"/>
      <c r="CQ735" s="39"/>
      <c r="CR735" s="39"/>
      <c r="CS735" s="39"/>
      <c r="CT735" s="39"/>
      <c r="CU735" s="39"/>
      <c r="CV735" s="39"/>
      <c r="CW735" s="39"/>
      <c r="CX735" s="39"/>
      <c r="CY735" s="39"/>
      <c r="CZ735" s="39"/>
      <c r="DA735" s="39"/>
      <c r="DB735" s="39"/>
      <c r="DC735" s="39"/>
      <c r="DD735" s="39"/>
      <c r="DE735" s="39"/>
      <c r="DF735" s="39"/>
      <c r="DG735" s="39"/>
      <c r="DH735" s="39"/>
      <c r="DI735" s="39"/>
    </row>
    <row r="736" spans="1:113">
      <c r="A736" s="41"/>
      <c r="C736" s="48" t="s">
        <v>461</v>
      </c>
      <c r="D736" s="44" t="str">
        <f t="shared" si="181"/>
        <v>EUR 4.16</v>
      </c>
      <c r="E736" s="44" t="str">
        <f t="shared" si="181"/>
        <v>EUR 4.80</v>
      </c>
      <c r="F736" s="45">
        <f t="shared" si="181"/>
        <v>0.15523465703971118</v>
      </c>
      <c r="G736" s="44" t="str">
        <f t="shared" si="181"/>
        <v>Buy</v>
      </c>
      <c r="H736" s="46"/>
      <c r="I736" s="47">
        <f>TEF!$D$18/1000</f>
        <v>65.758357683554664</v>
      </c>
      <c r="J736" s="47">
        <f>TEF!$E$18/1000</f>
        <v>64.718711629021598</v>
      </c>
      <c r="K736" s="47">
        <f>TEF!$F$18/1000</f>
        <v>63.655955945488969</v>
      </c>
      <c r="L736" s="47">
        <f>TEF!$G$18/1000</f>
        <v>61.086583152400529</v>
      </c>
      <c r="M736" s="45">
        <f t="shared" si="182"/>
        <v>-2.4265580504995832E-2</v>
      </c>
      <c r="N736" s="46"/>
      <c r="O736" s="47">
        <f>TEF!L$26/1000</f>
        <v>25.626535253074998</v>
      </c>
      <c r="P736" s="47">
        <f>TEF!M$26/1000</f>
        <v>25.626535253074998</v>
      </c>
      <c r="Q736" s="47">
        <f>TEF!N$26/1000</f>
        <v>25.626535253074998</v>
      </c>
      <c r="R736" s="47">
        <f>TEF!O$26/1000</f>
        <v>22.922535253074997</v>
      </c>
      <c r="S736" s="45">
        <f t="shared" si="183"/>
        <v>-3.6486984867576511E-2</v>
      </c>
      <c r="T736" s="46"/>
      <c r="U736" s="48" t="str">
        <f t="shared" si="185"/>
        <v>EUR 4.16</v>
      </c>
      <c r="V736" s="69" t="str">
        <f t="shared" si="186"/>
        <v>Telefonica</v>
      </c>
      <c r="X736" s="43"/>
      <c r="Y736" s="76"/>
      <c r="Z736" s="76"/>
      <c r="AA736" s="76"/>
      <c r="AB736" s="76"/>
      <c r="AC736" s="76"/>
      <c r="AD736" s="76"/>
      <c r="AE736" s="76"/>
      <c r="AF736" s="76"/>
      <c r="AG736" s="76"/>
      <c r="AH736" s="76"/>
      <c r="BF736" s="39"/>
      <c r="BG736" s="39"/>
      <c r="BH736" s="39"/>
      <c r="BI736" s="39"/>
      <c r="BJ736" s="39"/>
      <c r="BK736" s="39"/>
      <c r="BL736" s="39"/>
      <c r="BM736" s="39"/>
      <c r="BN736" s="39"/>
      <c r="BO736" s="39"/>
      <c r="BP736" s="39"/>
      <c r="BQ736" s="39"/>
      <c r="BR736" s="39"/>
      <c r="BS736" s="39"/>
      <c r="BT736" s="39"/>
      <c r="BU736" s="39"/>
      <c r="BV736" s="39"/>
      <c r="BW736" s="39"/>
      <c r="BX736" s="39"/>
      <c r="BY736" s="39"/>
      <c r="BZ736" s="39"/>
      <c r="CA736" s="39"/>
      <c r="CB736" s="39"/>
      <c r="CC736" s="39"/>
      <c r="CD736" s="39"/>
      <c r="CE736" s="39"/>
      <c r="CF736" s="39"/>
      <c r="CG736" s="39"/>
      <c r="CH736" s="39"/>
      <c r="CI736" s="39"/>
      <c r="CJ736" s="39"/>
      <c r="CK736" s="39"/>
      <c r="CL736" s="39"/>
      <c r="CM736" s="39"/>
      <c r="CN736" s="39"/>
      <c r="CO736" s="39"/>
      <c r="CP736" s="39"/>
      <c r="CQ736" s="39"/>
      <c r="CR736" s="39"/>
      <c r="CS736" s="39"/>
      <c r="CT736" s="39"/>
      <c r="CU736" s="39"/>
      <c r="CV736" s="39"/>
      <c r="CW736" s="39"/>
      <c r="CX736" s="39"/>
      <c r="CY736" s="39"/>
      <c r="CZ736" s="39"/>
      <c r="DA736" s="39"/>
      <c r="DB736" s="39"/>
      <c r="DC736" s="39"/>
      <c r="DD736" s="39"/>
      <c r="DE736" s="39"/>
      <c r="DF736" s="39"/>
      <c r="DG736" s="39"/>
      <c r="DH736" s="39"/>
      <c r="DI736" s="39"/>
    </row>
    <row r="737" spans="1:113">
      <c r="A737" s="41"/>
      <c r="C737" s="48" t="s">
        <v>462</v>
      </c>
      <c r="D737" s="44" t="str">
        <f t="shared" si="181"/>
        <v>NOK 124</v>
      </c>
      <c r="E737" s="44" t="str">
        <f t="shared" si="181"/>
        <v>NOK 136</v>
      </c>
      <c r="F737" s="45">
        <f t="shared" si="181"/>
        <v>9.9434114793855999E-2</v>
      </c>
      <c r="G737" s="44" t="str">
        <f t="shared" si="181"/>
        <v>Buy</v>
      </c>
      <c r="H737" s="46"/>
      <c r="I737" s="47">
        <f>TNOR!D$18/1000/Prices!$F$157</f>
        <v>21.027152494865799</v>
      </c>
      <c r="J737" s="47">
        <f>TNOR!E$18/1000/Prices!$F$157</f>
        <v>19.693008640990197</v>
      </c>
      <c r="K737" s="47">
        <f>TNOR!F$18/1000/Prices!$F$157</f>
        <v>18.333421567601128</v>
      </c>
      <c r="L737" s="47">
        <f>TNOR!G$18/1000/Prices!$F$157</f>
        <v>17.246454738967589</v>
      </c>
      <c r="M737" s="45">
        <f t="shared" si="182"/>
        <v>-6.3934031829348315E-2</v>
      </c>
      <c r="N737" s="46"/>
      <c r="O737" s="47">
        <f>TNOR!L$26/1000/Prices!$F$157</f>
        <v>18.631445072960471</v>
      </c>
      <c r="P737" s="47">
        <f>TNOR!M$26/1000/Prices!$F$157</f>
        <v>18.502375062439924</v>
      </c>
      <c r="Q737" s="47">
        <f>TNOR!N$26/1000/Prices!$F$157</f>
        <v>18.502375062439924</v>
      </c>
      <c r="R737" s="47">
        <f>TNOR!O$26/1000/Prices!$F$157</f>
        <v>18.502375062439924</v>
      </c>
      <c r="S737" s="45">
        <f t="shared" si="183"/>
        <v>-2.3145316628383483E-3</v>
      </c>
      <c r="T737" s="46"/>
      <c r="U737" s="48" t="str">
        <f t="shared" si="185"/>
        <v>NOK 124</v>
      </c>
      <c r="V737" s="44" t="str">
        <f t="shared" si="186"/>
        <v>Telenor</v>
      </c>
      <c r="X737" s="43"/>
      <c r="Y737" s="76"/>
      <c r="Z737" s="76"/>
      <c r="AA737" s="76"/>
      <c r="AB737" s="76"/>
      <c r="AC737" s="76"/>
      <c r="AD737" s="76"/>
      <c r="AE737" s="76"/>
      <c r="AF737" s="76"/>
      <c r="AG737" s="76"/>
      <c r="AH737" s="76"/>
      <c r="BF737" s="39"/>
      <c r="BG737" s="39"/>
      <c r="BH737" s="39"/>
      <c r="BI737" s="39"/>
      <c r="BJ737" s="39"/>
      <c r="BK737" s="39"/>
      <c r="BL737" s="39"/>
      <c r="BM737" s="39"/>
      <c r="BN737" s="39"/>
      <c r="BO737" s="39"/>
      <c r="BP737" s="39"/>
      <c r="BQ737" s="39"/>
      <c r="BR737" s="39"/>
      <c r="BS737" s="39"/>
      <c r="BT737" s="39"/>
      <c r="BU737" s="39"/>
      <c r="BV737" s="39"/>
      <c r="BW737" s="39"/>
      <c r="BX737" s="39"/>
      <c r="BY737" s="39"/>
      <c r="BZ737" s="39"/>
      <c r="CA737" s="39"/>
      <c r="CB737" s="39"/>
      <c r="CC737" s="39"/>
      <c r="CD737" s="39"/>
      <c r="CE737" s="39"/>
      <c r="CF737" s="39"/>
      <c r="CG737" s="39"/>
      <c r="CH737" s="39"/>
      <c r="CI737" s="39"/>
      <c r="CJ737" s="39"/>
      <c r="CK737" s="39"/>
      <c r="CL737" s="39"/>
      <c r="CM737" s="39"/>
      <c r="CN737" s="39"/>
      <c r="CO737" s="39"/>
      <c r="CP737" s="39"/>
      <c r="CQ737" s="39"/>
      <c r="CR737" s="39"/>
      <c r="CS737" s="39"/>
      <c r="CT737" s="39"/>
      <c r="CU737" s="39"/>
      <c r="CV737" s="39"/>
      <c r="CW737" s="39"/>
      <c r="CX737" s="39"/>
      <c r="CY737" s="39"/>
      <c r="CZ737" s="39"/>
      <c r="DA737" s="39"/>
      <c r="DB737" s="39"/>
      <c r="DC737" s="39"/>
      <c r="DD737" s="39"/>
      <c r="DE737" s="39"/>
      <c r="DF737" s="39"/>
      <c r="DG737" s="39"/>
      <c r="DH737" s="39"/>
      <c r="DI737" s="39"/>
    </row>
    <row r="738" spans="1:113">
      <c r="A738" s="41"/>
      <c r="C738" s="48" t="s">
        <v>1039</v>
      </c>
      <c r="D738" s="44" t="str">
        <f t="shared" si="181"/>
        <v>SEK26.4</v>
      </c>
      <c r="E738" s="44" t="str">
        <f t="shared" si="181"/>
        <v>SEK36.0</v>
      </c>
      <c r="F738" s="45">
        <f t="shared" si="181"/>
        <v>0.36415308829101933</v>
      </c>
      <c r="G738" s="44" t="str">
        <f t="shared" si="181"/>
        <v>Buy</v>
      </c>
      <c r="H738" s="46"/>
      <c r="I738" s="47">
        <f>TELIA!D$18/1000/Prices!$F$158</f>
        <v>18.97412885548346</v>
      </c>
      <c r="J738" s="47">
        <f>TELIA!E$18/1000/Prices!$F$158</f>
        <v>17.473480938266221</v>
      </c>
      <c r="K738" s="47">
        <f>TELIA!F$18/1000/Prices!$F$158</f>
        <v>16.763998650788082</v>
      </c>
      <c r="L738" s="47">
        <f>TELIA!G$18/1000/Prices!$F$158</f>
        <v>16.059005476075846</v>
      </c>
      <c r="M738" s="45">
        <f t="shared" si="182"/>
        <v>-5.4084663602545269E-2</v>
      </c>
      <c r="N738" s="46"/>
      <c r="O738" s="47">
        <f>TELIA!L$26/1000/Prices!$F$158</f>
        <v>12.173144672964138</v>
      </c>
      <c r="P738" s="47">
        <f>TELIA!M$26/1000/Prices!$F$158</f>
        <v>12.173144672964138</v>
      </c>
      <c r="Q738" s="47">
        <f>TELIA!N$26/1000/Prices!$F$158</f>
        <v>12.173144672964138</v>
      </c>
      <c r="R738" s="47">
        <f>TELIA!O$26/1000/Prices!$F$158</f>
        <v>12.173144672964138</v>
      </c>
      <c r="S738" s="45">
        <f t="shared" si="183"/>
        <v>0</v>
      </c>
      <c r="T738" s="46"/>
      <c r="U738" s="48" t="str">
        <f t="shared" si="185"/>
        <v>SEK26.4</v>
      </c>
      <c r="V738" s="44" t="str">
        <f t="shared" si="186"/>
        <v>Telia</v>
      </c>
      <c r="X738" s="43"/>
      <c r="Y738" s="76"/>
      <c r="BF738" s="39"/>
      <c r="BG738" s="39"/>
      <c r="BH738" s="39"/>
      <c r="BI738" s="39"/>
      <c r="BJ738" s="39"/>
      <c r="BK738" s="39"/>
      <c r="BL738" s="39"/>
      <c r="BM738" s="39"/>
      <c r="BN738" s="39"/>
      <c r="BO738" s="39"/>
      <c r="BP738" s="39"/>
      <c r="BQ738" s="39"/>
      <c r="BR738" s="39"/>
      <c r="BS738" s="39"/>
      <c r="BT738" s="39"/>
      <c r="BU738" s="39"/>
      <c r="BV738" s="39"/>
      <c r="BW738" s="39"/>
      <c r="BX738" s="39"/>
      <c r="BY738" s="39"/>
      <c r="BZ738" s="39"/>
      <c r="CA738" s="39"/>
      <c r="CB738" s="39"/>
      <c r="CC738" s="39"/>
      <c r="CD738" s="39"/>
      <c r="CE738" s="39"/>
      <c r="CF738" s="39"/>
      <c r="CG738" s="39"/>
      <c r="CH738" s="39"/>
      <c r="CI738" s="39"/>
      <c r="CJ738" s="39"/>
      <c r="CK738" s="39"/>
      <c r="CL738" s="39"/>
      <c r="CM738" s="39"/>
      <c r="CN738" s="39"/>
      <c r="CO738" s="39"/>
      <c r="CP738" s="39"/>
      <c r="CQ738" s="39"/>
      <c r="CR738" s="39"/>
      <c r="CS738" s="39"/>
      <c r="CT738" s="39"/>
      <c r="CU738" s="39"/>
      <c r="CV738" s="39"/>
      <c r="CW738" s="39"/>
      <c r="CX738" s="39"/>
      <c r="CY738" s="39"/>
      <c r="CZ738" s="39"/>
      <c r="DA738" s="39"/>
      <c r="DB738" s="39"/>
      <c r="DC738" s="39"/>
      <c r="DD738" s="39"/>
      <c r="DE738" s="39"/>
      <c r="DF738" s="39"/>
      <c r="DG738" s="39"/>
      <c r="DH738" s="39"/>
      <c r="DI738" s="39"/>
    </row>
    <row r="739" spans="1:113">
      <c r="A739" s="41"/>
      <c r="C739" s="51" t="str">
        <f>C679</f>
        <v>Agg. W.Europe Incumbent</v>
      </c>
      <c r="D739" s="52"/>
      <c r="E739" s="52"/>
      <c r="F739" s="53"/>
      <c r="G739" s="52"/>
      <c r="H739" s="46"/>
      <c r="I739" s="54">
        <f>'W.EUR INCUMB'!$D$18/1000</f>
        <v>616.56050895952092</v>
      </c>
      <c r="J739" s="54">
        <f>'W.EUR INCUMB'!$E$18/1000</f>
        <v>602.4368469402641</v>
      </c>
      <c r="K739" s="54">
        <f>'W.EUR INCUMB'!$F$18/1000</f>
        <v>585.12827950874373</v>
      </c>
      <c r="L739" s="54">
        <f>'W.EUR INCUMB'!$G$18/1000</f>
        <v>562.42595712559523</v>
      </c>
      <c r="M739" s="55">
        <f t="shared" si="182"/>
        <v>-3.0167908910435415E-2</v>
      </c>
      <c r="N739" s="56"/>
      <c r="O739" s="54">
        <f>'W.EUR INCUMB'!L$26/1000</f>
        <v>276.77727041929529</v>
      </c>
      <c r="P739" s="54">
        <f>'W.EUR INCUMB'!M$26/1000</f>
        <v>274.20760273900902</v>
      </c>
      <c r="Q739" s="54">
        <f>'W.EUR INCUMB'!N$26/1000</f>
        <v>273.7514539885579</v>
      </c>
      <c r="R739" s="54">
        <f>'W.EUR INCUMB'!O$26/1000</f>
        <v>270.59048785115078</v>
      </c>
      <c r="S739" s="55">
        <f t="shared" si="183"/>
        <v>-7.5071931238471779E-3</v>
      </c>
      <c r="T739" s="46"/>
      <c r="U739" s="57"/>
      <c r="V739" s="58" t="str">
        <f t="shared" si="186"/>
        <v>Agg. W.Europe Incumbent</v>
      </c>
      <c r="X739" s="43"/>
      <c r="Y739" s="76"/>
      <c r="BF739" s="39"/>
      <c r="BG739" s="39"/>
      <c r="BH739" s="39"/>
      <c r="BI739" s="39"/>
      <c r="BJ739" s="39"/>
      <c r="BK739" s="39"/>
      <c r="BL739" s="39"/>
      <c r="BM739" s="39"/>
      <c r="BN739" s="39"/>
      <c r="BO739" s="39"/>
      <c r="BP739" s="39"/>
      <c r="BQ739" s="39"/>
      <c r="BR739" s="39"/>
      <c r="BS739" s="39"/>
      <c r="BT739" s="39"/>
      <c r="BU739" s="39"/>
      <c r="BV739" s="39"/>
      <c r="BW739" s="39"/>
      <c r="BX739" s="39"/>
      <c r="BY739" s="39"/>
      <c r="BZ739" s="39"/>
      <c r="CA739" s="39"/>
      <c r="CB739" s="39"/>
      <c r="CC739" s="39"/>
      <c r="CD739" s="39"/>
      <c r="CE739" s="39"/>
      <c r="CF739" s="39"/>
      <c r="CG739" s="39"/>
      <c r="CH739" s="39"/>
      <c r="CI739" s="39"/>
      <c r="CJ739" s="39"/>
      <c r="CK739" s="39"/>
      <c r="CL739" s="39"/>
      <c r="CM739" s="39"/>
      <c r="CN739" s="39"/>
      <c r="CO739" s="39"/>
      <c r="CP739" s="39"/>
      <c r="CQ739" s="39"/>
      <c r="CR739" s="39"/>
      <c r="CS739" s="39"/>
      <c r="CT739" s="39"/>
      <c r="CU739" s="39"/>
      <c r="CV739" s="39"/>
      <c r="CW739" s="39"/>
      <c r="CX739" s="39"/>
      <c r="CY739" s="39"/>
      <c r="CZ739" s="39"/>
      <c r="DA739" s="39"/>
      <c r="DB739" s="39"/>
      <c r="DC739" s="39"/>
      <c r="DD739" s="39"/>
      <c r="DE739" s="39"/>
      <c r="DF739" s="39"/>
      <c r="DG739" s="39"/>
      <c r="DH739" s="39"/>
      <c r="DI739" s="39"/>
    </row>
    <row r="740" spans="1:113">
      <c r="A740" s="41"/>
      <c r="C740" s="48"/>
      <c r="D740" s="44"/>
      <c r="E740" s="44"/>
      <c r="F740" s="45"/>
      <c r="G740" s="44"/>
      <c r="H740" s="46"/>
      <c r="I740" s="47"/>
      <c r="J740" s="47"/>
      <c r="K740" s="47"/>
      <c r="L740" s="47"/>
      <c r="M740" s="45"/>
      <c r="N740" s="46"/>
      <c r="O740" s="47"/>
      <c r="P740" s="47"/>
      <c r="Q740" s="47"/>
      <c r="R740" s="47"/>
      <c r="S740" s="45"/>
      <c r="T740" s="46"/>
      <c r="U740" s="48"/>
      <c r="V740" s="44"/>
      <c r="X740" s="43"/>
      <c r="Y740" s="76"/>
      <c r="BF740" s="39"/>
      <c r="BG740" s="39"/>
      <c r="BH740" s="39"/>
      <c r="BI740" s="39"/>
      <c r="BJ740" s="39"/>
      <c r="BK740" s="39"/>
      <c r="BL740" s="39"/>
      <c r="BM740" s="39"/>
      <c r="BN740" s="39"/>
      <c r="BO740" s="39"/>
      <c r="BP740" s="39"/>
      <c r="BQ740" s="39"/>
      <c r="BR740" s="39"/>
      <c r="BS740" s="39"/>
      <c r="BT740" s="39"/>
      <c r="BU740" s="39"/>
      <c r="BV740" s="39"/>
      <c r="BW740" s="39"/>
      <c r="BX740" s="39"/>
      <c r="BY740" s="39"/>
      <c r="BZ740" s="39"/>
      <c r="CA740" s="39"/>
      <c r="CB740" s="39"/>
      <c r="CC740" s="39"/>
      <c r="CD740" s="39"/>
      <c r="CE740" s="39"/>
      <c r="CF740" s="39"/>
      <c r="CG740" s="39"/>
      <c r="CH740" s="39"/>
      <c r="CI740" s="39"/>
      <c r="CJ740" s="39"/>
      <c r="CK740" s="39"/>
      <c r="CL740" s="39"/>
      <c r="CM740" s="39"/>
      <c r="CN740" s="39"/>
      <c r="CO740" s="39"/>
      <c r="CP740" s="39"/>
      <c r="CQ740" s="39"/>
      <c r="CR740" s="39"/>
      <c r="CS740" s="39"/>
      <c r="CT740" s="39"/>
      <c r="CU740" s="39"/>
      <c r="CV740" s="39"/>
      <c r="CW740" s="39"/>
      <c r="CX740" s="39"/>
      <c r="CY740" s="39"/>
      <c r="CZ740" s="39"/>
      <c r="DA740" s="39"/>
      <c r="DB740" s="39"/>
      <c r="DC740" s="39"/>
      <c r="DD740" s="39"/>
      <c r="DE740" s="39"/>
      <c r="DF740" s="39"/>
      <c r="DG740" s="39"/>
      <c r="DH740" s="39"/>
      <c r="DI740" s="39"/>
    </row>
    <row r="741" spans="1:113">
      <c r="A741" s="41"/>
      <c r="B741" s="42" t="s">
        <v>519</v>
      </c>
      <c r="C741" s="48" t="s">
        <v>491</v>
      </c>
      <c r="D741" s="44" t="str">
        <f>B741&amp;TEXT(Prices!$C$40,"0.0")</f>
        <v>US$17.5</v>
      </c>
      <c r="E741" s="44" t="str">
        <f>B741&amp;TEXT(Prices!$E$40,"0.00")</f>
        <v>US$21.00</v>
      </c>
      <c r="F741" s="45">
        <f>Prices!$F$40</f>
        <v>0.19999999999999996</v>
      </c>
      <c r="G741" s="44" t="str">
        <f>Prices!$D$40</f>
        <v>Neutral</v>
      </c>
      <c r="H741" s="46"/>
      <c r="I741" s="47">
        <f>(ATT!D$18/1000)</f>
        <v>257.55475000000001</v>
      </c>
      <c r="J741" s="47">
        <f>(ATT!E$18/1000)</f>
        <v>240.14460842952377</v>
      </c>
      <c r="K741" s="47">
        <f>(ATT!F$18/1000)</f>
        <v>222.65408475733301</v>
      </c>
      <c r="L741" s="47">
        <f>(ATT!G$18/1000)</f>
        <v>204.61465874716072</v>
      </c>
      <c r="M741" s="45">
        <f>(L741/I741)^(1/3)-1</f>
        <v>-7.383351771452884E-2</v>
      </c>
      <c r="N741" s="46"/>
      <c r="O741" s="47">
        <f>(ATT!L$26/1000)</f>
        <v>125.76375</v>
      </c>
      <c r="P741" s="47">
        <f>(ATT!M$26/1000)</f>
        <v>125.8425</v>
      </c>
      <c r="Q741" s="47">
        <f>(ATT!N$26/1000)</f>
        <v>125.8425</v>
      </c>
      <c r="R741" s="47">
        <f>(ATT!O$26/1000)</f>
        <v>125.8425</v>
      </c>
      <c r="S741" s="45">
        <f>(R741/O741)^(1/3)-1</f>
        <v>2.0868114128314019E-4</v>
      </c>
      <c r="T741" s="46"/>
      <c r="U741" s="48" t="str">
        <f>D741</f>
        <v>US$17.5</v>
      </c>
      <c r="V741" s="44" t="str">
        <f>C741</f>
        <v xml:space="preserve">AT&amp;T </v>
      </c>
      <c r="X741" s="43"/>
      <c r="Y741" s="76"/>
      <c r="BF741" s="39"/>
      <c r="BG741" s="39"/>
      <c r="BH741" s="39"/>
      <c r="BI741" s="39"/>
      <c r="BJ741" s="39"/>
      <c r="BK741" s="39"/>
      <c r="BL741" s="39"/>
      <c r="BM741" s="39"/>
      <c r="BN741" s="39"/>
      <c r="BO741" s="39"/>
      <c r="BP741" s="39"/>
      <c r="BQ741" s="39"/>
      <c r="BR741" s="39"/>
      <c r="BS741" s="39"/>
      <c r="BT741" s="39"/>
      <c r="BU741" s="39"/>
      <c r="BV741" s="39"/>
      <c r="BW741" s="39"/>
      <c r="BX741" s="39"/>
      <c r="BY741" s="39"/>
      <c r="BZ741" s="39"/>
      <c r="CA741" s="39"/>
      <c r="CB741" s="39"/>
      <c r="CC741" s="39"/>
      <c r="CD741" s="39"/>
      <c r="CE741" s="39"/>
      <c r="CF741" s="39"/>
      <c r="CG741" s="39"/>
      <c r="CH741" s="39"/>
      <c r="CI741" s="39"/>
      <c r="CJ741" s="39"/>
      <c r="CK741" s="39"/>
      <c r="CL741" s="39"/>
      <c r="CM741" s="39"/>
      <c r="CN741" s="39"/>
      <c r="CO741" s="39"/>
      <c r="CP741" s="39"/>
      <c r="CQ741" s="39"/>
      <c r="CR741" s="39"/>
      <c r="CS741" s="39"/>
      <c r="CT741" s="39"/>
      <c r="CU741" s="39"/>
      <c r="CV741" s="39"/>
      <c r="CW741" s="39"/>
      <c r="CX741" s="39"/>
      <c r="CY741" s="39"/>
      <c r="CZ741" s="39"/>
      <c r="DA741" s="39"/>
      <c r="DB741" s="39"/>
      <c r="DC741" s="39"/>
      <c r="DD741" s="39"/>
      <c r="DE741" s="39"/>
      <c r="DF741" s="39"/>
      <c r="DG741" s="39"/>
      <c r="DH741" s="39"/>
      <c r="DI741" s="39"/>
    </row>
    <row r="742" spans="1:113">
      <c r="B742" s="42" t="s">
        <v>519</v>
      </c>
      <c r="C742" s="48" t="s">
        <v>693</v>
      </c>
      <c r="D742" s="44" t="str">
        <f>B742&amp;TEXT(Prices!$C$41,"0.0")</f>
        <v>US$166.0</v>
      </c>
      <c r="E742" s="44" t="str">
        <f>B742&amp;TEXT(Prices!$E$41,"0.0")</f>
        <v>US$205.0</v>
      </c>
      <c r="F742" s="45">
        <f>Prices!$F$41</f>
        <v>0.23493975903614461</v>
      </c>
      <c r="G742" s="44" t="str">
        <f>Prices!$D$41</f>
        <v>Buy</v>
      </c>
      <c r="H742" s="46"/>
      <c r="I742" s="47">
        <f>(TMUS!D$18/1000)</f>
        <v>272.00134152899994</v>
      </c>
      <c r="J742" s="47">
        <f>(TMUS!E$18/1000)</f>
        <v>262.19282087316725</v>
      </c>
      <c r="K742" s="47">
        <f>(TMUS!F$18/1000)</f>
        <v>245.6005038874184</v>
      </c>
      <c r="L742" s="47">
        <f>(TMUS!G$18/1000)</f>
        <v>230.12965036360151</v>
      </c>
      <c r="M742" s="45">
        <f>(L742/I742)^(1/3)-1</f>
        <v>-5.4197384771116131E-2</v>
      </c>
      <c r="N742" s="46"/>
      <c r="O742" s="47">
        <f>(TMUS!L$26/1000)</f>
        <v>206.00734152899997</v>
      </c>
      <c r="P742" s="47">
        <f>(TMUS!M$26/1000)</f>
        <v>192.47087999030435</v>
      </c>
      <c r="Q742" s="47">
        <f>(TMUS!N$26/1000)</f>
        <v>174.0761494254572</v>
      </c>
      <c r="R742" s="47">
        <f>(TMUS!O$26/1000)</f>
        <v>157.07886073486097</v>
      </c>
      <c r="S742" s="45">
        <f>(R742/O742)^(1/3)-1</f>
        <v>-8.6423299393016295E-2</v>
      </c>
      <c r="T742" s="46"/>
      <c r="U742" s="48" t="str">
        <f>D742</f>
        <v>US$166.0</v>
      </c>
      <c r="V742" s="44" t="str">
        <f>C742</f>
        <v>TMUS</v>
      </c>
      <c r="X742" s="43"/>
      <c r="Y742" s="76"/>
      <c r="BF742" s="39"/>
      <c r="BG742" s="39"/>
      <c r="BH742" s="39"/>
      <c r="BI742" s="39"/>
      <c r="BJ742" s="39"/>
      <c r="BK742" s="39"/>
      <c r="BL742" s="39"/>
      <c r="BM742" s="39"/>
      <c r="BN742" s="39"/>
      <c r="BO742" s="39"/>
      <c r="BP742" s="39"/>
      <c r="BQ742" s="39"/>
      <c r="BR742" s="39"/>
      <c r="BS742" s="39"/>
      <c r="BT742" s="39"/>
      <c r="BU742" s="39"/>
      <c r="BV742" s="39"/>
      <c r="BW742" s="39"/>
      <c r="BX742" s="39"/>
      <c r="BY742" s="39"/>
      <c r="BZ742" s="39"/>
      <c r="CA742" s="39"/>
      <c r="CB742" s="39"/>
      <c r="CC742" s="39"/>
      <c r="CD742" s="39"/>
      <c r="CE742" s="39"/>
      <c r="CF742" s="39"/>
      <c r="CG742" s="39"/>
      <c r="CH742" s="39"/>
      <c r="CI742" s="39"/>
      <c r="CJ742" s="39"/>
      <c r="CK742" s="39"/>
      <c r="CL742" s="39"/>
      <c r="CM742" s="39"/>
      <c r="CN742" s="39"/>
      <c r="CO742" s="39"/>
      <c r="CP742" s="39"/>
      <c r="CQ742" s="39"/>
      <c r="CR742" s="39"/>
      <c r="CS742" s="39"/>
      <c r="CT742" s="39"/>
      <c r="CU742" s="39"/>
      <c r="CV742" s="39"/>
      <c r="CW742" s="39"/>
      <c r="CX742" s="39"/>
      <c r="CY742" s="39"/>
      <c r="CZ742" s="39"/>
      <c r="DA742" s="39"/>
      <c r="DB742" s="39"/>
      <c r="DC742" s="39"/>
      <c r="DD742" s="39"/>
      <c r="DE742" s="39"/>
      <c r="DF742" s="39"/>
      <c r="DG742" s="39"/>
      <c r="DH742" s="39"/>
      <c r="DI742" s="39"/>
    </row>
    <row r="743" spans="1:113">
      <c r="A743" s="41"/>
      <c r="B743" s="42" t="s">
        <v>519</v>
      </c>
      <c r="C743" s="48" t="s">
        <v>33</v>
      </c>
      <c r="D743" s="44" t="str">
        <f>B743&amp;TEXT(Prices!$C$39,"0.0")</f>
        <v>US$39.7</v>
      </c>
      <c r="E743" s="44" t="str">
        <f>B743&amp;TEXT(Prices!$E$39,"0.00")</f>
        <v>US$45.00</v>
      </c>
      <c r="F743" s="45">
        <f>Prices!$F$39</f>
        <v>0.13236034222445903</v>
      </c>
      <c r="G743" s="44" t="str">
        <f>Prices!$D$39</f>
        <v>Neutral</v>
      </c>
      <c r="H743" s="46"/>
      <c r="I743" s="47">
        <f>(VZN!D$18/1000)</f>
        <v>312.461635</v>
      </c>
      <c r="J743" s="47">
        <f>(VZN!E$18/1000)</f>
        <v>294.26385954521515</v>
      </c>
      <c r="K743" s="47">
        <f>(VZN!F$18/1000)</f>
        <v>274.81816006926982</v>
      </c>
      <c r="L743" s="47">
        <f>(VZN!G$18/1000)</f>
        <v>254.68831937903602</v>
      </c>
      <c r="M743" s="45">
        <f>(L743/I743)^(1/3)-1</f>
        <v>-6.5876906491453391E-2</v>
      </c>
      <c r="N743" s="46"/>
      <c r="O743" s="47">
        <f>(VZN!L$26/1000)</f>
        <v>198.07663499999998</v>
      </c>
      <c r="P743" s="47">
        <f>(VZN!M$26/1000)</f>
        <v>198.10013999999998</v>
      </c>
      <c r="Q743" s="47">
        <f>(VZN!N$26/1000)</f>
        <v>198.10013999999998</v>
      </c>
      <c r="R743" s="47">
        <f>(VZN!O$26/1000)</f>
        <v>198.10013999999998</v>
      </c>
      <c r="S743" s="45">
        <f>(R743/O743)^(1/3)-1</f>
        <v>3.9553832807737166E-5</v>
      </c>
      <c r="T743" s="46"/>
      <c r="U743" s="48" t="str">
        <f>D743</f>
        <v>US$39.7</v>
      </c>
      <c r="V743" s="44" t="str">
        <f>C743</f>
        <v>Verizon</v>
      </c>
      <c r="BF743" s="39"/>
      <c r="BG743" s="39"/>
      <c r="BH743" s="39"/>
      <c r="BI743" s="39"/>
      <c r="BJ743" s="39"/>
      <c r="BK743" s="39"/>
      <c r="BL743" s="39"/>
      <c r="BM743" s="39"/>
      <c r="BN743" s="39"/>
      <c r="BO743" s="39"/>
      <c r="BP743" s="39"/>
      <c r="BQ743" s="39"/>
      <c r="BR743" s="39"/>
      <c r="BS743" s="39"/>
      <c r="BT743" s="39"/>
      <c r="BU743" s="39"/>
      <c r="BV743" s="39"/>
      <c r="BW743" s="39"/>
      <c r="BX743" s="39"/>
      <c r="BY743" s="39"/>
      <c r="BZ743" s="39"/>
      <c r="CA743" s="39"/>
      <c r="CB743" s="39"/>
      <c r="CC743" s="39"/>
      <c r="CD743" s="39"/>
      <c r="CE743" s="39"/>
      <c r="CF743" s="39"/>
      <c r="CG743" s="39"/>
      <c r="CH743" s="39"/>
      <c r="CI743" s="39"/>
      <c r="CJ743" s="39"/>
      <c r="CK743" s="39"/>
      <c r="CL743" s="39"/>
      <c r="CM743" s="39"/>
      <c r="CN743" s="39"/>
      <c r="CO743" s="39"/>
      <c r="CP743" s="39"/>
      <c r="CQ743" s="39"/>
      <c r="CR743" s="39"/>
      <c r="CS743" s="39"/>
      <c r="CT743" s="39"/>
      <c r="CU743" s="39"/>
      <c r="CV743" s="39"/>
      <c r="CW743" s="39"/>
      <c r="CX743" s="39"/>
      <c r="CY743" s="39"/>
      <c r="CZ743" s="39"/>
      <c r="DA743" s="39"/>
      <c r="DB743" s="39"/>
      <c r="DC743" s="39"/>
      <c r="DD743" s="39"/>
      <c r="DE743" s="39"/>
      <c r="DF743" s="39"/>
      <c r="DG743" s="39"/>
      <c r="DH743" s="39"/>
      <c r="DI743" s="39"/>
    </row>
    <row r="744" spans="1:113">
      <c r="A744" s="41"/>
      <c r="C744" s="51" t="s">
        <v>262</v>
      </c>
      <c r="D744" s="52"/>
      <c r="E744" s="52"/>
      <c r="F744" s="53"/>
      <c r="G744" s="52"/>
      <c r="H744" s="46"/>
      <c r="I744" s="54">
        <f>'US TELCO'!D$18/1000</f>
        <v>842.01772652900002</v>
      </c>
      <c r="J744" s="54">
        <f>'US TELCO'!E$18/1000</f>
        <v>796.60128884790618</v>
      </c>
      <c r="K744" s="54">
        <f>'US TELCO'!F$18/1000</f>
        <v>743.07274871402126</v>
      </c>
      <c r="L744" s="54">
        <f>'US TELCO'!G$18/1000</f>
        <v>689.43262848979828</v>
      </c>
      <c r="M744" s="55">
        <f>(L744/I744)^(1/3)-1</f>
        <v>-6.4471836447383746E-2</v>
      </c>
      <c r="N744" s="46"/>
      <c r="O744" s="54">
        <f>'US TELCO'!L$26/1000</f>
        <v>529.84772652899994</v>
      </c>
      <c r="P744" s="54">
        <f>'US TELCO'!M$26/1000</f>
        <v>516.41351999030439</v>
      </c>
      <c r="Q744" s="54">
        <f>'US TELCO'!N$26/1000</f>
        <v>498.01878942545727</v>
      </c>
      <c r="R744" s="54">
        <f>'US TELCO'!O$26/1000</f>
        <v>481.02150073486104</v>
      </c>
      <c r="S744" s="55">
        <f>(R744/O744)^(1/3)-1</f>
        <v>-3.1712174861638798E-2</v>
      </c>
      <c r="T744" s="46"/>
      <c r="U744" s="57"/>
      <c r="V744" s="58" t="str">
        <f>C744</f>
        <v>Agg. US Telecoms</v>
      </c>
      <c r="BF744" s="39"/>
      <c r="BG744" s="39"/>
      <c r="BH744" s="39"/>
      <c r="BI744" s="39"/>
      <c r="BJ744" s="39"/>
      <c r="BK744" s="39"/>
      <c r="BL744" s="39"/>
      <c r="BM744" s="39"/>
      <c r="BN744" s="39"/>
      <c r="BO744" s="39"/>
      <c r="BP744" s="39"/>
      <c r="BQ744" s="39"/>
      <c r="BR744" s="39"/>
      <c r="BS744" s="39"/>
      <c r="BT744" s="39"/>
      <c r="BU744" s="39"/>
      <c r="BV744" s="39"/>
      <c r="BW744" s="39"/>
      <c r="BX744" s="39"/>
      <c r="BY744" s="39"/>
      <c r="BZ744" s="39"/>
      <c r="CA744" s="39"/>
      <c r="CB744" s="39"/>
      <c r="CC744" s="39"/>
      <c r="CD744" s="39"/>
      <c r="CE744" s="39"/>
      <c r="CF744" s="39"/>
      <c r="CG744" s="39"/>
      <c r="CH744" s="39"/>
      <c r="CI744" s="39"/>
      <c r="CJ744" s="39"/>
      <c r="CK744" s="39"/>
      <c r="CL744" s="39"/>
      <c r="CM744" s="39"/>
      <c r="CN744" s="39"/>
      <c r="CO744" s="39"/>
      <c r="CP744" s="39"/>
      <c r="CQ744" s="39"/>
      <c r="CR744" s="39"/>
      <c r="CS744" s="39"/>
      <c r="CT744" s="39"/>
      <c r="CU744" s="39"/>
      <c r="CV744" s="39"/>
      <c r="CW744" s="39"/>
      <c r="CX744" s="39"/>
      <c r="CY744" s="39"/>
      <c r="CZ744" s="39"/>
      <c r="DA744" s="39"/>
      <c r="DB744" s="39"/>
      <c r="DC744" s="39"/>
      <c r="DD744" s="39"/>
      <c r="DE744" s="39"/>
      <c r="DF744" s="39"/>
      <c r="DG744" s="39"/>
      <c r="DH744" s="39"/>
      <c r="DI744" s="39"/>
    </row>
    <row r="745" spans="1:113">
      <c r="A745" s="41"/>
      <c r="C745" s="48"/>
      <c r="D745" s="44"/>
      <c r="E745" s="44"/>
      <c r="F745" s="45"/>
      <c r="G745" s="44"/>
      <c r="H745" s="46"/>
      <c r="I745" s="47"/>
      <c r="J745" s="47"/>
      <c r="K745" s="47"/>
      <c r="L745" s="47"/>
      <c r="M745" s="45"/>
      <c r="N745" s="46"/>
      <c r="O745" s="47"/>
      <c r="P745" s="47"/>
      <c r="Q745" s="47"/>
      <c r="R745" s="47"/>
      <c r="S745" s="45"/>
      <c r="T745" s="46"/>
      <c r="U745" s="48"/>
      <c r="V745" s="44"/>
      <c r="BF745" s="39"/>
      <c r="BG745" s="39"/>
      <c r="BH745" s="39"/>
      <c r="BI745" s="39"/>
      <c r="BJ745" s="39"/>
      <c r="BK745" s="39"/>
      <c r="BL745" s="39"/>
      <c r="BM745" s="39"/>
      <c r="BN745" s="39"/>
      <c r="BO745" s="39"/>
      <c r="BP745" s="39"/>
      <c r="BQ745" s="39"/>
      <c r="BR745" s="39"/>
      <c r="BS745" s="39"/>
      <c r="BT745" s="39"/>
      <c r="BU745" s="39"/>
      <c r="BV745" s="39"/>
      <c r="BW745" s="39"/>
      <c r="BX745" s="39"/>
      <c r="BY745" s="39"/>
      <c r="BZ745" s="39"/>
      <c r="CA745" s="39"/>
      <c r="CB745" s="39"/>
      <c r="CC745" s="39"/>
      <c r="CD745" s="39"/>
      <c r="CE745" s="39"/>
      <c r="CF745" s="39"/>
      <c r="CG745" s="39"/>
      <c r="CH745" s="39"/>
      <c r="CI745" s="39"/>
      <c r="CJ745" s="39"/>
      <c r="CK745" s="39"/>
      <c r="CL745" s="39"/>
      <c r="CM745" s="39"/>
      <c r="CN745" s="39"/>
      <c r="CO745" s="39"/>
      <c r="CP745" s="39"/>
      <c r="CQ745" s="39"/>
      <c r="CR745" s="39"/>
      <c r="CS745" s="39"/>
      <c r="CT745" s="39"/>
      <c r="CU745" s="39"/>
      <c r="CV745" s="39"/>
      <c r="CW745" s="39"/>
      <c r="CX745" s="39"/>
      <c r="CY745" s="39"/>
      <c r="CZ745" s="39"/>
      <c r="DA745" s="39"/>
      <c r="DB745" s="39"/>
      <c r="DC745" s="39"/>
      <c r="DD745" s="39"/>
      <c r="DE745" s="39"/>
      <c r="DF745" s="39"/>
      <c r="DG745" s="39"/>
      <c r="DH745" s="39"/>
      <c r="DI745" s="39"/>
    </row>
    <row r="746" spans="1:113">
      <c r="A746" s="41"/>
      <c r="C746" s="48" t="str">
        <f t="shared" ref="C746:G749" si="187">C686</f>
        <v>NTT</v>
      </c>
      <c r="D746" s="44" t="str">
        <f t="shared" si="187"/>
        <v>JPY 153</v>
      </c>
      <c r="E746" s="44" t="str">
        <f t="shared" si="187"/>
        <v>JPY 240</v>
      </c>
      <c r="F746" s="45">
        <f t="shared" si="187"/>
        <v>0.57273918741808649</v>
      </c>
      <c r="G746" s="44" t="str">
        <f t="shared" si="187"/>
        <v>Buy</v>
      </c>
      <c r="H746" s="46"/>
      <c r="I746" s="47">
        <f>NTT!$D$18/Prices!$C$161</f>
        <v>147.12025638851921</v>
      </c>
      <c r="J746" s="47">
        <f>NTT!$E$18/Prices!$C$161</f>
        <v>141.94519645430316</v>
      </c>
      <c r="K746" s="47">
        <f>NTT!$F$18/Prices!$C$161</f>
        <v>136.41979220161551</v>
      </c>
      <c r="L746" s="47">
        <f>NTT!$G$18/Prices!$C$161</f>
        <v>130.55967661488077</v>
      </c>
      <c r="M746" s="45">
        <f t="shared" ref="M746:M750" si="188">(L746/I746)^(1/3)-1</f>
        <v>-3.9024761022047993E-2</v>
      </c>
      <c r="N746" s="46"/>
      <c r="O746" s="47">
        <f>NTT!L$26/Prices!$C$161</f>
        <v>81.738137643496088</v>
      </c>
      <c r="P746" s="47">
        <f>NTT!M$26/Prices!$C$161</f>
        <v>80.24714175399393</v>
      </c>
      <c r="Q746" s="47">
        <f>NTT!N$26/Prices!$C$161</f>
        <v>78.756145864491771</v>
      </c>
      <c r="R746" s="47">
        <f>NTT!O$26/Prices!$C$161</f>
        <v>77.265149974989598</v>
      </c>
      <c r="S746" s="45">
        <f t="shared" ref="S746:S750" si="189">(R746/O746)^(1/3)-1</f>
        <v>-1.8584367894405651E-2</v>
      </c>
      <c r="T746" s="46"/>
      <c r="U746" s="48" t="str">
        <f t="shared" ref="U746:V749" si="190">U686</f>
        <v>JPY 153</v>
      </c>
      <c r="V746" s="44" t="str">
        <f t="shared" si="190"/>
        <v>NTT</v>
      </c>
      <c r="X746" s="43"/>
      <c r="Y746" s="76"/>
      <c r="BF746" s="39"/>
      <c r="BG746" s="39"/>
      <c r="BH746" s="39"/>
      <c r="BI746" s="39"/>
      <c r="BJ746" s="39"/>
      <c r="BK746" s="39"/>
      <c r="BL746" s="39"/>
      <c r="BM746" s="39"/>
      <c r="BN746" s="39"/>
      <c r="BO746" s="39"/>
      <c r="BP746" s="39"/>
      <c r="BQ746" s="39"/>
      <c r="BR746" s="39"/>
      <c r="BS746" s="39"/>
      <c r="BT746" s="39"/>
      <c r="BU746" s="39"/>
      <c r="BV746" s="39"/>
      <c r="BW746" s="39"/>
      <c r="BX746" s="39"/>
      <c r="BY746" s="39"/>
      <c r="BZ746" s="39"/>
      <c r="CA746" s="39"/>
      <c r="CB746" s="39"/>
      <c r="CC746" s="39"/>
      <c r="CD746" s="39"/>
      <c r="CE746" s="39"/>
      <c r="CF746" s="39"/>
      <c r="CG746" s="39"/>
      <c r="CH746" s="39"/>
      <c r="CI746" s="39"/>
      <c r="CJ746" s="39"/>
      <c r="CK746" s="39"/>
      <c r="CL746" s="39"/>
      <c r="CM746" s="39"/>
      <c r="CN746" s="39"/>
      <c r="CO746" s="39"/>
      <c r="CP746" s="39"/>
      <c r="CQ746" s="39"/>
      <c r="CR746" s="39"/>
      <c r="CS746" s="39"/>
      <c r="CT746" s="39"/>
      <c r="CU746" s="39"/>
      <c r="CV746" s="39"/>
      <c r="CW746" s="39"/>
      <c r="CX746" s="39"/>
      <c r="CY746" s="39"/>
      <c r="CZ746" s="39"/>
      <c r="DA746" s="39"/>
      <c r="DB746" s="39"/>
      <c r="DC746" s="39"/>
      <c r="DD746" s="39"/>
      <c r="DE746" s="39"/>
      <c r="DF746" s="39"/>
      <c r="DG746" s="39"/>
      <c r="DH746" s="39"/>
      <c r="DI746" s="39"/>
    </row>
    <row r="747" spans="1:113">
      <c r="A747" s="41"/>
      <c r="C747" s="48" t="str">
        <f t="shared" si="187"/>
        <v>Spark NZ</v>
      </c>
      <c r="D747" s="44" t="str">
        <f t="shared" si="187"/>
        <v>NZD 4.19</v>
      </c>
      <c r="E747" s="44" t="str">
        <f t="shared" si="187"/>
        <v>NZD 5.00</v>
      </c>
      <c r="F747" s="45">
        <f t="shared" si="187"/>
        <v>0.19331742243436745</v>
      </c>
      <c r="G747" s="44" t="str">
        <f t="shared" si="187"/>
        <v>Neutral</v>
      </c>
      <c r="H747" s="46"/>
      <c r="I747" s="47">
        <f>SPK!D$18/1000*Prices!$C$167</f>
        <v>54.608340771620682</v>
      </c>
      <c r="J747" s="47">
        <f>SPK!E$18/1000*Prices!$C$167</f>
        <v>50.722299290528781</v>
      </c>
      <c r="K747" s="47">
        <f>SPK!F$18/1000*Prices!$C$167</f>
        <v>46.836077117520674</v>
      </c>
      <c r="L747" s="47">
        <f>SPK!G$18/1000*Prices!$C$167</f>
        <v>42.78921177216138</v>
      </c>
      <c r="M747" s="45">
        <f t="shared" si="188"/>
        <v>-7.8083116635720651E-2</v>
      </c>
      <c r="N747" s="46"/>
      <c r="O747" s="47">
        <f>SPK!L$26/1000*Prices!$C$167</f>
        <v>60.267120495148887</v>
      </c>
      <c r="P747" s="47">
        <f>SPK!M$26/1000*Prices!$C$167</f>
        <v>60.362788998837623</v>
      </c>
      <c r="Q747" s="47">
        <f>SPK!N$26/1000*Prices!$C$167</f>
        <v>60.462549823151363</v>
      </c>
      <c r="R747" s="47">
        <f>SPK!O$26/1000*Prices!$C$167</f>
        <v>60.566402968090109</v>
      </c>
      <c r="S747" s="45">
        <f t="shared" si="189"/>
        <v>1.6525784273671018E-3</v>
      </c>
      <c r="T747" s="46"/>
      <c r="U747" s="48" t="str">
        <f t="shared" si="190"/>
        <v>NZD 4.19</v>
      </c>
      <c r="V747" s="44" t="str">
        <f t="shared" si="190"/>
        <v>Spark NZ</v>
      </c>
      <c r="X747" s="43"/>
      <c r="Y747" s="76"/>
      <c r="BF747" s="39"/>
      <c r="BG747" s="39"/>
      <c r="BH747" s="39"/>
      <c r="BI747" s="39"/>
      <c r="BJ747" s="39"/>
      <c r="BK747" s="39"/>
      <c r="BL747" s="39"/>
      <c r="BM747" s="39"/>
      <c r="BN747" s="39"/>
      <c r="BO747" s="39"/>
      <c r="BP747" s="39"/>
      <c r="BQ747" s="39"/>
      <c r="BR747" s="39"/>
      <c r="BS747" s="39"/>
      <c r="BT747" s="39"/>
      <c r="BU747" s="39"/>
      <c r="BV747" s="39"/>
      <c r="BW747" s="39"/>
      <c r="BX747" s="39"/>
      <c r="BY747" s="39"/>
      <c r="BZ747" s="39"/>
      <c r="CA747" s="39"/>
      <c r="CB747" s="39"/>
      <c r="CC747" s="39"/>
      <c r="CD747" s="39"/>
      <c r="CE747" s="39"/>
      <c r="CF747" s="39"/>
      <c r="CG747" s="39"/>
      <c r="CH747" s="39"/>
      <c r="CI747" s="39"/>
      <c r="CJ747" s="39"/>
      <c r="CK747" s="39"/>
      <c r="CL747" s="39"/>
      <c r="CM747" s="39"/>
      <c r="CN747" s="39"/>
      <c r="CO747" s="39"/>
      <c r="CP747" s="39"/>
      <c r="CQ747" s="39"/>
      <c r="CR747" s="39"/>
      <c r="CS747" s="39"/>
      <c r="CT747" s="39"/>
      <c r="CU747" s="39"/>
      <c r="CV747" s="39"/>
      <c r="CW747" s="39"/>
      <c r="CX747" s="39"/>
      <c r="CY747" s="39"/>
      <c r="CZ747" s="39"/>
      <c r="DA747" s="39"/>
      <c r="DB747" s="39"/>
      <c r="DC747" s="39"/>
      <c r="DD747" s="39"/>
      <c r="DE747" s="39"/>
      <c r="DF747" s="39"/>
      <c r="DG747" s="39"/>
      <c r="DH747" s="39"/>
      <c r="DI747" s="39"/>
    </row>
    <row r="748" spans="1:113">
      <c r="A748" s="41"/>
      <c r="C748" s="48" t="str">
        <f t="shared" si="187"/>
        <v>SingTel</v>
      </c>
      <c r="D748" s="44" t="str">
        <f t="shared" si="187"/>
        <v>SGD 2.42</v>
      </c>
      <c r="E748" s="44" t="str">
        <f t="shared" si="187"/>
        <v>SGD 4.40</v>
      </c>
      <c r="F748" s="45">
        <f t="shared" si="187"/>
        <v>0.81818181818181834</v>
      </c>
      <c r="G748" s="44" t="str">
        <f t="shared" si="187"/>
        <v>Buy</v>
      </c>
      <c r="H748" s="46"/>
      <c r="I748" s="47">
        <f>SINGTEL!D$18/Prices!$C$176/1000</f>
        <v>33.594792779627078</v>
      </c>
      <c r="J748" s="47">
        <f>SINGTEL!E$18/Prices!$C$176/1000</f>
        <v>31.974223616242739</v>
      </c>
      <c r="K748" s="47">
        <f>SINGTEL!F$18/Prices!$C$176/1000</f>
        <v>30.042398330291693</v>
      </c>
      <c r="L748" s="47">
        <f>SINGTEL!G$18/Prices!$C$176/1000</f>
        <v>28.045816421295683</v>
      </c>
      <c r="M748" s="45">
        <f t="shared" si="188"/>
        <v>-5.8402333721232824E-2</v>
      </c>
      <c r="N748" s="46"/>
      <c r="O748" s="47">
        <f>SINGTEL!L$26/Prices!$C$176/1000</f>
        <v>73.860031571747982</v>
      </c>
      <c r="P748" s="47">
        <f>SINGTEL!M$26/Prices!$C$176/1000</f>
        <v>70.667538898624642</v>
      </c>
      <c r="Q748" s="47">
        <f>SINGTEL!N$26/Prices!$C$176/1000</f>
        <v>67.297119754097764</v>
      </c>
      <c r="R748" s="47">
        <f>SINGTEL!O$26/Prices!$C$176/1000</f>
        <v>63.660121422749533</v>
      </c>
      <c r="S748" s="45">
        <f t="shared" si="189"/>
        <v>-4.8330849791731856E-2</v>
      </c>
      <c r="T748" s="46"/>
      <c r="U748" s="48" t="str">
        <f t="shared" si="190"/>
        <v>SGD 2.42</v>
      </c>
      <c r="V748" s="44" t="str">
        <f t="shared" si="190"/>
        <v>SingTel</v>
      </c>
      <c r="X748" s="43"/>
      <c r="Y748" s="76"/>
      <c r="BF748" s="39"/>
      <c r="BG748" s="39"/>
      <c r="BH748" s="39"/>
      <c r="BI748" s="39"/>
      <c r="BJ748" s="39"/>
      <c r="BK748" s="39"/>
      <c r="BL748" s="39"/>
      <c r="BM748" s="39"/>
      <c r="BN748" s="39"/>
      <c r="BO748" s="39"/>
      <c r="BP748" s="39"/>
      <c r="BQ748" s="39"/>
      <c r="BR748" s="39"/>
      <c r="BS748" s="39"/>
      <c r="BT748" s="39"/>
      <c r="BU748" s="39"/>
      <c r="BV748" s="39"/>
      <c r="BW748" s="39"/>
      <c r="BX748" s="39"/>
      <c r="BY748" s="39"/>
      <c r="BZ748" s="39"/>
      <c r="CA748" s="39"/>
      <c r="CB748" s="39"/>
      <c r="CC748" s="39"/>
      <c r="CD748" s="39"/>
      <c r="CE748" s="39"/>
      <c r="CF748" s="39"/>
      <c r="CG748" s="39"/>
      <c r="CH748" s="39"/>
      <c r="CI748" s="39"/>
      <c r="CJ748" s="39"/>
      <c r="CK748" s="39"/>
      <c r="CL748" s="39"/>
      <c r="CM748" s="39"/>
      <c r="CN748" s="39"/>
      <c r="CO748" s="39"/>
      <c r="CP748" s="39"/>
      <c r="CQ748" s="39"/>
      <c r="CR748" s="39"/>
      <c r="CS748" s="39"/>
      <c r="CT748" s="39"/>
      <c r="CU748" s="39"/>
      <c r="CV748" s="39"/>
      <c r="CW748" s="39"/>
      <c r="CX748" s="39"/>
      <c r="CY748" s="39"/>
      <c r="CZ748" s="39"/>
      <c r="DA748" s="39"/>
      <c r="DB748" s="39"/>
      <c r="DC748" s="39"/>
      <c r="DD748" s="39"/>
      <c r="DE748" s="39"/>
      <c r="DF748" s="39"/>
      <c r="DG748" s="39"/>
      <c r="DH748" s="39"/>
      <c r="DI748" s="39"/>
    </row>
    <row r="749" spans="1:113">
      <c r="A749" s="41"/>
      <c r="C749" s="48" t="str">
        <f t="shared" si="187"/>
        <v xml:space="preserve">Telstra </v>
      </c>
      <c r="D749" s="44" t="str">
        <f t="shared" si="187"/>
        <v>AUD 3.45</v>
      </c>
      <c r="E749" s="44" t="str">
        <f t="shared" si="187"/>
        <v>AUD 3.50</v>
      </c>
      <c r="F749" s="45">
        <f t="shared" si="187"/>
        <v>1.4492753623188248E-2</v>
      </c>
      <c r="G749" s="44" t="str">
        <f t="shared" si="187"/>
        <v>Buy</v>
      </c>
      <c r="H749" s="46"/>
      <c r="I749" s="47">
        <f>TLS!D18/1000/Prices!$C$168</f>
        <v>31.452643790319879</v>
      </c>
      <c r="J749" s="47">
        <f>TLS!E18/1000/Prices!$C$168</f>
        <v>28.816258184146456</v>
      </c>
      <c r="K749" s="47">
        <f>TLS!F18/1000/Prices!$C$168</f>
        <v>26.821416189400821</v>
      </c>
      <c r="L749" s="47">
        <f>TLS!G18/1000/Prices!$C$168</f>
        <v>24.728663705019546</v>
      </c>
      <c r="M749" s="45">
        <f t="shared" si="188"/>
        <v>-7.7043646028510993E-2</v>
      </c>
      <c r="N749" s="46"/>
      <c r="O749" s="47">
        <f>TLS!L26/1000/Prices!$C$168</f>
        <v>27.202082935673833</v>
      </c>
      <c r="P749" s="47">
        <f>TLS!M26/1000/Prices!$C$168</f>
        <v>27.202082935673833</v>
      </c>
      <c r="Q749" s="47">
        <f>TLS!N26/1000/Prices!$C$168</f>
        <v>27.202082935673833</v>
      </c>
      <c r="R749" s="47">
        <f>TLS!O26/1000/Prices!$C$168</f>
        <v>27.202082935673833</v>
      </c>
      <c r="S749" s="45">
        <f t="shared" si="189"/>
        <v>0</v>
      </c>
      <c r="T749" s="46"/>
      <c r="U749" s="48" t="str">
        <f t="shared" si="190"/>
        <v>AUD 3.45</v>
      </c>
      <c r="V749" s="44" t="str">
        <f t="shared" si="190"/>
        <v>Telstra</v>
      </c>
      <c r="X749" s="43"/>
      <c r="Y749" s="76"/>
      <c r="BF749" s="39"/>
      <c r="BG749" s="39"/>
      <c r="BH749" s="39"/>
      <c r="BI749" s="39"/>
      <c r="BJ749" s="39"/>
      <c r="BK749" s="39"/>
      <c r="BL749" s="39"/>
      <c r="BM749" s="39"/>
      <c r="BN749" s="39"/>
      <c r="BO749" s="39"/>
      <c r="BP749" s="39"/>
      <c r="BQ749" s="39"/>
      <c r="BR749" s="39"/>
      <c r="BS749" s="39"/>
      <c r="BT749" s="39"/>
      <c r="BU749" s="39"/>
      <c r="BV749" s="39"/>
      <c r="BW749" s="39"/>
      <c r="BX749" s="39"/>
      <c r="BY749" s="39"/>
      <c r="BZ749" s="39"/>
      <c r="CA749" s="39"/>
      <c r="CB749" s="39"/>
      <c r="CC749" s="39"/>
      <c r="CD749" s="39"/>
      <c r="CE749" s="39"/>
      <c r="CF749" s="39"/>
      <c r="CG749" s="39"/>
      <c r="CH749" s="39"/>
      <c r="CI749" s="39"/>
      <c r="CJ749" s="39"/>
      <c r="CK749" s="39"/>
      <c r="CL749" s="39"/>
      <c r="CM749" s="39"/>
      <c r="CN749" s="39"/>
      <c r="CO749" s="39"/>
      <c r="CP749" s="39"/>
      <c r="CQ749" s="39"/>
      <c r="CR749" s="39"/>
      <c r="CS749" s="39"/>
      <c r="CT749" s="39"/>
      <c r="CU749" s="39"/>
      <c r="CV749" s="39"/>
      <c r="CW749" s="39"/>
      <c r="CX749" s="39"/>
      <c r="CY749" s="39"/>
      <c r="CZ749" s="39"/>
      <c r="DA749" s="39"/>
      <c r="DB749" s="39"/>
      <c r="DC749" s="39"/>
      <c r="DD749" s="39"/>
      <c r="DE749" s="39"/>
      <c r="DF749" s="39"/>
      <c r="DG749" s="39"/>
      <c r="DH749" s="39"/>
      <c r="DI749" s="39"/>
    </row>
    <row r="750" spans="1:113">
      <c r="A750" s="41"/>
      <c r="C750" s="51" t="str">
        <f>C690</f>
        <v>Agg. Developed Asia Incumbent</v>
      </c>
      <c r="D750" s="58"/>
      <c r="E750" s="58"/>
      <c r="F750" s="55"/>
      <c r="G750" s="58"/>
      <c r="H750" s="56"/>
      <c r="I750" s="54">
        <f>'DM ASIA INCUMB'!D$18/1000</f>
        <v>223.59225042511036</v>
      </c>
      <c r="J750" s="54">
        <f>'DM ASIA INCUMB'!$E$18/1000</f>
        <v>213.34724079068721</v>
      </c>
      <c r="K750" s="54">
        <f>'DM ASIA INCUMB'!$F$18/1000</f>
        <v>203.08213652427489</v>
      </c>
      <c r="L750" s="54">
        <f>'DM ASIA INCUMB'!$G$18/1000</f>
        <v>192.28604581044812</v>
      </c>
      <c r="M750" s="55">
        <f t="shared" si="188"/>
        <v>-4.9036881566081658E-2</v>
      </c>
      <c r="N750" s="56"/>
      <c r="O750" s="54">
        <f>'DM ASIA INCUMB'!L$26/1000</f>
        <v>195.40867737895221</v>
      </c>
      <c r="P750" s="54">
        <f>'DM ASIA INCUMB'!M$26/1000</f>
        <v>190.74520353024582</v>
      </c>
      <c r="Q750" s="54">
        <f>'DM ASIA INCUMB'!N$26/1000</f>
        <v>185.90465936052408</v>
      </c>
      <c r="R750" s="54">
        <f>'DM ASIA INCUMB'!O$26/1000</f>
        <v>180.79839215436922</v>
      </c>
      <c r="S750" s="55">
        <f t="shared" si="189"/>
        <v>-2.5570912381644328E-2</v>
      </c>
      <c r="T750" s="56"/>
      <c r="U750" s="51"/>
      <c r="V750" s="58" t="str">
        <f>V690</f>
        <v xml:space="preserve">Agg. Developed Asia Incumbent </v>
      </c>
      <c r="BF750" s="39"/>
      <c r="BG750" s="39"/>
      <c r="BH750" s="39"/>
      <c r="BI750" s="39"/>
      <c r="BJ750" s="39"/>
      <c r="BK750" s="39"/>
      <c r="BL750" s="39"/>
      <c r="BM750" s="39"/>
      <c r="BN750" s="39"/>
      <c r="BO750" s="39"/>
      <c r="BP750" s="39"/>
      <c r="BQ750" s="39"/>
      <c r="BR750" s="39"/>
      <c r="BS750" s="39"/>
      <c r="BT750" s="39"/>
      <c r="BU750" s="39"/>
      <c r="BV750" s="39"/>
      <c r="BW750" s="39"/>
      <c r="BX750" s="39"/>
      <c r="BY750" s="39"/>
      <c r="BZ750" s="39"/>
      <c r="CA750" s="39"/>
      <c r="CB750" s="39"/>
      <c r="CC750" s="39"/>
      <c r="CD750" s="39"/>
      <c r="CE750" s="39"/>
      <c r="CF750" s="39"/>
      <c r="CG750" s="39"/>
      <c r="CH750" s="39"/>
      <c r="CI750" s="39"/>
      <c r="CJ750" s="39"/>
      <c r="CK750" s="39"/>
      <c r="CL750" s="39"/>
      <c r="CM750" s="39"/>
      <c r="CN750" s="39"/>
      <c r="CO750" s="39"/>
      <c r="CP750" s="39"/>
      <c r="CQ750" s="39"/>
      <c r="CR750" s="39"/>
      <c r="CS750" s="39"/>
      <c r="CT750" s="39"/>
      <c r="CU750" s="39"/>
      <c r="CV750" s="39"/>
      <c r="CW750" s="39"/>
      <c r="CX750" s="39"/>
      <c r="CY750" s="39"/>
      <c r="CZ750" s="39"/>
      <c r="DA750" s="39"/>
      <c r="DB750" s="39"/>
      <c r="DC750" s="39"/>
      <c r="DD750" s="39"/>
      <c r="DE750" s="39"/>
      <c r="DF750" s="39"/>
      <c r="DG750" s="39"/>
      <c r="DH750" s="39"/>
      <c r="DI750" s="39"/>
    </row>
    <row r="751" spans="1:113">
      <c r="A751" s="41"/>
      <c r="C751" s="43"/>
      <c r="D751" s="50"/>
      <c r="E751" s="50"/>
      <c r="F751" s="61"/>
      <c r="G751" s="50"/>
      <c r="H751" s="56"/>
      <c r="I751" s="62"/>
      <c r="J751" s="62"/>
      <c r="K751" s="62"/>
      <c r="L751" s="62"/>
      <c r="M751" s="61"/>
      <c r="N751" s="56"/>
      <c r="O751" s="62"/>
      <c r="P751" s="62"/>
      <c r="Q751" s="62"/>
      <c r="R751" s="62"/>
      <c r="S751" s="61"/>
      <c r="T751" s="56"/>
      <c r="U751" s="43"/>
      <c r="V751" s="50"/>
      <c r="BF751" s="39"/>
      <c r="BG751" s="39"/>
      <c r="BH751" s="39"/>
      <c r="BI751" s="39"/>
      <c r="BJ751" s="39"/>
      <c r="BK751" s="39"/>
      <c r="BL751" s="39"/>
      <c r="BM751" s="39"/>
      <c r="BN751" s="39"/>
      <c r="BO751" s="39"/>
      <c r="BP751" s="39"/>
      <c r="BQ751" s="39"/>
      <c r="BR751" s="39"/>
      <c r="BS751" s="39"/>
      <c r="BT751" s="39"/>
      <c r="BU751" s="39"/>
      <c r="BV751" s="39"/>
      <c r="BW751" s="39"/>
      <c r="BX751" s="39"/>
      <c r="BY751" s="39"/>
      <c r="BZ751" s="39"/>
      <c r="CA751" s="39"/>
      <c r="CB751" s="39"/>
      <c r="CC751" s="39"/>
      <c r="CD751" s="39"/>
      <c r="CE751" s="39"/>
      <c r="CF751" s="39"/>
      <c r="CG751" s="39"/>
      <c r="CH751" s="39"/>
      <c r="CI751" s="39"/>
      <c r="CJ751" s="39"/>
      <c r="CK751" s="39"/>
      <c r="CL751" s="39"/>
      <c r="CM751" s="39"/>
      <c r="CN751" s="39"/>
      <c r="CO751" s="39"/>
      <c r="CP751" s="39"/>
      <c r="CQ751" s="39"/>
      <c r="CR751" s="39"/>
      <c r="CS751" s="39"/>
      <c r="CT751" s="39"/>
      <c r="CU751" s="39"/>
      <c r="CV751" s="39"/>
      <c r="CW751" s="39"/>
      <c r="CX751" s="39"/>
      <c r="CY751" s="39"/>
      <c r="CZ751" s="39"/>
      <c r="DA751" s="39"/>
      <c r="DB751" s="39"/>
      <c r="DC751" s="39"/>
      <c r="DD751" s="39"/>
      <c r="DE751" s="39"/>
      <c r="DF751" s="39"/>
      <c r="DG751" s="39"/>
      <c r="DH751" s="39"/>
      <c r="DI751" s="39"/>
    </row>
    <row r="752" spans="1:113">
      <c r="A752" s="41"/>
      <c r="C752" s="51" t="s">
        <v>865</v>
      </c>
      <c r="D752" s="58"/>
      <c r="E752" s="58"/>
      <c r="F752" s="55"/>
      <c r="G752" s="58"/>
      <c r="H752" s="56"/>
      <c r="I752" s="54">
        <f>'AGG DM INCUMB'!D$18/1000</f>
        <v>1734.3315049716068</v>
      </c>
      <c r="J752" s="54">
        <f>'AGG DM INCUMB'!$E$18/1000</f>
        <v>1663.351533830004</v>
      </c>
      <c r="K752" s="54">
        <f>'AGG DM INCUMB'!$F$18/1000</f>
        <v>1580.7850171934797</v>
      </c>
      <c r="L752" s="54">
        <f>'AGG DM INCUMB'!$G$18/1000</f>
        <v>1491.7258673986667</v>
      </c>
      <c r="M752" s="55">
        <f>(L752/I752)^(1/3)-1</f>
        <v>-4.8988790877547372E-2</v>
      </c>
      <c r="N752" s="56"/>
      <c r="O752" s="54">
        <f>'AGG DM INCUMB'!L$26/1000</f>
        <v>1025.44903140472</v>
      </c>
      <c r="P752" s="54">
        <f>'AGG DM INCUMB'!M$26/1000</f>
        <v>1004.5642894512794</v>
      </c>
      <c r="Q752" s="54">
        <f>'AGG DM INCUMB'!N$26/1000</f>
        <v>980.8342757819712</v>
      </c>
      <c r="R752" s="54">
        <f>'AGG DM INCUMB'!O$26/1000</f>
        <v>955.3023360125884</v>
      </c>
      <c r="S752" s="55">
        <f>(R752/O752)^(1/3)-1</f>
        <v>-2.3342580875558405E-2</v>
      </c>
      <c r="T752" s="56"/>
      <c r="U752" s="51"/>
      <c r="V752" s="58" t="str">
        <f>C752</f>
        <v>Agg. DM Incumbent total</v>
      </c>
      <c r="BF752" s="39"/>
      <c r="BG752" s="39"/>
      <c r="BH752" s="39"/>
      <c r="BI752" s="39"/>
      <c r="BJ752" s="39"/>
      <c r="BK752" s="39"/>
      <c r="BL752" s="39"/>
      <c r="BM752" s="39"/>
      <c r="BN752" s="39"/>
      <c r="BO752" s="39"/>
      <c r="BP752" s="39"/>
      <c r="BQ752" s="39"/>
      <c r="BR752" s="39"/>
      <c r="BS752" s="39"/>
      <c r="BT752" s="39"/>
      <c r="BU752" s="39"/>
      <c r="BV752" s="39"/>
      <c r="BW752" s="39"/>
      <c r="BX752" s="39"/>
      <c r="BY752" s="39"/>
      <c r="BZ752" s="39"/>
      <c r="CA752" s="39"/>
      <c r="CB752" s="39"/>
      <c r="CC752" s="39"/>
      <c r="CD752" s="39"/>
      <c r="CE752" s="39"/>
      <c r="CF752" s="39"/>
      <c r="CG752" s="39"/>
      <c r="CH752" s="39"/>
      <c r="CI752" s="39"/>
      <c r="CJ752" s="39"/>
      <c r="CK752" s="39"/>
      <c r="CL752" s="39"/>
      <c r="CM752" s="39"/>
      <c r="CN752" s="39"/>
      <c r="CO752" s="39"/>
      <c r="CP752" s="39"/>
      <c r="CQ752" s="39"/>
      <c r="CR752" s="39"/>
      <c r="CS752" s="39"/>
      <c r="CT752" s="39"/>
      <c r="CU752" s="39"/>
      <c r="CV752" s="39"/>
      <c r="CW752" s="39"/>
      <c r="CX752" s="39"/>
      <c r="CY752" s="39"/>
      <c r="CZ752" s="39"/>
      <c r="DA752" s="39"/>
      <c r="DB752" s="39"/>
      <c r="DC752" s="39"/>
      <c r="DD752" s="39"/>
      <c r="DE752" s="39"/>
      <c r="DF752" s="39"/>
      <c r="DG752" s="39"/>
      <c r="DH752" s="39"/>
      <c r="DI752" s="39"/>
    </row>
    <row r="753" spans="1:113">
      <c r="A753" s="41"/>
      <c r="C753" s="41"/>
      <c r="D753" s="44"/>
      <c r="E753" s="44"/>
      <c r="F753" s="45"/>
      <c r="G753" s="44"/>
      <c r="H753" s="46"/>
      <c r="I753" s="47"/>
      <c r="J753" s="47"/>
      <c r="K753" s="47"/>
      <c r="L753" s="47"/>
      <c r="M753" s="45"/>
      <c r="N753" s="46"/>
      <c r="O753" s="47"/>
      <c r="P753" s="47"/>
      <c r="Q753" s="47"/>
      <c r="R753" s="47"/>
      <c r="S753" s="45"/>
      <c r="T753" s="46"/>
      <c r="U753" s="48"/>
      <c r="V753" s="50"/>
      <c r="X753" s="43"/>
      <c r="Y753" s="76"/>
      <c r="BF753" s="39"/>
      <c r="BG753" s="39"/>
      <c r="BH753" s="39"/>
      <c r="BI753" s="39"/>
      <c r="BJ753" s="39"/>
      <c r="BK753" s="39"/>
      <c r="BL753" s="39"/>
      <c r="BM753" s="39"/>
      <c r="BN753" s="39"/>
      <c r="BO753" s="39"/>
      <c r="BP753" s="39"/>
      <c r="BQ753" s="39"/>
      <c r="BR753" s="39"/>
      <c r="BS753" s="39"/>
      <c r="BT753" s="39"/>
      <c r="BU753" s="39"/>
      <c r="BV753" s="39"/>
      <c r="BW753" s="39"/>
      <c r="BX753" s="39"/>
      <c r="BY753" s="39"/>
      <c r="BZ753" s="39"/>
      <c r="CA753" s="39"/>
      <c r="CB753" s="39"/>
      <c r="CC753" s="39"/>
      <c r="CD753" s="39"/>
      <c r="CE753" s="39"/>
      <c r="CF753" s="39"/>
      <c r="CG753" s="39"/>
      <c r="CH753" s="39"/>
      <c r="CI753" s="39"/>
      <c r="CJ753" s="39"/>
      <c r="CK753" s="39"/>
      <c r="CL753" s="39"/>
      <c r="CM753" s="39"/>
      <c r="CN753" s="39"/>
      <c r="CO753" s="39"/>
      <c r="CP753" s="39"/>
      <c r="CQ753" s="39"/>
      <c r="CR753" s="39"/>
      <c r="CS753" s="39"/>
      <c r="CT753" s="39"/>
      <c r="CU753" s="39"/>
      <c r="CV753" s="39"/>
      <c r="CW753" s="39"/>
      <c r="CX753" s="39"/>
      <c r="CY753" s="39"/>
      <c r="CZ753" s="39"/>
      <c r="DA753" s="39"/>
      <c r="DB753" s="39"/>
      <c r="DC753" s="39"/>
      <c r="DD753" s="39"/>
      <c r="DE753" s="39"/>
      <c r="DF753" s="39"/>
      <c r="DG753" s="39"/>
      <c r="DH753" s="39"/>
      <c r="DI753" s="39"/>
    </row>
    <row r="754" spans="1:113">
      <c r="A754" s="41" t="s">
        <v>1385</v>
      </c>
      <c r="C754" s="48" t="str">
        <f t="shared" ref="C754:G761" si="191">C694</f>
        <v>1&amp;1</v>
      </c>
      <c r="D754" s="44" t="str">
        <f t="shared" si="191"/>
        <v>EUR 17.5</v>
      </c>
      <c r="E754" s="44" t="str">
        <f t="shared" si="191"/>
        <v>EUR 28.0</v>
      </c>
      <c r="F754" s="45">
        <f t="shared" si="191"/>
        <v>0.60000000000000009</v>
      </c>
      <c r="G754" s="44" t="str">
        <f t="shared" si="191"/>
        <v>Buy</v>
      </c>
      <c r="H754" s="46"/>
      <c r="I754" s="47">
        <f>DRI!D$18/1000</f>
        <v>4.2657609198957447</v>
      </c>
      <c r="J754" s="47">
        <f>DRI!$E$18/1000</f>
        <v>4.5513912300149837</v>
      </c>
      <c r="K754" s="47">
        <f>DRI!$F$18/1000</f>
        <v>4.6503056579192075</v>
      </c>
      <c r="L754" s="47">
        <f>DRI!$G$18/1000</f>
        <v>4.4173786574738916</v>
      </c>
      <c r="M754" s="45">
        <f>(L754/I754)^(1/3)-1</f>
        <v>1.1709991674779596E-2</v>
      </c>
      <c r="N754" s="46"/>
      <c r="O754" s="47">
        <f>DRI!L$26/1000</f>
        <v>4.4866589198957447</v>
      </c>
      <c r="P754" s="47">
        <f>DRI!M$26/1000</f>
        <v>4.5365724440138635</v>
      </c>
      <c r="Q754" s="47">
        <f>DRI!N$26/1000</f>
        <v>4.0207601307237786</v>
      </c>
      <c r="R754" s="47">
        <f>DRI!O$26/1000</f>
        <v>3.9935442047565481</v>
      </c>
      <c r="S754" s="45">
        <f>(R754/O754)^(1/3)-1</f>
        <v>-3.8066284482317858E-2</v>
      </c>
      <c r="T754" s="46"/>
      <c r="U754" s="48" t="str">
        <f t="shared" ref="U754:V760" si="192">U694</f>
        <v>EUR 17.5</v>
      </c>
      <c r="V754" s="44" t="str">
        <f t="shared" si="192"/>
        <v>1&amp;1</v>
      </c>
      <c r="X754" s="43"/>
      <c r="Y754" s="76"/>
      <c r="BF754" s="39"/>
      <c r="BG754" s="39"/>
      <c r="BH754" s="39"/>
      <c r="BI754" s="39"/>
      <c r="BJ754" s="39"/>
      <c r="BK754" s="39"/>
      <c r="BL754" s="39"/>
      <c r="BM754" s="39"/>
      <c r="BN754" s="39"/>
      <c r="BO754" s="39"/>
      <c r="BP754" s="39"/>
      <c r="BQ754" s="39"/>
      <c r="BR754" s="39"/>
      <c r="BS754" s="39"/>
      <c r="BT754" s="39"/>
      <c r="BU754" s="39"/>
      <c r="BV754" s="39"/>
      <c r="BW754" s="39"/>
      <c r="BX754" s="39"/>
      <c r="BY754" s="39"/>
      <c r="BZ754" s="39"/>
      <c r="CA754" s="39"/>
      <c r="CB754" s="39"/>
      <c r="CC754" s="39"/>
      <c r="CD754" s="39"/>
      <c r="CE754" s="39"/>
      <c r="CF754" s="39"/>
      <c r="CG754" s="39"/>
      <c r="CH754" s="39"/>
      <c r="CI754" s="39"/>
      <c r="CJ754" s="39"/>
      <c r="CK754" s="39"/>
      <c r="CL754" s="39"/>
      <c r="CM754" s="39"/>
      <c r="CN754" s="39"/>
      <c r="CO754" s="39"/>
      <c r="CP754" s="39"/>
      <c r="CQ754" s="39"/>
      <c r="CR754" s="39"/>
      <c r="CS754" s="39"/>
      <c r="CT754" s="39"/>
      <c r="CU754" s="39"/>
      <c r="CV754" s="39"/>
      <c r="CW754" s="39"/>
      <c r="CX754" s="39"/>
      <c r="CY754" s="39"/>
      <c r="CZ754" s="39"/>
      <c r="DA754" s="39"/>
      <c r="DB754" s="39"/>
      <c r="DC754" s="39"/>
      <c r="DD754" s="39"/>
      <c r="DE754" s="39"/>
      <c r="DF754" s="39"/>
      <c r="DG754" s="39"/>
      <c r="DH754" s="39"/>
      <c r="DI754" s="39"/>
    </row>
    <row r="755" spans="1:113">
      <c r="C755" s="48" t="str">
        <f t="shared" si="191"/>
        <v>Elisa</v>
      </c>
      <c r="D755" s="44" t="str">
        <f t="shared" si="191"/>
        <v>EUR 41.6</v>
      </c>
      <c r="E755" s="44" t="str">
        <f t="shared" si="191"/>
        <v>EUR 54.0</v>
      </c>
      <c r="F755" s="45">
        <f t="shared" si="191"/>
        <v>0.29745314752522845</v>
      </c>
      <c r="G755" s="44" t="str">
        <f t="shared" si="191"/>
        <v>Neutral</v>
      </c>
      <c r="H755" s="46"/>
      <c r="I755" s="47">
        <f>ELISA!$D$18/1000</f>
        <v>8.2406758428302513</v>
      </c>
      <c r="J755" s="47">
        <f>ELISA!$E$18/1000</f>
        <v>7.8733507781071133</v>
      </c>
      <c r="K755" s="47">
        <f>ELISA!$F$18/1000</f>
        <v>7.4692779932801656</v>
      </c>
      <c r="L755" s="47">
        <f>ELISA!$G$18/1000</f>
        <v>7.8837424156566058</v>
      </c>
      <c r="M755" s="45">
        <f t="shared" ref="M755:M762" si="193">(L755/I755)^(1/3)-1</f>
        <v>-1.4651488015098857E-2</v>
      </c>
      <c r="N755" s="46"/>
      <c r="O755" s="47">
        <f>ELISA!L$26/1000</f>
        <v>6.9548645600238679</v>
      </c>
      <c r="P755" s="47">
        <f>ELISA!M$26/1000</f>
        <v>6.9548645600238679</v>
      </c>
      <c r="Q755" s="47">
        <f>ELISA!N$26/1000</f>
        <v>6.9548645600238679</v>
      </c>
      <c r="R755" s="47">
        <f>ELISA!O$26/1000</f>
        <v>6.6619469199999992</v>
      </c>
      <c r="S755" s="45">
        <f t="shared" ref="S755:S762" si="194">(R755/O755)^(1/3)-1</f>
        <v>-1.424081953399492E-2</v>
      </c>
      <c r="T755" s="46"/>
      <c r="U755" s="48" t="str">
        <f t="shared" si="192"/>
        <v>EUR 41.6</v>
      </c>
      <c r="V755" s="44" t="str">
        <f t="shared" si="192"/>
        <v>Elisa</v>
      </c>
      <c r="X755" s="43"/>
      <c r="Y755" s="76"/>
      <c r="BF755" s="39"/>
      <c r="BG755" s="39"/>
      <c r="BH755" s="39"/>
      <c r="BI755" s="39"/>
      <c r="BJ755" s="39"/>
      <c r="BK755" s="39"/>
      <c r="BL755" s="39"/>
      <c r="BM755" s="39"/>
      <c r="BN755" s="39"/>
      <c r="BO755" s="39"/>
      <c r="BP755" s="39"/>
      <c r="BQ755" s="39"/>
      <c r="BR755" s="39"/>
      <c r="BS755" s="39"/>
      <c r="BT755" s="39"/>
      <c r="BU755" s="39"/>
      <c r="BV755" s="39"/>
      <c r="BW755" s="39"/>
      <c r="BX755" s="39"/>
      <c r="BY755" s="39"/>
      <c r="BZ755" s="39"/>
      <c r="CA755" s="39"/>
      <c r="CB755" s="39"/>
      <c r="CC755" s="39"/>
      <c r="CD755" s="39"/>
      <c r="CE755" s="39"/>
      <c r="CF755" s="39"/>
      <c r="CG755" s="39"/>
      <c r="CH755" s="39"/>
      <c r="CI755" s="39"/>
      <c r="CJ755" s="39"/>
      <c r="CK755" s="39"/>
      <c r="CL755" s="39"/>
      <c r="CM755" s="39"/>
      <c r="CN755" s="39"/>
      <c r="CO755" s="39"/>
      <c r="CP755" s="39"/>
      <c r="CQ755" s="39"/>
      <c r="CR755" s="39"/>
      <c r="CS755" s="39"/>
      <c r="CT755" s="39"/>
      <c r="CU755" s="39"/>
      <c r="CV755" s="39"/>
      <c r="CW755" s="39"/>
      <c r="CX755" s="39"/>
      <c r="CY755" s="39"/>
      <c r="CZ755" s="39"/>
      <c r="DA755" s="39"/>
      <c r="DB755" s="39"/>
      <c r="DC755" s="39"/>
      <c r="DD755" s="39"/>
      <c r="DE755" s="39"/>
      <c r="DF755" s="39"/>
      <c r="DG755" s="39"/>
      <c r="DH755" s="39"/>
      <c r="DI755" s="39"/>
    </row>
    <row r="756" spans="1:113">
      <c r="A756" s="41"/>
      <c r="C756" s="48" t="str">
        <f t="shared" si="191"/>
        <v>Liberty Global (prop.)</v>
      </c>
      <c r="D756" s="44" t="str">
        <f t="shared" si="191"/>
        <v>USD 16.2</v>
      </c>
      <c r="E756" s="44" t="str">
        <f t="shared" si="191"/>
        <v>USD 24.0</v>
      </c>
      <c r="F756" s="45">
        <f t="shared" si="191"/>
        <v>0.47783251231527113</v>
      </c>
      <c r="G756" s="44" t="str">
        <f t="shared" si="191"/>
        <v>Buy</v>
      </c>
      <c r="H756" s="46"/>
      <c r="I756" s="47">
        <f>LBTY!D$18/1000/Prices!$C$155</f>
        <v>9.8395057638999255</v>
      </c>
      <c r="J756" s="47">
        <f>LBTY!E$18/1000/Prices!$C$155</f>
        <v>8.828694113112542</v>
      </c>
      <c r="K756" s="47">
        <f>LBTY!F$18/1000/Prices!$C$155</f>
        <v>8.4779782007061577</v>
      </c>
      <c r="L756" s="47">
        <f>LBTY!G$18/1000/Prices!$C$155</f>
        <v>7.9816147127394554</v>
      </c>
      <c r="M756" s="45">
        <f>(L756/I756)^(1/3)-1</f>
        <v>-6.7377636849790923E-2</v>
      </c>
      <c r="N756" s="46"/>
      <c r="O756" s="47">
        <f>LBTY!L$26/1000/Prices!$C$155</f>
        <v>5.6978034851558164</v>
      </c>
      <c r="P756" s="47">
        <f>LBTY!M$26/1000/Prices!$C$155</f>
        <v>5.1625288685542872</v>
      </c>
      <c r="Q756" s="47">
        <f>LBTY!N$26/1000/Prices!$C$155</f>
        <v>4.6807817136129106</v>
      </c>
      <c r="R756" s="47">
        <f>LBTY!O$26/1000/Prices!$C$155</f>
        <v>4.3825593018256379</v>
      </c>
      <c r="S756" s="45">
        <f>(R756/O756)^(1/3)-1</f>
        <v>-8.3765209782473149E-2</v>
      </c>
      <c r="T756" s="46"/>
      <c r="U756" s="48" t="str">
        <f t="shared" si="192"/>
        <v>USD 16.2</v>
      </c>
      <c r="V756" s="44" t="str">
        <f t="shared" si="192"/>
        <v>Liberty Global</v>
      </c>
      <c r="X756" s="43"/>
      <c r="Y756" s="76"/>
      <c r="BF756" s="39"/>
      <c r="BG756" s="39"/>
      <c r="BH756" s="39"/>
      <c r="BI756" s="39"/>
      <c r="BJ756" s="39"/>
      <c r="BK756" s="39"/>
      <c r="BL756" s="39"/>
      <c r="BM756" s="39"/>
      <c r="BN756" s="39"/>
      <c r="BO756" s="39"/>
      <c r="BP756" s="39"/>
      <c r="BQ756" s="39"/>
      <c r="BR756" s="39"/>
      <c r="BS756" s="39"/>
      <c r="BT756" s="39"/>
      <c r="BU756" s="39"/>
      <c r="BV756" s="39"/>
      <c r="BW756" s="39"/>
      <c r="BX756" s="39"/>
      <c r="BY756" s="39"/>
      <c r="BZ756" s="39"/>
      <c r="CA756" s="39"/>
      <c r="CB756" s="39"/>
      <c r="CC756" s="39"/>
      <c r="CD756" s="39"/>
      <c r="CE756" s="39"/>
      <c r="CF756" s="39"/>
      <c r="CG756" s="39"/>
      <c r="CH756" s="39"/>
      <c r="CI756" s="39"/>
      <c r="CJ756" s="39"/>
      <c r="CK756" s="39"/>
      <c r="CL756" s="39"/>
      <c r="CM756" s="39"/>
      <c r="CN756" s="39"/>
      <c r="CO756" s="39"/>
      <c r="CP756" s="39"/>
      <c r="CQ756" s="39"/>
      <c r="CR756" s="39"/>
      <c r="CS756" s="39"/>
      <c r="CT756" s="39"/>
      <c r="CU756" s="39"/>
      <c r="CV756" s="39"/>
      <c r="CW756" s="39"/>
      <c r="CX756" s="39"/>
      <c r="CY756" s="39"/>
      <c r="CZ756" s="39"/>
      <c r="DA756" s="39"/>
      <c r="DB756" s="39"/>
      <c r="DC756" s="39"/>
      <c r="DD756" s="39"/>
      <c r="DE756" s="39"/>
      <c r="DF756" s="39"/>
      <c r="DG756" s="39"/>
      <c r="DH756" s="39"/>
      <c r="DI756" s="39"/>
    </row>
    <row r="757" spans="1:113">
      <c r="A757" s="41"/>
      <c r="C757" s="48" t="str">
        <f t="shared" si="191"/>
        <v>NOS</v>
      </c>
      <c r="D757" s="44" t="str">
        <f t="shared" si="191"/>
        <v>EUR 3.35</v>
      </c>
      <c r="E757" s="44" t="str">
        <f t="shared" si="191"/>
        <v>EUR 4.00</v>
      </c>
      <c r="F757" s="45">
        <f t="shared" si="191"/>
        <v>0.19581464872944676</v>
      </c>
      <c r="G757" s="44" t="str">
        <f t="shared" si="191"/>
        <v>Neutral</v>
      </c>
      <c r="H757" s="46"/>
      <c r="I757" s="47">
        <f>NOS!$D$18/1000</f>
        <v>3.1850677843835173</v>
      </c>
      <c r="J757" s="47">
        <f>NOS!$E$18/1000</f>
        <v>2.795655606614845</v>
      </c>
      <c r="K757" s="47">
        <f>NOS!$F$18/1000</f>
        <v>2.4115813463017073</v>
      </c>
      <c r="L757" s="47">
        <f>NOS!$G$18/1000</f>
        <v>2.0254460903671254</v>
      </c>
      <c r="M757" s="45">
        <f>(L757/I757)^(1/3)-1</f>
        <v>-0.14006161224568914</v>
      </c>
      <c r="N757" s="46"/>
      <c r="O757" s="47">
        <f>NOS!L$26/1000</f>
        <v>2.2084268615951967</v>
      </c>
      <c r="P757" s="47">
        <f>NOS!M$26/1000</f>
        <v>2.1049846077795737</v>
      </c>
      <c r="Q757" s="47">
        <f>NOS!N$26/1000</f>
        <v>1.9551922866297737</v>
      </c>
      <c r="R757" s="47">
        <f>NOS!O$26/1000</f>
        <v>1.71653070999</v>
      </c>
      <c r="S757" s="45">
        <f>(R757/O757)^(1/3)-1</f>
        <v>-8.0561146282228213E-2</v>
      </c>
      <c r="T757" s="46"/>
      <c r="U757" s="48" t="str">
        <f t="shared" si="192"/>
        <v>EUR 3.35</v>
      </c>
      <c r="V757" s="44" t="str">
        <f t="shared" si="192"/>
        <v>NOS</v>
      </c>
      <c r="X757" s="43"/>
      <c r="Y757" s="76"/>
      <c r="BF757" s="39"/>
      <c r="BG757" s="39"/>
      <c r="BH757" s="39"/>
      <c r="BI757" s="39"/>
      <c r="BJ757" s="39"/>
      <c r="BK757" s="39"/>
      <c r="BL757" s="39"/>
      <c r="BM757" s="39"/>
      <c r="BN757" s="39"/>
      <c r="BO757" s="39"/>
      <c r="BP757" s="39"/>
      <c r="BQ757" s="39"/>
      <c r="BR757" s="39"/>
      <c r="BS757" s="39"/>
      <c r="BT757" s="39"/>
      <c r="BU757" s="39"/>
      <c r="BV757" s="39"/>
      <c r="BW757" s="39"/>
      <c r="BX757" s="39"/>
      <c r="BY757" s="39"/>
      <c r="BZ757" s="39"/>
      <c r="CA757" s="39"/>
      <c r="CB757" s="39"/>
      <c r="CC757" s="39"/>
      <c r="CD757" s="39"/>
      <c r="CE757" s="39"/>
      <c r="CF757" s="39"/>
      <c r="CG757" s="39"/>
      <c r="CH757" s="39"/>
      <c r="CI757" s="39"/>
      <c r="CJ757" s="39"/>
      <c r="CK757" s="39"/>
      <c r="CL757" s="39"/>
      <c r="CM757" s="39"/>
      <c r="CN757" s="39"/>
      <c r="CO757" s="39"/>
      <c r="CP757" s="39"/>
      <c r="CQ757" s="39"/>
      <c r="CR757" s="39"/>
      <c r="CS757" s="39"/>
      <c r="CT757" s="39"/>
      <c r="CU757" s="39"/>
      <c r="CV757" s="39"/>
      <c r="CW757" s="39"/>
      <c r="CX757" s="39"/>
      <c r="CY757" s="39"/>
      <c r="CZ757" s="39"/>
      <c r="DA757" s="39"/>
      <c r="DB757" s="39"/>
      <c r="DC757" s="39"/>
      <c r="DD757" s="39"/>
      <c r="DE757" s="39"/>
      <c r="DF757" s="39"/>
      <c r="DG757" s="39"/>
      <c r="DH757" s="39"/>
      <c r="DI757" s="39"/>
    </row>
    <row r="758" spans="1:113">
      <c r="C758" s="48" t="str">
        <f t="shared" si="191"/>
        <v>Orange Belgium</v>
      </c>
      <c r="D758" s="44" t="str">
        <f t="shared" si="191"/>
        <v>EUR 14.9</v>
      </c>
      <c r="E758" s="44" t="str">
        <f t="shared" si="191"/>
        <v>EUR 13.0</v>
      </c>
      <c r="F758" s="45">
        <f t="shared" si="191"/>
        <v>-0.12868632707774796</v>
      </c>
      <c r="G758" s="44" t="str">
        <f t="shared" si="191"/>
        <v>Neutral</v>
      </c>
      <c r="H758" s="46"/>
      <c r="I758" s="47">
        <f>OBEL!$D$18/1000</f>
        <v>2.9748490828981144</v>
      </c>
      <c r="J758" s="47">
        <f>OBEL!$E$18/1000</f>
        <v>2.8701719843084179</v>
      </c>
      <c r="K758" s="47">
        <f>OBEL!$F$18/1000</f>
        <v>2.7738139827476482</v>
      </c>
      <c r="L758" s="47">
        <f>OBEL!$G$18/1000</f>
        <v>2.6683115656963916</v>
      </c>
      <c r="M758" s="45">
        <f t="shared" si="193"/>
        <v>-3.5600003621594212E-2</v>
      </c>
      <c r="N758" s="46"/>
      <c r="O758" s="47">
        <f>OBEL!L$26/1000</f>
        <v>1.4587952749301896</v>
      </c>
      <c r="P758" s="47">
        <f>OBEL!M$26/1000</f>
        <v>1.4515706529076755</v>
      </c>
      <c r="Q758" s="47">
        <f>OBEL!N$26/1000</f>
        <v>1.3975954695068185</v>
      </c>
      <c r="R758" s="47">
        <f>OBEL!O$26/1000</f>
        <v>0.89541505688000012</v>
      </c>
      <c r="S758" s="45">
        <f t="shared" si="194"/>
        <v>-0.15014790694772706</v>
      </c>
      <c r="T758" s="46"/>
      <c r="U758" s="48" t="str">
        <f t="shared" si="192"/>
        <v>EUR 14.9</v>
      </c>
      <c r="V758" s="44" t="str">
        <f t="shared" si="192"/>
        <v>Mobistar</v>
      </c>
      <c r="X758" s="43"/>
      <c r="Y758" s="76"/>
      <c r="BF758" s="39"/>
      <c r="BG758" s="39"/>
      <c r="BH758" s="39"/>
      <c r="BI758" s="39"/>
      <c r="BJ758" s="39"/>
      <c r="BK758" s="39"/>
      <c r="BL758" s="39"/>
      <c r="BM758" s="39"/>
      <c r="BN758" s="39"/>
      <c r="BO758" s="39"/>
      <c r="BP758" s="39"/>
      <c r="BQ758" s="39"/>
      <c r="BR758" s="39"/>
      <c r="BS758" s="39"/>
      <c r="BT758" s="39"/>
      <c r="BU758" s="39"/>
      <c r="BV758" s="39"/>
      <c r="BW758" s="39"/>
      <c r="BX758" s="39"/>
      <c r="BY758" s="39"/>
      <c r="BZ758" s="39"/>
      <c r="CA758" s="39"/>
      <c r="CB758" s="39"/>
      <c r="CC758" s="39"/>
      <c r="CD758" s="39"/>
      <c r="CE758" s="39"/>
      <c r="CF758" s="39"/>
      <c r="CG758" s="39"/>
      <c r="CH758" s="39"/>
      <c r="CI758" s="39"/>
      <c r="CJ758" s="39"/>
      <c r="CK758" s="39"/>
      <c r="CL758" s="39"/>
      <c r="CM758" s="39"/>
      <c r="CN758" s="39"/>
      <c r="CO758" s="39"/>
      <c r="CP758" s="39"/>
      <c r="CQ758" s="39"/>
      <c r="CR758" s="39"/>
      <c r="CS758" s="39"/>
      <c r="CT758" s="39"/>
      <c r="CU758" s="39"/>
      <c r="CV758" s="39"/>
      <c r="CW758" s="39"/>
      <c r="CX758" s="39"/>
      <c r="CY758" s="39"/>
      <c r="CZ758" s="39"/>
      <c r="DA758" s="39"/>
      <c r="DB758" s="39"/>
      <c r="DC758" s="39"/>
      <c r="DD758" s="39"/>
      <c r="DE758" s="39"/>
      <c r="DF758" s="39"/>
      <c r="DG758" s="39"/>
      <c r="DH758" s="39"/>
      <c r="DI758" s="39"/>
    </row>
    <row r="759" spans="1:113">
      <c r="C759" s="48" t="str">
        <f t="shared" si="191"/>
        <v>Tele2</v>
      </c>
      <c r="D759" s="44" t="str">
        <f t="shared" si="191"/>
        <v>SEK 101.1</v>
      </c>
      <c r="E759" s="44" t="str">
        <f t="shared" si="191"/>
        <v>SEK 110.0</v>
      </c>
      <c r="F759" s="45">
        <f t="shared" si="191"/>
        <v>8.8570014844136624E-2</v>
      </c>
      <c r="G759" s="44" t="str">
        <f t="shared" si="191"/>
        <v>Neutral</v>
      </c>
      <c r="H759" s="46"/>
      <c r="I759" s="47">
        <f>TELE2!D$18/1000/Prices!$F$158</f>
        <v>8.8366172173214874</v>
      </c>
      <c r="J759" s="47">
        <f>TELE2!E$18/1000/Prices!$F$158</f>
        <v>8.3842663193818439</v>
      </c>
      <c r="K759" s="47">
        <f>TELE2!F$18/1000/Prices!$F$158</f>
        <v>7.9296910987564431</v>
      </c>
      <c r="L759" s="47">
        <f>TELE2!G$18/1000/Prices!$F$158</f>
        <v>7.4936611343096953</v>
      </c>
      <c r="M759" s="45">
        <f t="shared" si="193"/>
        <v>-5.3466471097793566E-2</v>
      </c>
      <c r="N759" s="46"/>
      <c r="O759" s="47">
        <f>TELE2!L$26/1000/Prices!$F$158</f>
        <v>6.7473002806379956</v>
      </c>
      <c r="P759" s="47">
        <f>TELE2!M$26/1000/Prices!$F$158</f>
        <v>6.7473002806379956</v>
      </c>
      <c r="Q759" s="47">
        <f>TELE2!N$26/1000/Prices!$F$158</f>
        <v>6.7473002806379956</v>
      </c>
      <c r="R759" s="47">
        <f>TELE2!O$26/1000/Prices!$F$158</f>
        <v>6.2126392990318093</v>
      </c>
      <c r="S759" s="45">
        <f t="shared" si="194"/>
        <v>-2.7143689332064347E-2</v>
      </c>
      <c r="T759" s="46"/>
      <c r="U759" s="48" t="str">
        <f t="shared" si="192"/>
        <v>SEK 101.1</v>
      </c>
      <c r="V759" s="44" t="str">
        <f t="shared" si="192"/>
        <v>Tele2</v>
      </c>
      <c r="X759" s="43"/>
      <c r="Y759" s="76"/>
      <c r="BF759" s="39"/>
      <c r="BG759" s="39"/>
      <c r="BH759" s="39"/>
      <c r="BI759" s="39"/>
      <c r="BJ759" s="39"/>
      <c r="BK759" s="39"/>
      <c r="BL759" s="39"/>
      <c r="BM759" s="39"/>
      <c r="BN759" s="39"/>
      <c r="BO759" s="39"/>
      <c r="BP759" s="39"/>
      <c r="BQ759" s="39"/>
      <c r="BR759" s="39"/>
      <c r="BS759" s="39"/>
      <c r="BT759" s="39"/>
      <c r="BU759" s="39"/>
      <c r="BV759" s="39"/>
      <c r="BW759" s="39"/>
      <c r="BX759" s="39"/>
      <c r="BY759" s="39"/>
      <c r="BZ759" s="39"/>
      <c r="CA759" s="39"/>
      <c r="CB759" s="39"/>
      <c r="CC759" s="39"/>
      <c r="CD759" s="39"/>
      <c r="CE759" s="39"/>
      <c r="CF759" s="39"/>
      <c r="CG759" s="39"/>
      <c r="CH759" s="39"/>
      <c r="CI759" s="39"/>
      <c r="CJ759" s="39"/>
      <c r="CK759" s="39"/>
      <c r="CL759" s="39"/>
      <c r="CM759" s="39"/>
      <c r="CN759" s="39"/>
      <c r="CO759" s="39"/>
      <c r="CP759" s="39"/>
      <c r="CQ759" s="39"/>
      <c r="CR759" s="39"/>
      <c r="CS759" s="39"/>
      <c r="CT759" s="39"/>
      <c r="CU759" s="39"/>
      <c r="CV759" s="39"/>
      <c r="CW759" s="39"/>
      <c r="CX759" s="39"/>
      <c r="CY759" s="39"/>
      <c r="CZ759" s="39"/>
      <c r="DA759" s="39"/>
      <c r="DB759" s="39"/>
      <c r="DC759" s="39"/>
      <c r="DD759" s="39"/>
      <c r="DE759" s="39"/>
      <c r="DF759" s="39"/>
      <c r="DG759" s="39"/>
      <c r="DH759" s="39"/>
      <c r="DI759" s="39"/>
    </row>
    <row r="760" spans="1:113">
      <c r="A760" s="41"/>
      <c r="C760" s="48" t="str">
        <f t="shared" si="191"/>
        <v>United Internet</v>
      </c>
      <c r="D760" s="44" t="str">
        <f t="shared" si="191"/>
        <v>EUR 22.1</v>
      </c>
      <c r="E760" s="44" t="str">
        <f t="shared" si="191"/>
        <v>EUR 30.0</v>
      </c>
      <c r="F760" s="45">
        <f t="shared" si="191"/>
        <v>0.35869565217391308</v>
      </c>
      <c r="G760" s="44" t="str">
        <f t="shared" si="191"/>
        <v>Buy</v>
      </c>
      <c r="H760" s="46"/>
      <c r="I760" s="47">
        <f>UTDI!D$18/1000</f>
        <v>9.8523778964195117</v>
      </c>
      <c r="J760" s="47">
        <f>UTDI!$E$18/1000</f>
        <v>10.20315557680304</v>
      </c>
      <c r="K760" s="47">
        <f>UTDI!$F$18/1000</f>
        <v>10.325311089897063</v>
      </c>
      <c r="L760" s="47">
        <f>UTDI!$G$18/1000</f>
        <v>10.114359330229915</v>
      </c>
      <c r="M760" s="45">
        <f>(L760/I760)^(1/3)-1</f>
        <v>8.7861378958808967E-3</v>
      </c>
      <c r="N760" s="46"/>
      <c r="O760" s="47">
        <f>UTDI!L$26/1000</f>
        <v>5.2171988559957443</v>
      </c>
      <c r="P760" s="47">
        <f>UTDI!M$26/1000</f>
        <v>5.267112380113864</v>
      </c>
      <c r="Q760" s="47">
        <f>UTDI!N$26/1000</f>
        <v>4.7513000668237781</v>
      </c>
      <c r="R760" s="47">
        <f>UTDI!O$26/1000</f>
        <v>4.7240841408565473</v>
      </c>
      <c r="S760" s="45">
        <f>(R760/O760)^(1/3)-1</f>
        <v>-3.2553974825644372E-2</v>
      </c>
      <c r="T760" s="46"/>
      <c r="U760" s="48" t="str">
        <f t="shared" si="192"/>
        <v>EUR 22.1</v>
      </c>
      <c r="V760" s="44" t="str">
        <f t="shared" si="192"/>
        <v>United Internet</v>
      </c>
      <c r="BF760" s="39"/>
      <c r="BG760" s="39"/>
      <c r="BH760" s="39"/>
      <c r="BI760" s="39"/>
      <c r="BJ760" s="39"/>
      <c r="BK760" s="39"/>
      <c r="BL760" s="39"/>
      <c r="BM760" s="39"/>
      <c r="BN760" s="39"/>
      <c r="BO760" s="39"/>
      <c r="BP760" s="39"/>
      <c r="BQ760" s="39"/>
      <c r="BR760" s="39"/>
      <c r="BS760" s="39"/>
      <c r="BT760" s="39"/>
      <c r="BU760" s="39"/>
      <c r="BV760" s="39"/>
      <c r="BW760" s="39"/>
      <c r="BX760" s="39"/>
      <c r="BY760" s="39"/>
      <c r="BZ760" s="39"/>
      <c r="CA760" s="39"/>
      <c r="CB760" s="39"/>
      <c r="CC760" s="39"/>
      <c r="CD760" s="39"/>
      <c r="CE760" s="39"/>
      <c r="CF760" s="39"/>
      <c r="CG760" s="39"/>
      <c r="CH760" s="39"/>
      <c r="CI760" s="39"/>
      <c r="CJ760" s="39"/>
      <c r="CK760" s="39"/>
      <c r="CL760" s="39"/>
      <c r="CM760" s="39"/>
      <c r="CN760" s="39"/>
      <c r="CO760" s="39"/>
      <c r="CP760" s="39"/>
      <c r="CQ760" s="39"/>
      <c r="CR760" s="39"/>
      <c r="CS760" s="39"/>
      <c r="CT760" s="39"/>
      <c r="CU760" s="39"/>
      <c r="CV760" s="39"/>
      <c r="CW760" s="39"/>
      <c r="CX760" s="39"/>
      <c r="CY760" s="39"/>
      <c r="CZ760" s="39"/>
      <c r="DA760" s="39"/>
      <c r="DB760" s="39"/>
      <c r="DC760" s="39"/>
      <c r="DD760" s="39"/>
      <c r="DE760" s="39"/>
      <c r="DF760" s="39"/>
      <c r="DG760" s="39"/>
      <c r="DH760" s="39"/>
      <c r="DI760" s="39"/>
    </row>
    <row r="761" spans="1:113">
      <c r="C761" s="48" t="str">
        <f t="shared" si="191"/>
        <v>Vodafone</v>
      </c>
      <c r="D761" s="44" t="str">
        <f t="shared" si="191"/>
        <v>GBP 0.74</v>
      </c>
      <c r="E761" s="44" t="str">
        <f t="shared" si="191"/>
        <v>GBP 1.35</v>
      </c>
      <c r="F761" s="45">
        <f t="shared" si="191"/>
        <v>0.83673469387755106</v>
      </c>
      <c r="G761" s="44" t="str">
        <f t="shared" si="191"/>
        <v>Buy</v>
      </c>
      <c r="H761" s="46"/>
      <c r="I761" s="47">
        <f>VOD!D$18/1000/Prices!$F$153</f>
        <v>59.133065652975276</v>
      </c>
      <c r="J761" s="47">
        <f>VOD!E$18/1000/Prices!$F$153</f>
        <v>53.249272902912296</v>
      </c>
      <c r="K761" s="47">
        <f>VOD!F$18/1000/Prices!$F$153</f>
        <v>50.425562371379471</v>
      </c>
      <c r="L761" s="47">
        <f>VOD!G$18/1000/Prices!$F$153</f>
        <v>45.861861278627401</v>
      </c>
      <c r="M761" s="45">
        <f>(L761/I761)^(1/3)-1</f>
        <v>-8.122939110342442E-2</v>
      </c>
      <c r="N761" s="46"/>
      <c r="O761" s="47">
        <f>VOD!D$26/1000/Prices!$F$153</f>
        <v>3.8799173599084815</v>
      </c>
      <c r="P761" s="47">
        <f>VOD!E$26/1000/Prices!$F$153</f>
        <v>3.5984297663261406</v>
      </c>
      <c r="Q761" s="47">
        <f>VOD!F$26/1000/Prices!$F$153</f>
        <v>4.2880743631281293</v>
      </c>
      <c r="R761" s="47">
        <f>VOD!G$26/1000/Prices!$F$153</f>
        <v>4.7052092457158645</v>
      </c>
      <c r="S761" s="45">
        <f>(R761/O761)^(1/3)-1</f>
        <v>6.6396772736873944E-2</v>
      </c>
      <c r="T761" s="46"/>
      <c r="U761" s="48" t="str">
        <f>U701</f>
        <v>GBP 0.74</v>
      </c>
      <c r="V761" s="44" t="s">
        <v>281</v>
      </c>
      <c r="BF761" s="39"/>
      <c r="BG761" s="39"/>
      <c r="BH761" s="39"/>
      <c r="BI761" s="39"/>
      <c r="BJ761" s="39"/>
      <c r="BK761" s="39"/>
      <c r="BL761" s="39"/>
      <c r="BM761" s="39"/>
      <c r="BN761" s="39"/>
      <c r="BO761" s="39"/>
      <c r="BP761" s="39"/>
      <c r="BQ761" s="39"/>
      <c r="BR761" s="39"/>
      <c r="BS761" s="39"/>
      <c r="BT761" s="39"/>
      <c r="BU761" s="39"/>
      <c r="BV761" s="39"/>
      <c r="BW761" s="39"/>
      <c r="BX761" s="39"/>
      <c r="BY761" s="39"/>
      <c r="BZ761" s="39"/>
      <c r="CA761" s="39"/>
      <c r="CB761" s="39"/>
      <c r="CC761" s="39"/>
      <c r="CD761" s="39"/>
      <c r="CE761" s="39"/>
      <c r="CF761" s="39"/>
      <c r="CG761" s="39"/>
      <c r="CH761" s="39"/>
      <c r="CI761" s="39"/>
      <c r="CJ761" s="39"/>
      <c r="CK761" s="39"/>
      <c r="CL761" s="39"/>
      <c r="CM761" s="39"/>
      <c r="CN761" s="39"/>
      <c r="CO761" s="39"/>
      <c r="CP761" s="39"/>
      <c r="CQ761" s="39"/>
      <c r="CR761" s="39"/>
      <c r="CS761" s="39"/>
      <c r="CT761" s="39"/>
      <c r="CU761" s="39"/>
      <c r="CV761" s="39"/>
      <c r="CW761" s="39"/>
      <c r="CX761" s="39"/>
      <c r="CY761" s="39"/>
      <c r="CZ761" s="39"/>
      <c r="DA761" s="39"/>
      <c r="DB761" s="39"/>
      <c r="DC761" s="39"/>
      <c r="DD761" s="39"/>
      <c r="DE761" s="39"/>
      <c r="DF761" s="39"/>
      <c r="DG761" s="39"/>
      <c r="DH761" s="39"/>
      <c r="DI761" s="39"/>
    </row>
    <row r="762" spans="1:113">
      <c r="C762" s="51" t="str">
        <f>C702</f>
        <v>Agg. W. Europe Other</v>
      </c>
      <c r="D762" s="52"/>
      <c r="E762" s="52"/>
      <c r="F762" s="53"/>
      <c r="G762" s="52"/>
      <c r="H762" s="46"/>
      <c r="I762" s="54">
        <f>'W.EUR OTHER'!$D$18/1000</f>
        <v>102.06215924072808</v>
      </c>
      <c r="J762" s="54">
        <f>'W.EUR OTHER'!$E$18/1000</f>
        <v>94.204567281240102</v>
      </c>
      <c r="K762" s="54">
        <f>'W.EUR OTHER'!$F$18/1000</f>
        <v>89.813216083068667</v>
      </c>
      <c r="L762" s="54">
        <f>'W.EUR OTHER'!$G$18/1000</f>
        <v>84.028996527626589</v>
      </c>
      <c r="M762" s="55">
        <f t="shared" si="193"/>
        <v>-6.2751382711814241E-2</v>
      </c>
      <c r="N762" s="56"/>
      <c r="O762" s="54">
        <f>'W.EUR OTHER'!L$26/1000</f>
        <v>51.585690405390459</v>
      </c>
      <c r="P762" s="54">
        <f>'W.EUR OTHER'!M$26/1000</f>
        <v>48.874788348849599</v>
      </c>
      <c r="Q762" s="54">
        <f>'W.EUR OTHER'!N$26/1000</f>
        <v>47.673461376067486</v>
      </c>
      <c r="R762" s="54">
        <f>'W.EUR OTHER'!O$26/1000</f>
        <v>45.779602427416336</v>
      </c>
      <c r="S762" s="55">
        <f t="shared" si="194"/>
        <v>-3.902020519603655E-2</v>
      </c>
      <c r="T762" s="46"/>
      <c r="U762" s="57"/>
      <c r="V762" s="58" t="str">
        <f>V702</f>
        <v>Agg. W. Europe Other</v>
      </c>
      <c r="BF762" s="39"/>
      <c r="BG762" s="39"/>
      <c r="BH762" s="39"/>
      <c r="BI762" s="39"/>
      <c r="BJ762" s="39"/>
      <c r="BK762" s="39"/>
      <c r="BL762" s="39"/>
      <c r="BM762" s="39"/>
      <c r="BN762" s="39"/>
      <c r="BO762" s="39"/>
      <c r="BP762" s="39"/>
      <c r="BQ762" s="39"/>
      <c r="BR762" s="39"/>
      <c r="BS762" s="39"/>
      <c r="BT762" s="39"/>
      <c r="BU762" s="39"/>
      <c r="BV762" s="39"/>
      <c r="BW762" s="39"/>
      <c r="BX762" s="39"/>
      <c r="BY762" s="39"/>
      <c r="BZ762" s="39"/>
      <c r="CA762" s="39"/>
      <c r="CB762" s="39"/>
      <c r="CC762" s="39"/>
      <c r="CD762" s="39"/>
      <c r="CE762" s="39"/>
      <c r="CF762" s="39"/>
      <c r="CG762" s="39"/>
      <c r="CH762" s="39"/>
      <c r="CI762" s="39"/>
      <c r="CJ762" s="39"/>
      <c r="CK762" s="39"/>
      <c r="CL762" s="39"/>
      <c r="CM762" s="39"/>
      <c r="CN762" s="39"/>
      <c r="CO762" s="39"/>
      <c r="CP762" s="39"/>
      <c r="CQ762" s="39"/>
      <c r="CR762" s="39"/>
      <c r="CS762" s="39"/>
      <c r="CT762" s="39"/>
      <c r="CU762" s="39"/>
      <c r="CV762" s="39"/>
      <c r="CW762" s="39"/>
      <c r="CX762" s="39"/>
      <c r="CY762" s="39"/>
      <c r="CZ762" s="39"/>
      <c r="DA762" s="39"/>
      <c r="DB762" s="39"/>
      <c r="DC762" s="39"/>
      <c r="DD762" s="39"/>
      <c r="DE762" s="39"/>
      <c r="DF762" s="39"/>
      <c r="DG762" s="39"/>
      <c r="DH762" s="39"/>
      <c r="DI762" s="39"/>
    </row>
    <row r="763" spans="1:113">
      <c r="C763" s="48"/>
      <c r="D763" s="44"/>
      <c r="E763" s="44"/>
      <c r="F763" s="45"/>
      <c r="G763" s="44"/>
      <c r="H763" s="46"/>
      <c r="I763" s="47"/>
      <c r="J763" s="47"/>
      <c r="K763" s="47"/>
      <c r="L763" s="47"/>
      <c r="M763" s="45"/>
      <c r="N763" s="46"/>
      <c r="O763" s="47"/>
      <c r="P763" s="47"/>
      <c r="Q763" s="47"/>
      <c r="R763" s="47"/>
      <c r="S763" s="45"/>
      <c r="T763" s="46"/>
      <c r="U763" s="48"/>
      <c r="V763" s="44"/>
      <c r="BF763" s="39"/>
      <c r="BG763" s="39"/>
      <c r="BH763" s="39"/>
      <c r="BI763" s="39"/>
      <c r="BJ763" s="39"/>
      <c r="BK763" s="39"/>
      <c r="BL763" s="39"/>
      <c r="BM763" s="39"/>
      <c r="BN763" s="39"/>
      <c r="BO763" s="39"/>
      <c r="BP763" s="39"/>
      <c r="BQ763" s="39"/>
      <c r="BR763" s="39"/>
      <c r="BS763" s="39"/>
      <c r="BT763" s="39"/>
      <c r="BU763" s="39"/>
      <c r="BV763" s="39"/>
      <c r="BW763" s="39"/>
      <c r="BX763" s="39"/>
      <c r="BY763" s="39"/>
      <c r="BZ763" s="39"/>
      <c r="CA763" s="39"/>
      <c r="CB763" s="39"/>
      <c r="CC763" s="39"/>
      <c r="CD763" s="39"/>
      <c r="CE763" s="39"/>
      <c r="CF763" s="39"/>
      <c r="CG763" s="39"/>
      <c r="CH763" s="39"/>
      <c r="CI763" s="39"/>
      <c r="CJ763" s="39"/>
      <c r="CK763" s="39"/>
      <c r="CL763" s="39"/>
      <c r="CM763" s="39"/>
      <c r="CN763" s="39"/>
      <c r="CO763" s="39"/>
      <c r="CP763" s="39"/>
      <c r="CQ763" s="39"/>
      <c r="CR763" s="39"/>
      <c r="CS763" s="39"/>
      <c r="CT763" s="39"/>
      <c r="CU763" s="39"/>
      <c r="CV763" s="39"/>
      <c r="CW763" s="39"/>
      <c r="CX763" s="39"/>
      <c r="CY763" s="39"/>
      <c r="CZ763" s="39"/>
      <c r="DA763" s="39"/>
      <c r="DB763" s="39"/>
      <c r="DC763" s="39"/>
      <c r="DD763" s="39"/>
      <c r="DE763" s="39"/>
      <c r="DF763" s="39"/>
      <c r="DG763" s="39"/>
      <c r="DH763" s="39"/>
      <c r="DI763" s="39"/>
    </row>
    <row r="764" spans="1:113">
      <c r="A764" s="41"/>
      <c r="B764" s="42" t="s">
        <v>556</v>
      </c>
      <c r="C764" s="48" t="str">
        <f t="shared" ref="C764:G769" si="195">C704</f>
        <v>HKBN</v>
      </c>
      <c r="D764" s="44" t="str">
        <f t="shared" si="195"/>
        <v>HKD 3</v>
      </c>
      <c r="E764" s="44" t="str">
        <f t="shared" si="195"/>
        <v>HKD 16</v>
      </c>
      <c r="F764" s="45">
        <f t="shared" si="195"/>
        <v>5.2256809338521402</v>
      </c>
      <c r="G764" s="44" t="str">
        <f t="shared" si="195"/>
        <v>Buy</v>
      </c>
      <c r="H764" s="46"/>
      <c r="I764" s="47">
        <f>HKBN!D$18/1000/Prices!$C$167</f>
        <v>1.4433931671121623</v>
      </c>
      <c r="J764" s="47">
        <f>HKBN!E$18/1000/Prices!$C$167</f>
        <v>1.2384971517009167</v>
      </c>
      <c r="K764" s="47">
        <f>HKBN!F$18/1000/Prices!$C$167</f>
        <v>1.0246123001698142</v>
      </c>
      <c r="L764" s="47">
        <f>HKBN!G$18/1000/Prices!C167</f>
        <v>0.7961040761020779</v>
      </c>
      <c r="M764" s="45">
        <f>(L764/I764)^(1/3)-1</f>
        <v>-0.17990958848601513</v>
      </c>
      <c r="N764" s="46"/>
      <c r="O764" s="47">
        <f>HKBN!L$26/1000/Prices!$C$167</f>
        <v>0.50617665545927359</v>
      </c>
      <c r="P764" s="47">
        <f>HKBN!M$26/1000/Prices!$C$167</f>
        <v>0.50617665545927359</v>
      </c>
      <c r="Q764" s="47">
        <f>HKBN!N$26/1000/Prices!$C$167</f>
        <v>0.50617665545927359</v>
      </c>
      <c r="R764" s="47">
        <f>HKBN!O$26/1000/Prices!$C$167</f>
        <v>0.50617665545927359</v>
      </c>
      <c r="S764" s="45">
        <f>(R764/O764)^(1/3)-1</f>
        <v>0</v>
      </c>
      <c r="T764" s="46"/>
      <c r="U764" s="48" t="str">
        <f t="shared" ref="U764:V769" si="196">U704</f>
        <v>HKD 3</v>
      </c>
      <c r="V764" s="69" t="str">
        <f t="shared" si="196"/>
        <v>HKBN</v>
      </c>
      <c r="BF764" s="39"/>
      <c r="BG764" s="39"/>
      <c r="BH764" s="39"/>
      <c r="BI764" s="39"/>
      <c r="BJ764" s="39"/>
      <c r="BK764" s="39"/>
      <c r="BL764" s="39"/>
      <c r="BM764" s="39"/>
      <c r="BN764" s="39"/>
      <c r="BO764" s="39"/>
      <c r="BP764" s="39"/>
      <c r="BQ764" s="39"/>
      <c r="BR764" s="39"/>
      <c r="BS764" s="39"/>
      <c r="BT764" s="39"/>
      <c r="BU764" s="39"/>
      <c r="BV764" s="39"/>
      <c r="BW764" s="39"/>
      <c r="BX764" s="39"/>
      <c r="BY764" s="39"/>
      <c r="BZ764" s="39"/>
      <c r="CA764" s="39"/>
      <c r="CB764" s="39"/>
      <c r="CC764" s="39"/>
      <c r="CD764" s="39"/>
      <c r="CE764" s="39"/>
      <c r="CF764" s="39"/>
      <c r="CG764" s="39"/>
      <c r="CH764" s="39"/>
      <c r="CI764" s="39"/>
      <c r="CJ764" s="39"/>
      <c r="CK764" s="39"/>
      <c r="CL764" s="39"/>
      <c r="CM764" s="39"/>
      <c r="CN764" s="39"/>
      <c r="CO764" s="39"/>
      <c r="CP764" s="39"/>
      <c r="CQ764" s="39"/>
      <c r="CR764" s="39"/>
      <c r="CS764" s="39"/>
      <c r="CT764" s="39"/>
      <c r="CU764" s="39"/>
      <c r="CV764" s="39"/>
      <c r="CW764" s="39"/>
      <c r="CX764" s="39"/>
      <c r="CY764" s="39"/>
      <c r="CZ764" s="39"/>
      <c r="DA764" s="39"/>
      <c r="DB764" s="39"/>
      <c r="DC764" s="39"/>
      <c r="DD764" s="39"/>
      <c r="DE764" s="39"/>
      <c r="DF764" s="39"/>
      <c r="DG764" s="39"/>
      <c r="DH764" s="39"/>
      <c r="DI764" s="39"/>
    </row>
    <row r="765" spans="1:113">
      <c r="C765" s="48" t="str">
        <f t="shared" si="195"/>
        <v>KDDI</v>
      </c>
      <c r="D765" s="44" t="str">
        <f t="shared" si="195"/>
        <v>JPY 4,302</v>
      </c>
      <c r="E765" s="44" t="str">
        <f t="shared" si="195"/>
        <v>JPY 6,600</v>
      </c>
      <c r="F765" s="45">
        <f t="shared" si="195"/>
        <v>0.53417015341701535</v>
      </c>
      <c r="G765" s="44" t="str">
        <f t="shared" si="195"/>
        <v>Buy</v>
      </c>
      <c r="H765" s="46"/>
      <c r="I765" s="47">
        <f>KDDI!D18/Prices!$C$161</f>
        <v>66.878151009666894</v>
      </c>
      <c r="J765" s="47">
        <f>KDDI!E18/Prices!$C$161</f>
        <v>62.317077764438871</v>
      </c>
      <c r="K765" s="47">
        <f>KDDI!F18/Prices!$C$161</f>
        <v>57.647402845264729</v>
      </c>
      <c r="L765" s="47">
        <f>KDDI!G18/Prices!$C$161</f>
        <v>52.799994513829049</v>
      </c>
      <c r="M765" s="45">
        <f t="shared" ref="M765:M770" si="197">(L765/I765)^(1/3)-1</f>
        <v>-7.5763306548374265E-2</v>
      </c>
      <c r="N765" s="46"/>
      <c r="O765" s="47">
        <f>KDDI!L26/Prices!$C$161</f>
        <v>57.065503071801245</v>
      </c>
      <c r="P765" s="47">
        <f>KDDI!M26/Prices!$C$161</f>
        <v>55.847474723338117</v>
      </c>
      <c r="Q765" s="47">
        <f>KDDI!N26/Prices!$C$161</f>
        <v>54.324939287759207</v>
      </c>
      <c r="R765" s="47">
        <f>KDDI!O26/Prices!$C$161</f>
        <v>52.802403852180284</v>
      </c>
      <c r="S765" s="45">
        <f t="shared" ref="S765:S770" si="198">(R765/O765)^(1/3)-1</f>
        <v>-2.554897955968527E-2</v>
      </c>
      <c r="T765" s="46"/>
      <c r="U765" s="48" t="str">
        <f t="shared" si="196"/>
        <v>JPY 4,302</v>
      </c>
      <c r="V765" s="44" t="str">
        <f t="shared" si="196"/>
        <v>KDDI</v>
      </c>
      <c r="BF765" s="39"/>
      <c r="BG765" s="39"/>
      <c r="BH765" s="39"/>
      <c r="BI765" s="39"/>
      <c r="BJ765" s="39"/>
      <c r="BK765" s="39"/>
      <c r="BL765" s="39"/>
      <c r="BM765" s="39"/>
      <c r="BN765" s="39"/>
      <c r="BO765" s="39"/>
      <c r="BP765" s="39"/>
      <c r="BQ765" s="39"/>
      <c r="BR765" s="39"/>
      <c r="BS765" s="39"/>
      <c r="BT765" s="39"/>
      <c r="BU765" s="39"/>
      <c r="BV765" s="39"/>
      <c r="BW765" s="39"/>
      <c r="BX765" s="39"/>
      <c r="BY765" s="39"/>
      <c r="BZ765" s="39"/>
      <c r="CA765" s="39"/>
      <c r="CB765" s="39"/>
      <c r="CC765" s="39"/>
      <c r="CD765" s="39"/>
      <c r="CE765" s="39"/>
      <c r="CF765" s="39"/>
      <c r="CG765" s="39"/>
      <c r="CH765" s="39"/>
      <c r="CI765" s="39"/>
      <c r="CJ765" s="39"/>
      <c r="CK765" s="39"/>
      <c r="CL765" s="39"/>
      <c r="CM765" s="39"/>
      <c r="CN765" s="39"/>
      <c r="CO765" s="39"/>
      <c r="CP765" s="39"/>
      <c r="CQ765" s="39"/>
      <c r="CR765" s="39"/>
      <c r="CS765" s="39"/>
      <c r="CT765" s="39"/>
      <c r="CU765" s="39"/>
      <c r="CV765" s="39"/>
      <c r="CW765" s="39"/>
      <c r="CX765" s="39"/>
      <c r="CY765" s="39"/>
      <c r="CZ765" s="39"/>
      <c r="DA765" s="39"/>
      <c r="DB765" s="39"/>
      <c r="DC765" s="39"/>
      <c r="DD765" s="39"/>
      <c r="DE765" s="39"/>
      <c r="DF765" s="39"/>
      <c r="DG765" s="39"/>
      <c r="DH765" s="39"/>
      <c r="DI765" s="39"/>
    </row>
    <row r="766" spans="1:113">
      <c r="A766" s="41"/>
      <c r="C766" s="48" t="str">
        <f t="shared" si="195"/>
        <v>Macquarie Telecom</v>
      </c>
      <c r="D766" s="44" t="str">
        <f t="shared" si="195"/>
        <v>AUD 85.20</v>
      </c>
      <c r="E766" s="44" t="str">
        <f t="shared" si="195"/>
        <v>AUD 28.00</v>
      </c>
      <c r="F766" s="45">
        <f t="shared" si="195"/>
        <v>-0.67136150234741787</v>
      </c>
      <c r="G766" s="44" t="str">
        <f t="shared" si="195"/>
        <v>Neutral</v>
      </c>
      <c r="H766" s="46"/>
      <c r="I766" s="47">
        <f>MAQ!D$18/1000/Prices!$F$153</f>
        <v>2.1269986463938304</v>
      </c>
      <c r="J766" s="47">
        <f>MAQ!E$18/1000/Prices!$F$153</f>
        <v>2.1231651476789071</v>
      </c>
      <c r="K766" s="47">
        <f>MAQ!F$18/1000/Prices!$F$153</f>
        <v>2.1245704990955558</v>
      </c>
      <c r="L766" s="47">
        <f>MAQ!G$18/1000/Prices!$F$153</f>
        <v>2.1211576048252399</v>
      </c>
      <c r="M766" s="45">
        <f t="shared" ref="M766" si="199">(L766/I766)^(1/3)-1</f>
        <v>-9.1622006567293468E-4</v>
      </c>
      <c r="N766" s="46"/>
      <c r="O766" s="47">
        <f>MAQ!L$26/1000/Prices!$F$153</f>
        <v>2.1590591555951426</v>
      </c>
      <c r="P766" s="47">
        <f>MAQ!M$26/1000/Prices!$F$153</f>
        <v>2.1930819883934927</v>
      </c>
      <c r="Q766" s="47">
        <f>MAQ!N$26/1000/Prices!$F$153</f>
        <v>2.2185124721625655</v>
      </c>
      <c r="R766" s="47">
        <f>MAQ!O$26/1000/Prices!$F$153</f>
        <v>2.246515582046233</v>
      </c>
      <c r="S766" s="45">
        <f t="shared" ref="S766" si="200">(R766/O766)^(1/3)-1</f>
        <v>1.3323927855290574E-2</v>
      </c>
      <c r="T766" s="46"/>
      <c r="U766" s="48" t="str">
        <f t="shared" si="196"/>
        <v>AUD 85.20</v>
      </c>
      <c r="V766" s="69" t="str">
        <f t="shared" si="196"/>
        <v>Macquarie Telecom</v>
      </c>
      <c r="X766" s="43"/>
      <c r="Y766" s="76"/>
      <c r="BF766" s="39"/>
      <c r="BG766" s="39"/>
      <c r="BH766" s="39"/>
      <c r="BI766" s="39"/>
      <c r="BJ766" s="39"/>
      <c r="BK766" s="39"/>
      <c r="BL766" s="39"/>
      <c r="BM766" s="39"/>
      <c r="BN766" s="39"/>
      <c r="BO766" s="39"/>
      <c r="BP766" s="39"/>
      <c r="BQ766" s="39"/>
      <c r="BR766" s="39"/>
      <c r="BS766" s="39"/>
      <c r="BT766" s="39"/>
      <c r="BU766" s="39"/>
      <c r="BV766" s="39"/>
      <c r="BW766" s="39"/>
      <c r="BX766" s="39"/>
      <c r="BY766" s="39"/>
      <c r="BZ766" s="39"/>
      <c r="CA766" s="39"/>
      <c r="CB766" s="39"/>
      <c r="CC766" s="39"/>
      <c r="CD766" s="39"/>
      <c r="CE766" s="39"/>
      <c r="CF766" s="39"/>
      <c r="CG766" s="39"/>
      <c r="CH766" s="39"/>
      <c r="CI766" s="39"/>
      <c r="CJ766" s="39"/>
      <c r="CK766" s="39"/>
      <c r="CL766" s="39"/>
      <c r="CM766" s="39"/>
      <c r="CN766" s="39"/>
      <c r="CO766" s="39"/>
      <c r="CP766" s="39"/>
      <c r="CQ766" s="39"/>
      <c r="CR766" s="39"/>
      <c r="CS766" s="39"/>
      <c r="CT766" s="39"/>
      <c r="CU766" s="39"/>
      <c r="CV766" s="39"/>
      <c r="CW766" s="39"/>
      <c r="CX766" s="39"/>
      <c r="CY766" s="39"/>
      <c r="CZ766" s="39"/>
      <c r="DA766" s="39"/>
      <c r="DB766" s="39"/>
      <c r="DC766" s="39"/>
      <c r="DD766" s="39"/>
      <c r="DE766" s="39"/>
      <c r="DF766" s="39"/>
      <c r="DG766" s="39"/>
      <c r="DH766" s="39"/>
      <c r="DI766" s="39"/>
    </row>
    <row r="767" spans="1:113">
      <c r="C767" s="48" t="str">
        <f t="shared" si="195"/>
        <v>Rakuten</v>
      </c>
      <c r="D767" s="44" t="str">
        <f t="shared" si="195"/>
        <v>JPY 776</v>
      </c>
      <c r="E767" s="44" t="str">
        <f t="shared" si="195"/>
        <v>JPY 400</v>
      </c>
      <c r="F767" s="45">
        <f t="shared" si="195"/>
        <v>-0.48446964815053484</v>
      </c>
      <c r="G767" s="44" t="str">
        <f t="shared" si="195"/>
        <v>Reduce</v>
      </c>
      <c r="H767" s="46"/>
      <c r="I767" s="47">
        <f>(RAK!D$18/Prices!$C$161)</f>
        <v>12.548179777187562</v>
      </c>
      <c r="J767" s="47">
        <f>(RAK!E$18/Prices!$C$161)</f>
        <v>12.520436652823218</v>
      </c>
      <c r="K767" s="47">
        <f>(RAK!F$18/Prices!$C$161)</f>
        <v>12.497243768925856</v>
      </c>
      <c r="L767" s="47">
        <f>(RAK!G$18/Prices!$C$161)</f>
        <v>12.462524842567209</v>
      </c>
      <c r="M767" s="45">
        <f>(L767/I767)^(1/3)-1</f>
        <v>-2.280558470405869E-3</v>
      </c>
      <c r="N767" s="46"/>
      <c r="O767" s="47">
        <f>(RAK!L$26/Prices!$C$161)</f>
        <v>10.587531772575252</v>
      </c>
      <c r="P767" s="47">
        <f>(RAK!M$26/Prices!$C$161)</f>
        <v>10.587531772575252</v>
      </c>
      <c r="Q767" s="47">
        <f>(RAK!N$26/Prices!$C$161)</f>
        <v>10.587531772575252</v>
      </c>
      <c r="R767" s="47">
        <f>(RAK!O$26/Prices!$C$161)</f>
        <v>10.587531772575252</v>
      </c>
      <c r="S767" s="45">
        <f>(R767/O767)^(1/3)-1</f>
        <v>0</v>
      </c>
      <c r="T767" s="46"/>
      <c r="U767" s="48" t="str">
        <f t="shared" si="196"/>
        <v>JPY 776</v>
      </c>
      <c r="V767" s="44" t="str">
        <f t="shared" si="196"/>
        <v>Rakuten</v>
      </c>
      <c r="X767" s="43"/>
      <c r="Y767" s="76"/>
      <c r="BF767" s="39"/>
      <c r="BG767" s="39"/>
      <c r="BH767" s="39"/>
      <c r="BI767" s="39"/>
      <c r="BJ767" s="39"/>
      <c r="BK767" s="39"/>
      <c r="BL767" s="39"/>
      <c r="BM767" s="39"/>
      <c r="BN767" s="39"/>
      <c r="BO767" s="39"/>
      <c r="BP767" s="39"/>
      <c r="BQ767" s="39"/>
      <c r="BR767" s="39"/>
      <c r="BS767" s="39"/>
      <c r="BT767" s="39"/>
      <c r="BU767" s="39"/>
      <c r="BV767" s="39"/>
      <c r="BW767" s="39"/>
      <c r="BX767" s="39"/>
      <c r="BY767" s="39"/>
      <c r="BZ767" s="39"/>
      <c r="CA767" s="39"/>
      <c r="CB767" s="39"/>
      <c r="CC767" s="39"/>
      <c r="CD767" s="39"/>
      <c r="CE767" s="39"/>
      <c r="CF767" s="39"/>
      <c r="CG767" s="39"/>
      <c r="CH767" s="39"/>
      <c r="CI767" s="39"/>
      <c r="CJ767" s="39"/>
      <c r="CK767" s="39"/>
      <c r="CL767" s="39"/>
      <c r="CM767" s="39"/>
      <c r="CN767" s="39"/>
      <c r="CO767" s="39"/>
      <c r="CP767" s="39"/>
      <c r="CQ767" s="39"/>
      <c r="CR767" s="39"/>
      <c r="CS767" s="39"/>
      <c r="CT767" s="39"/>
      <c r="CU767" s="39"/>
      <c r="CV767" s="39"/>
      <c r="CW767" s="39"/>
      <c r="CX767" s="39"/>
      <c r="CY767" s="39"/>
      <c r="CZ767" s="39"/>
      <c r="DA767" s="39"/>
      <c r="DB767" s="39"/>
      <c r="DC767" s="39"/>
      <c r="DD767" s="39"/>
      <c r="DE767" s="39"/>
      <c r="DF767" s="39"/>
      <c r="DG767" s="39"/>
      <c r="DH767" s="39"/>
      <c r="DI767" s="39"/>
    </row>
    <row r="768" spans="1:113">
      <c r="C768" s="48" t="str">
        <f t="shared" si="195"/>
        <v>SoftBank KK (Corp)</v>
      </c>
      <c r="D768" s="44" t="str">
        <f t="shared" si="195"/>
        <v>JPY 1,898</v>
      </c>
      <c r="E768" s="44" t="str">
        <f t="shared" si="195"/>
        <v>JPY 2,500</v>
      </c>
      <c r="F768" s="45">
        <f t="shared" si="195"/>
        <v>0.31752305665349145</v>
      </c>
      <c r="G768" s="44" t="str">
        <f t="shared" si="195"/>
        <v>Buy</v>
      </c>
      <c r="H768" s="46"/>
      <c r="I768" s="47">
        <f>SBKK!D$18/Prices!$C$161</f>
        <v>86.489879234814538</v>
      </c>
      <c r="J768" s="47">
        <f>SBKK!E$18/Prices!$C$161</f>
        <v>81.493001735478487</v>
      </c>
      <c r="K768" s="47">
        <f>SBKK!F$18/Prices!$C$161</f>
        <v>76.309358639770537</v>
      </c>
      <c r="L768" s="47">
        <f>SBKK!G$18/Prices!$C$161</f>
        <v>70.680615164773457</v>
      </c>
      <c r="M768" s="45">
        <f t="shared" si="197"/>
        <v>-6.5071619507616862E-2</v>
      </c>
      <c r="N768" s="46"/>
      <c r="O768" s="47">
        <f>SBKK!L$26/Prices!$C$161</f>
        <v>57.156467910989022</v>
      </c>
      <c r="P768" s="47">
        <f>SBKK!M$26/Prices!$C$161</f>
        <v>57.149633538966476</v>
      </c>
      <c r="Q768" s="47">
        <f>SBKK!N$26/Prices!$C$161</f>
        <v>57.134492384421527</v>
      </c>
      <c r="R768" s="47">
        <f>SBKK!O$26/Prices!$C$161</f>
        <v>57.10610629363341</v>
      </c>
      <c r="S768" s="45">
        <f t="shared" si="198"/>
        <v>-2.9379244938265714E-4</v>
      </c>
      <c r="T768" s="46"/>
      <c r="U768" s="48" t="str">
        <f t="shared" si="196"/>
        <v>JPY 1,898</v>
      </c>
      <c r="V768" s="44" t="str">
        <f t="shared" si="196"/>
        <v>SoftBank KK (Corp)</v>
      </c>
      <c r="X768" s="43"/>
      <c r="Y768" s="76"/>
      <c r="BF768" s="39"/>
      <c r="BG768" s="39"/>
      <c r="BH768" s="39"/>
      <c r="BI768" s="39"/>
      <c r="BJ768" s="39"/>
      <c r="BK768" s="39"/>
      <c r="BL768" s="39"/>
      <c r="BM768" s="39"/>
      <c r="BN768" s="39"/>
      <c r="BO768" s="39"/>
      <c r="BP768" s="39"/>
      <c r="BQ768" s="39"/>
      <c r="BR768" s="39"/>
      <c r="BS768" s="39"/>
      <c r="BT768" s="39"/>
      <c r="BU768" s="39"/>
      <c r="BV768" s="39"/>
      <c r="BW768" s="39"/>
      <c r="BX768" s="39"/>
      <c r="BY768" s="39"/>
      <c r="BZ768" s="39"/>
      <c r="CA768" s="39"/>
      <c r="CB768" s="39"/>
      <c r="CC768" s="39"/>
      <c r="CD768" s="39"/>
      <c r="CE768" s="39"/>
      <c r="CF768" s="39"/>
      <c r="CG768" s="39"/>
      <c r="CH768" s="39"/>
      <c r="CI768" s="39"/>
      <c r="CJ768" s="39"/>
      <c r="CK768" s="39"/>
      <c r="CL768" s="39"/>
      <c r="CM768" s="39"/>
      <c r="CN768" s="39"/>
      <c r="CO768" s="39"/>
      <c r="CP768" s="39"/>
      <c r="CQ768" s="39"/>
      <c r="CR768" s="39"/>
      <c r="CS768" s="39"/>
      <c r="CT768" s="39"/>
      <c r="CU768" s="39"/>
      <c r="CV768" s="39"/>
      <c r="CW768" s="39"/>
      <c r="CX768" s="39"/>
      <c r="CY768" s="39"/>
      <c r="CZ768" s="39"/>
      <c r="DA768" s="39"/>
      <c r="DB768" s="39"/>
      <c r="DC768" s="39"/>
      <c r="DD768" s="39"/>
      <c r="DE768" s="39"/>
      <c r="DF768" s="39"/>
      <c r="DG768" s="39"/>
      <c r="DH768" s="39"/>
      <c r="DI768" s="39"/>
    </row>
    <row r="769" spans="1:113">
      <c r="A769" s="41"/>
      <c r="C769" s="48" t="str">
        <f t="shared" si="195"/>
        <v>TPG</v>
      </c>
      <c r="D769" s="44" t="str">
        <f t="shared" si="195"/>
        <v>AUD 4.60</v>
      </c>
      <c r="E769" s="44" t="str">
        <f t="shared" si="195"/>
        <v>AUD 7.50</v>
      </c>
      <c r="F769" s="45">
        <f t="shared" si="195"/>
        <v>0.63043478260869579</v>
      </c>
      <c r="G769" s="44" t="str">
        <f t="shared" si="195"/>
        <v>Neutral</v>
      </c>
      <c r="H769" s="46"/>
      <c r="I769" s="47">
        <f>TPG!D18/1000/Prices!$C$168</f>
        <v>4.1111345702463318</v>
      </c>
      <c r="J769" s="47">
        <f>TPG!E18/1000/Prices!$C$168</f>
        <v>4.0390334913156778</v>
      </c>
      <c r="K769" s="47">
        <f>TPG!F18/1000/Prices!$C$168</f>
        <v>3.9854712498581364</v>
      </c>
      <c r="L769" s="47">
        <f>TPG!G18/1000/Prices!$C$168</f>
        <v>3.9256075655150524</v>
      </c>
      <c r="M769" s="45">
        <f>(L769/I769)^(1/3)-1</f>
        <v>-1.5274775065336588E-2</v>
      </c>
      <c r="N769" s="46"/>
      <c r="O769" s="47">
        <f>TPG!L26/1000/Prices!$C$168</f>
        <v>2.8411995478632002</v>
      </c>
      <c r="P769" s="47">
        <f>TPG!M26/1000/Prices!$C$168</f>
        <v>2.8483025467328575</v>
      </c>
      <c r="Q769" s="47">
        <f>TPG!N26/1000/Prices!$C$168</f>
        <v>2.8554233030996903</v>
      </c>
      <c r="R769" s="47">
        <f>TPG!O26/1000/Prices!$C$168</f>
        <v>2.8625618613574391</v>
      </c>
      <c r="S769" s="45">
        <f>(R769/O769)^(1/3)-1</f>
        <v>2.4999999999999467E-3</v>
      </c>
      <c r="T769" s="46"/>
      <c r="U769" s="48" t="str">
        <f t="shared" si="196"/>
        <v>AUD 4.60</v>
      </c>
      <c r="V769" s="44" t="str">
        <f t="shared" si="196"/>
        <v>TPG</v>
      </c>
      <c r="X769" s="43"/>
      <c r="Y769" s="76"/>
      <c r="BF769" s="39"/>
      <c r="BG769" s="39"/>
      <c r="BH769" s="39"/>
      <c r="BI769" s="39"/>
      <c r="BJ769" s="39"/>
      <c r="BK769" s="39"/>
      <c r="BL769" s="39"/>
      <c r="BM769" s="39"/>
      <c r="BN769" s="39"/>
      <c r="BO769" s="39"/>
      <c r="BP769" s="39"/>
      <c r="BQ769" s="39"/>
      <c r="BR769" s="39"/>
      <c r="BS769" s="39"/>
      <c r="BT769" s="39"/>
      <c r="BU769" s="39"/>
      <c r="BV769" s="39"/>
      <c r="BW769" s="39"/>
      <c r="BX769" s="39"/>
      <c r="BY769" s="39"/>
      <c r="BZ769" s="39"/>
      <c r="CA769" s="39"/>
      <c r="CB769" s="39"/>
      <c r="CC769" s="39"/>
      <c r="CD769" s="39"/>
      <c r="CE769" s="39"/>
      <c r="CF769" s="39"/>
      <c r="CG769" s="39"/>
      <c r="CH769" s="39"/>
      <c r="CI769" s="39"/>
      <c r="CJ769" s="39"/>
      <c r="CK769" s="39"/>
      <c r="CL769" s="39"/>
      <c r="CM769" s="39"/>
      <c r="CN769" s="39"/>
      <c r="CO769" s="39"/>
      <c r="CP769" s="39"/>
      <c r="CQ769" s="39"/>
      <c r="CR769" s="39"/>
      <c r="CS769" s="39"/>
      <c r="CT769" s="39"/>
      <c r="CU769" s="39"/>
      <c r="CV769" s="39"/>
      <c r="CW769" s="39"/>
      <c r="CX769" s="39"/>
      <c r="CY769" s="39"/>
      <c r="CZ769" s="39"/>
      <c r="DA769" s="39"/>
      <c r="DB769" s="39"/>
      <c r="DC769" s="39"/>
      <c r="DD769" s="39"/>
      <c r="DE769" s="39"/>
      <c r="DF769" s="39"/>
      <c r="DG769" s="39"/>
      <c r="DH769" s="39"/>
      <c r="DI769" s="39"/>
    </row>
    <row r="770" spans="1:113">
      <c r="C770" s="51" t="str">
        <f>C710</f>
        <v>Agg. Developed Asia Other</v>
      </c>
      <c r="D770" s="52"/>
      <c r="E770" s="52"/>
      <c r="F770" s="53"/>
      <c r="G770" s="52"/>
      <c r="H770" s="46"/>
      <c r="I770" s="54">
        <f>'DM ASIA OTHER'!D$18/1000</f>
        <v>172.67134041761366</v>
      </c>
      <c r="J770" s="54">
        <f>'DM ASIA OTHER'!$E$18/1000</f>
        <v>162.80648560306082</v>
      </c>
      <c r="K770" s="54">
        <f>'DM ASIA OTHER'!$F$18/1000</f>
        <v>152.66332087397302</v>
      </c>
      <c r="L770" s="54">
        <f>'DM ASIA OTHER'!$G$18/1000</f>
        <v>141.8621517952804</v>
      </c>
      <c r="M770" s="55">
        <f t="shared" si="197"/>
        <v>-6.341162952797863E-2</v>
      </c>
      <c r="N770" s="56"/>
      <c r="O770" s="54">
        <f>'DM ASIA OTHER'!L$26/1000</f>
        <v>63.711776304385786</v>
      </c>
      <c r="P770" s="54">
        <f>'DM ASIA OTHER'!M$26/1000</f>
        <v>62.492953240897478</v>
      </c>
      <c r="Q770" s="54">
        <f>'DM ASIA OTHER'!N$26/1000</f>
        <v>60.968657160306016</v>
      </c>
      <c r="R770" s="54">
        <f>'DM ASIA OTHER'!O$26/1000</f>
        <v>59.442820930918842</v>
      </c>
      <c r="S770" s="55">
        <f t="shared" si="198"/>
        <v>-2.2853008499985727E-2</v>
      </c>
      <c r="T770" s="46"/>
      <c r="U770" s="57"/>
      <c r="V770" s="58" t="str">
        <f>V710</f>
        <v>Agg. Developed Asia Cellular</v>
      </c>
      <c r="X770" s="43"/>
      <c r="Y770" s="76"/>
      <c r="BF770" s="39"/>
      <c r="BG770" s="39"/>
      <c r="BH770" s="39"/>
      <c r="BI770" s="39"/>
      <c r="BJ770" s="39"/>
      <c r="BK770" s="39"/>
      <c r="BL770" s="39"/>
      <c r="BM770" s="39"/>
      <c r="BN770" s="39"/>
      <c r="BO770" s="39"/>
      <c r="BP770" s="39"/>
      <c r="BQ770" s="39"/>
      <c r="BR770" s="39"/>
      <c r="BS770" s="39"/>
      <c r="BT770" s="39"/>
      <c r="BU770" s="39"/>
      <c r="BV770" s="39"/>
      <c r="BW770" s="39"/>
      <c r="BX770" s="39"/>
      <c r="BY770" s="39"/>
      <c r="BZ770" s="39"/>
      <c r="CA770" s="39"/>
      <c r="CB770" s="39"/>
      <c r="CC770" s="39"/>
      <c r="CD770" s="39"/>
      <c r="CE770" s="39"/>
      <c r="CF770" s="39"/>
      <c r="CG770" s="39"/>
      <c r="CH770" s="39"/>
      <c r="CI770" s="39"/>
      <c r="CJ770" s="39"/>
      <c r="CK770" s="39"/>
      <c r="CL770" s="39"/>
      <c r="CM770" s="39"/>
      <c r="CN770" s="39"/>
      <c r="CO770" s="39"/>
      <c r="CP770" s="39"/>
      <c r="CQ770" s="39"/>
      <c r="CR770" s="39"/>
      <c r="CS770" s="39"/>
      <c r="CT770" s="39"/>
      <c r="CU770" s="39"/>
      <c r="CV770" s="39"/>
      <c r="CW770" s="39"/>
      <c r="CX770" s="39"/>
      <c r="CY770" s="39"/>
      <c r="CZ770" s="39"/>
      <c r="DA770" s="39"/>
      <c r="DB770" s="39"/>
      <c r="DC770" s="39"/>
      <c r="DD770" s="39"/>
      <c r="DE770" s="39"/>
      <c r="DF770" s="39"/>
      <c r="DG770" s="39"/>
      <c r="DH770" s="39"/>
      <c r="DI770" s="39"/>
    </row>
    <row r="771" spans="1:113">
      <c r="A771" s="41"/>
      <c r="C771" s="48"/>
      <c r="D771" s="44"/>
      <c r="E771" s="44"/>
      <c r="F771" s="45"/>
      <c r="G771" s="44"/>
      <c r="H771" s="46"/>
      <c r="I771" s="47"/>
      <c r="J771" s="47"/>
      <c r="K771" s="47"/>
      <c r="L771" s="47"/>
      <c r="M771" s="45"/>
      <c r="N771" s="46"/>
      <c r="O771" s="47"/>
      <c r="P771" s="47"/>
      <c r="Q771" s="47"/>
      <c r="R771" s="47"/>
      <c r="S771" s="45"/>
      <c r="T771" s="46"/>
      <c r="U771" s="48"/>
      <c r="V771" s="44"/>
      <c r="BF771" s="39"/>
      <c r="BG771" s="39"/>
      <c r="BH771" s="39"/>
      <c r="BI771" s="39"/>
      <c r="BJ771" s="39"/>
      <c r="BK771" s="39"/>
      <c r="BL771" s="39"/>
      <c r="BM771" s="39"/>
      <c r="BN771" s="39"/>
      <c r="BO771" s="39"/>
      <c r="BP771" s="39"/>
      <c r="BQ771" s="39"/>
      <c r="BR771" s="39"/>
      <c r="BS771" s="39"/>
      <c r="BT771" s="39"/>
      <c r="BU771" s="39"/>
      <c r="BV771" s="39"/>
      <c r="BW771" s="39"/>
      <c r="BX771" s="39"/>
      <c r="BY771" s="39"/>
      <c r="BZ771" s="39"/>
      <c r="CA771" s="39"/>
      <c r="CB771" s="39"/>
      <c r="CC771" s="39"/>
      <c r="CD771" s="39"/>
      <c r="CE771" s="39"/>
      <c r="CF771" s="39"/>
      <c r="CG771" s="39"/>
      <c r="CH771" s="39"/>
      <c r="CI771" s="39"/>
      <c r="CJ771" s="39"/>
      <c r="CK771" s="39"/>
      <c r="CL771" s="39"/>
      <c r="CM771" s="39"/>
      <c r="CN771" s="39"/>
      <c r="CO771" s="39"/>
      <c r="CP771" s="39"/>
      <c r="CQ771" s="39"/>
      <c r="CR771" s="39"/>
      <c r="CS771" s="39"/>
      <c r="CT771" s="39"/>
      <c r="CU771" s="39"/>
      <c r="CV771" s="39"/>
      <c r="CW771" s="39"/>
      <c r="CX771" s="39"/>
      <c r="CY771" s="39"/>
      <c r="CZ771" s="39"/>
      <c r="DA771" s="39"/>
      <c r="DB771" s="39"/>
      <c r="DC771" s="39"/>
      <c r="DD771" s="39"/>
      <c r="DE771" s="39"/>
      <c r="DF771" s="39"/>
      <c r="DG771" s="39"/>
      <c r="DH771" s="39"/>
      <c r="DI771" s="39"/>
    </row>
    <row r="772" spans="1:113">
      <c r="A772" s="41"/>
      <c r="B772" s="42" t="s">
        <v>519</v>
      </c>
      <c r="C772" s="48" t="str">
        <f>C712</f>
        <v>Altice US</v>
      </c>
      <c r="D772" s="44" t="str">
        <f>D712</f>
        <v>US$2.3</v>
      </c>
      <c r="E772" s="44" t="str">
        <f>E712</f>
        <v>US$4.0</v>
      </c>
      <c r="F772" s="45">
        <f>F712</f>
        <v>0.71673819742489275</v>
      </c>
      <c r="G772" s="44" t="str">
        <f>G712</f>
        <v>Neutral</v>
      </c>
      <c r="H772" s="46"/>
      <c r="I772" s="47">
        <f>ATCUS!D$18/1000</f>
        <v>25.482233297499999</v>
      </c>
      <c r="J772" s="47">
        <f>ATCUS!E$18/1000</f>
        <v>25.472324992170826</v>
      </c>
      <c r="K772" s="47">
        <f>ATCUS!F$18/1000</f>
        <v>25.465840998273148</v>
      </c>
      <c r="L772" s="47">
        <f>ATCUS!G$18/1000</f>
        <v>25.342463179494409</v>
      </c>
      <c r="M772" s="45">
        <f t="shared" ref="M772:M777" si="201">(L772/I772)^(1/3)-1</f>
        <v>-1.8316872573904686E-3</v>
      </c>
      <c r="N772" s="46"/>
      <c r="O772" s="47">
        <f>ATCUS!L$26/1000</f>
        <v>1.0602332975000002</v>
      </c>
      <c r="P772" s="47">
        <f>ATCUS!M$26/1000</f>
        <v>1.0605173524416005</v>
      </c>
      <c r="Q772" s="47">
        <f>ATCUS!N$26/1000</f>
        <v>1.0610231524760034</v>
      </c>
      <c r="R772" s="47">
        <f>ATCUS!O$26/1000</f>
        <v>1.0615289525104066</v>
      </c>
      <c r="S772" s="45">
        <f t="shared" ref="S772:S777" si="202">(R772/O772)^(1/3)-1</f>
        <v>4.0718320759514093E-4</v>
      </c>
      <c r="T772" s="46"/>
      <c r="U772" s="48" t="str">
        <f>D772</f>
        <v>US$2.3</v>
      </c>
      <c r="V772" s="44" t="str">
        <f t="shared" ref="V772:V777" si="203">C772</f>
        <v>Altice US</v>
      </c>
      <c r="X772" s="43"/>
      <c r="Y772" s="76"/>
      <c r="BF772" s="39"/>
      <c r="BG772" s="39"/>
      <c r="BH772" s="39"/>
      <c r="BI772" s="39"/>
      <c r="BJ772" s="39"/>
      <c r="BK772" s="39"/>
      <c r="BL772" s="39"/>
      <c r="BM772" s="39"/>
      <c r="BN772" s="39"/>
      <c r="BO772" s="39"/>
      <c r="BP772" s="39"/>
      <c r="BQ772" s="39"/>
      <c r="BR772" s="39"/>
      <c r="BS772" s="39"/>
      <c r="BT772" s="39"/>
      <c r="BU772" s="39"/>
      <c r="BV772" s="39"/>
      <c r="BW772" s="39"/>
      <c r="BX772" s="39"/>
      <c r="BY772" s="39"/>
      <c r="BZ772" s="39"/>
      <c r="CA772" s="39"/>
      <c r="CB772" s="39"/>
      <c r="CC772" s="39"/>
      <c r="CD772" s="39"/>
      <c r="CE772" s="39"/>
      <c r="CF772" s="39"/>
      <c r="CG772" s="39"/>
      <c r="CH772" s="39"/>
      <c r="CI772" s="39"/>
      <c r="CJ772" s="39"/>
      <c r="CK772" s="39"/>
      <c r="CL772" s="39"/>
      <c r="CM772" s="39"/>
      <c r="CN772" s="39"/>
      <c r="CO772" s="39"/>
      <c r="CP772" s="39"/>
      <c r="CQ772" s="39"/>
      <c r="CR772" s="39"/>
      <c r="CS772" s="39"/>
      <c r="CT772" s="39"/>
      <c r="CU772" s="39"/>
      <c r="CV772" s="39"/>
      <c r="CW772" s="39"/>
      <c r="CX772" s="39"/>
      <c r="CY772" s="39"/>
      <c r="CZ772" s="39"/>
      <c r="DA772" s="39"/>
      <c r="DB772" s="39"/>
      <c r="DC772" s="39"/>
      <c r="DD772" s="39"/>
      <c r="DE772" s="39"/>
      <c r="DF772" s="39"/>
      <c r="DG772" s="39"/>
      <c r="DH772" s="39"/>
      <c r="DI772" s="39"/>
    </row>
    <row r="773" spans="1:113">
      <c r="A773" s="41"/>
      <c r="B773" s="42" t="s">
        <v>519</v>
      </c>
      <c r="C773" s="48" t="s">
        <v>311</v>
      </c>
      <c r="D773" s="44" t="str">
        <f>B773&amp;TEXT(Prices!$C$45,"0.0")</f>
        <v>US$271.5</v>
      </c>
      <c r="E773" s="44" t="str">
        <f>B773&amp;TEXT(Prices!$E$45,"0.0")</f>
        <v>US$581.0</v>
      </c>
      <c r="F773" s="45">
        <f>Prices!$F$45</f>
        <v>1.1402784940691078</v>
      </c>
      <c r="G773" s="44" t="str">
        <f>Prices!$D$45</f>
        <v>Buy</v>
      </c>
      <c r="H773" s="46"/>
      <c r="I773" s="47">
        <f>CHTR!D$18/1000</f>
        <v>142.02474061466</v>
      </c>
      <c r="J773" s="47">
        <f>CHTR!E$18/1000</f>
        <v>141.32031399675196</v>
      </c>
      <c r="K773" s="47">
        <f>CHTR!F$18/1000</f>
        <v>140.35773956051358</v>
      </c>
      <c r="L773" s="47">
        <f>CHTR!G$18/1000</f>
        <v>140.19740062430654</v>
      </c>
      <c r="M773" s="45">
        <f t="shared" si="201"/>
        <v>-4.3073095381905846E-3</v>
      </c>
      <c r="N773" s="46"/>
      <c r="O773" s="47">
        <f>CHTR!L$26/1000</f>
        <v>44.956740614659999</v>
      </c>
      <c r="P773" s="47">
        <f>CHTR!M$26/1000</f>
        <v>41.469633525647886</v>
      </c>
      <c r="Q773" s="47">
        <f>CHTR!N$26/1000</f>
        <v>39.294470311857388</v>
      </c>
      <c r="R773" s="47">
        <f>CHTR!O$26/1000</f>
        <v>35.039590036473832</v>
      </c>
      <c r="S773" s="45">
        <f t="shared" si="202"/>
        <v>-7.9716999683671297E-2</v>
      </c>
      <c r="T773" s="46"/>
      <c r="U773" s="48" t="str">
        <f>D773</f>
        <v>US$271.5</v>
      </c>
      <c r="V773" s="44" t="str">
        <f t="shared" si="203"/>
        <v>Charter</v>
      </c>
      <c r="X773" s="43"/>
      <c r="Y773" s="76"/>
      <c r="BF773" s="39"/>
      <c r="BG773" s="39"/>
      <c r="BH773" s="39"/>
      <c r="BI773" s="39"/>
      <c r="BJ773" s="39"/>
      <c r="BK773" s="39"/>
      <c r="BL773" s="39"/>
      <c r="BM773" s="39"/>
      <c r="BN773" s="39"/>
      <c r="BO773" s="39"/>
      <c r="BP773" s="39"/>
      <c r="BQ773" s="39"/>
      <c r="BR773" s="39"/>
      <c r="BS773" s="39"/>
      <c r="BT773" s="39"/>
      <c r="BU773" s="39"/>
      <c r="BV773" s="39"/>
      <c r="BW773" s="39"/>
      <c r="BX773" s="39"/>
      <c r="BY773" s="39"/>
      <c r="BZ773" s="39"/>
      <c r="CA773" s="39"/>
      <c r="CB773" s="39"/>
      <c r="CC773" s="39"/>
      <c r="CD773" s="39"/>
      <c r="CE773" s="39"/>
      <c r="CF773" s="39"/>
      <c r="CG773" s="39"/>
      <c r="CH773" s="39"/>
      <c r="CI773" s="39"/>
      <c r="CJ773" s="39"/>
      <c r="CK773" s="39"/>
      <c r="CL773" s="39"/>
      <c r="CM773" s="39"/>
      <c r="CN773" s="39"/>
      <c r="CO773" s="39"/>
      <c r="CP773" s="39"/>
      <c r="CQ773" s="39"/>
      <c r="CR773" s="39"/>
      <c r="CS773" s="39"/>
      <c r="CT773" s="39"/>
      <c r="CU773" s="39"/>
      <c r="CV773" s="39"/>
      <c r="CW773" s="39"/>
      <c r="CX773" s="39"/>
      <c r="CY773" s="39"/>
      <c r="CZ773" s="39"/>
      <c r="DA773" s="39"/>
      <c r="DB773" s="39"/>
      <c r="DC773" s="39"/>
      <c r="DD773" s="39"/>
      <c r="DE773" s="39"/>
      <c r="DF773" s="39"/>
      <c r="DG773" s="39"/>
      <c r="DH773" s="39"/>
      <c r="DI773" s="39"/>
    </row>
    <row r="774" spans="1:113">
      <c r="A774" s="41"/>
      <c r="B774" s="42" t="s">
        <v>519</v>
      </c>
      <c r="C774" s="48" t="s">
        <v>309</v>
      </c>
      <c r="D774" s="44" t="str">
        <f>B774&amp;TEXT(Prices!$C$46,"0.0")</f>
        <v>US$38.5</v>
      </c>
      <c r="E774" s="44" t="str">
        <f>B774&amp;TEXT(Prices!$E$46,"0.0")</f>
        <v>US$50.0</v>
      </c>
      <c r="F774" s="45">
        <f>Prices!$F$46</f>
        <v>0.29735339906590563</v>
      </c>
      <c r="G774" s="44" t="str">
        <f>Prices!$D$46</f>
        <v>Buy</v>
      </c>
      <c r="H774" s="46"/>
      <c r="I774" s="47">
        <f>CMCSA!D$18/1000</f>
        <v>200.57086506866983</v>
      </c>
      <c r="J774" s="47">
        <f>CMCSA!E$18/1000</f>
        <v>192.40377193476462</v>
      </c>
      <c r="K774" s="47">
        <f>CMCSA!F$18/1000</f>
        <v>181.97693494569296</v>
      </c>
      <c r="L774" s="47">
        <f>CMCSA!G$18/1000</f>
        <v>171.96629438535686</v>
      </c>
      <c r="M774" s="45">
        <f t="shared" si="201"/>
        <v>-4.999659523910871E-2</v>
      </c>
      <c r="N774" s="46"/>
      <c r="O774" s="47">
        <f>CMCSA!L$26/1000</f>
        <v>159.90904288546733</v>
      </c>
      <c r="P774" s="47">
        <f>CMCSA!M$26/1000</f>
        <v>150.54423154605448</v>
      </c>
      <c r="Q774" s="47">
        <f>CMCSA!N$26/1000</f>
        <v>142.21135336371472</v>
      </c>
      <c r="R774" s="47">
        <f>CMCSA!O$26/1000</f>
        <v>132.65764443153489</v>
      </c>
      <c r="S774" s="45">
        <f t="shared" si="202"/>
        <v>-6.0378196492654856E-2</v>
      </c>
      <c r="T774" s="46"/>
      <c r="U774" s="48" t="str">
        <f>D774</f>
        <v>US$38.5</v>
      </c>
      <c r="V774" s="44" t="str">
        <f t="shared" si="203"/>
        <v>Comcast</v>
      </c>
      <c r="X774" s="43"/>
      <c r="Y774" s="76"/>
      <c r="BF774" s="39"/>
      <c r="BG774" s="39"/>
      <c r="BH774" s="39"/>
      <c r="BI774" s="39"/>
      <c r="BJ774" s="39"/>
      <c r="BK774" s="39"/>
      <c r="BL774" s="39"/>
      <c r="BM774" s="39"/>
      <c r="BN774" s="39"/>
      <c r="BO774" s="39"/>
      <c r="BP774" s="39"/>
      <c r="BQ774" s="39"/>
      <c r="BR774" s="39"/>
      <c r="BS774" s="39"/>
      <c r="BT774" s="39"/>
      <c r="BU774" s="39"/>
      <c r="BV774" s="39"/>
      <c r="BW774" s="39"/>
      <c r="BX774" s="39"/>
      <c r="BY774" s="39"/>
      <c r="BZ774" s="39"/>
      <c r="CA774" s="39"/>
      <c r="CB774" s="39"/>
      <c r="CC774" s="39"/>
      <c r="CD774" s="39"/>
      <c r="CE774" s="39"/>
      <c r="CF774" s="39"/>
      <c r="CG774" s="39"/>
      <c r="CH774" s="39"/>
      <c r="CI774" s="39"/>
      <c r="CJ774" s="39"/>
      <c r="CK774" s="39"/>
      <c r="CL774" s="39"/>
      <c r="CM774" s="39"/>
      <c r="CN774" s="39"/>
      <c r="CO774" s="39"/>
      <c r="CP774" s="39"/>
      <c r="CQ774" s="39"/>
      <c r="CR774" s="39"/>
      <c r="CS774" s="39"/>
      <c r="CT774" s="39"/>
      <c r="CU774" s="39"/>
      <c r="CV774" s="39"/>
      <c r="CW774" s="39"/>
      <c r="CX774" s="39"/>
      <c r="CY774" s="39"/>
      <c r="CZ774" s="39"/>
      <c r="DA774" s="39"/>
      <c r="DB774" s="39"/>
      <c r="DC774" s="39"/>
      <c r="DD774" s="39"/>
      <c r="DE774" s="39"/>
      <c r="DF774" s="39"/>
      <c r="DG774" s="39"/>
      <c r="DH774" s="39"/>
      <c r="DI774" s="39"/>
    </row>
    <row r="775" spans="1:113">
      <c r="A775" s="41"/>
      <c r="B775" s="42" t="s">
        <v>527</v>
      </c>
      <c r="C775" s="48" t="s">
        <v>1615</v>
      </c>
      <c r="D775" s="44" t="str">
        <f>B775&amp;TEXT(Prices!C$47,"0.0")</f>
        <v>US$ 25.6</v>
      </c>
      <c r="E775" s="44" t="str">
        <f>B775&amp;TEXT(Prices!E$47,"0.0")</f>
        <v>US$ 54.0</v>
      </c>
      <c r="F775" s="45">
        <f>Prices!F$47</f>
        <v>1.111024237685692</v>
      </c>
      <c r="G775" s="44" t="str">
        <f>Prices!D$47</f>
        <v>Buy</v>
      </c>
      <c r="H775" s="46"/>
      <c r="I775" s="47">
        <f>(FYBR!D$18/1000)</f>
        <v>17.213838678898668</v>
      </c>
      <c r="J775" s="47">
        <f>(FYBR!E$18/1000)</f>
        <v>16.692362349708997</v>
      </c>
      <c r="K775" s="47">
        <f>(FYBR!F$18/1000)</f>
        <v>17.488171454836355</v>
      </c>
      <c r="L775" s="47">
        <f>(FYBR!G$18/1000)</f>
        <v>17.273739725619428</v>
      </c>
      <c r="M775" s="45">
        <f t="shared" si="201"/>
        <v>1.1585968755631892E-3</v>
      </c>
      <c r="N775" s="46"/>
      <c r="O775" s="47">
        <f>(FYBR!L$26/1000)</f>
        <v>6.2858386788986662</v>
      </c>
      <c r="P775" s="47">
        <f>(FYBR!M$26/1000)</f>
        <v>6.2676371799999986</v>
      </c>
      <c r="Q775" s="47">
        <f>(FYBR!N$26/1000)</f>
        <v>6.2676371799999986</v>
      </c>
      <c r="R775" s="47">
        <f>(FYBR!O$26/1000)</f>
        <v>6.2676371799999986</v>
      </c>
      <c r="S775" s="45">
        <f t="shared" si="202"/>
        <v>-9.6614503644754102E-4</v>
      </c>
      <c r="T775" s="46"/>
      <c r="U775" s="48" t="str">
        <f>D775</f>
        <v>US$ 25.6</v>
      </c>
      <c r="V775" s="44" t="str">
        <f t="shared" si="203"/>
        <v>Frontier</v>
      </c>
      <c r="BF775" s="39"/>
      <c r="BG775" s="39"/>
      <c r="BH775" s="39"/>
      <c r="BI775" s="39"/>
      <c r="BJ775" s="39"/>
      <c r="BK775" s="39"/>
      <c r="BL775" s="39"/>
      <c r="BM775" s="39"/>
      <c r="BN775" s="39"/>
      <c r="BO775" s="39"/>
      <c r="BP775" s="39"/>
      <c r="BQ775" s="39"/>
      <c r="BR775" s="39"/>
      <c r="BS775" s="39"/>
      <c r="BT775" s="39"/>
      <c r="BU775" s="39"/>
      <c r="BV775" s="39"/>
      <c r="BW775" s="39"/>
      <c r="BX775" s="39"/>
      <c r="BY775" s="39"/>
      <c r="BZ775" s="39"/>
      <c r="CA775" s="39"/>
      <c r="CB775" s="39"/>
      <c r="CC775" s="39"/>
      <c r="CD775" s="39"/>
      <c r="CE775" s="39"/>
      <c r="CF775" s="39"/>
      <c r="CG775" s="39"/>
      <c r="CH775" s="39"/>
      <c r="CI775" s="39"/>
      <c r="CJ775" s="39"/>
      <c r="CK775" s="39"/>
      <c r="CL775" s="39"/>
      <c r="CM775" s="39"/>
      <c r="CN775" s="39"/>
      <c r="CO775" s="39"/>
      <c r="CP775" s="39"/>
      <c r="CQ775" s="39"/>
      <c r="CR775" s="39"/>
      <c r="CS775" s="39"/>
      <c r="CT775" s="39"/>
      <c r="CU775" s="39"/>
      <c r="CV775" s="39"/>
      <c r="CW775" s="39"/>
      <c r="CX775" s="39"/>
      <c r="CY775" s="39"/>
      <c r="CZ775" s="39"/>
      <c r="DA775" s="39"/>
      <c r="DB775" s="39"/>
      <c r="DC775" s="39"/>
      <c r="DD775" s="39"/>
      <c r="DE775" s="39"/>
      <c r="DF775" s="39"/>
      <c r="DG775" s="39"/>
      <c r="DH775" s="39"/>
      <c r="DI775" s="39"/>
    </row>
    <row r="776" spans="1:113">
      <c r="A776" s="41"/>
      <c r="B776" s="42" t="s">
        <v>527</v>
      </c>
      <c r="C776" s="48" t="s">
        <v>1616</v>
      </c>
      <c r="D776" s="44" t="str">
        <f>B776&amp;TEXT(Prices!C$48,"0.0")</f>
        <v>US$ 18.5</v>
      </c>
      <c r="E776" s="44" t="str">
        <f>B776&amp;TEXT(Prices!E$48,"0.0")</f>
        <v>US$ 100.0</v>
      </c>
      <c r="F776" s="45">
        <f>Prices!F$48</f>
        <v>4.408328826392645</v>
      </c>
      <c r="G776" s="44" t="str">
        <f>Prices!D$48</f>
        <v>Buy</v>
      </c>
      <c r="H776" s="46"/>
      <c r="I776" s="47">
        <f>(SATS!D$18/1000)</f>
        <v>25.6623676145094</v>
      </c>
      <c r="J776" s="47">
        <f>(SATS!E$18/1000)</f>
        <v>25.140693112424554</v>
      </c>
      <c r="K776" s="47">
        <f>(SATS!F$18/1000)</f>
        <v>24.219358346027128</v>
      </c>
      <c r="L776" s="47">
        <f>(SATS!G$18/1000)</f>
        <v>19.983901233197749</v>
      </c>
      <c r="M776" s="45">
        <f t="shared" si="201"/>
        <v>-7.9985827512810137E-2</v>
      </c>
      <c r="N776" s="46"/>
      <c r="O776" s="47">
        <f>(SATS!L$26/1000)</f>
        <v>5.0150472821548187</v>
      </c>
      <c r="P776" s="47">
        <f>(SATS!M$26/1000)</f>
        <v>5.0150472821548187</v>
      </c>
      <c r="Q776" s="47">
        <f>(SATS!N$26/1000)</f>
        <v>5.0150472821548187</v>
      </c>
      <c r="R776" s="47">
        <f>(SATS!O$26/1000)</f>
        <v>5.0150472821548187</v>
      </c>
      <c r="S776" s="45">
        <f t="shared" si="202"/>
        <v>0</v>
      </c>
      <c r="T776" s="46"/>
      <c r="U776" s="48" t="str">
        <f>D776</f>
        <v>US$ 18.5</v>
      </c>
      <c r="V776" s="44" t="str">
        <f t="shared" si="203"/>
        <v>EchoStar</v>
      </c>
      <c r="BF776" s="39"/>
      <c r="BG776" s="39"/>
      <c r="BH776" s="39"/>
      <c r="BI776" s="39"/>
      <c r="BJ776" s="39"/>
      <c r="BK776" s="39"/>
      <c r="BL776" s="39"/>
      <c r="BM776" s="39"/>
      <c r="BN776" s="39"/>
      <c r="BO776" s="39"/>
      <c r="BP776" s="39"/>
      <c r="BQ776" s="39"/>
      <c r="BR776" s="39"/>
      <c r="BS776" s="39"/>
      <c r="BT776" s="39"/>
      <c r="BU776" s="39"/>
      <c r="BV776" s="39"/>
      <c r="BW776" s="39"/>
      <c r="BX776" s="39"/>
      <c r="BY776" s="39"/>
      <c r="BZ776" s="39"/>
      <c r="CA776" s="39"/>
      <c r="CB776" s="39"/>
      <c r="CC776" s="39"/>
      <c r="CD776" s="39"/>
      <c r="CE776" s="39"/>
      <c r="CF776" s="39"/>
      <c r="CG776" s="39"/>
      <c r="CH776" s="39"/>
      <c r="CI776" s="39"/>
      <c r="CJ776" s="39"/>
      <c r="CK776" s="39"/>
      <c r="CL776" s="39"/>
      <c r="CM776" s="39"/>
      <c r="CN776" s="39"/>
      <c r="CO776" s="39"/>
      <c r="CP776" s="39"/>
      <c r="CQ776" s="39"/>
      <c r="CR776" s="39"/>
      <c r="CS776" s="39"/>
      <c r="CT776" s="39"/>
      <c r="CU776" s="39"/>
      <c r="CV776" s="39"/>
      <c r="CW776" s="39"/>
      <c r="CX776" s="39"/>
      <c r="CY776" s="39"/>
      <c r="CZ776" s="39"/>
      <c r="DA776" s="39"/>
      <c r="DB776" s="39"/>
      <c r="DC776" s="39"/>
      <c r="DD776" s="39"/>
      <c r="DE776" s="39"/>
      <c r="DF776" s="39"/>
      <c r="DG776" s="39"/>
      <c r="DH776" s="39"/>
      <c r="DI776" s="39"/>
    </row>
    <row r="777" spans="1:113">
      <c r="A777" s="41"/>
      <c r="C777" s="51" t="str">
        <f>C717</f>
        <v>Agg. US Other</v>
      </c>
      <c r="D777" s="58"/>
      <c r="E777" s="58"/>
      <c r="F777" s="55"/>
      <c r="G777" s="58"/>
      <c r="H777" s="56"/>
      <c r="I777" s="54">
        <f>('US OTHER'!D$18/1000)</f>
        <v>410.95404527423784</v>
      </c>
      <c r="J777" s="54">
        <f>('US OTHER'!E$18/1000)</f>
        <v>401.02946638582091</v>
      </c>
      <c r="K777" s="54">
        <f>('US OTHER'!F$18/1000)</f>
        <v>389.50804530534316</v>
      </c>
      <c r="L777" s="54">
        <f>('US OTHER'!G$18/1000)</f>
        <v>374.76379914797502</v>
      </c>
      <c r="M777" s="55">
        <f t="shared" si="201"/>
        <v>-3.0261158426533208E-2</v>
      </c>
      <c r="N777" s="56"/>
      <c r="O777" s="66">
        <f>('US OTHER'!L$26/1000)</f>
        <v>204.86578350012732</v>
      </c>
      <c r="P777" s="66">
        <f>('US OTHER'!M$26/1000)</f>
        <v>192.01386507170238</v>
      </c>
      <c r="Q777" s="66">
        <f>('US OTHER'!N$26/1000)</f>
        <v>181.50582367557212</v>
      </c>
      <c r="R777" s="66">
        <f>('US OTHER'!O$26/1000)</f>
        <v>167.69723446800873</v>
      </c>
      <c r="S777" s="55">
        <f t="shared" si="202"/>
        <v>-6.4553781140010202E-2</v>
      </c>
      <c r="T777" s="56"/>
      <c r="U777" s="51"/>
      <c r="V777" s="58" t="str">
        <f t="shared" si="203"/>
        <v>Agg. US Other</v>
      </c>
      <c r="BF777" s="39"/>
      <c r="BG777" s="39"/>
      <c r="BH777" s="39"/>
      <c r="BI777" s="39"/>
      <c r="BJ777" s="39"/>
      <c r="BK777" s="39"/>
      <c r="BL777" s="39"/>
      <c r="BM777" s="39"/>
      <c r="BN777" s="39"/>
      <c r="BO777" s="39"/>
      <c r="BP777" s="39"/>
      <c r="BQ777" s="39"/>
      <c r="BR777" s="39"/>
      <c r="BS777" s="39"/>
      <c r="BT777" s="39"/>
      <c r="BU777" s="39"/>
      <c r="BV777" s="39"/>
      <c r="BW777" s="39"/>
      <c r="BX777" s="39"/>
      <c r="BY777" s="39"/>
      <c r="BZ777" s="39"/>
      <c r="CA777" s="39"/>
      <c r="CB777" s="39"/>
      <c r="CC777" s="39"/>
      <c r="CD777" s="39"/>
      <c r="CE777" s="39"/>
      <c r="CF777" s="39"/>
      <c r="CG777" s="39"/>
      <c r="CH777" s="39"/>
      <c r="CI777" s="39"/>
      <c r="CJ777" s="39"/>
      <c r="CK777" s="39"/>
      <c r="CL777" s="39"/>
      <c r="CM777" s="39"/>
      <c r="CN777" s="39"/>
      <c r="CO777" s="39"/>
      <c r="CP777" s="39"/>
      <c r="CQ777" s="39"/>
      <c r="CR777" s="39"/>
      <c r="CS777" s="39"/>
      <c r="CT777" s="39"/>
      <c r="CU777" s="39"/>
      <c r="CV777" s="39"/>
      <c r="CW777" s="39"/>
      <c r="CX777" s="39"/>
      <c r="CY777" s="39"/>
      <c r="CZ777" s="39"/>
      <c r="DA777" s="39"/>
      <c r="DB777" s="39"/>
      <c r="DC777" s="39"/>
      <c r="DD777" s="39"/>
      <c r="DE777" s="39"/>
      <c r="DF777" s="39"/>
      <c r="DG777" s="39"/>
      <c r="DH777" s="39"/>
      <c r="DI777" s="39"/>
    </row>
    <row r="778" spans="1:113">
      <c r="A778" s="41"/>
      <c r="C778" s="48"/>
      <c r="D778" s="44"/>
      <c r="E778" s="44"/>
      <c r="F778" s="45"/>
      <c r="G778" s="44"/>
      <c r="H778" s="46"/>
      <c r="I778" s="47"/>
      <c r="J778" s="47"/>
      <c r="K778" s="47"/>
      <c r="L778" s="47"/>
      <c r="M778" s="45"/>
      <c r="N778" s="46"/>
      <c r="O778" s="47"/>
      <c r="P778" s="47"/>
      <c r="Q778" s="47"/>
      <c r="R778" s="47"/>
      <c r="S778" s="45"/>
      <c r="T778" s="46"/>
      <c r="U778" s="48"/>
      <c r="V778" s="44"/>
      <c r="X778" s="43"/>
      <c r="Y778" s="76"/>
      <c r="BF778" s="39"/>
      <c r="BG778" s="39"/>
      <c r="BH778" s="39"/>
      <c r="BI778" s="39"/>
      <c r="BJ778" s="39"/>
      <c r="BK778" s="39"/>
      <c r="BL778" s="39"/>
      <c r="BM778" s="39"/>
      <c r="BN778" s="39"/>
      <c r="BO778" s="39"/>
      <c r="BP778" s="39"/>
      <c r="BQ778" s="39"/>
      <c r="BR778" s="39"/>
      <c r="BS778" s="39"/>
      <c r="BT778" s="39"/>
      <c r="BU778" s="39"/>
      <c r="BV778" s="39"/>
      <c r="BW778" s="39"/>
      <c r="BX778" s="39"/>
      <c r="BY778" s="39"/>
      <c r="BZ778" s="39"/>
      <c r="CA778" s="39"/>
      <c r="CB778" s="39"/>
      <c r="CC778" s="39"/>
      <c r="CD778" s="39"/>
      <c r="CE778" s="39"/>
      <c r="CF778" s="39"/>
      <c r="CG778" s="39"/>
      <c r="CH778" s="39"/>
      <c r="CI778" s="39"/>
      <c r="CJ778" s="39"/>
      <c r="CK778" s="39"/>
      <c r="CL778" s="39"/>
      <c r="CM778" s="39"/>
      <c r="CN778" s="39"/>
      <c r="CO778" s="39"/>
      <c r="CP778" s="39"/>
      <c r="CQ778" s="39"/>
      <c r="CR778" s="39"/>
      <c r="CS778" s="39"/>
      <c r="CT778" s="39"/>
      <c r="CU778" s="39"/>
      <c r="CV778" s="39"/>
      <c r="CW778" s="39"/>
      <c r="CX778" s="39"/>
      <c r="CY778" s="39"/>
      <c r="CZ778" s="39"/>
      <c r="DA778" s="39"/>
      <c r="DB778" s="39"/>
      <c r="DC778" s="39"/>
      <c r="DD778" s="39"/>
      <c r="DE778" s="39"/>
      <c r="DF778" s="39"/>
      <c r="DG778" s="39"/>
      <c r="DH778" s="39"/>
      <c r="DI778" s="39"/>
    </row>
    <row r="779" spans="1:113">
      <c r="C779" s="48"/>
      <c r="D779" s="44"/>
      <c r="E779" s="44"/>
      <c r="F779" s="45"/>
      <c r="G779" s="44"/>
      <c r="H779" s="46"/>
      <c r="I779" s="47"/>
      <c r="J779" s="47"/>
      <c r="K779" s="47"/>
      <c r="L779" s="47"/>
      <c r="M779" s="45"/>
      <c r="N779" s="46"/>
      <c r="O779" s="47"/>
      <c r="P779" s="47"/>
      <c r="Q779" s="47"/>
      <c r="R779" s="47"/>
      <c r="S779" s="45"/>
      <c r="T779" s="46"/>
      <c r="U779" s="48"/>
      <c r="V779" s="44"/>
      <c r="BF779" s="39"/>
      <c r="BG779" s="39"/>
      <c r="BH779" s="39"/>
      <c r="BI779" s="39"/>
      <c r="BJ779" s="39"/>
      <c r="BK779" s="39"/>
      <c r="BL779" s="39"/>
      <c r="BM779" s="39"/>
      <c r="BN779" s="39"/>
      <c r="BO779" s="39"/>
      <c r="BP779" s="39"/>
      <c r="BQ779" s="39"/>
      <c r="BR779" s="39"/>
      <c r="BS779" s="39"/>
      <c r="BT779" s="39"/>
      <c r="BU779" s="39"/>
      <c r="BV779" s="39"/>
      <c r="BW779" s="39"/>
      <c r="BX779" s="39"/>
      <c r="BY779" s="39"/>
      <c r="BZ779" s="39"/>
      <c r="CA779" s="39"/>
      <c r="CB779" s="39"/>
      <c r="CC779" s="39"/>
      <c r="CD779" s="39"/>
      <c r="CE779" s="39"/>
      <c r="CF779" s="39"/>
      <c r="CG779" s="39"/>
      <c r="CH779" s="39"/>
      <c r="CI779" s="39"/>
      <c r="CJ779" s="39"/>
      <c r="CK779" s="39"/>
      <c r="CL779" s="39"/>
      <c r="CM779" s="39"/>
      <c r="CN779" s="39"/>
      <c r="CO779" s="39"/>
      <c r="CP779" s="39"/>
      <c r="CQ779" s="39"/>
      <c r="CR779" s="39"/>
      <c r="CS779" s="39"/>
      <c r="CT779" s="39"/>
      <c r="CU779" s="39"/>
      <c r="CV779" s="39"/>
      <c r="CW779" s="39"/>
      <c r="CX779" s="39"/>
      <c r="CY779" s="39"/>
      <c r="CZ779" s="39"/>
      <c r="DA779" s="39"/>
      <c r="DB779" s="39"/>
      <c r="DC779" s="39"/>
      <c r="DD779" s="39"/>
      <c r="DE779" s="39"/>
      <c r="DF779" s="39"/>
      <c r="DG779" s="39"/>
      <c r="DH779" s="39"/>
      <c r="DI779" s="39"/>
    </row>
    <row r="780" spans="1:113">
      <c r="C780" s="51" t="str">
        <f>C720</f>
        <v>Agg. W Europe</v>
      </c>
      <c r="D780" s="52"/>
      <c r="E780" s="52"/>
      <c r="F780" s="53"/>
      <c r="G780" s="52"/>
      <c r="H780" s="46"/>
      <c r="I780" s="54">
        <f>'W.EUR AGG'!$D$18/1000</f>
        <v>773.10232410709659</v>
      </c>
      <c r="J780" s="54">
        <f>'W.EUR AGG'!$E$18/1000</f>
        <v>752.46934495392372</v>
      </c>
      <c r="K780" s="54">
        <f>'W.EUR AGG'!$F$18/1000</f>
        <v>730.42261240071014</v>
      </c>
      <c r="L780" s="54">
        <f>'W.EUR AGG'!$G$18/1000</f>
        <v>701.05661328514282</v>
      </c>
      <c r="M780" s="55">
        <f>(L780/I780)^(1/3)-1</f>
        <v>-3.2081693461789351E-2</v>
      </c>
      <c r="N780" s="56"/>
      <c r="O780" s="54">
        <f>'W.EUR AGG'!L$26/1000</f>
        <v>361.52872352063576</v>
      </c>
      <c r="P780" s="54">
        <f>'W.EUR AGG'!M$26/1000</f>
        <v>356.08453956180858</v>
      </c>
      <c r="Q780" s="54">
        <f>'W.EUR AGG'!N$26/1000</f>
        <v>354.23156481704893</v>
      </c>
      <c r="R780" s="54">
        <f>'W.EUR AGG'!O$26/1000</f>
        <v>349.17673973099073</v>
      </c>
      <c r="S780" s="55">
        <f>(R780/O780)^(1/3)-1</f>
        <v>-1.1520881589183185E-2</v>
      </c>
      <c r="T780" s="46"/>
      <c r="U780" s="57"/>
      <c r="V780" s="58" t="str">
        <f>V720</f>
        <v>Agg. W Europe</v>
      </c>
      <c r="BF780" s="39"/>
      <c r="BG780" s="39"/>
      <c r="BH780" s="39"/>
      <c r="BI780" s="39"/>
      <c r="BJ780" s="39"/>
      <c r="BK780" s="39"/>
      <c r="BL780" s="39"/>
      <c r="BM780" s="39"/>
      <c r="BN780" s="39"/>
      <c r="BO780" s="39"/>
      <c r="BP780" s="39"/>
      <c r="BQ780" s="39"/>
      <c r="BR780" s="39"/>
      <c r="BS780" s="39"/>
      <c r="BT780" s="39"/>
      <c r="BU780" s="39"/>
      <c r="BV780" s="39"/>
      <c r="BW780" s="39"/>
      <c r="BX780" s="39"/>
      <c r="BY780" s="39"/>
      <c r="BZ780" s="39"/>
      <c r="CA780" s="39"/>
      <c r="CB780" s="39"/>
      <c r="CC780" s="39"/>
      <c r="CD780" s="39"/>
      <c r="CE780" s="39"/>
      <c r="CF780" s="39"/>
      <c r="CG780" s="39"/>
      <c r="CH780" s="39"/>
      <c r="CI780" s="39"/>
      <c r="CJ780" s="39"/>
      <c r="CK780" s="39"/>
      <c r="CL780" s="39"/>
      <c r="CM780" s="39"/>
      <c r="CN780" s="39"/>
      <c r="CO780" s="39"/>
      <c r="CP780" s="39"/>
      <c r="CQ780" s="39"/>
      <c r="CR780" s="39"/>
      <c r="CS780" s="39"/>
      <c r="CT780" s="39"/>
      <c r="CU780" s="39"/>
      <c r="CV780" s="39"/>
      <c r="CW780" s="39"/>
      <c r="CX780" s="39"/>
      <c r="CY780" s="39"/>
      <c r="CZ780" s="39"/>
      <c r="DA780" s="39"/>
      <c r="DB780" s="39"/>
      <c r="DC780" s="39"/>
      <c r="DD780" s="39"/>
      <c r="DE780" s="39"/>
      <c r="DF780" s="39"/>
      <c r="DG780" s="39"/>
      <c r="DH780" s="39"/>
      <c r="DI780" s="39"/>
    </row>
    <row r="781" spans="1:113">
      <c r="C781" s="41" t="s">
        <v>1621</v>
      </c>
      <c r="D781" s="44"/>
      <c r="E781" s="44"/>
      <c r="F781" s="45"/>
      <c r="G781" s="44"/>
      <c r="H781" s="46"/>
      <c r="I781" s="60">
        <f>'US AGG'!D$18/1000</f>
        <v>1463.8197307631551</v>
      </c>
      <c r="J781" s="60">
        <f>'US AGG'!E$18/1000</f>
        <v>1405.9395249940594</v>
      </c>
      <c r="K781" s="60">
        <f>'US AGG'!F$18/1000</f>
        <v>1333.1833142738824</v>
      </c>
      <c r="L781" s="60">
        <f>'US AGG'!G$18/1000</f>
        <v>1258.4655373802714</v>
      </c>
      <c r="M781" s="59">
        <f>(L781/I781)^(1/3)-1</f>
        <v>-4.9137083929835179E-2</v>
      </c>
      <c r="N781" s="56"/>
      <c r="O781" s="60">
        <f>'US AGG'!L$26/1000</f>
        <v>888.47132290668105</v>
      </c>
      <c r="P781" s="60">
        <f>'US AGG'!M$26/1000</f>
        <v>861.28642249099403</v>
      </c>
      <c r="Q781" s="60">
        <f>'US AGG'!N$26/1000</f>
        <v>829.70858556289568</v>
      </c>
      <c r="R781" s="60">
        <f>'US AGG'!O$26/1000</f>
        <v>796.12648342102909</v>
      </c>
      <c r="S781" s="59">
        <f>(R781/O781)^(1/3)-1</f>
        <v>-3.5920417267459537E-2</v>
      </c>
      <c r="T781" s="46"/>
      <c r="U781" s="48"/>
      <c r="V781" s="50" t="str">
        <f>V721</f>
        <v>Agg. US</v>
      </c>
      <c r="AA781" s="137"/>
      <c r="BF781" s="39"/>
      <c r="BG781" s="39"/>
      <c r="BH781" s="39"/>
      <c r="BI781" s="39"/>
      <c r="BJ781" s="39"/>
      <c r="BK781" s="39"/>
      <c r="BL781" s="39"/>
      <c r="BM781" s="39"/>
      <c r="BN781" s="39"/>
      <c r="BO781" s="39"/>
      <c r="BP781" s="39"/>
      <c r="BQ781" s="39"/>
      <c r="BR781" s="39"/>
      <c r="BS781" s="39"/>
      <c r="BT781" s="39"/>
      <c r="BU781" s="39"/>
      <c r="BV781" s="39"/>
      <c r="BW781" s="39"/>
      <c r="BX781" s="39"/>
      <c r="BY781" s="39"/>
      <c r="BZ781" s="39"/>
      <c r="CA781" s="39"/>
      <c r="CB781" s="39"/>
      <c r="CC781" s="39"/>
      <c r="CD781" s="39"/>
      <c r="CE781" s="39"/>
      <c r="CF781" s="39"/>
      <c r="CG781" s="39"/>
      <c r="CH781" s="39"/>
      <c r="CI781" s="39"/>
      <c r="CJ781" s="39"/>
      <c r="CK781" s="39"/>
      <c r="CL781" s="39"/>
      <c r="CM781" s="39"/>
      <c r="CN781" s="39"/>
      <c r="CO781" s="39"/>
      <c r="CP781" s="39"/>
      <c r="CQ781" s="39"/>
      <c r="CR781" s="39"/>
      <c r="CS781" s="39"/>
      <c r="CT781" s="39"/>
      <c r="CU781" s="39"/>
      <c r="CV781" s="39"/>
      <c r="CW781" s="39"/>
      <c r="CX781" s="39"/>
      <c r="CY781" s="39"/>
      <c r="CZ781" s="39"/>
      <c r="DA781" s="39"/>
      <c r="DB781" s="39"/>
      <c r="DC781" s="39"/>
      <c r="DD781" s="39"/>
      <c r="DE781" s="39"/>
      <c r="DF781" s="39"/>
      <c r="DG781" s="39"/>
      <c r="DH781" s="39"/>
      <c r="DI781" s="39"/>
    </row>
    <row r="782" spans="1:113">
      <c r="C782" s="67" t="str">
        <f>C722</f>
        <v xml:space="preserve">Agg. Developed Asia </v>
      </c>
      <c r="D782" s="52"/>
      <c r="E782" s="52"/>
      <c r="F782" s="53"/>
      <c r="G782" s="52"/>
      <c r="H782" s="46"/>
      <c r="I782" s="54">
        <f>'AGG DM ASIA'!$D$18/1000</f>
        <v>396.263590842724</v>
      </c>
      <c r="J782" s="54">
        <f>'AGG DM ASIA'!$E$18/1000</f>
        <v>376.15372639374806</v>
      </c>
      <c r="K782" s="54">
        <f>'AGG DM ASIA'!$F$18/1000</f>
        <v>355.74545739824788</v>
      </c>
      <c r="L782" s="54">
        <f>'AGG DM ASIA'!$G$18/1000</f>
        <v>334.14819760572851</v>
      </c>
      <c r="M782" s="55">
        <f>(L782/I782)^(1/3)-1</f>
        <v>-5.5246917914205995E-2</v>
      </c>
      <c r="N782" s="56"/>
      <c r="O782" s="54">
        <f>'AGG DM ASIA'!L$26/1000</f>
        <v>259.12045368333798</v>
      </c>
      <c r="P782" s="54">
        <f>'AGG DM ASIA'!M$26/1000</f>
        <v>253.23815677114328</v>
      </c>
      <c r="Q782" s="54">
        <f>'AGG DM ASIA'!N$26/1000</f>
        <v>246.87331652083009</v>
      </c>
      <c r="R782" s="54">
        <f>'AGG DM ASIA'!O$26/1000</f>
        <v>240.24121308528805</v>
      </c>
      <c r="S782" s="55">
        <f>(R782/O782)^(1/3)-1</f>
        <v>-2.4901236804800386E-2</v>
      </c>
      <c r="T782" s="46"/>
      <c r="U782" s="57"/>
      <c r="V782" s="58" t="str">
        <f>V722</f>
        <v xml:space="preserve">Agg. Developed Asia </v>
      </c>
      <c r="AA782" s="65"/>
      <c r="BF782" s="39"/>
      <c r="BG782" s="39"/>
      <c r="BH782" s="39"/>
      <c r="BI782" s="39"/>
      <c r="BJ782" s="39"/>
      <c r="BK782" s="39"/>
      <c r="BL782" s="39"/>
      <c r="BM782" s="39"/>
      <c r="BN782" s="39"/>
      <c r="BO782" s="39"/>
      <c r="BP782" s="39"/>
      <c r="BQ782" s="39"/>
      <c r="BR782" s="39"/>
      <c r="BS782" s="39"/>
      <c r="BT782" s="39"/>
      <c r="BU782" s="39"/>
      <c r="BV782" s="39"/>
      <c r="BW782" s="39"/>
      <c r="BX782" s="39"/>
      <c r="BY782" s="39"/>
      <c r="BZ782" s="39"/>
      <c r="CA782" s="39"/>
      <c r="CB782" s="39"/>
      <c r="CC782" s="39"/>
      <c r="CD782" s="39"/>
      <c r="CE782" s="39"/>
      <c r="CF782" s="39"/>
      <c r="CG782" s="39"/>
      <c r="CH782" s="39"/>
      <c r="CI782" s="39"/>
      <c r="CJ782" s="39"/>
      <c r="CK782" s="39"/>
      <c r="CL782" s="39"/>
      <c r="CM782" s="39"/>
      <c r="CN782" s="39"/>
      <c r="CO782" s="39"/>
      <c r="CP782" s="39"/>
      <c r="CQ782" s="39"/>
      <c r="CR782" s="39"/>
      <c r="CS782" s="39"/>
      <c r="CT782" s="39"/>
      <c r="CU782" s="39"/>
      <c r="CV782" s="39"/>
      <c r="CW782" s="39"/>
      <c r="CX782" s="39"/>
      <c r="CY782" s="39"/>
      <c r="CZ782" s="39"/>
      <c r="DA782" s="39"/>
      <c r="DB782" s="39"/>
      <c r="DC782" s="39"/>
      <c r="DD782" s="39"/>
      <c r="DE782" s="39"/>
      <c r="DF782" s="39"/>
      <c r="DG782" s="39"/>
      <c r="DH782" s="39"/>
      <c r="DI782" s="39"/>
    </row>
    <row r="783" spans="1:113">
      <c r="C783" s="41"/>
      <c r="D783" s="44"/>
      <c r="E783" s="44"/>
      <c r="F783" s="45"/>
      <c r="G783" s="44"/>
      <c r="H783" s="46"/>
      <c r="I783" s="60"/>
      <c r="J783" s="60"/>
      <c r="K783" s="60"/>
      <c r="L783" s="60"/>
      <c r="M783" s="59"/>
      <c r="N783" s="56"/>
      <c r="O783" s="60"/>
      <c r="P783" s="60"/>
      <c r="Q783" s="60"/>
      <c r="R783" s="60"/>
      <c r="S783" s="59"/>
      <c r="T783" s="46"/>
      <c r="U783" s="48"/>
      <c r="V783" s="50"/>
      <c r="X783" s="43"/>
      <c r="Y783" s="76"/>
      <c r="BF783" s="39"/>
      <c r="BG783" s="39"/>
      <c r="BH783" s="39"/>
      <c r="BI783" s="39"/>
      <c r="BJ783" s="39"/>
      <c r="BK783" s="39"/>
      <c r="BL783" s="39"/>
      <c r="BM783" s="39"/>
      <c r="BN783" s="39"/>
      <c r="BO783" s="39"/>
      <c r="BP783" s="39"/>
      <c r="BQ783" s="39"/>
      <c r="BR783" s="39"/>
      <c r="BS783" s="39"/>
      <c r="BT783" s="39"/>
      <c r="BU783" s="39"/>
      <c r="BV783" s="39"/>
      <c r="BW783" s="39"/>
      <c r="BX783" s="39"/>
      <c r="BY783" s="39"/>
      <c r="BZ783" s="39"/>
      <c r="CA783" s="39"/>
      <c r="CB783" s="39"/>
      <c r="CC783" s="39"/>
      <c r="CD783" s="39"/>
      <c r="CE783" s="39"/>
      <c r="CF783" s="39"/>
      <c r="CG783" s="39"/>
      <c r="CH783" s="39"/>
      <c r="CI783" s="39"/>
      <c r="CJ783" s="39"/>
      <c r="CK783" s="39"/>
      <c r="CL783" s="39"/>
      <c r="CM783" s="39"/>
      <c r="CN783" s="39"/>
      <c r="CO783" s="39"/>
      <c r="CP783" s="39"/>
      <c r="CQ783" s="39"/>
      <c r="CR783" s="39"/>
      <c r="CS783" s="39"/>
      <c r="CT783" s="39"/>
      <c r="CU783" s="39"/>
      <c r="CV783" s="39"/>
      <c r="CW783" s="39"/>
      <c r="CX783" s="39"/>
      <c r="CY783" s="39"/>
      <c r="CZ783" s="39"/>
      <c r="DA783" s="39"/>
      <c r="DB783" s="39"/>
      <c r="DC783" s="39"/>
      <c r="DD783" s="39"/>
      <c r="DE783" s="39"/>
      <c r="DF783" s="39"/>
      <c r="DG783" s="39"/>
      <c r="DH783" s="39"/>
      <c r="DI783" s="39"/>
    </row>
    <row r="784" spans="1:113">
      <c r="C784" s="67" t="str">
        <f>C724</f>
        <v>Agg. Global Developed</v>
      </c>
      <c r="D784" s="52"/>
      <c r="E784" s="52"/>
      <c r="F784" s="53"/>
      <c r="G784" s="52"/>
      <c r="H784" s="46"/>
      <c r="I784" s="54">
        <f>'AGG DM'!$D$18/1000</f>
        <v>2698.5901023324359</v>
      </c>
      <c r="J784" s="54">
        <f>'AGG DM'!$E$18/1000</f>
        <v>2598.2215029248337</v>
      </c>
      <c r="K784" s="54">
        <f>'AGG DM'!$F$18/1000</f>
        <v>2481.1451370819404</v>
      </c>
      <c r="L784" s="54">
        <f>'AGG DM'!$G$18/1000</f>
        <v>2352.9797377550658</v>
      </c>
      <c r="M784" s="55">
        <f>(L784/I784)^(1/3)-1</f>
        <v>-4.4654589918357912E-2</v>
      </c>
      <c r="N784" s="56"/>
      <c r="O784" s="54">
        <f>'AGG DM'!L$26/1000</f>
        <v>1539.7058301205007</v>
      </c>
      <c r="P784" s="54">
        <f>'AGG DM'!M$26/1000</f>
        <v>1500.7338708708746</v>
      </c>
      <c r="Q784" s="54">
        <f>'AGG DM'!N$26/1000</f>
        <v>1460.7814572842969</v>
      </c>
      <c r="R784" s="54">
        <f>'AGG DM'!O$26/1000</f>
        <v>1415.0847884185496</v>
      </c>
      <c r="S784" s="55">
        <f>(R784/O784)^(1/3)-1</f>
        <v>-2.7741901283880432E-2</v>
      </c>
      <c r="T784" s="46"/>
      <c r="U784" s="57"/>
      <c r="V784" s="58" t="str">
        <f>V724</f>
        <v xml:space="preserve">Agg. Global Developed </v>
      </c>
      <c r="X784" s="43"/>
      <c r="Y784" s="76"/>
      <c r="BF784" s="39"/>
      <c r="BG784" s="39"/>
      <c r="BH784" s="39"/>
      <c r="BI784" s="39"/>
      <c r="BJ784" s="39"/>
      <c r="BK784" s="39"/>
      <c r="BL784" s="39"/>
      <c r="BM784" s="39"/>
      <c r="BN784" s="39"/>
      <c r="BO784" s="39"/>
      <c r="BP784" s="39"/>
      <c r="BQ784" s="39"/>
      <c r="BR784" s="39"/>
      <c r="BS784" s="39"/>
      <c r="BT784" s="39"/>
      <c r="BU784" s="39"/>
      <c r="BV784" s="39"/>
      <c r="BW784" s="39"/>
      <c r="BX784" s="39"/>
      <c r="BY784" s="39"/>
      <c r="BZ784" s="39"/>
      <c r="CA784" s="39"/>
      <c r="CB784" s="39"/>
      <c r="CC784" s="39"/>
      <c r="CD784" s="39"/>
      <c r="CE784" s="39"/>
      <c r="CF784" s="39"/>
      <c r="CG784" s="39"/>
      <c r="CH784" s="39"/>
      <c r="CI784" s="39"/>
      <c r="CJ784" s="39"/>
      <c r="CK784" s="39"/>
      <c r="CL784" s="39"/>
      <c r="CM784" s="39"/>
      <c r="CN784" s="39"/>
      <c r="CO784" s="39"/>
      <c r="CP784" s="39"/>
      <c r="CQ784" s="39"/>
      <c r="CR784" s="39"/>
      <c r="CS784" s="39"/>
      <c r="CT784" s="39"/>
      <c r="CU784" s="39"/>
      <c r="CV784" s="39"/>
      <c r="CW784" s="39"/>
      <c r="CX784" s="39"/>
      <c r="CY784" s="39"/>
      <c r="CZ784" s="39"/>
      <c r="DA784" s="39"/>
      <c r="DB784" s="39"/>
      <c r="DC784" s="39"/>
      <c r="DD784" s="39"/>
      <c r="DE784" s="39"/>
      <c r="DF784" s="39"/>
      <c r="DG784" s="39"/>
      <c r="DH784" s="39"/>
      <c r="DI784" s="39"/>
    </row>
    <row r="785" spans="9:113">
      <c r="I785" s="77"/>
      <c r="J785" s="77"/>
      <c r="K785" s="77"/>
      <c r="L785" s="77"/>
      <c r="M785" s="78"/>
      <c r="N785" s="77"/>
      <c r="O785" s="79"/>
      <c r="P785" s="79"/>
      <c r="Q785" s="79"/>
      <c r="R785" s="79"/>
      <c r="S785" s="78"/>
      <c r="U785" s="5"/>
      <c r="V785" s="63"/>
      <c r="X785" s="43"/>
      <c r="Y785" s="76"/>
      <c r="BF785" s="39"/>
      <c r="BG785" s="39"/>
      <c r="BH785" s="39"/>
      <c r="BI785" s="39"/>
      <c r="BJ785" s="39"/>
      <c r="BK785" s="39"/>
      <c r="BL785" s="39"/>
      <c r="BM785" s="39"/>
      <c r="BN785" s="39"/>
      <c r="BO785" s="39"/>
      <c r="BP785" s="39"/>
      <c r="BQ785" s="39"/>
      <c r="BR785" s="39"/>
      <c r="BS785" s="39"/>
      <c r="BT785" s="39"/>
      <c r="BU785" s="39"/>
      <c r="BV785" s="39"/>
      <c r="BW785" s="39"/>
      <c r="BX785" s="39"/>
      <c r="BY785" s="39"/>
      <c r="BZ785" s="39"/>
      <c r="CA785" s="39"/>
      <c r="CB785" s="39"/>
      <c r="CC785" s="39"/>
      <c r="CD785" s="39"/>
      <c r="CE785" s="39"/>
      <c r="CF785" s="39"/>
      <c r="CG785" s="39"/>
      <c r="CH785" s="39"/>
      <c r="CI785" s="39"/>
      <c r="CJ785" s="39"/>
      <c r="CK785" s="39"/>
      <c r="CL785" s="39"/>
      <c r="CM785" s="39"/>
      <c r="CN785" s="39"/>
      <c r="CO785" s="39"/>
      <c r="CP785" s="39"/>
      <c r="CQ785" s="39"/>
      <c r="CR785" s="39"/>
      <c r="CS785" s="39"/>
      <c r="CT785" s="39"/>
      <c r="CU785" s="39"/>
      <c r="CV785" s="39"/>
      <c r="CW785" s="39"/>
      <c r="CX785" s="39"/>
      <c r="CY785" s="39"/>
      <c r="CZ785" s="39"/>
      <c r="DA785" s="39"/>
      <c r="DB785" s="39"/>
      <c r="DC785" s="39"/>
      <c r="DD785" s="39"/>
      <c r="DE785" s="39"/>
      <c r="DF785" s="39"/>
      <c r="DG785" s="39"/>
      <c r="DH785" s="39"/>
      <c r="DI785" s="39"/>
    </row>
  </sheetData>
  <mergeCells count="1">
    <mergeCell ref="I6:M6"/>
  </mergeCells>
  <phoneticPr fontId="7" type="noConversion"/>
  <conditionalFormatting sqref="C8:G64 I8:M64 O8:S64 U8:V64 C68:G124 I68:M124 O68:S124 U68:V124 C128:G184 I128:M184 O128:S184 U128:V184 C188:G244 I188:M244 O188:S244 U188:V244 C248:G304 I248:M304 O248:S304 U248:V304 C308:G364 I308:M364 O308:S364 U308:V364 C368:G424 I368:M424 O368:S424 U368:V424 C428:G484 I428:M484 O428:S484 U428:V484 C488:G544 I488:M544 O488:S544 U488:V544 C548:G604 I548:M604 O548:S604 U548:V604 C608:G664 I608:M664 O608:S664 U608:V664 C668:G724 I668:M724 O668:S724 U668:V724 C728:G784 I728:M784 O728:S784 U728:V784">
    <cfRule type="expression" dxfId="3" priority="42">
      <formula>EVEN(ROW())=ROW()</formula>
    </cfRule>
  </conditionalFormatting>
  <hyperlinks>
    <hyperlink ref="Y1" location="Prices!A1" display="Jump to Prices" xr:uid="{00000000-0004-0000-0100-000000000000}"/>
  </hyperlinks>
  <printOptions horizontalCentered="1" verticalCentered="1"/>
  <pageMargins left="0.31496062992125984" right="0" top="0" bottom="0" header="0" footer="0"/>
  <pageSetup paperSize="9" scale="58" fitToHeight="2" orientation="landscape" copies="3" r:id="rId1"/>
  <headerFooter alignWithMargins="0">
    <oddFooter>&amp;L&amp;"Trebuchet MS,Bold"&amp;8Note: EV's are calculated using rolling net debt and are adjusted for dividends paid. March/June year end companies are aligned with previous calendar year.</oddFooter>
  </headerFooter>
  <rowBreaks count="12" manualBreakCount="12">
    <brk id="65" max="22" man="1"/>
    <brk id="125" max="22" man="1"/>
    <brk id="185" max="22" man="1"/>
    <brk id="245" max="22" man="1"/>
    <brk id="305" max="22" man="1"/>
    <brk id="365" max="22" man="1"/>
    <brk id="425" max="22" man="1"/>
    <brk id="485" max="22" man="1"/>
    <brk id="545" max="22" man="1"/>
    <brk id="605" max="22" man="1"/>
    <brk id="665" max="22" man="1"/>
    <brk id="725" max="22"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108">
    <pageSetUpPr fitToPage="1"/>
  </sheetPr>
  <dimension ref="B1:AR165"/>
  <sheetViews>
    <sheetView showGridLines="0" zoomScale="80" zoomScaleNormal="80" workbookViewId="0"/>
  </sheetViews>
  <sheetFormatPr defaultColWidth="9.109375" defaultRowHeight="12"/>
  <cols>
    <col min="1" max="1" width="2.33203125" style="39" customWidth="1"/>
    <col min="2" max="2" width="26.5546875" style="39" customWidth="1"/>
    <col min="3" max="9" width="10" style="39" customWidth="1"/>
    <col min="10" max="10" width="26.6640625" style="39" customWidth="1"/>
    <col min="11" max="16" width="10" style="39" customWidth="1"/>
    <col min="17" max="19" width="8.6640625" style="39" customWidth="1"/>
    <col min="20" max="28" width="8.6640625" style="5" customWidth="1"/>
    <col min="29" max="44" width="9.109375" style="5"/>
    <col min="45" max="16384" width="9.109375" style="39"/>
  </cols>
  <sheetData>
    <row r="1" spans="2:44" s="312" customFormat="1">
      <c r="T1" s="149"/>
      <c r="U1" s="149"/>
      <c r="V1" s="149"/>
      <c r="W1" s="149"/>
      <c r="X1" s="149"/>
      <c r="Y1" s="149"/>
      <c r="Z1" s="149"/>
      <c r="AA1" s="149"/>
      <c r="AB1" s="149"/>
      <c r="AC1" s="149"/>
      <c r="AD1" s="149"/>
      <c r="AE1" s="149"/>
      <c r="AF1" s="149"/>
      <c r="AG1" s="149"/>
      <c r="AH1" s="149"/>
      <c r="AI1" s="149"/>
      <c r="AJ1" s="149"/>
      <c r="AK1" s="149"/>
      <c r="AL1" s="149"/>
      <c r="AM1" s="149"/>
      <c r="AN1" s="149"/>
      <c r="AO1" s="149"/>
      <c r="AP1" s="149"/>
      <c r="AQ1" s="149"/>
      <c r="AR1" s="149"/>
    </row>
    <row r="2" spans="2:44" s="149" customFormat="1"/>
    <row r="3" spans="2:44" s="149" customFormat="1">
      <c r="H3" s="153"/>
      <c r="P3" s="153"/>
    </row>
    <row r="4" spans="2:44" s="156" customFormat="1" ht="21">
      <c r="B4" s="129" t="s">
        <v>70</v>
      </c>
      <c r="H4" s="222"/>
      <c r="P4" s="222"/>
    </row>
    <row r="5" spans="2:44" s="149" customFormat="1">
      <c r="C5" s="153"/>
      <c r="D5" s="153" t="str" cm="1">
        <f t="array" ref="D5:H5">headings</f>
        <v>2023E</v>
      </c>
      <c r="E5" s="153" t="str">
        <v>2024E</v>
      </c>
      <c r="F5" s="153" t="str">
        <v>2025E</v>
      </c>
      <c r="G5" s="153" t="str">
        <v>2026E</v>
      </c>
      <c r="H5" s="153" t="str">
        <v>23E-26E</v>
      </c>
      <c r="I5" s="153"/>
      <c r="J5" s="153"/>
      <c r="K5" s="153"/>
      <c r="L5" s="153" t="str" cm="1">
        <f t="array" ref="L5:P5">headings</f>
        <v>2023E</v>
      </c>
      <c r="M5" s="153" t="str">
        <v>2024E</v>
      </c>
      <c r="N5" s="153" t="str">
        <v>2025E</v>
      </c>
      <c r="O5" s="153" t="str">
        <v>2026E</v>
      </c>
      <c r="P5" s="153" t="str">
        <v>23E-26E</v>
      </c>
      <c r="Q5" s="162"/>
      <c r="R5" s="162"/>
      <c r="S5" s="162"/>
      <c r="T5" s="162"/>
      <c r="U5" s="162"/>
      <c r="V5" s="162"/>
      <c r="W5" s="162"/>
      <c r="X5" s="162"/>
      <c r="Y5" s="162"/>
    </row>
    <row r="6" spans="2:44">
      <c r="I6" s="5"/>
      <c r="J6" s="5"/>
      <c r="K6" s="5"/>
      <c r="L6" s="5"/>
      <c r="M6" s="5"/>
      <c r="N6" s="5"/>
      <c r="O6" s="49"/>
    </row>
    <row r="7" spans="2:44" ht="12.6" thickBot="1">
      <c r="B7" s="306" t="s">
        <v>271</v>
      </c>
      <c r="C7" s="265"/>
      <c r="D7" s="265" t="str">
        <f>D5</f>
        <v>2023E</v>
      </c>
      <c r="E7" s="265" t="str">
        <f t="shared" ref="E7:H7" si="0">E5</f>
        <v>2024E</v>
      </c>
      <c r="F7" s="265" t="str">
        <f t="shared" si="0"/>
        <v>2025E</v>
      </c>
      <c r="G7" s="265" t="str">
        <f t="shared" si="0"/>
        <v>2026E</v>
      </c>
      <c r="H7" s="265" t="str">
        <f t="shared" si="0"/>
        <v>23E-26E</v>
      </c>
      <c r="I7" s="49"/>
      <c r="J7" s="306" t="s">
        <v>74</v>
      </c>
      <c r="K7" s="306"/>
      <c r="L7" s="265" t="str">
        <f>L5</f>
        <v>2023E</v>
      </c>
      <c r="M7" s="265" t="str">
        <f t="shared" ref="M7:P7" si="1">M5</f>
        <v>2024E</v>
      </c>
      <c r="N7" s="265" t="str">
        <f t="shared" si="1"/>
        <v>2025E</v>
      </c>
      <c r="O7" s="265" t="str">
        <f t="shared" si="1"/>
        <v>2026E</v>
      </c>
      <c r="P7" s="265" t="str">
        <f t="shared" si="1"/>
        <v>23E-26E</v>
      </c>
    </row>
    <row r="8" spans="2:44" ht="12.6" thickTop="1">
      <c r="B8" s="5"/>
      <c r="C8" s="5"/>
      <c r="D8" s="5"/>
      <c r="E8" s="5"/>
      <c r="F8" s="5"/>
      <c r="G8" s="5"/>
      <c r="H8" s="5"/>
      <c r="I8" s="5"/>
      <c r="J8" s="5"/>
      <c r="K8" s="5"/>
      <c r="L8" s="5"/>
      <c r="M8" s="5"/>
      <c r="N8" s="5"/>
      <c r="S8" s="88"/>
      <c r="T8" s="42"/>
      <c r="U8" s="42"/>
      <c r="V8" s="42"/>
      <c r="W8" s="42"/>
      <c r="X8" s="42"/>
      <c r="Y8" s="42"/>
      <c r="Z8" s="42"/>
      <c r="AA8" s="42"/>
    </row>
    <row r="9" spans="2:44">
      <c r="B9" s="41" t="s">
        <v>147</v>
      </c>
      <c r="C9" s="285">
        <f>Prices!C87</f>
        <v>10075</v>
      </c>
      <c r="D9" s="535">
        <v>0</v>
      </c>
      <c r="E9" s="536">
        <v>0</v>
      </c>
      <c r="F9" s="536">
        <v>0</v>
      </c>
      <c r="G9" s="536">
        <v>0</v>
      </c>
      <c r="H9" s="249"/>
      <c r="I9" s="249"/>
      <c r="J9" s="5" t="s">
        <v>273</v>
      </c>
      <c r="L9" s="529">
        <f>'AGG ASIA CELLULAR'!D37</f>
        <v>2.0832818906884643</v>
      </c>
      <c r="M9" s="529">
        <f>'AGG ASIA CELLULAR'!E37</f>
        <v>1.9180381131180324</v>
      </c>
      <c r="N9" s="529">
        <f>'AGG ASIA CELLULAR'!F37</f>
        <v>1.6973984727138696</v>
      </c>
      <c r="O9" s="529">
        <f>'AGG ASIA CELLULAR'!G37</f>
        <v>1.4849146547081604</v>
      </c>
      <c r="P9" s="286">
        <f>'AGG ASIA CELLULAR'!H37</f>
        <v>5.2823672985303771E-2</v>
      </c>
      <c r="S9" s="88"/>
      <c r="T9" s="42"/>
      <c r="U9" s="42"/>
      <c r="V9" s="42"/>
      <c r="W9" s="42"/>
      <c r="X9" s="42"/>
      <c r="Y9" s="42"/>
      <c r="Z9" s="42"/>
      <c r="AA9" s="42"/>
    </row>
    <row r="10" spans="2:44">
      <c r="B10" s="5" t="s">
        <v>274</v>
      </c>
      <c r="C10" s="5"/>
      <c r="D10" s="531">
        <v>8.0626818399999998</v>
      </c>
      <c r="E10" s="531">
        <v>8.0626818399999998</v>
      </c>
      <c r="F10" s="531">
        <v>8.0626818399999998</v>
      </c>
      <c r="G10" s="531">
        <v>8.0626818399999998</v>
      </c>
      <c r="H10" s="247"/>
      <c r="I10" s="247"/>
      <c r="J10" s="5" t="s">
        <v>184</v>
      </c>
      <c r="L10" s="529">
        <f>'AGG ASIA CELLULAR'!D38</f>
        <v>6.3578764048835863</v>
      </c>
      <c r="M10" s="529">
        <f>'AGG ASIA CELLULAR'!E38</f>
        <v>5.8349432944863064</v>
      </c>
      <c r="N10" s="529">
        <f>'AGG ASIA CELLULAR'!F38</f>
        <v>5.103853656504258</v>
      </c>
      <c r="O10" s="529">
        <f>'AGG ASIA CELLULAR'!G38</f>
        <v>4.4165179955724438</v>
      </c>
      <c r="P10" s="286">
        <f>'AGG ASIA CELLULAR'!H38</f>
        <v>6.1901299000113985E-2</v>
      </c>
      <c r="S10" s="88"/>
      <c r="T10" s="42"/>
      <c r="U10" s="42"/>
      <c r="V10" s="42"/>
      <c r="W10" s="288"/>
      <c r="X10" s="288"/>
      <c r="Y10" s="288"/>
      <c r="Z10" s="288"/>
      <c r="AA10" s="42"/>
    </row>
    <row r="11" spans="2:44">
      <c r="B11" s="41" t="s">
        <v>875</v>
      </c>
      <c r="C11" s="5"/>
      <c r="D11" s="532">
        <f>$C$9*D10</f>
        <v>81231.519537999993</v>
      </c>
      <c r="E11" s="532">
        <f>$C$9*E10</f>
        <v>81231.519537999993</v>
      </c>
      <c r="F11" s="532">
        <f>$C$9*F10</f>
        <v>81231.519537999993</v>
      </c>
      <c r="G11" s="532">
        <f>$C$9*G10</f>
        <v>81231.519537999993</v>
      </c>
      <c r="H11" s="249"/>
      <c r="I11" s="249"/>
      <c r="J11" s="5" t="s">
        <v>185</v>
      </c>
      <c r="L11" s="529">
        <f>'AGG ASIA CELLULAR'!D39</f>
        <v>12.256315794878686</v>
      </c>
      <c r="M11" s="529">
        <f>'AGG ASIA CELLULAR'!E39</f>
        <v>10.532349001792122</v>
      </c>
      <c r="N11" s="529">
        <f>'AGG ASIA CELLULAR'!F39</f>
        <v>8.8097379743624202</v>
      </c>
      <c r="O11" s="529">
        <f>'AGG ASIA CELLULAR'!G39</f>
        <v>7.3400525025099741</v>
      </c>
      <c r="P11" s="286">
        <f>'AGG ASIA CELLULAR'!H39</f>
        <v>0.11573327430771596</v>
      </c>
      <c r="S11" s="88"/>
      <c r="T11" s="42"/>
      <c r="U11" s="42"/>
      <c r="V11" s="42"/>
      <c r="W11" s="288"/>
      <c r="X11" s="288"/>
      <c r="Y11" s="288"/>
      <c r="Z11" s="288"/>
      <c r="AA11" s="42"/>
    </row>
    <row r="12" spans="2:44">
      <c r="B12" s="5" t="s">
        <v>24</v>
      </c>
      <c r="C12" s="249"/>
      <c r="D12" s="533">
        <v>48664.290999999997</v>
      </c>
      <c r="E12" s="533">
        <v>40479.229107477593</v>
      </c>
      <c r="F12" s="533">
        <v>29698.07279032706</v>
      </c>
      <c r="G12" s="533">
        <v>17809.3774587628</v>
      </c>
      <c r="H12" s="247"/>
      <c r="I12" s="247"/>
      <c r="J12" s="5" t="s">
        <v>466</v>
      </c>
      <c r="L12" s="529">
        <f>'AGG ASIA CELLULAR'!D40</f>
        <v>15.951300793811486</v>
      </c>
      <c r="M12" s="529">
        <f>'AGG ASIA CELLULAR'!E40</f>
        <v>13.847183646795452</v>
      </c>
      <c r="N12" s="529">
        <f>'AGG ASIA CELLULAR'!F40</f>
        <v>11.626709680654198</v>
      </c>
      <c r="O12" s="529">
        <f>'AGG ASIA CELLULAR'!G40</f>
        <v>9.7078389032116537</v>
      </c>
      <c r="P12" s="286">
        <f>'AGG ASIA CELLULAR'!H40</f>
        <v>0.10976572550111241</v>
      </c>
      <c r="S12" s="88"/>
      <c r="T12" s="42"/>
      <c r="U12" s="42"/>
      <c r="V12" s="42"/>
      <c r="W12" s="288"/>
      <c r="X12" s="288"/>
      <c r="Y12" s="288"/>
      <c r="Z12" s="288"/>
      <c r="AA12" s="42"/>
    </row>
    <row r="13" spans="2:44">
      <c r="B13" s="5" t="s">
        <v>529</v>
      </c>
      <c r="C13" s="257"/>
      <c r="D13" s="533">
        <v>0</v>
      </c>
      <c r="E13" s="533">
        <v>0</v>
      </c>
      <c r="F13" s="533">
        <v>0</v>
      </c>
      <c r="G13" s="533">
        <v>0</v>
      </c>
      <c r="H13" s="247"/>
      <c r="I13" s="247"/>
      <c r="J13" s="5" t="s">
        <v>530</v>
      </c>
      <c r="L13" s="529">
        <f>'AGG ASIA CELLULAR'!D41</f>
        <v>1.4274445412547272</v>
      </c>
      <c r="M13" s="529">
        <f>'AGG ASIA CELLULAR'!E41</f>
        <v>1.4179696737537477</v>
      </c>
      <c r="N13" s="529">
        <f>'AGG ASIA CELLULAR'!F41</f>
        <v>1.3450707920768976</v>
      </c>
      <c r="O13" s="529">
        <f>'AGG ASIA CELLULAR'!G41</f>
        <v>1.2618986136137988</v>
      </c>
      <c r="P13" s="286">
        <f>'AGG ASIA CELLULAR'!H41</f>
        <v>-2.0092563683029918E-2</v>
      </c>
      <c r="S13" s="88"/>
      <c r="T13" s="42"/>
      <c r="U13" s="42"/>
      <c r="V13" s="42"/>
      <c r="W13" s="42"/>
      <c r="X13" s="42"/>
      <c r="Y13" s="42"/>
      <c r="Z13" s="42"/>
      <c r="AA13" s="42"/>
    </row>
    <row r="14" spans="2:44">
      <c r="B14" s="5" t="s">
        <v>532</v>
      </c>
      <c r="C14" s="257"/>
      <c r="D14" s="538">
        <v>0</v>
      </c>
      <c r="E14" s="530">
        <f t="shared" ref="E14:G15" si="2">D14</f>
        <v>0</v>
      </c>
      <c r="F14" s="530">
        <f t="shared" si="2"/>
        <v>0</v>
      </c>
      <c r="G14" s="530">
        <f t="shared" si="2"/>
        <v>0</v>
      </c>
      <c r="H14" s="247"/>
      <c r="I14" s="247"/>
      <c r="J14" s="5" t="s">
        <v>593</v>
      </c>
      <c r="L14" s="529">
        <f>'AGG ASIA CELLULAR'!D42</f>
        <v>2.9130695199933734</v>
      </c>
      <c r="M14" s="529">
        <f>'AGG ASIA CELLULAR'!E42</f>
        <v>2.8146219035099969</v>
      </c>
      <c r="N14" s="529">
        <f>'AGG ASIA CELLULAR'!F42</f>
        <v>2.5888583636405476</v>
      </c>
      <c r="O14" s="529">
        <f>'AGG ASIA CELLULAR'!G42</f>
        <v>2.3605815546209548</v>
      </c>
      <c r="P14" s="286">
        <f>'AGG ASIA CELLULAR'!H42</f>
        <v>8.7512202951403051E-3</v>
      </c>
      <c r="S14" s="88"/>
      <c r="T14" s="42"/>
      <c r="U14" s="42"/>
      <c r="V14" s="42"/>
      <c r="W14" s="42"/>
      <c r="X14" s="42"/>
      <c r="Y14" s="42"/>
      <c r="Z14" s="42"/>
      <c r="AA14" s="42"/>
    </row>
    <row r="15" spans="2:44">
      <c r="B15" s="5" t="s">
        <v>531</v>
      </c>
      <c r="C15" s="274"/>
      <c r="D15" s="538">
        <v>0</v>
      </c>
      <c r="E15" s="530">
        <f t="shared" si="2"/>
        <v>0</v>
      </c>
      <c r="F15" s="530">
        <f t="shared" si="2"/>
        <v>0</v>
      </c>
      <c r="G15" s="530">
        <f t="shared" si="2"/>
        <v>0</v>
      </c>
      <c r="H15" s="247"/>
      <c r="I15" s="247"/>
      <c r="J15" s="5" t="s">
        <v>475</v>
      </c>
      <c r="L15" s="529">
        <f>'AGG ASIA CELLULAR'!D43</f>
        <v>19.278364274513134</v>
      </c>
      <c r="M15" s="529">
        <f>'AGG ASIA CELLULAR'!E43</f>
        <v>15.523038202411636</v>
      </c>
      <c r="N15" s="529">
        <f>'AGG ASIA CELLULAR'!F43</f>
        <v>13.257386088679914</v>
      </c>
      <c r="O15" s="529">
        <f>'AGG ASIA CELLULAR'!G43</f>
        <v>11.466142328229227</v>
      </c>
      <c r="P15" s="286">
        <f>'AGG ASIA CELLULAR'!H43</f>
        <v>0.18831027118838706</v>
      </c>
      <c r="S15" s="88"/>
      <c r="T15" s="42"/>
      <c r="U15" s="42"/>
      <c r="V15" s="42"/>
      <c r="W15" s="42"/>
      <c r="X15" s="42"/>
      <c r="Y15" s="42"/>
      <c r="Z15" s="42"/>
      <c r="AA15" s="42"/>
    </row>
    <row r="16" spans="2:44">
      <c r="B16" s="5" t="s">
        <v>534</v>
      </c>
      <c r="C16" s="257"/>
      <c r="D16" s="533">
        <v>0</v>
      </c>
      <c r="E16" s="533">
        <v>0</v>
      </c>
      <c r="F16" s="533">
        <v>8589.705439416146</v>
      </c>
      <c r="G16" s="533">
        <v>20477.042003144146</v>
      </c>
      <c r="H16" s="247"/>
      <c r="I16" s="247"/>
      <c r="J16" s="5" t="s">
        <v>533</v>
      </c>
      <c r="L16" s="529">
        <f>'AGG ASIA CELLULAR'!D44</f>
        <v>20.50009040888548</v>
      </c>
      <c r="M16" s="529">
        <f>'AGG ASIA CELLULAR'!E44</f>
        <v>17.31807909095523</v>
      </c>
      <c r="N16" s="529">
        <f>'AGG ASIA CELLULAR'!F44</f>
        <v>14.883294016253318</v>
      </c>
      <c r="O16" s="529">
        <f>'AGG ASIA CELLULAR'!G44</f>
        <v>13.16548576425039</v>
      </c>
      <c r="P16" s="286">
        <f>'AGG ASIA CELLULAR'!H44</f>
        <v>0.15839482711139796</v>
      </c>
      <c r="S16" s="88"/>
      <c r="T16" s="42"/>
      <c r="U16" s="42"/>
      <c r="V16" s="42"/>
      <c r="W16" s="42"/>
      <c r="X16" s="42"/>
      <c r="Y16" s="42"/>
      <c r="Z16" s="42"/>
      <c r="AA16" s="42"/>
    </row>
    <row r="17" spans="2:27">
      <c r="B17" s="5" t="s">
        <v>6</v>
      </c>
      <c r="C17" s="257"/>
      <c r="D17" s="533">
        <v>0</v>
      </c>
      <c r="E17" s="533">
        <v>0</v>
      </c>
      <c r="F17" s="533">
        <v>0</v>
      </c>
      <c r="G17" s="533">
        <v>0</v>
      </c>
      <c r="H17" s="247"/>
      <c r="I17" s="247"/>
      <c r="J17" s="5" t="s">
        <v>580</v>
      </c>
      <c r="L17" s="248">
        <f>'AGG ASIA CELLULAR'!D45</f>
        <v>4.174038595528512E-2</v>
      </c>
      <c r="M17" s="248">
        <f>'AGG ASIA CELLULAR'!E45</f>
        <v>4.4792872771489058E-2</v>
      </c>
      <c r="N17" s="248">
        <f>'AGG ASIA CELLULAR'!F45</f>
        <v>5.1203391440393167E-2</v>
      </c>
      <c r="O17" s="248">
        <f>'AGG ASIA CELLULAR'!G45</f>
        <v>5.7913719466381006E-2</v>
      </c>
      <c r="P17" s="286">
        <f>'AGG ASIA CELLULAR'!H45</f>
        <v>0.11470165475568339</v>
      </c>
      <c r="S17" s="88"/>
      <c r="T17" s="42"/>
      <c r="U17" s="42"/>
      <c r="V17" s="42"/>
      <c r="W17" s="42"/>
      <c r="X17" s="42"/>
      <c r="Y17" s="42"/>
      <c r="Z17" s="42"/>
      <c r="AA17" s="42"/>
    </row>
    <row r="18" spans="2:27" ht="12.6" thickBot="1">
      <c r="B18" s="41" t="s">
        <v>583</v>
      </c>
      <c r="C18" s="249"/>
      <c r="D18" s="534">
        <f>D11+D12+D13-D14+D15-D16-D17</f>
        <v>129895.81053799999</v>
      </c>
      <c r="E18" s="534">
        <f>E11+E12+E13-E14+E15-E16-E17</f>
        <v>121710.74864547758</v>
      </c>
      <c r="F18" s="534">
        <f>F11+F12+F13-F14+F15-F16-F17</f>
        <v>102339.8868889109</v>
      </c>
      <c r="G18" s="534">
        <f>G11+G12+G13-G14+G15-G16-G17</f>
        <v>78563.854993618646</v>
      </c>
      <c r="H18" s="276">
        <f>IF(D18=0,"nm",IF(G18=0,"nm",(G18/D18)^(1/3)-1))</f>
        <v>-0.1543138585414966</v>
      </c>
      <c r="I18" s="254"/>
      <c r="J18" s="5" t="s">
        <v>36</v>
      </c>
      <c r="L18" s="248" t="e">
        <f>'AGG ASIA CELLULAR'!D46</f>
        <v>#VALUE!</v>
      </c>
      <c r="M18" s="248" t="e">
        <f>'AGG ASIA CELLULAR'!E46</f>
        <v>#VALUE!</v>
      </c>
      <c r="N18" s="248" t="e">
        <f>'AGG ASIA CELLULAR'!F46</f>
        <v>#VALUE!</v>
      </c>
      <c r="O18" s="248" t="e">
        <f>'AGG ASIA CELLULAR'!G46</f>
        <v>#VALUE!</v>
      </c>
      <c r="P18" s="286" t="e">
        <f>'AGG ASIA CELLULAR'!H46</f>
        <v>#VALUE!</v>
      </c>
      <c r="S18" s="88"/>
      <c r="T18" s="42"/>
      <c r="U18" s="42"/>
      <c r="V18" s="42"/>
      <c r="W18" s="42"/>
      <c r="X18" s="42"/>
      <c r="Y18" s="42"/>
      <c r="Z18" s="42"/>
      <c r="AA18" s="42"/>
    </row>
    <row r="19" spans="2:27" ht="12.6" thickTop="1">
      <c r="B19" s="41"/>
      <c r="C19" s="249"/>
      <c r="D19" s="229"/>
      <c r="E19" s="229"/>
      <c r="F19" s="229"/>
      <c r="G19" s="229"/>
      <c r="H19" s="276"/>
      <c r="I19" s="254"/>
      <c r="J19" s="5" t="s">
        <v>581</v>
      </c>
      <c r="L19" s="248">
        <f>'AGG ASIA CELLULAR'!D47</f>
        <v>5.1871620732991598E-2</v>
      </c>
      <c r="M19" s="248">
        <f>'AGG ASIA CELLULAR'!E47</f>
        <v>6.4420378727447922E-2</v>
      </c>
      <c r="N19" s="248">
        <f>'AGG ASIA CELLULAR'!F47</f>
        <v>7.5429650559386677E-2</v>
      </c>
      <c r="O19" s="248">
        <f>'AGG ASIA CELLULAR'!G47</f>
        <v>8.7213290344219457E-2</v>
      </c>
      <c r="P19" s="286">
        <f>'AGG ASIA CELLULAR'!H47</f>
        <v>0.18831027118838706</v>
      </c>
      <c r="S19" s="88"/>
      <c r="T19" s="42"/>
      <c r="U19" s="42"/>
      <c r="V19" s="42"/>
      <c r="W19" s="42"/>
      <c r="X19" s="42"/>
      <c r="Y19" s="42"/>
      <c r="Z19" s="42"/>
      <c r="AA19" s="42"/>
    </row>
    <row r="20" spans="2:27">
      <c r="H20" s="277"/>
      <c r="I20" s="17"/>
      <c r="J20" s="5" t="s">
        <v>604</v>
      </c>
      <c r="L20" s="305">
        <f>'AGG ASIA CELLULAR'!D48</f>
        <v>0.92045377326476352</v>
      </c>
      <c r="M20" s="305">
        <f>'AGG ASIA CELLULAR'!E48</f>
        <v>0.79490390762892493</v>
      </c>
      <c r="N20" s="305">
        <f>'AGG ASIA CELLULAR'!F48</f>
        <v>0.7763724496707467</v>
      </c>
      <c r="O20" s="305">
        <f>'AGG ASIA CELLULAR'!G48</f>
        <v>0.75978089170129071</v>
      </c>
      <c r="P20" s="286" t="str">
        <f>'AGG ASIA CELLULAR'!H48</f>
        <v>nm</v>
      </c>
      <c r="S20" s="88"/>
      <c r="T20" s="42"/>
      <c r="U20" s="42"/>
      <c r="V20" s="42"/>
      <c r="W20" s="42"/>
      <c r="X20" s="42"/>
      <c r="Y20" s="42"/>
      <c r="Z20" s="42"/>
      <c r="AA20" s="42"/>
    </row>
    <row r="21" spans="2:27" ht="12.6" thickBot="1">
      <c r="B21" s="306" t="s">
        <v>941</v>
      </c>
      <c r="C21" s="265"/>
      <c r="D21" s="265" t="str">
        <f>D5</f>
        <v>2023E</v>
      </c>
      <c r="E21" s="265" t="str">
        <f t="shared" ref="E21:H21" si="3">E5</f>
        <v>2024E</v>
      </c>
      <c r="F21" s="265" t="str">
        <f t="shared" si="3"/>
        <v>2025E</v>
      </c>
      <c r="G21" s="265" t="str">
        <f t="shared" si="3"/>
        <v>2026E</v>
      </c>
      <c r="H21" s="265" t="str">
        <f t="shared" si="3"/>
        <v>23E-26E</v>
      </c>
      <c r="I21" s="49"/>
      <c r="J21" s="41"/>
      <c r="L21" s="250"/>
      <c r="M21" s="250"/>
      <c r="N21" s="250"/>
      <c r="O21" s="250"/>
      <c r="P21" s="286"/>
      <c r="S21" s="88"/>
      <c r="T21" s="42"/>
      <c r="U21" s="42"/>
      <c r="V21" s="42"/>
      <c r="W21" s="42"/>
      <c r="X21" s="42"/>
      <c r="Y21" s="42"/>
      <c r="Z21" s="42"/>
      <c r="AA21" s="42"/>
    </row>
    <row r="22" spans="2:27" ht="12.6" thickTop="1">
      <c r="B22" s="5"/>
      <c r="C22" s="257"/>
      <c r="D22" s="17"/>
      <c r="E22" s="17"/>
      <c r="F22" s="17"/>
      <c r="G22" s="17"/>
      <c r="H22" s="17"/>
      <c r="I22" s="17"/>
      <c r="P22" s="277"/>
      <c r="S22" s="88"/>
      <c r="T22" s="42"/>
      <c r="U22" s="42"/>
      <c r="V22" s="42"/>
      <c r="W22" s="42"/>
      <c r="X22" s="42"/>
      <c r="Y22" s="42"/>
      <c r="Z22" s="42"/>
      <c r="AA22" s="42"/>
    </row>
    <row r="23" spans="2:27" ht="12.6" thickBot="1">
      <c r="B23" s="5" t="s">
        <v>584</v>
      </c>
      <c r="C23" s="548">
        <v>46752.332000000002</v>
      </c>
      <c r="D23" s="540">
        <v>51228.800000000003</v>
      </c>
      <c r="E23" s="540">
        <v>56294.061710987189</v>
      </c>
      <c r="F23" s="540">
        <v>61673.107001529686</v>
      </c>
      <c r="G23" s="540">
        <v>67427.999949974095</v>
      </c>
      <c r="H23" s="279">
        <f t="shared" ref="H23:H32" si="4">IF(D23=0,"nm",IF(G23=0,"nm",(G23/D23)^(1/3)-1))</f>
        <v>9.5911198990965563E-2</v>
      </c>
      <c r="I23" s="247"/>
      <c r="J23" s="306" t="s">
        <v>9</v>
      </c>
      <c r="K23" s="306"/>
      <c r="L23" s="265" t="str">
        <f>D21</f>
        <v>2023E</v>
      </c>
      <c r="M23" s="265" t="str">
        <f t="shared" ref="M23:P23" si="5">E21</f>
        <v>2024E</v>
      </c>
      <c r="N23" s="265" t="str">
        <f t="shared" si="5"/>
        <v>2025E</v>
      </c>
      <c r="O23" s="265" t="str">
        <f t="shared" si="5"/>
        <v>2026E</v>
      </c>
      <c r="P23" s="265" t="str">
        <f t="shared" si="5"/>
        <v>23E-26E</v>
      </c>
      <c r="S23" s="88"/>
      <c r="T23" s="42"/>
      <c r="U23" s="42"/>
      <c r="V23" s="42"/>
      <c r="W23" s="42"/>
      <c r="X23" s="42"/>
      <c r="Y23" s="42"/>
      <c r="Z23" s="42"/>
      <c r="AA23" s="42"/>
    </row>
    <row r="24" spans="2:27" ht="12.6" thickTop="1">
      <c r="B24" s="5" t="s">
        <v>483</v>
      </c>
      <c r="C24" s="549">
        <v>19468.692999999999</v>
      </c>
      <c r="D24" s="540">
        <v>23937.982</v>
      </c>
      <c r="E24" s="540">
        <v>27554.289308527601</v>
      </c>
      <c r="F24" s="540">
        <v>30377.343570861416</v>
      </c>
      <c r="G24" s="540">
        <v>33409.168210923875</v>
      </c>
      <c r="H24" s="279">
        <f t="shared" si="4"/>
        <v>0.11753047636265901</v>
      </c>
      <c r="I24" s="249"/>
      <c r="J24" s="17"/>
      <c r="K24" s="17"/>
      <c r="L24" s="17"/>
      <c r="M24" s="17"/>
      <c r="N24" s="17"/>
      <c r="O24" s="248"/>
      <c r="S24" s="88"/>
      <c r="T24" s="42"/>
      <c r="U24" s="42"/>
      <c r="V24" s="42"/>
      <c r="W24" s="42" t="s">
        <v>558</v>
      </c>
      <c r="X24" s="42" t="s">
        <v>257</v>
      </c>
      <c r="Y24" s="42"/>
      <c r="Z24" s="42"/>
      <c r="AA24" s="42"/>
    </row>
    <row r="25" spans="2:27">
      <c r="B25" s="5" t="s">
        <v>183</v>
      </c>
      <c r="C25" s="548">
        <v>7458.2930000000015</v>
      </c>
      <c r="D25" s="540">
        <v>11154.582000000002</v>
      </c>
      <c r="E25" s="540">
        <v>15331.147032990946</v>
      </c>
      <c r="F25" s="540">
        <v>18020.84990258739</v>
      </c>
      <c r="G25" s="540">
        <v>19899.142703244001</v>
      </c>
      <c r="H25" s="279">
        <f t="shared" si="4"/>
        <v>0.21281256776527746</v>
      </c>
      <c r="I25" s="248"/>
      <c r="J25" s="247" t="s">
        <v>10</v>
      </c>
      <c r="K25" s="247"/>
      <c r="L25" s="321">
        <v>0</v>
      </c>
      <c r="M25" s="321">
        <v>0</v>
      </c>
      <c r="N25" s="321">
        <v>0</v>
      </c>
      <c r="O25" s="321">
        <v>0</v>
      </c>
      <c r="P25" s="279" t="str">
        <f>IF(L25=0,"nm",IF(O25=0,"nm",(O25/L25)^(1/3)-1))</f>
        <v>nm</v>
      </c>
      <c r="S25" s="88"/>
      <c r="T25" s="42"/>
      <c r="U25" s="42"/>
      <c r="V25" s="147" t="s">
        <v>273</v>
      </c>
      <c r="W25" s="288">
        <f>D37/L9</f>
        <v>1.2171186651153707</v>
      </c>
      <c r="X25" s="288">
        <v>1</v>
      </c>
      <c r="Y25" s="42"/>
      <c r="Z25" s="42"/>
      <c r="AA25" s="42"/>
    </row>
    <row r="26" spans="2:27">
      <c r="B26" s="5" t="s">
        <v>586</v>
      </c>
      <c r="C26" s="548">
        <v>5220.8051000000005</v>
      </c>
      <c r="D26" s="540">
        <v>7808.2074000000011</v>
      </c>
      <c r="E26" s="540">
        <v>10731.802923093661</v>
      </c>
      <c r="F26" s="540">
        <v>12614.594931811173</v>
      </c>
      <c r="G26" s="540">
        <v>13929.3998922708</v>
      </c>
      <c r="H26" s="279">
        <f t="shared" si="4"/>
        <v>0.21281256776527746</v>
      </c>
      <c r="I26" s="249"/>
      <c r="J26" s="249" t="s">
        <v>11</v>
      </c>
      <c r="K26" s="249"/>
      <c r="L26" s="281">
        <f>D11+L25</f>
        <v>81231.519537999993</v>
      </c>
      <c r="M26" s="281">
        <f>E11+M25</f>
        <v>81231.519537999993</v>
      </c>
      <c r="N26" s="281">
        <f>F11+N25</f>
        <v>81231.519537999993</v>
      </c>
      <c r="O26" s="281">
        <f>G11+O25</f>
        <v>81231.519537999993</v>
      </c>
      <c r="P26" s="279">
        <f>IF(L26=0,"nm",IF(O26=0,"nm",(O26/L26)^(1/3)-1))</f>
        <v>0</v>
      </c>
      <c r="Q26" s="5"/>
      <c r="S26" s="88"/>
      <c r="T26" s="42"/>
      <c r="U26" s="42"/>
      <c r="V26" s="147" t="s">
        <v>184</v>
      </c>
      <c r="W26" s="288">
        <f t="shared" ref="W26:W33" si="6">D38/L10</f>
        <v>0.85348428120442665</v>
      </c>
      <c r="X26" s="288">
        <v>1</v>
      </c>
      <c r="Y26" s="42"/>
      <c r="Z26" s="42"/>
      <c r="AA26" s="42"/>
    </row>
    <row r="27" spans="2:27">
      <c r="B27" s="5" t="s">
        <v>587</v>
      </c>
      <c r="C27" s="549">
        <v>78083.200000000012</v>
      </c>
      <c r="D27" s="540">
        <v>82373.082999999984</v>
      </c>
      <c r="E27" s="540">
        <v>77744.424944084574</v>
      </c>
      <c r="F27" s="540">
        <v>72694.856301975844</v>
      </c>
      <c r="G27" s="540">
        <v>67240.433851249545</v>
      </c>
      <c r="H27" s="279">
        <f t="shared" si="4"/>
        <v>-6.5423057538105511E-2</v>
      </c>
      <c r="I27" s="249"/>
      <c r="J27" s="248"/>
      <c r="K27" s="248"/>
      <c r="L27" s="248"/>
      <c r="M27" s="248"/>
      <c r="N27" s="248"/>
      <c r="O27" s="248"/>
      <c r="Q27" s="41"/>
      <c r="S27" s="88"/>
      <c r="T27" s="42"/>
      <c r="U27" s="42"/>
      <c r="V27" s="147" t="s">
        <v>185</v>
      </c>
      <c r="W27" s="288">
        <f t="shared" si="6"/>
        <v>0.95012752866260086</v>
      </c>
      <c r="X27" s="288">
        <v>1</v>
      </c>
      <c r="Y27" s="42"/>
      <c r="Z27" s="42"/>
      <c r="AA27" s="42"/>
    </row>
    <row r="28" spans="2:27" ht="12.6" thickBot="1">
      <c r="B28" s="5" t="s">
        <v>592</v>
      </c>
      <c r="C28" s="548">
        <v>69070.495999999999</v>
      </c>
      <c r="D28" s="540">
        <v>72860.819000000003</v>
      </c>
      <c r="E28" s="540">
        <v>69337.086098123051</v>
      </c>
      <c r="F28" s="540">
        <v>64411.472512454646</v>
      </c>
      <c r="G28" s="540">
        <v>58996.888096252616</v>
      </c>
      <c r="H28" s="279">
        <f t="shared" si="4"/>
        <v>-6.7937535571264696E-2</v>
      </c>
      <c r="I28" s="248"/>
      <c r="J28" s="306" t="s">
        <v>1362</v>
      </c>
      <c r="K28" s="306"/>
      <c r="L28" s="306"/>
      <c r="M28" s="306"/>
      <c r="N28" s="266"/>
      <c r="O28" s="266"/>
      <c r="P28" s="266"/>
      <c r="Q28" s="5"/>
      <c r="S28" s="88"/>
      <c r="T28" s="42"/>
      <c r="U28" s="42"/>
      <c r="V28" s="147" t="s">
        <v>466</v>
      </c>
      <c r="W28" s="288">
        <f t="shared" si="6"/>
        <v>1.0429120830441561</v>
      </c>
      <c r="X28" s="288">
        <v>1</v>
      </c>
      <c r="Y28" s="42"/>
      <c r="Z28" s="42"/>
      <c r="AA28" s="42"/>
    </row>
    <row r="29" spans="2:27" ht="12.6" thickTop="1">
      <c r="B29" s="5" t="s">
        <v>588</v>
      </c>
      <c r="C29" s="548">
        <v>6416.0930000000044</v>
      </c>
      <c r="D29" s="540">
        <v>6344.1820000000007</v>
      </c>
      <c r="E29" s="540">
        <v>9767.1937849835158</v>
      </c>
      <c r="F29" s="540">
        <v>12573.682750805854</v>
      </c>
      <c r="G29" s="540">
        <v>14598.654775876519</v>
      </c>
      <c r="H29" s="279">
        <f t="shared" si="4"/>
        <v>0.32021825962211836</v>
      </c>
      <c r="I29" s="252"/>
      <c r="J29" s="249"/>
      <c r="K29" s="249"/>
      <c r="L29" s="249"/>
      <c r="M29" s="249"/>
      <c r="N29" s="249"/>
      <c r="O29" s="251"/>
      <c r="Q29" s="5"/>
      <c r="S29" s="88"/>
      <c r="T29" s="42"/>
      <c r="U29" s="42"/>
      <c r="V29" s="147" t="s">
        <v>530</v>
      </c>
      <c r="W29" s="288">
        <f t="shared" si="6"/>
        <v>1.104715835279485</v>
      </c>
      <c r="X29" s="288">
        <v>1</v>
      </c>
      <c r="Y29" s="42"/>
      <c r="Z29" s="42"/>
      <c r="AA29" s="42"/>
    </row>
    <row r="30" spans="2:27">
      <c r="B30" s="5" t="s">
        <v>589</v>
      </c>
      <c r="C30" s="549">
        <v>4723.2930000000006</v>
      </c>
      <c r="D30" s="540">
        <v>4506.3819999999987</v>
      </c>
      <c r="E30" s="540">
        <v>5923.4608831065689</v>
      </c>
      <c r="F30" s="540">
        <v>7328.0691651374509</v>
      </c>
      <c r="G30" s="540">
        <v>8864.0703596744879</v>
      </c>
      <c r="H30" s="279">
        <f t="shared" si="4"/>
        <v>0.25295381763064406</v>
      </c>
      <c r="I30" s="254"/>
      <c r="J30" s="248"/>
      <c r="K30" s="248"/>
      <c r="L30" s="248"/>
      <c r="M30" s="248"/>
      <c r="N30" s="248"/>
      <c r="O30" s="5"/>
      <c r="Q30" s="5"/>
      <c r="S30" s="88"/>
      <c r="T30" s="42"/>
      <c r="U30" s="42"/>
      <c r="V30" s="147" t="s">
        <v>593</v>
      </c>
      <c r="W30" s="288">
        <f t="shared" si="6"/>
        <v>0.61199834320363533</v>
      </c>
      <c r="X30" s="288">
        <v>1</v>
      </c>
      <c r="Y30" s="42"/>
      <c r="Z30" s="42"/>
      <c r="AA30" s="42"/>
    </row>
    <row r="31" spans="2:27">
      <c r="B31" s="5" t="s">
        <v>590</v>
      </c>
      <c r="C31" s="549">
        <v>2056.1033612843999</v>
      </c>
      <c r="D31" s="540">
        <v>2164.0238058559999</v>
      </c>
      <c r="E31" s="540">
        <v>2369.3843532426272</v>
      </c>
      <c r="F31" s="540">
        <v>3297.631124311853</v>
      </c>
      <c r="G31" s="540">
        <v>4432.035179837244</v>
      </c>
      <c r="H31" s="279">
        <f t="shared" si="4"/>
        <v>0.26993177062119189</v>
      </c>
      <c r="I31" s="254"/>
      <c r="J31" s="252"/>
      <c r="K31" s="252"/>
      <c r="L31" s="252"/>
      <c r="M31" s="252"/>
      <c r="N31" s="252"/>
      <c r="O31" s="5"/>
      <c r="Q31" s="5"/>
      <c r="S31" s="88"/>
      <c r="T31" s="42"/>
      <c r="U31" s="42"/>
      <c r="V31" s="147" t="s">
        <v>475</v>
      </c>
      <c r="W31" s="288">
        <f t="shared" si="6"/>
        <v>0.66416924562374346</v>
      </c>
      <c r="X31" s="288">
        <v>1</v>
      </c>
      <c r="Y31" s="42"/>
      <c r="Z31" s="42"/>
      <c r="AA31" s="42"/>
    </row>
    <row r="32" spans="2:27">
      <c r="B32" s="5" t="s">
        <v>606</v>
      </c>
      <c r="C32" s="550">
        <v>0</v>
      </c>
      <c r="D32" s="540">
        <v>0</v>
      </c>
      <c r="E32" s="540">
        <v>0</v>
      </c>
      <c r="F32" s="540">
        <v>0</v>
      </c>
      <c r="G32" s="540">
        <v>0</v>
      </c>
      <c r="H32" s="279" t="str">
        <f t="shared" si="4"/>
        <v>nm</v>
      </c>
      <c r="I32" s="254"/>
      <c r="J32" s="254"/>
      <c r="K32" s="254"/>
      <c r="L32" s="254"/>
      <c r="M32" s="254"/>
      <c r="N32" s="254"/>
      <c r="O32" s="251"/>
      <c r="Q32" s="5"/>
      <c r="S32" s="88"/>
      <c r="T32" s="42"/>
      <c r="U32" s="42"/>
      <c r="V32" s="147" t="s">
        <v>533</v>
      </c>
      <c r="W32" s="288">
        <f t="shared" si="6"/>
        <v>0.87930754046997606</v>
      </c>
      <c r="X32" s="288">
        <v>1</v>
      </c>
      <c r="Y32" s="42"/>
      <c r="Z32" s="42"/>
      <c r="AA32" s="42"/>
    </row>
    <row r="33" spans="2:27">
      <c r="B33" s="5" t="s">
        <v>5</v>
      </c>
      <c r="C33" s="549">
        <v>4227.3999999999996</v>
      </c>
      <c r="D33" s="540">
        <v>4393.6000000000004</v>
      </c>
      <c r="E33" s="540">
        <v>3423.8839370824571</v>
      </c>
      <c r="F33" s="540">
        <v>2799.6311524517837</v>
      </c>
      <c r="G33" s="540">
        <v>2098.0146906960249</v>
      </c>
      <c r="H33" s="279">
        <f>IF(D33=0,"nm",IF(G33=0,"nm",(G33/D33)^(1/3)-1))</f>
        <v>-0.21837938884320507</v>
      </c>
      <c r="I33" s="5"/>
      <c r="J33" s="254"/>
      <c r="K33" s="254"/>
      <c r="L33" s="254"/>
      <c r="M33" s="254"/>
      <c r="N33" s="254"/>
      <c r="O33" s="251"/>
      <c r="Q33" s="5"/>
      <c r="S33" s="88"/>
      <c r="T33" s="42"/>
      <c r="U33" s="42"/>
      <c r="V33" s="147" t="s">
        <v>580</v>
      </c>
      <c r="W33" s="288">
        <f t="shared" si="6"/>
        <v>0.63823555775705765</v>
      </c>
      <c r="X33" s="288">
        <v>1</v>
      </c>
      <c r="Y33" s="42"/>
      <c r="Z33" s="42"/>
      <c r="AA33" s="42"/>
    </row>
    <row r="34" spans="2:27">
      <c r="I34" s="49"/>
      <c r="J34" s="254"/>
      <c r="K34" s="254"/>
      <c r="L34" s="254"/>
      <c r="M34" s="254"/>
      <c r="N34" s="254"/>
      <c r="O34" s="251"/>
      <c r="Q34" s="5"/>
      <c r="S34" s="88"/>
      <c r="T34" s="42"/>
      <c r="U34" s="42"/>
      <c r="V34" s="147" t="s">
        <v>581</v>
      </c>
      <c r="W34" s="288">
        <f>D47/L19</f>
        <v>1.5056403267526588</v>
      </c>
      <c r="X34" s="288">
        <v>1</v>
      </c>
      <c r="Y34" s="288"/>
      <c r="Z34" s="288"/>
      <c r="AA34" s="42"/>
    </row>
    <row r="35" spans="2:27" ht="12.6" thickBot="1">
      <c r="B35" s="306" t="s">
        <v>71</v>
      </c>
      <c r="C35" s="265"/>
      <c r="D35" s="265" t="str">
        <f>D5</f>
        <v>2023E</v>
      </c>
      <c r="E35" s="265" t="str">
        <f t="shared" ref="E35:H35" si="7">E5</f>
        <v>2024E</v>
      </c>
      <c r="F35" s="265" t="str">
        <f t="shared" si="7"/>
        <v>2025E</v>
      </c>
      <c r="G35" s="265" t="str">
        <f t="shared" si="7"/>
        <v>2026E</v>
      </c>
      <c r="H35" s="265" t="str">
        <f t="shared" si="7"/>
        <v>23E-26E</v>
      </c>
      <c r="I35" s="254"/>
      <c r="J35" s="5"/>
      <c r="K35" s="5"/>
      <c r="L35" s="5"/>
      <c r="M35" s="5"/>
      <c r="N35" s="5"/>
      <c r="O35" s="5"/>
      <c r="Q35" s="5"/>
      <c r="S35" s="88"/>
      <c r="T35" s="42"/>
      <c r="U35" s="42"/>
      <c r="V35" s="42"/>
      <c r="W35" s="42"/>
      <c r="X35" s="42"/>
      <c r="Y35" s="288"/>
      <c r="Z35" s="288"/>
      <c r="AA35" s="42"/>
    </row>
    <row r="36" spans="2:27" ht="12.6" thickTop="1">
      <c r="B36" s="41"/>
      <c r="C36" s="249"/>
      <c r="D36" s="254"/>
      <c r="E36" s="254"/>
      <c r="F36" s="254"/>
      <c r="G36" s="254"/>
      <c r="H36" s="254"/>
      <c r="I36" s="17"/>
      <c r="J36" s="49"/>
      <c r="K36" s="49"/>
      <c r="L36" s="49"/>
      <c r="M36" s="49"/>
      <c r="N36" s="49"/>
      <c r="O36" s="49"/>
      <c r="Q36" s="5"/>
      <c r="S36" s="88"/>
      <c r="T36" s="42"/>
      <c r="U36" s="42"/>
      <c r="V36" s="42"/>
      <c r="W36" s="42"/>
      <c r="X36" s="42"/>
      <c r="Y36" s="288"/>
      <c r="Z36" s="288"/>
      <c r="AA36" s="42"/>
    </row>
    <row r="37" spans="2:27">
      <c r="B37" s="5" t="s">
        <v>273</v>
      </c>
      <c r="C37" s="247"/>
      <c r="D37" s="529">
        <f>D$18/D23</f>
        <v>2.5356012738537692</v>
      </c>
      <c r="E37" s="529">
        <f t="shared" ref="E37:G41" si="8">E$18/E23</f>
        <v>2.1620530646791596</v>
      </c>
      <c r="F37" s="529">
        <f t="shared" si="8"/>
        <v>1.6593924299350209</v>
      </c>
      <c r="G37" s="529">
        <f t="shared" si="8"/>
        <v>1.1651517923104113</v>
      </c>
      <c r="H37" s="17">
        <f t="shared" ref="H37:H45" si="9">H23</f>
        <v>9.5911198990965563E-2</v>
      </c>
      <c r="I37" s="5"/>
      <c r="J37" s="259"/>
      <c r="K37" s="259"/>
      <c r="L37" s="259"/>
      <c r="M37" s="259"/>
      <c r="N37" s="259"/>
      <c r="O37" s="18"/>
      <c r="Q37" s="5"/>
      <c r="R37" s="5"/>
      <c r="S37" s="42"/>
      <c r="T37" s="42"/>
      <c r="U37" s="42"/>
      <c r="V37" s="42"/>
      <c r="W37" s="42"/>
      <c r="X37" s="42"/>
      <c r="Y37" s="42"/>
      <c r="Z37" s="42"/>
      <c r="AA37" s="42"/>
    </row>
    <row r="38" spans="2:27">
      <c r="B38" s="5" t="s">
        <v>184</v>
      </c>
      <c r="C38" s="247"/>
      <c r="D38" s="529">
        <f>D$18/D24</f>
        <v>5.4263475734086519</v>
      </c>
      <c r="E38" s="529">
        <f t="shared" si="8"/>
        <v>4.4171253078848274</v>
      </c>
      <c r="F38" s="529">
        <f t="shared" si="8"/>
        <v>3.3689544528533912</v>
      </c>
      <c r="G38" s="529">
        <f t="shared" si="8"/>
        <v>2.3515657288327949</v>
      </c>
      <c r="H38" s="17">
        <f t="shared" si="9"/>
        <v>0.11753047636265901</v>
      </c>
      <c r="I38" s="259"/>
      <c r="J38" s="17"/>
      <c r="K38" s="17"/>
      <c r="L38" s="17"/>
      <c r="M38" s="17"/>
      <c r="N38" s="17"/>
      <c r="O38" s="5"/>
      <c r="Q38" s="5"/>
      <c r="R38" s="5"/>
      <c r="S38" s="42"/>
      <c r="T38" s="42"/>
      <c r="U38" s="42"/>
      <c r="V38" s="42"/>
      <c r="W38" s="42"/>
      <c r="X38" s="42"/>
      <c r="Y38" s="42"/>
      <c r="Z38" s="42"/>
      <c r="AA38" s="42"/>
    </row>
    <row r="39" spans="2:27">
      <c r="B39" s="5" t="s">
        <v>185</v>
      </c>
      <c r="C39" s="247"/>
      <c r="D39" s="529">
        <f>D$18/D25</f>
        <v>11.645063036696486</v>
      </c>
      <c r="E39" s="529">
        <f t="shared" si="8"/>
        <v>7.9387894711054168</v>
      </c>
      <c r="F39" s="529">
        <f t="shared" si="8"/>
        <v>5.6789711607451538</v>
      </c>
      <c r="G39" s="529">
        <f t="shared" si="8"/>
        <v>3.948102496938775</v>
      </c>
      <c r="H39" s="17">
        <f t="shared" si="9"/>
        <v>0.21281256776527746</v>
      </c>
      <c r="I39" s="17"/>
      <c r="J39" s="5"/>
      <c r="K39" s="5"/>
      <c r="L39" s="5"/>
      <c r="M39" s="5"/>
      <c r="N39" s="5"/>
      <c r="O39" s="5"/>
      <c r="Q39" s="5"/>
      <c r="R39" s="5"/>
      <c r="S39" s="42"/>
      <c r="T39" s="42"/>
      <c r="U39" s="42"/>
      <c r="V39" s="42"/>
      <c r="W39" s="42"/>
      <c r="X39" s="42"/>
      <c r="Y39" s="42"/>
      <c r="Z39" s="42"/>
      <c r="AA39" s="42"/>
    </row>
    <row r="40" spans="2:27">
      <c r="B40" s="5" t="s">
        <v>466</v>
      </c>
      <c r="C40" s="247"/>
      <c r="D40" s="529">
        <f>D$18/D26</f>
        <v>16.635804338137838</v>
      </c>
      <c r="E40" s="529">
        <f t="shared" si="8"/>
        <v>11.341127815864883</v>
      </c>
      <c r="F40" s="529">
        <f t="shared" si="8"/>
        <v>8.1128159439216478</v>
      </c>
      <c r="G40" s="529">
        <f t="shared" si="8"/>
        <v>5.6401464241982504</v>
      </c>
      <c r="H40" s="17">
        <f t="shared" si="9"/>
        <v>0.21281256776527746</v>
      </c>
      <c r="I40" s="5"/>
      <c r="J40" s="259"/>
      <c r="K40" s="259"/>
      <c r="L40" s="259"/>
      <c r="M40" s="259"/>
      <c r="N40" s="259"/>
      <c r="O40" s="18"/>
      <c r="Q40" s="5"/>
      <c r="R40" s="5"/>
      <c r="S40" s="42"/>
      <c r="T40" s="42"/>
      <c r="U40" s="42"/>
      <c r="V40" s="42"/>
      <c r="W40" s="288"/>
      <c r="X40" s="288"/>
      <c r="Y40" s="42"/>
      <c r="Z40" s="42"/>
      <c r="AA40" s="42"/>
    </row>
    <row r="41" spans="2:27">
      <c r="B41" s="5" t="s">
        <v>530</v>
      </c>
      <c r="C41" s="247"/>
      <c r="D41" s="529">
        <f>D$18/D27</f>
        <v>1.5769205887073574</v>
      </c>
      <c r="E41" s="529">
        <f t="shared" si="8"/>
        <v>1.5655238138685121</v>
      </c>
      <c r="F41" s="529">
        <f t="shared" si="8"/>
        <v>1.4078009379891889</v>
      </c>
      <c r="G41" s="529">
        <f t="shared" si="8"/>
        <v>1.1684019643213333</v>
      </c>
      <c r="H41" s="17">
        <f t="shared" si="9"/>
        <v>-6.5423057538105511E-2</v>
      </c>
      <c r="I41" s="247"/>
      <c r="J41" s="17"/>
      <c r="K41" s="17"/>
      <c r="L41" s="17"/>
      <c r="M41" s="17"/>
      <c r="N41" s="17"/>
      <c r="O41" s="5"/>
      <c r="Q41" s="5"/>
      <c r="R41" s="5"/>
      <c r="S41" s="42"/>
      <c r="T41" s="42"/>
      <c r="U41" s="42"/>
      <c r="V41" s="42"/>
      <c r="W41" s="288"/>
      <c r="X41" s="288"/>
      <c r="Y41" s="288"/>
      <c r="Z41" s="288"/>
      <c r="AA41" s="42"/>
    </row>
    <row r="42" spans="2:27">
      <c r="B42" s="5" t="s">
        <v>593</v>
      </c>
      <c r="C42" s="247"/>
      <c r="D42" s="529">
        <f>D18/D28</f>
        <v>1.7827937198729538</v>
      </c>
      <c r="E42" s="529">
        <f>E18/E28</f>
        <v>1.7553484793583254</v>
      </c>
      <c r="F42" s="529">
        <f>F18/F28</f>
        <v>1.5888456341239892</v>
      </c>
      <c r="G42" s="529">
        <f>G18/G28</f>
        <v>1.3316609999063473</v>
      </c>
      <c r="H42" s="17">
        <f t="shared" si="9"/>
        <v>-6.7937535571264696E-2</v>
      </c>
      <c r="I42" s="248"/>
      <c r="J42" s="5"/>
      <c r="K42" s="5"/>
      <c r="L42" s="5"/>
      <c r="M42" s="5"/>
      <c r="N42" s="5"/>
      <c r="O42" s="5"/>
      <c r="Q42" s="5"/>
      <c r="R42" s="5"/>
      <c r="S42" s="42"/>
      <c r="T42" s="42"/>
      <c r="U42" s="42"/>
      <c r="V42" s="42"/>
      <c r="W42" s="288"/>
      <c r="X42" s="288"/>
      <c r="Y42" s="288"/>
      <c r="Z42" s="288"/>
      <c r="AA42" s="42"/>
    </row>
    <row r="43" spans="2:27">
      <c r="B43" s="5" t="s">
        <v>475</v>
      </c>
      <c r="C43" s="247"/>
      <c r="D43" s="529">
        <f>L26/D29</f>
        <v>12.804096657063115</v>
      </c>
      <c r="E43" s="529">
        <f>M26/E29</f>
        <v>8.3167715647137737</v>
      </c>
      <c r="F43" s="529">
        <f>N26/F29</f>
        <v>6.4604397254093131</v>
      </c>
      <c r="G43" s="529">
        <f>O26/G29</f>
        <v>5.5643153965275385</v>
      </c>
      <c r="H43" s="17">
        <f t="shared" si="9"/>
        <v>0.32021825962211836</v>
      </c>
      <c r="I43" s="247"/>
      <c r="J43" s="247"/>
      <c r="K43" s="247"/>
      <c r="L43" s="247"/>
      <c r="M43" s="247"/>
      <c r="N43" s="247"/>
      <c r="O43" s="18"/>
      <c r="Q43" s="5"/>
      <c r="R43" s="5"/>
      <c r="S43" s="42"/>
      <c r="T43" s="42"/>
      <c r="U43" s="42"/>
      <c r="V43" s="42"/>
      <c r="W43" s="288"/>
      <c r="X43" s="288"/>
      <c r="Y43" s="288"/>
      <c r="Z43" s="288"/>
      <c r="AA43" s="42"/>
    </row>
    <row r="44" spans="2:27">
      <c r="B44" s="5" t="s">
        <v>533</v>
      </c>
      <c r="C44" s="69"/>
      <c r="D44" s="529">
        <f>D11/D30</f>
        <v>18.025884076849238</v>
      </c>
      <c r="E44" s="529">
        <f>E11/E30</f>
        <v>13.713523418322632</v>
      </c>
      <c r="F44" s="529">
        <f>F11/F30</f>
        <v>11.084982647878208</v>
      </c>
      <c r="G44" s="529">
        <f>G11/G30</f>
        <v>9.1641329820156159</v>
      </c>
      <c r="H44" s="17">
        <f t="shared" si="9"/>
        <v>0.25295381763064406</v>
      </c>
      <c r="I44" s="247"/>
      <c r="J44" s="248"/>
      <c r="K44" s="248"/>
      <c r="L44" s="248"/>
      <c r="M44" s="248"/>
      <c r="N44" s="248"/>
      <c r="O44" s="248"/>
      <c r="Q44" s="5"/>
      <c r="R44" s="5"/>
      <c r="S44" s="42"/>
      <c r="T44" s="42"/>
      <c r="U44" s="42"/>
      <c r="V44" s="42"/>
      <c r="W44" s="325"/>
      <c r="X44" s="325"/>
      <c r="Y44" s="288"/>
      <c r="Z44" s="288"/>
      <c r="AA44" s="42"/>
    </row>
    <row r="45" spans="2:27">
      <c r="B45" s="5" t="s">
        <v>580</v>
      </c>
      <c r="C45" s="247"/>
      <c r="D45" s="248">
        <f>D31/D11</f>
        <v>2.6640198511166252E-2</v>
      </c>
      <c r="E45" s="248">
        <f>E31/E11</f>
        <v>2.9168287959136754E-2</v>
      </c>
      <c r="F45" s="248">
        <f>F31/F11</f>
        <v>4.059546273499446E-2</v>
      </c>
      <c r="G45" s="248">
        <f>G31/G11</f>
        <v>5.4560535184423629E-2</v>
      </c>
      <c r="H45" s="17">
        <f t="shared" si="9"/>
        <v>0.26993177062119189</v>
      </c>
      <c r="I45" s="248"/>
      <c r="J45" s="247"/>
      <c r="K45" s="247"/>
      <c r="L45" s="247"/>
      <c r="M45" s="247"/>
      <c r="N45" s="247"/>
      <c r="O45" s="248"/>
      <c r="Q45" s="5"/>
      <c r="R45" s="5"/>
      <c r="S45" s="42"/>
      <c r="T45" s="42"/>
      <c r="U45" s="42"/>
      <c r="V45" s="42"/>
      <c r="W45" s="42"/>
      <c r="X45" s="42"/>
      <c r="Y45" s="325"/>
      <c r="Z45" s="325"/>
      <c r="AA45" s="42"/>
    </row>
    <row r="46" spans="2:27">
      <c r="B46" s="5" t="s">
        <v>605</v>
      </c>
      <c r="C46" s="247"/>
      <c r="D46" s="248">
        <f>(D31+D32)/D11</f>
        <v>2.6640198511166252E-2</v>
      </c>
      <c r="E46" s="248">
        <f>(E31+E32)/E11</f>
        <v>2.9168287959136754E-2</v>
      </c>
      <c r="F46" s="248">
        <f>(F31+F32)/F11</f>
        <v>4.059546273499446E-2</v>
      </c>
      <c r="G46" s="248">
        <f>(G31+G32)/G11</f>
        <v>5.4560535184423629E-2</v>
      </c>
      <c r="H46" s="279">
        <f>((G31+G32)/(D31+D32))^(1/3)-1</f>
        <v>0.26993177062119189</v>
      </c>
      <c r="I46" s="247"/>
      <c r="J46" s="247"/>
      <c r="K46" s="247"/>
      <c r="L46" s="247"/>
      <c r="M46" s="247"/>
      <c r="N46" s="247"/>
      <c r="O46" s="18"/>
      <c r="Q46" s="5"/>
      <c r="R46" s="5"/>
      <c r="S46" s="42"/>
      <c r="T46" s="42"/>
      <c r="U46" s="42"/>
      <c r="V46" s="42"/>
      <c r="W46" s="42"/>
      <c r="X46" s="42"/>
      <c r="Y46" s="42"/>
      <c r="Z46" s="42"/>
      <c r="AA46" s="326"/>
    </row>
    <row r="47" spans="2:27">
      <c r="B47" s="5" t="s">
        <v>581</v>
      </c>
      <c r="C47" s="5"/>
      <c r="D47" s="248">
        <f>1/D43</f>
        <v>7.8100003989611463E-2</v>
      </c>
      <c r="E47" s="248">
        <f>1/E43</f>
        <v>0.12023896438887167</v>
      </c>
      <c r="F47" s="248">
        <f>1/F43</f>
        <v>0.15478822533812017</v>
      </c>
      <c r="G47" s="248">
        <f>1/G43</f>
        <v>0.17971662796542034</v>
      </c>
      <c r="H47" s="17">
        <f>H29</f>
        <v>0.32021825962211836</v>
      </c>
      <c r="I47" s="17"/>
      <c r="J47" s="248"/>
      <c r="K47" s="248"/>
      <c r="L47" s="248"/>
      <c r="M47" s="248"/>
      <c r="N47" s="248"/>
      <c r="O47" s="248"/>
      <c r="Q47" s="5"/>
      <c r="R47" s="5"/>
      <c r="S47" s="42"/>
      <c r="T47" s="42"/>
      <c r="U47" s="42"/>
      <c r="V47" s="42"/>
      <c r="W47" s="42"/>
      <c r="X47" s="42"/>
      <c r="Y47" s="42"/>
      <c r="Z47" s="42"/>
      <c r="AA47" s="326"/>
    </row>
    <row r="48" spans="2:27">
      <c r="B48" s="5" t="s">
        <v>618</v>
      </c>
      <c r="C48" s="5"/>
      <c r="D48" s="305">
        <f>D31/D29</f>
        <v>0.3411036767003216</v>
      </c>
      <c r="E48" s="305">
        <f>E31/E29</f>
        <v>0.24258598788993169</v>
      </c>
      <c r="F48" s="305">
        <f>F31/F29</f>
        <v>0.2622645401245316</v>
      </c>
      <c r="G48" s="305">
        <f>G31/G29</f>
        <v>0.30359202596947088</v>
      </c>
      <c r="H48" s="279" t="s">
        <v>607</v>
      </c>
      <c r="I48" s="247"/>
      <c r="J48" s="247"/>
      <c r="K48" s="247"/>
      <c r="L48" s="247"/>
      <c r="M48" s="247"/>
      <c r="N48" s="247"/>
      <c r="O48" s="248"/>
      <c r="Q48" s="5"/>
      <c r="R48" s="5"/>
      <c r="S48" s="42"/>
      <c r="T48" s="42"/>
      <c r="U48" s="42"/>
      <c r="V48" s="42"/>
      <c r="W48" s="42"/>
      <c r="X48" s="42"/>
      <c r="Y48" s="42"/>
      <c r="Z48" s="42"/>
      <c r="AA48" s="326"/>
    </row>
    <row r="49" spans="2:27">
      <c r="B49" s="41"/>
      <c r="C49" s="17"/>
      <c r="D49" s="17"/>
      <c r="E49" s="17"/>
      <c r="F49" s="17"/>
      <c r="G49" s="17"/>
      <c r="H49" s="17"/>
      <c r="I49" s="254"/>
      <c r="J49" s="17"/>
      <c r="K49" s="17"/>
      <c r="L49" s="17"/>
      <c r="M49" s="17"/>
      <c r="N49" s="17"/>
      <c r="O49" s="248"/>
      <c r="Q49" s="5"/>
      <c r="R49" s="5"/>
      <c r="S49" s="42"/>
      <c r="T49" s="42"/>
      <c r="U49" s="42"/>
      <c r="V49" s="42"/>
      <c r="W49" s="42"/>
      <c r="X49" s="42"/>
      <c r="Y49" s="42"/>
      <c r="Z49" s="42"/>
      <c r="AA49" s="326"/>
    </row>
    <row r="50" spans="2:27">
      <c r="B50" s="5"/>
      <c r="C50" s="257"/>
      <c r="D50" s="257"/>
      <c r="E50" s="257"/>
      <c r="F50" s="5"/>
      <c r="G50" s="41"/>
      <c r="H50" s="249"/>
      <c r="I50" s="17"/>
      <c r="J50" s="249"/>
      <c r="K50" s="249"/>
      <c r="L50" s="249"/>
      <c r="M50" s="249"/>
      <c r="N50" s="249"/>
      <c r="O50" s="250"/>
      <c r="Q50" s="5"/>
      <c r="R50" s="5"/>
      <c r="S50" s="42"/>
      <c r="T50" s="42"/>
      <c r="U50" s="42"/>
      <c r="V50" s="42"/>
      <c r="W50" s="288"/>
      <c r="X50" s="288"/>
      <c r="Y50" s="42"/>
      <c r="Z50" s="42"/>
      <c r="AA50" s="326"/>
    </row>
    <row r="51" spans="2:27">
      <c r="B51" s="41"/>
      <c r="C51" s="249"/>
      <c r="D51" s="254"/>
      <c r="E51" s="254"/>
      <c r="F51" s="254"/>
      <c r="G51" s="254"/>
      <c r="H51" s="254"/>
      <c r="I51" s="259"/>
      <c r="J51" s="254"/>
      <c r="K51" s="254"/>
      <c r="L51" s="254"/>
      <c r="M51" s="254"/>
      <c r="N51" s="254"/>
      <c r="O51" s="251"/>
      <c r="Q51" s="5"/>
      <c r="R51" s="5"/>
      <c r="S51" s="42"/>
      <c r="T51" s="42"/>
      <c r="U51" s="42"/>
      <c r="V51" s="42"/>
      <c r="W51" s="288"/>
      <c r="X51" s="288"/>
      <c r="Y51" s="288"/>
      <c r="Z51" s="288"/>
      <c r="AA51" s="42"/>
    </row>
    <row r="52" spans="2:27">
      <c r="B52" s="5"/>
      <c r="C52" s="257"/>
      <c r="D52" s="17"/>
      <c r="E52" s="17"/>
      <c r="F52" s="17"/>
      <c r="G52" s="17"/>
      <c r="H52" s="17"/>
      <c r="I52" s="254"/>
      <c r="J52" s="17"/>
      <c r="K52" s="17"/>
      <c r="L52" s="17"/>
      <c r="M52" s="17"/>
      <c r="N52" s="17"/>
      <c r="O52" s="248"/>
      <c r="Q52" s="5"/>
      <c r="R52" s="5"/>
      <c r="S52" s="5"/>
      <c r="Y52" s="10"/>
      <c r="Z52" s="10"/>
    </row>
    <row r="53" spans="2:27">
      <c r="B53" s="5"/>
      <c r="C53" s="257"/>
      <c r="D53" s="257"/>
      <c r="E53" s="257"/>
      <c r="F53" s="5"/>
      <c r="G53" s="5"/>
      <c r="H53" s="259"/>
      <c r="I53" s="17"/>
      <c r="J53" s="259"/>
      <c r="K53" s="259"/>
      <c r="L53" s="259"/>
      <c r="M53" s="259"/>
      <c r="N53" s="259"/>
      <c r="O53" s="18"/>
      <c r="Q53" s="5"/>
      <c r="R53" s="5"/>
      <c r="S53" s="5"/>
    </row>
    <row r="54" spans="2:27">
      <c r="B54" s="41"/>
      <c r="C54" s="249"/>
      <c r="D54" s="254"/>
      <c r="E54" s="254"/>
      <c r="F54" s="254"/>
      <c r="G54" s="254"/>
      <c r="H54" s="254"/>
      <c r="I54" s="259"/>
      <c r="J54" s="254"/>
      <c r="K54" s="254"/>
      <c r="L54" s="254"/>
      <c r="M54" s="254"/>
      <c r="N54" s="254"/>
      <c r="O54" s="251"/>
      <c r="Q54" s="5"/>
      <c r="R54" s="5"/>
      <c r="S54" s="5"/>
    </row>
    <row r="55" spans="2:27">
      <c r="B55" s="5"/>
      <c r="C55" s="257"/>
      <c r="D55" s="17"/>
      <c r="E55" s="17"/>
      <c r="F55" s="17"/>
      <c r="G55" s="17"/>
      <c r="H55" s="17"/>
      <c r="I55" s="249"/>
      <c r="J55" s="17"/>
      <c r="K55" s="17"/>
      <c r="L55" s="17"/>
      <c r="M55" s="17"/>
      <c r="N55" s="17"/>
      <c r="O55" s="18"/>
      <c r="Q55" s="5"/>
      <c r="R55" s="5"/>
      <c r="S55" s="5"/>
    </row>
    <row r="56" spans="2:27">
      <c r="B56" s="5"/>
      <c r="C56" s="248"/>
      <c r="D56" s="248"/>
      <c r="E56" s="248"/>
      <c r="F56" s="5"/>
      <c r="G56" s="5"/>
      <c r="H56" s="259"/>
      <c r="I56" s="248"/>
      <c r="J56" s="259"/>
      <c r="K56" s="259"/>
      <c r="L56" s="259"/>
      <c r="M56" s="259"/>
      <c r="N56" s="259"/>
      <c r="O56" s="18"/>
      <c r="Q56" s="5"/>
      <c r="R56" s="5"/>
      <c r="S56" s="5"/>
    </row>
    <row r="57" spans="2:27">
      <c r="B57" s="41"/>
      <c r="C57" s="249"/>
      <c r="D57" s="249"/>
      <c r="E57" s="249"/>
      <c r="F57" s="249"/>
      <c r="G57" s="249"/>
      <c r="H57" s="249"/>
      <c r="I57" s="5"/>
      <c r="J57" s="249"/>
      <c r="K57" s="249"/>
      <c r="L57" s="249"/>
      <c r="M57" s="249"/>
      <c r="N57" s="249"/>
      <c r="O57" s="251"/>
      <c r="Q57" s="5"/>
      <c r="R57" s="5"/>
      <c r="S57" s="5"/>
    </row>
    <row r="58" spans="2:27">
      <c r="B58" s="5"/>
      <c r="C58" s="5"/>
      <c r="D58" s="248"/>
      <c r="E58" s="248"/>
      <c r="F58" s="248"/>
      <c r="G58" s="248"/>
      <c r="H58" s="248"/>
      <c r="I58" s="17"/>
      <c r="J58" s="248"/>
      <c r="K58" s="248"/>
      <c r="L58" s="248"/>
      <c r="M58" s="248"/>
      <c r="N58" s="248"/>
      <c r="O58" s="18"/>
      <c r="Q58" s="5"/>
      <c r="R58" s="5"/>
      <c r="S58" s="5"/>
    </row>
    <row r="59" spans="2:27">
      <c r="B59" s="5"/>
      <c r="C59" s="5"/>
      <c r="D59" s="5"/>
      <c r="E59" s="5"/>
      <c r="F59" s="5"/>
      <c r="G59" s="5"/>
      <c r="H59" s="5"/>
      <c r="I59" s="5"/>
      <c r="J59" s="5"/>
      <c r="K59" s="5"/>
      <c r="L59" s="5"/>
      <c r="M59" s="5"/>
      <c r="N59" s="5"/>
      <c r="O59" s="5"/>
      <c r="Q59" s="5"/>
      <c r="R59" s="5"/>
      <c r="S59" s="5"/>
    </row>
    <row r="60" spans="2:27">
      <c r="B60" s="41"/>
      <c r="C60" s="17"/>
      <c r="D60" s="17"/>
      <c r="E60" s="17"/>
      <c r="F60" s="17"/>
      <c r="G60" s="17"/>
      <c r="H60" s="17"/>
      <c r="I60" s="249"/>
      <c r="J60" s="17"/>
      <c r="K60" s="17"/>
      <c r="L60" s="17"/>
      <c r="M60" s="17"/>
      <c r="N60" s="17"/>
      <c r="O60" s="251"/>
      <c r="Q60" s="5"/>
      <c r="R60" s="5"/>
      <c r="S60" s="5"/>
    </row>
    <row r="61" spans="2:27">
      <c r="B61" s="5"/>
      <c r="C61" s="5"/>
      <c r="D61" s="5"/>
      <c r="E61" s="5"/>
      <c r="F61" s="5"/>
      <c r="G61" s="5"/>
      <c r="H61" s="5"/>
      <c r="I61" s="5"/>
      <c r="J61" s="5"/>
      <c r="K61" s="5"/>
      <c r="L61" s="5"/>
      <c r="M61" s="5"/>
      <c r="N61" s="5"/>
      <c r="O61" s="5"/>
      <c r="Q61" s="41"/>
      <c r="R61" s="5"/>
      <c r="S61" s="5"/>
    </row>
    <row r="62" spans="2:27">
      <c r="B62" s="41"/>
      <c r="C62" s="249"/>
      <c r="D62" s="249"/>
      <c r="E62" s="249"/>
      <c r="F62" s="249"/>
      <c r="G62" s="249"/>
      <c r="H62" s="249"/>
      <c r="I62" s="5"/>
      <c r="J62" s="249"/>
      <c r="K62" s="249"/>
      <c r="L62" s="249"/>
      <c r="M62" s="249"/>
      <c r="N62" s="249"/>
      <c r="O62" s="251"/>
      <c r="Q62" s="5"/>
      <c r="R62" s="5"/>
      <c r="S62" s="5"/>
    </row>
    <row r="63" spans="2:27">
      <c r="B63" s="5"/>
      <c r="C63" s="5"/>
      <c r="D63" s="5"/>
      <c r="E63" s="5"/>
      <c r="F63" s="5"/>
      <c r="G63" s="5"/>
      <c r="H63" s="5"/>
      <c r="I63" s="254"/>
      <c r="J63" s="5"/>
      <c r="K63" s="5"/>
      <c r="L63" s="5"/>
      <c r="M63" s="5"/>
      <c r="N63" s="5"/>
      <c r="O63" s="5"/>
      <c r="Q63" s="5"/>
      <c r="R63" s="5"/>
      <c r="S63" s="5"/>
    </row>
    <row r="64" spans="2:27">
      <c r="B64" s="5"/>
      <c r="C64" s="5"/>
      <c r="D64" s="5"/>
      <c r="E64" s="5"/>
      <c r="F64" s="5"/>
      <c r="G64" s="5"/>
      <c r="H64" s="5"/>
      <c r="I64" s="17"/>
      <c r="J64" s="5"/>
      <c r="K64" s="5"/>
      <c r="L64" s="5"/>
      <c r="M64" s="5"/>
      <c r="N64" s="5"/>
      <c r="O64" s="5"/>
      <c r="Q64" s="5"/>
      <c r="R64" s="5"/>
      <c r="S64" s="5"/>
    </row>
    <row r="65" spans="2:26">
      <c r="B65" s="41"/>
      <c r="C65" s="249"/>
      <c r="D65" s="254"/>
      <c r="E65" s="254"/>
      <c r="F65" s="254"/>
      <c r="G65" s="254"/>
      <c r="H65" s="254"/>
      <c r="I65" s="254"/>
      <c r="J65" s="254"/>
      <c r="K65" s="254"/>
      <c r="L65" s="254"/>
      <c r="M65" s="254"/>
      <c r="N65" s="254"/>
      <c r="O65" s="251"/>
      <c r="Q65" s="5"/>
      <c r="R65" s="5"/>
      <c r="S65" s="5"/>
    </row>
    <row r="66" spans="2:26">
      <c r="B66" s="5"/>
      <c r="C66" s="5"/>
      <c r="D66" s="17"/>
      <c r="E66" s="17"/>
      <c r="F66" s="17"/>
      <c r="G66" s="17"/>
      <c r="H66" s="17"/>
      <c r="I66" s="248"/>
      <c r="J66" s="17"/>
      <c r="K66" s="17"/>
      <c r="L66" s="17"/>
      <c r="M66" s="17"/>
      <c r="N66" s="17"/>
      <c r="O66" s="5"/>
      <c r="Q66" s="5"/>
      <c r="R66" s="5"/>
      <c r="S66" s="5"/>
    </row>
    <row r="67" spans="2:26">
      <c r="B67" s="41"/>
      <c r="C67" s="249"/>
      <c r="D67" s="254"/>
      <c r="E67" s="254"/>
      <c r="F67" s="254"/>
      <c r="G67" s="254"/>
      <c r="H67" s="254"/>
      <c r="I67" s="5"/>
      <c r="J67" s="254"/>
      <c r="K67" s="254"/>
      <c r="L67" s="254"/>
      <c r="M67" s="254"/>
      <c r="N67" s="254"/>
      <c r="O67" s="251"/>
      <c r="Q67" s="41"/>
      <c r="R67" s="5"/>
      <c r="S67" s="5"/>
    </row>
    <row r="68" spans="2:26">
      <c r="B68" s="5"/>
      <c r="C68" s="5"/>
      <c r="D68" s="248"/>
      <c r="E68" s="248"/>
      <c r="F68" s="248"/>
      <c r="G68" s="248"/>
      <c r="H68" s="248"/>
      <c r="I68" s="245"/>
      <c r="J68" s="248"/>
      <c r="K68" s="248"/>
      <c r="L68" s="248"/>
      <c r="M68" s="248"/>
      <c r="N68" s="248"/>
      <c r="O68" s="5"/>
      <c r="Q68" s="5"/>
      <c r="R68" s="5"/>
      <c r="S68" s="5"/>
    </row>
    <row r="69" spans="2:26">
      <c r="B69" s="41"/>
      <c r="C69" s="5"/>
      <c r="D69" s="5"/>
      <c r="E69" s="5"/>
      <c r="F69" s="5"/>
      <c r="G69" s="5"/>
      <c r="H69" s="5"/>
      <c r="I69" s="248"/>
      <c r="J69" s="5"/>
      <c r="K69" s="5"/>
      <c r="L69" s="5"/>
      <c r="M69" s="5"/>
      <c r="N69" s="5"/>
      <c r="O69" s="5"/>
      <c r="Q69" s="5"/>
      <c r="R69" s="5"/>
      <c r="S69" s="5"/>
    </row>
    <row r="70" spans="2:26">
      <c r="B70" s="41"/>
      <c r="C70" s="245"/>
      <c r="D70" s="245"/>
      <c r="E70" s="245"/>
      <c r="F70" s="245"/>
      <c r="G70" s="245"/>
      <c r="H70" s="245"/>
      <c r="I70" s="5"/>
      <c r="J70" s="245"/>
      <c r="K70" s="245"/>
      <c r="L70" s="245"/>
      <c r="M70" s="245"/>
      <c r="N70" s="245"/>
      <c r="O70" s="251"/>
      <c r="Q70" s="5"/>
      <c r="R70" s="5"/>
      <c r="S70" s="5"/>
      <c r="W70" s="76"/>
      <c r="X70" s="76"/>
    </row>
    <row r="71" spans="2:26">
      <c r="B71" s="5"/>
      <c r="C71" s="5"/>
      <c r="D71" s="248"/>
      <c r="E71" s="248"/>
      <c r="F71" s="248"/>
      <c r="G71" s="248"/>
      <c r="H71" s="248"/>
      <c r="I71" s="245"/>
      <c r="J71" s="248"/>
      <c r="K71" s="248"/>
      <c r="L71" s="248"/>
      <c r="M71" s="248"/>
      <c r="N71" s="248"/>
      <c r="O71" s="5"/>
      <c r="Q71" s="5"/>
      <c r="R71" s="5"/>
      <c r="S71" s="5"/>
      <c r="W71" s="76"/>
      <c r="X71" s="76"/>
      <c r="Y71" s="76"/>
      <c r="Z71" s="76"/>
    </row>
    <row r="72" spans="2:26">
      <c r="B72" s="41"/>
      <c r="C72" s="5"/>
      <c r="D72" s="5"/>
      <c r="E72" s="5"/>
      <c r="F72" s="5"/>
      <c r="G72" s="5"/>
      <c r="H72" s="5"/>
      <c r="I72" s="18"/>
      <c r="J72" s="5"/>
      <c r="K72" s="5"/>
      <c r="L72" s="5"/>
      <c r="M72" s="5"/>
      <c r="N72" s="5"/>
      <c r="O72" s="5"/>
      <c r="Q72" s="5"/>
      <c r="R72" s="5"/>
      <c r="S72" s="5"/>
      <c r="Y72" s="76"/>
      <c r="Z72" s="76"/>
    </row>
    <row r="73" spans="2:26">
      <c r="B73" s="41"/>
      <c r="C73" s="245"/>
      <c r="D73" s="245"/>
      <c r="E73" s="245"/>
      <c r="F73" s="245"/>
      <c r="G73" s="245"/>
      <c r="H73" s="245"/>
      <c r="I73" s="5"/>
      <c r="J73" s="245"/>
      <c r="K73" s="245"/>
      <c r="L73" s="245"/>
      <c r="M73" s="245"/>
      <c r="N73" s="245"/>
      <c r="O73" s="251"/>
      <c r="Q73" s="5"/>
      <c r="R73" s="5"/>
      <c r="S73" s="5"/>
    </row>
    <row r="74" spans="2:26">
      <c r="B74" s="5"/>
      <c r="C74" s="5"/>
      <c r="D74" s="18"/>
      <c r="E74" s="18"/>
      <c r="F74" s="18"/>
      <c r="G74" s="18"/>
      <c r="H74" s="18"/>
      <c r="I74" s="249"/>
      <c r="J74" s="18"/>
      <c r="K74" s="18"/>
      <c r="L74" s="18"/>
      <c r="M74" s="18"/>
      <c r="N74" s="18"/>
      <c r="O74" s="5"/>
      <c r="Q74" s="5"/>
      <c r="R74" s="5"/>
      <c r="S74" s="5"/>
    </row>
    <row r="75" spans="2:26">
      <c r="B75" s="41"/>
      <c r="C75" s="5"/>
      <c r="D75" s="5"/>
      <c r="E75" s="5"/>
      <c r="F75" s="5"/>
      <c r="G75" s="5"/>
      <c r="H75" s="5"/>
      <c r="I75" s="248"/>
      <c r="J75" s="5"/>
      <c r="K75" s="5"/>
      <c r="L75" s="5"/>
      <c r="M75" s="5"/>
      <c r="N75" s="5"/>
      <c r="O75" s="5"/>
      <c r="Q75" s="5"/>
      <c r="R75" s="5"/>
      <c r="S75" s="5"/>
    </row>
    <row r="76" spans="2:26">
      <c r="B76" s="41"/>
      <c r="C76" s="249"/>
      <c r="D76" s="249"/>
      <c r="E76" s="249"/>
      <c r="F76" s="249"/>
      <c r="G76" s="249"/>
      <c r="H76" s="249"/>
      <c r="I76" s="5"/>
      <c r="J76" s="249"/>
      <c r="K76" s="249"/>
      <c r="L76" s="249"/>
      <c r="M76" s="249"/>
      <c r="N76" s="249"/>
      <c r="O76" s="251"/>
      <c r="Q76" s="5"/>
      <c r="R76" s="5"/>
      <c r="S76" s="5"/>
    </row>
    <row r="77" spans="2:26">
      <c r="B77" s="5"/>
      <c r="C77" s="5"/>
      <c r="D77" s="248"/>
      <c r="E77" s="248"/>
      <c r="F77" s="248"/>
      <c r="G77" s="248"/>
      <c r="H77" s="248"/>
      <c r="I77" s="245"/>
      <c r="J77" s="248"/>
      <c r="K77" s="248"/>
      <c r="L77" s="248"/>
      <c r="M77" s="248"/>
      <c r="N77" s="248"/>
      <c r="O77" s="5"/>
      <c r="Q77" s="5"/>
      <c r="R77" s="5"/>
      <c r="S77" s="5"/>
    </row>
    <row r="78" spans="2:26">
      <c r="B78" s="41"/>
      <c r="C78" s="5"/>
      <c r="D78" s="5"/>
      <c r="E78" s="5"/>
      <c r="F78" s="5"/>
      <c r="G78" s="5"/>
      <c r="H78" s="5"/>
      <c r="I78" s="248"/>
      <c r="J78" s="5"/>
      <c r="K78" s="5"/>
      <c r="L78" s="5"/>
      <c r="M78" s="5"/>
      <c r="N78" s="5"/>
      <c r="O78" s="5"/>
      <c r="Q78" s="5"/>
      <c r="R78" s="5"/>
      <c r="S78" s="5"/>
    </row>
    <row r="79" spans="2:26">
      <c r="B79" s="41"/>
      <c r="C79" s="245"/>
      <c r="D79" s="245"/>
      <c r="E79" s="245"/>
      <c r="F79" s="245"/>
      <c r="G79" s="245"/>
      <c r="H79" s="245"/>
      <c r="I79" s="5"/>
      <c r="J79" s="245"/>
      <c r="K79" s="245"/>
      <c r="L79" s="245"/>
      <c r="M79" s="245"/>
      <c r="N79" s="245"/>
      <c r="O79" s="251"/>
      <c r="Q79" s="5"/>
      <c r="R79" s="5"/>
      <c r="S79" s="5"/>
    </row>
    <row r="80" spans="2:26">
      <c r="B80" s="5"/>
      <c r="C80" s="5"/>
      <c r="D80" s="248"/>
      <c r="E80" s="248"/>
      <c r="F80" s="248"/>
      <c r="G80" s="248"/>
      <c r="H80" s="248"/>
      <c r="I80" s="249"/>
      <c r="J80" s="248"/>
      <c r="K80" s="248"/>
      <c r="L80" s="248"/>
      <c r="M80" s="248"/>
      <c r="N80" s="248"/>
      <c r="O80" s="5"/>
      <c r="Q80" s="5"/>
      <c r="R80" s="5"/>
      <c r="S80" s="5"/>
    </row>
    <row r="81" spans="2:26">
      <c r="B81" s="41"/>
      <c r="C81" s="5"/>
      <c r="D81" s="5"/>
      <c r="E81" s="5"/>
      <c r="F81" s="5"/>
      <c r="G81" s="5"/>
      <c r="H81" s="5"/>
      <c r="I81" s="248"/>
      <c r="J81" s="5"/>
      <c r="K81" s="5"/>
      <c r="L81" s="5"/>
      <c r="M81" s="5"/>
      <c r="N81" s="5"/>
      <c r="O81" s="5"/>
      <c r="Q81" s="5"/>
      <c r="R81" s="5"/>
      <c r="S81" s="5"/>
    </row>
    <row r="82" spans="2:26">
      <c r="B82" s="41"/>
      <c r="C82" s="249"/>
      <c r="D82" s="249"/>
      <c r="E82" s="249"/>
      <c r="F82" s="249"/>
      <c r="G82" s="249"/>
      <c r="H82" s="249"/>
      <c r="I82" s="259"/>
      <c r="J82" s="249"/>
      <c r="K82" s="249"/>
      <c r="L82" s="249"/>
      <c r="M82" s="249"/>
      <c r="N82" s="249"/>
      <c r="O82" s="251"/>
      <c r="Q82" s="5"/>
      <c r="R82" s="5"/>
      <c r="S82" s="5"/>
    </row>
    <row r="83" spans="2:26">
      <c r="B83" s="5"/>
      <c r="C83" s="5"/>
      <c r="D83" s="248"/>
      <c r="E83" s="248"/>
      <c r="F83" s="248"/>
      <c r="G83" s="248"/>
      <c r="H83" s="248"/>
      <c r="I83" s="5"/>
      <c r="J83" s="248"/>
      <c r="K83" s="248"/>
      <c r="L83" s="248"/>
      <c r="M83" s="248"/>
      <c r="N83" s="248"/>
      <c r="O83" s="5"/>
      <c r="Q83" s="5"/>
      <c r="R83" s="5"/>
      <c r="S83" s="5"/>
    </row>
    <row r="84" spans="2:26">
      <c r="B84" s="5"/>
      <c r="C84" s="259"/>
      <c r="D84" s="259"/>
      <c r="E84" s="259"/>
      <c r="F84" s="259"/>
      <c r="G84" s="259"/>
      <c r="H84" s="259"/>
      <c r="I84" s="245"/>
      <c r="J84" s="259"/>
      <c r="K84" s="259"/>
      <c r="L84" s="259"/>
      <c r="M84" s="259"/>
      <c r="N84" s="259"/>
      <c r="O84" s="251"/>
      <c r="Q84" s="5"/>
      <c r="R84" s="5"/>
      <c r="S84" s="5"/>
    </row>
    <row r="85" spans="2:26">
      <c r="B85" s="41"/>
      <c r="C85" s="5"/>
      <c r="D85" s="5"/>
      <c r="E85" s="5"/>
      <c r="F85" s="5"/>
      <c r="G85" s="5"/>
      <c r="H85" s="5"/>
      <c r="I85" s="248"/>
      <c r="J85" s="5"/>
      <c r="K85" s="5"/>
      <c r="L85" s="5"/>
      <c r="M85" s="5"/>
      <c r="N85" s="5"/>
      <c r="O85" s="5"/>
      <c r="Q85" s="5"/>
      <c r="R85" s="5"/>
      <c r="S85" s="5"/>
    </row>
    <row r="86" spans="2:26">
      <c r="B86" s="41"/>
      <c r="C86" s="245"/>
      <c r="D86" s="245"/>
      <c r="E86" s="245"/>
      <c r="F86" s="245"/>
      <c r="G86" s="245"/>
      <c r="H86" s="245"/>
      <c r="I86" s="5"/>
      <c r="J86" s="245"/>
      <c r="K86" s="245"/>
      <c r="L86" s="245"/>
      <c r="M86" s="245"/>
      <c r="N86" s="245"/>
      <c r="O86" s="251"/>
      <c r="Q86" s="5"/>
      <c r="R86" s="5"/>
      <c r="S86" s="5"/>
    </row>
    <row r="87" spans="2:26">
      <c r="B87" s="5"/>
      <c r="C87" s="5"/>
      <c r="D87" s="248"/>
      <c r="E87" s="248"/>
      <c r="F87" s="248"/>
      <c r="G87" s="248"/>
      <c r="H87" s="248"/>
      <c r="I87" s="5"/>
      <c r="J87" s="248"/>
      <c r="K87" s="248"/>
      <c r="L87" s="248"/>
      <c r="M87" s="248"/>
      <c r="N87" s="248"/>
      <c r="O87" s="5"/>
      <c r="Q87" s="5"/>
      <c r="R87" s="5"/>
      <c r="S87" s="5"/>
    </row>
    <row r="88" spans="2:26">
      <c r="B88" s="41"/>
      <c r="C88" s="5"/>
      <c r="D88" s="5"/>
      <c r="E88" s="5"/>
      <c r="F88" s="5"/>
      <c r="G88" s="5"/>
      <c r="H88" s="5"/>
      <c r="I88" s="5"/>
      <c r="J88" s="5"/>
      <c r="K88" s="5"/>
      <c r="L88" s="5"/>
      <c r="M88" s="5"/>
      <c r="N88" s="5"/>
      <c r="O88" s="5"/>
      <c r="Q88" s="5"/>
      <c r="R88" s="5"/>
      <c r="S88" s="5"/>
    </row>
    <row r="89" spans="2:26">
      <c r="B89" s="41"/>
      <c r="C89" s="5"/>
      <c r="D89" s="5"/>
      <c r="E89" s="5"/>
      <c r="F89" s="5"/>
      <c r="G89" s="5"/>
      <c r="H89" s="5"/>
      <c r="I89" s="5"/>
      <c r="J89" s="5"/>
      <c r="K89" s="5"/>
      <c r="L89" s="5"/>
      <c r="M89" s="5"/>
      <c r="N89" s="5"/>
      <c r="O89" s="5"/>
      <c r="Q89" s="5"/>
      <c r="R89" s="5"/>
      <c r="S89" s="5"/>
    </row>
    <row r="90" spans="2:26">
      <c r="B90" s="41"/>
      <c r="C90" s="5"/>
      <c r="D90" s="5"/>
      <c r="E90" s="5"/>
      <c r="F90" s="5"/>
      <c r="G90" s="5"/>
      <c r="H90" s="5"/>
      <c r="I90" s="49"/>
      <c r="J90" s="5"/>
      <c r="K90" s="5"/>
      <c r="L90" s="5"/>
      <c r="M90" s="5"/>
      <c r="N90" s="5"/>
      <c r="O90" s="5"/>
      <c r="Q90" s="41"/>
      <c r="R90" s="5"/>
      <c r="S90" s="5"/>
    </row>
    <row r="91" spans="2:26">
      <c r="B91" s="5"/>
      <c r="C91" s="5"/>
      <c r="D91" s="5"/>
      <c r="E91" s="5"/>
      <c r="F91" s="5"/>
      <c r="G91" s="5"/>
      <c r="H91" s="5"/>
      <c r="I91" s="5"/>
      <c r="J91" s="5"/>
      <c r="K91" s="5"/>
      <c r="L91" s="5"/>
      <c r="M91" s="5"/>
      <c r="N91" s="5"/>
      <c r="O91" s="5"/>
      <c r="Q91" s="5"/>
      <c r="R91" s="5"/>
      <c r="S91" s="5"/>
    </row>
    <row r="92" spans="2:26">
      <c r="B92" s="41"/>
      <c r="C92" s="49"/>
      <c r="D92" s="49"/>
      <c r="E92" s="49"/>
      <c r="F92" s="49"/>
      <c r="G92" s="49"/>
      <c r="H92" s="49"/>
      <c r="I92" s="247"/>
      <c r="J92" s="49"/>
      <c r="K92" s="49"/>
      <c r="L92" s="49"/>
      <c r="M92" s="49"/>
      <c r="N92" s="49"/>
      <c r="O92" s="49"/>
      <c r="Q92" s="5"/>
      <c r="R92" s="5"/>
      <c r="S92" s="5"/>
      <c r="W92" s="21"/>
      <c r="X92" s="21"/>
    </row>
    <row r="93" spans="2:26">
      <c r="B93" s="5"/>
      <c r="C93" s="5"/>
      <c r="D93" s="5"/>
      <c r="E93" s="5"/>
      <c r="F93" s="5"/>
      <c r="G93" s="5"/>
      <c r="H93" s="5"/>
      <c r="I93" s="247"/>
      <c r="J93" s="5"/>
      <c r="K93" s="5"/>
      <c r="L93" s="5"/>
      <c r="M93" s="5"/>
      <c r="N93" s="5"/>
      <c r="O93" s="5"/>
      <c r="Q93" s="5"/>
      <c r="R93" s="5"/>
      <c r="S93" s="5"/>
      <c r="W93" s="21"/>
      <c r="X93" s="21"/>
      <c r="Y93" s="21"/>
      <c r="Z93" s="21"/>
    </row>
    <row r="94" spans="2:26">
      <c r="B94" s="5"/>
      <c r="C94" s="259"/>
      <c r="D94" s="247"/>
      <c r="E94" s="247"/>
      <c r="F94" s="247"/>
      <c r="G94" s="247"/>
      <c r="H94" s="247"/>
      <c r="I94" s="247"/>
      <c r="J94" s="247"/>
      <c r="K94" s="247"/>
      <c r="L94" s="247"/>
      <c r="M94" s="247"/>
      <c r="N94" s="247"/>
      <c r="O94" s="248"/>
      <c r="Q94" s="5"/>
      <c r="R94" s="5"/>
      <c r="S94" s="5"/>
      <c r="Y94" s="21"/>
      <c r="Z94" s="21"/>
    </row>
    <row r="95" spans="2:26">
      <c r="B95" s="5"/>
      <c r="C95" s="259"/>
      <c r="D95" s="247"/>
      <c r="E95" s="247"/>
      <c r="F95" s="247"/>
      <c r="G95" s="247"/>
      <c r="H95" s="247"/>
      <c r="I95" s="248"/>
      <c r="J95" s="247"/>
      <c r="K95" s="247"/>
      <c r="L95" s="247"/>
      <c r="M95" s="247"/>
      <c r="N95" s="247"/>
      <c r="O95" s="248"/>
      <c r="Q95" s="5"/>
      <c r="R95" s="5"/>
      <c r="S95" s="5"/>
    </row>
    <row r="96" spans="2:26">
      <c r="B96" s="5"/>
      <c r="C96" s="259"/>
      <c r="D96" s="247"/>
      <c r="E96" s="247"/>
      <c r="F96" s="247"/>
      <c r="G96" s="247"/>
      <c r="H96" s="247"/>
      <c r="I96" s="247"/>
      <c r="J96" s="247"/>
      <c r="K96" s="247"/>
      <c r="L96" s="247"/>
      <c r="M96" s="247"/>
      <c r="N96" s="247"/>
      <c r="O96" s="248"/>
      <c r="Q96" s="5"/>
      <c r="R96" s="5"/>
      <c r="S96" s="5"/>
    </row>
    <row r="97" spans="2:19">
      <c r="B97" s="5"/>
      <c r="C97" s="259"/>
      <c r="D97" s="248"/>
      <c r="E97" s="248"/>
      <c r="F97" s="248"/>
      <c r="G97" s="248"/>
      <c r="H97" s="248"/>
      <c r="I97" s="249"/>
      <c r="J97" s="248"/>
      <c r="K97" s="248"/>
      <c r="L97" s="248"/>
      <c r="M97" s="248"/>
      <c r="N97" s="248"/>
      <c r="O97" s="248"/>
      <c r="Q97" s="5"/>
      <c r="R97" s="5"/>
      <c r="S97" s="5"/>
    </row>
    <row r="98" spans="2:19">
      <c r="B98" s="5"/>
      <c r="C98" s="259"/>
      <c r="D98" s="247"/>
      <c r="E98" s="247"/>
      <c r="F98" s="247"/>
      <c r="G98" s="247"/>
      <c r="H98" s="247"/>
      <c r="I98" s="248"/>
      <c r="J98" s="247"/>
      <c r="K98" s="247"/>
      <c r="L98" s="247"/>
      <c r="M98" s="247"/>
      <c r="N98" s="247"/>
      <c r="O98" s="248"/>
      <c r="Q98" s="5"/>
      <c r="R98" s="5"/>
      <c r="S98" s="5"/>
    </row>
    <row r="99" spans="2:19">
      <c r="B99" s="41"/>
      <c r="C99" s="249"/>
      <c r="D99" s="249"/>
      <c r="E99" s="249"/>
      <c r="F99" s="249"/>
      <c r="G99" s="249"/>
      <c r="H99" s="249"/>
      <c r="I99" s="5"/>
      <c r="J99" s="249"/>
      <c r="K99" s="249"/>
      <c r="L99" s="249"/>
      <c r="M99" s="249"/>
      <c r="N99" s="249"/>
      <c r="O99" s="248"/>
      <c r="Q99" s="5"/>
      <c r="R99" s="5"/>
      <c r="S99" s="5"/>
    </row>
    <row r="100" spans="2:19">
      <c r="B100" s="41"/>
      <c r="C100" s="257"/>
      <c r="D100" s="248"/>
      <c r="E100" s="248"/>
      <c r="F100" s="248"/>
      <c r="G100" s="248"/>
      <c r="H100" s="248"/>
      <c r="I100" s="259"/>
      <c r="J100" s="248"/>
      <c r="K100" s="248"/>
      <c r="L100" s="248"/>
      <c r="M100" s="248"/>
      <c r="N100" s="248"/>
      <c r="O100" s="248"/>
      <c r="Q100" s="5"/>
      <c r="R100" s="5"/>
      <c r="S100" s="5"/>
    </row>
    <row r="101" spans="2:19" s="5" customFormat="1">
      <c r="B101" s="41"/>
      <c r="I101" s="259"/>
      <c r="O101" s="248"/>
      <c r="P101" s="39"/>
    </row>
    <row r="102" spans="2:19">
      <c r="B102" s="5"/>
      <c r="C102" s="259"/>
      <c r="D102" s="259"/>
      <c r="E102" s="259"/>
      <c r="F102" s="259"/>
      <c r="G102" s="259"/>
      <c r="H102" s="259"/>
      <c r="I102" s="247"/>
      <c r="J102" s="259"/>
      <c r="K102" s="259"/>
      <c r="L102" s="259"/>
      <c r="M102" s="259"/>
      <c r="N102" s="259"/>
      <c r="O102" s="5"/>
      <c r="Q102" s="5"/>
      <c r="R102" s="5"/>
      <c r="S102" s="5"/>
    </row>
    <row r="103" spans="2:19">
      <c r="B103" s="5"/>
      <c r="C103" s="259"/>
      <c r="D103" s="259"/>
      <c r="E103" s="259"/>
      <c r="F103" s="259"/>
      <c r="G103" s="259"/>
      <c r="H103" s="259"/>
      <c r="I103" s="5"/>
      <c r="J103" s="259"/>
      <c r="K103" s="259"/>
      <c r="L103" s="259"/>
      <c r="M103" s="259"/>
      <c r="N103" s="259"/>
      <c r="O103" s="5"/>
      <c r="P103" s="5"/>
      <c r="Q103" s="5"/>
      <c r="R103" s="5"/>
      <c r="S103" s="5"/>
    </row>
    <row r="104" spans="2:19">
      <c r="B104" s="5"/>
      <c r="C104" s="247"/>
      <c r="D104" s="247"/>
      <c r="E104" s="247"/>
      <c r="F104" s="247"/>
      <c r="G104" s="247"/>
      <c r="H104" s="247"/>
      <c r="I104" s="247"/>
      <c r="J104" s="247"/>
      <c r="K104" s="247"/>
      <c r="L104" s="247"/>
      <c r="M104" s="247"/>
      <c r="N104" s="247"/>
      <c r="O104" s="5"/>
      <c r="Q104" s="5"/>
      <c r="R104" s="5"/>
      <c r="S104" s="5"/>
    </row>
    <row r="105" spans="2:19" s="5" customFormat="1">
      <c r="P105" s="39"/>
    </row>
    <row r="106" spans="2:19" s="5" customFormat="1">
      <c r="C106" s="259"/>
      <c r="D106" s="247"/>
      <c r="E106" s="247"/>
      <c r="F106" s="247"/>
      <c r="G106" s="247"/>
      <c r="H106" s="247"/>
      <c r="I106" s="259"/>
      <c r="J106" s="247"/>
      <c r="K106" s="247"/>
      <c r="L106" s="247"/>
      <c r="M106" s="247"/>
      <c r="N106" s="247"/>
      <c r="P106" s="39"/>
    </row>
    <row r="107" spans="2:19">
      <c r="B107" s="5"/>
      <c r="C107" s="259"/>
      <c r="D107" s="5"/>
      <c r="E107" s="5"/>
      <c r="F107" s="5"/>
      <c r="G107" s="5"/>
      <c r="H107" s="5"/>
      <c r="I107" s="247"/>
      <c r="J107" s="5"/>
      <c r="K107" s="5"/>
      <c r="L107" s="5"/>
      <c r="M107" s="5"/>
      <c r="N107" s="5"/>
      <c r="O107" s="5"/>
      <c r="P107" s="5"/>
      <c r="Q107" s="5"/>
      <c r="R107" s="5"/>
      <c r="S107" s="5"/>
    </row>
    <row r="108" spans="2:19">
      <c r="B108" s="5"/>
      <c r="C108" s="259"/>
      <c r="D108" s="259"/>
      <c r="E108" s="259"/>
      <c r="F108" s="259"/>
      <c r="G108" s="259"/>
      <c r="H108" s="259"/>
      <c r="I108" s="249"/>
      <c r="J108" s="259"/>
      <c r="K108" s="259"/>
      <c r="L108" s="259"/>
      <c r="M108" s="259"/>
      <c r="N108" s="259"/>
      <c r="O108" s="5"/>
      <c r="P108" s="5"/>
      <c r="Q108" s="5"/>
      <c r="R108" s="5"/>
      <c r="S108" s="5"/>
    </row>
    <row r="109" spans="2:19">
      <c r="B109" s="5"/>
      <c r="C109" s="247"/>
      <c r="D109" s="247"/>
      <c r="E109" s="247"/>
      <c r="F109" s="247"/>
      <c r="G109" s="247"/>
      <c r="H109" s="247"/>
      <c r="I109" s="249"/>
      <c r="J109" s="247"/>
      <c r="K109" s="247"/>
      <c r="L109" s="247"/>
      <c r="M109" s="247"/>
      <c r="N109" s="247"/>
      <c r="O109" s="5"/>
      <c r="Q109" s="5"/>
      <c r="R109" s="5"/>
      <c r="S109" s="5"/>
    </row>
    <row r="110" spans="2:19">
      <c r="B110" s="41"/>
      <c r="C110" s="249"/>
      <c r="D110" s="249"/>
      <c r="E110" s="249"/>
      <c r="F110" s="249"/>
      <c r="G110" s="249"/>
      <c r="H110" s="249"/>
      <c r="I110" s="247"/>
      <c r="J110" s="249"/>
      <c r="K110" s="249"/>
      <c r="L110" s="249"/>
      <c r="M110" s="249"/>
      <c r="N110" s="249"/>
      <c r="O110" s="5"/>
      <c r="Q110" s="5"/>
      <c r="R110" s="5"/>
      <c r="S110" s="5"/>
    </row>
    <row r="111" spans="2:19">
      <c r="B111" s="5"/>
      <c r="C111" s="249"/>
      <c r="D111" s="249"/>
      <c r="E111" s="249"/>
      <c r="F111" s="249"/>
      <c r="G111" s="249"/>
      <c r="H111" s="249"/>
      <c r="I111" s="5"/>
      <c r="J111" s="249"/>
      <c r="K111" s="249"/>
      <c r="L111" s="249"/>
      <c r="M111" s="249"/>
      <c r="N111" s="249"/>
      <c r="O111" s="5"/>
      <c r="Q111" s="5"/>
      <c r="R111" s="5"/>
      <c r="S111" s="5"/>
    </row>
    <row r="112" spans="2:19">
      <c r="B112" s="5"/>
      <c r="C112" s="247"/>
      <c r="D112" s="247"/>
      <c r="E112" s="247"/>
      <c r="F112" s="247"/>
      <c r="G112" s="247"/>
      <c r="H112" s="247"/>
      <c r="I112" s="5"/>
      <c r="J112" s="247"/>
      <c r="K112" s="247"/>
      <c r="L112" s="247"/>
      <c r="M112" s="247"/>
      <c r="N112" s="247"/>
      <c r="O112" s="5"/>
      <c r="Q112" s="5"/>
      <c r="R112" s="5"/>
      <c r="S112" s="5"/>
    </row>
    <row r="113" spans="2:19">
      <c r="B113" s="5"/>
      <c r="C113" s="5"/>
      <c r="D113" s="5"/>
      <c r="E113" s="5"/>
      <c r="F113" s="5"/>
      <c r="G113" s="5"/>
      <c r="H113" s="5"/>
      <c r="I113" s="5"/>
      <c r="J113" s="5"/>
      <c r="K113" s="5"/>
      <c r="L113" s="5"/>
      <c r="M113" s="5"/>
      <c r="N113" s="5"/>
      <c r="O113" s="5"/>
      <c r="Q113" s="5"/>
      <c r="R113" s="5"/>
      <c r="S113" s="5"/>
    </row>
    <row r="114" spans="2:19">
      <c r="B114" s="5"/>
      <c r="C114" s="5"/>
      <c r="D114" s="5"/>
      <c r="E114" s="5"/>
      <c r="F114" s="5"/>
      <c r="G114" s="5"/>
      <c r="H114" s="5"/>
      <c r="I114" s="5"/>
      <c r="J114" s="5"/>
      <c r="K114" s="5"/>
      <c r="L114" s="5"/>
      <c r="M114" s="5"/>
      <c r="N114" s="5"/>
      <c r="O114" s="5"/>
      <c r="Q114" s="5"/>
      <c r="R114" s="5"/>
      <c r="S114" s="5"/>
    </row>
    <row r="115" spans="2:19">
      <c r="B115" s="5"/>
      <c r="C115" s="5"/>
      <c r="D115" s="5"/>
      <c r="E115" s="5"/>
      <c r="F115" s="5"/>
      <c r="G115" s="5"/>
      <c r="H115" s="5"/>
      <c r="I115" s="49"/>
      <c r="J115" s="5"/>
      <c r="K115" s="5"/>
      <c r="L115" s="5"/>
      <c r="M115" s="5"/>
      <c r="N115" s="5"/>
      <c r="O115" s="5"/>
      <c r="Q115" s="41"/>
      <c r="R115" s="5"/>
      <c r="S115" s="5"/>
    </row>
    <row r="116" spans="2:19">
      <c r="B116" s="5"/>
      <c r="C116" s="5"/>
      <c r="D116" s="5"/>
      <c r="E116" s="5"/>
      <c r="F116" s="5"/>
      <c r="G116" s="5"/>
      <c r="H116" s="5"/>
      <c r="I116" s="5"/>
      <c r="J116" s="5"/>
      <c r="K116" s="5"/>
      <c r="L116" s="5"/>
      <c r="M116" s="5"/>
      <c r="N116" s="5"/>
      <c r="O116" s="5"/>
      <c r="Q116" s="5"/>
      <c r="R116" s="5"/>
      <c r="S116" s="5"/>
    </row>
    <row r="117" spans="2:19">
      <c r="B117" s="41"/>
      <c r="C117" s="49"/>
      <c r="D117" s="49"/>
      <c r="E117" s="49"/>
      <c r="F117" s="49"/>
      <c r="G117" s="49"/>
      <c r="H117" s="49"/>
      <c r="I117" s="254"/>
      <c r="J117" s="49"/>
      <c r="K117" s="49"/>
      <c r="L117" s="49"/>
      <c r="M117" s="49"/>
      <c r="N117" s="49"/>
      <c r="O117" s="49"/>
      <c r="Q117" s="5"/>
      <c r="R117" s="5"/>
      <c r="S117" s="5"/>
    </row>
    <row r="118" spans="2:19">
      <c r="B118" s="5"/>
      <c r="C118" s="5"/>
      <c r="D118" s="5"/>
      <c r="E118" s="5"/>
      <c r="F118" s="5"/>
      <c r="G118" s="5"/>
      <c r="H118" s="5"/>
      <c r="I118" s="249"/>
      <c r="J118" s="5"/>
      <c r="K118" s="5"/>
      <c r="L118" s="5"/>
      <c r="M118" s="5"/>
      <c r="N118" s="5"/>
      <c r="O118" s="5"/>
      <c r="Q118" s="5"/>
      <c r="R118" s="5"/>
      <c r="S118" s="5"/>
    </row>
    <row r="119" spans="2:19">
      <c r="B119" s="41"/>
      <c r="C119" s="254"/>
      <c r="D119" s="254"/>
      <c r="E119" s="254"/>
      <c r="F119" s="254"/>
      <c r="G119" s="254"/>
      <c r="H119" s="254"/>
      <c r="I119" s="254"/>
      <c r="J119" s="254"/>
      <c r="K119" s="254"/>
      <c r="L119" s="254"/>
      <c r="M119" s="254"/>
      <c r="N119" s="254"/>
      <c r="O119" s="248"/>
      <c r="Q119" s="5"/>
      <c r="R119" s="5"/>
      <c r="S119" s="5"/>
    </row>
    <row r="120" spans="2:19">
      <c r="B120" s="41"/>
      <c r="C120" s="254"/>
      <c r="D120" s="249"/>
      <c r="E120" s="249"/>
      <c r="F120" s="249"/>
      <c r="G120" s="249"/>
      <c r="H120" s="249"/>
      <c r="I120" s="254"/>
      <c r="J120" s="249"/>
      <c r="K120" s="249"/>
      <c r="L120" s="249"/>
      <c r="M120" s="249"/>
      <c r="N120" s="249"/>
      <c r="O120" s="248"/>
      <c r="Q120" s="5"/>
      <c r="R120" s="5"/>
      <c r="S120" s="5"/>
    </row>
    <row r="121" spans="2:19">
      <c r="B121" s="41"/>
      <c r="C121" s="254"/>
      <c r="D121" s="254"/>
      <c r="E121" s="254"/>
      <c r="F121" s="254"/>
      <c r="G121" s="254"/>
      <c r="H121" s="254"/>
      <c r="I121" s="254"/>
      <c r="J121" s="254"/>
      <c r="K121" s="254"/>
      <c r="L121" s="254"/>
      <c r="M121" s="254"/>
      <c r="N121" s="254"/>
      <c r="O121" s="248"/>
      <c r="Q121" s="5"/>
      <c r="R121" s="5"/>
      <c r="S121" s="5"/>
    </row>
    <row r="122" spans="2:19">
      <c r="B122" s="41"/>
      <c r="C122" s="254"/>
      <c r="D122" s="254"/>
      <c r="E122" s="254"/>
      <c r="F122" s="254"/>
      <c r="G122" s="254"/>
      <c r="H122" s="254"/>
      <c r="I122" s="254"/>
      <c r="J122" s="254"/>
      <c r="K122" s="254"/>
      <c r="L122" s="254"/>
      <c r="M122" s="254"/>
      <c r="N122" s="254"/>
      <c r="O122" s="248"/>
      <c r="Q122" s="5"/>
      <c r="R122" s="5"/>
      <c r="S122" s="5"/>
    </row>
    <row r="123" spans="2:19">
      <c r="B123" s="41"/>
      <c r="C123" s="254"/>
      <c r="D123" s="254"/>
      <c r="E123" s="254"/>
      <c r="F123" s="254"/>
      <c r="G123" s="254"/>
      <c r="H123" s="254"/>
      <c r="I123" s="254"/>
      <c r="J123" s="254"/>
      <c r="K123" s="254"/>
      <c r="L123" s="254"/>
      <c r="M123" s="254"/>
      <c r="N123" s="254"/>
      <c r="O123" s="248"/>
      <c r="Q123" s="5"/>
      <c r="R123" s="5"/>
      <c r="S123" s="5"/>
    </row>
    <row r="124" spans="2:19">
      <c r="B124" s="41"/>
      <c r="C124" s="254"/>
      <c r="D124" s="254"/>
      <c r="E124" s="254"/>
      <c r="F124" s="254"/>
      <c r="G124" s="254"/>
      <c r="H124" s="254"/>
      <c r="I124" s="254"/>
      <c r="J124" s="254"/>
      <c r="K124" s="254"/>
      <c r="L124" s="254"/>
      <c r="M124" s="254"/>
      <c r="N124" s="254"/>
      <c r="O124" s="248"/>
      <c r="Q124" s="5"/>
      <c r="R124" s="5"/>
      <c r="S124" s="5"/>
    </row>
    <row r="125" spans="2:19">
      <c r="B125" s="41"/>
      <c r="C125" s="254"/>
      <c r="D125" s="254"/>
      <c r="E125" s="254"/>
      <c r="F125" s="254"/>
      <c r="G125" s="254"/>
      <c r="H125" s="254"/>
      <c r="I125" s="254"/>
      <c r="J125" s="254"/>
      <c r="K125" s="254"/>
      <c r="L125" s="254"/>
      <c r="M125" s="254"/>
      <c r="N125" s="254"/>
      <c r="O125" s="5"/>
      <c r="Q125" s="5"/>
      <c r="R125" s="5"/>
      <c r="S125" s="5"/>
    </row>
    <row r="126" spans="2:19">
      <c r="B126" s="41"/>
      <c r="C126" s="254"/>
      <c r="D126" s="254"/>
      <c r="E126" s="254"/>
      <c r="F126" s="254"/>
      <c r="G126" s="254"/>
      <c r="H126" s="254"/>
      <c r="I126" s="254"/>
      <c r="J126" s="254"/>
      <c r="K126" s="254"/>
      <c r="L126" s="254"/>
      <c r="M126" s="254"/>
      <c r="N126" s="254"/>
      <c r="O126" s="5"/>
      <c r="Q126" s="5"/>
      <c r="R126" s="5"/>
      <c r="S126" s="5"/>
    </row>
    <row r="127" spans="2:19">
      <c r="B127" s="41"/>
      <c r="C127" s="254"/>
      <c r="D127" s="254"/>
      <c r="E127" s="254"/>
      <c r="F127" s="254"/>
      <c r="G127" s="254"/>
      <c r="H127" s="254"/>
      <c r="I127" s="18"/>
      <c r="J127" s="254"/>
      <c r="K127" s="254"/>
      <c r="L127" s="254"/>
      <c r="M127" s="254"/>
      <c r="N127" s="254"/>
      <c r="O127" s="5"/>
      <c r="Q127" s="5"/>
      <c r="R127" s="5"/>
      <c r="S127" s="5"/>
    </row>
    <row r="128" spans="2:19">
      <c r="B128" s="41"/>
      <c r="C128" s="254"/>
      <c r="D128" s="254"/>
      <c r="E128" s="254"/>
      <c r="F128" s="254"/>
      <c r="G128" s="254"/>
      <c r="H128" s="254"/>
      <c r="I128" s="5"/>
      <c r="J128" s="254"/>
      <c r="K128" s="254"/>
      <c r="L128" s="254"/>
      <c r="M128" s="254"/>
      <c r="N128" s="254"/>
      <c r="O128" s="5"/>
      <c r="Q128" s="5"/>
      <c r="R128" s="5"/>
      <c r="S128" s="5"/>
    </row>
    <row r="129" spans="2:27">
      <c r="B129" s="5"/>
      <c r="C129" s="5"/>
      <c r="D129" s="18"/>
      <c r="E129" s="18"/>
      <c r="F129" s="18"/>
      <c r="G129" s="18"/>
      <c r="H129" s="18"/>
      <c r="I129" s="254"/>
      <c r="J129" s="18"/>
      <c r="K129" s="18"/>
      <c r="L129" s="18"/>
      <c r="M129" s="18"/>
      <c r="N129" s="18"/>
      <c r="O129" s="5"/>
      <c r="Q129" s="5"/>
      <c r="R129" s="5"/>
      <c r="S129" s="5"/>
    </row>
    <row r="130" spans="2:27">
      <c r="B130" s="5"/>
      <c r="C130" s="5"/>
      <c r="D130" s="5"/>
      <c r="E130" s="5"/>
      <c r="F130" s="5"/>
      <c r="G130" s="5"/>
      <c r="H130" s="5"/>
      <c r="I130" s="18"/>
      <c r="J130" s="5"/>
      <c r="K130" s="5"/>
      <c r="L130" s="5"/>
      <c r="M130" s="5"/>
      <c r="N130" s="5"/>
      <c r="O130" s="5"/>
      <c r="Q130" s="5"/>
      <c r="R130" s="5"/>
      <c r="S130" s="5"/>
    </row>
    <row r="131" spans="2:27">
      <c r="B131" s="41"/>
      <c r="C131" s="254"/>
      <c r="D131" s="254"/>
      <c r="E131" s="254"/>
      <c r="F131" s="254"/>
      <c r="G131" s="254"/>
      <c r="H131" s="254"/>
      <c r="I131" s="5"/>
      <c r="J131" s="254"/>
      <c r="K131" s="254"/>
      <c r="L131" s="254"/>
      <c r="M131" s="254"/>
      <c r="N131" s="254"/>
      <c r="O131" s="5"/>
      <c r="Q131" s="5"/>
      <c r="R131" s="5"/>
      <c r="S131" s="5"/>
    </row>
    <row r="132" spans="2:27">
      <c r="B132" s="5"/>
      <c r="C132" s="259"/>
      <c r="D132" s="18"/>
      <c r="E132" s="18"/>
      <c r="F132" s="18"/>
      <c r="G132" s="18"/>
      <c r="H132" s="18"/>
      <c r="I132" s="5"/>
      <c r="J132" s="18"/>
      <c r="K132" s="18"/>
      <c r="L132" s="18"/>
      <c r="M132" s="18"/>
      <c r="N132" s="18"/>
      <c r="O132" s="5"/>
      <c r="Q132" s="5"/>
      <c r="R132" s="5"/>
      <c r="S132" s="5"/>
    </row>
    <row r="133" spans="2:27">
      <c r="B133" s="5"/>
      <c r="C133" s="5"/>
      <c r="D133" s="5"/>
      <c r="E133" s="5"/>
      <c r="F133" s="5"/>
      <c r="G133" s="5"/>
      <c r="H133" s="5"/>
      <c r="I133" s="17"/>
      <c r="J133" s="5"/>
      <c r="K133" s="5"/>
      <c r="L133" s="5"/>
      <c r="M133" s="5"/>
      <c r="N133" s="5"/>
      <c r="O133" s="5"/>
      <c r="Q133" s="5"/>
      <c r="R133" s="5"/>
      <c r="S133" s="5"/>
    </row>
    <row r="134" spans="2:27">
      <c r="B134" s="41"/>
      <c r="C134" s="5"/>
      <c r="D134" s="5"/>
      <c r="E134" s="5"/>
      <c r="F134" s="5"/>
      <c r="G134" s="5"/>
      <c r="H134" s="5"/>
      <c r="I134" s="17"/>
      <c r="J134" s="5"/>
      <c r="K134" s="5"/>
      <c r="L134" s="5"/>
      <c r="M134" s="5"/>
      <c r="N134" s="5"/>
      <c r="O134" s="5"/>
      <c r="Q134" s="5"/>
      <c r="R134" s="5"/>
      <c r="S134" s="5"/>
    </row>
    <row r="135" spans="2:27">
      <c r="B135" s="5"/>
      <c r="C135" s="17"/>
      <c r="D135" s="17"/>
      <c r="E135" s="17"/>
      <c r="F135" s="17"/>
      <c r="G135" s="17"/>
      <c r="H135" s="17"/>
      <c r="I135" s="17"/>
      <c r="J135" s="17"/>
      <c r="K135" s="17"/>
      <c r="L135" s="17"/>
      <c r="M135" s="17"/>
      <c r="N135" s="17"/>
      <c r="O135" s="5"/>
      <c r="Q135" s="41"/>
      <c r="R135" s="5"/>
      <c r="S135" s="5"/>
    </row>
    <row r="136" spans="2:27">
      <c r="B136" s="5"/>
      <c r="C136" s="17"/>
      <c r="D136" s="17"/>
      <c r="E136" s="17"/>
      <c r="F136" s="17"/>
      <c r="G136" s="17"/>
      <c r="H136" s="17"/>
      <c r="I136" s="17"/>
      <c r="J136" s="17"/>
      <c r="K136" s="17"/>
      <c r="L136" s="17"/>
      <c r="M136" s="17"/>
      <c r="N136" s="17"/>
      <c r="O136" s="5"/>
      <c r="Q136" s="5"/>
      <c r="R136" s="5"/>
      <c r="S136" s="5"/>
      <c r="X136" s="304"/>
    </row>
    <row r="137" spans="2:27">
      <c r="B137" s="5"/>
      <c r="C137" s="5"/>
      <c r="D137" s="17"/>
      <c r="E137" s="17"/>
      <c r="F137" s="17"/>
      <c r="G137" s="17"/>
      <c r="H137" s="17"/>
      <c r="I137" s="17"/>
      <c r="J137" s="17"/>
      <c r="K137" s="17"/>
      <c r="L137" s="17"/>
      <c r="M137" s="17"/>
      <c r="N137" s="17"/>
      <c r="O137" s="5"/>
      <c r="Q137" s="5"/>
      <c r="R137" s="5"/>
      <c r="S137" s="5"/>
      <c r="X137" s="10"/>
      <c r="Y137" s="304"/>
      <c r="Z137" s="304"/>
      <c r="AA137" s="304"/>
    </row>
    <row r="138" spans="2:27">
      <c r="B138" s="5"/>
      <c r="C138" s="5"/>
      <c r="D138" s="17"/>
      <c r="E138" s="17"/>
      <c r="F138" s="17"/>
      <c r="G138" s="17"/>
      <c r="H138" s="17"/>
      <c r="I138" s="17"/>
      <c r="J138" s="17"/>
      <c r="K138" s="17"/>
      <c r="L138" s="17"/>
      <c r="M138" s="17"/>
      <c r="N138" s="17"/>
      <c r="O138" s="5"/>
      <c r="Q138" s="5"/>
      <c r="R138" s="5"/>
      <c r="S138" s="5"/>
      <c r="Y138" s="10"/>
      <c r="Z138" s="10"/>
      <c r="AA138" s="10"/>
    </row>
    <row r="139" spans="2:27">
      <c r="B139" s="5"/>
      <c r="C139" s="5"/>
      <c r="D139" s="17"/>
      <c r="E139" s="17"/>
      <c r="F139" s="17"/>
      <c r="G139" s="17"/>
      <c r="H139" s="17"/>
      <c r="I139" s="5"/>
      <c r="J139" s="17"/>
      <c r="K139" s="17"/>
      <c r="L139" s="17"/>
      <c r="M139" s="17"/>
      <c r="N139" s="17"/>
      <c r="O139" s="5"/>
      <c r="Q139" s="5"/>
      <c r="R139" s="5"/>
      <c r="S139" s="5"/>
    </row>
    <row r="140" spans="2:27">
      <c r="B140" s="5"/>
      <c r="C140" s="17"/>
      <c r="D140" s="17"/>
      <c r="E140" s="17"/>
      <c r="F140" s="17"/>
      <c r="G140" s="17"/>
      <c r="H140" s="17"/>
      <c r="I140" s="5"/>
      <c r="J140" s="17"/>
      <c r="K140" s="17"/>
      <c r="L140" s="17"/>
      <c r="M140" s="17"/>
      <c r="N140" s="17"/>
      <c r="O140" s="5"/>
      <c r="Q140" s="5"/>
      <c r="R140" s="5"/>
      <c r="S140" s="5"/>
    </row>
    <row r="141" spans="2:27">
      <c r="B141" s="5"/>
      <c r="C141" s="5"/>
      <c r="D141" s="5"/>
      <c r="E141" s="5"/>
      <c r="F141" s="5"/>
      <c r="G141" s="5"/>
      <c r="H141" s="5"/>
      <c r="I141" s="5"/>
      <c r="J141" s="5"/>
      <c r="K141" s="5"/>
      <c r="L141" s="5"/>
      <c r="M141" s="5"/>
      <c r="N141" s="5"/>
      <c r="O141" s="5"/>
      <c r="Q141" s="5"/>
      <c r="R141" s="5"/>
      <c r="S141" s="5"/>
    </row>
    <row r="142" spans="2:27">
      <c r="B142" s="5"/>
      <c r="C142" s="5"/>
      <c r="D142" s="5"/>
      <c r="E142" s="5"/>
      <c r="F142" s="5"/>
      <c r="G142" s="5"/>
      <c r="H142" s="5"/>
      <c r="I142" s="5"/>
      <c r="J142" s="5"/>
      <c r="K142" s="5"/>
      <c r="L142" s="5"/>
      <c r="M142" s="5"/>
      <c r="N142" s="5"/>
      <c r="O142" s="5"/>
      <c r="Q142" s="5"/>
      <c r="R142" s="5"/>
      <c r="S142" s="5"/>
    </row>
    <row r="143" spans="2:27">
      <c r="B143" s="5"/>
      <c r="C143" s="5"/>
      <c r="D143" s="5"/>
      <c r="E143" s="5"/>
      <c r="F143" s="5"/>
      <c r="G143" s="5"/>
      <c r="H143" s="5"/>
      <c r="I143" s="5"/>
      <c r="J143" s="5"/>
      <c r="K143" s="5"/>
      <c r="L143" s="5"/>
      <c r="M143" s="5"/>
      <c r="N143" s="5"/>
      <c r="O143" s="5"/>
      <c r="Q143" s="5"/>
      <c r="R143" s="5"/>
      <c r="S143" s="5"/>
    </row>
    <row r="144" spans="2:27">
      <c r="B144" s="5"/>
      <c r="C144" s="5"/>
      <c r="D144" s="5"/>
      <c r="E144" s="5"/>
      <c r="F144" s="5"/>
      <c r="G144" s="5"/>
      <c r="H144" s="5"/>
      <c r="I144" s="5"/>
      <c r="J144" s="5"/>
      <c r="K144" s="5"/>
      <c r="L144" s="5"/>
      <c r="M144" s="5"/>
      <c r="N144" s="5"/>
      <c r="O144" s="5"/>
      <c r="Q144" s="5"/>
      <c r="R144" s="5"/>
      <c r="S144" s="5"/>
    </row>
    <row r="145" spans="2:19">
      <c r="B145" s="5"/>
      <c r="C145" s="5"/>
      <c r="D145" s="5"/>
      <c r="E145" s="5"/>
      <c r="F145" s="5"/>
      <c r="G145" s="5"/>
      <c r="H145" s="5"/>
      <c r="I145" s="5"/>
      <c r="J145" s="5"/>
      <c r="K145" s="5"/>
      <c r="L145" s="5"/>
      <c r="M145" s="5"/>
      <c r="N145" s="5"/>
      <c r="O145" s="5"/>
      <c r="Q145" s="5"/>
      <c r="R145" s="5"/>
      <c r="S145" s="5"/>
    </row>
    <row r="146" spans="2:19">
      <c r="B146" s="5"/>
      <c r="C146" s="5"/>
      <c r="D146" s="5"/>
      <c r="E146" s="5"/>
      <c r="F146" s="5"/>
      <c r="G146" s="5"/>
      <c r="H146" s="5"/>
      <c r="I146" s="5"/>
      <c r="J146" s="5"/>
      <c r="K146" s="5"/>
      <c r="L146" s="5"/>
      <c r="M146" s="5"/>
      <c r="N146" s="5"/>
      <c r="O146" s="5"/>
      <c r="Q146" s="5"/>
      <c r="R146" s="5"/>
      <c r="S146" s="5"/>
    </row>
    <row r="147" spans="2:19">
      <c r="B147" s="5"/>
      <c r="C147" s="5"/>
      <c r="D147" s="5"/>
      <c r="E147" s="5"/>
      <c r="F147" s="5"/>
      <c r="G147" s="5"/>
      <c r="H147" s="5"/>
      <c r="I147" s="5"/>
      <c r="J147" s="5"/>
      <c r="K147" s="5"/>
      <c r="L147" s="5"/>
      <c r="M147" s="5"/>
      <c r="N147" s="5"/>
      <c r="O147" s="5"/>
      <c r="Q147" s="5"/>
      <c r="R147" s="5"/>
      <c r="S147" s="5"/>
    </row>
    <row r="148" spans="2:19">
      <c r="B148" s="5"/>
      <c r="C148" s="5"/>
      <c r="D148" s="5"/>
      <c r="E148" s="5"/>
      <c r="F148" s="5"/>
      <c r="G148" s="5"/>
      <c r="H148" s="5"/>
      <c r="I148" s="5"/>
      <c r="J148" s="5"/>
      <c r="K148" s="5"/>
      <c r="L148" s="5"/>
      <c r="M148" s="5"/>
      <c r="N148" s="5"/>
      <c r="O148" s="5"/>
      <c r="Q148" s="5"/>
      <c r="R148" s="5"/>
      <c r="S148" s="5"/>
    </row>
    <row r="149" spans="2:19">
      <c r="B149" s="5"/>
      <c r="C149" s="5"/>
      <c r="D149" s="5"/>
      <c r="E149" s="5"/>
      <c r="F149" s="5"/>
      <c r="G149" s="5"/>
      <c r="H149" s="5"/>
      <c r="J149" s="5"/>
      <c r="K149" s="5"/>
      <c r="L149" s="5"/>
      <c r="M149" s="5"/>
      <c r="N149" s="5"/>
      <c r="O149" s="5"/>
      <c r="Q149" s="5"/>
      <c r="R149" s="5"/>
      <c r="S149" s="5"/>
    </row>
    <row r="150" spans="2:19">
      <c r="B150" s="5"/>
      <c r="C150" s="5"/>
      <c r="D150" s="5"/>
      <c r="E150" s="5"/>
      <c r="F150" s="5"/>
      <c r="G150" s="5"/>
      <c r="H150" s="5"/>
      <c r="J150" s="5"/>
      <c r="K150" s="5"/>
      <c r="L150" s="5"/>
      <c r="M150" s="5"/>
      <c r="N150" s="5"/>
      <c r="O150" s="5"/>
      <c r="Q150" s="5"/>
      <c r="R150" s="5"/>
      <c r="S150" s="5"/>
    </row>
    <row r="151" spans="2:19">
      <c r="Q151" s="5"/>
      <c r="R151" s="5"/>
      <c r="S151" s="5"/>
    </row>
    <row r="152" spans="2:19">
      <c r="Q152" s="5"/>
      <c r="R152" s="5"/>
      <c r="S152" s="5"/>
    </row>
    <row r="153" spans="2:19">
      <c r="C153" s="263"/>
      <c r="Q153" s="5"/>
      <c r="R153" s="5"/>
      <c r="S153" s="5"/>
    </row>
    <row r="154" spans="2:19">
      <c r="Q154" s="5"/>
      <c r="R154" s="5"/>
      <c r="S154" s="5"/>
    </row>
    <row r="155" spans="2:19">
      <c r="Q155" s="5"/>
      <c r="R155" s="5"/>
      <c r="S155" s="5"/>
    </row>
    <row r="156" spans="2:19">
      <c r="Q156" s="5"/>
      <c r="R156" s="5"/>
      <c r="S156" s="5"/>
    </row>
    <row r="157" spans="2:19">
      <c r="Q157" s="5"/>
      <c r="R157" s="5"/>
      <c r="S157" s="5"/>
    </row>
    <row r="158" spans="2:19">
      <c r="Q158" s="5"/>
      <c r="R158" s="5"/>
      <c r="S158" s="5"/>
    </row>
    <row r="159" spans="2:19">
      <c r="Q159" s="5"/>
      <c r="R159" s="5"/>
      <c r="S159" s="5"/>
    </row>
    <row r="160" spans="2:19">
      <c r="Q160" s="5"/>
      <c r="R160" s="5"/>
      <c r="S160" s="5"/>
    </row>
    <row r="161" spans="17:19">
      <c r="Q161" s="5"/>
      <c r="R161" s="5"/>
      <c r="S161" s="5"/>
    </row>
    <row r="162" spans="17:19">
      <c r="Q162" s="5"/>
      <c r="R162" s="5"/>
      <c r="S162" s="5"/>
    </row>
    <row r="163" spans="17:19">
      <c r="Q163" s="5"/>
      <c r="R163" s="5"/>
      <c r="S163" s="5"/>
    </row>
    <row r="164" spans="17:19">
      <c r="Q164" s="5"/>
      <c r="R164" s="5"/>
      <c r="S164" s="5"/>
    </row>
    <row r="165" spans="17:19">
      <c r="Q165" s="5"/>
      <c r="R165" s="5"/>
      <c r="S165" s="5"/>
    </row>
  </sheetData>
  <phoneticPr fontId="7" type="noConversion"/>
  <hyperlinks>
    <hyperlink ref="C2" location="INDOSOP!A1" display="Jump to Indo SOP" xr:uid="{00000000-0004-0000-2D00-000001000000}"/>
  </hyperlinks>
  <pageMargins left="0.75" right="0.75" top="1" bottom="1" header="0.5" footer="0.5"/>
  <pageSetup scale="71" orientation="landscape" r:id="rId1"/>
  <headerFooter alignWithMargins="0"/>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161">
    <pageSetUpPr fitToPage="1"/>
  </sheetPr>
  <dimension ref="B1:AR165"/>
  <sheetViews>
    <sheetView showGridLines="0" zoomScale="80" zoomScaleNormal="80" workbookViewId="0"/>
  </sheetViews>
  <sheetFormatPr defaultColWidth="9.109375" defaultRowHeight="12"/>
  <cols>
    <col min="1" max="1" width="2.33203125" style="39" customWidth="1"/>
    <col min="2" max="2" width="26.5546875" style="39" customWidth="1"/>
    <col min="3" max="9" width="10" style="39" customWidth="1"/>
    <col min="10" max="10" width="26.6640625" style="39" customWidth="1"/>
    <col min="11" max="16" width="10" style="39" customWidth="1"/>
    <col min="17" max="19" width="8.6640625" style="39" customWidth="1"/>
    <col min="20" max="28" width="8.6640625" style="5" customWidth="1"/>
    <col min="29" max="44" width="9.109375" style="5"/>
    <col min="45" max="16384" width="9.109375" style="39"/>
  </cols>
  <sheetData>
    <row r="1" spans="2:44" s="312" customFormat="1">
      <c r="T1" s="149"/>
      <c r="U1" s="149"/>
      <c r="V1" s="149"/>
      <c r="W1" s="149"/>
      <c r="X1" s="149"/>
      <c r="Y1" s="149"/>
      <c r="Z1" s="149"/>
      <c r="AA1" s="149"/>
      <c r="AB1" s="149"/>
      <c r="AC1" s="149"/>
      <c r="AD1" s="149"/>
      <c r="AE1" s="149"/>
      <c r="AF1" s="149"/>
      <c r="AG1" s="149"/>
      <c r="AH1" s="149"/>
      <c r="AI1" s="149"/>
      <c r="AJ1" s="149"/>
      <c r="AK1" s="149"/>
      <c r="AL1" s="149"/>
      <c r="AM1" s="149"/>
      <c r="AN1" s="149"/>
      <c r="AO1" s="149"/>
      <c r="AP1" s="149"/>
      <c r="AQ1" s="149"/>
      <c r="AR1" s="149"/>
    </row>
    <row r="2" spans="2:44" s="149" customFormat="1"/>
    <row r="3" spans="2:44" s="149" customFormat="1">
      <c r="H3" s="153"/>
      <c r="P3" s="153"/>
    </row>
    <row r="4" spans="2:44" s="156" customFormat="1" ht="21">
      <c r="B4" s="129" t="s">
        <v>302</v>
      </c>
      <c r="H4" s="222"/>
      <c r="P4" s="222"/>
    </row>
    <row r="5" spans="2:44" s="149" customFormat="1">
      <c r="C5" s="153"/>
      <c r="D5" s="153" t="str" cm="1">
        <f t="array" ref="D5:H5">headings</f>
        <v>2023E</v>
      </c>
      <c r="E5" s="153" t="str">
        <v>2024E</v>
      </c>
      <c r="F5" s="153" t="str">
        <v>2025E</v>
      </c>
      <c r="G5" s="153" t="str">
        <v>2026E</v>
      </c>
      <c r="H5" s="153" t="str">
        <v>23E-26E</v>
      </c>
      <c r="I5" s="153"/>
      <c r="J5" s="153"/>
      <c r="K5" s="153"/>
      <c r="L5" s="153" t="str" cm="1">
        <f t="array" ref="L5:P5">headings</f>
        <v>2023E</v>
      </c>
      <c r="M5" s="153" t="str">
        <v>2024E</v>
      </c>
      <c r="N5" s="153" t="str">
        <v>2025E</v>
      </c>
      <c r="O5" s="153" t="str">
        <v>2026E</v>
      </c>
      <c r="P5" s="153" t="str">
        <v>23E-26E</v>
      </c>
      <c r="Q5" s="162"/>
      <c r="R5" s="162"/>
      <c r="S5" s="162"/>
      <c r="T5" s="162"/>
      <c r="U5" s="162"/>
      <c r="V5" s="162"/>
      <c r="W5" s="162"/>
      <c r="X5" s="162"/>
      <c r="Y5" s="162"/>
    </row>
    <row r="6" spans="2:44">
      <c r="I6" s="5"/>
      <c r="J6" s="5"/>
      <c r="K6" s="5"/>
      <c r="L6" s="5"/>
      <c r="M6" s="5"/>
      <c r="N6" s="5"/>
      <c r="O6" s="49"/>
    </row>
    <row r="7" spans="2:44" ht="12.6" thickBot="1">
      <c r="B7" s="306" t="s">
        <v>271</v>
      </c>
      <c r="C7" s="265"/>
      <c r="D7" s="265" t="str">
        <f>D5</f>
        <v>2023E</v>
      </c>
      <c r="E7" s="265" t="str">
        <f t="shared" ref="E7:H7" si="0">E5</f>
        <v>2024E</v>
      </c>
      <c r="F7" s="265" t="str">
        <f t="shared" si="0"/>
        <v>2025E</v>
      </c>
      <c r="G7" s="265" t="str">
        <f t="shared" si="0"/>
        <v>2026E</v>
      </c>
      <c r="H7" s="265" t="str">
        <f t="shared" si="0"/>
        <v>23E-26E</v>
      </c>
      <c r="I7" s="49"/>
      <c r="J7" s="306" t="s">
        <v>536</v>
      </c>
      <c r="K7" s="306"/>
      <c r="L7" s="265" t="str">
        <f>L5</f>
        <v>2023E</v>
      </c>
      <c r="M7" s="265" t="str">
        <f t="shared" ref="M7:P7" si="1">M5</f>
        <v>2024E</v>
      </c>
      <c r="N7" s="265" t="str">
        <f t="shared" si="1"/>
        <v>2025E</v>
      </c>
      <c r="O7" s="265" t="str">
        <f t="shared" si="1"/>
        <v>2026E</v>
      </c>
      <c r="P7" s="265" t="str">
        <f t="shared" si="1"/>
        <v>23E-26E</v>
      </c>
    </row>
    <row r="8" spans="2:44" ht="12.6" thickTop="1">
      <c r="B8" s="5"/>
      <c r="C8" s="5"/>
      <c r="D8" s="5"/>
      <c r="E8" s="5"/>
      <c r="F8" s="5"/>
      <c r="G8" s="5"/>
      <c r="H8" s="5"/>
      <c r="I8" s="5"/>
      <c r="J8" s="5"/>
      <c r="K8" s="5"/>
      <c r="L8" s="5"/>
      <c r="M8" s="5"/>
      <c r="N8" s="5"/>
      <c r="S8" s="88"/>
      <c r="T8" s="42"/>
      <c r="U8" s="42"/>
      <c r="V8" s="42"/>
      <c r="W8" s="42"/>
      <c r="X8" s="42"/>
      <c r="Y8" s="42"/>
      <c r="Z8" s="42"/>
      <c r="AA8" s="42"/>
    </row>
    <row r="9" spans="2:44">
      <c r="B9" s="41" t="s">
        <v>972</v>
      </c>
      <c r="C9" s="285">
        <f>Prices!C63</f>
        <v>4302</v>
      </c>
      <c r="D9" s="535">
        <v>0</v>
      </c>
      <c r="E9" s="536">
        <v>0</v>
      </c>
      <c r="F9" s="536">
        <v>0</v>
      </c>
      <c r="G9" s="536">
        <v>0</v>
      </c>
      <c r="H9" s="249"/>
      <c r="I9" s="249"/>
      <c r="J9" s="5" t="s">
        <v>273</v>
      </c>
      <c r="L9" s="529">
        <f>'AGG ASIA CELLULAR'!D37</f>
        <v>2.0832818906884643</v>
      </c>
      <c r="M9" s="529">
        <f>'AGG ASIA CELLULAR'!E37</f>
        <v>1.9180381131180324</v>
      </c>
      <c r="N9" s="529">
        <f>'AGG ASIA CELLULAR'!F37</f>
        <v>1.6973984727138696</v>
      </c>
      <c r="O9" s="529">
        <f>'AGG ASIA CELLULAR'!G37</f>
        <v>1.4849146547081604</v>
      </c>
      <c r="P9" s="286">
        <f>'AGG ASIA CELLULAR'!H37</f>
        <v>5.2823672985303771E-2</v>
      </c>
      <c r="S9" s="88"/>
      <c r="T9" s="42"/>
      <c r="U9" s="42"/>
      <c r="V9" s="42"/>
      <c r="W9" s="42"/>
      <c r="X9" s="42"/>
      <c r="Y9" s="42"/>
      <c r="Z9" s="42"/>
      <c r="AA9" s="42"/>
    </row>
    <row r="10" spans="2:44">
      <c r="B10" s="5" t="s">
        <v>274</v>
      </c>
      <c r="C10" s="5"/>
      <c r="D10" s="533">
        <v>2082.254148</v>
      </c>
      <c r="E10" s="533">
        <v>2037.8097035555556</v>
      </c>
      <c r="F10" s="533">
        <v>1982.254148</v>
      </c>
      <c r="G10" s="533">
        <v>1926.6985924444443</v>
      </c>
      <c r="H10" s="247"/>
      <c r="I10" s="247"/>
      <c r="J10" s="5" t="s">
        <v>184</v>
      </c>
      <c r="L10" s="529">
        <f>'AGG ASIA CELLULAR'!D38</f>
        <v>6.3578764048835863</v>
      </c>
      <c r="M10" s="529">
        <f>'AGG ASIA CELLULAR'!E38</f>
        <v>5.8349432944863064</v>
      </c>
      <c r="N10" s="529">
        <f>'AGG ASIA CELLULAR'!F38</f>
        <v>5.103853656504258</v>
      </c>
      <c r="O10" s="529">
        <f>'AGG ASIA CELLULAR'!G38</f>
        <v>4.4165179955724438</v>
      </c>
      <c r="P10" s="286">
        <f>'AGG ASIA CELLULAR'!H38</f>
        <v>6.1901299000113985E-2</v>
      </c>
      <c r="S10" s="88"/>
      <c r="T10" s="42"/>
      <c r="U10" s="42"/>
      <c r="V10" s="42"/>
      <c r="W10" s="288"/>
      <c r="X10" s="288"/>
      <c r="Y10" s="288"/>
      <c r="Z10" s="288"/>
      <c r="AA10" s="42"/>
    </row>
    <row r="11" spans="2:44">
      <c r="B11" s="41" t="s">
        <v>876</v>
      </c>
      <c r="C11" s="5"/>
      <c r="D11" s="532">
        <f>($C$9*D10)/1000</f>
        <v>8957.8573446959999</v>
      </c>
      <c r="E11" s="532">
        <f>($C$9*E10)/1000</f>
        <v>8766.657344696001</v>
      </c>
      <c r="F11" s="532">
        <f>($C$9*F10)/1000</f>
        <v>8527.657344696001</v>
      </c>
      <c r="G11" s="532">
        <f>($C$9*G10)/1000</f>
        <v>8288.6573446959992</v>
      </c>
      <c r="H11" s="249"/>
      <c r="I11" s="249"/>
      <c r="J11" s="5" t="s">
        <v>185</v>
      </c>
      <c r="L11" s="529">
        <f>'AGG ASIA CELLULAR'!D39</f>
        <v>12.256315794878686</v>
      </c>
      <c r="M11" s="529">
        <f>'AGG ASIA CELLULAR'!E39</f>
        <v>10.532349001792122</v>
      </c>
      <c r="N11" s="529">
        <f>'AGG ASIA CELLULAR'!F39</f>
        <v>8.8097379743624202</v>
      </c>
      <c r="O11" s="529">
        <f>'AGG ASIA CELLULAR'!G39</f>
        <v>7.3400525025099741</v>
      </c>
      <c r="P11" s="286">
        <f>'AGG ASIA CELLULAR'!H39</f>
        <v>0.11573327430771596</v>
      </c>
      <c r="S11" s="88"/>
      <c r="T11" s="42"/>
      <c r="U11" s="42"/>
      <c r="V11" s="42"/>
      <c r="W11" s="288"/>
      <c r="X11" s="288"/>
      <c r="Y11" s="288"/>
      <c r="Z11" s="288"/>
      <c r="AA11" s="42"/>
    </row>
    <row r="12" spans="2:44">
      <c r="B12" s="5" t="s">
        <v>24</v>
      </c>
      <c r="C12" s="249"/>
      <c r="D12" s="533">
        <v>1540.3404100464593</v>
      </c>
      <c r="E12" s="533">
        <v>1314.2705666145689</v>
      </c>
      <c r="F12" s="533">
        <v>1121.7531350438744</v>
      </c>
      <c r="G12" s="533">
        <v>902.77504960120507</v>
      </c>
      <c r="H12" s="247"/>
      <c r="I12" s="247"/>
      <c r="J12" s="5" t="s">
        <v>466</v>
      </c>
      <c r="L12" s="529">
        <f>'AGG ASIA CELLULAR'!D40</f>
        <v>15.951300793811486</v>
      </c>
      <c r="M12" s="529">
        <f>'AGG ASIA CELLULAR'!E40</f>
        <v>13.847183646795452</v>
      </c>
      <c r="N12" s="529">
        <f>'AGG ASIA CELLULAR'!F40</f>
        <v>11.626709680654198</v>
      </c>
      <c r="O12" s="529">
        <f>'AGG ASIA CELLULAR'!G40</f>
        <v>9.7078389032116537</v>
      </c>
      <c r="P12" s="286">
        <f>'AGG ASIA CELLULAR'!H40</f>
        <v>0.10976572550111241</v>
      </c>
      <c r="S12" s="88"/>
      <c r="T12" s="42"/>
      <c r="U12" s="42"/>
      <c r="V12" s="42"/>
      <c r="W12" s="288"/>
      <c r="X12" s="288"/>
      <c r="Y12" s="288"/>
      <c r="Z12" s="288"/>
      <c r="AA12" s="42"/>
    </row>
    <row r="13" spans="2:44">
      <c r="B13" s="5" t="s">
        <v>529</v>
      </c>
      <c r="C13" s="257"/>
      <c r="D13" s="533">
        <v>0</v>
      </c>
      <c r="E13" s="533">
        <v>0</v>
      </c>
      <c r="F13" s="533">
        <v>0</v>
      </c>
      <c r="G13" s="533">
        <v>0</v>
      </c>
      <c r="H13" s="247"/>
      <c r="I13" s="247"/>
      <c r="J13" s="5" t="s">
        <v>530</v>
      </c>
      <c r="L13" s="529">
        <f>'AGG ASIA CELLULAR'!D41</f>
        <v>1.4274445412547272</v>
      </c>
      <c r="M13" s="529">
        <f>'AGG ASIA CELLULAR'!E41</f>
        <v>1.4179696737537477</v>
      </c>
      <c r="N13" s="529">
        <f>'AGG ASIA CELLULAR'!F41</f>
        <v>1.3450707920768976</v>
      </c>
      <c r="O13" s="529">
        <f>'AGG ASIA CELLULAR'!G41</f>
        <v>1.2618986136137988</v>
      </c>
      <c r="P13" s="286">
        <f>'AGG ASIA CELLULAR'!H41</f>
        <v>-2.0092563683029918E-2</v>
      </c>
      <c r="S13" s="88"/>
      <c r="T13" s="42"/>
      <c r="U13" s="42"/>
      <c r="V13" s="42"/>
      <c r="W13" s="42"/>
      <c r="X13" s="42"/>
      <c r="Y13" s="42"/>
      <c r="Z13" s="42"/>
      <c r="AA13" s="42"/>
    </row>
    <row r="14" spans="2:44">
      <c r="B14" s="5" t="s">
        <v>532</v>
      </c>
      <c r="C14" s="257"/>
      <c r="D14" s="533">
        <v>0</v>
      </c>
      <c r="E14" s="533">
        <v>0</v>
      </c>
      <c r="F14" s="533">
        <v>0</v>
      </c>
      <c r="G14" s="533">
        <v>0</v>
      </c>
      <c r="H14" s="247"/>
      <c r="I14" s="247"/>
      <c r="J14" s="5" t="s">
        <v>593</v>
      </c>
      <c r="L14" s="529">
        <f>'AGG ASIA CELLULAR'!D42</f>
        <v>2.9130695199933734</v>
      </c>
      <c r="M14" s="529">
        <f>'AGG ASIA CELLULAR'!E42</f>
        <v>2.8146219035099969</v>
      </c>
      <c r="N14" s="529">
        <f>'AGG ASIA CELLULAR'!F42</f>
        <v>2.5888583636405476</v>
      </c>
      <c r="O14" s="529">
        <f>'AGG ASIA CELLULAR'!G42</f>
        <v>2.3605815546209548</v>
      </c>
      <c r="P14" s="286">
        <f>'AGG ASIA CELLULAR'!H42</f>
        <v>8.7512202951403051E-3</v>
      </c>
      <c r="S14" s="88"/>
      <c r="T14" s="42"/>
      <c r="U14" s="42"/>
      <c r="V14" s="42"/>
      <c r="W14" s="42"/>
      <c r="X14" s="42"/>
      <c r="Y14" s="42"/>
      <c r="Z14" s="42"/>
      <c r="AA14" s="42"/>
    </row>
    <row r="15" spans="2:44">
      <c r="B15" s="5" t="s">
        <v>531</v>
      </c>
      <c r="C15" s="274"/>
      <c r="D15" s="533">
        <v>0</v>
      </c>
      <c r="E15" s="533">
        <v>0</v>
      </c>
      <c r="F15" s="533">
        <v>0</v>
      </c>
      <c r="G15" s="533">
        <v>0</v>
      </c>
      <c r="H15" s="247"/>
      <c r="I15" s="247"/>
      <c r="J15" s="5" t="s">
        <v>475</v>
      </c>
      <c r="L15" s="529">
        <f>'AGG ASIA CELLULAR'!D43</f>
        <v>19.278364274513134</v>
      </c>
      <c r="M15" s="529">
        <f>'AGG ASIA CELLULAR'!E43</f>
        <v>15.523038202411636</v>
      </c>
      <c r="N15" s="529">
        <f>'AGG ASIA CELLULAR'!F43</f>
        <v>13.257386088679914</v>
      </c>
      <c r="O15" s="529">
        <f>'AGG ASIA CELLULAR'!G43</f>
        <v>11.466142328229227</v>
      </c>
      <c r="P15" s="286">
        <f>'AGG ASIA CELLULAR'!H43</f>
        <v>0.18831027118838706</v>
      </c>
      <c r="S15" s="88"/>
      <c r="T15" s="42"/>
      <c r="U15" s="42"/>
      <c r="V15" s="42"/>
      <c r="W15" s="42"/>
      <c r="X15" s="42"/>
      <c r="Y15" s="42"/>
      <c r="Z15" s="42"/>
      <c r="AA15" s="42"/>
    </row>
    <row r="16" spans="2:44">
      <c r="B16" s="5" t="s">
        <v>534</v>
      </c>
      <c r="C16" s="257"/>
      <c r="D16" s="533">
        <v>0</v>
      </c>
      <c r="E16" s="533">
        <v>298.70462923777779</v>
      </c>
      <c r="F16" s="533">
        <v>600.20941810444447</v>
      </c>
      <c r="G16" s="533">
        <v>903.15325548888882</v>
      </c>
      <c r="H16" s="247"/>
      <c r="I16" s="247"/>
      <c r="J16" s="5" t="s">
        <v>533</v>
      </c>
      <c r="L16" s="529">
        <f>'AGG ASIA CELLULAR'!D44</f>
        <v>20.50009040888548</v>
      </c>
      <c r="M16" s="529">
        <f>'AGG ASIA CELLULAR'!E44</f>
        <v>17.31807909095523</v>
      </c>
      <c r="N16" s="529">
        <f>'AGG ASIA CELLULAR'!F44</f>
        <v>14.883294016253318</v>
      </c>
      <c r="O16" s="529">
        <f>'AGG ASIA CELLULAR'!G44</f>
        <v>13.16548576425039</v>
      </c>
      <c r="P16" s="286">
        <f>'AGG ASIA CELLULAR'!H44</f>
        <v>0.15839482711139796</v>
      </c>
      <c r="S16" s="88"/>
      <c r="T16" s="42"/>
      <c r="U16" s="42"/>
      <c r="V16" s="42"/>
      <c r="W16" s="42"/>
      <c r="X16" s="42"/>
      <c r="Y16" s="42"/>
      <c r="Z16" s="42"/>
      <c r="AA16" s="42"/>
    </row>
    <row r="17" spans="2:27">
      <c r="B17" s="5" t="s">
        <v>6</v>
      </c>
      <c r="C17" s="257"/>
      <c r="D17" s="533">
        <v>0</v>
      </c>
      <c r="E17" s="533">
        <v>0</v>
      </c>
      <c r="F17" s="533">
        <v>0</v>
      </c>
      <c r="G17" s="533">
        <v>0</v>
      </c>
      <c r="H17" s="247"/>
      <c r="I17" s="247"/>
      <c r="J17" s="5" t="s">
        <v>580</v>
      </c>
      <c r="L17" s="248">
        <f>'AGG ASIA CELLULAR'!D45</f>
        <v>4.174038595528512E-2</v>
      </c>
      <c r="M17" s="248">
        <f>'AGG ASIA CELLULAR'!E45</f>
        <v>4.4792872771489058E-2</v>
      </c>
      <c r="N17" s="248">
        <f>'AGG ASIA CELLULAR'!F45</f>
        <v>5.1203391440393167E-2</v>
      </c>
      <c r="O17" s="248">
        <f>'AGG ASIA CELLULAR'!G45</f>
        <v>5.7913719466381006E-2</v>
      </c>
      <c r="P17" s="286">
        <f>'AGG ASIA CELLULAR'!H45</f>
        <v>0.11470165475568339</v>
      </c>
      <c r="S17" s="88"/>
      <c r="T17" s="42"/>
      <c r="U17" s="42"/>
      <c r="V17" s="42"/>
      <c r="W17" s="42"/>
      <c r="X17" s="42"/>
      <c r="Y17" s="42"/>
      <c r="Z17" s="42"/>
      <c r="AA17" s="42"/>
    </row>
    <row r="18" spans="2:27" ht="12.6" thickBot="1">
      <c r="B18" s="41" t="s">
        <v>583</v>
      </c>
      <c r="C18" s="249"/>
      <c r="D18" s="534">
        <f>D11+D12+D13-D14+D15-D16-D17</f>
        <v>10498.197754742459</v>
      </c>
      <c r="E18" s="534">
        <f>E11+E12+E13-E14+E15-E16-E17</f>
        <v>9782.2232820727913</v>
      </c>
      <c r="F18" s="534">
        <f>F11+F12+F13-F14+F15-F16-F17</f>
        <v>9049.201061635431</v>
      </c>
      <c r="G18" s="534">
        <f>G11+G12+G13-G14+G15-G16-G17</f>
        <v>8288.2791388083151</v>
      </c>
      <c r="H18" s="276">
        <f>IF(D18=0,"nm",IF(G18=0,"nm",(G18/D18)^(1/3)-1))</f>
        <v>-7.5763306548374265E-2</v>
      </c>
      <c r="I18" s="254"/>
      <c r="J18" s="5" t="s">
        <v>36</v>
      </c>
      <c r="L18" s="248" t="e">
        <f>'AGG ASIA CELLULAR'!D46</f>
        <v>#VALUE!</v>
      </c>
      <c r="M18" s="248" t="e">
        <f>'AGG ASIA CELLULAR'!E46</f>
        <v>#VALUE!</v>
      </c>
      <c r="N18" s="248" t="e">
        <f>'AGG ASIA CELLULAR'!F46</f>
        <v>#VALUE!</v>
      </c>
      <c r="O18" s="248" t="e">
        <f>'AGG ASIA CELLULAR'!G46</f>
        <v>#VALUE!</v>
      </c>
      <c r="P18" s="286" t="e">
        <f>'AGG ASIA CELLULAR'!H46</f>
        <v>#VALUE!</v>
      </c>
      <c r="S18" s="88"/>
      <c r="T18" s="42"/>
      <c r="U18" s="42"/>
      <c r="V18" s="42"/>
      <c r="W18" s="42"/>
      <c r="X18" s="42"/>
      <c r="Y18" s="42"/>
      <c r="Z18" s="42"/>
      <c r="AA18" s="42"/>
    </row>
    <row r="19" spans="2:27" ht="12.6" thickTop="1">
      <c r="B19" s="41"/>
      <c r="C19" s="249"/>
      <c r="D19" s="229"/>
      <c r="E19" s="229"/>
      <c r="F19" s="229"/>
      <c r="G19" s="229"/>
      <c r="H19" s="276"/>
      <c r="I19" s="254"/>
      <c r="J19" s="5" t="s">
        <v>581</v>
      </c>
      <c r="L19" s="248">
        <f>'AGG ASIA CELLULAR'!D47</f>
        <v>5.1871620732991598E-2</v>
      </c>
      <c r="M19" s="248">
        <f>'AGG ASIA CELLULAR'!E47</f>
        <v>6.4420378727447922E-2</v>
      </c>
      <c r="N19" s="248">
        <f>'AGG ASIA CELLULAR'!F47</f>
        <v>7.5429650559386677E-2</v>
      </c>
      <c r="O19" s="248">
        <f>'AGG ASIA CELLULAR'!G47</f>
        <v>8.7213290344219457E-2</v>
      </c>
      <c r="P19" s="286">
        <f>'AGG ASIA CELLULAR'!H47</f>
        <v>0.18831027118838706</v>
      </c>
      <c r="S19" s="88"/>
      <c r="T19" s="42"/>
      <c r="U19" s="42"/>
      <c r="V19" s="42"/>
      <c r="W19" s="42"/>
      <c r="X19" s="42"/>
      <c r="Y19" s="42"/>
      <c r="Z19" s="42"/>
      <c r="AA19" s="42"/>
    </row>
    <row r="20" spans="2:27">
      <c r="H20" s="277"/>
      <c r="I20" s="17"/>
      <c r="J20" s="5" t="s">
        <v>604</v>
      </c>
      <c r="L20" s="305">
        <f>'AGG ASIA CELLULAR'!D48</f>
        <v>0.92045377326476352</v>
      </c>
      <c r="M20" s="305">
        <f>'AGG ASIA CELLULAR'!E48</f>
        <v>0.79490390762892493</v>
      </c>
      <c r="N20" s="305">
        <f>'AGG ASIA CELLULAR'!F48</f>
        <v>0.7763724496707467</v>
      </c>
      <c r="O20" s="305">
        <f>'AGG ASIA CELLULAR'!G48</f>
        <v>0.75978089170129071</v>
      </c>
      <c r="P20" s="286" t="str">
        <f>'AGG ASIA CELLULAR'!H48</f>
        <v>nm</v>
      </c>
      <c r="S20" s="88"/>
      <c r="T20" s="42"/>
      <c r="U20" s="42"/>
      <c r="V20" s="42"/>
      <c r="W20" s="42"/>
      <c r="X20" s="42"/>
      <c r="Y20" s="42"/>
      <c r="Z20" s="42"/>
      <c r="AA20" s="42"/>
    </row>
    <row r="21" spans="2:27" ht="12.6" thickBot="1">
      <c r="B21" s="306" t="s">
        <v>942</v>
      </c>
      <c r="C21" s="265"/>
      <c r="D21" s="265" t="str">
        <f>D5</f>
        <v>2023E</v>
      </c>
      <c r="E21" s="265" t="str">
        <f t="shared" ref="E21:H21" si="2">E5</f>
        <v>2024E</v>
      </c>
      <c r="F21" s="265" t="str">
        <f t="shared" si="2"/>
        <v>2025E</v>
      </c>
      <c r="G21" s="265" t="str">
        <f t="shared" si="2"/>
        <v>2026E</v>
      </c>
      <c r="H21" s="265" t="str">
        <f t="shared" si="2"/>
        <v>23E-26E</v>
      </c>
      <c r="I21" s="49"/>
      <c r="J21" s="41"/>
      <c r="L21" s="250"/>
      <c r="M21" s="250"/>
      <c r="N21" s="250"/>
      <c r="O21" s="250"/>
      <c r="P21" s="286"/>
      <c r="S21" s="88"/>
      <c r="T21" s="42"/>
      <c r="U21" s="42"/>
      <c r="V21" s="42"/>
      <c r="W21" s="42"/>
      <c r="X21" s="42"/>
      <c r="Y21" s="42"/>
      <c r="Z21" s="42"/>
      <c r="AA21" s="42"/>
    </row>
    <row r="22" spans="2:27" ht="12.6" thickTop="1">
      <c r="B22" s="5"/>
      <c r="C22" s="257"/>
      <c r="D22" s="17"/>
      <c r="E22" s="17"/>
      <c r="F22" s="17"/>
      <c r="G22" s="17"/>
      <c r="H22" s="17"/>
      <c r="I22" s="17"/>
      <c r="P22" s="277"/>
      <c r="S22" s="88"/>
      <c r="T22" s="42"/>
      <c r="U22" s="42"/>
      <c r="V22" s="42"/>
      <c r="W22" s="42"/>
      <c r="X22" s="42"/>
      <c r="Y22" s="42"/>
      <c r="Z22" s="42"/>
      <c r="AA22" s="42"/>
    </row>
    <row r="23" spans="2:27" ht="12.6" thickBot="1">
      <c r="B23" s="5" t="s">
        <v>584</v>
      </c>
      <c r="C23" s="548">
        <v>5671.7609999999995</v>
      </c>
      <c r="D23" s="540">
        <v>5754.0480000000007</v>
      </c>
      <c r="E23" s="540">
        <v>5943.677548312713</v>
      </c>
      <c r="F23" s="540">
        <v>6152.980438796556</v>
      </c>
      <c r="G23" s="540">
        <v>6357.1113476549108</v>
      </c>
      <c r="H23" s="279">
        <f>IF(D23=0,"nm",IF(G23=0,"nm",(G23/D23)^(1/3)-1))</f>
        <v>3.3781555483664238E-2</v>
      </c>
      <c r="I23" s="247"/>
      <c r="J23" s="306" t="s">
        <v>9</v>
      </c>
      <c r="K23" s="306"/>
      <c r="L23" s="265" t="str">
        <f>D21</f>
        <v>2023E</v>
      </c>
      <c r="M23" s="265" t="str">
        <f t="shared" ref="M23:P23" si="3">E21</f>
        <v>2024E</v>
      </c>
      <c r="N23" s="265" t="str">
        <f t="shared" si="3"/>
        <v>2025E</v>
      </c>
      <c r="O23" s="265" t="str">
        <f t="shared" si="3"/>
        <v>2026E</v>
      </c>
      <c r="P23" s="265" t="str">
        <f t="shared" si="3"/>
        <v>23E-26E</v>
      </c>
      <c r="S23" s="88"/>
      <c r="T23" s="42"/>
      <c r="U23" s="42"/>
      <c r="V23" s="42"/>
      <c r="W23" s="42"/>
      <c r="X23" s="42"/>
      <c r="Y23" s="42"/>
      <c r="Z23" s="42"/>
      <c r="AA23" s="42"/>
    </row>
    <row r="24" spans="2:27" ht="12.6" thickTop="1">
      <c r="B24" s="5" t="s">
        <v>483</v>
      </c>
      <c r="C24" s="549">
        <v>1788.1109999999999</v>
      </c>
      <c r="D24" s="540">
        <v>1661.7019999999998</v>
      </c>
      <c r="E24" s="540">
        <v>1730.7907508360131</v>
      </c>
      <c r="F24" s="540">
        <v>1799.939472087699</v>
      </c>
      <c r="G24" s="540">
        <v>1870.5702043519491</v>
      </c>
      <c r="H24" s="279">
        <f>IF(D24=0,"nm",IF(G24=0,"nm",(G24/D24)^(1/3)-1))</f>
        <v>4.025614496450336E-2</v>
      </c>
      <c r="I24" s="249"/>
      <c r="J24" s="17"/>
      <c r="K24" s="17"/>
      <c r="L24" s="17"/>
      <c r="M24" s="17"/>
      <c r="N24" s="17"/>
      <c r="O24" s="248"/>
      <c r="S24" s="88"/>
      <c r="T24" s="42"/>
      <c r="U24" s="42"/>
      <c r="V24" s="42"/>
      <c r="W24" s="42" t="s">
        <v>302</v>
      </c>
      <c r="X24" s="42" t="s">
        <v>257</v>
      </c>
      <c r="Y24" s="42"/>
      <c r="Z24" s="42"/>
      <c r="AA24" s="42"/>
    </row>
    <row r="25" spans="2:27">
      <c r="B25" s="5" t="s">
        <v>183</v>
      </c>
      <c r="C25" s="548">
        <v>1160.5679999999998</v>
      </c>
      <c r="D25" s="540">
        <v>912.40499999999975</v>
      </c>
      <c r="E25" s="540">
        <v>1106.7046082631782</v>
      </c>
      <c r="F25" s="540">
        <v>1153.8765260140606</v>
      </c>
      <c r="G25" s="540">
        <v>1203.0735128481833</v>
      </c>
      <c r="H25" s="279">
        <f>IF(D25=0,"nm",IF(G25=0,"nm",(G25/D25)^(1/3)-1))</f>
        <v>9.6566152001714922E-2</v>
      </c>
      <c r="I25" s="248"/>
      <c r="J25" s="247" t="s">
        <v>10</v>
      </c>
      <c r="K25" s="247"/>
      <c r="L25" s="321">
        <v>0</v>
      </c>
      <c r="M25" s="321">
        <v>0</v>
      </c>
      <c r="N25" s="321">
        <v>0</v>
      </c>
      <c r="O25" s="321">
        <v>0</v>
      </c>
      <c r="P25" s="279" t="str">
        <f>IF(L25=0,"nm",IF(O25=0,"nm",(O25/L25)^(1/3)-1))</f>
        <v>nm</v>
      </c>
      <c r="S25" s="88"/>
      <c r="T25" s="42"/>
      <c r="U25" s="42"/>
      <c r="V25" s="147" t="s">
        <v>273</v>
      </c>
      <c r="W25" s="288">
        <f>D37/L9</f>
        <v>0.87577638456169793</v>
      </c>
      <c r="X25" s="288">
        <v>1</v>
      </c>
      <c r="Y25" s="42"/>
      <c r="Z25" s="42"/>
      <c r="AA25" s="42"/>
    </row>
    <row r="26" spans="2:27">
      <c r="B26" s="5" t="s">
        <v>586</v>
      </c>
      <c r="C26" s="548">
        <v>735.39759999999978</v>
      </c>
      <c r="D26" s="540">
        <v>561.68349999999975</v>
      </c>
      <c r="E26" s="540">
        <v>697.69322578422475</v>
      </c>
      <c r="F26" s="540">
        <v>730.71356820984238</v>
      </c>
      <c r="G26" s="540">
        <v>765.15145899372828</v>
      </c>
      <c r="H26" s="279">
        <f>IF(D26=0,"nm",IF(G26=0,"nm",(G26/D26)^(1/3)-1))</f>
        <v>0.10854139424105824</v>
      </c>
      <c r="I26" s="249"/>
      <c r="J26" s="249" t="s">
        <v>11</v>
      </c>
      <c r="K26" s="249"/>
      <c r="L26" s="281">
        <f>D11+L25</f>
        <v>8957.8573446959999</v>
      </c>
      <c r="M26" s="281">
        <f>E11+M25</f>
        <v>8766.657344696001</v>
      </c>
      <c r="N26" s="281">
        <f>F11+N25</f>
        <v>8527.657344696001</v>
      </c>
      <c r="O26" s="281">
        <f>G11+O25</f>
        <v>8288.6573446959992</v>
      </c>
      <c r="P26" s="279">
        <f>IF(L26=0,"nm",IF(O26=0,"nm",(O26/L26)^(1/3)-1))</f>
        <v>-2.554897955968527E-2</v>
      </c>
      <c r="Q26" s="5"/>
      <c r="S26" s="88"/>
      <c r="T26" s="42"/>
      <c r="U26" s="42"/>
      <c r="V26" s="147" t="s">
        <v>184</v>
      </c>
      <c r="W26" s="288">
        <f t="shared" ref="W26:W33" si="4">D38/L10</f>
        <v>0.9936868111717887</v>
      </c>
      <c r="X26" s="288">
        <v>1</v>
      </c>
      <c r="Y26" s="42"/>
      <c r="Z26" s="42"/>
      <c r="AA26" s="42"/>
    </row>
    <row r="27" spans="2:27">
      <c r="B27" s="5" t="s">
        <v>587</v>
      </c>
      <c r="C27" s="549">
        <v>7205.116</v>
      </c>
      <c r="D27" s="540">
        <v>7611.4014100464592</v>
      </c>
      <c r="E27" s="540">
        <v>7828.2583093141884</v>
      </c>
      <c r="F27" s="540">
        <v>8128.1633884676166</v>
      </c>
      <c r="G27" s="540">
        <v>8451.3510543306893</v>
      </c>
      <c r="H27" s="279">
        <f>IF(ISERROR((G27/D27)^(1/3)-1),"na",(G27/D27)^(1/3)-1)</f>
        <v>3.55089061818048E-2</v>
      </c>
      <c r="I27" s="249"/>
      <c r="J27" s="248"/>
      <c r="K27" s="248"/>
      <c r="L27" s="248"/>
      <c r="M27" s="248"/>
      <c r="N27" s="248"/>
      <c r="O27" s="248"/>
      <c r="Q27" s="41"/>
      <c r="S27" s="88"/>
      <c r="T27" s="42"/>
      <c r="U27" s="42"/>
      <c r="V27" s="147" t="s">
        <v>185</v>
      </c>
      <c r="W27" s="288">
        <f t="shared" si="4"/>
        <v>0.93878718015921192</v>
      </c>
      <c r="X27" s="288">
        <v>1</v>
      </c>
      <c r="Y27" s="42"/>
      <c r="Z27" s="42"/>
      <c r="AA27" s="42"/>
    </row>
    <row r="28" spans="2:27" ht="12.6" thickBot="1">
      <c r="B28" s="5" t="s">
        <v>592</v>
      </c>
      <c r="C28" s="548">
        <v>2595.721</v>
      </c>
      <c r="D28" s="540">
        <v>2642.6714000000002</v>
      </c>
      <c r="E28" s="540">
        <v>2604.7462698009849</v>
      </c>
      <c r="F28" s="540">
        <v>2584.9091812525321</v>
      </c>
      <c r="G28" s="540">
        <v>2582.0120794111681</v>
      </c>
      <c r="H28" s="279">
        <f>IF(ISERROR((G28/D28)^(1/3)-1),"na",(G28/D28)^(1/3)-1)</f>
        <v>-7.7105628327385212E-3</v>
      </c>
      <c r="I28" s="248"/>
      <c r="J28" s="306" t="s">
        <v>1362</v>
      </c>
      <c r="K28" s="306"/>
      <c r="L28" s="306"/>
      <c r="M28" s="306"/>
      <c r="N28" s="266"/>
      <c r="O28" s="266"/>
      <c r="P28" s="266"/>
      <c r="Q28" s="5"/>
      <c r="S28" s="88"/>
      <c r="T28" s="42"/>
      <c r="U28" s="42"/>
      <c r="V28" s="147" t="s">
        <v>466</v>
      </c>
      <c r="W28" s="288">
        <f t="shared" si="4"/>
        <v>1.1717284597011357</v>
      </c>
      <c r="X28" s="288">
        <v>1</v>
      </c>
      <c r="Y28" s="42"/>
      <c r="Z28" s="42"/>
      <c r="AA28" s="42"/>
    </row>
    <row r="29" spans="2:27" ht="12.6" thickTop="1">
      <c r="B29" s="5" t="s">
        <v>588</v>
      </c>
      <c r="C29" s="548">
        <v>762.28700000000015</v>
      </c>
      <c r="D29" s="540">
        <v>588.69499999999971</v>
      </c>
      <c r="E29" s="540">
        <v>745.89513370939994</v>
      </c>
      <c r="F29" s="540">
        <v>768.50495477788809</v>
      </c>
      <c r="G29" s="540">
        <v>793.00203249341996</v>
      </c>
      <c r="H29" s="279">
        <f>IF(D29=0,"nm",IF(G29=0,"nm",(G29/D29)^(1/3)-1))</f>
        <v>0.10440403428689149</v>
      </c>
      <c r="I29" s="252"/>
      <c r="J29" s="249"/>
      <c r="K29" s="249"/>
      <c r="L29" s="249"/>
      <c r="M29" s="249"/>
      <c r="N29" s="249"/>
      <c r="O29" s="251"/>
      <c r="Q29" s="5"/>
      <c r="S29" s="88"/>
      <c r="T29" s="42"/>
      <c r="U29" s="42"/>
      <c r="V29" s="147" t="s">
        <v>530</v>
      </c>
      <c r="W29" s="288">
        <f t="shared" si="4"/>
        <v>0.96625305229364322</v>
      </c>
      <c r="X29" s="288">
        <v>1</v>
      </c>
      <c r="Y29" s="42"/>
      <c r="Z29" s="42"/>
      <c r="AA29" s="42"/>
    </row>
    <row r="30" spans="2:27">
      <c r="B30" s="5" t="s">
        <v>589</v>
      </c>
      <c r="C30" s="549">
        <v>679.11200000000019</v>
      </c>
      <c r="D30" s="540">
        <v>638.05199999999991</v>
      </c>
      <c r="E30" s="540">
        <v>673.6788362822349</v>
      </c>
      <c r="F30" s="540">
        <v>721.79972605152659</v>
      </c>
      <c r="G30" s="540">
        <v>770.16121416118585</v>
      </c>
      <c r="H30" s="279">
        <f>IF(D30=0,"nm",IF(G30=0,"nm",(G30/D30)^(1/3)-1))</f>
        <v>6.4735799092507484E-2</v>
      </c>
      <c r="I30" s="254"/>
      <c r="J30" s="248"/>
      <c r="K30" s="248"/>
      <c r="L30" s="248"/>
      <c r="M30" s="248"/>
      <c r="N30" s="248"/>
      <c r="O30" s="5"/>
      <c r="Q30" s="5"/>
      <c r="S30" s="88"/>
      <c r="T30" s="42"/>
      <c r="U30" s="42"/>
      <c r="V30" s="147" t="s">
        <v>593</v>
      </c>
      <c r="W30" s="288">
        <f t="shared" si="4"/>
        <v>1.3637059505792635</v>
      </c>
      <c r="X30" s="288">
        <v>1</v>
      </c>
      <c r="Y30" s="42"/>
      <c r="Z30" s="42"/>
      <c r="AA30" s="42"/>
    </row>
    <row r="31" spans="2:27">
      <c r="B31" s="5" t="s">
        <v>590</v>
      </c>
      <c r="C31" s="549">
        <v>301.99699306000002</v>
      </c>
      <c r="D31" s="540">
        <v>312.33812219999999</v>
      </c>
      <c r="E31" s="540">
        <v>326.04955256888888</v>
      </c>
      <c r="F31" s="540">
        <v>336.98320516000001</v>
      </c>
      <c r="G31" s="540">
        <v>327.5387607155555</v>
      </c>
      <c r="H31" s="279">
        <f>IF(D31=0,"nm",IF(G31=0,"nm",(G31/D31)^(1/3)-1))</f>
        <v>1.5966143356318074E-2</v>
      </c>
      <c r="I31" s="254"/>
      <c r="J31" s="252"/>
      <c r="K31" s="252"/>
      <c r="L31" s="252"/>
      <c r="M31" s="252"/>
      <c r="N31" s="252"/>
      <c r="O31" s="5"/>
      <c r="Q31" s="5"/>
      <c r="S31" s="88"/>
      <c r="T31" s="42"/>
      <c r="U31" s="42"/>
      <c r="V31" s="147" t="s">
        <v>475</v>
      </c>
      <c r="W31" s="288">
        <f t="shared" si="4"/>
        <v>0.78930274380505072</v>
      </c>
      <c r="X31" s="288">
        <v>1</v>
      </c>
      <c r="Y31" s="42"/>
      <c r="Z31" s="42"/>
      <c r="AA31" s="42"/>
    </row>
    <row r="32" spans="2:27">
      <c r="B32" s="5" t="s">
        <v>606</v>
      </c>
      <c r="C32" s="550">
        <v>150</v>
      </c>
      <c r="D32" s="540">
        <v>180</v>
      </c>
      <c r="E32" s="540">
        <v>-150</v>
      </c>
      <c r="F32" s="540">
        <v>150</v>
      </c>
      <c r="G32" s="540">
        <v>150</v>
      </c>
      <c r="H32" s="279">
        <f>IF(D32=0,"nm",IF(G32=0,"nm",(G32/D32)^(1/3)-1))</f>
        <v>-5.8963971118971448E-2</v>
      </c>
      <c r="I32" s="254"/>
      <c r="J32" s="254"/>
      <c r="K32" s="254"/>
      <c r="L32" s="254"/>
      <c r="M32" s="254"/>
      <c r="N32" s="254"/>
      <c r="O32" s="251"/>
      <c r="Q32" s="5"/>
      <c r="S32" s="88"/>
      <c r="T32" s="42"/>
      <c r="U32" s="42"/>
      <c r="V32" s="147" t="s">
        <v>533</v>
      </c>
      <c r="W32" s="288">
        <f t="shared" si="4"/>
        <v>0.68484500300086448</v>
      </c>
      <c r="X32" s="288">
        <v>1</v>
      </c>
      <c r="Y32" s="42"/>
      <c r="Z32" s="42"/>
      <c r="AA32" s="42"/>
    </row>
    <row r="33" spans="2:27">
      <c r="B33" s="5" t="s">
        <v>5</v>
      </c>
      <c r="C33" s="549">
        <v>0</v>
      </c>
      <c r="D33" s="540">
        <v>0</v>
      </c>
      <c r="E33" s="540">
        <v>0</v>
      </c>
      <c r="F33" s="540">
        <v>0</v>
      </c>
      <c r="G33" s="540">
        <v>0</v>
      </c>
      <c r="H33" s="279" t="str">
        <f>IF(ISERROR((G33/D33)^(1/3)-1),"na",(G33/D33)^(1/3)-1)</f>
        <v>na</v>
      </c>
      <c r="I33" s="5"/>
      <c r="J33" s="254"/>
      <c r="K33" s="254"/>
      <c r="L33" s="254"/>
      <c r="M33" s="254"/>
      <c r="N33" s="254"/>
      <c r="O33" s="251"/>
      <c r="Q33" s="5"/>
      <c r="S33" s="88"/>
      <c r="T33" s="42"/>
      <c r="U33" s="42"/>
      <c r="V33" s="147" t="s">
        <v>580</v>
      </c>
      <c r="W33" s="288">
        <f t="shared" si="4"/>
        <v>0.83534214379576111</v>
      </c>
      <c r="X33" s="288">
        <v>1</v>
      </c>
      <c r="Y33" s="42"/>
      <c r="Z33" s="42"/>
      <c r="AA33" s="42"/>
    </row>
    <row r="34" spans="2:27">
      <c r="D34" s="5"/>
      <c r="E34" s="5"/>
      <c r="F34" s="5"/>
      <c r="G34" s="5"/>
      <c r="I34" s="49"/>
      <c r="J34" s="254"/>
      <c r="K34" s="254"/>
      <c r="L34" s="254"/>
      <c r="M34" s="254"/>
      <c r="N34" s="254"/>
      <c r="O34" s="251"/>
      <c r="Q34" s="5"/>
      <c r="S34" s="88"/>
      <c r="T34" s="42"/>
      <c r="U34" s="42"/>
      <c r="V34" s="147" t="s">
        <v>581</v>
      </c>
      <c r="W34" s="288">
        <f>D47/L19</f>
        <v>1.2669409904483866</v>
      </c>
      <c r="X34" s="288">
        <v>1</v>
      </c>
      <c r="Y34" s="288"/>
      <c r="Z34" s="288"/>
      <c r="AA34" s="42"/>
    </row>
    <row r="35" spans="2:27" ht="12.6" thickBot="1">
      <c r="B35" s="306" t="s">
        <v>640</v>
      </c>
      <c r="C35" s="265"/>
      <c r="D35" s="265" t="str">
        <f>D5</f>
        <v>2023E</v>
      </c>
      <c r="E35" s="265" t="str">
        <f t="shared" ref="E35:H35" si="5">E5</f>
        <v>2024E</v>
      </c>
      <c r="F35" s="265" t="str">
        <f t="shared" si="5"/>
        <v>2025E</v>
      </c>
      <c r="G35" s="265" t="str">
        <f t="shared" si="5"/>
        <v>2026E</v>
      </c>
      <c r="H35" s="265" t="str">
        <f t="shared" si="5"/>
        <v>23E-26E</v>
      </c>
      <c r="I35" s="254"/>
      <c r="J35" s="5"/>
      <c r="K35" s="5"/>
      <c r="L35" s="5"/>
      <c r="M35" s="5"/>
      <c r="N35" s="5"/>
      <c r="O35" s="5"/>
      <c r="Q35" s="5"/>
      <c r="S35" s="88"/>
      <c r="T35" s="42"/>
      <c r="U35" s="42"/>
      <c r="V35" s="42"/>
      <c r="W35" s="42"/>
      <c r="X35" s="42"/>
      <c r="Y35" s="288"/>
      <c r="Z35" s="288"/>
      <c r="AA35" s="42"/>
    </row>
    <row r="36" spans="2:27" ht="12.6" thickTop="1">
      <c r="B36" s="41"/>
      <c r="C36" s="249"/>
      <c r="D36" s="254"/>
      <c r="E36" s="254"/>
      <c r="F36" s="254"/>
      <c r="G36" s="254"/>
      <c r="H36" s="254"/>
      <c r="I36" s="17"/>
      <c r="J36" s="49"/>
      <c r="K36" s="49"/>
      <c r="L36" s="49"/>
      <c r="M36" s="49"/>
      <c r="N36" s="49"/>
      <c r="O36" s="49"/>
      <c r="Q36" s="5"/>
      <c r="S36" s="88"/>
      <c r="T36" s="42"/>
      <c r="U36" s="42"/>
      <c r="V36" s="42"/>
      <c r="W36" s="42"/>
      <c r="X36" s="42"/>
      <c r="Y36" s="288"/>
      <c r="Z36" s="288"/>
      <c r="AA36" s="42"/>
    </row>
    <row r="37" spans="2:27">
      <c r="B37" s="5" t="s">
        <v>273</v>
      </c>
      <c r="C37" s="247"/>
      <c r="D37" s="529">
        <f>D$18/D23</f>
        <v>1.8244890822500017</v>
      </c>
      <c r="E37" s="529">
        <f t="shared" ref="E37:G41" si="6">E$18/E23</f>
        <v>1.6458199830927507</v>
      </c>
      <c r="F37" s="529">
        <f t="shared" si="6"/>
        <v>1.4707020689643764</v>
      </c>
      <c r="G37" s="529">
        <f t="shared" si="6"/>
        <v>1.3037807088066495</v>
      </c>
      <c r="H37" s="17">
        <f t="shared" ref="H37:H45" si="7">H23</f>
        <v>3.3781555483664238E-2</v>
      </c>
      <c r="I37" s="5"/>
      <c r="J37" s="259"/>
      <c r="K37" s="259"/>
      <c r="L37" s="259"/>
      <c r="M37" s="259"/>
      <c r="N37" s="259"/>
      <c r="O37" s="18"/>
      <c r="Q37" s="5"/>
      <c r="R37" s="5"/>
      <c r="S37" s="42"/>
      <c r="T37" s="42"/>
      <c r="U37" s="42"/>
      <c r="V37" s="42"/>
      <c r="W37" s="42"/>
      <c r="X37" s="42"/>
      <c r="Y37" s="42"/>
      <c r="Z37" s="42"/>
      <c r="AA37" s="42"/>
    </row>
    <row r="38" spans="2:27">
      <c r="B38" s="5" t="s">
        <v>184</v>
      </c>
      <c r="C38" s="247"/>
      <c r="D38" s="529">
        <f>D$18/D24</f>
        <v>6.3177379305931272</v>
      </c>
      <c r="E38" s="529">
        <f t="shared" si="6"/>
        <v>5.6518809551921541</v>
      </c>
      <c r="F38" s="529">
        <f t="shared" si="6"/>
        <v>5.0275029810527565</v>
      </c>
      <c r="G38" s="529">
        <f t="shared" si="6"/>
        <v>4.4308837591475232</v>
      </c>
      <c r="H38" s="17">
        <f t="shared" si="7"/>
        <v>4.025614496450336E-2</v>
      </c>
      <c r="I38" s="259"/>
      <c r="J38" s="17"/>
      <c r="K38" s="17"/>
      <c r="L38" s="17"/>
      <c r="M38" s="17"/>
      <c r="N38" s="17"/>
      <c r="O38" s="5"/>
      <c r="Q38" s="5"/>
      <c r="R38" s="5"/>
      <c r="S38" s="42"/>
      <c r="T38" s="42"/>
      <c r="U38" s="42"/>
      <c r="V38" s="42"/>
      <c r="W38" s="42"/>
      <c r="X38" s="42"/>
      <c r="Y38" s="42"/>
      <c r="Z38" s="42"/>
      <c r="AA38" s="42"/>
    </row>
    <row r="39" spans="2:27">
      <c r="B39" s="5" t="s">
        <v>185</v>
      </c>
      <c r="C39" s="247"/>
      <c r="D39" s="529">
        <f>D$18/D25</f>
        <v>11.506072144214972</v>
      </c>
      <c r="E39" s="529">
        <f t="shared" si="6"/>
        <v>8.8390553441578739</v>
      </c>
      <c r="F39" s="529">
        <f t="shared" si="6"/>
        <v>7.8424344872452689</v>
      </c>
      <c r="G39" s="529">
        <f t="shared" si="6"/>
        <v>6.8892541064979946</v>
      </c>
      <c r="H39" s="17">
        <f t="shared" si="7"/>
        <v>9.6566152001714922E-2</v>
      </c>
      <c r="I39" s="17"/>
      <c r="J39" s="5"/>
      <c r="K39" s="5"/>
      <c r="L39" s="5"/>
      <c r="M39" s="5"/>
      <c r="N39" s="5"/>
      <c r="O39" s="5"/>
      <c r="Q39" s="5"/>
      <c r="R39" s="5"/>
      <c r="S39" s="42"/>
      <c r="T39" s="42"/>
      <c r="U39" s="42"/>
      <c r="V39" s="42"/>
      <c r="W39" s="42"/>
      <c r="X39" s="42"/>
      <c r="Y39" s="42"/>
      <c r="Z39" s="42"/>
      <c r="AA39" s="42"/>
    </row>
    <row r="40" spans="2:27">
      <c r="B40" s="5" t="s">
        <v>466</v>
      </c>
      <c r="C40" s="247"/>
      <c r="D40" s="529">
        <f>D$18/D26</f>
        <v>18.690593109362236</v>
      </c>
      <c r="E40" s="529">
        <f t="shared" si="6"/>
        <v>14.020808745960412</v>
      </c>
      <c r="F40" s="529">
        <f t="shared" si="6"/>
        <v>12.384060533876292</v>
      </c>
      <c r="G40" s="529">
        <f t="shared" si="6"/>
        <v>10.832207194257277</v>
      </c>
      <c r="H40" s="17">
        <f t="shared" si="7"/>
        <v>0.10854139424105824</v>
      </c>
      <c r="I40" s="5"/>
      <c r="J40" s="259"/>
      <c r="K40" s="259"/>
      <c r="L40" s="259"/>
      <c r="M40" s="259"/>
      <c r="N40" s="259"/>
      <c r="O40" s="18"/>
      <c r="Q40" s="5"/>
      <c r="R40" s="5"/>
      <c r="S40" s="42"/>
      <c r="T40" s="42"/>
      <c r="U40" s="42"/>
      <c r="V40" s="42"/>
      <c r="W40" s="288"/>
      <c r="X40" s="288"/>
      <c r="Y40" s="42"/>
      <c r="Z40" s="42"/>
      <c r="AA40" s="42"/>
    </row>
    <row r="41" spans="2:27">
      <c r="B41" s="5" t="s">
        <v>530</v>
      </c>
      <c r="C41" s="247"/>
      <c r="D41" s="529">
        <f>D$18/D27</f>
        <v>1.3792726449672794</v>
      </c>
      <c r="E41" s="529">
        <f t="shared" si="6"/>
        <v>1.2496040492728433</v>
      </c>
      <c r="F41" s="529">
        <f t="shared" si="6"/>
        <v>1.1133143650230504</v>
      </c>
      <c r="G41" s="529">
        <f t="shared" si="6"/>
        <v>0.98070463355810877</v>
      </c>
      <c r="H41" s="17">
        <f t="shared" si="7"/>
        <v>3.55089061818048E-2</v>
      </c>
      <c r="I41" s="247"/>
      <c r="J41" s="17"/>
      <c r="K41" s="17"/>
      <c r="L41" s="17"/>
      <c r="M41" s="17"/>
      <c r="N41" s="17"/>
      <c r="O41" s="5"/>
      <c r="Q41" s="5"/>
      <c r="R41" s="5"/>
      <c r="S41" s="42"/>
      <c r="T41" s="42"/>
      <c r="U41" s="42"/>
      <c r="V41" s="42"/>
      <c r="W41" s="288"/>
      <c r="X41" s="288"/>
      <c r="Y41" s="288"/>
      <c r="Z41" s="288"/>
      <c r="AA41" s="42"/>
    </row>
    <row r="42" spans="2:27">
      <c r="B42" s="5" t="s">
        <v>593</v>
      </c>
      <c r="C42" s="247"/>
      <c r="D42" s="529">
        <f>D18/D28</f>
        <v>3.9725702388660422</v>
      </c>
      <c r="E42" s="529">
        <f>E18/E28</f>
        <v>3.7555378792500198</v>
      </c>
      <c r="F42" s="529">
        <f>F18/F28</f>
        <v>3.5007810437852949</v>
      </c>
      <c r="G42" s="529">
        <f>G18/G28</f>
        <v>3.2100078868331514</v>
      </c>
      <c r="H42" s="17">
        <f t="shared" si="7"/>
        <v>-7.7105628327385212E-3</v>
      </c>
      <c r="I42" s="248"/>
      <c r="J42" s="5"/>
      <c r="K42" s="5"/>
      <c r="L42" s="5"/>
      <c r="M42" s="5"/>
      <c r="N42" s="5"/>
      <c r="O42" s="5"/>
      <c r="Q42" s="5"/>
      <c r="R42" s="5"/>
      <c r="S42" s="42"/>
      <c r="T42" s="42"/>
      <c r="U42" s="42"/>
      <c r="V42" s="42"/>
      <c r="W42" s="288"/>
      <c r="X42" s="288"/>
      <c r="Y42" s="288"/>
      <c r="Z42" s="288"/>
      <c r="AA42" s="42"/>
    </row>
    <row r="43" spans="2:27">
      <c r="B43" s="5" t="s">
        <v>475</v>
      </c>
      <c r="C43" s="247"/>
      <c r="D43" s="529">
        <f>L26/D29</f>
        <v>15.216465817946482</v>
      </c>
      <c r="E43" s="529">
        <f>M26/E29</f>
        <v>11.753203565089194</v>
      </c>
      <c r="F43" s="529">
        <f>N26/F29</f>
        <v>11.096424677132562</v>
      </c>
      <c r="G43" s="529">
        <f>O26/G29</f>
        <v>10.452252333621573</v>
      </c>
      <c r="H43" s="17">
        <f t="shared" si="7"/>
        <v>0.10440403428689149</v>
      </c>
      <c r="I43" s="247"/>
      <c r="J43" s="247"/>
      <c r="K43" s="247"/>
      <c r="L43" s="247"/>
      <c r="M43" s="247"/>
      <c r="N43" s="247"/>
      <c r="O43" s="18"/>
      <c r="Q43" s="5"/>
      <c r="R43" s="5"/>
      <c r="S43" s="42"/>
      <c r="T43" s="42"/>
      <c r="U43" s="42"/>
      <c r="V43" s="42"/>
      <c r="W43" s="288"/>
      <c r="X43" s="288"/>
      <c r="Y43" s="288"/>
      <c r="Z43" s="288"/>
      <c r="AA43" s="42"/>
    </row>
    <row r="44" spans="2:27">
      <c r="B44" s="5" t="s">
        <v>533</v>
      </c>
      <c r="C44" s="69"/>
      <c r="D44" s="529">
        <f>D11/D30</f>
        <v>14.03938447759117</v>
      </c>
      <c r="E44" s="529">
        <f>E11/E30</f>
        <v>13.013110806739441</v>
      </c>
      <c r="F44" s="529">
        <f>F11/F30</f>
        <v>11.814436937161213</v>
      </c>
      <c r="G44" s="529">
        <f>G11/G30</f>
        <v>10.762236778858718</v>
      </c>
      <c r="H44" s="17">
        <f t="shared" si="7"/>
        <v>6.4735799092507484E-2</v>
      </c>
      <c r="I44" s="247"/>
      <c r="J44" s="248"/>
      <c r="K44" s="248"/>
      <c r="L44" s="248"/>
      <c r="M44" s="248"/>
      <c r="N44" s="248"/>
      <c r="O44" s="248"/>
      <c r="Q44" s="5"/>
      <c r="R44" s="5"/>
      <c r="S44" s="42"/>
      <c r="T44" s="42"/>
      <c r="U44" s="42"/>
      <c r="V44" s="42"/>
      <c r="W44" s="325"/>
      <c r="X44" s="325"/>
      <c r="Y44" s="288"/>
      <c r="Z44" s="288"/>
      <c r="AA44" s="42"/>
    </row>
    <row r="45" spans="2:27">
      <c r="B45" s="5" t="s">
        <v>580</v>
      </c>
      <c r="C45" s="247"/>
      <c r="D45" s="248">
        <f>D31/D11</f>
        <v>3.4867503486750349E-2</v>
      </c>
      <c r="E45" s="248">
        <f>E31/E11</f>
        <v>3.7192003719200367E-2</v>
      </c>
      <c r="F45" s="248">
        <f>F31/F11</f>
        <v>3.9516503951650392E-2</v>
      </c>
      <c r="G45" s="248">
        <f>G31/G11</f>
        <v>3.9516503951650392E-2</v>
      </c>
      <c r="H45" s="17">
        <f t="shared" si="7"/>
        <v>1.5966143356318074E-2</v>
      </c>
      <c r="I45" s="248"/>
      <c r="J45" s="247"/>
      <c r="K45" s="247"/>
      <c r="L45" s="247"/>
      <c r="M45" s="247"/>
      <c r="N45" s="247"/>
      <c r="O45" s="248"/>
      <c r="Q45" s="5"/>
      <c r="R45" s="5"/>
      <c r="S45" s="42"/>
      <c r="T45" s="42"/>
      <c r="U45" s="42"/>
      <c r="V45" s="42"/>
      <c r="W45" s="42"/>
      <c r="X45" s="42"/>
      <c r="Y45" s="325"/>
      <c r="Z45" s="325"/>
      <c r="AA45" s="42"/>
    </row>
    <row r="46" spans="2:27">
      <c r="B46" s="5" t="s">
        <v>605</v>
      </c>
      <c r="C46" s="247"/>
      <c r="D46" s="248">
        <f>(D31+D32)/D11</f>
        <v>5.4961594414262051E-2</v>
      </c>
      <c r="E46" s="248">
        <f>(E31+E32)/E11</f>
        <v>2.0081719365409246E-2</v>
      </c>
      <c r="F46" s="248">
        <f>(F31+F32)/F11</f>
        <v>5.7106328910236051E-2</v>
      </c>
      <c r="G46" s="248">
        <f>(G31+G32)/G11</f>
        <v>5.7613524224298843E-2</v>
      </c>
      <c r="H46" s="279">
        <f>((G31+G32)/(D31+D32))^(1/3)-1</f>
        <v>-1.0121888633322307E-2</v>
      </c>
      <c r="I46" s="247"/>
      <c r="J46" s="247"/>
      <c r="K46" s="247"/>
      <c r="L46" s="247"/>
      <c r="M46" s="247"/>
      <c r="N46" s="247"/>
      <c r="O46" s="18"/>
      <c r="Q46" s="5"/>
      <c r="R46" s="5"/>
      <c r="S46" s="42"/>
      <c r="T46" s="42"/>
      <c r="U46" s="42"/>
      <c r="V46" s="42"/>
      <c r="W46" s="42"/>
      <c r="X46" s="42"/>
      <c r="Y46" s="42"/>
      <c r="Z46" s="42"/>
      <c r="AA46" s="326"/>
    </row>
    <row r="47" spans="2:27">
      <c r="B47" s="5" t="s">
        <v>581</v>
      </c>
      <c r="C47" s="5"/>
      <c r="D47" s="248">
        <f>1/D43</f>
        <v>6.5718282547619439E-2</v>
      </c>
      <c r="E47" s="248">
        <f>1/E43</f>
        <v>8.5083185572512557E-2</v>
      </c>
      <c r="F47" s="248">
        <f>1/F43</f>
        <v>9.0119117562325574E-2</v>
      </c>
      <c r="G47" s="248">
        <f>1/G43</f>
        <v>9.5673159055232326E-2</v>
      </c>
      <c r="H47" s="17">
        <f>H29</f>
        <v>0.10440403428689149</v>
      </c>
      <c r="I47" s="17"/>
      <c r="J47" s="248"/>
      <c r="K47" s="248"/>
      <c r="L47" s="248"/>
      <c r="M47" s="248"/>
      <c r="N47" s="248"/>
      <c r="O47" s="248"/>
      <c r="Q47" s="5"/>
      <c r="R47" s="5"/>
      <c r="S47" s="42"/>
      <c r="T47" s="42"/>
      <c r="U47" s="42"/>
      <c r="V47" s="42"/>
      <c r="W47" s="42"/>
      <c r="X47" s="42"/>
      <c r="Y47" s="42"/>
      <c r="Z47" s="42"/>
      <c r="AA47" s="326"/>
    </row>
    <row r="48" spans="2:27">
      <c r="B48" s="5" t="s">
        <v>618</v>
      </c>
      <c r="C48" s="5"/>
      <c r="D48" s="305">
        <f>D31/D29</f>
        <v>0.53056017496326646</v>
      </c>
      <c r="E48" s="305">
        <f>E31/E29</f>
        <v>0.43712519070531636</v>
      </c>
      <c r="F48" s="305">
        <f>F31/F29</f>
        <v>0.43849190960309981</v>
      </c>
      <c r="G48" s="305">
        <f>G31/G29</f>
        <v>0.41303647064520393</v>
      </c>
      <c r="H48" s="279" t="s">
        <v>607</v>
      </c>
      <c r="I48" s="247"/>
      <c r="J48" s="247"/>
      <c r="K48" s="247"/>
      <c r="L48" s="247"/>
      <c r="M48" s="247"/>
      <c r="N48" s="247"/>
      <c r="O48" s="248"/>
      <c r="Q48" s="5"/>
      <c r="R48" s="5"/>
      <c r="S48" s="42"/>
      <c r="T48" s="42"/>
      <c r="U48" s="42"/>
      <c r="V48" s="42"/>
      <c r="W48" s="42"/>
      <c r="X48" s="42"/>
      <c r="Y48" s="42"/>
      <c r="Z48" s="42"/>
      <c r="AA48" s="326"/>
    </row>
    <row r="49" spans="2:27">
      <c r="B49" s="41"/>
      <c r="C49" s="17"/>
      <c r="D49" s="17"/>
      <c r="E49" s="17"/>
      <c r="F49" s="17"/>
      <c r="G49" s="17"/>
      <c r="H49" s="17"/>
      <c r="I49" s="254"/>
      <c r="J49" s="17"/>
      <c r="K49" s="17"/>
      <c r="L49" s="17"/>
      <c r="M49" s="17"/>
      <c r="N49" s="17"/>
      <c r="O49" s="248"/>
      <c r="Q49" s="5"/>
      <c r="R49" s="5"/>
      <c r="S49" s="42"/>
      <c r="T49" s="42"/>
      <c r="U49" s="42"/>
      <c r="V49" s="42"/>
      <c r="W49" s="42"/>
      <c r="X49" s="42"/>
      <c r="Y49" s="42"/>
      <c r="Z49" s="42"/>
      <c r="AA49" s="326"/>
    </row>
    <row r="50" spans="2:27">
      <c r="B50" s="5"/>
      <c r="C50" s="257"/>
      <c r="D50" s="257"/>
      <c r="E50" s="257"/>
      <c r="F50" s="5"/>
      <c r="G50" s="41"/>
      <c r="H50" s="249"/>
      <c r="I50" s="17"/>
      <c r="J50" s="249"/>
      <c r="K50" s="249"/>
      <c r="L50" s="249"/>
      <c r="M50" s="249"/>
      <c r="N50" s="249"/>
      <c r="O50" s="250"/>
      <c r="Q50" s="5"/>
      <c r="R50" s="5"/>
      <c r="S50" s="42"/>
      <c r="T50" s="42"/>
      <c r="U50" s="42"/>
      <c r="V50" s="42"/>
      <c r="W50" s="288"/>
      <c r="X50" s="288"/>
      <c r="Y50" s="42"/>
      <c r="Z50" s="42"/>
      <c r="AA50" s="326"/>
    </row>
    <row r="51" spans="2:27">
      <c r="B51" s="41"/>
      <c r="C51" s="249"/>
      <c r="D51" s="254"/>
      <c r="E51" s="254"/>
      <c r="F51" s="254"/>
      <c r="G51" s="254"/>
      <c r="H51" s="254"/>
      <c r="I51" s="259"/>
      <c r="J51" s="254"/>
      <c r="K51" s="254"/>
      <c r="L51" s="254"/>
      <c r="M51" s="254"/>
      <c r="N51" s="254"/>
      <c r="O51" s="251"/>
      <c r="Q51" s="5"/>
      <c r="R51" s="5"/>
      <c r="S51" s="42"/>
      <c r="T51" s="42"/>
      <c r="U51" s="42"/>
      <c r="V51" s="42"/>
      <c r="W51" s="288"/>
      <c r="X51" s="288"/>
      <c r="Y51" s="288"/>
      <c r="Z51" s="288"/>
      <c r="AA51" s="42"/>
    </row>
    <row r="52" spans="2:27">
      <c r="B52" s="5"/>
      <c r="C52" s="257"/>
      <c r="D52" s="17"/>
      <c r="E52" s="17"/>
      <c r="F52" s="17"/>
      <c r="G52" s="17"/>
      <c r="H52" s="17"/>
      <c r="I52" s="254"/>
      <c r="J52" s="17"/>
      <c r="K52" s="17"/>
      <c r="L52" s="17"/>
      <c r="M52" s="17"/>
      <c r="N52" s="17"/>
      <c r="O52" s="248"/>
      <c r="Q52" s="5"/>
      <c r="R52" s="5"/>
      <c r="S52" s="5"/>
      <c r="Y52" s="10"/>
      <c r="Z52" s="10"/>
    </row>
    <row r="53" spans="2:27">
      <c r="B53" s="5"/>
      <c r="C53" s="257"/>
      <c r="D53" s="257"/>
      <c r="E53" s="257"/>
      <c r="F53" s="5"/>
      <c r="G53" s="5"/>
      <c r="H53" s="259"/>
      <c r="I53" s="17"/>
      <c r="J53" s="259"/>
      <c r="K53" s="259"/>
      <c r="L53" s="259"/>
      <c r="M53" s="259"/>
      <c r="N53" s="259"/>
      <c r="O53" s="18"/>
      <c r="Q53" s="5"/>
      <c r="R53" s="5"/>
      <c r="S53" s="5"/>
    </row>
    <row r="54" spans="2:27">
      <c r="B54" s="41"/>
      <c r="C54" s="249"/>
      <c r="D54" s="254"/>
      <c r="E54" s="254"/>
      <c r="F54" s="254"/>
      <c r="G54" s="254"/>
      <c r="H54" s="254"/>
      <c r="I54" s="259"/>
      <c r="J54" s="254"/>
      <c r="K54" s="254"/>
      <c r="L54" s="254"/>
      <c r="M54" s="254"/>
      <c r="N54" s="254"/>
      <c r="O54" s="251"/>
      <c r="Q54" s="5"/>
      <c r="R54" s="5"/>
      <c r="S54" s="5"/>
    </row>
    <row r="55" spans="2:27">
      <c r="B55" s="5"/>
      <c r="C55" s="257"/>
      <c r="D55" s="17"/>
      <c r="E55" s="17"/>
      <c r="F55" s="17"/>
      <c r="G55" s="17"/>
      <c r="H55" s="17"/>
      <c r="I55" s="249"/>
      <c r="J55" s="17"/>
      <c r="K55" s="17"/>
      <c r="L55" s="17"/>
      <c r="M55" s="17"/>
      <c r="N55" s="17"/>
      <c r="O55" s="18"/>
      <c r="Q55" s="5"/>
      <c r="R55" s="5"/>
      <c r="S55" s="5"/>
    </row>
    <row r="56" spans="2:27">
      <c r="B56" s="5"/>
      <c r="C56" s="248"/>
      <c r="D56" s="248"/>
      <c r="E56" s="248"/>
      <c r="F56" s="5"/>
      <c r="G56" s="5"/>
      <c r="H56" s="259"/>
      <c r="I56" s="248"/>
      <c r="J56" s="259"/>
      <c r="K56" s="259"/>
      <c r="L56" s="259"/>
      <c r="M56" s="259"/>
      <c r="N56" s="259"/>
      <c r="O56" s="18"/>
      <c r="Q56" s="5"/>
      <c r="R56" s="5"/>
      <c r="S56" s="5"/>
    </row>
    <row r="57" spans="2:27">
      <c r="B57" s="41"/>
      <c r="C57" s="249"/>
      <c r="D57" s="249"/>
      <c r="E57" s="249"/>
      <c r="F57" s="249"/>
      <c r="G57" s="249"/>
      <c r="H57" s="249"/>
      <c r="I57" s="5"/>
      <c r="J57" s="249"/>
      <c r="K57" s="249"/>
      <c r="L57" s="249"/>
      <c r="M57" s="249"/>
      <c r="N57" s="249"/>
      <c r="O57" s="251"/>
      <c r="Q57" s="5"/>
      <c r="R57" s="5"/>
      <c r="S57" s="5"/>
    </row>
    <row r="58" spans="2:27">
      <c r="B58" s="5"/>
      <c r="C58" s="5"/>
      <c r="D58" s="248"/>
      <c r="E58" s="248"/>
      <c r="F58" s="248"/>
      <c r="G58" s="248"/>
      <c r="H58" s="248"/>
      <c r="I58" s="17"/>
      <c r="J58" s="248"/>
      <c r="K58" s="248"/>
      <c r="L58" s="248"/>
      <c r="M58" s="248"/>
      <c r="N58" s="248"/>
      <c r="O58" s="18"/>
      <c r="Q58" s="5"/>
      <c r="R58" s="5"/>
      <c r="S58" s="5"/>
    </row>
    <row r="59" spans="2:27">
      <c r="B59" s="5"/>
      <c r="C59" s="5"/>
      <c r="D59" s="5"/>
      <c r="E59" s="5"/>
      <c r="F59" s="5"/>
      <c r="G59" s="5"/>
      <c r="H59" s="5"/>
      <c r="I59" s="5"/>
      <c r="J59" s="5"/>
      <c r="K59" s="5"/>
      <c r="L59" s="5"/>
      <c r="M59" s="5"/>
      <c r="N59" s="5"/>
      <c r="O59" s="5"/>
      <c r="Q59" s="5"/>
      <c r="R59" s="5"/>
      <c r="S59" s="5"/>
    </row>
    <row r="60" spans="2:27">
      <c r="B60" s="41"/>
      <c r="C60" s="17"/>
      <c r="D60" s="17"/>
      <c r="E60" s="17"/>
      <c r="F60" s="17"/>
      <c r="G60" s="17"/>
      <c r="H60" s="17"/>
      <c r="I60" s="249"/>
      <c r="J60" s="17"/>
      <c r="K60" s="17"/>
      <c r="L60" s="17"/>
      <c r="M60" s="17"/>
      <c r="N60" s="17"/>
      <c r="O60" s="251"/>
      <c r="Q60" s="5"/>
      <c r="R60" s="5"/>
      <c r="S60" s="5"/>
    </row>
    <row r="61" spans="2:27">
      <c r="B61" s="5"/>
      <c r="C61" s="5"/>
      <c r="D61" s="5"/>
      <c r="E61" s="5"/>
      <c r="F61" s="5"/>
      <c r="G61" s="5"/>
      <c r="H61" s="5"/>
      <c r="I61" s="5"/>
      <c r="J61" s="5"/>
      <c r="K61" s="5"/>
      <c r="L61" s="5"/>
      <c r="M61" s="5"/>
      <c r="N61" s="5"/>
      <c r="O61" s="5"/>
      <c r="Q61" s="41"/>
      <c r="R61" s="5"/>
      <c r="S61" s="5"/>
    </row>
    <row r="62" spans="2:27">
      <c r="B62" s="41"/>
      <c r="C62" s="249"/>
      <c r="D62" s="249"/>
      <c r="E62" s="249"/>
      <c r="F62" s="249"/>
      <c r="G62" s="249"/>
      <c r="H62" s="249"/>
      <c r="I62" s="5"/>
      <c r="J62" s="249"/>
      <c r="K62" s="249"/>
      <c r="L62" s="249"/>
      <c r="M62" s="249"/>
      <c r="N62" s="249"/>
      <c r="O62" s="251"/>
      <c r="Q62" s="5"/>
      <c r="R62" s="5"/>
      <c r="S62" s="5"/>
    </row>
    <row r="63" spans="2:27">
      <c r="B63" s="5"/>
      <c r="C63" s="5"/>
      <c r="D63" s="5"/>
      <c r="E63" s="5"/>
      <c r="F63" s="5"/>
      <c r="G63" s="5"/>
      <c r="H63" s="5"/>
      <c r="I63" s="254"/>
      <c r="J63" s="5"/>
      <c r="K63" s="5"/>
      <c r="L63" s="5"/>
      <c r="M63" s="5"/>
      <c r="N63" s="5"/>
      <c r="O63" s="5"/>
      <c r="Q63" s="5"/>
      <c r="R63" s="5"/>
      <c r="S63" s="5"/>
    </row>
    <row r="64" spans="2:27">
      <c r="B64" s="5"/>
      <c r="C64" s="5"/>
      <c r="D64" s="5"/>
      <c r="E64" s="5"/>
      <c r="F64" s="5"/>
      <c r="G64" s="5"/>
      <c r="H64" s="5"/>
      <c r="I64" s="17"/>
      <c r="J64" s="5"/>
      <c r="K64" s="5"/>
      <c r="L64" s="5"/>
      <c r="M64" s="5"/>
      <c r="N64" s="5"/>
      <c r="O64" s="5"/>
      <c r="Q64" s="5"/>
      <c r="R64" s="5"/>
      <c r="S64" s="5"/>
    </row>
    <row r="65" spans="2:26">
      <c r="B65" s="41"/>
      <c r="C65" s="249"/>
      <c r="D65" s="254"/>
      <c r="E65" s="254"/>
      <c r="F65" s="254"/>
      <c r="G65" s="254"/>
      <c r="H65" s="254"/>
      <c r="I65" s="254"/>
      <c r="J65" s="254"/>
      <c r="K65" s="254"/>
      <c r="L65" s="254"/>
      <c r="M65" s="254"/>
      <c r="N65" s="254"/>
      <c r="O65" s="251"/>
      <c r="Q65" s="5"/>
      <c r="R65" s="5"/>
      <c r="S65" s="5"/>
    </row>
    <row r="66" spans="2:26">
      <c r="B66" s="5"/>
      <c r="C66" s="5"/>
      <c r="D66" s="17"/>
      <c r="E66" s="17"/>
      <c r="F66" s="17"/>
      <c r="G66" s="17"/>
      <c r="H66" s="17"/>
      <c r="I66" s="248"/>
      <c r="J66" s="17"/>
      <c r="K66" s="17"/>
      <c r="L66" s="17"/>
      <c r="M66" s="17"/>
      <c r="N66" s="17"/>
      <c r="O66" s="5"/>
      <c r="Q66" s="5"/>
      <c r="R66" s="5"/>
      <c r="S66" s="5"/>
    </row>
    <row r="67" spans="2:26">
      <c r="B67" s="41"/>
      <c r="C67" s="249"/>
      <c r="D67" s="254"/>
      <c r="E67" s="254"/>
      <c r="F67" s="254"/>
      <c r="G67" s="254"/>
      <c r="H67" s="254"/>
      <c r="I67" s="5"/>
      <c r="J67" s="254"/>
      <c r="K67" s="254"/>
      <c r="L67" s="254"/>
      <c r="M67" s="254"/>
      <c r="N67" s="254"/>
      <c r="O67" s="251"/>
      <c r="Q67" s="41"/>
      <c r="R67" s="5"/>
      <c r="S67" s="5"/>
    </row>
    <row r="68" spans="2:26">
      <c r="B68" s="5"/>
      <c r="C68" s="5"/>
      <c r="D68" s="248"/>
      <c r="E68" s="248"/>
      <c r="F68" s="248"/>
      <c r="G68" s="248"/>
      <c r="H68" s="248"/>
      <c r="I68" s="245"/>
      <c r="J68" s="248"/>
      <c r="K68" s="248"/>
      <c r="L68" s="248"/>
      <c r="M68" s="248"/>
      <c r="N68" s="248"/>
      <c r="O68" s="5"/>
      <c r="Q68" s="5"/>
      <c r="R68" s="5"/>
      <c r="S68" s="5"/>
    </row>
    <row r="69" spans="2:26">
      <c r="B69" s="41"/>
      <c r="C69" s="5"/>
      <c r="D69" s="5"/>
      <c r="E69" s="5"/>
      <c r="F69" s="5"/>
      <c r="G69" s="5"/>
      <c r="H69" s="5"/>
      <c r="I69" s="248"/>
      <c r="J69" s="5"/>
      <c r="K69" s="5"/>
      <c r="L69" s="5"/>
      <c r="M69" s="5"/>
      <c r="N69" s="5"/>
      <c r="O69" s="5"/>
      <c r="Q69" s="5"/>
      <c r="R69" s="5"/>
      <c r="S69" s="5"/>
    </row>
    <row r="70" spans="2:26">
      <c r="B70" s="41"/>
      <c r="C70" s="245"/>
      <c r="D70" s="245"/>
      <c r="E70" s="245"/>
      <c r="F70" s="245"/>
      <c r="G70" s="245"/>
      <c r="H70" s="245"/>
      <c r="I70" s="5"/>
      <c r="J70" s="245"/>
      <c r="K70" s="245"/>
      <c r="L70" s="245"/>
      <c r="M70" s="245"/>
      <c r="N70" s="245"/>
      <c r="O70" s="251"/>
      <c r="Q70" s="5"/>
      <c r="R70" s="5"/>
      <c r="S70" s="5"/>
      <c r="W70" s="76"/>
      <c r="X70" s="76"/>
    </row>
    <row r="71" spans="2:26">
      <c r="B71" s="5"/>
      <c r="C71" s="5"/>
      <c r="D71" s="248"/>
      <c r="E71" s="248"/>
      <c r="F71" s="248"/>
      <c r="G71" s="248"/>
      <c r="H71" s="248"/>
      <c r="I71" s="245"/>
      <c r="J71" s="248"/>
      <c r="K71" s="248"/>
      <c r="L71" s="248"/>
      <c r="M71" s="248"/>
      <c r="N71" s="248"/>
      <c r="O71" s="5"/>
      <c r="Q71" s="5"/>
      <c r="R71" s="5"/>
      <c r="S71" s="5"/>
      <c r="W71" s="76"/>
      <c r="X71" s="76"/>
      <c r="Y71" s="76"/>
      <c r="Z71" s="76"/>
    </row>
    <row r="72" spans="2:26">
      <c r="B72" s="41"/>
      <c r="C72" s="5"/>
      <c r="D72" s="5"/>
      <c r="E72" s="5"/>
      <c r="F72" s="5"/>
      <c r="G72" s="5"/>
      <c r="H72" s="5"/>
      <c r="I72" s="18"/>
      <c r="J72" s="5"/>
      <c r="K72" s="5"/>
      <c r="L72" s="5"/>
      <c r="M72" s="5"/>
      <c r="N72" s="5"/>
      <c r="O72" s="5"/>
      <c r="Q72" s="5"/>
      <c r="R72" s="5"/>
      <c r="S72" s="5"/>
      <c r="Y72" s="76"/>
      <c r="Z72" s="76"/>
    </row>
    <row r="73" spans="2:26">
      <c r="B73" s="41"/>
      <c r="C73" s="245"/>
      <c r="D73" s="245"/>
      <c r="E73" s="245"/>
      <c r="F73" s="245"/>
      <c r="G73" s="245"/>
      <c r="H73" s="245"/>
      <c r="I73" s="5"/>
      <c r="J73" s="245"/>
      <c r="K73" s="245"/>
      <c r="L73" s="245"/>
      <c r="M73" s="245"/>
      <c r="N73" s="245"/>
      <c r="O73" s="251"/>
      <c r="Q73" s="5"/>
      <c r="R73" s="5"/>
      <c r="S73" s="5"/>
    </row>
    <row r="74" spans="2:26">
      <c r="B74" s="5"/>
      <c r="C74" s="5"/>
      <c r="D74" s="18"/>
      <c r="E74" s="18"/>
      <c r="F74" s="18"/>
      <c r="G74" s="18"/>
      <c r="H74" s="18"/>
      <c r="I74" s="249"/>
      <c r="J74" s="18"/>
      <c r="K74" s="18"/>
      <c r="L74" s="18"/>
      <c r="M74" s="18"/>
      <c r="N74" s="18"/>
      <c r="O74" s="5"/>
      <c r="Q74" s="5"/>
      <c r="R74" s="5"/>
      <c r="S74" s="5"/>
    </row>
    <row r="75" spans="2:26">
      <c r="B75" s="41"/>
      <c r="C75" s="5"/>
      <c r="D75" s="5"/>
      <c r="E75" s="5"/>
      <c r="F75" s="5"/>
      <c r="G75" s="5"/>
      <c r="H75" s="5"/>
      <c r="I75" s="248"/>
      <c r="J75" s="5"/>
      <c r="K75" s="5"/>
      <c r="L75" s="5"/>
      <c r="M75" s="5"/>
      <c r="N75" s="5"/>
      <c r="O75" s="5"/>
      <c r="Q75" s="5"/>
      <c r="R75" s="5"/>
      <c r="S75" s="5"/>
    </row>
    <row r="76" spans="2:26">
      <c r="B76" s="41"/>
      <c r="C76" s="249"/>
      <c r="D76" s="249"/>
      <c r="E76" s="249"/>
      <c r="F76" s="249"/>
      <c r="G76" s="249"/>
      <c r="H76" s="249"/>
      <c r="I76" s="5"/>
      <c r="J76" s="249"/>
      <c r="K76" s="249"/>
      <c r="L76" s="249"/>
      <c r="M76" s="249"/>
      <c r="N76" s="249"/>
      <c r="O76" s="251"/>
      <c r="Q76" s="5"/>
      <c r="R76" s="5"/>
      <c r="S76" s="5"/>
    </row>
    <row r="77" spans="2:26">
      <c r="B77" s="5"/>
      <c r="C77" s="5"/>
      <c r="D77" s="248"/>
      <c r="E77" s="248"/>
      <c r="F77" s="248"/>
      <c r="G77" s="248"/>
      <c r="H77" s="248"/>
      <c r="I77" s="245"/>
      <c r="J77" s="248"/>
      <c r="K77" s="248"/>
      <c r="L77" s="248"/>
      <c r="M77" s="248"/>
      <c r="N77" s="248"/>
      <c r="O77" s="5"/>
      <c r="Q77" s="5"/>
      <c r="R77" s="5"/>
      <c r="S77" s="5"/>
    </row>
    <row r="78" spans="2:26">
      <c r="B78" s="41"/>
      <c r="C78" s="5"/>
      <c r="D78" s="5"/>
      <c r="E78" s="5"/>
      <c r="F78" s="5"/>
      <c r="G78" s="5"/>
      <c r="H78" s="5"/>
      <c r="I78" s="248"/>
      <c r="J78" s="5"/>
      <c r="K78" s="5"/>
      <c r="L78" s="5"/>
      <c r="M78" s="5"/>
      <c r="N78" s="5"/>
      <c r="O78" s="5"/>
      <c r="Q78" s="5"/>
      <c r="R78" s="5"/>
      <c r="S78" s="5"/>
    </row>
    <row r="79" spans="2:26">
      <c r="B79" s="41"/>
      <c r="C79" s="245"/>
      <c r="D79" s="245"/>
      <c r="E79" s="245"/>
      <c r="F79" s="245"/>
      <c r="G79" s="245"/>
      <c r="H79" s="245"/>
      <c r="I79" s="5"/>
      <c r="J79" s="245"/>
      <c r="K79" s="245"/>
      <c r="L79" s="245"/>
      <c r="M79" s="245"/>
      <c r="N79" s="245"/>
      <c r="O79" s="251"/>
      <c r="Q79" s="5"/>
      <c r="R79" s="5"/>
      <c r="S79" s="5"/>
    </row>
    <row r="80" spans="2:26">
      <c r="B80" s="5"/>
      <c r="C80" s="5"/>
      <c r="D80" s="248"/>
      <c r="E80" s="248"/>
      <c r="F80" s="248"/>
      <c r="G80" s="248"/>
      <c r="H80" s="248"/>
      <c r="I80" s="249"/>
      <c r="J80" s="248"/>
      <c r="K80" s="248"/>
      <c r="L80" s="248"/>
      <c r="M80" s="248"/>
      <c r="N80" s="248"/>
      <c r="O80" s="5"/>
      <c r="Q80" s="5"/>
      <c r="R80" s="5"/>
      <c r="S80" s="5"/>
    </row>
    <row r="81" spans="2:26">
      <c r="B81" s="41"/>
      <c r="C81" s="5"/>
      <c r="D81" s="5"/>
      <c r="E81" s="5"/>
      <c r="F81" s="5"/>
      <c r="G81" s="5"/>
      <c r="H81" s="5"/>
      <c r="I81" s="248"/>
      <c r="J81" s="5"/>
      <c r="K81" s="5"/>
      <c r="L81" s="5"/>
      <c r="M81" s="5"/>
      <c r="N81" s="5"/>
      <c r="O81" s="5"/>
      <c r="Q81" s="5"/>
      <c r="R81" s="5"/>
      <c r="S81" s="5"/>
    </row>
    <row r="82" spans="2:26">
      <c r="B82" s="41"/>
      <c r="C82" s="249"/>
      <c r="D82" s="249"/>
      <c r="E82" s="249"/>
      <c r="F82" s="249"/>
      <c r="G82" s="249"/>
      <c r="H82" s="249"/>
      <c r="I82" s="259"/>
      <c r="J82" s="249"/>
      <c r="K82" s="249"/>
      <c r="L82" s="249"/>
      <c r="M82" s="249"/>
      <c r="N82" s="249"/>
      <c r="O82" s="251"/>
      <c r="Q82" s="5"/>
      <c r="R82" s="5"/>
      <c r="S82" s="5"/>
    </row>
    <row r="83" spans="2:26">
      <c r="B83" s="5"/>
      <c r="C83" s="5"/>
      <c r="D83" s="248"/>
      <c r="E83" s="248"/>
      <c r="F83" s="248"/>
      <c r="G83" s="248"/>
      <c r="H83" s="248"/>
      <c r="I83" s="5"/>
      <c r="J83" s="248"/>
      <c r="K83" s="248"/>
      <c r="L83" s="248"/>
      <c r="M83" s="248"/>
      <c r="N83" s="248"/>
      <c r="O83" s="5"/>
      <c r="Q83" s="5"/>
      <c r="R83" s="5"/>
      <c r="S83" s="5"/>
    </row>
    <row r="84" spans="2:26">
      <c r="B84" s="5"/>
      <c r="C84" s="259"/>
      <c r="D84" s="259"/>
      <c r="E84" s="259"/>
      <c r="F84" s="259"/>
      <c r="G84" s="259"/>
      <c r="H84" s="259"/>
      <c r="I84" s="245"/>
      <c r="J84" s="259"/>
      <c r="K84" s="259"/>
      <c r="L84" s="259"/>
      <c r="M84" s="259"/>
      <c r="N84" s="259"/>
      <c r="O84" s="251"/>
      <c r="Q84" s="5"/>
      <c r="R84" s="5"/>
      <c r="S84" s="5"/>
    </row>
    <row r="85" spans="2:26">
      <c r="B85" s="41"/>
      <c r="C85" s="5"/>
      <c r="D85" s="5"/>
      <c r="E85" s="5"/>
      <c r="F85" s="5"/>
      <c r="G85" s="5"/>
      <c r="H85" s="5"/>
      <c r="I85" s="248"/>
      <c r="J85" s="5"/>
      <c r="K85" s="5"/>
      <c r="L85" s="5"/>
      <c r="M85" s="5"/>
      <c r="N85" s="5"/>
      <c r="O85" s="5"/>
      <c r="Q85" s="5"/>
      <c r="R85" s="5"/>
      <c r="S85" s="5"/>
    </row>
    <row r="86" spans="2:26">
      <c r="B86" s="41"/>
      <c r="C86" s="245"/>
      <c r="D86" s="245"/>
      <c r="E86" s="245"/>
      <c r="F86" s="245"/>
      <c r="G86" s="245"/>
      <c r="H86" s="245"/>
      <c r="I86" s="5"/>
      <c r="J86" s="245"/>
      <c r="K86" s="245"/>
      <c r="L86" s="245"/>
      <c r="M86" s="245"/>
      <c r="N86" s="245"/>
      <c r="O86" s="251"/>
      <c r="Q86" s="5"/>
      <c r="R86" s="5"/>
      <c r="S86" s="5"/>
    </row>
    <row r="87" spans="2:26">
      <c r="B87" s="5"/>
      <c r="C87" s="5"/>
      <c r="D87" s="248"/>
      <c r="E87" s="248"/>
      <c r="F87" s="248"/>
      <c r="G87" s="248"/>
      <c r="H87" s="248"/>
      <c r="I87" s="5"/>
      <c r="J87" s="248"/>
      <c r="K87" s="248"/>
      <c r="L87" s="248"/>
      <c r="M87" s="248"/>
      <c r="N87" s="248"/>
      <c r="O87" s="5"/>
      <c r="Q87" s="5"/>
      <c r="R87" s="5"/>
      <c r="S87" s="5"/>
    </row>
    <row r="88" spans="2:26">
      <c r="B88" s="41"/>
      <c r="C88" s="5"/>
      <c r="D88" s="5"/>
      <c r="E88" s="5"/>
      <c r="F88" s="5"/>
      <c r="G88" s="5"/>
      <c r="H88" s="5"/>
      <c r="I88" s="5"/>
      <c r="J88" s="5"/>
      <c r="K88" s="5"/>
      <c r="L88" s="5"/>
      <c r="M88" s="5"/>
      <c r="N88" s="5"/>
      <c r="O88" s="5"/>
      <c r="Q88" s="5"/>
      <c r="R88" s="5"/>
      <c r="S88" s="5"/>
    </row>
    <row r="89" spans="2:26">
      <c r="B89" s="41"/>
      <c r="C89" s="5"/>
      <c r="D89" s="5"/>
      <c r="E89" s="5"/>
      <c r="F89" s="5"/>
      <c r="G89" s="5"/>
      <c r="H89" s="5"/>
      <c r="I89" s="5"/>
      <c r="J89" s="5"/>
      <c r="K89" s="5"/>
      <c r="L89" s="5"/>
      <c r="M89" s="5"/>
      <c r="N89" s="5"/>
      <c r="O89" s="5"/>
      <c r="Q89" s="5"/>
      <c r="R89" s="5"/>
      <c r="S89" s="5"/>
    </row>
    <row r="90" spans="2:26">
      <c r="B90" s="41"/>
      <c r="C90" s="5"/>
      <c r="D90" s="5"/>
      <c r="E90" s="5"/>
      <c r="F90" s="5"/>
      <c r="G90" s="5"/>
      <c r="H90" s="5"/>
      <c r="I90" s="49"/>
      <c r="J90" s="5"/>
      <c r="K90" s="5"/>
      <c r="L90" s="5"/>
      <c r="M90" s="5"/>
      <c r="N90" s="5"/>
      <c r="O90" s="5"/>
      <c r="Q90" s="41"/>
      <c r="R90" s="5"/>
      <c r="S90" s="5"/>
    </row>
    <row r="91" spans="2:26">
      <c r="B91" s="5"/>
      <c r="C91" s="5"/>
      <c r="D91" s="5"/>
      <c r="E91" s="5"/>
      <c r="F91" s="5"/>
      <c r="G91" s="5"/>
      <c r="H91" s="5"/>
      <c r="I91" s="5"/>
      <c r="J91" s="5"/>
      <c r="K91" s="5"/>
      <c r="L91" s="5"/>
      <c r="M91" s="5"/>
      <c r="N91" s="5"/>
      <c r="O91" s="5"/>
      <c r="Q91" s="5"/>
      <c r="R91" s="5"/>
      <c r="S91" s="5"/>
    </row>
    <row r="92" spans="2:26">
      <c r="B92" s="41"/>
      <c r="C92" s="49"/>
      <c r="D92" s="49"/>
      <c r="E92" s="49"/>
      <c r="F92" s="49"/>
      <c r="G92" s="49"/>
      <c r="H92" s="49"/>
      <c r="I92" s="247"/>
      <c r="J92" s="49"/>
      <c r="K92" s="49"/>
      <c r="L92" s="49"/>
      <c r="M92" s="49"/>
      <c r="N92" s="49"/>
      <c r="O92" s="49"/>
      <c r="Q92" s="5"/>
      <c r="R92" s="5"/>
      <c r="S92" s="5"/>
      <c r="W92" s="21"/>
      <c r="X92" s="21"/>
    </row>
    <row r="93" spans="2:26">
      <c r="B93" s="5"/>
      <c r="C93" s="5"/>
      <c r="D93" s="5"/>
      <c r="E93" s="5"/>
      <c r="F93" s="5"/>
      <c r="G93" s="5"/>
      <c r="H93" s="5"/>
      <c r="I93" s="247"/>
      <c r="J93" s="5"/>
      <c r="K93" s="5"/>
      <c r="L93" s="5"/>
      <c r="M93" s="5"/>
      <c r="N93" s="5"/>
      <c r="O93" s="5"/>
      <c r="Q93" s="5"/>
      <c r="R93" s="5"/>
      <c r="S93" s="5"/>
      <c r="W93" s="21"/>
      <c r="X93" s="21"/>
      <c r="Y93" s="21"/>
      <c r="Z93" s="21"/>
    </row>
    <row r="94" spans="2:26">
      <c r="B94" s="5"/>
      <c r="C94" s="259"/>
      <c r="D94" s="247"/>
      <c r="E94" s="247"/>
      <c r="F94" s="247"/>
      <c r="G94" s="247"/>
      <c r="H94" s="247"/>
      <c r="I94" s="247"/>
      <c r="J94" s="247"/>
      <c r="K94" s="247"/>
      <c r="L94" s="247"/>
      <c r="M94" s="247"/>
      <c r="N94" s="247"/>
      <c r="O94" s="248"/>
      <c r="Q94" s="5"/>
      <c r="R94" s="5"/>
      <c r="S94" s="5"/>
      <c r="Y94" s="21"/>
      <c r="Z94" s="21"/>
    </row>
    <row r="95" spans="2:26">
      <c r="B95" s="5"/>
      <c r="C95" s="259"/>
      <c r="D95" s="247"/>
      <c r="E95" s="247"/>
      <c r="F95" s="247"/>
      <c r="G95" s="247"/>
      <c r="H95" s="247"/>
      <c r="I95" s="248"/>
      <c r="J95" s="247"/>
      <c r="K95" s="247"/>
      <c r="L95" s="247"/>
      <c r="M95" s="247"/>
      <c r="N95" s="247"/>
      <c r="O95" s="248"/>
      <c r="Q95" s="5"/>
      <c r="R95" s="5"/>
      <c r="S95" s="5"/>
    </row>
    <row r="96" spans="2:26">
      <c r="B96" s="5"/>
      <c r="C96" s="259"/>
      <c r="D96" s="247"/>
      <c r="E96" s="247"/>
      <c r="F96" s="247"/>
      <c r="G96" s="247"/>
      <c r="H96" s="247"/>
      <c r="I96" s="247"/>
      <c r="J96" s="247"/>
      <c r="K96" s="247"/>
      <c r="L96" s="247"/>
      <c r="M96" s="247"/>
      <c r="N96" s="247"/>
      <c r="O96" s="248"/>
      <c r="Q96" s="5"/>
      <c r="R96" s="5"/>
      <c r="S96" s="5"/>
    </row>
    <row r="97" spans="2:19">
      <c r="B97" s="5"/>
      <c r="C97" s="259"/>
      <c r="D97" s="248"/>
      <c r="E97" s="248"/>
      <c r="F97" s="248"/>
      <c r="G97" s="248"/>
      <c r="H97" s="248"/>
      <c r="I97" s="249"/>
      <c r="J97" s="248"/>
      <c r="K97" s="248"/>
      <c r="L97" s="248"/>
      <c r="M97" s="248"/>
      <c r="N97" s="248"/>
      <c r="O97" s="248"/>
      <c r="Q97" s="5"/>
      <c r="R97" s="5"/>
      <c r="S97" s="5"/>
    </row>
    <row r="98" spans="2:19">
      <c r="B98" s="5"/>
      <c r="C98" s="259"/>
      <c r="D98" s="247"/>
      <c r="E98" s="247"/>
      <c r="F98" s="247"/>
      <c r="G98" s="247"/>
      <c r="H98" s="247"/>
      <c r="I98" s="248"/>
      <c r="J98" s="247"/>
      <c r="K98" s="247"/>
      <c r="L98" s="247"/>
      <c r="M98" s="247"/>
      <c r="N98" s="247"/>
      <c r="O98" s="248"/>
      <c r="Q98" s="5"/>
      <c r="R98" s="5"/>
      <c r="S98" s="5"/>
    </row>
    <row r="99" spans="2:19">
      <c r="B99" s="41"/>
      <c r="C99" s="249"/>
      <c r="D99" s="249"/>
      <c r="E99" s="249"/>
      <c r="F99" s="249"/>
      <c r="G99" s="249"/>
      <c r="H99" s="249"/>
      <c r="I99" s="5"/>
      <c r="J99" s="249"/>
      <c r="K99" s="249"/>
      <c r="L99" s="249"/>
      <c r="M99" s="249"/>
      <c r="N99" s="249"/>
      <c r="O99" s="248"/>
      <c r="Q99" s="5"/>
      <c r="R99" s="5"/>
      <c r="S99" s="5"/>
    </row>
    <row r="100" spans="2:19">
      <c r="B100" s="41"/>
      <c r="C100" s="257"/>
      <c r="D100" s="248"/>
      <c r="E100" s="248"/>
      <c r="F100" s="248"/>
      <c r="G100" s="248"/>
      <c r="H100" s="248"/>
      <c r="I100" s="259"/>
      <c r="J100" s="248"/>
      <c r="K100" s="248"/>
      <c r="L100" s="248"/>
      <c r="M100" s="248"/>
      <c r="N100" s="248"/>
      <c r="O100" s="248"/>
      <c r="Q100" s="5"/>
      <c r="R100" s="5"/>
      <c r="S100" s="5"/>
    </row>
    <row r="101" spans="2:19" s="5" customFormat="1">
      <c r="B101" s="41"/>
      <c r="I101" s="259"/>
      <c r="O101" s="248"/>
      <c r="P101" s="39"/>
    </row>
    <row r="102" spans="2:19">
      <c r="B102" s="5"/>
      <c r="C102" s="259"/>
      <c r="D102" s="259"/>
      <c r="E102" s="259"/>
      <c r="F102" s="259"/>
      <c r="G102" s="259"/>
      <c r="H102" s="259"/>
      <c r="I102" s="247"/>
      <c r="J102" s="259"/>
      <c r="K102" s="259"/>
      <c r="L102" s="259"/>
      <c r="M102" s="259"/>
      <c r="N102" s="259"/>
      <c r="O102" s="5"/>
      <c r="Q102" s="5"/>
      <c r="R102" s="5"/>
      <c r="S102" s="5"/>
    </row>
    <row r="103" spans="2:19">
      <c r="B103" s="5"/>
      <c r="C103" s="259"/>
      <c r="D103" s="259"/>
      <c r="E103" s="259"/>
      <c r="F103" s="259"/>
      <c r="G103" s="259"/>
      <c r="H103" s="259"/>
      <c r="I103" s="5"/>
      <c r="J103" s="259"/>
      <c r="K103" s="259"/>
      <c r="L103" s="259"/>
      <c r="M103" s="259"/>
      <c r="N103" s="259"/>
      <c r="O103" s="5"/>
      <c r="P103" s="5"/>
      <c r="Q103" s="5"/>
      <c r="R103" s="5"/>
      <c r="S103" s="5"/>
    </row>
    <row r="104" spans="2:19">
      <c r="B104" s="5"/>
      <c r="C104" s="247"/>
      <c r="D104" s="247"/>
      <c r="E104" s="247"/>
      <c r="F104" s="247"/>
      <c r="G104" s="247"/>
      <c r="H104" s="247"/>
      <c r="I104" s="247"/>
      <c r="J104" s="247"/>
      <c r="K104" s="247"/>
      <c r="L104" s="247"/>
      <c r="M104" s="247"/>
      <c r="N104" s="247"/>
      <c r="O104" s="5"/>
      <c r="Q104" s="5"/>
      <c r="R104" s="5"/>
      <c r="S104" s="5"/>
    </row>
    <row r="105" spans="2:19" s="5" customFormat="1">
      <c r="P105" s="39"/>
    </row>
    <row r="106" spans="2:19" s="5" customFormat="1">
      <c r="C106" s="259"/>
      <c r="D106" s="247"/>
      <c r="E106" s="247"/>
      <c r="F106" s="247"/>
      <c r="G106" s="247"/>
      <c r="H106" s="247"/>
      <c r="I106" s="259"/>
      <c r="J106" s="247"/>
      <c r="K106" s="247"/>
      <c r="L106" s="247"/>
      <c r="M106" s="247"/>
      <c r="N106" s="247"/>
      <c r="P106" s="39"/>
    </row>
    <row r="107" spans="2:19">
      <c r="B107" s="5"/>
      <c r="C107" s="259"/>
      <c r="D107" s="5"/>
      <c r="E107" s="5"/>
      <c r="F107" s="5"/>
      <c r="G107" s="5"/>
      <c r="H107" s="5"/>
      <c r="I107" s="247"/>
      <c r="J107" s="5"/>
      <c r="K107" s="5"/>
      <c r="L107" s="5"/>
      <c r="M107" s="5"/>
      <c r="N107" s="5"/>
      <c r="O107" s="5"/>
      <c r="P107" s="5"/>
      <c r="Q107" s="5"/>
      <c r="R107" s="5"/>
      <c r="S107" s="5"/>
    </row>
    <row r="108" spans="2:19">
      <c r="B108" s="5"/>
      <c r="C108" s="259"/>
      <c r="D108" s="259"/>
      <c r="E108" s="259"/>
      <c r="F108" s="259"/>
      <c r="G108" s="259"/>
      <c r="H108" s="259"/>
      <c r="I108" s="249"/>
      <c r="J108" s="259"/>
      <c r="K108" s="259"/>
      <c r="L108" s="259"/>
      <c r="M108" s="259"/>
      <c r="N108" s="259"/>
      <c r="O108" s="5"/>
      <c r="P108" s="5"/>
      <c r="Q108" s="5"/>
      <c r="R108" s="5"/>
      <c r="S108" s="5"/>
    </row>
    <row r="109" spans="2:19">
      <c r="B109" s="5"/>
      <c r="C109" s="247"/>
      <c r="D109" s="247"/>
      <c r="E109" s="247"/>
      <c r="F109" s="247"/>
      <c r="G109" s="247"/>
      <c r="H109" s="247"/>
      <c r="I109" s="249"/>
      <c r="J109" s="247"/>
      <c r="K109" s="247"/>
      <c r="L109" s="247"/>
      <c r="M109" s="247"/>
      <c r="N109" s="247"/>
      <c r="O109" s="5"/>
      <c r="Q109" s="5"/>
      <c r="R109" s="5"/>
      <c r="S109" s="5"/>
    </row>
    <row r="110" spans="2:19">
      <c r="B110" s="41"/>
      <c r="C110" s="249"/>
      <c r="D110" s="249"/>
      <c r="E110" s="249"/>
      <c r="F110" s="249"/>
      <c r="G110" s="249"/>
      <c r="H110" s="249"/>
      <c r="I110" s="247"/>
      <c r="J110" s="249"/>
      <c r="K110" s="249"/>
      <c r="L110" s="249"/>
      <c r="M110" s="249"/>
      <c r="N110" s="249"/>
      <c r="O110" s="5"/>
      <c r="Q110" s="5"/>
      <c r="R110" s="5"/>
      <c r="S110" s="5"/>
    </row>
    <row r="111" spans="2:19">
      <c r="B111" s="5"/>
      <c r="C111" s="249"/>
      <c r="D111" s="249"/>
      <c r="E111" s="249"/>
      <c r="F111" s="249"/>
      <c r="G111" s="249"/>
      <c r="H111" s="249"/>
      <c r="I111" s="5"/>
      <c r="J111" s="249"/>
      <c r="K111" s="249"/>
      <c r="L111" s="249"/>
      <c r="M111" s="249"/>
      <c r="N111" s="249"/>
      <c r="O111" s="5"/>
      <c r="Q111" s="5"/>
      <c r="R111" s="5"/>
      <c r="S111" s="5"/>
    </row>
    <row r="112" spans="2:19">
      <c r="B112" s="5"/>
      <c r="C112" s="247"/>
      <c r="D112" s="247"/>
      <c r="E112" s="247"/>
      <c r="F112" s="247"/>
      <c r="G112" s="247"/>
      <c r="H112" s="247"/>
      <c r="I112" s="5"/>
      <c r="J112" s="247"/>
      <c r="K112" s="247"/>
      <c r="L112" s="247"/>
      <c r="M112" s="247"/>
      <c r="N112" s="247"/>
      <c r="O112" s="5"/>
      <c r="Q112" s="5"/>
      <c r="R112" s="5"/>
      <c r="S112" s="5"/>
    </row>
    <row r="113" spans="2:19">
      <c r="B113" s="5"/>
      <c r="C113" s="5"/>
      <c r="D113" s="5"/>
      <c r="E113" s="5"/>
      <c r="F113" s="5"/>
      <c r="G113" s="5"/>
      <c r="H113" s="5"/>
      <c r="I113" s="5"/>
      <c r="J113" s="5"/>
      <c r="K113" s="5"/>
      <c r="L113" s="5"/>
      <c r="M113" s="5"/>
      <c r="N113" s="5"/>
      <c r="O113" s="5"/>
      <c r="Q113" s="5"/>
      <c r="R113" s="5"/>
      <c r="S113" s="5"/>
    </row>
    <row r="114" spans="2:19">
      <c r="B114" s="5"/>
      <c r="C114" s="5"/>
      <c r="D114" s="5"/>
      <c r="E114" s="5"/>
      <c r="F114" s="5"/>
      <c r="G114" s="5"/>
      <c r="H114" s="5"/>
      <c r="I114" s="5"/>
      <c r="J114" s="5"/>
      <c r="K114" s="5"/>
      <c r="L114" s="5"/>
      <c r="M114" s="5"/>
      <c r="N114" s="5"/>
      <c r="O114" s="5"/>
      <c r="Q114" s="5"/>
      <c r="R114" s="5"/>
      <c r="S114" s="5"/>
    </row>
    <row r="115" spans="2:19">
      <c r="B115" s="5"/>
      <c r="C115" s="5"/>
      <c r="D115" s="5"/>
      <c r="E115" s="5"/>
      <c r="F115" s="5"/>
      <c r="G115" s="5"/>
      <c r="H115" s="5"/>
      <c r="I115" s="49"/>
      <c r="J115" s="5"/>
      <c r="K115" s="5"/>
      <c r="L115" s="5"/>
      <c r="M115" s="5"/>
      <c r="N115" s="5"/>
      <c r="O115" s="5"/>
      <c r="Q115" s="41"/>
      <c r="R115" s="5"/>
      <c r="S115" s="5"/>
    </row>
    <row r="116" spans="2:19">
      <c r="B116" s="5"/>
      <c r="C116" s="5"/>
      <c r="D116" s="5"/>
      <c r="E116" s="5"/>
      <c r="F116" s="5"/>
      <c r="G116" s="5"/>
      <c r="H116" s="5"/>
      <c r="I116" s="5"/>
      <c r="J116" s="5"/>
      <c r="K116" s="5"/>
      <c r="L116" s="5"/>
      <c r="M116" s="5"/>
      <c r="N116" s="5"/>
      <c r="O116" s="5"/>
      <c r="Q116" s="5"/>
      <c r="R116" s="5"/>
      <c r="S116" s="5"/>
    </row>
    <row r="117" spans="2:19">
      <c r="B117" s="41"/>
      <c r="C117" s="49"/>
      <c r="D117" s="49"/>
      <c r="E117" s="49"/>
      <c r="F117" s="49"/>
      <c r="G117" s="49"/>
      <c r="H117" s="49"/>
      <c r="I117" s="254"/>
      <c r="J117" s="49"/>
      <c r="K117" s="49"/>
      <c r="L117" s="49"/>
      <c r="M117" s="49"/>
      <c r="N117" s="49"/>
      <c r="O117" s="49"/>
      <c r="Q117" s="5"/>
      <c r="R117" s="5"/>
      <c r="S117" s="5"/>
    </row>
    <row r="118" spans="2:19">
      <c r="B118" s="5"/>
      <c r="C118" s="5"/>
      <c r="D118" s="5"/>
      <c r="E118" s="5"/>
      <c r="F118" s="5"/>
      <c r="G118" s="5"/>
      <c r="H118" s="5"/>
      <c r="I118" s="249"/>
      <c r="J118" s="5"/>
      <c r="K118" s="5"/>
      <c r="L118" s="5"/>
      <c r="M118" s="5"/>
      <c r="N118" s="5"/>
      <c r="O118" s="5"/>
      <c r="Q118" s="5"/>
      <c r="R118" s="5"/>
      <c r="S118" s="5"/>
    </row>
    <row r="119" spans="2:19">
      <c r="B119" s="41"/>
      <c r="C119" s="254"/>
      <c r="D119" s="254"/>
      <c r="E119" s="254"/>
      <c r="F119" s="254"/>
      <c r="G119" s="254"/>
      <c r="H119" s="254"/>
      <c r="I119" s="254"/>
      <c r="J119" s="254"/>
      <c r="K119" s="254"/>
      <c r="L119" s="254"/>
      <c r="M119" s="254"/>
      <c r="N119" s="254"/>
      <c r="O119" s="248"/>
      <c r="Q119" s="5"/>
      <c r="R119" s="5"/>
      <c r="S119" s="5"/>
    </row>
    <row r="120" spans="2:19">
      <c r="B120" s="41"/>
      <c r="C120" s="254"/>
      <c r="D120" s="249"/>
      <c r="E120" s="249"/>
      <c r="F120" s="249"/>
      <c r="G120" s="249"/>
      <c r="H120" s="249"/>
      <c r="I120" s="254"/>
      <c r="J120" s="249"/>
      <c r="K120" s="249"/>
      <c r="L120" s="249"/>
      <c r="M120" s="249"/>
      <c r="N120" s="249"/>
      <c r="O120" s="248"/>
      <c r="Q120" s="5"/>
      <c r="R120" s="5"/>
      <c r="S120" s="5"/>
    </row>
    <row r="121" spans="2:19">
      <c r="B121" s="41"/>
      <c r="C121" s="254"/>
      <c r="D121" s="254"/>
      <c r="E121" s="254"/>
      <c r="F121" s="254"/>
      <c r="G121" s="254"/>
      <c r="H121" s="254"/>
      <c r="I121" s="254"/>
      <c r="J121" s="254"/>
      <c r="K121" s="254"/>
      <c r="L121" s="254"/>
      <c r="M121" s="254"/>
      <c r="N121" s="254"/>
      <c r="O121" s="248"/>
      <c r="Q121" s="5"/>
      <c r="R121" s="5"/>
      <c r="S121" s="5"/>
    </row>
    <row r="122" spans="2:19">
      <c r="B122" s="41"/>
      <c r="C122" s="254"/>
      <c r="D122" s="254"/>
      <c r="E122" s="254"/>
      <c r="F122" s="254"/>
      <c r="G122" s="254"/>
      <c r="H122" s="254"/>
      <c r="I122" s="254"/>
      <c r="J122" s="254"/>
      <c r="K122" s="254"/>
      <c r="L122" s="254"/>
      <c r="M122" s="254"/>
      <c r="N122" s="254"/>
      <c r="O122" s="248"/>
      <c r="Q122" s="5"/>
      <c r="R122" s="5"/>
      <c r="S122" s="5"/>
    </row>
    <row r="123" spans="2:19">
      <c r="B123" s="41"/>
      <c r="C123" s="254"/>
      <c r="D123" s="254"/>
      <c r="E123" s="254"/>
      <c r="F123" s="254"/>
      <c r="G123" s="254"/>
      <c r="H123" s="254"/>
      <c r="I123" s="254"/>
      <c r="J123" s="254"/>
      <c r="K123" s="254"/>
      <c r="L123" s="254"/>
      <c r="M123" s="254"/>
      <c r="N123" s="254"/>
      <c r="O123" s="248"/>
      <c r="Q123" s="5"/>
      <c r="R123" s="5"/>
      <c r="S123" s="5"/>
    </row>
    <row r="124" spans="2:19">
      <c r="B124" s="41"/>
      <c r="C124" s="254"/>
      <c r="D124" s="254"/>
      <c r="E124" s="254"/>
      <c r="F124" s="254"/>
      <c r="G124" s="254"/>
      <c r="H124" s="254"/>
      <c r="I124" s="254"/>
      <c r="J124" s="254"/>
      <c r="K124" s="254"/>
      <c r="L124" s="254"/>
      <c r="M124" s="254"/>
      <c r="N124" s="254"/>
      <c r="O124" s="248"/>
      <c r="Q124" s="5"/>
      <c r="R124" s="5"/>
      <c r="S124" s="5"/>
    </row>
    <row r="125" spans="2:19">
      <c r="B125" s="41"/>
      <c r="C125" s="254"/>
      <c r="D125" s="254"/>
      <c r="E125" s="254"/>
      <c r="F125" s="254"/>
      <c r="G125" s="254"/>
      <c r="H125" s="254"/>
      <c r="I125" s="254"/>
      <c r="J125" s="254"/>
      <c r="K125" s="254"/>
      <c r="L125" s="254"/>
      <c r="M125" s="254"/>
      <c r="N125" s="254"/>
      <c r="O125" s="5"/>
      <c r="Q125" s="5"/>
      <c r="R125" s="5"/>
      <c r="S125" s="5"/>
    </row>
    <row r="126" spans="2:19">
      <c r="B126" s="41"/>
      <c r="C126" s="254"/>
      <c r="D126" s="254"/>
      <c r="E126" s="254"/>
      <c r="F126" s="254"/>
      <c r="G126" s="254"/>
      <c r="H126" s="254"/>
      <c r="I126" s="254"/>
      <c r="J126" s="254"/>
      <c r="K126" s="254"/>
      <c r="L126" s="254"/>
      <c r="M126" s="254"/>
      <c r="N126" s="254"/>
      <c r="O126" s="5"/>
      <c r="Q126" s="5"/>
      <c r="R126" s="5"/>
      <c r="S126" s="5"/>
    </row>
    <row r="127" spans="2:19">
      <c r="B127" s="41"/>
      <c r="C127" s="254"/>
      <c r="D127" s="254"/>
      <c r="E127" s="254"/>
      <c r="F127" s="254"/>
      <c r="G127" s="254"/>
      <c r="H127" s="254"/>
      <c r="I127" s="18"/>
      <c r="J127" s="254"/>
      <c r="K127" s="254"/>
      <c r="L127" s="254"/>
      <c r="M127" s="254"/>
      <c r="N127" s="254"/>
      <c r="O127" s="5"/>
      <c r="Q127" s="5"/>
      <c r="R127" s="5"/>
      <c r="S127" s="5"/>
    </row>
    <row r="128" spans="2:19">
      <c r="B128" s="41"/>
      <c r="C128" s="254"/>
      <c r="D128" s="254"/>
      <c r="E128" s="254"/>
      <c r="F128" s="254"/>
      <c r="G128" s="254"/>
      <c r="H128" s="254"/>
      <c r="I128" s="5"/>
      <c r="J128" s="254"/>
      <c r="K128" s="254"/>
      <c r="L128" s="254"/>
      <c r="M128" s="254"/>
      <c r="N128" s="254"/>
      <c r="O128" s="5"/>
      <c r="Q128" s="5"/>
      <c r="R128" s="5"/>
      <c r="S128" s="5"/>
    </row>
    <row r="129" spans="2:27">
      <c r="B129" s="5"/>
      <c r="C129" s="5"/>
      <c r="D129" s="18"/>
      <c r="E129" s="18"/>
      <c r="F129" s="18"/>
      <c r="G129" s="18"/>
      <c r="H129" s="18"/>
      <c r="I129" s="254"/>
      <c r="J129" s="18"/>
      <c r="K129" s="18"/>
      <c r="L129" s="18"/>
      <c r="M129" s="18"/>
      <c r="N129" s="18"/>
      <c r="O129" s="5"/>
      <c r="Q129" s="5"/>
      <c r="R129" s="5"/>
      <c r="S129" s="5"/>
    </row>
    <row r="130" spans="2:27">
      <c r="B130" s="5"/>
      <c r="C130" s="5"/>
      <c r="D130" s="5"/>
      <c r="E130" s="5"/>
      <c r="F130" s="5"/>
      <c r="G130" s="5"/>
      <c r="H130" s="5"/>
      <c r="I130" s="18"/>
      <c r="J130" s="5"/>
      <c r="K130" s="5"/>
      <c r="L130" s="5"/>
      <c r="M130" s="5"/>
      <c r="N130" s="5"/>
      <c r="O130" s="5"/>
      <c r="Q130" s="5"/>
      <c r="R130" s="5"/>
      <c r="S130" s="5"/>
    </row>
    <row r="131" spans="2:27">
      <c r="B131" s="41"/>
      <c r="C131" s="254"/>
      <c r="D131" s="254"/>
      <c r="E131" s="254"/>
      <c r="F131" s="254"/>
      <c r="G131" s="254"/>
      <c r="H131" s="254"/>
      <c r="I131" s="5"/>
      <c r="J131" s="254"/>
      <c r="K131" s="254"/>
      <c r="L131" s="254"/>
      <c r="M131" s="254"/>
      <c r="N131" s="254"/>
      <c r="O131" s="5"/>
      <c r="Q131" s="5"/>
      <c r="R131" s="5"/>
      <c r="S131" s="5"/>
    </row>
    <row r="132" spans="2:27">
      <c r="B132" s="5"/>
      <c r="C132" s="259"/>
      <c r="D132" s="18"/>
      <c r="E132" s="18"/>
      <c r="F132" s="18"/>
      <c r="G132" s="18"/>
      <c r="H132" s="18"/>
      <c r="I132" s="5"/>
      <c r="J132" s="18"/>
      <c r="K132" s="18"/>
      <c r="L132" s="18"/>
      <c r="M132" s="18"/>
      <c r="N132" s="18"/>
      <c r="O132" s="5"/>
      <c r="Q132" s="5"/>
      <c r="R132" s="5"/>
      <c r="S132" s="5"/>
    </row>
    <row r="133" spans="2:27">
      <c r="B133" s="5"/>
      <c r="C133" s="5"/>
      <c r="D133" s="5"/>
      <c r="E133" s="5"/>
      <c r="F133" s="5"/>
      <c r="G133" s="5"/>
      <c r="H133" s="5"/>
      <c r="I133" s="17"/>
      <c r="J133" s="5"/>
      <c r="K133" s="5"/>
      <c r="L133" s="5"/>
      <c r="M133" s="5"/>
      <c r="N133" s="5"/>
      <c r="O133" s="5"/>
      <c r="Q133" s="5"/>
      <c r="R133" s="5"/>
      <c r="S133" s="5"/>
    </row>
    <row r="134" spans="2:27">
      <c r="B134" s="41"/>
      <c r="C134" s="5"/>
      <c r="D134" s="5"/>
      <c r="E134" s="5"/>
      <c r="F134" s="5"/>
      <c r="G134" s="5"/>
      <c r="H134" s="5"/>
      <c r="I134" s="17"/>
      <c r="J134" s="5"/>
      <c r="K134" s="5"/>
      <c r="L134" s="5"/>
      <c r="M134" s="5"/>
      <c r="N134" s="5"/>
      <c r="O134" s="5"/>
      <c r="Q134" s="5"/>
      <c r="R134" s="5"/>
      <c r="S134" s="5"/>
    </row>
    <row r="135" spans="2:27">
      <c r="B135" s="5"/>
      <c r="C135" s="17"/>
      <c r="D135" s="17"/>
      <c r="E135" s="17"/>
      <c r="F135" s="17"/>
      <c r="G135" s="17"/>
      <c r="H135" s="17"/>
      <c r="I135" s="17"/>
      <c r="J135" s="17"/>
      <c r="K135" s="17"/>
      <c r="L135" s="17"/>
      <c r="M135" s="17"/>
      <c r="N135" s="17"/>
      <c r="O135" s="5"/>
      <c r="Q135" s="41"/>
      <c r="R135" s="5"/>
      <c r="S135" s="5"/>
    </row>
    <row r="136" spans="2:27">
      <c r="B136" s="5"/>
      <c r="C136" s="17"/>
      <c r="D136" s="17"/>
      <c r="E136" s="17"/>
      <c r="F136" s="17"/>
      <c r="G136" s="17"/>
      <c r="H136" s="17"/>
      <c r="I136" s="17"/>
      <c r="J136" s="17"/>
      <c r="K136" s="17"/>
      <c r="L136" s="17"/>
      <c r="M136" s="17"/>
      <c r="N136" s="17"/>
      <c r="O136" s="5"/>
      <c r="Q136" s="5"/>
      <c r="R136" s="5"/>
      <c r="S136" s="5"/>
      <c r="X136" s="304"/>
    </row>
    <row r="137" spans="2:27">
      <c r="B137" s="5"/>
      <c r="C137" s="5"/>
      <c r="D137" s="17"/>
      <c r="E137" s="17"/>
      <c r="F137" s="17"/>
      <c r="G137" s="17"/>
      <c r="H137" s="17"/>
      <c r="I137" s="17"/>
      <c r="J137" s="17"/>
      <c r="K137" s="17"/>
      <c r="L137" s="17"/>
      <c r="M137" s="17"/>
      <c r="N137" s="17"/>
      <c r="O137" s="5"/>
      <c r="Q137" s="5"/>
      <c r="R137" s="5"/>
      <c r="S137" s="5"/>
      <c r="X137" s="10"/>
      <c r="Y137" s="304"/>
      <c r="Z137" s="304"/>
      <c r="AA137" s="304"/>
    </row>
    <row r="138" spans="2:27">
      <c r="B138" s="5"/>
      <c r="C138" s="5"/>
      <c r="D138" s="17"/>
      <c r="E138" s="17"/>
      <c r="F138" s="17"/>
      <c r="G138" s="17"/>
      <c r="H138" s="17"/>
      <c r="I138" s="17"/>
      <c r="J138" s="17"/>
      <c r="K138" s="17"/>
      <c r="L138" s="17"/>
      <c r="M138" s="17"/>
      <c r="N138" s="17"/>
      <c r="O138" s="5"/>
      <c r="Q138" s="5"/>
      <c r="R138" s="5"/>
      <c r="S138" s="5"/>
      <c r="Y138" s="10"/>
      <c r="Z138" s="10"/>
      <c r="AA138" s="10"/>
    </row>
    <row r="139" spans="2:27">
      <c r="B139" s="5"/>
      <c r="C139" s="5"/>
      <c r="D139" s="17"/>
      <c r="E139" s="17"/>
      <c r="F139" s="17"/>
      <c r="G139" s="17"/>
      <c r="H139" s="17"/>
      <c r="I139" s="5"/>
      <c r="J139" s="17"/>
      <c r="K139" s="17"/>
      <c r="L139" s="17"/>
      <c r="M139" s="17"/>
      <c r="N139" s="17"/>
      <c r="O139" s="5"/>
      <c r="Q139" s="5"/>
      <c r="R139" s="5"/>
      <c r="S139" s="5"/>
    </row>
    <row r="140" spans="2:27">
      <c r="B140" s="5"/>
      <c r="C140" s="17"/>
      <c r="D140" s="17"/>
      <c r="E140" s="17"/>
      <c r="F140" s="17"/>
      <c r="G140" s="17"/>
      <c r="H140" s="17"/>
      <c r="I140" s="5"/>
      <c r="J140" s="17"/>
      <c r="K140" s="17"/>
      <c r="L140" s="17"/>
      <c r="M140" s="17"/>
      <c r="N140" s="17"/>
      <c r="O140" s="5"/>
      <c r="Q140" s="5"/>
      <c r="R140" s="5"/>
      <c r="S140" s="5"/>
    </row>
    <row r="141" spans="2:27">
      <c r="B141" s="5"/>
      <c r="C141" s="5"/>
      <c r="D141" s="5"/>
      <c r="E141" s="5"/>
      <c r="F141" s="5"/>
      <c r="G141" s="5"/>
      <c r="H141" s="5"/>
      <c r="I141" s="5"/>
      <c r="J141" s="5"/>
      <c r="K141" s="5"/>
      <c r="L141" s="5"/>
      <c r="M141" s="5"/>
      <c r="N141" s="5"/>
      <c r="O141" s="5"/>
      <c r="Q141" s="5"/>
      <c r="R141" s="5"/>
      <c r="S141" s="5"/>
    </row>
    <row r="142" spans="2:27">
      <c r="B142" s="5"/>
      <c r="C142" s="5"/>
      <c r="D142" s="5"/>
      <c r="E142" s="5"/>
      <c r="F142" s="5"/>
      <c r="G142" s="5"/>
      <c r="H142" s="5"/>
      <c r="I142" s="5"/>
      <c r="J142" s="5"/>
      <c r="K142" s="5"/>
      <c r="L142" s="5"/>
      <c r="M142" s="5"/>
      <c r="N142" s="5"/>
      <c r="O142" s="5"/>
      <c r="Q142" s="5"/>
      <c r="R142" s="5"/>
      <c r="S142" s="5"/>
    </row>
    <row r="143" spans="2:27">
      <c r="B143" s="5"/>
      <c r="C143" s="5"/>
      <c r="D143" s="5"/>
      <c r="E143" s="5"/>
      <c r="F143" s="5"/>
      <c r="G143" s="5"/>
      <c r="H143" s="5"/>
      <c r="I143" s="5"/>
      <c r="J143" s="5"/>
      <c r="K143" s="5"/>
      <c r="L143" s="5"/>
      <c r="M143" s="5"/>
      <c r="N143" s="5"/>
      <c r="O143" s="5"/>
      <c r="Q143" s="5"/>
      <c r="R143" s="5"/>
      <c r="S143" s="5"/>
    </row>
    <row r="144" spans="2:27">
      <c r="B144" s="5"/>
      <c r="C144" s="5"/>
      <c r="D144" s="5"/>
      <c r="E144" s="5"/>
      <c r="F144" s="5"/>
      <c r="G144" s="5"/>
      <c r="H144" s="5"/>
      <c r="I144" s="5"/>
      <c r="J144" s="5"/>
      <c r="K144" s="5"/>
      <c r="L144" s="5"/>
      <c r="M144" s="5"/>
      <c r="N144" s="5"/>
      <c r="O144" s="5"/>
      <c r="Q144" s="5"/>
      <c r="R144" s="5"/>
      <c r="S144" s="5"/>
    </row>
    <row r="145" spans="2:19">
      <c r="B145" s="5"/>
      <c r="C145" s="5"/>
      <c r="D145" s="5"/>
      <c r="E145" s="5"/>
      <c r="F145" s="5"/>
      <c r="G145" s="5"/>
      <c r="H145" s="5"/>
      <c r="I145" s="5"/>
      <c r="J145" s="5"/>
      <c r="K145" s="5"/>
      <c r="L145" s="5"/>
      <c r="M145" s="5"/>
      <c r="N145" s="5"/>
      <c r="O145" s="5"/>
      <c r="Q145" s="5"/>
      <c r="R145" s="5"/>
      <c r="S145" s="5"/>
    </row>
    <row r="146" spans="2:19">
      <c r="B146" s="5"/>
      <c r="C146" s="5"/>
      <c r="D146" s="5"/>
      <c r="E146" s="5"/>
      <c r="F146" s="5"/>
      <c r="G146" s="5"/>
      <c r="H146" s="5"/>
      <c r="I146" s="5"/>
      <c r="J146" s="5"/>
      <c r="K146" s="5"/>
      <c r="L146" s="5"/>
      <c r="M146" s="5"/>
      <c r="N146" s="5"/>
      <c r="O146" s="5"/>
      <c r="Q146" s="5"/>
      <c r="R146" s="5"/>
      <c r="S146" s="5"/>
    </row>
    <row r="147" spans="2:19">
      <c r="B147" s="5"/>
      <c r="C147" s="5"/>
      <c r="D147" s="5"/>
      <c r="E147" s="5"/>
      <c r="F147" s="5"/>
      <c r="G147" s="5"/>
      <c r="H147" s="5"/>
      <c r="I147" s="5"/>
      <c r="J147" s="5"/>
      <c r="K147" s="5"/>
      <c r="L147" s="5"/>
      <c r="M147" s="5"/>
      <c r="N147" s="5"/>
      <c r="O147" s="5"/>
      <c r="Q147" s="5"/>
      <c r="R147" s="5"/>
      <c r="S147" s="5"/>
    </row>
    <row r="148" spans="2:19">
      <c r="B148" s="5"/>
      <c r="C148" s="5"/>
      <c r="D148" s="5"/>
      <c r="E148" s="5"/>
      <c r="F148" s="5"/>
      <c r="G148" s="5"/>
      <c r="H148" s="5"/>
      <c r="I148" s="5"/>
      <c r="J148" s="5"/>
      <c r="K148" s="5"/>
      <c r="L148" s="5"/>
      <c r="M148" s="5"/>
      <c r="N148" s="5"/>
      <c r="O148" s="5"/>
      <c r="Q148" s="5"/>
      <c r="R148" s="5"/>
      <c r="S148" s="5"/>
    </row>
    <row r="149" spans="2:19">
      <c r="B149" s="5"/>
      <c r="C149" s="5"/>
      <c r="D149" s="5"/>
      <c r="E149" s="5"/>
      <c r="F149" s="5"/>
      <c r="G149" s="5"/>
      <c r="H149" s="5"/>
      <c r="J149" s="5"/>
      <c r="K149" s="5"/>
      <c r="L149" s="5"/>
      <c r="M149" s="5"/>
      <c r="N149" s="5"/>
      <c r="O149" s="5"/>
      <c r="Q149" s="5"/>
      <c r="R149" s="5"/>
      <c r="S149" s="5"/>
    </row>
    <row r="150" spans="2:19">
      <c r="B150" s="5"/>
      <c r="C150" s="5"/>
      <c r="D150" s="5"/>
      <c r="E150" s="5"/>
      <c r="F150" s="5"/>
      <c r="G150" s="5"/>
      <c r="H150" s="5"/>
      <c r="J150" s="5"/>
      <c r="K150" s="5"/>
      <c r="L150" s="5"/>
      <c r="M150" s="5"/>
      <c r="N150" s="5"/>
      <c r="O150" s="5"/>
      <c r="Q150" s="5"/>
      <c r="R150" s="5"/>
      <c r="S150" s="5"/>
    </row>
    <row r="151" spans="2:19">
      <c r="Q151" s="5"/>
      <c r="R151" s="5"/>
      <c r="S151" s="5"/>
    </row>
    <row r="152" spans="2:19">
      <c r="Q152" s="5"/>
      <c r="R152" s="5"/>
      <c r="S152" s="5"/>
    </row>
    <row r="153" spans="2:19">
      <c r="C153" s="263"/>
      <c r="Q153" s="5"/>
      <c r="R153" s="5"/>
      <c r="S153" s="5"/>
    </row>
    <row r="154" spans="2:19">
      <c r="Q154" s="5"/>
      <c r="R154" s="5"/>
      <c r="S154" s="5"/>
    </row>
    <row r="155" spans="2:19">
      <c r="Q155" s="5"/>
      <c r="R155" s="5"/>
      <c r="S155" s="5"/>
    </row>
    <row r="156" spans="2:19">
      <c r="Q156" s="5"/>
      <c r="R156" s="5"/>
      <c r="S156" s="5"/>
    </row>
    <row r="157" spans="2:19">
      <c r="Q157" s="5"/>
      <c r="R157" s="5"/>
      <c r="S157" s="5"/>
    </row>
    <row r="158" spans="2:19">
      <c r="Q158" s="5"/>
      <c r="R158" s="5"/>
      <c r="S158" s="5"/>
    </row>
    <row r="159" spans="2:19">
      <c r="Q159" s="5"/>
      <c r="R159" s="5"/>
      <c r="S159" s="5"/>
    </row>
    <row r="160" spans="2:19">
      <c r="Q160" s="5"/>
      <c r="R160" s="5"/>
      <c r="S160" s="5"/>
    </row>
    <row r="161" spans="17:19">
      <c r="Q161" s="5"/>
      <c r="R161" s="5"/>
      <c r="S161" s="5"/>
    </row>
    <row r="162" spans="17:19">
      <c r="Q162" s="5"/>
      <c r="R162" s="5"/>
      <c r="S162" s="5"/>
    </row>
    <row r="163" spans="17:19">
      <c r="Q163" s="5"/>
      <c r="R163" s="5"/>
      <c r="S163" s="5"/>
    </row>
    <row r="164" spans="17:19">
      <c r="Q164" s="5"/>
      <c r="R164" s="5"/>
      <c r="S164" s="5"/>
    </row>
    <row r="165" spans="17:19">
      <c r="Q165" s="5"/>
      <c r="R165" s="5"/>
      <c r="S165" s="5"/>
    </row>
  </sheetData>
  <phoneticPr fontId="7" type="noConversion"/>
  <hyperlinks>
    <hyperlink ref="C2" location="KDDISOP!A1" display="Jump to KDDI SOP" xr:uid="{00000000-0004-0000-3100-000001000000}"/>
  </hyperlinks>
  <pageMargins left="0.75" right="0.75" top="1" bottom="1" header="0.5" footer="0.5"/>
  <pageSetup scale="71" orientation="landscape" r:id="rId1"/>
  <headerFooter alignWithMargins="0"/>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16">
    <pageSetUpPr fitToPage="1"/>
  </sheetPr>
  <dimension ref="B1:AR165"/>
  <sheetViews>
    <sheetView showGridLines="0" zoomScale="80" zoomScaleNormal="80" zoomScaleSheetLayoutView="80" workbookViewId="0">
      <selection activeCell="F17" sqref="F17"/>
    </sheetView>
  </sheetViews>
  <sheetFormatPr defaultColWidth="9.109375" defaultRowHeight="12"/>
  <cols>
    <col min="1" max="1" width="2.33203125" style="39" customWidth="1"/>
    <col min="2" max="2" width="26.5546875" style="39" customWidth="1"/>
    <col min="3" max="9" width="10" style="39" customWidth="1"/>
    <col min="10" max="10" width="26.6640625" style="39" customWidth="1"/>
    <col min="11" max="16" width="10" style="39" customWidth="1"/>
    <col min="17" max="19" width="8.6640625" style="39" customWidth="1"/>
    <col min="20" max="28" width="8.6640625" style="5" customWidth="1"/>
    <col min="29" max="44" width="9.109375" style="5"/>
    <col min="45" max="16384" width="9.109375" style="39"/>
  </cols>
  <sheetData>
    <row r="1" spans="2:44" s="312" customFormat="1">
      <c r="T1" s="149"/>
      <c r="U1" s="149"/>
      <c r="V1" s="149"/>
      <c r="W1" s="149"/>
      <c r="X1" s="149"/>
      <c r="Y1" s="149"/>
      <c r="Z1" s="149"/>
      <c r="AA1" s="149"/>
      <c r="AB1" s="149"/>
      <c r="AC1" s="149"/>
      <c r="AD1" s="149"/>
      <c r="AE1" s="149"/>
      <c r="AF1" s="149"/>
      <c r="AG1" s="149"/>
      <c r="AH1" s="149"/>
      <c r="AI1" s="149"/>
      <c r="AJ1" s="149"/>
      <c r="AK1" s="149"/>
      <c r="AL1" s="149"/>
      <c r="AM1" s="149"/>
      <c r="AN1" s="149"/>
      <c r="AO1" s="149"/>
      <c r="AP1" s="149"/>
      <c r="AQ1" s="149"/>
      <c r="AR1" s="149"/>
    </row>
    <row r="2" spans="2:44" s="149" customFormat="1"/>
    <row r="3" spans="2:44" s="149" customFormat="1">
      <c r="H3" s="153"/>
      <c r="P3" s="153"/>
    </row>
    <row r="4" spans="2:44" s="156" customFormat="1" ht="21">
      <c r="B4" s="129" t="s">
        <v>458</v>
      </c>
      <c r="H4" s="222"/>
      <c r="P4" s="222"/>
    </row>
    <row r="5" spans="2:44" s="149" customFormat="1">
      <c r="C5" s="153"/>
      <c r="D5" s="153" t="str" cm="1">
        <f t="array" ref="D5:H5">headings</f>
        <v>2023E</v>
      </c>
      <c r="E5" s="153" t="str">
        <v>2024E</v>
      </c>
      <c r="F5" s="153" t="str">
        <v>2025E</v>
      </c>
      <c r="G5" s="153" t="str">
        <v>2026E</v>
      </c>
      <c r="H5" s="153" t="str">
        <v>23E-26E</v>
      </c>
      <c r="I5" s="153"/>
      <c r="J5" s="153"/>
      <c r="K5" s="153"/>
      <c r="L5" s="153" t="str" cm="1">
        <f t="array" ref="L5:P5">headings</f>
        <v>2023E</v>
      </c>
      <c r="M5" s="153" t="str">
        <v>2024E</v>
      </c>
      <c r="N5" s="153" t="str">
        <v>2025E</v>
      </c>
      <c r="O5" s="153" t="str">
        <v>2026E</v>
      </c>
      <c r="P5" s="153" t="str">
        <v>23E-26E</v>
      </c>
      <c r="Q5" s="162"/>
      <c r="R5" s="162"/>
      <c r="S5" s="162"/>
      <c r="T5" s="162"/>
      <c r="U5" s="162"/>
      <c r="V5" s="162"/>
      <c r="W5" s="162"/>
      <c r="X5" s="162"/>
      <c r="Y5" s="162"/>
    </row>
    <row r="6" spans="2:44">
      <c r="I6" s="5"/>
      <c r="J6" s="5"/>
      <c r="K6" s="5"/>
      <c r="L6" s="5"/>
      <c r="M6" s="5"/>
      <c r="N6" s="5"/>
      <c r="O6" s="49"/>
    </row>
    <row r="7" spans="2:44" ht="12.6" thickBot="1">
      <c r="B7" s="306" t="s">
        <v>271</v>
      </c>
      <c r="C7" s="265"/>
      <c r="D7" s="265" t="str">
        <f>D5</f>
        <v>2023E</v>
      </c>
      <c r="E7" s="265" t="str">
        <f t="shared" ref="E7:H7" si="0">E5</f>
        <v>2024E</v>
      </c>
      <c r="F7" s="265" t="str">
        <f t="shared" si="0"/>
        <v>2025E</v>
      </c>
      <c r="G7" s="265" t="str">
        <f t="shared" si="0"/>
        <v>2026E</v>
      </c>
      <c r="H7" s="265" t="str">
        <f t="shared" si="0"/>
        <v>23E-26E</v>
      </c>
      <c r="I7" s="49"/>
      <c r="J7" s="306" t="s">
        <v>35</v>
      </c>
      <c r="K7" s="306"/>
      <c r="L7" s="265" t="str">
        <f>L5</f>
        <v>2023E</v>
      </c>
      <c r="M7" s="265" t="str">
        <f t="shared" ref="M7:P7" si="1">M5</f>
        <v>2024E</v>
      </c>
      <c r="N7" s="265" t="str">
        <f t="shared" si="1"/>
        <v>2025E</v>
      </c>
      <c r="O7" s="265" t="str">
        <f t="shared" si="1"/>
        <v>2026E</v>
      </c>
      <c r="P7" s="265" t="str">
        <f t="shared" si="1"/>
        <v>23E-26E</v>
      </c>
    </row>
    <row r="8" spans="2:44" ht="12.6" thickTop="1">
      <c r="B8" s="5"/>
      <c r="C8" s="5"/>
      <c r="D8" s="5"/>
      <c r="E8" s="5"/>
      <c r="F8" s="5"/>
      <c r="G8" s="5"/>
      <c r="H8" s="5"/>
      <c r="I8" s="5"/>
      <c r="J8" s="5"/>
      <c r="K8" s="5"/>
      <c r="L8" s="5"/>
      <c r="M8" s="5"/>
      <c r="N8" s="5"/>
      <c r="S8" s="88"/>
      <c r="T8" s="42"/>
      <c r="U8" s="42"/>
      <c r="V8" s="42"/>
      <c r="W8" s="42"/>
      <c r="X8" s="42"/>
      <c r="Y8" s="42"/>
      <c r="Z8" s="42"/>
      <c r="AA8" s="42"/>
    </row>
    <row r="9" spans="2:44">
      <c r="B9" s="41" t="s">
        <v>272</v>
      </c>
      <c r="C9" s="287">
        <f>Prices!$C$10</f>
        <v>3.444</v>
      </c>
      <c r="D9" s="536">
        <v>0</v>
      </c>
      <c r="E9" s="536">
        <v>0</v>
      </c>
      <c r="F9" s="536">
        <v>0</v>
      </c>
      <c r="G9" s="536">
        <v>0</v>
      </c>
      <c r="H9" s="249"/>
      <c r="I9" s="249"/>
      <c r="J9" s="5" t="s">
        <v>273</v>
      </c>
      <c r="L9" s="529">
        <f>'W.EUR INCUMB'!D37</f>
        <v>2.1820368783030246</v>
      </c>
      <c r="M9" s="529">
        <f>'W.EUR INCUMB'!E37</f>
        <v>2.0995807894380842</v>
      </c>
      <c r="N9" s="529">
        <f>'W.EUR INCUMB'!F37</f>
        <v>2.0073776110351829</v>
      </c>
      <c r="O9" s="529">
        <f>'W.EUR INCUMB'!G37</f>
        <v>1.9004321192081457</v>
      </c>
      <c r="P9" s="279">
        <f>'W.EUR INCUMB'!H37</f>
        <v>1.5546449189376421E-2</v>
      </c>
      <c r="S9" s="88"/>
      <c r="T9" s="42"/>
      <c r="U9" s="42"/>
      <c r="V9" s="42"/>
      <c r="W9" s="42"/>
      <c r="X9" s="42"/>
      <c r="Y9" s="42"/>
      <c r="Z9" s="42"/>
      <c r="AA9" s="42"/>
    </row>
    <row r="10" spans="2:44">
      <c r="B10" s="5" t="s">
        <v>274</v>
      </c>
      <c r="C10" s="5"/>
      <c r="D10" s="531">
        <v>3949.5540488598131</v>
      </c>
      <c r="E10" s="531">
        <v>3895.4940145045566</v>
      </c>
      <c r="F10" s="531">
        <v>3844.9706179108589</v>
      </c>
      <c r="G10" s="531">
        <v>3797.7524902531973</v>
      </c>
      <c r="H10" s="247"/>
      <c r="I10" s="247"/>
      <c r="J10" s="5" t="s">
        <v>184</v>
      </c>
      <c r="L10" s="529">
        <f>'W.EUR INCUMB'!D38</f>
        <v>6.6561389315824204</v>
      </c>
      <c r="M10" s="529">
        <f>'W.EUR INCUMB'!E38</f>
        <v>6.276659180358183</v>
      </c>
      <c r="N10" s="529">
        <f>'W.EUR INCUMB'!F38</f>
        <v>5.9086011977805715</v>
      </c>
      <c r="O10" s="529">
        <f>'W.EUR INCUMB'!G38</f>
        <v>5.5249848727361259</v>
      </c>
      <c r="P10" s="279">
        <f>'W.EUR INCUMB'!H38</f>
        <v>3.1953936851226938E-2</v>
      </c>
      <c r="S10" s="88"/>
      <c r="T10" s="42"/>
      <c r="U10" s="42"/>
      <c r="V10" s="42"/>
      <c r="W10" s="288"/>
      <c r="X10" s="288"/>
      <c r="Y10" s="288"/>
      <c r="Z10" s="288"/>
      <c r="AA10" s="42"/>
    </row>
    <row r="11" spans="2:44">
      <c r="B11" s="41" t="s">
        <v>275</v>
      </c>
      <c r="C11" s="5"/>
      <c r="D11" s="532">
        <f>$C$9*D10</f>
        <v>13602.264144273197</v>
      </c>
      <c r="E11" s="532">
        <f>$C$9*E10</f>
        <v>13416.081385953692</v>
      </c>
      <c r="F11" s="532">
        <f>$C$9*F10</f>
        <v>13242.078808084998</v>
      </c>
      <c r="G11" s="532">
        <f>$C$9*G10</f>
        <v>13079.459576432011</v>
      </c>
      <c r="H11" s="249"/>
      <c r="I11" s="249"/>
      <c r="J11" s="5" t="s">
        <v>185</v>
      </c>
      <c r="L11" s="529">
        <f>'W.EUR INCUMB'!D39</f>
        <v>13.860323858751276</v>
      </c>
      <c r="M11" s="529">
        <f>'W.EUR INCUMB'!E39</f>
        <v>12.09622383745986</v>
      </c>
      <c r="N11" s="529">
        <f>'W.EUR INCUMB'!F39</f>
        <v>10.876080155020103</v>
      </c>
      <c r="O11" s="529">
        <f>'W.EUR INCUMB'!G39</f>
        <v>9.7993857809910292</v>
      </c>
      <c r="P11" s="279">
        <f>'W.EUR INCUMB'!H39</f>
        <v>8.864945159447446E-2</v>
      </c>
      <c r="S11" s="88"/>
      <c r="T11" s="42"/>
      <c r="U11" s="42"/>
      <c r="V11" s="42"/>
      <c r="W11" s="288"/>
      <c r="X11" s="288"/>
      <c r="Y11" s="288"/>
      <c r="Z11" s="288"/>
      <c r="AA11" s="42"/>
    </row>
    <row r="12" spans="2:44">
      <c r="B12" s="5" t="s">
        <v>24</v>
      </c>
      <c r="C12" s="249"/>
      <c r="D12" s="533">
        <v>5438.0775518226619</v>
      </c>
      <c r="E12" s="533">
        <v>5535.7598581372349</v>
      </c>
      <c r="F12" s="533">
        <v>6035.7301025535198</v>
      </c>
      <c r="G12" s="533">
        <v>6114.7645381564744</v>
      </c>
      <c r="H12" s="247"/>
      <c r="I12" s="247"/>
      <c r="J12" s="5" t="s">
        <v>466</v>
      </c>
      <c r="L12" s="529">
        <f>'W.EUR INCUMB'!D40</f>
        <v>18.773170831659439</v>
      </c>
      <c r="M12" s="529">
        <f>'W.EUR INCUMB'!E40</f>
        <v>16.316100899802951</v>
      </c>
      <c r="N12" s="529">
        <f>'W.EUR INCUMB'!F40</f>
        <v>14.678691432593167</v>
      </c>
      <c r="O12" s="529">
        <f>'W.EUR INCUMB'!G40</f>
        <v>13.250660214807615</v>
      </c>
      <c r="P12" s="279">
        <f>'W.EUR INCUMB'!H40</f>
        <v>8.9255902689365119E-2</v>
      </c>
      <c r="S12" s="88"/>
      <c r="T12" s="42"/>
      <c r="U12" s="42"/>
      <c r="V12" s="42"/>
      <c r="W12" s="288"/>
      <c r="X12" s="288"/>
      <c r="Y12" s="288"/>
      <c r="Z12" s="288"/>
      <c r="AA12" s="42"/>
    </row>
    <row r="13" spans="2:44">
      <c r="B13" s="5" t="s">
        <v>529</v>
      </c>
      <c r="C13" s="257"/>
      <c r="D13" s="533">
        <v>1893.7129599886507</v>
      </c>
      <c r="E13" s="533">
        <v>1893.7129599886507</v>
      </c>
      <c r="F13" s="533">
        <v>1893.7129599886507</v>
      </c>
      <c r="G13" s="533">
        <v>1893.7129599886507</v>
      </c>
      <c r="H13" s="247"/>
      <c r="I13" s="247"/>
      <c r="J13" s="5" t="s">
        <v>530</v>
      </c>
      <c r="L13" s="529">
        <f>'W.EUR INCUMB'!D41</f>
        <v>1.4554049615742648</v>
      </c>
      <c r="M13" s="529">
        <f>'W.EUR INCUMB'!E41</f>
        <v>1.3652506578772214</v>
      </c>
      <c r="N13" s="529">
        <f>'W.EUR INCUMB'!F41</f>
        <v>1.2968813123150413</v>
      </c>
      <c r="O13" s="529">
        <f>'W.EUR INCUMB'!G41</f>
        <v>1.2281427713802577</v>
      </c>
      <c r="P13" s="279">
        <f>'W.EUR INCUMB'!H41</f>
        <v>2.6301307293472354E-2</v>
      </c>
      <c r="S13" s="88"/>
      <c r="T13" s="42"/>
      <c r="U13" s="42"/>
      <c r="V13" s="42"/>
      <c r="W13" s="42"/>
      <c r="X13" s="42"/>
      <c r="Y13" s="42"/>
      <c r="Z13" s="42"/>
      <c r="AA13" s="42"/>
    </row>
    <row r="14" spans="2:44">
      <c r="B14" s="5" t="s">
        <v>532</v>
      </c>
      <c r="C14" s="257"/>
      <c r="D14" s="533">
        <f>E14</f>
        <v>0</v>
      </c>
      <c r="E14" s="533">
        <f>F14</f>
        <v>0</v>
      </c>
      <c r="F14" s="533">
        <f>KPNSOP!$R$29</f>
        <v>0</v>
      </c>
      <c r="G14" s="533">
        <f>F14</f>
        <v>0</v>
      </c>
      <c r="H14" s="247"/>
      <c r="I14" s="247"/>
      <c r="J14" s="5" t="s">
        <v>593</v>
      </c>
      <c r="L14" s="529">
        <f>'W.EUR INCUMB'!D42</f>
        <v>3.3234793761102739</v>
      </c>
      <c r="M14" s="529">
        <f>'W.EUR INCUMB'!E42</f>
        <v>3.2424169171692641</v>
      </c>
      <c r="N14" s="529">
        <f>'W.EUR INCUMB'!F42</f>
        <v>3.1662515332190617</v>
      </c>
      <c r="O14" s="529">
        <f>'W.EUR INCUMB'!G42</f>
        <v>3.0630241710617754</v>
      </c>
      <c r="P14" s="279">
        <f>'W.EUR INCUMB'!H42</f>
        <v>-3.4232783193558491E-3</v>
      </c>
      <c r="S14" s="88"/>
      <c r="T14" s="42"/>
      <c r="U14" s="42"/>
      <c r="V14" s="42"/>
      <c r="W14" s="42"/>
      <c r="X14" s="42"/>
      <c r="Y14" s="42"/>
      <c r="Z14" s="42"/>
      <c r="AA14" s="42"/>
    </row>
    <row r="15" spans="2:44">
      <c r="B15" s="5" t="s">
        <v>531</v>
      </c>
      <c r="C15" s="274"/>
      <c r="D15" s="533">
        <v>0</v>
      </c>
      <c r="E15" s="533">
        <v>0</v>
      </c>
      <c r="F15" s="533">
        <v>0</v>
      </c>
      <c r="G15" s="533">
        <v>0</v>
      </c>
      <c r="H15" s="247"/>
      <c r="I15" s="247"/>
      <c r="J15" s="5" t="s">
        <v>475</v>
      </c>
      <c r="L15" s="529">
        <f>'W.EUR INCUMB'!D43</f>
        <v>15.36919487731438</v>
      </c>
      <c r="M15" s="529">
        <f>'W.EUR INCUMB'!E43</f>
        <v>13.900480990887658</v>
      </c>
      <c r="N15" s="529">
        <f>'W.EUR INCUMB'!F43</f>
        <v>11.808036199618913</v>
      </c>
      <c r="O15" s="529">
        <f>'W.EUR INCUMB'!G43</f>
        <v>10.77079458313478</v>
      </c>
      <c r="P15" s="279">
        <f>'W.EUR INCUMB'!H43</f>
        <v>0.11736524628436351</v>
      </c>
      <c r="S15" s="88"/>
      <c r="T15" s="42"/>
      <c r="U15" s="42"/>
      <c r="V15" s="42"/>
      <c r="W15" s="42"/>
      <c r="X15" s="42"/>
      <c r="Y15" s="42"/>
      <c r="Z15" s="42"/>
      <c r="AA15" s="42"/>
    </row>
    <row r="16" spans="2:44">
      <c r="B16" s="5" t="s">
        <v>534</v>
      </c>
      <c r="C16" s="257"/>
      <c r="D16" s="533">
        <v>0</v>
      </c>
      <c r="E16" s="533">
        <v>610.42585981987133</v>
      </c>
      <c r="F16" s="533">
        <v>1279.1700644812531</v>
      </c>
      <c r="G16" s="533">
        <v>1985.9389806695799</v>
      </c>
      <c r="H16" s="247"/>
      <c r="I16" s="247"/>
      <c r="J16" s="5" t="s">
        <v>533</v>
      </c>
      <c r="L16" s="529">
        <f>'W.EUR INCUMB'!D44</f>
        <v>13.849445280082518</v>
      </c>
      <c r="M16" s="529">
        <f>'W.EUR INCUMB'!E44</f>
        <v>12.437286696089576</v>
      </c>
      <c r="N16" s="529">
        <f>'W.EUR INCUMB'!F44</f>
        <v>11.380437598490861</v>
      </c>
      <c r="O16" s="529">
        <f>'W.EUR INCUMB'!G44</f>
        <v>10.478743141097034</v>
      </c>
      <c r="P16" s="279">
        <f>'W.EUR INCUMB'!H44</f>
        <v>9.2323853476973694E-2</v>
      </c>
      <c r="S16" s="88"/>
      <c r="T16" s="42"/>
      <c r="U16" s="42"/>
      <c r="V16" s="42"/>
      <c r="W16" s="42"/>
      <c r="X16" s="42"/>
      <c r="Y16" s="42"/>
      <c r="Z16" s="42"/>
      <c r="AA16" s="42"/>
    </row>
    <row r="17" spans="2:27">
      <c r="B17" s="5" t="s">
        <v>6</v>
      </c>
      <c r="C17" s="257"/>
      <c r="D17" s="533">
        <v>220.32348052487961</v>
      </c>
      <c r="E17" s="533">
        <v>204.69477455742017</v>
      </c>
      <c r="F17" s="533">
        <v>149.56498895658913</v>
      </c>
      <c r="G17" s="533">
        <v>149.56498895658913</v>
      </c>
      <c r="H17" s="247"/>
      <c r="I17" s="247"/>
      <c r="J17" s="5" t="s">
        <v>580</v>
      </c>
      <c r="L17" s="248">
        <f>'W.EUR INCUMB'!D45</f>
        <v>4.9929768285127372E-2</v>
      </c>
      <c r="M17" s="248">
        <f>'W.EUR INCUMB'!E45</f>
        <v>5.2540326500089954E-2</v>
      </c>
      <c r="N17" s="248">
        <f>'W.EUR INCUMB'!F45</f>
        <v>5.4852141769022943E-2</v>
      </c>
      <c r="O17" s="248">
        <f>'W.EUR INCUMB'!G45</f>
        <v>5.8322596586761276E-2</v>
      </c>
      <c r="P17" s="279">
        <f>'W.EUR INCUMB'!H45</f>
        <v>4.8261067786518064E-2</v>
      </c>
      <c r="S17" s="88"/>
      <c r="T17" s="42"/>
      <c r="U17" s="42"/>
      <c r="V17" s="42"/>
      <c r="W17" s="42"/>
      <c r="X17" s="42"/>
      <c r="Y17" s="42"/>
      <c r="Z17" s="42"/>
      <c r="AA17" s="42"/>
    </row>
    <row r="18" spans="2:27" ht="12.6" thickBot="1">
      <c r="B18" s="41" t="s">
        <v>583</v>
      </c>
      <c r="C18" s="249"/>
      <c r="D18" s="534">
        <f>D11+D12+D13-D14+D15-D16-D17</f>
        <v>20713.731175559627</v>
      </c>
      <c r="E18" s="534">
        <f>E11+E12+E13-E14+E15-E16-E17</f>
        <v>20030.433569702283</v>
      </c>
      <c r="F18" s="534">
        <f>F11+F12+F13-F14+F15-F16-F17</f>
        <v>19742.786817189324</v>
      </c>
      <c r="G18" s="534">
        <f>G11+G12+G13-G14+G15-G16-G17</f>
        <v>18952.433104950964</v>
      </c>
      <c r="H18" s="276">
        <f>IF(D18=0,"nm",IF(G18=0,"nm",(G18/D18)^(1/3)-1))</f>
        <v>-2.9187084215101522E-2</v>
      </c>
      <c r="I18" s="254"/>
      <c r="J18" s="5" t="s">
        <v>36</v>
      </c>
      <c r="L18" s="248">
        <f>'W.EUR INCUMB'!D46</f>
        <v>4.9929768285127372E-2</v>
      </c>
      <c r="M18" s="248">
        <f>'W.EUR INCUMB'!E46</f>
        <v>5.2540326500089954E-2</v>
      </c>
      <c r="N18" s="248">
        <f>'W.EUR INCUMB'!F46</f>
        <v>5.4852141769022943E-2</v>
      </c>
      <c r="O18" s="248">
        <f>'W.EUR INCUMB'!G46</f>
        <v>5.8322596586761276E-2</v>
      </c>
      <c r="P18" s="279">
        <f>'W.EUR INCUMB'!H46</f>
        <v>4.8261067786518064E-2</v>
      </c>
      <c r="S18" s="88"/>
      <c r="T18" s="42"/>
      <c r="U18" s="42"/>
      <c r="V18" s="42"/>
      <c r="W18" s="42"/>
      <c r="X18" s="42"/>
      <c r="Y18" s="42"/>
      <c r="Z18" s="42"/>
      <c r="AA18" s="42"/>
    </row>
    <row r="19" spans="2:27" ht="12.6" thickTop="1">
      <c r="B19" s="41"/>
      <c r="C19" s="249"/>
      <c r="D19" s="229"/>
      <c r="E19" s="229"/>
      <c r="F19" s="229"/>
      <c r="G19" s="229"/>
      <c r="H19" s="276"/>
      <c r="I19" s="254"/>
      <c r="J19" s="5" t="s">
        <v>581</v>
      </c>
      <c r="L19" s="248">
        <f>'W.EUR INCUMB'!D47</f>
        <v>6.5065217012508891E-2</v>
      </c>
      <c r="M19" s="248">
        <f>'W.EUR INCUMB'!E47</f>
        <v>7.1939956657294191E-2</v>
      </c>
      <c r="N19" s="248">
        <f>'W.EUR INCUMB'!F47</f>
        <v>8.4688087256395234E-2</v>
      </c>
      <c r="O19" s="248">
        <f>'W.EUR INCUMB'!G47</f>
        <v>9.2843660909272999E-2</v>
      </c>
      <c r="P19" s="279">
        <f>'W.EUR INCUMB'!H47</f>
        <v>0.11736524628436351</v>
      </c>
      <c r="S19" s="88"/>
      <c r="T19" s="42"/>
      <c r="U19" s="42"/>
      <c r="V19" s="42"/>
      <c r="W19" s="42"/>
      <c r="X19" s="42"/>
      <c r="Y19" s="42"/>
      <c r="Z19" s="42"/>
      <c r="AA19" s="42"/>
    </row>
    <row r="20" spans="2:27">
      <c r="H20" s="277"/>
      <c r="I20" s="17"/>
      <c r="J20" s="5" t="s">
        <v>604</v>
      </c>
      <c r="L20" s="305">
        <f>'W.EUR INCUMB'!D48</f>
        <v>0.69753103513272863</v>
      </c>
      <c r="M20" s="305">
        <f>'W.EUR INCUMB'!E48</f>
        <v>0.66278263399293669</v>
      </c>
      <c r="N20" s="305">
        <f>'W.EUR INCUMB'!F48</f>
        <v>0.5878425682239502</v>
      </c>
      <c r="O20" s="305">
        <f>'W.EUR INCUMB'!G48</f>
        <v>0.5759521808171526</v>
      </c>
      <c r="P20" s="279" t="str">
        <f>'W.EUR INCUMB'!H48</f>
        <v>nm</v>
      </c>
      <c r="S20" s="88"/>
      <c r="T20" s="42"/>
      <c r="U20" s="42"/>
      <c r="V20" s="42"/>
      <c r="W20" s="42"/>
      <c r="X20" s="42"/>
      <c r="Y20" s="42"/>
      <c r="Z20" s="42"/>
      <c r="AA20" s="42"/>
    </row>
    <row r="21" spans="2:27" ht="12.6" thickBot="1">
      <c r="B21" s="306" t="s">
        <v>926</v>
      </c>
      <c r="C21" s="265"/>
      <c r="D21" s="265" t="str">
        <f>D5</f>
        <v>2023E</v>
      </c>
      <c r="E21" s="265" t="str">
        <f t="shared" ref="E21:H21" si="2">E5</f>
        <v>2024E</v>
      </c>
      <c r="F21" s="265" t="str">
        <f t="shared" si="2"/>
        <v>2025E</v>
      </c>
      <c r="G21" s="265" t="str">
        <f t="shared" si="2"/>
        <v>2026E</v>
      </c>
      <c r="H21" s="265" t="str">
        <f t="shared" si="2"/>
        <v>23E-26E</v>
      </c>
      <c r="I21" s="49"/>
      <c r="J21" s="41"/>
      <c r="L21" s="250"/>
      <c r="M21" s="250"/>
      <c r="N21" s="250"/>
      <c r="O21" s="250"/>
      <c r="P21" s="279"/>
      <c r="S21" s="88"/>
      <c r="T21" s="42"/>
      <c r="U21" s="42"/>
      <c r="V21" s="42"/>
      <c r="W21" s="42"/>
      <c r="X21" s="42"/>
      <c r="Y21" s="42"/>
      <c r="Z21" s="42"/>
      <c r="AA21" s="42"/>
    </row>
    <row r="22" spans="2:27" ht="12.6" thickTop="1">
      <c r="B22" s="5"/>
      <c r="C22" s="257"/>
      <c r="D22" s="17"/>
      <c r="E22" s="17"/>
      <c r="F22" s="17"/>
      <c r="G22" s="17"/>
      <c r="H22" s="17"/>
      <c r="I22" s="17"/>
      <c r="P22" s="277"/>
      <c r="S22" s="88"/>
      <c r="T22" s="42"/>
      <c r="U22" s="42"/>
      <c r="V22" s="42"/>
      <c r="W22" s="42"/>
      <c r="X22" s="42"/>
      <c r="Y22" s="42"/>
      <c r="Z22" s="42"/>
      <c r="AA22" s="42"/>
    </row>
    <row r="23" spans="2:27" ht="12.6" thickBot="1">
      <c r="B23" s="5" t="s">
        <v>584</v>
      </c>
      <c r="C23" s="548">
        <v>5457.1276850621025</v>
      </c>
      <c r="D23" s="540">
        <v>5614.6687857480083</v>
      </c>
      <c r="E23" s="540">
        <v>5758.9929879348538</v>
      </c>
      <c r="F23" s="540">
        <v>5903.5035578883235</v>
      </c>
      <c r="G23" s="540">
        <v>6041.9651370836427</v>
      </c>
      <c r="H23" s="279">
        <f t="shared" ref="H23:H32" si="3">IF(D23=0,"nm",IF(G23=0,"nm",(G23/D23)^(1/3)-1))</f>
        <v>2.4750229747304342E-2</v>
      </c>
      <c r="I23" s="247"/>
      <c r="J23" s="306" t="s">
        <v>9</v>
      </c>
      <c r="K23" s="306"/>
      <c r="L23" s="265" t="str">
        <f>D21</f>
        <v>2023E</v>
      </c>
      <c r="M23" s="265" t="str">
        <f t="shared" ref="M23:P23" si="4">E21</f>
        <v>2024E</v>
      </c>
      <c r="N23" s="265" t="str">
        <f t="shared" si="4"/>
        <v>2025E</v>
      </c>
      <c r="O23" s="265" t="str">
        <f t="shared" si="4"/>
        <v>2026E</v>
      </c>
      <c r="P23" s="265" t="str">
        <f t="shared" si="4"/>
        <v>23E-26E</v>
      </c>
      <c r="S23" s="88"/>
      <c r="T23" s="42"/>
      <c r="U23" s="42"/>
      <c r="V23" s="42"/>
      <c r="W23" s="42"/>
      <c r="X23" s="42"/>
      <c r="Y23" s="42"/>
      <c r="Z23" s="42"/>
      <c r="AA23" s="42"/>
    </row>
    <row r="24" spans="2:27" ht="12.6" thickTop="1">
      <c r="B24" s="5" t="s">
        <v>483</v>
      </c>
      <c r="C24" s="549">
        <v>2404</v>
      </c>
      <c r="D24" s="540">
        <v>2408.5121990513453</v>
      </c>
      <c r="E24" s="540">
        <v>2481.3495723064816</v>
      </c>
      <c r="F24" s="540">
        <v>2542.9664137336313</v>
      </c>
      <c r="G24" s="540">
        <v>2596.4347234014012</v>
      </c>
      <c r="H24" s="279">
        <f t="shared" si="3"/>
        <v>2.5359562638390676E-2</v>
      </c>
      <c r="I24" s="249"/>
      <c r="J24" s="17"/>
      <c r="K24" s="17"/>
      <c r="L24" s="17"/>
      <c r="M24" s="17"/>
      <c r="N24" s="17"/>
      <c r="O24" s="248"/>
      <c r="S24" s="88"/>
      <c r="T24" s="42"/>
      <c r="U24" s="42"/>
      <c r="V24" s="42"/>
      <c r="W24" s="42" t="s">
        <v>458</v>
      </c>
      <c r="X24" s="42" t="s">
        <v>251</v>
      </c>
      <c r="Y24" s="42"/>
      <c r="Z24" s="42"/>
      <c r="AA24" s="42"/>
    </row>
    <row r="25" spans="2:27">
      <c r="B25" s="5" t="s">
        <v>183</v>
      </c>
      <c r="C25" s="548">
        <v>1198.0960099500001</v>
      </c>
      <c r="D25" s="540">
        <v>1199.4212807656713</v>
      </c>
      <c r="E25" s="540">
        <v>1270.2854462809823</v>
      </c>
      <c r="F25" s="540">
        <v>1330.1528456689578</v>
      </c>
      <c r="G25" s="540">
        <v>1382.0260375312482</v>
      </c>
      <c r="H25" s="279">
        <f t="shared" si="3"/>
        <v>4.8370580142172326E-2</v>
      </c>
      <c r="I25" s="248"/>
      <c r="J25" s="247" t="s">
        <v>10</v>
      </c>
      <c r="K25" s="247"/>
      <c r="L25" s="321">
        <v>1259</v>
      </c>
      <c r="M25" s="321">
        <v>1238</v>
      </c>
      <c r="N25" s="321">
        <v>1261</v>
      </c>
      <c r="O25" s="321">
        <v>1261</v>
      </c>
      <c r="P25" s="279">
        <f>IF(L25=0,"nm",IF(O25=0,"nm",(O25/L25)^(1/3)-1))</f>
        <v>5.2924063862458404E-4</v>
      </c>
      <c r="S25" s="88"/>
      <c r="T25" s="42"/>
      <c r="U25" s="42"/>
      <c r="V25" s="147" t="s">
        <v>273</v>
      </c>
      <c r="W25" s="288">
        <f>D37/L9</f>
        <v>1.6907216247754218</v>
      </c>
      <c r="X25" s="288">
        <v>1</v>
      </c>
      <c r="Y25" s="42"/>
      <c r="Z25" s="42"/>
      <c r="AA25" s="42"/>
    </row>
    <row r="26" spans="2:27">
      <c r="B26" s="5" t="s">
        <v>586</v>
      </c>
      <c r="C26" s="548">
        <v>922.53392766150012</v>
      </c>
      <c r="D26" s="540">
        <v>923.55438618956691</v>
      </c>
      <c r="E26" s="540">
        <v>978.11979363635646</v>
      </c>
      <c r="F26" s="540">
        <v>1024.2176911650974</v>
      </c>
      <c r="G26" s="540">
        <v>1064.1600488990612</v>
      </c>
      <c r="H26" s="279">
        <f t="shared" si="3"/>
        <v>4.8370580142172326E-2</v>
      </c>
      <c r="I26" s="249"/>
      <c r="J26" s="249" t="s">
        <v>11</v>
      </c>
      <c r="K26" s="249"/>
      <c r="L26" s="281">
        <f>D11+L25</f>
        <v>14861.264144273197</v>
      </c>
      <c r="M26" s="281">
        <f>E11+M25</f>
        <v>14654.081385953692</v>
      </c>
      <c r="N26" s="281">
        <f>F11+N25</f>
        <v>14503.078808084998</v>
      </c>
      <c r="O26" s="281">
        <f>G11+O25</f>
        <v>14340.459576432011</v>
      </c>
      <c r="P26" s="279">
        <f>IF(L26=0,"nm",IF(O26=0,"nm",(O26/L26)^(1/3)-1))</f>
        <v>-1.1820654814553078E-2</v>
      </c>
      <c r="Q26" s="5"/>
      <c r="S26" s="88"/>
      <c r="T26" s="42"/>
      <c r="U26" s="42"/>
      <c r="V26" s="147" t="s">
        <v>184</v>
      </c>
      <c r="W26" s="288">
        <f t="shared" ref="W26:W33" si="5">D38/L10</f>
        <v>1.2920731658367293</v>
      </c>
      <c r="X26" s="288">
        <v>1</v>
      </c>
      <c r="Y26" s="42"/>
      <c r="Z26" s="42"/>
      <c r="AA26" s="42"/>
    </row>
    <row r="27" spans="2:27">
      <c r="B27" s="5" t="s">
        <v>587</v>
      </c>
      <c r="C27" s="549">
        <v>9087</v>
      </c>
      <c r="D27" s="540">
        <v>8065.7019190907704</v>
      </c>
      <c r="E27" s="540">
        <v>7812.1704370059888</v>
      </c>
      <c r="F27" s="540">
        <v>7970.2810312224428</v>
      </c>
      <c r="G27" s="540">
        <v>7682.8898611902914</v>
      </c>
      <c r="H27" s="279">
        <f t="shared" si="3"/>
        <v>-1.6077678601918888E-2</v>
      </c>
      <c r="I27" s="249"/>
      <c r="J27" s="248"/>
      <c r="K27" s="248"/>
      <c r="L27" s="248"/>
      <c r="M27" s="248"/>
      <c r="N27" s="248"/>
      <c r="O27" s="248"/>
      <c r="Q27" s="41"/>
      <c r="S27" s="88"/>
      <c r="T27" s="42"/>
      <c r="U27" s="42"/>
      <c r="V27" s="147" t="s">
        <v>185</v>
      </c>
      <c r="W27" s="288">
        <f t="shared" si="5"/>
        <v>1.2459861289172696</v>
      </c>
      <c r="X27" s="288">
        <v>1</v>
      </c>
      <c r="Y27" s="42"/>
      <c r="Z27" s="42"/>
      <c r="AA27" s="42"/>
    </row>
    <row r="28" spans="2:27" ht="12.6" thickBot="1">
      <c r="B28" s="5" t="s">
        <v>592</v>
      </c>
      <c r="C28" s="548">
        <v>5568</v>
      </c>
      <c r="D28" s="540">
        <v>5451.3587167123405</v>
      </c>
      <c r="E28" s="540">
        <v>5352.3276064490929</v>
      </c>
      <c r="F28" s="540">
        <v>5267.8314064822625</v>
      </c>
      <c r="G28" s="540">
        <v>5195.3444888985396</v>
      </c>
      <c r="H28" s="279">
        <f t="shared" si="3"/>
        <v>-1.5906123120645432E-2</v>
      </c>
      <c r="I28" s="248"/>
      <c r="J28" s="306" t="s">
        <v>1362</v>
      </c>
      <c r="K28" s="306"/>
      <c r="L28" s="306"/>
      <c r="M28" s="306"/>
      <c r="N28" s="266"/>
      <c r="O28" s="266"/>
      <c r="P28" s="266"/>
      <c r="Q28" s="5"/>
      <c r="S28" s="88"/>
      <c r="T28" s="42"/>
      <c r="U28" s="42"/>
      <c r="V28" s="147" t="s">
        <v>466</v>
      </c>
      <c r="W28" s="288">
        <f t="shared" si="5"/>
        <v>1.1946982519967395</v>
      </c>
      <c r="X28" s="288">
        <v>1</v>
      </c>
      <c r="Y28" s="42"/>
      <c r="Z28" s="42"/>
      <c r="AA28" s="42"/>
    </row>
    <row r="29" spans="2:27" ht="12.6" thickTop="1">
      <c r="B29" s="5" t="s">
        <v>588</v>
      </c>
      <c r="C29" s="548">
        <v>735.09600995000005</v>
      </c>
      <c r="D29" s="540">
        <v>879.17979627172417</v>
      </c>
      <c r="E29" s="540">
        <v>902.72442672176567</v>
      </c>
      <c r="F29" s="540">
        <v>923.22953494220224</v>
      </c>
      <c r="G29" s="540">
        <v>943.03191688866355</v>
      </c>
      <c r="H29" s="279">
        <f t="shared" si="3"/>
        <v>2.3645458783409401E-2</v>
      </c>
      <c r="I29" s="252"/>
      <c r="J29" s="249"/>
      <c r="K29" s="249"/>
      <c r="L29" s="249"/>
      <c r="M29" s="249"/>
      <c r="N29" s="249"/>
      <c r="O29" s="251"/>
      <c r="Q29" s="5"/>
      <c r="S29" s="88"/>
      <c r="T29" s="42"/>
      <c r="U29" s="42"/>
      <c r="V29" s="147" t="s">
        <v>530</v>
      </c>
      <c r="W29" s="288">
        <f t="shared" si="5"/>
        <v>1.7645432863606254</v>
      </c>
      <c r="X29" s="288">
        <v>1</v>
      </c>
      <c r="Y29" s="42"/>
      <c r="Z29" s="42"/>
      <c r="AA29" s="42"/>
    </row>
    <row r="30" spans="2:27">
      <c r="B30" s="5" t="s">
        <v>589</v>
      </c>
      <c r="C30" s="549">
        <v>601</v>
      </c>
      <c r="D30" s="540">
        <v>528.51515082194123</v>
      </c>
      <c r="E30" s="540">
        <v>581.55671951699981</v>
      </c>
      <c r="F30" s="540">
        <v>631.98327481882552</v>
      </c>
      <c r="G30" s="540">
        <v>676.36696395345211</v>
      </c>
      <c r="H30" s="279">
        <f t="shared" si="3"/>
        <v>8.5696193391466613E-2</v>
      </c>
      <c r="I30" s="254"/>
      <c r="J30" s="248"/>
      <c r="K30" s="248"/>
      <c r="L30" s="248"/>
      <c r="M30" s="248"/>
      <c r="N30" s="248"/>
      <c r="O30" s="5"/>
      <c r="Q30" s="5"/>
      <c r="S30" s="88"/>
      <c r="T30" s="42"/>
      <c r="U30" s="42"/>
      <c r="V30" s="147" t="s">
        <v>593</v>
      </c>
      <c r="W30" s="288">
        <f t="shared" si="5"/>
        <v>1.1433010085928315</v>
      </c>
      <c r="X30" s="288">
        <v>1</v>
      </c>
      <c r="Y30" s="42"/>
      <c r="Z30" s="42"/>
      <c r="AA30" s="42"/>
    </row>
    <row r="31" spans="2:27">
      <c r="B31" s="5" t="s">
        <v>590</v>
      </c>
      <c r="C31" s="549">
        <v>577.1938177720001</v>
      </c>
      <c r="D31" s="540">
        <v>593.02554043630107</v>
      </c>
      <c r="E31" s="540">
        <v>662.23398246577472</v>
      </c>
      <c r="F31" s="540">
        <v>699.40015539798537</v>
      </c>
      <c r="G31" s="540">
        <v>739.16796043545071</v>
      </c>
      <c r="H31" s="279">
        <f t="shared" si="3"/>
        <v>7.6192378255129034E-2</v>
      </c>
      <c r="I31" s="254"/>
      <c r="J31" s="252"/>
      <c r="K31" s="252"/>
      <c r="L31" s="252"/>
      <c r="M31" s="252"/>
      <c r="N31" s="252"/>
      <c r="O31" s="5"/>
      <c r="Q31" s="5"/>
      <c r="S31" s="88"/>
      <c r="T31" s="42"/>
      <c r="U31" s="42"/>
      <c r="V31" s="147" t="s">
        <v>475</v>
      </c>
      <c r="W31" s="288">
        <f t="shared" si="5"/>
        <v>1.0998334819883662</v>
      </c>
      <c r="X31" s="288">
        <v>1</v>
      </c>
      <c r="Y31" s="42"/>
      <c r="Z31" s="42"/>
      <c r="AA31" s="42"/>
    </row>
    <row r="32" spans="2:27">
      <c r="B32" s="5" t="s">
        <v>606</v>
      </c>
      <c r="C32" s="550">
        <v>0</v>
      </c>
      <c r="D32" s="540">
        <v>0</v>
      </c>
      <c r="E32" s="540">
        <v>0</v>
      </c>
      <c r="F32" s="540">
        <v>0</v>
      </c>
      <c r="G32" s="540">
        <v>0</v>
      </c>
      <c r="H32" s="279" t="str">
        <f t="shared" si="3"/>
        <v>nm</v>
      </c>
      <c r="I32" s="254"/>
      <c r="J32" s="254"/>
      <c r="K32" s="254"/>
      <c r="L32" s="254"/>
      <c r="M32" s="254"/>
      <c r="N32" s="254"/>
      <c r="O32" s="251"/>
      <c r="Q32" s="5"/>
      <c r="S32" s="88"/>
      <c r="T32" s="42"/>
      <c r="U32" s="42"/>
      <c r="V32" s="147" t="s">
        <v>533</v>
      </c>
      <c r="W32" s="288">
        <f t="shared" si="5"/>
        <v>1.8583237778895905</v>
      </c>
      <c r="X32" s="288">
        <v>1</v>
      </c>
      <c r="Y32" s="42"/>
      <c r="Z32" s="42"/>
      <c r="AA32" s="42"/>
    </row>
    <row r="33" spans="2:27">
      <c r="B33" s="5" t="s">
        <v>5</v>
      </c>
      <c r="C33" s="549">
        <v>206</v>
      </c>
      <c r="D33" s="540">
        <v>228.21776960267221</v>
      </c>
      <c r="E33" s="540">
        <v>243.71234732113882</v>
      </c>
      <c r="F33" s="540">
        <v>246.19871140102143</v>
      </c>
      <c r="G33" s="540">
        <v>245.74256637885762</v>
      </c>
      <c r="H33" s="279">
        <f>IF(D33=0,"nm",IF(G33=0,"nm",(G33/D33)^(1/3)-1))</f>
        <v>2.4968009955896431E-2</v>
      </c>
      <c r="I33" s="5"/>
      <c r="J33" s="254"/>
      <c r="K33" s="254"/>
      <c r="L33" s="254"/>
      <c r="M33" s="254"/>
      <c r="N33" s="254"/>
      <c r="O33" s="251"/>
      <c r="Q33" s="5"/>
      <c r="S33" s="88"/>
      <c r="T33" s="42"/>
      <c r="U33" s="42"/>
      <c r="V33" s="147" t="s">
        <v>580</v>
      </c>
      <c r="W33" s="288">
        <f t="shared" si="5"/>
        <v>0.87317771487828466</v>
      </c>
      <c r="X33" s="288">
        <v>1</v>
      </c>
      <c r="Y33" s="42"/>
      <c r="Z33" s="42"/>
      <c r="AA33" s="42"/>
    </row>
    <row r="34" spans="2:27">
      <c r="H34" s="277"/>
      <c r="I34" s="49"/>
      <c r="J34" s="254"/>
      <c r="K34" s="254"/>
      <c r="L34" s="254"/>
      <c r="M34" s="254"/>
      <c r="N34" s="254"/>
      <c r="O34" s="251"/>
      <c r="Q34" s="5"/>
      <c r="S34" s="88"/>
      <c r="T34" s="42"/>
      <c r="U34" s="42"/>
      <c r="V34" s="147" t="s">
        <v>581</v>
      </c>
      <c r="W34" s="288">
        <f>D47/L19</f>
        <v>0.90922854811813947</v>
      </c>
      <c r="X34" s="288">
        <v>1</v>
      </c>
      <c r="Y34" s="288"/>
      <c r="Z34" s="288"/>
      <c r="AA34" s="42"/>
    </row>
    <row r="35" spans="2:27" ht="12.6" thickBot="1">
      <c r="B35" s="306" t="s">
        <v>602</v>
      </c>
      <c r="C35" s="265"/>
      <c r="D35" s="265" t="str">
        <f>D5</f>
        <v>2023E</v>
      </c>
      <c r="E35" s="265" t="str">
        <f t="shared" ref="E35:H35" si="6">E5</f>
        <v>2024E</v>
      </c>
      <c r="F35" s="265" t="str">
        <f t="shared" si="6"/>
        <v>2025E</v>
      </c>
      <c r="G35" s="265" t="str">
        <f t="shared" si="6"/>
        <v>2026E</v>
      </c>
      <c r="H35" s="265" t="str">
        <f t="shared" si="6"/>
        <v>23E-26E</v>
      </c>
      <c r="I35" s="254"/>
      <c r="J35" s="5"/>
      <c r="K35" s="5"/>
      <c r="L35" s="5"/>
      <c r="M35" s="5"/>
      <c r="N35" s="5"/>
      <c r="O35" s="5"/>
      <c r="Q35" s="5"/>
      <c r="S35" s="88"/>
      <c r="T35" s="42"/>
      <c r="U35" s="42"/>
      <c r="V35" s="42"/>
      <c r="W35" s="42"/>
      <c r="X35" s="42"/>
      <c r="Y35" s="288"/>
      <c r="Z35" s="288"/>
      <c r="AA35" s="42"/>
    </row>
    <row r="36" spans="2:27" ht="12.6" thickTop="1">
      <c r="B36" s="41"/>
      <c r="C36" s="249"/>
      <c r="D36" s="254"/>
      <c r="E36" s="254"/>
      <c r="F36" s="254"/>
      <c r="G36" s="254"/>
      <c r="H36" s="254"/>
      <c r="I36" s="17"/>
      <c r="J36" s="49"/>
      <c r="K36" s="49"/>
      <c r="L36" s="49"/>
      <c r="M36" s="49"/>
      <c r="N36" s="49"/>
      <c r="O36" s="49"/>
      <c r="Q36" s="5"/>
      <c r="S36" s="88"/>
      <c r="T36" s="42"/>
      <c r="U36" s="42"/>
      <c r="V36" s="42"/>
      <c r="W36" s="42"/>
      <c r="X36" s="42"/>
      <c r="Y36" s="288"/>
      <c r="Z36" s="288"/>
      <c r="AA36" s="42"/>
    </row>
    <row r="37" spans="2:27">
      <c r="B37" s="5" t="s">
        <v>273</v>
      </c>
      <c r="C37" s="247"/>
      <c r="D37" s="529">
        <f>D$18/D23</f>
        <v>3.689216936204379</v>
      </c>
      <c r="E37" s="529">
        <f t="shared" ref="E37:G41" si="7">E$18/E23</f>
        <v>3.4781139014522569</v>
      </c>
      <c r="F37" s="529">
        <f t="shared" si="7"/>
        <v>3.344249160451306</v>
      </c>
      <c r="G37" s="529">
        <f t="shared" si="7"/>
        <v>3.1367994807892905</v>
      </c>
      <c r="H37" s="17">
        <f t="shared" ref="H37:H44" si="8">H23</f>
        <v>2.4750229747304342E-2</v>
      </c>
      <c r="I37" s="5"/>
      <c r="J37" s="259"/>
      <c r="K37" s="259"/>
      <c r="L37" s="259"/>
      <c r="M37" s="259"/>
      <c r="N37" s="259"/>
      <c r="O37" s="18"/>
      <c r="Q37" s="5"/>
      <c r="R37" s="5"/>
      <c r="S37" s="42"/>
      <c r="T37" s="42"/>
      <c r="U37" s="42"/>
      <c r="V37" s="42"/>
      <c r="W37" s="42"/>
      <c r="X37" s="42"/>
      <c r="Y37" s="42"/>
      <c r="Z37" s="42"/>
      <c r="AA37" s="42"/>
    </row>
    <row r="38" spans="2:27">
      <c r="B38" s="5" t="s">
        <v>184</v>
      </c>
      <c r="C38" s="247"/>
      <c r="D38" s="529">
        <f>D$18/D24</f>
        <v>8.6002185015788033</v>
      </c>
      <c r="E38" s="529">
        <f>E$18/E24</f>
        <v>8.0723948746501897</v>
      </c>
      <c r="F38" s="529">
        <f>F$18/F24</f>
        <v>7.7636836690275404</v>
      </c>
      <c r="G38" s="529">
        <f t="shared" si="7"/>
        <v>7.2994067342169702</v>
      </c>
      <c r="H38" s="17">
        <f t="shared" si="8"/>
        <v>2.5359562638390676E-2</v>
      </c>
      <c r="I38" s="259"/>
      <c r="J38" s="17"/>
      <c r="K38" s="17"/>
      <c r="L38" s="17"/>
      <c r="M38" s="17"/>
      <c r="N38" s="17"/>
      <c r="O38" s="5"/>
      <c r="Q38" s="5"/>
      <c r="R38" s="5"/>
      <c r="S38" s="42"/>
      <c r="T38" s="42"/>
      <c r="U38" s="42"/>
      <c r="V38" s="42"/>
      <c r="W38" s="42"/>
      <c r="X38" s="42"/>
      <c r="Y38" s="42"/>
      <c r="Z38" s="42"/>
      <c r="AA38" s="42"/>
    </row>
    <row r="39" spans="2:27">
      <c r="B39" s="5" t="s">
        <v>185</v>
      </c>
      <c r="C39" s="247"/>
      <c r="D39" s="529">
        <f>D$18/D25</f>
        <v>17.269771270305174</v>
      </c>
      <c r="E39" s="529">
        <f t="shared" si="7"/>
        <v>15.768450806348628</v>
      </c>
      <c r="F39" s="529">
        <f t="shared" si="7"/>
        <v>14.842494891826</v>
      </c>
      <c r="G39" s="529">
        <f>G$18/G25</f>
        <v>13.713513776344058</v>
      </c>
      <c r="H39" s="17">
        <f t="shared" si="8"/>
        <v>4.8370580142172326E-2</v>
      </c>
      <c r="I39" s="17"/>
      <c r="J39" s="5"/>
      <c r="K39" s="5"/>
      <c r="L39" s="5"/>
      <c r="M39" s="5"/>
      <c r="N39" s="5"/>
      <c r="O39" s="5"/>
      <c r="Q39" s="5"/>
      <c r="R39" s="5"/>
      <c r="S39" s="42"/>
      <c r="T39" s="42"/>
      <c r="U39" s="42"/>
      <c r="V39" s="42"/>
      <c r="W39" s="42"/>
      <c r="X39" s="42"/>
      <c r="Y39" s="42"/>
      <c r="Z39" s="42"/>
      <c r="AA39" s="42"/>
    </row>
    <row r="40" spans="2:27">
      <c r="B40" s="5" t="s">
        <v>466</v>
      </c>
      <c r="C40" s="247"/>
      <c r="D40" s="529">
        <f>D$18/D26</f>
        <v>22.428274377019708</v>
      </c>
      <c r="E40" s="529">
        <f t="shared" si="7"/>
        <v>20.478507540712503</v>
      </c>
      <c r="F40" s="529">
        <f>F$18/F26</f>
        <v>19.275967391981819</v>
      </c>
      <c r="G40" s="529">
        <f t="shared" si="7"/>
        <v>17.80975815109618</v>
      </c>
      <c r="H40" s="17">
        <f t="shared" si="8"/>
        <v>4.8370580142172326E-2</v>
      </c>
      <c r="I40" s="5"/>
      <c r="J40" s="259"/>
      <c r="K40" s="259"/>
      <c r="L40" s="259"/>
      <c r="M40" s="259"/>
      <c r="N40" s="259"/>
      <c r="O40" s="18"/>
      <c r="Q40" s="5"/>
      <c r="R40" s="5"/>
      <c r="S40" s="42"/>
      <c r="T40" s="42"/>
      <c r="U40" s="42"/>
      <c r="V40" s="42"/>
      <c r="W40" s="288"/>
      <c r="X40" s="288"/>
      <c r="Y40" s="42"/>
      <c r="Z40" s="42"/>
      <c r="AA40" s="42"/>
    </row>
    <row r="41" spans="2:27">
      <c r="B41" s="5" t="s">
        <v>530</v>
      </c>
      <c r="C41" s="247"/>
      <c r="D41" s="529">
        <f>D$18/D27</f>
        <v>2.568125053881813</v>
      </c>
      <c r="E41" s="529">
        <f t="shared" si="7"/>
        <v>2.5640036570142906</v>
      </c>
      <c r="F41" s="529">
        <f t="shared" si="7"/>
        <v>2.4770502746201499</v>
      </c>
      <c r="G41" s="529">
        <f t="shared" si="7"/>
        <v>2.4668364960804876</v>
      </c>
      <c r="H41" s="17">
        <f t="shared" si="8"/>
        <v>-1.6077678601918888E-2</v>
      </c>
      <c r="I41" s="247"/>
      <c r="J41" s="17"/>
      <c r="K41" s="17"/>
      <c r="L41" s="17"/>
      <c r="M41" s="17"/>
      <c r="N41" s="17"/>
      <c r="O41" s="5"/>
      <c r="Q41" s="5"/>
      <c r="R41" s="5"/>
      <c r="S41" s="42"/>
      <c r="T41" s="42"/>
      <c r="U41" s="42"/>
      <c r="V41" s="42"/>
      <c r="W41" s="288"/>
      <c r="X41" s="288"/>
      <c r="Y41" s="288"/>
      <c r="Z41" s="288"/>
      <c r="AA41" s="42"/>
    </row>
    <row r="42" spans="2:27">
      <c r="B42" s="5" t="s">
        <v>593</v>
      </c>
      <c r="C42" s="247"/>
      <c r="D42" s="529">
        <f>D18/D28</f>
        <v>3.7997373227443507</v>
      </c>
      <c r="E42" s="529">
        <f>E18/E28</f>
        <v>3.7423780909014872</v>
      </c>
      <c r="F42" s="529">
        <f>F18/F28</f>
        <v>3.7478015702809113</v>
      </c>
      <c r="G42" s="529">
        <f>G18/G28</f>
        <v>3.6479646624874826</v>
      </c>
      <c r="H42" s="17">
        <f t="shared" si="8"/>
        <v>-1.5906123120645432E-2</v>
      </c>
      <c r="I42" s="248"/>
      <c r="J42" s="5"/>
      <c r="K42" s="5"/>
      <c r="L42" s="5"/>
      <c r="M42" s="5"/>
      <c r="N42" s="5"/>
      <c r="O42" s="5"/>
      <c r="Q42" s="5"/>
      <c r="R42" s="5"/>
      <c r="S42" s="42"/>
      <c r="T42" s="42"/>
      <c r="U42" s="42"/>
      <c r="V42" s="42"/>
      <c r="W42" s="288"/>
      <c r="X42" s="288"/>
      <c r="Y42" s="288"/>
      <c r="Z42" s="288"/>
      <c r="AA42" s="42"/>
    </row>
    <row r="43" spans="2:27">
      <c r="B43" s="5" t="s">
        <v>475</v>
      </c>
      <c r="C43" s="247"/>
      <c r="D43" s="529">
        <f>L26/D29</f>
        <v>16.903555117274433</v>
      </c>
      <c r="E43" s="529">
        <f>M26/E29</f>
        <v>16.233172552081964</v>
      </c>
      <c r="F43" s="529">
        <f>N26/F29</f>
        <v>15.709071535490843</v>
      </c>
      <c r="G43" s="529">
        <f>O26/G29</f>
        <v>15.206759516417383</v>
      </c>
      <c r="H43" s="17">
        <f t="shared" si="8"/>
        <v>2.3645458783409401E-2</v>
      </c>
      <c r="I43" s="247"/>
      <c r="J43" s="247"/>
      <c r="K43" s="247"/>
      <c r="L43" s="247"/>
      <c r="M43" s="247"/>
      <c r="N43" s="247"/>
      <c r="O43" s="18"/>
      <c r="Q43" s="5"/>
      <c r="R43" s="5"/>
      <c r="S43" s="42"/>
      <c r="T43" s="42"/>
      <c r="U43" s="42"/>
      <c r="V43" s="42"/>
      <c r="W43" s="288"/>
      <c r="X43" s="288"/>
      <c r="Y43" s="288"/>
      <c r="Z43" s="288"/>
      <c r="AA43" s="42"/>
    </row>
    <row r="44" spans="2:27">
      <c r="B44" s="5" t="s">
        <v>533</v>
      </c>
      <c r="C44" s="69"/>
      <c r="D44" s="529">
        <f>D11/D30</f>
        <v>25.736753474558103</v>
      </c>
      <c r="E44" s="529">
        <f>E11/E30</f>
        <v>23.069256936960763</v>
      </c>
      <c r="F44" s="529">
        <f>F11/F30</f>
        <v>20.953210845462937</v>
      </c>
      <c r="G44" s="529">
        <f>G11/G30</f>
        <v>19.337815525437382</v>
      </c>
      <c r="H44" s="17">
        <f t="shared" si="8"/>
        <v>8.5696193391466613E-2</v>
      </c>
      <c r="I44" s="247"/>
      <c r="J44" s="248"/>
      <c r="K44" s="248"/>
      <c r="L44" s="248"/>
      <c r="M44" s="248"/>
      <c r="N44" s="248"/>
      <c r="O44" s="248"/>
      <c r="Q44" s="5"/>
      <c r="R44" s="5"/>
      <c r="S44" s="42"/>
      <c r="T44" s="42"/>
      <c r="U44" s="42"/>
      <c r="V44" s="42"/>
      <c r="W44" s="325"/>
      <c r="X44" s="325"/>
      <c r="Y44" s="288"/>
      <c r="Z44" s="288"/>
      <c r="AA44" s="42"/>
    </row>
    <row r="45" spans="2:27">
      <c r="B45" s="5" t="s">
        <v>580</v>
      </c>
      <c r="C45" s="247"/>
      <c r="D45" s="248">
        <f>D31/D11</f>
        <v>4.3597560975609767E-2</v>
      </c>
      <c r="E45" s="248">
        <f>E31/E11</f>
        <v>4.9361207897793274E-2</v>
      </c>
      <c r="F45" s="248">
        <f>F31/F11</f>
        <v>5.2816492450638804E-2</v>
      </c>
      <c r="G45" s="248">
        <f>G31/G11</f>
        <v>5.6513646922183525E-2</v>
      </c>
      <c r="H45" s="17">
        <f>H31</f>
        <v>7.6192378255129034E-2</v>
      </c>
      <c r="I45" s="248"/>
      <c r="J45" s="247"/>
      <c r="K45" s="247"/>
      <c r="L45" s="247"/>
      <c r="M45" s="247"/>
      <c r="N45" s="247"/>
      <c r="O45" s="248"/>
      <c r="Q45" s="5"/>
      <c r="R45" s="5"/>
      <c r="S45" s="42"/>
      <c r="T45" s="42"/>
      <c r="U45" s="42"/>
      <c r="V45" s="42"/>
      <c r="W45" s="42"/>
      <c r="X45" s="42"/>
      <c r="Y45" s="325"/>
      <c r="Z45" s="325"/>
      <c r="AA45" s="42"/>
    </row>
    <row r="46" spans="2:27">
      <c r="B46" s="5" t="s">
        <v>605</v>
      </c>
      <c r="C46" s="247"/>
      <c r="D46" s="248">
        <f>(D31+D32)/D11</f>
        <v>4.3597560975609767E-2</v>
      </c>
      <c r="E46" s="248">
        <f>(E31+E32)/E11</f>
        <v>4.9361207897793274E-2</v>
      </c>
      <c r="F46" s="248">
        <f>(F31+F32)/F11</f>
        <v>5.2816492450638804E-2</v>
      </c>
      <c r="G46" s="248">
        <f>(G31+G32)/G11</f>
        <v>5.6513646922183525E-2</v>
      </c>
      <c r="H46" s="17" t="str">
        <f>H32</f>
        <v>nm</v>
      </c>
      <c r="I46" s="247"/>
      <c r="J46" s="247"/>
      <c r="K46" s="247"/>
      <c r="L46" s="247"/>
      <c r="M46" s="247"/>
      <c r="N46" s="247"/>
      <c r="O46" s="18"/>
      <c r="Q46" s="5"/>
      <c r="R46" s="5"/>
      <c r="S46" s="42"/>
      <c r="T46" s="42"/>
      <c r="U46" s="42"/>
      <c r="V46" s="42"/>
      <c r="W46" s="42"/>
      <c r="X46" s="42"/>
      <c r="Y46" s="42"/>
      <c r="Z46" s="42"/>
      <c r="AA46" s="326"/>
    </row>
    <row r="47" spans="2:27">
      <c r="B47" s="5" t="s">
        <v>581</v>
      </c>
      <c r="C47" s="5"/>
      <c r="D47" s="248">
        <f>1/D43</f>
        <v>5.9159152797275127E-2</v>
      </c>
      <c r="E47" s="248">
        <f>1/E43</f>
        <v>6.1602252843160121E-2</v>
      </c>
      <c r="F47" s="248">
        <f>1/F43</f>
        <v>6.3657485914475731E-2</v>
      </c>
      <c r="G47" s="248">
        <f>1/G43</f>
        <v>6.5760229779420726E-2</v>
      </c>
      <c r="H47" s="17">
        <f>H29</f>
        <v>2.3645458783409401E-2</v>
      </c>
      <c r="I47" s="17"/>
      <c r="J47" s="248"/>
      <c r="K47" s="248"/>
      <c r="L47" s="248"/>
      <c r="M47" s="248"/>
      <c r="N47" s="248"/>
      <c r="O47" s="248"/>
      <c r="Q47" s="5"/>
      <c r="R47" s="5"/>
      <c r="S47" s="42"/>
      <c r="T47" s="42"/>
      <c r="U47" s="42"/>
      <c r="V47" s="42"/>
      <c r="W47" s="42"/>
      <c r="X47" s="42"/>
      <c r="Y47" s="42"/>
      <c r="Z47" s="42"/>
      <c r="AA47" s="326"/>
    </row>
    <row r="48" spans="2:27">
      <c r="B48" s="5" t="s">
        <v>618</v>
      </c>
      <c r="C48" s="5"/>
      <c r="D48" s="305">
        <f>D31/D29</f>
        <v>0.67452134699990007</v>
      </c>
      <c r="E48" s="305">
        <f>E31/E29</f>
        <v>0.73359484119718632</v>
      </c>
      <c r="F48" s="305">
        <f>F31/F29</f>
        <v>0.75755825493794515</v>
      </c>
      <c r="G48" s="305">
        <f>G31/G29</f>
        <v>0.78382072461999031</v>
      </c>
      <c r="H48" s="279" t="s">
        <v>607</v>
      </c>
      <c r="I48" s="247"/>
      <c r="J48" s="247"/>
      <c r="K48" s="247"/>
      <c r="L48" s="247"/>
      <c r="M48" s="247"/>
      <c r="N48" s="247"/>
      <c r="O48" s="248"/>
      <c r="Q48" s="5"/>
      <c r="R48" s="5"/>
      <c r="S48" s="42"/>
      <c r="T48" s="42"/>
      <c r="U48" s="42"/>
      <c r="V48" s="42"/>
      <c r="W48" s="42"/>
      <c r="X48" s="42"/>
      <c r="Y48" s="42"/>
      <c r="Z48" s="42"/>
      <c r="AA48" s="326"/>
    </row>
    <row r="49" spans="2:27">
      <c r="B49" s="41"/>
      <c r="C49" s="17"/>
      <c r="D49" s="17"/>
      <c r="E49" s="17"/>
      <c r="F49" s="17"/>
      <c r="G49" s="17"/>
      <c r="H49" s="17"/>
      <c r="I49" s="254"/>
      <c r="J49" s="17"/>
      <c r="K49" s="17"/>
      <c r="L49" s="17"/>
      <c r="M49" s="17"/>
      <c r="N49" s="17"/>
      <c r="O49" s="248"/>
      <c r="Q49" s="5"/>
      <c r="R49" s="5"/>
      <c r="S49" s="42"/>
      <c r="T49" s="42"/>
      <c r="U49" s="42"/>
      <c r="V49" s="42"/>
      <c r="W49" s="42"/>
      <c r="X49" s="42"/>
      <c r="Y49" s="42"/>
      <c r="Z49" s="42"/>
      <c r="AA49" s="326"/>
    </row>
    <row r="50" spans="2:27">
      <c r="B50" s="5"/>
      <c r="C50" s="257"/>
      <c r="D50" s="257"/>
      <c r="E50" s="257"/>
      <c r="F50" s="5"/>
      <c r="G50" s="41"/>
      <c r="H50" s="249"/>
      <c r="I50" s="17"/>
      <c r="J50" s="249"/>
      <c r="K50" s="249"/>
      <c r="L50" s="249"/>
      <c r="M50" s="249"/>
      <c r="N50" s="249"/>
      <c r="O50" s="250"/>
      <c r="Q50" s="5"/>
      <c r="R50" s="5"/>
      <c r="S50" s="42"/>
      <c r="T50" s="42"/>
      <c r="U50" s="42"/>
      <c r="V50" s="42"/>
      <c r="W50" s="288"/>
      <c r="X50" s="288"/>
      <c r="Y50" s="42"/>
      <c r="Z50" s="42"/>
      <c r="AA50" s="326"/>
    </row>
    <row r="51" spans="2:27">
      <c r="B51" s="41"/>
      <c r="C51" s="249"/>
      <c r="D51" s="254"/>
      <c r="E51" s="254"/>
      <c r="F51" s="254"/>
      <c r="G51" s="254"/>
      <c r="H51" s="254"/>
      <c r="I51" s="259"/>
      <c r="J51" s="254"/>
      <c r="K51" s="254"/>
      <c r="L51" s="254"/>
      <c r="M51" s="254"/>
      <c r="N51" s="254"/>
      <c r="O51" s="251"/>
      <c r="Q51" s="5"/>
      <c r="R51" s="5"/>
      <c r="S51" s="42"/>
      <c r="T51" s="42"/>
      <c r="U51" s="42"/>
      <c r="V51" s="42"/>
      <c r="W51" s="288"/>
      <c r="X51" s="288"/>
      <c r="Y51" s="288"/>
      <c r="Z51" s="288"/>
      <c r="AA51" s="42"/>
    </row>
    <row r="52" spans="2:27">
      <c r="B52" s="5"/>
      <c r="C52" s="257"/>
      <c r="D52" s="17"/>
      <c r="E52" s="17"/>
      <c r="F52" s="17"/>
      <c r="G52" s="17"/>
      <c r="H52" s="17"/>
      <c r="I52" s="254"/>
      <c r="J52" s="17"/>
      <c r="K52" s="17"/>
      <c r="L52" s="17"/>
      <c r="M52" s="17"/>
      <c r="N52" s="17"/>
      <c r="O52" s="248"/>
      <c r="Q52" s="5"/>
      <c r="R52" s="5"/>
      <c r="S52" s="5"/>
      <c r="Y52" s="10"/>
      <c r="Z52" s="10"/>
    </row>
    <row r="53" spans="2:27">
      <c r="B53" s="5"/>
      <c r="C53" s="257"/>
      <c r="D53" s="257"/>
      <c r="E53" s="257"/>
      <c r="F53" s="5"/>
      <c r="G53" s="5"/>
      <c r="H53" s="259"/>
      <c r="I53" s="17"/>
      <c r="J53" s="259"/>
      <c r="K53" s="259"/>
      <c r="L53" s="259"/>
      <c r="M53" s="259"/>
      <c r="N53" s="259"/>
      <c r="O53" s="18"/>
      <c r="Q53" s="5"/>
      <c r="R53" s="5"/>
      <c r="S53" s="5"/>
    </row>
    <row r="54" spans="2:27">
      <c r="B54" s="41"/>
      <c r="C54" s="249"/>
      <c r="D54" s="254"/>
      <c r="E54" s="254"/>
      <c r="F54" s="254"/>
      <c r="G54" s="254"/>
      <c r="H54" s="254"/>
      <c r="I54" s="259"/>
      <c r="J54" s="254"/>
      <c r="K54" s="254"/>
      <c r="L54" s="254"/>
      <c r="M54" s="254"/>
      <c r="N54" s="254"/>
      <c r="O54" s="251"/>
      <c r="Q54" s="5"/>
      <c r="R54" s="5"/>
      <c r="S54" s="5"/>
    </row>
    <row r="55" spans="2:27">
      <c r="B55" s="5"/>
      <c r="C55" s="257"/>
      <c r="D55" s="17"/>
      <c r="E55" s="17"/>
      <c r="F55" s="17"/>
      <c r="G55" s="17"/>
      <c r="H55" s="17"/>
      <c r="I55" s="249"/>
      <c r="J55" s="17"/>
      <c r="K55" s="17"/>
      <c r="L55" s="17"/>
      <c r="M55" s="17"/>
      <c r="N55" s="17"/>
      <c r="O55" s="18"/>
      <c r="Q55" s="5"/>
      <c r="R55" s="5"/>
      <c r="S55" s="5"/>
    </row>
    <row r="56" spans="2:27">
      <c r="B56" s="5"/>
      <c r="C56" s="248"/>
      <c r="D56" s="248"/>
      <c r="E56" s="248"/>
      <c r="F56" s="5"/>
      <c r="G56" s="5"/>
      <c r="H56" s="259"/>
      <c r="I56" s="248"/>
      <c r="J56" s="259"/>
      <c r="K56" s="259"/>
      <c r="L56" s="259"/>
      <c r="M56" s="259"/>
      <c r="N56" s="259"/>
      <c r="O56" s="18"/>
      <c r="Q56" s="5"/>
      <c r="R56" s="5"/>
      <c r="S56" s="5"/>
    </row>
    <row r="57" spans="2:27">
      <c r="B57" s="41"/>
      <c r="C57" s="249"/>
      <c r="D57" s="249"/>
      <c r="E57" s="249"/>
      <c r="F57" s="249"/>
      <c r="G57" s="249"/>
      <c r="H57" s="249"/>
      <c r="I57" s="5"/>
      <c r="J57" s="249"/>
      <c r="K57" s="249"/>
      <c r="L57" s="249"/>
      <c r="M57" s="249"/>
      <c r="N57" s="249"/>
      <c r="O57" s="251"/>
      <c r="Q57" s="5"/>
      <c r="R57" s="5"/>
      <c r="S57" s="5"/>
    </row>
    <row r="58" spans="2:27">
      <c r="B58" s="5"/>
      <c r="C58" s="5"/>
      <c r="D58" s="248"/>
      <c r="E58" s="248"/>
      <c r="F58" s="248"/>
      <c r="G58" s="248"/>
      <c r="H58" s="248"/>
      <c r="I58" s="17"/>
      <c r="J58" s="248"/>
      <c r="K58" s="248"/>
      <c r="L58" s="248"/>
      <c r="M58" s="248"/>
      <c r="N58" s="248"/>
      <c r="O58" s="18"/>
      <c r="Q58" s="5"/>
      <c r="R58" s="5"/>
      <c r="S58" s="5"/>
    </row>
    <row r="59" spans="2:27">
      <c r="B59" s="5"/>
      <c r="C59" s="5"/>
      <c r="D59" s="5"/>
      <c r="E59" s="5"/>
      <c r="F59" s="5"/>
      <c r="G59" s="5"/>
      <c r="H59" s="5"/>
      <c r="I59" s="5"/>
      <c r="J59" s="5"/>
      <c r="K59" s="5"/>
      <c r="L59" s="5"/>
      <c r="M59" s="5"/>
      <c r="N59" s="5"/>
      <c r="O59" s="5"/>
      <c r="Q59" s="5"/>
      <c r="R59" s="5"/>
      <c r="S59" s="5"/>
    </row>
    <row r="60" spans="2:27">
      <c r="B60" s="41"/>
      <c r="C60" s="17"/>
      <c r="D60" s="17"/>
      <c r="E60" s="17"/>
      <c r="F60" s="17"/>
      <c r="G60" s="17"/>
      <c r="H60" s="17"/>
      <c r="I60" s="249"/>
      <c r="J60" s="17"/>
      <c r="K60" s="17"/>
      <c r="L60" s="17"/>
      <c r="M60" s="17"/>
      <c r="N60" s="17"/>
      <c r="O60" s="251"/>
      <c r="Q60" s="5"/>
      <c r="R60" s="5"/>
      <c r="S60" s="5"/>
    </row>
    <row r="61" spans="2:27">
      <c r="B61" s="5"/>
      <c r="C61" s="5"/>
      <c r="D61" s="5"/>
      <c r="E61" s="5"/>
      <c r="F61" s="5"/>
      <c r="G61" s="5"/>
      <c r="H61" s="5"/>
      <c r="I61" s="5"/>
      <c r="J61" s="5"/>
      <c r="K61" s="5"/>
      <c r="L61" s="5"/>
      <c r="M61" s="5"/>
      <c r="N61" s="5"/>
      <c r="O61" s="5"/>
      <c r="Q61" s="41"/>
      <c r="R61" s="5"/>
      <c r="S61" s="5"/>
    </row>
    <row r="62" spans="2:27">
      <c r="B62" s="41"/>
      <c r="C62" s="249"/>
      <c r="D62" s="249"/>
      <c r="E62" s="249"/>
      <c r="F62" s="249"/>
      <c r="G62" s="249"/>
      <c r="H62" s="249"/>
      <c r="I62" s="5"/>
      <c r="J62" s="249"/>
      <c r="K62" s="249"/>
      <c r="L62" s="249"/>
      <c r="M62" s="249"/>
      <c r="N62" s="249"/>
      <c r="O62" s="251"/>
      <c r="Q62" s="5"/>
      <c r="R62" s="5"/>
      <c r="S62" s="5"/>
    </row>
    <row r="63" spans="2:27">
      <c r="B63" s="5"/>
      <c r="C63" s="5"/>
      <c r="D63" s="5"/>
      <c r="E63" s="5"/>
      <c r="F63" s="5"/>
      <c r="G63" s="5"/>
      <c r="H63" s="5"/>
      <c r="I63" s="254"/>
      <c r="J63" s="5"/>
      <c r="K63" s="5"/>
      <c r="L63" s="5"/>
      <c r="M63" s="5"/>
      <c r="N63" s="5"/>
      <c r="O63" s="5"/>
      <c r="Q63" s="5"/>
      <c r="R63" s="5"/>
      <c r="S63" s="5"/>
    </row>
    <row r="64" spans="2:27">
      <c r="B64" s="5"/>
      <c r="C64" s="5"/>
      <c r="D64" s="5"/>
      <c r="E64" s="5"/>
      <c r="F64" s="5"/>
      <c r="G64" s="5"/>
      <c r="H64" s="5"/>
      <c r="I64" s="17"/>
      <c r="J64" s="5"/>
      <c r="K64" s="5"/>
      <c r="L64" s="5"/>
      <c r="M64" s="5"/>
      <c r="N64" s="5"/>
      <c r="O64" s="5"/>
      <c r="Q64" s="5"/>
      <c r="R64" s="5"/>
      <c r="S64" s="5"/>
    </row>
    <row r="65" spans="2:26">
      <c r="B65" s="41"/>
      <c r="C65" s="249"/>
      <c r="D65" s="254"/>
      <c r="E65" s="254"/>
      <c r="F65" s="254"/>
      <c r="G65" s="254"/>
      <c r="H65" s="254"/>
      <c r="I65" s="254"/>
      <c r="J65" s="254"/>
      <c r="K65" s="254"/>
      <c r="L65" s="254"/>
      <c r="M65" s="254"/>
      <c r="N65" s="254"/>
      <c r="O65" s="251"/>
      <c r="Q65" s="5"/>
      <c r="R65" s="5"/>
      <c r="S65" s="5"/>
    </row>
    <row r="66" spans="2:26">
      <c r="B66" s="5"/>
      <c r="C66" s="5"/>
      <c r="D66" s="17"/>
      <c r="E66" s="17"/>
      <c r="F66" s="17"/>
      <c r="G66" s="17"/>
      <c r="H66" s="17"/>
      <c r="I66" s="248"/>
      <c r="J66" s="17"/>
      <c r="K66" s="17"/>
      <c r="L66" s="17"/>
      <c r="M66" s="17"/>
      <c r="N66" s="17"/>
      <c r="O66" s="5"/>
      <c r="Q66" s="5"/>
      <c r="R66" s="5"/>
      <c r="S66" s="5"/>
    </row>
    <row r="67" spans="2:26">
      <c r="B67" s="41"/>
      <c r="C67" s="249"/>
      <c r="D67" s="254"/>
      <c r="E67" s="254"/>
      <c r="F67" s="254"/>
      <c r="G67" s="254"/>
      <c r="H67" s="254"/>
      <c r="I67" s="5"/>
      <c r="J67" s="254"/>
      <c r="K67" s="254"/>
      <c r="L67" s="254"/>
      <c r="M67" s="254"/>
      <c r="N67" s="254"/>
      <c r="O67" s="251"/>
      <c r="Q67" s="41"/>
      <c r="R67" s="5"/>
      <c r="S67" s="5"/>
    </row>
    <row r="68" spans="2:26">
      <c r="B68" s="5"/>
      <c r="C68" s="5"/>
      <c r="D68" s="248"/>
      <c r="E68" s="248"/>
      <c r="F68" s="248"/>
      <c r="G68" s="248"/>
      <c r="H68" s="248"/>
      <c r="I68" s="245"/>
      <c r="J68" s="248"/>
      <c r="K68" s="248"/>
      <c r="L68" s="248"/>
      <c r="M68" s="248"/>
      <c r="N68" s="248"/>
      <c r="O68" s="5"/>
      <c r="Q68" s="5"/>
      <c r="R68" s="5"/>
      <c r="S68" s="5"/>
    </row>
    <row r="69" spans="2:26">
      <c r="B69" s="41"/>
      <c r="C69" s="5"/>
      <c r="D69" s="5"/>
      <c r="E69" s="5"/>
      <c r="F69" s="5"/>
      <c r="G69" s="5"/>
      <c r="H69" s="5"/>
      <c r="I69" s="248"/>
      <c r="J69" s="5"/>
      <c r="K69" s="5"/>
      <c r="L69" s="5"/>
      <c r="M69" s="5"/>
      <c r="N69" s="5"/>
      <c r="O69" s="5"/>
      <c r="Q69" s="5"/>
      <c r="R69" s="5"/>
      <c r="S69" s="5"/>
    </row>
    <row r="70" spans="2:26">
      <c r="B70" s="41"/>
      <c r="C70" s="245"/>
      <c r="D70" s="245"/>
      <c r="E70" s="245"/>
      <c r="F70" s="245"/>
      <c r="G70" s="245"/>
      <c r="H70" s="245"/>
      <c r="I70" s="5"/>
      <c r="J70" s="245"/>
      <c r="K70" s="245"/>
      <c r="L70" s="245"/>
      <c r="M70" s="245"/>
      <c r="N70" s="245"/>
      <c r="O70" s="251"/>
      <c r="Q70" s="5"/>
      <c r="R70" s="5"/>
      <c r="S70" s="5"/>
      <c r="W70" s="76"/>
      <c r="X70" s="76"/>
    </row>
    <row r="71" spans="2:26">
      <c r="B71" s="5"/>
      <c r="C71" s="5"/>
      <c r="D71" s="248"/>
      <c r="E71" s="248"/>
      <c r="F71" s="248"/>
      <c r="G71" s="248"/>
      <c r="H71" s="248"/>
      <c r="I71" s="245"/>
      <c r="J71" s="248"/>
      <c r="K71" s="248"/>
      <c r="L71" s="248"/>
      <c r="M71" s="248"/>
      <c r="N71" s="248"/>
      <c r="O71" s="5"/>
      <c r="Q71" s="5"/>
      <c r="R71" s="5"/>
      <c r="S71" s="5"/>
      <c r="W71" s="76"/>
      <c r="X71" s="76"/>
      <c r="Y71" s="76"/>
      <c r="Z71" s="76"/>
    </row>
    <row r="72" spans="2:26">
      <c r="B72" s="41"/>
      <c r="C72" s="5"/>
      <c r="D72" s="5"/>
      <c r="E72" s="5"/>
      <c r="F72" s="5"/>
      <c r="G72" s="5"/>
      <c r="H72" s="5"/>
      <c r="I72" s="18"/>
      <c r="J72" s="5"/>
      <c r="K72" s="5"/>
      <c r="L72" s="5"/>
      <c r="M72" s="5"/>
      <c r="N72" s="5"/>
      <c r="O72" s="5"/>
      <c r="Q72" s="5"/>
      <c r="R72" s="5"/>
      <c r="S72" s="5"/>
      <c r="Y72" s="76"/>
      <c r="Z72" s="76"/>
    </row>
    <row r="73" spans="2:26">
      <c r="B73" s="41"/>
      <c r="C73" s="245"/>
      <c r="D73" s="245"/>
      <c r="E73" s="245"/>
      <c r="F73" s="245"/>
      <c r="G73" s="245"/>
      <c r="H73" s="245"/>
      <c r="I73" s="5"/>
      <c r="J73" s="245"/>
      <c r="K73" s="245"/>
      <c r="L73" s="245"/>
      <c r="M73" s="245"/>
      <c r="N73" s="245"/>
      <c r="O73" s="251"/>
      <c r="Q73" s="5"/>
      <c r="R73" s="5"/>
      <c r="S73" s="5"/>
    </row>
    <row r="74" spans="2:26">
      <c r="B74" s="5"/>
      <c r="C74" s="5"/>
      <c r="D74" s="18"/>
      <c r="E74" s="18"/>
      <c r="F74" s="18"/>
      <c r="G74" s="18"/>
      <c r="H74" s="18"/>
      <c r="I74" s="249"/>
      <c r="J74" s="18"/>
      <c r="K74" s="18"/>
      <c r="L74" s="18"/>
      <c r="M74" s="18"/>
      <c r="N74" s="18"/>
      <c r="O74" s="5"/>
      <c r="Q74" s="5"/>
      <c r="R74" s="5"/>
      <c r="S74" s="5"/>
    </row>
    <row r="75" spans="2:26">
      <c r="B75" s="41"/>
      <c r="C75" s="5"/>
      <c r="D75" s="5"/>
      <c r="E75" s="5"/>
      <c r="F75" s="5"/>
      <c r="G75" s="5"/>
      <c r="H75" s="5"/>
      <c r="I75" s="248"/>
      <c r="J75" s="5"/>
      <c r="K75" s="5"/>
      <c r="L75" s="5"/>
      <c r="M75" s="5"/>
      <c r="N75" s="5"/>
      <c r="O75" s="5"/>
      <c r="Q75" s="5"/>
      <c r="R75" s="5"/>
      <c r="S75" s="5"/>
    </row>
    <row r="76" spans="2:26">
      <c r="B76" s="41"/>
      <c r="C76" s="249"/>
      <c r="D76" s="249"/>
      <c r="E76" s="249"/>
      <c r="F76" s="249"/>
      <c r="G76" s="249"/>
      <c r="H76" s="249"/>
      <c r="I76" s="5"/>
      <c r="J76" s="249"/>
      <c r="K76" s="249"/>
      <c r="L76" s="249"/>
      <c r="M76" s="249"/>
      <c r="N76" s="249"/>
      <c r="O76" s="251"/>
      <c r="Q76" s="5"/>
      <c r="R76" s="5"/>
      <c r="S76" s="5"/>
    </row>
    <row r="77" spans="2:26">
      <c r="B77" s="5"/>
      <c r="C77" s="5"/>
      <c r="D77" s="248"/>
      <c r="E77" s="248"/>
      <c r="F77" s="248"/>
      <c r="G77" s="248"/>
      <c r="H77" s="248"/>
      <c r="I77" s="245"/>
      <c r="J77" s="248"/>
      <c r="K77" s="248"/>
      <c r="L77" s="248"/>
      <c r="M77" s="248"/>
      <c r="N77" s="248"/>
      <c r="O77" s="5"/>
      <c r="Q77" s="5"/>
      <c r="R77" s="5"/>
      <c r="S77" s="5"/>
    </row>
    <row r="78" spans="2:26">
      <c r="B78" s="41"/>
      <c r="C78" s="5"/>
      <c r="D78" s="5"/>
      <c r="E78" s="5"/>
      <c r="F78" s="5"/>
      <c r="G78" s="5"/>
      <c r="H78" s="5"/>
      <c r="I78" s="248"/>
      <c r="J78" s="5"/>
      <c r="K78" s="5"/>
      <c r="L78" s="5"/>
      <c r="M78" s="5"/>
      <c r="N78" s="5"/>
      <c r="O78" s="5"/>
      <c r="Q78" s="5"/>
      <c r="R78" s="5"/>
      <c r="S78" s="5"/>
    </row>
    <row r="79" spans="2:26">
      <c r="B79" s="41"/>
      <c r="C79" s="245"/>
      <c r="D79" s="245"/>
      <c r="E79" s="245"/>
      <c r="F79" s="245"/>
      <c r="G79" s="245"/>
      <c r="H79" s="245"/>
      <c r="I79" s="5"/>
      <c r="J79" s="245"/>
      <c r="K79" s="245"/>
      <c r="L79" s="245"/>
      <c r="M79" s="245"/>
      <c r="N79" s="245"/>
      <c r="O79" s="251"/>
      <c r="Q79" s="5"/>
      <c r="R79" s="5"/>
      <c r="S79" s="5"/>
    </row>
    <row r="80" spans="2:26">
      <c r="B80" s="5"/>
      <c r="C80" s="5"/>
      <c r="D80" s="248"/>
      <c r="E80" s="248"/>
      <c r="F80" s="248"/>
      <c r="G80" s="248"/>
      <c r="H80" s="248"/>
      <c r="I80" s="249"/>
      <c r="J80" s="248"/>
      <c r="K80" s="248"/>
      <c r="L80" s="248"/>
      <c r="M80" s="248"/>
      <c r="N80" s="248"/>
      <c r="O80" s="5"/>
      <c r="Q80" s="5"/>
      <c r="R80" s="5"/>
      <c r="S80" s="5"/>
    </row>
    <row r="81" spans="2:26">
      <c r="B81" s="41"/>
      <c r="C81" s="5"/>
      <c r="D81" s="5"/>
      <c r="E81" s="5"/>
      <c r="F81" s="5"/>
      <c r="G81" s="5"/>
      <c r="H81" s="5"/>
      <c r="I81" s="248"/>
      <c r="J81" s="5"/>
      <c r="K81" s="5"/>
      <c r="L81" s="5"/>
      <c r="M81" s="5"/>
      <c r="N81" s="5"/>
      <c r="O81" s="5"/>
      <c r="Q81" s="5"/>
      <c r="R81" s="5"/>
      <c r="S81" s="5"/>
    </row>
    <row r="82" spans="2:26">
      <c r="B82" s="41"/>
      <c r="C82" s="249"/>
      <c r="D82" s="249"/>
      <c r="E82" s="249"/>
      <c r="F82" s="249"/>
      <c r="G82" s="249"/>
      <c r="H82" s="249"/>
      <c r="I82" s="259"/>
      <c r="J82" s="249"/>
      <c r="K82" s="249"/>
      <c r="L82" s="249"/>
      <c r="M82" s="249"/>
      <c r="N82" s="249"/>
      <c r="O82" s="251"/>
      <c r="Q82" s="5"/>
      <c r="R82" s="5"/>
      <c r="S82" s="5"/>
    </row>
    <row r="83" spans="2:26">
      <c r="B83" s="5"/>
      <c r="C83" s="5"/>
      <c r="D83" s="248"/>
      <c r="E83" s="248"/>
      <c r="F83" s="248"/>
      <c r="G83" s="248"/>
      <c r="H83" s="248"/>
      <c r="I83" s="5"/>
      <c r="J83" s="248"/>
      <c r="K83" s="248"/>
      <c r="L83" s="248"/>
      <c r="M83" s="248"/>
      <c r="N83" s="248"/>
      <c r="O83" s="5"/>
      <c r="Q83" s="5"/>
      <c r="R83" s="5"/>
      <c r="S83" s="5"/>
    </row>
    <row r="84" spans="2:26">
      <c r="B84" s="5"/>
      <c r="C84" s="259"/>
      <c r="D84" s="259"/>
      <c r="E84" s="259"/>
      <c r="F84" s="259"/>
      <c r="G84" s="259"/>
      <c r="H84" s="259"/>
      <c r="I84" s="245"/>
      <c r="J84" s="259"/>
      <c r="K84" s="259"/>
      <c r="L84" s="259"/>
      <c r="M84" s="259"/>
      <c r="N84" s="259"/>
      <c r="O84" s="251"/>
      <c r="Q84" s="5"/>
      <c r="R84" s="5"/>
      <c r="S84" s="5"/>
    </row>
    <row r="85" spans="2:26">
      <c r="B85" s="41"/>
      <c r="C85" s="5"/>
      <c r="D85" s="5"/>
      <c r="E85" s="5"/>
      <c r="F85" s="5"/>
      <c r="G85" s="5"/>
      <c r="H85" s="5"/>
      <c r="I85" s="248"/>
      <c r="J85" s="5"/>
      <c r="K85" s="5"/>
      <c r="L85" s="5"/>
      <c r="M85" s="5"/>
      <c r="N85" s="5"/>
      <c r="O85" s="5"/>
      <c r="Q85" s="5"/>
      <c r="R85" s="5"/>
      <c r="S85" s="5"/>
    </row>
    <row r="86" spans="2:26">
      <c r="B86" s="41"/>
      <c r="C86" s="245"/>
      <c r="D86" s="245"/>
      <c r="E86" s="245"/>
      <c r="F86" s="245"/>
      <c r="G86" s="245"/>
      <c r="H86" s="245"/>
      <c r="I86" s="5"/>
      <c r="J86" s="245"/>
      <c r="K86" s="245"/>
      <c r="L86" s="245"/>
      <c r="M86" s="245"/>
      <c r="N86" s="245"/>
      <c r="O86" s="251"/>
      <c r="Q86" s="5"/>
      <c r="R86" s="5"/>
      <c r="S86" s="5"/>
    </row>
    <row r="87" spans="2:26">
      <c r="B87" s="5"/>
      <c r="C87" s="5"/>
      <c r="D87" s="248"/>
      <c r="E87" s="248"/>
      <c r="F87" s="248"/>
      <c r="G87" s="248"/>
      <c r="H87" s="248"/>
      <c r="I87" s="5"/>
      <c r="J87" s="248"/>
      <c r="K87" s="248"/>
      <c r="L87" s="248"/>
      <c r="M87" s="248"/>
      <c r="N87" s="248"/>
      <c r="O87" s="5"/>
      <c r="Q87" s="5"/>
      <c r="R87" s="5"/>
      <c r="S87" s="5"/>
    </row>
    <row r="88" spans="2:26">
      <c r="B88" s="41"/>
      <c r="C88" s="5"/>
      <c r="D88" s="5"/>
      <c r="E88" s="5"/>
      <c r="F88" s="5"/>
      <c r="G88" s="5"/>
      <c r="H88" s="5"/>
      <c r="I88" s="5"/>
      <c r="J88" s="5"/>
      <c r="K88" s="5"/>
      <c r="L88" s="5"/>
      <c r="M88" s="5"/>
      <c r="N88" s="5"/>
      <c r="O88" s="5"/>
      <c r="Q88" s="5"/>
      <c r="R88" s="5"/>
      <c r="S88" s="5"/>
    </row>
    <row r="89" spans="2:26">
      <c r="B89" s="41"/>
      <c r="C89" s="5"/>
      <c r="D89" s="5"/>
      <c r="E89" s="5"/>
      <c r="F89" s="5"/>
      <c r="G89" s="5"/>
      <c r="H89" s="5"/>
      <c r="I89" s="5"/>
      <c r="J89" s="5"/>
      <c r="K89" s="5"/>
      <c r="L89" s="5"/>
      <c r="M89" s="5"/>
      <c r="N89" s="5"/>
      <c r="O89" s="5"/>
      <c r="Q89" s="5"/>
      <c r="R89" s="5"/>
      <c r="S89" s="5"/>
    </row>
    <row r="90" spans="2:26">
      <c r="B90" s="41"/>
      <c r="C90" s="5"/>
      <c r="D90" s="5"/>
      <c r="E90" s="5"/>
      <c r="F90" s="5"/>
      <c r="G90" s="5"/>
      <c r="H90" s="5"/>
      <c r="I90" s="49"/>
      <c r="J90" s="5"/>
      <c r="K90" s="5"/>
      <c r="L90" s="5"/>
      <c r="M90" s="5"/>
      <c r="N90" s="5"/>
      <c r="O90" s="5"/>
      <c r="Q90" s="41"/>
      <c r="R90" s="5"/>
      <c r="S90" s="5"/>
    </row>
    <row r="91" spans="2:26">
      <c r="B91" s="5"/>
      <c r="C91" s="5"/>
      <c r="D91" s="5"/>
      <c r="E91" s="5"/>
      <c r="F91" s="5"/>
      <c r="G91" s="5"/>
      <c r="H91" s="5"/>
      <c r="I91" s="5"/>
      <c r="J91" s="5"/>
      <c r="K91" s="5"/>
      <c r="L91" s="5"/>
      <c r="M91" s="5"/>
      <c r="N91" s="5"/>
      <c r="O91" s="5"/>
      <c r="Q91" s="5"/>
      <c r="R91" s="5"/>
      <c r="S91" s="5"/>
    </row>
    <row r="92" spans="2:26">
      <c r="B92" s="41"/>
      <c r="C92" s="49"/>
      <c r="D92" s="49"/>
      <c r="E92" s="49"/>
      <c r="F92" s="49"/>
      <c r="G92" s="49"/>
      <c r="H92" s="49"/>
      <c r="I92" s="247"/>
      <c r="J92" s="49"/>
      <c r="K92" s="49"/>
      <c r="L92" s="49"/>
      <c r="M92" s="49"/>
      <c r="N92" s="49"/>
      <c r="O92" s="49"/>
      <c r="Q92" s="5"/>
      <c r="R92" s="5"/>
      <c r="S92" s="5"/>
      <c r="W92" s="21"/>
      <c r="X92" s="21"/>
    </row>
    <row r="93" spans="2:26">
      <c r="B93" s="5"/>
      <c r="C93" s="5"/>
      <c r="D93" s="5"/>
      <c r="E93" s="5"/>
      <c r="F93" s="5"/>
      <c r="G93" s="5"/>
      <c r="H93" s="5"/>
      <c r="I93" s="247"/>
      <c r="J93" s="5"/>
      <c r="K93" s="5"/>
      <c r="L93" s="5"/>
      <c r="M93" s="5"/>
      <c r="N93" s="5"/>
      <c r="O93" s="5"/>
      <c r="Q93" s="5"/>
      <c r="R93" s="5"/>
      <c r="S93" s="5"/>
      <c r="W93" s="21"/>
      <c r="X93" s="21"/>
      <c r="Y93" s="21"/>
      <c r="Z93" s="21"/>
    </row>
    <row r="94" spans="2:26">
      <c r="B94" s="5"/>
      <c r="C94" s="259"/>
      <c r="D94" s="247"/>
      <c r="E94" s="247"/>
      <c r="F94" s="247"/>
      <c r="G94" s="247"/>
      <c r="H94" s="247"/>
      <c r="I94" s="247"/>
      <c r="J94" s="247"/>
      <c r="K94" s="247"/>
      <c r="L94" s="247"/>
      <c r="M94" s="247"/>
      <c r="N94" s="247"/>
      <c r="O94" s="248"/>
      <c r="Q94" s="5"/>
      <c r="R94" s="5"/>
      <c r="S94" s="5"/>
      <c r="Y94" s="21"/>
      <c r="Z94" s="21"/>
    </row>
    <row r="95" spans="2:26">
      <c r="B95" s="5"/>
      <c r="C95" s="259"/>
      <c r="D95" s="247"/>
      <c r="E95" s="247"/>
      <c r="F95" s="247"/>
      <c r="G95" s="247"/>
      <c r="H95" s="247"/>
      <c r="I95" s="248"/>
      <c r="J95" s="247"/>
      <c r="K95" s="247"/>
      <c r="L95" s="247"/>
      <c r="M95" s="247"/>
      <c r="N95" s="247"/>
      <c r="O95" s="248"/>
      <c r="Q95" s="5"/>
      <c r="R95" s="5"/>
      <c r="S95" s="5"/>
    </row>
    <row r="96" spans="2:26">
      <c r="B96" s="5"/>
      <c r="C96" s="259"/>
      <c r="D96" s="247"/>
      <c r="E96" s="247"/>
      <c r="F96" s="247"/>
      <c r="G96" s="247"/>
      <c r="H96" s="247"/>
      <c r="I96" s="247"/>
      <c r="J96" s="247"/>
      <c r="K96" s="247"/>
      <c r="L96" s="247"/>
      <c r="M96" s="247"/>
      <c r="N96" s="247"/>
      <c r="O96" s="248"/>
      <c r="Q96" s="5"/>
      <c r="R96" s="5"/>
      <c r="S96" s="5"/>
    </row>
    <row r="97" spans="2:19">
      <c r="B97" s="5"/>
      <c r="C97" s="259"/>
      <c r="D97" s="248"/>
      <c r="E97" s="248"/>
      <c r="F97" s="248"/>
      <c r="G97" s="248"/>
      <c r="H97" s="248"/>
      <c r="I97" s="249"/>
      <c r="J97" s="248"/>
      <c r="K97" s="248"/>
      <c r="L97" s="248"/>
      <c r="M97" s="248"/>
      <c r="N97" s="248"/>
      <c r="O97" s="248"/>
      <c r="Q97" s="5"/>
      <c r="R97" s="5"/>
      <c r="S97" s="5"/>
    </row>
    <row r="98" spans="2:19">
      <c r="B98" s="5"/>
      <c r="C98" s="259"/>
      <c r="D98" s="247"/>
      <c r="E98" s="247"/>
      <c r="F98" s="247"/>
      <c r="G98" s="247"/>
      <c r="H98" s="247"/>
      <c r="I98" s="248"/>
      <c r="J98" s="247"/>
      <c r="K98" s="247"/>
      <c r="L98" s="247"/>
      <c r="M98" s="247"/>
      <c r="N98" s="247"/>
      <c r="O98" s="248"/>
      <c r="Q98" s="5"/>
      <c r="R98" s="5"/>
      <c r="S98" s="5"/>
    </row>
    <row r="99" spans="2:19">
      <c r="B99" s="41"/>
      <c r="C99" s="249"/>
      <c r="D99" s="249"/>
      <c r="E99" s="249"/>
      <c r="F99" s="249"/>
      <c r="G99" s="249"/>
      <c r="H99" s="249"/>
      <c r="I99" s="5"/>
      <c r="J99" s="249"/>
      <c r="K99" s="249"/>
      <c r="L99" s="249"/>
      <c r="M99" s="249"/>
      <c r="N99" s="249"/>
      <c r="O99" s="248"/>
      <c r="Q99" s="5"/>
      <c r="R99" s="5"/>
      <c r="S99" s="5"/>
    </row>
    <row r="100" spans="2:19">
      <c r="B100" s="41"/>
      <c r="C100" s="257"/>
      <c r="D100" s="248"/>
      <c r="E100" s="248"/>
      <c r="F100" s="248"/>
      <c r="G100" s="248"/>
      <c r="H100" s="248"/>
      <c r="I100" s="259"/>
      <c r="J100" s="248"/>
      <c r="K100" s="248"/>
      <c r="L100" s="248"/>
      <c r="M100" s="248"/>
      <c r="N100" s="248"/>
      <c r="O100" s="248"/>
      <c r="Q100" s="5"/>
      <c r="R100" s="5"/>
      <c r="S100" s="5"/>
    </row>
    <row r="101" spans="2:19" s="5" customFormat="1">
      <c r="B101" s="41"/>
      <c r="I101" s="259"/>
      <c r="O101" s="248"/>
      <c r="P101" s="39"/>
    </row>
    <row r="102" spans="2:19">
      <c r="B102" s="5"/>
      <c r="C102" s="259"/>
      <c r="D102" s="259"/>
      <c r="E102" s="259"/>
      <c r="F102" s="259"/>
      <c r="G102" s="259"/>
      <c r="H102" s="259"/>
      <c r="I102" s="247"/>
      <c r="J102" s="259"/>
      <c r="K102" s="259"/>
      <c r="L102" s="259"/>
      <c r="M102" s="259"/>
      <c r="N102" s="259"/>
      <c r="O102" s="5"/>
      <c r="Q102" s="5"/>
      <c r="R102" s="5"/>
      <c r="S102" s="5"/>
    </row>
    <row r="103" spans="2:19">
      <c r="B103" s="5"/>
      <c r="C103" s="259"/>
      <c r="D103" s="259"/>
      <c r="E103" s="259"/>
      <c r="F103" s="259"/>
      <c r="G103" s="259"/>
      <c r="H103" s="259"/>
      <c r="I103" s="5"/>
      <c r="J103" s="259"/>
      <c r="K103" s="259"/>
      <c r="L103" s="259"/>
      <c r="M103" s="259"/>
      <c r="N103" s="259"/>
      <c r="O103" s="5"/>
      <c r="P103" s="5"/>
      <c r="Q103" s="5"/>
      <c r="R103" s="5"/>
      <c r="S103" s="5"/>
    </row>
    <row r="104" spans="2:19">
      <c r="B104" s="5"/>
      <c r="C104" s="247"/>
      <c r="D104" s="247"/>
      <c r="E104" s="247"/>
      <c r="F104" s="247"/>
      <c r="G104" s="247"/>
      <c r="H104" s="247"/>
      <c r="I104" s="247"/>
      <c r="J104" s="247"/>
      <c r="K104" s="247"/>
      <c r="L104" s="247"/>
      <c r="M104" s="247"/>
      <c r="N104" s="247"/>
      <c r="O104" s="5"/>
      <c r="Q104" s="5"/>
      <c r="R104" s="5"/>
      <c r="S104" s="5"/>
    </row>
    <row r="105" spans="2:19" s="5" customFormat="1">
      <c r="P105" s="39"/>
    </row>
    <row r="106" spans="2:19" s="5" customFormat="1">
      <c r="C106" s="259"/>
      <c r="D106" s="247"/>
      <c r="E106" s="247"/>
      <c r="F106" s="247"/>
      <c r="G106" s="247"/>
      <c r="H106" s="247"/>
      <c r="I106" s="259"/>
      <c r="J106" s="247"/>
      <c r="K106" s="247"/>
      <c r="L106" s="247"/>
      <c r="M106" s="247"/>
      <c r="N106" s="247"/>
      <c r="P106" s="39"/>
    </row>
    <row r="107" spans="2:19">
      <c r="B107" s="5"/>
      <c r="C107" s="259"/>
      <c r="D107" s="5"/>
      <c r="E107" s="5"/>
      <c r="F107" s="5"/>
      <c r="G107" s="5"/>
      <c r="H107" s="5"/>
      <c r="I107" s="247"/>
      <c r="J107" s="5"/>
      <c r="K107" s="5"/>
      <c r="L107" s="5"/>
      <c r="M107" s="5"/>
      <c r="N107" s="5"/>
      <c r="O107" s="5"/>
      <c r="P107" s="5"/>
      <c r="Q107" s="5"/>
      <c r="R107" s="5"/>
      <c r="S107" s="5"/>
    </row>
    <row r="108" spans="2:19">
      <c r="B108" s="5"/>
      <c r="C108" s="259"/>
      <c r="D108" s="259"/>
      <c r="E108" s="259"/>
      <c r="F108" s="259"/>
      <c r="G108" s="259"/>
      <c r="H108" s="259"/>
      <c r="I108" s="249"/>
      <c r="J108" s="259"/>
      <c r="K108" s="259"/>
      <c r="L108" s="259"/>
      <c r="M108" s="259"/>
      <c r="N108" s="259"/>
      <c r="O108" s="5"/>
      <c r="P108" s="5"/>
      <c r="Q108" s="5"/>
      <c r="R108" s="5"/>
      <c r="S108" s="5"/>
    </row>
    <row r="109" spans="2:19">
      <c r="B109" s="5"/>
      <c r="C109" s="247"/>
      <c r="D109" s="247"/>
      <c r="E109" s="247"/>
      <c r="F109" s="247"/>
      <c r="G109" s="247"/>
      <c r="H109" s="247"/>
      <c r="I109" s="249"/>
      <c r="J109" s="247"/>
      <c r="K109" s="247"/>
      <c r="L109" s="247"/>
      <c r="M109" s="247"/>
      <c r="N109" s="247"/>
      <c r="O109" s="5"/>
      <c r="Q109" s="5"/>
      <c r="R109" s="5"/>
      <c r="S109" s="5"/>
    </row>
    <row r="110" spans="2:19">
      <c r="B110" s="41"/>
      <c r="C110" s="249"/>
      <c r="D110" s="249"/>
      <c r="E110" s="249"/>
      <c r="F110" s="249"/>
      <c r="G110" s="249"/>
      <c r="H110" s="249"/>
      <c r="I110" s="247"/>
      <c r="J110" s="249"/>
      <c r="K110" s="249"/>
      <c r="L110" s="249"/>
      <c r="M110" s="249"/>
      <c r="N110" s="249"/>
      <c r="O110" s="5"/>
      <c r="Q110" s="5"/>
      <c r="R110" s="5"/>
      <c r="S110" s="5"/>
    </row>
    <row r="111" spans="2:19">
      <c r="B111" s="5"/>
      <c r="C111" s="249"/>
      <c r="D111" s="249"/>
      <c r="E111" s="249"/>
      <c r="F111" s="249"/>
      <c r="G111" s="249"/>
      <c r="H111" s="249"/>
      <c r="I111" s="5"/>
      <c r="J111" s="249"/>
      <c r="K111" s="249"/>
      <c r="L111" s="249"/>
      <c r="M111" s="249"/>
      <c r="N111" s="249"/>
      <c r="O111" s="5"/>
      <c r="Q111" s="5"/>
      <c r="R111" s="5"/>
      <c r="S111" s="5"/>
    </row>
    <row r="112" spans="2:19">
      <c r="B112" s="5"/>
      <c r="C112" s="247"/>
      <c r="D112" s="247"/>
      <c r="E112" s="247"/>
      <c r="F112" s="247"/>
      <c r="G112" s="247"/>
      <c r="H112" s="247"/>
      <c r="I112" s="5"/>
      <c r="J112" s="247"/>
      <c r="K112" s="247"/>
      <c r="L112" s="247"/>
      <c r="M112" s="247"/>
      <c r="N112" s="247"/>
      <c r="O112" s="5"/>
      <c r="Q112" s="5"/>
      <c r="R112" s="5"/>
      <c r="S112" s="5"/>
    </row>
    <row r="113" spans="2:19">
      <c r="B113" s="5"/>
      <c r="C113" s="5"/>
      <c r="D113" s="5"/>
      <c r="E113" s="5"/>
      <c r="F113" s="5"/>
      <c r="G113" s="5"/>
      <c r="H113" s="5"/>
      <c r="I113" s="5"/>
      <c r="J113" s="5"/>
      <c r="K113" s="5"/>
      <c r="L113" s="5"/>
      <c r="M113" s="5"/>
      <c r="N113" s="5"/>
      <c r="O113" s="5"/>
      <c r="Q113" s="5"/>
      <c r="R113" s="5"/>
      <c r="S113" s="5"/>
    </row>
    <row r="114" spans="2:19">
      <c r="B114" s="5"/>
      <c r="C114" s="5"/>
      <c r="D114" s="5"/>
      <c r="E114" s="5"/>
      <c r="F114" s="5"/>
      <c r="G114" s="5"/>
      <c r="H114" s="5"/>
      <c r="I114" s="5"/>
      <c r="J114" s="5"/>
      <c r="K114" s="5"/>
      <c r="L114" s="5"/>
      <c r="M114" s="5"/>
      <c r="N114" s="5"/>
      <c r="O114" s="5"/>
      <c r="Q114" s="5"/>
      <c r="R114" s="5"/>
      <c r="S114" s="5"/>
    </row>
    <row r="115" spans="2:19">
      <c r="B115" s="5"/>
      <c r="C115" s="5"/>
      <c r="D115" s="5"/>
      <c r="E115" s="5"/>
      <c r="F115" s="5"/>
      <c r="G115" s="5"/>
      <c r="H115" s="5"/>
      <c r="I115" s="49"/>
      <c r="J115" s="5"/>
      <c r="K115" s="5"/>
      <c r="L115" s="5"/>
      <c r="M115" s="5"/>
      <c r="N115" s="5"/>
      <c r="O115" s="5"/>
      <c r="Q115" s="41"/>
      <c r="R115" s="5"/>
      <c r="S115" s="5"/>
    </row>
    <row r="116" spans="2:19">
      <c r="B116" s="5"/>
      <c r="C116" s="5"/>
      <c r="D116" s="5"/>
      <c r="E116" s="5"/>
      <c r="F116" s="5"/>
      <c r="G116" s="5"/>
      <c r="H116" s="5"/>
      <c r="I116" s="5"/>
      <c r="J116" s="5"/>
      <c r="K116" s="5"/>
      <c r="L116" s="5"/>
      <c r="M116" s="5"/>
      <c r="N116" s="5"/>
      <c r="O116" s="5"/>
      <c r="Q116" s="5"/>
      <c r="R116" s="5"/>
      <c r="S116" s="5"/>
    </row>
    <row r="117" spans="2:19">
      <c r="B117" s="41"/>
      <c r="C117" s="49"/>
      <c r="D117" s="49"/>
      <c r="E117" s="49"/>
      <c r="F117" s="49"/>
      <c r="G117" s="49"/>
      <c r="H117" s="49"/>
      <c r="I117" s="254"/>
      <c r="J117" s="49"/>
      <c r="K117" s="49"/>
      <c r="L117" s="49"/>
      <c r="M117" s="49"/>
      <c r="N117" s="49"/>
      <c r="O117" s="49"/>
      <c r="Q117" s="5"/>
      <c r="R117" s="5"/>
      <c r="S117" s="5"/>
    </row>
    <row r="118" spans="2:19">
      <c r="B118" s="5"/>
      <c r="C118" s="5"/>
      <c r="D118" s="5"/>
      <c r="E118" s="5"/>
      <c r="F118" s="5"/>
      <c r="G118" s="5"/>
      <c r="H118" s="5"/>
      <c r="I118" s="249"/>
      <c r="J118" s="5"/>
      <c r="K118" s="5"/>
      <c r="L118" s="5"/>
      <c r="M118" s="5"/>
      <c r="N118" s="5"/>
      <c r="O118" s="5"/>
      <c r="Q118" s="5"/>
      <c r="R118" s="5"/>
      <c r="S118" s="5"/>
    </row>
    <row r="119" spans="2:19">
      <c r="B119" s="41"/>
      <c r="C119" s="254"/>
      <c r="D119" s="254"/>
      <c r="E119" s="254"/>
      <c r="F119" s="254"/>
      <c r="G119" s="254"/>
      <c r="H119" s="254"/>
      <c r="I119" s="254"/>
      <c r="J119" s="254"/>
      <c r="K119" s="254"/>
      <c r="L119" s="254"/>
      <c r="M119" s="254"/>
      <c r="N119" s="254"/>
      <c r="O119" s="248"/>
      <c r="Q119" s="5"/>
      <c r="R119" s="5"/>
      <c r="S119" s="5"/>
    </row>
    <row r="120" spans="2:19">
      <c r="B120" s="41"/>
      <c r="C120" s="254"/>
      <c r="D120" s="249"/>
      <c r="E120" s="249"/>
      <c r="F120" s="249"/>
      <c r="G120" s="249"/>
      <c r="H120" s="249"/>
      <c r="I120" s="254"/>
      <c r="J120" s="249"/>
      <c r="K120" s="249"/>
      <c r="L120" s="249"/>
      <c r="M120" s="249"/>
      <c r="N120" s="249"/>
      <c r="O120" s="248"/>
      <c r="Q120" s="5"/>
      <c r="R120" s="5"/>
      <c r="S120" s="5"/>
    </row>
    <row r="121" spans="2:19">
      <c r="B121" s="41"/>
      <c r="C121" s="254"/>
      <c r="D121" s="254"/>
      <c r="E121" s="254"/>
      <c r="F121" s="254"/>
      <c r="G121" s="254"/>
      <c r="H121" s="254"/>
      <c r="I121" s="254"/>
      <c r="J121" s="254"/>
      <c r="K121" s="254"/>
      <c r="L121" s="254"/>
      <c r="M121" s="254"/>
      <c r="N121" s="254"/>
      <c r="O121" s="248"/>
      <c r="Q121" s="5"/>
      <c r="R121" s="5"/>
      <c r="S121" s="5"/>
    </row>
    <row r="122" spans="2:19">
      <c r="B122" s="41"/>
      <c r="C122" s="254"/>
      <c r="D122" s="254"/>
      <c r="E122" s="254"/>
      <c r="F122" s="254"/>
      <c r="G122" s="254"/>
      <c r="H122" s="254"/>
      <c r="I122" s="254"/>
      <c r="J122" s="254"/>
      <c r="K122" s="254"/>
      <c r="L122" s="254"/>
      <c r="M122" s="254"/>
      <c r="N122" s="254"/>
      <c r="O122" s="248"/>
      <c r="Q122" s="5"/>
      <c r="R122" s="5"/>
      <c r="S122" s="5"/>
    </row>
    <row r="123" spans="2:19">
      <c r="B123" s="41"/>
      <c r="C123" s="254"/>
      <c r="D123" s="254"/>
      <c r="E123" s="254"/>
      <c r="F123" s="254"/>
      <c r="G123" s="254"/>
      <c r="H123" s="254"/>
      <c r="I123" s="254"/>
      <c r="J123" s="254"/>
      <c r="K123" s="254"/>
      <c r="L123" s="254"/>
      <c r="M123" s="254"/>
      <c r="N123" s="254"/>
      <c r="O123" s="248"/>
      <c r="Q123" s="5"/>
      <c r="R123" s="5"/>
      <c r="S123" s="5"/>
    </row>
    <row r="124" spans="2:19">
      <c r="B124" s="41"/>
      <c r="C124" s="254"/>
      <c r="D124" s="254"/>
      <c r="E124" s="254"/>
      <c r="F124" s="254"/>
      <c r="G124" s="254"/>
      <c r="H124" s="254"/>
      <c r="I124" s="254"/>
      <c r="J124" s="254"/>
      <c r="K124" s="254"/>
      <c r="L124" s="254"/>
      <c r="M124" s="254"/>
      <c r="N124" s="254"/>
      <c r="O124" s="248"/>
      <c r="Q124" s="5"/>
      <c r="R124" s="5"/>
      <c r="S124" s="5"/>
    </row>
    <row r="125" spans="2:19">
      <c r="B125" s="41"/>
      <c r="C125" s="254"/>
      <c r="D125" s="254"/>
      <c r="E125" s="254"/>
      <c r="F125" s="254"/>
      <c r="G125" s="254"/>
      <c r="H125" s="254"/>
      <c r="I125" s="254"/>
      <c r="J125" s="254"/>
      <c r="K125" s="254"/>
      <c r="L125" s="254"/>
      <c r="M125" s="254"/>
      <c r="N125" s="254"/>
      <c r="O125" s="5"/>
      <c r="Q125" s="5"/>
      <c r="R125" s="5"/>
      <c r="S125" s="5"/>
    </row>
    <row r="126" spans="2:19">
      <c r="B126" s="41"/>
      <c r="C126" s="254"/>
      <c r="D126" s="254"/>
      <c r="E126" s="254"/>
      <c r="F126" s="254"/>
      <c r="G126" s="254"/>
      <c r="H126" s="254"/>
      <c r="I126" s="254"/>
      <c r="J126" s="254"/>
      <c r="K126" s="254"/>
      <c r="L126" s="254"/>
      <c r="M126" s="254"/>
      <c r="N126" s="254"/>
      <c r="O126" s="5"/>
      <c r="Q126" s="5"/>
      <c r="R126" s="5"/>
      <c r="S126" s="5"/>
    </row>
    <row r="127" spans="2:19">
      <c r="B127" s="41"/>
      <c r="C127" s="254"/>
      <c r="D127" s="254"/>
      <c r="E127" s="254"/>
      <c r="F127" s="254"/>
      <c r="G127" s="254"/>
      <c r="H127" s="254"/>
      <c r="I127" s="18"/>
      <c r="J127" s="254"/>
      <c r="K127" s="254"/>
      <c r="L127" s="254"/>
      <c r="M127" s="254"/>
      <c r="N127" s="254"/>
      <c r="O127" s="5"/>
      <c r="Q127" s="5"/>
      <c r="R127" s="5"/>
      <c r="S127" s="5"/>
    </row>
    <row r="128" spans="2:19">
      <c r="B128" s="41"/>
      <c r="C128" s="254"/>
      <c r="D128" s="254"/>
      <c r="E128" s="254"/>
      <c r="F128" s="254"/>
      <c r="G128" s="254"/>
      <c r="H128" s="254"/>
      <c r="I128" s="5"/>
      <c r="J128" s="254"/>
      <c r="K128" s="254"/>
      <c r="L128" s="254"/>
      <c r="M128" s="254"/>
      <c r="N128" s="254"/>
      <c r="O128" s="5"/>
      <c r="Q128" s="5"/>
      <c r="R128" s="5"/>
      <c r="S128" s="5"/>
    </row>
    <row r="129" spans="2:27">
      <c r="B129" s="5"/>
      <c r="C129" s="5"/>
      <c r="D129" s="18"/>
      <c r="E129" s="18"/>
      <c r="F129" s="18"/>
      <c r="G129" s="18"/>
      <c r="H129" s="18"/>
      <c r="I129" s="254"/>
      <c r="J129" s="18"/>
      <c r="K129" s="18"/>
      <c r="L129" s="18"/>
      <c r="M129" s="18"/>
      <c r="N129" s="18"/>
      <c r="O129" s="5"/>
      <c r="Q129" s="5"/>
      <c r="R129" s="5"/>
      <c r="S129" s="5"/>
    </row>
    <row r="130" spans="2:27">
      <c r="B130" s="5"/>
      <c r="C130" s="5"/>
      <c r="D130" s="5"/>
      <c r="E130" s="5"/>
      <c r="F130" s="5"/>
      <c r="G130" s="5"/>
      <c r="H130" s="5"/>
      <c r="I130" s="18"/>
      <c r="J130" s="5"/>
      <c r="K130" s="5"/>
      <c r="L130" s="5"/>
      <c r="M130" s="5"/>
      <c r="N130" s="5"/>
      <c r="O130" s="5"/>
      <c r="Q130" s="5"/>
      <c r="R130" s="5"/>
      <c r="S130" s="5"/>
    </row>
    <row r="131" spans="2:27">
      <c r="B131" s="41"/>
      <c r="C131" s="254"/>
      <c r="D131" s="254"/>
      <c r="E131" s="254"/>
      <c r="F131" s="254"/>
      <c r="G131" s="254"/>
      <c r="H131" s="254"/>
      <c r="I131" s="5"/>
      <c r="J131" s="254"/>
      <c r="K131" s="254"/>
      <c r="L131" s="254"/>
      <c r="M131" s="254"/>
      <c r="N131" s="254"/>
      <c r="O131" s="5"/>
      <c r="Q131" s="5"/>
      <c r="R131" s="5"/>
      <c r="S131" s="5"/>
    </row>
    <row r="132" spans="2:27">
      <c r="B132" s="5"/>
      <c r="C132" s="259"/>
      <c r="D132" s="18"/>
      <c r="E132" s="18"/>
      <c r="F132" s="18"/>
      <c r="G132" s="18"/>
      <c r="H132" s="18"/>
      <c r="I132" s="5"/>
      <c r="J132" s="18"/>
      <c r="K132" s="18"/>
      <c r="L132" s="18"/>
      <c r="M132" s="18"/>
      <c r="N132" s="18"/>
      <c r="O132" s="5"/>
      <c r="Q132" s="5"/>
      <c r="R132" s="5"/>
      <c r="S132" s="5"/>
    </row>
    <row r="133" spans="2:27">
      <c r="B133" s="5"/>
      <c r="C133" s="5"/>
      <c r="D133" s="5"/>
      <c r="E133" s="5"/>
      <c r="F133" s="5"/>
      <c r="G133" s="5"/>
      <c r="H133" s="5"/>
      <c r="I133" s="17"/>
      <c r="J133" s="5"/>
      <c r="K133" s="5"/>
      <c r="L133" s="5"/>
      <c r="M133" s="5"/>
      <c r="N133" s="5"/>
      <c r="O133" s="5"/>
      <c r="Q133" s="5"/>
      <c r="R133" s="5"/>
      <c r="S133" s="5"/>
    </row>
    <row r="134" spans="2:27">
      <c r="B134" s="41"/>
      <c r="C134" s="5"/>
      <c r="D134" s="5"/>
      <c r="E134" s="5"/>
      <c r="F134" s="5"/>
      <c r="G134" s="5"/>
      <c r="H134" s="5"/>
      <c r="I134" s="17"/>
      <c r="J134" s="5"/>
      <c r="K134" s="5"/>
      <c r="L134" s="5"/>
      <c r="M134" s="5"/>
      <c r="N134" s="5"/>
      <c r="O134" s="5"/>
      <c r="Q134" s="5"/>
      <c r="R134" s="5"/>
      <c r="S134" s="5"/>
    </row>
    <row r="135" spans="2:27">
      <c r="B135" s="5"/>
      <c r="C135" s="17"/>
      <c r="D135" s="17"/>
      <c r="E135" s="17"/>
      <c r="F135" s="17"/>
      <c r="G135" s="17"/>
      <c r="H135" s="17"/>
      <c r="I135" s="17"/>
      <c r="J135" s="17"/>
      <c r="K135" s="17"/>
      <c r="L135" s="17"/>
      <c r="M135" s="17"/>
      <c r="N135" s="17"/>
      <c r="O135" s="5"/>
      <c r="Q135" s="41"/>
      <c r="R135" s="5"/>
      <c r="S135" s="5"/>
    </row>
    <row r="136" spans="2:27">
      <c r="B136" s="5"/>
      <c r="C136" s="17"/>
      <c r="D136" s="17"/>
      <c r="E136" s="17"/>
      <c r="F136" s="17"/>
      <c r="G136" s="17"/>
      <c r="H136" s="17"/>
      <c r="I136" s="17"/>
      <c r="J136" s="17"/>
      <c r="K136" s="17"/>
      <c r="L136" s="17"/>
      <c r="M136" s="17"/>
      <c r="N136" s="17"/>
      <c r="O136" s="5"/>
      <c r="Q136" s="5"/>
      <c r="R136" s="5"/>
      <c r="S136" s="5"/>
      <c r="X136" s="304"/>
    </row>
    <row r="137" spans="2:27">
      <c r="B137" s="5"/>
      <c r="C137" s="5"/>
      <c r="D137" s="17"/>
      <c r="E137" s="17"/>
      <c r="F137" s="17"/>
      <c r="G137" s="17"/>
      <c r="H137" s="17"/>
      <c r="I137" s="17"/>
      <c r="J137" s="17"/>
      <c r="K137" s="17"/>
      <c r="L137" s="17"/>
      <c r="M137" s="17"/>
      <c r="N137" s="17"/>
      <c r="O137" s="5"/>
      <c r="Q137" s="5"/>
      <c r="R137" s="5"/>
      <c r="S137" s="5"/>
      <c r="X137" s="10"/>
      <c r="Y137" s="304"/>
      <c r="Z137" s="304"/>
      <c r="AA137" s="304"/>
    </row>
    <row r="138" spans="2:27">
      <c r="B138" s="5"/>
      <c r="C138" s="5"/>
      <c r="D138" s="17"/>
      <c r="E138" s="17"/>
      <c r="F138" s="17"/>
      <c r="G138" s="17"/>
      <c r="H138" s="17"/>
      <c r="I138" s="17"/>
      <c r="J138" s="17"/>
      <c r="K138" s="17"/>
      <c r="L138" s="17"/>
      <c r="M138" s="17"/>
      <c r="N138" s="17"/>
      <c r="O138" s="5"/>
      <c r="Q138" s="5"/>
      <c r="R138" s="5"/>
      <c r="S138" s="5"/>
      <c r="Y138" s="10"/>
      <c r="Z138" s="10"/>
      <c r="AA138" s="10"/>
    </row>
    <row r="139" spans="2:27">
      <c r="B139" s="5"/>
      <c r="C139" s="5"/>
      <c r="D139" s="17"/>
      <c r="E139" s="17"/>
      <c r="F139" s="17"/>
      <c r="G139" s="17"/>
      <c r="H139" s="17"/>
      <c r="I139" s="5"/>
      <c r="J139" s="17"/>
      <c r="K139" s="17"/>
      <c r="L139" s="17"/>
      <c r="M139" s="17"/>
      <c r="N139" s="17"/>
      <c r="O139" s="5"/>
      <c r="Q139" s="5"/>
      <c r="R139" s="5"/>
      <c r="S139" s="5"/>
    </row>
    <row r="140" spans="2:27">
      <c r="B140" s="5"/>
      <c r="C140" s="17"/>
      <c r="D140" s="17"/>
      <c r="E140" s="17"/>
      <c r="F140" s="17"/>
      <c r="G140" s="17"/>
      <c r="H140" s="17"/>
      <c r="I140" s="5"/>
      <c r="J140" s="17"/>
      <c r="K140" s="17"/>
      <c r="L140" s="17"/>
      <c r="M140" s="17"/>
      <c r="N140" s="17"/>
      <c r="O140" s="5"/>
      <c r="Q140" s="5"/>
      <c r="R140" s="5"/>
      <c r="S140" s="5"/>
    </row>
    <row r="141" spans="2:27">
      <c r="B141" s="5"/>
      <c r="C141" s="5"/>
      <c r="D141" s="5"/>
      <c r="E141" s="5"/>
      <c r="F141" s="5"/>
      <c r="G141" s="5"/>
      <c r="H141" s="5"/>
      <c r="I141" s="5"/>
      <c r="J141" s="5"/>
      <c r="K141" s="5"/>
      <c r="L141" s="5"/>
      <c r="M141" s="5"/>
      <c r="N141" s="5"/>
      <c r="O141" s="5"/>
      <c r="Q141" s="5"/>
      <c r="R141" s="5"/>
      <c r="S141" s="5"/>
    </row>
    <row r="142" spans="2:27">
      <c r="B142" s="5"/>
      <c r="C142" s="5"/>
      <c r="D142" s="5"/>
      <c r="E142" s="5"/>
      <c r="F142" s="5"/>
      <c r="G142" s="5"/>
      <c r="H142" s="5"/>
      <c r="I142" s="5"/>
      <c r="J142" s="5"/>
      <c r="K142" s="5"/>
      <c r="L142" s="5"/>
      <c r="M142" s="5"/>
      <c r="N142" s="5"/>
      <c r="O142" s="5"/>
      <c r="Q142" s="5"/>
      <c r="R142" s="5"/>
      <c r="S142" s="5"/>
    </row>
    <row r="143" spans="2:27">
      <c r="B143" s="5"/>
      <c r="C143" s="5"/>
      <c r="D143" s="5"/>
      <c r="E143" s="5"/>
      <c r="F143" s="5"/>
      <c r="G143" s="5"/>
      <c r="H143" s="5"/>
      <c r="I143" s="5"/>
      <c r="J143" s="5"/>
      <c r="K143" s="5"/>
      <c r="L143" s="5"/>
      <c r="M143" s="5"/>
      <c r="N143" s="5"/>
      <c r="O143" s="5"/>
      <c r="Q143" s="5"/>
      <c r="R143" s="5"/>
      <c r="S143" s="5"/>
    </row>
    <row r="144" spans="2:27">
      <c r="B144" s="5"/>
      <c r="C144" s="5"/>
      <c r="D144" s="5"/>
      <c r="E144" s="5"/>
      <c r="F144" s="5"/>
      <c r="G144" s="5"/>
      <c r="H144" s="5"/>
      <c r="I144" s="5"/>
      <c r="J144" s="5"/>
      <c r="K144" s="5"/>
      <c r="L144" s="5"/>
      <c r="M144" s="5"/>
      <c r="N144" s="5"/>
      <c r="O144" s="5"/>
      <c r="Q144" s="5"/>
      <c r="R144" s="5"/>
      <c r="S144" s="5"/>
    </row>
    <row r="145" spans="2:19">
      <c r="B145" s="5"/>
      <c r="C145" s="5"/>
      <c r="D145" s="5"/>
      <c r="E145" s="5"/>
      <c r="F145" s="5"/>
      <c r="G145" s="5"/>
      <c r="H145" s="5"/>
      <c r="I145" s="5"/>
      <c r="J145" s="5"/>
      <c r="K145" s="5"/>
      <c r="L145" s="5"/>
      <c r="M145" s="5"/>
      <c r="N145" s="5"/>
      <c r="O145" s="5"/>
      <c r="Q145" s="5"/>
      <c r="R145" s="5"/>
      <c r="S145" s="5"/>
    </row>
    <row r="146" spans="2:19">
      <c r="B146" s="5"/>
      <c r="C146" s="5"/>
      <c r="D146" s="5"/>
      <c r="E146" s="5"/>
      <c r="F146" s="5"/>
      <c r="G146" s="5"/>
      <c r="H146" s="5"/>
      <c r="I146" s="5"/>
      <c r="J146" s="5"/>
      <c r="K146" s="5"/>
      <c r="L146" s="5"/>
      <c r="M146" s="5"/>
      <c r="N146" s="5"/>
      <c r="O146" s="5"/>
      <c r="Q146" s="5"/>
      <c r="R146" s="5"/>
      <c r="S146" s="5"/>
    </row>
    <row r="147" spans="2:19">
      <c r="B147" s="5"/>
      <c r="C147" s="5"/>
      <c r="D147" s="5"/>
      <c r="E147" s="5"/>
      <c r="F147" s="5"/>
      <c r="G147" s="5"/>
      <c r="H147" s="5"/>
      <c r="I147" s="5"/>
      <c r="J147" s="5"/>
      <c r="K147" s="5"/>
      <c r="L147" s="5"/>
      <c r="M147" s="5"/>
      <c r="N147" s="5"/>
      <c r="O147" s="5"/>
      <c r="Q147" s="5"/>
      <c r="R147" s="5"/>
      <c r="S147" s="5"/>
    </row>
    <row r="148" spans="2:19">
      <c r="B148" s="5"/>
      <c r="C148" s="5"/>
      <c r="D148" s="5"/>
      <c r="E148" s="5"/>
      <c r="F148" s="5"/>
      <c r="G148" s="5"/>
      <c r="H148" s="5"/>
      <c r="I148" s="5"/>
      <c r="J148" s="5"/>
      <c r="K148" s="5"/>
      <c r="L148" s="5"/>
      <c r="M148" s="5"/>
      <c r="N148" s="5"/>
      <c r="O148" s="5"/>
      <c r="Q148" s="5"/>
      <c r="R148" s="5"/>
      <c r="S148" s="5"/>
    </row>
    <row r="149" spans="2:19">
      <c r="B149" s="5"/>
      <c r="C149" s="5"/>
      <c r="D149" s="5"/>
      <c r="E149" s="5"/>
      <c r="F149" s="5"/>
      <c r="G149" s="5"/>
      <c r="H149" s="5"/>
      <c r="J149" s="5"/>
      <c r="K149" s="5"/>
      <c r="L149" s="5"/>
      <c r="M149" s="5"/>
      <c r="N149" s="5"/>
      <c r="O149" s="5"/>
      <c r="Q149" s="5"/>
      <c r="R149" s="5"/>
      <c r="S149" s="5"/>
    </row>
    <row r="150" spans="2:19">
      <c r="B150" s="5"/>
      <c r="C150" s="5"/>
      <c r="D150" s="5"/>
      <c r="E150" s="5"/>
      <c r="F150" s="5"/>
      <c r="G150" s="5"/>
      <c r="H150" s="5"/>
      <c r="J150" s="5"/>
      <c r="K150" s="5"/>
      <c r="L150" s="5"/>
      <c r="M150" s="5"/>
      <c r="N150" s="5"/>
      <c r="O150" s="5"/>
      <c r="Q150" s="5"/>
      <c r="R150" s="5"/>
      <c r="S150" s="5"/>
    </row>
    <row r="151" spans="2:19">
      <c r="Q151" s="5"/>
      <c r="R151" s="5"/>
      <c r="S151" s="5"/>
    </row>
    <row r="152" spans="2:19">
      <c r="Q152" s="5"/>
      <c r="R152" s="5"/>
      <c r="S152" s="5"/>
    </row>
    <row r="153" spans="2:19">
      <c r="C153" s="263"/>
      <c r="Q153" s="5"/>
      <c r="R153" s="5"/>
      <c r="S153" s="5"/>
    </row>
    <row r="154" spans="2:19">
      <c r="Q154" s="5"/>
      <c r="R154" s="5"/>
      <c r="S154" s="5"/>
    </row>
    <row r="155" spans="2:19">
      <c r="Q155" s="5"/>
      <c r="R155" s="5"/>
      <c r="S155" s="5"/>
    </row>
    <row r="156" spans="2:19">
      <c r="Q156" s="5"/>
      <c r="R156" s="5"/>
      <c r="S156" s="5"/>
    </row>
    <row r="157" spans="2:19">
      <c r="Q157" s="5"/>
      <c r="R157" s="5"/>
      <c r="S157" s="5"/>
    </row>
    <row r="158" spans="2:19">
      <c r="Q158" s="5"/>
      <c r="R158" s="5"/>
      <c r="S158" s="5"/>
    </row>
    <row r="159" spans="2:19">
      <c r="Q159" s="5"/>
      <c r="R159" s="5"/>
      <c r="S159" s="5"/>
    </row>
    <row r="160" spans="2:19">
      <c r="Q160" s="5"/>
      <c r="R160" s="5"/>
      <c r="S160" s="5"/>
    </row>
    <row r="161" spans="17:19">
      <c r="Q161" s="5"/>
      <c r="R161" s="5"/>
      <c r="S161" s="5"/>
    </row>
    <row r="162" spans="17:19">
      <c r="Q162" s="5"/>
      <c r="R162" s="5"/>
      <c r="S162" s="5"/>
    </row>
    <row r="163" spans="17:19">
      <c r="Q163" s="5"/>
      <c r="R163" s="5"/>
      <c r="S163" s="5"/>
    </row>
    <row r="164" spans="17:19">
      <c r="Q164" s="5"/>
      <c r="R164" s="5"/>
      <c r="S164" s="5"/>
    </row>
    <row r="165" spans="17:19">
      <c r="Q165" s="5"/>
      <c r="R165" s="5"/>
      <c r="S165" s="5"/>
    </row>
  </sheetData>
  <phoneticPr fontId="7" type="noConversion"/>
  <hyperlinks>
    <hyperlink ref="C2" location="KPNSOP!A1" display="Jump to KPN SOP" xr:uid="{00000000-0004-0000-3200-000001000000}"/>
  </hyperlinks>
  <pageMargins left="0.75" right="0.75" top="1" bottom="1" header="0.5" footer="0.5"/>
  <pageSetup scale="71" orientation="landscape" r:id="rId1"/>
  <headerFooter alignWithMargins="0"/>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140">
    <pageSetUpPr fitToPage="1"/>
  </sheetPr>
  <dimension ref="B1:AR165"/>
  <sheetViews>
    <sheetView showGridLines="0" zoomScale="80" zoomScaleNormal="80" workbookViewId="0">
      <selection activeCell="D17" sqref="D17:G17"/>
    </sheetView>
  </sheetViews>
  <sheetFormatPr defaultColWidth="9.109375" defaultRowHeight="12"/>
  <cols>
    <col min="1" max="1" width="2.33203125" style="39" customWidth="1"/>
    <col min="2" max="2" width="26.5546875" style="39" customWidth="1"/>
    <col min="3" max="9" width="10" style="39" customWidth="1"/>
    <col min="10" max="10" width="26.6640625" style="39" customWidth="1"/>
    <col min="11" max="16" width="10" style="39" customWidth="1"/>
    <col min="17" max="18" width="8.6640625" style="39" customWidth="1"/>
    <col min="19" max="28" width="8.6640625" style="5" customWidth="1"/>
    <col min="29" max="44" width="9.109375" style="5"/>
    <col min="45" max="16384" width="9.109375" style="39"/>
  </cols>
  <sheetData>
    <row r="1" spans="2:44" s="312" customFormat="1">
      <c r="S1" s="149"/>
      <c r="T1" s="149"/>
      <c r="U1" s="149"/>
      <c r="V1" s="149"/>
      <c r="W1" s="149"/>
      <c r="X1" s="149"/>
      <c r="Y1" s="149"/>
      <c r="Z1" s="149"/>
      <c r="AA1" s="149"/>
      <c r="AB1" s="149"/>
      <c r="AC1" s="149"/>
      <c r="AD1" s="149"/>
      <c r="AE1" s="149"/>
      <c r="AF1" s="149"/>
      <c r="AG1" s="149"/>
      <c r="AH1" s="149"/>
      <c r="AI1" s="149"/>
      <c r="AJ1" s="149"/>
      <c r="AK1" s="149"/>
      <c r="AL1" s="149"/>
      <c r="AM1" s="149"/>
      <c r="AN1" s="149"/>
      <c r="AO1" s="149"/>
      <c r="AP1" s="149"/>
      <c r="AQ1" s="149"/>
      <c r="AR1" s="149"/>
    </row>
    <row r="2" spans="2:44" s="149" customFormat="1"/>
    <row r="3" spans="2:44" s="149" customFormat="1">
      <c r="H3" s="153"/>
      <c r="P3" s="153"/>
    </row>
    <row r="4" spans="2:44" s="156" customFormat="1" ht="21">
      <c r="B4" s="129" t="s">
        <v>21</v>
      </c>
      <c r="H4" s="222"/>
      <c r="P4" s="222"/>
    </row>
    <row r="5" spans="2:44" s="149" customFormat="1">
      <c r="C5" s="153"/>
      <c r="D5" s="153" t="str" cm="1">
        <f t="array" ref="D5:H5">headings</f>
        <v>2023E</v>
      </c>
      <c r="E5" s="153" t="str">
        <v>2024E</v>
      </c>
      <c r="F5" s="153" t="str">
        <v>2025E</v>
      </c>
      <c r="G5" s="153" t="str">
        <v>2026E</v>
      </c>
      <c r="H5" s="153" t="str">
        <v>23E-26E</v>
      </c>
      <c r="I5" s="153"/>
      <c r="J5" s="153"/>
      <c r="K5" s="153"/>
      <c r="L5" s="153" t="str" cm="1">
        <f t="array" ref="L5:P5">headings</f>
        <v>2023E</v>
      </c>
      <c r="M5" s="153" t="str">
        <v>2024E</v>
      </c>
      <c r="N5" s="153" t="str">
        <v>2025E</v>
      </c>
      <c r="O5" s="153" t="str">
        <v>2026E</v>
      </c>
      <c r="P5" s="153" t="str">
        <v>23E-26E</v>
      </c>
      <c r="Q5" s="162"/>
      <c r="R5" s="162"/>
      <c r="S5" s="162"/>
      <c r="T5" s="162"/>
      <c r="U5" s="162"/>
      <c r="V5" s="162"/>
      <c r="W5" s="162"/>
      <c r="X5" s="162"/>
      <c r="Y5" s="162"/>
    </row>
    <row r="6" spans="2:44">
      <c r="I6" s="5"/>
      <c r="J6" s="5"/>
      <c r="K6" s="5"/>
      <c r="L6" s="5"/>
      <c r="M6" s="5"/>
      <c r="N6" s="5"/>
      <c r="O6" s="49"/>
    </row>
    <row r="7" spans="2:44" ht="12.6" thickBot="1">
      <c r="B7" s="306" t="s">
        <v>271</v>
      </c>
      <c r="C7" s="265"/>
      <c r="D7" s="265" t="str">
        <f>D5</f>
        <v>2023E</v>
      </c>
      <c r="E7" s="265" t="str">
        <f t="shared" ref="E7:H7" si="0">E5</f>
        <v>2024E</v>
      </c>
      <c r="F7" s="265" t="str">
        <f t="shared" si="0"/>
        <v>2025E</v>
      </c>
      <c r="G7" s="265" t="str">
        <f t="shared" si="0"/>
        <v>2026E</v>
      </c>
      <c r="H7" s="265" t="str">
        <f t="shared" si="0"/>
        <v>23E-26E</v>
      </c>
      <c r="I7" s="49"/>
      <c r="J7" s="306" t="s">
        <v>74</v>
      </c>
      <c r="K7" s="306"/>
      <c r="L7" s="265" t="str">
        <f>L5</f>
        <v>2023E</v>
      </c>
      <c r="M7" s="265" t="str">
        <f t="shared" ref="M7:P7" si="1">M5</f>
        <v>2024E</v>
      </c>
      <c r="N7" s="265" t="str">
        <f t="shared" si="1"/>
        <v>2025E</v>
      </c>
      <c r="O7" s="265" t="str">
        <f t="shared" si="1"/>
        <v>2026E</v>
      </c>
      <c r="P7" s="265" t="str">
        <f t="shared" si="1"/>
        <v>23E-26E</v>
      </c>
    </row>
    <row r="8" spans="2:44" ht="12.6" thickTop="1">
      <c r="B8" s="5"/>
      <c r="C8" s="5"/>
      <c r="D8" s="5"/>
      <c r="E8" s="5"/>
      <c r="F8" s="5"/>
      <c r="G8" s="5"/>
      <c r="H8" s="5"/>
      <c r="I8" s="5"/>
      <c r="J8" s="5"/>
      <c r="K8" s="5"/>
      <c r="L8" s="5"/>
      <c r="M8" s="5"/>
      <c r="N8" s="5"/>
      <c r="S8" s="42"/>
      <c r="T8" s="42"/>
      <c r="U8" s="42"/>
      <c r="V8" s="42"/>
      <c r="W8" s="42"/>
      <c r="X8" s="42"/>
      <c r="Y8" s="42"/>
      <c r="Z8" s="42"/>
      <c r="AA8" s="42"/>
    </row>
    <row r="9" spans="2:44">
      <c r="B9" s="41" t="s">
        <v>117</v>
      </c>
      <c r="C9" s="285">
        <f>Prices!C88</f>
        <v>36350</v>
      </c>
      <c r="D9" s="535">
        <v>257.86076000000003</v>
      </c>
      <c r="E9" s="536">
        <v>257.86076000000003</v>
      </c>
      <c r="F9" s="536">
        <v>257.86076000000003</v>
      </c>
      <c r="G9" s="536">
        <v>257.86076000000003</v>
      </c>
      <c r="H9" s="249"/>
      <c r="I9" s="249"/>
      <c r="J9" s="5" t="s">
        <v>273</v>
      </c>
      <c r="L9" s="529">
        <f>'AGG ASIA CELLULAR'!D37</f>
        <v>2.0832818906884643</v>
      </c>
      <c r="M9" s="529">
        <f>'AGG ASIA CELLULAR'!E37</f>
        <v>1.9180381131180324</v>
      </c>
      <c r="N9" s="529">
        <f>'AGG ASIA CELLULAR'!F37</f>
        <v>1.6973984727138696</v>
      </c>
      <c r="O9" s="529">
        <f>'AGG ASIA CELLULAR'!G37</f>
        <v>1.4849146547081604</v>
      </c>
      <c r="P9" s="286">
        <f>'AGG ASIA CELLULAR'!H37</f>
        <v>5.2823672985303771E-2</v>
      </c>
      <c r="S9" s="42"/>
      <c r="T9" s="42"/>
      <c r="U9" s="42"/>
      <c r="V9" s="42"/>
      <c r="W9" s="42"/>
      <c r="X9" s="42"/>
      <c r="Y9" s="42"/>
      <c r="Z9" s="42"/>
      <c r="AA9" s="42"/>
    </row>
    <row r="10" spans="2:44">
      <c r="B10" s="5" t="s">
        <v>274</v>
      </c>
      <c r="C10" s="5"/>
      <c r="D10" s="531">
        <v>246.41342200000003</v>
      </c>
      <c r="E10" s="531">
        <v>251.55672200000004</v>
      </c>
      <c r="F10" s="531">
        <v>251.55672200000004</v>
      </c>
      <c r="G10" s="531">
        <v>251.55672200000004</v>
      </c>
      <c r="H10" s="247"/>
      <c r="I10" s="247"/>
      <c r="J10" s="5" t="s">
        <v>184</v>
      </c>
      <c r="L10" s="529">
        <f>'AGG ASIA CELLULAR'!D38</f>
        <v>6.3578764048835863</v>
      </c>
      <c r="M10" s="529">
        <f>'AGG ASIA CELLULAR'!E38</f>
        <v>5.8349432944863064</v>
      </c>
      <c r="N10" s="529">
        <f>'AGG ASIA CELLULAR'!F38</f>
        <v>5.103853656504258</v>
      </c>
      <c r="O10" s="529">
        <f>'AGG ASIA CELLULAR'!G38</f>
        <v>4.4165179955724438</v>
      </c>
      <c r="P10" s="286">
        <f>'AGG ASIA CELLULAR'!H38</f>
        <v>6.1901299000113985E-2</v>
      </c>
      <c r="S10" s="42"/>
      <c r="T10" s="42"/>
      <c r="U10" s="42"/>
      <c r="V10" s="42"/>
      <c r="W10" s="288"/>
      <c r="X10" s="288"/>
      <c r="Y10" s="288"/>
      <c r="Z10" s="288"/>
      <c r="AA10" s="42"/>
    </row>
    <row r="11" spans="2:44">
      <c r="B11" s="41" t="s">
        <v>876</v>
      </c>
      <c r="C11" s="5"/>
      <c r="D11" s="532">
        <f>$C$9*D10/1000</f>
        <v>8957.1278897000011</v>
      </c>
      <c r="E11" s="532">
        <f>$C$9*E10/1000</f>
        <v>9144.0868447000012</v>
      </c>
      <c r="F11" s="532">
        <f>$C$9*F10/1000</f>
        <v>9144.0868447000012</v>
      </c>
      <c r="G11" s="532">
        <f>$C$9*G10/1000</f>
        <v>9144.0868447000012</v>
      </c>
      <c r="H11" s="249"/>
      <c r="I11" s="249"/>
      <c r="J11" s="5" t="s">
        <v>185</v>
      </c>
      <c r="L11" s="529">
        <f>'AGG ASIA CELLULAR'!D39</f>
        <v>12.256315794878686</v>
      </c>
      <c r="M11" s="529">
        <f>'AGG ASIA CELLULAR'!E39</f>
        <v>10.532349001792122</v>
      </c>
      <c r="N11" s="529">
        <f>'AGG ASIA CELLULAR'!F39</f>
        <v>8.8097379743624202</v>
      </c>
      <c r="O11" s="529">
        <f>'AGG ASIA CELLULAR'!G39</f>
        <v>7.3400525025099741</v>
      </c>
      <c r="P11" s="286">
        <f>'AGG ASIA CELLULAR'!H39</f>
        <v>0.11573327430771596</v>
      </c>
      <c r="S11" s="42"/>
      <c r="T11" s="42"/>
      <c r="U11" s="42"/>
      <c r="V11" s="42"/>
      <c r="W11" s="288"/>
      <c r="X11" s="288"/>
      <c r="Y11" s="288"/>
      <c r="Z11" s="288"/>
      <c r="AA11" s="42"/>
    </row>
    <row r="12" spans="2:44">
      <c r="B12" s="5" t="s">
        <v>24</v>
      </c>
      <c r="C12" s="249"/>
      <c r="D12" s="533">
        <v>7338.6</v>
      </c>
      <c r="E12" s="533">
        <v>6881.6058516786024</v>
      </c>
      <c r="F12" s="533">
        <v>5767.0782115587263</v>
      </c>
      <c r="G12" s="533">
        <v>4658.430462378029</v>
      </c>
      <c r="H12" s="247"/>
      <c r="I12" s="247"/>
      <c r="J12" s="5" t="s">
        <v>466</v>
      </c>
      <c r="L12" s="529">
        <f>'AGG ASIA CELLULAR'!D40</f>
        <v>15.951300793811486</v>
      </c>
      <c r="M12" s="529">
        <f>'AGG ASIA CELLULAR'!E40</f>
        <v>13.847183646795452</v>
      </c>
      <c r="N12" s="529">
        <f>'AGG ASIA CELLULAR'!F40</f>
        <v>11.626709680654198</v>
      </c>
      <c r="O12" s="529">
        <f>'AGG ASIA CELLULAR'!G40</f>
        <v>9.7078389032116537</v>
      </c>
      <c r="P12" s="286">
        <f>'AGG ASIA CELLULAR'!H40</f>
        <v>0.10976572550111241</v>
      </c>
      <c r="S12" s="42"/>
      <c r="T12" s="42"/>
      <c r="U12" s="42"/>
      <c r="V12" s="42"/>
      <c r="W12" s="288"/>
      <c r="X12" s="288"/>
      <c r="Y12" s="288"/>
      <c r="Z12" s="288"/>
      <c r="AA12" s="42"/>
    </row>
    <row r="13" spans="2:44">
      <c r="B13" s="5" t="s">
        <v>529</v>
      </c>
      <c r="C13" s="257"/>
      <c r="D13" s="533">
        <v>1460.5069115961783</v>
      </c>
      <c r="E13" s="533">
        <v>1375.3603990818533</v>
      </c>
      <c r="F13" s="533">
        <v>1282.9764330038108</v>
      </c>
      <c r="G13" s="533">
        <v>1182.7398298091348</v>
      </c>
      <c r="H13" s="247"/>
      <c r="I13" s="247"/>
      <c r="J13" s="5" t="s">
        <v>530</v>
      </c>
      <c r="L13" s="529">
        <f>'AGG ASIA CELLULAR'!D41</f>
        <v>1.4274445412547272</v>
      </c>
      <c r="M13" s="529">
        <f>'AGG ASIA CELLULAR'!E41</f>
        <v>1.4179696737537477</v>
      </c>
      <c r="N13" s="529">
        <f>'AGG ASIA CELLULAR'!F41</f>
        <v>1.3450707920768976</v>
      </c>
      <c r="O13" s="529">
        <f>'AGG ASIA CELLULAR'!G41</f>
        <v>1.2618986136137988</v>
      </c>
      <c r="P13" s="286">
        <f>'AGG ASIA CELLULAR'!H41</f>
        <v>-2.0092563683029918E-2</v>
      </c>
      <c r="S13" s="42"/>
      <c r="T13" s="42"/>
      <c r="U13" s="42"/>
      <c r="V13" s="42"/>
      <c r="W13" s="42"/>
      <c r="X13" s="42"/>
      <c r="Y13" s="42"/>
      <c r="Z13" s="42"/>
      <c r="AA13" s="42"/>
    </row>
    <row r="14" spans="2:44">
      <c r="B14" s="5" t="s">
        <v>532</v>
      </c>
      <c r="C14" s="257"/>
      <c r="D14" s="533">
        <v>0</v>
      </c>
      <c r="E14" s="533">
        <v>0</v>
      </c>
      <c r="F14" s="533">
        <v>0</v>
      </c>
      <c r="G14" s="533">
        <v>0</v>
      </c>
      <c r="H14" s="247"/>
      <c r="I14" s="247"/>
      <c r="J14" s="5" t="s">
        <v>593</v>
      </c>
      <c r="L14" s="529">
        <f>'AGG ASIA CELLULAR'!D42</f>
        <v>2.9130695199933734</v>
      </c>
      <c r="M14" s="529">
        <f>'AGG ASIA CELLULAR'!E42</f>
        <v>2.8146219035099969</v>
      </c>
      <c r="N14" s="529">
        <f>'AGG ASIA CELLULAR'!F42</f>
        <v>2.5888583636405476</v>
      </c>
      <c r="O14" s="529">
        <f>'AGG ASIA CELLULAR'!G42</f>
        <v>2.3605815546209548</v>
      </c>
      <c r="P14" s="286">
        <f>'AGG ASIA CELLULAR'!H42</f>
        <v>8.7512202951403051E-3</v>
      </c>
      <c r="S14" s="42"/>
      <c r="T14" s="42"/>
      <c r="U14" s="42"/>
      <c r="V14" s="42"/>
      <c r="W14" s="42"/>
      <c r="X14" s="42"/>
      <c r="Y14" s="42"/>
      <c r="Z14" s="42"/>
      <c r="AA14" s="42"/>
    </row>
    <row r="15" spans="2:44">
      <c r="B15" s="5" t="s">
        <v>531</v>
      </c>
      <c r="C15" s="274"/>
      <c r="D15" s="533">
        <v>1.8793192731432682</v>
      </c>
      <c r="E15" s="533">
        <v>1.8793192731432682</v>
      </c>
      <c r="F15" s="533">
        <v>1.8793192731432682</v>
      </c>
      <c r="G15" s="533">
        <v>1.8793192731432682</v>
      </c>
      <c r="H15" s="247"/>
      <c r="I15" s="247"/>
      <c r="J15" s="5" t="s">
        <v>475</v>
      </c>
      <c r="L15" s="529">
        <f>'AGG ASIA CELLULAR'!D43</f>
        <v>19.278364274513134</v>
      </c>
      <c r="M15" s="529">
        <f>'AGG ASIA CELLULAR'!E43</f>
        <v>15.523038202411636</v>
      </c>
      <c r="N15" s="529">
        <f>'AGG ASIA CELLULAR'!F43</f>
        <v>13.257386088679914</v>
      </c>
      <c r="O15" s="529">
        <f>'AGG ASIA CELLULAR'!G43</f>
        <v>11.466142328229227</v>
      </c>
      <c r="P15" s="286">
        <f>'AGG ASIA CELLULAR'!H43</f>
        <v>0.18831027118838706</v>
      </c>
      <c r="S15" s="42"/>
      <c r="T15" s="42"/>
      <c r="U15" s="42"/>
      <c r="V15" s="42"/>
      <c r="W15" s="42"/>
      <c r="X15" s="42"/>
      <c r="Y15" s="42"/>
      <c r="Z15" s="42"/>
      <c r="AA15" s="42"/>
    </row>
    <row r="16" spans="2:44">
      <c r="B16" s="5" t="s">
        <v>534</v>
      </c>
      <c r="C16" s="257"/>
      <c r="D16" s="533">
        <v>0</v>
      </c>
      <c r="E16" s="533">
        <v>0</v>
      </c>
      <c r="F16" s="533">
        <v>518.00692743858633</v>
      </c>
      <c r="G16" s="533">
        <v>1122.3962241334179</v>
      </c>
      <c r="H16" s="247"/>
      <c r="I16" s="247"/>
      <c r="J16" s="5" t="s">
        <v>533</v>
      </c>
      <c r="L16" s="529">
        <f>'AGG ASIA CELLULAR'!D44</f>
        <v>20.50009040888548</v>
      </c>
      <c r="M16" s="529">
        <f>'AGG ASIA CELLULAR'!E44</f>
        <v>17.31807909095523</v>
      </c>
      <c r="N16" s="529">
        <f>'AGG ASIA CELLULAR'!F44</f>
        <v>14.883294016253318</v>
      </c>
      <c r="O16" s="529">
        <f>'AGG ASIA CELLULAR'!G44</f>
        <v>13.16548576425039</v>
      </c>
      <c r="P16" s="286">
        <f>'AGG ASIA CELLULAR'!H44</f>
        <v>0.15839482711139796</v>
      </c>
      <c r="S16" s="42"/>
      <c r="T16" s="42"/>
      <c r="U16" s="42"/>
      <c r="V16" s="42"/>
      <c r="W16" s="42"/>
      <c r="X16" s="42"/>
      <c r="Y16" s="42"/>
      <c r="Z16" s="42"/>
      <c r="AA16" s="42"/>
    </row>
    <row r="17" spans="2:27">
      <c r="B17" s="5" t="s">
        <v>6</v>
      </c>
      <c r="C17" s="257"/>
      <c r="D17" s="533">
        <v>569.81057744207533</v>
      </c>
      <c r="E17" s="533">
        <v>569.81057744207533</v>
      </c>
      <c r="F17" s="533">
        <v>569.81057744207533</v>
      </c>
      <c r="G17" s="533">
        <v>569.81057744207533</v>
      </c>
      <c r="H17" s="247"/>
      <c r="I17" s="247"/>
      <c r="J17" s="5" t="s">
        <v>580</v>
      </c>
      <c r="L17" s="248">
        <f>'AGG ASIA CELLULAR'!D45</f>
        <v>4.174038595528512E-2</v>
      </c>
      <c r="M17" s="248">
        <f>'AGG ASIA CELLULAR'!E45</f>
        <v>4.4792872771489058E-2</v>
      </c>
      <c r="N17" s="248">
        <f>'AGG ASIA CELLULAR'!F45</f>
        <v>5.1203391440393167E-2</v>
      </c>
      <c r="O17" s="248">
        <f>'AGG ASIA CELLULAR'!G45</f>
        <v>5.7913719466381006E-2</v>
      </c>
      <c r="P17" s="286">
        <f>'AGG ASIA CELLULAR'!H45</f>
        <v>0.11470165475568339</v>
      </c>
      <c r="S17" s="42"/>
      <c r="T17" s="42"/>
      <c r="U17" s="42"/>
      <c r="V17" s="42"/>
      <c r="W17" s="42"/>
      <c r="X17" s="42"/>
      <c r="Y17" s="42"/>
      <c r="Z17" s="42"/>
      <c r="AA17" s="42"/>
    </row>
    <row r="18" spans="2:27" ht="12.6" thickBot="1">
      <c r="B18" s="41" t="s">
        <v>583</v>
      </c>
      <c r="C18" s="249"/>
      <c r="D18" s="534">
        <f>D11+D12+D13-D14+D15-D16-D17</f>
        <v>17188.303543127247</v>
      </c>
      <c r="E18" s="534">
        <f>E11+E12+E13-E14+E15-E16-E17</f>
        <v>16833.121837291521</v>
      </c>
      <c r="F18" s="534">
        <f>F11+F12+F13-F14+F15-F16-F17</f>
        <v>15108.20330365502</v>
      </c>
      <c r="G18" s="534">
        <f>G11+G12+G13-G14+G15-G16-G17</f>
        <v>13294.929654584816</v>
      </c>
      <c r="H18" s="276">
        <f>IF(D18=0,"nm",IF(G18=0,"nm",(G18/D18)^(1/3)-1))</f>
        <v>-8.2052853028059536E-2</v>
      </c>
      <c r="I18" s="254"/>
      <c r="J18" s="5" t="s">
        <v>36</v>
      </c>
      <c r="L18" s="248" t="e">
        <f>'AGG ASIA CELLULAR'!D46</f>
        <v>#VALUE!</v>
      </c>
      <c r="M18" s="248" t="e">
        <f>'AGG ASIA CELLULAR'!E46</f>
        <v>#VALUE!</v>
      </c>
      <c r="N18" s="248" t="e">
        <f>'AGG ASIA CELLULAR'!F46</f>
        <v>#VALUE!</v>
      </c>
      <c r="O18" s="248" t="e">
        <f>'AGG ASIA CELLULAR'!G46</f>
        <v>#VALUE!</v>
      </c>
      <c r="P18" s="286" t="e">
        <f>'AGG ASIA CELLULAR'!H46</f>
        <v>#VALUE!</v>
      </c>
      <c r="S18" s="42"/>
      <c r="T18" s="42"/>
      <c r="U18" s="42"/>
      <c r="V18" s="42"/>
      <c r="W18" s="42"/>
      <c r="X18" s="42"/>
      <c r="Y18" s="42"/>
      <c r="Z18" s="42"/>
      <c r="AA18" s="42"/>
    </row>
    <row r="19" spans="2:27" ht="12.6" thickTop="1">
      <c r="B19" s="41"/>
      <c r="C19" s="249"/>
      <c r="D19" s="229"/>
      <c r="E19" s="229"/>
      <c r="F19" s="229"/>
      <c r="G19" s="229"/>
      <c r="H19" s="276"/>
      <c r="I19" s="254"/>
      <c r="J19" s="5" t="s">
        <v>581</v>
      </c>
      <c r="L19" s="248">
        <f>'AGG ASIA CELLULAR'!D47</f>
        <v>5.1871620732991598E-2</v>
      </c>
      <c r="M19" s="248">
        <f>'AGG ASIA CELLULAR'!E47</f>
        <v>6.4420378727447922E-2</v>
      </c>
      <c r="N19" s="248">
        <f>'AGG ASIA CELLULAR'!F47</f>
        <v>7.5429650559386677E-2</v>
      </c>
      <c r="O19" s="248">
        <f>'AGG ASIA CELLULAR'!G47</f>
        <v>8.7213290344219457E-2</v>
      </c>
      <c r="P19" s="286">
        <f>'AGG ASIA CELLULAR'!H47</f>
        <v>0.18831027118838706</v>
      </c>
      <c r="S19" s="42"/>
      <c r="T19" s="42"/>
      <c r="U19" s="42"/>
      <c r="V19" s="42"/>
      <c r="W19" s="42"/>
      <c r="X19" s="42"/>
      <c r="Y19" s="42"/>
      <c r="Z19" s="42"/>
      <c r="AA19" s="42"/>
    </row>
    <row r="20" spans="2:27">
      <c r="H20" s="277"/>
      <c r="I20" s="17"/>
      <c r="J20" s="5" t="s">
        <v>604</v>
      </c>
      <c r="L20" s="305">
        <f>'AGG ASIA CELLULAR'!D48</f>
        <v>0.92045377326476352</v>
      </c>
      <c r="M20" s="305">
        <f>'AGG ASIA CELLULAR'!E48</f>
        <v>0.79490390762892493</v>
      </c>
      <c r="N20" s="305">
        <f>'AGG ASIA CELLULAR'!F48</f>
        <v>0.7763724496707467</v>
      </c>
      <c r="O20" s="305">
        <f>'AGG ASIA CELLULAR'!G48</f>
        <v>0.75978089170129071</v>
      </c>
      <c r="P20" s="286" t="str">
        <f>'AGG ASIA CELLULAR'!H48</f>
        <v>nm</v>
      </c>
      <c r="S20" s="42"/>
      <c r="T20" s="42"/>
      <c r="U20" s="42"/>
      <c r="V20" s="42"/>
      <c r="W20" s="42"/>
      <c r="X20" s="42"/>
      <c r="Y20" s="42"/>
      <c r="Z20" s="42"/>
      <c r="AA20" s="42"/>
    </row>
    <row r="21" spans="2:27" ht="12.6" thickBot="1">
      <c r="B21" s="306" t="s">
        <v>993</v>
      </c>
      <c r="C21" s="265"/>
      <c r="D21" s="265" t="str">
        <f>D5</f>
        <v>2023E</v>
      </c>
      <c r="E21" s="265" t="str">
        <f t="shared" ref="E21:H21" si="2">E5</f>
        <v>2024E</v>
      </c>
      <c r="F21" s="265" t="str">
        <f t="shared" si="2"/>
        <v>2025E</v>
      </c>
      <c r="G21" s="265" t="str">
        <f t="shared" si="2"/>
        <v>2026E</v>
      </c>
      <c r="H21" s="265" t="str">
        <f t="shared" si="2"/>
        <v>23E-26E</v>
      </c>
      <c r="I21" s="49"/>
      <c r="J21" s="41"/>
      <c r="L21" s="250"/>
      <c r="M21" s="250"/>
      <c r="N21" s="250"/>
      <c r="O21" s="250"/>
      <c r="P21" s="286"/>
      <c r="S21" s="42"/>
      <c r="T21" s="42"/>
      <c r="U21" s="42"/>
      <c r="V21" s="42"/>
      <c r="W21" s="42"/>
      <c r="X21" s="42"/>
      <c r="Y21" s="42"/>
      <c r="Z21" s="42"/>
      <c r="AA21" s="42"/>
    </row>
    <row r="22" spans="2:27" ht="12.6" thickTop="1">
      <c r="B22" s="5"/>
      <c r="C22" s="257"/>
      <c r="D22" s="17"/>
      <c r="E22" s="17"/>
      <c r="F22" s="17"/>
      <c r="G22" s="17"/>
      <c r="H22" s="17"/>
      <c r="I22" s="17"/>
      <c r="P22" s="277"/>
      <c r="S22" s="42"/>
      <c r="T22" s="42"/>
      <c r="U22" s="42"/>
      <c r="V22" s="42"/>
      <c r="W22" s="42"/>
      <c r="X22" s="42"/>
      <c r="Y22" s="42"/>
      <c r="Z22" s="42"/>
      <c r="AA22" s="42"/>
    </row>
    <row r="23" spans="2:27" ht="12.6" thickBot="1">
      <c r="B23" s="5" t="s">
        <v>584</v>
      </c>
      <c r="C23" s="548">
        <v>25650.1</v>
      </c>
      <c r="D23" s="540">
        <v>26387</v>
      </c>
      <c r="E23" s="540">
        <v>27121.195063488478</v>
      </c>
      <c r="F23" s="540">
        <v>28935.044411907933</v>
      </c>
      <c r="G23" s="540">
        <v>28950.030399413899</v>
      </c>
      <c r="H23" s="279">
        <f t="shared" ref="H23:H32" si="3">IF(D23=0,"nm",IF(G23=0,"nm",(G23/D23)^(1/3)-1))</f>
        <v>3.1382288109379708E-2</v>
      </c>
      <c r="I23" s="247"/>
      <c r="J23" s="306" t="s">
        <v>9</v>
      </c>
      <c r="K23" s="306"/>
      <c r="L23" s="265" t="str">
        <f>D21</f>
        <v>2023E</v>
      </c>
      <c r="M23" s="265" t="str">
        <f t="shared" ref="M23:P23" si="4">E21</f>
        <v>2024E</v>
      </c>
      <c r="N23" s="265" t="str">
        <f t="shared" si="4"/>
        <v>2025E</v>
      </c>
      <c r="O23" s="265" t="str">
        <f t="shared" si="4"/>
        <v>2026E</v>
      </c>
      <c r="P23" s="265" t="str">
        <f t="shared" si="4"/>
        <v>23E-26E</v>
      </c>
      <c r="S23" s="42"/>
      <c r="T23" s="42"/>
      <c r="U23" s="42"/>
      <c r="V23" s="42"/>
      <c r="W23" s="42"/>
      <c r="X23" s="42"/>
      <c r="Y23" s="42"/>
      <c r="Z23" s="42"/>
      <c r="AA23" s="42"/>
    </row>
    <row r="24" spans="2:27" ht="12.6" thickTop="1">
      <c r="B24" s="5" t="s">
        <v>483</v>
      </c>
      <c r="C24" s="549">
        <v>5346</v>
      </c>
      <c r="D24" s="540">
        <v>5459.9000000000005</v>
      </c>
      <c r="E24" s="540">
        <v>5740.7844259442545</v>
      </c>
      <c r="F24" s="540">
        <v>6125.6568633922971</v>
      </c>
      <c r="G24" s="540">
        <v>6251.5314994259488</v>
      </c>
      <c r="H24" s="279">
        <f t="shared" si="3"/>
        <v>4.6165944374719992E-2</v>
      </c>
      <c r="I24" s="249"/>
      <c r="J24" s="17"/>
      <c r="K24" s="17"/>
      <c r="L24" s="17"/>
      <c r="M24" s="17"/>
      <c r="N24" s="17"/>
      <c r="O24" s="248"/>
      <c r="S24" s="42"/>
      <c r="T24" s="42"/>
      <c r="U24" s="42"/>
      <c r="V24" s="42"/>
      <c r="W24" s="42" t="s">
        <v>20</v>
      </c>
      <c r="X24" s="42" t="s">
        <v>257</v>
      </c>
      <c r="Y24" s="42"/>
      <c r="Z24" s="42"/>
      <c r="AA24" s="42"/>
    </row>
    <row r="25" spans="2:27">
      <c r="B25" s="5" t="s">
        <v>183</v>
      </c>
      <c r="C25" s="548">
        <v>1813</v>
      </c>
      <c r="D25" s="540">
        <v>2140.9000000000005</v>
      </c>
      <c r="E25" s="540">
        <v>2158.6532631927257</v>
      </c>
      <c r="F25" s="540">
        <v>2762.5947109996496</v>
      </c>
      <c r="G25" s="540">
        <v>2945.5492078545785</v>
      </c>
      <c r="H25" s="279">
        <f t="shared" si="3"/>
        <v>0.11221812132162357</v>
      </c>
      <c r="I25" s="248"/>
      <c r="J25" s="247" t="s">
        <v>10</v>
      </c>
      <c r="K25" s="247"/>
      <c r="L25" s="321">
        <v>-0.30616007746088114</v>
      </c>
      <c r="M25" s="321">
        <v>-0.16860205948285428</v>
      </c>
      <c r="N25" s="321">
        <v>-0.16860205948285428</v>
      </c>
      <c r="O25" s="321">
        <v>-0.16860205948285428</v>
      </c>
      <c r="P25" s="279">
        <f>IF(L25=0,"nm",IF(O25=0,"nm",(O25/L25)^(1/3)-1))</f>
        <v>-0.18033176425189545</v>
      </c>
      <c r="S25" s="42"/>
      <c r="T25" s="42"/>
      <c r="U25" s="42"/>
      <c r="V25" s="147" t="s">
        <v>273</v>
      </c>
      <c r="W25" s="288">
        <f>D37/L9</f>
        <v>0.31267629621136156</v>
      </c>
      <c r="X25" s="288">
        <v>1</v>
      </c>
      <c r="Y25" s="42"/>
      <c r="Z25" s="42"/>
      <c r="AA25" s="42"/>
    </row>
    <row r="26" spans="2:27">
      <c r="B26" s="5" t="s">
        <v>586</v>
      </c>
      <c r="C26" s="548">
        <v>1328.2826144342962</v>
      </c>
      <c r="D26" s="540">
        <v>1552.1525000000004</v>
      </c>
      <c r="E26" s="540">
        <v>1565.0236158147261</v>
      </c>
      <c r="F26" s="540">
        <v>2002.8811654747458</v>
      </c>
      <c r="G26" s="540">
        <v>2135.5231756945695</v>
      </c>
      <c r="H26" s="279">
        <f t="shared" si="3"/>
        <v>0.11221812132162357</v>
      </c>
      <c r="I26" s="249"/>
      <c r="J26" s="249" t="s">
        <v>11</v>
      </c>
      <c r="K26" s="249"/>
      <c r="L26" s="281">
        <f>D11+L25</f>
        <v>8956.8217296225394</v>
      </c>
      <c r="M26" s="281">
        <f>E11+M25</f>
        <v>9143.9182426405187</v>
      </c>
      <c r="N26" s="281">
        <f>F11+N25</f>
        <v>9143.9182426405187</v>
      </c>
      <c r="O26" s="281">
        <f>G11+O25</f>
        <v>9143.9182426405187</v>
      </c>
      <c r="P26" s="279">
        <f>IF(L26=0,"nm",IF(O26=0,"nm",(O26/L26)^(1/3)-1))</f>
        <v>6.9149784729014563E-3</v>
      </c>
      <c r="Q26" s="5"/>
      <c r="S26" s="42"/>
      <c r="T26" s="42"/>
      <c r="U26" s="42"/>
      <c r="V26" s="147" t="s">
        <v>184</v>
      </c>
      <c r="W26" s="288">
        <f t="shared" ref="W26:W33" si="5">D38/L10</f>
        <v>0.49514938620544729</v>
      </c>
      <c r="X26" s="288">
        <v>1</v>
      </c>
      <c r="Y26" s="42"/>
      <c r="Z26" s="42"/>
      <c r="AA26" s="42"/>
    </row>
    <row r="27" spans="2:27">
      <c r="B27" s="5" t="s">
        <v>587</v>
      </c>
      <c r="C27" s="549">
        <v>25972.2</v>
      </c>
      <c r="D27" s="540">
        <v>25899.699999999997</v>
      </c>
      <c r="E27" s="540">
        <v>26135.502716221588</v>
      </c>
      <c r="F27" s="540">
        <v>26035.150323995214</v>
      </c>
      <c r="G27" s="540">
        <v>26018.595285940341</v>
      </c>
      <c r="H27" s="279">
        <f t="shared" si="3"/>
        <v>1.5278660211297534E-3</v>
      </c>
      <c r="I27" s="249"/>
      <c r="J27" s="248"/>
      <c r="K27" s="248"/>
      <c r="L27" s="248"/>
      <c r="M27" s="248"/>
      <c r="N27" s="248"/>
      <c r="O27" s="248"/>
      <c r="Q27" s="41"/>
      <c r="S27" s="42"/>
      <c r="T27" s="42"/>
      <c r="U27" s="42"/>
      <c r="V27" s="147" t="s">
        <v>185</v>
      </c>
      <c r="W27" s="288">
        <f t="shared" si="5"/>
        <v>0.65505337726722879</v>
      </c>
      <c r="X27" s="288">
        <v>1</v>
      </c>
      <c r="Y27" s="42"/>
      <c r="Z27" s="42"/>
      <c r="AA27" s="42"/>
    </row>
    <row r="28" spans="2:27" ht="12.6" thickBot="1">
      <c r="B28" s="5" t="s">
        <v>592</v>
      </c>
      <c r="C28" s="548">
        <v>14772.2</v>
      </c>
      <c r="D28" s="540">
        <v>14872.1</v>
      </c>
      <c r="E28" s="540">
        <v>14301.847206576378</v>
      </c>
      <c r="F28" s="540">
        <v>14146.023628780269</v>
      </c>
      <c r="G28" s="540">
        <v>13936.281189218076</v>
      </c>
      <c r="H28" s="279">
        <f t="shared" si="3"/>
        <v>-2.143081790270418E-2</v>
      </c>
      <c r="I28" s="248"/>
      <c r="J28" s="306" t="s">
        <v>1362</v>
      </c>
      <c r="K28" s="306"/>
      <c r="L28" s="306"/>
      <c r="M28" s="306"/>
      <c r="N28" s="266"/>
      <c r="O28" s="266"/>
      <c r="P28" s="266"/>
      <c r="Q28" s="5"/>
      <c r="S28" s="42"/>
      <c r="T28" s="42"/>
      <c r="U28" s="42"/>
      <c r="V28" s="147" t="s">
        <v>466</v>
      </c>
      <c r="W28" s="288">
        <f t="shared" si="5"/>
        <v>0.69422863208434926</v>
      </c>
      <c r="X28" s="288">
        <v>1</v>
      </c>
      <c r="Y28" s="42"/>
      <c r="Z28" s="42"/>
      <c r="AA28" s="42"/>
    </row>
    <row r="29" spans="2:27" ht="12.6" thickTop="1">
      <c r="B29" s="5" t="s">
        <v>588</v>
      </c>
      <c r="C29" s="548">
        <v>759.78015999999695</v>
      </c>
      <c r="D29" s="540">
        <v>1143.6444898800044</v>
      </c>
      <c r="E29" s="540">
        <v>939.78684865546154</v>
      </c>
      <c r="F29" s="540">
        <v>1511.2159952947275</v>
      </c>
      <c r="G29" s="540">
        <v>1929.7744552839997</v>
      </c>
      <c r="H29" s="279">
        <f t="shared" si="3"/>
        <v>0.19052495656990964</v>
      </c>
      <c r="I29" s="252"/>
      <c r="J29" s="249"/>
      <c r="K29" s="249"/>
      <c r="L29" s="249"/>
      <c r="M29" s="249"/>
      <c r="N29" s="249"/>
      <c r="O29" s="251"/>
      <c r="Q29" s="5"/>
      <c r="S29" s="42"/>
      <c r="T29" s="42"/>
      <c r="U29" s="42"/>
      <c r="V29" s="147" t="s">
        <v>530</v>
      </c>
      <c r="W29" s="288">
        <f t="shared" si="5"/>
        <v>0.46492086474268318</v>
      </c>
      <c r="X29" s="288">
        <v>1</v>
      </c>
      <c r="Y29" s="42"/>
      <c r="Z29" s="42"/>
      <c r="AA29" s="42"/>
    </row>
    <row r="30" spans="2:27">
      <c r="B30" s="5" t="s">
        <v>589</v>
      </c>
      <c r="C30" s="549">
        <v>1036.1919999999968</v>
      </c>
      <c r="D30" s="540">
        <v>1206.2844966800039</v>
      </c>
      <c r="E30" s="540">
        <v>1421.8516683429884</v>
      </c>
      <c r="F30" s="540">
        <v>1778.2666720120937</v>
      </c>
      <c r="G30" s="540">
        <v>1942.5665045006544</v>
      </c>
      <c r="H30" s="279">
        <f t="shared" si="3"/>
        <v>0.17212892483030862</v>
      </c>
      <c r="I30" s="254"/>
      <c r="J30" s="248"/>
      <c r="K30" s="248"/>
      <c r="L30" s="248"/>
      <c r="M30" s="248"/>
      <c r="N30" s="248"/>
      <c r="O30" s="5"/>
      <c r="Q30" s="5"/>
      <c r="S30" s="42"/>
      <c r="T30" s="42"/>
      <c r="U30" s="42"/>
      <c r="V30" s="147" t="s">
        <v>593</v>
      </c>
      <c r="W30" s="288">
        <f t="shared" si="5"/>
        <v>0.39674354411546586</v>
      </c>
      <c r="X30" s="288">
        <v>1</v>
      </c>
      <c r="Y30" s="42"/>
      <c r="Z30" s="42"/>
      <c r="AA30" s="42"/>
    </row>
    <row r="31" spans="2:27">
      <c r="B31" s="5" t="s">
        <v>590</v>
      </c>
      <c r="C31" s="549">
        <v>501.84364888000005</v>
      </c>
      <c r="D31" s="540">
        <v>482.97030712000009</v>
      </c>
      <c r="E31" s="540">
        <v>518.00692743858633</v>
      </c>
      <c r="F31" s="540">
        <v>604.38929669483161</v>
      </c>
      <c r="G31" s="540">
        <v>688.03237776521314</v>
      </c>
      <c r="H31" s="279">
        <f t="shared" si="3"/>
        <v>0.12519937319242191</v>
      </c>
      <c r="I31" s="254"/>
      <c r="J31" s="252"/>
      <c r="K31" s="252"/>
      <c r="L31" s="252"/>
      <c r="M31" s="252"/>
      <c r="N31" s="252"/>
      <c r="O31" s="5"/>
      <c r="Q31" s="5"/>
      <c r="S31" s="42"/>
      <c r="T31" s="42"/>
      <c r="U31" s="42"/>
      <c r="V31" s="147" t="s">
        <v>475</v>
      </c>
      <c r="W31" s="288">
        <f t="shared" si="5"/>
        <v>0.40624937543374723</v>
      </c>
      <c r="X31" s="288">
        <v>1</v>
      </c>
      <c r="Y31" s="42"/>
      <c r="Z31" s="42"/>
      <c r="AA31" s="42"/>
    </row>
    <row r="32" spans="2:27">
      <c r="B32" s="5" t="s">
        <v>606</v>
      </c>
      <c r="C32" s="550">
        <v>0</v>
      </c>
      <c r="D32" s="540">
        <v>0</v>
      </c>
      <c r="E32" s="540">
        <v>0</v>
      </c>
      <c r="F32" s="540">
        <v>114.68300000000001</v>
      </c>
      <c r="G32" s="540">
        <v>193.626</v>
      </c>
      <c r="H32" s="279" t="str">
        <f t="shared" si="3"/>
        <v>nm</v>
      </c>
      <c r="I32" s="254"/>
      <c r="J32" s="254"/>
      <c r="K32" s="254"/>
      <c r="L32" s="254"/>
      <c r="M32" s="254"/>
      <c r="N32" s="254"/>
      <c r="O32" s="251"/>
      <c r="Q32" s="5"/>
      <c r="S32" s="42"/>
      <c r="T32" s="42"/>
      <c r="U32" s="42"/>
      <c r="V32" s="147" t="s">
        <v>533</v>
      </c>
      <c r="W32" s="288">
        <f t="shared" si="5"/>
        <v>0.36221234878143788</v>
      </c>
      <c r="X32" s="288">
        <v>1</v>
      </c>
      <c r="Y32" s="42"/>
      <c r="Z32" s="42"/>
      <c r="AA32" s="42"/>
    </row>
    <row r="33" spans="2:27">
      <c r="B33" s="5" t="s">
        <v>5</v>
      </c>
      <c r="C33" s="549">
        <v>204.00000000000006</v>
      </c>
      <c r="D33" s="540">
        <v>-325.60000000000014</v>
      </c>
      <c r="E33" s="540">
        <v>-306.05260296082452</v>
      </c>
      <c r="F33" s="540">
        <v>-194.99865304630697</v>
      </c>
      <c r="G33" s="540">
        <v>-88.532223594119785</v>
      </c>
      <c r="H33" s="279">
        <f>IF(D33=0,"nm",IF(G33=0,"nm",(G33/D33)^(1/3)-1))</f>
        <v>-0.35215318898104064</v>
      </c>
      <c r="I33" s="5"/>
      <c r="J33" s="254"/>
      <c r="K33" s="254"/>
      <c r="L33" s="254"/>
      <c r="M33" s="254"/>
      <c r="N33" s="254"/>
      <c r="O33" s="251"/>
      <c r="Q33" s="5"/>
      <c r="S33" s="42"/>
      <c r="T33" s="42"/>
      <c r="U33" s="42"/>
      <c r="V33" s="147" t="s">
        <v>580</v>
      </c>
      <c r="W33" s="288">
        <f t="shared" si="5"/>
        <v>1.2917997485766812</v>
      </c>
      <c r="X33" s="288">
        <v>1</v>
      </c>
      <c r="Y33" s="42"/>
      <c r="Z33" s="42"/>
      <c r="AA33" s="42"/>
    </row>
    <row r="34" spans="2:27">
      <c r="D34" s="5"/>
      <c r="E34" s="5"/>
      <c r="F34" s="5"/>
      <c r="G34" s="5"/>
      <c r="I34" s="49"/>
      <c r="J34" s="254"/>
      <c r="K34" s="254"/>
      <c r="L34" s="254"/>
      <c r="M34" s="254"/>
      <c r="N34" s="254"/>
      <c r="O34" s="251"/>
      <c r="Q34" s="5"/>
      <c r="S34" s="42"/>
      <c r="T34" s="42"/>
      <c r="U34" s="42"/>
      <c r="V34" s="147" t="s">
        <v>581</v>
      </c>
      <c r="W34" s="288">
        <f>D47/L19</f>
        <v>2.4615422458983796</v>
      </c>
      <c r="X34" s="288">
        <v>1</v>
      </c>
      <c r="Y34" s="288"/>
      <c r="Z34" s="288"/>
      <c r="AA34" s="42"/>
    </row>
    <row r="35" spans="2:27" ht="12.6" thickBot="1">
      <c r="B35" s="306" t="s">
        <v>175</v>
      </c>
      <c r="C35" s="265"/>
      <c r="D35" s="265" t="str">
        <f>D5</f>
        <v>2023E</v>
      </c>
      <c r="E35" s="265" t="str">
        <f t="shared" ref="E35:H35" si="6">E5</f>
        <v>2024E</v>
      </c>
      <c r="F35" s="265" t="str">
        <f t="shared" si="6"/>
        <v>2025E</v>
      </c>
      <c r="G35" s="265" t="str">
        <f t="shared" si="6"/>
        <v>2026E</v>
      </c>
      <c r="H35" s="265" t="str">
        <f t="shared" si="6"/>
        <v>23E-26E</v>
      </c>
      <c r="I35" s="254"/>
      <c r="J35" s="5"/>
      <c r="K35" s="5"/>
      <c r="L35" s="5"/>
      <c r="M35" s="5"/>
      <c r="N35" s="5"/>
      <c r="O35" s="5"/>
      <c r="Q35" s="5"/>
      <c r="S35" s="42"/>
      <c r="T35" s="42"/>
      <c r="U35" s="42"/>
      <c r="V35" s="42"/>
      <c r="W35" s="42"/>
      <c r="X35" s="42"/>
      <c r="Y35" s="288"/>
      <c r="Z35" s="288"/>
      <c r="AA35" s="42"/>
    </row>
    <row r="36" spans="2:27" ht="12.6" thickTop="1">
      <c r="B36" s="41"/>
      <c r="C36" s="249"/>
      <c r="D36" s="254"/>
      <c r="E36" s="254"/>
      <c r="F36" s="254"/>
      <c r="G36" s="254"/>
      <c r="H36" s="254"/>
      <c r="I36" s="17"/>
      <c r="J36" s="49"/>
      <c r="K36" s="49"/>
      <c r="L36" s="49"/>
      <c r="M36" s="49"/>
      <c r="N36" s="49"/>
      <c r="O36" s="49"/>
      <c r="Q36" s="5"/>
      <c r="S36" s="42"/>
      <c r="T36" s="42"/>
      <c r="U36" s="42"/>
      <c r="V36" s="42"/>
      <c r="W36" s="42"/>
      <c r="X36" s="42"/>
      <c r="Y36" s="288"/>
      <c r="Z36" s="288"/>
      <c r="AA36" s="42"/>
    </row>
    <row r="37" spans="2:27">
      <c r="B37" s="5" t="s">
        <v>273</v>
      </c>
      <c r="C37" s="247"/>
      <c r="D37" s="529">
        <f>D$18/D23</f>
        <v>0.65139286554467157</v>
      </c>
      <c r="E37" s="529">
        <f t="shared" ref="E37:G41" si="7">E$18/E23</f>
        <v>0.62066298324563396</v>
      </c>
      <c r="F37" s="529">
        <f t="shared" si="7"/>
        <v>0.52214204646036033</v>
      </c>
      <c r="G37" s="529">
        <f t="shared" si="7"/>
        <v>0.45923715696181011</v>
      </c>
      <c r="H37" s="17">
        <f t="shared" ref="H37:H45" si="8">H23</f>
        <v>3.1382288109379708E-2</v>
      </c>
      <c r="I37" s="5"/>
      <c r="J37" s="259"/>
      <c r="K37" s="259"/>
      <c r="L37" s="259"/>
      <c r="M37" s="259"/>
      <c r="N37" s="259"/>
      <c r="O37" s="18"/>
      <c r="Q37" s="5"/>
      <c r="R37" s="5"/>
      <c r="S37" s="42"/>
      <c r="T37" s="42"/>
      <c r="U37" s="42"/>
      <c r="V37" s="42"/>
      <c r="W37" s="42"/>
      <c r="X37" s="42"/>
      <c r="Y37" s="42"/>
      <c r="Z37" s="42"/>
      <c r="AA37" s="42"/>
    </row>
    <row r="38" spans="2:27">
      <c r="B38" s="5" t="s">
        <v>184</v>
      </c>
      <c r="C38" s="247"/>
      <c r="D38" s="529">
        <f>D$18/D24</f>
        <v>3.1480985994482036</v>
      </c>
      <c r="E38" s="529">
        <f t="shared" si="7"/>
        <v>2.9321989101729384</v>
      </c>
      <c r="F38" s="529">
        <f t="shared" si="7"/>
        <v>2.4663809352338295</v>
      </c>
      <c r="G38" s="529">
        <f t="shared" si="7"/>
        <v>2.1266676262937541</v>
      </c>
      <c r="H38" s="17">
        <f t="shared" si="8"/>
        <v>4.6165944374719992E-2</v>
      </c>
      <c r="I38" s="259"/>
      <c r="J38" s="17"/>
      <c r="K38" s="17"/>
      <c r="L38" s="17"/>
      <c r="M38" s="17"/>
      <c r="N38" s="17"/>
      <c r="O38" s="5"/>
      <c r="Q38" s="5"/>
      <c r="R38" s="5"/>
      <c r="S38" s="42"/>
      <c r="T38" s="42"/>
      <c r="U38" s="42"/>
      <c r="V38" s="42"/>
      <c r="W38" s="42"/>
      <c r="X38" s="42"/>
      <c r="Y38" s="42"/>
      <c r="Z38" s="42"/>
      <c r="AA38" s="42"/>
    </row>
    <row r="39" spans="2:27">
      <c r="B39" s="5" t="s">
        <v>185</v>
      </c>
      <c r="C39" s="247"/>
      <c r="D39" s="529">
        <f>D$18/D25</f>
        <v>8.0285410542889633</v>
      </c>
      <c r="E39" s="529">
        <f t="shared" si="7"/>
        <v>7.7979739147151079</v>
      </c>
      <c r="F39" s="529">
        <f t="shared" si="7"/>
        <v>5.4688453733367535</v>
      </c>
      <c r="G39" s="529">
        <f t="shared" si="7"/>
        <v>4.5135656261089308</v>
      </c>
      <c r="H39" s="17">
        <f t="shared" si="8"/>
        <v>0.11221812132162357</v>
      </c>
      <c r="I39" s="17"/>
      <c r="J39" s="5"/>
      <c r="K39" s="5"/>
      <c r="L39" s="5"/>
      <c r="M39" s="5"/>
      <c r="N39" s="5"/>
      <c r="O39" s="5"/>
      <c r="Q39" s="5"/>
      <c r="R39" s="5"/>
      <c r="S39" s="42"/>
      <c r="T39" s="42"/>
      <c r="U39" s="42"/>
      <c r="V39" s="42"/>
      <c r="W39" s="42"/>
      <c r="X39" s="42"/>
      <c r="Y39" s="42"/>
      <c r="Z39" s="42"/>
      <c r="AA39" s="42"/>
    </row>
    <row r="40" spans="2:27">
      <c r="B40" s="5" t="s">
        <v>466</v>
      </c>
      <c r="C40" s="247"/>
      <c r="D40" s="529">
        <f>D$18/D26</f>
        <v>11.073849730053743</v>
      </c>
      <c r="E40" s="529">
        <f t="shared" si="7"/>
        <v>10.755826089262218</v>
      </c>
      <c r="F40" s="529">
        <f t="shared" si="7"/>
        <v>7.5432349977058681</v>
      </c>
      <c r="G40" s="529">
        <f t="shared" si="7"/>
        <v>6.2256077601502486</v>
      </c>
      <c r="H40" s="17">
        <f t="shared" si="8"/>
        <v>0.11221812132162357</v>
      </c>
      <c r="I40" s="5"/>
      <c r="J40" s="259"/>
      <c r="K40" s="259"/>
      <c r="L40" s="259"/>
      <c r="M40" s="259"/>
      <c r="N40" s="259"/>
      <c r="O40" s="18"/>
      <c r="Q40" s="5"/>
      <c r="R40" s="5"/>
      <c r="S40" s="42"/>
      <c r="T40" s="42"/>
      <c r="U40" s="42"/>
      <c r="V40" s="42"/>
      <c r="W40" s="288"/>
      <c r="X40" s="288"/>
      <c r="Y40" s="42"/>
      <c r="Z40" s="42"/>
      <c r="AA40" s="42"/>
    </row>
    <row r="41" spans="2:27">
      <c r="B41" s="5" t="s">
        <v>530</v>
      </c>
      <c r="C41" s="247"/>
      <c r="D41" s="529">
        <f>D$18/D27</f>
        <v>0.66364875049237049</v>
      </c>
      <c r="E41" s="529">
        <f t="shared" si="7"/>
        <v>0.64407109440614141</v>
      </c>
      <c r="F41" s="529">
        <f t="shared" si="7"/>
        <v>0.58030021396613918</v>
      </c>
      <c r="G41" s="529">
        <f t="shared" si="7"/>
        <v>0.51097799510217956</v>
      </c>
      <c r="H41" s="17">
        <f t="shared" si="8"/>
        <v>1.5278660211297534E-3</v>
      </c>
      <c r="I41" s="247"/>
      <c r="J41" s="17"/>
      <c r="K41" s="17"/>
      <c r="L41" s="17"/>
      <c r="M41" s="17"/>
      <c r="N41" s="17"/>
      <c r="O41" s="5"/>
      <c r="Q41" s="5"/>
      <c r="R41" s="5"/>
      <c r="S41" s="42"/>
      <c r="T41" s="42"/>
      <c r="U41" s="42"/>
      <c r="V41" s="42"/>
      <c r="W41" s="288"/>
      <c r="X41" s="288"/>
      <c r="Y41" s="288"/>
      <c r="Z41" s="288"/>
      <c r="AA41" s="42"/>
    </row>
    <row r="42" spans="2:27">
      <c r="B42" s="5" t="s">
        <v>593</v>
      </c>
      <c r="C42" s="247"/>
      <c r="D42" s="529">
        <f>D18/D28</f>
        <v>1.1557415256169099</v>
      </c>
      <c r="E42" s="529">
        <f>E18/E28</f>
        <v>1.1769893492884747</v>
      </c>
      <c r="F42" s="529">
        <f>F18/F28</f>
        <v>1.0680176776261836</v>
      </c>
      <c r="G42" s="529">
        <f>G18/G28</f>
        <v>0.95397972199861703</v>
      </c>
      <c r="H42" s="17">
        <f t="shared" si="8"/>
        <v>-2.143081790270418E-2</v>
      </c>
      <c r="I42" s="248"/>
      <c r="J42" s="5"/>
      <c r="K42" s="5"/>
      <c r="L42" s="5"/>
      <c r="M42" s="5"/>
      <c r="N42" s="5"/>
      <c r="O42" s="5"/>
      <c r="Q42" s="5"/>
      <c r="R42" s="5"/>
      <c r="S42" s="42"/>
      <c r="T42" s="42"/>
      <c r="U42" s="42"/>
      <c r="V42" s="42"/>
      <c r="W42" s="288"/>
      <c r="X42" s="288"/>
      <c r="Y42" s="288"/>
      <c r="Z42" s="288"/>
      <c r="AA42" s="42"/>
    </row>
    <row r="43" spans="2:27">
      <c r="B43" s="5" t="s">
        <v>475</v>
      </c>
      <c r="C43" s="247"/>
      <c r="D43" s="529">
        <f>L26/D29</f>
        <v>7.8318234459052256</v>
      </c>
      <c r="E43" s="529">
        <f>M26/E29</f>
        <v>9.7297788915886407</v>
      </c>
      <c r="F43" s="529">
        <f>N26/F29</f>
        <v>6.0507023953628885</v>
      </c>
      <c r="G43" s="529">
        <f>O26/G29</f>
        <v>4.7383352067922528</v>
      </c>
      <c r="H43" s="17">
        <f t="shared" si="8"/>
        <v>0.19052495656990964</v>
      </c>
      <c r="I43" s="247"/>
      <c r="J43" s="247"/>
      <c r="K43" s="247"/>
      <c r="L43" s="247"/>
      <c r="M43" s="247"/>
      <c r="N43" s="247"/>
      <c r="O43" s="18"/>
      <c r="Q43" s="5"/>
      <c r="R43" s="5"/>
      <c r="S43" s="42"/>
      <c r="T43" s="42"/>
      <c r="U43" s="42"/>
      <c r="V43" s="42"/>
      <c r="W43" s="288"/>
      <c r="X43" s="288"/>
      <c r="Y43" s="288"/>
      <c r="Z43" s="288"/>
      <c r="AA43" s="42"/>
    </row>
    <row r="44" spans="2:27">
      <c r="B44" s="5" t="s">
        <v>533</v>
      </c>
      <c r="C44" s="69"/>
      <c r="D44" s="529">
        <f>D11/D30</f>
        <v>7.4253858972342375</v>
      </c>
      <c r="E44" s="529">
        <f>E11/E30</f>
        <v>6.4311116611456578</v>
      </c>
      <c r="F44" s="529">
        <f>F11/F30</f>
        <v>5.142134747626768</v>
      </c>
      <c r="G44" s="529">
        <f>G11/G30</f>
        <v>4.7072194560723828</v>
      </c>
      <c r="H44" s="17">
        <f t="shared" si="8"/>
        <v>0.17212892483030862</v>
      </c>
      <c r="I44" s="247"/>
      <c r="J44" s="248"/>
      <c r="K44" s="248"/>
      <c r="L44" s="248"/>
      <c r="M44" s="248"/>
      <c r="N44" s="248"/>
      <c r="O44" s="248"/>
      <c r="Q44" s="5"/>
      <c r="R44" s="5"/>
      <c r="S44" s="42"/>
      <c r="T44" s="42"/>
      <c r="U44" s="42"/>
      <c r="V44" s="42"/>
      <c r="W44" s="325"/>
      <c r="X44" s="325"/>
      <c r="Y44" s="288"/>
      <c r="Z44" s="288"/>
      <c r="AA44" s="42"/>
    </row>
    <row r="45" spans="2:27">
      <c r="B45" s="5" t="s">
        <v>580</v>
      </c>
      <c r="C45" s="247"/>
      <c r="D45" s="248">
        <f>D31/D11</f>
        <v>5.3920220082530952E-2</v>
      </c>
      <c r="E45" s="248">
        <f>E31/E11</f>
        <v>5.6649388422948761E-2</v>
      </c>
      <c r="F45" s="248">
        <f>F31/F11</f>
        <v>6.6096189478465128E-2</v>
      </c>
      <c r="G45" s="248">
        <f>G31/G11</f>
        <v>7.5243421180323011E-2</v>
      </c>
      <c r="H45" s="17">
        <f t="shared" si="8"/>
        <v>0.12519937319242191</v>
      </c>
      <c r="I45" s="248"/>
      <c r="J45" s="247"/>
      <c r="K45" s="247"/>
      <c r="L45" s="247"/>
      <c r="M45" s="247"/>
      <c r="N45" s="247"/>
      <c r="O45" s="248"/>
      <c r="Q45" s="5"/>
      <c r="R45" s="5"/>
      <c r="S45" s="42"/>
      <c r="T45" s="42"/>
      <c r="U45" s="42"/>
      <c r="V45" s="42"/>
      <c r="W45" s="42"/>
      <c r="X45" s="42"/>
      <c r="Y45" s="325"/>
      <c r="Z45" s="325"/>
      <c r="AA45" s="42"/>
    </row>
    <row r="46" spans="2:27">
      <c r="B46" s="5" t="s">
        <v>605</v>
      </c>
      <c r="C46" s="247"/>
      <c r="D46" s="248">
        <f>(D31+D32)/D11</f>
        <v>5.3920220082530952E-2</v>
      </c>
      <c r="E46" s="248">
        <f>(E31+E32)/E11</f>
        <v>5.6649388422948761E-2</v>
      </c>
      <c r="F46" s="248">
        <f>(F31+F32)/F11</f>
        <v>7.8637955752969765E-2</v>
      </c>
      <c r="G46" s="248">
        <f>(G31+G32)/G11</f>
        <v>9.6418416922213576E-2</v>
      </c>
      <c r="H46" s="279">
        <f>((G31+G32)/(D31+D32))^(1/3)-1</f>
        <v>0.22215597630260597</v>
      </c>
      <c r="I46" s="247"/>
      <c r="J46" s="247"/>
      <c r="K46" s="247"/>
      <c r="L46" s="247"/>
      <c r="M46" s="247"/>
      <c r="N46" s="247"/>
      <c r="O46" s="18"/>
      <c r="Q46" s="5"/>
      <c r="R46" s="5"/>
      <c r="S46" s="42"/>
      <c r="T46" s="42"/>
      <c r="U46" s="42"/>
      <c r="V46" s="42"/>
      <c r="W46" s="42"/>
      <c r="X46" s="42"/>
      <c r="Y46" s="42"/>
      <c r="Z46" s="42"/>
      <c r="AA46" s="326"/>
    </row>
    <row r="47" spans="2:27">
      <c r="B47" s="5" t="s">
        <v>581</v>
      </c>
      <c r="C47" s="5"/>
      <c r="D47" s="248">
        <f>1/D43</f>
        <v>0.12768418579747709</v>
      </c>
      <c r="E47" s="248">
        <f>1/E43</f>
        <v>0.10277725847033342</v>
      </c>
      <c r="F47" s="248">
        <f>1/F43</f>
        <v>0.1652700686066424</v>
      </c>
      <c r="G47" s="248">
        <f>1/G43</f>
        <v>0.2110445876785019</v>
      </c>
      <c r="H47" s="17">
        <f>H29</f>
        <v>0.19052495656990964</v>
      </c>
      <c r="I47" s="17"/>
      <c r="J47" s="248"/>
      <c r="K47" s="248"/>
      <c r="L47" s="248"/>
      <c r="M47" s="248"/>
      <c r="N47" s="248"/>
      <c r="O47" s="248"/>
      <c r="Q47" s="5"/>
      <c r="R47" s="5"/>
      <c r="S47" s="42"/>
      <c r="T47" s="42"/>
      <c r="U47" s="42"/>
      <c r="V47" s="42"/>
      <c r="W47" s="42"/>
      <c r="X47" s="42"/>
      <c r="Y47" s="42"/>
      <c r="Z47" s="42"/>
      <c r="AA47" s="326"/>
    </row>
    <row r="48" spans="2:27">
      <c r="B48" s="5" t="s">
        <v>618</v>
      </c>
      <c r="C48" s="5"/>
      <c r="D48" s="305">
        <f>D31/D29</f>
        <v>0.42230807859763764</v>
      </c>
      <c r="E48" s="305">
        <f>E31/E29</f>
        <v>0.5511961868584252</v>
      </c>
      <c r="F48" s="305">
        <f>F31/F29</f>
        <v>0.39993574616510036</v>
      </c>
      <c r="G48" s="305">
        <f>G31/G29</f>
        <v>0.35653512558490014</v>
      </c>
      <c r="H48" s="279" t="s">
        <v>607</v>
      </c>
      <c r="I48" s="247"/>
      <c r="J48" s="247"/>
      <c r="K48" s="247"/>
      <c r="L48" s="247"/>
      <c r="M48" s="247"/>
      <c r="N48" s="247"/>
      <c r="O48" s="248"/>
      <c r="Q48" s="5"/>
      <c r="R48" s="5"/>
      <c r="S48" s="42"/>
      <c r="T48" s="42"/>
      <c r="U48" s="42"/>
      <c r="V48" s="42"/>
      <c r="W48" s="42"/>
      <c r="X48" s="42"/>
      <c r="Y48" s="42"/>
      <c r="Z48" s="42"/>
      <c r="AA48" s="326"/>
    </row>
    <row r="49" spans="2:27">
      <c r="B49" s="41"/>
      <c r="C49" s="17"/>
      <c r="D49" s="17"/>
      <c r="E49" s="17"/>
      <c r="F49" s="17"/>
      <c r="G49" s="17"/>
      <c r="H49" s="17"/>
      <c r="I49" s="254"/>
      <c r="J49" s="17"/>
      <c r="K49" s="17"/>
      <c r="L49" s="17"/>
      <c r="M49" s="17"/>
      <c r="N49" s="17"/>
      <c r="O49" s="248"/>
      <c r="Q49" s="5"/>
      <c r="R49" s="5"/>
      <c r="S49" s="42"/>
      <c r="T49" s="42"/>
      <c r="U49" s="42"/>
      <c r="V49" s="42"/>
      <c r="W49" s="42"/>
      <c r="X49" s="42"/>
      <c r="Y49" s="42"/>
      <c r="Z49" s="42"/>
      <c r="AA49" s="326"/>
    </row>
    <row r="50" spans="2:27">
      <c r="B50" s="5"/>
      <c r="C50" s="257"/>
      <c r="D50" s="257"/>
      <c r="E50" s="257"/>
      <c r="F50" s="5"/>
      <c r="G50" s="41"/>
      <c r="H50" s="249"/>
      <c r="I50" s="17"/>
      <c r="J50" s="249"/>
      <c r="K50" s="249"/>
      <c r="L50" s="249"/>
      <c r="M50" s="249"/>
      <c r="N50" s="249"/>
      <c r="O50" s="250"/>
      <c r="Q50" s="5"/>
      <c r="R50" s="5"/>
      <c r="S50" s="42"/>
      <c r="T50" s="42"/>
      <c r="U50" s="42"/>
      <c r="V50" s="42"/>
      <c r="W50" s="288"/>
      <c r="X50" s="288"/>
      <c r="Y50" s="42"/>
      <c r="Z50" s="42"/>
      <c r="AA50" s="326"/>
    </row>
    <row r="51" spans="2:27">
      <c r="B51" s="41"/>
      <c r="C51" s="249"/>
      <c r="D51" s="254"/>
      <c r="E51" s="254"/>
      <c r="F51" s="254"/>
      <c r="G51" s="254"/>
      <c r="H51" s="254"/>
      <c r="I51" s="259"/>
      <c r="J51" s="254"/>
      <c r="K51" s="254"/>
      <c r="L51" s="254"/>
      <c r="M51" s="254"/>
      <c r="N51" s="254"/>
      <c r="O51" s="251"/>
      <c r="Q51" s="5"/>
      <c r="R51" s="5"/>
      <c r="S51" s="42"/>
      <c r="T51" s="42"/>
      <c r="U51" s="42"/>
      <c r="V51" s="42"/>
      <c r="W51" s="288"/>
      <c r="X51" s="288"/>
      <c r="Y51" s="288"/>
      <c r="Z51" s="288"/>
      <c r="AA51" s="42"/>
    </row>
    <row r="52" spans="2:27">
      <c r="B52" s="5"/>
      <c r="C52" s="257"/>
      <c r="D52" s="17"/>
      <c r="E52" s="17"/>
      <c r="F52" s="17"/>
      <c r="G52" s="17"/>
      <c r="H52" s="17"/>
      <c r="I52" s="254"/>
      <c r="J52" s="17"/>
      <c r="K52" s="17"/>
      <c r="L52" s="17"/>
      <c r="M52" s="17"/>
      <c r="N52" s="17"/>
      <c r="O52" s="248"/>
      <c r="Q52" s="5"/>
      <c r="R52" s="5"/>
      <c r="Y52" s="10"/>
      <c r="Z52" s="10"/>
    </row>
    <row r="53" spans="2:27">
      <c r="B53" s="5"/>
      <c r="C53" s="257"/>
      <c r="D53" s="257"/>
      <c r="E53" s="257"/>
      <c r="F53" s="5"/>
      <c r="G53" s="5"/>
      <c r="H53" s="259"/>
      <c r="I53" s="17"/>
      <c r="J53" s="259"/>
      <c r="K53" s="259"/>
      <c r="L53" s="259"/>
      <c r="M53" s="259"/>
      <c r="N53" s="259"/>
      <c r="O53" s="18"/>
      <c r="Q53" s="5"/>
      <c r="R53" s="5"/>
    </row>
    <row r="54" spans="2:27">
      <c r="B54" s="41"/>
      <c r="C54" s="249"/>
      <c r="D54" s="254"/>
      <c r="E54" s="254"/>
      <c r="F54" s="254"/>
      <c r="G54" s="254"/>
      <c r="H54" s="254"/>
      <c r="I54" s="259"/>
      <c r="J54" s="254"/>
      <c r="K54" s="254"/>
      <c r="L54" s="254"/>
      <c r="M54" s="254"/>
      <c r="N54" s="254"/>
      <c r="O54" s="251"/>
      <c r="Q54" s="5"/>
      <c r="R54" s="5"/>
    </row>
    <row r="55" spans="2:27">
      <c r="B55" s="5"/>
      <c r="C55" s="257"/>
      <c r="D55" s="17"/>
      <c r="E55" s="17"/>
      <c r="F55" s="17"/>
      <c r="G55" s="17"/>
      <c r="H55" s="17"/>
      <c r="I55" s="249"/>
      <c r="J55" s="17"/>
      <c r="K55" s="17"/>
      <c r="L55" s="17"/>
      <c r="M55" s="17"/>
      <c r="N55" s="17"/>
      <c r="O55" s="18"/>
      <c r="Q55" s="5"/>
      <c r="R55" s="5"/>
    </row>
    <row r="56" spans="2:27">
      <c r="B56" s="5"/>
      <c r="C56" s="248"/>
      <c r="D56" s="248"/>
      <c r="E56" s="248"/>
      <c r="F56" s="5"/>
      <c r="G56" s="5"/>
      <c r="H56" s="259"/>
      <c r="I56" s="248"/>
      <c r="J56" s="259"/>
      <c r="K56" s="259"/>
      <c r="L56" s="259"/>
      <c r="M56" s="259"/>
      <c r="N56" s="259"/>
      <c r="O56" s="18"/>
      <c r="Q56" s="5"/>
      <c r="R56" s="5"/>
    </row>
    <row r="57" spans="2:27">
      <c r="B57" s="41"/>
      <c r="C57" s="249"/>
      <c r="D57" s="249"/>
      <c r="E57" s="249"/>
      <c r="F57" s="249"/>
      <c r="G57" s="249"/>
      <c r="H57" s="249"/>
      <c r="I57" s="5"/>
      <c r="J57" s="249"/>
      <c r="K57" s="249"/>
      <c r="L57" s="249"/>
      <c r="M57" s="249"/>
      <c r="N57" s="249"/>
      <c r="O57" s="251"/>
      <c r="Q57" s="5"/>
      <c r="R57" s="5"/>
    </row>
    <row r="58" spans="2:27">
      <c r="B58" s="5"/>
      <c r="C58" s="5"/>
      <c r="D58" s="248"/>
      <c r="E58" s="248"/>
      <c r="F58" s="248"/>
      <c r="G58" s="248"/>
      <c r="H58" s="248"/>
      <c r="I58" s="17"/>
      <c r="J58" s="248"/>
      <c r="K58" s="248"/>
      <c r="L58" s="248"/>
      <c r="M58" s="248"/>
      <c r="N58" s="248"/>
      <c r="O58" s="18"/>
      <c r="Q58" s="5"/>
      <c r="R58" s="5"/>
    </row>
    <row r="59" spans="2:27">
      <c r="B59" s="5"/>
      <c r="C59" s="5"/>
      <c r="D59" s="5"/>
      <c r="E59" s="5"/>
      <c r="F59" s="5"/>
      <c r="G59" s="5"/>
      <c r="H59" s="5"/>
      <c r="I59" s="5"/>
      <c r="J59" s="5"/>
      <c r="K59" s="5"/>
      <c r="L59" s="5"/>
      <c r="M59" s="5"/>
      <c r="N59" s="5"/>
      <c r="O59" s="5"/>
      <c r="Q59" s="5"/>
      <c r="R59" s="5"/>
    </row>
    <row r="60" spans="2:27">
      <c r="B60" s="41"/>
      <c r="C60" s="17"/>
      <c r="D60" s="17"/>
      <c r="E60" s="17"/>
      <c r="F60" s="17"/>
      <c r="G60" s="17"/>
      <c r="H60" s="17"/>
      <c r="I60" s="249"/>
      <c r="J60" s="17"/>
      <c r="K60" s="17"/>
      <c r="L60" s="17"/>
      <c r="M60" s="17"/>
      <c r="N60" s="17"/>
      <c r="O60" s="251"/>
      <c r="Q60" s="5"/>
      <c r="R60" s="5"/>
    </row>
    <row r="61" spans="2:27">
      <c r="B61" s="5"/>
      <c r="C61" s="5"/>
      <c r="D61" s="5"/>
      <c r="E61" s="5"/>
      <c r="F61" s="5"/>
      <c r="G61" s="5"/>
      <c r="H61" s="5"/>
      <c r="I61" s="5"/>
      <c r="J61" s="5"/>
      <c r="K61" s="5"/>
      <c r="L61" s="5"/>
      <c r="M61" s="5"/>
      <c r="N61" s="5"/>
      <c r="O61" s="5"/>
      <c r="Q61" s="41"/>
      <c r="R61" s="5"/>
    </row>
    <row r="62" spans="2:27">
      <c r="B62" s="41"/>
      <c r="C62" s="249"/>
      <c r="D62" s="249"/>
      <c r="E62" s="249"/>
      <c r="F62" s="249"/>
      <c r="G62" s="249"/>
      <c r="H62" s="249"/>
      <c r="I62" s="5"/>
      <c r="J62" s="249"/>
      <c r="K62" s="249"/>
      <c r="L62" s="249"/>
      <c r="M62" s="249"/>
      <c r="N62" s="249"/>
      <c r="O62" s="251"/>
      <c r="Q62" s="5"/>
      <c r="R62" s="5"/>
    </row>
    <row r="63" spans="2:27">
      <c r="B63" s="5"/>
      <c r="C63" s="5"/>
      <c r="D63" s="5"/>
      <c r="E63" s="5"/>
      <c r="F63" s="5"/>
      <c r="G63" s="5"/>
      <c r="H63" s="5"/>
      <c r="I63" s="254"/>
      <c r="J63" s="5"/>
      <c r="K63" s="5"/>
      <c r="L63" s="5"/>
      <c r="M63" s="5"/>
      <c r="N63" s="5"/>
      <c r="O63" s="5"/>
      <c r="Q63" s="5"/>
      <c r="R63" s="5"/>
    </row>
    <row r="64" spans="2:27">
      <c r="B64" s="5"/>
      <c r="C64" s="5"/>
      <c r="D64" s="5"/>
      <c r="E64" s="5"/>
      <c r="F64" s="5"/>
      <c r="G64" s="5"/>
      <c r="H64" s="5"/>
      <c r="I64" s="17"/>
      <c r="J64" s="5"/>
      <c r="K64" s="5"/>
      <c r="L64" s="5"/>
      <c r="M64" s="5"/>
      <c r="N64" s="5"/>
      <c r="O64" s="5"/>
      <c r="Q64" s="5"/>
      <c r="R64" s="5"/>
    </row>
    <row r="65" spans="2:26">
      <c r="B65" s="41"/>
      <c r="C65" s="249"/>
      <c r="D65" s="254"/>
      <c r="E65" s="254"/>
      <c r="F65" s="254"/>
      <c r="G65" s="254"/>
      <c r="H65" s="254"/>
      <c r="I65" s="254"/>
      <c r="J65" s="254"/>
      <c r="K65" s="254"/>
      <c r="L65" s="254"/>
      <c r="M65" s="254"/>
      <c r="N65" s="254"/>
      <c r="O65" s="251"/>
      <c r="Q65" s="5"/>
      <c r="R65" s="5"/>
    </row>
    <row r="66" spans="2:26">
      <c r="B66" s="5"/>
      <c r="C66" s="5"/>
      <c r="D66" s="17"/>
      <c r="E66" s="17"/>
      <c r="F66" s="17"/>
      <c r="G66" s="17"/>
      <c r="H66" s="17"/>
      <c r="I66" s="248"/>
      <c r="J66" s="17"/>
      <c r="K66" s="17"/>
      <c r="L66" s="17"/>
      <c r="M66" s="17"/>
      <c r="N66" s="17"/>
      <c r="O66" s="5"/>
      <c r="Q66" s="5"/>
      <c r="R66" s="5"/>
    </row>
    <row r="67" spans="2:26">
      <c r="B67" s="41"/>
      <c r="C67" s="249"/>
      <c r="D67" s="254"/>
      <c r="E67" s="254"/>
      <c r="F67" s="254"/>
      <c r="G67" s="254"/>
      <c r="H67" s="254"/>
      <c r="I67" s="5"/>
      <c r="J67" s="254"/>
      <c r="K67" s="254"/>
      <c r="L67" s="254"/>
      <c r="M67" s="254"/>
      <c r="N67" s="254"/>
      <c r="O67" s="251"/>
      <c r="Q67" s="41"/>
      <c r="R67" s="5"/>
    </row>
    <row r="68" spans="2:26">
      <c r="B68" s="5"/>
      <c r="C68" s="5"/>
      <c r="D68" s="248"/>
      <c r="E68" s="248"/>
      <c r="F68" s="248"/>
      <c r="G68" s="248"/>
      <c r="H68" s="248"/>
      <c r="I68" s="245"/>
      <c r="J68" s="248"/>
      <c r="K68" s="248"/>
      <c r="L68" s="248"/>
      <c r="M68" s="248"/>
      <c r="N68" s="248"/>
      <c r="O68" s="5"/>
      <c r="Q68" s="5"/>
      <c r="R68" s="5"/>
    </row>
    <row r="69" spans="2:26">
      <c r="B69" s="41"/>
      <c r="C69" s="5"/>
      <c r="D69" s="5"/>
      <c r="E69" s="5"/>
      <c r="F69" s="5"/>
      <c r="G69" s="5"/>
      <c r="H69" s="5"/>
      <c r="I69" s="248"/>
      <c r="J69" s="5"/>
      <c r="K69" s="5"/>
      <c r="L69" s="5"/>
      <c r="M69" s="5"/>
      <c r="N69" s="5"/>
      <c r="O69" s="5"/>
      <c r="Q69" s="5"/>
      <c r="R69" s="5"/>
    </row>
    <row r="70" spans="2:26">
      <c r="B70" s="41"/>
      <c r="C70" s="245"/>
      <c r="D70" s="245"/>
      <c r="E70" s="245"/>
      <c r="F70" s="245"/>
      <c r="G70" s="245"/>
      <c r="H70" s="245"/>
      <c r="I70" s="5"/>
      <c r="J70" s="245"/>
      <c r="K70" s="245"/>
      <c r="L70" s="245"/>
      <c r="M70" s="245"/>
      <c r="N70" s="245"/>
      <c r="O70" s="251"/>
      <c r="Q70" s="5"/>
      <c r="R70" s="5"/>
      <c r="W70" s="76"/>
      <c r="X70" s="76"/>
    </row>
    <row r="71" spans="2:26">
      <c r="B71" s="5"/>
      <c r="C71" s="5"/>
      <c r="D71" s="248"/>
      <c r="E71" s="248"/>
      <c r="F71" s="248"/>
      <c r="G71" s="248"/>
      <c r="H71" s="248"/>
      <c r="I71" s="245"/>
      <c r="J71" s="248"/>
      <c r="K71" s="248"/>
      <c r="L71" s="248"/>
      <c r="M71" s="248"/>
      <c r="N71" s="248"/>
      <c r="O71" s="5"/>
      <c r="Q71" s="5"/>
      <c r="R71" s="5"/>
      <c r="W71" s="76"/>
      <c r="X71" s="76"/>
      <c r="Y71" s="76"/>
      <c r="Z71" s="76"/>
    </row>
    <row r="72" spans="2:26">
      <c r="B72" s="41"/>
      <c r="C72" s="5"/>
      <c r="D72" s="5"/>
      <c r="E72" s="5"/>
      <c r="F72" s="5"/>
      <c r="G72" s="5"/>
      <c r="H72" s="5"/>
      <c r="I72" s="18"/>
      <c r="J72" s="5"/>
      <c r="K72" s="5"/>
      <c r="L72" s="5"/>
      <c r="M72" s="5"/>
      <c r="N72" s="5"/>
      <c r="O72" s="5"/>
      <c r="Q72" s="5"/>
      <c r="R72" s="5"/>
      <c r="Y72" s="76"/>
      <c r="Z72" s="76"/>
    </row>
    <row r="73" spans="2:26">
      <c r="B73" s="41"/>
      <c r="C73" s="245"/>
      <c r="D73" s="245"/>
      <c r="E73" s="245"/>
      <c r="F73" s="245"/>
      <c r="G73" s="245"/>
      <c r="H73" s="245"/>
      <c r="I73" s="5"/>
      <c r="J73" s="245"/>
      <c r="K73" s="245"/>
      <c r="L73" s="245"/>
      <c r="M73" s="245"/>
      <c r="N73" s="245"/>
      <c r="O73" s="251"/>
      <c r="Q73" s="5"/>
      <c r="R73" s="5"/>
    </row>
    <row r="74" spans="2:26">
      <c r="B74" s="5"/>
      <c r="C74" s="5"/>
      <c r="D74" s="18"/>
      <c r="E74" s="18"/>
      <c r="F74" s="18"/>
      <c r="G74" s="18"/>
      <c r="H74" s="18"/>
      <c r="I74" s="249"/>
      <c r="J74" s="18"/>
      <c r="K74" s="18"/>
      <c r="L74" s="18"/>
      <c r="M74" s="18"/>
      <c r="N74" s="18"/>
      <c r="O74" s="5"/>
      <c r="Q74" s="5"/>
      <c r="R74" s="5"/>
    </row>
    <row r="75" spans="2:26">
      <c r="B75" s="41"/>
      <c r="C75" s="5"/>
      <c r="D75" s="5"/>
      <c r="E75" s="5"/>
      <c r="F75" s="5"/>
      <c r="G75" s="5"/>
      <c r="H75" s="5"/>
      <c r="I75" s="248"/>
      <c r="J75" s="5"/>
      <c r="K75" s="5"/>
      <c r="L75" s="5"/>
      <c r="M75" s="5"/>
      <c r="N75" s="5"/>
      <c r="O75" s="5"/>
      <c r="Q75" s="5"/>
      <c r="R75" s="5"/>
    </row>
    <row r="76" spans="2:26">
      <c r="B76" s="41"/>
      <c r="C76" s="249"/>
      <c r="D76" s="249"/>
      <c r="E76" s="249"/>
      <c r="F76" s="249"/>
      <c r="G76" s="249"/>
      <c r="H76" s="249"/>
      <c r="I76" s="5"/>
      <c r="J76" s="249"/>
      <c r="K76" s="249"/>
      <c r="L76" s="249"/>
      <c r="M76" s="249"/>
      <c r="N76" s="249"/>
      <c r="O76" s="251"/>
      <c r="Q76" s="5"/>
      <c r="R76" s="5"/>
    </row>
    <row r="77" spans="2:26">
      <c r="B77" s="5"/>
      <c r="C77" s="5"/>
      <c r="D77" s="248"/>
      <c r="E77" s="248"/>
      <c r="F77" s="248"/>
      <c r="G77" s="248"/>
      <c r="H77" s="248"/>
      <c r="I77" s="245"/>
      <c r="J77" s="248"/>
      <c r="K77" s="248"/>
      <c r="L77" s="248"/>
      <c r="M77" s="248"/>
      <c r="N77" s="248"/>
      <c r="O77" s="5"/>
      <c r="Q77" s="5"/>
      <c r="R77" s="5"/>
    </row>
    <row r="78" spans="2:26">
      <c r="B78" s="41"/>
      <c r="C78" s="5"/>
      <c r="D78" s="5"/>
      <c r="E78" s="5"/>
      <c r="F78" s="5"/>
      <c r="G78" s="5"/>
      <c r="H78" s="5"/>
      <c r="I78" s="248"/>
      <c r="J78" s="5"/>
      <c r="K78" s="5"/>
      <c r="L78" s="5"/>
      <c r="M78" s="5"/>
      <c r="N78" s="5"/>
      <c r="O78" s="5"/>
      <c r="Q78" s="5"/>
      <c r="R78" s="5"/>
    </row>
    <row r="79" spans="2:26">
      <c r="B79" s="41"/>
      <c r="C79" s="245"/>
      <c r="D79" s="245"/>
      <c r="E79" s="245"/>
      <c r="F79" s="245"/>
      <c r="G79" s="245"/>
      <c r="H79" s="245"/>
      <c r="I79" s="5"/>
      <c r="J79" s="245"/>
      <c r="K79" s="245"/>
      <c r="L79" s="245"/>
      <c r="M79" s="245"/>
      <c r="N79" s="245"/>
      <c r="O79" s="251"/>
      <c r="Q79" s="5"/>
      <c r="R79" s="5"/>
    </row>
    <row r="80" spans="2:26">
      <c r="B80" s="5"/>
      <c r="C80" s="5"/>
      <c r="D80" s="248"/>
      <c r="E80" s="248"/>
      <c r="F80" s="248"/>
      <c r="G80" s="248"/>
      <c r="H80" s="248"/>
      <c r="I80" s="249"/>
      <c r="J80" s="248"/>
      <c r="K80" s="248"/>
      <c r="L80" s="248"/>
      <c r="M80" s="248"/>
      <c r="N80" s="248"/>
      <c r="O80" s="5"/>
      <c r="Q80" s="5"/>
      <c r="R80" s="5"/>
    </row>
    <row r="81" spans="2:26">
      <c r="B81" s="41"/>
      <c r="C81" s="5"/>
      <c r="D81" s="5"/>
      <c r="E81" s="5"/>
      <c r="F81" s="5"/>
      <c r="G81" s="5"/>
      <c r="H81" s="5"/>
      <c r="I81" s="248"/>
      <c r="J81" s="5"/>
      <c r="K81" s="5"/>
      <c r="L81" s="5"/>
      <c r="M81" s="5"/>
      <c r="N81" s="5"/>
      <c r="O81" s="5"/>
      <c r="Q81" s="5"/>
      <c r="R81" s="5"/>
    </row>
    <row r="82" spans="2:26">
      <c r="B82" s="41"/>
      <c r="C82" s="249"/>
      <c r="D82" s="249"/>
      <c r="E82" s="249"/>
      <c r="F82" s="249"/>
      <c r="G82" s="249"/>
      <c r="H82" s="249"/>
      <c r="I82" s="259"/>
      <c r="J82" s="249"/>
      <c r="K82" s="249"/>
      <c r="L82" s="249"/>
      <c r="M82" s="249"/>
      <c r="N82" s="249"/>
      <c r="O82" s="251"/>
      <c r="Q82" s="5"/>
      <c r="R82" s="5"/>
    </row>
    <row r="83" spans="2:26">
      <c r="B83" s="5"/>
      <c r="C83" s="5"/>
      <c r="D83" s="248"/>
      <c r="E83" s="248"/>
      <c r="F83" s="248"/>
      <c r="G83" s="248"/>
      <c r="H83" s="248"/>
      <c r="I83" s="5"/>
      <c r="J83" s="248"/>
      <c r="K83" s="248"/>
      <c r="L83" s="248"/>
      <c r="M83" s="248"/>
      <c r="N83" s="248"/>
      <c r="O83" s="5"/>
      <c r="Q83" s="5"/>
      <c r="R83" s="5"/>
    </row>
    <row r="84" spans="2:26">
      <c r="B84" s="5"/>
      <c r="C84" s="259"/>
      <c r="D84" s="259"/>
      <c r="E84" s="259"/>
      <c r="F84" s="259"/>
      <c r="G84" s="259"/>
      <c r="H84" s="259"/>
      <c r="I84" s="245"/>
      <c r="J84" s="259"/>
      <c r="K84" s="259"/>
      <c r="L84" s="259"/>
      <c r="M84" s="259"/>
      <c r="N84" s="259"/>
      <c r="O84" s="251"/>
      <c r="Q84" s="5"/>
      <c r="R84" s="5"/>
    </row>
    <row r="85" spans="2:26">
      <c r="B85" s="41"/>
      <c r="C85" s="5"/>
      <c r="D85" s="5"/>
      <c r="E85" s="5"/>
      <c r="F85" s="5"/>
      <c r="G85" s="5"/>
      <c r="H85" s="5"/>
      <c r="I85" s="248"/>
      <c r="J85" s="5"/>
      <c r="K85" s="5"/>
      <c r="L85" s="5"/>
      <c r="M85" s="5"/>
      <c r="N85" s="5"/>
      <c r="O85" s="5"/>
      <c r="Q85" s="5"/>
      <c r="R85" s="5"/>
    </row>
    <row r="86" spans="2:26">
      <c r="B86" s="41"/>
      <c r="C86" s="245"/>
      <c r="D86" s="245"/>
      <c r="E86" s="245"/>
      <c r="F86" s="245"/>
      <c r="G86" s="245"/>
      <c r="H86" s="245"/>
      <c r="I86" s="5"/>
      <c r="J86" s="245"/>
      <c r="K86" s="245"/>
      <c r="L86" s="245"/>
      <c r="M86" s="245"/>
      <c r="N86" s="245"/>
      <c r="O86" s="251"/>
      <c r="Q86" s="5"/>
      <c r="R86" s="5"/>
    </row>
    <row r="87" spans="2:26">
      <c r="B87" s="5"/>
      <c r="C87" s="5"/>
      <c r="D87" s="248"/>
      <c r="E87" s="248"/>
      <c r="F87" s="248"/>
      <c r="G87" s="248"/>
      <c r="H87" s="248"/>
      <c r="I87" s="5"/>
      <c r="J87" s="248"/>
      <c r="K87" s="248"/>
      <c r="L87" s="248"/>
      <c r="M87" s="248"/>
      <c r="N87" s="248"/>
      <c r="O87" s="5"/>
      <c r="Q87" s="5"/>
      <c r="R87" s="5"/>
    </row>
    <row r="88" spans="2:26">
      <c r="B88" s="41"/>
      <c r="C88" s="5"/>
      <c r="D88" s="5"/>
      <c r="E88" s="5"/>
      <c r="F88" s="5"/>
      <c r="G88" s="5"/>
      <c r="H88" s="5"/>
      <c r="I88" s="5"/>
      <c r="J88" s="5"/>
      <c r="K88" s="5"/>
      <c r="L88" s="5"/>
      <c r="M88" s="5"/>
      <c r="N88" s="5"/>
      <c r="O88" s="5"/>
      <c r="Q88" s="5"/>
      <c r="R88" s="5"/>
    </row>
    <row r="89" spans="2:26">
      <c r="B89" s="41"/>
      <c r="C89" s="5"/>
      <c r="D89" s="5"/>
      <c r="E89" s="5"/>
      <c r="F89" s="5"/>
      <c r="G89" s="5"/>
      <c r="H89" s="5"/>
      <c r="I89" s="5"/>
      <c r="J89" s="5"/>
      <c r="K89" s="5"/>
      <c r="L89" s="5"/>
      <c r="M89" s="5"/>
      <c r="N89" s="5"/>
      <c r="O89" s="5"/>
      <c r="Q89" s="5"/>
      <c r="R89" s="5"/>
    </row>
    <row r="90" spans="2:26">
      <c r="B90" s="41"/>
      <c r="C90" s="5"/>
      <c r="D90" s="5"/>
      <c r="E90" s="5"/>
      <c r="F90" s="5"/>
      <c r="G90" s="5"/>
      <c r="H90" s="5"/>
      <c r="I90" s="49"/>
      <c r="J90" s="5"/>
      <c r="K90" s="5"/>
      <c r="L90" s="5"/>
      <c r="M90" s="5"/>
      <c r="N90" s="5"/>
      <c r="O90" s="5"/>
      <c r="Q90" s="41"/>
      <c r="R90" s="5"/>
    </row>
    <row r="91" spans="2:26">
      <c r="B91" s="5"/>
      <c r="C91" s="5"/>
      <c r="D91" s="5"/>
      <c r="E91" s="5"/>
      <c r="F91" s="5"/>
      <c r="G91" s="5"/>
      <c r="H91" s="5"/>
      <c r="I91" s="5"/>
      <c r="J91" s="5"/>
      <c r="K91" s="5"/>
      <c r="L91" s="5"/>
      <c r="M91" s="5"/>
      <c r="N91" s="5"/>
      <c r="O91" s="5"/>
      <c r="Q91" s="5"/>
      <c r="R91" s="5"/>
    </row>
    <row r="92" spans="2:26">
      <c r="B92" s="41"/>
      <c r="C92" s="49"/>
      <c r="D92" s="49"/>
      <c r="E92" s="49"/>
      <c r="F92" s="49"/>
      <c r="G92" s="49"/>
      <c r="H92" s="49"/>
      <c r="I92" s="247"/>
      <c r="J92" s="49"/>
      <c r="K92" s="49"/>
      <c r="L92" s="49"/>
      <c r="M92" s="49"/>
      <c r="N92" s="49"/>
      <c r="O92" s="49"/>
      <c r="Q92" s="5"/>
      <c r="R92" s="5"/>
      <c r="W92" s="21"/>
      <c r="X92" s="21"/>
    </row>
    <row r="93" spans="2:26">
      <c r="B93" s="5"/>
      <c r="C93" s="5"/>
      <c r="D93" s="5"/>
      <c r="E93" s="5"/>
      <c r="F93" s="5"/>
      <c r="G93" s="5"/>
      <c r="H93" s="5"/>
      <c r="I93" s="247"/>
      <c r="J93" s="5"/>
      <c r="K93" s="5"/>
      <c r="L93" s="5"/>
      <c r="M93" s="5"/>
      <c r="N93" s="5"/>
      <c r="O93" s="5"/>
      <c r="Q93" s="5"/>
      <c r="R93" s="5"/>
      <c r="W93" s="21"/>
      <c r="X93" s="21"/>
      <c r="Y93" s="21"/>
      <c r="Z93" s="21"/>
    </row>
    <row r="94" spans="2:26">
      <c r="B94" s="5"/>
      <c r="C94" s="259"/>
      <c r="D94" s="247"/>
      <c r="E94" s="247"/>
      <c r="F94" s="247"/>
      <c r="G94" s="247"/>
      <c r="H94" s="247"/>
      <c r="I94" s="247"/>
      <c r="J94" s="247"/>
      <c r="K94" s="247"/>
      <c r="L94" s="247"/>
      <c r="M94" s="247"/>
      <c r="N94" s="247"/>
      <c r="O94" s="248"/>
      <c r="Q94" s="5"/>
      <c r="R94" s="5"/>
      <c r="Y94" s="21"/>
      <c r="Z94" s="21"/>
    </row>
    <row r="95" spans="2:26">
      <c r="B95" s="5"/>
      <c r="C95" s="259"/>
      <c r="D95" s="247"/>
      <c r="E95" s="247"/>
      <c r="F95" s="247"/>
      <c r="G95" s="247"/>
      <c r="H95" s="247"/>
      <c r="I95" s="248"/>
      <c r="J95" s="247"/>
      <c r="K95" s="247"/>
      <c r="L95" s="247"/>
      <c r="M95" s="247"/>
      <c r="N95" s="247"/>
      <c r="O95" s="248"/>
      <c r="Q95" s="5"/>
      <c r="R95" s="5"/>
    </row>
    <row r="96" spans="2:26">
      <c r="B96" s="5"/>
      <c r="C96" s="259"/>
      <c r="D96" s="247"/>
      <c r="E96" s="247"/>
      <c r="F96" s="247"/>
      <c r="G96" s="247"/>
      <c r="H96" s="247"/>
      <c r="I96" s="247"/>
      <c r="J96" s="247"/>
      <c r="K96" s="247"/>
      <c r="L96" s="247"/>
      <c r="M96" s="247"/>
      <c r="N96" s="247"/>
      <c r="O96" s="248"/>
      <c r="Q96" s="5"/>
      <c r="R96" s="5"/>
    </row>
    <row r="97" spans="2:18">
      <c r="B97" s="5"/>
      <c r="C97" s="259"/>
      <c r="D97" s="248"/>
      <c r="E97" s="248"/>
      <c r="F97" s="248"/>
      <c r="G97" s="248"/>
      <c r="H97" s="248"/>
      <c r="I97" s="249"/>
      <c r="J97" s="248"/>
      <c r="K97" s="248"/>
      <c r="L97" s="248"/>
      <c r="M97" s="248"/>
      <c r="N97" s="248"/>
      <c r="O97" s="248"/>
      <c r="Q97" s="5"/>
      <c r="R97" s="5"/>
    </row>
    <row r="98" spans="2:18">
      <c r="B98" s="5"/>
      <c r="C98" s="259"/>
      <c r="D98" s="247"/>
      <c r="E98" s="247"/>
      <c r="F98" s="247"/>
      <c r="G98" s="247"/>
      <c r="H98" s="247"/>
      <c r="I98" s="248"/>
      <c r="J98" s="247"/>
      <c r="K98" s="247"/>
      <c r="L98" s="247"/>
      <c r="M98" s="247"/>
      <c r="N98" s="247"/>
      <c r="O98" s="248"/>
      <c r="Q98" s="5"/>
      <c r="R98" s="5"/>
    </row>
    <row r="99" spans="2:18">
      <c r="B99" s="41"/>
      <c r="C99" s="249"/>
      <c r="D99" s="249"/>
      <c r="E99" s="249"/>
      <c r="F99" s="249"/>
      <c r="G99" s="249"/>
      <c r="H99" s="249"/>
      <c r="I99" s="5"/>
      <c r="J99" s="249"/>
      <c r="K99" s="249"/>
      <c r="L99" s="249"/>
      <c r="M99" s="249"/>
      <c r="N99" s="249"/>
      <c r="O99" s="248"/>
      <c r="Q99" s="5"/>
      <c r="R99" s="5"/>
    </row>
    <row r="100" spans="2:18">
      <c r="B100" s="41"/>
      <c r="C100" s="257"/>
      <c r="D100" s="248"/>
      <c r="E100" s="248"/>
      <c r="F100" s="248"/>
      <c r="G100" s="248"/>
      <c r="H100" s="248"/>
      <c r="I100" s="259"/>
      <c r="J100" s="248"/>
      <c r="K100" s="248"/>
      <c r="L100" s="248"/>
      <c r="M100" s="248"/>
      <c r="N100" s="248"/>
      <c r="O100" s="248"/>
      <c r="Q100" s="5"/>
      <c r="R100" s="5"/>
    </row>
    <row r="101" spans="2:18" s="5" customFormat="1">
      <c r="B101" s="41"/>
      <c r="I101" s="259"/>
      <c r="O101" s="248"/>
      <c r="P101" s="39"/>
    </row>
    <row r="102" spans="2:18">
      <c r="B102" s="5"/>
      <c r="C102" s="259"/>
      <c r="D102" s="259"/>
      <c r="E102" s="259"/>
      <c r="F102" s="259"/>
      <c r="G102" s="259"/>
      <c r="H102" s="259"/>
      <c r="I102" s="247"/>
      <c r="J102" s="259"/>
      <c r="K102" s="259"/>
      <c r="L102" s="259"/>
      <c r="M102" s="259"/>
      <c r="N102" s="259"/>
      <c r="O102" s="5"/>
      <c r="Q102" s="5"/>
      <c r="R102" s="5"/>
    </row>
    <row r="103" spans="2:18">
      <c r="B103" s="5"/>
      <c r="C103" s="259"/>
      <c r="D103" s="259"/>
      <c r="E103" s="259"/>
      <c r="F103" s="259"/>
      <c r="G103" s="259"/>
      <c r="H103" s="259"/>
      <c r="I103" s="5"/>
      <c r="J103" s="259"/>
      <c r="K103" s="259"/>
      <c r="L103" s="259"/>
      <c r="M103" s="259"/>
      <c r="N103" s="259"/>
      <c r="O103" s="5"/>
      <c r="P103" s="5"/>
      <c r="Q103" s="5"/>
      <c r="R103" s="5"/>
    </row>
    <row r="104" spans="2:18">
      <c r="B104" s="5"/>
      <c r="C104" s="247"/>
      <c r="D104" s="247"/>
      <c r="E104" s="247"/>
      <c r="F104" s="247"/>
      <c r="G104" s="247"/>
      <c r="H104" s="247"/>
      <c r="I104" s="247"/>
      <c r="J104" s="247"/>
      <c r="K104" s="247"/>
      <c r="L104" s="247"/>
      <c r="M104" s="247"/>
      <c r="N104" s="247"/>
      <c r="O104" s="5"/>
      <c r="Q104" s="5"/>
      <c r="R104" s="5"/>
    </row>
    <row r="105" spans="2:18" s="5" customFormat="1">
      <c r="P105" s="39"/>
    </row>
    <row r="106" spans="2:18" s="5" customFormat="1">
      <c r="C106" s="259"/>
      <c r="D106" s="247"/>
      <c r="E106" s="247"/>
      <c r="F106" s="247"/>
      <c r="G106" s="247"/>
      <c r="H106" s="247"/>
      <c r="I106" s="259"/>
      <c r="J106" s="247"/>
      <c r="K106" s="247"/>
      <c r="L106" s="247"/>
      <c r="M106" s="247"/>
      <c r="N106" s="247"/>
      <c r="P106" s="39"/>
    </row>
    <row r="107" spans="2:18">
      <c r="B107" s="5"/>
      <c r="C107" s="259"/>
      <c r="D107" s="5"/>
      <c r="E107" s="5"/>
      <c r="F107" s="5"/>
      <c r="G107" s="5"/>
      <c r="H107" s="5"/>
      <c r="I107" s="247"/>
      <c r="J107" s="5"/>
      <c r="K107" s="5"/>
      <c r="L107" s="5"/>
      <c r="M107" s="5"/>
      <c r="N107" s="5"/>
      <c r="O107" s="5"/>
      <c r="P107" s="5"/>
      <c r="Q107" s="5"/>
      <c r="R107" s="5"/>
    </row>
    <row r="108" spans="2:18">
      <c r="B108" s="5"/>
      <c r="C108" s="259"/>
      <c r="D108" s="259"/>
      <c r="E108" s="259"/>
      <c r="F108" s="259"/>
      <c r="G108" s="259"/>
      <c r="H108" s="259"/>
      <c r="I108" s="249"/>
      <c r="J108" s="259"/>
      <c r="K108" s="259"/>
      <c r="L108" s="259"/>
      <c r="M108" s="259"/>
      <c r="N108" s="259"/>
      <c r="O108" s="5"/>
      <c r="P108" s="5"/>
      <c r="Q108" s="5"/>
      <c r="R108" s="5"/>
    </row>
    <row r="109" spans="2:18">
      <c r="B109" s="5"/>
      <c r="C109" s="247"/>
      <c r="D109" s="247"/>
      <c r="E109" s="247"/>
      <c r="F109" s="247"/>
      <c r="G109" s="247"/>
      <c r="H109" s="247"/>
      <c r="I109" s="249"/>
      <c r="J109" s="247"/>
      <c r="K109" s="247"/>
      <c r="L109" s="247"/>
      <c r="M109" s="247"/>
      <c r="N109" s="247"/>
      <c r="O109" s="5"/>
      <c r="Q109" s="5"/>
      <c r="R109" s="5"/>
    </row>
    <row r="110" spans="2:18">
      <c r="B110" s="41"/>
      <c r="C110" s="249"/>
      <c r="D110" s="249"/>
      <c r="E110" s="249"/>
      <c r="F110" s="249"/>
      <c r="G110" s="249"/>
      <c r="H110" s="249"/>
      <c r="I110" s="247"/>
      <c r="J110" s="249"/>
      <c r="K110" s="249"/>
      <c r="L110" s="249"/>
      <c r="M110" s="249"/>
      <c r="N110" s="249"/>
      <c r="O110" s="5"/>
      <c r="Q110" s="5"/>
      <c r="R110" s="5"/>
    </row>
    <row r="111" spans="2:18">
      <c r="B111" s="5"/>
      <c r="C111" s="249"/>
      <c r="D111" s="249"/>
      <c r="E111" s="249"/>
      <c r="F111" s="249"/>
      <c r="G111" s="249"/>
      <c r="H111" s="249"/>
      <c r="I111" s="5"/>
      <c r="J111" s="249"/>
      <c r="K111" s="249"/>
      <c r="L111" s="249"/>
      <c r="M111" s="249"/>
      <c r="N111" s="249"/>
      <c r="O111" s="5"/>
      <c r="Q111" s="5"/>
      <c r="R111" s="5"/>
    </row>
    <row r="112" spans="2:18">
      <c r="B112" s="5"/>
      <c r="C112" s="247"/>
      <c r="D112" s="247"/>
      <c r="E112" s="247"/>
      <c r="F112" s="247"/>
      <c r="G112" s="247"/>
      <c r="H112" s="247"/>
      <c r="I112" s="5"/>
      <c r="J112" s="247"/>
      <c r="K112" s="247"/>
      <c r="L112" s="247"/>
      <c r="M112" s="247"/>
      <c r="N112" s="247"/>
      <c r="O112" s="5"/>
      <c r="Q112" s="5"/>
      <c r="R112" s="5"/>
    </row>
    <row r="113" spans="2:18">
      <c r="B113" s="5"/>
      <c r="C113" s="5"/>
      <c r="D113" s="5"/>
      <c r="E113" s="5"/>
      <c r="F113" s="5"/>
      <c r="G113" s="5"/>
      <c r="H113" s="5"/>
      <c r="I113" s="5"/>
      <c r="J113" s="5"/>
      <c r="K113" s="5"/>
      <c r="L113" s="5"/>
      <c r="M113" s="5"/>
      <c r="N113" s="5"/>
      <c r="O113" s="5"/>
      <c r="Q113" s="5"/>
      <c r="R113" s="5"/>
    </row>
    <row r="114" spans="2:18">
      <c r="B114" s="5"/>
      <c r="C114" s="5"/>
      <c r="D114" s="5"/>
      <c r="E114" s="5"/>
      <c r="F114" s="5"/>
      <c r="G114" s="5"/>
      <c r="H114" s="5"/>
      <c r="I114" s="5"/>
      <c r="J114" s="5"/>
      <c r="K114" s="5"/>
      <c r="L114" s="5"/>
      <c r="M114" s="5"/>
      <c r="N114" s="5"/>
      <c r="O114" s="5"/>
      <c r="Q114" s="5"/>
      <c r="R114" s="5"/>
    </row>
    <row r="115" spans="2:18">
      <c r="B115" s="5"/>
      <c r="C115" s="5"/>
      <c r="D115" s="5"/>
      <c r="E115" s="5"/>
      <c r="F115" s="5"/>
      <c r="G115" s="5"/>
      <c r="H115" s="5"/>
      <c r="I115" s="49"/>
      <c r="J115" s="5"/>
      <c r="K115" s="5"/>
      <c r="L115" s="5"/>
      <c r="M115" s="5"/>
      <c r="N115" s="5"/>
      <c r="O115" s="5"/>
      <c r="Q115" s="41"/>
      <c r="R115" s="5"/>
    </row>
    <row r="116" spans="2:18">
      <c r="B116" s="5"/>
      <c r="C116" s="5"/>
      <c r="D116" s="5"/>
      <c r="E116" s="5"/>
      <c r="F116" s="5"/>
      <c r="G116" s="5"/>
      <c r="H116" s="5"/>
      <c r="I116" s="5"/>
      <c r="J116" s="5"/>
      <c r="K116" s="5"/>
      <c r="L116" s="5"/>
      <c r="M116" s="5"/>
      <c r="N116" s="5"/>
      <c r="O116" s="5"/>
      <c r="Q116" s="5"/>
      <c r="R116" s="5"/>
    </row>
    <row r="117" spans="2:18">
      <c r="B117" s="41"/>
      <c r="C117" s="49"/>
      <c r="D117" s="49"/>
      <c r="E117" s="49"/>
      <c r="F117" s="49"/>
      <c r="G117" s="49"/>
      <c r="H117" s="49"/>
      <c r="I117" s="254"/>
      <c r="J117" s="49"/>
      <c r="K117" s="49"/>
      <c r="L117" s="49"/>
      <c r="M117" s="49"/>
      <c r="N117" s="49"/>
      <c r="O117" s="49"/>
      <c r="Q117" s="5"/>
      <c r="R117" s="5"/>
    </row>
    <row r="118" spans="2:18">
      <c r="B118" s="5"/>
      <c r="C118" s="5"/>
      <c r="D118" s="5"/>
      <c r="E118" s="5"/>
      <c r="F118" s="5"/>
      <c r="G118" s="5"/>
      <c r="H118" s="5"/>
      <c r="I118" s="249"/>
      <c r="J118" s="5"/>
      <c r="K118" s="5"/>
      <c r="L118" s="5"/>
      <c r="M118" s="5"/>
      <c r="N118" s="5"/>
      <c r="O118" s="5"/>
      <c r="Q118" s="5"/>
      <c r="R118" s="5"/>
    </row>
    <row r="119" spans="2:18">
      <c r="B119" s="41"/>
      <c r="C119" s="254"/>
      <c r="D119" s="254"/>
      <c r="E119" s="254"/>
      <c r="F119" s="254"/>
      <c r="G119" s="254"/>
      <c r="H119" s="254"/>
      <c r="I119" s="254"/>
      <c r="J119" s="254"/>
      <c r="K119" s="254"/>
      <c r="L119" s="254"/>
      <c r="M119" s="254"/>
      <c r="N119" s="254"/>
      <c r="O119" s="248"/>
      <c r="Q119" s="5"/>
      <c r="R119" s="5"/>
    </row>
    <row r="120" spans="2:18">
      <c r="B120" s="41"/>
      <c r="C120" s="254"/>
      <c r="D120" s="249"/>
      <c r="E120" s="249"/>
      <c r="F120" s="249"/>
      <c r="G120" s="249"/>
      <c r="H120" s="249"/>
      <c r="I120" s="254"/>
      <c r="J120" s="249"/>
      <c r="K120" s="249"/>
      <c r="L120" s="249"/>
      <c r="M120" s="249"/>
      <c r="N120" s="249"/>
      <c r="O120" s="248"/>
      <c r="Q120" s="5"/>
      <c r="R120" s="5"/>
    </row>
    <row r="121" spans="2:18">
      <c r="B121" s="41"/>
      <c r="C121" s="254"/>
      <c r="D121" s="254"/>
      <c r="E121" s="254"/>
      <c r="F121" s="254"/>
      <c r="G121" s="254"/>
      <c r="H121" s="254"/>
      <c r="I121" s="254"/>
      <c r="J121" s="254"/>
      <c r="K121" s="254"/>
      <c r="L121" s="254"/>
      <c r="M121" s="254"/>
      <c r="N121" s="254"/>
      <c r="O121" s="248"/>
      <c r="Q121" s="5"/>
      <c r="R121" s="5"/>
    </row>
    <row r="122" spans="2:18">
      <c r="B122" s="41"/>
      <c r="C122" s="254"/>
      <c r="D122" s="254"/>
      <c r="E122" s="254"/>
      <c r="F122" s="254"/>
      <c r="G122" s="254"/>
      <c r="H122" s="254"/>
      <c r="I122" s="254"/>
      <c r="J122" s="254"/>
      <c r="K122" s="254"/>
      <c r="L122" s="254"/>
      <c r="M122" s="254"/>
      <c r="N122" s="254"/>
      <c r="O122" s="248"/>
      <c r="Q122" s="5"/>
      <c r="R122" s="5"/>
    </row>
    <row r="123" spans="2:18">
      <c r="B123" s="41"/>
      <c r="C123" s="254"/>
      <c r="D123" s="254"/>
      <c r="E123" s="254"/>
      <c r="F123" s="254"/>
      <c r="G123" s="254"/>
      <c r="H123" s="254"/>
      <c r="I123" s="254"/>
      <c r="J123" s="254"/>
      <c r="K123" s="254"/>
      <c r="L123" s="254"/>
      <c r="M123" s="254"/>
      <c r="N123" s="254"/>
      <c r="O123" s="248"/>
      <c r="Q123" s="5"/>
      <c r="R123" s="5"/>
    </row>
    <row r="124" spans="2:18">
      <c r="B124" s="41"/>
      <c r="C124" s="254"/>
      <c r="D124" s="254"/>
      <c r="E124" s="254"/>
      <c r="F124" s="254"/>
      <c r="G124" s="254"/>
      <c r="H124" s="254"/>
      <c r="I124" s="254"/>
      <c r="J124" s="254"/>
      <c r="K124" s="254"/>
      <c r="L124" s="254"/>
      <c r="M124" s="254"/>
      <c r="N124" s="254"/>
      <c r="O124" s="248"/>
      <c r="Q124" s="5"/>
      <c r="R124" s="5"/>
    </row>
    <row r="125" spans="2:18">
      <c r="B125" s="41"/>
      <c r="C125" s="254"/>
      <c r="D125" s="254"/>
      <c r="E125" s="254"/>
      <c r="F125" s="254"/>
      <c r="G125" s="254"/>
      <c r="H125" s="254"/>
      <c r="I125" s="254"/>
      <c r="J125" s="254"/>
      <c r="K125" s="254"/>
      <c r="L125" s="254"/>
      <c r="M125" s="254"/>
      <c r="N125" s="254"/>
      <c r="O125" s="5"/>
      <c r="Q125" s="5"/>
      <c r="R125" s="5"/>
    </row>
    <row r="126" spans="2:18">
      <c r="B126" s="41"/>
      <c r="C126" s="254"/>
      <c r="D126" s="254"/>
      <c r="E126" s="254"/>
      <c r="F126" s="254"/>
      <c r="G126" s="254"/>
      <c r="H126" s="254"/>
      <c r="I126" s="254"/>
      <c r="J126" s="254"/>
      <c r="K126" s="254"/>
      <c r="L126" s="254"/>
      <c r="M126" s="254"/>
      <c r="N126" s="254"/>
      <c r="O126" s="5"/>
      <c r="Q126" s="5"/>
      <c r="R126" s="5"/>
    </row>
    <row r="127" spans="2:18">
      <c r="B127" s="41"/>
      <c r="C127" s="254"/>
      <c r="D127" s="254"/>
      <c r="E127" s="254"/>
      <c r="F127" s="254"/>
      <c r="G127" s="254"/>
      <c r="H127" s="254"/>
      <c r="I127" s="18"/>
      <c r="J127" s="254"/>
      <c r="K127" s="254"/>
      <c r="L127" s="254"/>
      <c r="M127" s="254"/>
      <c r="N127" s="254"/>
      <c r="O127" s="5"/>
      <c r="Q127" s="5"/>
      <c r="R127" s="5"/>
    </row>
    <row r="128" spans="2:18">
      <c r="B128" s="41"/>
      <c r="C128" s="254"/>
      <c r="D128" s="254"/>
      <c r="E128" s="254"/>
      <c r="F128" s="254"/>
      <c r="G128" s="254"/>
      <c r="H128" s="254"/>
      <c r="I128" s="5"/>
      <c r="J128" s="254"/>
      <c r="K128" s="254"/>
      <c r="L128" s="254"/>
      <c r="M128" s="254"/>
      <c r="N128" s="254"/>
      <c r="O128" s="5"/>
      <c r="Q128" s="5"/>
      <c r="R128" s="5"/>
    </row>
    <row r="129" spans="2:27">
      <c r="B129" s="5"/>
      <c r="C129" s="5"/>
      <c r="D129" s="18"/>
      <c r="E129" s="18"/>
      <c r="F129" s="18"/>
      <c r="G129" s="18"/>
      <c r="H129" s="18"/>
      <c r="I129" s="254"/>
      <c r="J129" s="18"/>
      <c r="K129" s="18"/>
      <c r="L129" s="18"/>
      <c r="M129" s="18"/>
      <c r="N129" s="18"/>
      <c r="O129" s="5"/>
      <c r="Q129" s="5"/>
      <c r="R129" s="5"/>
    </row>
    <row r="130" spans="2:27">
      <c r="B130" s="5"/>
      <c r="C130" s="5"/>
      <c r="D130" s="5"/>
      <c r="E130" s="5"/>
      <c r="F130" s="5"/>
      <c r="G130" s="5"/>
      <c r="H130" s="5"/>
      <c r="I130" s="18"/>
      <c r="J130" s="5"/>
      <c r="K130" s="5"/>
      <c r="L130" s="5"/>
      <c r="M130" s="5"/>
      <c r="N130" s="5"/>
      <c r="O130" s="5"/>
      <c r="Q130" s="5"/>
      <c r="R130" s="5"/>
    </row>
    <row r="131" spans="2:27">
      <c r="B131" s="41"/>
      <c r="C131" s="254"/>
      <c r="D131" s="254"/>
      <c r="E131" s="254"/>
      <c r="F131" s="254"/>
      <c r="G131" s="254"/>
      <c r="H131" s="254"/>
      <c r="I131" s="5"/>
      <c r="J131" s="254"/>
      <c r="K131" s="254"/>
      <c r="L131" s="254"/>
      <c r="M131" s="254"/>
      <c r="N131" s="254"/>
      <c r="O131" s="5"/>
      <c r="Q131" s="5"/>
      <c r="R131" s="5"/>
    </row>
    <row r="132" spans="2:27">
      <c r="B132" s="5"/>
      <c r="C132" s="259"/>
      <c r="D132" s="18"/>
      <c r="E132" s="18"/>
      <c r="F132" s="18"/>
      <c r="G132" s="18"/>
      <c r="H132" s="18"/>
      <c r="I132" s="5"/>
      <c r="J132" s="18"/>
      <c r="K132" s="18"/>
      <c r="L132" s="18"/>
      <c r="M132" s="18"/>
      <c r="N132" s="18"/>
      <c r="O132" s="5"/>
      <c r="Q132" s="5"/>
      <c r="R132" s="5"/>
    </row>
    <row r="133" spans="2:27">
      <c r="B133" s="5"/>
      <c r="C133" s="5"/>
      <c r="D133" s="5"/>
      <c r="E133" s="5"/>
      <c r="F133" s="5"/>
      <c r="G133" s="5"/>
      <c r="H133" s="5"/>
      <c r="I133" s="17"/>
      <c r="J133" s="5"/>
      <c r="K133" s="5"/>
      <c r="L133" s="5"/>
      <c r="M133" s="5"/>
      <c r="N133" s="5"/>
      <c r="O133" s="5"/>
      <c r="Q133" s="5"/>
      <c r="R133" s="5"/>
    </row>
    <row r="134" spans="2:27">
      <c r="B134" s="41"/>
      <c r="C134" s="5"/>
      <c r="D134" s="5"/>
      <c r="E134" s="5"/>
      <c r="F134" s="5"/>
      <c r="G134" s="5"/>
      <c r="H134" s="5"/>
      <c r="I134" s="17"/>
      <c r="J134" s="5"/>
      <c r="K134" s="5"/>
      <c r="L134" s="5"/>
      <c r="M134" s="5"/>
      <c r="N134" s="5"/>
      <c r="O134" s="5"/>
      <c r="Q134" s="5"/>
      <c r="R134" s="5"/>
    </row>
    <row r="135" spans="2:27">
      <c r="B135" s="5"/>
      <c r="C135" s="17"/>
      <c r="D135" s="17"/>
      <c r="E135" s="17"/>
      <c r="F135" s="17"/>
      <c r="G135" s="17"/>
      <c r="H135" s="17"/>
      <c r="I135" s="17"/>
      <c r="J135" s="17"/>
      <c r="K135" s="17"/>
      <c r="L135" s="17"/>
      <c r="M135" s="17"/>
      <c r="N135" s="17"/>
      <c r="O135" s="5"/>
      <c r="Q135" s="41"/>
      <c r="R135" s="5"/>
    </row>
    <row r="136" spans="2:27">
      <c r="B136" s="5"/>
      <c r="C136" s="17"/>
      <c r="D136" s="17"/>
      <c r="E136" s="17"/>
      <c r="F136" s="17"/>
      <c r="G136" s="17"/>
      <c r="H136" s="17"/>
      <c r="I136" s="17"/>
      <c r="J136" s="17"/>
      <c r="K136" s="17"/>
      <c r="L136" s="17"/>
      <c r="M136" s="17"/>
      <c r="N136" s="17"/>
      <c r="O136" s="5"/>
      <c r="Q136" s="5"/>
      <c r="R136" s="5"/>
      <c r="X136" s="304"/>
    </row>
    <row r="137" spans="2:27">
      <c r="B137" s="5"/>
      <c r="C137" s="5"/>
      <c r="D137" s="17"/>
      <c r="E137" s="17"/>
      <c r="F137" s="17"/>
      <c r="G137" s="17"/>
      <c r="H137" s="17"/>
      <c r="I137" s="17"/>
      <c r="J137" s="17"/>
      <c r="K137" s="17"/>
      <c r="L137" s="17"/>
      <c r="M137" s="17"/>
      <c r="N137" s="17"/>
      <c r="O137" s="5"/>
      <c r="Q137" s="5"/>
      <c r="R137" s="5"/>
      <c r="X137" s="10"/>
      <c r="Y137" s="304"/>
      <c r="Z137" s="304"/>
      <c r="AA137" s="304"/>
    </row>
    <row r="138" spans="2:27">
      <c r="B138" s="5"/>
      <c r="C138" s="5"/>
      <c r="D138" s="17"/>
      <c r="E138" s="17"/>
      <c r="F138" s="17"/>
      <c r="G138" s="17"/>
      <c r="H138" s="17"/>
      <c r="I138" s="17"/>
      <c r="J138" s="17"/>
      <c r="K138" s="17"/>
      <c r="L138" s="17"/>
      <c r="M138" s="17"/>
      <c r="N138" s="17"/>
      <c r="O138" s="5"/>
      <c r="Q138" s="5"/>
      <c r="R138" s="5"/>
      <c r="Y138" s="10"/>
      <c r="Z138" s="10"/>
      <c r="AA138" s="10"/>
    </row>
    <row r="139" spans="2:27">
      <c r="B139" s="5"/>
      <c r="C139" s="5"/>
      <c r="D139" s="17"/>
      <c r="E139" s="17"/>
      <c r="F139" s="17"/>
      <c r="G139" s="17"/>
      <c r="H139" s="17"/>
      <c r="I139" s="5"/>
      <c r="J139" s="17"/>
      <c r="K139" s="17"/>
      <c r="L139" s="17"/>
      <c r="M139" s="17"/>
      <c r="N139" s="17"/>
      <c r="O139" s="5"/>
      <c r="Q139" s="5"/>
      <c r="R139" s="5"/>
    </row>
    <row r="140" spans="2:27">
      <c r="B140" s="5"/>
      <c r="C140" s="17"/>
      <c r="D140" s="17"/>
      <c r="E140" s="17"/>
      <c r="F140" s="17"/>
      <c r="G140" s="17"/>
      <c r="H140" s="17"/>
      <c r="I140" s="5"/>
      <c r="J140" s="17"/>
      <c r="K140" s="17"/>
      <c r="L140" s="17"/>
      <c r="M140" s="17"/>
      <c r="N140" s="17"/>
      <c r="O140" s="5"/>
      <c r="Q140" s="5"/>
      <c r="R140" s="5"/>
    </row>
    <row r="141" spans="2:27">
      <c r="B141" s="5"/>
      <c r="C141" s="5"/>
      <c r="D141" s="5"/>
      <c r="E141" s="5"/>
      <c r="F141" s="5"/>
      <c r="G141" s="5"/>
      <c r="H141" s="5"/>
      <c r="I141" s="5"/>
      <c r="J141" s="5"/>
      <c r="K141" s="5"/>
      <c r="L141" s="5"/>
      <c r="M141" s="5"/>
      <c r="N141" s="5"/>
      <c r="O141" s="5"/>
      <c r="Q141" s="5"/>
      <c r="R141" s="5"/>
    </row>
    <row r="142" spans="2:27">
      <c r="B142" s="5"/>
      <c r="C142" s="5"/>
      <c r="D142" s="5"/>
      <c r="E142" s="5"/>
      <c r="F142" s="5"/>
      <c r="G142" s="5"/>
      <c r="H142" s="5"/>
      <c r="I142" s="5"/>
      <c r="J142" s="5"/>
      <c r="K142" s="5"/>
      <c r="L142" s="5"/>
      <c r="M142" s="5"/>
      <c r="N142" s="5"/>
      <c r="O142" s="5"/>
      <c r="Q142" s="5"/>
      <c r="R142" s="5"/>
    </row>
    <row r="143" spans="2:27">
      <c r="B143" s="5"/>
      <c r="C143" s="5"/>
      <c r="D143" s="5"/>
      <c r="E143" s="5"/>
      <c r="F143" s="5"/>
      <c r="G143" s="5"/>
      <c r="H143" s="5"/>
      <c r="I143" s="5"/>
      <c r="J143" s="5"/>
      <c r="K143" s="5"/>
      <c r="L143" s="5"/>
      <c r="M143" s="5"/>
      <c r="N143" s="5"/>
      <c r="O143" s="5"/>
      <c r="Q143" s="5"/>
      <c r="R143" s="5"/>
    </row>
    <row r="144" spans="2:27">
      <c r="B144" s="5"/>
      <c r="C144" s="5"/>
      <c r="D144" s="5"/>
      <c r="E144" s="5"/>
      <c r="F144" s="5"/>
      <c r="G144" s="5"/>
      <c r="H144" s="5"/>
      <c r="I144" s="5"/>
      <c r="J144" s="5"/>
      <c r="K144" s="5"/>
      <c r="L144" s="5"/>
      <c r="M144" s="5"/>
      <c r="N144" s="5"/>
      <c r="O144" s="5"/>
      <c r="Q144" s="5"/>
      <c r="R144" s="5"/>
    </row>
    <row r="145" spans="2:18">
      <c r="B145" s="5"/>
      <c r="C145" s="5"/>
      <c r="D145" s="5"/>
      <c r="E145" s="5"/>
      <c r="F145" s="5"/>
      <c r="G145" s="5"/>
      <c r="H145" s="5"/>
      <c r="I145" s="5"/>
      <c r="J145" s="5"/>
      <c r="K145" s="5"/>
      <c r="L145" s="5"/>
      <c r="M145" s="5"/>
      <c r="N145" s="5"/>
      <c r="O145" s="5"/>
      <c r="Q145" s="5"/>
      <c r="R145" s="5"/>
    </row>
    <row r="146" spans="2:18">
      <c r="B146" s="5"/>
      <c r="C146" s="5"/>
      <c r="D146" s="5"/>
      <c r="E146" s="5"/>
      <c r="F146" s="5"/>
      <c r="G146" s="5"/>
      <c r="H146" s="5"/>
      <c r="I146" s="5"/>
      <c r="J146" s="5"/>
      <c r="K146" s="5"/>
      <c r="L146" s="5"/>
      <c r="M146" s="5"/>
      <c r="N146" s="5"/>
      <c r="O146" s="5"/>
      <c r="Q146" s="5"/>
      <c r="R146" s="5"/>
    </row>
    <row r="147" spans="2:18">
      <c r="B147" s="5"/>
      <c r="C147" s="5"/>
      <c r="D147" s="5"/>
      <c r="E147" s="5"/>
      <c r="F147" s="5"/>
      <c r="G147" s="5"/>
      <c r="H147" s="5"/>
      <c r="I147" s="5"/>
      <c r="J147" s="5"/>
      <c r="K147" s="5"/>
      <c r="L147" s="5"/>
      <c r="M147" s="5"/>
      <c r="N147" s="5"/>
      <c r="O147" s="5"/>
      <c r="Q147" s="5"/>
      <c r="R147" s="5"/>
    </row>
    <row r="148" spans="2:18">
      <c r="B148" s="5"/>
      <c r="C148" s="5"/>
      <c r="D148" s="5"/>
      <c r="E148" s="5"/>
      <c r="F148" s="5"/>
      <c r="G148" s="5"/>
      <c r="H148" s="5"/>
      <c r="I148" s="5"/>
      <c r="J148" s="5"/>
      <c r="K148" s="5"/>
      <c r="L148" s="5"/>
      <c r="M148" s="5"/>
      <c r="N148" s="5"/>
      <c r="O148" s="5"/>
      <c r="Q148" s="5"/>
      <c r="R148" s="5"/>
    </row>
    <row r="149" spans="2:18">
      <c r="B149" s="5"/>
      <c r="C149" s="5"/>
      <c r="D149" s="5"/>
      <c r="E149" s="5"/>
      <c r="F149" s="5"/>
      <c r="G149" s="5"/>
      <c r="H149" s="5"/>
      <c r="J149" s="5"/>
      <c r="K149" s="5"/>
      <c r="L149" s="5"/>
      <c r="M149" s="5"/>
      <c r="N149" s="5"/>
      <c r="O149" s="5"/>
      <c r="Q149" s="5"/>
      <c r="R149" s="5"/>
    </row>
    <row r="150" spans="2:18">
      <c r="B150" s="5"/>
      <c r="C150" s="5"/>
      <c r="D150" s="5"/>
      <c r="E150" s="5"/>
      <c r="F150" s="5"/>
      <c r="G150" s="5"/>
      <c r="H150" s="5"/>
      <c r="J150" s="5"/>
      <c r="K150" s="5"/>
      <c r="L150" s="5"/>
      <c r="M150" s="5"/>
      <c r="N150" s="5"/>
      <c r="O150" s="5"/>
      <c r="Q150" s="5"/>
      <c r="R150" s="5"/>
    </row>
    <row r="151" spans="2:18">
      <c r="Q151" s="5"/>
      <c r="R151" s="5"/>
    </row>
    <row r="152" spans="2:18">
      <c r="Q152" s="5"/>
      <c r="R152" s="5"/>
    </row>
    <row r="153" spans="2:18">
      <c r="C153" s="263"/>
      <c r="Q153" s="5"/>
      <c r="R153" s="5"/>
    </row>
    <row r="154" spans="2:18">
      <c r="Q154" s="5"/>
      <c r="R154" s="5"/>
    </row>
    <row r="155" spans="2:18">
      <c r="Q155" s="5"/>
      <c r="R155" s="5"/>
    </row>
    <row r="156" spans="2:18">
      <c r="Q156" s="5"/>
      <c r="R156" s="5"/>
    </row>
    <row r="157" spans="2:18">
      <c r="Q157" s="5"/>
      <c r="R157" s="5"/>
    </row>
    <row r="158" spans="2:18">
      <c r="Q158" s="5"/>
      <c r="R158" s="5"/>
    </row>
    <row r="159" spans="2:18">
      <c r="Q159" s="5"/>
      <c r="R159" s="5"/>
    </row>
    <row r="160" spans="2:18">
      <c r="Q160" s="5"/>
      <c r="R160" s="5"/>
    </row>
    <row r="161" spans="17:18">
      <c r="Q161" s="5"/>
      <c r="R161" s="5"/>
    </row>
    <row r="162" spans="17:18">
      <c r="Q162" s="5"/>
      <c r="R162" s="5"/>
    </row>
    <row r="163" spans="17:18">
      <c r="Q163" s="5"/>
      <c r="R163" s="5"/>
    </row>
    <row r="164" spans="17:18">
      <c r="Q164" s="5"/>
      <c r="R164" s="5"/>
    </row>
    <row r="165" spans="17:18">
      <c r="Q165" s="5"/>
      <c r="R165" s="5"/>
    </row>
  </sheetData>
  <phoneticPr fontId="7" type="noConversion"/>
  <pageMargins left="0.75" right="0.75" top="1" bottom="1" header="0.5" footer="0.5"/>
  <pageSetup scale="71" orientation="landscape" r:id="rId1"/>
  <headerFooter alignWithMargins="0"/>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148">
    <pageSetUpPr fitToPage="1"/>
  </sheetPr>
  <dimension ref="B1:AR165"/>
  <sheetViews>
    <sheetView showGridLines="0" zoomScale="80" zoomScaleNormal="80" workbookViewId="0"/>
  </sheetViews>
  <sheetFormatPr defaultColWidth="9.109375" defaultRowHeight="12"/>
  <cols>
    <col min="1" max="1" width="2.33203125" style="39" customWidth="1"/>
    <col min="2" max="2" width="26.5546875" style="39" customWidth="1"/>
    <col min="3" max="9" width="10" style="39" customWidth="1"/>
    <col min="10" max="10" width="26.6640625" style="39" customWidth="1"/>
    <col min="11" max="16" width="10" style="39" customWidth="1"/>
    <col min="17" max="18" width="8.6640625" style="39" customWidth="1"/>
    <col min="19" max="28" width="8.6640625" style="5" customWidth="1"/>
    <col min="29" max="44" width="9.109375" style="5"/>
    <col min="45" max="16384" width="9.109375" style="39"/>
  </cols>
  <sheetData>
    <row r="1" spans="2:44" s="312" customFormat="1">
      <c r="S1" s="149"/>
      <c r="T1" s="149"/>
      <c r="U1" s="149"/>
      <c r="V1" s="149"/>
      <c r="W1" s="149"/>
      <c r="X1" s="149"/>
      <c r="Y1" s="149"/>
      <c r="Z1" s="149"/>
      <c r="AA1" s="149"/>
      <c r="AB1" s="149"/>
      <c r="AC1" s="149"/>
      <c r="AD1" s="149"/>
      <c r="AE1" s="149"/>
      <c r="AF1" s="149"/>
      <c r="AG1" s="149"/>
      <c r="AH1" s="149"/>
      <c r="AI1" s="149"/>
      <c r="AJ1" s="149"/>
      <c r="AK1" s="149"/>
      <c r="AL1" s="149"/>
      <c r="AM1" s="149"/>
      <c r="AN1" s="149"/>
      <c r="AO1" s="149"/>
      <c r="AP1" s="149"/>
      <c r="AQ1" s="149"/>
      <c r="AR1" s="149"/>
    </row>
    <row r="2" spans="2:44" s="149" customFormat="1"/>
    <row r="3" spans="2:44" s="149" customFormat="1">
      <c r="H3" s="153"/>
      <c r="P3" s="153"/>
    </row>
    <row r="4" spans="2:44" s="156" customFormat="1" ht="21">
      <c r="B4" s="129" t="s">
        <v>225</v>
      </c>
      <c r="H4" s="222"/>
      <c r="P4" s="222"/>
    </row>
    <row r="5" spans="2:44" s="149" customFormat="1">
      <c r="C5" s="153"/>
      <c r="D5" s="153" t="str" cm="1">
        <f t="array" ref="D5:H5">headings</f>
        <v>2023E</v>
      </c>
      <c r="E5" s="153" t="str">
        <v>2024E</v>
      </c>
      <c r="F5" s="153" t="str">
        <v>2025E</v>
      </c>
      <c r="G5" s="153" t="str">
        <v>2026E</v>
      </c>
      <c r="H5" s="153" t="str">
        <v>23E-26E</v>
      </c>
      <c r="I5" s="153"/>
      <c r="J5" s="153"/>
      <c r="K5" s="153"/>
      <c r="L5" s="153" t="str" cm="1">
        <f t="array" ref="L5:P5">headings</f>
        <v>2023E</v>
      </c>
      <c r="M5" s="153" t="str">
        <v>2024E</v>
      </c>
      <c r="N5" s="153" t="str">
        <v>2025E</v>
      </c>
      <c r="O5" s="153" t="str">
        <v>2026E</v>
      </c>
      <c r="P5" s="153" t="str">
        <v>23E-26E</v>
      </c>
      <c r="Q5" s="162"/>
      <c r="R5" s="162"/>
      <c r="S5" s="162"/>
      <c r="T5" s="162"/>
      <c r="U5" s="162"/>
      <c r="V5" s="162"/>
      <c r="W5" s="162"/>
      <c r="X5" s="162"/>
      <c r="Y5" s="162"/>
    </row>
    <row r="6" spans="2:44">
      <c r="I6" s="5"/>
      <c r="J6" s="5"/>
      <c r="K6" s="5"/>
      <c r="L6" s="5"/>
      <c r="M6" s="5"/>
      <c r="N6" s="5"/>
      <c r="O6" s="49"/>
    </row>
    <row r="7" spans="2:44" ht="12.6" thickBot="1">
      <c r="B7" s="306" t="s">
        <v>271</v>
      </c>
      <c r="C7" s="265"/>
      <c r="D7" s="265" t="str">
        <f>D5</f>
        <v>2023E</v>
      </c>
      <c r="E7" s="265" t="str">
        <f t="shared" ref="E7:H7" si="0">E5</f>
        <v>2024E</v>
      </c>
      <c r="F7" s="265" t="str">
        <f t="shared" si="0"/>
        <v>2025E</v>
      </c>
      <c r="G7" s="265" t="str">
        <f t="shared" si="0"/>
        <v>2026E</v>
      </c>
      <c r="H7" s="265" t="str">
        <f t="shared" si="0"/>
        <v>23E-26E</v>
      </c>
      <c r="I7" s="49"/>
      <c r="J7" s="306" t="s">
        <v>74</v>
      </c>
      <c r="K7" s="306"/>
      <c r="L7" s="265" t="str">
        <f>L5</f>
        <v>2023E</v>
      </c>
      <c r="M7" s="265" t="str">
        <f t="shared" ref="M7:P7" si="1">M5</f>
        <v>2024E</v>
      </c>
      <c r="N7" s="265" t="str">
        <f t="shared" si="1"/>
        <v>2025E</v>
      </c>
      <c r="O7" s="265" t="str">
        <f t="shared" si="1"/>
        <v>2026E</v>
      </c>
      <c r="P7" s="265" t="str">
        <f t="shared" si="1"/>
        <v>23E-26E</v>
      </c>
    </row>
    <row r="8" spans="2:44" ht="12.6" thickTop="1">
      <c r="B8" s="5"/>
      <c r="C8" s="5"/>
      <c r="D8" s="5"/>
      <c r="E8" s="5"/>
      <c r="F8" s="5"/>
      <c r="G8" s="5"/>
      <c r="H8" s="5"/>
      <c r="I8" s="5"/>
      <c r="J8" s="5"/>
      <c r="K8" s="5"/>
      <c r="L8" s="5"/>
      <c r="M8" s="5"/>
      <c r="N8" s="5"/>
      <c r="S8" s="42"/>
      <c r="T8" s="42"/>
      <c r="U8" s="42"/>
      <c r="V8" s="42"/>
      <c r="W8" s="42"/>
      <c r="X8" s="42"/>
      <c r="Y8" s="42"/>
      <c r="Z8" s="42"/>
      <c r="AA8" s="42"/>
    </row>
    <row r="9" spans="2:44">
      <c r="B9" s="41" t="s">
        <v>237</v>
      </c>
      <c r="C9" s="285">
        <f>Prices!C89</f>
        <v>9770</v>
      </c>
      <c r="D9" s="535">
        <v>0</v>
      </c>
      <c r="E9" s="536">
        <v>0</v>
      </c>
      <c r="F9" s="536">
        <v>0</v>
      </c>
      <c r="G9" s="536">
        <v>0</v>
      </c>
      <c r="H9" s="249"/>
      <c r="I9" s="249"/>
      <c r="J9" s="5" t="s">
        <v>273</v>
      </c>
      <c r="L9" s="529">
        <f>'AGG ASIA CELLULAR'!D37</f>
        <v>2.0832818906884643</v>
      </c>
      <c r="M9" s="529">
        <f>'AGG ASIA CELLULAR'!E37</f>
        <v>1.9180381131180324</v>
      </c>
      <c r="N9" s="529">
        <f>'AGG ASIA CELLULAR'!F37</f>
        <v>1.6973984727138696</v>
      </c>
      <c r="O9" s="529">
        <f>'AGG ASIA CELLULAR'!G37</f>
        <v>1.4849146547081604</v>
      </c>
      <c r="P9" s="286">
        <f>'AGG ASIA CELLULAR'!H37</f>
        <v>5.2823672985303771E-2</v>
      </c>
      <c r="S9" s="42"/>
      <c r="T9" s="42"/>
      <c r="U9" s="42"/>
      <c r="V9" s="42"/>
      <c r="W9" s="42"/>
      <c r="X9" s="42"/>
      <c r="Y9" s="42"/>
      <c r="Z9" s="42"/>
      <c r="AA9" s="42"/>
    </row>
    <row r="10" spans="2:44">
      <c r="B10" s="5" t="s">
        <v>274</v>
      </c>
      <c r="C10" s="5"/>
      <c r="D10" s="531">
        <v>436.59999999999997</v>
      </c>
      <c r="E10" s="531">
        <v>436.59999999999997</v>
      </c>
      <c r="F10" s="531">
        <v>436.59999999999997</v>
      </c>
      <c r="G10" s="531">
        <v>436.59999999999997</v>
      </c>
      <c r="H10" s="247"/>
      <c r="I10" s="247"/>
      <c r="J10" s="5" t="s">
        <v>184</v>
      </c>
      <c r="L10" s="529">
        <f>'AGG ASIA CELLULAR'!D38</f>
        <v>6.3578764048835863</v>
      </c>
      <c r="M10" s="529">
        <f>'AGG ASIA CELLULAR'!E38</f>
        <v>5.8349432944863064</v>
      </c>
      <c r="N10" s="529">
        <f>'AGG ASIA CELLULAR'!F38</f>
        <v>5.103853656504258</v>
      </c>
      <c r="O10" s="529">
        <f>'AGG ASIA CELLULAR'!G38</f>
        <v>4.4165179955724438</v>
      </c>
      <c r="P10" s="286">
        <f>'AGG ASIA CELLULAR'!H38</f>
        <v>6.1901299000113985E-2</v>
      </c>
      <c r="S10" s="42"/>
      <c r="T10" s="42"/>
      <c r="U10" s="42"/>
      <c r="V10" s="42"/>
      <c r="W10" s="288"/>
      <c r="X10" s="288"/>
      <c r="Y10" s="288"/>
      <c r="Z10" s="288"/>
      <c r="AA10" s="42"/>
    </row>
    <row r="11" spans="2:44">
      <c r="B11" s="41" t="s">
        <v>876</v>
      </c>
      <c r="C11" s="5"/>
      <c r="D11" s="532">
        <f>$C$9*D10/1000</f>
        <v>4265.5820000000003</v>
      </c>
      <c r="E11" s="532">
        <f>$C$9*E10/1000</f>
        <v>4265.5820000000003</v>
      </c>
      <c r="F11" s="532">
        <f>$C$9*F10/1000</f>
        <v>4265.5820000000003</v>
      </c>
      <c r="G11" s="532">
        <f>$C$9*G10/1000</f>
        <v>4265.5820000000003</v>
      </c>
      <c r="H11" s="249"/>
      <c r="I11" s="249"/>
      <c r="J11" s="5" t="s">
        <v>185</v>
      </c>
      <c r="L11" s="529">
        <f>'AGG ASIA CELLULAR'!D39</f>
        <v>12.256315794878686</v>
      </c>
      <c r="M11" s="529">
        <f>'AGG ASIA CELLULAR'!E39</f>
        <v>10.532349001792122</v>
      </c>
      <c r="N11" s="529">
        <f>'AGG ASIA CELLULAR'!F39</f>
        <v>8.8097379743624202</v>
      </c>
      <c r="O11" s="529">
        <f>'AGG ASIA CELLULAR'!G39</f>
        <v>7.3400525025099741</v>
      </c>
      <c r="P11" s="286">
        <f>'AGG ASIA CELLULAR'!H39</f>
        <v>0.11573327430771596</v>
      </c>
      <c r="S11" s="42"/>
      <c r="T11" s="42"/>
      <c r="U11" s="42"/>
      <c r="V11" s="42"/>
      <c r="W11" s="288"/>
      <c r="X11" s="288"/>
      <c r="Y11" s="288"/>
      <c r="Z11" s="288"/>
      <c r="AA11" s="42"/>
    </row>
    <row r="12" spans="2:44">
      <c r="B12" s="5" t="s">
        <v>24</v>
      </c>
      <c r="C12" s="249"/>
      <c r="D12" s="533">
        <v>5721.9000000000005</v>
      </c>
      <c r="E12" s="533">
        <v>5654.9623254746939</v>
      </c>
      <c r="F12" s="533">
        <v>5575.9592053744227</v>
      </c>
      <c r="G12" s="533">
        <v>5481.4746091799716</v>
      </c>
      <c r="H12" s="247"/>
      <c r="I12" s="247"/>
      <c r="J12" s="5" t="s">
        <v>466</v>
      </c>
      <c r="L12" s="529">
        <f>'AGG ASIA CELLULAR'!D40</f>
        <v>15.951300793811486</v>
      </c>
      <c r="M12" s="529">
        <f>'AGG ASIA CELLULAR'!E40</f>
        <v>13.847183646795452</v>
      </c>
      <c r="N12" s="529">
        <f>'AGG ASIA CELLULAR'!F40</f>
        <v>11.626709680654198</v>
      </c>
      <c r="O12" s="529">
        <f>'AGG ASIA CELLULAR'!G40</f>
        <v>9.7078389032116537</v>
      </c>
      <c r="P12" s="286">
        <f>'AGG ASIA CELLULAR'!H40</f>
        <v>0.10976572550111241</v>
      </c>
      <c r="S12" s="42"/>
      <c r="T12" s="42"/>
      <c r="U12" s="42"/>
      <c r="V12" s="42"/>
      <c r="W12" s="288"/>
      <c r="X12" s="288"/>
      <c r="Y12" s="288"/>
      <c r="Z12" s="288"/>
      <c r="AA12" s="42"/>
    </row>
    <row r="13" spans="2:44">
      <c r="B13" s="5" t="s">
        <v>529</v>
      </c>
      <c r="C13" s="257"/>
      <c r="D13" s="533">
        <v>2064.8704829280287</v>
      </c>
      <c r="E13" s="533">
        <v>2014.1591067887271</v>
      </c>
      <c r="F13" s="533">
        <v>1959.137263677585</v>
      </c>
      <c r="G13" s="533">
        <v>1899.4385639019956</v>
      </c>
      <c r="H13" s="247"/>
      <c r="I13" s="247"/>
      <c r="J13" s="5" t="s">
        <v>530</v>
      </c>
      <c r="L13" s="529">
        <f>'AGG ASIA CELLULAR'!D41</f>
        <v>1.4274445412547272</v>
      </c>
      <c r="M13" s="529">
        <f>'AGG ASIA CELLULAR'!E41</f>
        <v>1.4179696737537477</v>
      </c>
      <c r="N13" s="529">
        <f>'AGG ASIA CELLULAR'!F41</f>
        <v>1.3450707920768976</v>
      </c>
      <c r="O13" s="529">
        <f>'AGG ASIA CELLULAR'!G41</f>
        <v>1.2618986136137988</v>
      </c>
      <c r="P13" s="286">
        <f>'AGG ASIA CELLULAR'!H41</f>
        <v>-2.0092563683029918E-2</v>
      </c>
      <c r="S13" s="42"/>
      <c r="T13" s="42"/>
      <c r="U13" s="42"/>
      <c r="V13" s="42"/>
      <c r="W13" s="42"/>
      <c r="X13" s="42"/>
      <c r="Y13" s="42"/>
      <c r="Z13" s="42"/>
      <c r="AA13" s="42"/>
    </row>
    <row r="14" spans="2:44">
      <c r="B14" s="5" t="s">
        <v>532</v>
      </c>
      <c r="C14" s="257"/>
      <c r="D14" s="533">
        <v>0</v>
      </c>
      <c r="E14" s="533">
        <f t="shared" ref="E14:G15" si="2">D14</f>
        <v>0</v>
      </c>
      <c r="F14" s="533">
        <f t="shared" si="2"/>
        <v>0</v>
      </c>
      <c r="G14" s="533">
        <f t="shared" si="2"/>
        <v>0</v>
      </c>
      <c r="H14" s="247"/>
      <c r="I14" s="247"/>
      <c r="J14" s="5" t="s">
        <v>593</v>
      </c>
      <c r="L14" s="529">
        <f>'AGG ASIA CELLULAR'!D42</f>
        <v>2.9130695199933734</v>
      </c>
      <c r="M14" s="529">
        <f>'AGG ASIA CELLULAR'!E42</f>
        <v>2.8146219035099969</v>
      </c>
      <c r="N14" s="529">
        <f>'AGG ASIA CELLULAR'!F42</f>
        <v>2.5888583636405476</v>
      </c>
      <c r="O14" s="529">
        <f>'AGG ASIA CELLULAR'!G42</f>
        <v>2.3605815546209548</v>
      </c>
      <c r="P14" s="286">
        <f>'AGG ASIA CELLULAR'!H42</f>
        <v>8.7512202951403051E-3</v>
      </c>
      <c r="S14" s="42"/>
      <c r="T14" s="42"/>
      <c r="U14" s="42"/>
      <c r="V14" s="42"/>
      <c r="W14" s="42"/>
      <c r="X14" s="42"/>
      <c r="Y14" s="42"/>
      <c r="Z14" s="42"/>
      <c r="AA14" s="42"/>
    </row>
    <row r="15" spans="2:44">
      <c r="B15" s="5" t="s">
        <v>531</v>
      </c>
      <c r="C15" s="274"/>
      <c r="D15" s="533">
        <v>0</v>
      </c>
      <c r="E15" s="533">
        <f t="shared" si="2"/>
        <v>0</v>
      </c>
      <c r="F15" s="533">
        <f t="shared" si="2"/>
        <v>0</v>
      </c>
      <c r="G15" s="533">
        <f t="shared" si="2"/>
        <v>0</v>
      </c>
      <c r="H15" s="247"/>
      <c r="I15" s="247"/>
      <c r="J15" s="5" t="s">
        <v>475</v>
      </c>
      <c r="L15" s="529">
        <f>'AGG ASIA CELLULAR'!D43</f>
        <v>19.278364274513134</v>
      </c>
      <c r="M15" s="529">
        <f>'AGG ASIA CELLULAR'!E43</f>
        <v>15.523038202411636</v>
      </c>
      <c r="N15" s="529">
        <f>'AGG ASIA CELLULAR'!F43</f>
        <v>13.257386088679914</v>
      </c>
      <c r="O15" s="529">
        <f>'AGG ASIA CELLULAR'!G43</f>
        <v>11.466142328229227</v>
      </c>
      <c r="P15" s="286">
        <f>'AGG ASIA CELLULAR'!H43</f>
        <v>0.18831027118838706</v>
      </c>
      <c r="S15" s="42"/>
      <c r="T15" s="42"/>
      <c r="U15" s="42"/>
      <c r="V15" s="42"/>
      <c r="W15" s="42"/>
      <c r="X15" s="42"/>
      <c r="Y15" s="42"/>
      <c r="Z15" s="42"/>
      <c r="AA15" s="42"/>
    </row>
    <row r="16" spans="2:44">
      <c r="B16" s="5" t="s">
        <v>534</v>
      </c>
      <c r="C16" s="257"/>
      <c r="D16" s="533">
        <v>0</v>
      </c>
      <c r="E16" s="533">
        <v>0</v>
      </c>
      <c r="F16" s="533">
        <v>331.38726456100312</v>
      </c>
      <c r="G16" s="533">
        <v>704.57792109247043</v>
      </c>
      <c r="H16" s="247"/>
      <c r="I16" s="247"/>
      <c r="J16" s="5" t="s">
        <v>533</v>
      </c>
      <c r="L16" s="529">
        <f>'AGG ASIA CELLULAR'!D44</f>
        <v>20.50009040888548</v>
      </c>
      <c r="M16" s="529">
        <f>'AGG ASIA CELLULAR'!E44</f>
        <v>17.31807909095523</v>
      </c>
      <c r="N16" s="529">
        <f>'AGG ASIA CELLULAR'!F44</f>
        <v>14.883294016253318</v>
      </c>
      <c r="O16" s="529">
        <f>'AGG ASIA CELLULAR'!G44</f>
        <v>13.16548576425039</v>
      </c>
      <c r="P16" s="286">
        <f>'AGG ASIA CELLULAR'!H44</f>
        <v>0.15839482711139796</v>
      </c>
      <c r="S16" s="42"/>
      <c r="T16" s="42"/>
      <c r="U16" s="42"/>
      <c r="V16" s="42"/>
      <c r="W16" s="42"/>
      <c r="X16" s="42"/>
      <c r="Y16" s="42"/>
      <c r="Z16" s="42"/>
      <c r="AA16" s="42"/>
    </row>
    <row r="17" spans="2:27">
      <c r="B17" s="5" t="s">
        <v>6</v>
      </c>
      <c r="C17" s="257"/>
      <c r="D17" s="533">
        <v>0</v>
      </c>
      <c r="E17" s="533">
        <v>0</v>
      </c>
      <c r="F17" s="533">
        <v>0</v>
      </c>
      <c r="G17" s="533">
        <v>0</v>
      </c>
      <c r="H17" s="247"/>
      <c r="I17" s="247"/>
      <c r="J17" s="5" t="s">
        <v>580</v>
      </c>
      <c r="L17" s="248">
        <f>'AGG ASIA CELLULAR'!D45</f>
        <v>4.174038595528512E-2</v>
      </c>
      <c r="M17" s="248">
        <f>'AGG ASIA CELLULAR'!E45</f>
        <v>4.4792872771489058E-2</v>
      </c>
      <c r="N17" s="248">
        <f>'AGG ASIA CELLULAR'!F45</f>
        <v>5.1203391440393167E-2</v>
      </c>
      <c r="O17" s="248">
        <f>'AGG ASIA CELLULAR'!G45</f>
        <v>5.7913719466381006E-2</v>
      </c>
      <c r="P17" s="286">
        <f>'AGG ASIA CELLULAR'!H45</f>
        <v>0.11470165475568339</v>
      </c>
      <c r="S17" s="42"/>
      <c r="T17" s="42"/>
      <c r="U17" s="42"/>
      <c r="V17" s="42"/>
      <c r="W17" s="42"/>
      <c r="X17" s="42"/>
      <c r="Y17" s="42"/>
      <c r="Z17" s="42"/>
      <c r="AA17" s="42"/>
    </row>
    <row r="18" spans="2:27" ht="12.6" thickBot="1">
      <c r="B18" s="41" t="s">
        <v>583</v>
      </c>
      <c r="C18" s="249"/>
      <c r="D18" s="534">
        <f>D11+D12+D13-D14+D15-D16-D17</f>
        <v>12052.352482928029</v>
      </c>
      <c r="E18" s="534">
        <f>E11+E12+E13-E14+E15-E16-E17</f>
        <v>11934.703432263421</v>
      </c>
      <c r="F18" s="534">
        <f>F11+F12+F13-F14+F15-F16-F17</f>
        <v>11469.291204491004</v>
      </c>
      <c r="G18" s="534">
        <f>G11+G12+G13-G14+G15-G16-G17</f>
        <v>10941.917251989496</v>
      </c>
      <c r="H18" s="276">
        <f>IF(D18=0,"nm",IF(G18=0,"nm",(G18/D18)^(1/3)-1))</f>
        <v>-3.1706089747171595E-2</v>
      </c>
      <c r="I18" s="254"/>
      <c r="J18" s="5" t="s">
        <v>36</v>
      </c>
      <c r="L18" s="248" t="e">
        <f>'AGG ASIA CELLULAR'!D46</f>
        <v>#VALUE!</v>
      </c>
      <c r="M18" s="248" t="e">
        <f>'AGG ASIA CELLULAR'!E46</f>
        <v>#VALUE!</v>
      </c>
      <c r="N18" s="248" t="e">
        <f>'AGG ASIA CELLULAR'!F46</f>
        <v>#VALUE!</v>
      </c>
      <c r="O18" s="248" t="e">
        <f>'AGG ASIA CELLULAR'!G46</f>
        <v>#VALUE!</v>
      </c>
      <c r="P18" s="286" t="e">
        <f>'AGG ASIA CELLULAR'!H46</f>
        <v>#VALUE!</v>
      </c>
      <c r="S18" s="42"/>
      <c r="T18" s="42"/>
      <c r="U18" s="42"/>
      <c r="V18" s="42"/>
      <c r="W18" s="42"/>
      <c r="X18" s="42"/>
      <c r="Y18" s="42"/>
      <c r="Z18" s="42"/>
      <c r="AA18" s="42"/>
    </row>
    <row r="19" spans="2:27" ht="12.6" thickTop="1">
      <c r="B19" s="41"/>
      <c r="C19" s="249"/>
      <c r="D19" s="229"/>
      <c r="E19" s="229"/>
      <c r="F19" s="229"/>
      <c r="G19" s="229"/>
      <c r="H19" s="276"/>
      <c r="I19" s="254"/>
      <c r="J19" s="5" t="s">
        <v>581</v>
      </c>
      <c r="L19" s="248">
        <f>'AGG ASIA CELLULAR'!D47</f>
        <v>5.1871620732991598E-2</v>
      </c>
      <c r="M19" s="248">
        <f>'AGG ASIA CELLULAR'!E47</f>
        <v>6.4420378727447922E-2</v>
      </c>
      <c r="N19" s="248">
        <f>'AGG ASIA CELLULAR'!F47</f>
        <v>7.5429650559386677E-2</v>
      </c>
      <c r="O19" s="248">
        <f>'AGG ASIA CELLULAR'!G47</f>
        <v>8.7213290344219457E-2</v>
      </c>
      <c r="P19" s="286">
        <f>'AGG ASIA CELLULAR'!H47</f>
        <v>0.18831027118838706</v>
      </c>
      <c r="S19" s="42"/>
      <c r="T19" s="42"/>
      <c r="U19" s="42"/>
      <c r="V19" s="42"/>
      <c r="W19" s="42"/>
      <c r="X19" s="42"/>
      <c r="Y19" s="42"/>
      <c r="Z19" s="42"/>
      <c r="AA19" s="42"/>
    </row>
    <row r="20" spans="2:27">
      <c r="H20" s="277"/>
      <c r="I20" s="17"/>
      <c r="J20" s="5" t="s">
        <v>604</v>
      </c>
      <c r="L20" s="305">
        <f>'AGG ASIA CELLULAR'!D48</f>
        <v>0.92045377326476352</v>
      </c>
      <c r="M20" s="305">
        <f>'AGG ASIA CELLULAR'!E48</f>
        <v>0.79490390762892493</v>
      </c>
      <c r="N20" s="305">
        <f>'AGG ASIA CELLULAR'!F48</f>
        <v>0.7763724496707467</v>
      </c>
      <c r="O20" s="305">
        <f>'AGG ASIA CELLULAR'!G48</f>
        <v>0.75978089170129071</v>
      </c>
      <c r="P20" s="286" t="str">
        <f>'AGG ASIA CELLULAR'!H48</f>
        <v>nm</v>
      </c>
      <c r="S20" s="42"/>
      <c r="T20" s="42"/>
      <c r="U20" s="42"/>
      <c r="V20" s="42"/>
      <c r="W20" s="42"/>
      <c r="X20" s="42"/>
      <c r="Y20" s="42"/>
      <c r="Z20" s="42"/>
      <c r="AA20" s="42"/>
    </row>
    <row r="21" spans="2:27" ht="12.6" thickBot="1">
      <c r="B21" s="306" t="s">
        <v>943</v>
      </c>
      <c r="C21" s="265"/>
      <c r="D21" s="265" t="str">
        <f>D5</f>
        <v>2023E</v>
      </c>
      <c r="E21" s="265" t="str">
        <f t="shared" ref="E21:H21" si="3">E5</f>
        <v>2024E</v>
      </c>
      <c r="F21" s="265" t="str">
        <f t="shared" si="3"/>
        <v>2025E</v>
      </c>
      <c r="G21" s="265" t="str">
        <f t="shared" si="3"/>
        <v>2026E</v>
      </c>
      <c r="H21" s="265" t="str">
        <f t="shared" si="3"/>
        <v>23E-26E</v>
      </c>
      <c r="I21" s="49"/>
      <c r="J21" s="41"/>
      <c r="L21" s="250"/>
      <c r="M21" s="250"/>
      <c r="N21" s="250"/>
      <c r="O21" s="250"/>
      <c r="P21" s="286"/>
      <c r="S21" s="42"/>
      <c r="T21" s="42"/>
      <c r="U21" s="42"/>
      <c r="V21" s="42"/>
      <c r="W21" s="42"/>
      <c r="X21" s="42"/>
      <c r="Y21" s="42"/>
      <c r="Z21" s="42"/>
      <c r="AA21" s="42"/>
    </row>
    <row r="22" spans="2:27" ht="12.6" thickTop="1">
      <c r="B22" s="5"/>
      <c r="C22" s="257"/>
      <c r="D22" s="17"/>
      <c r="E22" s="17"/>
      <c r="F22" s="17"/>
      <c r="G22" s="17"/>
      <c r="H22" s="17"/>
      <c r="I22" s="17"/>
      <c r="P22" s="277"/>
      <c r="S22" s="42"/>
      <c r="T22" s="42"/>
      <c r="U22" s="42"/>
      <c r="V22" s="42"/>
      <c r="W22" s="42"/>
      <c r="X22" s="42"/>
      <c r="Y22" s="42"/>
      <c r="Z22" s="42"/>
      <c r="AA22" s="42"/>
    </row>
    <row r="23" spans="2:27" ht="12.6" thickBot="1">
      <c r="B23" s="5" t="s">
        <v>584</v>
      </c>
      <c r="C23" s="548">
        <v>13906</v>
      </c>
      <c r="D23" s="540">
        <v>14372.630000000001</v>
      </c>
      <c r="E23" s="540">
        <v>14835.615116992341</v>
      </c>
      <c r="F23" s="540">
        <v>15217.77811562247</v>
      </c>
      <c r="G23" s="540">
        <v>15607.885974811919</v>
      </c>
      <c r="H23" s="279">
        <f t="shared" ref="H23:H32" si="4">IF(D23=0,"nm",IF(G23=0,"nm",(G23/D23)^(1/3)-1))</f>
        <v>2.7864687478187822E-2</v>
      </c>
      <c r="I23" s="247"/>
      <c r="J23" s="306" t="s">
        <v>9</v>
      </c>
      <c r="K23" s="306"/>
      <c r="L23" s="265" t="str">
        <f>D21</f>
        <v>2023E</v>
      </c>
      <c r="M23" s="265" t="str">
        <f t="shared" ref="M23:P23" si="5">E21</f>
        <v>2024E</v>
      </c>
      <c r="N23" s="265" t="str">
        <f t="shared" si="5"/>
        <v>2025E</v>
      </c>
      <c r="O23" s="265" t="str">
        <f t="shared" si="5"/>
        <v>2026E</v>
      </c>
      <c r="P23" s="265" t="str">
        <f t="shared" si="5"/>
        <v>23E-26E</v>
      </c>
      <c r="S23" s="42"/>
      <c r="T23" s="42"/>
      <c r="U23" s="42"/>
      <c r="V23" s="42"/>
      <c r="W23" s="42"/>
      <c r="X23" s="42"/>
      <c r="Y23" s="42"/>
      <c r="Z23" s="42"/>
      <c r="AA23" s="42"/>
    </row>
    <row r="24" spans="2:27" ht="12.6" thickTop="1">
      <c r="B24" s="5" t="s">
        <v>483</v>
      </c>
      <c r="C24" s="549">
        <v>3532.4</v>
      </c>
      <c r="D24" s="540">
        <v>3569.3</v>
      </c>
      <c r="E24" s="540">
        <v>3756.9687970126251</v>
      </c>
      <c r="F24" s="540">
        <v>3903.3414392212262</v>
      </c>
      <c r="G24" s="540">
        <v>4036.3778881541489</v>
      </c>
      <c r="H24" s="279">
        <f t="shared" si="4"/>
        <v>4.1844544973138165E-2</v>
      </c>
      <c r="I24" s="249"/>
      <c r="J24" s="17"/>
      <c r="K24" s="17"/>
      <c r="L24" s="17"/>
      <c r="M24" s="17"/>
      <c r="N24" s="17"/>
      <c r="O24" s="248"/>
      <c r="S24" s="42"/>
      <c r="T24" s="42"/>
      <c r="U24" s="42"/>
      <c r="V24" s="42"/>
      <c r="W24" s="42" t="s">
        <v>196</v>
      </c>
      <c r="X24" s="42" t="s">
        <v>257</v>
      </c>
      <c r="Y24" s="42"/>
      <c r="Z24" s="42"/>
      <c r="AA24" s="42"/>
    </row>
    <row r="25" spans="2:27">
      <c r="B25" s="5" t="s">
        <v>183</v>
      </c>
      <c r="C25" s="548">
        <v>1112</v>
      </c>
      <c r="D25" s="540">
        <v>1055</v>
      </c>
      <c r="E25" s="540">
        <v>1462.3760683080277</v>
      </c>
      <c r="F25" s="540">
        <v>1586.4591942633633</v>
      </c>
      <c r="G25" s="540">
        <v>1697.4768434716925</v>
      </c>
      <c r="H25" s="279">
        <f t="shared" si="4"/>
        <v>0.17179183160426881</v>
      </c>
      <c r="I25" s="248"/>
      <c r="J25" s="247" t="s">
        <v>10</v>
      </c>
      <c r="K25" s="247"/>
      <c r="L25" s="321">
        <v>0</v>
      </c>
      <c r="M25" s="321">
        <v>0</v>
      </c>
      <c r="N25" s="321">
        <v>0</v>
      </c>
      <c r="O25" s="321">
        <v>0</v>
      </c>
      <c r="P25" s="279" t="str">
        <f>IF(L25=0,"nm",IF(O25=0,"nm",(O25/L25)^(1/3)-1))</f>
        <v>nm</v>
      </c>
      <c r="S25" s="42"/>
      <c r="T25" s="42"/>
      <c r="U25" s="42"/>
      <c r="V25" s="147" t="s">
        <v>273</v>
      </c>
      <c r="W25" s="288">
        <f>D37/L9</f>
        <v>0.40252007074969409</v>
      </c>
      <c r="X25" s="288">
        <v>1</v>
      </c>
      <c r="Y25" s="42"/>
      <c r="Z25" s="42"/>
      <c r="AA25" s="42"/>
    </row>
    <row r="26" spans="2:27">
      <c r="B26" s="5" t="s">
        <v>586</v>
      </c>
      <c r="C26" s="548">
        <v>859.9570494864613</v>
      </c>
      <c r="D26" s="540">
        <v>862.45528128364458</v>
      </c>
      <c r="E26" s="540">
        <v>1060.2226495233201</v>
      </c>
      <c r="F26" s="540">
        <v>1150.1829158409384</v>
      </c>
      <c r="G26" s="540">
        <v>1230.670711516977</v>
      </c>
      <c r="H26" s="279">
        <f t="shared" si="4"/>
        <v>0.12581861778862002</v>
      </c>
      <c r="I26" s="249"/>
      <c r="J26" s="249" t="s">
        <v>11</v>
      </c>
      <c r="K26" s="249"/>
      <c r="L26" s="281">
        <f>D11+L25</f>
        <v>4265.5820000000003</v>
      </c>
      <c r="M26" s="281">
        <f>E11+M25</f>
        <v>4265.5820000000003</v>
      </c>
      <c r="N26" s="281">
        <f>F11+N25</f>
        <v>4265.5820000000003</v>
      </c>
      <c r="O26" s="281">
        <f>G11+O25</f>
        <v>4265.5820000000003</v>
      </c>
      <c r="P26" s="279">
        <f>IF(L26=0,"nm",IF(O26=0,"nm",(O26/L26)^(1/3)-1))</f>
        <v>0</v>
      </c>
      <c r="Q26" s="5"/>
      <c r="S26" s="42"/>
      <c r="T26" s="42"/>
      <c r="U26" s="42"/>
      <c r="V26" s="147" t="s">
        <v>184</v>
      </c>
      <c r="W26" s="288">
        <f t="shared" ref="W26:W33" si="6">D38/L10</f>
        <v>0.53110047698570517</v>
      </c>
      <c r="X26" s="288">
        <v>1</v>
      </c>
      <c r="Y26" s="42"/>
      <c r="Z26" s="42"/>
      <c r="AA26" s="42"/>
    </row>
    <row r="27" spans="2:27">
      <c r="B27" s="5" t="s">
        <v>587</v>
      </c>
      <c r="C27" s="549">
        <v>13613.880000000001</v>
      </c>
      <c r="D27" s="540">
        <v>14478.690000000002</v>
      </c>
      <c r="E27" s="540">
        <v>14844.447753997614</v>
      </c>
      <c r="F27" s="540">
        <v>15310.65711129551</v>
      </c>
      <c r="G27" s="540">
        <v>15819.088535130129</v>
      </c>
      <c r="H27" s="279">
        <f t="shared" si="4"/>
        <v>2.9952973327890486E-2</v>
      </c>
      <c r="I27" s="249"/>
      <c r="J27" s="248"/>
      <c r="K27" s="248"/>
      <c r="L27" s="248"/>
      <c r="M27" s="248"/>
      <c r="N27" s="248"/>
      <c r="O27" s="248"/>
      <c r="Q27" s="41"/>
      <c r="S27" s="42"/>
      <c r="T27" s="42"/>
      <c r="U27" s="42"/>
      <c r="V27" s="147" t="s">
        <v>185</v>
      </c>
      <c r="W27" s="288">
        <f t="shared" si="6"/>
        <v>0.93209337787125091</v>
      </c>
      <c r="X27" s="288">
        <v>1</v>
      </c>
      <c r="Y27" s="42"/>
      <c r="Z27" s="42"/>
      <c r="AA27" s="42"/>
    </row>
    <row r="28" spans="2:27" ht="12.6" thickBot="1">
      <c r="B28" s="5" t="s">
        <v>592</v>
      </c>
      <c r="C28" s="548">
        <v>10574.11</v>
      </c>
      <c r="D28" s="540">
        <v>11066.31</v>
      </c>
      <c r="E28" s="540">
        <v>10370.794555834145</v>
      </c>
      <c r="F28" s="540">
        <v>10373.202367985872</v>
      </c>
      <c r="G28" s="540">
        <v>10409.581332436705</v>
      </c>
      <c r="H28" s="279">
        <f t="shared" si="4"/>
        <v>-2.0186369088822431E-2</v>
      </c>
      <c r="I28" s="248"/>
      <c r="J28" s="306" t="s">
        <v>1362</v>
      </c>
      <c r="K28" s="306"/>
      <c r="L28" s="306"/>
      <c r="M28" s="306"/>
      <c r="N28" s="266"/>
      <c r="O28" s="266"/>
      <c r="P28" s="266"/>
      <c r="Q28" s="5"/>
      <c r="S28" s="42"/>
      <c r="T28" s="42"/>
      <c r="U28" s="42"/>
      <c r="V28" s="147" t="s">
        <v>466</v>
      </c>
      <c r="W28" s="288">
        <f t="shared" si="6"/>
        <v>0.87607065624265212</v>
      </c>
      <c r="X28" s="288">
        <v>1</v>
      </c>
      <c r="Y28" s="42"/>
      <c r="Z28" s="42"/>
      <c r="AA28" s="42"/>
    </row>
    <row r="29" spans="2:27" ht="12.6" thickTop="1">
      <c r="B29" s="5" t="s">
        <v>588</v>
      </c>
      <c r="C29" s="548">
        <v>160.76844000000006</v>
      </c>
      <c r="D29" s="540">
        <v>94.776708799999767</v>
      </c>
      <c r="E29" s="540">
        <v>362.50363870829983</v>
      </c>
      <c r="F29" s="540">
        <v>426.91113195614457</v>
      </c>
      <c r="G29" s="540">
        <v>483.66630690391503</v>
      </c>
      <c r="H29" s="279">
        <f t="shared" si="4"/>
        <v>0.72166269958997487</v>
      </c>
      <c r="I29" s="252"/>
      <c r="J29" s="249"/>
      <c r="K29" s="249"/>
      <c r="L29" s="249"/>
      <c r="M29" s="249"/>
      <c r="N29" s="249"/>
      <c r="O29" s="251"/>
      <c r="Q29" s="5"/>
      <c r="S29" s="42"/>
      <c r="T29" s="42"/>
      <c r="U29" s="42"/>
      <c r="V29" s="147" t="s">
        <v>530</v>
      </c>
      <c r="W29" s="288">
        <f t="shared" si="6"/>
        <v>0.58315406966691952</v>
      </c>
      <c r="X29" s="288">
        <v>1</v>
      </c>
      <c r="Y29" s="42"/>
      <c r="Z29" s="42"/>
      <c r="AA29" s="42"/>
    </row>
    <row r="30" spans="2:27">
      <c r="B30" s="5" t="s">
        <v>589</v>
      </c>
      <c r="C30" s="549">
        <v>746.86152739691806</v>
      </c>
      <c r="D30" s="540">
        <v>735.66310059842499</v>
      </c>
      <c r="E30" s="540">
        <v>814.25545707907997</v>
      </c>
      <c r="F30" s="540">
        <v>927.61416207896002</v>
      </c>
      <c r="G30" s="540">
        <v>1029.5193491755206</v>
      </c>
      <c r="H30" s="279">
        <f t="shared" si="4"/>
        <v>0.11854084277242083</v>
      </c>
      <c r="I30" s="254"/>
      <c r="J30" s="248"/>
      <c r="K30" s="248"/>
      <c r="L30" s="248"/>
      <c r="M30" s="248"/>
      <c r="N30" s="248"/>
      <c r="O30" s="5"/>
      <c r="Q30" s="5"/>
      <c r="S30" s="42"/>
      <c r="T30" s="42"/>
      <c r="U30" s="42"/>
      <c r="V30" s="147" t="s">
        <v>593</v>
      </c>
      <c r="W30" s="288">
        <f t="shared" si="6"/>
        <v>0.37386786981301157</v>
      </c>
      <c r="X30" s="288">
        <v>1</v>
      </c>
      <c r="Y30" s="42"/>
      <c r="Z30" s="42"/>
      <c r="AA30" s="42"/>
    </row>
    <row r="31" spans="2:27">
      <c r="B31" s="5" t="s">
        <v>590</v>
      </c>
      <c r="C31" s="549">
        <v>283.79000000000002</v>
      </c>
      <c r="D31" s="540">
        <v>283.79000000000002</v>
      </c>
      <c r="E31" s="540">
        <v>284.43372175462412</v>
      </c>
      <c r="F31" s="540">
        <v>331.38726456100312</v>
      </c>
      <c r="G31" s="540">
        <v>373.19065653146737</v>
      </c>
      <c r="H31" s="279">
        <f t="shared" si="4"/>
        <v>9.5581166551993224E-2</v>
      </c>
      <c r="I31" s="254"/>
      <c r="J31" s="252"/>
      <c r="K31" s="252"/>
      <c r="L31" s="252"/>
      <c r="M31" s="252"/>
      <c r="N31" s="252"/>
      <c r="O31" s="5"/>
      <c r="Q31" s="5"/>
      <c r="S31" s="42"/>
      <c r="T31" s="42"/>
      <c r="U31" s="42"/>
      <c r="V31" s="147" t="s">
        <v>475</v>
      </c>
      <c r="W31" s="288">
        <f t="shared" si="6"/>
        <v>2.3345677910845155</v>
      </c>
      <c r="X31" s="288">
        <v>1</v>
      </c>
      <c r="Y31" s="42"/>
      <c r="Z31" s="42"/>
      <c r="AA31" s="42"/>
    </row>
    <row r="32" spans="2:27">
      <c r="B32" s="5" t="s">
        <v>606</v>
      </c>
      <c r="C32" s="550">
        <v>0</v>
      </c>
      <c r="D32" s="540">
        <v>0</v>
      </c>
      <c r="E32" s="540">
        <v>0</v>
      </c>
      <c r="F32" s="540">
        <v>0</v>
      </c>
      <c r="G32" s="540">
        <v>100</v>
      </c>
      <c r="H32" s="279" t="str">
        <f t="shared" si="4"/>
        <v>nm</v>
      </c>
      <c r="I32" s="254"/>
      <c r="J32" s="254"/>
      <c r="K32" s="254"/>
      <c r="L32" s="254"/>
      <c r="M32" s="254"/>
      <c r="N32" s="254"/>
      <c r="O32" s="251"/>
      <c r="Q32" s="5"/>
      <c r="S32" s="42"/>
      <c r="T32" s="42"/>
      <c r="U32" s="42"/>
      <c r="V32" s="147" t="s">
        <v>533</v>
      </c>
      <c r="W32" s="288">
        <f t="shared" si="6"/>
        <v>0.28284176942779082</v>
      </c>
      <c r="X32" s="288">
        <v>1</v>
      </c>
      <c r="Y32" s="42"/>
      <c r="Z32" s="42"/>
      <c r="AA32" s="42"/>
    </row>
    <row r="33" spans="2:27">
      <c r="B33" s="5" t="s">
        <v>5</v>
      </c>
      <c r="C33" s="549">
        <v>129.39999999999998</v>
      </c>
      <c r="D33" s="540">
        <v>185.1</v>
      </c>
      <c r="E33" s="540">
        <v>193.7214100325512</v>
      </c>
      <c r="F33" s="540">
        <v>201.74270225719809</v>
      </c>
      <c r="G33" s="540">
        <v>209.10022186859942</v>
      </c>
      <c r="H33" s="279">
        <f>IF(D33=0,"nm",IF(G33=0,"nm",(G33/D33)^(1/3)-1))</f>
        <v>4.1476220313843459E-2</v>
      </c>
      <c r="I33" s="5"/>
      <c r="J33" s="254"/>
      <c r="K33" s="254"/>
      <c r="L33" s="254"/>
      <c r="M33" s="254"/>
      <c r="N33" s="254"/>
      <c r="O33" s="251"/>
      <c r="Q33" s="5"/>
      <c r="S33" s="42"/>
      <c r="T33" s="42"/>
      <c r="U33" s="42"/>
      <c r="V33" s="147" t="s">
        <v>580</v>
      </c>
      <c r="W33" s="288">
        <f t="shared" si="6"/>
        <v>1.5939046309765179</v>
      </c>
      <c r="X33" s="288">
        <v>1</v>
      </c>
      <c r="Y33" s="42"/>
      <c r="Z33" s="42"/>
      <c r="AA33" s="42"/>
    </row>
    <row r="34" spans="2:27">
      <c r="D34" s="5"/>
      <c r="E34" s="5"/>
      <c r="F34" s="5"/>
      <c r="G34" s="5"/>
      <c r="I34" s="49"/>
      <c r="J34" s="254"/>
      <c r="K34" s="254"/>
      <c r="L34" s="254"/>
      <c r="M34" s="254"/>
      <c r="N34" s="254"/>
      <c r="O34" s="251"/>
      <c r="Q34" s="5"/>
      <c r="S34" s="42"/>
      <c r="T34" s="42"/>
      <c r="U34" s="42"/>
      <c r="V34" s="147" t="s">
        <v>581</v>
      </c>
      <c r="W34" s="288">
        <f>D47/L19</f>
        <v>0.42834481132606284</v>
      </c>
      <c r="X34" s="288">
        <v>1</v>
      </c>
      <c r="Y34" s="288"/>
      <c r="Z34" s="288"/>
      <c r="AA34" s="42"/>
    </row>
    <row r="35" spans="2:27" ht="12.6" thickBot="1">
      <c r="B35" s="306" t="s">
        <v>646</v>
      </c>
      <c r="C35" s="265"/>
      <c r="D35" s="265" t="str">
        <f>D5</f>
        <v>2023E</v>
      </c>
      <c r="E35" s="265" t="str">
        <f t="shared" ref="E35:H35" si="7">E5</f>
        <v>2024E</v>
      </c>
      <c r="F35" s="265" t="str">
        <f t="shared" si="7"/>
        <v>2025E</v>
      </c>
      <c r="G35" s="265" t="str">
        <f t="shared" si="7"/>
        <v>2026E</v>
      </c>
      <c r="H35" s="265" t="str">
        <f t="shared" si="7"/>
        <v>23E-26E</v>
      </c>
      <c r="I35" s="254"/>
      <c r="J35" s="5"/>
      <c r="K35" s="5"/>
      <c r="L35" s="5"/>
      <c r="M35" s="5"/>
      <c r="N35" s="5"/>
      <c r="O35" s="5"/>
      <c r="Q35" s="5"/>
      <c r="S35" s="42"/>
      <c r="T35" s="42"/>
      <c r="U35" s="42"/>
      <c r="V35" s="42"/>
      <c r="W35" s="42"/>
      <c r="X35" s="42"/>
      <c r="Y35" s="288"/>
      <c r="Z35" s="288"/>
      <c r="AA35" s="42"/>
    </row>
    <row r="36" spans="2:27" ht="12.6" thickTop="1">
      <c r="B36" s="41"/>
      <c r="C36" s="249"/>
      <c r="D36" s="254"/>
      <c r="E36" s="254"/>
      <c r="F36" s="254"/>
      <c r="G36" s="254"/>
      <c r="H36" s="254"/>
      <c r="I36" s="17"/>
      <c r="J36" s="49"/>
      <c r="K36" s="49"/>
      <c r="L36" s="49"/>
      <c r="M36" s="49"/>
      <c r="N36" s="49"/>
      <c r="O36" s="49"/>
      <c r="Q36" s="5"/>
      <c r="S36" s="42"/>
      <c r="T36" s="42"/>
      <c r="U36" s="42"/>
      <c r="V36" s="42"/>
      <c r="W36" s="42"/>
      <c r="X36" s="42"/>
      <c r="Y36" s="288"/>
      <c r="Z36" s="288"/>
      <c r="AA36" s="42"/>
    </row>
    <row r="37" spans="2:27">
      <c r="B37" s="5" t="s">
        <v>273</v>
      </c>
      <c r="C37" s="247"/>
      <c r="D37" s="529">
        <f>D$18/D23</f>
        <v>0.83856277403147705</v>
      </c>
      <c r="E37" s="529">
        <f t="shared" ref="E37:G41" si="8">E$18/E23</f>
        <v>0.80446299921826037</v>
      </c>
      <c r="F37" s="529">
        <f t="shared" si="8"/>
        <v>0.75367712141345433</v>
      </c>
      <c r="G37" s="529">
        <f t="shared" si="8"/>
        <v>0.70105056313504688</v>
      </c>
      <c r="H37" s="17">
        <f t="shared" ref="H37:H45" si="9">H23</f>
        <v>2.7864687478187822E-2</v>
      </c>
      <c r="I37" s="5"/>
      <c r="J37" s="259"/>
      <c r="K37" s="259"/>
      <c r="L37" s="259"/>
      <c r="M37" s="259"/>
      <c r="N37" s="259"/>
      <c r="O37" s="18"/>
      <c r="Q37" s="5"/>
      <c r="R37" s="5"/>
      <c r="S37" s="42"/>
      <c r="T37" s="42"/>
      <c r="U37" s="42"/>
      <c r="V37" s="42"/>
      <c r="W37" s="42"/>
      <c r="X37" s="42"/>
      <c r="Y37" s="42"/>
      <c r="Z37" s="42"/>
      <c r="AA37" s="42"/>
    </row>
    <row r="38" spans="2:27">
      <c r="B38" s="5" t="s">
        <v>184</v>
      </c>
      <c r="C38" s="247"/>
      <c r="D38" s="529">
        <f>D$18/D24</f>
        <v>3.3766711912498328</v>
      </c>
      <c r="E38" s="529">
        <f t="shared" si="8"/>
        <v>3.1766842039660714</v>
      </c>
      <c r="F38" s="529">
        <f t="shared" si="8"/>
        <v>2.9383264013868322</v>
      </c>
      <c r="G38" s="529">
        <f t="shared" si="8"/>
        <v>2.7108257837061132</v>
      </c>
      <c r="H38" s="17">
        <f t="shared" si="9"/>
        <v>4.1844544973138165E-2</v>
      </c>
      <c r="I38" s="259"/>
      <c r="J38" s="17"/>
      <c r="K38" s="17"/>
      <c r="L38" s="17"/>
      <c r="M38" s="17"/>
      <c r="N38" s="17"/>
      <c r="O38" s="5"/>
      <c r="Q38" s="5"/>
      <c r="R38" s="5"/>
      <c r="S38" s="42"/>
      <c r="T38" s="42"/>
      <c r="U38" s="42"/>
      <c r="V38" s="42"/>
      <c r="W38" s="42"/>
      <c r="X38" s="42"/>
      <c r="Y38" s="42"/>
      <c r="Z38" s="42"/>
      <c r="AA38" s="42"/>
    </row>
    <row r="39" spans="2:27">
      <c r="B39" s="5" t="s">
        <v>185</v>
      </c>
      <c r="C39" s="247"/>
      <c r="D39" s="529">
        <f>D$18/D25</f>
        <v>11.42403078950524</v>
      </c>
      <c r="E39" s="529">
        <f t="shared" si="8"/>
        <v>8.1611725539736835</v>
      </c>
      <c r="F39" s="529">
        <f t="shared" si="8"/>
        <v>7.2294902043266935</v>
      </c>
      <c r="G39" s="529">
        <f t="shared" si="8"/>
        <v>6.4459891126473359</v>
      </c>
      <c r="H39" s="17">
        <f t="shared" si="9"/>
        <v>0.17179183160426881</v>
      </c>
      <c r="I39" s="17"/>
      <c r="J39" s="5"/>
      <c r="K39" s="5"/>
      <c r="L39" s="5"/>
      <c r="M39" s="5"/>
      <c r="N39" s="5"/>
      <c r="O39" s="5"/>
      <c r="Q39" s="5"/>
      <c r="R39" s="5"/>
      <c r="S39" s="42"/>
      <c r="T39" s="42"/>
      <c r="U39" s="42"/>
      <c r="V39" s="42"/>
      <c r="W39" s="42"/>
      <c r="X39" s="42"/>
      <c r="Y39" s="42"/>
      <c r="Z39" s="42"/>
      <c r="AA39" s="42"/>
    </row>
    <row r="40" spans="2:27">
      <c r="B40" s="5" t="s">
        <v>466</v>
      </c>
      <c r="C40" s="247"/>
      <c r="D40" s="529">
        <f>D$18/D26</f>
        <v>13.974466554358367</v>
      </c>
      <c r="E40" s="529">
        <f t="shared" si="8"/>
        <v>11.256789729618873</v>
      </c>
      <c r="F40" s="529">
        <f t="shared" si="8"/>
        <v>9.971710626657508</v>
      </c>
      <c r="G40" s="529">
        <f t="shared" si="8"/>
        <v>8.8910194657204649</v>
      </c>
      <c r="H40" s="17">
        <f t="shared" si="9"/>
        <v>0.12581861778862002</v>
      </c>
      <c r="I40" s="5"/>
      <c r="J40" s="259"/>
      <c r="K40" s="259"/>
      <c r="L40" s="259"/>
      <c r="M40" s="259"/>
      <c r="N40" s="259"/>
      <c r="O40" s="18"/>
      <c r="Q40" s="5"/>
      <c r="R40" s="5"/>
      <c r="S40" s="42"/>
      <c r="T40" s="42"/>
      <c r="U40" s="42"/>
      <c r="V40" s="42"/>
      <c r="W40" s="288"/>
      <c r="X40" s="288"/>
      <c r="Y40" s="42"/>
      <c r="Z40" s="42"/>
      <c r="AA40" s="42"/>
    </row>
    <row r="41" spans="2:27">
      <c r="B41" s="5" t="s">
        <v>530</v>
      </c>
      <c r="C41" s="247"/>
      <c r="D41" s="529">
        <f>D$18/D27</f>
        <v>0.83242009345652312</v>
      </c>
      <c r="E41" s="529">
        <f t="shared" si="8"/>
        <v>0.80398433340502018</v>
      </c>
      <c r="F41" s="529">
        <f t="shared" si="8"/>
        <v>0.74910509203615305</v>
      </c>
      <c r="G41" s="529">
        <f t="shared" si="8"/>
        <v>0.69169075245329781</v>
      </c>
      <c r="H41" s="17">
        <f t="shared" si="9"/>
        <v>2.9952973327890486E-2</v>
      </c>
      <c r="I41" s="247"/>
      <c r="J41" s="17"/>
      <c r="K41" s="17"/>
      <c r="L41" s="17"/>
      <c r="M41" s="17"/>
      <c r="N41" s="17"/>
      <c r="O41" s="5"/>
      <c r="Q41" s="5"/>
      <c r="R41" s="5"/>
      <c r="S41" s="42"/>
      <c r="T41" s="42"/>
      <c r="U41" s="42"/>
      <c r="V41" s="42"/>
      <c r="W41" s="288"/>
      <c r="X41" s="288"/>
      <c r="Y41" s="288"/>
      <c r="Z41" s="288"/>
      <c r="AA41" s="42"/>
    </row>
    <row r="42" spans="2:27">
      <c r="B42" s="5" t="s">
        <v>593</v>
      </c>
      <c r="C42" s="247"/>
      <c r="D42" s="529">
        <f>D18/D28</f>
        <v>1.0891030960571346</v>
      </c>
      <c r="E42" s="529">
        <f>E18/E28</f>
        <v>1.1507993305632971</v>
      </c>
      <c r="F42" s="529">
        <f>F18/F28</f>
        <v>1.1056654249692379</v>
      </c>
      <c r="G42" s="529">
        <f>G18/G28</f>
        <v>1.0511390326423609</v>
      </c>
      <c r="H42" s="17">
        <f t="shared" si="9"/>
        <v>-2.0186369088822431E-2</v>
      </c>
      <c r="I42" s="248"/>
      <c r="J42" s="5"/>
      <c r="K42" s="5"/>
      <c r="L42" s="5"/>
      <c r="M42" s="5"/>
      <c r="N42" s="5"/>
      <c r="O42" s="5"/>
      <c r="Q42" s="5"/>
      <c r="R42" s="5"/>
      <c r="S42" s="42"/>
      <c r="T42" s="42"/>
      <c r="U42" s="42"/>
      <c r="V42" s="42"/>
      <c r="W42" s="288"/>
      <c r="X42" s="288"/>
      <c r="Y42" s="288"/>
      <c r="Z42" s="288"/>
      <c r="AA42" s="42"/>
    </row>
    <row r="43" spans="2:27">
      <c r="B43" s="5" t="s">
        <v>475</v>
      </c>
      <c r="C43" s="247"/>
      <c r="D43" s="529">
        <f>L26/D29</f>
        <v>45.006648300072762</v>
      </c>
      <c r="E43" s="529">
        <f>M26/E29</f>
        <v>11.767004643593213</v>
      </c>
      <c r="F43" s="529">
        <f>N26/F29</f>
        <v>9.991732894044544</v>
      </c>
      <c r="G43" s="529">
        <f>O26/G29</f>
        <v>8.8192663807929854</v>
      </c>
      <c r="H43" s="17">
        <f t="shared" si="9"/>
        <v>0.72166269958997487</v>
      </c>
      <c r="I43" s="247"/>
      <c r="J43" s="247"/>
      <c r="K43" s="247"/>
      <c r="L43" s="247"/>
      <c r="M43" s="247"/>
      <c r="N43" s="247"/>
      <c r="O43" s="18"/>
      <c r="Q43" s="5"/>
      <c r="R43" s="5"/>
      <c r="S43" s="42"/>
      <c r="T43" s="42"/>
      <c r="U43" s="42"/>
      <c r="V43" s="42"/>
      <c r="W43" s="288"/>
      <c r="X43" s="288"/>
      <c r="Y43" s="288"/>
      <c r="Z43" s="288"/>
      <c r="AA43" s="42"/>
    </row>
    <row r="44" spans="2:27">
      <c r="B44" s="5" t="s">
        <v>533</v>
      </c>
      <c r="C44" s="69"/>
      <c r="D44" s="529">
        <f>D11/D30</f>
        <v>5.7982818446788533</v>
      </c>
      <c r="E44" s="529">
        <f>E11/E30</f>
        <v>5.238628691911523</v>
      </c>
      <c r="F44" s="529">
        <f>F11/F30</f>
        <v>4.5984442394023164</v>
      </c>
      <c r="G44" s="529">
        <f>G11/G30</f>
        <v>4.1432752122784731</v>
      </c>
      <c r="H44" s="17">
        <f t="shared" si="9"/>
        <v>0.11854084277242083</v>
      </c>
      <c r="I44" s="247"/>
      <c r="J44" s="248"/>
      <c r="K44" s="248"/>
      <c r="L44" s="248"/>
      <c r="M44" s="248"/>
      <c r="N44" s="248"/>
      <c r="O44" s="248"/>
      <c r="Q44" s="5"/>
      <c r="R44" s="5"/>
      <c r="S44" s="42"/>
      <c r="T44" s="42"/>
      <c r="U44" s="42"/>
      <c r="V44" s="42"/>
      <c r="W44" s="325"/>
      <c r="X44" s="325"/>
      <c r="Y44" s="288"/>
      <c r="Z44" s="288"/>
      <c r="AA44" s="42"/>
    </row>
    <row r="45" spans="2:27">
      <c r="B45" s="5" t="s">
        <v>580</v>
      </c>
      <c r="C45" s="247"/>
      <c r="D45" s="248">
        <f>D31/D11</f>
        <v>6.6530194472876156E-2</v>
      </c>
      <c r="E45" s="248">
        <f>E31/E11</f>
        <v>6.6681105123433115E-2</v>
      </c>
      <c r="F45" s="248">
        <f>F31/F11</f>
        <v>7.7688640040445386E-2</v>
      </c>
      <c r="G45" s="248">
        <f>G31/G11</f>
        <v>8.748880141829822E-2</v>
      </c>
      <c r="H45" s="17">
        <f t="shared" si="9"/>
        <v>9.5581166551993224E-2</v>
      </c>
      <c r="I45" s="248"/>
      <c r="J45" s="247"/>
      <c r="K45" s="247"/>
      <c r="L45" s="247"/>
      <c r="M45" s="247"/>
      <c r="N45" s="247"/>
      <c r="O45" s="248"/>
      <c r="Q45" s="5"/>
      <c r="R45" s="5"/>
      <c r="S45" s="42"/>
      <c r="T45" s="42"/>
      <c r="U45" s="42"/>
      <c r="V45" s="42"/>
      <c r="W45" s="42"/>
      <c r="X45" s="42"/>
      <c r="Y45" s="325"/>
      <c r="Z45" s="325"/>
      <c r="AA45" s="42"/>
    </row>
    <row r="46" spans="2:27">
      <c r="B46" s="5" t="s">
        <v>605</v>
      </c>
      <c r="C46" s="247"/>
      <c r="D46" s="248">
        <f>(D31+D32)/D11</f>
        <v>6.6530194472876156E-2</v>
      </c>
      <c r="E46" s="248">
        <f>(E31+E32)/E11</f>
        <v>6.6681105123433115E-2</v>
      </c>
      <c r="F46" s="248">
        <f>(F31+F32)/F11</f>
        <v>7.7688640040445386E-2</v>
      </c>
      <c r="G46" s="248">
        <f>(G31+G32)/G11</f>
        <v>0.11093226118533586</v>
      </c>
      <c r="H46" s="279">
        <f>((G31+G32)/(D31+D32))^(1/3)-1</f>
        <v>0.18580430909759871</v>
      </c>
      <c r="I46" s="247"/>
      <c r="J46" s="247"/>
      <c r="K46" s="247"/>
      <c r="L46" s="247"/>
      <c r="M46" s="247"/>
      <c r="N46" s="247"/>
      <c r="O46" s="18"/>
      <c r="Q46" s="5"/>
      <c r="R46" s="5"/>
      <c r="S46" s="42"/>
      <c r="T46" s="42"/>
      <c r="U46" s="42"/>
      <c r="V46" s="42"/>
      <c r="W46" s="42"/>
      <c r="X46" s="42"/>
      <c r="Y46" s="42"/>
      <c r="Z46" s="42"/>
      <c r="AA46" s="326"/>
    </row>
    <row r="47" spans="2:27">
      <c r="B47" s="5" t="s">
        <v>581</v>
      </c>
      <c r="C47" s="5"/>
      <c r="D47" s="248">
        <f>1/D43</f>
        <v>2.2218939596050376E-2</v>
      </c>
      <c r="E47" s="248">
        <f>1/E43</f>
        <v>8.498339469462779E-2</v>
      </c>
      <c r="F47" s="248">
        <f>1/F43</f>
        <v>0.10008273946114375</v>
      </c>
      <c r="G47" s="248">
        <f>1/G43</f>
        <v>0.11338811606573616</v>
      </c>
      <c r="H47" s="17">
        <f>H29</f>
        <v>0.72166269958997487</v>
      </c>
      <c r="I47" s="17"/>
      <c r="J47" s="248"/>
      <c r="K47" s="248"/>
      <c r="L47" s="248"/>
      <c r="M47" s="248"/>
      <c r="N47" s="248"/>
      <c r="O47" s="248"/>
      <c r="Q47" s="5"/>
      <c r="R47" s="5"/>
      <c r="S47" s="42"/>
      <c r="T47" s="42"/>
      <c r="U47" s="42"/>
      <c r="V47" s="42"/>
      <c r="W47" s="42"/>
      <c r="X47" s="42"/>
      <c r="Y47" s="42"/>
      <c r="Z47" s="42"/>
      <c r="AA47" s="326"/>
    </row>
    <row r="48" spans="2:27">
      <c r="B48" s="5" t="s">
        <v>618</v>
      </c>
      <c r="C48" s="5"/>
      <c r="D48" s="305">
        <f>D31/D29</f>
        <v>2.9943010639761813</v>
      </c>
      <c r="E48" s="305">
        <f>E31/E29</f>
        <v>0.78463687362736467</v>
      </c>
      <c r="F48" s="305">
        <f>F31/F29</f>
        <v>0.77624414018570409</v>
      </c>
      <c r="G48" s="305">
        <f>G31/G29</f>
        <v>0.77158704504427111</v>
      </c>
      <c r="H48" s="279" t="s">
        <v>607</v>
      </c>
      <c r="I48" s="247"/>
      <c r="J48" s="247"/>
      <c r="K48" s="247"/>
      <c r="L48" s="247"/>
      <c r="M48" s="247"/>
      <c r="N48" s="247"/>
      <c r="O48" s="248"/>
      <c r="Q48" s="5"/>
      <c r="R48" s="5"/>
      <c r="S48" s="42"/>
      <c r="T48" s="42"/>
      <c r="U48" s="42"/>
      <c r="V48" s="42"/>
      <c r="W48" s="42"/>
      <c r="X48" s="42"/>
      <c r="Y48" s="42"/>
      <c r="Z48" s="42"/>
      <c r="AA48" s="326"/>
    </row>
    <row r="49" spans="2:27">
      <c r="B49" s="41"/>
      <c r="C49" s="17"/>
      <c r="D49" s="17"/>
      <c r="E49" s="17"/>
      <c r="F49" s="17"/>
      <c r="G49" s="17"/>
      <c r="H49" s="17"/>
      <c r="I49" s="254"/>
      <c r="J49" s="17"/>
      <c r="K49" s="17"/>
      <c r="L49" s="17"/>
      <c r="M49" s="17"/>
      <c r="N49" s="17"/>
      <c r="O49" s="248"/>
      <c r="Q49" s="5"/>
      <c r="R49" s="5"/>
      <c r="S49" s="42"/>
      <c r="T49" s="42"/>
      <c r="U49" s="42"/>
      <c r="V49" s="42"/>
      <c r="W49" s="42"/>
      <c r="X49" s="42"/>
      <c r="Y49" s="42"/>
      <c r="Z49" s="42"/>
      <c r="AA49" s="326"/>
    </row>
    <row r="50" spans="2:27">
      <c r="B50" s="5"/>
      <c r="C50" s="257"/>
      <c r="D50" s="257"/>
      <c r="E50" s="257"/>
      <c r="F50" s="5"/>
      <c r="G50" s="41"/>
      <c r="H50" s="249"/>
      <c r="I50" s="17"/>
      <c r="J50" s="249"/>
      <c r="K50" s="249"/>
      <c r="L50" s="249"/>
      <c r="M50" s="249"/>
      <c r="N50" s="249"/>
      <c r="O50" s="250"/>
      <c r="Q50" s="5"/>
      <c r="R50" s="5"/>
      <c r="S50" s="42"/>
      <c r="T50" s="42"/>
      <c r="U50" s="42"/>
      <c r="V50" s="42"/>
      <c r="W50" s="288"/>
      <c r="X50" s="288"/>
      <c r="Y50" s="42"/>
      <c r="Z50" s="42"/>
      <c r="AA50" s="326"/>
    </row>
    <row r="51" spans="2:27">
      <c r="B51" s="41"/>
      <c r="C51" s="249"/>
      <c r="D51" s="254"/>
      <c r="E51" s="254"/>
      <c r="F51" s="254"/>
      <c r="G51" s="254"/>
      <c r="H51" s="254"/>
      <c r="I51" s="259"/>
      <c r="J51" s="254"/>
      <c r="K51" s="254"/>
      <c r="L51" s="254"/>
      <c r="M51" s="254"/>
      <c r="N51" s="254"/>
      <c r="O51" s="251"/>
      <c r="Q51" s="5"/>
      <c r="R51" s="5"/>
      <c r="S51" s="42"/>
      <c r="T51" s="42"/>
      <c r="U51" s="42"/>
      <c r="V51" s="42"/>
      <c r="W51" s="288"/>
      <c r="X51" s="288"/>
      <c r="Y51" s="288"/>
      <c r="Z51" s="288"/>
      <c r="AA51" s="42"/>
    </row>
    <row r="52" spans="2:27">
      <c r="B52" s="5"/>
      <c r="C52" s="257"/>
      <c r="D52" s="17"/>
      <c r="E52" s="17"/>
      <c r="F52" s="17"/>
      <c r="G52" s="17"/>
      <c r="H52" s="17"/>
      <c r="I52" s="254"/>
      <c r="J52" s="17"/>
      <c r="K52" s="17"/>
      <c r="L52" s="17"/>
      <c r="M52" s="17"/>
      <c r="N52" s="17"/>
      <c r="O52" s="248"/>
      <c r="Q52" s="5"/>
      <c r="R52" s="5"/>
      <c r="Y52" s="10"/>
      <c r="Z52" s="10"/>
    </row>
    <row r="53" spans="2:27">
      <c r="B53" s="5"/>
      <c r="C53" s="257"/>
      <c r="D53" s="257"/>
      <c r="E53" s="257"/>
      <c r="F53" s="5"/>
      <c r="G53" s="5"/>
      <c r="H53" s="259"/>
      <c r="I53" s="17"/>
      <c r="J53" s="259"/>
      <c r="K53" s="259"/>
      <c r="L53" s="259"/>
      <c r="M53" s="259"/>
      <c r="N53" s="259"/>
      <c r="O53" s="18"/>
      <c r="Q53" s="5"/>
      <c r="R53" s="5"/>
    </row>
    <row r="54" spans="2:27">
      <c r="B54" s="41"/>
      <c r="C54" s="249"/>
      <c r="D54" s="254"/>
      <c r="E54" s="254"/>
      <c r="F54" s="254"/>
      <c r="G54" s="254"/>
      <c r="H54" s="254"/>
      <c r="I54" s="259"/>
      <c r="J54" s="254"/>
      <c r="K54" s="254"/>
      <c r="L54" s="254"/>
      <c r="M54" s="254"/>
      <c r="N54" s="254"/>
      <c r="O54" s="251"/>
      <c r="Q54" s="5"/>
      <c r="R54" s="5"/>
    </row>
    <row r="55" spans="2:27">
      <c r="B55" s="5"/>
      <c r="C55" s="257"/>
      <c r="D55" s="17"/>
      <c r="E55" s="17"/>
      <c r="F55" s="17"/>
      <c r="G55" s="17"/>
      <c r="H55" s="17"/>
      <c r="I55" s="249"/>
      <c r="J55" s="17"/>
      <c r="K55" s="17"/>
      <c r="L55" s="17"/>
      <c r="M55" s="17"/>
      <c r="N55" s="17"/>
      <c r="O55" s="18"/>
      <c r="Q55" s="5"/>
      <c r="R55" s="5"/>
    </row>
    <row r="56" spans="2:27">
      <c r="B56" s="5"/>
      <c r="C56" s="248"/>
      <c r="D56" s="248"/>
      <c r="E56" s="248"/>
      <c r="F56" s="5"/>
      <c r="G56" s="5"/>
      <c r="H56" s="259"/>
      <c r="I56" s="248"/>
      <c r="J56" s="259"/>
      <c r="K56" s="259"/>
      <c r="L56" s="259"/>
      <c r="M56" s="259"/>
      <c r="N56" s="259"/>
      <c r="O56" s="18"/>
      <c r="Q56" s="5"/>
      <c r="R56" s="5"/>
    </row>
    <row r="57" spans="2:27">
      <c r="B57" s="41"/>
      <c r="C57" s="249"/>
      <c r="D57" s="249"/>
      <c r="E57" s="249"/>
      <c r="F57" s="249"/>
      <c r="G57" s="249"/>
      <c r="H57" s="249"/>
      <c r="I57" s="5"/>
      <c r="J57" s="249"/>
      <c r="K57" s="249"/>
      <c r="L57" s="249"/>
      <c r="M57" s="249"/>
      <c r="N57" s="249"/>
      <c r="O57" s="251"/>
      <c r="Q57" s="5"/>
      <c r="R57" s="5"/>
    </row>
    <row r="58" spans="2:27">
      <c r="B58" s="5"/>
      <c r="C58" s="5"/>
      <c r="D58" s="248"/>
      <c r="E58" s="248"/>
      <c r="F58" s="248"/>
      <c r="G58" s="248"/>
      <c r="H58" s="248"/>
      <c r="I58" s="17"/>
      <c r="J58" s="248"/>
      <c r="K58" s="248"/>
      <c r="L58" s="248"/>
      <c r="M58" s="248"/>
      <c r="N58" s="248"/>
      <c r="O58" s="18"/>
      <c r="Q58" s="5"/>
      <c r="R58" s="5"/>
    </row>
    <row r="59" spans="2:27">
      <c r="B59" s="5"/>
      <c r="C59" s="5"/>
      <c r="D59" s="5"/>
      <c r="E59" s="5"/>
      <c r="F59" s="5"/>
      <c r="G59" s="5"/>
      <c r="H59" s="5"/>
      <c r="I59" s="5"/>
      <c r="J59" s="5"/>
      <c r="K59" s="5"/>
      <c r="L59" s="5"/>
      <c r="M59" s="5"/>
      <c r="N59" s="5"/>
      <c r="O59" s="5"/>
      <c r="Q59" s="5"/>
      <c r="R59" s="5"/>
    </row>
    <row r="60" spans="2:27">
      <c r="B60" s="41"/>
      <c r="C60" s="17"/>
      <c r="D60" s="17"/>
      <c r="E60" s="17"/>
      <c r="F60" s="17"/>
      <c r="G60" s="17"/>
      <c r="H60" s="17"/>
      <c r="I60" s="249"/>
      <c r="J60" s="17"/>
      <c r="K60" s="17"/>
      <c r="L60" s="17"/>
      <c r="M60" s="17"/>
      <c r="N60" s="17"/>
      <c r="O60" s="251"/>
      <c r="Q60" s="5"/>
      <c r="R60" s="5"/>
    </row>
    <row r="61" spans="2:27">
      <c r="B61" s="5"/>
      <c r="C61" s="5"/>
      <c r="D61" s="5"/>
      <c r="E61" s="5"/>
      <c r="F61" s="5"/>
      <c r="G61" s="5"/>
      <c r="H61" s="5"/>
      <c r="I61" s="5"/>
      <c r="J61" s="5"/>
      <c r="K61" s="5"/>
      <c r="L61" s="5"/>
      <c r="M61" s="5"/>
      <c r="N61" s="5"/>
      <c r="O61" s="5"/>
      <c r="Q61" s="41"/>
      <c r="R61" s="5"/>
    </row>
    <row r="62" spans="2:27">
      <c r="B62" s="41"/>
      <c r="C62" s="249"/>
      <c r="D62" s="249"/>
      <c r="E62" s="249"/>
      <c r="F62" s="249"/>
      <c r="G62" s="249"/>
      <c r="H62" s="249"/>
      <c r="I62" s="5"/>
      <c r="J62" s="249"/>
      <c r="K62" s="249"/>
      <c r="L62" s="249"/>
      <c r="M62" s="249"/>
      <c r="N62" s="249"/>
      <c r="O62" s="251"/>
      <c r="Q62" s="5"/>
      <c r="R62" s="5"/>
    </row>
    <row r="63" spans="2:27">
      <c r="B63" s="5"/>
      <c r="C63" s="5"/>
      <c r="D63" s="5"/>
      <c r="E63" s="5"/>
      <c r="F63" s="5"/>
      <c r="G63" s="5"/>
      <c r="H63" s="5"/>
      <c r="I63" s="254"/>
      <c r="J63" s="5"/>
      <c r="K63" s="5"/>
      <c r="L63" s="5"/>
      <c r="M63" s="5"/>
      <c r="N63" s="5"/>
      <c r="O63" s="5"/>
      <c r="Q63" s="5"/>
      <c r="R63" s="5"/>
    </row>
    <row r="64" spans="2:27">
      <c r="B64" s="5"/>
      <c r="C64" s="5"/>
      <c r="D64" s="5"/>
      <c r="E64" s="5"/>
      <c r="F64" s="5"/>
      <c r="G64" s="5"/>
      <c r="H64" s="5"/>
      <c r="I64" s="17"/>
      <c r="J64" s="5"/>
      <c r="K64" s="5"/>
      <c r="L64" s="5"/>
      <c r="M64" s="5"/>
      <c r="N64" s="5"/>
      <c r="O64" s="5"/>
      <c r="Q64" s="5"/>
      <c r="R64" s="5"/>
    </row>
    <row r="65" spans="2:26">
      <c r="B65" s="41"/>
      <c r="C65" s="249"/>
      <c r="D65" s="254"/>
      <c r="E65" s="254"/>
      <c r="F65" s="254"/>
      <c r="G65" s="254"/>
      <c r="H65" s="254"/>
      <c r="I65" s="254"/>
      <c r="J65" s="254"/>
      <c r="K65" s="254"/>
      <c r="L65" s="254"/>
      <c r="M65" s="254"/>
      <c r="N65" s="254"/>
      <c r="O65" s="251"/>
      <c r="Q65" s="5"/>
      <c r="R65" s="5"/>
    </row>
    <row r="66" spans="2:26">
      <c r="B66" s="5"/>
      <c r="C66" s="5"/>
      <c r="D66" s="17"/>
      <c r="E66" s="17"/>
      <c r="F66" s="17"/>
      <c r="G66" s="17"/>
      <c r="H66" s="17"/>
      <c r="I66" s="248"/>
      <c r="J66" s="17"/>
      <c r="K66" s="17"/>
      <c r="L66" s="17"/>
      <c r="M66" s="17"/>
      <c r="N66" s="17"/>
      <c r="O66" s="5"/>
      <c r="Q66" s="5"/>
      <c r="R66" s="5"/>
    </row>
    <row r="67" spans="2:26">
      <c r="B67" s="41"/>
      <c r="C67" s="249"/>
      <c r="D67" s="254"/>
      <c r="E67" s="254"/>
      <c r="F67" s="254"/>
      <c r="G67" s="254"/>
      <c r="H67" s="254"/>
      <c r="I67" s="5"/>
      <c r="J67" s="254"/>
      <c r="K67" s="254"/>
      <c r="L67" s="254"/>
      <c r="M67" s="254"/>
      <c r="N67" s="254"/>
      <c r="O67" s="251"/>
      <c r="Q67" s="41"/>
      <c r="R67" s="5"/>
    </row>
    <row r="68" spans="2:26">
      <c r="B68" s="5"/>
      <c r="C68" s="5"/>
      <c r="D68" s="248"/>
      <c r="E68" s="248"/>
      <c r="F68" s="248"/>
      <c r="G68" s="248"/>
      <c r="H68" s="248"/>
      <c r="I68" s="245"/>
      <c r="J68" s="248"/>
      <c r="K68" s="248"/>
      <c r="L68" s="248"/>
      <c r="M68" s="248"/>
      <c r="N68" s="248"/>
      <c r="O68" s="5"/>
      <c r="Q68" s="5"/>
      <c r="R68" s="5"/>
    </row>
    <row r="69" spans="2:26">
      <c r="B69" s="41"/>
      <c r="C69" s="5"/>
      <c r="D69" s="5"/>
      <c r="E69" s="5"/>
      <c r="F69" s="5"/>
      <c r="G69" s="5"/>
      <c r="H69" s="5"/>
      <c r="I69" s="248"/>
      <c r="J69" s="5"/>
      <c r="K69" s="5"/>
      <c r="L69" s="5"/>
      <c r="M69" s="5"/>
      <c r="N69" s="5"/>
      <c r="O69" s="5"/>
      <c r="Q69" s="5"/>
      <c r="R69" s="5"/>
    </row>
    <row r="70" spans="2:26">
      <c r="B70" s="41"/>
      <c r="C70" s="245"/>
      <c r="D70" s="245"/>
      <c r="E70" s="245"/>
      <c r="F70" s="245"/>
      <c r="G70" s="245"/>
      <c r="H70" s="245"/>
      <c r="I70" s="5"/>
      <c r="J70" s="245"/>
      <c r="K70" s="245"/>
      <c r="L70" s="245"/>
      <c r="M70" s="245"/>
      <c r="N70" s="245"/>
      <c r="O70" s="251"/>
      <c r="Q70" s="5"/>
      <c r="R70" s="5"/>
      <c r="W70" s="76"/>
      <c r="X70" s="76"/>
    </row>
    <row r="71" spans="2:26">
      <c r="B71" s="5"/>
      <c r="C71" s="5"/>
      <c r="D71" s="248"/>
      <c r="E71" s="248"/>
      <c r="F71" s="248"/>
      <c r="G71" s="248"/>
      <c r="H71" s="248"/>
      <c r="I71" s="245"/>
      <c r="J71" s="248"/>
      <c r="K71" s="248"/>
      <c r="L71" s="248"/>
      <c r="M71" s="248"/>
      <c r="N71" s="248"/>
      <c r="O71" s="5"/>
      <c r="Q71" s="5"/>
      <c r="R71" s="5"/>
      <c r="W71" s="76"/>
      <c r="X71" s="76"/>
      <c r="Y71" s="76"/>
      <c r="Z71" s="76"/>
    </row>
    <row r="72" spans="2:26">
      <c r="B72" s="41"/>
      <c r="C72" s="5"/>
      <c r="D72" s="5"/>
      <c r="E72" s="5"/>
      <c r="F72" s="5"/>
      <c r="G72" s="5"/>
      <c r="H72" s="5"/>
      <c r="I72" s="18"/>
      <c r="J72" s="5"/>
      <c r="K72" s="5"/>
      <c r="L72" s="5"/>
      <c r="M72" s="5"/>
      <c r="N72" s="5"/>
      <c r="O72" s="5"/>
      <c r="Q72" s="5"/>
      <c r="R72" s="5"/>
      <c r="Y72" s="76"/>
      <c r="Z72" s="76"/>
    </row>
    <row r="73" spans="2:26">
      <c r="B73" s="41"/>
      <c r="C73" s="245"/>
      <c r="D73" s="245"/>
      <c r="E73" s="245"/>
      <c r="F73" s="245"/>
      <c r="G73" s="245"/>
      <c r="H73" s="245"/>
      <c r="I73" s="5"/>
      <c r="J73" s="245"/>
      <c r="K73" s="245"/>
      <c r="L73" s="245"/>
      <c r="M73" s="245"/>
      <c r="N73" s="245"/>
      <c r="O73" s="251"/>
      <c r="Q73" s="5"/>
      <c r="R73" s="5"/>
    </row>
    <row r="74" spans="2:26">
      <c r="B74" s="5"/>
      <c r="C74" s="5"/>
      <c r="D74" s="18"/>
      <c r="E74" s="18"/>
      <c r="F74" s="18"/>
      <c r="G74" s="18"/>
      <c r="H74" s="18"/>
      <c r="I74" s="249"/>
      <c r="J74" s="18"/>
      <c r="K74" s="18"/>
      <c r="L74" s="18"/>
      <c r="M74" s="18"/>
      <c r="N74" s="18"/>
      <c r="O74" s="5"/>
      <c r="Q74" s="5"/>
      <c r="R74" s="5"/>
    </row>
    <row r="75" spans="2:26">
      <c r="B75" s="41"/>
      <c r="C75" s="5"/>
      <c r="D75" s="5"/>
      <c r="E75" s="5"/>
      <c r="F75" s="5"/>
      <c r="G75" s="5"/>
      <c r="H75" s="5"/>
      <c r="I75" s="248"/>
      <c r="J75" s="5"/>
      <c r="K75" s="5"/>
      <c r="L75" s="5"/>
      <c r="M75" s="5"/>
      <c r="N75" s="5"/>
      <c r="O75" s="5"/>
      <c r="Q75" s="5"/>
      <c r="R75" s="5"/>
    </row>
    <row r="76" spans="2:26">
      <c r="B76" s="41"/>
      <c r="C76" s="249"/>
      <c r="D76" s="249"/>
      <c r="E76" s="249"/>
      <c r="F76" s="249"/>
      <c r="G76" s="249"/>
      <c r="H76" s="249"/>
      <c r="I76" s="5"/>
      <c r="J76" s="249"/>
      <c r="K76" s="249"/>
      <c r="L76" s="249"/>
      <c r="M76" s="249"/>
      <c r="N76" s="249"/>
      <c r="O76" s="251"/>
      <c r="Q76" s="5"/>
      <c r="R76" s="5"/>
    </row>
    <row r="77" spans="2:26">
      <c r="B77" s="5"/>
      <c r="C77" s="5"/>
      <c r="D77" s="248"/>
      <c r="E77" s="248"/>
      <c r="F77" s="248"/>
      <c r="G77" s="248"/>
      <c r="H77" s="248"/>
      <c r="I77" s="245"/>
      <c r="J77" s="248"/>
      <c r="K77" s="248"/>
      <c r="L77" s="248"/>
      <c r="M77" s="248"/>
      <c r="N77" s="248"/>
      <c r="O77" s="5"/>
      <c r="Q77" s="5"/>
      <c r="R77" s="5"/>
    </row>
    <row r="78" spans="2:26">
      <c r="B78" s="41"/>
      <c r="C78" s="5"/>
      <c r="D78" s="5"/>
      <c r="E78" s="5"/>
      <c r="F78" s="5"/>
      <c r="G78" s="5"/>
      <c r="H78" s="5"/>
      <c r="I78" s="248"/>
      <c r="J78" s="5"/>
      <c r="K78" s="5"/>
      <c r="L78" s="5"/>
      <c r="M78" s="5"/>
      <c r="N78" s="5"/>
      <c r="O78" s="5"/>
      <c r="Q78" s="5"/>
      <c r="R78" s="5"/>
    </row>
    <row r="79" spans="2:26">
      <c r="B79" s="41"/>
      <c r="C79" s="245"/>
      <c r="D79" s="245"/>
      <c r="E79" s="245"/>
      <c r="F79" s="245"/>
      <c r="G79" s="245"/>
      <c r="H79" s="245"/>
      <c r="I79" s="5"/>
      <c r="J79" s="245"/>
      <c r="K79" s="245"/>
      <c r="L79" s="245"/>
      <c r="M79" s="245"/>
      <c r="N79" s="245"/>
      <c r="O79" s="251"/>
      <c r="Q79" s="5"/>
      <c r="R79" s="5"/>
    </row>
    <row r="80" spans="2:26">
      <c r="B80" s="5"/>
      <c r="C80" s="5"/>
      <c r="D80" s="248"/>
      <c r="E80" s="248"/>
      <c r="F80" s="248"/>
      <c r="G80" s="248"/>
      <c r="H80" s="248"/>
      <c r="I80" s="249"/>
      <c r="J80" s="248"/>
      <c r="K80" s="248"/>
      <c r="L80" s="248"/>
      <c r="M80" s="248"/>
      <c r="N80" s="248"/>
      <c r="O80" s="5"/>
      <c r="Q80" s="5"/>
      <c r="R80" s="5"/>
    </row>
    <row r="81" spans="2:26">
      <c r="B81" s="41"/>
      <c r="C81" s="5"/>
      <c r="D81" s="5"/>
      <c r="E81" s="5"/>
      <c r="F81" s="5"/>
      <c r="G81" s="5"/>
      <c r="H81" s="5"/>
      <c r="I81" s="248"/>
      <c r="J81" s="5"/>
      <c r="K81" s="5"/>
      <c r="L81" s="5"/>
      <c r="M81" s="5"/>
      <c r="N81" s="5"/>
      <c r="O81" s="5"/>
      <c r="Q81" s="5"/>
      <c r="R81" s="5"/>
    </row>
    <row r="82" spans="2:26">
      <c r="B82" s="41"/>
      <c r="C82" s="249"/>
      <c r="D82" s="249"/>
      <c r="E82" s="249"/>
      <c r="F82" s="249"/>
      <c r="G82" s="249"/>
      <c r="H82" s="249"/>
      <c r="I82" s="259"/>
      <c r="J82" s="249"/>
      <c r="K82" s="249"/>
      <c r="L82" s="249"/>
      <c r="M82" s="249"/>
      <c r="N82" s="249"/>
      <c r="O82" s="251"/>
      <c r="Q82" s="5"/>
      <c r="R82" s="5"/>
    </row>
    <row r="83" spans="2:26">
      <c r="B83" s="5"/>
      <c r="C83" s="5"/>
      <c r="D83" s="248"/>
      <c r="E83" s="248"/>
      <c r="F83" s="248"/>
      <c r="G83" s="248"/>
      <c r="H83" s="248"/>
      <c r="I83" s="5"/>
      <c r="J83" s="248"/>
      <c r="K83" s="248"/>
      <c r="L83" s="248"/>
      <c r="M83" s="248"/>
      <c r="N83" s="248"/>
      <c r="O83" s="5"/>
      <c r="Q83" s="5"/>
      <c r="R83" s="5"/>
    </row>
    <row r="84" spans="2:26">
      <c r="B84" s="5"/>
      <c r="C84" s="259"/>
      <c r="D84" s="259"/>
      <c r="E84" s="259"/>
      <c r="F84" s="259"/>
      <c r="G84" s="259"/>
      <c r="H84" s="259"/>
      <c r="I84" s="245"/>
      <c r="J84" s="259"/>
      <c r="K84" s="259"/>
      <c r="L84" s="259"/>
      <c r="M84" s="259"/>
      <c r="N84" s="259"/>
      <c r="O84" s="251"/>
      <c r="Q84" s="5"/>
      <c r="R84" s="5"/>
    </row>
    <row r="85" spans="2:26">
      <c r="B85" s="41"/>
      <c r="C85" s="5"/>
      <c r="D85" s="5"/>
      <c r="E85" s="5"/>
      <c r="F85" s="5"/>
      <c r="G85" s="5"/>
      <c r="H85" s="5"/>
      <c r="I85" s="248"/>
      <c r="J85" s="5"/>
      <c r="K85" s="5"/>
      <c r="L85" s="5"/>
      <c r="M85" s="5"/>
      <c r="N85" s="5"/>
      <c r="O85" s="5"/>
      <c r="Q85" s="5"/>
      <c r="R85" s="5"/>
    </row>
    <row r="86" spans="2:26">
      <c r="B86" s="41"/>
      <c r="C86" s="245"/>
      <c r="D86" s="245"/>
      <c r="E86" s="245"/>
      <c r="F86" s="245"/>
      <c r="G86" s="245"/>
      <c r="H86" s="245"/>
      <c r="I86" s="5"/>
      <c r="J86" s="245"/>
      <c r="K86" s="245"/>
      <c r="L86" s="245"/>
      <c r="M86" s="245"/>
      <c r="N86" s="245"/>
      <c r="O86" s="251"/>
      <c r="Q86" s="5"/>
      <c r="R86" s="5"/>
    </row>
    <row r="87" spans="2:26">
      <c r="B87" s="5"/>
      <c r="C87" s="5"/>
      <c r="D87" s="248"/>
      <c r="E87" s="248"/>
      <c r="F87" s="248"/>
      <c r="G87" s="248"/>
      <c r="H87" s="248"/>
      <c r="I87" s="5"/>
      <c r="J87" s="248"/>
      <c r="K87" s="248"/>
      <c r="L87" s="248"/>
      <c r="M87" s="248"/>
      <c r="N87" s="248"/>
      <c r="O87" s="5"/>
      <c r="Q87" s="5"/>
      <c r="R87" s="5"/>
    </row>
    <row r="88" spans="2:26">
      <c r="B88" s="41"/>
      <c r="C88" s="5"/>
      <c r="D88" s="5"/>
      <c r="E88" s="5"/>
      <c r="F88" s="5"/>
      <c r="G88" s="5"/>
      <c r="H88" s="5"/>
      <c r="I88" s="5"/>
      <c r="J88" s="5"/>
      <c r="K88" s="5"/>
      <c r="L88" s="5"/>
      <c r="M88" s="5"/>
      <c r="N88" s="5"/>
      <c r="O88" s="5"/>
      <c r="Q88" s="5"/>
      <c r="R88" s="5"/>
    </row>
    <row r="89" spans="2:26">
      <c r="B89" s="41"/>
      <c r="C89" s="5"/>
      <c r="D89" s="5"/>
      <c r="E89" s="5"/>
      <c r="F89" s="5"/>
      <c r="G89" s="5"/>
      <c r="H89" s="5"/>
      <c r="I89" s="5"/>
      <c r="J89" s="5"/>
      <c r="K89" s="5"/>
      <c r="L89" s="5"/>
      <c r="M89" s="5"/>
      <c r="N89" s="5"/>
      <c r="O89" s="5"/>
      <c r="Q89" s="5"/>
      <c r="R89" s="5"/>
    </row>
    <row r="90" spans="2:26">
      <c r="B90" s="41"/>
      <c r="C90" s="5"/>
      <c r="D90" s="5"/>
      <c r="E90" s="5"/>
      <c r="F90" s="5"/>
      <c r="G90" s="5"/>
      <c r="H90" s="5"/>
      <c r="I90" s="49"/>
      <c r="J90" s="5"/>
      <c r="K90" s="5"/>
      <c r="L90" s="5"/>
      <c r="M90" s="5"/>
      <c r="N90" s="5"/>
      <c r="O90" s="5"/>
      <c r="Q90" s="41"/>
      <c r="R90" s="5"/>
    </row>
    <row r="91" spans="2:26">
      <c r="B91" s="5"/>
      <c r="C91" s="5"/>
      <c r="D91" s="5"/>
      <c r="E91" s="5"/>
      <c r="F91" s="5"/>
      <c r="G91" s="5"/>
      <c r="H91" s="5"/>
      <c r="I91" s="5"/>
      <c r="J91" s="5"/>
      <c r="K91" s="5"/>
      <c r="L91" s="5"/>
      <c r="M91" s="5"/>
      <c r="N91" s="5"/>
      <c r="O91" s="5"/>
      <c r="Q91" s="5"/>
      <c r="R91" s="5"/>
    </row>
    <row r="92" spans="2:26">
      <c r="B92" s="41"/>
      <c r="C92" s="49"/>
      <c r="D92" s="49"/>
      <c r="E92" s="49"/>
      <c r="F92" s="49"/>
      <c r="G92" s="49"/>
      <c r="H92" s="49"/>
      <c r="I92" s="247"/>
      <c r="J92" s="49"/>
      <c r="K92" s="49"/>
      <c r="L92" s="49"/>
      <c r="M92" s="49"/>
      <c r="N92" s="49"/>
      <c r="O92" s="49"/>
      <c r="Q92" s="5"/>
      <c r="R92" s="5"/>
      <c r="W92" s="21"/>
      <c r="X92" s="21"/>
    </row>
    <row r="93" spans="2:26">
      <c r="B93" s="5"/>
      <c r="C93" s="5"/>
      <c r="D93" s="5"/>
      <c r="E93" s="5"/>
      <c r="F93" s="5"/>
      <c r="G93" s="5"/>
      <c r="H93" s="5"/>
      <c r="I93" s="247"/>
      <c r="J93" s="5"/>
      <c r="K93" s="5"/>
      <c r="L93" s="5"/>
      <c r="M93" s="5"/>
      <c r="N93" s="5"/>
      <c r="O93" s="5"/>
      <c r="Q93" s="5"/>
      <c r="R93" s="5"/>
      <c r="W93" s="21"/>
      <c r="X93" s="21"/>
      <c r="Y93" s="21"/>
      <c r="Z93" s="21"/>
    </row>
    <row r="94" spans="2:26">
      <c r="B94" s="5"/>
      <c r="C94" s="259"/>
      <c r="D94" s="247"/>
      <c r="E94" s="247"/>
      <c r="F94" s="247"/>
      <c r="G94" s="247"/>
      <c r="H94" s="247"/>
      <c r="I94" s="247"/>
      <c r="J94" s="247"/>
      <c r="K94" s="247"/>
      <c r="L94" s="247"/>
      <c r="M94" s="247"/>
      <c r="N94" s="247"/>
      <c r="O94" s="248"/>
      <c r="Q94" s="5"/>
      <c r="R94" s="5"/>
      <c r="Y94" s="21"/>
      <c r="Z94" s="21"/>
    </row>
    <row r="95" spans="2:26">
      <c r="B95" s="5"/>
      <c r="C95" s="259"/>
      <c r="D95" s="247"/>
      <c r="E95" s="247"/>
      <c r="F95" s="247"/>
      <c r="G95" s="247"/>
      <c r="H95" s="247"/>
      <c r="I95" s="248"/>
      <c r="J95" s="247"/>
      <c r="K95" s="247"/>
      <c r="L95" s="247"/>
      <c r="M95" s="247"/>
      <c r="N95" s="247"/>
      <c r="O95" s="248"/>
      <c r="Q95" s="5"/>
      <c r="R95" s="5"/>
    </row>
    <row r="96" spans="2:26">
      <c r="B96" s="5"/>
      <c r="C96" s="259"/>
      <c r="D96" s="247"/>
      <c r="E96" s="247"/>
      <c r="F96" s="247"/>
      <c r="G96" s="247"/>
      <c r="H96" s="247"/>
      <c r="I96" s="247"/>
      <c r="J96" s="247"/>
      <c r="K96" s="247"/>
      <c r="L96" s="247"/>
      <c r="M96" s="247"/>
      <c r="N96" s="247"/>
      <c r="O96" s="248"/>
      <c r="Q96" s="5"/>
      <c r="R96" s="5"/>
    </row>
    <row r="97" spans="2:18">
      <c r="B97" s="5"/>
      <c r="C97" s="259"/>
      <c r="D97" s="248"/>
      <c r="E97" s="248"/>
      <c r="F97" s="248"/>
      <c r="G97" s="248"/>
      <c r="H97" s="248"/>
      <c r="I97" s="249"/>
      <c r="J97" s="248"/>
      <c r="K97" s="248"/>
      <c r="L97" s="248"/>
      <c r="M97" s="248"/>
      <c r="N97" s="248"/>
      <c r="O97" s="248"/>
      <c r="Q97" s="5"/>
      <c r="R97" s="5"/>
    </row>
    <row r="98" spans="2:18">
      <c r="B98" s="5"/>
      <c r="C98" s="259"/>
      <c r="D98" s="247"/>
      <c r="E98" s="247"/>
      <c r="F98" s="247"/>
      <c r="G98" s="247"/>
      <c r="H98" s="247"/>
      <c r="I98" s="248"/>
      <c r="J98" s="247"/>
      <c r="K98" s="247"/>
      <c r="L98" s="247"/>
      <c r="M98" s="247"/>
      <c r="N98" s="247"/>
      <c r="O98" s="248"/>
      <c r="Q98" s="5"/>
      <c r="R98" s="5"/>
    </row>
    <row r="99" spans="2:18">
      <c r="B99" s="41"/>
      <c r="C99" s="249"/>
      <c r="D99" s="249"/>
      <c r="E99" s="249"/>
      <c r="F99" s="249"/>
      <c r="G99" s="249"/>
      <c r="H99" s="249"/>
      <c r="I99" s="5"/>
      <c r="J99" s="249"/>
      <c r="K99" s="249"/>
      <c r="L99" s="249"/>
      <c r="M99" s="249"/>
      <c r="N99" s="249"/>
      <c r="O99" s="248"/>
      <c r="Q99" s="5"/>
      <c r="R99" s="5"/>
    </row>
    <row r="100" spans="2:18">
      <c r="B100" s="41"/>
      <c r="C100" s="257"/>
      <c r="D100" s="248"/>
      <c r="E100" s="248"/>
      <c r="F100" s="248"/>
      <c r="G100" s="248"/>
      <c r="H100" s="248"/>
      <c r="I100" s="259"/>
      <c r="J100" s="248"/>
      <c r="K100" s="248"/>
      <c r="L100" s="248"/>
      <c r="M100" s="248"/>
      <c r="N100" s="248"/>
      <c r="O100" s="248"/>
      <c r="Q100" s="5"/>
      <c r="R100" s="5"/>
    </row>
    <row r="101" spans="2:18" s="5" customFormat="1">
      <c r="B101" s="41"/>
      <c r="I101" s="259"/>
      <c r="O101" s="248"/>
      <c r="P101" s="39"/>
    </row>
    <row r="102" spans="2:18">
      <c r="B102" s="5"/>
      <c r="C102" s="259"/>
      <c r="D102" s="259"/>
      <c r="E102" s="259"/>
      <c r="F102" s="259"/>
      <c r="G102" s="259"/>
      <c r="H102" s="259"/>
      <c r="I102" s="247"/>
      <c r="J102" s="259"/>
      <c r="K102" s="259"/>
      <c r="L102" s="259"/>
      <c r="M102" s="259"/>
      <c r="N102" s="259"/>
      <c r="O102" s="5"/>
      <c r="Q102" s="5"/>
      <c r="R102" s="5"/>
    </row>
    <row r="103" spans="2:18">
      <c r="B103" s="5"/>
      <c r="C103" s="259"/>
      <c r="D103" s="259"/>
      <c r="E103" s="259"/>
      <c r="F103" s="259"/>
      <c r="G103" s="259"/>
      <c r="H103" s="259"/>
      <c r="I103" s="5"/>
      <c r="J103" s="259"/>
      <c r="K103" s="259"/>
      <c r="L103" s="259"/>
      <c r="M103" s="259"/>
      <c r="N103" s="259"/>
      <c r="O103" s="5"/>
      <c r="P103" s="5"/>
      <c r="Q103" s="5"/>
      <c r="R103" s="5"/>
    </row>
    <row r="104" spans="2:18">
      <c r="B104" s="5"/>
      <c r="C104" s="247"/>
      <c r="D104" s="247"/>
      <c r="E104" s="247"/>
      <c r="F104" s="247"/>
      <c r="G104" s="247"/>
      <c r="H104" s="247"/>
      <c r="I104" s="247"/>
      <c r="J104" s="247"/>
      <c r="K104" s="247"/>
      <c r="L104" s="247"/>
      <c r="M104" s="247"/>
      <c r="N104" s="247"/>
      <c r="O104" s="5"/>
      <c r="Q104" s="5"/>
      <c r="R104" s="5"/>
    </row>
    <row r="105" spans="2:18" s="5" customFormat="1">
      <c r="P105" s="39"/>
    </row>
    <row r="106" spans="2:18" s="5" customFormat="1">
      <c r="C106" s="259"/>
      <c r="D106" s="247"/>
      <c r="E106" s="247"/>
      <c r="F106" s="247"/>
      <c r="G106" s="247"/>
      <c r="H106" s="247"/>
      <c r="I106" s="259"/>
      <c r="J106" s="247"/>
      <c r="K106" s="247"/>
      <c r="L106" s="247"/>
      <c r="M106" s="247"/>
      <c r="N106" s="247"/>
      <c r="P106" s="39"/>
    </row>
    <row r="107" spans="2:18">
      <c r="B107" s="5"/>
      <c r="C107" s="259"/>
      <c r="D107" s="5"/>
      <c r="E107" s="5"/>
      <c r="F107" s="5"/>
      <c r="G107" s="5"/>
      <c r="H107" s="5"/>
      <c r="I107" s="247"/>
      <c r="J107" s="5"/>
      <c r="K107" s="5"/>
      <c r="L107" s="5"/>
      <c r="M107" s="5"/>
      <c r="N107" s="5"/>
      <c r="O107" s="5"/>
      <c r="P107" s="5"/>
      <c r="Q107" s="5"/>
      <c r="R107" s="5"/>
    </row>
    <row r="108" spans="2:18">
      <c r="B108" s="5"/>
      <c r="C108" s="259"/>
      <c r="D108" s="259"/>
      <c r="E108" s="259"/>
      <c r="F108" s="259"/>
      <c r="G108" s="259"/>
      <c r="H108" s="259"/>
      <c r="I108" s="249"/>
      <c r="J108" s="259"/>
      <c r="K108" s="259"/>
      <c r="L108" s="259"/>
      <c r="M108" s="259"/>
      <c r="N108" s="259"/>
      <c r="O108" s="5"/>
      <c r="P108" s="5"/>
      <c r="Q108" s="5"/>
      <c r="R108" s="5"/>
    </row>
    <row r="109" spans="2:18">
      <c r="B109" s="5"/>
      <c r="C109" s="247"/>
      <c r="D109" s="247"/>
      <c r="E109" s="247"/>
      <c r="F109" s="247"/>
      <c r="G109" s="247"/>
      <c r="H109" s="247"/>
      <c r="I109" s="249"/>
      <c r="J109" s="247"/>
      <c r="K109" s="247"/>
      <c r="L109" s="247"/>
      <c r="M109" s="247"/>
      <c r="N109" s="247"/>
      <c r="O109" s="5"/>
      <c r="Q109" s="5"/>
      <c r="R109" s="5"/>
    </row>
    <row r="110" spans="2:18">
      <c r="B110" s="41"/>
      <c r="C110" s="249"/>
      <c r="D110" s="249"/>
      <c r="E110" s="249"/>
      <c r="F110" s="249"/>
      <c r="G110" s="249"/>
      <c r="H110" s="249"/>
      <c r="I110" s="247"/>
      <c r="J110" s="249"/>
      <c r="K110" s="249"/>
      <c r="L110" s="249"/>
      <c r="M110" s="249"/>
      <c r="N110" s="249"/>
      <c r="O110" s="5"/>
      <c r="Q110" s="5"/>
      <c r="R110" s="5"/>
    </row>
    <row r="111" spans="2:18">
      <c r="B111" s="5"/>
      <c r="C111" s="249"/>
      <c r="D111" s="249"/>
      <c r="E111" s="249"/>
      <c r="F111" s="249"/>
      <c r="G111" s="249"/>
      <c r="H111" s="249"/>
      <c r="I111" s="5"/>
      <c r="J111" s="249"/>
      <c r="K111" s="249"/>
      <c r="L111" s="249"/>
      <c r="M111" s="249"/>
      <c r="N111" s="249"/>
      <c r="O111" s="5"/>
      <c r="Q111" s="5"/>
      <c r="R111" s="5"/>
    </row>
    <row r="112" spans="2:18">
      <c r="B112" s="5"/>
      <c r="C112" s="247"/>
      <c r="D112" s="247"/>
      <c r="E112" s="247"/>
      <c r="F112" s="247"/>
      <c r="G112" s="247"/>
      <c r="H112" s="247"/>
      <c r="I112" s="5"/>
      <c r="J112" s="247"/>
      <c r="K112" s="247"/>
      <c r="L112" s="247"/>
      <c r="M112" s="247"/>
      <c r="N112" s="247"/>
      <c r="O112" s="5"/>
      <c r="Q112" s="5"/>
      <c r="R112" s="5"/>
    </row>
    <row r="113" spans="2:18">
      <c r="B113" s="5"/>
      <c r="C113" s="5"/>
      <c r="D113" s="5"/>
      <c r="E113" s="5"/>
      <c r="F113" s="5"/>
      <c r="G113" s="5"/>
      <c r="H113" s="5"/>
      <c r="I113" s="5"/>
      <c r="J113" s="5"/>
      <c r="K113" s="5"/>
      <c r="L113" s="5"/>
      <c r="M113" s="5"/>
      <c r="N113" s="5"/>
      <c r="O113" s="5"/>
      <c r="Q113" s="5"/>
      <c r="R113" s="5"/>
    </row>
    <row r="114" spans="2:18">
      <c r="B114" s="5"/>
      <c r="C114" s="5"/>
      <c r="D114" s="5"/>
      <c r="E114" s="5"/>
      <c r="F114" s="5"/>
      <c r="G114" s="5"/>
      <c r="H114" s="5"/>
      <c r="I114" s="5"/>
      <c r="J114" s="5"/>
      <c r="K114" s="5"/>
      <c r="L114" s="5"/>
      <c r="M114" s="5"/>
      <c r="N114" s="5"/>
      <c r="O114" s="5"/>
      <c r="Q114" s="5"/>
      <c r="R114" s="5"/>
    </row>
    <row r="115" spans="2:18">
      <c r="B115" s="5"/>
      <c r="C115" s="5"/>
      <c r="D115" s="5"/>
      <c r="E115" s="5"/>
      <c r="F115" s="5"/>
      <c r="G115" s="5"/>
      <c r="H115" s="5"/>
      <c r="I115" s="49"/>
      <c r="J115" s="5"/>
      <c r="K115" s="5"/>
      <c r="L115" s="5"/>
      <c r="M115" s="5"/>
      <c r="N115" s="5"/>
      <c r="O115" s="5"/>
      <c r="Q115" s="41"/>
      <c r="R115" s="5"/>
    </row>
    <row r="116" spans="2:18">
      <c r="B116" s="5"/>
      <c r="C116" s="5"/>
      <c r="D116" s="5"/>
      <c r="E116" s="5"/>
      <c r="F116" s="5"/>
      <c r="G116" s="5"/>
      <c r="H116" s="5"/>
      <c r="I116" s="5"/>
      <c r="J116" s="5"/>
      <c r="K116" s="5"/>
      <c r="L116" s="5"/>
      <c r="M116" s="5"/>
      <c r="N116" s="5"/>
      <c r="O116" s="5"/>
      <c r="Q116" s="5"/>
      <c r="R116" s="5"/>
    </row>
    <row r="117" spans="2:18">
      <c r="B117" s="41"/>
      <c r="C117" s="49"/>
      <c r="D117" s="49"/>
      <c r="E117" s="49"/>
      <c r="F117" s="49"/>
      <c r="G117" s="49"/>
      <c r="H117" s="49"/>
      <c r="I117" s="254"/>
      <c r="J117" s="49"/>
      <c r="K117" s="49"/>
      <c r="L117" s="49"/>
      <c r="M117" s="49"/>
      <c r="N117" s="49"/>
      <c r="O117" s="49"/>
      <c r="Q117" s="5"/>
      <c r="R117" s="5"/>
    </row>
    <row r="118" spans="2:18">
      <c r="B118" s="5"/>
      <c r="C118" s="5"/>
      <c r="D118" s="5"/>
      <c r="E118" s="5"/>
      <c r="F118" s="5"/>
      <c r="G118" s="5"/>
      <c r="H118" s="5"/>
      <c r="I118" s="249"/>
      <c r="J118" s="5"/>
      <c r="K118" s="5"/>
      <c r="L118" s="5"/>
      <c r="M118" s="5"/>
      <c r="N118" s="5"/>
      <c r="O118" s="5"/>
      <c r="Q118" s="5"/>
      <c r="R118" s="5"/>
    </row>
    <row r="119" spans="2:18">
      <c r="B119" s="41"/>
      <c r="C119" s="254"/>
      <c r="D119" s="254"/>
      <c r="E119" s="254"/>
      <c r="F119" s="254"/>
      <c r="G119" s="254"/>
      <c r="H119" s="254"/>
      <c r="I119" s="254"/>
      <c r="J119" s="254"/>
      <c r="K119" s="254"/>
      <c r="L119" s="254"/>
      <c r="M119" s="254"/>
      <c r="N119" s="254"/>
      <c r="O119" s="248"/>
      <c r="Q119" s="5"/>
      <c r="R119" s="5"/>
    </row>
    <row r="120" spans="2:18">
      <c r="B120" s="41"/>
      <c r="C120" s="254"/>
      <c r="D120" s="249"/>
      <c r="E120" s="249"/>
      <c r="F120" s="249"/>
      <c r="G120" s="249"/>
      <c r="H120" s="249"/>
      <c r="I120" s="254"/>
      <c r="J120" s="249"/>
      <c r="K120" s="249"/>
      <c r="L120" s="249"/>
      <c r="M120" s="249"/>
      <c r="N120" s="249"/>
      <c r="O120" s="248"/>
      <c r="Q120" s="5"/>
      <c r="R120" s="5"/>
    </row>
    <row r="121" spans="2:18">
      <c r="B121" s="41"/>
      <c r="C121" s="254"/>
      <c r="D121" s="254"/>
      <c r="E121" s="254"/>
      <c r="F121" s="254"/>
      <c r="G121" s="254"/>
      <c r="H121" s="254"/>
      <c r="I121" s="254"/>
      <c r="J121" s="254"/>
      <c r="K121" s="254"/>
      <c r="L121" s="254"/>
      <c r="M121" s="254"/>
      <c r="N121" s="254"/>
      <c r="O121" s="248"/>
      <c r="Q121" s="5"/>
      <c r="R121" s="5"/>
    </row>
    <row r="122" spans="2:18">
      <c r="B122" s="41"/>
      <c r="C122" s="254"/>
      <c r="D122" s="254"/>
      <c r="E122" s="254"/>
      <c r="F122" s="254"/>
      <c r="G122" s="254"/>
      <c r="H122" s="254"/>
      <c r="I122" s="254"/>
      <c r="J122" s="254"/>
      <c r="K122" s="254"/>
      <c r="L122" s="254"/>
      <c r="M122" s="254"/>
      <c r="N122" s="254"/>
      <c r="O122" s="248"/>
      <c r="Q122" s="5"/>
      <c r="R122" s="5"/>
    </row>
    <row r="123" spans="2:18">
      <c r="B123" s="41"/>
      <c r="C123" s="254"/>
      <c r="D123" s="254"/>
      <c r="E123" s="254"/>
      <c r="F123" s="254"/>
      <c r="G123" s="254"/>
      <c r="H123" s="254"/>
      <c r="I123" s="254"/>
      <c r="J123" s="254"/>
      <c r="K123" s="254"/>
      <c r="L123" s="254"/>
      <c r="M123" s="254"/>
      <c r="N123" s="254"/>
      <c r="O123" s="248"/>
      <c r="Q123" s="5"/>
      <c r="R123" s="5"/>
    </row>
    <row r="124" spans="2:18">
      <c r="B124" s="41"/>
      <c r="C124" s="254"/>
      <c r="D124" s="254"/>
      <c r="E124" s="254"/>
      <c r="F124" s="254"/>
      <c r="G124" s="254"/>
      <c r="H124" s="254"/>
      <c r="I124" s="254"/>
      <c r="J124" s="254"/>
      <c r="K124" s="254"/>
      <c r="L124" s="254"/>
      <c r="M124" s="254"/>
      <c r="N124" s="254"/>
      <c r="O124" s="248"/>
      <c r="Q124" s="5"/>
      <c r="R124" s="5"/>
    </row>
    <row r="125" spans="2:18">
      <c r="B125" s="41"/>
      <c r="C125" s="254"/>
      <c r="D125" s="254"/>
      <c r="E125" s="254"/>
      <c r="F125" s="254"/>
      <c r="G125" s="254"/>
      <c r="H125" s="254"/>
      <c r="I125" s="254"/>
      <c r="J125" s="254"/>
      <c r="K125" s="254"/>
      <c r="L125" s="254"/>
      <c r="M125" s="254"/>
      <c r="N125" s="254"/>
      <c r="O125" s="5"/>
      <c r="Q125" s="5"/>
      <c r="R125" s="5"/>
    </row>
    <row r="126" spans="2:18">
      <c r="B126" s="41"/>
      <c r="C126" s="254"/>
      <c r="D126" s="254"/>
      <c r="E126" s="254"/>
      <c r="F126" s="254"/>
      <c r="G126" s="254"/>
      <c r="H126" s="254"/>
      <c r="I126" s="254"/>
      <c r="J126" s="254"/>
      <c r="K126" s="254"/>
      <c r="L126" s="254"/>
      <c r="M126" s="254"/>
      <c r="N126" s="254"/>
      <c r="O126" s="5"/>
      <c r="Q126" s="5"/>
      <c r="R126" s="5"/>
    </row>
    <row r="127" spans="2:18">
      <c r="B127" s="41"/>
      <c r="C127" s="254"/>
      <c r="D127" s="254"/>
      <c r="E127" s="254"/>
      <c r="F127" s="254"/>
      <c r="G127" s="254"/>
      <c r="H127" s="254"/>
      <c r="I127" s="18"/>
      <c r="J127" s="254"/>
      <c r="K127" s="254"/>
      <c r="L127" s="254"/>
      <c r="M127" s="254"/>
      <c r="N127" s="254"/>
      <c r="O127" s="5"/>
      <c r="Q127" s="5"/>
      <c r="R127" s="5"/>
    </row>
    <row r="128" spans="2:18">
      <c r="B128" s="41"/>
      <c r="C128" s="254"/>
      <c r="D128" s="254"/>
      <c r="E128" s="254"/>
      <c r="F128" s="254"/>
      <c r="G128" s="254"/>
      <c r="H128" s="254"/>
      <c r="I128" s="5"/>
      <c r="J128" s="254"/>
      <c r="K128" s="254"/>
      <c r="L128" s="254"/>
      <c r="M128" s="254"/>
      <c r="N128" s="254"/>
      <c r="O128" s="5"/>
      <c r="Q128" s="5"/>
      <c r="R128" s="5"/>
    </row>
    <row r="129" spans="2:27">
      <c r="B129" s="5"/>
      <c r="C129" s="5"/>
      <c r="D129" s="18"/>
      <c r="E129" s="18"/>
      <c r="F129" s="18"/>
      <c r="G129" s="18"/>
      <c r="H129" s="18"/>
      <c r="I129" s="254"/>
      <c r="J129" s="18"/>
      <c r="K129" s="18"/>
      <c r="L129" s="18"/>
      <c r="M129" s="18"/>
      <c r="N129" s="18"/>
      <c r="O129" s="5"/>
      <c r="Q129" s="5"/>
      <c r="R129" s="5"/>
    </row>
    <row r="130" spans="2:27">
      <c r="B130" s="5"/>
      <c r="C130" s="5"/>
      <c r="D130" s="5"/>
      <c r="E130" s="5"/>
      <c r="F130" s="5"/>
      <c r="G130" s="5"/>
      <c r="H130" s="5"/>
      <c r="I130" s="18"/>
      <c r="J130" s="5"/>
      <c r="K130" s="5"/>
      <c r="L130" s="5"/>
      <c r="M130" s="5"/>
      <c r="N130" s="5"/>
      <c r="O130" s="5"/>
      <c r="Q130" s="5"/>
      <c r="R130" s="5"/>
    </row>
    <row r="131" spans="2:27">
      <c r="B131" s="41"/>
      <c r="C131" s="254"/>
      <c r="D131" s="254"/>
      <c r="E131" s="254"/>
      <c r="F131" s="254"/>
      <c r="G131" s="254"/>
      <c r="H131" s="254"/>
      <c r="I131" s="5"/>
      <c r="J131" s="254"/>
      <c r="K131" s="254"/>
      <c r="L131" s="254"/>
      <c r="M131" s="254"/>
      <c r="N131" s="254"/>
      <c r="O131" s="5"/>
      <c r="Q131" s="5"/>
      <c r="R131" s="5"/>
    </row>
    <row r="132" spans="2:27">
      <c r="B132" s="5"/>
      <c r="C132" s="259"/>
      <c r="D132" s="18"/>
      <c r="E132" s="18"/>
      <c r="F132" s="18"/>
      <c r="G132" s="18"/>
      <c r="H132" s="18"/>
      <c r="I132" s="5"/>
      <c r="J132" s="18"/>
      <c r="K132" s="18"/>
      <c r="L132" s="18"/>
      <c r="M132" s="18"/>
      <c r="N132" s="18"/>
      <c r="O132" s="5"/>
      <c r="Q132" s="5"/>
      <c r="R132" s="5"/>
    </row>
    <row r="133" spans="2:27">
      <c r="B133" s="5"/>
      <c r="C133" s="5"/>
      <c r="D133" s="5"/>
      <c r="E133" s="5"/>
      <c r="F133" s="5"/>
      <c r="G133" s="5"/>
      <c r="H133" s="5"/>
      <c r="I133" s="17"/>
      <c r="J133" s="5"/>
      <c r="K133" s="5"/>
      <c r="L133" s="5"/>
      <c r="M133" s="5"/>
      <c r="N133" s="5"/>
      <c r="O133" s="5"/>
      <c r="Q133" s="5"/>
      <c r="R133" s="5"/>
    </row>
    <row r="134" spans="2:27">
      <c r="B134" s="41"/>
      <c r="C134" s="5"/>
      <c r="D134" s="5"/>
      <c r="E134" s="5"/>
      <c r="F134" s="5"/>
      <c r="G134" s="5"/>
      <c r="H134" s="5"/>
      <c r="I134" s="17"/>
      <c r="J134" s="5"/>
      <c r="K134" s="5"/>
      <c r="L134" s="5"/>
      <c r="M134" s="5"/>
      <c r="N134" s="5"/>
      <c r="O134" s="5"/>
      <c r="Q134" s="5"/>
      <c r="R134" s="5"/>
    </row>
    <row r="135" spans="2:27">
      <c r="B135" s="5"/>
      <c r="C135" s="17"/>
      <c r="D135" s="17"/>
      <c r="E135" s="17"/>
      <c r="F135" s="17"/>
      <c r="G135" s="17"/>
      <c r="H135" s="17"/>
      <c r="I135" s="17"/>
      <c r="J135" s="17"/>
      <c r="K135" s="17"/>
      <c r="L135" s="17"/>
      <c r="M135" s="17"/>
      <c r="N135" s="17"/>
      <c r="O135" s="5"/>
      <c r="Q135" s="41"/>
      <c r="R135" s="5"/>
    </row>
    <row r="136" spans="2:27">
      <c r="B136" s="5"/>
      <c r="C136" s="17"/>
      <c r="D136" s="17"/>
      <c r="E136" s="17"/>
      <c r="F136" s="17"/>
      <c r="G136" s="17"/>
      <c r="H136" s="17"/>
      <c r="I136" s="17"/>
      <c r="J136" s="17"/>
      <c r="K136" s="17"/>
      <c r="L136" s="17"/>
      <c r="M136" s="17"/>
      <c r="N136" s="17"/>
      <c r="O136" s="5"/>
      <c r="Q136" s="5"/>
      <c r="R136" s="5"/>
      <c r="X136" s="304"/>
    </row>
    <row r="137" spans="2:27">
      <c r="B137" s="5"/>
      <c r="C137" s="5"/>
      <c r="D137" s="17"/>
      <c r="E137" s="17"/>
      <c r="F137" s="17"/>
      <c r="G137" s="17"/>
      <c r="H137" s="17"/>
      <c r="I137" s="17"/>
      <c r="J137" s="17"/>
      <c r="K137" s="17"/>
      <c r="L137" s="17"/>
      <c r="M137" s="17"/>
      <c r="N137" s="17"/>
      <c r="O137" s="5"/>
      <c r="Q137" s="5"/>
      <c r="R137" s="5"/>
      <c r="X137" s="10"/>
      <c r="Y137" s="304"/>
      <c r="Z137" s="304"/>
      <c r="AA137" s="304"/>
    </row>
    <row r="138" spans="2:27">
      <c r="B138" s="5"/>
      <c r="C138" s="5"/>
      <c r="D138" s="17"/>
      <c r="E138" s="17"/>
      <c r="F138" s="17"/>
      <c r="G138" s="17"/>
      <c r="H138" s="17"/>
      <c r="I138" s="17"/>
      <c r="J138" s="17"/>
      <c r="K138" s="17"/>
      <c r="L138" s="17"/>
      <c r="M138" s="17"/>
      <c r="N138" s="17"/>
      <c r="O138" s="5"/>
      <c r="Q138" s="5"/>
      <c r="R138" s="5"/>
      <c r="Y138" s="10"/>
      <c r="Z138" s="10"/>
      <c r="AA138" s="10"/>
    </row>
    <row r="139" spans="2:27">
      <c r="B139" s="5"/>
      <c r="C139" s="5"/>
      <c r="D139" s="17"/>
      <c r="E139" s="17"/>
      <c r="F139" s="17"/>
      <c r="G139" s="17"/>
      <c r="H139" s="17"/>
      <c r="I139" s="5"/>
      <c r="J139" s="17"/>
      <c r="K139" s="17"/>
      <c r="L139" s="17"/>
      <c r="M139" s="17"/>
      <c r="N139" s="17"/>
      <c r="O139" s="5"/>
      <c r="Q139" s="5"/>
      <c r="R139" s="5"/>
    </row>
    <row r="140" spans="2:27">
      <c r="B140" s="5"/>
      <c r="C140" s="17"/>
      <c r="D140" s="17"/>
      <c r="E140" s="17"/>
      <c r="F140" s="17"/>
      <c r="G140" s="17"/>
      <c r="H140" s="17"/>
      <c r="I140" s="5"/>
      <c r="J140" s="17"/>
      <c r="K140" s="17"/>
      <c r="L140" s="17"/>
      <c r="M140" s="17"/>
      <c r="N140" s="17"/>
      <c r="O140" s="5"/>
      <c r="Q140" s="5"/>
      <c r="R140" s="5"/>
    </row>
    <row r="141" spans="2:27">
      <c r="B141" s="5"/>
      <c r="C141" s="5"/>
      <c r="D141" s="5"/>
      <c r="E141" s="5"/>
      <c r="F141" s="5"/>
      <c r="G141" s="5"/>
      <c r="H141" s="5"/>
      <c r="I141" s="5"/>
      <c r="J141" s="5"/>
      <c r="K141" s="5"/>
      <c r="L141" s="5"/>
      <c r="M141" s="5"/>
      <c r="N141" s="5"/>
      <c r="O141" s="5"/>
      <c r="Q141" s="5"/>
      <c r="R141" s="5"/>
    </row>
    <row r="142" spans="2:27">
      <c r="B142" s="5"/>
      <c r="C142" s="5"/>
      <c r="D142" s="5"/>
      <c r="E142" s="5"/>
      <c r="F142" s="5"/>
      <c r="G142" s="5"/>
      <c r="H142" s="5"/>
      <c r="I142" s="5"/>
      <c r="J142" s="5"/>
      <c r="K142" s="5"/>
      <c r="L142" s="5"/>
      <c r="M142" s="5"/>
      <c r="N142" s="5"/>
      <c r="O142" s="5"/>
      <c r="Q142" s="5"/>
      <c r="R142" s="5"/>
    </row>
    <row r="143" spans="2:27">
      <c r="B143" s="5"/>
      <c r="C143" s="5"/>
      <c r="D143" s="5"/>
      <c r="E143" s="5"/>
      <c r="F143" s="5"/>
      <c r="G143" s="5"/>
      <c r="H143" s="5"/>
      <c r="I143" s="5"/>
      <c r="J143" s="5"/>
      <c r="K143" s="5"/>
      <c r="L143" s="5"/>
      <c r="M143" s="5"/>
      <c r="N143" s="5"/>
      <c r="O143" s="5"/>
      <c r="Q143" s="5"/>
      <c r="R143" s="5"/>
    </row>
    <row r="144" spans="2:27">
      <c r="B144" s="5"/>
      <c r="C144" s="5"/>
      <c r="D144" s="5"/>
      <c r="E144" s="5"/>
      <c r="F144" s="5"/>
      <c r="G144" s="5"/>
      <c r="H144" s="5"/>
      <c r="I144" s="5"/>
      <c r="J144" s="5"/>
      <c r="K144" s="5"/>
      <c r="L144" s="5"/>
      <c r="M144" s="5"/>
      <c r="N144" s="5"/>
      <c r="O144" s="5"/>
      <c r="Q144" s="5"/>
      <c r="R144" s="5"/>
    </row>
    <row r="145" spans="2:18">
      <c r="B145" s="5"/>
      <c r="C145" s="5"/>
      <c r="D145" s="5"/>
      <c r="E145" s="5"/>
      <c r="F145" s="5"/>
      <c r="G145" s="5"/>
      <c r="H145" s="5"/>
      <c r="I145" s="5"/>
      <c r="J145" s="5"/>
      <c r="K145" s="5"/>
      <c r="L145" s="5"/>
      <c r="M145" s="5"/>
      <c r="N145" s="5"/>
      <c r="O145" s="5"/>
      <c r="Q145" s="5"/>
      <c r="R145" s="5"/>
    </row>
    <row r="146" spans="2:18">
      <c r="B146" s="5"/>
      <c r="C146" s="5"/>
      <c r="D146" s="5"/>
      <c r="E146" s="5"/>
      <c r="F146" s="5"/>
      <c r="G146" s="5"/>
      <c r="H146" s="5"/>
      <c r="I146" s="5"/>
      <c r="J146" s="5"/>
      <c r="K146" s="5"/>
      <c r="L146" s="5"/>
      <c r="M146" s="5"/>
      <c r="N146" s="5"/>
      <c r="O146" s="5"/>
      <c r="Q146" s="5"/>
      <c r="R146" s="5"/>
    </row>
    <row r="147" spans="2:18">
      <c r="B147" s="5"/>
      <c r="C147" s="5"/>
      <c r="D147" s="5"/>
      <c r="E147" s="5"/>
      <c r="F147" s="5"/>
      <c r="G147" s="5"/>
      <c r="H147" s="5"/>
      <c r="I147" s="5"/>
      <c r="J147" s="5"/>
      <c r="K147" s="5"/>
      <c r="L147" s="5"/>
      <c r="M147" s="5"/>
      <c r="N147" s="5"/>
      <c r="O147" s="5"/>
      <c r="Q147" s="5"/>
      <c r="R147" s="5"/>
    </row>
    <row r="148" spans="2:18">
      <c r="B148" s="5"/>
      <c r="C148" s="5"/>
      <c r="D148" s="5"/>
      <c r="E148" s="5"/>
      <c r="F148" s="5"/>
      <c r="G148" s="5"/>
      <c r="H148" s="5"/>
      <c r="I148" s="5"/>
      <c r="J148" s="5"/>
      <c r="K148" s="5"/>
      <c r="L148" s="5"/>
      <c r="M148" s="5"/>
      <c r="N148" s="5"/>
      <c r="O148" s="5"/>
      <c r="Q148" s="5"/>
      <c r="R148" s="5"/>
    </row>
    <row r="149" spans="2:18">
      <c r="B149" s="5"/>
      <c r="C149" s="5"/>
      <c r="D149" s="5"/>
      <c r="E149" s="5"/>
      <c r="F149" s="5"/>
      <c r="G149" s="5"/>
      <c r="H149" s="5"/>
      <c r="J149" s="5"/>
      <c r="K149" s="5"/>
      <c r="L149" s="5"/>
      <c r="M149" s="5"/>
      <c r="N149" s="5"/>
      <c r="O149" s="5"/>
      <c r="Q149" s="5"/>
      <c r="R149" s="5"/>
    </row>
    <row r="150" spans="2:18">
      <c r="B150" s="5"/>
      <c r="C150" s="5"/>
      <c r="D150" s="5"/>
      <c r="E150" s="5"/>
      <c r="F150" s="5"/>
      <c r="G150" s="5"/>
      <c r="H150" s="5"/>
      <c r="J150" s="5"/>
      <c r="K150" s="5"/>
      <c r="L150" s="5"/>
      <c r="M150" s="5"/>
      <c r="N150" s="5"/>
      <c r="O150" s="5"/>
      <c r="Q150" s="5"/>
      <c r="R150" s="5"/>
    </row>
    <row r="151" spans="2:18">
      <c r="Q151" s="5"/>
      <c r="R151" s="5"/>
    </row>
    <row r="152" spans="2:18">
      <c r="Q152" s="5"/>
      <c r="R152" s="5"/>
    </row>
    <row r="153" spans="2:18">
      <c r="C153" s="263"/>
      <c r="Q153" s="5"/>
      <c r="R153" s="5"/>
    </row>
    <row r="154" spans="2:18">
      <c r="Q154" s="5"/>
      <c r="R154" s="5"/>
    </row>
    <row r="155" spans="2:18">
      <c r="Q155" s="5"/>
      <c r="R155" s="5"/>
    </row>
    <row r="156" spans="2:18">
      <c r="Q156" s="5"/>
      <c r="R156" s="5"/>
    </row>
    <row r="157" spans="2:18">
      <c r="Q157" s="5"/>
      <c r="R157" s="5"/>
    </row>
    <row r="158" spans="2:18">
      <c r="Q158" s="5"/>
      <c r="R158" s="5"/>
    </row>
    <row r="159" spans="2:18">
      <c r="Q159" s="5"/>
      <c r="R159" s="5"/>
    </row>
    <row r="160" spans="2:18">
      <c r="Q160" s="5"/>
      <c r="R160" s="5"/>
    </row>
    <row r="161" spans="17:18">
      <c r="Q161" s="5"/>
      <c r="R161" s="5"/>
    </row>
    <row r="162" spans="17:18">
      <c r="Q162" s="5"/>
      <c r="R162" s="5"/>
    </row>
    <row r="163" spans="17:18">
      <c r="Q163" s="5"/>
      <c r="R163" s="5"/>
    </row>
    <row r="164" spans="17:18">
      <c r="Q164" s="5"/>
      <c r="R164" s="5"/>
    </row>
    <row r="165" spans="17:18">
      <c r="Q165" s="5"/>
      <c r="R165" s="5"/>
    </row>
  </sheetData>
  <phoneticPr fontId="7" type="noConversion"/>
  <pageMargins left="0.75" right="0.75" top="1" bottom="1" header="0.5" footer="0.5"/>
  <pageSetup scale="71" orientation="landscape" r:id="rId1"/>
  <headerFooter alignWithMargins="0"/>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69">
    <pageSetUpPr fitToPage="1"/>
  </sheetPr>
  <dimension ref="B1:AR165"/>
  <sheetViews>
    <sheetView showGridLines="0" zoomScale="80" zoomScaleNormal="80" workbookViewId="0"/>
  </sheetViews>
  <sheetFormatPr defaultColWidth="9.109375" defaultRowHeight="12"/>
  <cols>
    <col min="1" max="1" width="2.33203125" style="39" customWidth="1"/>
    <col min="2" max="2" width="26.5546875" style="39" customWidth="1"/>
    <col min="3" max="9" width="10" style="39" customWidth="1"/>
    <col min="10" max="10" width="26.6640625" style="39" customWidth="1"/>
    <col min="11" max="16" width="10" style="39" customWidth="1"/>
    <col min="17" max="19" width="8.6640625" style="39" customWidth="1"/>
    <col min="20" max="28" width="8.6640625" style="5" customWidth="1"/>
    <col min="29" max="44" width="9.109375" style="5"/>
    <col min="45" max="16384" width="9.109375" style="39"/>
  </cols>
  <sheetData>
    <row r="1" spans="2:44" s="312" customFormat="1">
      <c r="T1" s="149"/>
      <c r="U1" s="149"/>
      <c r="V1" s="149"/>
      <c r="W1" s="149"/>
      <c r="X1" s="149"/>
      <c r="Y1" s="149"/>
      <c r="Z1" s="149"/>
      <c r="AA1" s="149"/>
      <c r="AB1" s="149"/>
      <c r="AC1" s="149"/>
      <c r="AD1" s="149"/>
      <c r="AE1" s="149"/>
      <c r="AF1" s="149"/>
      <c r="AG1" s="149"/>
      <c r="AH1" s="149"/>
      <c r="AI1" s="149"/>
      <c r="AJ1" s="149"/>
      <c r="AK1" s="149"/>
      <c r="AL1" s="149"/>
      <c r="AM1" s="149"/>
      <c r="AN1" s="149"/>
      <c r="AO1" s="149"/>
      <c r="AP1" s="149"/>
      <c r="AQ1" s="149"/>
      <c r="AR1" s="149"/>
    </row>
    <row r="2" spans="2:44" s="149" customFormat="1"/>
    <row r="3" spans="2:44" s="149" customFormat="1">
      <c r="H3" s="153"/>
      <c r="P3" s="153"/>
    </row>
    <row r="4" spans="2:44" s="156" customFormat="1" ht="21">
      <c r="B4" s="129" t="s">
        <v>267</v>
      </c>
      <c r="H4" s="222"/>
      <c r="P4" s="222"/>
    </row>
    <row r="5" spans="2:44" s="149" customFormat="1">
      <c r="C5" s="153"/>
      <c r="D5" s="153" t="str" cm="1">
        <f t="array" ref="D5:H5">headings</f>
        <v>2023E</v>
      </c>
      <c r="E5" s="153" t="str">
        <v>2024E</v>
      </c>
      <c r="F5" s="153" t="str">
        <v>2025E</v>
      </c>
      <c r="G5" s="153" t="str">
        <v>2026E</v>
      </c>
      <c r="H5" s="153" t="str">
        <v>23E-26E</v>
      </c>
      <c r="I5" s="153"/>
      <c r="J5" s="153"/>
      <c r="K5" s="153"/>
      <c r="L5" s="153" t="str" cm="1">
        <f t="array" ref="L5:P5">headings</f>
        <v>2023E</v>
      </c>
      <c r="M5" s="153" t="str">
        <v>2024E</v>
      </c>
      <c r="N5" s="153" t="str">
        <v>2025E</v>
      </c>
      <c r="O5" s="153" t="str">
        <v>2026E</v>
      </c>
      <c r="P5" s="153" t="str">
        <v>23E-26E</v>
      </c>
      <c r="Q5" s="162"/>
      <c r="R5" s="162"/>
      <c r="S5" s="162"/>
      <c r="T5" s="162"/>
      <c r="U5" s="162"/>
      <c r="V5" s="162"/>
      <c r="W5" s="162"/>
      <c r="X5" s="162"/>
      <c r="Y5" s="162"/>
    </row>
    <row r="6" spans="2:44">
      <c r="I6" s="5"/>
      <c r="J6" s="5"/>
      <c r="K6" s="5"/>
      <c r="L6" s="5"/>
      <c r="M6" s="5"/>
      <c r="N6" s="5"/>
      <c r="O6" s="49"/>
    </row>
    <row r="7" spans="2:44" ht="12.6" thickBot="1">
      <c r="B7" s="306" t="s">
        <v>271</v>
      </c>
      <c r="C7" s="265"/>
      <c r="D7" s="265" t="str">
        <f>D5</f>
        <v>2023E</v>
      </c>
      <c r="E7" s="265" t="str">
        <f t="shared" ref="E7:H7" si="0">E5</f>
        <v>2024E</v>
      </c>
      <c r="F7" s="265" t="str">
        <f t="shared" si="0"/>
        <v>2025E</v>
      </c>
      <c r="G7" s="265" t="str">
        <f t="shared" si="0"/>
        <v>2026E</v>
      </c>
      <c r="H7" s="265" t="str">
        <f t="shared" si="0"/>
        <v>23E-26E</v>
      </c>
      <c r="I7" s="49"/>
      <c r="J7" s="306" t="s">
        <v>1387</v>
      </c>
      <c r="K7" s="306"/>
      <c r="L7" s="265" t="str">
        <f>L5</f>
        <v>2023E</v>
      </c>
      <c r="M7" s="265" t="str">
        <f t="shared" ref="M7:P7" si="1">M5</f>
        <v>2024E</v>
      </c>
      <c r="N7" s="265" t="str">
        <f t="shared" si="1"/>
        <v>2025E</v>
      </c>
      <c r="O7" s="265" t="str">
        <f t="shared" si="1"/>
        <v>2026E</v>
      </c>
      <c r="P7" s="265" t="str">
        <f t="shared" si="1"/>
        <v>23E-26E</v>
      </c>
    </row>
    <row r="8" spans="2:44" ht="12.6" thickTop="1">
      <c r="B8" s="41"/>
      <c r="D8" s="228"/>
      <c r="E8" s="228"/>
      <c r="F8" s="228"/>
      <c r="G8" s="228"/>
      <c r="H8" s="247"/>
      <c r="I8" s="5"/>
      <c r="J8" s="5"/>
      <c r="K8" s="5"/>
      <c r="L8" s="5"/>
      <c r="M8" s="5"/>
      <c r="N8" s="5"/>
      <c r="S8" s="88"/>
      <c r="T8" s="42"/>
      <c r="U8" s="42"/>
      <c r="V8" s="42"/>
      <c r="W8" s="42"/>
      <c r="X8" s="42"/>
      <c r="Y8" s="42"/>
      <c r="Z8" s="42"/>
      <c r="AA8" s="42"/>
    </row>
    <row r="9" spans="2:44">
      <c r="B9" s="41" t="s">
        <v>1454</v>
      </c>
      <c r="C9" s="267">
        <f>Prices!C24</f>
        <v>16.239999999999998</v>
      </c>
      <c r="D9" s="533">
        <v>211.14</v>
      </c>
      <c r="E9" s="533">
        <v>191.76490858487782</v>
      </c>
      <c r="F9" s="533">
        <v>174.32732631126783</v>
      </c>
      <c r="G9" s="533">
        <v>158.63350226501888</v>
      </c>
      <c r="H9" s="247"/>
      <c r="I9" s="249"/>
      <c r="J9" s="5" t="s">
        <v>273</v>
      </c>
      <c r="L9" s="529">
        <f>'W.EUR OTHER'!D37</f>
        <v>1.625740200561925</v>
      </c>
      <c r="M9" s="529">
        <f>'W.EUR OTHER'!E37</f>
        <v>1.4744355877361912</v>
      </c>
      <c r="N9" s="529">
        <f>'W.EUR OTHER'!F37</f>
        <v>1.3838130671688169</v>
      </c>
      <c r="O9" s="529">
        <f>'W.EUR OTHER'!G37</f>
        <v>1.2773151297065752</v>
      </c>
      <c r="P9" s="279">
        <f>'W.EUR OTHER'!H37</f>
        <v>1.5716493135688125E-2</v>
      </c>
      <c r="S9" s="88"/>
      <c r="T9" s="42"/>
      <c r="U9" s="42"/>
      <c r="V9" s="42"/>
      <c r="W9" s="42"/>
      <c r="X9" s="42"/>
      <c r="Y9" s="42"/>
      <c r="Z9" s="42"/>
      <c r="AA9" s="42"/>
    </row>
    <row r="10" spans="2:44">
      <c r="B10" s="41" t="s">
        <v>1625</v>
      </c>
      <c r="C10" s="267">
        <f>Prices!C25</f>
        <v>16.899999999999999</v>
      </c>
      <c r="D10" s="531">
        <v>171.46299999999999</v>
      </c>
      <c r="E10" s="531">
        <v>155.7288364151222</v>
      </c>
      <c r="F10" s="531">
        <v>141.56808918873219</v>
      </c>
      <c r="G10" s="531">
        <v>128.82341668498117</v>
      </c>
      <c r="H10" s="247"/>
      <c r="I10" s="247"/>
      <c r="J10" s="5" t="s">
        <v>184</v>
      </c>
      <c r="L10" s="529">
        <f>'W.EUR OTHER'!D38</f>
        <v>5.2795254299348739</v>
      </c>
      <c r="M10" s="529">
        <f>'W.EUR OTHER'!E38</f>
        <v>4.974469712304483</v>
      </c>
      <c r="N10" s="529">
        <f>'W.EUR OTHER'!F38</f>
        <v>4.5174816735135677</v>
      </c>
      <c r="O10" s="529">
        <f>'W.EUR OTHER'!G38</f>
        <v>4.0920709682728358</v>
      </c>
      <c r="P10" s="279">
        <f>'W.EUR OTHER'!H38</f>
        <v>2.0325446875936182E-2</v>
      </c>
      <c r="S10" s="88"/>
      <c r="T10" s="42"/>
      <c r="U10" s="42"/>
      <c r="V10" s="42"/>
      <c r="W10" s="288"/>
      <c r="X10" s="288"/>
      <c r="Y10" s="288"/>
      <c r="Z10" s="288"/>
      <c r="AA10" s="42"/>
    </row>
    <row r="11" spans="2:44">
      <c r="B11" s="41" t="s">
        <v>275</v>
      </c>
      <c r="C11" s="5"/>
      <c r="D11" s="532">
        <f>(D10*$C$10)+($C$9*D9)</f>
        <v>6326.6382999999987</v>
      </c>
      <c r="E11" s="532">
        <f t="shared" ref="E11:G11" si="2">(E10*$C$10)+($C$9*E9)</f>
        <v>5746.0794508339804</v>
      </c>
      <c r="F11" s="532">
        <f t="shared" si="2"/>
        <v>5223.5764865845631</v>
      </c>
      <c r="G11" s="532">
        <f t="shared" si="2"/>
        <v>4753.3238187600873</v>
      </c>
      <c r="H11" s="249"/>
      <c r="I11" s="249"/>
      <c r="J11" s="5" t="s">
        <v>185</v>
      </c>
      <c r="L11" s="529">
        <f>'W.EUR OTHER'!D39</f>
        <v>12.736189476818824</v>
      </c>
      <c r="M11" s="529">
        <f>'W.EUR OTHER'!E39</f>
        <v>12.065966967777575</v>
      </c>
      <c r="N11" s="529">
        <f>'W.EUR OTHER'!F39</f>
        <v>9.9478093470125</v>
      </c>
      <c r="O11" s="529">
        <f>'W.EUR OTHER'!G39</f>
        <v>8.473000290176449</v>
      </c>
      <c r="P11" s="279">
        <f>'W.EUR OTHER'!H39</f>
        <v>7.3632307659955432E-2</v>
      </c>
      <c r="S11" s="88"/>
      <c r="T11" s="42"/>
      <c r="U11" s="42"/>
      <c r="V11" s="42"/>
      <c r="W11" s="288"/>
      <c r="X11" s="288"/>
      <c r="Y11" s="288"/>
      <c r="Z11" s="288"/>
      <c r="AA11" s="42"/>
    </row>
    <row r="12" spans="2:44">
      <c r="B12" s="5" t="s">
        <v>24</v>
      </c>
      <c r="C12" s="249"/>
      <c r="D12" s="533">
        <v>11548</v>
      </c>
      <c r="E12" s="533">
        <v>11032.232532722022</v>
      </c>
      <c r="F12" s="533">
        <v>11174.349018375478</v>
      </c>
      <c r="G12" s="533">
        <v>11106.245847151265</v>
      </c>
      <c r="H12" s="247"/>
      <c r="I12" s="247"/>
      <c r="J12" s="5" t="s">
        <v>466</v>
      </c>
      <c r="L12" s="529">
        <f>'W.EUR OTHER'!D40</f>
        <v>17.537055550367363</v>
      </c>
      <c r="M12" s="529">
        <f>'W.EUR OTHER'!E40</f>
        <v>16.571844500633869</v>
      </c>
      <c r="N12" s="529">
        <f>'W.EUR OTHER'!F40</f>
        <v>13.70048405868403</v>
      </c>
      <c r="O12" s="529">
        <f>'W.EUR OTHER'!G40</f>
        <v>11.681030567966248</v>
      </c>
      <c r="P12" s="279">
        <f>'W.EUR OTHER'!H40</f>
        <v>7.319831169942681E-2</v>
      </c>
      <c r="S12" s="88"/>
      <c r="T12" s="42"/>
      <c r="U12" s="42"/>
      <c r="V12" s="42"/>
      <c r="W12" s="288"/>
      <c r="X12" s="288"/>
      <c r="Y12" s="288"/>
      <c r="Z12" s="288"/>
      <c r="AA12" s="42"/>
    </row>
    <row r="13" spans="2:44">
      <c r="B13" s="5" t="s">
        <v>529</v>
      </c>
      <c r="C13" s="257"/>
      <c r="D13" s="533">
        <v>0</v>
      </c>
      <c r="E13" s="533">
        <v>0</v>
      </c>
      <c r="F13" s="533">
        <v>0</v>
      </c>
      <c r="G13" s="533">
        <v>0</v>
      </c>
      <c r="H13" s="247"/>
      <c r="I13" s="247"/>
      <c r="J13" s="5" t="s">
        <v>530</v>
      </c>
      <c r="L13" s="529">
        <f>'W.EUR OTHER'!D41</f>
        <v>0.73407860349270371</v>
      </c>
      <c r="M13" s="529">
        <f>'W.EUR OTHER'!E41</f>
        <v>0.70658465772315859</v>
      </c>
      <c r="N13" s="529">
        <f>'W.EUR OTHER'!F41</f>
        <v>0.66539496043406632</v>
      </c>
      <c r="O13" s="529">
        <f>'W.EUR OTHER'!G41</f>
        <v>0.63140864888435067</v>
      </c>
      <c r="P13" s="279">
        <f>'W.EUR OTHER'!H41</f>
        <v>-1.4479895812281707E-2</v>
      </c>
      <c r="S13" s="88"/>
      <c r="T13" s="42"/>
      <c r="U13" s="42"/>
      <c r="V13" s="42"/>
      <c r="W13" s="42"/>
      <c r="X13" s="42"/>
      <c r="Y13" s="42"/>
      <c r="Z13" s="42"/>
      <c r="AA13" s="42"/>
    </row>
    <row r="14" spans="2:44">
      <c r="B14" s="5" t="s">
        <v>532</v>
      </c>
      <c r="C14" s="257"/>
      <c r="D14" s="546">
        <v>7055.9097084741397</v>
      </c>
      <c r="E14" s="546">
        <v>7055.9097084741397</v>
      </c>
      <c r="F14" s="546">
        <v>7055.9097084741397</v>
      </c>
      <c r="G14" s="546">
        <v>7055.9097084741397</v>
      </c>
      <c r="H14" s="247"/>
      <c r="I14" s="247"/>
      <c r="J14" s="5" t="s">
        <v>593</v>
      </c>
      <c r="L14" s="529">
        <f>'W.EUR OTHER'!D42</f>
        <v>1.7744255045715212</v>
      </c>
      <c r="M14" s="529">
        <f>'W.EUR OTHER'!E42</f>
        <v>1.6143851746135043</v>
      </c>
      <c r="N14" s="529">
        <f>'W.EUR OTHER'!F42</f>
        <v>1.516251557360391</v>
      </c>
      <c r="O14" s="529">
        <f>'W.EUR OTHER'!G42</f>
        <v>1.4124281433920347</v>
      </c>
      <c r="P14" s="279">
        <f>'W.EUR OTHER'!H42</f>
        <v>1.1312273411797191E-2</v>
      </c>
      <c r="S14" s="88"/>
      <c r="T14" s="42"/>
      <c r="U14" s="42"/>
      <c r="V14" s="42"/>
      <c r="W14" s="42"/>
      <c r="X14" s="42"/>
      <c r="Y14" s="42"/>
      <c r="Z14" s="42"/>
      <c r="AA14" s="42"/>
    </row>
    <row r="15" spans="2:44">
      <c r="B15" s="5" t="s">
        <v>531</v>
      </c>
      <c r="C15" s="257"/>
      <c r="D15" s="546">
        <v>0</v>
      </c>
      <c r="E15" s="546">
        <v>0</v>
      </c>
      <c r="F15" s="546">
        <v>0</v>
      </c>
      <c r="G15" s="546">
        <v>0</v>
      </c>
      <c r="H15" s="247"/>
      <c r="I15" s="247"/>
      <c r="J15" s="5" t="s">
        <v>475</v>
      </c>
      <c r="L15" s="529">
        <f>'W.EUR OTHER'!D43</f>
        <v>16.766632642192913</v>
      </c>
      <c r="M15" s="529">
        <f>'W.EUR OTHER'!E43</f>
        <v>18.03434445713204</v>
      </c>
      <c r="N15" s="529">
        <f>'W.EUR OTHER'!F43</f>
        <v>10.571394482468753</v>
      </c>
      <c r="O15" s="529">
        <f>'W.EUR OTHER'!G43</f>
        <v>8.2021597370687243</v>
      </c>
      <c r="P15" s="279">
        <f>'W.EUR OTHER'!H43</f>
        <v>0.21960762754614027</v>
      </c>
      <c r="S15" s="88"/>
      <c r="T15" s="42"/>
      <c r="U15" s="42"/>
      <c r="V15" s="42"/>
      <c r="W15" s="42"/>
      <c r="X15" s="42"/>
      <c r="Y15" s="42"/>
      <c r="Z15" s="42"/>
      <c r="AA15" s="42"/>
    </row>
    <row r="16" spans="2:44">
      <c r="B16" s="5" t="s">
        <v>534</v>
      </c>
      <c r="C16" s="257"/>
      <c r="D16" s="533">
        <v>0</v>
      </c>
      <c r="E16" s="533">
        <v>0</v>
      </c>
      <c r="F16" s="533">
        <v>0</v>
      </c>
      <c r="G16" s="533">
        <v>0</v>
      </c>
      <c r="H16" s="247"/>
      <c r="I16" s="247"/>
      <c r="J16" s="5" t="s">
        <v>533</v>
      </c>
      <c r="L16" s="529">
        <f>'W.EUR OTHER'!D44</f>
        <v>14.93276596244098</v>
      </c>
      <c r="M16" s="529">
        <f>'W.EUR OTHER'!E44</f>
        <v>11.776896223765881</v>
      </c>
      <c r="N16" s="529">
        <f>'W.EUR OTHER'!F44</f>
        <v>9.7753259947195836</v>
      </c>
      <c r="O16" s="529">
        <f>'W.EUR OTHER'!G44</f>
        <v>8.6831119730060706</v>
      </c>
      <c r="P16" s="279">
        <f>'W.EUR OTHER'!H44</f>
        <v>0.16793708979658639</v>
      </c>
      <c r="S16" s="88"/>
      <c r="T16" s="42"/>
      <c r="U16" s="42"/>
      <c r="V16" s="42"/>
      <c r="W16" s="42"/>
      <c r="X16" s="42"/>
      <c r="Y16" s="42"/>
      <c r="Z16" s="42"/>
      <c r="AA16" s="42"/>
    </row>
    <row r="17" spans="2:27">
      <c r="B17" s="5" t="s">
        <v>6</v>
      </c>
      <c r="C17" s="257"/>
      <c r="D17" s="533">
        <v>146.80064000000004</v>
      </c>
      <c r="E17" s="533">
        <v>146.80064000000004</v>
      </c>
      <c r="F17" s="533">
        <v>146.80064000000004</v>
      </c>
      <c r="G17" s="533">
        <v>146.80064000000004</v>
      </c>
      <c r="H17" s="247"/>
      <c r="I17" s="247"/>
      <c r="J17" s="5" t="s">
        <v>580</v>
      </c>
      <c r="L17" s="248">
        <f>'W.EUR OTHER'!D45</f>
        <v>7.0241435315537989E-2</v>
      </c>
      <c r="M17" s="248">
        <f>'W.EUR OTHER'!E45</f>
        <v>4.5697904024259245E-2</v>
      </c>
      <c r="N17" s="248">
        <f>'W.EUR OTHER'!F45</f>
        <v>4.7170150494817063E-2</v>
      </c>
      <c r="O17" s="248">
        <f>'W.EUR OTHER'!G45</f>
        <v>4.8241300976334903E-2</v>
      </c>
      <c r="P17" s="279">
        <f>'W.EUR OTHER'!H45</f>
        <v>-0.13991829578276849</v>
      </c>
      <c r="S17" s="88"/>
      <c r="T17" s="42"/>
      <c r="U17" s="42"/>
      <c r="V17" s="42"/>
      <c r="W17" s="42"/>
      <c r="X17" s="42"/>
      <c r="Y17" s="42"/>
      <c r="Z17" s="42"/>
      <c r="AA17" s="42"/>
    </row>
    <row r="18" spans="2:27" ht="12.6" thickBot="1">
      <c r="B18" s="41" t="s">
        <v>583</v>
      </c>
      <c r="C18" s="249"/>
      <c r="D18" s="534">
        <f>D11+D12+D13-D14+D15-D16-D17</f>
        <v>10671.927951525859</v>
      </c>
      <c r="E18" s="534">
        <f>E11+E12+E13-E14+E15-E16-E17</f>
        <v>9575.6016350818627</v>
      </c>
      <c r="F18" s="534">
        <f>F11+F12+F13-F14+F15-F16-F17</f>
        <v>9195.2151564858996</v>
      </c>
      <c r="G18" s="534">
        <f>G11+G12+G13-G14+G15-G16-G17</f>
        <v>8656.8593174372127</v>
      </c>
      <c r="H18" s="276">
        <f>IF(D18=0,"nm",IF(G18=0,"nm",(G18/D18)^(1/3)-1))</f>
        <v>-6.7377636849790923E-2</v>
      </c>
      <c r="I18" s="254"/>
      <c r="J18" s="5" t="s">
        <v>36</v>
      </c>
      <c r="L18" s="248">
        <f>'W.EUR OTHER'!D46</f>
        <v>7.0241435315537989E-2</v>
      </c>
      <c r="M18" s="248">
        <f>'W.EUR OTHER'!E46</f>
        <v>4.5697904024259245E-2</v>
      </c>
      <c r="N18" s="248">
        <f>'W.EUR OTHER'!F46</f>
        <v>4.7170150494817063E-2</v>
      </c>
      <c r="O18" s="248">
        <f>'W.EUR OTHER'!G46</f>
        <v>4.8241300976334903E-2</v>
      </c>
      <c r="P18" s="279">
        <f>'W.EUR OTHER'!H46</f>
        <v>-0.13991829578276849</v>
      </c>
      <c r="S18" s="88"/>
      <c r="T18" s="42"/>
      <c r="U18" s="42"/>
      <c r="V18" s="42"/>
      <c r="W18" s="42"/>
      <c r="X18" s="42"/>
      <c r="Y18" s="42"/>
      <c r="Z18" s="42"/>
      <c r="AA18" s="42"/>
    </row>
    <row r="19" spans="2:27" ht="12.6" thickTop="1">
      <c r="B19" s="41"/>
      <c r="C19" s="249"/>
      <c r="D19" s="229"/>
      <c r="E19" s="229"/>
      <c r="F19" s="229"/>
      <c r="G19" s="229"/>
      <c r="H19" s="276"/>
      <c r="I19" s="254"/>
      <c r="J19" s="5" t="s">
        <v>581</v>
      </c>
      <c r="L19" s="248">
        <f>'W.EUR OTHER'!D47</f>
        <v>5.9642268148913748E-2</v>
      </c>
      <c r="M19" s="248">
        <f>'W.EUR OTHER'!E47</f>
        <v>5.5449756012868556E-2</v>
      </c>
      <c r="N19" s="248">
        <f>'W.EUR OTHER'!F47</f>
        <v>9.4594899628271986E-2</v>
      </c>
      <c r="O19" s="248">
        <f>'W.EUR OTHER'!G47</f>
        <v>0.12191910814423843</v>
      </c>
      <c r="P19" s="279">
        <f>'W.EUR OTHER'!H47</f>
        <v>0.21960762754614027</v>
      </c>
      <c r="S19" s="88"/>
      <c r="T19" s="42"/>
      <c r="U19" s="42"/>
      <c r="V19" s="42"/>
      <c r="W19" s="42"/>
      <c r="X19" s="42"/>
      <c r="Y19" s="42"/>
      <c r="Z19" s="42"/>
      <c r="AA19" s="42"/>
    </row>
    <row r="20" spans="2:27">
      <c r="H20" s="277"/>
      <c r="I20" s="17"/>
      <c r="J20" s="5" t="s">
        <v>604</v>
      </c>
      <c r="L20" s="305">
        <f>'W.EUR OTHER'!D48</f>
        <v>1.1058218246883247</v>
      </c>
      <c r="M20" s="305">
        <f>'W.EUR OTHER'!E48</f>
        <v>0.7720587558994737</v>
      </c>
      <c r="N20" s="305">
        <f>'W.EUR OTHER'!F48</f>
        <v>0.47387935381738827</v>
      </c>
      <c r="O20" s="305">
        <f>'W.EUR OTHER'!G48</f>
        <v>0.38783222312893756</v>
      </c>
      <c r="P20" s="279" t="str">
        <f>'W.EUR OTHER'!H48</f>
        <v>nm</v>
      </c>
      <c r="S20" s="88"/>
      <c r="T20" s="42"/>
      <c r="U20" s="42"/>
      <c r="V20" s="42"/>
      <c r="W20" s="42"/>
      <c r="X20" s="42"/>
      <c r="Y20" s="42"/>
      <c r="Z20" s="42"/>
      <c r="AA20" s="42"/>
    </row>
    <row r="21" spans="2:27" ht="12.6" thickBot="1">
      <c r="B21" s="306" t="s">
        <v>925</v>
      </c>
      <c r="C21" s="265"/>
      <c r="D21" s="265" t="str">
        <f>D5</f>
        <v>2023E</v>
      </c>
      <c r="E21" s="265" t="str">
        <f t="shared" ref="E21:H21" si="3">E5</f>
        <v>2024E</v>
      </c>
      <c r="F21" s="265" t="str">
        <f t="shared" si="3"/>
        <v>2025E</v>
      </c>
      <c r="G21" s="265" t="str">
        <f t="shared" si="3"/>
        <v>2026E</v>
      </c>
      <c r="H21" s="265" t="str">
        <f t="shared" si="3"/>
        <v>23E-26E</v>
      </c>
      <c r="I21" s="49"/>
      <c r="J21" s="41"/>
      <c r="L21" s="250"/>
      <c r="M21" s="250"/>
      <c r="N21" s="250"/>
      <c r="O21" s="250"/>
      <c r="P21" s="279"/>
      <c r="S21" s="88"/>
      <c r="T21" s="42"/>
      <c r="U21" s="42"/>
      <c r="V21" s="42"/>
      <c r="W21" s="42"/>
      <c r="X21" s="42"/>
      <c r="Y21" s="42"/>
      <c r="Z21" s="42"/>
      <c r="AA21" s="42"/>
    </row>
    <row r="22" spans="2:27" ht="12.6" thickTop="1">
      <c r="B22" s="5"/>
      <c r="C22" s="257"/>
      <c r="D22" s="17"/>
      <c r="E22" s="17"/>
      <c r="F22" s="17"/>
      <c r="G22" s="17"/>
      <c r="H22" s="17"/>
      <c r="I22" s="17"/>
      <c r="P22" s="277"/>
      <c r="S22" s="88"/>
      <c r="T22" s="42"/>
      <c r="U22" s="42"/>
      <c r="V22" s="42"/>
      <c r="W22" s="42"/>
      <c r="X22" s="42"/>
      <c r="Y22" s="42"/>
      <c r="Z22" s="42"/>
      <c r="AA22" s="42"/>
    </row>
    <row r="23" spans="2:27" ht="12.6" thickBot="1">
      <c r="B23" s="5" t="s">
        <v>584</v>
      </c>
      <c r="C23" s="548">
        <v>7491.6758294399997</v>
      </c>
      <c r="D23" s="540">
        <v>7531.9168963922111</v>
      </c>
      <c r="E23" s="540">
        <v>7498.9671784562615</v>
      </c>
      <c r="F23" s="540">
        <v>7514.1820127347055</v>
      </c>
      <c r="G23" s="540">
        <v>7542.6231611478197</v>
      </c>
      <c r="H23" s="279">
        <f t="shared" ref="H23:H32" si="4">IF(D23=0,"nm",IF(G23=0,"nm",(G23/D23)^(1/3)-1))</f>
        <v>4.7359329141771767E-4</v>
      </c>
      <c r="I23" s="247"/>
      <c r="J23" s="306" t="s">
        <v>9</v>
      </c>
      <c r="K23" s="306"/>
      <c r="L23" s="265" t="str">
        <f>D21</f>
        <v>2023E</v>
      </c>
      <c r="M23" s="265" t="str">
        <f t="shared" ref="M23:P23" si="5">E21</f>
        <v>2024E</v>
      </c>
      <c r="N23" s="265" t="str">
        <f t="shared" si="5"/>
        <v>2025E</v>
      </c>
      <c r="O23" s="265" t="str">
        <f t="shared" si="5"/>
        <v>2026E</v>
      </c>
      <c r="P23" s="265" t="str">
        <f t="shared" si="5"/>
        <v>23E-26E</v>
      </c>
      <c r="S23" s="88"/>
      <c r="T23" s="42"/>
      <c r="U23" s="42"/>
      <c r="V23" s="42"/>
      <c r="W23" s="42"/>
      <c r="X23" s="42"/>
      <c r="Y23" s="42"/>
      <c r="Z23" s="42"/>
      <c r="AA23" s="42"/>
    </row>
    <row r="24" spans="2:27" ht="12.6" thickTop="1">
      <c r="B24" s="5" t="s">
        <v>483</v>
      </c>
      <c r="C24" s="548">
        <v>2595.5742542500002</v>
      </c>
      <c r="D24" s="540">
        <v>2369.6657865400002</v>
      </c>
      <c r="E24" s="540">
        <v>2545.9002480916238</v>
      </c>
      <c r="F24" s="540">
        <v>2587.5065828564047</v>
      </c>
      <c r="G24" s="540">
        <v>2614.2953802141365</v>
      </c>
      <c r="H24" s="279">
        <f t="shared" si="4"/>
        <v>3.3290696399814745E-2</v>
      </c>
      <c r="I24" s="249"/>
      <c r="J24" s="17"/>
      <c r="K24" s="17"/>
      <c r="L24" s="17"/>
      <c r="M24" s="17"/>
      <c r="N24" s="17"/>
      <c r="O24" s="248"/>
      <c r="S24" s="88"/>
      <c r="T24" s="42"/>
      <c r="U24" s="42"/>
      <c r="V24" s="42"/>
      <c r="W24" s="42" t="s">
        <v>76</v>
      </c>
      <c r="X24" s="42" t="s">
        <v>254</v>
      </c>
      <c r="Y24" s="42"/>
      <c r="Z24" s="42"/>
      <c r="AA24" s="42"/>
    </row>
    <row r="25" spans="2:27">
      <c r="B25" s="5" t="s">
        <v>183</v>
      </c>
      <c r="C25" s="548">
        <v>1006.8006681700003</v>
      </c>
      <c r="D25" s="540">
        <v>730.79473626000026</v>
      </c>
      <c r="E25" s="540">
        <v>756.09987415406295</v>
      </c>
      <c r="F25" s="540">
        <v>757.88344971764445</v>
      </c>
      <c r="G25" s="540">
        <v>862.78359977537298</v>
      </c>
      <c r="H25" s="279">
        <f t="shared" si="4"/>
        <v>5.6903875069172605E-2</v>
      </c>
      <c r="I25" s="248"/>
      <c r="J25" s="247" t="s">
        <v>10</v>
      </c>
      <c r="K25" s="247"/>
      <c r="L25" s="321">
        <v>-146.80064000000016</v>
      </c>
      <c r="M25" s="321">
        <v>-146.80064000000016</v>
      </c>
      <c r="N25" s="321">
        <v>-146.80064000000016</v>
      </c>
      <c r="O25" s="321">
        <v>0</v>
      </c>
      <c r="P25" s="279" t="str">
        <f>IF(L25=0,"nm",IF(O25=0,"nm",(O25/L25)^(1/3)-1))</f>
        <v>nm</v>
      </c>
      <c r="S25" s="88"/>
      <c r="T25" s="42"/>
      <c r="U25" s="42"/>
      <c r="V25" s="147" t="s">
        <v>273</v>
      </c>
      <c r="W25" s="288">
        <f>D37/L9</f>
        <v>0.87153778432445506</v>
      </c>
      <c r="X25" s="288">
        <v>1</v>
      </c>
      <c r="Y25" s="42"/>
      <c r="Z25" s="42"/>
      <c r="AA25" s="42"/>
    </row>
    <row r="26" spans="2:27">
      <c r="B26" s="5" t="s">
        <v>586</v>
      </c>
      <c r="C26" s="548">
        <v>765.16850780920026</v>
      </c>
      <c r="D26" s="540">
        <v>555.40399955760017</v>
      </c>
      <c r="E26" s="540">
        <v>574.63590435708784</v>
      </c>
      <c r="F26" s="540">
        <v>575.99142178540978</v>
      </c>
      <c r="G26" s="540">
        <v>655.71553582928345</v>
      </c>
      <c r="H26" s="279">
        <f t="shared" si="4"/>
        <v>5.6903875069172605E-2</v>
      </c>
      <c r="I26" s="249"/>
      <c r="J26" s="249" t="s">
        <v>11</v>
      </c>
      <c r="K26" s="249"/>
      <c r="L26" s="281">
        <f>D11+L25</f>
        <v>6179.8376599999983</v>
      </c>
      <c r="M26" s="281">
        <f>E11+M25</f>
        <v>5599.2788108339801</v>
      </c>
      <c r="N26" s="281">
        <f>F11+N25</f>
        <v>5076.7758465845627</v>
      </c>
      <c r="O26" s="281">
        <f>G11+O25</f>
        <v>4753.3238187600873</v>
      </c>
      <c r="P26" s="279">
        <f>IF(L26=0,"nm",IF(O26=0,"nm",(O26/L26)^(1/3)-1))</f>
        <v>-8.3765209782473149E-2</v>
      </c>
      <c r="Q26" s="5"/>
      <c r="S26" s="88"/>
      <c r="T26" s="42"/>
      <c r="U26" s="42"/>
      <c r="V26" s="147" t="s">
        <v>184</v>
      </c>
      <c r="W26" s="288">
        <f t="shared" ref="W26:W33" si="6">D38/L10</f>
        <v>0.85302331248620888</v>
      </c>
      <c r="X26" s="288">
        <v>1</v>
      </c>
      <c r="Y26" s="42"/>
      <c r="Z26" s="42"/>
      <c r="AA26" s="42"/>
    </row>
    <row r="27" spans="2:27">
      <c r="B27" s="5" t="s">
        <v>587</v>
      </c>
      <c r="C27" s="548">
        <v>22008.022394626365</v>
      </c>
      <c r="D27" s="540">
        <v>23531.122381058842</v>
      </c>
      <c r="E27" s="540">
        <v>22461.309598934549</v>
      </c>
      <c r="F27" s="540">
        <v>22097.103204277049</v>
      </c>
      <c r="G27" s="540">
        <v>22029.000033052835</v>
      </c>
      <c r="H27" s="279">
        <f t="shared" si="4"/>
        <v>-2.1748069353669686E-2</v>
      </c>
      <c r="I27" s="249"/>
      <c r="J27" s="248"/>
      <c r="K27" s="248"/>
      <c r="L27" s="248"/>
      <c r="M27" s="248"/>
      <c r="N27" s="248"/>
      <c r="O27" s="248"/>
      <c r="Q27" s="41"/>
      <c r="S27" s="88"/>
      <c r="T27" s="42"/>
      <c r="U27" s="42"/>
      <c r="V27" s="147" t="s">
        <v>185</v>
      </c>
      <c r="W27" s="288">
        <f t="shared" si="6"/>
        <v>1.1465895057329392</v>
      </c>
      <c r="X27" s="288">
        <v>1</v>
      </c>
      <c r="Y27" s="42"/>
      <c r="Z27" s="42"/>
      <c r="AA27" s="42"/>
    </row>
    <row r="28" spans="2:27" ht="12.6" thickBot="1">
      <c r="B28" s="5" t="s">
        <v>592</v>
      </c>
      <c r="C28" s="548">
        <v>12827.616830753372</v>
      </c>
      <c r="D28" s="540">
        <v>13872.497273934934</v>
      </c>
      <c r="E28" s="540">
        <v>14444.29398707399</v>
      </c>
      <c r="F28" s="540">
        <v>14946.521532050401</v>
      </c>
      <c r="G28" s="540">
        <v>14946.521532050401</v>
      </c>
      <c r="H28" s="279">
        <f t="shared" si="4"/>
        <v>2.5168282883760718E-2</v>
      </c>
      <c r="I28" s="248"/>
      <c r="J28" s="306" t="s">
        <v>1362</v>
      </c>
      <c r="K28" s="306"/>
      <c r="L28" s="306"/>
      <c r="M28" s="306"/>
      <c r="N28" s="266"/>
      <c r="O28" s="266"/>
      <c r="P28" s="266"/>
      <c r="Q28" s="5"/>
      <c r="S28" s="88"/>
      <c r="T28" s="42"/>
      <c r="U28" s="42"/>
      <c r="V28" s="147" t="s">
        <v>466</v>
      </c>
      <c r="W28" s="288">
        <f t="shared" si="6"/>
        <v>1.0956635249471161</v>
      </c>
      <c r="X28" s="288">
        <v>1</v>
      </c>
      <c r="Y28" s="42"/>
      <c r="Z28" s="42"/>
      <c r="AA28" s="42"/>
    </row>
    <row r="29" spans="2:27" ht="12.6" thickTop="1">
      <c r="B29" s="5" t="s">
        <v>588</v>
      </c>
      <c r="C29" s="548">
        <v>698.92438868817271</v>
      </c>
      <c r="D29" s="540">
        <v>621.49760465058102</v>
      </c>
      <c r="E29" s="540">
        <v>472.06251536003128</v>
      </c>
      <c r="F29" s="540">
        <v>515.99145846467161</v>
      </c>
      <c r="G29" s="540">
        <v>748.03089028712748</v>
      </c>
      <c r="H29" s="279">
        <f>IF(D29=0,"nm",IF(G29=0,"nm",(G29/D29)^(1/3)-1))</f>
        <v>6.3718447791905053E-2</v>
      </c>
      <c r="I29" s="252"/>
      <c r="J29" s="249"/>
      <c r="K29" s="249"/>
      <c r="L29" s="249"/>
      <c r="M29" s="249"/>
      <c r="N29" s="249"/>
      <c r="O29" s="251"/>
      <c r="Q29" s="5"/>
      <c r="S29" s="88"/>
      <c r="T29" s="42"/>
      <c r="U29" s="42"/>
      <c r="V29" s="147" t="s">
        <v>530</v>
      </c>
      <c r="W29" s="288">
        <f t="shared" si="6"/>
        <v>0.61781390173709394</v>
      </c>
      <c r="X29" s="288">
        <v>1</v>
      </c>
      <c r="Y29" s="42"/>
      <c r="Z29" s="42"/>
      <c r="AA29" s="42"/>
    </row>
    <row r="30" spans="2:27">
      <c r="B30" s="5" t="s">
        <v>589</v>
      </c>
      <c r="C30" s="548">
        <v>1033.9753620547685</v>
      </c>
      <c r="D30" s="540">
        <v>-1033.500367048</v>
      </c>
      <c r="E30" s="540">
        <v>-478.20285378200549</v>
      </c>
      <c r="F30" s="540">
        <v>-414.6850953375282</v>
      </c>
      <c r="G30" s="540">
        <v>-285.82367346951014</v>
      </c>
      <c r="H30" s="279">
        <f t="shared" si="4"/>
        <v>-0.34847784702970741</v>
      </c>
      <c r="I30" s="254"/>
      <c r="J30" s="248"/>
      <c r="K30" s="248"/>
      <c r="L30" s="248"/>
      <c r="M30" s="248"/>
      <c r="N30" s="248"/>
      <c r="O30" s="5"/>
      <c r="Q30" s="5"/>
      <c r="S30" s="88"/>
      <c r="T30" s="42"/>
      <c r="U30" s="42"/>
      <c r="V30" s="147" t="s">
        <v>593</v>
      </c>
      <c r="W30" s="288">
        <f t="shared" si="6"/>
        <v>0.43354128975982981</v>
      </c>
      <c r="X30" s="288">
        <v>1</v>
      </c>
      <c r="Y30" s="42"/>
      <c r="Z30" s="42"/>
      <c r="AA30" s="42"/>
    </row>
    <row r="31" spans="2:27">
      <c r="B31" s="5" t="s">
        <v>590</v>
      </c>
      <c r="C31" s="548">
        <v>0</v>
      </c>
      <c r="D31" s="540">
        <v>0</v>
      </c>
      <c r="E31" s="540">
        <v>0</v>
      </c>
      <c r="F31" s="540">
        <v>0</v>
      </c>
      <c r="G31" s="540">
        <v>0</v>
      </c>
      <c r="H31" s="279" t="str">
        <f t="shared" si="4"/>
        <v>nm</v>
      </c>
      <c r="I31" s="254"/>
      <c r="J31" s="252"/>
      <c r="K31" s="252"/>
      <c r="L31" s="252"/>
      <c r="M31" s="252"/>
      <c r="N31" s="252"/>
      <c r="O31" s="5"/>
      <c r="Q31" s="5"/>
      <c r="S31" s="88"/>
      <c r="T31" s="42"/>
      <c r="U31" s="42"/>
      <c r="V31" s="147" t="s">
        <v>475</v>
      </c>
      <c r="W31" s="288">
        <f t="shared" si="6"/>
        <v>0.59305061206422305</v>
      </c>
      <c r="X31" s="288">
        <v>1</v>
      </c>
      <c r="Y31" s="42"/>
      <c r="Z31" s="42"/>
      <c r="AA31" s="42"/>
    </row>
    <row r="32" spans="2:27">
      <c r="B32" s="5" t="s">
        <v>606</v>
      </c>
      <c r="C32" s="550">
        <v>0</v>
      </c>
      <c r="D32" s="540">
        <v>0</v>
      </c>
      <c r="E32" s="540">
        <v>0</v>
      </c>
      <c r="F32" s="540">
        <v>0</v>
      </c>
      <c r="G32" s="540">
        <v>0</v>
      </c>
      <c r="H32" s="279" t="str">
        <f t="shared" si="4"/>
        <v>nm</v>
      </c>
      <c r="I32" s="254"/>
      <c r="J32" s="254"/>
      <c r="K32" s="254"/>
      <c r="L32" s="254"/>
      <c r="M32" s="254"/>
      <c r="N32" s="254"/>
      <c r="O32" s="251"/>
      <c r="Q32" s="5"/>
      <c r="S32" s="88"/>
      <c r="T32" s="42"/>
      <c r="U32" s="42"/>
      <c r="V32" s="147" t="s">
        <v>533</v>
      </c>
      <c r="W32" s="288">
        <f t="shared" si="6"/>
        <v>-0.40994171378159483</v>
      </c>
      <c r="X32" s="288">
        <v>1</v>
      </c>
      <c r="Y32" s="42"/>
      <c r="Z32" s="42"/>
      <c r="AA32" s="42"/>
    </row>
    <row r="33" spans="2:27">
      <c r="B33" s="5" t="s">
        <v>5</v>
      </c>
      <c r="C33" s="548">
        <v>415</v>
      </c>
      <c r="D33" s="540">
        <v>344</v>
      </c>
      <c r="E33" s="540">
        <v>328.78328636646802</v>
      </c>
      <c r="F33" s="540">
        <v>314.07574751284619</v>
      </c>
      <c r="G33" s="540">
        <v>318.30548406350312</v>
      </c>
      <c r="H33" s="279">
        <f>IF(D33=0,"nm",IF(G33=0,"nm",(G33/D33)^(1/3)-1))</f>
        <v>-2.5544765520772117E-2</v>
      </c>
      <c r="I33" s="5"/>
      <c r="J33" s="254"/>
      <c r="K33" s="254"/>
      <c r="L33" s="254"/>
      <c r="M33" s="254"/>
      <c r="N33" s="254"/>
      <c r="O33" s="251"/>
      <c r="Q33" s="5"/>
      <c r="S33" s="88"/>
      <c r="T33" s="42"/>
      <c r="U33" s="42"/>
      <c r="V33" s="147" t="s">
        <v>580</v>
      </c>
      <c r="W33" s="288">
        <f t="shared" si="6"/>
        <v>0</v>
      </c>
      <c r="X33" s="288">
        <v>1</v>
      </c>
      <c r="Y33" s="42"/>
      <c r="Z33" s="42"/>
      <c r="AA33" s="42"/>
    </row>
    <row r="34" spans="2:27">
      <c r="B34" s="5"/>
      <c r="C34" s="247"/>
      <c r="D34" s="17"/>
      <c r="E34" s="17"/>
      <c r="F34" s="17"/>
      <c r="G34" s="17"/>
      <c r="H34" s="277"/>
      <c r="I34" s="49"/>
      <c r="J34" s="254"/>
      <c r="K34" s="254"/>
      <c r="L34" s="254"/>
      <c r="M34" s="254"/>
      <c r="N34" s="254"/>
      <c r="O34" s="251"/>
      <c r="Q34" s="5"/>
      <c r="S34" s="88"/>
      <c r="T34" s="42"/>
      <c r="U34" s="42"/>
      <c r="V34" s="147" t="s">
        <v>581</v>
      </c>
      <c r="W34" s="288">
        <f>D47/L19</f>
        <v>1.6861967253002472</v>
      </c>
      <c r="X34" s="288">
        <v>1</v>
      </c>
      <c r="Y34" s="288"/>
      <c r="Z34" s="288"/>
      <c r="AA34" s="42"/>
    </row>
    <row r="35" spans="2:27" ht="12.6" thickBot="1">
      <c r="B35" s="306" t="s">
        <v>268</v>
      </c>
      <c r="C35" s="265"/>
      <c r="D35" s="265" t="str">
        <f>D5</f>
        <v>2023E</v>
      </c>
      <c r="E35" s="265" t="str">
        <f t="shared" ref="E35:H35" si="7">E5</f>
        <v>2024E</v>
      </c>
      <c r="F35" s="265" t="str">
        <f t="shared" si="7"/>
        <v>2025E</v>
      </c>
      <c r="G35" s="265" t="str">
        <f t="shared" si="7"/>
        <v>2026E</v>
      </c>
      <c r="H35" s="265" t="str">
        <f t="shared" si="7"/>
        <v>23E-26E</v>
      </c>
      <c r="I35" s="254"/>
      <c r="J35" s="5"/>
      <c r="K35" s="5"/>
      <c r="L35" s="5"/>
      <c r="M35" s="5"/>
      <c r="N35" s="5"/>
      <c r="O35" s="5"/>
      <c r="Q35" s="5"/>
      <c r="S35" s="88"/>
      <c r="T35" s="42"/>
      <c r="U35" s="42"/>
      <c r="V35" s="42"/>
      <c r="W35" s="42"/>
      <c r="X35" s="42"/>
      <c r="Y35" s="288"/>
      <c r="Z35" s="288"/>
      <c r="AA35" s="42"/>
    </row>
    <row r="36" spans="2:27" ht="12.6" thickTop="1">
      <c r="B36" s="41"/>
      <c r="C36" s="249"/>
      <c r="D36" s="254"/>
      <c r="E36" s="254"/>
      <c r="F36" s="254"/>
      <c r="G36" s="254"/>
      <c r="H36" s="254"/>
      <c r="I36" s="17"/>
      <c r="J36" s="49"/>
      <c r="K36" s="49"/>
      <c r="L36" s="49"/>
      <c r="M36" s="49"/>
      <c r="N36" s="49"/>
      <c r="O36" s="49"/>
      <c r="Q36" s="5"/>
      <c r="S36" s="88"/>
      <c r="T36" s="42"/>
      <c r="U36" s="42"/>
      <c r="V36" s="42"/>
      <c r="W36" s="42"/>
      <c r="X36" s="42"/>
      <c r="Y36" s="288"/>
      <c r="Z36" s="288"/>
      <c r="AA36" s="42"/>
    </row>
    <row r="37" spans="2:27">
      <c r="B37" s="5" t="s">
        <v>273</v>
      </c>
      <c r="C37" s="247"/>
      <c r="D37" s="529">
        <f>D$18/D23</f>
        <v>1.4168940122849354</v>
      </c>
      <c r="E37" s="529">
        <f t="shared" ref="E37:G41" si="8">E$18/E23</f>
        <v>1.276922729118158</v>
      </c>
      <c r="F37" s="529">
        <f t="shared" si="8"/>
        <v>1.2237147224943783</v>
      </c>
      <c r="G37" s="529">
        <f t="shared" si="8"/>
        <v>1.1477252850213759</v>
      </c>
      <c r="H37" s="17">
        <f t="shared" ref="H37:H45" si="9">H23</f>
        <v>4.7359329141771767E-4</v>
      </c>
      <c r="I37" s="5"/>
      <c r="J37" s="259"/>
      <c r="K37" s="259"/>
      <c r="L37" s="259"/>
      <c r="M37" s="259"/>
      <c r="N37" s="259"/>
      <c r="O37" s="18"/>
      <c r="Q37" s="5"/>
      <c r="R37" s="5"/>
      <c r="S37" s="42"/>
      <c r="T37" s="42"/>
      <c r="U37" s="42"/>
      <c r="V37" s="42"/>
      <c r="W37" s="42"/>
      <c r="X37" s="42"/>
      <c r="Y37" s="42"/>
      <c r="Z37" s="42"/>
      <c r="AA37" s="42"/>
    </row>
    <row r="38" spans="2:27">
      <c r="B38" s="5" t="s">
        <v>184</v>
      </c>
      <c r="C38" s="247"/>
      <c r="D38" s="529">
        <f>D$18/D24</f>
        <v>4.503558270598222</v>
      </c>
      <c r="E38" s="529">
        <f>E$18/E24</f>
        <v>3.7611849255522163</v>
      </c>
      <c r="F38" s="529">
        <f>F$18/F24</f>
        <v>3.5536972997128</v>
      </c>
      <c r="G38" s="529">
        <f>G$18/G24</f>
        <v>3.3113547087889246</v>
      </c>
      <c r="H38" s="17">
        <f t="shared" si="9"/>
        <v>3.3290696399814745E-2</v>
      </c>
      <c r="I38" s="259"/>
      <c r="J38" s="17"/>
      <c r="K38" s="17"/>
      <c r="L38" s="17"/>
      <c r="M38" s="17"/>
      <c r="N38" s="17"/>
      <c r="O38" s="5"/>
      <c r="Q38" s="5"/>
      <c r="R38" s="5"/>
      <c r="S38" s="42"/>
      <c r="T38" s="42"/>
      <c r="U38" s="42"/>
      <c r="V38" s="42"/>
      <c r="W38" s="42"/>
      <c r="X38" s="42"/>
      <c r="Y38" s="42"/>
      <c r="Z38" s="42"/>
      <c r="AA38" s="42"/>
    </row>
    <row r="39" spans="2:27">
      <c r="B39" s="5" t="s">
        <v>185</v>
      </c>
      <c r="C39" s="247"/>
      <c r="D39" s="529">
        <f>D$18/D25</f>
        <v>14.603181197146757</v>
      </c>
      <c r="E39" s="529">
        <f t="shared" si="8"/>
        <v>12.664466643107438</v>
      </c>
      <c r="F39" s="529">
        <f t="shared" si="8"/>
        <v>12.132756243604014</v>
      </c>
      <c r="G39" s="529">
        <f t="shared" si="8"/>
        <v>10.033639164781341</v>
      </c>
      <c r="H39" s="17">
        <f t="shared" si="9"/>
        <v>5.6903875069172605E-2</v>
      </c>
      <c r="I39" s="17"/>
      <c r="J39" s="5"/>
      <c r="K39" s="5"/>
      <c r="L39" s="5"/>
      <c r="M39" s="5"/>
      <c r="N39" s="5"/>
      <c r="O39" s="5"/>
      <c r="Q39" s="5"/>
      <c r="R39" s="5"/>
      <c r="S39" s="42"/>
      <c r="T39" s="42"/>
      <c r="U39" s="42"/>
      <c r="V39" s="42"/>
      <c r="W39" s="42"/>
      <c r="X39" s="42"/>
      <c r="Y39" s="42"/>
      <c r="Z39" s="42"/>
      <c r="AA39" s="42"/>
    </row>
    <row r="40" spans="2:27">
      <c r="B40" s="5" t="s">
        <v>466</v>
      </c>
      <c r="C40" s="247"/>
      <c r="D40" s="529">
        <f>D$18/D26</f>
        <v>19.214712101508891</v>
      </c>
      <c r="E40" s="529">
        <f t="shared" si="8"/>
        <v>16.663771898825576</v>
      </c>
      <c r="F40" s="529">
        <f t="shared" si="8"/>
        <v>15.964152952110545</v>
      </c>
      <c r="G40" s="529">
        <f t="shared" si="8"/>
        <v>13.202156795764923</v>
      </c>
      <c r="H40" s="17">
        <f t="shared" si="9"/>
        <v>5.6903875069172605E-2</v>
      </c>
      <c r="I40" s="5"/>
      <c r="J40" s="259"/>
      <c r="K40" s="259"/>
      <c r="L40" s="259"/>
      <c r="M40" s="259"/>
      <c r="N40" s="259"/>
      <c r="O40" s="18"/>
      <c r="Q40" s="5"/>
      <c r="R40" s="5"/>
      <c r="S40" s="42"/>
      <c r="T40" s="42"/>
      <c r="U40" s="42"/>
      <c r="V40" s="42"/>
      <c r="W40" s="288"/>
      <c r="X40" s="288"/>
      <c r="Y40" s="42"/>
      <c r="Z40" s="42"/>
      <c r="AA40" s="42"/>
    </row>
    <row r="41" spans="2:27">
      <c r="B41" s="5" t="s">
        <v>530</v>
      </c>
      <c r="C41" s="247"/>
      <c r="D41" s="529">
        <f>D$18/D27</f>
        <v>0.45352396620554436</v>
      </c>
      <c r="E41" s="529">
        <f t="shared" si="8"/>
        <v>0.42631537546395248</v>
      </c>
      <c r="F41" s="529">
        <f t="shared" si="8"/>
        <v>0.41612762865252406</v>
      </c>
      <c r="G41" s="529">
        <f t="shared" si="8"/>
        <v>0.39297559146798561</v>
      </c>
      <c r="H41" s="17">
        <f t="shared" si="9"/>
        <v>-2.1748069353669686E-2</v>
      </c>
      <c r="I41" s="247"/>
      <c r="J41" s="17"/>
      <c r="K41" s="17"/>
      <c r="L41" s="17"/>
      <c r="M41" s="17"/>
      <c r="N41" s="17"/>
      <c r="O41" s="5"/>
      <c r="Q41" s="5"/>
      <c r="R41" s="5"/>
      <c r="S41" s="42"/>
      <c r="T41" s="42"/>
      <c r="U41" s="42"/>
      <c r="V41" s="42"/>
      <c r="W41" s="288"/>
      <c r="X41" s="288"/>
      <c r="Y41" s="288"/>
      <c r="Z41" s="288"/>
      <c r="AA41" s="42"/>
    </row>
    <row r="42" spans="2:27">
      <c r="B42" s="5" t="s">
        <v>593</v>
      </c>
      <c r="C42" s="247"/>
      <c r="D42" s="529">
        <f>D18/D28</f>
        <v>0.76928672183467406</v>
      </c>
      <c r="E42" s="529">
        <f>E18/E28</f>
        <v>0.6629331723413372</v>
      </c>
      <c r="F42" s="529">
        <f>F18/F28</f>
        <v>0.61520770145536841</v>
      </c>
      <c r="G42" s="529">
        <f>G18/G28</f>
        <v>0.57918889681950247</v>
      </c>
      <c r="H42" s="17">
        <f t="shared" si="9"/>
        <v>2.5168282883760718E-2</v>
      </c>
      <c r="I42" s="248"/>
      <c r="J42" s="5"/>
      <c r="K42" s="5"/>
      <c r="L42" s="5"/>
      <c r="M42" s="5"/>
      <c r="N42" s="5"/>
      <c r="O42" s="5"/>
      <c r="Q42" s="5"/>
      <c r="R42" s="5"/>
      <c r="S42" s="42"/>
      <c r="T42" s="42"/>
      <c r="U42" s="42"/>
      <c r="V42" s="42"/>
      <c r="W42" s="288"/>
      <c r="X42" s="288"/>
      <c r="Y42" s="288"/>
      <c r="Z42" s="288"/>
      <c r="AA42" s="42"/>
    </row>
    <row r="43" spans="2:27">
      <c r="B43" s="5" t="s">
        <v>475</v>
      </c>
      <c r="C43" s="247"/>
      <c r="D43" s="529">
        <f>L26/D29</f>
        <v>9.9434617507084884</v>
      </c>
      <c r="E43" s="529">
        <f>M26/E29</f>
        <v>11.861307832424563</v>
      </c>
      <c r="F43" s="529">
        <f>N26/F29</f>
        <v>9.8388757474599835</v>
      </c>
      <c r="G43" s="529">
        <f>O26/G29</f>
        <v>6.3544485668707482</v>
      </c>
      <c r="H43" s="17">
        <f t="shared" si="9"/>
        <v>6.3718447791905053E-2</v>
      </c>
      <c r="I43" s="247"/>
      <c r="J43" s="247"/>
      <c r="K43" s="247"/>
      <c r="L43" s="247"/>
      <c r="M43" s="247"/>
      <c r="N43" s="247"/>
      <c r="O43" s="18"/>
      <c r="Q43" s="5"/>
      <c r="R43" s="5"/>
      <c r="S43" s="42"/>
      <c r="T43" s="42"/>
      <c r="U43" s="42"/>
      <c r="V43" s="42"/>
      <c r="W43" s="288"/>
      <c r="X43" s="288"/>
      <c r="Y43" s="288"/>
      <c r="Z43" s="288"/>
      <c r="AA43" s="42"/>
    </row>
    <row r="44" spans="2:27">
      <c r="B44" s="5" t="s">
        <v>533</v>
      </c>
      <c r="C44" s="69"/>
      <c r="D44" s="529">
        <f>D11/D30</f>
        <v>-6.121563670142522</v>
      </c>
      <c r="E44" s="529">
        <f>E11/E30</f>
        <v>-12.01598736893653</v>
      </c>
      <c r="F44" s="529">
        <f>F11/F30</f>
        <v>-12.596489590089783</v>
      </c>
      <c r="G44" s="529">
        <f>G11/G30</f>
        <v>-16.6302663493937</v>
      </c>
      <c r="H44" s="17">
        <f t="shared" si="9"/>
        <v>-0.34847784702970741</v>
      </c>
      <c r="I44" s="247"/>
      <c r="J44" s="248"/>
      <c r="K44" s="248"/>
      <c r="L44" s="248"/>
      <c r="M44" s="248"/>
      <c r="N44" s="248"/>
      <c r="O44" s="248"/>
      <c r="Q44" s="5"/>
      <c r="R44" s="5"/>
      <c r="S44" s="42"/>
      <c r="T44" s="42"/>
      <c r="U44" s="42"/>
      <c r="V44" s="42"/>
      <c r="W44" s="325"/>
      <c r="X44" s="325"/>
      <c r="Y44" s="288"/>
      <c r="Z44" s="288"/>
      <c r="AA44" s="42"/>
    </row>
    <row r="45" spans="2:27">
      <c r="B45" s="5" t="s">
        <v>580</v>
      </c>
      <c r="C45" s="247"/>
      <c r="D45" s="248">
        <f>D31/D11</f>
        <v>0</v>
      </c>
      <c r="E45" s="248">
        <f>E31/E11</f>
        <v>0</v>
      </c>
      <c r="F45" s="248">
        <f>F31/F11</f>
        <v>0</v>
      </c>
      <c r="G45" s="248">
        <f>G31/G11</f>
        <v>0</v>
      </c>
      <c r="H45" s="17" t="str">
        <f t="shared" si="9"/>
        <v>nm</v>
      </c>
      <c r="I45" s="248"/>
      <c r="J45" s="247"/>
      <c r="K45" s="247"/>
      <c r="L45" s="247"/>
      <c r="M45" s="247"/>
      <c r="N45" s="247"/>
      <c r="O45" s="248"/>
      <c r="Q45" s="5"/>
      <c r="R45" s="5"/>
      <c r="S45" s="42"/>
      <c r="T45" s="42"/>
      <c r="U45" s="42"/>
      <c r="V45" s="42"/>
      <c r="W45" s="42"/>
      <c r="X45" s="42"/>
      <c r="Y45" s="325"/>
      <c r="Z45" s="325"/>
      <c r="AA45" s="42"/>
    </row>
    <row r="46" spans="2:27">
      <c r="B46" s="5" t="s">
        <v>605</v>
      </c>
      <c r="C46" s="247"/>
      <c r="D46" s="248">
        <f>(D31+D32)/D11</f>
        <v>0</v>
      </c>
      <c r="E46" s="248">
        <f>(E31+E32)/E11</f>
        <v>0</v>
      </c>
      <c r="F46" s="248">
        <f>(F31+F32)/F11</f>
        <v>0</v>
      </c>
      <c r="G46" s="248">
        <f>(G31+G32)/G11</f>
        <v>0</v>
      </c>
      <c r="H46" s="279" t="e">
        <f>((G31+G32)/(D31+D32))^(1/3)-1</f>
        <v>#DIV/0!</v>
      </c>
      <c r="I46" s="247"/>
      <c r="J46" s="247"/>
      <c r="K46" s="247"/>
      <c r="L46" s="247"/>
      <c r="M46" s="247"/>
      <c r="N46" s="247"/>
      <c r="O46" s="18"/>
      <c r="Q46" s="5"/>
      <c r="R46" s="5"/>
      <c r="S46" s="42"/>
      <c r="T46" s="42"/>
      <c r="U46" s="42"/>
      <c r="V46" s="42"/>
      <c r="W46" s="42"/>
      <c r="X46" s="42"/>
      <c r="Y46" s="42"/>
      <c r="Z46" s="42"/>
      <c r="AA46" s="326"/>
    </row>
    <row r="47" spans="2:27">
      <c r="B47" s="5" t="s">
        <v>581</v>
      </c>
      <c r="C47" s="5"/>
      <c r="D47" s="248">
        <f>1/D43</f>
        <v>0.10056859724217759</v>
      </c>
      <c r="E47" s="248">
        <f>1/E43</f>
        <v>8.4307735211656715E-2</v>
      </c>
      <c r="F47" s="248">
        <f>1/F43</f>
        <v>0.10163762869534776</v>
      </c>
      <c r="G47" s="248">
        <f>1/G43</f>
        <v>0.15737006751672405</v>
      </c>
      <c r="H47" s="17">
        <f>H29</f>
        <v>6.3718447791905053E-2</v>
      </c>
      <c r="I47" s="17"/>
      <c r="J47" s="248"/>
      <c r="K47" s="248"/>
      <c r="L47" s="248"/>
      <c r="M47" s="248"/>
      <c r="N47" s="248"/>
      <c r="O47" s="248"/>
      <c r="Q47" s="5"/>
      <c r="R47" s="5"/>
      <c r="S47" s="42"/>
      <c r="T47" s="42"/>
      <c r="U47" s="42"/>
      <c r="V47" s="42"/>
      <c r="W47" s="42"/>
      <c r="X47" s="42"/>
      <c r="Y47" s="42"/>
      <c r="Z47" s="42"/>
      <c r="AA47" s="326"/>
    </row>
    <row r="48" spans="2:27">
      <c r="B48" s="5" t="s">
        <v>618</v>
      </c>
      <c r="C48" s="5"/>
      <c r="D48" s="305">
        <f>D31/D29</f>
        <v>0</v>
      </c>
      <c r="E48" s="305">
        <f>E31/E29</f>
        <v>0</v>
      </c>
      <c r="F48" s="305">
        <f>F31/F29</f>
        <v>0</v>
      </c>
      <c r="G48" s="305">
        <f>G31/G29</f>
        <v>0</v>
      </c>
      <c r="H48" s="279" t="s">
        <v>607</v>
      </c>
      <c r="I48" s="247"/>
      <c r="J48" s="247"/>
      <c r="K48" s="247"/>
      <c r="L48" s="247"/>
      <c r="M48" s="247"/>
      <c r="N48" s="247"/>
      <c r="O48" s="248"/>
      <c r="Q48" s="5"/>
      <c r="R48" s="5"/>
      <c r="S48" s="42"/>
      <c r="T48" s="42"/>
      <c r="U48" s="42"/>
      <c r="V48" s="42"/>
      <c r="W48" s="42"/>
      <c r="X48" s="42"/>
      <c r="Y48" s="42"/>
      <c r="Z48" s="42"/>
      <c r="AA48" s="326"/>
    </row>
    <row r="49" spans="2:27">
      <c r="B49" s="41"/>
      <c r="C49" s="17"/>
      <c r="D49" s="17"/>
      <c r="E49" s="17"/>
      <c r="F49" s="17"/>
      <c r="G49" s="17"/>
      <c r="H49" s="17"/>
      <c r="I49" s="254"/>
      <c r="J49" s="17"/>
      <c r="K49" s="17"/>
      <c r="L49" s="17"/>
      <c r="M49" s="17"/>
      <c r="N49" s="17"/>
      <c r="O49" s="248"/>
      <c r="Q49" s="5"/>
      <c r="R49" s="5"/>
      <c r="S49" s="42"/>
      <c r="T49" s="42"/>
      <c r="U49" s="42"/>
      <c r="V49" s="42"/>
      <c r="W49" s="42"/>
      <c r="X49" s="42"/>
      <c r="Y49" s="42"/>
      <c r="Z49" s="42"/>
      <c r="AA49" s="326"/>
    </row>
    <row r="50" spans="2:27">
      <c r="B50" s="5"/>
      <c r="C50" s="257"/>
      <c r="D50" s="257"/>
      <c r="E50" s="257"/>
      <c r="F50" s="5"/>
      <c r="G50" s="41"/>
      <c r="H50" s="249"/>
      <c r="I50" s="17"/>
      <c r="J50" s="249"/>
      <c r="K50" s="249"/>
      <c r="L50" s="249"/>
      <c r="M50" s="249"/>
      <c r="N50" s="249"/>
      <c r="O50" s="250"/>
      <c r="Q50" s="5"/>
      <c r="R50" s="5"/>
      <c r="S50" s="42"/>
      <c r="T50" s="42"/>
      <c r="U50" s="42"/>
      <c r="V50" s="42"/>
      <c r="W50" s="288"/>
      <c r="X50" s="288"/>
      <c r="Y50" s="42"/>
      <c r="Z50" s="42"/>
      <c r="AA50" s="326"/>
    </row>
    <row r="51" spans="2:27">
      <c r="B51" s="41"/>
      <c r="C51" s="249"/>
      <c r="D51" s="254"/>
      <c r="E51" s="254"/>
      <c r="F51" s="254"/>
      <c r="G51" s="254"/>
      <c r="H51" s="254"/>
      <c r="I51" s="259"/>
      <c r="J51" s="254"/>
      <c r="K51" s="254"/>
      <c r="L51" s="254"/>
      <c r="M51" s="254"/>
      <c r="N51" s="254"/>
      <c r="O51" s="251"/>
      <c r="Q51" s="5"/>
      <c r="R51" s="5"/>
      <c r="S51" s="42"/>
      <c r="T51" s="42"/>
      <c r="U51" s="42"/>
      <c r="V51" s="42"/>
      <c r="W51" s="288"/>
      <c r="X51" s="288"/>
      <c r="Y51" s="288"/>
      <c r="Z51" s="288"/>
      <c r="AA51" s="42"/>
    </row>
    <row r="52" spans="2:27">
      <c r="B52" s="5"/>
      <c r="C52" s="257"/>
      <c r="D52" s="17"/>
      <c r="E52" s="17"/>
      <c r="F52" s="17"/>
      <c r="G52" s="17"/>
      <c r="H52" s="17"/>
      <c r="I52" s="254"/>
      <c r="J52" s="17"/>
      <c r="K52" s="17"/>
      <c r="L52" s="17"/>
      <c r="M52" s="17"/>
      <c r="N52" s="17"/>
      <c r="O52" s="248"/>
      <c r="Q52" s="5"/>
      <c r="R52" s="5"/>
      <c r="S52" s="5"/>
      <c r="Y52" s="10"/>
      <c r="Z52" s="10"/>
    </row>
    <row r="53" spans="2:27">
      <c r="B53" s="5"/>
      <c r="C53" s="257"/>
      <c r="D53" s="257"/>
      <c r="E53" s="257"/>
      <c r="F53" s="5"/>
      <c r="G53" s="5"/>
      <c r="H53" s="259"/>
      <c r="I53" s="17"/>
      <c r="J53" s="259"/>
      <c r="K53" s="259"/>
      <c r="L53" s="259"/>
      <c r="M53" s="259"/>
      <c r="N53" s="259"/>
      <c r="O53" s="18"/>
      <c r="Q53" s="5"/>
      <c r="R53" s="5"/>
      <c r="S53" s="5"/>
    </row>
    <row r="54" spans="2:27">
      <c r="B54" s="41"/>
      <c r="C54" s="249"/>
      <c r="D54" s="254"/>
      <c r="E54" s="254"/>
      <c r="F54" s="254"/>
      <c r="G54" s="254"/>
      <c r="H54" s="254"/>
      <c r="I54" s="259"/>
      <c r="J54" s="254"/>
      <c r="K54" s="254"/>
      <c r="L54" s="254"/>
      <c r="M54" s="254"/>
      <c r="N54" s="254"/>
      <c r="O54" s="251"/>
      <c r="Q54" s="5"/>
      <c r="R54" s="5"/>
      <c r="S54" s="5"/>
    </row>
    <row r="55" spans="2:27">
      <c r="B55" s="5"/>
      <c r="C55" s="257"/>
      <c r="D55" s="17"/>
      <c r="E55" s="17"/>
      <c r="F55" s="17"/>
      <c r="G55" s="17"/>
      <c r="H55" s="17"/>
      <c r="I55" s="249"/>
      <c r="J55" s="17"/>
      <c r="K55" s="17"/>
      <c r="L55" s="17"/>
      <c r="M55" s="17"/>
      <c r="N55" s="17"/>
      <c r="O55" s="18"/>
      <c r="Q55" s="5"/>
      <c r="R55" s="5"/>
      <c r="S55" s="5"/>
    </row>
    <row r="56" spans="2:27">
      <c r="B56" s="5"/>
      <c r="C56" s="248"/>
      <c r="D56" s="248"/>
      <c r="E56" s="248"/>
      <c r="F56" s="5"/>
      <c r="G56" s="5"/>
      <c r="H56" s="259"/>
      <c r="I56" s="248"/>
      <c r="J56" s="259"/>
      <c r="K56" s="259"/>
      <c r="L56" s="259"/>
      <c r="M56" s="259"/>
      <c r="N56" s="259"/>
      <c r="O56" s="18"/>
      <c r="Q56" s="5"/>
      <c r="R56" s="5"/>
      <c r="S56" s="5"/>
    </row>
    <row r="57" spans="2:27">
      <c r="B57" s="41"/>
      <c r="C57" s="249"/>
      <c r="D57" s="249"/>
      <c r="E57" s="249"/>
      <c r="F57" s="249"/>
      <c r="G57" s="249"/>
      <c r="H57" s="249"/>
      <c r="I57" s="5"/>
      <c r="J57" s="249"/>
      <c r="K57" s="249"/>
      <c r="L57" s="249"/>
      <c r="M57" s="249"/>
      <c r="N57" s="249"/>
      <c r="O57" s="251"/>
      <c r="Q57" s="5"/>
      <c r="R57" s="5"/>
      <c r="S57" s="5"/>
    </row>
    <row r="58" spans="2:27">
      <c r="B58" s="5"/>
      <c r="C58" s="5"/>
      <c r="D58" s="248"/>
      <c r="E58" s="248"/>
      <c r="F58" s="248"/>
      <c r="G58" s="248"/>
      <c r="H58" s="248"/>
      <c r="I58" s="17"/>
      <c r="J58" s="248"/>
      <c r="K58" s="248"/>
      <c r="L58" s="248"/>
      <c r="M58" s="248"/>
      <c r="N58" s="248"/>
      <c r="O58" s="18"/>
      <c r="Q58" s="5"/>
      <c r="R58" s="5"/>
      <c r="S58" s="5"/>
    </row>
    <row r="59" spans="2:27">
      <c r="B59" s="5"/>
      <c r="C59" s="5"/>
      <c r="D59" s="5"/>
      <c r="E59" s="5"/>
      <c r="F59" s="5"/>
      <c r="G59" s="5"/>
      <c r="H59" s="5"/>
      <c r="I59" s="5"/>
      <c r="J59" s="5"/>
      <c r="K59" s="5"/>
      <c r="L59" s="5"/>
      <c r="M59" s="5"/>
      <c r="N59" s="5"/>
      <c r="O59" s="5"/>
      <c r="Q59" s="5"/>
      <c r="R59" s="5"/>
      <c r="S59" s="5"/>
    </row>
    <row r="60" spans="2:27">
      <c r="B60" s="41"/>
      <c r="C60" s="17"/>
      <c r="D60" s="17"/>
      <c r="E60" s="17"/>
      <c r="F60" s="17"/>
      <c r="G60" s="17"/>
      <c r="H60" s="17"/>
      <c r="I60" s="249"/>
      <c r="J60" s="17"/>
      <c r="K60" s="17"/>
      <c r="L60" s="17"/>
      <c r="M60" s="17"/>
      <c r="N60" s="17"/>
      <c r="O60" s="251"/>
      <c r="Q60" s="5"/>
      <c r="R60" s="5"/>
      <c r="S60" s="5"/>
    </row>
    <row r="61" spans="2:27">
      <c r="B61" s="5"/>
      <c r="C61" s="5"/>
      <c r="D61" s="5"/>
      <c r="E61" s="5"/>
      <c r="F61" s="5"/>
      <c r="G61" s="5"/>
      <c r="H61" s="5"/>
      <c r="I61" s="5"/>
      <c r="J61" s="5"/>
      <c r="K61" s="5"/>
      <c r="L61" s="5"/>
      <c r="M61" s="5"/>
      <c r="N61" s="5"/>
      <c r="O61" s="5"/>
      <c r="Q61" s="41"/>
      <c r="R61" s="5"/>
      <c r="S61" s="5"/>
    </row>
    <row r="62" spans="2:27">
      <c r="B62" s="41"/>
      <c r="C62" s="249"/>
      <c r="D62" s="249"/>
      <c r="E62" s="249"/>
      <c r="F62" s="249"/>
      <c r="G62" s="249"/>
      <c r="H62" s="249"/>
      <c r="I62" s="5"/>
      <c r="J62" s="249"/>
      <c r="K62" s="249"/>
      <c r="L62" s="249"/>
      <c r="M62" s="249"/>
      <c r="N62" s="249"/>
      <c r="O62" s="251"/>
      <c r="Q62" s="5"/>
      <c r="R62" s="5"/>
      <c r="S62" s="5"/>
    </row>
    <row r="63" spans="2:27">
      <c r="B63" s="5"/>
      <c r="C63" s="5"/>
      <c r="D63" s="5"/>
      <c r="E63" s="5"/>
      <c r="F63" s="5"/>
      <c r="G63" s="5"/>
      <c r="H63" s="5"/>
      <c r="I63" s="254"/>
      <c r="J63" s="5"/>
      <c r="K63" s="5"/>
      <c r="L63" s="5"/>
      <c r="M63" s="5"/>
      <c r="N63" s="5"/>
      <c r="O63" s="5"/>
      <c r="Q63" s="5"/>
      <c r="R63" s="5"/>
      <c r="S63" s="5"/>
    </row>
    <row r="64" spans="2:27">
      <c r="B64" s="5"/>
      <c r="C64" s="5"/>
      <c r="D64" s="5"/>
      <c r="E64" s="5"/>
      <c r="F64" s="5"/>
      <c r="G64" s="5"/>
      <c r="H64" s="5"/>
      <c r="I64" s="17"/>
      <c r="J64" s="5"/>
      <c r="K64" s="5"/>
      <c r="L64" s="5"/>
      <c r="M64" s="5"/>
      <c r="N64" s="5"/>
      <c r="O64" s="5"/>
      <c r="Q64" s="5"/>
      <c r="R64" s="5"/>
      <c r="S64" s="5"/>
    </row>
    <row r="65" spans="2:26">
      <c r="B65" s="41"/>
      <c r="C65" s="249"/>
      <c r="D65" s="254"/>
      <c r="E65" s="254"/>
      <c r="F65" s="254"/>
      <c r="G65" s="254"/>
      <c r="H65" s="254"/>
      <c r="I65" s="254"/>
      <c r="J65" s="254"/>
      <c r="K65" s="254"/>
      <c r="L65" s="254"/>
      <c r="M65" s="254"/>
      <c r="N65" s="254"/>
      <c r="O65" s="251"/>
      <c r="Q65" s="5"/>
      <c r="R65" s="5"/>
      <c r="S65" s="5"/>
    </row>
    <row r="66" spans="2:26">
      <c r="B66" s="5"/>
      <c r="C66" s="5"/>
      <c r="D66" s="17"/>
      <c r="E66" s="17"/>
      <c r="F66" s="17"/>
      <c r="G66" s="17"/>
      <c r="H66" s="17"/>
      <c r="I66" s="248"/>
      <c r="J66" s="17"/>
      <c r="K66" s="17"/>
      <c r="L66" s="17"/>
      <c r="M66" s="17"/>
      <c r="N66" s="17"/>
      <c r="O66" s="5"/>
      <c r="Q66" s="5"/>
      <c r="R66" s="5"/>
      <c r="S66" s="5"/>
    </row>
    <row r="67" spans="2:26">
      <c r="B67" s="41"/>
      <c r="C67" s="249"/>
      <c r="D67" s="254"/>
      <c r="E67" s="254"/>
      <c r="F67" s="254"/>
      <c r="G67" s="254"/>
      <c r="H67" s="254"/>
      <c r="I67" s="5"/>
      <c r="J67" s="254"/>
      <c r="K67" s="254"/>
      <c r="L67" s="254"/>
      <c r="M67" s="254"/>
      <c r="N67" s="254"/>
      <c r="O67" s="251"/>
      <c r="Q67" s="41"/>
      <c r="R67" s="5"/>
      <c r="S67" s="5"/>
    </row>
    <row r="68" spans="2:26">
      <c r="B68" s="5"/>
      <c r="C68" s="5"/>
      <c r="D68" s="248"/>
      <c r="E68" s="248"/>
      <c r="F68" s="248"/>
      <c r="G68" s="248"/>
      <c r="H68" s="248"/>
      <c r="I68" s="245"/>
      <c r="J68" s="248"/>
      <c r="K68" s="248"/>
      <c r="L68" s="248"/>
      <c r="M68" s="248"/>
      <c r="N68" s="248"/>
      <c r="O68" s="5"/>
      <c r="Q68" s="5"/>
      <c r="R68" s="5"/>
      <c r="S68" s="5"/>
    </row>
    <row r="69" spans="2:26">
      <c r="B69" s="41"/>
      <c r="C69" s="5"/>
      <c r="D69" s="5"/>
      <c r="E69" s="5"/>
      <c r="F69" s="5"/>
      <c r="G69" s="5"/>
      <c r="H69" s="5"/>
      <c r="I69" s="248"/>
      <c r="J69" s="5"/>
      <c r="K69" s="5"/>
      <c r="L69" s="5"/>
      <c r="M69" s="5"/>
      <c r="N69" s="5"/>
      <c r="O69" s="5"/>
      <c r="Q69" s="5"/>
      <c r="R69" s="5"/>
      <c r="S69" s="5"/>
    </row>
    <row r="70" spans="2:26">
      <c r="B70" s="41"/>
      <c r="C70" s="245"/>
      <c r="D70" s="245"/>
      <c r="E70" s="245"/>
      <c r="F70" s="245"/>
      <c r="G70" s="245"/>
      <c r="H70" s="245"/>
      <c r="I70" s="5"/>
      <c r="J70" s="245"/>
      <c r="K70" s="245"/>
      <c r="L70" s="245"/>
      <c r="M70" s="245"/>
      <c r="N70" s="245"/>
      <c r="O70" s="251"/>
      <c r="Q70" s="5"/>
      <c r="R70" s="5"/>
      <c r="S70" s="5"/>
      <c r="W70" s="76"/>
      <c r="X70" s="76"/>
    </row>
    <row r="71" spans="2:26">
      <c r="B71" s="5"/>
      <c r="C71" s="5"/>
      <c r="D71" s="248"/>
      <c r="E71" s="248"/>
      <c r="F71" s="248"/>
      <c r="G71" s="248"/>
      <c r="H71" s="248"/>
      <c r="I71" s="245"/>
      <c r="J71" s="248"/>
      <c r="K71" s="248"/>
      <c r="L71" s="248"/>
      <c r="M71" s="248"/>
      <c r="N71" s="248"/>
      <c r="O71" s="5"/>
      <c r="Q71" s="5"/>
      <c r="R71" s="5"/>
      <c r="S71" s="5"/>
      <c r="W71" s="76"/>
      <c r="X71" s="76"/>
      <c r="Y71" s="76"/>
      <c r="Z71" s="76"/>
    </row>
    <row r="72" spans="2:26">
      <c r="B72" s="41"/>
      <c r="C72" s="5"/>
      <c r="D72" s="5"/>
      <c r="E72" s="5"/>
      <c r="F72" s="5"/>
      <c r="G72" s="5"/>
      <c r="H72" s="5"/>
      <c r="I72" s="18"/>
      <c r="J72" s="5"/>
      <c r="K72" s="5"/>
      <c r="L72" s="5"/>
      <c r="M72" s="5"/>
      <c r="N72" s="5"/>
      <c r="O72" s="5"/>
      <c r="Q72" s="5"/>
      <c r="R72" s="5"/>
      <c r="S72" s="5"/>
      <c r="Y72" s="76"/>
      <c r="Z72" s="76"/>
    </row>
    <row r="73" spans="2:26">
      <c r="B73" s="41"/>
      <c r="C73" s="245"/>
      <c r="D73" s="245"/>
      <c r="E73" s="245"/>
      <c r="F73" s="245"/>
      <c r="G73" s="245"/>
      <c r="H73" s="245"/>
      <c r="I73" s="5"/>
      <c r="J73" s="245"/>
      <c r="K73" s="245"/>
      <c r="L73" s="245"/>
      <c r="M73" s="245"/>
      <c r="N73" s="245"/>
      <c r="O73" s="251"/>
      <c r="Q73" s="5"/>
      <c r="R73" s="5"/>
      <c r="S73" s="5"/>
    </row>
    <row r="74" spans="2:26">
      <c r="B74" s="5"/>
      <c r="C74" s="5"/>
      <c r="D74" s="18"/>
      <c r="E74" s="18"/>
      <c r="F74" s="18"/>
      <c r="G74" s="18"/>
      <c r="H74" s="18"/>
      <c r="I74" s="249"/>
      <c r="J74" s="18"/>
      <c r="K74" s="18"/>
      <c r="L74" s="18"/>
      <c r="M74" s="18"/>
      <c r="N74" s="18"/>
      <c r="O74" s="5"/>
      <c r="Q74" s="5"/>
      <c r="R74" s="5"/>
      <c r="S74" s="5"/>
    </row>
    <row r="75" spans="2:26">
      <c r="B75" s="41"/>
      <c r="C75" s="5"/>
      <c r="D75" s="5"/>
      <c r="E75" s="5"/>
      <c r="F75" s="5"/>
      <c r="G75" s="5"/>
      <c r="H75" s="5"/>
      <c r="I75" s="248"/>
      <c r="J75" s="5"/>
      <c r="K75" s="5"/>
      <c r="L75" s="5"/>
      <c r="M75" s="5"/>
      <c r="N75" s="5"/>
      <c r="O75" s="5"/>
      <c r="Q75" s="5"/>
      <c r="R75" s="5"/>
      <c r="S75" s="5"/>
    </row>
    <row r="76" spans="2:26">
      <c r="B76" s="41"/>
      <c r="C76" s="249"/>
      <c r="D76" s="249"/>
      <c r="E76" s="249"/>
      <c r="F76" s="249"/>
      <c r="G76" s="249"/>
      <c r="H76" s="249"/>
      <c r="I76" s="5"/>
      <c r="J76" s="249"/>
      <c r="K76" s="249"/>
      <c r="L76" s="249"/>
      <c r="M76" s="249"/>
      <c r="N76" s="249"/>
      <c r="O76" s="251"/>
      <c r="Q76" s="5"/>
      <c r="R76" s="5"/>
      <c r="S76" s="5"/>
    </row>
    <row r="77" spans="2:26">
      <c r="B77" s="5"/>
      <c r="C77" s="5"/>
      <c r="D77" s="248"/>
      <c r="E77" s="248"/>
      <c r="F77" s="248"/>
      <c r="G77" s="248"/>
      <c r="H77" s="248"/>
      <c r="I77" s="245"/>
      <c r="J77" s="248"/>
      <c r="K77" s="248"/>
      <c r="L77" s="248"/>
      <c r="M77" s="248"/>
      <c r="N77" s="248"/>
      <c r="O77" s="5"/>
      <c r="Q77" s="5"/>
      <c r="R77" s="5"/>
      <c r="S77" s="5"/>
    </row>
    <row r="78" spans="2:26">
      <c r="B78" s="41"/>
      <c r="C78" s="5"/>
      <c r="D78" s="5"/>
      <c r="E78" s="5"/>
      <c r="F78" s="5"/>
      <c r="G78" s="5"/>
      <c r="H78" s="5"/>
      <c r="I78" s="248"/>
      <c r="J78" s="5"/>
      <c r="K78" s="5"/>
      <c r="L78" s="5"/>
      <c r="M78" s="5"/>
      <c r="N78" s="5"/>
      <c r="O78" s="5"/>
      <c r="Q78" s="5"/>
      <c r="R78" s="5"/>
      <c r="S78" s="5"/>
    </row>
    <row r="79" spans="2:26">
      <c r="B79" s="41"/>
      <c r="C79" s="245"/>
      <c r="D79" s="245"/>
      <c r="E79" s="245"/>
      <c r="F79" s="245"/>
      <c r="G79" s="245"/>
      <c r="H79" s="245"/>
      <c r="I79" s="5"/>
      <c r="J79" s="245"/>
      <c r="K79" s="245"/>
      <c r="L79" s="245"/>
      <c r="M79" s="245"/>
      <c r="N79" s="245"/>
      <c r="O79" s="251"/>
      <c r="Q79" s="5"/>
      <c r="R79" s="5"/>
      <c r="S79" s="5"/>
    </row>
    <row r="80" spans="2:26">
      <c r="B80" s="5"/>
      <c r="C80" s="5"/>
      <c r="D80" s="248"/>
      <c r="E80" s="248"/>
      <c r="F80" s="248"/>
      <c r="G80" s="248"/>
      <c r="H80" s="248"/>
      <c r="I80" s="249"/>
      <c r="J80" s="248"/>
      <c r="K80" s="248"/>
      <c r="L80" s="248"/>
      <c r="M80" s="248"/>
      <c r="N80" s="248"/>
      <c r="O80" s="5"/>
      <c r="Q80" s="5"/>
      <c r="R80" s="5"/>
      <c r="S80" s="5"/>
    </row>
    <row r="81" spans="2:26">
      <c r="B81" s="41"/>
      <c r="C81" s="5"/>
      <c r="D81" s="5"/>
      <c r="E81" s="5"/>
      <c r="F81" s="5"/>
      <c r="G81" s="5"/>
      <c r="H81" s="5"/>
      <c r="I81" s="248"/>
      <c r="J81" s="5"/>
      <c r="K81" s="5"/>
      <c r="L81" s="5"/>
      <c r="M81" s="5"/>
      <c r="N81" s="5"/>
      <c r="O81" s="5"/>
      <c r="Q81" s="5"/>
      <c r="R81" s="5"/>
      <c r="S81" s="5"/>
    </row>
    <row r="82" spans="2:26">
      <c r="B82" s="41"/>
      <c r="C82" s="249"/>
      <c r="D82" s="249"/>
      <c r="E82" s="249"/>
      <c r="F82" s="249"/>
      <c r="G82" s="249"/>
      <c r="H82" s="249"/>
      <c r="I82" s="259"/>
      <c r="J82" s="249"/>
      <c r="K82" s="249"/>
      <c r="L82" s="249"/>
      <c r="M82" s="249"/>
      <c r="N82" s="249"/>
      <c r="O82" s="251"/>
      <c r="Q82" s="5"/>
      <c r="R82" s="5"/>
      <c r="S82" s="5"/>
    </row>
    <row r="83" spans="2:26">
      <c r="B83" s="5"/>
      <c r="C83" s="5"/>
      <c r="D83" s="248"/>
      <c r="E83" s="248"/>
      <c r="F83" s="248"/>
      <c r="G83" s="248"/>
      <c r="H83" s="248"/>
      <c r="I83" s="5"/>
      <c r="J83" s="248"/>
      <c r="K83" s="248"/>
      <c r="L83" s="248"/>
      <c r="M83" s="248"/>
      <c r="N83" s="248"/>
      <c r="O83" s="5"/>
      <c r="Q83" s="5"/>
      <c r="R83" s="5"/>
      <c r="S83" s="5"/>
    </row>
    <row r="84" spans="2:26">
      <c r="B84" s="5"/>
      <c r="C84" s="259"/>
      <c r="D84" s="259"/>
      <c r="E84" s="259"/>
      <c r="F84" s="259"/>
      <c r="G84" s="259"/>
      <c r="H84" s="259"/>
      <c r="I84" s="245"/>
      <c r="J84" s="259"/>
      <c r="K84" s="259"/>
      <c r="L84" s="259"/>
      <c r="M84" s="259"/>
      <c r="N84" s="259"/>
      <c r="O84" s="251"/>
      <c r="Q84" s="5"/>
      <c r="R84" s="5"/>
      <c r="S84" s="5"/>
    </row>
    <row r="85" spans="2:26">
      <c r="B85" s="41"/>
      <c r="C85" s="5"/>
      <c r="D85" s="5"/>
      <c r="E85" s="5"/>
      <c r="F85" s="5"/>
      <c r="G85" s="5"/>
      <c r="H85" s="5"/>
      <c r="I85" s="248"/>
      <c r="J85" s="5"/>
      <c r="K85" s="5"/>
      <c r="L85" s="5"/>
      <c r="M85" s="5"/>
      <c r="N85" s="5"/>
      <c r="O85" s="5"/>
      <c r="Q85" s="5"/>
      <c r="R85" s="5"/>
      <c r="S85" s="5"/>
    </row>
    <row r="86" spans="2:26">
      <c r="B86" s="41"/>
      <c r="C86" s="245"/>
      <c r="D86" s="245"/>
      <c r="E86" s="245"/>
      <c r="F86" s="245"/>
      <c r="G86" s="245"/>
      <c r="H86" s="245"/>
      <c r="I86" s="5"/>
      <c r="J86" s="245"/>
      <c r="K86" s="245"/>
      <c r="L86" s="245"/>
      <c r="M86" s="245"/>
      <c r="N86" s="245"/>
      <c r="O86" s="251"/>
      <c r="Q86" s="5"/>
      <c r="R86" s="5"/>
      <c r="S86" s="5"/>
    </row>
    <row r="87" spans="2:26">
      <c r="B87" s="5"/>
      <c r="C87" s="5"/>
      <c r="D87" s="248"/>
      <c r="E87" s="248"/>
      <c r="F87" s="248"/>
      <c r="G87" s="248"/>
      <c r="H87" s="248"/>
      <c r="I87" s="5"/>
      <c r="J87" s="248"/>
      <c r="K87" s="248"/>
      <c r="L87" s="248"/>
      <c r="M87" s="248"/>
      <c r="N87" s="248"/>
      <c r="O87" s="5"/>
      <c r="Q87" s="5"/>
      <c r="R87" s="5"/>
      <c r="S87" s="5"/>
    </row>
    <row r="88" spans="2:26">
      <c r="B88" s="41"/>
      <c r="C88" s="5"/>
      <c r="D88" s="5"/>
      <c r="E88" s="5"/>
      <c r="F88" s="5"/>
      <c r="G88" s="5"/>
      <c r="H88" s="5"/>
      <c r="I88" s="5"/>
      <c r="J88" s="5"/>
      <c r="K88" s="5"/>
      <c r="L88" s="5"/>
      <c r="M88" s="5"/>
      <c r="N88" s="5"/>
      <c r="O88" s="5"/>
      <c r="Q88" s="5"/>
      <c r="R88" s="5"/>
      <c r="S88" s="5"/>
    </row>
    <row r="89" spans="2:26">
      <c r="B89" s="41"/>
      <c r="C89" s="5"/>
      <c r="D89" s="5"/>
      <c r="E89" s="5"/>
      <c r="F89" s="5"/>
      <c r="G89" s="5"/>
      <c r="H89" s="5"/>
      <c r="I89" s="5"/>
      <c r="J89" s="5"/>
      <c r="K89" s="5"/>
      <c r="L89" s="5"/>
      <c r="M89" s="5"/>
      <c r="N89" s="5"/>
      <c r="O89" s="5"/>
      <c r="Q89" s="5"/>
      <c r="R89" s="5"/>
      <c r="S89" s="5"/>
    </row>
    <row r="90" spans="2:26">
      <c r="B90" s="41"/>
      <c r="C90" s="5"/>
      <c r="D90" s="5"/>
      <c r="E90" s="5"/>
      <c r="F90" s="5"/>
      <c r="G90" s="5"/>
      <c r="H90" s="5"/>
      <c r="I90" s="49"/>
      <c r="J90" s="5"/>
      <c r="K90" s="5"/>
      <c r="L90" s="5"/>
      <c r="M90" s="5"/>
      <c r="N90" s="5"/>
      <c r="O90" s="5"/>
      <c r="Q90" s="41"/>
      <c r="R90" s="5"/>
      <c r="S90" s="5"/>
    </row>
    <row r="91" spans="2:26">
      <c r="B91" s="5"/>
      <c r="C91" s="5"/>
      <c r="D91" s="5"/>
      <c r="E91" s="5"/>
      <c r="F91" s="5"/>
      <c r="G91" s="5"/>
      <c r="H91" s="5"/>
      <c r="I91" s="5"/>
      <c r="J91" s="5"/>
      <c r="K91" s="5"/>
      <c r="L91" s="5"/>
      <c r="M91" s="5"/>
      <c r="N91" s="5"/>
      <c r="O91" s="5"/>
      <c r="Q91" s="5"/>
      <c r="R91" s="5"/>
      <c r="S91" s="5"/>
    </row>
    <row r="92" spans="2:26">
      <c r="B92" s="41"/>
      <c r="C92" s="49"/>
      <c r="D92" s="49"/>
      <c r="E92" s="49"/>
      <c r="F92" s="49"/>
      <c r="G92" s="49"/>
      <c r="H92" s="49"/>
      <c r="I92" s="247"/>
      <c r="J92" s="49"/>
      <c r="K92" s="49"/>
      <c r="L92" s="49"/>
      <c r="M92" s="49"/>
      <c r="N92" s="49"/>
      <c r="O92" s="49"/>
      <c r="Q92" s="5"/>
      <c r="R92" s="5"/>
      <c r="S92" s="5"/>
      <c r="W92" s="21"/>
      <c r="X92" s="21"/>
    </row>
    <row r="93" spans="2:26">
      <c r="B93" s="5"/>
      <c r="C93" s="5"/>
      <c r="D93" s="5"/>
      <c r="E93" s="5"/>
      <c r="F93" s="5"/>
      <c r="G93" s="5"/>
      <c r="H93" s="5"/>
      <c r="I93" s="247"/>
      <c r="J93" s="5"/>
      <c r="K93" s="5"/>
      <c r="L93" s="5"/>
      <c r="M93" s="5"/>
      <c r="N93" s="5"/>
      <c r="O93" s="5"/>
      <c r="Q93" s="5"/>
      <c r="R93" s="5"/>
      <c r="S93" s="5"/>
      <c r="W93" s="21"/>
      <c r="X93" s="21"/>
      <c r="Y93" s="21"/>
      <c r="Z93" s="21"/>
    </row>
    <row r="94" spans="2:26">
      <c r="B94" s="5"/>
      <c r="C94" s="259"/>
      <c r="D94" s="247"/>
      <c r="E94" s="247"/>
      <c r="F94" s="247"/>
      <c r="G94" s="247"/>
      <c r="H94" s="247"/>
      <c r="I94" s="247"/>
      <c r="J94" s="247"/>
      <c r="K94" s="247"/>
      <c r="L94" s="247"/>
      <c r="M94" s="247"/>
      <c r="N94" s="247"/>
      <c r="O94" s="248"/>
      <c r="Q94" s="5"/>
      <c r="R94" s="5"/>
      <c r="S94" s="5"/>
      <c r="Y94" s="21"/>
      <c r="Z94" s="21"/>
    </row>
    <row r="95" spans="2:26">
      <c r="B95" s="5"/>
      <c r="C95" s="259"/>
      <c r="D95" s="247"/>
      <c r="E95" s="247"/>
      <c r="F95" s="247"/>
      <c r="G95" s="247"/>
      <c r="H95" s="247"/>
      <c r="I95" s="248"/>
      <c r="J95" s="247"/>
      <c r="K95" s="247"/>
      <c r="L95" s="247"/>
      <c r="M95" s="247"/>
      <c r="N95" s="247"/>
      <c r="O95" s="248"/>
      <c r="Q95" s="5"/>
      <c r="R95" s="5"/>
      <c r="S95" s="5"/>
    </row>
    <row r="96" spans="2:26">
      <c r="B96" s="5"/>
      <c r="C96" s="259"/>
      <c r="D96" s="247"/>
      <c r="E96" s="247"/>
      <c r="F96" s="247"/>
      <c r="G96" s="247"/>
      <c r="H96" s="247"/>
      <c r="I96" s="247"/>
      <c r="J96" s="247"/>
      <c r="K96" s="247"/>
      <c r="L96" s="247"/>
      <c r="M96" s="247"/>
      <c r="N96" s="247"/>
      <c r="O96" s="248"/>
      <c r="Q96" s="5"/>
      <c r="R96" s="5"/>
      <c r="S96" s="5"/>
    </row>
    <row r="97" spans="2:19">
      <c r="B97" s="5"/>
      <c r="C97" s="259"/>
      <c r="D97" s="248"/>
      <c r="E97" s="248"/>
      <c r="F97" s="248"/>
      <c r="G97" s="248"/>
      <c r="H97" s="248"/>
      <c r="I97" s="249"/>
      <c r="J97" s="248"/>
      <c r="K97" s="248"/>
      <c r="L97" s="248"/>
      <c r="M97" s="248"/>
      <c r="N97" s="248"/>
      <c r="O97" s="248"/>
      <c r="Q97" s="5"/>
      <c r="R97" s="5"/>
      <c r="S97" s="5"/>
    </row>
    <row r="98" spans="2:19">
      <c r="B98" s="5"/>
      <c r="C98" s="259"/>
      <c r="D98" s="247"/>
      <c r="E98" s="247"/>
      <c r="F98" s="247"/>
      <c r="G98" s="247"/>
      <c r="H98" s="247"/>
      <c r="I98" s="248"/>
      <c r="J98" s="247"/>
      <c r="K98" s="247"/>
      <c r="L98" s="247"/>
      <c r="M98" s="247"/>
      <c r="N98" s="247"/>
      <c r="O98" s="248"/>
      <c r="Q98" s="5"/>
      <c r="R98" s="5"/>
      <c r="S98" s="5"/>
    </row>
    <row r="99" spans="2:19">
      <c r="B99" s="41"/>
      <c r="C99" s="249"/>
      <c r="D99" s="249"/>
      <c r="E99" s="249"/>
      <c r="F99" s="249"/>
      <c r="G99" s="249"/>
      <c r="H99" s="249"/>
      <c r="I99" s="5"/>
      <c r="J99" s="249"/>
      <c r="K99" s="249"/>
      <c r="L99" s="249"/>
      <c r="M99" s="249"/>
      <c r="N99" s="249"/>
      <c r="O99" s="248"/>
      <c r="Q99" s="5"/>
      <c r="R99" s="5"/>
      <c r="S99" s="5"/>
    </row>
    <row r="100" spans="2:19">
      <c r="B100" s="41"/>
      <c r="C100" s="257"/>
      <c r="D100" s="248"/>
      <c r="E100" s="248"/>
      <c r="F100" s="248"/>
      <c r="G100" s="248"/>
      <c r="H100" s="248"/>
      <c r="I100" s="259"/>
      <c r="J100" s="248"/>
      <c r="K100" s="248"/>
      <c r="L100" s="248"/>
      <c r="M100" s="248"/>
      <c r="N100" s="248"/>
      <c r="O100" s="248"/>
      <c r="Q100" s="5"/>
      <c r="R100" s="5"/>
      <c r="S100" s="5"/>
    </row>
    <row r="101" spans="2:19" s="5" customFormat="1">
      <c r="B101" s="41"/>
      <c r="I101" s="259"/>
      <c r="O101" s="248"/>
      <c r="P101" s="39"/>
    </row>
    <row r="102" spans="2:19">
      <c r="B102" s="5"/>
      <c r="C102" s="259"/>
      <c r="D102" s="259"/>
      <c r="E102" s="259"/>
      <c r="F102" s="259"/>
      <c r="G102" s="259"/>
      <c r="H102" s="259"/>
      <c r="I102" s="247"/>
      <c r="J102" s="259"/>
      <c r="K102" s="259"/>
      <c r="L102" s="259"/>
      <c r="M102" s="259"/>
      <c r="N102" s="259"/>
      <c r="O102" s="5"/>
      <c r="Q102" s="5"/>
      <c r="R102" s="5"/>
      <c r="S102" s="5"/>
    </row>
    <row r="103" spans="2:19">
      <c r="B103" s="5"/>
      <c r="C103" s="259"/>
      <c r="D103" s="259"/>
      <c r="E103" s="259"/>
      <c r="F103" s="259"/>
      <c r="G103" s="259"/>
      <c r="H103" s="259"/>
      <c r="I103" s="5"/>
      <c r="J103" s="259"/>
      <c r="K103" s="259"/>
      <c r="L103" s="259"/>
      <c r="M103" s="259"/>
      <c r="N103" s="259"/>
      <c r="O103" s="5"/>
      <c r="P103" s="5"/>
      <c r="Q103" s="5"/>
      <c r="R103" s="5"/>
      <c r="S103" s="5"/>
    </row>
    <row r="104" spans="2:19">
      <c r="B104" s="5"/>
      <c r="C104" s="247"/>
      <c r="D104" s="247"/>
      <c r="E104" s="247"/>
      <c r="F104" s="247"/>
      <c r="G104" s="247"/>
      <c r="H104" s="247"/>
      <c r="I104" s="247"/>
      <c r="J104" s="247"/>
      <c r="K104" s="247"/>
      <c r="L104" s="247"/>
      <c r="M104" s="247"/>
      <c r="N104" s="247"/>
      <c r="O104" s="5"/>
      <c r="Q104" s="5"/>
      <c r="R104" s="5"/>
      <c r="S104" s="5"/>
    </row>
    <row r="105" spans="2:19" s="5" customFormat="1">
      <c r="P105" s="39"/>
    </row>
    <row r="106" spans="2:19" s="5" customFormat="1">
      <c r="C106" s="259"/>
      <c r="D106" s="247"/>
      <c r="E106" s="247"/>
      <c r="F106" s="247"/>
      <c r="G106" s="247"/>
      <c r="H106" s="247"/>
      <c r="I106" s="259"/>
      <c r="J106" s="247"/>
      <c r="K106" s="247"/>
      <c r="L106" s="247"/>
      <c r="M106" s="247"/>
      <c r="N106" s="247"/>
      <c r="P106" s="39"/>
    </row>
    <row r="107" spans="2:19">
      <c r="B107" s="5"/>
      <c r="C107" s="259"/>
      <c r="D107" s="5"/>
      <c r="E107" s="5"/>
      <c r="F107" s="5"/>
      <c r="G107" s="5"/>
      <c r="H107" s="5"/>
      <c r="I107" s="247"/>
      <c r="J107" s="5"/>
      <c r="K107" s="5"/>
      <c r="L107" s="5"/>
      <c r="M107" s="5"/>
      <c r="N107" s="5"/>
      <c r="O107" s="5"/>
      <c r="P107" s="5"/>
      <c r="Q107" s="5"/>
      <c r="R107" s="5"/>
      <c r="S107" s="5"/>
    </row>
    <row r="108" spans="2:19">
      <c r="B108" s="5"/>
      <c r="C108" s="259"/>
      <c r="D108" s="259"/>
      <c r="E108" s="259"/>
      <c r="F108" s="259"/>
      <c r="G108" s="259"/>
      <c r="H108" s="259"/>
      <c r="I108" s="249"/>
      <c r="J108" s="259"/>
      <c r="K108" s="259"/>
      <c r="L108" s="259"/>
      <c r="M108" s="259"/>
      <c r="N108" s="259"/>
      <c r="O108" s="5"/>
      <c r="P108" s="5"/>
      <c r="Q108" s="5"/>
      <c r="R108" s="5"/>
      <c r="S108" s="5"/>
    </row>
    <row r="109" spans="2:19">
      <c r="B109" s="5"/>
      <c r="C109" s="247"/>
      <c r="D109" s="247"/>
      <c r="E109" s="247"/>
      <c r="F109" s="247"/>
      <c r="G109" s="247"/>
      <c r="H109" s="247"/>
      <c r="I109" s="249"/>
      <c r="J109" s="247"/>
      <c r="K109" s="247"/>
      <c r="L109" s="247"/>
      <c r="M109" s="247"/>
      <c r="N109" s="247"/>
      <c r="O109" s="5"/>
      <c r="Q109" s="5"/>
      <c r="R109" s="5"/>
      <c r="S109" s="5"/>
    </row>
    <row r="110" spans="2:19">
      <c r="B110" s="41"/>
      <c r="C110" s="249"/>
      <c r="D110" s="249"/>
      <c r="E110" s="249"/>
      <c r="F110" s="249"/>
      <c r="G110" s="249"/>
      <c r="H110" s="249"/>
      <c r="I110" s="247"/>
      <c r="J110" s="249"/>
      <c r="K110" s="249"/>
      <c r="L110" s="249"/>
      <c r="M110" s="249"/>
      <c r="N110" s="249"/>
      <c r="O110" s="5"/>
      <c r="Q110" s="5"/>
      <c r="R110" s="5"/>
      <c r="S110" s="5"/>
    </row>
    <row r="111" spans="2:19">
      <c r="B111" s="5"/>
      <c r="C111" s="249"/>
      <c r="D111" s="249"/>
      <c r="E111" s="249"/>
      <c r="F111" s="249"/>
      <c r="G111" s="249"/>
      <c r="H111" s="249"/>
      <c r="I111" s="5"/>
      <c r="J111" s="249"/>
      <c r="K111" s="249"/>
      <c r="L111" s="249"/>
      <c r="M111" s="249"/>
      <c r="N111" s="249"/>
      <c r="O111" s="5"/>
      <c r="Q111" s="5"/>
      <c r="R111" s="5"/>
      <c r="S111" s="5"/>
    </row>
    <row r="112" spans="2:19">
      <c r="B112" s="5"/>
      <c r="C112" s="247"/>
      <c r="D112" s="247"/>
      <c r="E112" s="247"/>
      <c r="F112" s="247"/>
      <c r="G112" s="247"/>
      <c r="H112" s="247"/>
      <c r="I112" s="5"/>
      <c r="J112" s="247"/>
      <c r="K112" s="247"/>
      <c r="L112" s="247"/>
      <c r="M112" s="247"/>
      <c r="N112" s="247"/>
      <c r="O112" s="5"/>
      <c r="Q112" s="5"/>
      <c r="R112" s="5"/>
      <c r="S112" s="5"/>
    </row>
    <row r="113" spans="2:19">
      <c r="B113" s="5"/>
      <c r="C113" s="5"/>
      <c r="D113" s="5"/>
      <c r="E113" s="5"/>
      <c r="F113" s="5"/>
      <c r="G113" s="5"/>
      <c r="H113" s="5"/>
      <c r="I113" s="5"/>
      <c r="J113" s="5"/>
      <c r="K113" s="5"/>
      <c r="L113" s="5"/>
      <c r="M113" s="5"/>
      <c r="N113" s="5"/>
      <c r="O113" s="5"/>
      <c r="Q113" s="5"/>
      <c r="R113" s="5"/>
      <c r="S113" s="5"/>
    </row>
    <row r="114" spans="2:19">
      <c r="B114" s="5"/>
      <c r="C114" s="5"/>
      <c r="D114" s="5"/>
      <c r="E114" s="5"/>
      <c r="F114" s="5"/>
      <c r="G114" s="5"/>
      <c r="H114" s="5"/>
      <c r="I114" s="5"/>
      <c r="J114" s="5"/>
      <c r="K114" s="5"/>
      <c r="L114" s="5"/>
      <c r="M114" s="5"/>
      <c r="N114" s="5"/>
      <c r="O114" s="5"/>
      <c r="Q114" s="5"/>
      <c r="R114" s="5"/>
      <c r="S114" s="5"/>
    </row>
    <row r="115" spans="2:19">
      <c r="B115" s="5"/>
      <c r="C115" s="5"/>
      <c r="D115" s="5"/>
      <c r="E115" s="5"/>
      <c r="F115" s="5"/>
      <c r="G115" s="5"/>
      <c r="H115" s="5"/>
      <c r="I115" s="49"/>
      <c r="J115" s="5"/>
      <c r="K115" s="5"/>
      <c r="L115" s="5"/>
      <c r="M115" s="5"/>
      <c r="N115" s="5"/>
      <c r="O115" s="5"/>
      <c r="Q115" s="41"/>
      <c r="R115" s="5"/>
      <c r="S115" s="5"/>
    </row>
    <row r="116" spans="2:19">
      <c r="B116" s="5"/>
      <c r="C116" s="5"/>
      <c r="D116" s="5"/>
      <c r="E116" s="5"/>
      <c r="F116" s="5"/>
      <c r="G116" s="5"/>
      <c r="H116" s="5"/>
      <c r="I116" s="5"/>
      <c r="J116" s="5"/>
      <c r="K116" s="5"/>
      <c r="L116" s="5"/>
      <c r="M116" s="5"/>
      <c r="N116" s="5"/>
      <c r="O116" s="5"/>
      <c r="Q116" s="5"/>
      <c r="R116" s="5"/>
      <c r="S116" s="5"/>
    </row>
    <row r="117" spans="2:19">
      <c r="B117" s="41"/>
      <c r="C117" s="49"/>
      <c r="D117" s="49"/>
      <c r="E117" s="49"/>
      <c r="F117" s="49"/>
      <c r="G117" s="49"/>
      <c r="H117" s="49"/>
      <c r="I117" s="254"/>
      <c r="J117" s="49"/>
      <c r="K117" s="49"/>
      <c r="L117" s="49"/>
      <c r="M117" s="49"/>
      <c r="N117" s="49"/>
      <c r="O117" s="49"/>
      <c r="Q117" s="5"/>
      <c r="R117" s="5"/>
      <c r="S117" s="5"/>
    </row>
    <row r="118" spans="2:19">
      <c r="B118" s="5"/>
      <c r="C118" s="5"/>
      <c r="D118" s="5"/>
      <c r="E118" s="5"/>
      <c r="F118" s="5"/>
      <c r="G118" s="5"/>
      <c r="H118" s="5"/>
      <c r="I118" s="249"/>
      <c r="J118" s="5"/>
      <c r="K118" s="5"/>
      <c r="L118" s="5"/>
      <c r="M118" s="5"/>
      <c r="N118" s="5"/>
      <c r="O118" s="5"/>
      <c r="Q118" s="5"/>
      <c r="R118" s="5"/>
      <c r="S118" s="5"/>
    </row>
    <row r="119" spans="2:19">
      <c r="B119" s="41"/>
      <c r="C119" s="254"/>
      <c r="D119" s="254"/>
      <c r="E119" s="254"/>
      <c r="F119" s="254"/>
      <c r="G119" s="254"/>
      <c r="H119" s="254"/>
      <c r="I119" s="254"/>
      <c r="J119" s="254"/>
      <c r="K119" s="254"/>
      <c r="L119" s="254"/>
      <c r="M119" s="254"/>
      <c r="N119" s="254"/>
      <c r="O119" s="248"/>
      <c r="Q119" s="5"/>
      <c r="R119" s="5"/>
      <c r="S119" s="5"/>
    </row>
    <row r="120" spans="2:19">
      <c r="B120" s="41"/>
      <c r="C120" s="254"/>
      <c r="D120" s="249"/>
      <c r="E120" s="249"/>
      <c r="F120" s="249"/>
      <c r="G120" s="249"/>
      <c r="H120" s="249"/>
      <c r="I120" s="254"/>
      <c r="J120" s="249"/>
      <c r="K120" s="249"/>
      <c r="L120" s="249"/>
      <c r="M120" s="249"/>
      <c r="N120" s="249"/>
      <c r="O120" s="248"/>
      <c r="Q120" s="5"/>
      <c r="R120" s="5"/>
      <c r="S120" s="5"/>
    </row>
    <row r="121" spans="2:19">
      <c r="B121" s="41"/>
      <c r="C121" s="254"/>
      <c r="D121" s="254"/>
      <c r="E121" s="254"/>
      <c r="F121" s="254"/>
      <c r="G121" s="254"/>
      <c r="H121" s="254"/>
      <c r="I121" s="254"/>
      <c r="J121" s="254"/>
      <c r="K121" s="254"/>
      <c r="L121" s="254"/>
      <c r="M121" s="254"/>
      <c r="N121" s="254"/>
      <c r="O121" s="248"/>
      <c r="Q121" s="5"/>
      <c r="R121" s="5"/>
      <c r="S121" s="5"/>
    </row>
    <row r="122" spans="2:19">
      <c r="B122" s="41"/>
      <c r="C122" s="254"/>
      <c r="D122" s="254"/>
      <c r="E122" s="254"/>
      <c r="F122" s="254"/>
      <c r="G122" s="254"/>
      <c r="H122" s="254"/>
      <c r="I122" s="254"/>
      <c r="J122" s="254"/>
      <c r="K122" s="254"/>
      <c r="L122" s="254"/>
      <c r="M122" s="254"/>
      <c r="N122" s="254"/>
      <c r="O122" s="248"/>
      <c r="Q122" s="5"/>
      <c r="R122" s="5"/>
      <c r="S122" s="5"/>
    </row>
    <row r="123" spans="2:19">
      <c r="B123" s="41"/>
      <c r="C123" s="254"/>
      <c r="D123" s="254"/>
      <c r="E123" s="254"/>
      <c r="F123" s="254"/>
      <c r="G123" s="254"/>
      <c r="H123" s="254"/>
      <c r="I123" s="254"/>
      <c r="J123" s="254"/>
      <c r="K123" s="254"/>
      <c r="L123" s="254"/>
      <c r="M123" s="254"/>
      <c r="N123" s="254"/>
      <c r="O123" s="248"/>
      <c r="Q123" s="5"/>
      <c r="R123" s="5"/>
      <c r="S123" s="5"/>
    </row>
    <row r="124" spans="2:19">
      <c r="B124" s="41"/>
      <c r="C124" s="254"/>
      <c r="D124" s="254"/>
      <c r="E124" s="254"/>
      <c r="F124" s="254"/>
      <c r="G124" s="254"/>
      <c r="H124" s="254"/>
      <c r="I124" s="254"/>
      <c r="J124" s="254"/>
      <c r="K124" s="254"/>
      <c r="L124" s="254"/>
      <c r="M124" s="254"/>
      <c r="N124" s="254"/>
      <c r="O124" s="248"/>
      <c r="Q124" s="5"/>
      <c r="R124" s="5"/>
      <c r="S124" s="5"/>
    </row>
    <row r="125" spans="2:19">
      <c r="B125" s="41"/>
      <c r="C125" s="254"/>
      <c r="D125" s="254"/>
      <c r="E125" s="254"/>
      <c r="F125" s="254"/>
      <c r="G125" s="254"/>
      <c r="H125" s="254"/>
      <c r="I125" s="254"/>
      <c r="J125" s="254"/>
      <c r="K125" s="254"/>
      <c r="L125" s="254"/>
      <c r="M125" s="254"/>
      <c r="N125" s="254"/>
      <c r="O125" s="5"/>
      <c r="Q125" s="5"/>
      <c r="R125" s="5"/>
      <c r="S125" s="5"/>
    </row>
    <row r="126" spans="2:19">
      <c r="B126" s="41"/>
      <c r="C126" s="254"/>
      <c r="D126" s="254"/>
      <c r="E126" s="254"/>
      <c r="F126" s="254"/>
      <c r="G126" s="254"/>
      <c r="H126" s="254"/>
      <c r="I126" s="254"/>
      <c r="J126" s="254"/>
      <c r="K126" s="254"/>
      <c r="L126" s="254"/>
      <c r="M126" s="254"/>
      <c r="N126" s="254"/>
      <c r="O126" s="5"/>
      <c r="Q126" s="5"/>
      <c r="R126" s="5"/>
      <c r="S126" s="5"/>
    </row>
    <row r="127" spans="2:19">
      <c r="B127" s="41"/>
      <c r="C127" s="254"/>
      <c r="D127" s="254"/>
      <c r="E127" s="254"/>
      <c r="F127" s="254"/>
      <c r="G127" s="254"/>
      <c r="H127" s="254"/>
      <c r="I127" s="18"/>
      <c r="J127" s="254"/>
      <c r="K127" s="254"/>
      <c r="L127" s="254"/>
      <c r="M127" s="254"/>
      <c r="N127" s="254"/>
      <c r="O127" s="5"/>
      <c r="Q127" s="5"/>
      <c r="R127" s="5"/>
      <c r="S127" s="5"/>
    </row>
    <row r="128" spans="2:19">
      <c r="B128" s="41"/>
      <c r="C128" s="254"/>
      <c r="D128" s="254"/>
      <c r="E128" s="254"/>
      <c r="F128" s="254"/>
      <c r="G128" s="254"/>
      <c r="H128" s="254"/>
      <c r="I128" s="5"/>
      <c r="J128" s="254"/>
      <c r="K128" s="254"/>
      <c r="L128" s="254"/>
      <c r="M128" s="254"/>
      <c r="N128" s="254"/>
      <c r="O128" s="5"/>
      <c r="Q128" s="5"/>
      <c r="R128" s="5"/>
      <c r="S128" s="5"/>
    </row>
    <row r="129" spans="2:27">
      <c r="B129" s="5"/>
      <c r="C129" s="5"/>
      <c r="D129" s="18"/>
      <c r="E129" s="18"/>
      <c r="F129" s="18"/>
      <c r="G129" s="18"/>
      <c r="H129" s="18"/>
      <c r="I129" s="254"/>
      <c r="J129" s="18"/>
      <c r="K129" s="18"/>
      <c r="L129" s="18"/>
      <c r="M129" s="18"/>
      <c r="N129" s="18"/>
      <c r="O129" s="5"/>
      <c r="Q129" s="5"/>
      <c r="R129" s="5"/>
      <c r="S129" s="5"/>
    </row>
    <row r="130" spans="2:27">
      <c r="B130" s="5"/>
      <c r="C130" s="5"/>
      <c r="D130" s="5"/>
      <c r="E130" s="5"/>
      <c r="F130" s="5"/>
      <c r="G130" s="5"/>
      <c r="H130" s="5"/>
      <c r="I130" s="18"/>
      <c r="J130" s="5"/>
      <c r="K130" s="5"/>
      <c r="L130" s="5"/>
      <c r="M130" s="5"/>
      <c r="N130" s="5"/>
      <c r="O130" s="5"/>
      <c r="Q130" s="5"/>
      <c r="R130" s="5"/>
      <c r="S130" s="5"/>
    </row>
    <row r="131" spans="2:27">
      <c r="B131" s="41"/>
      <c r="C131" s="254"/>
      <c r="D131" s="254"/>
      <c r="E131" s="254"/>
      <c r="F131" s="254"/>
      <c r="G131" s="254"/>
      <c r="H131" s="254"/>
      <c r="I131" s="5"/>
      <c r="J131" s="254"/>
      <c r="K131" s="254"/>
      <c r="L131" s="254"/>
      <c r="M131" s="254"/>
      <c r="N131" s="254"/>
      <c r="O131" s="5"/>
      <c r="Q131" s="5"/>
      <c r="R131" s="5"/>
      <c r="S131" s="5"/>
    </row>
    <row r="132" spans="2:27">
      <c r="B132" s="5"/>
      <c r="C132" s="259"/>
      <c r="D132" s="18"/>
      <c r="E132" s="18"/>
      <c r="F132" s="18"/>
      <c r="G132" s="18"/>
      <c r="H132" s="18"/>
      <c r="I132" s="5"/>
      <c r="J132" s="18"/>
      <c r="K132" s="18"/>
      <c r="L132" s="18"/>
      <c r="M132" s="18"/>
      <c r="N132" s="18"/>
      <c r="O132" s="5"/>
      <c r="Q132" s="5"/>
      <c r="R132" s="5"/>
      <c r="S132" s="5"/>
    </row>
    <row r="133" spans="2:27">
      <c r="B133" s="5"/>
      <c r="C133" s="5"/>
      <c r="D133" s="5"/>
      <c r="E133" s="5"/>
      <c r="F133" s="5"/>
      <c r="G133" s="5"/>
      <c r="H133" s="5"/>
      <c r="I133" s="17"/>
      <c r="J133" s="5"/>
      <c r="K133" s="5"/>
      <c r="L133" s="5"/>
      <c r="M133" s="5"/>
      <c r="N133" s="5"/>
      <c r="O133" s="5"/>
      <c r="Q133" s="5"/>
      <c r="R133" s="5"/>
      <c r="S133" s="5"/>
    </row>
    <row r="134" spans="2:27">
      <c r="B134" s="41"/>
      <c r="C134" s="5"/>
      <c r="D134" s="5"/>
      <c r="E134" s="5"/>
      <c r="F134" s="5"/>
      <c r="G134" s="5"/>
      <c r="H134" s="5"/>
      <c r="I134" s="17"/>
      <c r="J134" s="5"/>
      <c r="K134" s="5"/>
      <c r="L134" s="5"/>
      <c r="M134" s="5"/>
      <c r="N134" s="5"/>
      <c r="O134" s="5"/>
      <c r="Q134" s="5"/>
      <c r="R134" s="5"/>
      <c r="S134" s="5"/>
    </row>
    <row r="135" spans="2:27">
      <c r="B135" s="5"/>
      <c r="C135" s="17"/>
      <c r="D135" s="17"/>
      <c r="E135" s="17"/>
      <c r="F135" s="17"/>
      <c r="G135" s="17"/>
      <c r="H135" s="17"/>
      <c r="I135" s="17"/>
      <c r="J135" s="17"/>
      <c r="K135" s="17"/>
      <c r="L135" s="17"/>
      <c r="M135" s="17"/>
      <c r="N135" s="17"/>
      <c r="O135" s="5"/>
      <c r="Q135" s="41"/>
      <c r="R135" s="5"/>
      <c r="S135" s="5"/>
    </row>
    <row r="136" spans="2:27">
      <c r="B136" s="5"/>
      <c r="C136" s="17"/>
      <c r="D136" s="17"/>
      <c r="E136" s="17"/>
      <c r="F136" s="17"/>
      <c r="G136" s="17"/>
      <c r="H136" s="17"/>
      <c r="I136" s="17"/>
      <c r="J136" s="17"/>
      <c r="K136" s="17"/>
      <c r="L136" s="17"/>
      <c r="M136" s="17"/>
      <c r="N136" s="17"/>
      <c r="O136" s="5"/>
      <c r="Q136" s="5"/>
      <c r="R136" s="5"/>
      <c r="S136" s="5"/>
      <c r="X136" s="304"/>
    </row>
    <row r="137" spans="2:27">
      <c r="B137" s="5"/>
      <c r="C137" s="5"/>
      <c r="D137" s="17"/>
      <c r="E137" s="17"/>
      <c r="F137" s="17"/>
      <c r="G137" s="17"/>
      <c r="H137" s="17"/>
      <c r="I137" s="17"/>
      <c r="J137" s="17"/>
      <c r="K137" s="17"/>
      <c r="L137" s="17"/>
      <c r="M137" s="17"/>
      <c r="N137" s="17"/>
      <c r="O137" s="5"/>
      <c r="Q137" s="5"/>
      <c r="R137" s="5"/>
      <c r="S137" s="5"/>
      <c r="X137" s="10"/>
      <c r="Y137" s="304"/>
      <c r="Z137" s="304"/>
      <c r="AA137" s="304"/>
    </row>
    <row r="138" spans="2:27">
      <c r="B138" s="5"/>
      <c r="C138" s="5"/>
      <c r="D138" s="17"/>
      <c r="E138" s="17"/>
      <c r="F138" s="17"/>
      <c r="G138" s="17"/>
      <c r="H138" s="17"/>
      <c r="I138" s="17"/>
      <c r="J138" s="17"/>
      <c r="K138" s="17"/>
      <c r="L138" s="17"/>
      <c r="M138" s="17"/>
      <c r="N138" s="17"/>
      <c r="O138" s="5"/>
      <c r="Q138" s="5"/>
      <c r="R138" s="5"/>
      <c r="S138" s="5"/>
      <c r="Y138" s="10"/>
      <c r="Z138" s="10"/>
      <c r="AA138" s="10"/>
    </row>
    <row r="139" spans="2:27">
      <c r="B139" s="5"/>
      <c r="C139" s="5"/>
      <c r="D139" s="17"/>
      <c r="E139" s="17"/>
      <c r="F139" s="17"/>
      <c r="G139" s="17"/>
      <c r="H139" s="17"/>
      <c r="I139" s="5"/>
      <c r="J139" s="17"/>
      <c r="K139" s="17"/>
      <c r="L139" s="17"/>
      <c r="M139" s="17"/>
      <c r="N139" s="17"/>
      <c r="O139" s="5"/>
      <c r="Q139" s="5"/>
      <c r="R139" s="5"/>
      <c r="S139" s="5"/>
    </row>
    <row r="140" spans="2:27">
      <c r="B140" s="5"/>
      <c r="C140" s="17"/>
      <c r="D140" s="17"/>
      <c r="E140" s="17"/>
      <c r="F140" s="17"/>
      <c r="G140" s="17"/>
      <c r="H140" s="17"/>
      <c r="I140" s="5"/>
      <c r="J140" s="17"/>
      <c r="K140" s="17"/>
      <c r="L140" s="17"/>
      <c r="M140" s="17"/>
      <c r="N140" s="17"/>
      <c r="O140" s="5"/>
      <c r="Q140" s="5"/>
      <c r="R140" s="5"/>
      <c r="S140" s="5"/>
    </row>
    <row r="141" spans="2:27">
      <c r="B141" s="5"/>
      <c r="C141" s="5"/>
      <c r="D141" s="5"/>
      <c r="E141" s="5"/>
      <c r="F141" s="5"/>
      <c r="G141" s="5"/>
      <c r="H141" s="5"/>
      <c r="I141" s="5"/>
      <c r="J141" s="5"/>
      <c r="K141" s="5"/>
      <c r="L141" s="5"/>
      <c r="M141" s="5"/>
      <c r="N141" s="5"/>
      <c r="O141" s="5"/>
      <c r="Q141" s="5"/>
      <c r="R141" s="5"/>
      <c r="S141" s="5"/>
    </row>
    <row r="142" spans="2:27">
      <c r="B142" s="5"/>
      <c r="C142" s="5"/>
      <c r="D142" s="5"/>
      <c r="E142" s="5"/>
      <c r="F142" s="5"/>
      <c r="G142" s="5"/>
      <c r="H142" s="5"/>
      <c r="I142" s="5"/>
      <c r="J142" s="5"/>
      <c r="K142" s="5"/>
      <c r="L142" s="5"/>
      <c r="M142" s="5"/>
      <c r="N142" s="5"/>
      <c r="O142" s="5"/>
      <c r="Q142" s="5"/>
      <c r="R142" s="5"/>
      <c r="S142" s="5"/>
    </row>
    <row r="143" spans="2:27">
      <c r="B143" s="5"/>
      <c r="C143" s="5"/>
      <c r="D143" s="5"/>
      <c r="E143" s="5"/>
      <c r="F143" s="5"/>
      <c r="G143" s="5"/>
      <c r="H143" s="5"/>
      <c r="I143" s="5"/>
      <c r="J143" s="5"/>
      <c r="K143" s="5"/>
      <c r="L143" s="5"/>
      <c r="M143" s="5"/>
      <c r="N143" s="5"/>
      <c r="O143" s="5"/>
      <c r="Q143" s="5"/>
      <c r="R143" s="5"/>
      <c r="S143" s="5"/>
    </row>
    <row r="144" spans="2:27">
      <c r="B144" s="5"/>
      <c r="C144" s="5"/>
      <c r="D144" s="5"/>
      <c r="E144" s="5"/>
      <c r="F144" s="5"/>
      <c r="G144" s="5"/>
      <c r="H144" s="5"/>
      <c r="I144" s="5"/>
      <c r="J144" s="5"/>
      <c r="K144" s="5"/>
      <c r="L144" s="5"/>
      <c r="M144" s="5"/>
      <c r="N144" s="5"/>
      <c r="O144" s="5"/>
      <c r="Q144" s="5"/>
      <c r="R144" s="5"/>
      <c r="S144" s="5"/>
    </row>
    <row r="145" spans="2:19">
      <c r="B145" s="5"/>
      <c r="C145" s="5"/>
      <c r="D145" s="5"/>
      <c r="E145" s="5"/>
      <c r="F145" s="5"/>
      <c r="G145" s="5"/>
      <c r="H145" s="5"/>
      <c r="I145" s="5"/>
      <c r="J145" s="5"/>
      <c r="K145" s="5"/>
      <c r="L145" s="5"/>
      <c r="M145" s="5"/>
      <c r="N145" s="5"/>
      <c r="O145" s="5"/>
      <c r="Q145" s="5"/>
      <c r="R145" s="5"/>
      <c r="S145" s="5"/>
    </row>
    <row r="146" spans="2:19">
      <c r="B146" s="5"/>
      <c r="C146" s="5"/>
      <c r="D146" s="5"/>
      <c r="E146" s="5"/>
      <c r="F146" s="5"/>
      <c r="G146" s="5"/>
      <c r="H146" s="5"/>
      <c r="I146" s="5"/>
      <c r="J146" s="5"/>
      <c r="K146" s="5"/>
      <c r="L146" s="5"/>
      <c r="M146" s="5"/>
      <c r="N146" s="5"/>
      <c r="O146" s="5"/>
      <c r="Q146" s="5"/>
      <c r="R146" s="5"/>
      <c r="S146" s="5"/>
    </row>
    <row r="147" spans="2:19">
      <c r="B147" s="5"/>
      <c r="C147" s="5"/>
      <c r="D147" s="5"/>
      <c r="E147" s="5"/>
      <c r="F147" s="5"/>
      <c r="G147" s="5"/>
      <c r="H147" s="5"/>
      <c r="I147" s="5"/>
      <c r="J147" s="5"/>
      <c r="K147" s="5"/>
      <c r="L147" s="5"/>
      <c r="M147" s="5"/>
      <c r="N147" s="5"/>
      <c r="O147" s="5"/>
      <c r="Q147" s="5"/>
      <c r="R147" s="5"/>
      <c r="S147" s="5"/>
    </row>
    <row r="148" spans="2:19">
      <c r="B148" s="5"/>
      <c r="C148" s="5"/>
      <c r="D148" s="5"/>
      <c r="E148" s="5"/>
      <c r="F148" s="5"/>
      <c r="G148" s="5"/>
      <c r="H148" s="5"/>
      <c r="I148" s="5"/>
      <c r="J148" s="5"/>
      <c r="K148" s="5"/>
      <c r="L148" s="5"/>
      <c r="M148" s="5"/>
      <c r="N148" s="5"/>
      <c r="O148" s="5"/>
      <c r="Q148" s="5"/>
      <c r="R148" s="5"/>
      <c r="S148" s="5"/>
    </row>
    <row r="149" spans="2:19">
      <c r="B149" s="5"/>
      <c r="C149" s="5"/>
      <c r="D149" s="5"/>
      <c r="E149" s="5"/>
      <c r="F149" s="5"/>
      <c r="G149" s="5"/>
      <c r="H149" s="5"/>
      <c r="J149" s="5"/>
      <c r="K149" s="5"/>
      <c r="L149" s="5"/>
      <c r="M149" s="5"/>
      <c r="N149" s="5"/>
      <c r="O149" s="5"/>
      <c r="Q149" s="5"/>
      <c r="R149" s="5"/>
      <c r="S149" s="5"/>
    </row>
    <row r="150" spans="2:19">
      <c r="B150" s="5"/>
      <c r="C150" s="5"/>
      <c r="D150" s="5"/>
      <c r="E150" s="5"/>
      <c r="F150" s="5"/>
      <c r="G150" s="5"/>
      <c r="H150" s="5"/>
      <c r="J150" s="5"/>
      <c r="K150" s="5"/>
      <c r="L150" s="5"/>
      <c r="M150" s="5"/>
      <c r="N150" s="5"/>
      <c r="O150" s="5"/>
      <c r="Q150" s="5"/>
      <c r="R150" s="5"/>
      <c r="S150" s="5"/>
    </row>
    <row r="151" spans="2:19">
      <c r="Q151" s="5"/>
      <c r="R151" s="5"/>
      <c r="S151" s="5"/>
    </row>
    <row r="152" spans="2:19">
      <c r="Q152" s="5"/>
      <c r="R152" s="5"/>
      <c r="S152" s="5"/>
    </row>
    <row r="153" spans="2:19">
      <c r="C153" s="263"/>
      <c r="Q153" s="5"/>
      <c r="R153" s="5"/>
      <c r="S153" s="5"/>
    </row>
    <row r="154" spans="2:19">
      <c r="Q154" s="5"/>
      <c r="R154" s="5"/>
      <c r="S154" s="5"/>
    </row>
    <row r="155" spans="2:19">
      <c r="Q155" s="5"/>
      <c r="R155" s="5"/>
      <c r="S155" s="5"/>
    </row>
    <row r="156" spans="2:19">
      <c r="Q156" s="5"/>
      <c r="R156" s="5"/>
      <c r="S156" s="5"/>
    </row>
    <row r="157" spans="2:19">
      <c r="Q157" s="5"/>
      <c r="R157" s="5"/>
      <c r="S157" s="5"/>
    </row>
    <row r="158" spans="2:19">
      <c r="Q158" s="5"/>
      <c r="R158" s="5"/>
      <c r="S158" s="5"/>
    </row>
    <row r="159" spans="2:19">
      <c r="Q159" s="5"/>
      <c r="R159" s="5"/>
      <c r="S159" s="5"/>
    </row>
    <row r="160" spans="2:19">
      <c r="Q160" s="5"/>
      <c r="R160" s="5"/>
      <c r="S160" s="5"/>
    </row>
    <row r="161" spans="17:19">
      <c r="Q161" s="5"/>
      <c r="R161" s="5"/>
      <c r="S161" s="5"/>
    </row>
    <row r="162" spans="17:19">
      <c r="Q162" s="5"/>
      <c r="R162" s="5"/>
      <c r="S162" s="5"/>
    </row>
    <row r="163" spans="17:19">
      <c r="Q163" s="5"/>
      <c r="R163" s="5"/>
      <c r="S163" s="5"/>
    </row>
    <row r="164" spans="17:19">
      <c r="Q164" s="5"/>
      <c r="R164" s="5"/>
      <c r="S164" s="5"/>
    </row>
    <row r="165" spans="17:19">
      <c r="Q165" s="5"/>
      <c r="R165" s="5"/>
      <c r="S165" s="5"/>
    </row>
  </sheetData>
  <phoneticPr fontId="7" type="noConversion"/>
  <hyperlinks>
    <hyperlink ref="C2" location="LIBSOP!A1" display="Jump to LibertySOP" xr:uid="{00000000-0004-0000-3500-000001000000}"/>
  </hyperlinks>
  <pageMargins left="0.75" right="0.75" top="1" bottom="1" header="0.5" footer="0.5"/>
  <pageSetup scale="71" orientation="landscape" r:id="rId1"/>
  <headerFooter alignWithMargins="0"/>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42">
    <pageSetUpPr fitToPage="1"/>
  </sheetPr>
  <dimension ref="B1:CE166"/>
  <sheetViews>
    <sheetView showGridLines="0" zoomScale="80" zoomScaleNormal="80" workbookViewId="0"/>
  </sheetViews>
  <sheetFormatPr defaultColWidth="9.109375" defaultRowHeight="12"/>
  <cols>
    <col min="1" max="1" width="2.33203125" style="39" customWidth="1"/>
    <col min="2" max="2" width="26.5546875" style="39" customWidth="1"/>
    <col min="3" max="9" width="10" style="39" customWidth="1"/>
    <col min="10" max="10" width="26.6640625" style="39" customWidth="1"/>
    <col min="11" max="16" width="10" style="39" customWidth="1"/>
    <col min="17" max="18" width="8.6640625" style="39" customWidth="1"/>
    <col min="19" max="28" width="8.6640625" style="5" customWidth="1"/>
    <col min="29" max="83" width="9.109375" style="5"/>
    <col min="84" max="16384" width="9.109375" style="39"/>
  </cols>
  <sheetData>
    <row r="1" spans="2:83" s="312" customFormat="1">
      <c r="S1" s="149"/>
      <c r="T1" s="149"/>
      <c r="U1" s="149"/>
      <c r="V1" s="149"/>
      <c r="W1" s="149"/>
      <c r="X1" s="149"/>
      <c r="Y1" s="149"/>
      <c r="Z1" s="149"/>
      <c r="AA1" s="149"/>
      <c r="AB1" s="149"/>
      <c r="AC1" s="149"/>
      <c r="AD1" s="149"/>
      <c r="AE1" s="149"/>
      <c r="AF1" s="149"/>
      <c r="AG1" s="149"/>
      <c r="AH1" s="149"/>
      <c r="AI1" s="149"/>
      <c r="AJ1" s="149"/>
      <c r="AK1" s="149"/>
      <c r="AL1" s="149"/>
      <c r="AM1" s="149"/>
      <c r="AN1" s="149"/>
      <c r="AO1" s="149"/>
      <c r="AP1" s="149"/>
      <c r="AQ1" s="149"/>
      <c r="AR1" s="149"/>
      <c r="AS1" s="149"/>
      <c r="AT1" s="149"/>
      <c r="AU1" s="149"/>
      <c r="AV1" s="149"/>
      <c r="AW1" s="149"/>
      <c r="AX1" s="149"/>
      <c r="AY1" s="149"/>
      <c r="AZ1" s="149"/>
      <c r="BA1" s="149"/>
      <c r="BB1" s="149"/>
      <c r="BC1" s="149"/>
      <c r="BD1" s="149"/>
      <c r="BE1" s="149"/>
      <c r="BF1" s="149"/>
      <c r="BG1" s="149"/>
      <c r="BH1" s="149"/>
      <c r="BI1" s="149"/>
      <c r="BJ1" s="149"/>
      <c r="BK1" s="149"/>
      <c r="BL1" s="149"/>
      <c r="BM1" s="149"/>
      <c r="BN1" s="149"/>
      <c r="BO1" s="149"/>
      <c r="BP1" s="149"/>
      <c r="BQ1" s="149"/>
      <c r="BR1" s="149"/>
      <c r="BS1" s="149"/>
      <c r="BT1" s="149"/>
      <c r="BU1" s="149"/>
      <c r="BV1" s="149"/>
      <c r="BW1" s="149"/>
      <c r="BX1" s="149"/>
      <c r="BY1" s="149"/>
      <c r="BZ1" s="149"/>
      <c r="CA1" s="149"/>
      <c r="CB1" s="149"/>
      <c r="CC1" s="149"/>
      <c r="CD1" s="149"/>
      <c r="CE1" s="149"/>
    </row>
    <row r="2" spans="2:83" s="149" customFormat="1">
      <c r="H2" s="153"/>
      <c r="P2" s="153"/>
    </row>
    <row r="3" spans="2:83" s="149" customFormat="1">
      <c r="C3" s="150"/>
      <c r="H3" s="153"/>
      <c r="P3" s="153"/>
    </row>
    <row r="4" spans="2:83" s="156" customFormat="1" ht="21">
      <c r="B4" s="129" t="s">
        <v>804</v>
      </c>
      <c r="H4" s="222"/>
      <c r="P4" s="222"/>
    </row>
    <row r="5" spans="2:83" s="149" customFormat="1">
      <c r="C5" s="153"/>
      <c r="D5" s="153" t="str" cm="1">
        <f t="array" ref="D5:H5">headings</f>
        <v>2023E</v>
      </c>
      <c r="E5" s="153" t="str">
        <v>2024E</v>
      </c>
      <c r="F5" s="153" t="str">
        <v>2025E</v>
      </c>
      <c r="G5" s="153" t="str">
        <v>2026E</v>
      </c>
      <c r="H5" s="153" t="str">
        <v>23E-26E</v>
      </c>
      <c r="I5" s="153"/>
      <c r="J5" s="153"/>
      <c r="K5" s="153"/>
      <c r="L5" s="153" t="str" cm="1">
        <f t="array" ref="L5:P5">headings</f>
        <v>2023E</v>
      </c>
      <c r="M5" s="153" t="str">
        <v>2024E</v>
      </c>
      <c r="N5" s="153" t="str">
        <v>2025E</v>
      </c>
      <c r="O5" s="153" t="str">
        <v>2026E</v>
      </c>
      <c r="P5" s="153" t="str">
        <v>23E-26E</v>
      </c>
      <c r="Q5" s="162"/>
      <c r="R5" s="162"/>
      <c r="S5" s="162"/>
      <c r="T5" s="162"/>
      <c r="U5" s="162"/>
      <c r="V5" s="162"/>
      <c r="W5" s="162"/>
      <c r="X5" s="162"/>
      <c r="Y5" s="162"/>
    </row>
    <row r="6" spans="2:83">
      <c r="B6" s="41"/>
      <c r="C6" s="49"/>
      <c r="D6" s="49"/>
      <c r="E6" s="49"/>
      <c r="F6" s="49"/>
      <c r="G6" s="49"/>
      <c r="H6" s="49"/>
      <c r="I6" s="49"/>
      <c r="J6" s="41"/>
      <c r="K6" s="41"/>
      <c r="L6" s="41"/>
      <c r="M6" s="41"/>
      <c r="N6" s="5"/>
      <c r="O6" s="5"/>
      <c r="P6" s="5"/>
    </row>
    <row r="7" spans="2:83" ht="12.6" thickBot="1">
      <c r="B7" s="306" t="s">
        <v>271</v>
      </c>
      <c r="C7" s="265"/>
      <c r="D7" s="265" t="str">
        <f>D5</f>
        <v>2023E</v>
      </c>
      <c r="E7" s="265" t="str">
        <f t="shared" ref="E7:H7" si="0">E5</f>
        <v>2024E</v>
      </c>
      <c r="F7" s="265" t="str">
        <f t="shared" si="0"/>
        <v>2025E</v>
      </c>
      <c r="G7" s="265" t="str">
        <f t="shared" si="0"/>
        <v>2026E</v>
      </c>
      <c r="H7" s="265" t="str">
        <f t="shared" si="0"/>
        <v>23E-26E</v>
      </c>
      <c r="I7" s="49"/>
      <c r="J7" s="306" t="s">
        <v>379</v>
      </c>
      <c r="K7" s="306"/>
      <c r="L7" s="265" t="str">
        <f>L5</f>
        <v>2023E</v>
      </c>
      <c r="M7" s="265" t="str">
        <f t="shared" ref="M7:P7" si="1">M5</f>
        <v>2024E</v>
      </c>
      <c r="N7" s="265" t="str">
        <f t="shared" si="1"/>
        <v>2025E</v>
      </c>
      <c r="O7" s="265" t="str">
        <f t="shared" si="1"/>
        <v>2026E</v>
      </c>
      <c r="P7" s="265" t="str">
        <f t="shared" si="1"/>
        <v>23E-26E</v>
      </c>
    </row>
    <row r="8" spans="2:83" ht="12.6" thickTop="1">
      <c r="B8" s="5"/>
      <c r="C8" s="228"/>
      <c r="D8" s="228"/>
      <c r="E8" s="228"/>
      <c r="F8" s="228"/>
      <c r="G8" s="228"/>
      <c r="H8" s="247"/>
      <c r="I8" s="5"/>
      <c r="J8" s="5"/>
      <c r="K8" s="5"/>
      <c r="L8" s="5"/>
      <c r="M8" s="5"/>
      <c r="N8" s="5"/>
      <c r="S8" s="42"/>
      <c r="T8" s="42"/>
      <c r="U8" s="42"/>
      <c r="V8" s="42"/>
      <c r="W8" s="42"/>
      <c r="X8" s="42"/>
      <c r="Y8" s="42"/>
      <c r="Z8" s="42"/>
      <c r="AA8" s="42"/>
    </row>
    <row r="9" spans="2:83">
      <c r="B9" s="41" t="s">
        <v>1455</v>
      </c>
      <c r="C9" s="267">
        <f>Prices!C138</f>
        <v>8.5500000000000007</v>
      </c>
      <c r="D9" s="544"/>
      <c r="E9" s="545"/>
      <c r="F9" s="545"/>
      <c r="G9" s="545"/>
      <c r="H9" s="249"/>
      <c r="I9" s="249"/>
      <c r="J9" s="5" t="s">
        <v>273</v>
      </c>
      <c r="L9" s="529">
        <f>'EMEA INCUMB'!D37</f>
        <v>0.4074058284411608</v>
      </c>
      <c r="M9" s="529">
        <f>'EMEA INCUMB'!E37</f>
        <v>0.34140257323146972</v>
      </c>
      <c r="N9" s="529">
        <f>'EMEA INCUMB'!F37</f>
        <v>0.27665584057483394</v>
      </c>
      <c r="O9" s="529">
        <f>'EMEA INCUMB'!G37</f>
        <v>0.21413233923032152</v>
      </c>
      <c r="P9" s="286">
        <f>'EMEA INCUMB'!H37</f>
        <v>1.947512825024833E-2</v>
      </c>
      <c r="S9" s="42"/>
      <c r="T9" s="42"/>
      <c r="U9" s="42"/>
      <c r="V9" s="42"/>
      <c r="W9" s="42"/>
      <c r="X9" s="42"/>
      <c r="Y9" s="42"/>
      <c r="Z9" s="42"/>
      <c r="AA9" s="42"/>
    </row>
    <row r="10" spans="2:83">
      <c r="B10" s="5" t="s">
        <v>274</v>
      </c>
      <c r="D10" s="531">
        <v>180.983</v>
      </c>
      <c r="E10" s="531">
        <v>181.92400000000001</v>
      </c>
      <c r="F10" s="531">
        <v>232.03</v>
      </c>
      <c r="G10" s="531">
        <v>229.73000000000002</v>
      </c>
      <c r="I10" s="247"/>
      <c r="J10" s="5" t="s">
        <v>184</v>
      </c>
      <c r="L10" s="529">
        <f>'EMEA INCUMB'!D38</f>
        <v>1.5135746264308387</v>
      </c>
      <c r="M10" s="529">
        <f>'EMEA INCUMB'!E38</f>
        <v>1.2998970888414254</v>
      </c>
      <c r="N10" s="529">
        <f>'EMEA INCUMB'!F38</f>
        <v>1.067392654519006</v>
      </c>
      <c r="O10" s="529">
        <f>'EMEA INCUMB'!G38</f>
        <v>0.82616468719586622</v>
      </c>
      <c r="P10" s="286">
        <f>'EMEA INCUMB'!H38</f>
        <v>6.71694721895566E-3</v>
      </c>
      <c r="S10" s="42"/>
      <c r="T10" s="42"/>
      <c r="U10" s="42"/>
      <c r="V10" s="42"/>
      <c r="W10" s="288"/>
      <c r="X10" s="288"/>
      <c r="Y10" s="288"/>
      <c r="Z10" s="288"/>
      <c r="AA10" s="42"/>
    </row>
    <row r="11" spans="2:83">
      <c r="B11" s="41" t="s">
        <v>275</v>
      </c>
      <c r="C11" s="5"/>
      <c r="D11" s="532">
        <f>D10*$C9</f>
        <v>1547.4046500000002</v>
      </c>
      <c r="E11" s="532">
        <f>E10*$C9</f>
        <v>1555.4502000000002</v>
      </c>
      <c r="F11" s="532">
        <f>F10*$C9</f>
        <v>1983.8565000000001</v>
      </c>
      <c r="G11" s="532">
        <f>G10*$C9</f>
        <v>1964.1915000000004</v>
      </c>
      <c r="H11" s="249"/>
      <c r="I11" s="249"/>
      <c r="J11" s="5" t="s">
        <v>185</v>
      </c>
      <c r="L11" s="529">
        <f>'EMEA INCUMB'!D39</f>
        <v>3.3456036298414493</v>
      </c>
      <c r="M11" s="529">
        <f>'EMEA INCUMB'!E39</f>
        <v>2.8235435492693335</v>
      </c>
      <c r="N11" s="529">
        <f>'EMEA INCUMB'!F39</f>
        <v>2.3629672200793865</v>
      </c>
      <c r="O11" s="529">
        <f>'EMEA INCUMB'!G39</f>
        <v>1.8289427662500468</v>
      </c>
      <c r="P11" s="286">
        <f>'EMEA INCUMB'!H39</f>
        <v>6.2049124089686991E-3</v>
      </c>
      <c r="S11" s="42"/>
      <c r="T11" s="42"/>
      <c r="U11" s="42"/>
      <c r="V11" s="42"/>
      <c r="W11" s="288"/>
      <c r="X11" s="288"/>
      <c r="Y11" s="288"/>
      <c r="Z11" s="288"/>
      <c r="AA11" s="42"/>
    </row>
    <row r="12" spans="2:83">
      <c r="B12" s="5" t="s">
        <v>24</v>
      </c>
      <c r="C12" s="249"/>
      <c r="D12" s="533">
        <v>7107.0122227357788</v>
      </c>
      <c r="E12" s="533">
        <v>6817.2828302392327</v>
      </c>
      <c r="F12" s="533">
        <v>6553.354702354487</v>
      </c>
      <c r="G12" s="533">
        <v>6286.6492311254051</v>
      </c>
      <c r="H12" s="247"/>
      <c r="I12" s="247"/>
      <c r="J12" s="5" t="s">
        <v>466</v>
      </c>
      <c r="L12" s="529">
        <f>'EMEA INCUMB'!D40</f>
        <v>4.6466717081131232</v>
      </c>
      <c r="M12" s="529">
        <f>'EMEA INCUMB'!E40</f>
        <v>3.9215882628740744</v>
      </c>
      <c r="N12" s="529">
        <f>'EMEA INCUMB'!F40</f>
        <v>3.2818989167769259</v>
      </c>
      <c r="O12" s="529">
        <f>'EMEA INCUMB'!G40</f>
        <v>2.5401982864583985</v>
      </c>
      <c r="P12" s="286">
        <f>'EMEA INCUMB'!H40</f>
        <v>6.2049124089686991E-3</v>
      </c>
      <c r="S12" s="42"/>
      <c r="T12" s="42"/>
      <c r="U12" s="42"/>
      <c r="V12" s="42"/>
      <c r="W12" s="288"/>
      <c r="X12" s="288"/>
      <c r="Y12" s="288"/>
      <c r="Z12" s="288"/>
      <c r="AA12" s="42"/>
    </row>
    <row r="13" spans="2:83">
      <c r="B13" s="5" t="s">
        <v>529</v>
      </c>
      <c r="C13" s="257"/>
      <c r="D13" s="533">
        <v>0</v>
      </c>
      <c r="E13" s="533">
        <v>0</v>
      </c>
      <c r="F13" s="533">
        <v>0</v>
      </c>
      <c r="G13" s="533">
        <v>0</v>
      </c>
      <c r="H13" s="247"/>
      <c r="I13" s="247"/>
      <c r="J13" s="5" t="s">
        <v>530</v>
      </c>
      <c r="L13" s="529">
        <f>'EMEA INCUMB'!D41</f>
        <v>0.43854150614622467</v>
      </c>
      <c r="M13" s="529">
        <f>'EMEA INCUMB'!E41</f>
        <v>0.37588879701324635</v>
      </c>
      <c r="N13" s="529">
        <f>'EMEA INCUMB'!F41</f>
        <v>0.31274947197669978</v>
      </c>
      <c r="O13" s="529">
        <f>'EMEA INCUMB'!G41</f>
        <v>0.24723416951628824</v>
      </c>
      <c r="P13" s="286">
        <f>'EMEA INCUMB'!H41</f>
        <v>-4.0694686979287908E-3</v>
      </c>
      <c r="S13" s="42"/>
      <c r="T13" s="42"/>
      <c r="U13" s="42"/>
      <c r="V13" s="42"/>
      <c r="W13" s="42"/>
      <c r="X13" s="42"/>
      <c r="Y13" s="42"/>
      <c r="Z13" s="42"/>
      <c r="AA13" s="42"/>
    </row>
    <row r="14" spans="2:83">
      <c r="B14" s="5" t="s">
        <v>531</v>
      </c>
      <c r="C14" s="257"/>
      <c r="D14" s="533">
        <v>0</v>
      </c>
      <c r="E14" s="533">
        <v>0</v>
      </c>
      <c r="F14" s="533">
        <v>1183.3135633341376</v>
      </c>
      <c r="G14" s="533">
        <v>1183.3135633341376</v>
      </c>
      <c r="H14" s="247"/>
      <c r="I14" s="247"/>
      <c r="J14" s="5"/>
      <c r="L14" s="529"/>
      <c r="M14" s="529"/>
      <c r="N14" s="529"/>
      <c r="O14" s="529"/>
      <c r="P14" s="286"/>
      <c r="S14" s="42"/>
      <c r="T14" s="42"/>
      <c r="U14" s="42"/>
      <c r="V14" s="42"/>
      <c r="W14" s="42"/>
      <c r="X14" s="42"/>
      <c r="Y14" s="42"/>
      <c r="Z14" s="42"/>
      <c r="AA14" s="42"/>
    </row>
    <row r="15" spans="2:83">
      <c r="B15" s="5" t="s">
        <v>874</v>
      </c>
      <c r="C15" s="274"/>
      <c r="D15" s="533">
        <v>0</v>
      </c>
      <c r="E15" s="533">
        <f>D15</f>
        <v>0</v>
      </c>
      <c r="F15" s="533">
        <f t="shared" ref="F15:G15" si="2">E15</f>
        <v>0</v>
      </c>
      <c r="G15" s="533">
        <f t="shared" si="2"/>
        <v>0</v>
      </c>
      <c r="H15" s="247"/>
      <c r="I15" s="247"/>
      <c r="J15" s="5" t="s">
        <v>593</v>
      </c>
      <c r="L15" s="529">
        <f>'EMEA INCUMB'!D42</f>
        <v>0.46409470475784848</v>
      </c>
      <c r="M15" s="529">
        <f>'EMEA INCUMB'!E42</f>
        <v>0.39094015790221343</v>
      </c>
      <c r="N15" s="529">
        <f>'EMEA INCUMB'!F42</f>
        <v>0.32017860683781585</v>
      </c>
      <c r="O15" s="529">
        <f>'EMEA INCUMB'!G42</f>
        <v>0.24781907337011971</v>
      </c>
      <c r="P15" s="286">
        <f>'EMEA INCUMB'!H42</f>
        <v>1.4111258607638399E-2</v>
      </c>
      <c r="S15" s="42"/>
      <c r="T15" s="42"/>
      <c r="U15" s="42"/>
      <c r="V15" s="42"/>
      <c r="W15" s="42"/>
      <c r="X15" s="42"/>
      <c r="Y15" s="42"/>
      <c r="Z15" s="42"/>
      <c r="AA15" s="42"/>
    </row>
    <row r="16" spans="2:83">
      <c r="B16" s="5" t="s">
        <v>534</v>
      </c>
      <c r="C16" s="257"/>
      <c r="D16" s="533">
        <v>0</v>
      </c>
      <c r="E16" s="533">
        <v>0</v>
      </c>
      <c r="F16" s="533">
        <v>0</v>
      </c>
      <c r="G16" s="533">
        <v>0</v>
      </c>
      <c r="H16" s="247"/>
      <c r="I16" s="247"/>
      <c r="J16" s="5" t="s">
        <v>475</v>
      </c>
      <c r="L16" s="529">
        <f>'EMEA INCUMB'!D43</f>
        <v>4.2318488415219102</v>
      </c>
      <c r="M16" s="529">
        <f>'EMEA INCUMB'!E43</f>
        <v>4.2133892008203944</v>
      </c>
      <c r="N16" s="529">
        <f>'EMEA INCUMB'!F43</f>
        <v>4.2435979684994436</v>
      </c>
      <c r="O16" s="529">
        <f>'EMEA INCUMB'!G43</f>
        <v>4.1565349515731844</v>
      </c>
      <c r="P16" s="286">
        <f>'EMEA INCUMB'!H43</f>
        <v>6.0036813160782021E-3</v>
      </c>
      <c r="S16" s="42"/>
      <c r="T16" s="42"/>
      <c r="U16" s="42"/>
      <c r="V16" s="42"/>
      <c r="W16" s="42"/>
      <c r="X16" s="42"/>
      <c r="Y16" s="42"/>
      <c r="Z16" s="42"/>
      <c r="AA16" s="42"/>
    </row>
    <row r="17" spans="2:27">
      <c r="B17" s="5" t="s">
        <v>6</v>
      </c>
      <c r="C17" s="257"/>
      <c r="D17" s="533">
        <v>0</v>
      </c>
      <c r="E17" s="533">
        <v>0</v>
      </c>
      <c r="F17" s="533">
        <v>0</v>
      </c>
      <c r="G17" s="533">
        <v>0</v>
      </c>
      <c r="H17" s="247"/>
      <c r="I17" s="247"/>
      <c r="J17" s="5" t="s">
        <v>533</v>
      </c>
      <c r="L17" s="529">
        <f>'EMEA INCUMB'!D44</f>
        <v>3.3421618761320615</v>
      </c>
      <c r="M17" s="529">
        <f>'EMEA INCUMB'!E44</f>
        <v>3.4729295564380194</v>
      </c>
      <c r="N17" s="529">
        <f>'EMEA INCUMB'!F44</f>
        <v>3.443387480643997</v>
      </c>
      <c r="O17" s="529">
        <f>'EMEA INCUMB'!G44</f>
        <v>3.3727418387296719</v>
      </c>
      <c r="P17" s="286">
        <f>'EMEA INCUMB'!H44</f>
        <v>-3.031445748740591E-3</v>
      </c>
      <c r="S17" s="42"/>
      <c r="T17" s="42"/>
      <c r="U17" s="42"/>
      <c r="V17" s="42"/>
      <c r="W17" s="42"/>
      <c r="X17" s="42"/>
      <c r="Y17" s="42"/>
      <c r="Z17" s="42"/>
      <c r="AA17" s="42"/>
    </row>
    <row r="18" spans="2:27" ht="12.6" thickBot="1">
      <c r="B18" s="41" t="s">
        <v>583</v>
      </c>
      <c r="C18" s="249"/>
      <c r="D18" s="534">
        <f>D11+D12+D13+D14-D15-D16-D17</f>
        <v>8654.4168727357792</v>
      </c>
      <c r="E18" s="534">
        <f>E11+E12+E13+E14-E15-E16-E17</f>
        <v>8372.7330302392329</v>
      </c>
      <c r="F18" s="534">
        <f>F11+F12+F13+F14-F15-F16-F17</f>
        <v>9720.524765688624</v>
      </c>
      <c r="G18" s="534">
        <f>G11+G12+G13+G14-G15-G16-G17</f>
        <v>9434.1542944595421</v>
      </c>
      <c r="H18" s="333"/>
      <c r="I18" s="247"/>
      <c r="J18" s="5" t="s">
        <v>580</v>
      </c>
      <c r="L18" s="248">
        <f>'EMEA INCUMB'!D45</f>
        <v>0.17269022263382078</v>
      </c>
      <c r="M18" s="248">
        <f>'EMEA INCUMB'!E45</f>
        <v>0.17344681057539141</v>
      </c>
      <c r="N18" s="248">
        <f>'EMEA INCUMB'!F45</f>
        <v>0.1722121002083328</v>
      </c>
      <c r="O18" s="248">
        <f>'EMEA INCUMB'!G45</f>
        <v>0.17344681057539177</v>
      </c>
      <c r="P18" s="286">
        <f>'EMEA INCUMB'!H45</f>
        <v>1.4582676697889596E-3</v>
      </c>
      <c r="S18" s="42"/>
      <c r="T18" s="42"/>
      <c r="U18" s="42"/>
      <c r="V18" s="42"/>
      <c r="W18" s="42"/>
      <c r="X18" s="42"/>
      <c r="Y18" s="42"/>
      <c r="Z18" s="42"/>
      <c r="AA18" s="42"/>
    </row>
    <row r="19" spans="2:27" ht="12.6" thickTop="1">
      <c r="I19" s="254"/>
      <c r="J19" s="5" t="s">
        <v>36</v>
      </c>
      <c r="L19" s="248">
        <f>'EMEA INCUMB'!D46</f>
        <v>0.17269022263382078</v>
      </c>
      <c r="M19" s="248">
        <f>'EMEA INCUMB'!E46</f>
        <v>0.17344681057539141</v>
      </c>
      <c r="N19" s="248">
        <f>'EMEA INCUMB'!F46</f>
        <v>0.1722121002083328</v>
      </c>
      <c r="O19" s="248">
        <f>'EMEA INCUMB'!G46</f>
        <v>0.17344681057539177</v>
      </c>
      <c r="P19" s="286">
        <f>'EMEA INCUMB'!H46</f>
        <v>1.4582676697889596E-3</v>
      </c>
      <c r="S19" s="42"/>
      <c r="T19" s="42"/>
      <c r="U19" s="42"/>
      <c r="V19" s="42"/>
      <c r="W19" s="42"/>
      <c r="X19" s="42"/>
      <c r="Y19" s="42"/>
      <c r="Z19" s="42"/>
      <c r="AA19" s="42"/>
    </row>
    <row r="20" spans="2:27">
      <c r="I20" s="254"/>
      <c r="J20" s="5" t="s">
        <v>581</v>
      </c>
      <c r="L20" s="248">
        <f>'EMEA INCUMB'!D47</f>
        <v>0.23630333630734493</v>
      </c>
      <c r="M20" s="248">
        <f>'EMEA INCUMB'!E47</f>
        <v>0.23733862511568804</v>
      </c>
      <c r="N20" s="248">
        <f>'EMEA INCUMB'!F47</f>
        <v>0.23564909009361334</v>
      </c>
      <c r="O20" s="248">
        <f>'EMEA INCUMB'!G47</f>
        <v>0.24058500930480939</v>
      </c>
      <c r="P20" s="286">
        <f>'EMEA INCUMB'!H47</f>
        <v>6.0036813160782021E-3</v>
      </c>
      <c r="S20" s="42"/>
      <c r="T20" s="42"/>
      <c r="U20" s="42"/>
      <c r="V20" s="42"/>
      <c r="W20" s="42"/>
      <c r="X20" s="42"/>
      <c r="Y20" s="42"/>
      <c r="Z20" s="42"/>
      <c r="AA20" s="42"/>
    </row>
    <row r="21" spans="2:27" ht="12.6" thickBot="1">
      <c r="B21" s="306" t="s">
        <v>927</v>
      </c>
      <c r="C21" s="334"/>
      <c r="D21" s="265" t="str">
        <f>D5</f>
        <v>2023E</v>
      </c>
      <c r="E21" s="265" t="str">
        <f>E5</f>
        <v>2024E</v>
      </c>
      <c r="F21" s="265" t="str">
        <f>F5</f>
        <v>2025E</v>
      </c>
      <c r="G21" s="265" t="str">
        <f>G5</f>
        <v>2026E</v>
      </c>
      <c r="H21" s="265" t="str">
        <f>H5</f>
        <v>23E-26E</v>
      </c>
      <c r="I21" s="17"/>
      <c r="J21" s="41" t="s">
        <v>604</v>
      </c>
      <c r="L21" s="284">
        <f>'EMEA INCUMB'!D48</f>
        <v>0.73079891859509538</v>
      </c>
      <c r="M21" s="284">
        <f>'EMEA INCUMB'!E48</f>
        <v>0.73079891859509472</v>
      </c>
      <c r="N21" s="284">
        <f>'EMEA INCUMB'!F48</f>
        <v>0.7307989185951036</v>
      </c>
      <c r="O21" s="284">
        <f>'EMEA INCUMB'!G48</f>
        <v>0.72093773039550924</v>
      </c>
      <c r="P21" s="286">
        <f>'EMEA INCUMB'!H48</f>
        <v>-3.031445748740591E-3</v>
      </c>
      <c r="S21" s="42"/>
      <c r="T21" s="42"/>
      <c r="U21" s="42"/>
      <c r="V21" s="42"/>
      <c r="W21" s="42"/>
      <c r="X21" s="42"/>
      <c r="Y21" s="42"/>
      <c r="Z21" s="42"/>
      <c r="AA21" s="42"/>
    </row>
    <row r="22" spans="2:27" ht="12.6" thickTop="1">
      <c r="B22" s="5"/>
      <c r="C22" s="324"/>
      <c r="D22" s="17"/>
      <c r="E22" s="17"/>
      <c r="F22" s="17"/>
      <c r="G22" s="17"/>
      <c r="H22" s="17"/>
      <c r="I22" s="49"/>
      <c r="J22" s="41"/>
      <c r="L22" s="250"/>
      <c r="M22" s="250"/>
      <c r="N22" s="250"/>
      <c r="O22" s="250"/>
      <c r="P22" s="286"/>
      <c r="S22" s="42"/>
      <c r="T22" s="42"/>
      <c r="U22" s="42"/>
      <c r="V22" s="42"/>
      <c r="W22" s="42"/>
      <c r="X22" s="42"/>
      <c r="Y22" s="42"/>
      <c r="Z22" s="42"/>
      <c r="AA22" s="42"/>
    </row>
    <row r="23" spans="2:27" ht="12.6" thickBot="1">
      <c r="B23" s="5" t="s">
        <v>584</v>
      </c>
      <c r="C23" s="548">
        <v>4815</v>
      </c>
      <c r="D23" s="540">
        <v>4592.0455895614796</v>
      </c>
      <c r="E23" s="540">
        <v>4673.0973166302392</v>
      </c>
      <c r="F23" s="540">
        <v>4764.5682468653304</v>
      </c>
      <c r="G23" s="540">
        <v>4691.922450693387</v>
      </c>
      <c r="H23" s="286">
        <f t="shared" ref="H23:H31" si="3">IF(D23=0,"nm",IF(G23=0,"nm",(G23/D23)^(1/3)-1))</f>
        <v>7.1980542314982188E-3</v>
      </c>
      <c r="I23" s="17"/>
      <c r="J23" s="306" t="s">
        <v>9</v>
      </c>
      <c r="K23" s="306"/>
      <c r="L23" s="265" t="str">
        <f>D21</f>
        <v>2023E</v>
      </c>
      <c r="M23" s="265" t="str">
        <f>E21</f>
        <v>2024E</v>
      </c>
      <c r="N23" s="265" t="str">
        <f>F21</f>
        <v>2025E</v>
      </c>
      <c r="O23" s="265" t="str">
        <f>G21</f>
        <v>2026E</v>
      </c>
      <c r="P23" s="265" t="str">
        <f>H21</f>
        <v>23E-26E</v>
      </c>
      <c r="S23" s="42"/>
      <c r="T23" s="42"/>
      <c r="U23" s="42"/>
      <c r="V23" s="42"/>
      <c r="W23" s="42"/>
      <c r="X23" s="42"/>
      <c r="Y23" s="42"/>
      <c r="Z23" s="42"/>
      <c r="AA23" s="42"/>
    </row>
    <row r="24" spans="2:27" ht="12.6" thickTop="1">
      <c r="B24" s="5" t="s">
        <v>483</v>
      </c>
      <c r="C24" s="549">
        <v>1718</v>
      </c>
      <c r="D24" s="540">
        <v>1668.4371188615037</v>
      </c>
      <c r="E24" s="540">
        <v>1787.4934919352831</v>
      </c>
      <c r="F24" s="540">
        <v>1850.66739300208</v>
      </c>
      <c r="G24" s="540">
        <v>1846.5515119206989</v>
      </c>
      <c r="H24" s="286">
        <f>IF(D24=0,"nm",IF(G24=0,"nm",(G24/D24)^(1/3)-1))</f>
        <v>3.4388923456728726E-2</v>
      </c>
      <c r="I24" s="247"/>
      <c r="J24" s="17"/>
      <c r="K24" s="17"/>
      <c r="L24" s="17"/>
      <c r="M24" s="17"/>
      <c r="N24" s="17"/>
      <c r="O24" s="248"/>
      <c r="S24" s="42"/>
      <c r="T24" s="42"/>
      <c r="U24" s="42"/>
      <c r="V24" s="42"/>
      <c r="W24" s="42"/>
      <c r="X24" s="42"/>
      <c r="Y24" s="42"/>
      <c r="Z24" s="42"/>
      <c r="AA24" s="42"/>
    </row>
    <row r="25" spans="2:27">
      <c r="B25" s="5" t="s">
        <v>183</v>
      </c>
      <c r="C25" s="548">
        <v>901.7</v>
      </c>
      <c r="D25" s="540">
        <v>909.36292804460982</v>
      </c>
      <c r="E25" s="540">
        <v>1045.944030435081</v>
      </c>
      <c r="F25" s="540">
        <v>1118.3968848875552</v>
      </c>
      <c r="G25" s="540">
        <v>1068.1307403531318</v>
      </c>
      <c r="H25" s="286">
        <f t="shared" si="3"/>
        <v>5.5105101534048684E-2</v>
      </c>
      <c r="I25" s="249"/>
      <c r="J25" s="247" t="s">
        <v>10</v>
      </c>
      <c r="K25" s="247"/>
      <c r="L25" s="335">
        <v>0</v>
      </c>
      <c r="M25" s="335">
        <v>0</v>
      </c>
      <c r="N25" s="335">
        <v>0</v>
      </c>
      <c r="O25" s="335">
        <v>0</v>
      </c>
      <c r="P25" s="286" t="str">
        <f>IF(L25=0,"nm",IF(O25=0,"nm",(O25/L25)^(1/3)-1))</f>
        <v>nm</v>
      </c>
      <c r="S25" s="42"/>
      <c r="T25" s="42"/>
      <c r="U25" s="42"/>
      <c r="V25" s="42"/>
      <c r="W25" s="42" t="s">
        <v>804</v>
      </c>
      <c r="X25" s="42" t="s">
        <v>95</v>
      </c>
      <c r="Y25" s="42"/>
      <c r="Z25" s="42"/>
      <c r="AA25" s="42"/>
    </row>
    <row r="26" spans="2:27">
      <c r="B26" s="5" t="s">
        <v>586</v>
      </c>
      <c r="C26" s="548">
        <v>649.22400000000005</v>
      </c>
      <c r="D26" s="540">
        <v>654.74130819211905</v>
      </c>
      <c r="E26" s="540">
        <v>753.0797019132583</v>
      </c>
      <c r="F26" s="540">
        <v>805.24575711903969</v>
      </c>
      <c r="G26" s="540">
        <v>769.05413305425486</v>
      </c>
      <c r="H26" s="286">
        <f t="shared" si="3"/>
        <v>5.5105101534048684E-2</v>
      </c>
      <c r="I26" s="248"/>
      <c r="J26" s="249" t="s">
        <v>11</v>
      </c>
      <c r="K26" s="249"/>
      <c r="L26" s="281">
        <f>D11+L25</f>
        <v>1547.4046500000002</v>
      </c>
      <c r="M26" s="281">
        <f>E11+M25</f>
        <v>1555.4502000000002</v>
      </c>
      <c r="N26" s="281">
        <f>F11+N25</f>
        <v>1983.8565000000001</v>
      </c>
      <c r="O26" s="281">
        <f>G11+O25</f>
        <v>1964.1915000000004</v>
      </c>
      <c r="P26" s="286">
        <f>IF(L26=0,"nm",IF(O26=0,"nm",(O26/L26)^(1/3)-1))</f>
        <v>8.2746137752245152E-2</v>
      </c>
      <c r="S26" s="42"/>
      <c r="T26" s="42"/>
      <c r="U26" s="42"/>
      <c r="V26" s="147" t="s">
        <v>273</v>
      </c>
      <c r="W26" s="288">
        <f>D37/L9</f>
        <v>4.6259867224136091</v>
      </c>
      <c r="X26" s="288">
        <v>1</v>
      </c>
      <c r="Y26" s="42"/>
      <c r="Z26" s="42"/>
      <c r="AA26" s="42"/>
    </row>
    <row r="27" spans="2:27">
      <c r="B27" s="5" t="s">
        <v>587</v>
      </c>
      <c r="C27" s="549">
        <v>7167.4000000000005</v>
      </c>
      <c r="D27" s="540">
        <v>7140.3364630144588</v>
      </c>
      <c r="E27" s="540">
        <v>6836.7487533293843</v>
      </c>
      <c r="F27" s="540">
        <v>6463.3281343496419</v>
      </c>
      <c r="G27" s="540">
        <v>6124.4297929204386</v>
      </c>
      <c r="H27" s="286">
        <f t="shared" si="3"/>
        <v>-4.987153823261381E-2</v>
      </c>
      <c r="I27" s="249"/>
      <c r="Q27" s="5"/>
      <c r="S27" s="42"/>
      <c r="T27" s="42"/>
      <c r="U27" s="42"/>
      <c r="V27" s="147" t="s">
        <v>184</v>
      </c>
      <c r="W27" s="288">
        <f>D38/L10</f>
        <v>3.4270791033690364</v>
      </c>
      <c r="X27" s="288">
        <v>1</v>
      </c>
      <c r="Y27" s="42"/>
      <c r="Z27" s="42"/>
      <c r="AA27" s="42"/>
    </row>
    <row r="28" spans="2:27" ht="12.6" thickBot="1">
      <c r="B28" s="5" t="s">
        <v>592</v>
      </c>
      <c r="C28" s="548">
        <v>4293.6000000000004</v>
      </c>
      <c r="D28" s="540">
        <v>2470.7227337114091</v>
      </c>
      <c r="E28" s="540">
        <v>2706.7958051072637</v>
      </c>
      <c r="F28" s="540">
        <v>2885.292571778964</v>
      </c>
      <c r="G28" s="540">
        <v>3073.4215822848164</v>
      </c>
      <c r="H28" s="286">
        <f t="shared" si="3"/>
        <v>7.5472661546031272E-2</v>
      </c>
      <c r="I28" s="249"/>
      <c r="J28" s="306" t="s">
        <v>1362</v>
      </c>
      <c r="K28" s="306"/>
      <c r="L28" s="306"/>
      <c r="M28" s="306"/>
      <c r="N28" s="266"/>
      <c r="O28" s="266"/>
      <c r="P28" s="266"/>
      <c r="Q28" s="41"/>
      <c r="S28" s="42"/>
      <c r="T28" s="42"/>
      <c r="U28" s="42"/>
      <c r="V28" s="147" t="s">
        <v>185</v>
      </c>
      <c r="W28" s="288">
        <f>D39/L11</f>
        <v>2.8446319184519355</v>
      </c>
      <c r="X28" s="288">
        <v>1</v>
      </c>
      <c r="Y28" s="42"/>
      <c r="Z28" s="42"/>
      <c r="AA28" s="42"/>
    </row>
    <row r="29" spans="2:27" ht="12.6" thickTop="1">
      <c r="B29" s="5" t="s">
        <v>588</v>
      </c>
      <c r="C29" s="548">
        <v>229.24999999999997</v>
      </c>
      <c r="D29" s="540">
        <v>258.90224795685941</v>
      </c>
      <c r="E29" s="540">
        <v>403.98677178308492</v>
      </c>
      <c r="F29" s="540">
        <v>462.51597312323065</v>
      </c>
      <c r="G29" s="540">
        <v>431.45873218199154</v>
      </c>
      <c r="H29" s="286">
        <f t="shared" si="3"/>
        <v>0.18558987177064479</v>
      </c>
      <c r="I29" s="248"/>
      <c r="J29" s="41"/>
      <c r="K29" s="41"/>
      <c r="L29" s="41"/>
      <c r="M29" s="41"/>
      <c r="N29" s="5"/>
      <c r="O29" s="5"/>
      <c r="P29" s="5"/>
      <c r="Q29" s="5"/>
      <c r="S29" s="42"/>
      <c r="T29" s="42"/>
      <c r="U29" s="42"/>
      <c r="V29" s="147" t="s">
        <v>466</v>
      </c>
      <c r="W29" s="288">
        <f>D40/L12</f>
        <v>2.844631918451936</v>
      </c>
      <c r="X29" s="288">
        <v>1</v>
      </c>
      <c r="Y29" s="42"/>
      <c r="Z29" s="42"/>
      <c r="AA29" s="42"/>
    </row>
    <row r="30" spans="2:27">
      <c r="B30" s="5" t="s">
        <v>589</v>
      </c>
      <c r="C30" s="548">
        <v>190.09999999999997</v>
      </c>
      <c r="D30" s="540">
        <v>134.89599521500534</v>
      </c>
      <c r="E30" s="540">
        <v>465.90451366425816</v>
      </c>
      <c r="F30" s="540">
        <v>500.17629745081769</v>
      </c>
      <c r="G30" s="540">
        <v>512.65548321647589</v>
      </c>
      <c r="H30" s="286">
        <f t="shared" si="3"/>
        <v>0.56054219804724514</v>
      </c>
      <c r="I30" s="252"/>
      <c r="J30" s="249"/>
      <c r="K30" s="249"/>
      <c r="L30" s="249"/>
      <c r="M30" s="249"/>
      <c r="N30" s="249"/>
      <c r="O30" s="251"/>
      <c r="Q30" s="5"/>
      <c r="S30" s="42"/>
      <c r="T30" s="42"/>
      <c r="U30" s="42"/>
      <c r="V30" s="147" t="s">
        <v>530</v>
      </c>
      <c r="W30" s="288">
        <f>D41/L13</f>
        <v>2.7638115672421675</v>
      </c>
      <c r="X30" s="288">
        <v>1</v>
      </c>
      <c r="Y30" s="42"/>
      <c r="Z30" s="42"/>
      <c r="AA30" s="42"/>
    </row>
    <row r="31" spans="2:27">
      <c r="B31" s="5" t="s">
        <v>590</v>
      </c>
      <c r="C31" s="548">
        <v>0</v>
      </c>
      <c r="D31" s="540">
        <v>0</v>
      </c>
      <c r="E31" s="540">
        <v>0</v>
      </c>
      <c r="F31" s="540">
        <v>0</v>
      </c>
      <c r="G31" s="540">
        <v>0</v>
      </c>
      <c r="H31" s="286" t="str">
        <f t="shared" si="3"/>
        <v>nm</v>
      </c>
      <c r="I31" s="254"/>
      <c r="J31" s="248"/>
      <c r="K31" s="248"/>
      <c r="L31" s="248"/>
      <c r="M31" s="248"/>
      <c r="N31" s="248"/>
      <c r="O31" s="5"/>
      <c r="Q31" s="5"/>
      <c r="S31" s="42"/>
      <c r="T31" s="42"/>
      <c r="U31" s="42"/>
      <c r="V31" s="147" t="s">
        <v>593</v>
      </c>
      <c r="W31" s="288">
        <f>D42/L15</f>
        <v>7.5475706378950829</v>
      </c>
      <c r="X31" s="288">
        <v>1</v>
      </c>
      <c r="Y31" s="42"/>
      <c r="Z31" s="42"/>
      <c r="AA31" s="42"/>
    </row>
    <row r="32" spans="2:27">
      <c r="B32" s="5" t="s">
        <v>606</v>
      </c>
      <c r="C32" s="548">
        <v>0</v>
      </c>
      <c r="D32" s="540">
        <v>247.7999999999999</v>
      </c>
      <c r="E32" s="540">
        <v>-156.30000000000018</v>
      </c>
      <c r="F32" s="540">
        <v>1815.57</v>
      </c>
      <c r="G32" s="540">
        <v>296.89999999999992</v>
      </c>
      <c r="H32" s="286"/>
      <c r="I32" s="254"/>
      <c r="J32" s="252"/>
      <c r="K32" s="252"/>
      <c r="L32" s="252"/>
      <c r="M32" s="252"/>
      <c r="N32" s="252"/>
      <c r="O32" s="5"/>
      <c r="Q32" s="5"/>
      <c r="S32" s="42"/>
      <c r="T32" s="42"/>
      <c r="U32" s="42"/>
      <c r="V32" s="147" t="s">
        <v>475</v>
      </c>
      <c r="W32" s="288">
        <f>D43/L16</f>
        <v>1.41233567610208</v>
      </c>
      <c r="X32" s="288">
        <v>1</v>
      </c>
      <c r="Y32" s="42"/>
      <c r="Z32" s="42"/>
      <c r="AA32" s="42"/>
    </row>
    <row r="33" spans="2:27">
      <c r="B33" s="5" t="s">
        <v>5</v>
      </c>
      <c r="C33" s="548">
        <v>556.70000000000005</v>
      </c>
      <c r="D33" s="540">
        <v>431.41464317219965</v>
      </c>
      <c r="E33" s="540">
        <v>424.04434306099216</v>
      </c>
      <c r="F33" s="540">
        <v>416.32020937628016</v>
      </c>
      <c r="G33" s="540">
        <v>408.5982305147873</v>
      </c>
      <c r="H33" s="331"/>
      <c r="I33" s="254"/>
      <c r="J33" s="254"/>
      <c r="K33" s="254"/>
      <c r="L33" s="254"/>
      <c r="M33" s="254"/>
      <c r="N33" s="254"/>
      <c r="O33" s="251"/>
      <c r="Q33" s="5"/>
      <c r="S33" s="42"/>
      <c r="T33" s="42"/>
      <c r="U33" s="42"/>
      <c r="V33" s="147" t="s">
        <v>533</v>
      </c>
      <c r="W33" s="288">
        <f>D44/L17</f>
        <v>3.4322377219834945</v>
      </c>
      <c r="X33" s="288">
        <v>1</v>
      </c>
      <c r="Y33" s="42"/>
      <c r="Z33" s="42"/>
      <c r="AA33" s="42"/>
    </row>
    <row r="34" spans="2:27">
      <c r="H34" s="277"/>
      <c r="I34" s="5"/>
      <c r="J34" s="254"/>
      <c r="K34" s="254"/>
      <c r="L34" s="254"/>
      <c r="M34" s="254"/>
      <c r="N34" s="254"/>
      <c r="O34" s="251"/>
      <c r="Q34" s="5"/>
      <c r="S34" s="42"/>
      <c r="T34" s="42"/>
      <c r="U34" s="42"/>
      <c r="V34" s="147" t="s">
        <v>580</v>
      </c>
      <c r="W34" s="288">
        <f>D45/L18</f>
        <v>0</v>
      </c>
      <c r="X34" s="288">
        <v>1</v>
      </c>
      <c r="Y34" s="42"/>
      <c r="Z34" s="42"/>
      <c r="AA34" s="42"/>
    </row>
    <row r="35" spans="2:27" ht="12.6" thickBot="1">
      <c r="B35" s="306" t="s">
        <v>845</v>
      </c>
      <c r="C35" s="265"/>
      <c r="D35" s="265" t="str">
        <f>D5</f>
        <v>2023E</v>
      </c>
      <c r="E35" s="265" t="str">
        <f>E5</f>
        <v>2024E</v>
      </c>
      <c r="F35" s="265" t="str">
        <f>F5</f>
        <v>2025E</v>
      </c>
      <c r="G35" s="265" t="str">
        <f>G5</f>
        <v>2026E</v>
      </c>
      <c r="H35" s="265" t="str">
        <f>H5</f>
        <v>23E-26E</v>
      </c>
      <c r="I35" s="49"/>
      <c r="J35" s="254"/>
      <c r="K35" s="254"/>
      <c r="L35" s="254"/>
      <c r="M35" s="254"/>
      <c r="N35" s="254"/>
      <c r="O35" s="251"/>
      <c r="Q35" s="5"/>
      <c r="S35" s="42"/>
      <c r="T35" s="42"/>
      <c r="U35" s="42"/>
      <c r="V35" s="147" t="s">
        <v>581</v>
      </c>
      <c r="W35" s="288">
        <f>D47/L20</f>
        <v>0.70804697277060247</v>
      </c>
      <c r="X35" s="288">
        <v>1</v>
      </c>
      <c r="Y35" s="288"/>
      <c r="Z35" s="288"/>
      <c r="AA35" s="42"/>
    </row>
    <row r="36" spans="2:27" ht="12.6" thickTop="1">
      <c r="B36" s="41"/>
      <c r="C36" s="249"/>
      <c r="D36" s="254"/>
      <c r="E36" s="254"/>
      <c r="F36" s="254"/>
      <c r="G36" s="254"/>
      <c r="H36" s="254"/>
      <c r="I36" s="254"/>
      <c r="J36" s="5"/>
      <c r="K36" s="5"/>
      <c r="L36" s="5"/>
      <c r="M36" s="5"/>
      <c r="N36" s="5"/>
      <c r="O36" s="5"/>
      <c r="Q36" s="5"/>
      <c r="S36" s="42"/>
      <c r="T36" s="42"/>
      <c r="U36" s="42"/>
      <c r="V36" s="42"/>
      <c r="W36" s="42"/>
      <c r="X36" s="42"/>
      <c r="Y36" s="288"/>
      <c r="Z36" s="288"/>
      <c r="AA36" s="42"/>
    </row>
    <row r="37" spans="2:27">
      <c r="B37" s="5" t="s">
        <v>273</v>
      </c>
      <c r="C37" s="247"/>
      <c r="D37" s="529">
        <f t="shared" ref="D37:G41" si="4">D$18/D23</f>
        <v>1.8846539530027266</v>
      </c>
      <c r="E37" s="529">
        <f t="shared" si="4"/>
        <v>1.7916881380670227</v>
      </c>
      <c r="F37" s="529">
        <f t="shared" si="4"/>
        <v>2.0401690692716765</v>
      </c>
      <c r="G37" s="529">
        <f t="shared" si="4"/>
        <v>2.0107225542624501</v>
      </c>
      <c r="H37" s="17">
        <f t="shared" ref="H37:H45" si="5">H23</f>
        <v>7.1980542314982188E-3</v>
      </c>
      <c r="I37" s="17"/>
      <c r="J37" s="69"/>
      <c r="K37" s="69"/>
      <c r="L37" s="69"/>
      <c r="M37" s="69"/>
      <c r="N37" s="69"/>
      <c r="O37" s="69"/>
      <c r="Q37" s="5"/>
      <c r="S37" s="42"/>
      <c r="T37" s="42"/>
      <c r="U37" s="42"/>
      <c r="V37" s="42"/>
      <c r="W37" s="42"/>
      <c r="X37" s="42"/>
      <c r="Y37" s="288"/>
      <c r="Z37" s="288"/>
      <c r="AA37" s="42"/>
    </row>
    <row r="38" spans="2:27">
      <c r="B38" s="5" t="s">
        <v>184</v>
      </c>
      <c r="C38" s="247"/>
      <c r="D38" s="529">
        <f t="shared" si="4"/>
        <v>5.1871399736307229</v>
      </c>
      <c r="E38" s="529">
        <f t="shared" si="4"/>
        <v>4.6840635045749135</v>
      </c>
      <c r="F38" s="529">
        <f t="shared" si="4"/>
        <v>5.2524428767939604</v>
      </c>
      <c r="G38" s="529">
        <f t="shared" si="4"/>
        <v>5.1090664048936087</v>
      </c>
      <c r="H38" s="17">
        <f t="shared" si="5"/>
        <v>3.4388923456728726E-2</v>
      </c>
      <c r="I38" s="5"/>
      <c r="J38" s="259"/>
      <c r="K38" s="259"/>
      <c r="L38" s="259"/>
      <c r="M38" s="259"/>
      <c r="N38" s="259"/>
      <c r="O38" s="18"/>
      <c r="Q38" s="5"/>
      <c r="R38" s="5"/>
      <c r="S38" s="42"/>
      <c r="T38" s="42"/>
      <c r="U38" s="42"/>
      <c r="V38" s="42"/>
      <c r="W38" s="42"/>
      <c r="X38" s="42"/>
      <c r="Y38" s="42"/>
      <c r="Z38" s="42"/>
      <c r="AA38" s="42"/>
    </row>
    <row r="39" spans="2:27">
      <c r="B39" s="5" t="s">
        <v>185</v>
      </c>
      <c r="C39" s="247"/>
      <c r="D39" s="529">
        <f t="shared" si="4"/>
        <v>9.517010871935641</v>
      </c>
      <c r="E39" s="529">
        <f t="shared" si="4"/>
        <v>8.0049532160496479</v>
      </c>
      <c r="F39" s="529">
        <f t="shared" si="4"/>
        <v>8.6914805441951284</v>
      </c>
      <c r="G39" s="529">
        <f t="shared" si="4"/>
        <v>8.8323965766031058</v>
      </c>
      <c r="H39" s="17">
        <f t="shared" si="5"/>
        <v>5.5105101534048684E-2</v>
      </c>
      <c r="I39" s="259"/>
      <c r="J39" s="17"/>
      <c r="K39" s="17"/>
      <c r="L39" s="17"/>
      <c r="M39" s="17"/>
      <c r="N39" s="17"/>
      <c r="O39" s="5"/>
      <c r="Q39" s="5"/>
      <c r="R39" s="5"/>
      <c r="S39" s="42"/>
      <c r="T39" s="42"/>
      <c r="U39" s="42"/>
      <c r="V39" s="42"/>
      <c r="W39" s="42"/>
      <c r="X39" s="42"/>
      <c r="Y39" s="42"/>
      <c r="Z39" s="42"/>
      <c r="AA39" s="42"/>
    </row>
    <row r="40" spans="2:27">
      <c r="B40" s="5" t="s">
        <v>466</v>
      </c>
      <c r="C40" s="247"/>
      <c r="D40" s="529">
        <f t="shared" si="4"/>
        <v>13.218070655466168</v>
      </c>
      <c r="E40" s="529">
        <f t="shared" si="4"/>
        <v>11.117990577846735</v>
      </c>
      <c r="F40" s="529">
        <f t="shared" si="4"/>
        <v>12.071500755826568</v>
      </c>
      <c r="G40" s="529">
        <f t="shared" si="4"/>
        <v>12.267217467504315</v>
      </c>
      <c r="H40" s="17">
        <f t="shared" si="5"/>
        <v>5.5105101534048684E-2</v>
      </c>
      <c r="I40" s="17"/>
      <c r="J40" s="5"/>
      <c r="K40" s="5"/>
      <c r="L40" s="5"/>
      <c r="M40" s="5"/>
      <c r="N40" s="5"/>
      <c r="O40" s="5"/>
      <c r="Q40" s="5"/>
      <c r="R40" s="5"/>
      <c r="S40" s="42"/>
      <c r="T40" s="42"/>
      <c r="U40" s="42"/>
      <c r="V40" s="42"/>
      <c r="W40" s="42"/>
      <c r="X40" s="42"/>
      <c r="Y40" s="42"/>
      <c r="Z40" s="42"/>
      <c r="AA40" s="42"/>
    </row>
    <row r="41" spans="2:27">
      <c r="B41" s="5" t="s">
        <v>530</v>
      </c>
      <c r="C41" s="247"/>
      <c r="D41" s="529">
        <f t="shared" si="4"/>
        <v>1.2120460874027379</v>
      </c>
      <c r="E41" s="529">
        <f t="shared" si="4"/>
        <v>1.2246658949053597</v>
      </c>
      <c r="F41" s="529">
        <f t="shared" si="4"/>
        <v>1.5039503741158471</v>
      </c>
      <c r="G41" s="529">
        <f t="shared" si="4"/>
        <v>1.5404134937369998</v>
      </c>
      <c r="H41" s="17">
        <f t="shared" si="5"/>
        <v>-4.987153823261381E-2</v>
      </c>
      <c r="I41" s="5"/>
      <c r="J41" s="259"/>
      <c r="K41" s="259"/>
      <c r="L41" s="259"/>
      <c r="M41" s="259"/>
      <c r="N41" s="259"/>
      <c r="O41" s="18"/>
      <c r="Q41" s="5"/>
      <c r="R41" s="5"/>
      <c r="S41" s="42"/>
      <c r="T41" s="42"/>
      <c r="U41" s="42"/>
      <c r="V41" s="42"/>
      <c r="W41" s="288"/>
      <c r="X41" s="288"/>
      <c r="Y41" s="42"/>
      <c r="Z41" s="42"/>
      <c r="AA41" s="42"/>
    </row>
    <row r="42" spans="2:27">
      <c r="B42" s="5" t="s">
        <v>593</v>
      </c>
      <c r="C42" s="247"/>
      <c r="D42" s="529">
        <f>D18/D28</f>
        <v>3.5027875668329247</v>
      </c>
      <c r="E42" s="529">
        <f>E18/E28</f>
        <v>3.0932266905546801</v>
      </c>
      <c r="F42" s="529">
        <f>F18/F28</f>
        <v>3.3689910204479925</v>
      </c>
      <c r="G42" s="529">
        <f>G18/G28</f>
        <v>3.0695932991549064</v>
      </c>
      <c r="H42" s="17">
        <f t="shared" si="5"/>
        <v>7.5472661546031272E-2</v>
      </c>
      <c r="I42" s="247"/>
      <c r="J42" s="17"/>
      <c r="K42" s="17"/>
      <c r="L42" s="17"/>
      <c r="M42" s="17"/>
      <c r="N42" s="17"/>
      <c r="O42" s="5"/>
      <c r="Q42" s="5"/>
      <c r="R42" s="5"/>
      <c r="S42" s="42"/>
      <c r="T42" s="42"/>
      <c r="U42" s="42"/>
      <c r="V42" s="42"/>
      <c r="W42" s="288"/>
      <c r="X42" s="288"/>
      <c r="Y42" s="288"/>
      <c r="Z42" s="288"/>
      <c r="AA42" s="42"/>
    </row>
    <row r="43" spans="2:27">
      <c r="B43" s="5" t="s">
        <v>475</v>
      </c>
      <c r="C43" s="247"/>
      <c r="D43" s="529">
        <f>L26/D29</f>
        <v>5.9767910947526515</v>
      </c>
      <c r="E43" s="529">
        <f>M26/E29</f>
        <v>3.8502503266002424</v>
      </c>
      <c r="F43" s="529">
        <f>N26/F29</f>
        <v>4.2892713231147814</v>
      </c>
      <c r="G43" s="529">
        <f>O26/G29</f>
        <v>4.5524434980527735</v>
      </c>
      <c r="H43" s="17">
        <f t="shared" si="5"/>
        <v>0.18558987177064479</v>
      </c>
      <c r="I43" s="248"/>
      <c r="J43" s="5"/>
      <c r="K43" s="5"/>
      <c r="L43" s="5"/>
      <c r="M43" s="5"/>
      <c r="N43" s="5"/>
      <c r="O43" s="5"/>
      <c r="Q43" s="5"/>
      <c r="R43" s="5"/>
      <c r="S43" s="42"/>
      <c r="T43" s="42"/>
      <c r="U43" s="42"/>
      <c r="V43" s="42"/>
      <c r="W43" s="288"/>
      <c r="X43" s="288"/>
      <c r="Y43" s="288"/>
      <c r="Z43" s="288"/>
      <c r="AA43" s="42"/>
    </row>
    <row r="44" spans="2:27">
      <c r="B44" s="5" t="s">
        <v>533</v>
      </c>
      <c r="C44" s="69"/>
      <c r="D44" s="529">
        <f>D11/D30</f>
        <v>11.471094064235588</v>
      </c>
      <c r="E44" s="529">
        <f>E11/E30</f>
        <v>3.3385600576535612</v>
      </c>
      <c r="F44" s="529">
        <f>F11/F30</f>
        <v>3.9663144977298184</v>
      </c>
      <c r="G44" s="529">
        <f>G11/G30</f>
        <v>3.8314064011885214</v>
      </c>
      <c r="H44" s="17">
        <f t="shared" si="5"/>
        <v>0.56054219804724514</v>
      </c>
      <c r="I44" s="247"/>
      <c r="J44" s="247"/>
      <c r="K44" s="247"/>
      <c r="L44" s="247"/>
      <c r="M44" s="247"/>
      <c r="N44" s="247"/>
      <c r="O44" s="18"/>
      <c r="Q44" s="5"/>
      <c r="R44" s="5"/>
      <c r="S44" s="42"/>
      <c r="T44" s="42"/>
      <c r="U44" s="42"/>
      <c r="V44" s="42"/>
      <c r="W44" s="288"/>
      <c r="X44" s="288"/>
      <c r="Y44" s="288"/>
      <c r="Z44" s="288"/>
      <c r="AA44" s="42"/>
    </row>
    <row r="45" spans="2:27">
      <c r="B45" s="5" t="s">
        <v>580</v>
      </c>
      <c r="C45" s="247"/>
      <c r="D45" s="248">
        <f>D31/D11</f>
        <v>0</v>
      </c>
      <c r="E45" s="248">
        <f>E31/E11</f>
        <v>0</v>
      </c>
      <c r="F45" s="248">
        <f>F31/F11</f>
        <v>0</v>
      </c>
      <c r="G45" s="248">
        <f>G31/G11</f>
        <v>0</v>
      </c>
      <c r="H45" s="17" t="str">
        <f t="shared" si="5"/>
        <v>nm</v>
      </c>
      <c r="I45" s="247"/>
      <c r="J45" s="248"/>
      <c r="K45" s="248"/>
      <c r="L45" s="248"/>
      <c r="M45" s="248"/>
      <c r="N45" s="248"/>
      <c r="O45" s="248"/>
      <c r="Q45" s="5"/>
      <c r="R45" s="5"/>
      <c r="S45" s="42"/>
      <c r="T45" s="42"/>
      <c r="U45" s="42"/>
      <c r="V45" s="42"/>
      <c r="W45" s="325"/>
      <c r="X45" s="325"/>
      <c r="Y45" s="288"/>
      <c r="Z45" s="288"/>
      <c r="AA45" s="42"/>
    </row>
    <row r="46" spans="2:27">
      <c r="B46" s="5" t="s">
        <v>605</v>
      </c>
      <c r="C46" s="247"/>
      <c r="D46" s="248">
        <f>(D31+D32)/D11</f>
        <v>0.16013910776344112</v>
      </c>
      <c r="E46" s="248">
        <f>(E31+E32)/E11</f>
        <v>-0.10048537715961602</v>
      </c>
      <c r="F46" s="248">
        <f>(F31+F32)/F11</f>
        <v>0.91517203991316909</v>
      </c>
      <c r="G46" s="248">
        <f>(G31+G32)/G11</f>
        <v>0.15115634091686064</v>
      </c>
      <c r="H46" s="279">
        <f>((G31+G32)/(D31+D32))^(1/3)-1</f>
        <v>6.2110327747262106E-2</v>
      </c>
      <c r="I46" s="248"/>
      <c r="J46" s="247"/>
      <c r="K46" s="247"/>
      <c r="L46" s="247"/>
      <c r="M46" s="247"/>
      <c r="N46" s="247"/>
      <c r="O46" s="248"/>
      <c r="Q46" s="5"/>
      <c r="R46" s="5"/>
      <c r="S46" s="42"/>
      <c r="T46" s="42"/>
      <c r="U46" s="42"/>
      <c r="V46" s="42"/>
      <c r="W46" s="42"/>
      <c r="X46" s="42"/>
      <c r="Y46" s="325"/>
      <c r="Z46" s="325"/>
      <c r="AA46" s="42"/>
    </row>
    <row r="47" spans="2:27">
      <c r="B47" s="5" t="s">
        <v>581</v>
      </c>
      <c r="C47" s="5"/>
      <c r="D47" s="248">
        <f>1/D43</f>
        <v>0.16731386192800918</v>
      </c>
      <c r="E47" s="248">
        <f>1/E43</f>
        <v>0.25972337255354422</v>
      </c>
      <c r="F47" s="248">
        <f>1/F43</f>
        <v>0.23313983300870331</v>
      </c>
      <c r="G47" s="248">
        <f>1/G43</f>
        <v>0.2196622540022149</v>
      </c>
      <c r="H47" s="17">
        <f>H29</f>
        <v>0.18558987177064479</v>
      </c>
      <c r="I47" s="247"/>
      <c r="J47" s="247"/>
      <c r="K47" s="247"/>
      <c r="L47" s="247"/>
      <c r="M47" s="247"/>
      <c r="N47" s="247"/>
      <c r="O47" s="18"/>
      <c r="Q47" s="5"/>
      <c r="R47" s="5"/>
      <c r="S47" s="42"/>
      <c r="T47" s="42"/>
      <c r="U47" s="42"/>
      <c r="V47" s="42"/>
      <c r="W47" s="42"/>
      <c r="X47" s="42"/>
      <c r="Y47" s="42"/>
      <c r="Z47" s="42"/>
      <c r="AA47" s="326"/>
    </row>
    <row r="48" spans="2:27">
      <c r="B48" s="5" t="s">
        <v>618</v>
      </c>
      <c r="C48" s="5"/>
      <c r="D48" s="305">
        <f>D31/D29</f>
        <v>0</v>
      </c>
      <c r="E48" s="305">
        <f>E31/E29</f>
        <v>0</v>
      </c>
      <c r="F48" s="305">
        <f>F31/F29</f>
        <v>0</v>
      </c>
      <c r="G48" s="305">
        <f>G31/G29</f>
        <v>0</v>
      </c>
      <c r="H48" s="279" t="s">
        <v>607</v>
      </c>
      <c r="I48" s="17"/>
      <c r="J48" s="248"/>
      <c r="K48" s="248"/>
      <c r="L48" s="248"/>
      <c r="M48" s="248"/>
      <c r="N48" s="248"/>
      <c r="O48" s="248"/>
      <c r="Q48" s="5"/>
      <c r="R48" s="5"/>
      <c r="S48" s="42"/>
      <c r="T48" s="42"/>
      <c r="U48" s="42"/>
      <c r="V48" s="42"/>
      <c r="W48" s="42"/>
      <c r="X48" s="42"/>
      <c r="Y48" s="42"/>
      <c r="Z48" s="42"/>
      <c r="AA48" s="326"/>
    </row>
    <row r="49" spans="2:27">
      <c r="I49" s="249"/>
      <c r="J49" s="247"/>
      <c r="K49" s="247"/>
      <c r="L49" s="247"/>
      <c r="M49" s="247"/>
      <c r="N49" s="247"/>
      <c r="O49" s="248"/>
      <c r="Q49" s="41"/>
      <c r="R49" s="5"/>
      <c r="S49" s="42"/>
      <c r="T49" s="42"/>
      <c r="U49" s="42"/>
      <c r="V49" s="42"/>
      <c r="W49" s="42"/>
      <c r="X49" s="42"/>
      <c r="Y49" s="42"/>
      <c r="Z49" s="42"/>
      <c r="AA49" s="326"/>
    </row>
    <row r="50" spans="2:27">
      <c r="I50" s="254"/>
      <c r="J50" s="17"/>
      <c r="K50" s="17"/>
      <c r="L50" s="17"/>
      <c r="M50" s="17"/>
      <c r="N50" s="17"/>
      <c r="O50" s="248"/>
      <c r="Q50" s="5"/>
      <c r="R50" s="5"/>
      <c r="S50" s="42"/>
      <c r="T50" s="42"/>
      <c r="U50" s="42"/>
      <c r="V50" s="42"/>
      <c r="W50" s="42"/>
      <c r="X50" s="42"/>
      <c r="Y50" s="42"/>
      <c r="Z50" s="42"/>
      <c r="AA50" s="326"/>
    </row>
    <row r="51" spans="2:27">
      <c r="B51" s="5"/>
      <c r="C51" s="257"/>
      <c r="D51" s="17"/>
      <c r="E51" s="17"/>
      <c r="F51" s="17"/>
      <c r="G51" s="17"/>
      <c r="H51" s="17"/>
      <c r="I51" s="17"/>
      <c r="J51" s="249"/>
      <c r="K51" s="249"/>
      <c r="L51" s="249"/>
      <c r="M51" s="249"/>
      <c r="N51" s="249"/>
      <c r="O51" s="250"/>
      <c r="Q51" s="5"/>
      <c r="R51" s="5"/>
      <c r="S51" s="42"/>
      <c r="T51" s="42"/>
      <c r="U51" s="42"/>
      <c r="V51" s="42"/>
      <c r="W51" s="288"/>
      <c r="X51" s="288"/>
      <c r="Y51" s="42"/>
      <c r="Z51" s="42"/>
      <c r="AA51" s="326"/>
    </row>
    <row r="52" spans="2:27">
      <c r="I52" s="259"/>
      <c r="J52" s="254"/>
      <c r="K52" s="254"/>
      <c r="L52" s="254"/>
      <c r="M52" s="254"/>
      <c r="N52" s="254"/>
      <c r="O52" s="251"/>
      <c r="Q52" s="5"/>
      <c r="R52" s="5"/>
      <c r="W52" s="10"/>
      <c r="X52" s="10"/>
      <c r="Y52" s="10"/>
      <c r="Z52" s="10"/>
    </row>
    <row r="53" spans="2:27">
      <c r="B53" s="5"/>
      <c r="C53" s="257"/>
      <c r="D53" s="257"/>
      <c r="E53" s="257"/>
      <c r="F53" s="5"/>
      <c r="G53" s="5"/>
      <c r="H53" s="259"/>
      <c r="I53" s="254"/>
      <c r="J53" s="17"/>
      <c r="K53" s="17"/>
      <c r="L53" s="17"/>
      <c r="M53" s="17"/>
      <c r="N53" s="17"/>
      <c r="O53" s="248"/>
      <c r="Q53" s="5"/>
      <c r="R53" s="5"/>
      <c r="Y53" s="10"/>
      <c r="Z53" s="10"/>
    </row>
    <row r="54" spans="2:27">
      <c r="B54" s="41"/>
      <c r="C54" s="249"/>
      <c r="D54" s="254"/>
      <c r="E54" s="254"/>
      <c r="F54" s="254"/>
      <c r="G54" s="254"/>
      <c r="H54" s="254"/>
      <c r="I54" s="17"/>
      <c r="J54" s="259"/>
      <c r="K54" s="259"/>
      <c r="L54" s="259"/>
      <c r="M54" s="259"/>
      <c r="N54" s="259"/>
      <c r="O54" s="18"/>
      <c r="Q54" s="5"/>
      <c r="R54" s="5"/>
    </row>
    <row r="55" spans="2:27">
      <c r="B55" s="5"/>
      <c r="C55" s="257"/>
      <c r="D55" s="17"/>
      <c r="E55" s="17"/>
      <c r="F55" s="17"/>
      <c r="G55" s="17"/>
      <c r="H55" s="17"/>
      <c r="I55" s="259"/>
      <c r="J55" s="254"/>
      <c r="K55" s="254"/>
      <c r="L55" s="254"/>
      <c r="M55" s="254"/>
      <c r="N55" s="254"/>
      <c r="O55" s="251"/>
      <c r="Q55" s="5"/>
      <c r="R55" s="5"/>
    </row>
    <row r="56" spans="2:27">
      <c r="B56" s="5"/>
      <c r="C56" s="248"/>
      <c r="D56" s="248"/>
      <c r="E56" s="248"/>
      <c r="F56" s="5"/>
      <c r="G56" s="5"/>
      <c r="H56" s="259"/>
      <c r="I56" s="249"/>
      <c r="J56" s="17"/>
      <c r="K56" s="17"/>
      <c r="L56" s="17"/>
      <c r="M56" s="17"/>
      <c r="N56" s="17"/>
      <c r="O56" s="18"/>
      <c r="Q56" s="5"/>
      <c r="R56" s="5"/>
    </row>
    <row r="57" spans="2:27">
      <c r="B57" s="41"/>
      <c r="C57" s="249"/>
      <c r="D57" s="249"/>
      <c r="E57" s="249"/>
      <c r="F57" s="249"/>
      <c r="G57" s="249"/>
      <c r="H57" s="249"/>
      <c r="I57" s="248"/>
      <c r="J57" s="259"/>
      <c r="K57" s="259"/>
      <c r="L57" s="259"/>
      <c r="M57" s="259"/>
      <c r="N57" s="259"/>
      <c r="O57" s="18"/>
      <c r="Q57" s="5"/>
      <c r="R57" s="5"/>
    </row>
    <row r="58" spans="2:27">
      <c r="B58" s="5"/>
      <c r="C58" s="5"/>
      <c r="D58" s="248"/>
      <c r="E58" s="248"/>
      <c r="F58" s="248"/>
      <c r="G58" s="248"/>
      <c r="H58" s="248"/>
      <c r="I58" s="5"/>
      <c r="J58" s="249"/>
      <c r="K58" s="249"/>
      <c r="L58" s="249"/>
      <c r="M58" s="249"/>
      <c r="N58" s="249"/>
      <c r="O58" s="251"/>
      <c r="Q58" s="5"/>
      <c r="R58" s="5"/>
    </row>
    <row r="59" spans="2:27">
      <c r="I59" s="17"/>
      <c r="J59" s="248"/>
      <c r="K59" s="248"/>
      <c r="L59" s="248"/>
      <c r="M59" s="248"/>
      <c r="N59" s="248"/>
      <c r="O59" s="18"/>
      <c r="Q59" s="5"/>
      <c r="R59" s="5"/>
    </row>
    <row r="60" spans="2:27">
      <c r="B60" s="5"/>
      <c r="C60" s="5"/>
      <c r="D60" s="5"/>
      <c r="E60" s="5"/>
      <c r="F60" s="5"/>
      <c r="G60" s="5"/>
      <c r="H60" s="5"/>
      <c r="I60" s="5"/>
      <c r="J60" s="5"/>
      <c r="K60" s="5"/>
      <c r="L60" s="5"/>
      <c r="M60" s="5"/>
      <c r="N60" s="5"/>
      <c r="O60" s="5"/>
      <c r="Q60" s="5"/>
      <c r="R60" s="5"/>
    </row>
    <row r="61" spans="2:27">
      <c r="B61" s="41"/>
      <c r="C61" s="17"/>
      <c r="D61" s="17"/>
      <c r="E61" s="17"/>
      <c r="F61" s="17"/>
      <c r="G61" s="17"/>
      <c r="H61" s="17"/>
      <c r="I61" s="249"/>
      <c r="J61" s="17"/>
      <c r="K61" s="17"/>
      <c r="L61" s="17"/>
      <c r="M61" s="17"/>
      <c r="N61" s="17"/>
      <c r="O61" s="251"/>
      <c r="Q61" s="5"/>
      <c r="R61" s="5"/>
    </row>
    <row r="62" spans="2:27">
      <c r="B62" s="5"/>
      <c r="C62" s="5"/>
      <c r="D62" s="5"/>
      <c r="E62" s="5"/>
      <c r="F62" s="5"/>
      <c r="G62" s="5"/>
      <c r="H62" s="5"/>
      <c r="I62" s="5"/>
      <c r="J62" s="5"/>
      <c r="K62" s="5"/>
      <c r="L62" s="5"/>
      <c r="M62" s="5"/>
      <c r="N62" s="5"/>
      <c r="O62" s="5"/>
      <c r="Q62" s="41"/>
      <c r="R62" s="5"/>
    </row>
    <row r="63" spans="2:27">
      <c r="B63" s="41"/>
      <c r="C63" s="249"/>
      <c r="D63" s="249"/>
      <c r="E63" s="249"/>
      <c r="F63" s="249"/>
      <c r="G63" s="249"/>
      <c r="H63" s="249"/>
      <c r="I63" s="5"/>
      <c r="J63" s="249"/>
      <c r="K63" s="249"/>
      <c r="L63" s="249"/>
      <c r="M63" s="249"/>
      <c r="N63" s="249"/>
      <c r="O63" s="251"/>
      <c r="Q63" s="5"/>
      <c r="R63" s="5"/>
    </row>
    <row r="64" spans="2:27">
      <c r="B64" s="5"/>
      <c r="C64" s="5"/>
      <c r="D64" s="5"/>
      <c r="E64" s="5"/>
      <c r="F64" s="5"/>
      <c r="G64" s="5"/>
      <c r="H64" s="5"/>
      <c r="I64" s="254"/>
      <c r="J64" s="5"/>
      <c r="K64" s="5"/>
      <c r="L64" s="5"/>
      <c r="M64" s="5"/>
      <c r="N64" s="5"/>
      <c r="O64" s="5"/>
      <c r="Q64" s="5"/>
      <c r="R64" s="5"/>
    </row>
    <row r="65" spans="2:26">
      <c r="B65" s="5"/>
      <c r="C65" s="5"/>
      <c r="D65" s="5"/>
      <c r="E65" s="5"/>
      <c r="F65" s="5"/>
      <c r="G65" s="5"/>
      <c r="H65" s="5"/>
      <c r="I65" s="17"/>
      <c r="J65" s="5"/>
      <c r="K65" s="5"/>
      <c r="L65" s="5"/>
      <c r="M65" s="5"/>
      <c r="N65" s="5"/>
      <c r="O65" s="5"/>
      <c r="Q65" s="5"/>
      <c r="R65" s="5"/>
    </row>
    <row r="66" spans="2:26">
      <c r="B66" s="41"/>
      <c r="C66" s="249"/>
      <c r="D66" s="254"/>
      <c r="E66" s="254"/>
      <c r="F66" s="254"/>
      <c r="G66" s="254"/>
      <c r="H66" s="254"/>
      <c r="I66" s="254"/>
      <c r="J66" s="254"/>
      <c r="K66" s="254"/>
      <c r="L66" s="254"/>
      <c r="M66" s="254"/>
      <c r="N66" s="254"/>
      <c r="O66" s="251"/>
      <c r="Q66" s="5"/>
      <c r="R66" s="5"/>
    </row>
    <row r="67" spans="2:26">
      <c r="B67" s="5"/>
      <c r="C67" s="5"/>
      <c r="D67" s="17"/>
      <c r="E67" s="17"/>
      <c r="F67" s="17"/>
      <c r="G67" s="17"/>
      <c r="H67" s="17"/>
      <c r="I67" s="248"/>
      <c r="J67" s="17"/>
      <c r="K67" s="17"/>
      <c r="L67" s="17"/>
      <c r="M67" s="17"/>
      <c r="N67" s="17"/>
      <c r="O67" s="5"/>
      <c r="Q67" s="5"/>
      <c r="R67" s="5"/>
    </row>
    <row r="68" spans="2:26">
      <c r="B68" s="41"/>
      <c r="C68" s="249"/>
      <c r="D68" s="254"/>
      <c r="E68" s="254"/>
      <c r="F68" s="254"/>
      <c r="G68" s="254"/>
      <c r="H68" s="254"/>
      <c r="I68" s="5"/>
      <c r="J68" s="254"/>
      <c r="K68" s="254"/>
      <c r="L68" s="254"/>
      <c r="M68" s="254"/>
      <c r="N68" s="254"/>
      <c r="O68" s="251"/>
      <c r="Q68" s="41"/>
      <c r="R68" s="5"/>
    </row>
    <row r="69" spans="2:26">
      <c r="B69" s="5"/>
      <c r="C69" s="5"/>
      <c r="D69" s="248"/>
      <c r="E69" s="248"/>
      <c r="F69" s="248"/>
      <c r="G69" s="248"/>
      <c r="H69" s="248"/>
      <c r="I69" s="245"/>
      <c r="J69" s="248"/>
      <c r="K69" s="248"/>
      <c r="L69" s="248"/>
      <c r="M69" s="248"/>
      <c r="N69" s="248"/>
      <c r="O69" s="5"/>
      <c r="Q69" s="5"/>
      <c r="R69" s="5"/>
    </row>
    <row r="70" spans="2:26">
      <c r="B70" s="41"/>
      <c r="C70" s="5"/>
      <c r="D70" s="5"/>
      <c r="E70" s="5"/>
      <c r="F70" s="5"/>
      <c r="G70" s="5"/>
      <c r="H70" s="5"/>
      <c r="I70" s="248"/>
      <c r="J70" s="5"/>
      <c r="K70" s="5"/>
      <c r="L70" s="5"/>
      <c r="M70" s="5"/>
      <c r="N70" s="5"/>
      <c r="O70" s="5"/>
      <c r="Q70" s="5"/>
      <c r="R70" s="5"/>
    </row>
    <row r="71" spans="2:26">
      <c r="B71" s="41"/>
      <c r="C71" s="245"/>
      <c r="D71" s="245"/>
      <c r="E71" s="245"/>
      <c r="F71" s="245"/>
      <c r="G71" s="245"/>
      <c r="H71" s="245"/>
      <c r="I71" s="5"/>
      <c r="J71" s="245"/>
      <c r="K71" s="245"/>
      <c r="L71" s="245"/>
      <c r="M71" s="245"/>
      <c r="N71" s="245"/>
      <c r="O71" s="251"/>
      <c r="Q71" s="5"/>
      <c r="R71" s="5"/>
      <c r="W71" s="76"/>
      <c r="X71" s="76"/>
    </row>
    <row r="72" spans="2:26">
      <c r="B72" s="5"/>
      <c r="C72" s="5"/>
      <c r="D72" s="248"/>
      <c r="E72" s="248"/>
      <c r="F72" s="248"/>
      <c r="G72" s="248"/>
      <c r="H72" s="248"/>
      <c r="I72" s="245"/>
      <c r="J72" s="248"/>
      <c r="K72" s="248"/>
      <c r="L72" s="248"/>
      <c r="M72" s="248"/>
      <c r="N72" s="248"/>
      <c r="O72" s="5"/>
      <c r="Q72" s="5"/>
      <c r="R72" s="5"/>
      <c r="W72" s="76"/>
      <c r="X72" s="76"/>
      <c r="Y72" s="76"/>
      <c r="Z72" s="76"/>
    </row>
    <row r="73" spans="2:26">
      <c r="B73" s="41"/>
      <c r="C73" s="5"/>
      <c r="D73" s="5"/>
      <c r="E73" s="5"/>
      <c r="F73" s="5"/>
      <c r="G73" s="5"/>
      <c r="H73" s="5"/>
      <c r="I73" s="18"/>
      <c r="J73" s="5"/>
      <c r="K73" s="5"/>
      <c r="L73" s="5"/>
      <c r="M73" s="5"/>
      <c r="N73" s="5"/>
      <c r="O73" s="5"/>
      <c r="Q73" s="5"/>
      <c r="R73" s="5"/>
      <c r="Y73" s="76"/>
      <c r="Z73" s="76"/>
    </row>
    <row r="74" spans="2:26">
      <c r="B74" s="41"/>
      <c r="C74" s="245"/>
      <c r="D74" s="245"/>
      <c r="E74" s="245"/>
      <c r="F74" s="245"/>
      <c r="G74" s="245"/>
      <c r="H74" s="245"/>
      <c r="I74" s="5"/>
      <c r="J74" s="245"/>
      <c r="K74" s="245"/>
      <c r="L74" s="245"/>
      <c r="M74" s="245"/>
      <c r="N74" s="245"/>
      <c r="O74" s="251"/>
      <c r="Q74" s="5"/>
      <c r="R74" s="5"/>
    </row>
    <row r="75" spans="2:26">
      <c r="B75" s="5"/>
      <c r="C75" s="5"/>
      <c r="D75" s="18"/>
      <c r="E75" s="18"/>
      <c r="F75" s="18"/>
      <c r="G75" s="18"/>
      <c r="H75" s="18"/>
      <c r="I75" s="249"/>
      <c r="J75" s="18"/>
      <c r="K75" s="18"/>
      <c r="L75" s="18"/>
      <c r="M75" s="18"/>
      <c r="N75" s="18"/>
      <c r="O75" s="5"/>
      <c r="Q75" s="5"/>
      <c r="R75" s="5"/>
    </row>
    <row r="76" spans="2:26">
      <c r="B76" s="41"/>
      <c r="C76" s="5"/>
      <c r="D76" s="5"/>
      <c r="E76" s="5"/>
      <c r="F76" s="5"/>
      <c r="G76" s="5"/>
      <c r="H76" s="5"/>
      <c r="I76" s="248"/>
      <c r="J76" s="5"/>
      <c r="K76" s="5"/>
      <c r="L76" s="5"/>
      <c r="M76" s="5"/>
      <c r="N76" s="5"/>
      <c r="O76" s="5"/>
      <c r="Q76" s="5"/>
      <c r="R76" s="5"/>
    </row>
    <row r="77" spans="2:26">
      <c r="B77" s="41"/>
      <c r="C77" s="249"/>
      <c r="D77" s="249"/>
      <c r="E77" s="249"/>
      <c r="F77" s="249"/>
      <c r="G77" s="249"/>
      <c r="H77" s="249"/>
      <c r="I77" s="5"/>
      <c r="J77" s="249"/>
      <c r="K77" s="249"/>
      <c r="L77" s="249"/>
      <c r="M77" s="249"/>
      <c r="N77" s="249"/>
      <c r="O77" s="251"/>
      <c r="Q77" s="5"/>
      <c r="R77" s="5"/>
    </row>
    <row r="78" spans="2:26">
      <c r="B78" s="5"/>
      <c r="C78" s="5"/>
      <c r="D78" s="248"/>
      <c r="E78" s="248"/>
      <c r="F78" s="248"/>
      <c r="G78" s="248"/>
      <c r="H78" s="248"/>
      <c r="I78" s="245"/>
      <c r="J78" s="248"/>
      <c r="K78" s="248"/>
      <c r="L78" s="248"/>
      <c r="M78" s="248"/>
      <c r="N78" s="248"/>
      <c r="O78" s="5"/>
      <c r="Q78" s="5"/>
      <c r="R78" s="5"/>
    </row>
    <row r="79" spans="2:26">
      <c r="B79" s="41"/>
      <c r="C79" s="5"/>
      <c r="D79" s="5"/>
      <c r="E79" s="5"/>
      <c r="F79" s="5"/>
      <c r="G79" s="5"/>
      <c r="H79" s="5"/>
      <c r="I79" s="248"/>
      <c r="J79" s="5"/>
      <c r="K79" s="5"/>
      <c r="L79" s="5"/>
      <c r="M79" s="5"/>
      <c r="N79" s="5"/>
      <c r="O79" s="5"/>
      <c r="Q79" s="5"/>
      <c r="R79" s="5"/>
    </row>
    <row r="80" spans="2:26">
      <c r="B80" s="41"/>
      <c r="C80" s="245"/>
      <c r="D80" s="245"/>
      <c r="E80" s="245"/>
      <c r="F80" s="245"/>
      <c r="G80" s="245"/>
      <c r="H80" s="245"/>
      <c r="I80" s="5"/>
      <c r="J80" s="245"/>
      <c r="K80" s="245"/>
      <c r="L80" s="245"/>
      <c r="M80" s="245"/>
      <c r="N80" s="245"/>
      <c r="O80" s="251"/>
      <c r="Q80" s="5"/>
      <c r="R80" s="5"/>
    </row>
    <row r="81" spans="2:26">
      <c r="B81" s="5"/>
      <c r="C81" s="5"/>
      <c r="D81" s="248"/>
      <c r="E81" s="248"/>
      <c r="F81" s="248"/>
      <c r="G81" s="248"/>
      <c r="H81" s="248"/>
      <c r="I81" s="249"/>
      <c r="J81" s="248"/>
      <c r="K81" s="248"/>
      <c r="L81" s="248"/>
      <c r="M81" s="248"/>
      <c r="N81" s="248"/>
      <c r="O81" s="5"/>
      <c r="Q81" s="5"/>
      <c r="R81" s="5"/>
    </row>
    <row r="82" spans="2:26">
      <c r="B82" s="41"/>
      <c r="C82" s="5"/>
      <c r="D82" s="5"/>
      <c r="E82" s="5"/>
      <c r="F82" s="5"/>
      <c r="G82" s="5"/>
      <c r="H82" s="5"/>
      <c r="I82" s="248"/>
      <c r="J82" s="5"/>
      <c r="K82" s="5"/>
      <c r="L82" s="5"/>
      <c r="M82" s="5"/>
      <c r="N82" s="5"/>
      <c r="O82" s="5"/>
      <c r="Q82" s="5"/>
      <c r="R82" s="5"/>
    </row>
    <row r="83" spans="2:26">
      <c r="B83" s="41"/>
      <c r="C83" s="249"/>
      <c r="D83" s="249"/>
      <c r="E83" s="249"/>
      <c r="F83" s="249"/>
      <c r="G83" s="249"/>
      <c r="H83" s="249"/>
      <c r="I83" s="259"/>
      <c r="J83" s="249"/>
      <c r="K83" s="249"/>
      <c r="L83" s="249"/>
      <c r="M83" s="249"/>
      <c r="N83" s="249"/>
      <c r="O83" s="251"/>
      <c r="Q83" s="5"/>
      <c r="R83" s="5"/>
    </row>
    <row r="84" spans="2:26">
      <c r="B84" s="5"/>
      <c r="C84" s="5"/>
      <c r="D84" s="248"/>
      <c r="E84" s="248"/>
      <c r="F84" s="248"/>
      <c r="G84" s="248"/>
      <c r="H84" s="248"/>
      <c r="I84" s="5"/>
      <c r="J84" s="248"/>
      <c r="K84" s="248"/>
      <c r="L84" s="248"/>
      <c r="M84" s="248"/>
      <c r="N84" s="248"/>
      <c r="O84" s="5"/>
      <c r="Q84" s="5"/>
      <c r="R84" s="5"/>
    </row>
    <row r="85" spans="2:26">
      <c r="B85" s="5"/>
      <c r="C85" s="259"/>
      <c r="D85" s="259"/>
      <c r="E85" s="259"/>
      <c r="F85" s="259"/>
      <c r="G85" s="259"/>
      <c r="H85" s="259"/>
      <c r="I85" s="245"/>
      <c r="J85" s="259"/>
      <c r="K85" s="259"/>
      <c r="L85" s="259"/>
      <c r="M85" s="259"/>
      <c r="N85" s="259"/>
      <c r="O85" s="251"/>
      <c r="Q85" s="5"/>
      <c r="R85" s="5"/>
    </row>
    <row r="86" spans="2:26">
      <c r="B86" s="41"/>
      <c r="C86" s="5"/>
      <c r="D86" s="5"/>
      <c r="E86" s="5"/>
      <c r="F86" s="5"/>
      <c r="G86" s="5"/>
      <c r="H86" s="5"/>
      <c r="I86" s="248"/>
      <c r="J86" s="5"/>
      <c r="K86" s="5"/>
      <c r="L86" s="5"/>
      <c r="M86" s="5"/>
      <c r="N86" s="5"/>
      <c r="O86" s="5"/>
      <c r="Q86" s="5"/>
      <c r="R86" s="5"/>
    </row>
    <row r="87" spans="2:26">
      <c r="B87" s="41"/>
      <c r="C87" s="245"/>
      <c r="D87" s="245"/>
      <c r="E87" s="245"/>
      <c r="F87" s="245"/>
      <c r="G87" s="245"/>
      <c r="H87" s="245"/>
      <c r="I87" s="5"/>
      <c r="J87" s="245"/>
      <c r="K87" s="245"/>
      <c r="L87" s="245"/>
      <c r="M87" s="245"/>
      <c r="N87" s="245"/>
      <c r="O87" s="251"/>
      <c r="Q87" s="5"/>
      <c r="R87" s="5"/>
    </row>
    <row r="88" spans="2:26">
      <c r="B88" s="5"/>
      <c r="C88" s="5"/>
      <c r="D88" s="248"/>
      <c r="E88" s="248"/>
      <c r="F88" s="248"/>
      <c r="G88" s="248"/>
      <c r="H88" s="248"/>
      <c r="I88" s="5"/>
      <c r="J88" s="248"/>
      <c r="K88" s="248"/>
      <c r="L88" s="248"/>
      <c r="M88" s="248"/>
      <c r="N88" s="248"/>
      <c r="O88" s="5"/>
      <c r="Q88" s="5"/>
      <c r="R88" s="5"/>
    </row>
    <row r="89" spans="2:26">
      <c r="B89" s="41"/>
      <c r="C89" s="5"/>
      <c r="D89" s="5"/>
      <c r="E89" s="5"/>
      <c r="F89" s="5"/>
      <c r="G89" s="5"/>
      <c r="H89" s="5"/>
      <c r="I89" s="5"/>
      <c r="J89" s="5"/>
      <c r="K89" s="5"/>
      <c r="L89" s="5"/>
      <c r="M89" s="5"/>
      <c r="N89" s="5"/>
      <c r="O89" s="5"/>
      <c r="Q89" s="5"/>
      <c r="R89" s="5"/>
    </row>
    <row r="90" spans="2:26">
      <c r="B90" s="41"/>
      <c r="C90" s="5"/>
      <c r="D90" s="5"/>
      <c r="E90" s="5"/>
      <c r="F90" s="5"/>
      <c r="G90" s="5"/>
      <c r="H90" s="5"/>
      <c r="I90" s="5"/>
      <c r="J90" s="5"/>
      <c r="K90" s="5"/>
      <c r="L90" s="5"/>
      <c r="M90" s="5"/>
      <c r="N90" s="5"/>
      <c r="O90" s="5"/>
      <c r="Q90" s="5"/>
      <c r="R90" s="5"/>
    </row>
    <row r="91" spans="2:26">
      <c r="B91" s="41"/>
      <c r="C91" s="5"/>
      <c r="D91" s="5"/>
      <c r="E91" s="5"/>
      <c r="F91" s="5"/>
      <c r="G91" s="5"/>
      <c r="H91" s="5"/>
      <c r="I91" s="49"/>
      <c r="J91" s="5"/>
      <c r="K91" s="5"/>
      <c r="L91" s="5"/>
      <c r="M91" s="5"/>
      <c r="N91" s="5"/>
      <c r="O91" s="5"/>
      <c r="Q91" s="41"/>
      <c r="R91" s="5"/>
    </row>
    <row r="92" spans="2:26">
      <c r="B92" s="5"/>
      <c r="C92" s="5"/>
      <c r="D92" s="5"/>
      <c r="E92" s="5"/>
      <c r="F92" s="5"/>
      <c r="G92" s="5"/>
      <c r="H92" s="5"/>
      <c r="I92" s="5"/>
      <c r="J92" s="5"/>
      <c r="K92" s="5"/>
      <c r="L92" s="5"/>
      <c r="M92" s="5"/>
      <c r="N92" s="5"/>
      <c r="O92" s="5"/>
      <c r="Q92" s="5"/>
      <c r="R92" s="5"/>
    </row>
    <row r="93" spans="2:26">
      <c r="B93" s="41"/>
      <c r="C93" s="49"/>
      <c r="D93" s="49"/>
      <c r="E93" s="49"/>
      <c r="F93" s="49"/>
      <c r="G93" s="49"/>
      <c r="H93" s="49"/>
      <c r="I93" s="247"/>
      <c r="J93" s="49"/>
      <c r="K93" s="49"/>
      <c r="L93" s="49"/>
      <c r="M93" s="49"/>
      <c r="N93" s="49"/>
      <c r="O93" s="49"/>
      <c r="Q93" s="5"/>
      <c r="R93" s="5"/>
      <c r="W93" s="21"/>
      <c r="X93" s="21"/>
    </row>
    <row r="94" spans="2:26">
      <c r="B94" s="5"/>
      <c r="C94" s="5"/>
      <c r="D94" s="5"/>
      <c r="E94" s="5"/>
      <c r="F94" s="5"/>
      <c r="G94" s="5"/>
      <c r="H94" s="5"/>
      <c r="I94" s="247"/>
      <c r="J94" s="5"/>
      <c r="K94" s="5"/>
      <c r="L94" s="5"/>
      <c r="M94" s="5"/>
      <c r="N94" s="5"/>
      <c r="O94" s="5"/>
      <c r="Q94" s="5"/>
      <c r="R94" s="5"/>
      <c r="W94" s="21"/>
      <c r="X94" s="21"/>
      <c r="Y94" s="21"/>
      <c r="Z94" s="21"/>
    </row>
    <row r="95" spans="2:26">
      <c r="B95" s="5"/>
      <c r="C95" s="259"/>
      <c r="D95" s="247"/>
      <c r="E95" s="247"/>
      <c r="F95" s="247"/>
      <c r="G95" s="247"/>
      <c r="H95" s="247"/>
      <c r="I95" s="247"/>
      <c r="J95" s="247"/>
      <c r="K95" s="247"/>
      <c r="L95" s="247"/>
      <c r="M95" s="247"/>
      <c r="N95" s="247"/>
      <c r="O95" s="248"/>
      <c r="Q95" s="5"/>
      <c r="R95" s="5"/>
      <c r="Y95" s="21"/>
      <c r="Z95" s="21"/>
    </row>
    <row r="96" spans="2:26">
      <c r="B96" s="5"/>
      <c r="C96" s="259"/>
      <c r="D96" s="247"/>
      <c r="E96" s="247"/>
      <c r="F96" s="247"/>
      <c r="G96" s="247"/>
      <c r="H96" s="247"/>
      <c r="I96" s="248"/>
      <c r="J96" s="247"/>
      <c r="K96" s="247"/>
      <c r="L96" s="247"/>
      <c r="M96" s="247"/>
      <c r="N96" s="247"/>
      <c r="O96" s="248"/>
      <c r="Q96" s="5"/>
      <c r="R96" s="5"/>
    </row>
    <row r="97" spans="2:18">
      <c r="B97" s="5"/>
      <c r="C97" s="259"/>
      <c r="D97" s="247"/>
      <c r="E97" s="247"/>
      <c r="F97" s="247"/>
      <c r="G97" s="247"/>
      <c r="H97" s="247"/>
      <c r="I97" s="247"/>
      <c r="J97" s="247"/>
      <c r="K97" s="247"/>
      <c r="L97" s="247"/>
      <c r="M97" s="247"/>
      <c r="N97" s="247"/>
      <c r="O97" s="248"/>
      <c r="Q97" s="5"/>
      <c r="R97" s="5"/>
    </row>
    <row r="98" spans="2:18">
      <c r="B98" s="5"/>
      <c r="C98" s="259"/>
      <c r="D98" s="248"/>
      <c r="E98" s="248"/>
      <c r="F98" s="248"/>
      <c r="G98" s="248"/>
      <c r="H98" s="248"/>
      <c r="I98" s="249"/>
      <c r="J98" s="248"/>
      <c r="K98" s="248"/>
      <c r="L98" s="248"/>
      <c r="M98" s="248"/>
      <c r="N98" s="248"/>
      <c r="O98" s="248"/>
      <c r="Q98" s="5"/>
      <c r="R98" s="5"/>
    </row>
    <row r="99" spans="2:18">
      <c r="B99" s="5"/>
      <c r="C99" s="259"/>
      <c r="D99" s="247"/>
      <c r="E99" s="247"/>
      <c r="F99" s="247"/>
      <c r="G99" s="247"/>
      <c r="H99" s="247"/>
      <c r="I99" s="248"/>
      <c r="J99" s="247"/>
      <c r="K99" s="247"/>
      <c r="L99" s="247"/>
      <c r="M99" s="247"/>
      <c r="N99" s="247"/>
      <c r="O99" s="248"/>
      <c r="Q99" s="5"/>
      <c r="R99" s="5"/>
    </row>
    <row r="100" spans="2:18">
      <c r="B100" s="41"/>
      <c r="C100" s="249"/>
      <c r="D100" s="249"/>
      <c r="E100" s="249"/>
      <c r="F100" s="249"/>
      <c r="G100" s="249"/>
      <c r="H100" s="249"/>
      <c r="I100" s="5"/>
      <c r="J100" s="249"/>
      <c r="K100" s="249"/>
      <c r="L100" s="249"/>
      <c r="M100" s="249"/>
      <c r="N100" s="249"/>
      <c r="O100" s="248"/>
      <c r="Q100" s="5"/>
      <c r="R100" s="5"/>
    </row>
    <row r="101" spans="2:18">
      <c r="B101" s="41"/>
      <c r="C101" s="257"/>
      <c r="D101" s="248"/>
      <c r="E101" s="248"/>
      <c r="F101" s="248"/>
      <c r="G101" s="248"/>
      <c r="H101" s="248"/>
      <c r="I101" s="259"/>
      <c r="J101" s="248"/>
      <c r="K101" s="248"/>
      <c r="L101" s="248"/>
      <c r="M101" s="248"/>
      <c r="N101" s="248"/>
      <c r="O101" s="248"/>
      <c r="Q101" s="5"/>
      <c r="R101" s="5"/>
    </row>
    <row r="102" spans="2:18" s="5" customFormat="1">
      <c r="B102" s="41"/>
      <c r="I102" s="259"/>
      <c r="O102" s="248"/>
      <c r="P102" s="39"/>
    </row>
    <row r="103" spans="2:18">
      <c r="B103" s="5"/>
      <c r="C103" s="259"/>
      <c r="D103" s="259"/>
      <c r="E103" s="259"/>
      <c r="F103" s="259"/>
      <c r="G103" s="259"/>
      <c r="H103" s="259"/>
      <c r="I103" s="247"/>
      <c r="J103" s="259"/>
      <c r="K103" s="259"/>
      <c r="L103" s="259"/>
      <c r="M103" s="259"/>
      <c r="N103" s="259"/>
      <c r="O103" s="5"/>
      <c r="Q103" s="5"/>
      <c r="R103" s="5"/>
    </row>
    <row r="104" spans="2:18">
      <c r="B104" s="5"/>
      <c r="C104" s="259"/>
      <c r="D104" s="259"/>
      <c r="E104" s="259"/>
      <c r="F104" s="259"/>
      <c r="G104" s="259"/>
      <c r="H104" s="259"/>
      <c r="I104" s="5"/>
      <c r="J104" s="259"/>
      <c r="K104" s="259"/>
      <c r="L104" s="259"/>
      <c r="M104" s="259"/>
      <c r="N104" s="259"/>
      <c r="O104" s="5"/>
      <c r="P104" s="5"/>
      <c r="Q104" s="5"/>
      <c r="R104" s="5"/>
    </row>
    <row r="105" spans="2:18">
      <c r="B105" s="5"/>
      <c r="C105" s="247"/>
      <c r="D105" s="247"/>
      <c r="E105" s="247"/>
      <c r="F105" s="247"/>
      <c r="G105" s="247"/>
      <c r="H105" s="247"/>
      <c r="I105" s="247"/>
      <c r="J105" s="247"/>
      <c r="K105" s="247"/>
      <c r="L105" s="247"/>
      <c r="M105" s="247"/>
      <c r="N105" s="247"/>
      <c r="O105" s="5"/>
      <c r="Q105" s="5"/>
      <c r="R105" s="5"/>
    </row>
    <row r="106" spans="2:18" s="5" customFormat="1">
      <c r="P106" s="39"/>
    </row>
    <row r="107" spans="2:18" s="5" customFormat="1">
      <c r="C107" s="259"/>
      <c r="D107" s="247"/>
      <c r="E107" s="247"/>
      <c r="F107" s="247"/>
      <c r="G107" s="247"/>
      <c r="H107" s="247"/>
      <c r="I107" s="259"/>
      <c r="J107" s="247"/>
      <c r="K107" s="247"/>
      <c r="L107" s="247"/>
      <c r="M107" s="247"/>
      <c r="N107" s="247"/>
      <c r="P107" s="39"/>
    </row>
    <row r="108" spans="2:18">
      <c r="B108" s="5"/>
      <c r="C108" s="259"/>
      <c r="D108" s="5"/>
      <c r="E108" s="5"/>
      <c r="F108" s="5"/>
      <c r="G108" s="5"/>
      <c r="H108" s="5"/>
      <c r="I108" s="247"/>
      <c r="J108" s="5"/>
      <c r="K108" s="5"/>
      <c r="L108" s="5"/>
      <c r="M108" s="5"/>
      <c r="N108" s="5"/>
      <c r="O108" s="5"/>
      <c r="P108" s="5"/>
      <c r="Q108" s="5"/>
      <c r="R108" s="5"/>
    </row>
    <row r="109" spans="2:18">
      <c r="B109" s="5"/>
      <c r="C109" s="259"/>
      <c r="D109" s="259"/>
      <c r="E109" s="259"/>
      <c r="F109" s="259"/>
      <c r="G109" s="259"/>
      <c r="H109" s="259"/>
      <c r="I109" s="249"/>
      <c r="J109" s="259"/>
      <c r="K109" s="259"/>
      <c r="L109" s="259"/>
      <c r="M109" s="259"/>
      <c r="N109" s="259"/>
      <c r="O109" s="5"/>
      <c r="P109" s="5"/>
      <c r="Q109" s="5"/>
      <c r="R109" s="5"/>
    </row>
    <row r="110" spans="2:18">
      <c r="B110" s="5"/>
      <c r="C110" s="247"/>
      <c r="D110" s="247"/>
      <c r="E110" s="247"/>
      <c r="F110" s="247"/>
      <c r="G110" s="247"/>
      <c r="H110" s="247"/>
      <c r="I110" s="249"/>
      <c r="J110" s="247"/>
      <c r="K110" s="247"/>
      <c r="L110" s="247"/>
      <c r="M110" s="247"/>
      <c r="N110" s="247"/>
      <c r="O110" s="5"/>
      <c r="Q110" s="5"/>
      <c r="R110" s="5"/>
    </row>
    <row r="111" spans="2:18">
      <c r="B111" s="41"/>
      <c r="C111" s="249"/>
      <c r="D111" s="249"/>
      <c r="E111" s="249"/>
      <c r="F111" s="249"/>
      <c r="G111" s="249"/>
      <c r="H111" s="249"/>
      <c r="I111" s="247"/>
      <c r="J111" s="249"/>
      <c r="K111" s="249"/>
      <c r="L111" s="249"/>
      <c r="M111" s="249"/>
      <c r="N111" s="249"/>
      <c r="O111" s="5"/>
      <c r="Q111" s="5"/>
      <c r="R111" s="5"/>
    </row>
    <row r="112" spans="2:18">
      <c r="B112" s="5"/>
      <c r="C112" s="249"/>
      <c r="D112" s="249"/>
      <c r="E112" s="249"/>
      <c r="F112" s="249"/>
      <c r="G112" s="249"/>
      <c r="H112" s="249"/>
      <c r="I112" s="5"/>
      <c r="J112" s="249"/>
      <c r="K112" s="249"/>
      <c r="L112" s="249"/>
      <c r="M112" s="249"/>
      <c r="N112" s="249"/>
      <c r="O112" s="5"/>
      <c r="Q112" s="5"/>
      <c r="R112" s="5"/>
    </row>
    <row r="113" spans="2:18">
      <c r="B113" s="5"/>
      <c r="C113" s="247"/>
      <c r="D113" s="247"/>
      <c r="E113" s="247"/>
      <c r="F113" s="247"/>
      <c r="G113" s="247"/>
      <c r="H113" s="247"/>
      <c r="I113" s="5"/>
      <c r="J113" s="247"/>
      <c r="K113" s="247"/>
      <c r="L113" s="247"/>
      <c r="M113" s="247"/>
      <c r="N113" s="247"/>
      <c r="O113" s="5"/>
      <c r="Q113" s="5"/>
      <c r="R113" s="5"/>
    </row>
    <row r="114" spans="2:18">
      <c r="B114" s="5"/>
      <c r="C114" s="5"/>
      <c r="D114" s="5"/>
      <c r="E114" s="5"/>
      <c r="F114" s="5"/>
      <c r="G114" s="5"/>
      <c r="H114" s="5"/>
      <c r="I114" s="5"/>
      <c r="J114" s="5"/>
      <c r="K114" s="5"/>
      <c r="L114" s="5"/>
      <c r="M114" s="5"/>
      <c r="N114" s="5"/>
      <c r="O114" s="5"/>
      <c r="Q114" s="5"/>
      <c r="R114" s="5"/>
    </row>
    <row r="115" spans="2:18">
      <c r="B115" s="5"/>
      <c r="C115" s="5"/>
      <c r="D115" s="5"/>
      <c r="E115" s="5"/>
      <c r="F115" s="5"/>
      <c r="G115" s="5"/>
      <c r="H115" s="5"/>
      <c r="I115" s="5"/>
      <c r="J115" s="5"/>
      <c r="K115" s="5"/>
      <c r="L115" s="5"/>
      <c r="M115" s="5"/>
      <c r="N115" s="5"/>
      <c r="O115" s="5"/>
      <c r="Q115" s="5"/>
      <c r="R115" s="5"/>
    </row>
    <row r="116" spans="2:18">
      <c r="B116" s="5"/>
      <c r="C116" s="5"/>
      <c r="D116" s="5"/>
      <c r="E116" s="5"/>
      <c r="F116" s="5"/>
      <c r="G116" s="5"/>
      <c r="H116" s="5"/>
      <c r="I116" s="49"/>
      <c r="J116" s="5"/>
      <c r="K116" s="5"/>
      <c r="L116" s="5"/>
      <c r="M116" s="5"/>
      <c r="N116" s="5"/>
      <c r="O116" s="5"/>
      <c r="Q116" s="41"/>
      <c r="R116" s="5"/>
    </row>
    <row r="117" spans="2:18">
      <c r="B117" s="5"/>
      <c r="C117" s="5"/>
      <c r="D117" s="5"/>
      <c r="E117" s="5"/>
      <c r="F117" s="5"/>
      <c r="G117" s="5"/>
      <c r="H117" s="5"/>
      <c r="I117" s="5"/>
      <c r="J117" s="5"/>
      <c r="K117" s="5"/>
      <c r="L117" s="5"/>
      <c r="M117" s="5"/>
      <c r="N117" s="5"/>
      <c r="O117" s="5"/>
      <c r="Q117" s="5"/>
      <c r="R117" s="5"/>
    </row>
    <row r="118" spans="2:18">
      <c r="B118" s="41"/>
      <c r="C118" s="49"/>
      <c r="D118" s="49"/>
      <c r="E118" s="49"/>
      <c r="F118" s="49"/>
      <c r="G118" s="49"/>
      <c r="H118" s="49"/>
      <c r="I118" s="254"/>
      <c r="J118" s="49"/>
      <c r="K118" s="49"/>
      <c r="L118" s="49"/>
      <c r="M118" s="49"/>
      <c r="N118" s="49"/>
      <c r="O118" s="49"/>
      <c r="Q118" s="5"/>
      <c r="R118" s="5"/>
    </row>
    <row r="119" spans="2:18">
      <c r="B119" s="5"/>
      <c r="C119" s="5"/>
      <c r="D119" s="5"/>
      <c r="E119" s="5"/>
      <c r="F119" s="5"/>
      <c r="G119" s="5"/>
      <c r="H119" s="5"/>
      <c r="I119" s="249"/>
      <c r="J119" s="5"/>
      <c r="K119" s="5"/>
      <c r="L119" s="5"/>
      <c r="M119" s="5"/>
      <c r="N119" s="5"/>
      <c r="O119" s="5"/>
      <c r="Q119" s="5"/>
      <c r="R119" s="5"/>
    </row>
    <row r="120" spans="2:18">
      <c r="B120" s="41"/>
      <c r="C120" s="254"/>
      <c r="D120" s="254"/>
      <c r="E120" s="254"/>
      <c r="F120" s="254"/>
      <c r="G120" s="254"/>
      <c r="H120" s="254"/>
      <c r="I120" s="254"/>
      <c r="J120" s="254"/>
      <c r="K120" s="254"/>
      <c r="L120" s="254"/>
      <c r="M120" s="254"/>
      <c r="N120" s="254"/>
      <c r="O120" s="248"/>
      <c r="Q120" s="5"/>
      <c r="R120" s="5"/>
    </row>
    <row r="121" spans="2:18">
      <c r="B121" s="41"/>
      <c r="C121" s="254"/>
      <c r="D121" s="249"/>
      <c r="E121" s="249"/>
      <c r="F121" s="249"/>
      <c r="G121" s="249"/>
      <c r="H121" s="249"/>
      <c r="I121" s="254"/>
      <c r="J121" s="249"/>
      <c r="K121" s="249"/>
      <c r="L121" s="249"/>
      <c r="M121" s="249"/>
      <c r="N121" s="249"/>
      <c r="O121" s="248"/>
      <c r="Q121" s="5"/>
      <c r="R121" s="5"/>
    </row>
    <row r="122" spans="2:18">
      <c r="B122" s="41"/>
      <c r="C122" s="254"/>
      <c r="D122" s="254"/>
      <c r="E122" s="254"/>
      <c r="F122" s="254"/>
      <c r="G122" s="254"/>
      <c r="H122" s="254"/>
      <c r="I122" s="254"/>
      <c r="J122" s="254"/>
      <c r="K122" s="254"/>
      <c r="L122" s="254"/>
      <c r="M122" s="254"/>
      <c r="N122" s="254"/>
      <c r="O122" s="248"/>
      <c r="Q122" s="5"/>
      <c r="R122" s="5"/>
    </row>
    <row r="123" spans="2:18">
      <c r="B123" s="41"/>
      <c r="C123" s="254"/>
      <c r="D123" s="254"/>
      <c r="E123" s="254"/>
      <c r="F123" s="254"/>
      <c r="G123" s="254"/>
      <c r="H123" s="254"/>
      <c r="I123" s="254"/>
      <c r="J123" s="254"/>
      <c r="K123" s="254"/>
      <c r="L123" s="254"/>
      <c r="M123" s="254"/>
      <c r="N123" s="254"/>
      <c r="O123" s="248"/>
      <c r="Q123" s="5"/>
      <c r="R123" s="5"/>
    </row>
    <row r="124" spans="2:18">
      <c r="B124" s="41"/>
      <c r="C124" s="254"/>
      <c r="D124" s="254"/>
      <c r="E124" s="254"/>
      <c r="F124" s="254"/>
      <c r="G124" s="254"/>
      <c r="H124" s="254"/>
      <c r="I124" s="254"/>
      <c r="J124" s="254"/>
      <c r="K124" s="254"/>
      <c r="L124" s="254"/>
      <c r="M124" s="254"/>
      <c r="N124" s="254"/>
      <c r="O124" s="248"/>
      <c r="Q124" s="5"/>
      <c r="R124" s="5"/>
    </row>
    <row r="125" spans="2:18">
      <c r="B125" s="41"/>
      <c r="C125" s="254"/>
      <c r="D125" s="254"/>
      <c r="E125" s="254"/>
      <c r="F125" s="254"/>
      <c r="G125" s="254"/>
      <c r="H125" s="254"/>
      <c r="I125" s="254"/>
      <c r="J125" s="254"/>
      <c r="K125" s="254"/>
      <c r="L125" s="254"/>
      <c r="M125" s="254"/>
      <c r="N125" s="254"/>
      <c r="O125" s="248"/>
      <c r="Q125" s="5"/>
      <c r="R125" s="5"/>
    </row>
    <row r="126" spans="2:18">
      <c r="B126" s="41"/>
      <c r="C126" s="254"/>
      <c r="D126" s="254"/>
      <c r="E126" s="254"/>
      <c r="F126" s="254"/>
      <c r="G126" s="254"/>
      <c r="H126" s="254"/>
      <c r="I126" s="254"/>
      <c r="J126" s="254"/>
      <c r="K126" s="254"/>
      <c r="L126" s="254"/>
      <c r="M126" s="254"/>
      <c r="N126" s="254"/>
      <c r="O126" s="5"/>
      <c r="Q126" s="5"/>
      <c r="R126" s="5"/>
    </row>
    <row r="127" spans="2:18">
      <c r="B127" s="41"/>
      <c r="C127" s="254"/>
      <c r="D127" s="254"/>
      <c r="E127" s="254"/>
      <c r="F127" s="254"/>
      <c r="G127" s="254"/>
      <c r="H127" s="254"/>
      <c r="I127" s="254"/>
      <c r="J127" s="254"/>
      <c r="K127" s="254"/>
      <c r="L127" s="254"/>
      <c r="M127" s="254"/>
      <c r="N127" s="254"/>
      <c r="O127" s="5"/>
      <c r="Q127" s="5"/>
      <c r="R127" s="5"/>
    </row>
    <row r="128" spans="2:18">
      <c r="B128" s="41"/>
      <c r="C128" s="254"/>
      <c r="D128" s="254"/>
      <c r="E128" s="254"/>
      <c r="F128" s="254"/>
      <c r="G128" s="254"/>
      <c r="H128" s="254"/>
      <c r="I128" s="18"/>
      <c r="J128" s="254"/>
      <c r="K128" s="254"/>
      <c r="L128" s="254"/>
      <c r="M128" s="254"/>
      <c r="N128" s="254"/>
      <c r="O128" s="5"/>
      <c r="Q128" s="5"/>
      <c r="R128" s="5"/>
    </row>
    <row r="129" spans="2:27">
      <c r="B129" s="41"/>
      <c r="C129" s="254"/>
      <c r="D129" s="254"/>
      <c r="E129" s="254"/>
      <c r="F129" s="254"/>
      <c r="G129" s="254"/>
      <c r="H129" s="254"/>
      <c r="I129" s="5"/>
      <c r="J129" s="254"/>
      <c r="K129" s="254"/>
      <c r="L129" s="254"/>
      <c r="M129" s="254"/>
      <c r="N129" s="254"/>
      <c r="O129" s="5"/>
      <c r="Q129" s="5"/>
      <c r="R129" s="5"/>
    </row>
    <row r="130" spans="2:27">
      <c r="B130" s="5"/>
      <c r="C130" s="5"/>
      <c r="D130" s="18"/>
      <c r="E130" s="18"/>
      <c r="F130" s="18"/>
      <c r="G130" s="18"/>
      <c r="H130" s="18"/>
      <c r="I130" s="254"/>
      <c r="J130" s="18"/>
      <c r="K130" s="18"/>
      <c r="L130" s="18"/>
      <c r="M130" s="18"/>
      <c r="N130" s="18"/>
      <c r="O130" s="5"/>
      <c r="Q130" s="5"/>
      <c r="R130" s="5"/>
    </row>
    <row r="131" spans="2:27">
      <c r="B131" s="5"/>
      <c r="C131" s="5"/>
      <c r="D131" s="5"/>
      <c r="E131" s="5"/>
      <c r="F131" s="5"/>
      <c r="G131" s="5"/>
      <c r="H131" s="5"/>
      <c r="I131" s="18"/>
      <c r="J131" s="5"/>
      <c r="K131" s="5"/>
      <c r="L131" s="5"/>
      <c r="M131" s="5"/>
      <c r="N131" s="5"/>
      <c r="O131" s="5"/>
      <c r="Q131" s="5"/>
      <c r="R131" s="5"/>
    </row>
    <row r="132" spans="2:27">
      <c r="B132" s="41"/>
      <c r="C132" s="254"/>
      <c r="D132" s="254"/>
      <c r="E132" s="254"/>
      <c r="F132" s="254"/>
      <c r="G132" s="254"/>
      <c r="H132" s="254"/>
      <c r="I132" s="5"/>
      <c r="J132" s="254"/>
      <c r="K132" s="254"/>
      <c r="L132" s="254"/>
      <c r="M132" s="254"/>
      <c r="N132" s="254"/>
      <c r="O132" s="5"/>
      <c r="Q132" s="5"/>
      <c r="R132" s="5"/>
    </row>
    <row r="133" spans="2:27">
      <c r="B133" s="5"/>
      <c r="C133" s="259"/>
      <c r="D133" s="18"/>
      <c r="E133" s="18"/>
      <c r="F133" s="18"/>
      <c r="G133" s="18"/>
      <c r="H133" s="18"/>
      <c r="I133" s="5"/>
      <c r="J133" s="18"/>
      <c r="K133" s="18"/>
      <c r="L133" s="18"/>
      <c r="M133" s="18"/>
      <c r="N133" s="18"/>
      <c r="O133" s="5"/>
      <c r="Q133" s="5"/>
      <c r="R133" s="5"/>
    </row>
    <row r="134" spans="2:27">
      <c r="B134" s="5"/>
      <c r="C134" s="5"/>
      <c r="D134" s="5"/>
      <c r="E134" s="5"/>
      <c r="F134" s="5"/>
      <c r="G134" s="5"/>
      <c r="H134" s="5"/>
      <c r="I134" s="17"/>
      <c r="J134" s="5"/>
      <c r="K134" s="5"/>
      <c r="L134" s="5"/>
      <c r="M134" s="5"/>
      <c r="N134" s="5"/>
      <c r="O134" s="5"/>
      <c r="Q134" s="5"/>
      <c r="R134" s="5"/>
    </row>
    <row r="135" spans="2:27">
      <c r="B135" s="41"/>
      <c r="C135" s="5"/>
      <c r="D135" s="5"/>
      <c r="E135" s="5"/>
      <c r="F135" s="5"/>
      <c r="G135" s="5"/>
      <c r="H135" s="5"/>
      <c r="I135" s="17"/>
      <c r="J135" s="5"/>
      <c r="K135" s="5"/>
      <c r="L135" s="5"/>
      <c r="M135" s="5"/>
      <c r="N135" s="5"/>
      <c r="O135" s="5"/>
      <c r="Q135" s="5"/>
      <c r="R135" s="5"/>
    </row>
    <row r="136" spans="2:27">
      <c r="B136" s="5"/>
      <c r="C136" s="17"/>
      <c r="D136" s="17"/>
      <c r="E136" s="17"/>
      <c r="F136" s="17"/>
      <c r="G136" s="17"/>
      <c r="H136" s="17"/>
      <c r="I136" s="17"/>
      <c r="J136" s="17"/>
      <c r="K136" s="17"/>
      <c r="L136" s="17"/>
      <c r="M136" s="17"/>
      <c r="N136" s="17"/>
      <c r="O136" s="5"/>
      <c r="Q136" s="41"/>
      <c r="R136" s="5"/>
    </row>
    <row r="137" spans="2:27">
      <c r="B137" s="5"/>
      <c r="C137" s="17"/>
      <c r="D137" s="17"/>
      <c r="E137" s="17"/>
      <c r="F137" s="17"/>
      <c r="G137" s="17"/>
      <c r="H137" s="17"/>
      <c r="I137" s="17"/>
      <c r="J137" s="17"/>
      <c r="K137" s="17"/>
      <c r="L137" s="17"/>
      <c r="M137" s="17"/>
      <c r="N137" s="17"/>
      <c r="O137" s="5"/>
      <c r="Q137" s="5"/>
      <c r="R137" s="5"/>
      <c r="X137" s="304"/>
    </row>
    <row r="138" spans="2:27">
      <c r="B138" s="5"/>
      <c r="C138" s="5"/>
      <c r="D138" s="17"/>
      <c r="E138" s="17"/>
      <c r="F138" s="17"/>
      <c r="G138" s="17"/>
      <c r="H138" s="17"/>
      <c r="I138" s="17"/>
      <c r="J138" s="17"/>
      <c r="K138" s="17"/>
      <c r="L138" s="17"/>
      <c r="M138" s="17"/>
      <c r="N138" s="17"/>
      <c r="O138" s="5"/>
      <c r="Q138" s="5"/>
      <c r="R138" s="5"/>
      <c r="X138" s="10"/>
      <c r="Y138" s="304"/>
      <c r="Z138" s="304"/>
      <c r="AA138" s="304"/>
    </row>
    <row r="139" spans="2:27">
      <c r="B139" s="5"/>
      <c r="C139" s="5"/>
      <c r="D139" s="17"/>
      <c r="E139" s="17"/>
      <c r="F139" s="17"/>
      <c r="G139" s="17"/>
      <c r="H139" s="17"/>
      <c r="I139" s="17"/>
      <c r="J139" s="17"/>
      <c r="K139" s="17"/>
      <c r="L139" s="17"/>
      <c r="M139" s="17"/>
      <c r="N139" s="17"/>
      <c r="O139" s="5"/>
      <c r="Q139" s="5"/>
      <c r="R139" s="5"/>
      <c r="Y139" s="10"/>
      <c r="Z139" s="10"/>
      <c r="AA139" s="10"/>
    </row>
    <row r="140" spans="2:27">
      <c r="B140" s="5"/>
      <c r="C140" s="5"/>
      <c r="D140" s="17"/>
      <c r="E140" s="17"/>
      <c r="F140" s="17"/>
      <c r="G140" s="17"/>
      <c r="H140" s="17"/>
      <c r="I140" s="5"/>
      <c r="J140" s="17"/>
      <c r="K140" s="17"/>
      <c r="L140" s="17"/>
      <c r="M140" s="17"/>
      <c r="N140" s="17"/>
      <c r="O140" s="5"/>
      <c r="Q140" s="5"/>
      <c r="R140" s="5"/>
    </row>
    <row r="141" spans="2:27">
      <c r="B141" s="5"/>
      <c r="C141" s="17"/>
      <c r="D141" s="17"/>
      <c r="E141" s="17"/>
      <c r="F141" s="17"/>
      <c r="G141" s="17"/>
      <c r="H141" s="17"/>
      <c r="I141" s="5"/>
      <c r="J141" s="17"/>
      <c r="K141" s="17"/>
      <c r="L141" s="17"/>
      <c r="M141" s="17"/>
      <c r="N141" s="17"/>
      <c r="O141" s="5"/>
      <c r="Q141" s="5"/>
      <c r="R141" s="5"/>
    </row>
    <row r="142" spans="2:27">
      <c r="B142" s="5"/>
      <c r="C142" s="5"/>
      <c r="D142" s="5"/>
      <c r="E142" s="5"/>
      <c r="F142" s="5"/>
      <c r="G142" s="5"/>
      <c r="H142" s="5"/>
      <c r="I142" s="5"/>
      <c r="J142" s="5"/>
      <c r="K142" s="5"/>
      <c r="L142" s="5"/>
      <c r="M142" s="5"/>
      <c r="N142" s="5"/>
      <c r="O142" s="5"/>
      <c r="Q142" s="5"/>
      <c r="R142" s="5"/>
    </row>
    <row r="143" spans="2:27">
      <c r="B143" s="5"/>
      <c r="C143" s="5"/>
      <c r="D143" s="5"/>
      <c r="E143" s="5"/>
      <c r="F143" s="5"/>
      <c r="G143" s="5"/>
      <c r="H143" s="5"/>
      <c r="I143" s="5"/>
      <c r="J143" s="5"/>
      <c r="K143" s="5"/>
      <c r="L143" s="5"/>
      <c r="M143" s="5"/>
      <c r="N143" s="5"/>
      <c r="O143" s="5"/>
      <c r="Q143" s="5"/>
      <c r="R143" s="5"/>
    </row>
    <row r="144" spans="2:27">
      <c r="B144" s="5"/>
      <c r="C144" s="5"/>
      <c r="D144" s="5"/>
      <c r="E144" s="5"/>
      <c r="F144" s="5"/>
      <c r="G144" s="5"/>
      <c r="H144" s="5"/>
      <c r="I144" s="5"/>
      <c r="J144" s="5"/>
      <c r="K144" s="5"/>
      <c r="L144" s="5"/>
      <c r="M144" s="5"/>
      <c r="N144" s="5"/>
      <c r="O144" s="5"/>
      <c r="Q144" s="5"/>
      <c r="R144" s="5"/>
    </row>
    <row r="145" spans="2:18">
      <c r="B145" s="5"/>
      <c r="C145" s="5"/>
      <c r="D145" s="5"/>
      <c r="E145" s="5"/>
      <c r="F145" s="5"/>
      <c r="G145" s="5"/>
      <c r="H145" s="5"/>
      <c r="I145" s="5"/>
      <c r="J145" s="5"/>
      <c r="K145" s="5"/>
      <c r="L145" s="5"/>
      <c r="M145" s="5"/>
      <c r="N145" s="5"/>
      <c r="O145" s="5"/>
      <c r="Q145" s="5"/>
      <c r="R145" s="5"/>
    </row>
    <row r="146" spans="2:18">
      <c r="B146" s="5"/>
      <c r="C146" s="5"/>
      <c r="D146" s="5"/>
      <c r="E146" s="5"/>
      <c r="F146" s="5"/>
      <c r="G146" s="5"/>
      <c r="H146" s="5"/>
      <c r="I146" s="5"/>
      <c r="J146" s="5"/>
      <c r="K146" s="5"/>
      <c r="L146" s="5"/>
      <c r="M146" s="5"/>
      <c r="N146" s="5"/>
      <c r="O146" s="5"/>
      <c r="Q146" s="5"/>
      <c r="R146" s="5"/>
    </row>
    <row r="147" spans="2:18">
      <c r="B147" s="5"/>
      <c r="C147" s="5"/>
      <c r="D147" s="5"/>
      <c r="E147" s="5"/>
      <c r="F147" s="5"/>
      <c r="G147" s="5"/>
      <c r="H147" s="5"/>
      <c r="I147" s="5"/>
      <c r="J147" s="5"/>
      <c r="K147" s="5"/>
      <c r="L147" s="5"/>
      <c r="M147" s="5"/>
      <c r="N147" s="5"/>
      <c r="O147" s="5"/>
      <c r="Q147" s="5"/>
      <c r="R147" s="5"/>
    </row>
    <row r="148" spans="2:18">
      <c r="B148" s="5"/>
      <c r="C148" s="5"/>
      <c r="D148" s="5"/>
      <c r="E148" s="5"/>
      <c r="F148" s="5"/>
      <c r="G148" s="5"/>
      <c r="H148" s="5"/>
      <c r="I148" s="5"/>
      <c r="J148" s="5"/>
      <c r="K148" s="5"/>
      <c r="L148" s="5"/>
      <c r="M148" s="5"/>
      <c r="N148" s="5"/>
      <c r="O148" s="5"/>
      <c r="Q148" s="5"/>
      <c r="R148" s="5"/>
    </row>
    <row r="149" spans="2:18">
      <c r="B149" s="5"/>
      <c r="C149" s="5"/>
      <c r="D149" s="5"/>
      <c r="E149" s="5"/>
      <c r="F149" s="5"/>
      <c r="G149" s="5"/>
      <c r="H149" s="5"/>
      <c r="I149" s="5"/>
      <c r="J149" s="5"/>
      <c r="K149" s="5"/>
      <c r="L149" s="5"/>
      <c r="M149" s="5"/>
      <c r="N149" s="5"/>
      <c r="O149" s="5"/>
      <c r="Q149" s="5"/>
      <c r="R149" s="5"/>
    </row>
    <row r="150" spans="2:18">
      <c r="B150" s="5"/>
      <c r="C150" s="5"/>
      <c r="D150" s="5"/>
      <c r="E150" s="5"/>
      <c r="F150" s="5"/>
      <c r="G150" s="5"/>
      <c r="H150" s="5"/>
      <c r="J150" s="5"/>
      <c r="K150" s="5"/>
      <c r="L150" s="5"/>
      <c r="M150" s="5"/>
      <c r="N150" s="5"/>
      <c r="O150" s="5"/>
      <c r="Q150" s="5"/>
      <c r="R150" s="5"/>
    </row>
    <row r="151" spans="2:18">
      <c r="B151" s="5"/>
      <c r="C151" s="5"/>
      <c r="D151" s="5"/>
      <c r="E151" s="5"/>
      <c r="F151" s="5"/>
      <c r="G151" s="5"/>
      <c r="H151" s="5"/>
      <c r="J151" s="5"/>
      <c r="K151" s="5"/>
      <c r="L151" s="5"/>
      <c r="M151" s="5"/>
      <c r="N151" s="5"/>
      <c r="O151" s="5"/>
      <c r="Q151" s="5"/>
      <c r="R151" s="5"/>
    </row>
    <row r="152" spans="2:18">
      <c r="Q152" s="5"/>
      <c r="R152" s="5"/>
    </row>
    <row r="153" spans="2:18">
      <c r="Q153" s="5"/>
      <c r="R153" s="5"/>
    </row>
    <row r="154" spans="2:18">
      <c r="C154" s="263"/>
      <c r="Q154" s="5"/>
      <c r="R154" s="5"/>
    </row>
    <row r="155" spans="2:18">
      <c r="Q155" s="5"/>
      <c r="R155" s="5"/>
    </row>
    <row r="156" spans="2:18">
      <c r="Q156" s="5"/>
      <c r="R156" s="5"/>
    </row>
    <row r="157" spans="2:18">
      <c r="Q157" s="5"/>
      <c r="R157" s="5"/>
    </row>
    <row r="158" spans="2:18">
      <c r="Q158" s="5"/>
      <c r="R158" s="5"/>
    </row>
    <row r="159" spans="2:18">
      <c r="Q159" s="5"/>
      <c r="R159" s="5"/>
    </row>
    <row r="160" spans="2:18">
      <c r="Q160" s="5"/>
      <c r="R160" s="5"/>
    </row>
    <row r="161" spans="17:18">
      <c r="Q161" s="5"/>
      <c r="R161" s="5"/>
    </row>
    <row r="162" spans="17:18">
      <c r="Q162" s="5"/>
      <c r="R162" s="5"/>
    </row>
    <row r="163" spans="17:18">
      <c r="Q163" s="5"/>
      <c r="R163" s="5"/>
    </row>
    <row r="164" spans="17:18">
      <c r="Q164" s="5"/>
      <c r="R164" s="5"/>
    </row>
    <row r="165" spans="17:18">
      <c r="Q165" s="5"/>
      <c r="R165" s="5"/>
    </row>
    <row r="166" spans="17:18">
      <c r="Q166" s="5"/>
      <c r="R166" s="5"/>
    </row>
  </sheetData>
  <hyperlinks>
    <hyperlink ref="C2" location="LiLACSOP!A1" display="Jump to LiLAC SOP" xr:uid="{00000000-0004-0000-3700-000001000000}"/>
  </hyperlinks>
  <pageMargins left="0.75" right="0.75" top="1" bottom="1" header="0.5" footer="0.5"/>
  <pageSetup scale="71" orientation="landscape" r:id="rId1"/>
  <headerFooter alignWithMargins="0"/>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232">
    <pageSetUpPr fitToPage="1"/>
  </sheetPr>
  <dimension ref="B1:AR165"/>
  <sheetViews>
    <sheetView showGridLines="0" zoomScale="80" zoomScaleNormal="80" workbookViewId="0"/>
  </sheetViews>
  <sheetFormatPr defaultColWidth="9.109375" defaultRowHeight="12"/>
  <cols>
    <col min="1" max="1" width="2.33203125" style="39" customWidth="1"/>
    <col min="2" max="2" width="26.5546875" style="39" customWidth="1"/>
    <col min="3" max="9" width="10" style="39" customWidth="1"/>
    <col min="10" max="10" width="26.6640625" style="39" customWidth="1"/>
    <col min="11" max="16" width="10" style="39" customWidth="1"/>
    <col min="17" max="19" width="8.6640625" style="39" customWidth="1"/>
    <col min="20" max="28" width="8.6640625" style="5" customWidth="1"/>
    <col min="29" max="44" width="9.109375" style="5"/>
    <col min="45" max="16384" width="9.109375" style="39"/>
  </cols>
  <sheetData>
    <row r="1" spans="2:44" s="312" customFormat="1">
      <c r="T1" s="149"/>
      <c r="U1" s="149"/>
      <c r="V1" s="149"/>
      <c r="W1" s="149"/>
      <c r="X1" s="149"/>
      <c r="Y1" s="149"/>
      <c r="Z1" s="149"/>
      <c r="AA1" s="149"/>
      <c r="AB1" s="149"/>
      <c r="AC1" s="149"/>
      <c r="AD1" s="149"/>
      <c r="AE1" s="149"/>
      <c r="AF1" s="149"/>
      <c r="AG1" s="149"/>
      <c r="AH1" s="149"/>
      <c r="AI1" s="149"/>
      <c r="AJ1" s="149"/>
      <c r="AK1" s="149"/>
      <c r="AL1" s="149"/>
      <c r="AM1" s="149"/>
      <c r="AN1" s="149"/>
      <c r="AO1" s="149"/>
      <c r="AP1" s="149"/>
      <c r="AQ1" s="149"/>
      <c r="AR1" s="149"/>
    </row>
    <row r="2" spans="2:44" s="149" customFormat="1"/>
    <row r="3" spans="2:44" s="149" customFormat="1">
      <c r="H3" s="153"/>
      <c r="P3" s="153"/>
    </row>
    <row r="4" spans="2:44" s="156" customFormat="1" ht="21">
      <c r="B4" s="129" t="s">
        <v>1063</v>
      </c>
      <c r="H4" s="222"/>
      <c r="P4" s="222"/>
    </row>
    <row r="5" spans="2:44" s="149" customFormat="1">
      <c r="C5" s="153"/>
      <c r="D5" s="153" t="str" cm="1">
        <f t="array" ref="D5:H5">headings</f>
        <v>2023E</v>
      </c>
      <c r="E5" s="153" t="str">
        <v>2024E</v>
      </c>
      <c r="F5" s="153" t="str">
        <v>2025E</v>
      </c>
      <c r="G5" s="153" t="str">
        <v>2026E</v>
      </c>
      <c r="H5" s="153" t="str">
        <v>23E-26E</v>
      </c>
      <c r="I5" s="153"/>
      <c r="J5" s="153"/>
      <c r="K5" s="153"/>
      <c r="L5" s="153" t="str" cm="1">
        <f t="array" ref="L5:P5">headings</f>
        <v>2023E</v>
      </c>
      <c r="M5" s="153" t="str">
        <v>2024E</v>
      </c>
      <c r="N5" s="153" t="str">
        <v>2025E</v>
      </c>
      <c r="O5" s="153" t="str">
        <v>2026E</v>
      </c>
      <c r="P5" s="153" t="str">
        <v>23E-26E</v>
      </c>
      <c r="Q5" s="162"/>
      <c r="R5" s="162"/>
      <c r="S5" s="162"/>
      <c r="T5" s="162"/>
      <c r="U5" s="162"/>
      <c r="V5" s="162"/>
      <c r="W5" s="162"/>
      <c r="X5" s="162"/>
      <c r="Y5" s="162"/>
    </row>
    <row r="6" spans="2:44">
      <c r="I6" s="5"/>
      <c r="J6" s="5"/>
      <c r="K6" s="5"/>
      <c r="L6" s="5"/>
      <c r="M6" s="5"/>
      <c r="N6" s="5"/>
      <c r="O6" s="49"/>
    </row>
    <row r="7" spans="2:44" ht="12.6" thickBot="1">
      <c r="B7" s="306" t="s">
        <v>271</v>
      </c>
      <c r="C7" s="265"/>
      <c r="D7" s="265" t="str">
        <f>D5</f>
        <v>2023E</v>
      </c>
      <c r="E7" s="265" t="str">
        <f t="shared" ref="E7:H7" si="0">E5</f>
        <v>2024E</v>
      </c>
      <c r="F7" s="265" t="str">
        <f t="shared" si="0"/>
        <v>2025E</v>
      </c>
      <c r="G7" s="265" t="str">
        <f t="shared" si="0"/>
        <v>2026E</v>
      </c>
      <c r="H7" s="265" t="str">
        <f t="shared" si="0"/>
        <v>23E-26E</v>
      </c>
      <c r="I7" s="49"/>
      <c r="J7" s="306" t="s">
        <v>1393</v>
      </c>
      <c r="K7" s="306"/>
      <c r="L7" s="265" t="str">
        <f>L5</f>
        <v>2023E</v>
      </c>
      <c r="M7" s="265" t="str">
        <f t="shared" ref="M7:P7" si="1">M5</f>
        <v>2024E</v>
      </c>
      <c r="N7" s="265" t="str">
        <f t="shared" si="1"/>
        <v>2025E</v>
      </c>
      <c r="O7" s="265" t="str">
        <f t="shared" si="1"/>
        <v>2026E</v>
      </c>
      <c r="P7" s="265" t="str">
        <f t="shared" si="1"/>
        <v>23E-26E</v>
      </c>
    </row>
    <row r="8" spans="2:44" ht="12.6" thickTop="1">
      <c r="B8" s="5"/>
      <c r="C8" s="5"/>
      <c r="D8" s="5"/>
      <c r="E8" s="5"/>
      <c r="F8" s="5"/>
      <c r="G8" s="5"/>
      <c r="H8" s="5"/>
      <c r="I8" s="5"/>
      <c r="J8" s="5"/>
      <c r="K8" s="5"/>
      <c r="L8" s="5"/>
      <c r="M8" s="5"/>
      <c r="N8" s="5"/>
      <c r="S8" s="88"/>
      <c r="T8" s="42"/>
      <c r="U8" s="42"/>
      <c r="V8" s="42"/>
      <c r="W8" s="42"/>
      <c r="X8" s="42"/>
      <c r="Y8" s="42"/>
      <c r="Z8" s="42"/>
      <c r="AA8" s="42"/>
    </row>
    <row r="9" spans="2:44">
      <c r="B9" s="41" t="s">
        <v>887</v>
      </c>
      <c r="C9" s="287">
        <f>Prices!C71</f>
        <v>85.2</v>
      </c>
      <c r="D9" s="535">
        <v>21.447125</v>
      </c>
      <c r="E9" s="536">
        <v>21.623127</v>
      </c>
      <c r="F9" s="536">
        <v>21.799129000000001</v>
      </c>
      <c r="G9" s="536">
        <v>21.975131000000001</v>
      </c>
      <c r="H9" s="249"/>
      <c r="I9" s="249"/>
      <c r="J9" s="5" t="s">
        <v>273</v>
      </c>
      <c r="L9" s="529">
        <f>'DM ASIA OTHER'!D37</f>
        <v>1.8367575076363669</v>
      </c>
      <c r="M9" s="529">
        <f>'DM ASIA OTHER'!E37</f>
        <v>1.639300994694695</v>
      </c>
      <c r="N9" s="529">
        <f>'DM ASIA OTHER'!F37</f>
        <v>1.4602856449172372</v>
      </c>
      <c r="O9" s="529">
        <f>'DM ASIA OTHER'!G37</f>
        <v>1.2903900123930629</v>
      </c>
      <c r="P9" s="286">
        <f>'DM ASIA OTHER'!H37</f>
        <v>5.3559427902102774E-2</v>
      </c>
      <c r="S9" s="88"/>
      <c r="T9" s="42"/>
      <c r="U9" s="42"/>
      <c r="V9" s="42"/>
      <c r="W9" s="42"/>
      <c r="X9" s="42"/>
      <c r="Y9" s="42"/>
      <c r="Z9" s="42"/>
      <c r="AA9" s="42"/>
    </row>
    <row r="10" spans="2:44">
      <c r="B10" s="5" t="s">
        <v>274</v>
      </c>
      <c r="C10" s="5"/>
      <c r="D10" s="531">
        <v>21.447125</v>
      </c>
      <c r="E10" s="531">
        <v>21.623127</v>
      </c>
      <c r="F10" s="531">
        <v>21.799129000000001</v>
      </c>
      <c r="G10" s="531">
        <v>21.975131000000001</v>
      </c>
      <c r="H10" s="247"/>
      <c r="I10" s="247"/>
      <c r="J10" s="5" t="s">
        <v>184</v>
      </c>
      <c r="L10" s="529">
        <f>'DM ASIA OTHER'!D38</f>
        <v>7.3258495291616414</v>
      </c>
      <c r="M10" s="529">
        <f>'DM ASIA OTHER'!E38</f>
        <v>6.7092804879076917</v>
      </c>
      <c r="N10" s="529">
        <f>'DM ASIA OTHER'!F38</f>
        <v>5.899034748802352</v>
      </c>
      <c r="O10" s="529">
        <f>'DM ASIA OTHER'!G38</f>
        <v>5.1300483034137692</v>
      </c>
      <c r="P10" s="286">
        <f>'DM ASIA OTHER'!H38</f>
        <v>5.4696749337629358E-2</v>
      </c>
      <c r="S10" s="88"/>
      <c r="T10" s="42"/>
      <c r="U10" s="42"/>
      <c r="V10" s="42"/>
      <c r="W10" s="288"/>
      <c r="X10" s="288"/>
      <c r="Y10" s="288"/>
      <c r="Z10" s="288"/>
      <c r="AA10" s="42"/>
    </row>
    <row r="11" spans="2:44">
      <c r="B11" s="41" t="s">
        <v>888</v>
      </c>
      <c r="C11" s="5"/>
      <c r="D11" s="532">
        <f>D10*C9</f>
        <v>1827.2950499999999</v>
      </c>
      <c r="E11" s="532">
        <f>E10*$C$9</f>
        <v>1842.2904204000001</v>
      </c>
      <c r="F11" s="532">
        <f t="shared" ref="F11:G11" si="2">F10*$C$9</f>
        <v>1857.2857908000001</v>
      </c>
      <c r="G11" s="532">
        <f t="shared" si="2"/>
        <v>1872.2811612</v>
      </c>
      <c r="H11" s="249"/>
      <c r="I11" s="249"/>
      <c r="J11" s="5" t="s">
        <v>185</v>
      </c>
      <c r="L11" s="529">
        <f>'DM ASIA OTHER'!D39</f>
        <v>14.075420842229162</v>
      </c>
      <c r="M11" s="529">
        <f>'DM ASIA OTHER'!E39</f>
        <v>11.092965616512378</v>
      </c>
      <c r="N11" s="529">
        <f>'DM ASIA OTHER'!F39</f>
        <v>9.5483718953953414</v>
      </c>
      <c r="O11" s="529">
        <f>'DM ASIA OTHER'!G39</f>
        <v>8.2908468131168434</v>
      </c>
      <c r="P11" s="286">
        <f>'DM ASIA OTHER'!H39</f>
        <v>0.11729947188557732</v>
      </c>
      <c r="S11" s="88"/>
      <c r="T11" s="42"/>
      <c r="U11" s="42"/>
      <c r="V11" s="42"/>
      <c r="W11" s="288"/>
      <c r="X11" s="288"/>
      <c r="Y11" s="288"/>
      <c r="Z11" s="288"/>
      <c r="AA11" s="42"/>
    </row>
    <row r="12" spans="2:44">
      <c r="B12" s="5" t="s">
        <v>24</v>
      </c>
      <c r="C12" s="249"/>
      <c r="D12" s="533">
        <v>-16.294714123627514</v>
      </c>
      <c r="E12" s="533">
        <v>-29.148276388316056</v>
      </c>
      <c r="F12" s="533">
        <v>-37.453299154793235</v>
      </c>
      <c r="G12" s="533">
        <v>-54.167768423804944</v>
      </c>
      <c r="H12" s="247"/>
      <c r="I12" s="247"/>
      <c r="J12" s="5" t="s">
        <v>466</v>
      </c>
      <c r="L12" s="529">
        <f>'DM ASIA OTHER'!D40</f>
        <v>19.370348083126483</v>
      </c>
      <c r="M12" s="529">
        <f>'DM ASIA OTHER'!E40</f>
        <v>15.410727862351104</v>
      </c>
      <c r="N12" s="529">
        <f>'DM ASIA OTHER'!F40</f>
        <v>13.436366988392662</v>
      </c>
      <c r="O12" s="529">
        <f>'DM ASIA OTHER'!G40</f>
        <v>11.776196143347512</v>
      </c>
      <c r="P12" s="286">
        <f>'DM ASIA OTHER'!H40</f>
        <v>0.10558692088844279</v>
      </c>
      <c r="S12" s="88"/>
      <c r="T12" s="42"/>
      <c r="U12" s="42"/>
      <c r="V12" s="42"/>
      <c r="W12" s="288"/>
      <c r="X12" s="288"/>
      <c r="Y12" s="288"/>
      <c r="Z12" s="288"/>
      <c r="AA12" s="42"/>
    </row>
    <row r="13" spans="2:44">
      <c r="B13" s="5" t="s">
        <v>529</v>
      </c>
      <c r="C13" s="257"/>
      <c r="D13" s="533">
        <v>0</v>
      </c>
      <c r="E13" s="533">
        <v>0</v>
      </c>
      <c r="F13" s="533">
        <v>0</v>
      </c>
      <c r="G13" s="533">
        <v>0</v>
      </c>
      <c r="H13" s="247"/>
      <c r="I13" s="247"/>
      <c r="J13" s="5" t="s">
        <v>530</v>
      </c>
      <c r="L13" s="529">
        <f>'DM ASIA OTHER'!D41</f>
        <v>1.7916462792273016</v>
      </c>
      <c r="M13" s="529">
        <f>'DM ASIA OTHER'!E41</f>
        <v>1.7058565442492049</v>
      </c>
      <c r="N13" s="529">
        <f>'DM ASIA OTHER'!F41</f>
        <v>1.6096907463854528</v>
      </c>
      <c r="O13" s="529">
        <f>'DM ASIA OTHER'!G41</f>
        <v>1.4987153103503199</v>
      </c>
      <c r="P13" s="286">
        <f>'DM ASIA OTHER'!H41</f>
        <v>-5.9845449451896293E-3</v>
      </c>
      <c r="S13" s="88"/>
      <c r="T13" s="42"/>
      <c r="U13" s="42"/>
      <c r="V13" s="42"/>
      <c r="W13" s="42"/>
      <c r="X13" s="42"/>
      <c r="Y13" s="42"/>
      <c r="Z13" s="42"/>
      <c r="AA13" s="42"/>
    </row>
    <row r="14" spans="2:44">
      <c r="B14" s="5" t="s">
        <v>532</v>
      </c>
      <c r="C14" s="257"/>
      <c r="D14" s="533">
        <v>0</v>
      </c>
      <c r="E14" s="533">
        <v>0</v>
      </c>
      <c r="F14" s="533">
        <v>0</v>
      </c>
      <c r="G14" s="533">
        <v>0</v>
      </c>
      <c r="H14" s="247"/>
      <c r="I14" s="247"/>
      <c r="J14" s="5" t="s">
        <v>593</v>
      </c>
      <c r="L14" s="529">
        <f>'DM ASIA OTHER'!D42</f>
        <v>4.560852656781643</v>
      </c>
      <c r="M14" s="529">
        <f>'DM ASIA OTHER'!E42</f>
        <v>4.4391781472313179</v>
      </c>
      <c r="N14" s="529">
        <f>'DM ASIA OTHER'!F42</f>
        <v>4.2798853129501655</v>
      </c>
      <c r="O14" s="529">
        <f>'DM ASIA OTHER'!G42</f>
        <v>4.0773979497299528</v>
      </c>
      <c r="P14" s="286">
        <f>'DM ASIA OTHER'!H42</f>
        <v>-2.776838011546956E-2</v>
      </c>
      <c r="S14" s="88"/>
      <c r="T14" s="42"/>
      <c r="U14" s="42"/>
      <c r="V14" s="42"/>
      <c r="W14" s="42"/>
      <c r="X14" s="42"/>
      <c r="Y14" s="42"/>
      <c r="Z14" s="42"/>
      <c r="AA14" s="42"/>
    </row>
    <row r="15" spans="2:44">
      <c r="B15" s="5" t="s">
        <v>531</v>
      </c>
      <c r="C15" s="274"/>
      <c r="D15" s="533">
        <v>0</v>
      </c>
      <c r="E15" s="533">
        <v>0</v>
      </c>
      <c r="F15" s="533">
        <v>0</v>
      </c>
      <c r="G15" s="533">
        <v>0</v>
      </c>
      <c r="H15" s="247"/>
      <c r="I15" s="247"/>
      <c r="J15" s="5" t="s">
        <v>475</v>
      </c>
      <c r="L15" s="529">
        <f>'DM ASIA OTHER'!D43</f>
        <v>10.544407216099238</v>
      </c>
      <c r="M15" s="529">
        <f>'DM ASIA OTHER'!E43</f>
        <v>7.0257134327626716</v>
      </c>
      <c r="N15" s="529">
        <f>'DM ASIA OTHER'!F43</f>
        <v>6.3693466797417377</v>
      </c>
      <c r="O15" s="529">
        <f>'DM ASIA OTHER'!G43</f>
        <v>5.9902141583935169</v>
      </c>
      <c r="P15" s="286">
        <f>'DM ASIA OTHER'!H43</f>
        <v>0.17983109862883917</v>
      </c>
      <c r="S15" s="88"/>
      <c r="T15" s="42"/>
      <c r="U15" s="42"/>
      <c r="V15" s="42"/>
      <c r="W15" s="42"/>
      <c r="X15" s="42"/>
      <c r="Y15" s="42"/>
      <c r="Z15" s="42"/>
      <c r="AA15" s="42"/>
    </row>
    <row r="16" spans="2:44">
      <c r="B16" s="5" t="s">
        <v>534</v>
      </c>
      <c r="C16" s="257"/>
      <c r="D16" s="533">
        <v>0</v>
      </c>
      <c r="E16" s="533">
        <v>5.4057817500000001</v>
      </c>
      <c r="F16" s="533">
        <v>10.899564500000002</v>
      </c>
      <c r="G16" s="533">
        <v>12.086322050000001</v>
      </c>
      <c r="H16" s="247"/>
      <c r="I16" s="247"/>
      <c r="J16" s="5" t="s">
        <v>533</v>
      </c>
      <c r="L16" s="529">
        <f>'DM ASIA OTHER'!D44</f>
        <v>23.939959255329136</v>
      </c>
      <c r="M16" s="529">
        <f>'DM ASIA OTHER'!E44</f>
        <v>19.092338414310159</v>
      </c>
      <c r="N16" s="529">
        <f>'DM ASIA OTHER'!F44</f>
        <v>16.97809271236245</v>
      </c>
      <c r="O16" s="529">
        <f>'DM ASIA OTHER'!G44</f>
        <v>15.388231404346129</v>
      </c>
      <c r="P16" s="286">
        <f>'DM ASIA OTHER'!H44</f>
        <v>0.14585153350726876</v>
      </c>
      <c r="S16" s="88"/>
      <c r="T16" s="42"/>
      <c r="U16" s="42"/>
      <c r="V16" s="42"/>
      <c r="W16" s="42"/>
      <c r="X16" s="42"/>
      <c r="Y16" s="42"/>
      <c r="Z16" s="42"/>
      <c r="AA16" s="42"/>
    </row>
    <row r="17" spans="2:27">
      <c r="B17" s="5" t="s">
        <v>6</v>
      </c>
      <c r="C17" s="257"/>
      <c r="D17" s="533">
        <v>0</v>
      </c>
      <c r="E17" s="533">
        <v>0</v>
      </c>
      <c r="F17" s="533">
        <v>0</v>
      </c>
      <c r="G17" s="533">
        <v>0</v>
      </c>
      <c r="H17" s="247"/>
      <c r="I17" s="247"/>
      <c r="J17" s="5" t="s">
        <v>580</v>
      </c>
      <c r="L17" s="248">
        <f>'DM ASIA OTHER'!D45</f>
        <v>3.7986924913411727E-2</v>
      </c>
      <c r="M17" s="248">
        <f>'DM ASIA OTHER'!E45</f>
        <v>3.9710475797061488E-2</v>
      </c>
      <c r="N17" s="248">
        <f>'DM ASIA OTHER'!F45</f>
        <v>4.2651580040166739E-2</v>
      </c>
      <c r="O17" s="248">
        <f>'DM ASIA OTHER'!G45</f>
        <v>4.435877655873157E-2</v>
      </c>
      <c r="P17" s="286">
        <f>'DM ASIA OTHER'!H45</f>
        <v>4.1354483578221801E-2</v>
      </c>
      <c r="S17" s="88"/>
      <c r="T17" s="42"/>
      <c r="U17" s="42"/>
      <c r="V17" s="42"/>
      <c r="W17" s="42"/>
      <c r="X17" s="42"/>
      <c r="Y17" s="42"/>
      <c r="Z17" s="42"/>
      <c r="AA17" s="42"/>
    </row>
    <row r="18" spans="2:27" ht="12.6" thickBot="1">
      <c r="B18" s="41" t="s">
        <v>583</v>
      </c>
      <c r="C18" s="249"/>
      <c r="D18" s="534">
        <f>D11+D12+D13-D14+D15-D16-D17</f>
        <v>1811.0003358763724</v>
      </c>
      <c r="E18" s="534">
        <f>E11+E12+E13-E14+E15-E16-E17</f>
        <v>1807.736362261684</v>
      </c>
      <c r="F18" s="534">
        <f>F11+F12+F13-F14+F15-F16-F17</f>
        <v>1808.9329271452068</v>
      </c>
      <c r="G18" s="534">
        <f>G11+G12+G13-G14+G15-G16-G17</f>
        <v>1806.027070726195</v>
      </c>
      <c r="H18" s="276">
        <f>IF(D18=0,"nm",IF(G18=0,"nm",(G18/D18)^(1/3)-1))</f>
        <v>-9.1622006567293468E-4</v>
      </c>
      <c r="I18" s="254"/>
      <c r="J18" s="5" t="s">
        <v>36</v>
      </c>
      <c r="L18" s="248">
        <f>'DM ASIA OTHER'!D46</f>
        <v>4.6986261175090624E-2</v>
      </c>
      <c r="M18" s="248">
        <f>'DM ASIA OTHER'!E46</f>
        <v>5.8582666975493018E-2</v>
      </c>
      <c r="N18" s="248">
        <f>'DM ASIA OTHER'!F46</f>
        <v>5.3715214121812398E-2</v>
      </c>
      <c r="O18" s="248">
        <f>'DM ASIA OTHER'!G46</f>
        <v>2.3993687474799737E-2</v>
      </c>
      <c r="P18" s="286">
        <f>'DM ASIA OTHER'!H46</f>
        <v>-0.20957836211079617</v>
      </c>
      <c r="S18" s="88"/>
      <c r="T18" s="42"/>
      <c r="U18" s="42"/>
      <c r="V18" s="42"/>
      <c r="W18" s="42"/>
      <c r="X18" s="42"/>
      <c r="Y18" s="42"/>
      <c r="Z18" s="42"/>
      <c r="AA18" s="42"/>
    </row>
    <row r="19" spans="2:27" ht="12.6" thickTop="1">
      <c r="B19" s="41"/>
      <c r="C19" s="249"/>
      <c r="D19" s="229"/>
      <c r="E19" s="229"/>
      <c r="F19" s="229"/>
      <c r="G19" s="229"/>
      <c r="H19" s="276"/>
      <c r="I19" s="254"/>
      <c r="J19" s="5" t="s">
        <v>581</v>
      </c>
      <c r="L19" s="248">
        <f>'DM ASIA OTHER'!D47</f>
        <v>9.4837005011831912E-2</v>
      </c>
      <c r="M19" s="248">
        <f>'DM ASIA OTHER'!E47</f>
        <v>0.1423342995085379</v>
      </c>
      <c r="N19" s="248">
        <f>'DM ASIA OTHER'!F47</f>
        <v>0.15700197371585803</v>
      </c>
      <c r="O19" s="248">
        <f>'DM ASIA OTHER'!G47</f>
        <v>0.16693893967026124</v>
      </c>
      <c r="P19" s="286">
        <f>'DM ASIA OTHER'!H47</f>
        <v>0.17983109862883917</v>
      </c>
      <c r="S19" s="88"/>
      <c r="T19" s="42"/>
      <c r="U19" s="42"/>
      <c r="V19" s="42"/>
      <c r="W19" s="42"/>
      <c r="X19" s="42"/>
      <c r="Y19" s="42"/>
      <c r="Z19" s="42"/>
      <c r="AA19" s="42"/>
    </row>
    <row r="20" spans="2:27">
      <c r="H20" s="277"/>
      <c r="I20" s="17"/>
      <c r="J20" s="5" t="s">
        <v>604</v>
      </c>
      <c r="L20" s="305">
        <f>'DM ASIA OTHER'!D48</f>
        <v>0.8133255445584151</v>
      </c>
      <c r="M20" s="305">
        <f>'DM ASIA OTHER'!E48</f>
        <v>0.57216139328324611</v>
      </c>
      <c r="N20" s="305">
        <f>'DM ASIA OTHER'!F48</f>
        <v>0.56427885109408016</v>
      </c>
      <c r="O20" s="305">
        <f>'DM ASIA OTHER'!G48</f>
        <v>0.55924314359302019</v>
      </c>
      <c r="P20" s="286" t="str">
        <f>'DM ASIA OTHER'!H48</f>
        <v>nm</v>
      </c>
      <c r="S20" s="88"/>
      <c r="T20" s="42"/>
      <c r="U20" s="42"/>
      <c r="V20" s="42"/>
      <c r="W20" s="42"/>
      <c r="X20" s="42"/>
      <c r="Y20" s="42"/>
      <c r="Z20" s="42"/>
      <c r="AA20" s="42"/>
    </row>
    <row r="21" spans="2:27" ht="12.6" thickBot="1">
      <c r="B21" s="306" t="s">
        <v>955</v>
      </c>
      <c r="C21" s="265"/>
      <c r="D21" s="265" t="str">
        <f>D5</f>
        <v>2023E</v>
      </c>
      <c r="E21" s="265" t="str">
        <f t="shared" ref="E21:H21" si="3">E5</f>
        <v>2024E</v>
      </c>
      <c r="F21" s="265" t="str">
        <f t="shared" si="3"/>
        <v>2025E</v>
      </c>
      <c r="G21" s="265" t="str">
        <f t="shared" si="3"/>
        <v>2026E</v>
      </c>
      <c r="H21" s="265" t="str">
        <f t="shared" si="3"/>
        <v>23E-26E</v>
      </c>
      <c r="I21" s="49"/>
      <c r="J21" s="41"/>
      <c r="L21" s="250"/>
      <c r="M21" s="250"/>
      <c r="N21" s="250"/>
      <c r="O21" s="250"/>
      <c r="P21" s="286"/>
      <c r="S21" s="88"/>
      <c r="T21" s="42"/>
      <c r="U21" s="42"/>
      <c r="V21" s="42"/>
      <c r="W21" s="42"/>
      <c r="X21" s="42"/>
      <c r="Y21" s="42"/>
      <c r="Z21" s="42"/>
      <c r="AA21" s="42"/>
    </row>
    <row r="22" spans="2:27" ht="12.6" thickTop="1">
      <c r="B22" s="5"/>
      <c r="C22" s="257"/>
      <c r="D22" s="17"/>
      <c r="E22" s="17"/>
      <c r="F22" s="17"/>
      <c r="G22" s="17"/>
      <c r="H22" s="17"/>
      <c r="I22" s="17"/>
      <c r="P22" s="277"/>
      <c r="S22" s="88"/>
      <c r="T22" s="42"/>
      <c r="U22" s="42"/>
      <c r="V22" s="42"/>
      <c r="W22" s="42"/>
      <c r="X22" s="42"/>
      <c r="Y22" s="42"/>
      <c r="Z22" s="42"/>
      <c r="AA22" s="42"/>
    </row>
    <row r="23" spans="2:27" ht="12.6" thickBot="1">
      <c r="B23" s="5" t="s">
        <v>584</v>
      </c>
      <c r="C23" s="548">
        <v>246.56599999999997</v>
      </c>
      <c r="D23" s="540">
        <v>265.34603199999998</v>
      </c>
      <c r="E23" s="540">
        <v>281.53687802399998</v>
      </c>
      <c r="F23" s="540">
        <v>292.98442339511996</v>
      </c>
      <c r="G23" s="540">
        <v>301.1650254549138</v>
      </c>
      <c r="H23" s="279">
        <f>IF(D23=0,"nm",IF(G23=0,"nm",(G23/D23)^(1/3)-1))</f>
        <v>4.311129002235381E-2</v>
      </c>
      <c r="I23" s="247"/>
      <c r="J23" s="306" t="s">
        <v>9</v>
      </c>
      <c r="K23" s="306"/>
      <c r="L23" s="265" t="str">
        <f>D21</f>
        <v>2023E</v>
      </c>
      <c r="M23" s="265" t="str">
        <f t="shared" ref="M23:P23" si="4">E21</f>
        <v>2024E</v>
      </c>
      <c r="N23" s="265" t="str">
        <f t="shared" si="4"/>
        <v>2025E</v>
      </c>
      <c r="O23" s="265" t="str">
        <f t="shared" si="4"/>
        <v>2026E</v>
      </c>
      <c r="P23" s="265" t="str">
        <f t="shared" si="4"/>
        <v>23E-26E</v>
      </c>
      <c r="S23" s="88"/>
      <c r="T23" s="42"/>
      <c r="U23" s="42"/>
      <c r="V23" s="42"/>
      <c r="W23" s="42"/>
      <c r="X23" s="42"/>
      <c r="Y23" s="42"/>
      <c r="Z23" s="42"/>
      <c r="AA23" s="42"/>
    </row>
    <row r="24" spans="2:27" ht="12.6" thickTop="1">
      <c r="B24" s="5" t="s">
        <v>483</v>
      </c>
      <c r="C24" s="549">
        <v>52.079999999999984</v>
      </c>
      <c r="D24" s="540">
        <v>58.233223727717046</v>
      </c>
      <c r="E24" s="540">
        <v>63.986022169851424</v>
      </c>
      <c r="F24" s="540">
        <v>70.206612928621666</v>
      </c>
      <c r="G24" s="540">
        <v>72.891551181149168</v>
      </c>
      <c r="H24" s="279">
        <f>IF(D24=0,"nm",IF(G24=0,"nm",(G24/D24)^(1/3)-1))</f>
        <v>7.7710514142747211E-2</v>
      </c>
      <c r="I24" s="249"/>
      <c r="J24" s="17"/>
      <c r="K24" s="17"/>
      <c r="L24" s="17"/>
      <c r="M24" s="17"/>
      <c r="N24" s="17"/>
      <c r="O24" s="248"/>
      <c r="S24" s="88"/>
      <c r="T24" s="42"/>
      <c r="U24" s="42"/>
      <c r="V24" s="42"/>
      <c r="W24" s="42" t="s">
        <v>306</v>
      </c>
      <c r="X24" s="42" t="s">
        <v>259</v>
      </c>
      <c r="Y24" s="42"/>
      <c r="Z24" s="42"/>
      <c r="AA24" s="42"/>
    </row>
    <row r="25" spans="2:27">
      <c r="B25" s="5" t="s">
        <v>183</v>
      </c>
      <c r="C25" s="548">
        <v>5.9919999999999902</v>
      </c>
      <c r="D25" s="540">
        <v>4.7332237277170464</v>
      </c>
      <c r="E25" s="540">
        <v>19.986022169851424</v>
      </c>
      <c r="F25" s="540">
        <v>28.206612928621666</v>
      </c>
      <c r="G25" s="540">
        <v>37.066676524145912</v>
      </c>
      <c r="H25" s="279">
        <f>IF(D25=0,"nm",IF(G25=0,"nm",(G25/D25)^(1/3)-1))</f>
        <v>0.98583062966591317</v>
      </c>
      <c r="I25" s="248"/>
      <c r="J25" s="247" t="s">
        <v>10</v>
      </c>
      <c r="K25" s="247"/>
      <c r="L25" s="321">
        <v>11.002714123627513</v>
      </c>
      <c r="M25" s="321">
        <v>24.975562264688541</v>
      </c>
      <c r="N25" s="321">
        <v>31.632586766477182</v>
      </c>
      <c r="O25" s="321">
        <v>40.480034269011711</v>
      </c>
      <c r="P25" s="279">
        <f>IF(L25=0,"nm",IF(O25=0,"nm",(O25/L25)^(1/3)-1))</f>
        <v>0.5437620034685513</v>
      </c>
      <c r="S25" s="88"/>
      <c r="T25" s="42"/>
      <c r="U25" s="42"/>
      <c r="V25" s="147" t="s">
        <v>273</v>
      </c>
      <c r="W25" s="288">
        <f>D37/L9</f>
        <v>3.7158152231575881</v>
      </c>
      <c r="X25" s="288">
        <v>1</v>
      </c>
      <c r="Y25" s="42"/>
      <c r="Z25" s="42"/>
      <c r="AA25" s="42"/>
    </row>
    <row r="26" spans="2:27">
      <c r="B26" s="5" t="s">
        <v>586</v>
      </c>
      <c r="C26" s="548">
        <v>5.8122399999999903</v>
      </c>
      <c r="D26" s="540">
        <v>4.5912270158855346</v>
      </c>
      <c r="E26" s="540">
        <v>19.386441504755879</v>
      </c>
      <c r="F26" s="540">
        <v>27.360414540763017</v>
      </c>
      <c r="G26" s="540">
        <v>35.954676228421533</v>
      </c>
      <c r="H26" s="279">
        <f>IF(D26=0,"nm",IF(G26=0,"nm",(G26/D26)^(1/3)-1))</f>
        <v>0.98583062966591317</v>
      </c>
      <c r="I26" s="249"/>
      <c r="J26" s="249" t="s">
        <v>11</v>
      </c>
      <c r="K26" s="249"/>
      <c r="L26" s="281">
        <f>D11+L25</f>
        <v>1838.2977641236275</v>
      </c>
      <c r="M26" s="281">
        <f>E11+M25</f>
        <v>1867.2659826646886</v>
      </c>
      <c r="N26" s="281">
        <f>F11+N25</f>
        <v>1888.9183775664774</v>
      </c>
      <c r="O26" s="281">
        <f>G11+O25</f>
        <v>1912.7611954690117</v>
      </c>
      <c r="P26" s="279">
        <f>IF(L26=0,"nm",IF(O26=0,"nm",(O26/L26)^(1/3)-1))</f>
        <v>1.3323927855290574E-2</v>
      </c>
      <c r="Q26" s="5"/>
      <c r="S26" s="88"/>
      <c r="T26" s="42"/>
      <c r="U26" s="42"/>
      <c r="V26" s="147" t="s">
        <v>184</v>
      </c>
      <c r="W26" s="288">
        <f t="shared" ref="W26:W33" si="5">D38/L10</f>
        <v>4.2451173862259131</v>
      </c>
      <c r="X26" s="288">
        <v>1</v>
      </c>
      <c r="Y26" s="42"/>
      <c r="Z26" s="42"/>
      <c r="AA26" s="42"/>
    </row>
    <row r="27" spans="2:27">
      <c r="B27" s="5" t="s">
        <v>587</v>
      </c>
      <c r="C27" s="549">
        <v>89.646999999999991</v>
      </c>
      <c r="D27" s="540">
        <v>107.77110235510918</v>
      </c>
      <c r="E27" s="540">
        <v>114.37387590018417</v>
      </c>
      <c r="F27" s="540">
        <v>117.9615295228611</v>
      </c>
      <c r="G27" s="540">
        <v>114.83528826570389</v>
      </c>
      <c r="H27" s="279">
        <f>IF(ISERROR((G27/D27)^(1/3)-1),"na",(G27/D27)^(1/3)-1)</f>
        <v>2.1388616458056786E-2</v>
      </c>
      <c r="I27" s="249"/>
      <c r="J27" s="248"/>
      <c r="K27" s="248"/>
      <c r="L27" s="248"/>
      <c r="M27" s="248"/>
      <c r="N27" s="248"/>
      <c r="O27" s="248"/>
      <c r="Q27" s="41"/>
      <c r="S27" s="88"/>
      <c r="T27" s="42"/>
      <c r="U27" s="42"/>
      <c r="V27" s="147" t="s">
        <v>185</v>
      </c>
      <c r="W27" s="288">
        <f t="shared" si="5"/>
        <v>27.183170501160291</v>
      </c>
      <c r="X27" s="288">
        <v>1</v>
      </c>
      <c r="Y27" s="42"/>
      <c r="Z27" s="42"/>
      <c r="AA27" s="42"/>
    </row>
    <row r="28" spans="2:27" ht="12.6" thickBot="1">
      <c r="B28" s="5" t="s">
        <v>592</v>
      </c>
      <c r="C28" s="548">
        <v>80.73</v>
      </c>
      <c r="D28" s="540">
        <v>98.635857262758663</v>
      </c>
      <c r="E28" s="540">
        <v>103.88566131258014</v>
      </c>
      <c r="F28" s="540">
        <v>105.99137926220789</v>
      </c>
      <c r="G28" s="540">
        <v>101.94743528223646</v>
      </c>
      <c r="H28" s="279">
        <f>IF(ISERROR((G28/D28)^(1/3)-1),"na",(G28/D28)^(1/3)-1)</f>
        <v>1.1068298910270391E-2</v>
      </c>
      <c r="I28" s="248"/>
      <c r="J28" s="306" t="s">
        <v>1362</v>
      </c>
      <c r="K28" s="306"/>
      <c r="L28" s="306"/>
      <c r="M28" s="306"/>
      <c r="N28" s="266"/>
      <c r="O28" s="266"/>
      <c r="P28" s="266"/>
      <c r="Q28" s="5"/>
      <c r="S28" s="88"/>
      <c r="T28" s="42"/>
      <c r="U28" s="42"/>
      <c r="V28" s="147" t="s">
        <v>466</v>
      </c>
      <c r="W28" s="288">
        <f t="shared" si="5"/>
        <v>20.363495951665271</v>
      </c>
      <c r="X28" s="288">
        <v>1</v>
      </c>
      <c r="Y28" s="42"/>
      <c r="Z28" s="42"/>
      <c r="AA28" s="42"/>
    </row>
    <row r="29" spans="2:27" ht="12.6" thickTop="1">
      <c r="B29" s="5" t="s">
        <v>588</v>
      </c>
      <c r="C29" s="548">
        <v>4.23528407249675</v>
      </c>
      <c r="D29" s="540">
        <v>11.002714123627513</v>
      </c>
      <c r="E29" s="540">
        <v>24.975562264688541</v>
      </c>
      <c r="F29" s="540">
        <v>31.632586766477182</v>
      </c>
      <c r="G29" s="540">
        <v>40.480034269011711</v>
      </c>
      <c r="H29" s="279">
        <f>IF(D29=0,"nm",IF(G29=0,"nm",(G29/D29)^(1/3)-1))</f>
        <v>0.5437620034685513</v>
      </c>
      <c r="I29" s="252"/>
      <c r="J29" s="249"/>
      <c r="K29" s="249"/>
      <c r="L29" s="249"/>
      <c r="M29" s="249"/>
      <c r="N29" s="249"/>
      <c r="O29" s="251"/>
      <c r="Q29" s="5"/>
      <c r="S29" s="88"/>
      <c r="T29" s="42"/>
      <c r="U29" s="42"/>
      <c r="V29" s="147" t="s">
        <v>530</v>
      </c>
      <c r="W29" s="288">
        <f t="shared" si="5"/>
        <v>9.3791597655404022</v>
      </c>
      <c r="X29" s="288">
        <v>1</v>
      </c>
      <c r="Y29" s="42"/>
      <c r="Z29" s="42"/>
      <c r="AA29" s="42"/>
    </row>
    <row r="30" spans="2:27">
      <c r="B30" s="5" t="s">
        <v>589</v>
      </c>
      <c r="C30" s="549">
        <v>16.478999999999985</v>
      </c>
      <c r="D30" s="540">
        <v>17.354816478736662</v>
      </c>
      <c r="E30" s="540">
        <v>19.456335809763523</v>
      </c>
      <c r="F30" s="540">
        <v>22.748240389154127</v>
      </c>
      <c r="G30" s="540">
        <v>24.531793011854511</v>
      </c>
      <c r="H30" s="279">
        <f>IF(D30=0,"nm",IF(G30=0,"nm",(G30/D30)^(1/3)-1))</f>
        <v>0.12228482003063212</v>
      </c>
      <c r="I30" s="254"/>
      <c r="J30" s="248"/>
      <c r="K30" s="248"/>
      <c r="L30" s="248"/>
      <c r="M30" s="248"/>
      <c r="N30" s="248"/>
      <c r="O30" s="5"/>
      <c r="Q30" s="5"/>
      <c r="S30" s="88"/>
      <c r="T30" s="42"/>
      <c r="U30" s="42"/>
      <c r="V30" s="147" t="s">
        <v>593</v>
      </c>
      <c r="W30" s="288">
        <f t="shared" si="5"/>
        <v>4.025665310494559</v>
      </c>
      <c r="X30" s="288">
        <v>1</v>
      </c>
      <c r="Y30" s="42"/>
      <c r="Z30" s="42"/>
      <c r="AA30" s="42"/>
    </row>
    <row r="31" spans="2:27">
      <c r="B31" s="5" t="s">
        <v>590</v>
      </c>
      <c r="C31" s="549">
        <v>0</v>
      </c>
      <c r="D31" s="540">
        <v>0</v>
      </c>
      <c r="E31" s="540">
        <v>5.4057817500000001</v>
      </c>
      <c r="F31" s="540">
        <v>10.899564500000002</v>
      </c>
      <c r="G31" s="540">
        <v>12.086322050000001</v>
      </c>
      <c r="H31" s="279" t="str">
        <f>IF(D31=0,"nm",IF(G31=0,"nm",(G31/D31)^(1/3)-1))</f>
        <v>nm</v>
      </c>
      <c r="I31" s="254"/>
      <c r="J31" s="252"/>
      <c r="K31" s="252"/>
      <c r="L31" s="252"/>
      <c r="M31" s="252"/>
      <c r="N31" s="252"/>
      <c r="O31" s="5"/>
      <c r="Q31" s="5"/>
      <c r="S31" s="88"/>
      <c r="T31" s="42"/>
      <c r="U31" s="42"/>
      <c r="V31" s="147" t="s">
        <v>475</v>
      </c>
      <c r="W31" s="288">
        <f t="shared" si="5"/>
        <v>15.845058983678628</v>
      </c>
      <c r="X31" s="288">
        <v>1</v>
      </c>
      <c r="Y31" s="42"/>
      <c r="Z31" s="42"/>
      <c r="AA31" s="42"/>
    </row>
    <row r="32" spans="2:27">
      <c r="B32" s="5" t="s">
        <v>606</v>
      </c>
      <c r="C32" s="550">
        <v>0</v>
      </c>
      <c r="D32" s="540">
        <v>0</v>
      </c>
      <c r="E32" s="540">
        <v>0</v>
      </c>
      <c r="F32" s="540">
        <v>0</v>
      </c>
      <c r="G32" s="540">
        <v>0</v>
      </c>
      <c r="H32" s="279" t="str">
        <f>IF(D32=0,"nm",IF(G32=0,"nm",(G32/D32)^(1/3)-1))</f>
        <v>nm</v>
      </c>
      <c r="I32" s="254"/>
      <c r="J32" s="254"/>
      <c r="K32" s="254"/>
      <c r="L32" s="254"/>
      <c r="M32" s="254"/>
      <c r="N32" s="254"/>
      <c r="O32" s="251"/>
      <c r="Q32" s="5"/>
      <c r="S32" s="88"/>
      <c r="T32" s="42"/>
      <c r="U32" s="42"/>
      <c r="V32" s="147" t="s">
        <v>533</v>
      </c>
      <c r="W32" s="288">
        <f t="shared" si="5"/>
        <v>4.3981014743326217</v>
      </c>
      <c r="X32" s="288">
        <v>1</v>
      </c>
      <c r="Y32" s="42"/>
      <c r="Z32" s="42"/>
      <c r="AA32" s="42"/>
    </row>
    <row r="33" spans="2:27">
      <c r="B33" s="5" t="s">
        <v>5</v>
      </c>
      <c r="C33" s="549">
        <v>-0.124</v>
      </c>
      <c r="D33" s="540">
        <v>-0.20280964407279367</v>
      </c>
      <c r="E33" s="540">
        <v>-0.11217757116042326</v>
      </c>
      <c r="F33" s="540">
        <v>4.6511816573319542E-2</v>
      </c>
      <c r="G33" s="540">
        <v>0.23415800683948579</v>
      </c>
      <c r="H33" s="279">
        <f>IF(ISERROR((G33/D33)^(1/3)-1),"na",(G33/D33)^(1/3)-1)</f>
        <v>-2.0490756415571165</v>
      </c>
      <c r="I33" s="5"/>
      <c r="J33" s="254"/>
      <c r="K33" s="254"/>
      <c r="L33" s="254"/>
      <c r="M33" s="254"/>
      <c r="N33" s="254"/>
      <c r="O33" s="251"/>
      <c r="Q33" s="5"/>
      <c r="S33" s="88"/>
      <c r="T33" s="42"/>
      <c r="U33" s="42"/>
      <c r="V33" s="147" t="s">
        <v>580</v>
      </c>
      <c r="W33" s="288">
        <f t="shared" si="5"/>
        <v>0</v>
      </c>
      <c r="X33" s="288">
        <v>1</v>
      </c>
      <c r="Y33" s="42"/>
      <c r="Z33" s="42"/>
      <c r="AA33" s="42"/>
    </row>
    <row r="34" spans="2:27">
      <c r="D34" s="5"/>
      <c r="E34" s="5"/>
      <c r="F34" s="5"/>
      <c r="G34" s="5"/>
      <c r="I34" s="49"/>
      <c r="J34" s="254"/>
      <c r="K34" s="254"/>
      <c r="L34" s="254"/>
      <c r="M34" s="254"/>
      <c r="N34" s="254"/>
      <c r="O34" s="251"/>
      <c r="Q34" s="5"/>
      <c r="S34" s="88"/>
      <c r="T34" s="42"/>
      <c r="U34" s="42"/>
      <c r="V34" s="147" t="s">
        <v>581</v>
      </c>
      <c r="W34" s="288">
        <f>D47/L19</f>
        <v>6.3111156672250993E-2</v>
      </c>
      <c r="X34" s="288">
        <v>1</v>
      </c>
      <c r="Y34" s="288"/>
      <c r="Z34" s="288"/>
      <c r="AA34" s="42"/>
    </row>
    <row r="35" spans="2:27" ht="12.6" thickBot="1">
      <c r="B35" s="306" t="s">
        <v>1064</v>
      </c>
      <c r="C35" s="265"/>
      <c r="D35" s="265" t="str">
        <f>D5</f>
        <v>2023E</v>
      </c>
      <c r="E35" s="265" t="str">
        <f t="shared" ref="E35:H35" si="6">E5</f>
        <v>2024E</v>
      </c>
      <c r="F35" s="265" t="str">
        <f t="shared" si="6"/>
        <v>2025E</v>
      </c>
      <c r="G35" s="265" t="str">
        <f t="shared" si="6"/>
        <v>2026E</v>
      </c>
      <c r="H35" s="265" t="str">
        <f t="shared" si="6"/>
        <v>23E-26E</v>
      </c>
      <c r="I35" s="254"/>
      <c r="J35" s="5"/>
      <c r="K35" s="5"/>
      <c r="L35" s="5"/>
      <c r="M35" s="5"/>
      <c r="N35" s="5"/>
      <c r="O35" s="5"/>
      <c r="Q35" s="5"/>
      <c r="S35" s="88"/>
      <c r="T35" s="42"/>
      <c r="U35" s="42"/>
      <c r="V35" s="42"/>
      <c r="W35" s="42"/>
      <c r="X35" s="42"/>
      <c r="Y35" s="288"/>
      <c r="Z35" s="288"/>
      <c r="AA35" s="42"/>
    </row>
    <row r="36" spans="2:27" ht="12.6" thickTop="1">
      <c r="B36" s="41"/>
      <c r="C36" s="249"/>
      <c r="D36" s="254"/>
      <c r="E36" s="254"/>
      <c r="F36" s="254"/>
      <c r="G36" s="254"/>
      <c r="H36" s="254"/>
      <c r="I36" s="17"/>
      <c r="J36" s="49"/>
      <c r="K36" s="49"/>
      <c r="L36" s="49"/>
      <c r="M36" s="49"/>
      <c r="N36" s="49"/>
      <c r="O36" s="49"/>
      <c r="Q36" s="5"/>
      <c r="S36" s="88"/>
      <c r="T36" s="42"/>
      <c r="U36" s="42"/>
      <c r="V36" s="42"/>
      <c r="W36" s="42"/>
      <c r="X36" s="42"/>
      <c r="Y36" s="288"/>
      <c r="Z36" s="288"/>
      <c r="AA36" s="42"/>
    </row>
    <row r="37" spans="2:27">
      <c r="B37" s="5" t="s">
        <v>273</v>
      </c>
      <c r="C37" s="247"/>
      <c r="D37" s="529">
        <f>D$18/D23</f>
        <v>6.8250515081242016</v>
      </c>
      <c r="E37" s="529">
        <f t="shared" ref="E37:G40" si="7">E$18/E23</f>
        <v>6.4209576200087763</v>
      </c>
      <c r="F37" s="529">
        <f t="shared" si="7"/>
        <v>6.1741607495142246</v>
      </c>
      <c r="G37" s="529">
        <f t="shared" si="7"/>
        <v>5.9968021452629401</v>
      </c>
      <c r="H37" s="17">
        <f t="shared" ref="H37:H45" si="8">H23</f>
        <v>4.311129002235381E-2</v>
      </c>
      <c r="I37" s="5"/>
      <c r="J37" s="259"/>
      <c r="K37" s="259"/>
      <c r="L37" s="259"/>
      <c r="M37" s="259"/>
      <c r="N37" s="259"/>
      <c r="O37" s="18"/>
      <c r="Q37" s="5"/>
      <c r="R37" s="5"/>
      <c r="S37" s="42"/>
      <c r="T37" s="42"/>
      <c r="U37" s="42"/>
      <c r="V37" s="42"/>
      <c r="W37" s="42"/>
      <c r="X37" s="42"/>
      <c r="Y37" s="42"/>
      <c r="Z37" s="42"/>
      <c r="AA37" s="42"/>
    </row>
    <row r="38" spans="2:27">
      <c r="B38" s="5" t="s">
        <v>184</v>
      </c>
      <c r="C38" s="247"/>
      <c r="D38" s="529">
        <f>D$18/D24</f>
        <v>31.099091205119002</v>
      </c>
      <c r="E38" s="529">
        <f t="shared" si="7"/>
        <v>28.252051009875764</v>
      </c>
      <c r="F38" s="529">
        <f t="shared" si="7"/>
        <v>25.765848140036752</v>
      </c>
      <c r="G38" s="529">
        <f t="shared" si="7"/>
        <v>24.776905436377383</v>
      </c>
      <c r="H38" s="17">
        <f t="shared" si="8"/>
        <v>7.7710514142747211E-2</v>
      </c>
      <c r="I38" s="259"/>
      <c r="J38" s="17"/>
      <c r="K38" s="17"/>
      <c r="L38" s="17"/>
      <c r="M38" s="17"/>
      <c r="N38" s="17"/>
      <c r="O38" s="5"/>
      <c r="Q38" s="5"/>
      <c r="R38" s="5"/>
      <c r="S38" s="42"/>
      <c r="T38" s="42"/>
      <c r="U38" s="42"/>
      <c r="V38" s="42"/>
      <c r="W38" s="42"/>
      <c r="X38" s="42"/>
      <c r="Y38" s="42"/>
      <c r="Z38" s="42"/>
      <c r="AA38" s="42"/>
    </row>
    <row r="39" spans="2:27">
      <c r="B39" s="5" t="s">
        <v>185</v>
      </c>
      <c r="C39" s="247"/>
      <c r="D39" s="529">
        <f>D$18/D25</f>
        <v>382.61456462990049</v>
      </c>
      <c r="E39" s="529">
        <f t="shared" si="7"/>
        <v>90.450032872905737</v>
      </c>
      <c r="F39" s="529">
        <f t="shared" si="7"/>
        <v>64.131518793937005</v>
      </c>
      <c r="G39" s="529">
        <f t="shared" si="7"/>
        <v>48.723738950529217</v>
      </c>
      <c r="H39" s="17">
        <f t="shared" si="8"/>
        <v>0.98583062966591317</v>
      </c>
      <c r="I39" s="17"/>
      <c r="J39" s="5"/>
      <c r="K39" s="5"/>
      <c r="L39" s="5"/>
      <c r="M39" s="5"/>
      <c r="N39" s="5"/>
      <c r="O39" s="5"/>
      <c r="Q39" s="5"/>
      <c r="R39" s="5"/>
      <c r="S39" s="42"/>
      <c r="T39" s="42"/>
      <c r="U39" s="42"/>
      <c r="V39" s="42"/>
      <c r="W39" s="42"/>
      <c r="X39" s="42"/>
      <c r="Y39" s="42"/>
      <c r="Z39" s="42"/>
      <c r="AA39" s="42"/>
    </row>
    <row r="40" spans="2:27">
      <c r="B40" s="5" t="s">
        <v>466</v>
      </c>
      <c r="C40" s="247"/>
      <c r="D40" s="529">
        <f>D$18/D26</f>
        <v>394.44800477309332</v>
      </c>
      <c r="E40" s="529">
        <f t="shared" si="7"/>
        <v>93.247456570005923</v>
      </c>
      <c r="F40" s="529">
        <f t="shared" si="7"/>
        <v>66.114967828801028</v>
      </c>
      <c r="G40" s="529">
        <f t="shared" si="7"/>
        <v>50.230658711885788</v>
      </c>
      <c r="H40" s="17">
        <f t="shared" si="8"/>
        <v>0.98583062966591317</v>
      </c>
      <c r="I40" s="5"/>
      <c r="J40" s="259"/>
      <c r="K40" s="259"/>
      <c r="L40" s="259"/>
      <c r="M40" s="259"/>
      <c r="N40" s="259"/>
      <c r="O40" s="18"/>
      <c r="Q40" s="5"/>
      <c r="R40" s="5"/>
      <c r="S40" s="42"/>
      <c r="T40" s="42"/>
      <c r="U40" s="42"/>
      <c r="V40" s="42"/>
      <c r="W40" s="288"/>
      <c r="X40" s="288"/>
      <c r="Y40" s="42"/>
      <c r="Z40" s="42"/>
      <c r="AA40" s="42"/>
    </row>
    <row r="41" spans="2:27">
      <c r="B41" s="5" t="s">
        <v>530</v>
      </c>
      <c r="C41" s="247"/>
      <c r="D41" s="529">
        <f>D18/D27</f>
        <v>16.804136696208872</v>
      </c>
      <c r="E41" s="529">
        <f t="shared" ref="E41:G41" si="9">E18/E27</f>
        <v>15.805500583361564</v>
      </c>
      <c r="F41" s="529">
        <f t="shared" si="9"/>
        <v>15.33493957277515</v>
      </c>
      <c r="G41" s="529">
        <f t="shared" si="9"/>
        <v>15.727108783385827</v>
      </c>
      <c r="H41" s="17">
        <f t="shared" si="8"/>
        <v>2.1388616458056786E-2</v>
      </c>
      <c r="I41" s="247"/>
      <c r="J41" s="17"/>
      <c r="K41" s="17"/>
      <c r="L41" s="17"/>
      <c r="M41" s="17"/>
      <c r="N41" s="17"/>
      <c r="O41" s="5"/>
      <c r="Q41" s="5"/>
      <c r="R41" s="5"/>
      <c r="S41" s="42"/>
      <c r="T41" s="42"/>
      <c r="U41" s="42"/>
      <c r="V41" s="42"/>
      <c r="W41" s="288"/>
      <c r="X41" s="288"/>
      <c r="Y41" s="288"/>
      <c r="Z41" s="288"/>
      <c r="AA41" s="42"/>
    </row>
    <row r="42" spans="2:27">
      <c r="B42" s="5" t="s">
        <v>593</v>
      </c>
      <c r="C42" s="247"/>
      <c r="D42" s="529">
        <f>D18/D28</f>
        <v>18.360466326682808</v>
      </c>
      <c r="E42" s="529">
        <f t="shared" ref="E42:G42" si="10">E18/E28</f>
        <v>17.401211480210062</v>
      </c>
      <c r="F42" s="529">
        <f t="shared" si="10"/>
        <v>17.066792976343475</v>
      </c>
      <c r="G42" s="529">
        <f t="shared" si="10"/>
        <v>17.715277149702668</v>
      </c>
      <c r="H42" s="17">
        <f t="shared" si="8"/>
        <v>1.1068298910270391E-2</v>
      </c>
      <c r="I42" s="248"/>
      <c r="J42" s="5"/>
      <c r="K42" s="5"/>
      <c r="L42" s="5"/>
      <c r="M42" s="5"/>
      <c r="N42" s="5"/>
      <c r="O42" s="5"/>
      <c r="Q42" s="5"/>
      <c r="R42" s="5"/>
      <c r="S42" s="42"/>
      <c r="T42" s="42"/>
      <c r="U42" s="42"/>
      <c r="V42" s="42"/>
      <c r="W42" s="288"/>
      <c r="X42" s="288"/>
      <c r="Y42" s="288"/>
      <c r="Z42" s="288"/>
      <c r="AA42" s="42"/>
    </row>
    <row r="43" spans="2:27">
      <c r="B43" s="5" t="s">
        <v>475</v>
      </c>
      <c r="C43" s="247"/>
      <c r="D43" s="529">
        <f>L26/D29</f>
        <v>167.07675428701899</v>
      </c>
      <c r="E43" s="529">
        <f>M26/E29</f>
        <v>74.763721548111235</v>
      </c>
      <c r="F43" s="529">
        <f>N26/F29</f>
        <v>59.714319018900774</v>
      </c>
      <c r="G43" s="529">
        <f>O26/G29</f>
        <v>47.251965814991152</v>
      </c>
      <c r="H43" s="17">
        <f t="shared" si="8"/>
        <v>0.5437620034685513</v>
      </c>
      <c r="I43" s="247"/>
      <c r="J43" s="247"/>
      <c r="K43" s="247"/>
      <c r="L43" s="247"/>
      <c r="M43" s="247"/>
      <c r="N43" s="247"/>
      <c r="O43" s="18"/>
      <c r="Q43" s="5"/>
      <c r="R43" s="5"/>
      <c r="S43" s="42"/>
      <c r="T43" s="42"/>
      <c r="U43" s="42"/>
      <c r="V43" s="42"/>
      <c r="W43" s="288"/>
      <c r="X43" s="288"/>
      <c r="Y43" s="288"/>
      <c r="Z43" s="288"/>
      <c r="AA43" s="42"/>
    </row>
    <row r="44" spans="2:27">
      <c r="B44" s="5" t="s">
        <v>533</v>
      </c>
      <c r="C44" s="69"/>
      <c r="D44" s="529">
        <f>D11/D30</f>
        <v>105.29037009632597</v>
      </c>
      <c r="E44" s="529">
        <f>E11/E30</f>
        <v>94.688457190151254</v>
      </c>
      <c r="F44" s="529">
        <f>F11/F30</f>
        <v>81.645250754669974</v>
      </c>
      <c r="G44" s="529">
        <f>G11/G30</f>
        <v>76.3205999779656</v>
      </c>
      <c r="H44" s="17">
        <f t="shared" si="8"/>
        <v>0.12228482003063212</v>
      </c>
      <c r="I44" s="247"/>
      <c r="J44" s="248"/>
      <c r="K44" s="248"/>
      <c r="L44" s="248"/>
      <c r="M44" s="248"/>
      <c r="N44" s="248"/>
      <c r="O44" s="248"/>
      <c r="Q44" s="5"/>
      <c r="R44" s="5"/>
      <c r="S44" s="42"/>
      <c r="T44" s="42"/>
      <c r="U44" s="42"/>
      <c r="V44" s="42"/>
      <c r="W44" s="325"/>
      <c r="X44" s="325"/>
      <c r="Y44" s="288"/>
      <c r="Z44" s="288"/>
      <c r="AA44" s="42"/>
    </row>
    <row r="45" spans="2:27">
      <c r="B45" s="5" t="s">
        <v>580</v>
      </c>
      <c r="C45" s="247"/>
      <c r="D45" s="248">
        <f>D31/D11</f>
        <v>0</v>
      </c>
      <c r="E45" s="248">
        <f>E31/E11</f>
        <v>2.9342723004694834E-3</v>
      </c>
      <c r="F45" s="248">
        <f>F31/F11</f>
        <v>5.8685446009389677E-3</v>
      </c>
      <c r="G45" s="248">
        <f>G31/G11</f>
        <v>6.4553990610328642E-3</v>
      </c>
      <c r="H45" s="17" t="str">
        <f t="shared" si="8"/>
        <v>nm</v>
      </c>
      <c r="I45" s="248"/>
      <c r="J45" s="247"/>
      <c r="K45" s="247"/>
      <c r="L45" s="247"/>
      <c r="M45" s="247"/>
      <c r="N45" s="247"/>
      <c r="O45" s="248"/>
      <c r="Q45" s="5"/>
      <c r="R45" s="5"/>
      <c r="S45" s="42"/>
      <c r="T45" s="42"/>
      <c r="U45" s="42"/>
      <c r="V45" s="42"/>
      <c r="W45" s="42"/>
      <c r="X45" s="42"/>
      <c r="Y45" s="325"/>
      <c r="Z45" s="325"/>
      <c r="AA45" s="42"/>
    </row>
    <row r="46" spans="2:27">
      <c r="B46" s="5" t="s">
        <v>605</v>
      </c>
      <c r="C46" s="247"/>
      <c r="D46" s="248">
        <f>(D31+D32)/D11</f>
        <v>0</v>
      </c>
      <c r="E46" s="248">
        <f>(E31+E32)/E11</f>
        <v>2.9342723004694834E-3</v>
      </c>
      <c r="F46" s="248">
        <f>(F31+F32)/F11</f>
        <v>5.8685446009389677E-3</v>
      </c>
      <c r="G46" s="248">
        <f>(G31+G32)/G11</f>
        <v>6.4553990610328642E-3</v>
      </c>
      <c r="H46" s="279" t="e">
        <f>((G31+G32)/(D31+D32))^(1/3)-1</f>
        <v>#DIV/0!</v>
      </c>
      <c r="I46" s="247"/>
      <c r="J46" s="247"/>
      <c r="K46" s="247"/>
      <c r="L46" s="247"/>
      <c r="M46" s="247"/>
      <c r="N46" s="247"/>
      <c r="O46" s="18"/>
      <c r="Q46" s="5"/>
      <c r="R46" s="5"/>
      <c r="S46" s="42"/>
      <c r="T46" s="42"/>
      <c r="U46" s="42"/>
      <c r="V46" s="42"/>
      <c r="W46" s="42"/>
      <c r="X46" s="42"/>
      <c r="Y46" s="42"/>
      <c r="Z46" s="42"/>
      <c r="AA46" s="326"/>
    </row>
    <row r="47" spans="2:27">
      <c r="B47" s="5" t="s">
        <v>581</v>
      </c>
      <c r="C47" s="5"/>
      <c r="D47" s="248">
        <f>1/D43</f>
        <v>5.9852730816287768E-3</v>
      </c>
      <c r="E47" s="248">
        <f>1/E43</f>
        <v>1.3375471141528041E-2</v>
      </c>
      <c r="F47" s="248">
        <f>1/F43</f>
        <v>1.6746402143236031E-2</v>
      </c>
      <c r="G47" s="248">
        <f>1/G43</f>
        <v>2.1163140681074905E-2</v>
      </c>
      <c r="H47" s="17">
        <f>H29</f>
        <v>0.5437620034685513</v>
      </c>
      <c r="I47" s="17"/>
      <c r="J47" s="248"/>
      <c r="K47" s="248"/>
      <c r="L47" s="248"/>
      <c r="M47" s="248"/>
      <c r="N47" s="248"/>
      <c r="O47" s="248"/>
      <c r="Q47" s="5"/>
      <c r="R47" s="5"/>
      <c r="S47" s="42"/>
      <c r="T47" s="42"/>
      <c r="U47" s="42"/>
      <c r="V47" s="42"/>
      <c r="W47" s="42"/>
      <c r="X47" s="42"/>
      <c r="Y47" s="42"/>
      <c r="Z47" s="42"/>
      <c r="AA47" s="326"/>
    </row>
    <row r="48" spans="2:27">
      <c r="B48" s="5" t="s">
        <v>618</v>
      </c>
      <c r="C48" s="5"/>
      <c r="D48" s="305">
        <f>D31/D29</f>
        <v>0</v>
      </c>
      <c r="E48" s="305">
        <f>E31/E29</f>
        <v>0.21644284491816676</v>
      </c>
      <c r="F48" s="305">
        <f>F31/F29</f>
        <v>0.3445675998761783</v>
      </c>
      <c r="G48" s="305">
        <f>G31/G29</f>
        <v>0.29857489669301807</v>
      </c>
      <c r="H48" s="279" t="s">
        <v>607</v>
      </c>
      <c r="I48" s="247"/>
      <c r="J48" s="247"/>
      <c r="K48" s="247"/>
      <c r="L48" s="247"/>
      <c r="M48" s="247"/>
      <c r="N48" s="247"/>
      <c r="O48" s="248"/>
      <c r="Q48" s="5"/>
      <c r="R48" s="5"/>
      <c r="S48" s="42"/>
      <c r="T48" s="42"/>
      <c r="U48" s="42"/>
      <c r="V48" s="42"/>
      <c r="W48" s="42"/>
      <c r="X48" s="42"/>
      <c r="Y48" s="42"/>
      <c r="Z48" s="42"/>
      <c r="AA48" s="326"/>
    </row>
    <row r="49" spans="2:27">
      <c r="B49" s="41"/>
      <c r="C49" s="17"/>
      <c r="D49" s="17"/>
      <c r="E49" s="17"/>
      <c r="F49" s="17"/>
      <c r="G49" s="17"/>
      <c r="H49" s="17"/>
      <c r="I49" s="254"/>
      <c r="J49" s="17"/>
      <c r="K49" s="17"/>
      <c r="L49" s="17"/>
      <c r="M49" s="17"/>
      <c r="N49" s="17"/>
      <c r="O49" s="248"/>
      <c r="Q49" s="5"/>
      <c r="R49" s="5"/>
      <c r="S49" s="42"/>
      <c r="T49" s="42"/>
      <c r="U49" s="42"/>
      <c r="V49" s="42"/>
      <c r="W49" s="42"/>
      <c r="X49" s="42"/>
      <c r="Y49" s="42"/>
      <c r="Z49" s="42"/>
      <c r="AA49" s="326"/>
    </row>
    <row r="50" spans="2:27">
      <c r="B50" s="5"/>
      <c r="C50" s="257"/>
      <c r="D50" s="257"/>
      <c r="E50" s="257"/>
      <c r="F50" s="5"/>
      <c r="G50" s="41"/>
      <c r="H50" s="249"/>
      <c r="I50" s="17"/>
      <c r="J50" s="249"/>
      <c r="K50" s="249"/>
      <c r="L50" s="249"/>
      <c r="M50" s="249"/>
      <c r="N50" s="249"/>
      <c r="O50" s="250"/>
      <c r="Q50" s="5"/>
      <c r="R50" s="5"/>
      <c r="S50" s="42"/>
      <c r="T50" s="42"/>
      <c r="U50" s="42"/>
      <c r="V50" s="42"/>
      <c r="W50" s="288"/>
      <c r="X50" s="288"/>
      <c r="Y50" s="42"/>
      <c r="Z50" s="42"/>
      <c r="AA50" s="326"/>
    </row>
    <row r="51" spans="2:27">
      <c r="B51" s="41"/>
      <c r="C51" s="249"/>
      <c r="D51" s="254"/>
      <c r="E51" s="254"/>
      <c r="F51" s="254"/>
      <c r="G51" s="254"/>
      <c r="H51" s="254"/>
      <c r="I51" s="259"/>
      <c r="J51" s="254"/>
      <c r="K51" s="254"/>
      <c r="L51" s="254"/>
      <c r="M51" s="254"/>
      <c r="N51" s="254"/>
      <c r="O51" s="251"/>
      <c r="Q51" s="5"/>
      <c r="R51" s="5"/>
      <c r="S51" s="42"/>
      <c r="T51" s="42"/>
      <c r="U51" s="42"/>
      <c r="V51" s="42"/>
      <c r="W51" s="288"/>
      <c r="X51" s="288"/>
      <c r="Y51" s="288"/>
      <c r="Z51" s="288"/>
      <c r="AA51" s="42"/>
    </row>
    <row r="52" spans="2:27">
      <c r="B52" s="5"/>
      <c r="C52" s="257"/>
      <c r="D52" s="17"/>
      <c r="E52" s="17"/>
      <c r="F52" s="17"/>
      <c r="G52" s="17"/>
      <c r="H52" s="17"/>
      <c r="I52" s="254"/>
      <c r="J52" s="17"/>
      <c r="K52" s="17"/>
      <c r="L52" s="17"/>
      <c r="M52" s="17"/>
      <c r="N52" s="17"/>
      <c r="O52" s="248"/>
      <c r="Q52" s="5"/>
      <c r="R52" s="5"/>
      <c r="S52" s="5"/>
      <c r="Y52" s="10"/>
      <c r="Z52" s="10"/>
    </row>
    <row r="53" spans="2:27">
      <c r="B53" s="5"/>
      <c r="C53" s="257"/>
      <c r="D53" s="257"/>
      <c r="E53" s="257"/>
      <c r="F53" s="5"/>
      <c r="G53" s="5"/>
      <c r="H53" s="259"/>
      <c r="I53" s="17"/>
      <c r="J53" s="259"/>
      <c r="K53" s="259"/>
      <c r="L53" s="259"/>
      <c r="M53" s="259"/>
      <c r="N53" s="259"/>
      <c r="O53" s="18"/>
      <c r="Q53" s="5"/>
      <c r="R53" s="5"/>
      <c r="S53" s="5"/>
    </row>
    <row r="54" spans="2:27">
      <c r="B54" s="41"/>
      <c r="C54" s="249"/>
      <c r="D54" s="254"/>
      <c r="E54" s="254"/>
      <c r="F54" s="254"/>
      <c r="G54" s="254"/>
      <c r="H54" s="254"/>
      <c r="I54" s="259"/>
      <c r="J54" s="254"/>
      <c r="K54" s="254"/>
      <c r="L54" s="254"/>
      <c r="M54" s="254"/>
      <c r="N54" s="254"/>
      <c r="O54" s="251"/>
      <c r="Q54" s="5"/>
      <c r="R54" s="5"/>
      <c r="S54" s="5"/>
    </row>
    <row r="55" spans="2:27">
      <c r="B55" s="5"/>
      <c r="C55" s="257"/>
      <c r="D55" s="17"/>
      <c r="E55" s="17"/>
      <c r="F55" s="17"/>
      <c r="G55" s="17"/>
      <c r="H55" s="17"/>
      <c r="I55" s="249"/>
      <c r="J55" s="17"/>
      <c r="K55" s="17"/>
      <c r="L55" s="17"/>
      <c r="M55" s="17"/>
      <c r="N55" s="17"/>
      <c r="O55" s="18"/>
      <c r="Q55" s="5"/>
      <c r="R55" s="5"/>
      <c r="S55" s="5"/>
    </row>
    <row r="56" spans="2:27">
      <c r="B56" s="5"/>
      <c r="C56" s="248"/>
      <c r="D56" s="248"/>
      <c r="E56" s="248"/>
      <c r="F56" s="5"/>
      <c r="G56" s="5"/>
      <c r="H56" s="259"/>
      <c r="I56" s="248"/>
      <c r="J56" s="259"/>
      <c r="K56" s="259"/>
      <c r="L56" s="259"/>
      <c r="M56" s="259"/>
      <c r="N56" s="259"/>
      <c r="O56" s="18"/>
      <c r="Q56" s="5"/>
      <c r="R56" s="5"/>
      <c r="S56" s="5"/>
    </row>
    <row r="57" spans="2:27">
      <c r="B57" s="41"/>
      <c r="C57" s="249"/>
      <c r="D57" s="249"/>
      <c r="E57" s="249"/>
      <c r="F57" s="249"/>
      <c r="G57" s="249"/>
      <c r="H57" s="249"/>
      <c r="I57" s="5"/>
      <c r="J57" s="249"/>
      <c r="K57" s="249"/>
      <c r="L57" s="249"/>
      <c r="M57" s="249"/>
      <c r="N57" s="249"/>
      <c r="O57" s="251"/>
      <c r="Q57" s="5"/>
      <c r="R57" s="5"/>
      <c r="S57" s="5"/>
    </row>
    <row r="58" spans="2:27">
      <c r="B58" s="5"/>
      <c r="C58" s="5"/>
      <c r="D58" s="248"/>
      <c r="E58" s="248"/>
      <c r="F58" s="248"/>
      <c r="G58" s="248"/>
      <c r="H58" s="248"/>
      <c r="I58" s="17"/>
      <c r="J58" s="248"/>
      <c r="K58" s="248"/>
      <c r="L58" s="248"/>
      <c r="M58" s="248"/>
      <c r="N58" s="248"/>
      <c r="O58" s="18"/>
      <c r="Q58" s="5"/>
      <c r="R58" s="5"/>
      <c r="S58" s="5"/>
    </row>
    <row r="59" spans="2:27">
      <c r="B59" s="5"/>
      <c r="C59" s="5"/>
      <c r="D59" s="5"/>
      <c r="E59" s="5"/>
      <c r="F59" s="5"/>
      <c r="G59" s="5"/>
      <c r="H59" s="5"/>
      <c r="I59" s="5"/>
      <c r="J59" s="5"/>
      <c r="K59" s="5"/>
      <c r="L59" s="5"/>
      <c r="M59" s="5"/>
      <c r="N59" s="5"/>
      <c r="O59" s="5"/>
      <c r="Q59" s="5"/>
      <c r="R59" s="5"/>
      <c r="S59" s="5"/>
    </row>
    <row r="60" spans="2:27">
      <c r="B60" s="41"/>
      <c r="C60" s="17"/>
      <c r="D60" s="17"/>
      <c r="E60" s="17"/>
      <c r="F60" s="17"/>
      <c r="G60" s="17"/>
      <c r="H60" s="17"/>
      <c r="I60" s="249"/>
      <c r="J60" s="17"/>
      <c r="K60" s="17"/>
      <c r="L60" s="17"/>
      <c r="M60" s="17"/>
      <c r="N60" s="17"/>
      <c r="O60" s="251"/>
      <c r="Q60" s="5"/>
      <c r="R60" s="5"/>
      <c r="S60" s="5"/>
    </row>
    <row r="61" spans="2:27">
      <c r="B61" s="5"/>
      <c r="C61" s="5"/>
      <c r="D61" s="5"/>
      <c r="E61" s="5"/>
      <c r="F61" s="5"/>
      <c r="G61" s="5"/>
      <c r="H61" s="5"/>
      <c r="I61" s="5"/>
      <c r="J61" s="5"/>
      <c r="K61" s="5"/>
      <c r="L61" s="5"/>
      <c r="M61" s="5"/>
      <c r="N61" s="5"/>
      <c r="O61" s="5"/>
      <c r="Q61" s="41"/>
      <c r="R61" s="5"/>
      <c r="S61" s="5"/>
    </row>
    <row r="62" spans="2:27">
      <c r="B62" s="41"/>
      <c r="C62" s="249"/>
      <c r="D62" s="249"/>
      <c r="E62" s="249"/>
      <c r="F62" s="249"/>
      <c r="G62" s="249"/>
      <c r="H62" s="249"/>
      <c r="I62" s="5"/>
      <c r="J62" s="249"/>
      <c r="K62" s="249"/>
      <c r="L62" s="249"/>
      <c r="M62" s="249"/>
      <c r="N62" s="249"/>
      <c r="O62" s="251"/>
      <c r="Q62" s="5"/>
      <c r="R62" s="5"/>
      <c r="S62" s="5"/>
    </row>
    <row r="63" spans="2:27">
      <c r="B63" s="5"/>
      <c r="C63" s="5"/>
      <c r="D63" s="5"/>
      <c r="E63" s="5"/>
      <c r="F63" s="5"/>
      <c r="G63" s="5"/>
      <c r="H63" s="5"/>
      <c r="I63" s="254"/>
      <c r="J63" s="5"/>
      <c r="K63" s="5"/>
      <c r="L63" s="5"/>
      <c r="M63" s="5"/>
      <c r="N63" s="5"/>
      <c r="O63" s="5"/>
      <c r="Q63" s="5"/>
      <c r="R63" s="5"/>
      <c r="S63" s="5"/>
    </row>
    <row r="64" spans="2:27">
      <c r="B64" s="5"/>
      <c r="C64" s="5"/>
      <c r="D64" s="5"/>
      <c r="E64" s="5"/>
      <c r="F64" s="5"/>
      <c r="G64" s="5"/>
      <c r="H64" s="5"/>
      <c r="I64" s="17"/>
      <c r="J64" s="5"/>
      <c r="K64" s="5"/>
      <c r="L64" s="5"/>
      <c r="M64" s="5"/>
      <c r="N64" s="5"/>
      <c r="O64" s="5"/>
      <c r="Q64" s="5"/>
      <c r="R64" s="5"/>
      <c r="S64" s="5"/>
    </row>
    <row r="65" spans="2:26">
      <c r="B65" s="41"/>
      <c r="C65" s="249"/>
      <c r="D65" s="254"/>
      <c r="E65" s="254"/>
      <c r="F65" s="254"/>
      <c r="G65" s="254"/>
      <c r="H65" s="254"/>
      <c r="I65" s="254"/>
      <c r="J65" s="254"/>
      <c r="K65" s="254"/>
      <c r="L65" s="254"/>
      <c r="M65" s="254"/>
      <c r="N65" s="254"/>
      <c r="O65" s="251"/>
      <c r="Q65" s="5"/>
      <c r="R65" s="5"/>
      <c r="S65" s="5"/>
    </row>
    <row r="66" spans="2:26">
      <c r="B66" s="5"/>
      <c r="C66" s="5"/>
      <c r="D66" s="17"/>
      <c r="E66" s="17"/>
      <c r="F66" s="17"/>
      <c r="G66" s="17"/>
      <c r="H66" s="17"/>
      <c r="I66" s="248"/>
      <c r="J66" s="17"/>
      <c r="K66" s="17"/>
      <c r="L66" s="17"/>
      <c r="M66" s="17"/>
      <c r="N66" s="17"/>
      <c r="O66" s="5"/>
      <c r="Q66" s="5"/>
      <c r="R66" s="5"/>
      <c r="S66" s="5"/>
    </row>
    <row r="67" spans="2:26">
      <c r="B67" s="41"/>
      <c r="C67" s="249"/>
      <c r="D67" s="254"/>
      <c r="E67" s="254"/>
      <c r="F67" s="254"/>
      <c r="G67" s="254"/>
      <c r="H67" s="254"/>
      <c r="I67" s="5"/>
      <c r="J67" s="254"/>
      <c r="K67" s="254"/>
      <c r="L67" s="254"/>
      <c r="M67" s="254"/>
      <c r="N67" s="254"/>
      <c r="O67" s="251"/>
      <c r="Q67" s="41"/>
      <c r="R67" s="5"/>
      <c r="S67" s="5"/>
    </row>
    <row r="68" spans="2:26">
      <c r="B68" s="5"/>
      <c r="C68" s="5"/>
      <c r="D68" s="248"/>
      <c r="E68" s="248"/>
      <c r="F68" s="248"/>
      <c r="G68" s="248"/>
      <c r="H68" s="248"/>
      <c r="I68" s="245"/>
      <c r="J68" s="248"/>
      <c r="K68" s="248"/>
      <c r="L68" s="248"/>
      <c r="M68" s="248"/>
      <c r="N68" s="248"/>
      <c r="O68" s="5"/>
      <c r="Q68" s="5"/>
      <c r="R68" s="5"/>
      <c r="S68" s="5"/>
    </row>
    <row r="69" spans="2:26">
      <c r="B69" s="41"/>
      <c r="C69" s="5"/>
      <c r="D69" s="5"/>
      <c r="E69" s="5"/>
      <c r="F69" s="5"/>
      <c r="G69" s="5"/>
      <c r="H69" s="5"/>
      <c r="I69" s="248"/>
      <c r="J69" s="5"/>
      <c r="K69" s="5"/>
      <c r="L69" s="5"/>
      <c r="M69" s="5"/>
      <c r="N69" s="5"/>
      <c r="O69" s="5"/>
      <c r="Q69" s="5"/>
      <c r="R69" s="5"/>
      <c r="S69" s="5"/>
    </row>
    <row r="70" spans="2:26">
      <c r="B70" s="41"/>
      <c r="C70" s="245"/>
      <c r="D70" s="245"/>
      <c r="E70" s="245"/>
      <c r="F70" s="245"/>
      <c r="G70" s="245"/>
      <c r="H70" s="245"/>
      <c r="I70" s="5"/>
      <c r="J70" s="245"/>
      <c r="K70" s="245"/>
      <c r="L70" s="245"/>
      <c r="M70" s="245"/>
      <c r="N70" s="245"/>
      <c r="O70" s="251"/>
      <c r="Q70" s="5"/>
      <c r="R70" s="5"/>
      <c r="S70" s="5"/>
      <c r="W70" s="76"/>
      <c r="X70" s="76"/>
    </row>
    <row r="71" spans="2:26">
      <c r="B71" s="5"/>
      <c r="C71" s="5"/>
      <c r="D71" s="248"/>
      <c r="E71" s="248"/>
      <c r="F71" s="248"/>
      <c r="G71" s="248"/>
      <c r="H71" s="248"/>
      <c r="I71" s="245"/>
      <c r="J71" s="248"/>
      <c r="K71" s="248"/>
      <c r="L71" s="248"/>
      <c r="M71" s="248"/>
      <c r="N71" s="248"/>
      <c r="O71" s="5"/>
      <c r="Q71" s="5"/>
      <c r="R71" s="5"/>
      <c r="S71" s="5"/>
      <c r="W71" s="76"/>
      <c r="X71" s="76"/>
      <c r="Y71" s="76"/>
      <c r="Z71" s="76"/>
    </row>
    <row r="72" spans="2:26">
      <c r="B72" s="41"/>
      <c r="C72" s="5"/>
      <c r="D72" s="5"/>
      <c r="E72" s="5"/>
      <c r="F72" s="5"/>
      <c r="G72" s="5"/>
      <c r="H72" s="5"/>
      <c r="I72" s="18"/>
      <c r="J72" s="5"/>
      <c r="K72" s="5"/>
      <c r="L72" s="5"/>
      <c r="M72" s="5"/>
      <c r="N72" s="5"/>
      <c r="O72" s="5"/>
      <c r="Q72" s="5"/>
      <c r="R72" s="5"/>
      <c r="S72" s="5"/>
      <c r="Y72" s="76"/>
      <c r="Z72" s="76"/>
    </row>
    <row r="73" spans="2:26">
      <c r="B73" s="41"/>
      <c r="C73" s="245"/>
      <c r="D73" s="245"/>
      <c r="E73" s="245"/>
      <c r="F73" s="245"/>
      <c r="G73" s="245"/>
      <c r="H73" s="245"/>
      <c r="I73" s="5"/>
      <c r="J73" s="245"/>
      <c r="K73" s="245"/>
      <c r="L73" s="245"/>
      <c r="M73" s="245"/>
      <c r="N73" s="245"/>
      <c r="O73" s="251"/>
      <c r="Q73" s="5"/>
      <c r="R73" s="5"/>
      <c r="S73" s="5"/>
    </row>
    <row r="74" spans="2:26">
      <c r="B74" s="5"/>
      <c r="C74" s="5"/>
      <c r="D74" s="18"/>
      <c r="E74" s="18"/>
      <c r="F74" s="18"/>
      <c r="G74" s="18"/>
      <c r="H74" s="18"/>
      <c r="I74" s="249"/>
      <c r="J74" s="18"/>
      <c r="K74" s="18"/>
      <c r="L74" s="18"/>
      <c r="M74" s="18"/>
      <c r="N74" s="18"/>
      <c r="O74" s="5"/>
      <c r="Q74" s="5"/>
      <c r="R74" s="5"/>
      <c r="S74" s="5"/>
    </row>
    <row r="75" spans="2:26">
      <c r="B75" s="41"/>
      <c r="C75" s="5"/>
      <c r="D75" s="5"/>
      <c r="E75" s="5"/>
      <c r="F75" s="5"/>
      <c r="G75" s="5"/>
      <c r="H75" s="5"/>
      <c r="I75" s="248"/>
      <c r="J75" s="5"/>
      <c r="K75" s="5"/>
      <c r="L75" s="5"/>
      <c r="M75" s="5"/>
      <c r="N75" s="5"/>
      <c r="O75" s="5"/>
      <c r="Q75" s="5"/>
      <c r="R75" s="5"/>
      <c r="S75" s="5"/>
    </row>
    <row r="76" spans="2:26">
      <c r="B76" s="41"/>
      <c r="C76" s="249"/>
      <c r="D76" s="249"/>
      <c r="E76" s="249"/>
      <c r="F76" s="249"/>
      <c r="G76" s="249"/>
      <c r="H76" s="249"/>
      <c r="I76" s="5"/>
      <c r="J76" s="249"/>
      <c r="K76" s="249"/>
      <c r="L76" s="249"/>
      <c r="M76" s="249"/>
      <c r="N76" s="249"/>
      <c r="O76" s="251"/>
      <c r="Q76" s="5"/>
      <c r="R76" s="5"/>
      <c r="S76" s="5"/>
    </row>
    <row r="77" spans="2:26">
      <c r="B77" s="5"/>
      <c r="C77" s="5"/>
      <c r="D77" s="248"/>
      <c r="E77" s="248"/>
      <c r="F77" s="248"/>
      <c r="G77" s="248"/>
      <c r="H77" s="248"/>
      <c r="I77" s="245"/>
      <c r="J77" s="248"/>
      <c r="K77" s="248"/>
      <c r="L77" s="248"/>
      <c r="M77" s="248"/>
      <c r="N77" s="248"/>
      <c r="O77" s="5"/>
      <c r="Q77" s="5"/>
      <c r="R77" s="5"/>
      <c r="S77" s="5"/>
    </row>
    <row r="78" spans="2:26">
      <c r="B78" s="41"/>
      <c r="C78" s="5"/>
      <c r="D78" s="5"/>
      <c r="E78" s="5"/>
      <c r="F78" s="5"/>
      <c r="G78" s="5"/>
      <c r="H78" s="5"/>
      <c r="I78" s="248"/>
      <c r="J78" s="5"/>
      <c r="K78" s="5"/>
      <c r="L78" s="5"/>
      <c r="M78" s="5"/>
      <c r="N78" s="5"/>
      <c r="O78" s="5"/>
      <c r="Q78" s="5"/>
      <c r="R78" s="5"/>
      <c r="S78" s="5"/>
    </row>
    <row r="79" spans="2:26">
      <c r="B79" s="41"/>
      <c r="C79" s="245"/>
      <c r="D79" s="245"/>
      <c r="E79" s="245"/>
      <c r="F79" s="245"/>
      <c r="G79" s="245"/>
      <c r="H79" s="245"/>
      <c r="I79" s="5"/>
      <c r="J79" s="245"/>
      <c r="K79" s="245"/>
      <c r="L79" s="245"/>
      <c r="M79" s="245"/>
      <c r="N79" s="245"/>
      <c r="O79" s="251"/>
      <c r="Q79" s="5"/>
      <c r="R79" s="5"/>
      <c r="S79" s="5"/>
    </row>
    <row r="80" spans="2:26">
      <c r="B80" s="5"/>
      <c r="C80" s="5"/>
      <c r="D80" s="248"/>
      <c r="E80" s="248"/>
      <c r="F80" s="248"/>
      <c r="G80" s="248"/>
      <c r="H80" s="248"/>
      <c r="I80" s="249"/>
      <c r="J80" s="248"/>
      <c r="K80" s="248"/>
      <c r="L80" s="248"/>
      <c r="M80" s="248"/>
      <c r="N80" s="248"/>
      <c r="O80" s="5"/>
      <c r="Q80" s="5"/>
      <c r="R80" s="5"/>
      <c r="S80" s="5"/>
    </row>
    <row r="81" spans="2:26">
      <c r="B81" s="41"/>
      <c r="C81" s="5"/>
      <c r="D81" s="5"/>
      <c r="E81" s="5"/>
      <c r="F81" s="5"/>
      <c r="G81" s="5"/>
      <c r="H81" s="5"/>
      <c r="I81" s="248"/>
      <c r="J81" s="5"/>
      <c r="K81" s="5"/>
      <c r="L81" s="5"/>
      <c r="M81" s="5"/>
      <c r="N81" s="5"/>
      <c r="O81" s="5"/>
      <c r="Q81" s="5"/>
      <c r="R81" s="5"/>
      <c r="S81" s="5"/>
    </row>
    <row r="82" spans="2:26">
      <c r="B82" s="41"/>
      <c r="C82" s="249"/>
      <c r="D82" s="249"/>
      <c r="E82" s="249"/>
      <c r="F82" s="249"/>
      <c r="G82" s="249"/>
      <c r="H82" s="249"/>
      <c r="I82" s="259"/>
      <c r="J82" s="249"/>
      <c r="K82" s="249"/>
      <c r="L82" s="249"/>
      <c r="M82" s="249"/>
      <c r="N82" s="249"/>
      <c r="O82" s="251"/>
      <c r="Q82" s="5"/>
      <c r="R82" s="5"/>
      <c r="S82" s="5"/>
    </row>
    <row r="83" spans="2:26">
      <c r="B83" s="5"/>
      <c r="C83" s="5"/>
      <c r="D83" s="248"/>
      <c r="E83" s="248"/>
      <c r="F83" s="248"/>
      <c r="G83" s="248"/>
      <c r="H83" s="248"/>
      <c r="I83" s="5"/>
      <c r="J83" s="248"/>
      <c r="K83" s="248"/>
      <c r="L83" s="248"/>
      <c r="M83" s="248"/>
      <c r="N83" s="248"/>
      <c r="O83" s="5"/>
      <c r="Q83" s="5"/>
      <c r="R83" s="5"/>
      <c r="S83" s="5"/>
    </row>
    <row r="84" spans="2:26">
      <c r="B84" s="5"/>
      <c r="C84" s="259"/>
      <c r="D84" s="259"/>
      <c r="E84" s="259"/>
      <c r="F84" s="259"/>
      <c r="G84" s="259"/>
      <c r="H84" s="259"/>
      <c r="I84" s="245"/>
      <c r="J84" s="259"/>
      <c r="K84" s="259"/>
      <c r="L84" s="259"/>
      <c r="M84" s="259"/>
      <c r="N84" s="259"/>
      <c r="O84" s="251"/>
      <c r="Q84" s="5"/>
      <c r="R84" s="5"/>
      <c r="S84" s="5"/>
    </row>
    <row r="85" spans="2:26">
      <c r="B85" s="41"/>
      <c r="C85" s="5"/>
      <c r="D85" s="5"/>
      <c r="E85" s="5"/>
      <c r="F85" s="5"/>
      <c r="G85" s="5"/>
      <c r="H85" s="5"/>
      <c r="I85" s="248"/>
      <c r="J85" s="5"/>
      <c r="K85" s="5"/>
      <c r="L85" s="5"/>
      <c r="M85" s="5"/>
      <c r="N85" s="5"/>
      <c r="O85" s="5"/>
      <c r="Q85" s="5"/>
      <c r="R85" s="5"/>
      <c r="S85" s="5"/>
    </row>
    <row r="86" spans="2:26">
      <c r="B86" s="41"/>
      <c r="C86" s="245"/>
      <c r="D86" s="245"/>
      <c r="E86" s="245"/>
      <c r="F86" s="245"/>
      <c r="G86" s="245"/>
      <c r="H86" s="245"/>
      <c r="I86" s="5"/>
      <c r="J86" s="245"/>
      <c r="K86" s="245"/>
      <c r="L86" s="245"/>
      <c r="M86" s="245"/>
      <c r="N86" s="245"/>
      <c r="O86" s="251"/>
      <c r="Q86" s="5"/>
      <c r="R86" s="5"/>
      <c r="S86" s="5"/>
    </row>
    <row r="87" spans="2:26">
      <c r="B87" s="5"/>
      <c r="C87" s="5"/>
      <c r="D87" s="248"/>
      <c r="E87" s="248"/>
      <c r="F87" s="248"/>
      <c r="G87" s="248"/>
      <c r="H87" s="248"/>
      <c r="I87" s="5"/>
      <c r="J87" s="248"/>
      <c r="K87" s="248"/>
      <c r="L87" s="248"/>
      <c r="M87" s="248"/>
      <c r="N87" s="248"/>
      <c r="O87" s="5"/>
      <c r="Q87" s="5"/>
      <c r="R87" s="5"/>
      <c r="S87" s="5"/>
    </row>
    <row r="88" spans="2:26">
      <c r="B88" s="41"/>
      <c r="C88" s="5"/>
      <c r="D88" s="5"/>
      <c r="E88" s="5"/>
      <c r="F88" s="5"/>
      <c r="G88" s="5"/>
      <c r="H88" s="5"/>
      <c r="I88" s="5"/>
      <c r="J88" s="5"/>
      <c r="K88" s="5"/>
      <c r="L88" s="5"/>
      <c r="M88" s="5"/>
      <c r="N88" s="5"/>
      <c r="O88" s="5"/>
      <c r="Q88" s="5"/>
      <c r="R88" s="5"/>
      <c r="S88" s="5"/>
    </row>
    <row r="89" spans="2:26">
      <c r="B89" s="41"/>
      <c r="C89" s="5"/>
      <c r="D89" s="5"/>
      <c r="E89" s="5"/>
      <c r="F89" s="5"/>
      <c r="G89" s="5"/>
      <c r="H89" s="5"/>
      <c r="I89" s="5"/>
      <c r="J89" s="5"/>
      <c r="K89" s="5"/>
      <c r="L89" s="5"/>
      <c r="M89" s="5"/>
      <c r="N89" s="5"/>
      <c r="O89" s="5"/>
      <c r="Q89" s="5"/>
      <c r="R89" s="5"/>
      <c r="S89" s="5"/>
    </row>
    <row r="90" spans="2:26">
      <c r="B90" s="41"/>
      <c r="C90" s="5"/>
      <c r="D90" s="5"/>
      <c r="E90" s="5"/>
      <c r="F90" s="5"/>
      <c r="G90" s="5"/>
      <c r="H90" s="5"/>
      <c r="I90" s="49"/>
      <c r="J90" s="5"/>
      <c r="K90" s="5"/>
      <c r="L90" s="5"/>
      <c r="M90" s="5"/>
      <c r="N90" s="5"/>
      <c r="O90" s="5"/>
      <c r="Q90" s="41"/>
      <c r="R90" s="5"/>
      <c r="S90" s="5"/>
    </row>
    <row r="91" spans="2:26">
      <c r="B91" s="5"/>
      <c r="C91" s="5"/>
      <c r="D91" s="5"/>
      <c r="E91" s="5"/>
      <c r="F91" s="5"/>
      <c r="G91" s="5"/>
      <c r="H91" s="5"/>
      <c r="I91" s="5"/>
      <c r="J91" s="5"/>
      <c r="K91" s="5"/>
      <c r="L91" s="5"/>
      <c r="M91" s="5"/>
      <c r="N91" s="5"/>
      <c r="O91" s="5"/>
      <c r="Q91" s="5"/>
      <c r="R91" s="5"/>
      <c r="S91" s="5"/>
    </row>
    <row r="92" spans="2:26">
      <c r="B92" s="41"/>
      <c r="C92" s="49"/>
      <c r="D92" s="49"/>
      <c r="E92" s="49"/>
      <c r="F92" s="49"/>
      <c r="G92" s="49"/>
      <c r="H92" s="49"/>
      <c r="I92" s="247"/>
      <c r="J92" s="49"/>
      <c r="K92" s="49"/>
      <c r="L92" s="49"/>
      <c r="M92" s="49"/>
      <c r="N92" s="49"/>
      <c r="O92" s="49"/>
      <c r="Q92" s="5"/>
      <c r="R92" s="5"/>
      <c r="S92" s="5"/>
      <c r="W92" s="21"/>
      <c r="X92" s="21"/>
    </row>
    <row r="93" spans="2:26">
      <c r="B93" s="5"/>
      <c r="C93" s="5"/>
      <c r="D93" s="5"/>
      <c r="E93" s="5"/>
      <c r="F93" s="5"/>
      <c r="G93" s="5"/>
      <c r="H93" s="5"/>
      <c r="I93" s="247"/>
      <c r="J93" s="5"/>
      <c r="K93" s="5"/>
      <c r="L93" s="5"/>
      <c r="M93" s="5"/>
      <c r="N93" s="5"/>
      <c r="O93" s="5"/>
      <c r="Q93" s="5"/>
      <c r="R93" s="5"/>
      <c r="S93" s="5"/>
      <c r="W93" s="21"/>
      <c r="X93" s="21"/>
      <c r="Y93" s="21"/>
      <c r="Z93" s="21"/>
    </row>
    <row r="94" spans="2:26">
      <c r="B94" s="5"/>
      <c r="C94" s="259"/>
      <c r="D94" s="247"/>
      <c r="E94" s="247"/>
      <c r="F94" s="247"/>
      <c r="G94" s="247"/>
      <c r="H94" s="247"/>
      <c r="I94" s="247"/>
      <c r="J94" s="247"/>
      <c r="K94" s="247"/>
      <c r="L94" s="247"/>
      <c r="M94" s="247"/>
      <c r="N94" s="247"/>
      <c r="O94" s="248"/>
      <c r="Q94" s="5"/>
      <c r="R94" s="5"/>
      <c r="S94" s="5"/>
      <c r="Y94" s="21"/>
      <c r="Z94" s="21"/>
    </row>
    <row r="95" spans="2:26">
      <c r="B95" s="5"/>
      <c r="C95" s="259"/>
      <c r="D95" s="247"/>
      <c r="E95" s="247"/>
      <c r="F95" s="247"/>
      <c r="G95" s="247"/>
      <c r="H95" s="247"/>
      <c r="I95" s="248"/>
      <c r="J95" s="247"/>
      <c r="K95" s="247"/>
      <c r="L95" s="247"/>
      <c r="M95" s="247"/>
      <c r="N95" s="247"/>
      <c r="O95" s="248"/>
      <c r="Q95" s="5"/>
      <c r="R95" s="5"/>
      <c r="S95" s="5"/>
    </row>
    <row r="96" spans="2:26">
      <c r="B96" s="5"/>
      <c r="C96" s="259"/>
      <c r="D96" s="247"/>
      <c r="E96" s="247"/>
      <c r="F96" s="247"/>
      <c r="G96" s="247"/>
      <c r="H96" s="247"/>
      <c r="I96" s="247"/>
      <c r="J96" s="247"/>
      <c r="K96" s="247"/>
      <c r="L96" s="247"/>
      <c r="M96" s="247"/>
      <c r="N96" s="247"/>
      <c r="O96" s="248"/>
      <c r="Q96" s="5"/>
      <c r="R96" s="5"/>
      <c r="S96" s="5"/>
    </row>
    <row r="97" spans="2:19">
      <c r="B97" s="5"/>
      <c r="C97" s="259"/>
      <c r="D97" s="248"/>
      <c r="E97" s="248"/>
      <c r="F97" s="248"/>
      <c r="G97" s="248"/>
      <c r="H97" s="248"/>
      <c r="I97" s="249"/>
      <c r="J97" s="248"/>
      <c r="K97" s="248"/>
      <c r="L97" s="248"/>
      <c r="M97" s="248"/>
      <c r="N97" s="248"/>
      <c r="O97" s="248"/>
      <c r="Q97" s="5"/>
      <c r="R97" s="5"/>
      <c r="S97" s="5"/>
    </row>
    <row r="98" spans="2:19">
      <c r="B98" s="5"/>
      <c r="C98" s="259"/>
      <c r="D98" s="247"/>
      <c r="E98" s="247"/>
      <c r="F98" s="247"/>
      <c r="G98" s="247"/>
      <c r="H98" s="247"/>
      <c r="I98" s="248"/>
      <c r="J98" s="247"/>
      <c r="K98" s="247"/>
      <c r="L98" s="247"/>
      <c r="M98" s="247"/>
      <c r="N98" s="247"/>
      <c r="O98" s="248"/>
      <c r="Q98" s="5"/>
      <c r="R98" s="5"/>
      <c r="S98" s="5"/>
    </row>
    <row r="99" spans="2:19">
      <c r="B99" s="41"/>
      <c r="C99" s="249"/>
      <c r="D99" s="249"/>
      <c r="E99" s="249"/>
      <c r="F99" s="249"/>
      <c r="G99" s="249"/>
      <c r="H99" s="249"/>
      <c r="I99" s="5"/>
      <c r="J99" s="249"/>
      <c r="K99" s="249"/>
      <c r="L99" s="249"/>
      <c r="M99" s="249"/>
      <c r="N99" s="249"/>
      <c r="O99" s="248"/>
      <c r="Q99" s="5"/>
      <c r="R99" s="5"/>
      <c r="S99" s="5"/>
    </row>
    <row r="100" spans="2:19">
      <c r="B100" s="41"/>
      <c r="C100" s="257"/>
      <c r="D100" s="248"/>
      <c r="E100" s="248"/>
      <c r="F100" s="248"/>
      <c r="G100" s="248"/>
      <c r="H100" s="248"/>
      <c r="I100" s="259"/>
      <c r="J100" s="248"/>
      <c r="K100" s="248"/>
      <c r="L100" s="248"/>
      <c r="M100" s="248"/>
      <c r="N100" s="248"/>
      <c r="O100" s="248"/>
      <c r="Q100" s="5"/>
      <c r="R100" s="5"/>
      <c r="S100" s="5"/>
    </row>
    <row r="101" spans="2:19" s="5" customFormat="1">
      <c r="B101" s="41"/>
      <c r="I101" s="259"/>
      <c r="O101" s="248"/>
      <c r="P101" s="39"/>
    </row>
    <row r="102" spans="2:19">
      <c r="B102" s="5"/>
      <c r="C102" s="259"/>
      <c r="D102" s="259"/>
      <c r="E102" s="259"/>
      <c r="F102" s="259"/>
      <c r="G102" s="259"/>
      <c r="H102" s="259"/>
      <c r="I102" s="247"/>
      <c r="J102" s="259"/>
      <c r="K102" s="259"/>
      <c r="L102" s="259"/>
      <c r="M102" s="259"/>
      <c r="N102" s="259"/>
      <c r="O102" s="5"/>
      <c r="Q102" s="5"/>
      <c r="R102" s="5"/>
      <c r="S102" s="5"/>
    </row>
    <row r="103" spans="2:19">
      <c r="B103" s="5"/>
      <c r="C103" s="259"/>
      <c r="D103" s="259"/>
      <c r="E103" s="259"/>
      <c r="F103" s="259"/>
      <c r="G103" s="259"/>
      <c r="H103" s="259"/>
      <c r="I103" s="5"/>
      <c r="J103" s="259"/>
      <c r="K103" s="259"/>
      <c r="L103" s="259"/>
      <c r="M103" s="259"/>
      <c r="N103" s="259"/>
      <c r="O103" s="5"/>
      <c r="P103" s="5"/>
      <c r="Q103" s="5"/>
      <c r="R103" s="5"/>
      <c r="S103" s="5"/>
    </row>
    <row r="104" spans="2:19">
      <c r="B104" s="5"/>
      <c r="C104" s="247"/>
      <c r="D104" s="247"/>
      <c r="E104" s="247"/>
      <c r="F104" s="247"/>
      <c r="G104" s="247"/>
      <c r="H104" s="247"/>
      <c r="I104" s="247"/>
      <c r="J104" s="247"/>
      <c r="K104" s="247"/>
      <c r="L104" s="247"/>
      <c r="M104" s="247"/>
      <c r="N104" s="247"/>
      <c r="O104" s="5"/>
      <c r="Q104" s="5"/>
      <c r="R104" s="5"/>
      <c r="S104" s="5"/>
    </row>
    <row r="105" spans="2:19" s="5" customFormat="1">
      <c r="P105" s="39"/>
    </row>
    <row r="106" spans="2:19" s="5" customFormat="1">
      <c r="C106" s="259"/>
      <c r="D106" s="247"/>
      <c r="E106" s="247"/>
      <c r="F106" s="247"/>
      <c r="G106" s="247"/>
      <c r="H106" s="247"/>
      <c r="I106" s="259"/>
      <c r="J106" s="247"/>
      <c r="K106" s="247"/>
      <c r="L106" s="247"/>
      <c r="M106" s="247"/>
      <c r="N106" s="247"/>
      <c r="P106" s="39"/>
    </row>
    <row r="107" spans="2:19">
      <c r="B107" s="5"/>
      <c r="C107" s="259"/>
      <c r="D107" s="5"/>
      <c r="E107" s="5"/>
      <c r="F107" s="5"/>
      <c r="G107" s="5"/>
      <c r="H107" s="5"/>
      <c r="I107" s="247"/>
      <c r="J107" s="5"/>
      <c r="K107" s="5"/>
      <c r="L107" s="5"/>
      <c r="M107" s="5"/>
      <c r="N107" s="5"/>
      <c r="O107" s="5"/>
      <c r="P107" s="5"/>
      <c r="Q107" s="5"/>
      <c r="R107" s="5"/>
      <c r="S107" s="5"/>
    </row>
    <row r="108" spans="2:19">
      <c r="B108" s="5"/>
      <c r="C108" s="259"/>
      <c r="D108" s="259"/>
      <c r="E108" s="259"/>
      <c r="F108" s="259"/>
      <c r="G108" s="259"/>
      <c r="H108" s="259"/>
      <c r="I108" s="249"/>
      <c r="J108" s="259"/>
      <c r="K108" s="259"/>
      <c r="L108" s="259"/>
      <c r="M108" s="259"/>
      <c r="N108" s="259"/>
      <c r="O108" s="5"/>
      <c r="P108" s="5"/>
      <c r="Q108" s="5"/>
      <c r="R108" s="5"/>
      <c r="S108" s="5"/>
    </row>
    <row r="109" spans="2:19">
      <c r="B109" s="5"/>
      <c r="C109" s="247"/>
      <c r="D109" s="247"/>
      <c r="E109" s="247"/>
      <c r="F109" s="247"/>
      <c r="G109" s="247"/>
      <c r="H109" s="247"/>
      <c r="I109" s="249"/>
      <c r="J109" s="247"/>
      <c r="K109" s="247"/>
      <c r="L109" s="247"/>
      <c r="M109" s="247"/>
      <c r="N109" s="247"/>
      <c r="O109" s="5"/>
      <c r="Q109" s="5"/>
      <c r="R109" s="5"/>
      <c r="S109" s="5"/>
    </row>
    <row r="110" spans="2:19">
      <c r="B110" s="41"/>
      <c r="C110" s="249"/>
      <c r="D110" s="249"/>
      <c r="E110" s="249"/>
      <c r="F110" s="249"/>
      <c r="G110" s="249"/>
      <c r="H110" s="249"/>
      <c r="I110" s="247"/>
      <c r="J110" s="249"/>
      <c r="K110" s="249"/>
      <c r="L110" s="249"/>
      <c r="M110" s="249"/>
      <c r="N110" s="249"/>
      <c r="O110" s="5"/>
      <c r="Q110" s="5"/>
      <c r="R110" s="5"/>
      <c r="S110" s="5"/>
    </row>
    <row r="111" spans="2:19">
      <c r="B111" s="5"/>
      <c r="C111" s="249"/>
      <c r="D111" s="249"/>
      <c r="E111" s="249"/>
      <c r="F111" s="249"/>
      <c r="G111" s="249"/>
      <c r="H111" s="249"/>
      <c r="I111" s="5"/>
      <c r="J111" s="249"/>
      <c r="K111" s="249"/>
      <c r="L111" s="249"/>
      <c r="M111" s="249"/>
      <c r="N111" s="249"/>
      <c r="O111" s="5"/>
      <c r="Q111" s="5"/>
      <c r="R111" s="5"/>
      <c r="S111" s="5"/>
    </row>
    <row r="112" spans="2:19">
      <c r="B112" s="5"/>
      <c r="C112" s="247"/>
      <c r="D112" s="247"/>
      <c r="E112" s="247"/>
      <c r="F112" s="247"/>
      <c r="G112" s="247"/>
      <c r="H112" s="247"/>
      <c r="I112" s="5"/>
      <c r="J112" s="247"/>
      <c r="K112" s="247"/>
      <c r="L112" s="247"/>
      <c r="M112" s="247"/>
      <c r="N112" s="247"/>
      <c r="O112" s="5"/>
      <c r="Q112" s="5"/>
      <c r="R112" s="5"/>
      <c r="S112" s="5"/>
    </row>
    <row r="113" spans="2:19">
      <c r="B113" s="5"/>
      <c r="C113" s="5"/>
      <c r="D113" s="5"/>
      <c r="E113" s="5"/>
      <c r="F113" s="5"/>
      <c r="G113" s="5"/>
      <c r="H113" s="5"/>
      <c r="I113" s="5"/>
      <c r="J113" s="5"/>
      <c r="K113" s="5"/>
      <c r="L113" s="5"/>
      <c r="M113" s="5"/>
      <c r="N113" s="5"/>
      <c r="O113" s="5"/>
      <c r="Q113" s="5"/>
      <c r="R113" s="5"/>
      <c r="S113" s="5"/>
    </row>
    <row r="114" spans="2:19">
      <c r="B114" s="5"/>
      <c r="C114" s="5"/>
      <c r="D114" s="5"/>
      <c r="E114" s="5"/>
      <c r="F114" s="5"/>
      <c r="G114" s="5"/>
      <c r="H114" s="5"/>
      <c r="I114" s="5"/>
      <c r="J114" s="5"/>
      <c r="K114" s="5"/>
      <c r="L114" s="5"/>
      <c r="M114" s="5"/>
      <c r="N114" s="5"/>
      <c r="O114" s="5"/>
      <c r="Q114" s="5"/>
      <c r="R114" s="5"/>
      <c r="S114" s="5"/>
    </row>
    <row r="115" spans="2:19">
      <c r="B115" s="5"/>
      <c r="C115" s="5"/>
      <c r="D115" s="5"/>
      <c r="E115" s="5"/>
      <c r="F115" s="5"/>
      <c r="G115" s="5"/>
      <c r="H115" s="5"/>
      <c r="I115" s="49"/>
      <c r="J115" s="5"/>
      <c r="K115" s="5"/>
      <c r="L115" s="5"/>
      <c r="M115" s="5"/>
      <c r="N115" s="5"/>
      <c r="O115" s="5"/>
      <c r="Q115" s="41"/>
      <c r="R115" s="5"/>
      <c r="S115" s="5"/>
    </row>
    <row r="116" spans="2:19">
      <c r="B116" s="5"/>
      <c r="C116" s="5"/>
      <c r="D116" s="5"/>
      <c r="E116" s="5"/>
      <c r="F116" s="5"/>
      <c r="G116" s="5"/>
      <c r="H116" s="5"/>
      <c r="I116" s="5"/>
      <c r="J116" s="5"/>
      <c r="K116" s="5"/>
      <c r="L116" s="5"/>
      <c r="M116" s="5"/>
      <c r="N116" s="5"/>
      <c r="O116" s="5"/>
      <c r="Q116" s="5"/>
      <c r="R116" s="5"/>
      <c r="S116" s="5"/>
    </row>
    <row r="117" spans="2:19">
      <c r="B117" s="41"/>
      <c r="C117" s="49"/>
      <c r="D117" s="49"/>
      <c r="E117" s="49"/>
      <c r="F117" s="49"/>
      <c r="G117" s="49"/>
      <c r="H117" s="49"/>
      <c r="I117" s="254"/>
      <c r="J117" s="49"/>
      <c r="K117" s="49"/>
      <c r="L117" s="49"/>
      <c r="M117" s="49"/>
      <c r="N117" s="49"/>
      <c r="O117" s="49"/>
      <c r="Q117" s="5"/>
      <c r="R117" s="5"/>
      <c r="S117" s="5"/>
    </row>
    <row r="118" spans="2:19">
      <c r="B118" s="5"/>
      <c r="C118" s="5"/>
      <c r="D118" s="5"/>
      <c r="E118" s="5"/>
      <c r="F118" s="5"/>
      <c r="G118" s="5"/>
      <c r="H118" s="5"/>
      <c r="I118" s="249"/>
      <c r="J118" s="5"/>
      <c r="K118" s="5"/>
      <c r="L118" s="5"/>
      <c r="M118" s="5"/>
      <c r="N118" s="5"/>
      <c r="O118" s="5"/>
      <c r="Q118" s="5"/>
      <c r="R118" s="5"/>
      <c r="S118" s="5"/>
    </row>
    <row r="119" spans="2:19">
      <c r="B119" s="41"/>
      <c r="C119" s="254"/>
      <c r="D119" s="254"/>
      <c r="E119" s="254"/>
      <c r="F119" s="254"/>
      <c r="G119" s="254"/>
      <c r="H119" s="254"/>
      <c r="I119" s="254"/>
      <c r="J119" s="254"/>
      <c r="K119" s="254"/>
      <c r="L119" s="254"/>
      <c r="M119" s="254"/>
      <c r="N119" s="254"/>
      <c r="O119" s="248"/>
      <c r="Q119" s="5"/>
      <c r="R119" s="5"/>
      <c r="S119" s="5"/>
    </row>
    <row r="120" spans="2:19">
      <c r="B120" s="41"/>
      <c r="C120" s="254"/>
      <c r="D120" s="249"/>
      <c r="E120" s="249"/>
      <c r="F120" s="249"/>
      <c r="G120" s="249"/>
      <c r="H120" s="249"/>
      <c r="I120" s="254"/>
      <c r="J120" s="249"/>
      <c r="K120" s="249"/>
      <c r="L120" s="249"/>
      <c r="M120" s="249"/>
      <c r="N120" s="249"/>
      <c r="O120" s="248"/>
      <c r="Q120" s="5"/>
      <c r="R120" s="5"/>
      <c r="S120" s="5"/>
    </row>
    <row r="121" spans="2:19">
      <c r="B121" s="41"/>
      <c r="C121" s="254"/>
      <c r="D121" s="254"/>
      <c r="E121" s="254"/>
      <c r="F121" s="254"/>
      <c r="G121" s="254"/>
      <c r="H121" s="254"/>
      <c r="I121" s="254"/>
      <c r="J121" s="254"/>
      <c r="K121" s="254"/>
      <c r="L121" s="254"/>
      <c r="M121" s="254"/>
      <c r="N121" s="254"/>
      <c r="O121" s="248"/>
      <c r="Q121" s="5"/>
      <c r="R121" s="5"/>
      <c r="S121" s="5"/>
    </row>
    <row r="122" spans="2:19">
      <c r="B122" s="41"/>
      <c r="C122" s="254"/>
      <c r="D122" s="254"/>
      <c r="E122" s="254"/>
      <c r="F122" s="254"/>
      <c r="G122" s="254"/>
      <c r="H122" s="254"/>
      <c r="I122" s="254"/>
      <c r="J122" s="254"/>
      <c r="K122" s="254"/>
      <c r="L122" s="254"/>
      <c r="M122" s="254"/>
      <c r="N122" s="254"/>
      <c r="O122" s="248"/>
      <c r="Q122" s="5"/>
      <c r="R122" s="5"/>
      <c r="S122" s="5"/>
    </row>
    <row r="123" spans="2:19">
      <c r="B123" s="41"/>
      <c r="C123" s="254"/>
      <c r="D123" s="254"/>
      <c r="E123" s="254"/>
      <c r="F123" s="254"/>
      <c r="G123" s="254"/>
      <c r="H123" s="254"/>
      <c r="I123" s="254"/>
      <c r="J123" s="254"/>
      <c r="K123" s="254"/>
      <c r="L123" s="254"/>
      <c r="M123" s="254"/>
      <c r="N123" s="254"/>
      <c r="O123" s="248"/>
      <c r="Q123" s="5"/>
      <c r="R123" s="5"/>
      <c r="S123" s="5"/>
    </row>
    <row r="124" spans="2:19">
      <c r="B124" s="41"/>
      <c r="C124" s="254"/>
      <c r="D124" s="254"/>
      <c r="E124" s="254"/>
      <c r="F124" s="254"/>
      <c r="G124" s="254"/>
      <c r="H124" s="254"/>
      <c r="I124" s="254"/>
      <c r="J124" s="254"/>
      <c r="K124" s="254"/>
      <c r="L124" s="254"/>
      <c r="M124" s="254"/>
      <c r="N124" s="254"/>
      <c r="O124" s="248"/>
      <c r="Q124" s="5"/>
      <c r="R124" s="5"/>
      <c r="S124" s="5"/>
    </row>
    <row r="125" spans="2:19">
      <c r="B125" s="41"/>
      <c r="C125" s="254"/>
      <c r="D125" s="254"/>
      <c r="E125" s="254"/>
      <c r="F125" s="254"/>
      <c r="G125" s="254"/>
      <c r="H125" s="254"/>
      <c r="I125" s="254"/>
      <c r="J125" s="254"/>
      <c r="K125" s="254"/>
      <c r="L125" s="254"/>
      <c r="M125" s="254"/>
      <c r="N125" s="254"/>
      <c r="O125" s="5"/>
      <c r="Q125" s="5"/>
      <c r="R125" s="5"/>
      <c r="S125" s="5"/>
    </row>
    <row r="126" spans="2:19">
      <c r="B126" s="41"/>
      <c r="C126" s="254"/>
      <c r="D126" s="254"/>
      <c r="E126" s="254"/>
      <c r="F126" s="254"/>
      <c r="G126" s="254"/>
      <c r="H126" s="254"/>
      <c r="I126" s="254"/>
      <c r="J126" s="254"/>
      <c r="K126" s="254"/>
      <c r="L126" s="254"/>
      <c r="M126" s="254"/>
      <c r="N126" s="254"/>
      <c r="O126" s="5"/>
      <c r="Q126" s="5"/>
      <c r="R126" s="5"/>
      <c r="S126" s="5"/>
    </row>
    <row r="127" spans="2:19">
      <c r="B127" s="41"/>
      <c r="C127" s="254"/>
      <c r="D127" s="254"/>
      <c r="E127" s="254"/>
      <c r="F127" s="254"/>
      <c r="G127" s="254"/>
      <c r="H127" s="254"/>
      <c r="I127" s="18"/>
      <c r="J127" s="254"/>
      <c r="K127" s="254"/>
      <c r="L127" s="254"/>
      <c r="M127" s="254"/>
      <c r="N127" s="254"/>
      <c r="O127" s="5"/>
      <c r="Q127" s="5"/>
      <c r="R127" s="5"/>
      <c r="S127" s="5"/>
    </row>
    <row r="128" spans="2:19">
      <c r="B128" s="41"/>
      <c r="C128" s="254"/>
      <c r="D128" s="254"/>
      <c r="E128" s="254"/>
      <c r="F128" s="254"/>
      <c r="G128" s="254"/>
      <c r="H128" s="254"/>
      <c r="I128" s="5"/>
      <c r="J128" s="254"/>
      <c r="K128" s="254"/>
      <c r="L128" s="254"/>
      <c r="M128" s="254"/>
      <c r="N128" s="254"/>
      <c r="O128" s="5"/>
      <c r="Q128" s="5"/>
      <c r="R128" s="5"/>
      <c r="S128" s="5"/>
    </row>
    <row r="129" spans="2:27">
      <c r="B129" s="5"/>
      <c r="C129" s="5"/>
      <c r="D129" s="18"/>
      <c r="E129" s="18"/>
      <c r="F129" s="18"/>
      <c r="G129" s="18"/>
      <c r="H129" s="18"/>
      <c r="I129" s="254"/>
      <c r="J129" s="18"/>
      <c r="K129" s="18"/>
      <c r="L129" s="18"/>
      <c r="M129" s="18"/>
      <c r="N129" s="18"/>
      <c r="O129" s="5"/>
      <c r="Q129" s="5"/>
      <c r="R129" s="5"/>
      <c r="S129" s="5"/>
    </row>
    <row r="130" spans="2:27">
      <c r="B130" s="5"/>
      <c r="C130" s="5"/>
      <c r="D130" s="5"/>
      <c r="E130" s="5"/>
      <c r="F130" s="5"/>
      <c r="G130" s="5"/>
      <c r="H130" s="5"/>
      <c r="I130" s="18"/>
      <c r="J130" s="5"/>
      <c r="K130" s="5"/>
      <c r="L130" s="5"/>
      <c r="M130" s="5"/>
      <c r="N130" s="5"/>
      <c r="O130" s="5"/>
      <c r="Q130" s="5"/>
      <c r="R130" s="5"/>
      <c r="S130" s="5"/>
    </row>
    <row r="131" spans="2:27">
      <c r="B131" s="41"/>
      <c r="C131" s="254"/>
      <c r="D131" s="254"/>
      <c r="E131" s="254"/>
      <c r="F131" s="254"/>
      <c r="G131" s="254"/>
      <c r="H131" s="254"/>
      <c r="I131" s="5"/>
      <c r="J131" s="254"/>
      <c r="K131" s="254"/>
      <c r="L131" s="254"/>
      <c r="M131" s="254"/>
      <c r="N131" s="254"/>
      <c r="O131" s="5"/>
      <c r="Q131" s="5"/>
      <c r="R131" s="5"/>
      <c r="S131" s="5"/>
    </row>
    <row r="132" spans="2:27">
      <c r="B132" s="5"/>
      <c r="C132" s="259"/>
      <c r="D132" s="18"/>
      <c r="E132" s="18"/>
      <c r="F132" s="18"/>
      <c r="G132" s="18"/>
      <c r="H132" s="18"/>
      <c r="I132" s="5"/>
      <c r="J132" s="18"/>
      <c r="K132" s="18"/>
      <c r="L132" s="18"/>
      <c r="M132" s="18"/>
      <c r="N132" s="18"/>
      <c r="O132" s="5"/>
      <c r="Q132" s="5"/>
      <c r="R132" s="5"/>
      <c r="S132" s="5"/>
    </row>
    <row r="133" spans="2:27">
      <c r="B133" s="5"/>
      <c r="C133" s="5"/>
      <c r="D133" s="5"/>
      <c r="E133" s="5"/>
      <c r="F133" s="5"/>
      <c r="G133" s="5"/>
      <c r="H133" s="5"/>
      <c r="I133" s="17"/>
      <c r="J133" s="5"/>
      <c r="K133" s="5"/>
      <c r="L133" s="5"/>
      <c r="M133" s="5"/>
      <c r="N133" s="5"/>
      <c r="O133" s="5"/>
      <c r="Q133" s="5"/>
      <c r="R133" s="5"/>
      <c r="S133" s="5"/>
    </row>
    <row r="134" spans="2:27">
      <c r="B134" s="41"/>
      <c r="C134" s="5"/>
      <c r="D134" s="5"/>
      <c r="E134" s="5"/>
      <c r="F134" s="5"/>
      <c r="G134" s="5"/>
      <c r="H134" s="5"/>
      <c r="I134" s="17"/>
      <c r="J134" s="5"/>
      <c r="K134" s="5"/>
      <c r="L134" s="5"/>
      <c r="M134" s="5"/>
      <c r="N134" s="5"/>
      <c r="O134" s="5"/>
      <c r="Q134" s="5"/>
      <c r="R134" s="5"/>
      <c r="S134" s="5"/>
    </row>
    <row r="135" spans="2:27">
      <c r="B135" s="5"/>
      <c r="C135" s="17"/>
      <c r="D135" s="17"/>
      <c r="E135" s="17"/>
      <c r="F135" s="17"/>
      <c r="G135" s="17"/>
      <c r="H135" s="17"/>
      <c r="I135" s="17"/>
      <c r="J135" s="17"/>
      <c r="K135" s="17"/>
      <c r="L135" s="17"/>
      <c r="M135" s="17"/>
      <c r="N135" s="17"/>
      <c r="O135" s="5"/>
      <c r="Q135" s="41"/>
      <c r="R135" s="5"/>
      <c r="S135" s="5"/>
    </row>
    <row r="136" spans="2:27">
      <c r="B136" s="5"/>
      <c r="C136" s="17"/>
      <c r="D136" s="17"/>
      <c r="E136" s="17"/>
      <c r="F136" s="17"/>
      <c r="G136" s="17"/>
      <c r="H136" s="17"/>
      <c r="I136" s="17"/>
      <c r="J136" s="17"/>
      <c r="K136" s="17"/>
      <c r="L136" s="17"/>
      <c r="M136" s="17"/>
      <c r="N136" s="17"/>
      <c r="O136" s="5"/>
      <c r="Q136" s="5"/>
      <c r="R136" s="5"/>
      <c r="S136" s="5"/>
      <c r="X136" s="304"/>
    </row>
    <row r="137" spans="2:27">
      <c r="B137" s="5"/>
      <c r="C137" s="5"/>
      <c r="D137" s="17"/>
      <c r="E137" s="17"/>
      <c r="F137" s="17"/>
      <c r="G137" s="17"/>
      <c r="H137" s="17"/>
      <c r="I137" s="17"/>
      <c r="J137" s="17"/>
      <c r="K137" s="17"/>
      <c r="L137" s="17"/>
      <c r="M137" s="17"/>
      <c r="N137" s="17"/>
      <c r="O137" s="5"/>
      <c r="Q137" s="5"/>
      <c r="R137" s="5"/>
      <c r="S137" s="5"/>
      <c r="X137" s="10"/>
      <c r="Y137" s="304"/>
      <c r="Z137" s="304"/>
      <c r="AA137" s="304"/>
    </row>
    <row r="138" spans="2:27">
      <c r="B138" s="5"/>
      <c r="C138" s="5"/>
      <c r="D138" s="17"/>
      <c r="E138" s="17"/>
      <c r="F138" s="17"/>
      <c r="G138" s="17"/>
      <c r="H138" s="17"/>
      <c r="I138" s="17"/>
      <c r="J138" s="17"/>
      <c r="K138" s="17"/>
      <c r="L138" s="17"/>
      <c r="M138" s="17"/>
      <c r="N138" s="17"/>
      <c r="O138" s="5"/>
      <c r="Q138" s="5"/>
      <c r="R138" s="5"/>
      <c r="S138" s="5"/>
      <c r="Y138" s="10"/>
      <c r="Z138" s="10"/>
      <c r="AA138" s="10"/>
    </row>
    <row r="139" spans="2:27">
      <c r="B139" s="5"/>
      <c r="C139" s="5"/>
      <c r="D139" s="17"/>
      <c r="E139" s="17"/>
      <c r="F139" s="17"/>
      <c r="G139" s="17"/>
      <c r="H139" s="17"/>
      <c r="I139" s="5"/>
      <c r="J139" s="17"/>
      <c r="K139" s="17"/>
      <c r="L139" s="17"/>
      <c r="M139" s="17"/>
      <c r="N139" s="17"/>
      <c r="O139" s="5"/>
      <c r="Q139" s="5"/>
      <c r="R139" s="5"/>
      <c r="S139" s="5"/>
    </row>
    <row r="140" spans="2:27">
      <c r="B140" s="5"/>
      <c r="C140" s="17"/>
      <c r="D140" s="17"/>
      <c r="E140" s="17"/>
      <c r="F140" s="17"/>
      <c r="G140" s="17"/>
      <c r="H140" s="17"/>
      <c r="I140" s="5"/>
      <c r="J140" s="17"/>
      <c r="K140" s="17"/>
      <c r="L140" s="17"/>
      <c r="M140" s="17"/>
      <c r="N140" s="17"/>
      <c r="O140" s="5"/>
      <c r="Q140" s="5"/>
      <c r="R140" s="5"/>
      <c r="S140" s="5"/>
    </row>
    <row r="141" spans="2:27">
      <c r="B141" s="5"/>
      <c r="C141" s="5"/>
      <c r="D141" s="5"/>
      <c r="E141" s="5"/>
      <c r="F141" s="5"/>
      <c r="G141" s="5"/>
      <c r="H141" s="5"/>
      <c r="I141" s="5"/>
      <c r="J141" s="5"/>
      <c r="K141" s="5"/>
      <c r="L141" s="5"/>
      <c r="M141" s="5"/>
      <c r="N141" s="5"/>
      <c r="O141" s="5"/>
      <c r="Q141" s="5"/>
      <c r="R141" s="5"/>
      <c r="S141" s="5"/>
    </row>
    <row r="142" spans="2:27">
      <c r="B142" s="5"/>
      <c r="C142" s="5"/>
      <c r="D142" s="5"/>
      <c r="E142" s="5"/>
      <c r="F142" s="5"/>
      <c r="G142" s="5"/>
      <c r="H142" s="5"/>
      <c r="I142" s="5"/>
      <c r="J142" s="5"/>
      <c r="K142" s="5"/>
      <c r="L142" s="5"/>
      <c r="M142" s="5"/>
      <c r="N142" s="5"/>
      <c r="O142" s="5"/>
      <c r="Q142" s="5"/>
      <c r="R142" s="5"/>
      <c r="S142" s="5"/>
    </row>
    <row r="143" spans="2:27">
      <c r="B143" s="5"/>
      <c r="C143" s="5"/>
      <c r="D143" s="5"/>
      <c r="E143" s="5"/>
      <c r="F143" s="5"/>
      <c r="G143" s="5"/>
      <c r="H143" s="5"/>
      <c r="I143" s="5"/>
      <c r="J143" s="5"/>
      <c r="K143" s="5"/>
      <c r="L143" s="5"/>
      <c r="M143" s="5"/>
      <c r="N143" s="5"/>
      <c r="O143" s="5"/>
      <c r="Q143" s="5"/>
      <c r="R143" s="5"/>
      <c r="S143" s="5"/>
    </row>
    <row r="144" spans="2:27">
      <c r="B144" s="5"/>
      <c r="C144" s="5"/>
      <c r="D144" s="5"/>
      <c r="E144" s="5"/>
      <c r="F144" s="5"/>
      <c r="G144" s="5"/>
      <c r="H144" s="5"/>
      <c r="I144" s="5"/>
      <c r="J144" s="5"/>
      <c r="K144" s="5"/>
      <c r="L144" s="5"/>
      <c r="M144" s="5"/>
      <c r="N144" s="5"/>
      <c r="O144" s="5"/>
      <c r="Q144" s="5"/>
      <c r="R144" s="5"/>
      <c r="S144" s="5"/>
    </row>
    <row r="145" spans="2:19">
      <c r="B145" s="5"/>
      <c r="C145" s="5"/>
      <c r="D145" s="5"/>
      <c r="E145" s="5"/>
      <c r="F145" s="5"/>
      <c r="G145" s="5"/>
      <c r="H145" s="5"/>
      <c r="I145" s="5"/>
      <c r="J145" s="5"/>
      <c r="K145" s="5"/>
      <c r="L145" s="5"/>
      <c r="M145" s="5"/>
      <c r="N145" s="5"/>
      <c r="O145" s="5"/>
      <c r="Q145" s="5"/>
      <c r="R145" s="5"/>
      <c r="S145" s="5"/>
    </row>
    <row r="146" spans="2:19">
      <c r="B146" s="5"/>
      <c r="C146" s="5"/>
      <c r="D146" s="5"/>
      <c r="E146" s="5"/>
      <c r="F146" s="5"/>
      <c r="G146" s="5"/>
      <c r="H146" s="5"/>
      <c r="I146" s="5"/>
      <c r="J146" s="5"/>
      <c r="K146" s="5"/>
      <c r="L146" s="5"/>
      <c r="M146" s="5"/>
      <c r="N146" s="5"/>
      <c r="O146" s="5"/>
      <c r="Q146" s="5"/>
      <c r="R146" s="5"/>
      <c r="S146" s="5"/>
    </row>
    <row r="147" spans="2:19">
      <c r="B147" s="5"/>
      <c r="C147" s="5"/>
      <c r="D147" s="5"/>
      <c r="E147" s="5"/>
      <c r="F147" s="5"/>
      <c r="G147" s="5"/>
      <c r="H147" s="5"/>
      <c r="I147" s="5"/>
      <c r="J147" s="5"/>
      <c r="K147" s="5"/>
      <c r="L147" s="5"/>
      <c r="M147" s="5"/>
      <c r="N147" s="5"/>
      <c r="O147" s="5"/>
      <c r="Q147" s="5"/>
      <c r="R147" s="5"/>
      <c r="S147" s="5"/>
    </row>
    <row r="148" spans="2:19">
      <c r="B148" s="5"/>
      <c r="C148" s="5"/>
      <c r="D148" s="5"/>
      <c r="E148" s="5"/>
      <c r="F148" s="5"/>
      <c r="G148" s="5"/>
      <c r="H148" s="5"/>
      <c r="I148" s="5"/>
      <c r="J148" s="5"/>
      <c r="K148" s="5"/>
      <c r="L148" s="5"/>
      <c r="M148" s="5"/>
      <c r="N148" s="5"/>
      <c r="O148" s="5"/>
      <c r="Q148" s="5"/>
      <c r="R148" s="5"/>
      <c r="S148" s="5"/>
    </row>
    <row r="149" spans="2:19">
      <c r="B149" s="5"/>
      <c r="C149" s="5"/>
      <c r="D149" s="5"/>
      <c r="E149" s="5"/>
      <c r="F149" s="5"/>
      <c r="G149" s="5"/>
      <c r="H149" s="5"/>
      <c r="J149" s="5"/>
      <c r="K149" s="5"/>
      <c r="L149" s="5"/>
      <c r="M149" s="5"/>
      <c r="N149" s="5"/>
      <c r="O149" s="5"/>
      <c r="Q149" s="5"/>
      <c r="R149" s="5"/>
      <c r="S149" s="5"/>
    </row>
    <row r="150" spans="2:19">
      <c r="B150" s="5"/>
      <c r="C150" s="5"/>
      <c r="D150" s="5"/>
      <c r="E150" s="5"/>
      <c r="F150" s="5"/>
      <c r="G150" s="5"/>
      <c r="H150" s="5"/>
      <c r="J150" s="5"/>
      <c r="K150" s="5"/>
      <c r="L150" s="5"/>
      <c r="M150" s="5"/>
      <c r="N150" s="5"/>
      <c r="O150" s="5"/>
      <c r="Q150" s="5"/>
      <c r="R150" s="5"/>
      <c r="S150" s="5"/>
    </row>
    <row r="151" spans="2:19">
      <c r="Q151" s="5"/>
      <c r="R151" s="5"/>
      <c r="S151" s="5"/>
    </row>
    <row r="152" spans="2:19">
      <c r="Q152" s="5"/>
      <c r="R152" s="5"/>
      <c r="S152" s="5"/>
    </row>
    <row r="153" spans="2:19">
      <c r="C153" s="263"/>
      <c r="Q153" s="5"/>
      <c r="R153" s="5"/>
      <c r="S153" s="5"/>
    </row>
    <row r="154" spans="2:19">
      <c r="Q154" s="5"/>
      <c r="R154" s="5"/>
      <c r="S154" s="5"/>
    </row>
    <row r="155" spans="2:19">
      <c r="Q155" s="5"/>
      <c r="R155" s="5"/>
      <c r="S155" s="5"/>
    </row>
    <row r="156" spans="2:19">
      <c r="Q156" s="5"/>
      <c r="R156" s="5"/>
      <c r="S156" s="5"/>
    </row>
    <row r="157" spans="2:19">
      <c r="Q157" s="5"/>
      <c r="R157" s="5"/>
      <c r="S157" s="5"/>
    </row>
    <row r="158" spans="2:19">
      <c r="Q158" s="5"/>
      <c r="R158" s="5"/>
      <c r="S158" s="5"/>
    </row>
    <row r="159" spans="2:19">
      <c r="Q159" s="5"/>
      <c r="R159" s="5"/>
      <c r="S159" s="5"/>
    </row>
    <row r="160" spans="2:19">
      <c r="Q160" s="5"/>
      <c r="R160" s="5"/>
      <c r="S160" s="5"/>
    </row>
    <row r="161" spans="17:19">
      <c r="Q161" s="5"/>
      <c r="R161" s="5"/>
      <c r="S161" s="5"/>
    </row>
    <row r="162" spans="17:19">
      <c r="Q162" s="5"/>
      <c r="R162" s="5"/>
      <c r="S162" s="5"/>
    </row>
    <row r="163" spans="17:19">
      <c r="Q163" s="5"/>
      <c r="R163" s="5"/>
      <c r="S163" s="5"/>
    </row>
    <row r="164" spans="17:19">
      <c r="Q164" s="5"/>
      <c r="R164" s="5"/>
      <c r="S164" s="5"/>
    </row>
    <row r="165" spans="17:19">
      <c r="Q165" s="5"/>
      <c r="R165" s="5"/>
      <c r="S165" s="5"/>
    </row>
  </sheetData>
  <pageMargins left="0.75" right="0.75" top="1" bottom="1" header="0.5" footer="0.5"/>
  <pageSetup scale="71" orientation="landscape" r:id="rId1"/>
  <headerFooter alignWithMargins="0"/>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142">
    <pageSetUpPr fitToPage="1"/>
  </sheetPr>
  <dimension ref="B1:AR165"/>
  <sheetViews>
    <sheetView showGridLines="0" zoomScale="80" zoomScaleNormal="80" workbookViewId="0"/>
  </sheetViews>
  <sheetFormatPr defaultColWidth="9.109375" defaultRowHeight="12"/>
  <cols>
    <col min="1" max="1" width="2.33203125" style="39" customWidth="1"/>
    <col min="2" max="2" width="26.5546875" style="39" customWidth="1"/>
    <col min="3" max="9" width="10" style="39" customWidth="1"/>
    <col min="10" max="10" width="26.6640625" style="39" customWidth="1"/>
    <col min="11" max="16" width="10" style="39" customWidth="1"/>
    <col min="17" max="18" width="8.6640625" style="39" customWidth="1"/>
    <col min="19" max="28" width="8.6640625" style="5" customWidth="1"/>
    <col min="29" max="44" width="9.109375" style="5"/>
    <col min="45" max="16384" width="9.109375" style="39"/>
  </cols>
  <sheetData>
    <row r="1" spans="2:44" s="312" customFormat="1">
      <c r="S1" s="149"/>
      <c r="T1" s="149"/>
      <c r="U1" s="149"/>
      <c r="V1" s="149"/>
      <c r="W1" s="149"/>
      <c r="X1" s="149"/>
      <c r="Y1" s="149"/>
      <c r="Z1" s="149"/>
      <c r="AA1" s="149"/>
      <c r="AB1" s="149"/>
      <c r="AC1" s="149"/>
      <c r="AD1" s="149"/>
      <c r="AE1" s="149"/>
      <c r="AF1" s="149"/>
      <c r="AG1" s="149"/>
      <c r="AH1" s="149"/>
      <c r="AI1" s="149"/>
      <c r="AJ1" s="149"/>
      <c r="AK1" s="149"/>
      <c r="AL1" s="149"/>
      <c r="AM1" s="149"/>
      <c r="AN1" s="149"/>
      <c r="AO1" s="149"/>
      <c r="AP1" s="149"/>
      <c r="AQ1" s="149"/>
      <c r="AR1" s="149"/>
    </row>
    <row r="2" spans="2:44" s="149" customFormat="1"/>
    <row r="3" spans="2:44" s="149" customFormat="1">
      <c r="H3" s="153"/>
      <c r="P3" s="153"/>
    </row>
    <row r="4" spans="2:44" s="156" customFormat="1" ht="21">
      <c r="B4" s="129" t="s">
        <v>167</v>
      </c>
      <c r="H4" s="222"/>
      <c r="P4" s="222"/>
    </row>
    <row r="5" spans="2:44" s="149" customFormat="1">
      <c r="C5" s="153"/>
      <c r="D5" s="153" t="str" cm="1">
        <f t="array" ref="D5:H5">headings</f>
        <v>2023E</v>
      </c>
      <c r="E5" s="153" t="str">
        <v>2024E</v>
      </c>
      <c r="F5" s="153" t="str">
        <v>2025E</v>
      </c>
      <c r="G5" s="153" t="str">
        <v>2026E</v>
      </c>
      <c r="H5" s="153" t="str">
        <v>23E-26E</v>
      </c>
      <c r="I5" s="153"/>
      <c r="J5" s="153"/>
      <c r="K5" s="153"/>
      <c r="L5" s="153" t="str" cm="1">
        <f t="array" ref="L5:P5">headings</f>
        <v>2023E</v>
      </c>
      <c r="M5" s="153" t="str">
        <v>2024E</v>
      </c>
      <c r="N5" s="153" t="str">
        <v>2025E</v>
      </c>
      <c r="O5" s="153" t="str">
        <v>2026E</v>
      </c>
      <c r="P5" s="153" t="str">
        <v>23E-26E</v>
      </c>
      <c r="Q5" s="162"/>
      <c r="R5" s="162"/>
      <c r="S5" s="162"/>
      <c r="T5" s="162"/>
      <c r="U5" s="162"/>
      <c r="V5" s="162"/>
      <c r="W5" s="162"/>
      <c r="X5" s="162"/>
      <c r="Y5" s="162"/>
    </row>
    <row r="6" spans="2:44">
      <c r="I6" s="5"/>
      <c r="J6" s="5"/>
      <c r="K6" s="5"/>
      <c r="L6" s="5"/>
      <c r="M6" s="5"/>
      <c r="N6" s="5"/>
      <c r="O6" s="49"/>
    </row>
    <row r="7" spans="2:44" ht="12.6" thickBot="1">
      <c r="B7" s="306" t="s">
        <v>271</v>
      </c>
      <c r="C7" s="265"/>
      <c r="D7" s="265" t="str">
        <f>D5</f>
        <v>2023E</v>
      </c>
      <c r="E7" s="265" t="str">
        <f t="shared" ref="E7:H7" si="0">E5</f>
        <v>2024E</v>
      </c>
      <c r="F7" s="265" t="str">
        <f t="shared" si="0"/>
        <v>2025E</v>
      </c>
      <c r="G7" s="265" t="str">
        <f t="shared" si="0"/>
        <v>2026E</v>
      </c>
      <c r="H7" s="265" t="str">
        <f t="shared" si="0"/>
        <v>23E-26E</v>
      </c>
      <c r="I7" s="49"/>
      <c r="J7" s="306" t="s">
        <v>74</v>
      </c>
      <c r="K7" s="306"/>
      <c r="L7" s="265" t="str">
        <f>L5</f>
        <v>2023E</v>
      </c>
      <c r="M7" s="265" t="str">
        <f t="shared" ref="M7:P7" si="1">M5</f>
        <v>2024E</v>
      </c>
      <c r="N7" s="265" t="str">
        <f t="shared" si="1"/>
        <v>2025E</v>
      </c>
      <c r="O7" s="265" t="str">
        <f t="shared" si="1"/>
        <v>2026E</v>
      </c>
      <c r="P7" s="265" t="str">
        <f t="shared" si="1"/>
        <v>23E-26E</v>
      </c>
    </row>
    <row r="8" spans="2:44" ht="12.6" thickTop="1">
      <c r="B8" s="5"/>
      <c r="C8" s="5"/>
      <c r="D8" s="5"/>
      <c r="E8" s="5"/>
      <c r="F8" s="5"/>
      <c r="G8" s="5"/>
      <c r="H8" s="5"/>
      <c r="I8" s="5"/>
      <c r="J8" s="5"/>
      <c r="K8" s="5"/>
      <c r="L8" s="5"/>
      <c r="M8" s="5"/>
      <c r="N8" s="5"/>
      <c r="S8" s="42"/>
      <c r="T8" s="42"/>
      <c r="U8" s="42"/>
      <c r="V8" s="42"/>
      <c r="W8" s="42"/>
      <c r="X8" s="42"/>
      <c r="Y8" s="42"/>
      <c r="Z8" s="42"/>
      <c r="AA8" s="42"/>
    </row>
    <row r="9" spans="2:44">
      <c r="B9" s="41" t="s">
        <v>14</v>
      </c>
      <c r="C9" s="267">
        <f>Prices!C90</f>
        <v>3.71</v>
      </c>
      <c r="D9" s="535">
        <v>0</v>
      </c>
      <c r="E9" s="536">
        <v>0</v>
      </c>
      <c r="F9" s="536">
        <v>0</v>
      </c>
      <c r="G9" s="536">
        <v>0</v>
      </c>
      <c r="H9" s="249"/>
      <c r="I9" s="249"/>
      <c r="J9" s="5" t="s">
        <v>273</v>
      </c>
      <c r="L9" s="529">
        <f>'AGG ASIA CELLULAR'!D37</f>
        <v>2.0832818906884643</v>
      </c>
      <c r="M9" s="529">
        <f>'AGG ASIA CELLULAR'!E37</f>
        <v>1.9180381131180324</v>
      </c>
      <c r="N9" s="529">
        <f>'AGG ASIA CELLULAR'!F37</f>
        <v>1.6973984727138696</v>
      </c>
      <c r="O9" s="529">
        <f>'AGG ASIA CELLULAR'!G37</f>
        <v>1.4849146547081604</v>
      </c>
      <c r="P9" s="286">
        <f>'AGG ASIA CELLULAR'!H37</f>
        <v>5.2823672985303771E-2</v>
      </c>
      <c r="S9" s="42"/>
      <c r="T9" s="42"/>
      <c r="U9" s="42"/>
      <c r="V9" s="42"/>
      <c r="W9" s="42"/>
      <c r="X9" s="42"/>
      <c r="Y9" s="42"/>
      <c r="Z9" s="42"/>
      <c r="AA9" s="42"/>
    </row>
    <row r="10" spans="2:44">
      <c r="B10" s="5" t="s">
        <v>274</v>
      </c>
      <c r="C10" s="5"/>
      <c r="D10" s="531">
        <v>7828</v>
      </c>
      <c r="E10" s="531">
        <v>7828</v>
      </c>
      <c r="F10" s="531">
        <v>7828</v>
      </c>
      <c r="G10" s="531">
        <v>7828</v>
      </c>
      <c r="H10" s="247"/>
      <c r="I10" s="247"/>
      <c r="J10" s="5" t="s">
        <v>184</v>
      </c>
      <c r="L10" s="529">
        <f>'AGG ASIA CELLULAR'!D38</f>
        <v>6.3578764048835863</v>
      </c>
      <c r="M10" s="529">
        <f>'AGG ASIA CELLULAR'!E38</f>
        <v>5.8349432944863064</v>
      </c>
      <c r="N10" s="529">
        <f>'AGG ASIA CELLULAR'!F38</f>
        <v>5.103853656504258</v>
      </c>
      <c r="O10" s="529">
        <f>'AGG ASIA CELLULAR'!G38</f>
        <v>4.4165179955724438</v>
      </c>
      <c r="P10" s="286">
        <f>'AGG ASIA CELLULAR'!H38</f>
        <v>6.1901299000113985E-2</v>
      </c>
      <c r="S10" s="42"/>
      <c r="T10" s="42"/>
      <c r="U10" s="42"/>
      <c r="V10" s="42"/>
      <c r="W10" s="288"/>
      <c r="X10" s="288"/>
      <c r="Y10" s="288"/>
      <c r="Z10" s="288"/>
      <c r="AA10" s="42"/>
    </row>
    <row r="11" spans="2:44">
      <c r="B11" s="41" t="s">
        <v>275</v>
      </c>
      <c r="C11" s="5"/>
      <c r="D11" s="532">
        <f>$C$9*D10</f>
        <v>29041.88</v>
      </c>
      <c r="E11" s="532">
        <f>$C$9*E10</f>
        <v>29041.88</v>
      </c>
      <c r="F11" s="532">
        <f>$C$9*F10</f>
        <v>29041.88</v>
      </c>
      <c r="G11" s="532">
        <f>$C$9*G10</f>
        <v>29041.88</v>
      </c>
      <c r="H11" s="249"/>
      <c r="I11" s="249"/>
      <c r="J11" s="5" t="s">
        <v>185</v>
      </c>
      <c r="L11" s="529">
        <f>'AGG ASIA CELLULAR'!D39</f>
        <v>12.256315794878686</v>
      </c>
      <c r="M11" s="529">
        <f>'AGG ASIA CELLULAR'!E39</f>
        <v>10.532349001792122</v>
      </c>
      <c r="N11" s="529">
        <f>'AGG ASIA CELLULAR'!F39</f>
        <v>8.8097379743624202</v>
      </c>
      <c r="O11" s="529">
        <f>'AGG ASIA CELLULAR'!G39</f>
        <v>7.3400525025099741</v>
      </c>
      <c r="P11" s="286">
        <f>'AGG ASIA CELLULAR'!H39</f>
        <v>0.11573327430771596</v>
      </c>
      <c r="S11" s="42"/>
      <c r="T11" s="42"/>
      <c r="U11" s="42"/>
      <c r="V11" s="42"/>
      <c r="W11" s="288"/>
      <c r="X11" s="288"/>
      <c r="Y11" s="288"/>
      <c r="Z11" s="288"/>
      <c r="AA11" s="42"/>
    </row>
    <row r="12" spans="2:44">
      <c r="B12" s="5" t="s">
        <v>24</v>
      </c>
      <c r="C12" s="249"/>
      <c r="D12" s="533">
        <v>8623.3544842718966</v>
      </c>
      <c r="E12" s="533">
        <v>8257.5016620717852</v>
      </c>
      <c r="F12" s="533">
        <v>7943.4210684313866</v>
      </c>
      <c r="G12" s="533">
        <v>7645.0104148502087</v>
      </c>
      <c r="H12" s="247"/>
      <c r="I12" s="247"/>
      <c r="J12" s="5" t="s">
        <v>466</v>
      </c>
      <c r="L12" s="529">
        <f>'AGG ASIA CELLULAR'!D40</f>
        <v>15.951300793811486</v>
      </c>
      <c r="M12" s="529">
        <f>'AGG ASIA CELLULAR'!E40</f>
        <v>13.847183646795452</v>
      </c>
      <c r="N12" s="529">
        <f>'AGG ASIA CELLULAR'!F40</f>
        <v>11.626709680654198</v>
      </c>
      <c r="O12" s="529">
        <f>'AGG ASIA CELLULAR'!G40</f>
        <v>9.7078389032116537</v>
      </c>
      <c r="P12" s="286">
        <f>'AGG ASIA CELLULAR'!H40</f>
        <v>0.10976572550111241</v>
      </c>
      <c r="S12" s="42"/>
      <c r="T12" s="42"/>
      <c r="U12" s="42"/>
      <c r="V12" s="42"/>
      <c r="W12" s="288"/>
      <c r="X12" s="288"/>
      <c r="Y12" s="288"/>
      <c r="Z12" s="288"/>
      <c r="AA12" s="42"/>
    </row>
    <row r="13" spans="2:44">
      <c r="B13" s="5" t="s">
        <v>529</v>
      </c>
      <c r="C13" s="257"/>
      <c r="D13" s="533">
        <v>0</v>
      </c>
      <c r="E13" s="533">
        <v>0</v>
      </c>
      <c r="F13" s="533">
        <v>0</v>
      </c>
      <c r="G13" s="533">
        <v>0</v>
      </c>
      <c r="H13" s="247"/>
      <c r="I13" s="247"/>
      <c r="J13" s="5" t="s">
        <v>530</v>
      </c>
      <c r="L13" s="529">
        <f>'AGG ASIA CELLULAR'!D41</f>
        <v>1.4274445412547272</v>
      </c>
      <c r="M13" s="529">
        <f>'AGG ASIA CELLULAR'!E41</f>
        <v>1.4179696737537477</v>
      </c>
      <c r="N13" s="529">
        <f>'AGG ASIA CELLULAR'!F41</f>
        <v>1.3450707920768976</v>
      </c>
      <c r="O13" s="529">
        <f>'AGG ASIA CELLULAR'!G41</f>
        <v>1.2618986136137988</v>
      </c>
      <c r="P13" s="286">
        <f>'AGG ASIA CELLULAR'!H41</f>
        <v>-2.0092563683029918E-2</v>
      </c>
      <c r="S13" s="42"/>
      <c r="T13" s="42"/>
      <c r="U13" s="42"/>
      <c r="V13" s="42"/>
      <c r="W13" s="42"/>
      <c r="X13" s="42"/>
      <c r="Y13" s="42"/>
      <c r="Z13" s="42"/>
      <c r="AA13" s="42"/>
    </row>
    <row r="14" spans="2:44">
      <c r="B14" s="5" t="s">
        <v>532</v>
      </c>
      <c r="C14" s="257"/>
      <c r="D14" s="533">
        <v>0</v>
      </c>
      <c r="E14" s="533">
        <f t="shared" ref="E14:G15" si="2">D14</f>
        <v>0</v>
      </c>
      <c r="F14" s="533">
        <f t="shared" si="2"/>
        <v>0</v>
      </c>
      <c r="G14" s="533">
        <f t="shared" si="2"/>
        <v>0</v>
      </c>
      <c r="H14" s="247"/>
      <c r="I14" s="247"/>
      <c r="J14" s="5" t="s">
        <v>593</v>
      </c>
      <c r="L14" s="529">
        <f>'AGG ASIA CELLULAR'!D42</f>
        <v>2.9130695199933734</v>
      </c>
      <c r="M14" s="529">
        <f>'AGG ASIA CELLULAR'!E42</f>
        <v>2.8146219035099969</v>
      </c>
      <c r="N14" s="529">
        <f>'AGG ASIA CELLULAR'!F42</f>
        <v>2.5888583636405476</v>
      </c>
      <c r="O14" s="529">
        <f>'AGG ASIA CELLULAR'!G42</f>
        <v>2.3605815546209548</v>
      </c>
      <c r="P14" s="286">
        <f>'AGG ASIA CELLULAR'!H42</f>
        <v>8.7512202951403051E-3</v>
      </c>
      <c r="S14" s="42"/>
      <c r="T14" s="42"/>
      <c r="U14" s="42"/>
      <c r="V14" s="42"/>
      <c r="W14" s="42"/>
      <c r="X14" s="42"/>
      <c r="Y14" s="42"/>
      <c r="Z14" s="42"/>
      <c r="AA14" s="42"/>
    </row>
    <row r="15" spans="2:44">
      <c r="B15" s="5" t="s">
        <v>531</v>
      </c>
      <c r="C15" s="274"/>
      <c r="D15" s="533">
        <v>0</v>
      </c>
      <c r="E15" s="533">
        <f t="shared" si="2"/>
        <v>0</v>
      </c>
      <c r="F15" s="533">
        <f t="shared" si="2"/>
        <v>0</v>
      </c>
      <c r="G15" s="533">
        <f t="shared" si="2"/>
        <v>0</v>
      </c>
      <c r="H15" s="247"/>
      <c r="I15" s="247"/>
      <c r="J15" s="5" t="s">
        <v>475</v>
      </c>
      <c r="L15" s="529">
        <f>'AGG ASIA CELLULAR'!D43</f>
        <v>19.278364274513134</v>
      </c>
      <c r="M15" s="529">
        <f>'AGG ASIA CELLULAR'!E43</f>
        <v>15.523038202411636</v>
      </c>
      <c r="N15" s="529">
        <f>'AGG ASIA CELLULAR'!F43</f>
        <v>13.257386088679914</v>
      </c>
      <c r="O15" s="529">
        <f>'AGG ASIA CELLULAR'!G43</f>
        <v>11.466142328229227</v>
      </c>
      <c r="P15" s="286">
        <f>'AGG ASIA CELLULAR'!H43</f>
        <v>0.18831027118838706</v>
      </c>
      <c r="S15" s="42"/>
      <c r="T15" s="42"/>
      <c r="U15" s="42"/>
      <c r="V15" s="42"/>
      <c r="W15" s="42"/>
      <c r="X15" s="42"/>
      <c r="Y15" s="42"/>
      <c r="Z15" s="42"/>
      <c r="AA15" s="42"/>
    </row>
    <row r="16" spans="2:44">
      <c r="B16" s="5" t="s">
        <v>534</v>
      </c>
      <c r="C16" s="257"/>
      <c r="D16" s="533">
        <v>0</v>
      </c>
      <c r="E16" s="533">
        <v>0</v>
      </c>
      <c r="F16" s="533">
        <v>1771.2433698452519</v>
      </c>
      <c r="G16" s="533">
        <v>3662.9007338714573</v>
      </c>
      <c r="H16" s="247"/>
      <c r="I16" s="247"/>
      <c r="J16" s="5" t="s">
        <v>533</v>
      </c>
      <c r="L16" s="529">
        <f>'AGG ASIA CELLULAR'!D44</f>
        <v>20.50009040888548</v>
      </c>
      <c r="M16" s="529">
        <f>'AGG ASIA CELLULAR'!E44</f>
        <v>17.31807909095523</v>
      </c>
      <c r="N16" s="529">
        <f>'AGG ASIA CELLULAR'!F44</f>
        <v>14.883294016253318</v>
      </c>
      <c r="O16" s="529">
        <f>'AGG ASIA CELLULAR'!G44</f>
        <v>13.16548576425039</v>
      </c>
      <c r="P16" s="286">
        <f>'AGG ASIA CELLULAR'!H44</f>
        <v>0.15839482711139796</v>
      </c>
      <c r="S16" s="42"/>
      <c r="T16" s="42"/>
      <c r="U16" s="42"/>
      <c r="V16" s="42"/>
      <c r="W16" s="42"/>
      <c r="X16" s="42"/>
      <c r="Y16" s="42"/>
      <c r="Z16" s="42"/>
      <c r="AA16" s="42"/>
    </row>
    <row r="17" spans="2:27">
      <c r="B17" s="5" t="s">
        <v>6</v>
      </c>
      <c r="C17" s="257"/>
      <c r="D17" s="533">
        <v>0</v>
      </c>
      <c r="E17" s="533">
        <v>0</v>
      </c>
      <c r="F17" s="533">
        <v>0</v>
      </c>
      <c r="G17" s="533">
        <v>0</v>
      </c>
      <c r="H17" s="247"/>
      <c r="I17" s="247"/>
      <c r="J17" s="5" t="s">
        <v>580</v>
      </c>
      <c r="L17" s="248">
        <f>'AGG ASIA CELLULAR'!D45</f>
        <v>4.174038595528512E-2</v>
      </c>
      <c r="M17" s="248">
        <f>'AGG ASIA CELLULAR'!E45</f>
        <v>4.4792872771489058E-2</v>
      </c>
      <c r="N17" s="248">
        <f>'AGG ASIA CELLULAR'!F45</f>
        <v>5.1203391440393167E-2</v>
      </c>
      <c r="O17" s="248">
        <f>'AGG ASIA CELLULAR'!G45</f>
        <v>5.7913719466381006E-2</v>
      </c>
      <c r="P17" s="286">
        <f>'AGG ASIA CELLULAR'!H45</f>
        <v>0.11470165475568339</v>
      </c>
      <c r="S17" s="42"/>
      <c r="T17" s="42"/>
      <c r="U17" s="42"/>
      <c r="V17" s="42"/>
      <c r="W17" s="42"/>
      <c r="X17" s="42"/>
      <c r="Y17" s="42"/>
      <c r="Z17" s="42"/>
      <c r="AA17" s="42"/>
    </row>
    <row r="18" spans="2:27" ht="12.6" thickBot="1">
      <c r="B18" s="41" t="s">
        <v>583</v>
      </c>
      <c r="C18" s="249"/>
      <c r="D18" s="534">
        <f>D11+D12+D13-D14+D15-D16-D17</f>
        <v>37665.234484271896</v>
      </c>
      <c r="E18" s="534">
        <f>E11+E12+E13-E14+E15-E16-E17</f>
        <v>37299.381662071784</v>
      </c>
      <c r="F18" s="534">
        <f>F11+F12+F13-F14+F15-F16-F17</f>
        <v>35214.057698586133</v>
      </c>
      <c r="G18" s="534">
        <f>G11+G12+G13-G14+G15-G16-G17</f>
        <v>33023.989680978753</v>
      </c>
      <c r="H18" s="276">
        <f>IF(D18=0,"nm",IF(G18=0,"nm",(G18/D18)^(1/3)-1))</f>
        <v>-4.2887573587073735E-2</v>
      </c>
      <c r="I18" s="254"/>
      <c r="J18" s="5" t="s">
        <v>36</v>
      </c>
      <c r="L18" s="248" t="e">
        <f>'AGG ASIA CELLULAR'!D46</f>
        <v>#VALUE!</v>
      </c>
      <c r="M18" s="248" t="e">
        <f>'AGG ASIA CELLULAR'!E46</f>
        <v>#VALUE!</v>
      </c>
      <c r="N18" s="248" t="e">
        <f>'AGG ASIA CELLULAR'!F46</f>
        <v>#VALUE!</v>
      </c>
      <c r="O18" s="248" t="e">
        <f>'AGG ASIA CELLULAR'!G46</f>
        <v>#VALUE!</v>
      </c>
      <c r="P18" s="286" t="e">
        <f>'AGG ASIA CELLULAR'!H46</f>
        <v>#VALUE!</v>
      </c>
      <c r="S18" s="42"/>
      <c r="T18" s="42"/>
      <c r="U18" s="42"/>
      <c r="V18" s="42"/>
      <c r="W18" s="42"/>
      <c r="X18" s="42"/>
      <c r="Y18" s="42"/>
      <c r="Z18" s="42"/>
      <c r="AA18" s="42"/>
    </row>
    <row r="19" spans="2:27" ht="12.6" thickTop="1">
      <c r="B19" s="41"/>
      <c r="C19" s="249"/>
      <c r="D19" s="229"/>
      <c r="E19" s="229"/>
      <c r="F19" s="229"/>
      <c r="G19" s="229"/>
      <c r="H19" s="276"/>
      <c r="I19" s="254"/>
      <c r="J19" s="5" t="s">
        <v>581</v>
      </c>
      <c r="L19" s="248">
        <f>'AGG ASIA CELLULAR'!D47</f>
        <v>5.1871620732991598E-2</v>
      </c>
      <c r="M19" s="248">
        <f>'AGG ASIA CELLULAR'!E47</f>
        <v>6.4420378727447922E-2</v>
      </c>
      <c r="N19" s="248">
        <f>'AGG ASIA CELLULAR'!F47</f>
        <v>7.5429650559386677E-2</v>
      </c>
      <c r="O19" s="248">
        <f>'AGG ASIA CELLULAR'!G47</f>
        <v>8.7213290344219457E-2</v>
      </c>
      <c r="P19" s="286">
        <f>'AGG ASIA CELLULAR'!H47</f>
        <v>0.18831027118838706</v>
      </c>
      <c r="S19" s="42"/>
      <c r="T19" s="42"/>
      <c r="U19" s="42"/>
      <c r="V19" s="42"/>
      <c r="W19" s="42"/>
      <c r="X19" s="42"/>
      <c r="Y19" s="42"/>
      <c r="Z19" s="42"/>
      <c r="AA19" s="42"/>
    </row>
    <row r="20" spans="2:27">
      <c r="H20" s="277"/>
      <c r="I20" s="17"/>
      <c r="J20" s="5" t="s">
        <v>604</v>
      </c>
      <c r="L20" s="305">
        <f>'AGG ASIA CELLULAR'!D48</f>
        <v>0.92045377326476352</v>
      </c>
      <c r="M20" s="305">
        <f>'AGG ASIA CELLULAR'!E48</f>
        <v>0.79490390762892493</v>
      </c>
      <c r="N20" s="305">
        <f>'AGG ASIA CELLULAR'!F48</f>
        <v>0.7763724496707467</v>
      </c>
      <c r="O20" s="305">
        <f>'AGG ASIA CELLULAR'!G48</f>
        <v>0.75978089170129071</v>
      </c>
      <c r="P20" s="286" t="str">
        <f>'AGG ASIA CELLULAR'!H48</f>
        <v>nm</v>
      </c>
      <c r="S20" s="42"/>
      <c r="T20" s="42"/>
      <c r="U20" s="42"/>
      <c r="V20" s="42"/>
      <c r="W20" s="42"/>
      <c r="X20" s="42"/>
      <c r="Y20" s="42"/>
      <c r="Z20" s="42"/>
      <c r="AA20" s="42"/>
    </row>
    <row r="21" spans="2:27" ht="12.6" thickBot="1">
      <c r="B21" s="306" t="s">
        <v>928</v>
      </c>
      <c r="C21" s="265"/>
      <c r="D21" s="265" t="str">
        <f>D5</f>
        <v>2023E</v>
      </c>
      <c r="E21" s="265" t="str">
        <f t="shared" ref="E21:H21" si="3">E5</f>
        <v>2024E</v>
      </c>
      <c r="F21" s="265" t="str">
        <f t="shared" si="3"/>
        <v>2025E</v>
      </c>
      <c r="G21" s="265" t="str">
        <f t="shared" si="3"/>
        <v>2026E</v>
      </c>
      <c r="H21" s="265" t="str">
        <f t="shared" si="3"/>
        <v>23E-26E</v>
      </c>
      <c r="I21" s="49"/>
      <c r="J21" s="41"/>
      <c r="L21" s="250"/>
      <c r="M21" s="250"/>
      <c r="N21" s="250"/>
      <c r="O21" s="250"/>
      <c r="P21" s="286"/>
      <c r="S21" s="42"/>
      <c r="T21" s="42"/>
      <c r="U21" s="42"/>
      <c r="V21" s="42"/>
      <c r="W21" s="42"/>
      <c r="X21" s="42"/>
      <c r="Y21" s="42"/>
      <c r="Z21" s="42"/>
      <c r="AA21" s="42"/>
    </row>
    <row r="22" spans="2:27" ht="12.6" thickTop="1">
      <c r="B22" s="5"/>
      <c r="C22" s="257"/>
      <c r="D22" s="17"/>
      <c r="E22" s="17"/>
      <c r="F22" s="17"/>
      <c r="G22" s="17"/>
      <c r="H22" s="17"/>
      <c r="I22" s="17"/>
      <c r="P22" s="277"/>
      <c r="S22" s="42"/>
      <c r="T22" s="42"/>
      <c r="U22" s="42"/>
      <c r="V22" s="42"/>
      <c r="W22" s="42"/>
      <c r="X22" s="42"/>
      <c r="Y22" s="42"/>
      <c r="Z22" s="42"/>
      <c r="AA22" s="42"/>
    </row>
    <row r="23" spans="2:27" ht="12.6" thickBot="1">
      <c r="B23" s="5" t="s">
        <v>584</v>
      </c>
      <c r="C23" s="548">
        <v>9789</v>
      </c>
      <c r="D23" s="540">
        <v>10180</v>
      </c>
      <c r="E23" s="540">
        <v>10628.828973949185</v>
      </c>
      <c r="F23" s="540">
        <v>10904.154172576371</v>
      </c>
      <c r="G23" s="540">
        <v>11209.68564380456</v>
      </c>
      <c r="H23" s="279">
        <f t="shared" ref="H23:H32" si="4">IF(D23=0,"nm",IF(G23=0,"nm",(G23/D23)^(1/3)-1))</f>
        <v>3.2639068367961599E-2</v>
      </c>
      <c r="I23" s="247"/>
      <c r="J23" s="306" t="s">
        <v>9</v>
      </c>
      <c r="K23" s="306"/>
      <c r="L23" s="265" t="str">
        <f>D21</f>
        <v>2023E</v>
      </c>
      <c r="M23" s="265" t="str">
        <f t="shared" ref="M23:P23" si="5">E21</f>
        <v>2024E</v>
      </c>
      <c r="N23" s="265" t="str">
        <f t="shared" si="5"/>
        <v>2025E</v>
      </c>
      <c r="O23" s="265" t="str">
        <f t="shared" si="5"/>
        <v>2026E</v>
      </c>
      <c r="P23" s="265" t="str">
        <f t="shared" si="5"/>
        <v>23E-26E</v>
      </c>
      <c r="S23" s="42"/>
      <c r="T23" s="42"/>
      <c r="U23" s="42"/>
      <c r="V23" s="42"/>
      <c r="W23" s="42"/>
      <c r="X23" s="42"/>
      <c r="Y23" s="42"/>
      <c r="Z23" s="42"/>
      <c r="AA23" s="42"/>
    </row>
    <row r="24" spans="2:27" ht="12.6" thickTop="1">
      <c r="B24" s="5" t="s">
        <v>483</v>
      </c>
      <c r="C24" s="549">
        <v>3929</v>
      </c>
      <c r="D24" s="540">
        <v>3960</v>
      </c>
      <c r="E24" s="540">
        <v>4171.0576269054345</v>
      </c>
      <c r="F24" s="540">
        <v>4296.5338349015092</v>
      </c>
      <c r="G24" s="540">
        <v>4436.3939792013425</v>
      </c>
      <c r="H24" s="279">
        <f t="shared" si="4"/>
        <v>3.8592001793239294E-2</v>
      </c>
      <c r="I24" s="249"/>
      <c r="J24" s="17"/>
      <c r="K24" s="17"/>
      <c r="L24" s="17"/>
      <c r="M24" s="17"/>
      <c r="N24" s="17"/>
      <c r="O24" s="248"/>
      <c r="S24" s="42"/>
      <c r="T24" s="42"/>
      <c r="U24" s="42"/>
      <c r="V24" s="42"/>
      <c r="W24" s="42" t="s">
        <v>362</v>
      </c>
      <c r="X24" s="42" t="s">
        <v>382</v>
      </c>
      <c r="Y24" s="42"/>
      <c r="Z24" s="42"/>
      <c r="AA24" s="42"/>
    </row>
    <row r="25" spans="2:27">
      <c r="B25" s="5" t="s">
        <v>183</v>
      </c>
      <c r="C25" s="548">
        <v>2815</v>
      </c>
      <c r="D25" s="540">
        <v>3147</v>
      </c>
      <c r="E25" s="540">
        <v>3001.886439771024</v>
      </c>
      <c r="F25" s="540">
        <v>3097.0768759181083</v>
      </c>
      <c r="G25" s="540">
        <v>3203.328558382841</v>
      </c>
      <c r="H25" s="279">
        <f t="shared" si="4"/>
        <v>5.9311284383554153E-3</v>
      </c>
      <c r="I25" s="248"/>
      <c r="J25" s="247" t="s">
        <v>10</v>
      </c>
      <c r="K25" s="247"/>
      <c r="L25" s="321">
        <v>0</v>
      </c>
      <c r="M25" s="321">
        <v>0</v>
      </c>
      <c r="N25" s="321">
        <v>0</v>
      </c>
      <c r="O25" s="321">
        <v>0</v>
      </c>
      <c r="P25" s="279" t="str">
        <f>IF(L25=0,"nm",IF(O25=0,"nm",(O25/L25)^(1/3)-1))</f>
        <v>nm</v>
      </c>
      <c r="S25" s="42"/>
      <c r="T25" s="42"/>
      <c r="U25" s="42"/>
      <c r="V25" s="147" t="s">
        <v>273</v>
      </c>
      <c r="W25" s="288">
        <f>D37/L9</f>
        <v>1.7760077589733321</v>
      </c>
      <c r="X25" s="288">
        <v>1</v>
      </c>
      <c r="Y25" s="42"/>
      <c r="Z25" s="42"/>
      <c r="AA25" s="42"/>
    </row>
    <row r="26" spans="2:27">
      <c r="B26" s="5" t="s">
        <v>586</v>
      </c>
      <c r="C26" s="548">
        <v>2111.25</v>
      </c>
      <c r="D26" s="540">
        <v>2360.25</v>
      </c>
      <c r="E26" s="540">
        <v>2251.414829828268</v>
      </c>
      <c r="F26" s="540">
        <v>2322.8076569385812</v>
      </c>
      <c r="G26" s="540">
        <v>2402.496418787131</v>
      </c>
      <c r="H26" s="279">
        <f t="shared" si="4"/>
        <v>5.9311284383554153E-3</v>
      </c>
      <c r="I26" s="249"/>
      <c r="J26" s="249" t="s">
        <v>11</v>
      </c>
      <c r="K26" s="249"/>
      <c r="L26" s="281">
        <f>D11+L25</f>
        <v>29041.88</v>
      </c>
      <c r="M26" s="281">
        <f>E11+M25</f>
        <v>29041.88</v>
      </c>
      <c r="N26" s="281">
        <f>F11+N25</f>
        <v>29041.88</v>
      </c>
      <c r="O26" s="281">
        <f>G11+O25</f>
        <v>29041.88</v>
      </c>
      <c r="P26" s="279">
        <f>IF(L26=0,"nm",IF(O26=0,"nm",(O26/L26)^(1/3)-1))</f>
        <v>0</v>
      </c>
      <c r="Q26" s="5"/>
      <c r="S26" s="42"/>
      <c r="T26" s="42"/>
      <c r="U26" s="42"/>
      <c r="V26" s="147" t="s">
        <v>184</v>
      </c>
      <c r="W26" s="288">
        <f t="shared" ref="W26:W33" si="6">D38/L10</f>
        <v>1.4960062517506214</v>
      </c>
      <c r="X26" s="288">
        <v>1</v>
      </c>
      <c r="Y26" s="42"/>
      <c r="Z26" s="42"/>
      <c r="AA26" s="42"/>
    </row>
    <row r="27" spans="2:27">
      <c r="B27" s="5" t="s">
        <v>587</v>
      </c>
      <c r="C27" s="549">
        <v>15743.050000000001</v>
      </c>
      <c r="D27" s="540">
        <v>14733.874484271897</v>
      </c>
      <c r="E27" s="540">
        <v>14401.480988684601</v>
      </c>
      <c r="F27" s="540">
        <v>14123.548218918597</v>
      </c>
      <c r="G27" s="540">
        <v>13863.742817664484</v>
      </c>
      <c r="H27" s="279">
        <f t="shared" si="4"/>
        <v>-2.0086270704836928E-2</v>
      </c>
      <c r="I27" s="249"/>
      <c r="J27" s="248"/>
      <c r="K27" s="248"/>
      <c r="L27" s="248"/>
      <c r="M27" s="248"/>
      <c r="N27" s="248"/>
      <c r="O27" s="248"/>
      <c r="Q27" s="41"/>
      <c r="S27" s="42"/>
      <c r="T27" s="42"/>
      <c r="U27" s="42"/>
      <c r="V27" s="147" t="s">
        <v>185</v>
      </c>
      <c r="W27" s="288">
        <f t="shared" si="6"/>
        <v>0.97652640310390959</v>
      </c>
      <c r="X27" s="288">
        <v>1</v>
      </c>
      <c r="Y27" s="42"/>
      <c r="Z27" s="42"/>
      <c r="AA27" s="42"/>
    </row>
    <row r="28" spans="2:27" ht="12.6" thickBot="1">
      <c r="B28" s="5" t="s">
        <v>592</v>
      </c>
      <c r="C28" s="548">
        <v>5639</v>
      </c>
      <c r="D28" s="540">
        <v>5569.7560947429229</v>
      </c>
      <c r="E28" s="540">
        <v>5564.4842000857871</v>
      </c>
      <c r="F28" s="540">
        <v>5590.6097130661192</v>
      </c>
      <c r="G28" s="540">
        <v>5644.8348419902632</v>
      </c>
      <c r="H28" s="279">
        <f t="shared" si="4"/>
        <v>4.4732003214891236E-3</v>
      </c>
      <c r="I28" s="248"/>
      <c r="J28" s="306" t="s">
        <v>1362</v>
      </c>
      <c r="K28" s="306"/>
      <c r="L28" s="306"/>
      <c r="M28" s="306"/>
      <c r="N28" s="266"/>
      <c r="O28" s="266"/>
      <c r="P28" s="266"/>
      <c r="Q28" s="5"/>
      <c r="S28" s="42"/>
      <c r="T28" s="42"/>
      <c r="U28" s="42"/>
      <c r="V28" s="147" t="s">
        <v>466</v>
      </c>
      <c r="W28" s="288">
        <f t="shared" si="6"/>
        <v>1.0004296730560389</v>
      </c>
      <c r="X28" s="288">
        <v>1</v>
      </c>
      <c r="Y28" s="42"/>
      <c r="Z28" s="42"/>
      <c r="AA28" s="42"/>
    </row>
    <row r="29" spans="2:27" ht="12.6" thickTop="1">
      <c r="B29" s="5" t="s">
        <v>588</v>
      </c>
      <c r="C29" s="548">
        <v>1132.5142227070496</v>
      </c>
      <c r="D29" s="540">
        <v>1369.0587390166675</v>
      </c>
      <c r="E29" s="540">
        <v>1678.2382252979903</v>
      </c>
      <c r="F29" s="540">
        <v>1781.2656807393132</v>
      </c>
      <c r="G29" s="540">
        <v>1876.0374874291274</v>
      </c>
      <c r="H29" s="279">
        <f t="shared" si="4"/>
        <v>0.11072482055359956</v>
      </c>
      <c r="I29" s="252"/>
      <c r="J29" s="249"/>
      <c r="K29" s="249"/>
      <c r="L29" s="249"/>
      <c r="M29" s="249"/>
      <c r="N29" s="249"/>
      <c r="O29" s="251"/>
      <c r="Q29" s="5"/>
      <c r="S29" s="42"/>
      <c r="T29" s="42"/>
      <c r="U29" s="42"/>
      <c r="V29" s="147" t="s">
        <v>530</v>
      </c>
      <c r="W29" s="288">
        <f t="shared" si="6"/>
        <v>1.7908716664179005</v>
      </c>
      <c r="X29" s="288">
        <v>1</v>
      </c>
      <c r="Y29" s="42"/>
      <c r="Z29" s="42"/>
      <c r="AA29" s="42"/>
    </row>
    <row r="30" spans="2:27">
      <c r="B30" s="5" t="s">
        <v>589</v>
      </c>
      <c r="C30" s="549">
        <v>1151.5142227070496</v>
      </c>
      <c r="D30" s="540">
        <v>993.01483375959072</v>
      </c>
      <c r="E30" s="540">
        <v>1672.966330640854</v>
      </c>
      <c r="F30" s="540">
        <v>1807.3911937196449</v>
      </c>
      <c r="G30" s="540">
        <v>1930.2626163532709</v>
      </c>
      <c r="H30" s="279">
        <f t="shared" si="4"/>
        <v>0.2480161954794311</v>
      </c>
      <c r="I30" s="254"/>
      <c r="J30" s="248"/>
      <c r="K30" s="248"/>
      <c r="L30" s="248"/>
      <c r="M30" s="248"/>
      <c r="N30" s="248"/>
      <c r="O30" s="5"/>
      <c r="Q30" s="5"/>
      <c r="S30" s="42"/>
      <c r="T30" s="42"/>
      <c r="U30" s="42"/>
      <c r="V30" s="147" t="s">
        <v>593</v>
      </c>
      <c r="W30" s="288">
        <f t="shared" si="6"/>
        <v>2.3214196108536838</v>
      </c>
      <c r="X30" s="288">
        <v>1</v>
      </c>
      <c r="Y30" s="42"/>
      <c r="Z30" s="42"/>
      <c r="AA30" s="42"/>
    </row>
    <row r="31" spans="2:27">
      <c r="B31" s="5" t="s">
        <v>590</v>
      </c>
      <c r="C31" s="549">
        <v>1565</v>
      </c>
      <c r="D31" s="540">
        <v>1252.48</v>
      </c>
      <c r="E31" s="540">
        <v>1639.507004028037</v>
      </c>
      <c r="F31" s="540">
        <v>1771.2433698452519</v>
      </c>
      <c r="G31" s="540">
        <v>1891.6573640262056</v>
      </c>
      <c r="H31" s="279">
        <f t="shared" si="4"/>
        <v>0.14733583599232314</v>
      </c>
      <c r="I31" s="254"/>
      <c r="J31" s="252"/>
      <c r="K31" s="252"/>
      <c r="L31" s="252"/>
      <c r="M31" s="252"/>
      <c r="N31" s="252"/>
      <c r="O31" s="5"/>
      <c r="Q31" s="5"/>
      <c r="S31" s="42"/>
      <c r="T31" s="42"/>
      <c r="U31" s="42"/>
      <c r="V31" s="147" t="s">
        <v>475</v>
      </c>
      <c r="W31" s="288">
        <f t="shared" si="6"/>
        <v>1.1003540913190242</v>
      </c>
      <c r="X31" s="288">
        <v>1</v>
      </c>
      <c r="Y31" s="42"/>
      <c r="Z31" s="42"/>
      <c r="AA31" s="42"/>
    </row>
    <row r="32" spans="2:27">
      <c r="B32" s="5" t="s">
        <v>606</v>
      </c>
      <c r="C32" s="550">
        <v>0</v>
      </c>
      <c r="D32" s="540">
        <v>0</v>
      </c>
      <c r="E32" s="540">
        <v>0</v>
      </c>
      <c r="F32" s="540">
        <v>0</v>
      </c>
      <c r="G32" s="540">
        <v>0</v>
      </c>
      <c r="H32" s="279" t="str">
        <f t="shared" si="4"/>
        <v>nm</v>
      </c>
      <c r="I32" s="254"/>
      <c r="J32" s="254"/>
      <c r="K32" s="254"/>
      <c r="L32" s="254"/>
      <c r="M32" s="254"/>
      <c r="N32" s="254"/>
      <c r="O32" s="251"/>
      <c r="Q32" s="5"/>
      <c r="S32" s="42"/>
      <c r="T32" s="42"/>
      <c r="U32" s="42"/>
      <c r="V32" s="147" t="s">
        <v>533</v>
      </c>
      <c r="W32" s="288">
        <f t="shared" si="6"/>
        <v>1.4266361158174388</v>
      </c>
      <c r="X32" s="288">
        <v>1</v>
      </c>
      <c r="Y32" s="42"/>
      <c r="Z32" s="42"/>
      <c r="AA32" s="42"/>
    </row>
    <row r="33" spans="2:27">
      <c r="B33" s="5" t="s">
        <v>5</v>
      </c>
      <c r="C33" s="549">
        <v>-437</v>
      </c>
      <c r="D33" s="540">
        <v>-356.89066059225513</v>
      </c>
      <c r="E33" s="540">
        <v>-327.61876136688454</v>
      </c>
      <c r="F33" s="540">
        <v>-309.01468197553805</v>
      </c>
      <c r="G33" s="540">
        <v>-293.63082004198174</v>
      </c>
      <c r="H33" s="279">
        <f>IF(D33=0,"nm",IF(G33=0,"nm",(G33/D33)^(1/3)-1))</f>
        <v>-6.2965707565105444E-2</v>
      </c>
      <c r="I33" s="5"/>
      <c r="J33" s="254"/>
      <c r="K33" s="254"/>
      <c r="L33" s="254"/>
      <c r="M33" s="254"/>
      <c r="N33" s="254"/>
      <c r="O33" s="251"/>
      <c r="Q33" s="5"/>
      <c r="S33" s="42"/>
      <c r="T33" s="42"/>
      <c r="U33" s="42"/>
      <c r="V33" s="147" t="s">
        <v>580</v>
      </c>
      <c r="W33" s="288">
        <f t="shared" si="6"/>
        <v>1.0332124068598352</v>
      </c>
      <c r="X33" s="288">
        <v>1</v>
      </c>
      <c r="Y33" s="42"/>
      <c r="Z33" s="42"/>
      <c r="AA33" s="42"/>
    </row>
    <row r="34" spans="2:27">
      <c r="D34" s="5"/>
      <c r="E34" s="5"/>
      <c r="F34" s="5"/>
      <c r="G34" s="5"/>
      <c r="I34" s="49"/>
      <c r="J34" s="254"/>
      <c r="K34" s="254"/>
      <c r="L34" s="254"/>
      <c r="M34" s="254"/>
      <c r="N34" s="254"/>
      <c r="O34" s="251"/>
      <c r="Q34" s="5"/>
      <c r="S34" s="42"/>
      <c r="T34" s="42"/>
      <c r="U34" s="42"/>
      <c r="V34" s="147" t="s">
        <v>581</v>
      </c>
      <c r="W34" s="288">
        <f>D47/L19</f>
        <v>0.90879836580720397</v>
      </c>
      <c r="X34" s="288">
        <v>1</v>
      </c>
      <c r="Y34" s="288"/>
      <c r="Z34" s="288"/>
      <c r="AA34" s="42"/>
    </row>
    <row r="35" spans="2:27" ht="12.6" thickBot="1">
      <c r="B35" s="306" t="s">
        <v>176</v>
      </c>
      <c r="C35" s="265"/>
      <c r="D35" s="265" t="str">
        <f>D5</f>
        <v>2023E</v>
      </c>
      <c r="E35" s="265" t="str">
        <f t="shared" ref="E35:H35" si="7">E5</f>
        <v>2024E</v>
      </c>
      <c r="F35" s="265" t="str">
        <f t="shared" si="7"/>
        <v>2025E</v>
      </c>
      <c r="G35" s="265" t="str">
        <f t="shared" si="7"/>
        <v>2026E</v>
      </c>
      <c r="H35" s="265" t="str">
        <f t="shared" si="7"/>
        <v>23E-26E</v>
      </c>
      <c r="I35" s="254"/>
      <c r="J35" s="5"/>
      <c r="K35" s="5"/>
      <c r="L35" s="5"/>
      <c r="M35" s="5"/>
      <c r="N35" s="5"/>
      <c r="O35" s="5"/>
      <c r="Q35" s="5"/>
      <c r="S35" s="42"/>
      <c r="T35" s="42"/>
      <c r="U35" s="42"/>
      <c r="V35" s="42"/>
      <c r="W35" s="42"/>
      <c r="X35" s="42"/>
      <c r="Y35" s="288"/>
      <c r="Z35" s="288"/>
      <c r="AA35" s="42"/>
    </row>
    <row r="36" spans="2:27" ht="12.6" thickTop="1">
      <c r="B36" s="41"/>
      <c r="C36" s="249"/>
      <c r="D36" s="254"/>
      <c r="E36" s="254"/>
      <c r="F36" s="254"/>
      <c r="G36" s="254"/>
      <c r="H36" s="254"/>
      <c r="I36" s="17"/>
      <c r="J36" s="49"/>
      <c r="K36" s="49"/>
      <c r="L36" s="49"/>
      <c r="M36" s="49"/>
      <c r="N36" s="49"/>
      <c r="O36" s="49"/>
      <c r="Q36" s="5"/>
      <c r="S36" s="42"/>
      <c r="T36" s="42"/>
      <c r="U36" s="42"/>
      <c r="V36" s="42"/>
      <c r="W36" s="42"/>
      <c r="X36" s="42"/>
      <c r="Y36" s="288"/>
      <c r="Z36" s="288"/>
      <c r="AA36" s="42"/>
    </row>
    <row r="37" spans="2:27">
      <c r="B37" s="5" t="s">
        <v>273</v>
      </c>
      <c r="C37" s="247"/>
      <c r="D37" s="529">
        <f>D$18/D23</f>
        <v>3.6999248019913455</v>
      </c>
      <c r="E37" s="529">
        <f t="shared" ref="E37:G41" si="8">E$18/E23</f>
        <v>3.5092653907115272</v>
      </c>
      <c r="F37" s="529">
        <f t="shared" si="8"/>
        <v>3.2294167104816309</v>
      </c>
      <c r="G37" s="529">
        <f t="shared" si="8"/>
        <v>2.9460228172616651</v>
      </c>
      <c r="H37" s="17">
        <f t="shared" ref="H37:H45" si="9">H23</f>
        <v>3.2639068367961599E-2</v>
      </c>
      <c r="I37" s="5"/>
      <c r="J37" s="259"/>
      <c r="K37" s="259"/>
      <c r="L37" s="259"/>
      <c r="M37" s="259"/>
      <c r="N37" s="259"/>
      <c r="O37" s="18"/>
      <c r="Q37" s="5"/>
      <c r="R37" s="5"/>
      <c r="S37" s="42"/>
      <c r="T37" s="42"/>
      <c r="U37" s="42"/>
      <c r="V37" s="42"/>
      <c r="W37" s="42"/>
      <c r="X37" s="42"/>
      <c r="Y37" s="42"/>
      <c r="Z37" s="42"/>
      <c r="AA37" s="42"/>
    </row>
    <row r="38" spans="2:27">
      <c r="B38" s="5" t="s">
        <v>184</v>
      </c>
      <c r="C38" s="247"/>
      <c r="D38" s="529">
        <f>D$18/D24</f>
        <v>9.5114228495636102</v>
      </c>
      <c r="E38" s="529">
        <f t="shared" si="8"/>
        <v>8.9424277961234289</v>
      </c>
      <c r="F38" s="529">
        <f t="shared" si="8"/>
        <v>8.1959223531620005</v>
      </c>
      <c r="G38" s="529">
        <f t="shared" si="8"/>
        <v>7.4438811872438491</v>
      </c>
      <c r="H38" s="17">
        <f t="shared" si="9"/>
        <v>3.8592001793239294E-2</v>
      </c>
      <c r="I38" s="259"/>
      <c r="J38" s="17"/>
      <c r="K38" s="17"/>
      <c r="L38" s="17"/>
      <c r="M38" s="17"/>
      <c r="N38" s="17"/>
      <c r="O38" s="5"/>
      <c r="Q38" s="5"/>
      <c r="R38" s="5"/>
      <c r="S38" s="42"/>
      <c r="T38" s="42"/>
      <c r="U38" s="42"/>
      <c r="V38" s="42"/>
      <c r="W38" s="42"/>
      <c r="X38" s="42"/>
      <c r="Y38" s="42"/>
      <c r="Z38" s="42"/>
      <c r="AA38" s="42"/>
    </row>
    <row r="39" spans="2:27">
      <c r="B39" s="5" t="s">
        <v>185</v>
      </c>
      <c r="C39" s="247"/>
      <c r="D39" s="529">
        <f>D$18/D25</f>
        <v>11.968615978478518</v>
      </c>
      <c r="E39" s="529">
        <f t="shared" si="8"/>
        <v>12.425314018513266</v>
      </c>
      <c r="F39" s="529">
        <f t="shared" si="8"/>
        <v>11.370094805330641</v>
      </c>
      <c r="G39" s="529">
        <f t="shared" si="8"/>
        <v>10.309273332127532</v>
      </c>
      <c r="H39" s="17">
        <f t="shared" si="9"/>
        <v>5.9311284383554153E-3</v>
      </c>
      <c r="I39" s="17"/>
      <c r="J39" s="5"/>
      <c r="K39" s="5"/>
      <c r="L39" s="5"/>
      <c r="M39" s="5"/>
      <c r="N39" s="5"/>
      <c r="O39" s="5"/>
      <c r="Q39" s="5"/>
      <c r="R39" s="5"/>
      <c r="S39" s="42"/>
      <c r="T39" s="42"/>
      <c r="U39" s="42"/>
      <c r="V39" s="42"/>
      <c r="W39" s="42"/>
      <c r="X39" s="42"/>
      <c r="Y39" s="42"/>
      <c r="Z39" s="42"/>
      <c r="AA39" s="42"/>
    </row>
    <row r="40" spans="2:27">
      <c r="B40" s="5" t="s">
        <v>466</v>
      </c>
      <c r="C40" s="247"/>
      <c r="D40" s="529">
        <f>D$18/D26</f>
        <v>15.958154637971358</v>
      </c>
      <c r="E40" s="529">
        <f t="shared" si="8"/>
        <v>16.567085358017689</v>
      </c>
      <c r="F40" s="529">
        <f t="shared" si="8"/>
        <v>15.160126407107521</v>
      </c>
      <c r="G40" s="529">
        <f t="shared" si="8"/>
        <v>13.74569777617004</v>
      </c>
      <c r="H40" s="17">
        <f t="shared" si="9"/>
        <v>5.9311284383554153E-3</v>
      </c>
      <c r="I40" s="5"/>
      <c r="J40" s="259"/>
      <c r="K40" s="259"/>
      <c r="L40" s="259"/>
      <c r="M40" s="259"/>
      <c r="N40" s="259"/>
      <c r="O40" s="18"/>
      <c r="Q40" s="5"/>
      <c r="R40" s="5"/>
      <c r="S40" s="42"/>
      <c r="T40" s="42"/>
      <c r="U40" s="42"/>
      <c r="V40" s="42"/>
      <c r="W40" s="288"/>
      <c r="X40" s="288"/>
      <c r="Y40" s="42"/>
      <c r="Z40" s="42"/>
      <c r="AA40" s="42"/>
    </row>
    <row r="41" spans="2:27">
      <c r="B41" s="5" t="s">
        <v>530</v>
      </c>
      <c r="C41" s="247"/>
      <c r="D41" s="529">
        <f>D$18/D27</f>
        <v>2.5563699843159888</v>
      </c>
      <c r="E41" s="529">
        <f t="shared" si="8"/>
        <v>2.5899684686164091</v>
      </c>
      <c r="F41" s="529">
        <f t="shared" si="8"/>
        <v>2.4932868959527212</v>
      </c>
      <c r="G41" s="529">
        <f t="shared" si="8"/>
        <v>2.3820399812164177</v>
      </c>
      <c r="H41" s="17">
        <f t="shared" si="9"/>
        <v>-2.0086270704836928E-2</v>
      </c>
      <c r="I41" s="247"/>
      <c r="J41" s="17"/>
      <c r="K41" s="17"/>
      <c r="L41" s="17"/>
      <c r="M41" s="17"/>
      <c r="N41" s="17"/>
      <c r="O41" s="5"/>
      <c r="Q41" s="5"/>
      <c r="R41" s="5"/>
      <c r="S41" s="42"/>
      <c r="T41" s="42"/>
      <c r="U41" s="42"/>
      <c r="V41" s="42"/>
      <c r="W41" s="288"/>
      <c r="X41" s="288"/>
      <c r="Y41" s="288"/>
      <c r="Z41" s="288"/>
      <c r="AA41" s="42"/>
    </row>
    <row r="42" spans="2:27">
      <c r="B42" s="5" t="s">
        <v>593</v>
      </c>
      <c r="C42" s="247"/>
      <c r="D42" s="529">
        <f>D18/D28</f>
        <v>6.7624567114927441</v>
      </c>
      <c r="E42" s="529">
        <f>E18/E28</f>
        <v>6.7031157463789262</v>
      </c>
      <c r="F42" s="529">
        <f>F18/F28</f>
        <v>6.2987866272055149</v>
      </c>
      <c r="G42" s="529">
        <f>G18/G28</f>
        <v>5.8503021975635185</v>
      </c>
      <c r="H42" s="17">
        <f t="shared" si="9"/>
        <v>4.4732003214891236E-3</v>
      </c>
      <c r="I42" s="248"/>
      <c r="J42" s="5"/>
      <c r="K42" s="5"/>
      <c r="L42" s="5"/>
      <c r="M42" s="5"/>
      <c r="N42" s="5"/>
      <c r="O42" s="5"/>
      <c r="Q42" s="5"/>
      <c r="R42" s="5"/>
      <c r="S42" s="42"/>
      <c r="T42" s="42"/>
      <c r="U42" s="42"/>
      <c r="V42" s="42"/>
      <c r="W42" s="288"/>
      <c r="X42" s="288"/>
      <c r="Y42" s="288"/>
      <c r="Z42" s="288"/>
      <c r="AA42" s="42"/>
    </row>
    <row r="43" spans="2:27">
      <c r="B43" s="5" t="s">
        <v>475</v>
      </c>
      <c r="C43" s="247"/>
      <c r="D43" s="529">
        <f>L26/D29</f>
        <v>21.213027003399038</v>
      </c>
      <c r="E43" s="529">
        <f>M26/E29</f>
        <v>17.30498064113829</v>
      </c>
      <c r="F43" s="529">
        <f>N26/F29</f>
        <v>16.304069804986188</v>
      </c>
      <c r="G43" s="529">
        <f>O26/G29</f>
        <v>15.480436928687514</v>
      </c>
      <c r="H43" s="17">
        <f t="shared" si="9"/>
        <v>0.11072482055359956</v>
      </c>
      <c r="I43" s="247"/>
      <c r="J43" s="247"/>
      <c r="K43" s="247"/>
      <c r="L43" s="247"/>
      <c r="M43" s="247"/>
      <c r="N43" s="247"/>
      <c r="O43" s="18"/>
      <c r="Q43" s="5"/>
      <c r="R43" s="5"/>
      <c r="S43" s="42"/>
      <c r="T43" s="42"/>
      <c r="U43" s="42"/>
      <c r="V43" s="42"/>
      <c r="W43" s="288"/>
      <c r="X43" s="288"/>
      <c r="Y43" s="288"/>
      <c r="Z43" s="288"/>
      <c r="AA43" s="42"/>
    </row>
    <row r="44" spans="2:27">
      <c r="B44" s="5" t="s">
        <v>533</v>
      </c>
      <c r="C44" s="69"/>
      <c r="D44" s="529">
        <f>D11/D30</f>
        <v>29.246169354838713</v>
      </c>
      <c r="E44" s="529">
        <f>E11/E30</f>
        <v>17.3595125425358</v>
      </c>
      <c r="F44" s="529">
        <f>F11/F30</f>
        <v>16.068397423266884</v>
      </c>
      <c r="G44" s="529">
        <f>G11/G30</f>
        <v>15.045558958639047</v>
      </c>
      <c r="H44" s="17">
        <f t="shared" si="9"/>
        <v>0.2480161954794311</v>
      </c>
      <c r="I44" s="247"/>
      <c r="J44" s="248"/>
      <c r="K44" s="248"/>
      <c r="L44" s="248"/>
      <c r="M44" s="248"/>
      <c r="N44" s="248"/>
      <c r="O44" s="248"/>
      <c r="Q44" s="5"/>
      <c r="R44" s="5"/>
      <c r="S44" s="42"/>
      <c r="T44" s="42"/>
      <c r="U44" s="42"/>
      <c r="V44" s="42"/>
      <c r="W44" s="325"/>
      <c r="X44" s="325"/>
      <c r="Y44" s="288"/>
      <c r="Z44" s="288"/>
      <c r="AA44" s="42"/>
    </row>
    <row r="45" spans="2:27">
      <c r="B45" s="5" t="s">
        <v>580</v>
      </c>
      <c r="C45" s="247"/>
      <c r="D45" s="248">
        <f>D31/D11</f>
        <v>4.3126684636118601E-2</v>
      </c>
      <c r="E45" s="248">
        <f>E31/E11</f>
        <v>5.6453198072164645E-2</v>
      </c>
      <c r="F45" s="248">
        <f>F31/F11</f>
        <v>6.0989280647301476E-2</v>
      </c>
      <c r="G45" s="248">
        <f>G31/G11</f>
        <v>6.5135499631091567E-2</v>
      </c>
      <c r="H45" s="17">
        <f t="shared" si="9"/>
        <v>0.14733583599232314</v>
      </c>
      <c r="I45" s="248"/>
      <c r="J45" s="247"/>
      <c r="K45" s="247"/>
      <c r="L45" s="247"/>
      <c r="M45" s="247"/>
      <c r="N45" s="247"/>
      <c r="O45" s="248"/>
      <c r="Q45" s="5"/>
      <c r="R45" s="5"/>
      <c r="S45" s="42"/>
      <c r="T45" s="42"/>
      <c r="U45" s="42"/>
      <c r="V45" s="42"/>
      <c r="W45" s="42"/>
      <c r="X45" s="42"/>
      <c r="Y45" s="325"/>
      <c r="Z45" s="325"/>
      <c r="AA45" s="42"/>
    </row>
    <row r="46" spans="2:27">
      <c r="B46" s="5" t="s">
        <v>605</v>
      </c>
      <c r="C46" s="247"/>
      <c r="D46" s="248">
        <f>(D31+D32)/D11</f>
        <v>4.3126684636118601E-2</v>
      </c>
      <c r="E46" s="248">
        <f>(E31+E32)/E11</f>
        <v>5.6453198072164645E-2</v>
      </c>
      <c r="F46" s="248">
        <f>(F31+F32)/F11</f>
        <v>6.0989280647301476E-2</v>
      </c>
      <c r="G46" s="248">
        <f>(G31+G32)/G11</f>
        <v>6.5135499631091567E-2</v>
      </c>
      <c r="H46" s="279">
        <f>((G31+G32)/(D31+D32))^(1/3)-1</f>
        <v>0.14733583599232314</v>
      </c>
      <c r="I46" s="247"/>
      <c r="J46" s="247"/>
      <c r="K46" s="247"/>
      <c r="L46" s="247"/>
      <c r="M46" s="247"/>
      <c r="N46" s="247"/>
      <c r="O46" s="18"/>
      <c r="Q46" s="5"/>
      <c r="R46" s="5"/>
      <c r="S46" s="42"/>
      <c r="T46" s="42"/>
      <c r="U46" s="42"/>
      <c r="V46" s="42"/>
      <c r="W46" s="42"/>
      <c r="X46" s="42"/>
      <c r="Y46" s="42"/>
      <c r="Z46" s="42"/>
      <c r="AA46" s="326"/>
    </row>
    <row r="47" spans="2:27">
      <c r="B47" s="5" t="s">
        <v>581</v>
      </c>
      <c r="C47" s="5"/>
      <c r="D47" s="248">
        <f>1/D43</f>
        <v>4.7140844153913841E-2</v>
      </c>
      <c r="E47" s="248">
        <f>1/E43</f>
        <v>5.7786831475716803E-2</v>
      </c>
      <c r="F47" s="248">
        <f>1/F43</f>
        <v>6.1334379204766115E-2</v>
      </c>
      <c r="G47" s="248">
        <f>1/G43</f>
        <v>6.4597659911449515E-2</v>
      </c>
      <c r="H47" s="17">
        <f>H29</f>
        <v>0.11072482055359956</v>
      </c>
      <c r="I47" s="17"/>
      <c r="J47" s="248"/>
      <c r="K47" s="248"/>
      <c r="L47" s="248"/>
      <c r="M47" s="248"/>
      <c r="N47" s="248"/>
      <c r="O47" s="248"/>
      <c r="Q47" s="5"/>
      <c r="R47" s="5"/>
      <c r="S47" s="42"/>
      <c r="T47" s="42"/>
      <c r="U47" s="42"/>
      <c r="V47" s="42"/>
      <c r="W47" s="42"/>
      <c r="X47" s="42"/>
      <c r="Y47" s="42"/>
      <c r="Z47" s="42"/>
      <c r="AA47" s="326"/>
    </row>
    <row r="48" spans="2:27">
      <c r="B48" s="5" t="s">
        <v>618</v>
      </c>
      <c r="C48" s="5"/>
      <c r="D48" s="305">
        <f>D31/D29</f>
        <v>0.91484752575305817</v>
      </c>
      <c r="E48" s="305">
        <f>E31/E29</f>
        <v>0.97692149976915454</v>
      </c>
      <c r="F48" s="305">
        <f>F31/F29</f>
        <v>0.9943734890294964</v>
      </c>
      <c r="G48" s="305">
        <f>G31/G29</f>
        <v>1.0083259938576619</v>
      </c>
      <c r="H48" s="279" t="s">
        <v>607</v>
      </c>
      <c r="I48" s="247"/>
      <c r="J48" s="247"/>
      <c r="K48" s="247"/>
      <c r="L48" s="247"/>
      <c r="M48" s="247"/>
      <c r="N48" s="247"/>
      <c r="O48" s="248"/>
      <c r="Q48" s="5"/>
      <c r="R48" s="5"/>
      <c r="S48" s="42"/>
      <c r="T48" s="42"/>
      <c r="U48" s="42"/>
      <c r="V48" s="42"/>
      <c r="W48" s="42"/>
      <c r="X48" s="42"/>
      <c r="Y48" s="42"/>
      <c r="Z48" s="42"/>
      <c r="AA48" s="326"/>
    </row>
    <row r="49" spans="2:27">
      <c r="B49" s="41"/>
      <c r="C49" s="17"/>
      <c r="D49" s="17"/>
      <c r="E49" s="17"/>
      <c r="F49" s="17"/>
      <c r="G49" s="17"/>
      <c r="H49" s="17"/>
      <c r="I49" s="254"/>
      <c r="J49" s="17"/>
      <c r="K49" s="17"/>
      <c r="L49" s="17"/>
      <c r="M49" s="17"/>
      <c r="N49" s="17"/>
      <c r="O49" s="248"/>
      <c r="Q49" s="5"/>
      <c r="R49" s="5"/>
      <c r="S49" s="42"/>
      <c r="T49" s="42"/>
      <c r="U49" s="42"/>
      <c r="V49" s="42"/>
      <c r="W49" s="42"/>
      <c r="X49" s="42"/>
      <c r="Y49" s="42"/>
      <c r="Z49" s="42"/>
      <c r="AA49" s="326"/>
    </row>
    <row r="50" spans="2:27">
      <c r="B50" s="5"/>
      <c r="C50" s="257"/>
      <c r="D50" s="257"/>
      <c r="E50" s="257"/>
      <c r="F50" s="5"/>
      <c r="G50" s="41"/>
      <c r="H50" s="249"/>
      <c r="I50" s="17"/>
      <c r="J50" s="249"/>
      <c r="K50" s="249"/>
      <c r="L50" s="249"/>
      <c r="M50" s="249"/>
      <c r="N50" s="249"/>
      <c r="O50" s="250"/>
      <c r="Q50" s="5"/>
      <c r="R50" s="5"/>
      <c r="S50" s="42"/>
      <c r="T50" s="42"/>
      <c r="U50" s="42"/>
      <c r="V50" s="42"/>
      <c r="W50" s="288"/>
      <c r="X50" s="288"/>
      <c r="Y50" s="42"/>
      <c r="Z50" s="42"/>
      <c r="AA50" s="326"/>
    </row>
    <row r="51" spans="2:27">
      <c r="B51" s="41"/>
      <c r="C51" s="249"/>
      <c r="D51" s="254"/>
      <c r="E51" s="254"/>
      <c r="F51" s="254"/>
      <c r="G51" s="254"/>
      <c r="H51" s="254"/>
      <c r="I51" s="259"/>
      <c r="J51" s="254"/>
      <c r="K51" s="254"/>
      <c r="L51" s="254"/>
      <c r="M51" s="254"/>
      <c r="N51" s="254"/>
      <c r="O51" s="251"/>
      <c r="Q51" s="5"/>
      <c r="R51" s="5"/>
      <c r="S51" s="42"/>
      <c r="T51" s="42"/>
      <c r="U51" s="42"/>
      <c r="V51" s="42"/>
      <c r="W51" s="288"/>
      <c r="X51" s="288"/>
      <c r="Y51" s="288"/>
      <c r="Z51" s="288"/>
      <c r="AA51" s="42"/>
    </row>
    <row r="52" spans="2:27">
      <c r="B52" s="5"/>
      <c r="C52" s="257"/>
      <c r="D52" s="17"/>
      <c r="E52" s="17"/>
      <c r="F52" s="17"/>
      <c r="G52" s="17"/>
      <c r="H52" s="17"/>
      <c r="I52" s="254"/>
      <c r="J52" s="17"/>
      <c r="K52" s="17"/>
      <c r="L52" s="17"/>
      <c r="M52" s="17"/>
      <c r="N52" s="17"/>
      <c r="O52" s="248"/>
      <c r="Q52" s="5"/>
      <c r="R52" s="5"/>
      <c r="Y52" s="10"/>
      <c r="Z52" s="10"/>
    </row>
    <row r="53" spans="2:27">
      <c r="B53" s="5"/>
      <c r="C53" s="257"/>
      <c r="D53" s="257"/>
      <c r="E53" s="257"/>
      <c r="F53" s="5"/>
      <c r="G53" s="5"/>
      <c r="H53" s="259"/>
      <c r="I53" s="17"/>
      <c r="J53" s="259"/>
      <c r="K53" s="259"/>
      <c r="L53" s="259"/>
      <c r="M53" s="259"/>
      <c r="N53" s="259"/>
      <c r="O53" s="18"/>
      <c r="Q53" s="5"/>
      <c r="R53" s="5"/>
    </row>
    <row r="54" spans="2:27">
      <c r="B54" s="41"/>
      <c r="C54" s="249"/>
      <c r="D54" s="254"/>
      <c r="E54" s="254"/>
      <c r="F54" s="254"/>
      <c r="G54" s="254"/>
      <c r="H54" s="254"/>
      <c r="I54" s="259"/>
      <c r="J54" s="254"/>
      <c r="K54" s="254"/>
      <c r="L54" s="254"/>
      <c r="M54" s="254"/>
      <c r="N54" s="254"/>
      <c r="O54" s="251"/>
      <c r="Q54" s="5"/>
      <c r="R54" s="5"/>
    </row>
    <row r="55" spans="2:27">
      <c r="B55" s="5"/>
      <c r="C55" s="257"/>
      <c r="D55" s="17"/>
      <c r="E55" s="17"/>
      <c r="F55" s="17"/>
      <c r="G55" s="17"/>
      <c r="H55" s="17"/>
      <c r="I55" s="249"/>
      <c r="J55" s="17"/>
      <c r="K55" s="17"/>
      <c r="L55" s="17"/>
      <c r="M55" s="17"/>
      <c r="N55" s="17"/>
      <c r="O55" s="18"/>
      <c r="Q55" s="5"/>
      <c r="R55" s="5"/>
    </row>
    <row r="56" spans="2:27">
      <c r="B56" s="5"/>
      <c r="C56" s="248"/>
      <c r="D56" s="248"/>
      <c r="E56" s="248"/>
      <c r="F56" s="5"/>
      <c r="G56" s="5"/>
      <c r="H56" s="259"/>
      <c r="I56" s="248"/>
      <c r="J56" s="259"/>
      <c r="K56" s="259"/>
      <c r="L56" s="259"/>
      <c r="M56" s="259"/>
      <c r="N56" s="259"/>
      <c r="O56" s="18"/>
      <c r="Q56" s="5"/>
      <c r="R56" s="5"/>
    </row>
    <row r="57" spans="2:27">
      <c r="B57" s="41"/>
      <c r="C57" s="249"/>
      <c r="D57" s="249"/>
      <c r="E57" s="249"/>
      <c r="F57" s="249"/>
      <c r="G57" s="249"/>
      <c r="H57" s="249"/>
      <c r="I57" s="5"/>
      <c r="J57" s="249"/>
      <c r="K57" s="249"/>
      <c r="L57" s="249"/>
      <c r="M57" s="249"/>
      <c r="N57" s="249"/>
      <c r="O57" s="251"/>
      <c r="Q57" s="5"/>
      <c r="R57" s="5"/>
    </row>
    <row r="58" spans="2:27">
      <c r="B58" s="5"/>
      <c r="C58" s="5"/>
      <c r="D58" s="248"/>
      <c r="E58" s="248"/>
      <c r="F58" s="248"/>
      <c r="G58" s="248"/>
      <c r="H58" s="248"/>
      <c r="I58" s="17"/>
      <c r="J58" s="248"/>
      <c r="K58" s="248"/>
      <c r="L58" s="248"/>
      <c r="M58" s="248"/>
      <c r="N58" s="248"/>
      <c r="O58" s="18"/>
      <c r="Q58" s="5"/>
      <c r="R58" s="5"/>
    </row>
    <row r="59" spans="2:27">
      <c r="B59" s="5"/>
      <c r="C59" s="5"/>
      <c r="D59" s="5"/>
      <c r="E59" s="5"/>
      <c r="F59" s="5"/>
      <c r="G59" s="5"/>
      <c r="H59" s="5"/>
      <c r="I59" s="5"/>
      <c r="J59" s="5"/>
      <c r="K59" s="5"/>
      <c r="L59" s="5"/>
      <c r="M59" s="5"/>
      <c r="N59" s="5"/>
      <c r="O59" s="5"/>
      <c r="Q59" s="5"/>
      <c r="R59" s="5"/>
    </row>
    <row r="60" spans="2:27">
      <c r="B60" s="41"/>
      <c r="C60" s="17"/>
      <c r="D60" s="17"/>
      <c r="E60" s="17"/>
      <c r="F60" s="17"/>
      <c r="G60" s="17"/>
      <c r="H60" s="17"/>
      <c r="I60" s="249"/>
      <c r="J60" s="17"/>
      <c r="K60" s="17"/>
      <c r="L60" s="17"/>
      <c r="M60" s="17"/>
      <c r="N60" s="17"/>
      <c r="O60" s="251"/>
      <c r="Q60" s="5"/>
      <c r="R60" s="5"/>
    </row>
    <row r="61" spans="2:27">
      <c r="B61" s="5"/>
      <c r="C61" s="5"/>
      <c r="D61" s="5"/>
      <c r="E61" s="5"/>
      <c r="F61" s="5"/>
      <c r="G61" s="5"/>
      <c r="H61" s="5"/>
      <c r="I61" s="5"/>
      <c r="J61" s="5"/>
      <c r="K61" s="5"/>
      <c r="L61" s="5"/>
      <c r="M61" s="5"/>
      <c r="N61" s="5"/>
      <c r="O61" s="5"/>
      <c r="Q61" s="41"/>
      <c r="R61" s="5"/>
    </row>
    <row r="62" spans="2:27">
      <c r="B62" s="41"/>
      <c r="C62" s="249"/>
      <c r="D62" s="249"/>
      <c r="E62" s="249"/>
      <c r="F62" s="249"/>
      <c r="G62" s="249"/>
      <c r="H62" s="249"/>
      <c r="I62" s="5"/>
      <c r="J62" s="249"/>
      <c r="K62" s="249"/>
      <c r="L62" s="249"/>
      <c r="M62" s="249"/>
      <c r="N62" s="249"/>
      <c r="O62" s="251"/>
      <c r="Q62" s="5"/>
      <c r="R62" s="5"/>
    </row>
    <row r="63" spans="2:27">
      <c r="B63" s="5"/>
      <c r="C63" s="5"/>
      <c r="D63" s="5"/>
      <c r="E63" s="5"/>
      <c r="F63" s="5"/>
      <c r="G63" s="5"/>
      <c r="H63" s="5"/>
      <c r="I63" s="254"/>
      <c r="J63" s="5"/>
      <c r="K63" s="5"/>
      <c r="L63" s="5"/>
      <c r="M63" s="5"/>
      <c r="N63" s="5"/>
      <c r="O63" s="5"/>
      <c r="Q63" s="5"/>
      <c r="R63" s="5"/>
    </row>
    <row r="64" spans="2:27">
      <c r="B64" s="5"/>
      <c r="C64" s="5"/>
      <c r="D64" s="5"/>
      <c r="E64" s="5"/>
      <c r="F64" s="5"/>
      <c r="G64" s="5"/>
      <c r="H64" s="5"/>
      <c r="I64" s="17"/>
      <c r="J64" s="5"/>
      <c r="K64" s="5"/>
      <c r="L64" s="5"/>
      <c r="M64" s="5"/>
      <c r="N64" s="5"/>
      <c r="O64" s="5"/>
      <c r="Q64" s="5"/>
      <c r="R64" s="5"/>
    </row>
    <row r="65" spans="2:26">
      <c r="B65" s="41"/>
      <c r="C65" s="249"/>
      <c r="D65" s="254"/>
      <c r="E65" s="254"/>
      <c r="F65" s="254"/>
      <c r="G65" s="254"/>
      <c r="H65" s="254"/>
      <c r="I65" s="254"/>
      <c r="J65" s="254"/>
      <c r="K65" s="254"/>
      <c r="L65" s="254"/>
      <c r="M65" s="254"/>
      <c r="N65" s="254"/>
      <c r="O65" s="251"/>
      <c r="Q65" s="5"/>
      <c r="R65" s="5"/>
    </row>
    <row r="66" spans="2:26">
      <c r="B66" s="5"/>
      <c r="C66" s="5"/>
      <c r="D66" s="17"/>
      <c r="E66" s="17"/>
      <c r="F66" s="17"/>
      <c r="G66" s="17"/>
      <c r="H66" s="17"/>
      <c r="I66" s="248"/>
      <c r="J66" s="17"/>
      <c r="K66" s="17"/>
      <c r="L66" s="17"/>
      <c r="M66" s="17"/>
      <c r="N66" s="17"/>
      <c r="O66" s="5"/>
      <c r="Q66" s="5"/>
      <c r="R66" s="5"/>
    </row>
    <row r="67" spans="2:26">
      <c r="B67" s="41"/>
      <c r="C67" s="249"/>
      <c r="D67" s="254"/>
      <c r="E67" s="254"/>
      <c r="F67" s="254"/>
      <c r="G67" s="254"/>
      <c r="H67" s="254"/>
      <c r="I67" s="5"/>
      <c r="J67" s="254"/>
      <c r="K67" s="254"/>
      <c r="L67" s="254"/>
      <c r="M67" s="254"/>
      <c r="N67" s="254"/>
      <c r="O67" s="251"/>
      <c r="Q67" s="41"/>
      <c r="R67" s="5"/>
    </row>
    <row r="68" spans="2:26">
      <c r="B68" s="5"/>
      <c r="C68" s="5"/>
      <c r="D68" s="248"/>
      <c r="E68" s="248"/>
      <c r="F68" s="248"/>
      <c r="G68" s="248"/>
      <c r="H68" s="248"/>
      <c r="I68" s="245"/>
      <c r="J68" s="248"/>
      <c r="K68" s="248"/>
      <c r="L68" s="248"/>
      <c r="M68" s="248"/>
      <c r="N68" s="248"/>
      <c r="O68" s="5"/>
      <c r="Q68" s="5"/>
      <c r="R68" s="5"/>
    </row>
    <row r="69" spans="2:26">
      <c r="B69" s="41"/>
      <c r="C69" s="5"/>
      <c r="D69" s="5"/>
      <c r="E69" s="5"/>
      <c r="F69" s="5"/>
      <c r="G69" s="5"/>
      <c r="H69" s="5"/>
      <c r="I69" s="248"/>
      <c r="J69" s="5"/>
      <c r="K69" s="5"/>
      <c r="L69" s="5"/>
      <c r="M69" s="5"/>
      <c r="N69" s="5"/>
      <c r="O69" s="5"/>
      <c r="Q69" s="5"/>
      <c r="R69" s="5"/>
    </row>
    <row r="70" spans="2:26">
      <c r="B70" s="41"/>
      <c r="C70" s="245"/>
      <c r="D70" s="245"/>
      <c r="E70" s="245"/>
      <c r="F70" s="245"/>
      <c r="G70" s="245"/>
      <c r="H70" s="245"/>
      <c r="I70" s="5"/>
      <c r="J70" s="245"/>
      <c r="K70" s="245"/>
      <c r="L70" s="245"/>
      <c r="M70" s="245"/>
      <c r="N70" s="245"/>
      <c r="O70" s="251"/>
      <c r="Q70" s="5"/>
      <c r="R70" s="5"/>
      <c r="W70" s="76"/>
      <c r="X70" s="76"/>
    </row>
    <row r="71" spans="2:26">
      <c r="B71" s="5"/>
      <c r="C71" s="5"/>
      <c r="D71" s="248"/>
      <c r="E71" s="248"/>
      <c r="F71" s="248"/>
      <c r="G71" s="248"/>
      <c r="H71" s="248"/>
      <c r="I71" s="245"/>
      <c r="J71" s="248"/>
      <c r="K71" s="248"/>
      <c r="L71" s="248"/>
      <c r="M71" s="248"/>
      <c r="N71" s="248"/>
      <c r="O71" s="5"/>
      <c r="Q71" s="5"/>
      <c r="R71" s="5"/>
      <c r="W71" s="76"/>
      <c r="X71" s="76"/>
      <c r="Y71" s="76"/>
      <c r="Z71" s="76"/>
    </row>
    <row r="72" spans="2:26">
      <c r="B72" s="41"/>
      <c r="C72" s="5"/>
      <c r="D72" s="5"/>
      <c r="E72" s="5"/>
      <c r="F72" s="5"/>
      <c r="G72" s="5"/>
      <c r="H72" s="5"/>
      <c r="I72" s="18"/>
      <c r="J72" s="5"/>
      <c r="K72" s="5"/>
      <c r="L72" s="5"/>
      <c r="M72" s="5"/>
      <c r="N72" s="5"/>
      <c r="O72" s="5"/>
      <c r="Q72" s="5"/>
      <c r="R72" s="5"/>
      <c r="Y72" s="76"/>
      <c r="Z72" s="76"/>
    </row>
    <row r="73" spans="2:26">
      <c r="B73" s="41"/>
      <c r="C73" s="245"/>
      <c r="D73" s="245"/>
      <c r="E73" s="245"/>
      <c r="F73" s="245"/>
      <c r="G73" s="245"/>
      <c r="H73" s="245"/>
      <c r="I73" s="5"/>
      <c r="J73" s="245"/>
      <c r="K73" s="245"/>
      <c r="L73" s="245"/>
      <c r="M73" s="245"/>
      <c r="N73" s="245"/>
      <c r="O73" s="251"/>
      <c r="Q73" s="5"/>
      <c r="R73" s="5"/>
    </row>
    <row r="74" spans="2:26">
      <c r="B74" s="5"/>
      <c r="C74" s="5"/>
      <c r="D74" s="18"/>
      <c r="E74" s="18"/>
      <c r="F74" s="18"/>
      <c r="G74" s="18"/>
      <c r="H74" s="18"/>
      <c r="I74" s="249"/>
      <c r="J74" s="18"/>
      <c r="K74" s="18"/>
      <c r="L74" s="18"/>
      <c r="M74" s="18"/>
      <c r="N74" s="18"/>
      <c r="O74" s="5"/>
      <c r="Q74" s="5"/>
      <c r="R74" s="5"/>
    </row>
    <row r="75" spans="2:26">
      <c r="B75" s="41"/>
      <c r="C75" s="5"/>
      <c r="D75" s="5"/>
      <c r="E75" s="5"/>
      <c r="F75" s="5"/>
      <c r="G75" s="5"/>
      <c r="H75" s="5"/>
      <c r="I75" s="248"/>
      <c r="J75" s="5"/>
      <c r="K75" s="5"/>
      <c r="L75" s="5"/>
      <c r="M75" s="5"/>
      <c r="N75" s="5"/>
      <c r="O75" s="5"/>
      <c r="Q75" s="5"/>
      <c r="R75" s="5"/>
    </row>
    <row r="76" spans="2:26">
      <c r="B76" s="41"/>
      <c r="C76" s="249"/>
      <c r="D76" s="249"/>
      <c r="E76" s="249"/>
      <c r="F76" s="249"/>
      <c r="G76" s="249"/>
      <c r="H76" s="249"/>
      <c r="I76" s="5"/>
      <c r="J76" s="249"/>
      <c r="K76" s="249"/>
      <c r="L76" s="249"/>
      <c r="M76" s="249"/>
      <c r="N76" s="249"/>
      <c r="O76" s="251"/>
      <c r="Q76" s="5"/>
      <c r="R76" s="5"/>
    </row>
    <row r="77" spans="2:26">
      <c r="B77" s="5"/>
      <c r="C77" s="5"/>
      <c r="D77" s="248"/>
      <c r="E77" s="248"/>
      <c r="F77" s="248"/>
      <c r="G77" s="248"/>
      <c r="H77" s="248"/>
      <c r="I77" s="245"/>
      <c r="J77" s="248"/>
      <c r="K77" s="248"/>
      <c r="L77" s="248"/>
      <c r="M77" s="248"/>
      <c r="N77" s="248"/>
      <c r="O77" s="5"/>
      <c r="Q77" s="5"/>
      <c r="R77" s="5"/>
    </row>
    <row r="78" spans="2:26">
      <c r="B78" s="41"/>
      <c r="C78" s="5"/>
      <c r="D78" s="5"/>
      <c r="E78" s="5"/>
      <c r="F78" s="5"/>
      <c r="G78" s="5"/>
      <c r="H78" s="5"/>
      <c r="I78" s="248"/>
      <c r="J78" s="5"/>
      <c r="K78" s="5"/>
      <c r="L78" s="5"/>
      <c r="M78" s="5"/>
      <c r="N78" s="5"/>
      <c r="O78" s="5"/>
      <c r="Q78" s="5"/>
      <c r="R78" s="5"/>
    </row>
    <row r="79" spans="2:26">
      <c r="B79" s="41"/>
      <c r="C79" s="245"/>
      <c r="D79" s="245"/>
      <c r="E79" s="245"/>
      <c r="F79" s="245"/>
      <c r="G79" s="245"/>
      <c r="H79" s="245"/>
      <c r="I79" s="5"/>
      <c r="J79" s="245"/>
      <c r="K79" s="245"/>
      <c r="L79" s="245"/>
      <c r="M79" s="245"/>
      <c r="N79" s="245"/>
      <c r="O79" s="251"/>
      <c r="Q79" s="5"/>
      <c r="R79" s="5"/>
    </row>
    <row r="80" spans="2:26">
      <c r="B80" s="5"/>
      <c r="C80" s="5"/>
      <c r="D80" s="248"/>
      <c r="E80" s="248"/>
      <c r="F80" s="248"/>
      <c r="G80" s="248"/>
      <c r="H80" s="248"/>
      <c r="I80" s="249"/>
      <c r="J80" s="248"/>
      <c r="K80" s="248"/>
      <c r="L80" s="248"/>
      <c r="M80" s="248"/>
      <c r="N80" s="248"/>
      <c r="O80" s="5"/>
      <c r="Q80" s="5"/>
      <c r="R80" s="5"/>
    </row>
    <row r="81" spans="2:26">
      <c r="B81" s="41"/>
      <c r="C81" s="5"/>
      <c r="D81" s="5"/>
      <c r="E81" s="5"/>
      <c r="F81" s="5"/>
      <c r="G81" s="5"/>
      <c r="H81" s="5"/>
      <c r="I81" s="248"/>
      <c r="J81" s="5"/>
      <c r="K81" s="5"/>
      <c r="L81" s="5"/>
      <c r="M81" s="5"/>
      <c r="N81" s="5"/>
      <c r="O81" s="5"/>
      <c r="Q81" s="5"/>
      <c r="R81" s="5"/>
    </row>
    <row r="82" spans="2:26">
      <c r="B82" s="41"/>
      <c r="C82" s="249"/>
      <c r="D82" s="249"/>
      <c r="E82" s="249"/>
      <c r="F82" s="249"/>
      <c r="G82" s="249"/>
      <c r="H82" s="249"/>
      <c r="I82" s="259"/>
      <c r="J82" s="249"/>
      <c r="K82" s="249"/>
      <c r="L82" s="249"/>
      <c r="M82" s="249"/>
      <c r="N82" s="249"/>
      <c r="O82" s="251"/>
      <c r="Q82" s="5"/>
      <c r="R82" s="5"/>
    </row>
    <row r="83" spans="2:26">
      <c r="B83" s="5"/>
      <c r="C83" s="5"/>
      <c r="D83" s="248"/>
      <c r="E83" s="248"/>
      <c r="F83" s="248"/>
      <c r="G83" s="248"/>
      <c r="H83" s="248"/>
      <c r="I83" s="5"/>
      <c r="J83" s="248"/>
      <c r="K83" s="248"/>
      <c r="L83" s="248"/>
      <c r="M83" s="248"/>
      <c r="N83" s="248"/>
      <c r="O83" s="5"/>
      <c r="Q83" s="5"/>
      <c r="R83" s="5"/>
    </row>
    <row r="84" spans="2:26">
      <c r="B84" s="5"/>
      <c r="C84" s="259"/>
      <c r="D84" s="259"/>
      <c r="E84" s="259"/>
      <c r="F84" s="259"/>
      <c r="G84" s="259"/>
      <c r="H84" s="259"/>
      <c r="I84" s="245"/>
      <c r="J84" s="259"/>
      <c r="K84" s="259"/>
      <c r="L84" s="259"/>
      <c r="M84" s="259"/>
      <c r="N84" s="259"/>
      <c r="O84" s="251"/>
      <c r="Q84" s="5"/>
      <c r="R84" s="5"/>
    </row>
    <row r="85" spans="2:26">
      <c r="B85" s="41"/>
      <c r="C85" s="5"/>
      <c r="D85" s="5"/>
      <c r="E85" s="5"/>
      <c r="F85" s="5"/>
      <c r="G85" s="5"/>
      <c r="H85" s="5"/>
      <c r="I85" s="248"/>
      <c r="J85" s="5"/>
      <c r="K85" s="5"/>
      <c r="L85" s="5"/>
      <c r="M85" s="5"/>
      <c r="N85" s="5"/>
      <c r="O85" s="5"/>
      <c r="Q85" s="5"/>
      <c r="R85" s="5"/>
    </row>
    <row r="86" spans="2:26">
      <c r="B86" s="41"/>
      <c r="C86" s="245"/>
      <c r="D86" s="245"/>
      <c r="E86" s="245"/>
      <c r="F86" s="245"/>
      <c r="G86" s="245"/>
      <c r="H86" s="245"/>
      <c r="I86" s="5"/>
      <c r="J86" s="245"/>
      <c r="K86" s="245"/>
      <c r="L86" s="245"/>
      <c r="M86" s="245"/>
      <c r="N86" s="245"/>
      <c r="O86" s="251"/>
      <c r="Q86" s="5"/>
      <c r="R86" s="5"/>
    </row>
    <row r="87" spans="2:26">
      <c r="B87" s="5"/>
      <c r="C87" s="5"/>
      <c r="D87" s="248"/>
      <c r="E87" s="248"/>
      <c r="F87" s="248"/>
      <c r="G87" s="248"/>
      <c r="H87" s="248"/>
      <c r="I87" s="5"/>
      <c r="J87" s="248"/>
      <c r="K87" s="248"/>
      <c r="L87" s="248"/>
      <c r="M87" s="248"/>
      <c r="N87" s="248"/>
      <c r="O87" s="5"/>
      <c r="Q87" s="5"/>
      <c r="R87" s="5"/>
    </row>
    <row r="88" spans="2:26">
      <c r="B88" s="41"/>
      <c r="C88" s="5"/>
      <c r="D88" s="5"/>
      <c r="E88" s="5"/>
      <c r="F88" s="5"/>
      <c r="G88" s="5"/>
      <c r="H88" s="5"/>
      <c r="I88" s="5"/>
      <c r="J88" s="5"/>
      <c r="K88" s="5"/>
      <c r="L88" s="5"/>
      <c r="M88" s="5"/>
      <c r="N88" s="5"/>
      <c r="O88" s="5"/>
      <c r="Q88" s="5"/>
      <c r="R88" s="5"/>
    </row>
    <row r="89" spans="2:26">
      <c r="B89" s="41"/>
      <c r="C89" s="5"/>
      <c r="D89" s="5"/>
      <c r="E89" s="5"/>
      <c r="F89" s="5"/>
      <c r="G89" s="5"/>
      <c r="H89" s="5"/>
      <c r="I89" s="5"/>
      <c r="J89" s="5"/>
      <c r="K89" s="5"/>
      <c r="L89" s="5"/>
      <c r="M89" s="5"/>
      <c r="N89" s="5"/>
      <c r="O89" s="5"/>
      <c r="Q89" s="5"/>
      <c r="R89" s="5"/>
    </row>
    <row r="90" spans="2:26">
      <c r="B90" s="41"/>
      <c r="C90" s="5"/>
      <c r="D90" s="5"/>
      <c r="E90" s="5"/>
      <c r="F90" s="5"/>
      <c r="G90" s="5"/>
      <c r="H90" s="5"/>
      <c r="I90" s="49"/>
      <c r="J90" s="5"/>
      <c r="K90" s="5"/>
      <c r="L90" s="5"/>
      <c r="M90" s="5"/>
      <c r="N90" s="5"/>
      <c r="O90" s="5"/>
      <c r="Q90" s="41"/>
      <c r="R90" s="5"/>
    </row>
    <row r="91" spans="2:26">
      <c r="B91" s="5"/>
      <c r="C91" s="5"/>
      <c r="D91" s="5"/>
      <c r="E91" s="5"/>
      <c r="F91" s="5"/>
      <c r="G91" s="5"/>
      <c r="H91" s="5"/>
      <c r="I91" s="5"/>
      <c r="J91" s="5"/>
      <c r="K91" s="5"/>
      <c r="L91" s="5"/>
      <c r="M91" s="5"/>
      <c r="N91" s="5"/>
      <c r="O91" s="5"/>
      <c r="Q91" s="5"/>
      <c r="R91" s="5"/>
    </row>
    <row r="92" spans="2:26">
      <c r="B92" s="41"/>
      <c r="C92" s="49"/>
      <c r="D92" s="49"/>
      <c r="E92" s="49"/>
      <c r="F92" s="49"/>
      <c r="G92" s="49"/>
      <c r="H92" s="49"/>
      <c r="I92" s="247"/>
      <c r="J92" s="49"/>
      <c r="K92" s="49"/>
      <c r="L92" s="49"/>
      <c r="M92" s="49"/>
      <c r="N92" s="49"/>
      <c r="O92" s="49"/>
      <c r="Q92" s="5"/>
      <c r="R92" s="5"/>
      <c r="W92" s="21"/>
      <c r="X92" s="21"/>
    </row>
    <row r="93" spans="2:26">
      <c r="B93" s="5"/>
      <c r="C93" s="5"/>
      <c r="D93" s="5"/>
      <c r="E93" s="5"/>
      <c r="F93" s="5"/>
      <c r="G93" s="5"/>
      <c r="H93" s="5"/>
      <c r="I93" s="247"/>
      <c r="J93" s="5"/>
      <c r="K93" s="5"/>
      <c r="L93" s="5"/>
      <c r="M93" s="5"/>
      <c r="N93" s="5"/>
      <c r="O93" s="5"/>
      <c r="Q93" s="5"/>
      <c r="R93" s="5"/>
      <c r="W93" s="21"/>
      <c r="X93" s="21"/>
      <c r="Y93" s="21"/>
      <c r="Z93" s="21"/>
    </row>
    <row r="94" spans="2:26">
      <c r="B94" s="5"/>
      <c r="C94" s="259"/>
      <c r="D94" s="247"/>
      <c r="E94" s="247"/>
      <c r="F94" s="247"/>
      <c r="G94" s="247"/>
      <c r="H94" s="247"/>
      <c r="I94" s="247"/>
      <c r="J94" s="247"/>
      <c r="K94" s="247"/>
      <c r="L94" s="247"/>
      <c r="M94" s="247"/>
      <c r="N94" s="247"/>
      <c r="O94" s="248"/>
      <c r="Q94" s="5"/>
      <c r="R94" s="5"/>
      <c r="Y94" s="21"/>
      <c r="Z94" s="21"/>
    </row>
    <row r="95" spans="2:26">
      <c r="B95" s="5"/>
      <c r="C95" s="259"/>
      <c r="D95" s="247"/>
      <c r="E95" s="247"/>
      <c r="F95" s="247"/>
      <c r="G95" s="247"/>
      <c r="H95" s="247"/>
      <c r="I95" s="248"/>
      <c r="J95" s="247"/>
      <c r="K95" s="247"/>
      <c r="L95" s="247"/>
      <c r="M95" s="247"/>
      <c r="N95" s="247"/>
      <c r="O95" s="248"/>
      <c r="Q95" s="5"/>
      <c r="R95" s="5"/>
    </row>
    <row r="96" spans="2:26">
      <c r="B96" s="5"/>
      <c r="C96" s="259"/>
      <c r="D96" s="247"/>
      <c r="E96" s="247"/>
      <c r="F96" s="247"/>
      <c r="G96" s="247"/>
      <c r="H96" s="247"/>
      <c r="I96" s="247"/>
      <c r="J96" s="247"/>
      <c r="K96" s="247"/>
      <c r="L96" s="247"/>
      <c r="M96" s="247"/>
      <c r="N96" s="247"/>
      <c r="O96" s="248"/>
      <c r="Q96" s="5"/>
      <c r="R96" s="5"/>
    </row>
    <row r="97" spans="2:18">
      <c r="B97" s="5"/>
      <c r="C97" s="259"/>
      <c r="D97" s="248"/>
      <c r="E97" s="248"/>
      <c r="F97" s="248"/>
      <c r="G97" s="248"/>
      <c r="H97" s="248"/>
      <c r="I97" s="249"/>
      <c r="J97" s="248"/>
      <c r="K97" s="248"/>
      <c r="L97" s="248"/>
      <c r="M97" s="248"/>
      <c r="N97" s="248"/>
      <c r="O97" s="248"/>
      <c r="Q97" s="5"/>
      <c r="R97" s="5"/>
    </row>
    <row r="98" spans="2:18">
      <c r="B98" s="5"/>
      <c r="C98" s="259"/>
      <c r="D98" s="247"/>
      <c r="E98" s="247"/>
      <c r="F98" s="247"/>
      <c r="G98" s="247"/>
      <c r="H98" s="247"/>
      <c r="I98" s="248"/>
      <c r="J98" s="247"/>
      <c r="K98" s="247"/>
      <c r="L98" s="247"/>
      <c r="M98" s="247"/>
      <c r="N98" s="247"/>
      <c r="O98" s="248"/>
      <c r="Q98" s="5"/>
      <c r="R98" s="5"/>
    </row>
    <row r="99" spans="2:18">
      <c r="B99" s="41"/>
      <c r="C99" s="249"/>
      <c r="D99" s="249"/>
      <c r="E99" s="249"/>
      <c r="F99" s="249"/>
      <c r="G99" s="249"/>
      <c r="H99" s="249"/>
      <c r="I99" s="5"/>
      <c r="J99" s="249"/>
      <c r="K99" s="249"/>
      <c r="L99" s="249"/>
      <c r="M99" s="249"/>
      <c r="N99" s="249"/>
      <c r="O99" s="248"/>
      <c r="Q99" s="5"/>
      <c r="R99" s="5"/>
    </row>
    <row r="100" spans="2:18">
      <c r="B100" s="41"/>
      <c r="C100" s="257"/>
      <c r="D100" s="248"/>
      <c r="E100" s="248"/>
      <c r="F100" s="248"/>
      <c r="G100" s="248"/>
      <c r="H100" s="248"/>
      <c r="I100" s="259"/>
      <c r="J100" s="248"/>
      <c r="K100" s="248"/>
      <c r="L100" s="248"/>
      <c r="M100" s="248"/>
      <c r="N100" s="248"/>
      <c r="O100" s="248"/>
      <c r="Q100" s="5"/>
      <c r="R100" s="5"/>
    </row>
    <row r="101" spans="2:18" s="5" customFormat="1">
      <c r="B101" s="41"/>
      <c r="I101" s="259"/>
      <c r="O101" s="248"/>
      <c r="P101" s="39"/>
    </row>
    <row r="102" spans="2:18">
      <c r="B102" s="5"/>
      <c r="C102" s="259"/>
      <c r="D102" s="259"/>
      <c r="E102" s="259"/>
      <c r="F102" s="259"/>
      <c r="G102" s="259"/>
      <c r="H102" s="259"/>
      <c r="I102" s="247"/>
      <c r="J102" s="259"/>
      <c r="K102" s="259"/>
      <c r="L102" s="259"/>
      <c r="M102" s="259"/>
      <c r="N102" s="259"/>
      <c r="O102" s="5"/>
      <c r="Q102" s="5"/>
      <c r="R102" s="5"/>
    </row>
    <row r="103" spans="2:18">
      <c r="B103" s="5"/>
      <c r="C103" s="259"/>
      <c r="D103" s="259"/>
      <c r="E103" s="259"/>
      <c r="F103" s="259"/>
      <c r="G103" s="259"/>
      <c r="H103" s="259"/>
      <c r="I103" s="5"/>
      <c r="J103" s="259"/>
      <c r="K103" s="259"/>
      <c r="L103" s="259"/>
      <c r="M103" s="259"/>
      <c r="N103" s="259"/>
      <c r="O103" s="5"/>
      <c r="P103" s="5"/>
      <c r="Q103" s="5"/>
      <c r="R103" s="5"/>
    </row>
    <row r="104" spans="2:18">
      <c r="B104" s="5"/>
      <c r="C104" s="247"/>
      <c r="D104" s="247"/>
      <c r="E104" s="247"/>
      <c r="F104" s="247"/>
      <c r="G104" s="247"/>
      <c r="H104" s="247"/>
      <c r="I104" s="247"/>
      <c r="J104" s="247"/>
      <c r="K104" s="247"/>
      <c r="L104" s="247"/>
      <c r="M104" s="247"/>
      <c r="N104" s="247"/>
      <c r="O104" s="5"/>
      <c r="Q104" s="5"/>
      <c r="R104" s="5"/>
    </row>
    <row r="105" spans="2:18" s="5" customFormat="1">
      <c r="P105" s="39"/>
    </row>
    <row r="106" spans="2:18" s="5" customFormat="1">
      <c r="C106" s="259"/>
      <c r="D106" s="247"/>
      <c r="E106" s="247"/>
      <c r="F106" s="247"/>
      <c r="G106" s="247"/>
      <c r="H106" s="247"/>
      <c r="I106" s="259"/>
      <c r="J106" s="247"/>
      <c r="K106" s="247"/>
      <c r="L106" s="247"/>
      <c r="M106" s="247"/>
      <c r="N106" s="247"/>
      <c r="P106" s="39"/>
    </row>
    <row r="107" spans="2:18">
      <c r="B107" s="5"/>
      <c r="C107" s="259"/>
      <c r="D107" s="5"/>
      <c r="E107" s="5"/>
      <c r="F107" s="5"/>
      <c r="G107" s="5"/>
      <c r="H107" s="5"/>
      <c r="I107" s="247"/>
      <c r="J107" s="5"/>
      <c r="K107" s="5"/>
      <c r="L107" s="5"/>
      <c r="M107" s="5"/>
      <c r="N107" s="5"/>
      <c r="O107" s="5"/>
      <c r="P107" s="5"/>
      <c r="Q107" s="5"/>
      <c r="R107" s="5"/>
    </row>
    <row r="108" spans="2:18">
      <c r="B108" s="5"/>
      <c r="C108" s="259"/>
      <c r="D108" s="259"/>
      <c r="E108" s="259"/>
      <c r="F108" s="259"/>
      <c r="G108" s="259"/>
      <c r="H108" s="259"/>
      <c r="I108" s="249"/>
      <c r="J108" s="259"/>
      <c r="K108" s="259"/>
      <c r="L108" s="259"/>
      <c r="M108" s="259"/>
      <c r="N108" s="259"/>
      <c r="O108" s="5"/>
      <c r="P108" s="5"/>
      <c r="Q108" s="5"/>
      <c r="R108" s="5"/>
    </row>
    <row r="109" spans="2:18">
      <c r="B109" s="5"/>
      <c r="C109" s="247"/>
      <c r="D109" s="247"/>
      <c r="E109" s="247"/>
      <c r="F109" s="247"/>
      <c r="G109" s="247"/>
      <c r="H109" s="247"/>
      <c r="I109" s="249"/>
      <c r="J109" s="247"/>
      <c r="K109" s="247"/>
      <c r="L109" s="247"/>
      <c r="M109" s="247"/>
      <c r="N109" s="247"/>
      <c r="O109" s="5"/>
      <c r="Q109" s="5"/>
      <c r="R109" s="5"/>
    </row>
    <row r="110" spans="2:18">
      <c r="B110" s="41"/>
      <c r="C110" s="249"/>
      <c r="D110" s="249"/>
      <c r="E110" s="249"/>
      <c r="F110" s="249"/>
      <c r="G110" s="249"/>
      <c r="H110" s="249"/>
      <c r="I110" s="247"/>
      <c r="J110" s="249"/>
      <c r="K110" s="249"/>
      <c r="L110" s="249"/>
      <c r="M110" s="249"/>
      <c r="N110" s="249"/>
      <c r="O110" s="5"/>
      <c r="Q110" s="5"/>
      <c r="R110" s="5"/>
    </row>
    <row r="111" spans="2:18">
      <c r="B111" s="5"/>
      <c r="C111" s="249"/>
      <c r="D111" s="249"/>
      <c r="E111" s="249"/>
      <c r="F111" s="249"/>
      <c r="G111" s="249"/>
      <c r="H111" s="249"/>
      <c r="I111" s="5"/>
      <c r="J111" s="249"/>
      <c r="K111" s="249"/>
      <c r="L111" s="249"/>
      <c r="M111" s="249"/>
      <c r="N111" s="249"/>
      <c r="O111" s="5"/>
      <c r="Q111" s="5"/>
      <c r="R111" s="5"/>
    </row>
    <row r="112" spans="2:18">
      <c r="B112" s="5"/>
      <c r="C112" s="247"/>
      <c r="D112" s="247"/>
      <c r="E112" s="247"/>
      <c r="F112" s="247"/>
      <c r="G112" s="247"/>
      <c r="H112" s="247"/>
      <c r="I112" s="5"/>
      <c r="J112" s="247"/>
      <c r="K112" s="247"/>
      <c r="L112" s="247"/>
      <c r="M112" s="247"/>
      <c r="N112" s="247"/>
      <c r="O112" s="5"/>
      <c r="Q112" s="5"/>
      <c r="R112" s="5"/>
    </row>
    <row r="113" spans="2:18">
      <c r="B113" s="5"/>
      <c r="C113" s="5"/>
      <c r="D113" s="5"/>
      <c r="E113" s="5"/>
      <c r="F113" s="5"/>
      <c r="G113" s="5"/>
      <c r="H113" s="5"/>
      <c r="I113" s="5"/>
      <c r="J113" s="5"/>
      <c r="K113" s="5"/>
      <c r="L113" s="5"/>
      <c r="M113" s="5"/>
      <c r="N113" s="5"/>
      <c r="O113" s="5"/>
      <c r="Q113" s="5"/>
      <c r="R113" s="5"/>
    </row>
    <row r="114" spans="2:18">
      <c r="B114" s="5"/>
      <c r="C114" s="5"/>
      <c r="D114" s="5"/>
      <c r="E114" s="5"/>
      <c r="F114" s="5"/>
      <c r="G114" s="5"/>
      <c r="H114" s="5"/>
      <c r="I114" s="5"/>
      <c r="J114" s="5"/>
      <c r="K114" s="5"/>
      <c r="L114" s="5"/>
      <c r="M114" s="5"/>
      <c r="N114" s="5"/>
      <c r="O114" s="5"/>
      <c r="Q114" s="5"/>
      <c r="R114" s="5"/>
    </row>
    <row r="115" spans="2:18">
      <c r="B115" s="5"/>
      <c r="C115" s="5"/>
      <c r="D115" s="5"/>
      <c r="E115" s="5"/>
      <c r="F115" s="5"/>
      <c r="G115" s="5"/>
      <c r="H115" s="5"/>
      <c r="I115" s="49"/>
      <c r="J115" s="5"/>
      <c r="K115" s="5"/>
      <c r="L115" s="5"/>
      <c r="M115" s="5"/>
      <c r="N115" s="5"/>
      <c r="O115" s="5"/>
      <c r="Q115" s="41"/>
      <c r="R115" s="5"/>
    </row>
    <row r="116" spans="2:18">
      <c r="B116" s="5"/>
      <c r="C116" s="5"/>
      <c r="D116" s="5"/>
      <c r="E116" s="5"/>
      <c r="F116" s="5"/>
      <c r="G116" s="5"/>
      <c r="H116" s="5"/>
      <c r="I116" s="5"/>
      <c r="J116" s="5"/>
      <c r="K116" s="5"/>
      <c r="L116" s="5"/>
      <c r="M116" s="5"/>
      <c r="N116" s="5"/>
      <c r="O116" s="5"/>
      <c r="Q116" s="5"/>
      <c r="R116" s="5"/>
    </row>
    <row r="117" spans="2:18">
      <c r="B117" s="41"/>
      <c r="C117" s="49"/>
      <c r="D117" s="49"/>
      <c r="E117" s="49"/>
      <c r="F117" s="49"/>
      <c r="G117" s="49"/>
      <c r="H117" s="49"/>
      <c r="I117" s="254"/>
      <c r="J117" s="49"/>
      <c r="K117" s="49"/>
      <c r="L117" s="49"/>
      <c r="M117" s="49"/>
      <c r="N117" s="49"/>
      <c r="O117" s="49"/>
      <c r="Q117" s="5"/>
      <c r="R117" s="5"/>
    </row>
    <row r="118" spans="2:18">
      <c r="B118" s="5"/>
      <c r="C118" s="5"/>
      <c r="D118" s="5"/>
      <c r="E118" s="5"/>
      <c r="F118" s="5"/>
      <c r="G118" s="5"/>
      <c r="H118" s="5"/>
      <c r="I118" s="249"/>
      <c r="J118" s="5"/>
      <c r="K118" s="5"/>
      <c r="L118" s="5"/>
      <c r="M118" s="5"/>
      <c r="N118" s="5"/>
      <c r="O118" s="5"/>
      <c r="Q118" s="5"/>
      <c r="R118" s="5"/>
    </row>
    <row r="119" spans="2:18">
      <c r="B119" s="41"/>
      <c r="C119" s="254"/>
      <c r="D119" s="254"/>
      <c r="E119" s="254"/>
      <c r="F119" s="254"/>
      <c r="G119" s="254"/>
      <c r="H119" s="254"/>
      <c r="I119" s="254"/>
      <c r="J119" s="254"/>
      <c r="K119" s="254"/>
      <c r="L119" s="254"/>
      <c r="M119" s="254"/>
      <c r="N119" s="254"/>
      <c r="O119" s="248"/>
      <c r="Q119" s="5"/>
      <c r="R119" s="5"/>
    </row>
    <row r="120" spans="2:18">
      <c r="B120" s="41"/>
      <c r="C120" s="254"/>
      <c r="D120" s="249"/>
      <c r="E120" s="249"/>
      <c r="F120" s="249"/>
      <c r="G120" s="249"/>
      <c r="H120" s="249"/>
      <c r="I120" s="254"/>
      <c r="J120" s="249"/>
      <c r="K120" s="249"/>
      <c r="L120" s="249"/>
      <c r="M120" s="249"/>
      <c r="N120" s="249"/>
      <c r="O120" s="248"/>
      <c r="Q120" s="5"/>
      <c r="R120" s="5"/>
    </row>
    <row r="121" spans="2:18">
      <c r="B121" s="41"/>
      <c r="C121" s="254"/>
      <c r="D121" s="254"/>
      <c r="E121" s="254"/>
      <c r="F121" s="254"/>
      <c r="G121" s="254"/>
      <c r="H121" s="254"/>
      <c r="I121" s="254"/>
      <c r="J121" s="254"/>
      <c r="K121" s="254"/>
      <c r="L121" s="254"/>
      <c r="M121" s="254"/>
      <c r="N121" s="254"/>
      <c r="O121" s="248"/>
      <c r="Q121" s="5"/>
      <c r="R121" s="5"/>
    </row>
    <row r="122" spans="2:18">
      <c r="B122" s="41"/>
      <c r="C122" s="254"/>
      <c r="D122" s="254"/>
      <c r="E122" s="254"/>
      <c r="F122" s="254"/>
      <c r="G122" s="254"/>
      <c r="H122" s="254"/>
      <c r="I122" s="254"/>
      <c r="J122" s="254"/>
      <c r="K122" s="254"/>
      <c r="L122" s="254"/>
      <c r="M122" s="254"/>
      <c r="N122" s="254"/>
      <c r="O122" s="248"/>
      <c r="Q122" s="5"/>
      <c r="R122" s="5"/>
    </row>
    <row r="123" spans="2:18">
      <c r="B123" s="41"/>
      <c r="C123" s="254"/>
      <c r="D123" s="254"/>
      <c r="E123" s="254"/>
      <c r="F123" s="254"/>
      <c r="G123" s="254"/>
      <c r="H123" s="254"/>
      <c r="I123" s="254"/>
      <c r="J123" s="254"/>
      <c r="K123" s="254"/>
      <c r="L123" s="254"/>
      <c r="M123" s="254"/>
      <c r="N123" s="254"/>
      <c r="O123" s="248"/>
      <c r="Q123" s="5"/>
      <c r="R123" s="5"/>
    </row>
    <row r="124" spans="2:18">
      <c r="B124" s="41"/>
      <c r="C124" s="254"/>
      <c r="D124" s="254"/>
      <c r="E124" s="254"/>
      <c r="F124" s="254"/>
      <c r="G124" s="254"/>
      <c r="H124" s="254"/>
      <c r="I124" s="254"/>
      <c r="J124" s="254"/>
      <c r="K124" s="254"/>
      <c r="L124" s="254"/>
      <c r="M124" s="254"/>
      <c r="N124" s="254"/>
      <c r="O124" s="248"/>
      <c r="Q124" s="5"/>
      <c r="R124" s="5"/>
    </row>
    <row r="125" spans="2:18">
      <c r="B125" s="41"/>
      <c r="C125" s="254"/>
      <c r="D125" s="254"/>
      <c r="E125" s="254"/>
      <c r="F125" s="254"/>
      <c r="G125" s="254"/>
      <c r="H125" s="254"/>
      <c r="I125" s="254"/>
      <c r="J125" s="254"/>
      <c r="K125" s="254"/>
      <c r="L125" s="254"/>
      <c r="M125" s="254"/>
      <c r="N125" s="254"/>
      <c r="O125" s="5"/>
      <c r="Q125" s="5"/>
      <c r="R125" s="5"/>
    </row>
    <row r="126" spans="2:18">
      <c r="B126" s="41"/>
      <c r="C126" s="254"/>
      <c r="D126" s="254"/>
      <c r="E126" s="254"/>
      <c r="F126" s="254"/>
      <c r="G126" s="254"/>
      <c r="H126" s="254"/>
      <c r="I126" s="254"/>
      <c r="J126" s="254"/>
      <c r="K126" s="254"/>
      <c r="L126" s="254"/>
      <c r="M126" s="254"/>
      <c r="N126" s="254"/>
      <c r="O126" s="5"/>
      <c r="Q126" s="5"/>
      <c r="R126" s="5"/>
    </row>
    <row r="127" spans="2:18">
      <c r="B127" s="41"/>
      <c r="C127" s="254"/>
      <c r="D127" s="254"/>
      <c r="E127" s="254"/>
      <c r="F127" s="254"/>
      <c r="G127" s="254"/>
      <c r="H127" s="254"/>
      <c r="I127" s="18"/>
      <c r="J127" s="254"/>
      <c r="K127" s="254"/>
      <c r="L127" s="254"/>
      <c r="M127" s="254"/>
      <c r="N127" s="254"/>
      <c r="O127" s="5"/>
      <c r="Q127" s="5"/>
      <c r="R127" s="5"/>
    </row>
    <row r="128" spans="2:18">
      <c r="B128" s="41"/>
      <c r="C128" s="254"/>
      <c r="D128" s="254"/>
      <c r="E128" s="254"/>
      <c r="F128" s="254"/>
      <c r="G128" s="254"/>
      <c r="H128" s="254"/>
      <c r="I128" s="5"/>
      <c r="J128" s="254"/>
      <c r="K128" s="254"/>
      <c r="L128" s="254"/>
      <c r="M128" s="254"/>
      <c r="N128" s="254"/>
      <c r="O128" s="5"/>
      <c r="Q128" s="5"/>
      <c r="R128" s="5"/>
    </row>
    <row r="129" spans="2:27">
      <c r="B129" s="5"/>
      <c r="C129" s="5"/>
      <c r="D129" s="18"/>
      <c r="E129" s="18"/>
      <c r="F129" s="18"/>
      <c r="G129" s="18"/>
      <c r="H129" s="18"/>
      <c r="I129" s="254"/>
      <c r="J129" s="18"/>
      <c r="K129" s="18"/>
      <c r="L129" s="18"/>
      <c r="M129" s="18"/>
      <c r="N129" s="18"/>
      <c r="O129" s="5"/>
      <c r="Q129" s="5"/>
      <c r="R129" s="5"/>
    </row>
    <row r="130" spans="2:27">
      <c r="B130" s="5"/>
      <c r="C130" s="5"/>
      <c r="D130" s="5"/>
      <c r="E130" s="5"/>
      <c r="F130" s="5"/>
      <c r="G130" s="5"/>
      <c r="H130" s="5"/>
      <c r="I130" s="18"/>
      <c r="J130" s="5"/>
      <c r="K130" s="5"/>
      <c r="L130" s="5"/>
      <c r="M130" s="5"/>
      <c r="N130" s="5"/>
      <c r="O130" s="5"/>
      <c r="Q130" s="5"/>
      <c r="R130" s="5"/>
    </row>
    <row r="131" spans="2:27">
      <c r="B131" s="41"/>
      <c r="C131" s="254"/>
      <c r="D131" s="254"/>
      <c r="E131" s="254"/>
      <c r="F131" s="254"/>
      <c r="G131" s="254"/>
      <c r="H131" s="254"/>
      <c r="I131" s="5"/>
      <c r="J131" s="254"/>
      <c r="K131" s="254"/>
      <c r="L131" s="254"/>
      <c r="M131" s="254"/>
      <c r="N131" s="254"/>
      <c r="O131" s="5"/>
      <c r="Q131" s="5"/>
      <c r="R131" s="5"/>
    </row>
    <row r="132" spans="2:27">
      <c r="B132" s="5"/>
      <c r="C132" s="259"/>
      <c r="D132" s="18"/>
      <c r="E132" s="18"/>
      <c r="F132" s="18"/>
      <c r="G132" s="18"/>
      <c r="H132" s="18"/>
      <c r="I132" s="5"/>
      <c r="J132" s="18"/>
      <c r="K132" s="18"/>
      <c r="L132" s="18"/>
      <c r="M132" s="18"/>
      <c r="N132" s="18"/>
      <c r="O132" s="5"/>
      <c r="Q132" s="5"/>
      <c r="R132" s="5"/>
    </row>
    <row r="133" spans="2:27">
      <c r="B133" s="5"/>
      <c r="C133" s="5"/>
      <c r="D133" s="5"/>
      <c r="E133" s="5"/>
      <c r="F133" s="5"/>
      <c r="G133" s="5"/>
      <c r="H133" s="5"/>
      <c r="I133" s="17"/>
      <c r="J133" s="5"/>
      <c r="K133" s="5"/>
      <c r="L133" s="5"/>
      <c r="M133" s="5"/>
      <c r="N133" s="5"/>
      <c r="O133" s="5"/>
      <c r="Q133" s="5"/>
      <c r="R133" s="5"/>
    </row>
    <row r="134" spans="2:27">
      <c r="B134" s="41"/>
      <c r="C134" s="5"/>
      <c r="D134" s="5"/>
      <c r="E134" s="5"/>
      <c r="F134" s="5"/>
      <c r="G134" s="5"/>
      <c r="H134" s="5"/>
      <c r="I134" s="17"/>
      <c r="J134" s="5"/>
      <c r="K134" s="5"/>
      <c r="L134" s="5"/>
      <c r="M134" s="5"/>
      <c r="N134" s="5"/>
      <c r="O134" s="5"/>
      <c r="Q134" s="5"/>
      <c r="R134" s="5"/>
    </row>
    <row r="135" spans="2:27">
      <c r="B135" s="5"/>
      <c r="C135" s="17"/>
      <c r="D135" s="17"/>
      <c r="E135" s="17"/>
      <c r="F135" s="17"/>
      <c r="G135" s="17"/>
      <c r="H135" s="17"/>
      <c r="I135" s="17"/>
      <c r="J135" s="17"/>
      <c r="K135" s="17"/>
      <c r="L135" s="17"/>
      <c r="M135" s="17"/>
      <c r="N135" s="17"/>
      <c r="O135" s="5"/>
      <c r="Q135" s="41"/>
      <c r="R135" s="5"/>
    </row>
    <row r="136" spans="2:27">
      <c r="B136" s="5"/>
      <c r="C136" s="17"/>
      <c r="D136" s="17"/>
      <c r="E136" s="17"/>
      <c r="F136" s="17"/>
      <c r="G136" s="17"/>
      <c r="H136" s="17"/>
      <c r="I136" s="17"/>
      <c r="J136" s="17"/>
      <c r="K136" s="17"/>
      <c r="L136" s="17"/>
      <c r="M136" s="17"/>
      <c r="N136" s="17"/>
      <c r="O136" s="5"/>
      <c r="Q136" s="5"/>
      <c r="R136" s="5"/>
      <c r="X136" s="304"/>
    </row>
    <row r="137" spans="2:27">
      <c r="B137" s="5"/>
      <c r="C137" s="5"/>
      <c r="D137" s="17"/>
      <c r="E137" s="17"/>
      <c r="F137" s="17"/>
      <c r="G137" s="17"/>
      <c r="H137" s="17"/>
      <c r="I137" s="17"/>
      <c r="J137" s="17"/>
      <c r="K137" s="17"/>
      <c r="L137" s="17"/>
      <c r="M137" s="17"/>
      <c r="N137" s="17"/>
      <c r="O137" s="5"/>
      <c r="Q137" s="5"/>
      <c r="R137" s="5"/>
      <c r="X137" s="10"/>
      <c r="Y137" s="304"/>
      <c r="Z137" s="304"/>
      <c r="AA137" s="304"/>
    </row>
    <row r="138" spans="2:27">
      <c r="B138" s="5"/>
      <c r="C138" s="5"/>
      <c r="D138" s="17"/>
      <c r="E138" s="17"/>
      <c r="F138" s="17"/>
      <c r="G138" s="17"/>
      <c r="H138" s="17"/>
      <c r="I138" s="17"/>
      <c r="J138" s="17"/>
      <c r="K138" s="17"/>
      <c r="L138" s="17"/>
      <c r="M138" s="17"/>
      <c r="N138" s="17"/>
      <c r="O138" s="5"/>
      <c r="Q138" s="5"/>
      <c r="R138" s="5"/>
      <c r="Y138" s="10"/>
      <c r="Z138" s="10"/>
      <c r="AA138" s="10"/>
    </row>
    <row r="139" spans="2:27">
      <c r="B139" s="5"/>
      <c r="C139" s="5"/>
      <c r="D139" s="17"/>
      <c r="E139" s="17"/>
      <c r="F139" s="17"/>
      <c r="G139" s="17"/>
      <c r="H139" s="17"/>
      <c r="I139" s="5"/>
      <c r="J139" s="17"/>
      <c r="K139" s="17"/>
      <c r="L139" s="17"/>
      <c r="M139" s="17"/>
      <c r="N139" s="17"/>
      <c r="O139" s="5"/>
      <c r="Q139" s="5"/>
      <c r="R139" s="5"/>
    </row>
    <row r="140" spans="2:27">
      <c r="B140" s="5"/>
      <c r="C140" s="17"/>
      <c r="D140" s="17"/>
      <c r="E140" s="17"/>
      <c r="F140" s="17"/>
      <c r="G140" s="17"/>
      <c r="H140" s="17"/>
      <c r="I140" s="5"/>
      <c r="J140" s="17"/>
      <c r="K140" s="17"/>
      <c r="L140" s="17"/>
      <c r="M140" s="17"/>
      <c r="N140" s="17"/>
      <c r="O140" s="5"/>
      <c r="Q140" s="5"/>
      <c r="R140" s="5"/>
    </row>
    <row r="141" spans="2:27">
      <c r="B141" s="5"/>
      <c r="C141" s="5"/>
      <c r="D141" s="5"/>
      <c r="E141" s="5"/>
      <c r="F141" s="5"/>
      <c r="G141" s="5"/>
      <c r="H141" s="5"/>
      <c r="I141" s="5"/>
      <c r="J141" s="5"/>
      <c r="K141" s="5"/>
      <c r="L141" s="5"/>
      <c r="M141" s="5"/>
      <c r="N141" s="5"/>
      <c r="O141" s="5"/>
      <c r="Q141" s="5"/>
      <c r="R141" s="5"/>
    </row>
    <row r="142" spans="2:27">
      <c r="B142" s="5"/>
      <c r="C142" s="5"/>
      <c r="D142" s="5"/>
      <c r="E142" s="5"/>
      <c r="F142" s="5"/>
      <c r="G142" s="5"/>
      <c r="H142" s="5"/>
      <c r="I142" s="5"/>
      <c r="J142" s="5"/>
      <c r="K142" s="5"/>
      <c r="L142" s="5"/>
      <c r="M142" s="5"/>
      <c r="N142" s="5"/>
      <c r="O142" s="5"/>
      <c r="Q142" s="5"/>
      <c r="R142" s="5"/>
    </row>
    <row r="143" spans="2:27">
      <c r="B143" s="5"/>
      <c r="C143" s="5"/>
      <c r="D143" s="5"/>
      <c r="E143" s="5"/>
      <c r="F143" s="5"/>
      <c r="G143" s="5"/>
      <c r="H143" s="5"/>
      <c r="I143" s="5"/>
      <c r="J143" s="5"/>
      <c r="K143" s="5"/>
      <c r="L143" s="5"/>
      <c r="M143" s="5"/>
      <c r="N143" s="5"/>
      <c r="O143" s="5"/>
      <c r="Q143" s="5"/>
      <c r="R143" s="5"/>
    </row>
    <row r="144" spans="2:27">
      <c r="B144" s="5"/>
      <c r="C144" s="5"/>
      <c r="D144" s="5"/>
      <c r="E144" s="5"/>
      <c r="F144" s="5"/>
      <c r="G144" s="5"/>
      <c r="H144" s="5"/>
      <c r="I144" s="5"/>
      <c r="J144" s="5"/>
      <c r="K144" s="5"/>
      <c r="L144" s="5"/>
      <c r="M144" s="5"/>
      <c r="N144" s="5"/>
      <c r="O144" s="5"/>
      <c r="Q144" s="5"/>
      <c r="R144" s="5"/>
    </row>
    <row r="145" spans="2:18">
      <c r="B145" s="5"/>
      <c r="C145" s="5"/>
      <c r="D145" s="5"/>
      <c r="E145" s="5"/>
      <c r="F145" s="5"/>
      <c r="G145" s="5"/>
      <c r="H145" s="5"/>
      <c r="I145" s="5"/>
      <c r="J145" s="5"/>
      <c r="K145" s="5"/>
      <c r="L145" s="5"/>
      <c r="M145" s="5"/>
      <c r="N145" s="5"/>
      <c r="O145" s="5"/>
      <c r="Q145" s="5"/>
      <c r="R145" s="5"/>
    </row>
    <row r="146" spans="2:18">
      <c r="B146" s="5"/>
      <c r="C146" s="5"/>
      <c r="D146" s="5"/>
      <c r="E146" s="5"/>
      <c r="F146" s="5"/>
      <c r="G146" s="5"/>
      <c r="H146" s="5"/>
      <c r="I146" s="5"/>
      <c r="J146" s="5"/>
      <c r="K146" s="5"/>
      <c r="L146" s="5"/>
      <c r="M146" s="5"/>
      <c r="N146" s="5"/>
      <c r="O146" s="5"/>
      <c r="Q146" s="5"/>
      <c r="R146" s="5"/>
    </row>
    <row r="147" spans="2:18">
      <c r="B147" s="5"/>
      <c r="C147" s="5"/>
      <c r="D147" s="5"/>
      <c r="E147" s="5"/>
      <c r="F147" s="5"/>
      <c r="G147" s="5"/>
      <c r="H147" s="5"/>
      <c r="I147" s="5"/>
      <c r="J147" s="5"/>
      <c r="K147" s="5"/>
      <c r="L147" s="5"/>
      <c r="M147" s="5"/>
      <c r="N147" s="5"/>
      <c r="O147" s="5"/>
      <c r="Q147" s="5"/>
      <c r="R147" s="5"/>
    </row>
    <row r="148" spans="2:18">
      <c r="B148" s="5"/>
      <c r="C148" s="5"/>
      <c r="D148" s="5"/>
      <c r="E148" s="5"/>
      <c r="F148" s="5"/>
      <c r="G148" s="5"/>
      <c r="H148" s="5"/>
      <c r="I148" s="5"/>
      <c r="J148" s="5"/>
      <c r="K148" s="5"/>
      <c r="L148" s="5"/>
      <c r="M148" s="5"/>
      <c r="N148" s="5"/>
      <c r="O148" s="5"/>
      <c r="Q148" s="5"/>
      <c r="R148" s="5"/>
    </row>
    <row r="149" spans="2:18">
      <c r="B149" s="5"/>
      <c r="C149" s="5"/>
      <c r="D149" s="5"/>
      <c r="E149" s="5"/>
      <c r="F149" s="5"/>
      <c r="G149" s="5"/>
      <c r="H149" s="5"/>
      <c r="J149" s="5"/>
      <c r="K149" s="5"/>
      <c r="L149" s="5"/>
      <c r="M149" s="5"/>
      <c r="N149" s="5"/>
      <c r="O149" s="5"/>
      <c r="Q149" s="5"/>
      <c r="R149" s="5"/>
    </row>
    <row r="150" spans="2:18">
      <c r="B150" s="5"/>
      <c r="C150" s="5"/>
      <c r="D150" s="5"/>
      <c r="E150" s="5"/>
      <c r="F150" s="5"/>
      <c r="G150" s="5"/>
      <c r="H150" s="5"/>
      <c r="J150" s="5"/>
      <c r="K150" s="5"/>
      <c r="L150" s="5"/>
      <c r="M150" s="5"/>
      <c r="N150" s="5"/>
      <c r="O150" s="5"/>
      <c r="Q150" s="5"/>
      <c r="R150" s="5"/>
    </row>
    <row r="151" spans="2:18">
      <c r="Q151" s="5"/>
      <c r="R151" s="5"/>
    </row>
    <row r="152" spans="2:18">
      <c r="Q152" s="5"/>
      <c r="R152" s="5"/>
    </row>
    <row r="153" spans="2:18">
      <c r="C153" s="263"/>
      <c r="Q153" s="5"/>
      <c r="R153" s="5"/>
    </row>
    <row r="154" spans="2:18">
      <c r="Q154" s="5"/>
      <c r="R154" s="5"/>
    </row>
    <row r="155" spans="2:18">
      <c r="Q155" s="5"/>
      <c r="R155" s="5"/>
    </row>
    <row r="156" spans="2:18">
      <c r="Q156" s="5"/>
      <c r="R156" s="5"/>
    </row>
    <row r="157" spans="2:18">
      <c r="Q157" s="5"/>
      <c r="R157" s="5"/>
    </row>
    <row r="158" spans="2:18">
      <c r="Q158" s="5"/>
      <c r="R158" s="5"/>
    </row>
    <row r="159" spans="2:18">
      <c r="Q159" s="5"/>
      <c r="R159" s="5"/>
    </row>
    <row r="160" spans="2:18">
      <c r="Q160" s="5"/>
      <c r="R160" s="5"/>
    </row>
    <row r="161" spans="17:18">
      <c r="Q161" s="5"/>
      <c r="R161" s="5"/>
    </row>
    <row r="162" spans="17:18">
      <c r="Q162" s="5"/>
      <c r="R162" s="5"/>
    </row>
    <row r="163" spans="17:18">
      <c r="Q163" s="5"/>
      <c r="R163" s="5"/>
    </row>
    <row r="164" spans="17:18">
      <c r="Q164" s="5"/>
      <c r="R164" s="5"/>
    </row>
    <row r="165" spans="17:18">
      <c r="Q165" s="5"/>
      <c r="R165" s="5"/>
    </row>
  </sheetData>
  <phoneticPr fontId="7" type="noConversion"/>
  <pageMargins left="0.75" right="0.75" top="1" bottom="1" header="0.5" footer="0.5"/>
  <pageSetup scale="71" orientation="landscape" r:id="rId1"/>
  <headerFooter alignWithMargins="0"/>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35">
    <pageSetUpPr fitToPage="1"/>
  </sheetPr>
  <dimension ref="B1:CE165"/>
  <sheetViews>
    <sheetView showGridLines="0" zoomScale="80" zoomScaleNormal="80" workbookViewId="0"/>
  </sheetViews>
  <sheetFormatPr defaultColWidth="9.109375" defaultRowHeight="12"/>
  <cols>
    <col min="1" max="1" width="2.33203125" style="39" customWidth="1"/>
    <col min="2" max="2" width="26.5546875" style="39" customWidth="1"/>
    <col min="3" max="9" width="10" style="39" customWidth="1"/>
    <col min="10" max="10" width="26.6640625" style="39" customWidth="1"/>
    <col min="11" max="16" width="10" style="39" customWidth="1"/>
    <col min="17" max="18" width="8.6640625" style="39" customWidth="1"/>
    <col min="19" max="28" width="8.6640625" style="5" customWidth="1"/>
    <col min="29" max="83" width="9.109375" style="5"/>
    <col min="84" max="16384" width="9.109375" style="39"/>
  </cols>
  <sheetData>
    <row r="1" spans="2:83" s="312" customFormat="1">
      <c r="S1" s="149"/>
      <c r="T1" s="149"/>
      <c r="U1" s="149"/>
      <c r="V1" s="149"/>
      <c r="W1" s="149"/>
      <c r="X1" s="149"/>
      <c r="Y1" s="149"/>
      <c r="Z1" s="149"/>
      <c r="AA1" s="149"/>
      <c r="AB1" s="149"/>
      <c r="AC1" s="149"/>
      <c r="AD1" s="149"/>
      <c r="AE1" s="149"/>
      <c r="AF1" s="149"/>
      <c r="AG1" s="149"/>
      <c r="AH1" s="149"/>
      <c r="AI1" s="149"/>
      <c r="AJ1" s="149"/>
      <c r="AK1" s="149"/>
      <c r="AL1" s="149"/>
      <c r="AM1" s="149"/>
      <c r="AN1" s="149"/>
      <c r="AO1" s="149"/>
      <c r="AP1" s="149"/>
      <c r="AQ1" s="149"/>
      <c r="AR1" s="149"/>
      <c r="AS1" s="149"/>
      <c r="AT1" s="149"/>
      <c r="AU1" s="149"/>
      <c r="AV1" s="149"/>
      <c r="AW1" s="149"/>
      <c r="AX1" s="149"/>
      <c r="AY1" s="149"/>
      <c r="AZ1" s="149"/>
      <c r="BA1" s="149"/>
      <c r="BB1" s="149"/>
      <c r="BC1" s="149"/>
      <c r="BD1" s="149"/>
      <c r="BE1" s="149"/>
      <c r="BF1" s="149"/>
      <c r="BG1" s="149"/>
      <c r="BH1" s="149"/>
      <c r="BI1" s="149"/>
      <c r="BJ1" s="149"/>
      <c r="BK1" s="149"/>
      <c r="BL1" s="149"/>
      <c r="BM1" s="149"/>
      <c r="BN1" s="149"/>
      <c r="BO1" s="149"/>
      <c r="BP1" s="149"/>
      <c r="BQ1" s="149"/>
      <c r="BR1" s="149"/>
      <c r="BS1" s="149"/>
      <c r="BT1" s="149"/>
      <c r="BU1" s="149"/>
      <c r="BV1" s="149"/>
      <c r="BW1" s="149"/>
      <c r="BX1" s="149"/>
      <c r="BY1" s="149"/>
      <c r="BZ1" s="149"/>
      <c r="CA1" s="149"/>
      <c r="CB1" s="149"/>
      <c r="CC1" s="149"/>
      <c r="CD1" s="149"/>
      <c r="CE1" s="149"/>
    </row>
    <row r="2" spans="2:83" s="149" customFormat="1"/>
    <row r="3" spans="2:83" s="149" customFormat="1">
      <c r="H3" s="153"/>
      <c r="P3" s="153"/>
    </row>
    <row r="4" spans="2:83" s="156" customFormat="1" ht="21">
      <c r="B4" s="129" t="s">
        <v>818</v>
      </c>
      <c r="H4" s="222"/>
      <c r="P4" s="222"/>
    </row>
    <row r="5" spans="2:83" s="149" customFormat="1">
      <c r="C5" s="153"/>
      <c r="D5" s="153" t="str" cm="1">
        <f t="array" ref="D5:H5">headings</f>
        <v>2023E</v>
      </c>
      <c r="E5" s="153" t="str">
        <v>2024E</v>
      </c>
      <c r="F5" s="153" t="str">
        <v>2025E</v>
      </c>
      <c r="G5" s="153" t="str">
        <v>2026E</v>
      </c>
      <c r="H5" s="153" t="str">
        <v>23E-26E</v>
      </c>
      <c r="I5" s="153"/>
      <c r="J5" s="153"/>
      <c r="K5" s="153"/>
      <c r="L5" s="153" t="str" cm="1">
        <f t="array" ref="L5:P5">headings</f>
        <v>2023E</v>
      </c>
      <c r="M5" s="153" t="str">
        <v>2024E</v>
      </c>
      <c r="N5" s="153" t="str">
        <v>2025E</v>
      </c>
      <c r="O5" s="153" t="str">
        <v>2026E</v>
      </c>
      <c r="P5" s="153" t="str">
        <v>23E-26E</v>
      </c>
      <c r="Q5" s="162"/>
      <c r="R5" s="162"/>
      <c r="S5" s="162"/>
      <c r="T5" s="162"/>
      <c r="U5" s="162"/>
      <c r="V5" s="162"/>
      <c r="W5" s="162"/>
      <c r="X5" s="162"/>
      <c r="Y5" s="162"/>
    </row>
    <row r="6" spans="2:83">
      <c r="I6" s="5"/>
      <c r="J6" s="5"/>
      <c r="K6" s="5"/>
      <c r="L6" s="5"/>
      <c r="M6" s="5"/>
      <c r="N6" s="5"/>
      <c r="O6" s="49"/>
    </row>
    <row r="7" spans="2:83" ht="12.6" thickBot="1">
      <c r="B7" s="306" t="s">
        <v>271</v>
      </c>
      <c r="C7" s="265"/>
      <c r="D7" s="265" t="str">
        <f>D5</f>
        <v>2023E</v>
      </c>
      <c r="E7" s="265" t="str">
        <f t="shared" ref="E7:H7" si="0">E5</f>
        <v>2024E</v>
      </c>
      <c r="F7" s="265" t="str">
        <f t="shared" si="0"/>
        <v>2025E</v>
      </c>
      <c r="G7" s="265" t="str">
        <f t="shared" si="0"/>
        <v>2026E</v>
      </c>
      <c r="H7" s="265" t="str">
        <f t="shared" si="0"/>
        <v>23E-26E</v>
      </c>
      <c r="I7" s="49"/>
      <c r="J7" s="306" t="s">
        <v>828</v>
      </c>
      <c r="K7" s="306"/>
      <c r="L7" s="265" t="str">
        <f>L5</f>
        <v>2023E</v>
      </c>
      <c r="M7" s="265" t="str">
        <f t="shared" ref="M7:P7" si="1">M5</f>
        <v>2024E</v>
      </c>
      <c r="N7" s="265" t="str">
        <f t="shared" si="1"/>
        <v>2025E</v>
      </c>
      <c r="O7" s="265" t="str">
        <f t="shared" si="1"/>
        <v>2026E</v>
      </c>
      <c r="P7" s="265" t="str">
        <f t="shared" si="1"/>
        <v>23E-26E</v>
      </c>
    </row>
    <row r="8" spans="2:83" ht="12.6" thickTop="1">
      <c r="B8" s="5"/>
      <c r="C8" s="5"/>
      <c r="D8" s="5"/>
      <c r="E8" s="5"/>
      <c r="F8" s="5"/>
      <c r="G8" s="5"/>
      <c r="H8" s="5"/>
      <c r="I8" s="5"/>
      <c r="J8" s="5"/>
      <c r="K8" s="5"/>
      <c r="L8" s="5"/>
      <c r="M8" s="5"/>
      <c r="N8" s="5"/>
      <c r="S8" s="42"/>
      <c r="T8" s="42"/>
      <c r="U8" s="42"/>
      <c r="V8" s="42"/>
      <c r="W8" s="42"/>
      <c r="X8" s="42"/>
      <c r="Y8" s="42"/>
      <c r="Z8" s="42"/>
      <c r="AA8" s="42"/>
    </row>
    <row r="9" spans="2:83">
      <c r="B9" s="41" t="s">
        <v>842</v>
      </c>
      <c r="C9" s="287">
        <f>Prices!$C$135</f>
        <v>52.16</v>
      </c>
      <c r="D9" s="535">
        <v>0</v>
      </c>
      <c r="E9" s="536">
        <v>0</v>
      </c>
      <c r="F9" s="536">
        <v>0</v>
      </c>
      <c r="G9" s="536">
        <v>0</v>
      </c>
      <c r="H9" s="249"/>
      <c r="I9" s="249"/>
      <c r="J9" s="5" t="s">
        <v>273</v>
      </c>
      <c r="L9" s="529">
        <f>'LATAM ALTNET &amp; CABLE'!D37</f>
        <v>1.9981816154853409</v>
      </c>
      <c r="M9" s="529">
        <f>'LATAM ALTNET &amp; CABLE'!E37</f>
        <v>1.8917798874057477</v>
      </c>
      <c r="N9" s="529">
        <f>'LATAM ALTNET &amp; CABLE'!F37</f>
        <v>2.0073724279441492</v>
      </c>
      <c r="O9" s="529">
        <f>'LATAM ALTNET &amp; CABLE'!G37</f>
        <v>1.9059015150115719</v>
      </c>
      <c r="P9" s="286">
        <f>'LATAM ALTNET &amp; CABLE'!H37</f>
        <v>3.0779883338322822E-2</v>
      </c>
      <c r="S9" s="42"/>
      <c r="T9" s="42"/>
      <c r="U9" s="42"/>
      <c r="V9" s="42"/>
      <c r="W9" s="42"/>
      <c r="X9" s="42"/>
      <c r="Y9" s="42"/>
      <c r="Z9" s="42"/>
      <c r="AA9" s="42"/>
    </row>
    <row r="10" spans="2:83">
      <c r="B10" s="5" t="s">
        <v>274</v>
      </c>
      <c r="C10" s="5"/>
      <c r="D10" s="531">
        <v>857.61749999999995</v>
      </c>
      <c r="E10" s="531">
        <v>857.61749999999995</v>
      </c>
      <c r="F10" s="531">
        <v>857.61749999999995</v>
      </c>
      <c r="G10" s="531">
        <v>857.61749999999995</v>
      </c>
      <c r="H10" s="247"/>
      <c r="I10" s="247"/>
      <c r="J10" s="5" t="s">
        <v>184</v>
      </c>
      <c r="L10" s="529">
        <f>'LATAM ALTNET &amp; CABLE'!D38</f>
        <v>5.1765948976417588</v>
      </c>
      <c r="M10" s="529">
        <f>'LATAM ALTNET &amp; CABLE'!E38</f>
        <v>4.7446114124060035</v>
      </c>
      <c r="N10" s="529">
        <f>'LATAM ALTNET &amp; CABLE'!F38</f>
        <v>4.9485110228400195</v>
      </c>
      <c r="O10" s="529">
        <f>'LATAM ALTNET &amp; CABLE'!G38</f>
        <v>4.6462777873739931</v>
      </c>
      <c r="P10" s="286">
        <f>'LATAM ALTNET &amp; CABLE'!H38</f>
        <v>5.1882999030477217E-2</v>
      </c>
      <c r="S10" s="42"/>
      <c r="T10" s="42"/>
      <c r="U10" s="42"/>
      <c r="V10" s="42"/>
      <c r="W10" s="288"/>
      <c r="X10" s="288"/>
      <c r="Y10" s="288"/>
      <c r="Z10" s="288"/>
      <c r="AA10" s="42"/>
    </row>
    <row r="11" spans="2:83">
      <c r="B11" s="41" t="s">
        <v>844</v>
      </c>
      <c r="C11" s="5"/>
      <c r="D11" s="532">
        <f>$C$9*D10</f>
        <v>44733.328799999996</v>
      </c>
      <c r="E11" s="532">
        <f>$C$9*E10</f>
        <v>44733.328799999996</v>
      </c>
      <c r="F11" s="532">
        <f>$C$9*F10</f>
        <v>44733.328799999996</v>
      </c>
      <c r="G11" s="532">
        <f>$C$9*G10</f>
        <v>44733.328799999996</v>
      </c>
      <c r="H11" s="249"/>
      <c r="I11" s="249"/>
      <c r="J11" s="5" t="s">
        <v>185</v>
      </c>
      <c r="L11" s="529">
        <f>'LATAM ALTNET &amp; CABLE'!D39</f>
        <v>13.112670935174428</v>
      </c>
      <c r="M11" s="529">
        <f>'LATAM ALTNET &amp; CABLE'!E39</f>
        <v>11.02980176197647</v>
      </c>
      <c r="N11" s="529">
        <f>'LATAM ALTNET &amp; CABLE'!F39</f>
        <v>9.8532504026613026</v>
      </c>
      <c r="O11" s="529">
        <f>'LATAM ALTNET &amp; CABLE'!G39</f>
        <v>8.7930944138820468</v>
      </c>
      <c r="P11" s="286">
        <f>'LATAM ALTNET &amp; CABLE'!H39</f>
        <v>0.15923346120854243</v>
      </c>
      <c r="S11" s="42"/>
      <c r="T11" s="42"/>
      <c r="U11" s="42"/>
      <c r="V11" s="42"/>
      <c r="W11" s="288"/>
      <c r="X11" s="288"/>
      <c r="Y11" s="288"/>
      <c r="Z11" s="288"/>
      <c r="AA11" s="42"/>
    </row>
    <row r="12" spans="2:83">
      <c r="B12" s="5" t="s">
        <v>24</v>
      </c>
      <c r="C12" s="249"/>
      <c r="D12" s="533">
        <v>19109.877552976035</v>
      </c>
      <c r="E12" s="533">
        <v>23674.511398948198</v>
      </c>
      <c r="F12" s="533">
        <v>25193.712539599685</v>
      </c>
      <c r="G12" s="533">
        <v>24114.431636760499</v>
      </c>
      <c r="H12" s="247"/>
      <c r="I12" s="247"/>
      <c r="J12" s="5" t="s">
        <v>466</v>
      </c>
      <c r="L12" s="529">
        <f>'LATAM ALTNET &amp; CABLE'!D40</f>
        <v>18.212042965520041</v>
      </c>
      <c r="M12" s="529">
        <f>'LATAM ALTNET &amp; CABLE'!E40</f>
        <v>15.31916911385621</v>
      </c>
      <c r="N12" s="529">
        <f>'LATAM ALTNET &amp; CABLE'!F40</f>
        <v>13.685070003696255</v>
      </c>
      <c r="O12" s="529">
        <f>'LATAM ALTNET &amp; CABLE'!G40</f>
        <v>12.212631130391735</v>
      </c>
      <c r="P12" s="286">
        <f>'LATAM ALTNET &amp; CABLE'!H40</f>
        <v>0.15923346120854243</v>
      </c>
      <c r="S12" s="42"/>
      <c r="T12" s="42"/>
      <c r="U12" s="42"/>
      <c r="V12" s="42"/>
      <c r="W12" s="288"/>
      <c r="X12" s="288"/>
      <c r="Y12" s="288"/>
      <c r="Z12" s="288"/>
      <c r="AA12" s="42"/>
    </row>
    <row r="13" spans="2:83">
      <c r="B13" s="5" t="s">
        <v>529</v>
      </c>
      <c r="C13" s="257"/>
      <c r="D13" s="533">
        <v>0</v>
      </c>
      <c r="E13" s="533">
        <v>0</v>
      </c>
      <c r="F13" s="533">
        <v>0</v>
      </c>
      <c r="G13" s="533">
        <v>0</v>
      </c>
      <c r="H13" s="247"/>
      <c r="I13" s="247"/>
      <c r="J13" s="5" t="s">
        <v>530</v>
      </c>
      <c r="L13" s="529">
        <f>'LATAM ALTNET &amp; CABLE'!D41</f>
        <v>1.2268876383841461</v>
      </c>
      <c r="M13" s="529">
        <f>'LATAM ALTNET &amp; CABLE'!E41</f>
        <v>1.2122213854463402</v>
      </c>
      <c r="N13" s="529">
        <f>'LATAM ALTNET &amp; CABLE'!F41</f>
        <v>1.3641194936027397</v>
      </c>
      <c r="O13" s="529">
        <f>'LATAM ALTNET &amp; CABLE'!G41</f>
        <v>1.3495601303146896</v>
      </c>
      <c r="P13" s="286">
        <f>'LATAM ALTNET &amp; CABLE'!H41</f>
        <v>-1.7063904711860811E-2</v>
      </c>
      <c r="S13" s="42"/>
      <c r="T13" s="42"/>
      <c r="U13" s="42"/>
      <c r="V13" s="42"/>
      <c r="W13" s="42"/>
      <c r="X13" s="42"/>
      <c r="Y13" s="42"/>
      <c r="Z13" s="42"/>
      <c r="AA13" s="42"/>
    </row>
    <row r="14" spans="2:83">
      <c r="B14" s="5" t="s">
        <v>532</v>
      </c>
      <c r="C14" s="257"/>
      <c r="D14" s="533">
        <v>0</v>
      </c>
      <c r="E14" s="533">
        <v>0</v>
      </c>
      <c r="F14" s="533">
        <v>0</v>
      </c>
      <c r="G14" s="533">
        <v>0</v>
      </c>
      <c r="H14" s="247"/>
      <c r="I14" s="247"/>
      <c r="J14" s="5" t="s">
        <v>593</v>
      </c>
      <c r="L14" s="529">
        <f>'LATAM ALTNET &amp; CABLE'!D42</f>
        <v>2.3336690110090066</v>
      </c>
      <c r="M14" s="529">
        <f>'LATAM ALTNET &amp; CABLE'!E42</f>
        <v>2.0929102293848412</v>
      </c>
      <c r="N14" s="529">
        <f>'LATAM ALTNET &amp; CABLE'!F42</f>
        <v>2.1833746548644828</v>
      </c>
      <c r="O14" s="529">
        <f>'LATAM ALTNET &amp; CABLE'!G42</f>
        <v>2.0249632735751923</v>
      </c>
      <c r="P14" s="286">
        <f>'LATAM ALTNET &amp; CABLE'!H42</f>
        <v>6.3804449613136471E-2</v>
      </c>
      <c r="S14" s="42"/>
      <c r="T14" s="42"/>
      <c r="U14" s="42"/>
      <c r="V14" s="42"/>
      <c r="W14" s="42"/>
      <c r="X14" s="42"/>
      <c r="Y14" s="42"/>
      <c r="Z14" s="42"/>
      <c r="AA14" s="42"/>
    </row>
    <row r="15" spans="2:83">
      <c r="B15" s="5" t="s">
        <v>531</v>
      </c>
      <c r="C15" s="274"/>
      <c r="D15" s="533">
        <v>4304.7561459904755</v>
      </c>
      <c r="E15" s="533">
        <v>4304.7561459904755</v>
      </c>
      <c r="F15" s="533">
        <v>4304.7561459904755</v>
      </c>
      <c r="G15" s="533">
        <v>4304.7561459904755</v>
      </c>
      <c r="H15" s="247"/>
      <c r="I15" s="247"/>
      <c r="J15" s="5" t="s">
        <v>475</v>
      </c>
      <c r="L15" s="529">
        <f>'LATAM ALTNET &amp; CABLE'!D43</f>
        <v>7.6837708066981163</v>
      </c>
      <c r="M15" s="529">
        <f>'LATAM ALTNET &amp; CABLE'!E43</f>
        <v>5.0966217474671174</v>
      </c>
      <c r="N15" s="529">
        <f>'LATAM ALTNET &amp; CABLE'!F43</f>
        <v>3.5214258475097426</v>
      </c>
      <c r="O15" s="529">
        <f>'LATAM ALTNET &amp; CABLE'!G43</f>
        <v>3.130228038771286</v>
      </c>
      <c r="P15" s="286">
        <f>'LATAM ALTNET &amp; CABLE'!H43</f>
        <v>0.34896125174837644</v>
      </c>
      <c r="S15" s="42"/>
      <c r="T15" s="42"/>
      <c r="U15" s="42"/>
      <c r="V15" s="42"/>
      <c r="W15" s="42"/>
      <c r="X15" s="42"/>
      <c r="Y15" s="42"/>
      <c r="Z15" s="42"/>
      <c r="AA15" s="42"/>
    </row>
    <row r="16" spans="2:83">
      <c r="B16" s="5" t="s">
        <v>534</v>
      </c>
      <c r="C16" s="257"/>
      <c r="D16" s="533">
        <v>0</v>
      </c>
      <c r="E16" s="533">
        <v>2665.4751900000001</v>
      </c>
      <c r="F16" s="533">
        <v>5464.2241395000001</v>
      </c>
      <c r="G16" s="533">
        <v>8542.8479839499996</v>
      </c>
      <c r="H16" s="247"/>
      <c r="I16" s="247"/>
      <c r="J16" s="5" t="s">
        <v>533</v>
      </c>
      <c r="L16" s="529">
        <f>'LATAM ALTNET &amp; CABLE'!D44</f>
        <v>7.9551363991029369</v>
      </c>
      <c r="M16" s="529">
        <f>'LATAM ALTNET &amp; CABLE'!E44</f>
        <v>4.7399510803429443</v>
      </c>
      <c r="N16" s="529">
        <f>'LATAM ALTNET &amp; CABLE'!F44</f>
        <v>4.9034480734846939</v>
      </c>
      <c r="O16" s="529">
        <f>'LATAM ALTNET &amp; CABLE'!G44</f>
        <v>4.7430296086516766</v>
      </c>
      <c r="P16" s="286">
        <f>'LATAM ALTNET &amp; CABLE'!H44</f>
        <v>0.22600233239872392</v>
      </c>
      <c r="S16" s="42"/>
      <c r="T16" s="42"/>
      <c r="U16" s="42"/>
      <c r="V16" s="42"/>
      <c r="W16" s="42"/>
      <c r="X16" s="42"/>
      <c r="Y16" s="42"/>
      <c r="Z16" s="42"/>
      <c r="AA16" s="42"/>
    </row>
    <row r="17" spans="2:27">
      <c r="B17" s="5" t="s">
        <v>6</v>
      </c>
      <c r="C17" s="257"/>
      <c r="D17" s="533">
        <v>0</v>
      </c>
      <c r="E17" s="533">
        <v>0</v>
      </c>
      <c r="F17" s="533">
        <v>0</v>
      </c>
      <c r="G17" s="533">
        <v>0</v>
      </c>
      <c r="H17" s="247"/>
      <c r="I17" s="247"/>
      <c r="J17" s="5" t="s">
        <v>580</v>
      </c>
      <c r="L17" s="248">
        <f>'LATAM ALTNET &amp; CABLE'!D45</f>
        <v>3.7749364457923699E-2</v>
      </c>
      <c r="M17" s="248">
        <f>'LATAM ALTNET &amp; CABLE'!E45</f>
        <v>3.9561451287999268E-2</v>
      </c>
      <c r="N17" s="248">
        <f>'LATAM ALTNET &amp; CABLE'!F45</f>
        <v>3.9515958030884861E-2</v>
      </c>
      <c r="O17" s="248">
        <f>'LATAM ALTNET &amp; CABLE'!G45</f>
        <v>4.3651806279717507E-2</v>
      </c>
      <c r="P17" s="286">
        <f>'LATAM ALTNET &amp; CABLE'!H45</f>
        <v>8.3074231263342124E-2</v>
      </c>
      <c r="S17" s="42"/>
      <c r="T17" s="42"/>
      <c r="U17" s="42"/>
      <c r="V17" s="42"/>
      <c r="W17" s="42"/>
      <c r="X17" s="42"/>
      <c r="Y17" s="42"/>
      <c r="Z17" s="42"/>
      <c r="AA17" s="42"/>
    </row>
    <row r="18" spans="2:27" ht="12.6" thickBot="1">
      <c r="B18" s="41" t="s">
        <v>583</v>
      </c>
      <c r="C18" s="249"/>
      <c r="D18" s="534">
        <f>D11+D12+D13-D14+D15-D16-D17</f>
        <v>68147.962498966517</v>
      </c>
      <c r="E18" s="534">
        <f>E11+E12+E13-E14+E15-E16-E17</f>
        <v>70047.121154938679</v>
      </c>
      <c r="F18" s="534">
        <f>F11+F12+F13-F14+F15-F16-F17</f>
        <v>68767.573346090154</v>
      </c>
      <c r="G18" s="534">
        <f>G11+G12+G13-G14+G15-G16-G17</f>
        <v>64609.668598800978</v>
      </c>
      <c r="H18" s="276">
        <f>IF(D18=0,"nm",IF(G18=0,"nm",(G18/D18)^(1/3)-1))</f>
        <v>-1.7615399760941397E-2</v>
      </c>
      <c r="I18" s="254"/>
      <c r="J18" s="5" t="s">
        <v>36</v>
      </c>
      <c r="L18" s="248">
        <f>'LATAM ALTNET &amp; CABLE'!D46</f>
        <v>9.6435769467449375E-2</v>
      </c>
      <c r="M18" s="248">
        <f>'LATAM ALTNET &amp; CABLE'!E46</f>
        <v>2.6153638160454815E-3</v>
      </c>
      <c r="N18" s="248">
        <f>'LATAM ALTNET &amp; CABLE'!F46</f>
        <v>0.42921567408769146</v>
      </c>
      <c r="O18" s="248">
        <f>'LATAM ALTNET &amp; CABLE'!G46</f>
        <v>0.10764949762715911</v>
      </c>
      <c r="P18" s="286">
        <f>'LATAM ALTNET &amp; CABLE'!H46</f>
        <v>7.0414501132136209E-2</v>
      </c>
      <c r="S18" s="42"/>
      <c r="T18" s="42"/>
      <c r="U18" s="42"/>
      <c r="V18" s="42"/>
      <c r="W18" s="42"/>
      <c r="X18" s="42"/>
      <c r="Y18" s="42"/>
      <c r="Z18" s="42"/>
      <c r="AA18" s="42"/>
    </row>
    <row r="19" spans="2:27" ht="12.6" thickTop="1">
      <c r="B19" s="41"/>
      <c r="C19" s="249"/>
      <c r="D19" s="229"/>
      <c r="E19" s="229"/>
      <c r="F19" s="229"/>
      <c r="G19" s="229"/>
      <c r="H19" s="276"/>
      <c r="I19" s="254"/>
      <c r="J19" s="5" t="s">
        <v>581</v>
      </c>
      <c r="L19" s="248">
        <f>'LATAM ALTNET &amp; CABLE'!D47</f>
        <v>0.13014443365857262</v>
      </c>
      <c r="M19" s="248">
        <f>'LATAM ALTNET &amp; CABLE'!E47</f>
        <v>0.19620840029907513</v>
      </c>
      <c r="N19" s="248">
        <f>'LATAM ALTNET &amp; CABLE'!F47</f>
        <v>0.28397587889211784</v>
      </c>
      <c r="O19" s="248">
        <f>'LATAM ALTNET &amp; CABLE'!G47</f>
        <v>0.31946554296169805</v>
      </c>
      <c r="P19" s="286">
        <f>'LATAM ALTNET &amp; CABLE'!H47</f>
        <v>0.34896125174837644</v>
      </c>
      <c r="S19" s="42"/>
      <c r="T19" s="42"/>
      <c r="U19" s="42"/>
      <c r="V19" s="42"/>
      <c r="W19" s="42"/>
      <c r="X19" s="42"/>
      <c r="Y19" s="42"/>
      <c r="Z19" s="42"/>
      <c r="AA19" s="42"/>
    </row>
    <row r="20" spans="2:27">
      <c r="H20" s="277"/>
      <c r="I20" s="17"/>
      <c r="J20" s="5" t="s">
        <v>604</v>
      </c>
      <c r="L20" s="305">
        <f>'LATAM ALTNET &amp; CABLE'!D48</f>
        <v>0.45784431877334641</v>
      </c>
      <c r="M20" s="305">
        <f>'LATAM ALTNET &amp; CABLE'!E48</f>
        <v>0.31887107765882267</v>
      </c>
      <c r="N20" s="305">
        <f>'LATAM ALTNET &amp; CABLE'!F48</f>
        <v>0.24235052189109718</v>
      </c>
      <c r="O20" s="305">
        <f>'LATAM ALTNET &amp; CABLE'!G48</f>
        <v>0.23697038496719178</v>
      </c>
      <c r="P20" s="286" t="str">
        <f>'LATAM ALTNET &amp; CABLE'!H48</f>
        <v>nm</v>
      </c>
      <c r="S20" s="42"/>
      <c r="T20" s="42"/>
      <c r="U20" s="42"/>
      <c r="V20" s="42"/>
      <c r="W20" s="42"/>
      <c r="X20" s="42"/>
      <c r="Y20" s="42"/>
      <c r="Z20" s="42"/>
      <c r="AA20" s="42"/>
    </row>
    <row r="21" spans="2:27" ht="12.6" thickBot="1">
      <c r="B21" s="306" t="s">
        <v>944</v>
      </c>
      <c r="C21" s="265"/>
      <c r="D21" s="265" t="str">
        <f>D5</f>
        <v>2023E</v>
      </c>
      <c r="E21" s="265" t="str">
        <f t="shared" ref="E21:H21" si="2">E5</f>
        <v>2024E</v>
      </c>
      <c r="F21" s="265" t="str">
        <f t="shared" si="2"/>
        <v>2025E</v>
      </c>
      <c r="G21" s="265" t="str">
        <f t="shared" si="2"/>
        <v>2026E</v>
      </c>
      <c r="H21" s="265" t="str">
        <f t="shared" si="2"/>
        <v>23E-26E</v>
      </c>
      <c r="I21" s="49"/>
      <c r="J21" s="41"/>
      <c r="L21" s="250"/>
      <c r="M21" s="250"/>
      <c r="N21" s="250"/>
      <c r="O21" s="250"/>
      <c r="P21" s="286"/>
      <c r="S21" s="42"/>
      <c r="T21" s="42"/>
      <c r="U21" s="42"/>
      <c r="V21" s="42"/>
      <c r="W21" s="42"/>
      <c r="X21" s="42"/>
      <c r="Y21" s="42"/>
      <c r="Z21" s="42"/>
      <c r="AA21" s="42"/>
    </row>
    <row r="22" spans="2:27" ht="12.6" thickTop="1">
      <c r="B22" s="5"/>
      <c r="C22" s="257"/>
      <c r="D22" s="17"/>
      <c r="E22" s="17"/>
      <c r="F22" s="17"/>
      <c r="G22" s="17"/>
      <c r="H22" s="17"/>
      <c r="I22" s="17"/>
      <c r="P22" s="277"/>
      <c r="S22" s="42"/>
      <c r="T22" s="42"/>
      <c r="U22" s="42"/>
      <c r="V22" s="42"/>
      <c r="W22" s="42"/>
      <c r="X22" s="42"/>
      <c r="Y22" s="42"/>
      <c r="Z22" s="42"/>
      <c r="AA22" s="42"/>
    </row>
    <row r="23" spans="2:27" ht="12.6" thickBot="1">
      <c r="B23" s="5" t="s">
        <v>584</v>
      </c>
      <c r="C23" s="548">
        <v>27155.555</v>
      </c>
      <c r="D23" s="540">
        <v>29742.100554753248</v>
      </c>
      <c r="E23" s="540">
        <v>32892.497033917542</v>
      </c>
      <c r="F23" s="540">
        <v>35559.251936911569</v>
      </c>
      <c r="G23" s="540">
        <v>38214.985049524017</v>
      </c>
      <c r="H23" s="279">
        <f t="shared" ref="H23:H32" si="3">IF(D23=0,"nm",IF(G23=0,"nm",(G23/D23)^(1/3)-1))</f>
        <v>8.7144697988267739E-2</v>
      </c>
      <c r="I23" s="247"/>
      <c r="J23" s="306" t="s">
        <v>9</v>
      </c>
      <c r="K23" s="306"/>
      <c r="L23" s="265" t="str">
        <f>D21</f>
        <v>2023E</v>
      </c>
      <c r="M23" s="265" t="str">
        <f t="shared" ref="M23:P23" si="4">E21</f>
        <v>2024E</v>
      </c>
      <c r="N23" s="265" t="str">
        <f t="shared" si="4"/>
        <v>2025E</v>
      </c>
      <c r="O23" s="265" t="str">
        <f t="shared" si="4"/>
        <v>2026E</v>
      </c>
      <c r="P23" s="265" t="str">
        <f t="shared" si="4"/>
        <v>23E-26E</v>
      </c>
      <c r="S23" s="42"/>
      <c r="T23" s="42"/>
      <c r="U23" s="42"/>
      <c r="V23" s="42"/>
      <c r="W23" s="42"/>
      <c r="X23" s="42"/>
      <c r="Y23" s="42"/>
      <c r="Z23" s="42"/>
      <c r="AA23" s="42"/>
    </row>
    <row r="24" spans="2:27" ht="12.6" thickTop="1">
      <c r="B24" s="5" t="s">
        <v>483</v>
      </c>
      <c r="C24" s="549">
        <v>12769.018</v>
      </c>
      <c r="D24" s="540">
        <v>13221.466255186495</v>
      </c>
      <c r="E24" s="540">
        <v>14382.054907847689</v>
      </c>
      <c r="F24" s="540">
        <v>15797.396590979321</v>
      </c>
      <c r="G24" s="540">
        <v>16981.356331781048</v>
      </c>
      <c r="H24" s="279">
        <f t="shared" si="3"/>
        <v>8.7003439023187523E-2</v>
      </c>
      <c r="I24" s="249"/>
      <c r="J24" s="17"/>
      <c r="K24" s="17"/>
      <c r="L24" s="17"/>
      <c r="M24" s="17"/>
      <c r="N24" s="17"/>
      <c r="O24" s="248"/>
      <c r="S24" s="42"/>
      <c r="T24" s="42"/>
      <c r="U24" s="42"/>
      <c r="V24" s="42"/>
      <c r="W24" s="42" t="s">
        <v>825</v>
      </c>
      <c r="X24" s="42" t="s">
        <v>95</v>
      </c>
      <c r="Y24" s="42"/>
      <c r="Z24" s="42"/>
      <c r="AA24" s="42"/>
    </row>
    <row r="25" spans="2:27">
      <c r="B25" s="5" t="s">
        <v>183</v>
      </c>
      <c r="C25" s="548">
        <v>933.01800000000003</v>
      </c>
      <c r="D25" s="540">
        <v>1027.2050277376638</v>
      </c>
      <c r="E25" s="540">
        <v>1553.9810646198475</v>
      </c>
      <c r="F25" s="540">
        <v>4774.0284905367334</v>
      </c>
      <c r="G25" s="540">
        <v>7427.6100694000434</v>
      </c>
      <c r="H25" s="279">
        <f t="shared" si="3"/>
        <v>0.93373661215068116</v>
      </c>
      <c r="I25" s="248"/>
      <c r="J25" s="247" t="s">
        <v>10</v>
      </c>
      <c r="K25" s="247"/>
      <c r="L25" s="321">
        <v>0</v>
      </c>
      <c r="M25" s="321">
        <v>0</v>
      </c>
      <c r="N25" s="321">
        <v>0</v>
      </c>
      <c r="O25" s="321">
        <v>0</v>
      </c>
      <c r="P25" s="279" t="str">
        <f>IF(L25=0,"nm",IF(O25=0,"nm",(O25/L25)^(1/3)-1))</f>
        <v>nm</v>
      </c>
      <c r="S25" s="42"/>
      <c r="T25" s="42"/>
      <c r="U25" s="42"/>
      <c r="V25" s="147" t="s">
        <v>273</v>
      </c>
      <c r="W25" s="288">
        <f>D37/L9</f>
        <v>1.1466906709851588</v>
      </c>
      <c r="X25" s="288">
        <v>1</v>
      </c>
      <c r="Y25" s="42"/>
      <c r="Z25" s="42"/>
      <c r="AA25" s="42"/>
    </row>
    <row r="26" spans="2:27">
      <c r="B26" s="5" t="s">
        <v>586</v>
      </c>
      <c r="C26" s="548">
        <v>671.77296000000001</v>
      </c>
      <c r="D26" s="540">
        <v>739.58761997111799</v>
      </c>
      <c r="E26" s="540">
        <v>1118.8663665262902</v>
      </c>
      <c r="F26" s="540">
        <v>3437.3005131864479</v>
      </c>
      <c r="G26" s="540">
        <v>5347.8792499680312</v>
      </c>
      <c r="H26" s="279">
        <f t="shared" si="3"/>
        <v>0.93373661215068116</v>
      </c>
      <c r="I26" s="249"/>
      <c r="J26" s="249" t="s">
        <v>11</v>
      </c>
      <c r="K26" s="249"/>
      <c r="L26" s="281">
        <f>D11+L25</f>
        <v>44733.328799999996</v>
      </c>
      <c r="M26" s="281">
        <f>E11+M25</f>
        <v>44733.328799999996</v>
      </c>
      <c r="N26" s="281">
        <f>F11+N25</f>
        <v>44733.328799999996</v>
      </c>
      <c r="O26" s="281">
        <f>G11+O25</f>
        <v>44733.328799999996</v>
      </c>
      <c r="P26" s="279">
        <f>IF(L26=0,"nm",IF(O26=0,"nm",(O26/L26)^(1/3)-1))</f>
        <v>0</v>
      </c>
      <c r="Q26" s="5"/>
      <c r="S26" s="42"/>
      <c r="T26" s="42"/>
      <c r="U26" s="42"/>
      <c r="V26" s="147" t="s">
        <v>184</v>
      </c>
      <c r="W26" s="288">
        <f t="shared" ref="W26:W33" si="5">D38/L10</f>
        <v>0.99570130174817328</v>
      </c>
      <c r="X26" s="288">
        <v>1</v>
      </c>
      <c r="Y26" s="42"/>
      <c r="Z26" s="42"/>
      <c r="AA26" s="42"/>
    </row>
    <row r="27" spans="2:27">
      <c r="B27" s="5" t="s">
        <v>587</v>
      </c>
      <c r="C27" s="549">
        <v>47544.320999999996</v>
      </c>
      <c r="D27" s="540">
        <v>54100.975317733173</v>
      </c>
      <c r="E27" s="540">
        <v>58957.771290202203</v>
      </c>
      <c r="F27" s="540">
        <v>61490.885115926321</v>
      </c>
      <c r="G27" s="540">
        <v>62358.143410489669</v>
      </c>
      <c r="H27" s="279">
        <f t="shared" si="3"/>
        <v>4.8486140250052712E-2</v>
      </c>
      <c r="I27" s="249"/>
      <c r="Q27" s="41"/>
      <c r="S27" s="42"/>
      <c r="T27" s="42"/>
      <c r="U27" s="42"/>
      <c r="V27" s="147" t="s">
        <v>185</v>
      </c>
      <c r="W27" s="288">
        <f t="shared" si="5"/>
        <v>5.0594647757636739</v>
      </c>
      <c r="X27" s="288">
        <v>1</v>
      </c>
      <c r="Y27" s="42"/>
      <c r="Z27" s="42"/>
      <c r="AA27" s="42"/>
    </row>
    <row r="28" spans="2:27" ht="12.6" thickBot="1">
      <c r="B28" s="5" t="s">
        <v>592</v>
      </c>
      <c r="C28" s="548">
        <v>46236.025999999998</v>
      </c>
      <c r="D28" s="540">
        <v>49900.837217883869</v>
      </c>
      <c r="E28" s="540">
        <v>55103.098455615887</v>
      </c>
      <c r="F28" s="540">
        <v>57696.345764063837</v>
      </c>
      <c r="G28" s="540">
        <v>58420.187549683222</v>
      </c>
      <c r="H28" s="279">
        <f t="shared" si="3"/>
        <v>5.3946028302531701E-2</v>
      </c>
      <c r="I28" s="248"/>
      <c r="J28" s="306" t="s">
        <v>1362</v>
      </c>
      <c r="K28" s="306"/>
      <c r="L28" s="306"/>
      <c r="M28" s="306"/>
      <c r="N28" s="266"/>
      <c r="O28" s="266"/>
      <c r="P28" s="266"/>
      <c r="Q28" s="5"/>
      <c r="S28" s="42"/>
      <c r="T28" s="42"/>
      <c r="U28" s="42"/>
      <c r="V28" s="147" t="s">
        <v>466</v>
      </c>
      <c r="W28" s="288">
        <f t="shared" si="5"/>
        <v>5.059464775763673</v>
      </c>
      <c r="X28" s="288">
        <v>1</v>
      </c>
      <c r="Y28" s="42"/>
      <c r="Z28" s="42"/>
      <c r="AA28" s="42"/>
    </row>
    <row r="29" spans="2:27" ht="12.6" thickTop="1">
      <c r="B29" s="5" t="s">
        <v>588</v>
      </c>
      <c r="C29" s="548">
        <v>-225.32793046591831</v>
      </c>
      <c r="D29" s="540">
        <v>1492.3009008801339</v>
      </c>
      <c r="E29" s="540">
        <v>2021.3860927579076</v>
      </c>
      <c r="F29" s="540">
        <v>4968.7630011968586</v>
      </c>
      <c r="G29" s="540">
        <v>7075.688524662809</v>
      </c>
      <c r="H29" s="279">
        <f t="shared" si="3"/>
        <v>0.67997996269311889</v>
      </c>
      <c r="I29" s="252"/>
      <c r="J29" s="249"/>
      <c r="K29" s="249"/>
      <c r="L29" s="249"/>
      <c r="M29" s="249"/>
      <c r="N29" s="249"/>
      <c r="O29" s="251"/>
      <c r="Q29" s="5"/>
      <c r="S29" s="42"/>
      <c r="T29" s="42"/>
      <c r="U29" s="42"/>
      <c r="V29" s="147" t="s">
        <v>530</v>
      </c>
      <c r="W29" s="288">
        <f t="shared" si="5"/>
        <v>1.0266986489166312</v>
      </c>
      <c r="X29" s="288">
        <v>1</v>
      </c>
      <c r="Y29" s="42"/>
      <c r="Z29" s="42"/>
      <c r="AA29" s="42"/>
    </row>
    <row r="30" spans="2:27">
      <c r="B30" s="5" t="s">
        <v>589</v>
      </c>
      <c r="C30" s="549">
        <v>5454.7901675560006</v>
      </c>
      <c r="D30" s="540">
        <v>6620.2032763935722</v>
      </c>
      <c r="E30" s="540">
        <v>7134.0330574466734</v>
      </c>
      <c r="F30" s="540">
        <v>7524.2884886978709</v>
      </c>
      <c r="G30" s="540">
        <v>7783.6518600395111</v>
      </c>
      <c r="H30" s="279">
        <f t="shared" si="3"/>
        <v>5.5449259116693295E-2</v>
      </c>
      <c r="I30" s="254"/>
      <c r="J30" s="248"/>
      <c r="K30" s="248"/>
      <c r="L30" s="248"/>
      <c r="M30" s="248"/>
      <c r="N30" s="248"/>
      <c r="O30" s="5"/>
      <c r="Q30" s="5"/>
      <c r="S30" s="42"/>
      <c r="T30" s="42"/>
      <c r="U30" s="42"/>
      <c r="V30" s="147" t="s">
        <v>593</v>
      </c>
      <c r="W30" s="288">
        <f t="shared" si="5"/>
        <v>0.58520197669184026</v>
      </c>
      <c r="X30" s="288">
        <v>1</v>
      </c>
      <c r="Y30" s="42"/>
      <c r="Z30" s="42"/>
      <c r="AA30" s="42"/>
    </row>
    <row r="31" spans="2:27">
      <c r="B31" s="5" t="s">
        <v>590</v>
      </c>
      <c r="C31" s="549">
        <v>2538.5477999999998</v>
      </c>
      <c r="D31" s="540">
        <v>2665.4751900000001</v>
      </c>
      <c r="E31" s="540">
        <v>2798.7489495</v>
      </c>
      <c r="F31" s="540">
        <v>3078.6238444500004</v>
      </c>
      <c r="G31" s="540">
        <v>3386.4862288950007</v>
      </c>
      <c r="H31" s="279">
        <f t="shared" si="3"/>
        <v>8.3074231263342124E-2</v>
      </c>
      <c r="I31" s="254"/>
      <c r="J31" s="252"/>
      <c r="K31" s="252"/>
      <c r="L31" s="252"/>
      <c r="M31" s="252"/>
      <c r="N31" s="252"/>
      <c r="O31" s="5"/>
      <c r="Q31" s="5"/>
      <c r="S31" s="42"/>
      <c r="T31" s="42"/>
      <c r="U31" s="42"/>
      <c r="V31" s="147" t="s">
        <v>475</v>
      </c>
      <c r="W31" s="288">
        <f t="shared" si="5"/>
        <v>3.9012197465706278</v>
      </c>
      <c r="X31" s="288">
        <v>1</v>
      </c>
      <c r="Y31" s="42"/>
      <c r="Z31" s="42"/>
      <c r="AA31" s="42"/>
    </row>
    <row r="32" spans="2:27">
      <c r="B32" s="5" t="s">
        <v>606</v>
      </c>
      <c r="C32" s="550">
        <v>0</v>
      </c>
      <c r="D32" s="540">
        <v>0</v>
      </c>
      <c r="E32" s="540">
        <v>0</v>
      </c>
      <c r="F32" s="540">
        <v>0</v>
      </c>
      <c r="G32" s="540">
        <v>0</v>
      </c>
      <c r="H32" s="279" t="str">
        <f t="shared" si="3"/>
        <v>nm</v>
      </c>
      <c r="I32" s="254"/>
      <c r="J32" s="254"/>
      <c r="K32" s="254"/>
      <c r="L32" s="254"/>
      <c r="M32" s="254"/>
      <c r="N32" s="254"/>
      <c r="O32" s="251"/>
      <c r="Q32" s="5"/>
      <c r="S32" s="42"/>
      <c r="T32" s="42"/>
      <c r="U32" s="42"/>
      <c r="V32" s="147" t="s">
        <v>533</v>
      </c>
      <c r="W32" s="288">
        <f t="shared" si="5"/>
        <v>0.84940000999832377</v>
      </c>
      <c r="X32" s="288">
        <v>1</v>
      </c>
      <c r="Y32" s="42"/>
      <c r="Z32" s="42"/>
      <c r="AA32" s="42"/>
    </row>
    <row r="33" spans="2:27">
      <c r="B33" s="5" t="s">
        <v>5</v>
      </c>
      <c r="C33" s="549">
        <v>-1196</v>
      </c>
      <c r="D33" s="540">
        <v>-1971.1278558182141</v>
      </c>
      <c r="E33" s="540">
        <v>-2088.1978704749054</v>
      </c>
      <c r="F33" s="540">
        <v>-1855.8134270626201</v>
      </c>
      <c r="G33" s="540">
        <v>-1379.2444090934889</v>
      </c>
      <c r="H33" s="279">
        <f>IF(D33=0,"nm",IF(G33=0,"nm",(G33/D33)^(1/3)-1))</f>
        <v>-0.11221293670387811</v>
      </c>
      <c r="I33" s="5"/>
      <c r="J33" s="254"/>
      <c r="K33" s="254"/>
      <c r="L33" s="254"/>
      <c r="M33" s="254"/>
      <c r="N33" s="254"/>
      <c r="O33" s="251"/>
      <c r="Q33" s="5"/>
      <c r="S33" s="42"/>
      <c r="T33" s="42"/>
      <c r="U33" s="42"/>
      <c r="V33" s="147" t="s">
        <v>580</v>
      </c>
      <c r="W33" s="288">
        <f t="shared" si="5"/>
        <v>1.5784607350666247</v>
      </c>
      <c r="X33" s="288">
        <v>1</v>
      </c>
      <c r="Y33" s="42"/>
      <c r="Z33" s="42"/>
      <c r="AA33" s="42"/>
    </row>
    <row r="34" spans="2:27">
      <c r="H34" s="277"/>
      <c r="I34" s="49"/>
      <c r="J34" s="254"/>
      <c r="K34" s="254"/>
      <c r="L34" s="254"/>
      <c r="M34" s="254"/>
      <c r="N34" s="254"/>
      <c r="O34" s="251"/>
      <c r="Q34" s="5"/>
      <c r="S34" s="42"/>
      <c r="T34" s="42"/>
      <c r="U34" s="42"/>
      <c r="V34" s="147" t="s">
        <v>581</v>
      </c>
      <c r="W34" s="288">
        <f>D47/L19</f>
        <v>0.25633008775756644</v>
      </c>
      <c r="X34" s="288">
        <v>1</v>
      </c>
      <c r="Y34" s="288"/>
      <c r="Z34" s="288"/>
      <c r="AA34" s="42"/>
    </row>
    <row r="35" spans="2:27" ht="12.6" thickBot="1">
      <c r="B35" s="306" t="s">
        <v>824</v>
      </c>
      <c r="C35" s="265"/>
      <c r="D35" s="265" t="str">
        <f>D5</f>
        <v>2023E</v>
      </c>
      <c r="E35" s="265" t="str">
        <f t="shared" ref="E35:H35" si="6">E5</f>
        <v>2024E</v>
      </c>
      <c r="F35" s="265" t="str">
        <f t="shared" si="6"/>
        <v>2025E</v>
      </c>
      <c r="G35" s="265" t="str">
        <f t="shared" si="6"/>
        <v>2026E</v>
      </c>
      <c r="H35" s="265" t="str">
        <f t="shared" si="6"/>
        <v>23E-26E</v>
      </c>
      <c r="I35" s="254"/>
      <c r="J35" s="5"/>
      <c r="K35" s="5"/>
      <c r="L35" s="5"/>
      <c r="M35" s="5"/>
      <c r="N35" s="5"/>
      <c r="O35" s="5"/>
      <c r="Q35" s="5"/>
      <c r="S35" s="42"/>
      <c r="T35" s="42"/>
      <c r="U35" s="42"/>
      <c r="V35" s="42"/>
      <c r="W35" s="42"/>
      <c r="X35" s="42"/>
      <c r="Y35" s="288"/>
      <c r="Z35" s="288"/>
      <c r="AA35" s="42"/>
    </row>
    <row r="36" spans="2:27" ht="12.6" thickTop="1">
      <c r="B36" s="41"/>
      <c r="C36" s="249"/>
      <c r="D36" s="254"/>
      <c r="E36" s="254"/>
      <c r="F36" s="254"/>
      <c r="G36" s="254"/>
      <c r="H36" s="254"/>
      <c r="I36" s="17"/>
      <c r="J36" s="49"/>
      <c r="K36" s="49"/>
      <c r="L36" s="49"/>
      <c r="M36" s="49"/>
      <c r="N36" s="49"/>
      <c r="O36" s="49"/>
      <c r="Q36" s="5"/>
      <c r="S36" s="42"/>
      <c r="T36" s="42"/>
      <c r="U36" s="42"/>
      <c r="V36" s="42"/>
      <c r="W36" s="42"/>
      <c r="X36" s="42"/>
      <c r="Y36" s="288"/>
      <c r="Z36" s="288"/>
      <c r="AA36" s="42"/>
    </row>
    <row r="37" spans="2:27">
      <c r="B37" s="5" t="s">
        <v>273</v>
      </c>
      <c r="C37" s="247"/>
      <c r="D37" s="529">
        <f>D$18/D23</f>
        <v>2.291296217411094</v>
      </c>
      <c r="E37" s="529">
        <f t="shared" ref="E37:G41" si="7">E$18/E23</f>
        <v>2.1295774864008847</v>
      </c>
      <c r="F37" s="529">
        <f t="shared" si="7"/>
        <v>1.9338869520679469</v>
      </c>
      <c r="G37" s="529">
        <f t="shared" si="7"/>
        <v>1.6906893595554531</v>
      </c>
      <c r="H37" s="17">
        <f t="shared" ref="H37:H45" si="8">H23</f>
        <v>8.7144697988267739E-2</v>
      </c>
      <c r="I37" s="5"/>
      <c r="J37" s="259"/>
      <c r="K37" s="259"/>
      <c r="L37" s="259"/>
      <c r="M37" s="259"/>
      <c r="N37" s="259"/>
      <c r="O37" s="18"/>
      <c r="Q37" s="5"/>
      <c r="R37" s="5"/>
      <c r="S37" s="42"/>
      <c r="T37" s="42"/>
      <c r="U37" s="42"/>
      <c r="V37" s="42"/>
      <c r="W37" s="42"/>
      <c r="X37" s="42"/>
      <c r="Y37" s="42"/>
      <c r="Z37" s="42"/>
      <c r="AA37" s="42"/>
    </row>
    <row r="38" spans="2:27">
      <c r="B38" s="5" t="s">
        <v>184</v>
      </c>
      <c r="C38" s="247"/>
      <c r="D38" s="529">
        <f>D$18/D24</f>
        <v>5.1543422782048509</v>
      </c>
      <c r="E38" s="529">
        <f t="shared" si="7"/>
        <v>4.8704529084169241</v>
      </c>
      <c r="F38" s="529">
        <f t="shared" si="7"/>
        <v>4.353095331249583</v>
      </c>
      <c r="G38" s="529">
        <f t="shared" si="7"/>
        <v>3.8047413490689381</v>
      </c>
      <c r="H38" s="17">
        <f t="shared" si="8"/>
        <v>8.7003439023187523E-2</v>
      </c>
      <c r="I38" s="259"/>
      <c r="J38" s="17"/>
      <c r="K38" s="17"/>
      <c r="L38" s="17"/>
      <c r="M38" s="17"/>
      <c r="N38" s="17"/>
      <c r="O38" s="5"/>
      <c r="Q38" s="5"/>
      <c r="R38" s="5"/>
      <c r="S38" s="42"/>
      <c r="T38" s="42"/>
      <c r="U38" s="42"/>
      <c r="V38" s="42"/>
      <c r="W38" s="42"/>
      <c r="X38" s="42"/>
      <c r="Y38" s="42"/>
      <c r="Z38" s="42"/>
      <c r="AA38" s="42"/>
    </row>
    <row r="39" spans="2:27">
      <c r="B39" s="5" t="s">
        <v>185</v>
      </c>
      <c r="C39" s="247"/>
      <c r="D39" s="529">
        <f>D$18/D25</f>
        <v>66.343096712695129</v>
      </c>
      <c r="E39" s="529">
        <f t="shared" si="7"/>
        <v>45.07591678543033</v>
      </c>
      <c r="F39" s="529">
        <f t="shared" si="7"/>
        <v>14.404516747732849</v>
      </c>
      <c r="G39" s="529">
        <f t="shared" si="7"/>
        <v>8.6985811041666263</v>
      </c>
      <c r="H39" s="17">
        <f t="shared" si="8"/>
        <v>0.93373661215068116</v>
      </c>
      <c r="I39" s="17"/>
      <c r="J39" s="5"/>
      <c r="K39" s="5"/>
      <c r="L39" s="5"/>
      <c r="M39" s="5"/>
      <c r="N39" s="5"/>
      <c r="O39" s="5"/>
      <c r="Q39" s="5"/>
      <c r="R39" s="5"/>
      <c r="S39" s="42"/>
      <c r="T39" s="42"/>
      <c r="U39" s="42"/>
      <c r="V39" s="42"/>
      <c r="W39" s="42"/>
      <c r="X39" s="42"/>
      <c r="Y39" s="42"/>
      <c r="Z39" s="42"/>
      <c r="AA39" s="42"/>
    </row>
    <row r="40" spans="2:27">
      <c r="B40" s="5" t="s">
        <v>466</v>
      </c>
      <c r="C40" s="247"/>
      <c r="D40" s="529">
        <f>D$18/D26</f>
        <v>92.143189878743229</v>
      </c>
      <c r="E40" s="529">
        <f t="shared" si="7"/>
        <v>62.605439979764348</v>
      </c>
      <c r="F40" s="529">
        <f t="shared" si="7"/>
        <v>20.00627326074007</v>
      </c>
      <c r="G40" s="529">
        <f t="shared" si="7"/>
        <v>12.081362644675869</v>
      </c>
      <c r="H40" s="17">
        <f t="shared" si="8"/>
        <v>0.93373661215068116</v>
      </c>
      <c r="I40" s="5"/>
      <c r="J40" s="259"/>
      <c r="K40" s="259"/>
      <c r="L40" s="259"/>
      <c r="M40" s="259"/>
      <c r="N40" s="259"/>
      <c r="O40" s="18"/>
      <c r="Q40" s="5"/>
      <c r="R40" s="5"/>
      <c r="S40" s="42"/>
      <c r="T40" s="42"/>
      <c r="U40" s="42"/>
      <c r="V40" s="42"/>
      <c r="W40" s="288"/>
      <c r="X40" s="288"/>
      <c r="Y40" s="42"/>
      <c r="Z40" s="42"/>
      <c r="AA40" s="42"/>
    </row>
    <row r="41" spans="2:27">
      <c r="B41" s="5" t="s">
        <v>530</v>
      </c>
      <c r="C41" s="247"/>
      <c r="D41" s="529">
        <f>D$18/D27</f>
        <v>1.2596438807015191</v>
      </c>
      <c r="E41" s="529">
        <f t="shared" si="7"/>
        <v>1.1880897059380422</v>
      </c>
      <c r="F41" s="529">
        <f t="shared" si="7"/>
        <v>1.1183376725907488</v>
      </c>
      <c r="G41" s="529">
        <f t="shared" si="7"/>
        <v>1.0361063538003372</v>
      </c>
      <c r="H41" s="17">
        <f t="shared" si="8"/>
        <v>4.8486140250052712E-2</v>
      </c>
      <c r="I41" s="247"/>
      <c r="J41" s="17"/>
      <c r="K41" s="17"/>
      <c r="L41" s="17"/>
      <c r="M41" s="17"/>
      <c r="N41" s="17"/>
      <c r="O41" s="5"/>
      <c r="Q41" s="5"/>
      <c r="R41" s="5"/>
      <c r="S41" s="42"/>
      <c r="T41" s="42"/>
      <c r="U41" s="42"/>
      <c r="V41" s="42"/>
      <c r="W41" s="288"/>
      <c r="X41" s="288"/>
      <c r="Y41" s="288"/>
      <c r="Z41" s="288"/>
      <c r="AA41" s="42"/>
    </row>
    <row r="42" spans="2:27">
      <c r="B42" s="5" t="s">
        <v>593</v>
      </c>
      <c r="C42" s="247"/>
      <c r="D42" s="529">
        <f>D18/D28</f>
        <v>1.3656677181869625</v>
      </c>
      <c r="E42" s="529">
        <f>E18/E28</f>
        <v>1.2712011323893122</v>
      </c>
      <c r="F42" s="529">
        <f>F18/F28</f>
        <v>1.1918878472355874</v>
      </c>
      <c r="G42" s="529">
        <f>G18/G28</f>
        <v>1.1059476408536679</v>
      </c>
      <c r="H42" s="17">
        <f t="shared" si="8"/>
        <v>5.3946028302531701E-2</v>
      </c>
      <c r="I42" s="248"/>
      <c r="J42" s="5"/>
      <c r="K42" s="5"/>
      <c r="L42" s="5"/>
      <c r="M42" s="5"/>
      <c r="N42" s="5"/>
      <c r="O42" s="5"/>
      <c r="Q42" s="5"/>
      <c r="R42" s="5"/>
      <c r="S42" s="42"/>
      <c r="T42" s="42"/>
      <c r="U42" s="42"/>
      <c r="V42" s="42"/>
      <c r="W42" s="288"/>
      <c r="X42" s="288"/>
      <c r="Y42" s="288"/>
      <c r="Z42" s="288"/>
      <c r="AA42" s="42"/>
    </row>
    <row r="43" spans="2:27">
      <c r="B43" s="5" t="s">
        <v>475</v>
      </c>
      <c r="C43" s="247"/>
      <c r="D43" s="529">
        <f>L26/D29</f>
        <v>29.976078399213613</v>
      </c>
      <c r="E43" s="529">
        <f>M26/E29</f>
        <v>22.130026994975228</v>
      </c>
      <c r="F43" s="529">
        <f>N26/F29</f>
        <v>9.0029105411597996</v>
      </c>
      <c r="G43" s="529">
        <f>O26/G29</f>
        <v>6.3221167302770382</v>
      </c>
      <c r="H43" s="17">
        <f t="shared" si="8"/>
        <v>0.67997996269311889</v>
      </c>
      <c r="I43" s="247"/>
      <c r="J43" s="247"/>
      <c r="K43" s="247"/>
      <c r="L43" s="247"/>
      <c r="M43" s="247"/>
      <c r="N43" s="247"/>
      <c r="O43" s="18"/>
      <c r="Q43" s="5"/>
      <c r="R43" s="5"/>
      <c r="S43" s="42"/>
      <c r="T43" s="42"/>
      <c r="U43" s="42"/>
      <c r="V43" s="42"/>
      <c r="W43" s="288"/>
      <c r="X43" s="288"/>
      <c r="Y43" s="288"/>
      <c r="Z43" s="288"/>
      <c r="AA43" s="42"/>
    </row>
    <row r="44" spans="2:27">
      <c r="B44" s="5" t="s">
        <v>533</v>
      </c>
      <c r="C44" s="69"/>
      <c r="D44" s="529">
        <f>D11/D30</f>
        <v>6.7570929369360639</v>
      </c>
      <c r="E44" s="529">
        <f>E11/E30</f>
        <v>6.2704123235462559</v>
      </c>
      <c r="F44" s="529">
        <f>F11/F30</f>
        <v>5.9451905475439046</v>
      </c>
      <c r="G44" s="529">
        <f>G11/G30</f>
        <v>5.7470875630571845</v>
      </c>
      <c r="H44" s="17">
        <f t="shared" si="8"/>
        <v>5.5449259116693295E-2</v>
      </c>
      <c r="I44" s="247"/>
      <c r="J44" s="248"/>
      <c r="K44" s="248"/>
      <c r="L44" s="248"/>
      <c r="M44" s="248"/>
      <c r="N44" s="248"/>
      <c r="O44" s="248"/>
      <c r="Q44" s="5"/>
      <c r="R44" s="5"/>
      <c r="S44" s="42"/>
      <c r="T44" s="42"/>
      <c r="U44" s="42"/>
      <c r="V44" s="42"/>
      <c r="W44" s="325"/>
      <c r="X44" s="325"/>
      <c r="Y44" s="288"/>
      <c r="Z44" s="288"/>
      <c r="AA44" s="42"/>
    </row>
    <row r="45" spans="2:27">
      <c r="B45" s="5" t="s">
        <v>580</v>
      </c>
      <c r="C45" s="247"/>
      <c r="D45" s="248">
        <f>D31/D11</f>
        <v>5.9585889570552157E-2</v>
      </c>
      <c r="E45" s="248">
        <f>E31/E11</f>
        <v>6.2565184049079764E-2</v>
      </c>
      <c r="F45" s="248">
        <f>F31/F11</f>
        <v>6.8821702453987749E-2</v>
      </c>
      <c r="G45" s="248">
        <f>G31/G11</f>
        <v>7.5703872699386526E-2</v>
      </c>
      <c r="H45" s="17">
        <f t="shared" si="8"/>
        <v>8.3074231263342124E-2</v>
      </c>
      <c r="I45" s="248"/>
      <c r="J45" s="247"/>
      <c r="K45" s="247"/>
      <c r="L45" s="247"/>
      <c r="M45" s="247"/>
      <c r="N45" s="247"/>
      <c r="O45" s="248"/>
      <c r="Q45" s="5"/>
      <c r="R45" s="5"/>
      <c r="S45" s="42"/>
      <c r="T45" s="42"/>
      <c r="U45" s="42"/>
      <c r="V45" s="42"/>
      <c r="W45" s="42"/>
      <c r="X45" s="42"/>
      <c r="Y45" s="325"/>
      <c r="Z45" s="325"/>
      <c r="AA45" s="42"/>
    </row>
    <row r="46" spans="2:27">
      <c r="B46" s="5" t="s">
        <v>605</v>
      </c>
      <c r="C46" s="247"/>
      <c r="D46" s="248">
        <f>(D31+D32)/D11</f>
        <v>5.9585889570552157E-2</v>
      </c>
      <c r="E46" s="248">
        <f>(E31+E32)/E11</f>
        <v>6.2565184049079764E-2</v>
      </c>
      <c r="F46" s="248">
        <f>(F31+F32)/F11</f>
        <v>6.8821702453987749E-2</v>
      </c>
      <c r="G46" s="248">
        <f>(G31+G32)/G11</f>
        <v>7.5703872699386526E-2</v>
      </c>
      <c r="H46" s="279">
        <f>((G31+G32)/(D31+D32))^(1/3)-1</f>
        <v>8.3074231263342124E-2</v>
      </c>
      <c r="I46" s="247"/>
      <c r="J46" s="247"/>
      <c r="K46" s="247"/>
      <c r="L46" s="247"/>
      <c r="M46" s="247"/>
      <c r="N46" s="247"/>
      <c r="O46" s="18"/>
      <c r="Q46" s="5"/>
      <c r="R46" s="5"/>
      <c r="S46" s="42"/>
      <c r="T46" s="42"/>
      <c r="U46" s="42"/>
      <c r="V46" s="42"/>
      <c r="W46" s="42"/>
      <c r="X46" s="42"/>
      <c r="Y46" s="42"/>
      <c r="Z46" s="42"/>
      <c r="AA46" s="326"/>
    </row>
    <row r="47" spans="2:27">
      <c r="B47" s="5" t="s">
        <v>581</v>
      </c>
      <c r="C47" s="5"/>
      <c r="D47" s="248">
        <f>1/D43</f>
        <v>3.3359934100860703E-2</v>
      </c>
      <c r="E47" s="248">
        <f>1/E43</f>
        <v>4.5187473120889401E-2</v>
      </c>
      <c r="F47" s="248">
        <f>1/F43</f>
        <v>0.11107519012081342</v>
      </c>
      <c r="G47" s="248">
        <f>1/G43</f>
        <v>0.15817487127545959</v>
      </c>
      <c r="H47" s="17">
        <f>H29</f>
        <v>0.67997996269311889</v>
      </c>
      <c r="I47" s="17"/>
      <c r="J47" s="248"/>
      <c r="K47" s="248"/>
      <c r="L47" s="248"/>
      <c r="M47" s="248"/>
      <c r="N47" s="248"/>
      <c r="O47" s="248"/>
      <c r="Q47" s="5"/>
      <c r="R47" s="5"/>
      <c r="S47" s="42"/>
      <c r="T47" s="42"/>
      <c r="U47" s="42"/>
      <c r="V47" s="42"/>
      <c r="W47" s="42"/>
      <c r="X47" s="42"/>
      <c r="Y47" s="42"/>
      <c r="Z47" s="42"/>
      <c r="AA47" s="326"/>
    </row>
    <row r="48" spans="2:27">
      <c r="B48" s="5" t="s">
        <v>618</v>
      </c>
      <c r="C48" s="5"/>
      <c r="D48" s="305">
        <f>D31/D29</f>
        <v>1.7861512972537561</v>
      </c>
      <c r="E48" s="305">
        <f>E31/E29</f>
        <v>1.3845692119517286</v>
      </c>
      <c r="F48" s="305">
        <f>F31/F29</f>
        <v>0.61959563048356947</v>
      </c>
      <c r="G48" s="305">
        <f>G31/G29</f>
        <v>0.47860872013955469</v>
      </c>
      <c r="H48" s="279" t="s">
        <v>607</v>
      </c>
      <c r="I48" s="247"/>
      <c r="J48" s="247"/>
      <c r="K48" s="247"/>
      <c r="L48" s="247"/>
      <c r="M48" s="247"/>
      <c r="N48" s="247"/>
      <c r="O48" s="248"/>
      <c r="Q48" s="5"/>
      <c r="R48" s="5"/>
      <c r="S48" s="42"/>
      <c r="T48" s="42"/>
      <c r="U48" s="42"/>
      <c r="V48" s="42"/>
      <c r="W48" s="42"/>
      <c r="X48" s="42"/>
      <c r="Y48" s="42"/>
      <c r="Z48" s="42"/>
      <c r="AA48" s="326"/>
    </row>
    <row r="49" spans="2:27">
      <c r="B49" s="41"/>
      <c r="C49" s="17"/>
      <c r="D49" s="17"/>
      <c r="E49" s="17"/>
      <c r="F49" s="17"/>
      <c r="G49" s="17"/>
      <c r="H49" s="17"/>
      <c r="I49" s="254"/>
      <c r="J49" s="17"/>
      <c r="K49" s="17"/>
      <c r="L49" s="17"/>
      <c r="M49" s="17"/>
      <c r="N49" s="17"/>
      <c r="O49" s="248"/>
      <c r="Q49" s="5"/>
      <c r="R49" s="5"/>
      <c r="S49" s="42"/>
      <c r="T49" s="42"/>
      <c r="U49" s="42"/>
      <c r="V49" s="42"/>
      <c r="W49" s="42"/>
      <c r="X49" s="42"/>
      <c r="Y49" s="42"/>
      <c r="Z49" s="42"/>
      <c r="AA49" s="326"/>
    </row>
    <row r="50" spans="2:27">
      <c r="B50" s="5"/>
      <c r="C50" s="257"/>
      <c r="D50" s="257"/>
      <c r="E50" s="257"/>
      <c r="F50" s="5"/>
      <c r="G50" s="41"/>
      <c r="H50" s="249"/>
      <c r="I50" s="17"/>
      <c r="J50" s="249"/>
      <c r="K50" s="249"/>
      <c r="L50" s="249"/>
      <c r="M50" s="249"/>
      <c r="N50" s="249"/>
      <c r="O50" s="250"/>
      <c r="Q50" s="5"/>
      <c r="R50" s="5"/>
      <c r="S50" s="42"/>
      <c r="T50" s="42"/>
      <c r="U50" s="42"/>
      <c r="V50" s="42"/>
      <c r="W50" s="288"/>
      <c r="X50" s="288"/>
      <c r="Y50" s="42"/>
      <c r="Z50" s="42"/>
      <c r="AA50" s="326"/>
    </row>
    <row r="51" spans="2:27">
      <c r="B51" s="41"/>
      <c r="C51" s="249"/>
      <c r="D51" s="254"/>
      <c r="E51" s="254"/>
      <c r="F51" s="254"/>
      <c r="G51" s="254"/>
      <c r="H51" s="254"/>
      <c r="I51" s="259"/>
      <c r="J51" s="254"/>
      <c r="K51" s="254"/>
      <c r="L51" s="254"/>
      <c r="M51" s="254"/>
      <c r="N51" s="254"/>
      <c r="O51" s="251"/>
      <c r="Q51" s="5"/>
      <c r="R51" s="5"/>
      <c r="S51" s="42"/>
      <c r="T51" s="42"/>
      <c r="U51" s="42"/>
      <c r="V51" s="42"/>
      <c r="W51" s="288"/>
      <c r="X51" s="288"/>
      <c r="Y51" s="288"/>
      <c r="Z51" s="288"/>
      <c r="AA51" s="42"/>
    </row>
    <row r="52" spans="2:27">
      <c r="B52" s="5"/>
      <c r="C52" s="257"/>
      <c r="D52" s="17"/>
      <c r="E52" s="17"/>
      <c r="F52" s="17"/>
      <c r="G52" s="17"/>
      <c r="H52" s="17"/>
      <c r="I52" s="254"/>
      <c r="J52" s="17"/>
      <c r="K52" s="17"/>
      <c r="L52" s="17"/>
      <c r="M52" s="17"/>
      <c r="N52" s="17"/>
      <c r="O52" s="248"/>
      <c r="Q52" s="5"/>
      <c r="R52" s="5"/>
      <c r="Y52" s="10"/>
      <c r="Z52" s="10"/>
    </row>
    <row r="53" spans="2:27">
      <c r="B53" s="5"/>
      <c r="C53" s="257"/>
      <c r="D53" s="257"/>
      <c r="E53" s="257"/>
      <c r="F53" s="5"/>
      <c r="G53" s="5"/>
      <c r="H53" s="259"/>
      <c r="I53" s="17"/>
      <c r="J53" s="259"/>
      <c r="K53" s="259"/>
      <c r="L53" s="259"/>
      <c r="M53" s="259"/>
      <c r="N53" s="259"/>
      <c r="O53" s="18"/>
      <c r="Q53" s="5"/>
      <c r="R53" s="5"/>
    </row>
    <row r="54" spans="2:27">
      <c r="B54" s="41"/>
      <c r="C54" s="249"/>
      <c r="D54" s="254"/>
      <c r="E54" s="254"/>
      <c r="F54" s="254"/>
      <c r="G54" s="254"/>
      <c r="H54" s="254"/>
      <c r="I54" s="259"/>
      <c r="J54" s="254"/>
      <c r="K54" s="254"/>
      <c r="L54" s="254"/>
      <c r="M54" s="254"/>
      <c r="N54" s="254"/>
      <c r="O54" s="251"/>
      <c r="Q54" s="5"/>
      <c r="R54" s="5"/>
    </row>
    <row r="55" spans="2:27">
      <c r="B55" s="5"/>
      <c r="C55" s="257"/>
      <c r="D55" s="17"/>
      <c r="E55" s="17"/>
      <c r="F55" s="17"/>
      <c r="G55" s="17"/>
      <c r="H55" s="17"/>
      <c r="I55" s="249"/>
      <c r="J55" s="17"/>
      <c r="K55" s="17"/>
      <c r="L55" s="17"/>
      <c r="M55" s="17"/>
      <c r="N55" s="17"/>
      <c r="O55" s="18"/>
      <c r="Q55" s="5"/>
      <c r="R55" s="5"/>
    </row>
    <row r="56" spans="2:27">
      <c r="B56" s="5"/>
      <c r="C56" s="248"/>
      <c r="D56" s="248"/>
      <c r="E56" s="248"/>
      <c r="F56" s="5"/>
      <c r="G56" s="5"/>
      <c r="H56" s="259"/>
      <c r="I56" s="248"/>
      <c r="J56" s="259"/>
      <c r="K56" s="259"/>
      <c r="L56" s="259"/>
      <c r="M56" s="259"/>
      <c r="N56" s="259"/>
      <c r="O56" s="18"/>
      <c r="Q56" s="5"/>
      <c r="R56" s="5"/>
    </row>
    <row r="57" spans="2:27">
      <c r="B57" s="41"/>
      <c r="C57" s="249"/>
      <c r="D57" s="249"/>
      <c r="E57" s="249"/>
      <c r="F57" s="249"/>
      <c r="G57" s="249"/>
      <c r="H57" s="249"/>
      <c r="I57" s="5"/>
      <c r="J57" s="249"/>
      <c r="K57" s="249"/>
      <c r="L57" s="249"/>
      <c r="M57" s="249"/>
      <c r="N57" s="249"/>
      <c r="O57" s="251"/>
      <c r="Q57" s="5"/>
      <c r="R57" s="5"/>
    </row>
    <row r="58" spans="2:27">
      <c r="B58" s="5"/>
      <c r="C58" s="5"/>
      <c r="D58" s="248"/>
      <c r="E58" s="248"/>
      <c r="F58" s="248"/>
      <c r="G58" s="248"/>
      <c r="H58" s="248"/>
      <c r="I58" s="17"/>
      <c r="J58" s="248"/>
      <c r="K58" s="248"/>
      <c r="L58" s="248"/>
      <c r="M58" s="248"/>
      <c r="N58" s="248"/>
      <c r="O58" s="18"/>
      <c r="Q58" s="5"/>
      <c r="R58" s="5"/>
    </row>
    <row r="59" spans="2:27">
      <c r="B59" s="5"/>
      <c r="C59" s="5"/>
      <c r="D59" s="5"/>
      <c r="E59" s="5"/>
      <c r="F59" s="5"/>
      <c r="G59" s="5"/>
      <c r="H59" s="5"/>
      <c r="I59" s="5"/>
      <c r="J59" s="5"/>
      <c r="K59" s="5"/>
      <c r="L59" s="5"/>
      <c r="M59" s="5"/>
      <c r="N59" s="5"/>
      <c r="O59" s="5"/>
      <c r="Q59" s="5"/>
      <c r="R59" s="5"/>
    </row>
    <row r="60" spans="2:27">
      <c r="B60" s="41"/>
      <c r="C60" s="17"/>
      <c r="D60" s="17"/>
      <c r="E60" s="17"/>
      <c r="F60" s="17"/>
      <c r="G60" s="17"/>
      <c r="H60" s="17"/>
      <c r="I60" s="249"/>
      <c r="J60" s="17"/>
      <c r="K60" s="17"/>
      <c r="L60" s="17"/>
      <c r="M60" s="17"/>
      <c r="N60" s="17"/>
      <c r="O60" s="251"/>
      <c r="Q60" s="5"/>
      <c r="R60" s="5"/>
    </row>
    <row r="61" spans="2:27">
      <c r="B61" s="5"/>
      <c r="C61" s="5"/>
      <c r="D61" s="5"/>
      <c r="E61" s="5"/>
      <c r="F61" s="5"/>
      <c r="G61" s="5"/>
      <c r="H61" s="5"/>
      <c r="I61" s="5"/>
      <c r="J61" s="5"/>
      <c r="K61" s="5"/>
      <c r="L61" s="5"/>
      <c r="M61" s="5"/>
      <c r="N61" s="5"/>
      <c r="O61" s="5"/>
      <c r="Q61" s="41"/>
      <c r="R61" s="5"/>
    </row>
    <row r="62" spans="2:27">
      <c r="B62" s="41"/>
      <c r="C62" s="249"/>
      <c r="D62" s="249"/>
      <c r="E62" s="249"/>
      <c r="F62" s="249"/>
      <c r="G62" s="249"/>
      <c r="H62" s="249"/>
      <c r="I62" s="5"/>
      <c r="J62" s="249"/>
      <c r="K62" s="249"/>
      <c r="L62" s="249"/>
      <c r="M62" s="249"/>
      <c r="N62" s="249"/>
      <c r="O62" s="251"/>
      <c r="Q62" s="5"/>
      <c r="R62" s="5"/>
    </row>
    <row r="63" spans="2:27">
      <c r="B63" s="5"/>
      <c r="C63" s="5"/>
      <c r="D63" s="5"/>
      <c r="E63" s="5"/>
      <c r="F63" s="5"/>
      <c r="G63" s="5"/>
      <c r="H63" s="5"/>
      <c r="I63" s="254"/>
      <c r="J63" s="5"/>
      <c r="K63" s="5"/>
      <c r="L63" s="5"/>
      <c r="M63" s="5"/>
      <c r="N63" s="5"/>
      <c r="O63" s="5"/>
      <c r="Q63" s="5"/>
      <c r="R63" s="5"/>
    </row>
    <row r="64" spans="2:27">
      <c r="B64" s="5"/>
      <c r="C64" s="5"/>
      <c r="D64" s="5"/>
      <c r="E64" s="5"/>
      <c r="F64" s="5"/>
      <c r="G64" s="5"/>
      <c r="H64" s="5"/>
      <c r="I64" s="17"/>
      <c r="J64" s="5"/>
      <c r="K64" s="5"/>
      <c r="L64" s="5"/>
      <c r="M64" s="5"/>
      <c r="N64" s="5"/>
      <c r="O64" s="5"/>
      <c r="Q64" s="5"/>
      <c r="R64" s="5"/>
    </row>
    <row r="65" spans="2:26">
      <c r="B65" s="41"/>
      <c r="C65" s="249"/>
      <c r="D65" s="254"/>
      <c r="E65" s="254"/>
      <c r="F65" s="254"/>
      <c r="G65" s="254"/>
      <c r="H65" s="254"/>
      <c r="I65" s="254"/>
      <c r="J65" s="254"/>
      <c r="K65" s="254"/>
      <c r="L65" s="254"/>
      <c r="M65" s="254"/>
      <c r="N65" s="254"/>
      <c r="O65" s="251"/>
      <c r="Q65" s="5"/>
      <c r="R65" s="5"/>
    </row>
    <row r="66" spans="2:26">
      <c r="B66" s="5"/>
      <c r="C66" s="5"/>
      <c r="D66" s="17"/>
      <c r="E66" s="17"/>
      <c r="F66" s="17"/>
      <c r="G66" s="17"/>
      <c r="H66" s="17"/>
      <c r="I66" s="248"/>
      <c r="J66" s="17"/>
      <c r="K66" s="17"/>
      <c r="L66" s="17"/>
      <c r="M66" s="17"/>
      <c r="N66" s="17"/>
      <c r="O66" s="5"/>
      <c r="Q66" s="5"/>
      <c r="R66" s="5"/>
    </row>
    <row r="67" spans="2:26">
      <c r="B67" s="41"/>
      <c r="C67" s="249"/>
      <c r="D67" s="254"/>
      <c r="E67" s="254"/>
      <c r="F67" s="254"/>
      <c r="G67" s="254"/>
      <c r="H67" s="254"/>
      <c r="I67" s="5"/>
      <c r="J67" s="254"/>
      <c r="K67" s="254"/>
      <c r="L67" s="254"/>
      <c r="M67" s="254"/>
      <c r="N67" s="254"/>
      <c r="O67" s="251"/>
      <c r="Q67" s="41"/>
      <c r="R67" s="5"/>
    </row>
    <row r="68" spans="2:26">
      <c r="B68" s="5"/>
      <c r="C68" s="5"/>
      <c r="D68" s="248"/>
      <c r="E68" s="248"/>
      <c r="F68" s="248"/>
      <c r="G68" s="248"/>
      <c r="H68" s="248"/>
      <c r="I68" s="245"/>
      <c r="J68" s="248"/>
      <c r="K68" s="248"/>
      <c r="L68" s="248"/>
      <c r="M68" s="248"/>
      <c r="N68" s="248"/>
      <c r="O68" s="5"/>
      <c r="Q68" s="5"/>
      <c r="R68" s="5"/>
    </row>
    <row r="69" spans="2:26">
      <c r="B69" s="41"/>
      <c r="C69" s="5"/>
      <c r="D69" s="5"/>
      <c r="E69" s="5"/>
      <c r="F69" s="5"/>
      <c r="G69" s="5"/>
      <c r="H69" s="5"/>
      <c r="I69" s="248"/>
      <c r="J69" s="5"/>
      <c r="K69" s="5"/>
      <c r="L69" s="5"/>
      <c r="M69" s="5"/>
      <c r="N69" s="5"/>
      <c r="O69" s="5"/>
      <c r="Q69" s="5"/>
      <c r="R69" s="5"/>
    </row>
    <row r="70" spans="2:26">
      <c r="B70" s="41"/>
      <c r="C70" s="245"/>
      <c r="D70" s="245"/>
      <c r="E70" s="245"/>
      <c r="F70" s="245"/>
      <c r="G70" s="245"/>
      <c r="H70" s="245"/>
      <c r="I70" s="5"/>
      <c r="J70" s="245"/>
      <c r="K70" s="245"/>
      <c r="L70" s="245"/>
      <c r="M70" s="245"/>
      <c r="N70" s="245"/>
      <c r="O70" s="251"/>
      <c r="Q70" s="5"/>
      <c r="R70" s="5"/>
      <c r="W70" s="76"/>
      <c r="X70" s="76"/>
    </row>
    <row r="71" spans="2:26">
      <c r="B71" s="5"/>
      <c r="C71" s="5"/>
      <c r="D71" s="248"/>
      <c r="E71" s="248"/>
      <c r="F71" s="248"/>
      <c r="G71" s="248"/>
      <c r="H71" s="248"/>
      <c r="I71" s="245"/>
      <c r="J71" s="248"/>
      <c r="K71" s="248"/>
      <c r="L71" s="248"/>
      <c r="M71" s="248"/>
      <c r="N71" s="248"/>
      <c r="O71" s="5"/>
      <c r="Q71" s="5"/>
      <c r="R71" s="5"/>
      <c r="W71" s="76"/>
      <c r="X71" s="76"/>
      <c r="Y71" s="76"/>
      <c r="Z71" s="76"/>
    </row>
    <row r="72" spans="2:26">
      <c r="B72" s="41"/>
      <c r="C72" s="5"/>
      <c r="D72" s="5"/>
      <c r="E72" s="5"/>
      <c r="F72" s="5"/>
      <c r="G72" s="5"/>
      <c r="H72" s="5"/>
      <c r="I72" s="18"/>
      <c r="J72" s="5"/>
      <c r="K72" s="5"/>
      <c r="L72" s="5"/>
      <c r="M72" s="5"/>
      <c r="N72" s="5"/>
      <c r="O72" s="5"/>
      <c r="Q72" s="5"/>
      <c r="R72" s="5"/>
      <c r="Y72" s="76"/>
      <c r="Z72" s="76"/>
    </row>
    <row r="73" spans="2:26">
      <c r="B73" s="41"/>
      <c r="C73" s="245"/>
      <c r="D73" s="245"/>
      <c r="E73" s="245"/>
      <c r="F73" s="245"/>
      <c r="G73" s="245"/>
      <c r="H73" s="245"/>
      <c r="I73" s="5"/>
      <c r="J73" s="245"/>
      <c r="K73" s="245"/>
      <c r="L73" s="245"/>
      <c r="M73" s="245"/>
      <c r="N73" s="245"/>
      <c r="O73" s="251"/>
      <c r="Q73" s="5"/>
      <c r="R73" s="5"/>
    </row>
    <row r="74" spans="2:26">
      <c r="B74" s="5"/>
      <c r="C74" s="5"/>
      <c r="D74" s="18"/>
      <c r="E74" s="18"/>
      <c r="F74" s="18"/>
      <c r="G74" s="18"/>
      <c r="H74" s="18"/>
      <c r="I74" s="249"/>
      <c r="J74" s="18"/>
      <c r="K74" s="18"/>
      <c r="L74" s="18"/>
      <c r="M74" s="18"/>
      <c r="N74" s="18"/>
      <c r="O74" s="5"/>
      <c r="Q74" s="5"/>
      <c r="R74" s="5"/>
    </row>
    <row r="75" spans="2:26">
      <c r="B75" s="41"/>
      <c r="C75" s="5"/>
      <c r="D75" s="5"/>
      <c r="E75" s="5"/>
      <c r="F75" s="5"/>
      <c r="G75" s="5"/>
      <c r="H75" s="5"/>
      <c r="I75" s="248"/>
      <c r="J75" s="5"/>
      <c r="K75" s="5"/>
      <c r="L75" s="5"/>
      <c r="M75" s="5"/>
      <c r="N75" s="5"/>
      <c r="O75" s="5"/>
      <c r="Q75" s="5"/>
      <c r="R75" s="5"/>
    </row>
    <row r="76" spans="2:26">
      <c r="B76" s="41"/>
      <c r="C76" s="249"/>
      <c r="D76" s="249"/>
      <c r="E76" s="249"/>
      <c r="F76" s="249"/>
      <c r="G76" s="249"/>
      <c r="H76" s="249"/>
      <c r="I76" s="5"/>
      <c r="J76" s="249"/>
      <c r="K76" s="249"/>
      <c r="L76" s="249"/>
      <c r="M76" s="249"/>
      <c r="N76" s="249"/>
      <c r="O76" s="251"/>
      <c r="Q76" s="5"/>
      <c r="R76" s="5"/>
    </row>
    <row r="77" spans="2:26">
      <c r="B77" s="5"/>
      <c r="C77" s="5"/>
      <c r="D77" s="248"/>
      <c r="E77" s="248"/>
      <c r="F77" s="248"/>
      <c r="G77" s="248"/>
      <c r="H77" s="248"/>
      <c r="I77" s="245"/>
      <c r="J77" s="248"/>
      <c r="K77" s="248"/>
      <c r="L77" s="248"/>
      <c r="M77" s="248"/>
      <c r="N77" s="248"/>
      <c r="O77" s="5"/>
      <c r="Q77" s="5"/>
      <c r="R77" s="5"/>
    </row>
    <row r="78" spans="2:26">
      <c r="B78" s="41"/>
      <c r="C78" s="5"/>
      <c r="D78" s="5"/>
      <c r="E78" s="5"/>
      <c r="F78" s="5"/>
      <c r="G78" s="5"/>
      <c r="H78" s="5"/>
      <c r="I78" s="248"/>
      <c r="J78" s="5"/>
      <c r="K78" s="5"/>
      <c r="L78" s="5"/>
      <c r="M78" s="5"/>
      <c r="N78" s="5"/>
      <c r="O78" s="5"/>
      <c r="Q78" s="5"/>
      <c r="R78" s="5"/>
    </row>
    <row r="79" spans="2:26">
      <c r="B79" s="41"/>
      <c r="C79" s="245"/>
      <c r="D79" s="245"/>
      <c r="E79" s="245"/>
      <c r="F79" s="245"/>
      <c r="G79" s="245"/>
      <c r="H79" s="245"/>
      <c r="I79" s="5"/>
      <c r="J79" s="245"/>
      <c r="K79" s="245"/>
      <c r="L79" s="245"/>
      <c r="M79" s="245"/>
      <c r="N79" s="245"/>
      <c r="O79" s="251"/>
      <c r="Q79" s="5"/>
      <c r="R79" s="5"/>
    </row>
    <row r="80" spans="2:26">
      <c r="B80" s="5"/>
      <c r="C80" s="5"/>
      <c r="D80" s="248"/>
      <c r="E80" s="248"/>
      <c r="F80" s="248"/>
      <c r="G80" s="248"/>
      <c r="H80" s="248"/>
      <c r="I80" s="249"/>
      <c r="J80" s="248"/>
      <c r="K80" s="248"/>
      <c r="L80" s="248"/>
      <c r="M80" s="248"/>
      <c r="N80" s="248"/>
      <c r="O80" s="5"/>
      <c r="Q80" s="5"/>
      <c r="R80" s="5"/>
    </row>
    <row r="81" spans="2:26">
      <c r="B81" s="41"/>
      <c r="C81" s="5"/>
      <c r="D81" s="5"/>
      <c r="E81" s="5"/>
      <c r="F81" s="5"/>
      <c r="G81" s="5"/>
      <c r="H81" s="5"/>
      <c r="I81" s="248"/>
      <c r="J81" s="5"/>
      <c r="K81" s="5"/>
      <c r="L81" s="5"/>
      <c r="M81" s="5"/>
      <c r="N81" s="5"/>
      <c r="O81" s="5"/>
      <c r="Q81" s="5"/>
      <c r="R81" s="5"/>
    </row>
    <row r="82" spans="2:26">
      <c r="B82" s="41"/>
      <c r="C82" s="249"/>
      <c r="D82" s="249"/>
      <c r="E82" s="249"/>
      <c r="F82" s="249"/>
      <c r="G82" s="249"/>
      <c r="H82" s="249"/>
      <c r="I82" s="259"/>
      <c r="J82" s="249"/>
      <c r="K82" s="249"/>
      <c r="L82" s="249"/>
      <c r="M82" s="249"/>
      <c r="N82" s="249"/>
      <c r="O82" s="251"/>
      <c r="Q82" s="5"/>
      <c r="R82" s="5"/>
    </row>
    <row r="83" spans="2:26">
      <c r="B83" s="5"/>
      <c r="C83" s="5"/>
      <c r="D83" s="248"/>
      <c r="E83" s="248"/>
      <c r="F83" s="248"/>
      <c r="G83" s="248"/>
      <c r="H83" s="248"/>
      <c r="I83" s="5"/>
      <c r="J83" s="248"/>
      <c r="K83" s="248"/>
      <c r="L83" s="248"/>
      <c r="M83" s="248"/>
      <c r="N83" s="248"/>
      <c r="O83" s="5"/>
      <c r="Q83" s="5"/>
      <c r="R83" s="5"/>
    </row>
    <row r="84" spans="2:26">
      <c r="B84" s="5"/>
      <c r="C84" s="259"/>
      <c r="D84" s="259"/>
      <c r="E84" s="259"/>
      <c r="F84" s="259"/>
      <c r="G84" s="259"/>
      <c r="H84" s="259"/>
      <c r="I84" s="245"/>
      <c r="J84" s="259"/>
      <c r="K84" s="259"/>
      <c r="L84" s="259"/>
      <c r="M84" s="259"/>
      <c r="N84" s="259"/>
      <c r="O84" s="251"/>
      <c r="Q84" s="5"/>
      <c r="R84" s="5"/>
    </row>
    <row r="85" spans="2:26">
      <c r="B85" s="41"/>
      <c r="C85" s="5"/>
      <c r="D85" s="5"/>
      <c r="E85" s="5"/>
      <c r="F85" s="5"/>
      <c r="G85" s="5"/>
      <c r="H85" s="5"/>
      <c r="I85" s="248"/>
      <c r="J85" s="5"/>
      <c r="K85" s="5"/>
      <c r="L85" s="5"/>
      <c r="M85" s="5"/>
      <c r="N85" s="5"/>
      <c r="O85" s="5"/>
      <c r="Q85" s="5"/>
      <c r="R85" s="5"/>
    </row>
    <row r="86" spans="2:26">
      <c r="B86" s="41"/>
      <c r="C86" s="245"/>
      <c r="D86" s="245"/>
      <c r="E86" s="245"/>
      <c r="F86" s="245"/>
      <c r="G86" s="245"/>
      <c r="H86" s="245"/>
      <c r="I86" s="5"/>
      <c r="J86" s="245"/>
      <c r="K86" s="245"/>
      <c r="L86" s="245"/>
      <c r="M86" s="245"/>
      <c r="N86" s="245"/>
      <c r="O86" s="251"/>
      <c r="Q86" s="5"/>
      <c r="R86" s="5"/>
    </row>
    <row r="87" spans="2:26">
      <c r="B87" s="5"/>
      <c r="C87" s="5"/>
      <c r="D87" s="248"/>
      <c r="E87" s="248"/>
      <c r="F87" s="248"/>
      <c r="G87" s="248"/>
      <c r="H87" s="248"/>
      <c r="I87" s="5"/>
      <c r="J87" s="248"/>
      <c r="K87" s="248"/>
      <c r="L87" s="248"/>
      <c r="M87" s="248"/>
      <c r="N87" s="248"/>
      <c r="O87" s="5"/>
      <c r="Q87" s="5"/>
      <c r="R87" s="5"/>
    </row>
    <row r="88" spans="2:26">
      <c r="B88" s="41"/>
      <c r="C88" s="5"/>
      <c r="D88" s="5"/>
      <c r="E88" s="5"/>
      <c r="F88" s="5"/>
      <c r="G88" s="5"/>
      <c r="H88" s="5"/>
      <c r="I88" s="5"/>
      <c r="J88" s="5"/>
      <c r="K88" s="5"/>
      <c r="L88" s="5"/>
      <c r="M88" s="5"/>
      <c r="N88" s="5"/>
      <c r="O88" s="5"/>
      <c r="Q88" s="5"/>
      <c r="R88" s="5"/>
    </row>
    <row r="89" spans="2:26">
      <c r="B89" s="41"/>
      <c r="C89" s="5"/>
      <c r="D89" s="5"/>
      <c r="E89" s="5"/>
      <c r="F89" s="5"/>
      <c r="G89" s="5"/>
      <c r="H89" s="5"/>
      <c r="I89" s="5"/>
      <c r="J89" s="5"/>
      <c r="K89" s="5"/>
      <c r="L89" s="5"/>
      <c r="M89" s="5"/>
      <c r="N89" s="5"/>
      <c r="O89" s="5"/>
      <c r="Q89" s="5"/>
      <c r="R89" s="5"/>
    </row>
    <row r="90" spans="2:26">
      <c r="B90" s="41"/>
      <c r="C90" s="5"/>
      <c r="D90" s="5"/>
      <c r="E90" s="5"/>
      <c r="F90" s="5"/>
      <c r="G90" s="5"/>
      <c r="H90" s="5"/>
      <c r="I90" s="49"/>
      <c r="J90" s="5"/>
      <c r="K90" s="5"/>
      <c r="L90" s="5"/>
      <c r="M90" s="5"/>
      <c r="N90" s="5"/>
      <c r="O90" s="5"/>
      <c r="Q90" s="41"/>
      <c r="R90" s="5"/>
    </row>
    <row r="91" spans="2:26">
      <c r="B91" s="5"/>
      <c r="C91" s="5"/>
      <c r="D91" s="5"/>
      <c r="E91" s="5"/>
      <c r="F91" s="5"/>
      <c r="G91" s="5"/>
      <c r="H91" s="5"/>
      <c r="I91" s="5"/>
      <c r="J91" s="5"/>
      <c r="K91" s="5"/>
      <c r="L91" s="5"/>
      <c r="M91" s="5"/>
      <c r="N91" s="5"/>
      <c r="O91" s="5"/>
      <c r="Q91" s="5"/>
      <c r="R91" s="5"/>
    </row>
    <row r="92" spans="2:26">
      <c r="B92" s="41"/>
      <c r="C92" s="49"/>
      <c r="D92" s="49"/>
      <c r="E92" s="49"/>
      <c r="F92" s="49"/>
      <c r="G92" s="49"/>
      <c r="H92" s="49"/>
      <c r="I92" s="247"/>
      <c r="J92" s="49"/>
      <c r="K92" s="49"/>
      <c r="L92" s="49"/>
      <c r="M92" s="49"/>
      <c r="N92" s="49"/>
      <c r="O92" s="49"/>
      <c r="Q92" s="5"/>
      <c r="R92" s="5"/>
      <c r="W92" s="21"/>
      <c r="X92" s="21"/>
    </row>
    <row r="93" spans="2:26">
      <c r="B93" s="5"/>
      <c r="C93" s="5"/>
      <c r="D93" s="5"/>
      <c r="E93" s="5"/>
      <c r="F93" s="5"/>
      <c r="G93" s="5"/>
      <c r="H93" s="5"/>
      <c r="I93" s="247"/>
      <c r="J93" s="5"/>
      <c r="K93" s="5"/>
      <c r="L93" s="5"/>
      <c r="M93" s="5"/>
      <c r="N93" s="5"/>
      <c r="O93" s="5"/>
      <c r="Q93" s="5"/>
      <c r="R93" s="5"/>
      <c r="W93" s="21"/>
      <c r="X93" s="21"/>
      <c r="Y93" s="21"/>
      <c r="Z93" s="21"/>
    </row>
    <row r="94" spans="2:26">
      <c r="B94" s="5"/>
      <c r="C94" s="259"/>
      <c r="D94" s="247"/>
      <c r="E94" s="247"/>
      <c r="F94" s="247"/>
      <c r="G94" s="247"/>
      <c r="H94" s="247"/>
      <c r="I94" s="247"/>
      <c r="J94" s="247"/>
      <c r="K94" s="247"/>
      <c r="L94" s="247"/>
      <c r="M94" s="247"/>
      <c r="N94" s="247"/>
      <c r="O94" s="248"/>
      <c r="Q94" s="5"/>
      <c r="R94" s="5"/>
      <c r="Y94" s="21"/>
      <c r="Z94" s="21"/>
    </row>
    <row r="95" spans="2:26">
      <c r="B95" s="5"/>
      <c r="C95" s="259"/>
      <c r="D95" s="247"/>
      <c r="E95" s="247"/>
      <c r="F95" s="247"/>
      <c r="G95" s="247"/>
      <c r="H95" s="247"/>
      <c r="I95" s="248"/>
      <c r="J95" s="247"/>
      <c r="K95" s="247"/>
      <c r="L95" s="247"/>
      <c r="M95" s="247"/>
      <c r="N95" s="247"/>
      <c r="O95" s="248"/>
      <c r="Q95" s="5"/>
      <c r="R95" s="5"/>
    </row>
    <row r="96" spans="2:26">
      <c r="B96" s="5"/>
      <c r="C96" s="259"/>
      <c r="D96" s="247"/>
      <c r="E96" s="247"/>
      <c r="F96" s="247"/>
      <c r="G96" s="247"/>
      <c r="H96" s="247"/>
      <c r="I96" s="247"/>
      <c r="J96" s="247"/>
      <c r="K96" s="247"/>
      <c r="L96" s="247"/>
      <c r="M96" s="247"/>
      <c r="N96" s="247"/>
      <c r="O96" s="248"/>
      <c r="Q96" s="5"/>
      <c r="R96" s="5"/>
    </row>
    <row r="97" spans="2:18">
      <c r="B97" s="5"/>
      <c r="C97" s="259"/>
      <c r="D97" s="248"/>
      <c r="E97" s="248"/>
      <c r="F97" s="248"/>
      <c r="G97" s="248"/>
      <c r="H97" s="248"/>
      <c r="I97" s="249"/>
      <c r="J97" s="248"/>
      <c r="K97" s="248"/>
      <c r="L97" s="248"/>
      <c r="M97" s="248"/>
      <c r="N97" s="248"/>
      <c r="O97" s="248"/>
      <c r="Q97" s="5"/>
      <c r="R97" s="5"/>
    </row>
    <row r="98" spans="2:18">
      <c r="B98" s="5"/>
      <c r="C98" s="259"/>
      <c r="D98" s="247"/>
      <c r="E98" s="247"/>
      <c r="F98" s="247"/>
      <c r="G98" s="247"/>
      <c r="H98" s="247"/>
      <c r="I98" s="248"/>
      <c r="J98" s="247"/>
      <c r="K98" s="247"/>
      <c r="L98" s="247"/>
      <c r="M98" s="247"/>
      <c r="N98" s="247"/>
      <c r="O98" s="248"/>
      <c r="Q98" s="5"/>
      <c r="R98" s="5"/>
    </row>
    <row r="99" spans="2:18">
      <c r="B99" s="41"/>
      <c r="C99" s="249"/>
      <c r="D99" s="249"/>
      <c r="E99" s="249"/>
      <c r="F99" s="249"/>
      <c r="G99" s="249"/>
      <c r="H99" s="249"/>
      <c r="I99" s="5"/>
      <c r="J99" s="249"/>
      <c r="K99" s="249"/>
      <c r="L99" s="249"/>
      <c r="M99" s="249"/>
      <c r="N99" s="249"/>
      <c r="O99" s="248"/>
      <c r="Q99" s="5"/>
      <c r="R99" s="5"/>
    </row>
    <row r="100" spans="2:18">
      <c r="B100" s="41"/>
      <c r="C100" s="257"/>
      <c r="D100" s="248"/>
      <c r="E100" s="248"/>
      <c r="F100" s="248"/>
      <c r="G100" s="248"/>
      <c r="H100" s="248"/>
      <c r="I100" s="259"/>
      <c r="J100" s="248"/>
      <c r="K100" s="248"/>
      <c r="L100" s="248"/>
      <c r="M100" s="248"/>
      <c r="N100" s="248"/>
      <c r="O100" s="248"/>
      <c r="Q100" s="5"/>
      <c r="R100" s="5"/>
    </row>
    <row r="101" spans="2:18" s="5" customFormat="1">
      <c r="B101" s="41"/>
      <c r="I101" s="259"/>
      <c r="O101" s="248"/>
      <c r="P101" s="39"/>
    </row>
    <row r="102" spans="2:18">
      <c r="B102" s="5"/>
      <c r="C102" s="259"/>
      <c r="D102" s="259"/>
      <c r="E102" s="259"/>
      <c r="F102" s="259"/>
      <c r="G102" s="259"/>
      <c r="H102" s="259"/>
      <c r="I102" s="247"/>
      <c r="J102" s="259"/>
      <c r="K102" s="259"/>
      <c r="L102" s="259"/>
      <c r="M102" s="259"/>
      <c r="N102" s="259"/>
      <c r="O102" s="5"/>
      <c r="Q102" s="5"/>
      <c r="R102" s="5"/>
    </row>
    <row r="103" spans="2:18">
      <c r="B103" s="5"/>
      <c r="C103" s="259"/>
      <c r="D103" s="259"/>
      <c r="E103" s="259"/>
      <c r="F103" s="259"/>
      <c r="G103" s="259"/>
      <c r="H103" s="259"/>
      <c r="I103" s="5"/>
      <c r="J103" s="259"/>
      <c r="K103" s="259"/>
      <c r="L103" s="259"/>
      <c r="M103" s="259"/>
      <c r="N103" s="259"/>
      <c r="O103" s="5"/>
      <c r="P103" s="5"/>
      <c r="Q103" s="5"/>
      <c r="R103" s="5"/>
    </row>
    <row r="104" spans="2:18">
      <c r="B104" s="5"/>
      <c r="C104" s="247"/>
      <c r="D104" s="247"/>
      <c r="E104" s="247"/>
      <c r="F104" s="247"/>
      <c r="G104" s="247"/>
      <c r="H104" s="247"/>
      <c r="I104" s="247"/>
      <c r="J104" s="247"/>
      <c r="K104" s="247"/>
      <c r="L104" s="247"/>
      <c r="M104" s="247"/>
      <c r="N104" s="247"/>
      <c r="O104" s="5"/>
      <c r="Q104" s="5"/>
      <c r="R104" s="5"/>
    </row>
    <row r="105" spans="2:18" s="5" customFormat="1">
      <c r="P105" s="39"/>
    </row>
    <row r="106" spans="2:18" s="5" customFormat="1">
      <c r="C106" s="259"/>
      <c r="D106" s="247"/>
      <c r="E106" s="247"/>
      <c r="F106" s="247"/>
      <c r="G106" s="247"/>
      <c r="H106" s="247"/>
      <c r="I106" s="259"/>
      <c r="J106" s="247"/>
      <c r="K106" s="247"/>
      <c r="L106" s="247"/>
      <c r="M106" s="247"/>
      <c r="N106" s="247"/>
      <c r="P106" s="39"/>
    </row>
    <row r="107" spans="2:18">
      <c r="B107" s="5"/>
      <c r="C107" s="259"/>
      <c r="D107" s="5"/>
      <c r="E107" s="5"/>
      <c r="F107" s="5"/>
      <c r="G107" s="5"/>
      <c r="H107" s="5"/>
      <c r="I107" s="247"/>
      <c r="J107" s="5"/>
      <c r="K107" s="5"/>
      <c r="L107" s="5"/>
      <c r="M107" s="5"/>
      <c r="N107" s="5"/>
      <c r="O107" s="5"/>
      <c r="P107" s="5"/>
      <c r="Q107" s="5"/>
      <c r="R107" s="5"/>
    </row>
    <row r="108" spans="2:18">
      <c r="B108" s="5"/>
      <c r="C108" s="259"/>
      <c r="D108" s="259"/>
      <c r="E108" s="259"/>
      <c r="F108" s="259"/>
      <c r="G108" s="259"/>
      <c r="H108" s="259"/>
      <c r="I108" s="249"/>
      <c r="J108" s="259"/>
      <c r="K108" s="259"/>
      <c r="L108" s="259"/>
      <c r="M108" s="259"/>
      <c r="N108" s="259"/>
      <c r="O108" s="5"/>
      <c r="P108" s="5"/>
      <c r="Q108" s="5"/>
      <c r="R108" s="5"/>
    </row>
    <row r="109" spans="2:18">
      <c r="B109" s="5"/>
      <c r="C109" s="247"/>
      <c r="D109" s="247"/>
      <c r="E109" s="247"/>
      <c r="F109" s="247"/>
      <c r="G109" s="247"/>
      <c r="H109" s="247"/>
      <c r="I109" s="249"/>
      <c r="J109" s="247"/>
      <c r="K109" s="247"/>
      <c r="L109" s="247"/>
      <c r="M109" s="247"/>
      <c r="N109" s="247"/>
      <c r="O109" s="5"/>
      <c r="Q109" s="5"/>
      <c r="R109" s="5"/>
    </row>
    <row r="110" spans="2:18">
      <c r="B110" s="41"/>
      <c r="C110" s="249"/>
      <c r="D110" s="249"/>
      <c r="E110" s="249"/>
      <c r="F110" s="249"/>
      <c r="G110" s="249"/>
      <c r="H110" s="249"/>
      <c r="I110" s="247"/>
      <c r="J110" s="249"/>
      <c r="K110" s="249"/>
      <c r="L110" s="249"/>
      <c r="M110" s="249"/>
      <c r="N110" s="249"/>
      <c r="O110" s="5"/>
      <c r="Q110" s="5"/>
      <c r="R110" s="5"/>
    </row>
    <row r="111" spans="2:18">
      <c r="B111" s="5"/>
      <c r="C111" s="249"/>
      <c r="D111" s="249"/>
      <c r="E111" s="249"/>
      <c r="F111" s="249"/>
      <c r="G111" s="249"/>
      <c r="H111" s="249"/>
      <c r="I111" s="5"/>
      <c r="J111" s="249"/>
      <c r="K111" s="249"/>
      <c r="L111" s="249"/>
      <c r="M111" s="249"/>
      <c r="N111" s="249"/>
      <c r="O111" s="5"/>
      <c r="Q111" s="5"/>
      <c r="R111" s="5"/>
    </row>
    <row r="112" spans="2:18">
      <c r="B112" s="5"/>
      <c r="C112" s="247"/>
      <c r="D112" s="247"/>
      <c r="E112" s="247"/>
      <c r="F112" s="247"/>
      <c r="G112" s="247"/>
      <c r="H112" s="247"/>
      <c r="I112" s="5"/>
      <c r="J112" s="247"/>
      <c r="K112" s="247"/>
      <c r="L112" s="247"/>
      <c r="M112" s="247"/>
      <c r="N112" s="247"/>
      <c r="O112" s="5"/>
      <c r="Q112" s="5"/>
      <c r="R112" s="5"/>
    </row>
    <row r="113" spans="2:18">
      <c r="B113" s="5"/>
      <c r="C113" s="5"/>
      <c r="D113" s="5"/>
      <c r="E113" s="5"/>
      <c r="F113" s="5"/>
      <c r="G113" s="5"/>
      <c r="H113" s="5"/>
      <c r="I113" s="5"/>
      <c r="J113" s="5"/>
      <c r="K113" s="5"/>
      <c r="L113" s="5"/>
      <c r="M113" s="5"/>
      <c r="N113" s="5"/>
      <c r="O113" s="5"/>
      <c r="Q113" s="5"/>
      <c r="R113" s="5"/>
    </row>
    <row r="114" spans="2:18">
      <c r="B114" s="5"/>
      <c r="C114" s="5"/>
      <c r="D114" s="5"/>
      <c r="E114" s="5"/>
      <c r="F114" s="5"/>
      <c r="G114" s="5"/>
      <c r="H114" s="5"/>
      <c r="I114" s="5"/>
      <c r="J114" s="5"/>
      <c r="K114" s="5"/>
      <c r="L114" s="5"/>
      <c r="M114" s="5"/>
      <c r="N114" s="5"/>
      <c r="O114" s="5"/>
      <c r="Q114" s="5"/>
      <c r="R114" s="5"/>
    </row>
    <row r="115" spans="2:18">
      <c r="B115" s="5"/>
      <c r="C115" s="5"/>
      <c r="D115" s="5"/>
      <c r="E115" s="5"/>
      <c r="F115" s="5"/>
      <c r="G115" s="5"/>
      <c r="H115" s="5"/>
      <c r="I115" s="49"/>
      <c r="J115" s="5"/>
      <c r="K115" s="5"/>
      <c r="L115" s="5"/>
      <c r="M115" s="5"/>
      <c r="N115" s="5"/>
      <c r="O115" s="5"/>
      <c r="Q115" s="41"/>
      <c r="R115" s="5"/>
    </row>
    <row r="116" spans="2:18">
      <c r="B116" s="5"/>
      <c r="C116" s="5"/>
      <c r="D116" s="5"/>
      <c r="E116" s="5"/>
      <c r="F116" s="5"/>
      <c r="G116" s="5"/>
      <c r="H116" s="5"/>
      <c r="I116" s="5"/>
      <c r="J116" s="5"/>
      <c r="K116" s="5"/>
      <c r="L116" s="5"/>
      <c r="M116" s="5"/>
      <c r="N116" s="5"/>
      <c r="O116" s="5"/>
      <c r="Q116" s="5"/>
      <c r="R116" s="5"/>
    </row>
    <row r="117" spans="2:18">
      <c r="B117" s="41"/>
      <c r="C117" s="49"/>
      <c r="D117" s="49"/>
      <c r="E117" s="49"/>
      <c r="F117" s="49"/>
      <c r="G117" s="49"/>
      <c r="H117" s="49"/>
      <c r="I117" s="254"/>
      <c r="J117" s="49"/>
      <c r="K117" s="49"/>
      <c r="L117" s="49"/>
      <c r="M117" s="49"/>
      <c r="N117" s="49"/>
      <c r="O117" s="49"/>
      <c r="Q117" s="5"/>
      <c r="R117" s="5"/>
    </row>
    <row r="118" spans="2:18">
      <c r="B118" s="5"/>
      <c r="C118" s="5"/>
      <c r="D118" s="5"/>
      <c r="E118" s="5"/>
      <c r="F118" s="5"/>
      <c r="G118" s="5"/>
      <c r="H118" s="5"/>
      <c r="I118" s="249"/>
      <c r="J118" s="5"/>
      <c r="K118" s="5"/>
      <c r="L118" s="5"/>
      <c r="M118" s="5"/>
      <c r="N118" s="5"/>
      <c r="O118" s="5"/>
      <c r="Q118" s="5"/>
      <c r="R118" s="5"/>
    </row>
    <row r="119" spans="2:18">
      <c r="B119" s="41"/>
      <c r="C119" s="254"/>
      <c r="D119" s="254"/>
      <c r="E119" s="254"/>
      <c r="F119" s="254"/>
      <c r="G119" s="254"/>
      <c r="H119" s="254"/>
      <c r="I119" s="254"/>
      <c r="J119" s="254"/>
      <c r="K119" s="254"/>
      <c r="L119" s="254"/>
      <c r="M119" s="254"/>
      <c r="N119" s="254"/>
      <c r="O119" s="248"/>
      <c r="Q119" s="5"/>
      <c r="R119" s="5"/>
    </row>
    <row r="120" spans="2:18">
      <c r="B120" s="41"/>
      <c r="C120" s="254"/>
      <c r="D120" s="249"/>
      <c r="E120" s="249"/>
      <c r="F120" s="249"/>
      <c r="G120" s="249"/>
      <c r="H120" s="249"/>
      <c r="I120" s="254"/>
      <c r="J120" s="249"/>
      <c r="K120" s="249"/>
      <c r="L120" s="249"/>
      <c r="M120" s="249"/>
      <c r="N120" s="249"/>
      <c r="O120" s="248"/>
      <c r="Q120" s="5"/>
      <c r="R120" s="5"/>
    </row>
    <row r="121" spans="2:18">
      <c r="B121" s="41"/>
      <c r="C121" s="254"/>
      <c r="D121" s="254"/>
      <c r="E121" s="254"/>
      <c r="F121" s="254"/>
      <c r="G121" s="254"/>
      <c r="H121" s="254"/>
      <c r="I121" s="254"/>
      <c r="J121" s="254"/>
      <c r="K121" s="254"/>
      <c r="L121" s="254"/>
      <c r="M121" s="254"/>
      <c r="N121" s="254"/>
      <c r="O121" s="248"/>
      <c r="Q121" s="5"/>
      <c r="R121" s="5"/>
    </row>
    <row r="122" spans="2:18">
      <c r="B122" s="41"/>
      <c r="C122" s="254"/>
      <c r="D122" s="254"/>
      <c r="E122" s="254"/>
      <c r="F122" s="254"/>
      <c r="G122" s="254"/>
      <c r="H122" s="254"/>
      <c r="I122" s="254"/>
      <c r="J122" s="254"/>
      <c r="K122" s="254"/>
      <c r="L122" s="254"/>
      <c r="M122" s="254"/>
      <c r="N122" s="254"/>
      <c r="O122" s="248"/>
      <c r="Q122" s="5"/>
      <c r="R122" s="5"/>
    </row>
    <row r="123" spans="2:18">
      <c r="B123" s="41"/>
      <c r="C123" s="254"/>
      <c r="D123" s="254"/>
      <c r="E123" s="254"/>
      <c r="F123" s="254"/>
      <c r="G123" s="254"/>
      <c r="H123" s="254"/>
      <c r="I123" s="254"/>
      <c r="J123" s="254"/>
      <c r="K123" s="254"/>
      <c r="L123" s="254"/>
      <c r="M123" s="254"/>
      <c r="N123" s="254"/>
      <c r="O123" s="248"/>
      <c r="Q123" s="5"/>
      <c r="R123" s="5"/>
    </row>
    <row r="124" spans="2:18">
      <c r="B124" s="41"/>
      <c r="C124" s="254"/>
      <c r="D124" s="254"/>
      <c r="E124" s="254"/>
      <c r="F124" s="254"/>
      <c r="G124" s="254"/>
      <c r="H124" s="254"/>
      <c r="I124" s="254"/>
      <c r="J124" s="254"/>
      <c r="K124" s="254"/>
      <c r="L124" s="254"/>
      <c r="M124" s="254"/>
      <c r="N124" s="254"/>
      <c r="O124" s="248"/>
      <c r="Q124" s="5"/>
      <c r="R124" s="5"/>
    </row>
    <row r="125" spans="2:18">
      <c r="B125" s="41"/>
      <c r="C125" s="254"/>
      <c r="D125" s="254"/>
      <c r="E125" s="254"/>
      <c r="F125" s="254"/>
      <c r="G125" s="254"/>
      <c r="H125" s="254"/>
      <c r="I125" s="254"/>
      <c r="J125" s="254"/>
      <c r="K125" s="254"/>
      <c r="L125" s="254"/>
      <c r="M125" s="254"/>
      <c r="N125" s="254"/>
      <c r="O125" s="5"/>
      <c r="Q125" s="5"/>
      <c r="R125" s="5"/>
    </row>
    <row r="126" spans="2:18">
      <c r="B126" s="41"/>
      <c r="C126" s="254"/>
      <c r="D126" s="254"/>
      <c r="E126" s="254"/>
      <c r="F126" s="254"/>
      <c r="G126" s="254"/>
      <c r="H126" s="254"/>
      <c r="I126" s="254"/>
      <c r="J126" s="254"/>
      <c r="K126" s="254"/>
      <c r="L126" s="254"/>
      <c r="M126" s="254"/>
      <c r="N126" s="254"/>
      <c r="O126" s="5"/>
      <c r="Q126" s="5"/>
      <c r="R126" s="5"/>
    </row>
    <row r="127" spans="2:18">
      <c r="B127" s="41"/>
      <c r="C127" s="254"/>
      <c r="D127" s="254"/>
      <c r="E127" s="254"/>
      <c r="F127" s="254"/>
      <c r="G127" s="254"/>
      <c r="H127" s="254"/>
      <c r="I127" s="18"/>
      <c r="J127" s="254"/>
      <c r="K127" s="254"/>
      <c r="L127" s="254"/>
      <c r="M127" s="254"/>
      <c r="N127" s="254"/>
      <c r="O127" s="5"/>
      <c r="Q127" s="5"/>
      <c r="R127" s="5"/>
    </row>
    <row r="128" spans="2:18">
      <c r="B128" s="41"/>
      <c r="C128" s="254"/>
      <c r="D128" s="254"/>
      <c r="E128" s="254"/>
      <c r="F128" s="254"/>
      <c r="G128" s="254"/>
      <c r="H128" s="254"/>
      <c r="I128" s="5"/>
      <c r="J128" s="254"/>
      <c r="K128" s="254"/>
      <c r="L128" s="254"/>
      <c r="M128" s="254"/>
      <c r="N128" s="254"/>
      <c r="O128" s="5"/>
      <c r="Q128" s="5"/>
      <c r="R128" s="5"/>
    </row>
    <row r="129" spans="2:27">
      <c r="B129" s="5"/>
      <c r="C129" s="5"/>
      <c r="D129" s="18"/>
      <c r="E129" s="18"/>
      <c r="F129" s="18"/>
      <c r="G129" s="18"/>
      <c r="H129" s="18"/>
      <c r="I129" s="254"/>
      <c r="J129" s="18"/>
      <c r="K129" s="18"/>
      <c r="L129" s="18"/>
      <c r="M129" s="18"/>
      <c r="N129" s="18"/>
      <c r="O129" s="5"/>
      <c r="Q129" s="5"/>
      <c r="R129" s="5"/>
    </row>
    <row r="130" spans="2:27">
      <c r="B130" s="5"/>
      <c r="C130" s="5"/>
      <c r="D130" s="5"/>
      <c r="E130" s="5"/>
      <c r="F130" s="5"/>
      <c r="G130" s="5"/>
      <c r="H130" s="5"/>
      <c r="I130" s="18"/>
      <c r="J130" s="5"/>
      <c r="K130" s="5"/>
      <c r="L130" s="5"/>
      <c r="M130" s="5"/>
      <c r="N130" s="5"/>
      <c r="O130" s="5"/>
      <c r="Q130" s="5"/>
      <c r="R130" s="5"/>
    </row>
    <row r="131" spans="2:27">
      <c r="B131" s="41"/>
      <c r="C131" s="254"/>
      <c r="D131" s="254"/>
      <c r="E131" s="254"/>
      <c r="F131" s="254"/>
      <c r="G131" s="254"/>
      <c r="H131" s="254"/>
      <c r="I131" s="5"/>
      <c r="J131" s="254"/>
      <c r="K131" s="254"/>
      <c r="L131" s="254"/>
      <c r="M131" s="254"/>
      <c r="N131" s="254"/>
      <c r="O131" s="5"/>
      <c r="Q131" s="5"/>
      <c r="R131" s="5"/>
    </row>
    <row r="132" spans="2:27">
      <c r="B132" s="5"/>
      <c r="C132" s="259"/>
      <c r="D132" s="18"/>
      <c r="E132" s="18"/>
      <c r="F132" s="18"/>
      <c r="G132" s="18"/>
      <c r="H132" s="18"/>
      <c r="I132" s="5"/>
      <c r="J132" s="18"/>
      <c r="K132" s="18"/>
      <c r="L132" s="18"/>
      <c r="M132" s="18"/>
      <c r="N132" s="18"/>
      <c r="O132" s="5"/>
      <c r="Q132" s="5"/>
      <c r="R132" s="5"/>
    </row>
    <row r="133" spans="2:27">
      <c r="B133" s="5"/>
      <c r="C133" s="5"/>
      <c r="D133" s="5"/>
      <c r="E133" s="5"/>
      <c r="F133" s="5"/>
      <c r="G133" s="5"/>
      <c r="H133" s="5"/>
      <c r="I133" s="17"/>
      <c r="J133" s="5"/>
      <c r="K133" s="5"/>
      <c r="L133" s="5"/>
      <c r="M133" s="5"/>
      <c r="N133" s="5"/>
      <c r="O133" s="5"/>
      <c r="Q133" s="5"/>
      <c r="R133" s="5"/>
    </row>
    <row r="134" spans="2:27">
      <c r="B134" s="41"/>
      <c r="C134" s="5"/>
      <c r="D134" s="5"/>
      <c r="E134" s="5"/>
      <c r="F134" s="5"/>
      <c r="G134" s="5"/>
      <c r="H134" s="5"/>
      <c r="I134" s="17"/>
      <c r="J134" s="5"/>
      <c r="K134" s="5"/>
      <c r="L134" s="5"/>
      <c r="M134" s="5"/>
      <c r="N134" s="5"/>
      <c r="O134" s="5"/>
      <c r="Q134" s="5"/>
      <c r="R134" s="5"/>
    </row>
    <row r="135" spans="2:27">
      <c r="B135" s="5"/>
      <c r="C135" s="17"/>
      <c r="D135" s="17"/>
      <c r="E135" s="17"/>
      <c r="F135" s="17"/>
      <c r="G135" s="17"/>
      <c r="H135" s="17"/>
      <c r="I135" s="17"/>
      <c r="J135" s="17"/>
      <c r="K135" s="17"/>
      <c r="L135" s="17"/>
      <c r="M135" s="17"/>
      <c r="N135" s="17"/>
      <c r="O135" s="5"/>
      <c r="Q135" s="41"/>
      <c r="R135" s="5"/>
    </row>
    <row r="136" spans="2:27">
      <c r="B136" s="5"/>
      <c r="C136" s="17"/>
      <c r="D136" s="17"/>
      <c r="E136" s="17"/>
      <c r="F136" s="17"/>
      <c r="G136" s="17"/>
      <c r="H136" s="17"/>
      <c r="I136" s="17"/>
      <c r="J136" s="17"/>
      <c r="K136" s="17"/>
      <c r="L136" s="17"/>
      <c r="M136" s="17"/>
      <c r="N136" s="17"/>
      <c r="O136" s="5"/>
      <c r="Q136" s="5"/>
      <c r="R136" s="5"/>
      <c r="X136" s="304"/>
    </row>
    <row r="137" spans="2:27">
      <c r="B137" s="5"/>
      <c r="C137" s="5"/>
      <c r="D137" s="17"/>
      <c r="E137" s="17"/>
      <c r="F137" s="17"/>
      <c r="G137" s="17"/>
      <c r="H137" s="17"/>
      <c r="I137" s="17"/>
      <c r="J137" s="17"/>
      <c r="K137" s="17"/>
      <c r="L137" s="17"/>
      <c r="M137" s="17"/>
      <c r="N137" s="17"/>
      <c r="O137" s="5"/>
      <c r="Q137" s="5"/>
      <c r="R137" s="5"/>
      <c r="X137" s="10"/>
      <c r="Y137" s="304"/>
      <c r="Z137" s="304"/>
      <c r="AA137" s="304"/>
    </row>
    <row r="138" spans="2:27">
      <c r="B138" s="5"/>
      <c r="C138" s="5"/>
      <c r="D138" s="17"/>
      <c r="E138" s="17"/>
      <c r="F138" s="17"/>
      <c r="G138" s="17"/>
      <c r="H138" s="17"/>
      <c r="I138" s="17"/>
      <c r="J138" s="17"/>
      <c r="K138" s="17"/>
      <c r="L138" s="17"/>
      <c r="M138" s="17"/>
      <c r="N138" s="17"/>
      <c r="O138" s="5"/>
      <c r="Q138" s="5"/>
      <c r="R138" s="5"/>
      <c r="Y138" s="10"/>
      <c r="Z138" s="10"/>
      <c r="AA138" s="10"/>
    </row>
    <row r="139" spans="2:27">
      <c r="B139" s="5"/>
      <c r="C139" s="5"/>
      <c r="D139" s="17"/>
      <c r="E139" s="17"/>
      <c r="F139" s="17"/>
      <c r="G139" s="17"/>
      <c r="H139" s="17"/>
      <c r="I139" s="5"/>
      <c r="J139" s="17"/>
      <c r="K139" s="17"/>
      <c r="L139" s="17"/>
      <c r="M139" s="17"/>
      <c r="N139" s="17"/>
      <c r="O139" s="5"/>
      <c r="Q139" s="5"/>
      <c r="R139" s="5"/>
    </row>
    <row r="140" spans="2:27">
      <c r="B140" s="5"/>
      <c r="C140" s="17"/>
      <c r="D140" s="17"/>
      <c r="E140" s="17"/>
      <c r="F140" s="17"/>
      <c r="G140" s="17"/>
      <c r="H140" s="17"/>
      <c r="I140" s="5"/>
      <c r="J140" s="17"/>
      <c r="K140" s="17"/>
      <c r="L140" s="17"/>
      <c r="M140" s="17"/>
      <c r="N140" s="17"/>
      <c r="O140" s="5"/>
      <c r="Q140" s="5"/>
      <c r="R140" s="5"/>
    </row>
    <row r="141" spans="2:27">
      <c r="B141" s="5"/>
      <c r="C141" s="5"/>
      <c r="D141" s="5"/>
      <c r="E141" s="5"/>
      <c r="F141" s="5"/>
      <c r="G141" s="5"/>
      <c r="H141" s="5"/>
      <c r="I141" s="5"/>
      <c r="J141" s="5"/>
      <c r="K141" s="5"/>
      <c r="L141" s="5"/>
      <c r="M141" s="5"/>
      <c r="N141" s="5"/>
      <c r="O141" s="5"/>
      <c r="Q141" s="5"/>
      <c r="R141" s="5"/>
    </row>
    <row r="142" spans="2:27">
      <c r="B142" s="5"/>
      <c r="C142" s="5"/>
      <c r="D142" s="5"/>
      <c r="E142" s="5"/>
      <c r="F142" s="5"/>
      <c r="G142" s="5"/>
      <c r="H142" s="5"/>
      <c r="I142" s="5"/>
      <c r="J142" s="5"/>
      <c r="K142" s="5"/>
      <c r="L142" s="5"/>
      <c r="M142" s="5"/>
      <c r="N142" s="5"/>
      <c r="O142" s="5"/>
      <c r="Q142" s="5"/>
      <c r="R142" s="5"/>
    </row>
    <row r="143" spans="2:27">
      <c r="B143" s="5"/>
      <c r="C143" s="5"/>
      <c r="D143" s="5"/>
      <c r="E143" s="5"/>
      <c r="F143" s="5"/>
      <c r="G143" s="5"/>
      <c r="H143" s="5"/>
      <c r="I143" s="5"/>
      <c r="J143" s="5"/>
      <c r="K143" s="5"/>
      <c r="L143" s="5"/>
      <c r="M143" s="5"/>
      <c r="N143" s="5"/>
      <c r="O143" s="5"/>
      <c r="Q143" s="5"/>
      <c r="R143" s="5"/>
    </row>
    <row r="144" spans="2:27">
      <c r="B144" s="5"/>
      <c r="C144" s="5"/>
      <c r="D144" s="5"/>
      <c r="E144" s="5"/>
      <c r="F144" s="5"/>
      <c r="G144" s="5"/>
      <c r="H144" s="5"/>
      <c r="I144" s="5"/>
      <c r="J144" s="5"/>
      <c r="K144" s="5"/>
      <c r="L144" s="5"/>
      <c r="M144" s="5"/>
      <c r="N144" s="5"/>
      <c r="O144" s="5"/>
      <c r="Q144" s="5"/>
      <c r="R144" s="5"/>
    </row>
    <row r="145" spans="2:18">
      <c r="B145" s="5"/>
      <c r="C145" s="5"/>
      <c r="D145" s="5"/>
      <c r="E145" s="5"/>
      <c r="F145" s="5"/>
      <c r="G145" s="5"/>
      <c r="H145" s="5"/>
      <c r="I145" s="5"/>
      <c r="J145" s="5"/>
      <c r="K145" s="5"/>
      <c r="L145" s="5"/>
      <c r="M145" s="5"/>
      <c r="N145" s="5"/>
      <c r="O145" s="5"/>
      <c r="Q145" s="5"/>
      <c r="R145" s="5"/>
    </row>
    <row r="146" spans="2:18">
      <c r="B146" s="5"/>
      <c r="C146" s="5"/>
      <c r="D146" s="5"/>
      <c r="E146" s="5"/>
      <c r="F146" s="5"/>
      <c r="G146" s="5"/>
      <c r="H146" s="5"/>
      <c r="I146" s="5"/>
      <c r="J146" s="5"/>
      <c r="K146" s="5"/>
      <c r="L146" s="5"/>
      <c r="M146" s="5"/>
      <c r="N146" s="5"/>
      <c r="O146" s="5"/>
      <c r="Q146" s="5"/>
      <c r="R146" s="5"/>
    </row>
    <row r="147" spans="2:18">
      <c r="B147" s="5"/>
      <c r="C147" s="5"/>
      <c r="D147" s="5"/>
      <c r="E147" s="5"/>
      <c r="F147" s="5"/>
      <c r="G147" s="5"/>
      <c r="H147" s="5"/>
      <c r="I147" s="5"/>
      <c r="J147" s="5"/>
      <c r="K147" s="5"/>
      <c r="L147" s="5"/>
      <c r="M147" s="5"/>
      <c r="N147" s="5"/>
      <c r="O147" s="5"/>
      <c r="Q147" s="5"/>
      <c r="R147" s="5"/>
    </row>
    <row r="148" spans="2:18">
      <c r="B148" s="5"/>
      <c r="C148" s="5"/>
      <c r="D148" s="5"/>
      <c r="E148" s="5"/>
      <c r="F148" s="5"/>
      <c r="G148" s="5"/>
      <c r="H148" s="5"/>
      <c r="I148" s="5"/>
      <c r="J148" s="5"/>
      <c r="K148" s="5"/>
      <c r="L148" s="5"/>
      <c r="M148" s="5"/>
      <c r="N148" s="5"/>
      <c r="O148" s="5"/>
      <c r="Q148" s="5"/>
      <c r="R148" s="5"/>
    </row>
    <row r="149" spans="2:18">
      <c r="B149" s="5"/>
      <c r="C149" s="5"/>
      <c r="D149" s="5"/>
      <c r="E149" s="5"/>
      <c r="F149" s="5"/>
      <c r="G149" s="5"/>
      <c r="H149" s="5"/>
      <c r="J149" s="5"/>
      <c r="K149" s="5"/>
      <c r="L149" s="5"/>
      <c r="M149" s="5"/>
      <c r="N149" s="5"/>
      <c r="O149" s="5"/>
      <c r="Q149" s="5"/>
      <c r="R149" s="5"/>
    </row>
    <row r="150" spans="2:18">
      <c r="B150" s="5"/>
      <c r="C150" s="5"/>
      <c r="D150" s="5"/>
      <c r="E150" s="5"/>
      <c r="F150" s="5"/>
      <c r="G150" s="5"/>
      <c r="H150" s="5"/>
      <c r="J150" s="5"/>
      <c r="K150" s="5"/>
      <c r="L150" s="5"/>
      <c r="M150" s="5"/>
      <c r="N150" s="5"/>
      <c r="O150" s="5"/>
      <c r="Q150" s="5"/>
      <c r="R150" s="5"/>
    </row>
    <row r="151" spans="2:18">
      <c r="Q151" s="5"/>
      <c r="R151" s="5"/>
    </row>
    <row r="152" spans="2:18">
      <c r="Q152" s="5"/>
      <c r="R152" s="5"/>
    </row>
    <row r="153" spans="2:18">
      <c r="C153" s="263"/>
      <c r="Q153" s="5"/>
      <c r="R153" s="5"/>
    </row>
    <row r="154" spans="2:18">
      <c r="Q154" s="5"/>
      <c r="R154" s="5"/>
    </row>
    <row r="155" spans="2:18">
      <c r="Q155" s="5"/>
      <c r="R155" s="5"/>
    </row>
    <row r="156" spans="2:18">
      <c r="Q156" s="5"/>
      <c r="R156" s="5"/>
    </row>
    <row r="157" spans="2:18">
      <c r="Q157" s="5"/>
      <c r="R157" s="5"/>
    </row>
    <row r="158" spans="2:18">
      <c r="Q158" s="5"/>
      <c r="R158" s="5"/>
    </row>
    <row r="159" spans="2:18">
      <c r="Q159" s="5"/>
      <c r="R159" s="5"/>
    </row>
    <row r="160" spans="2:18">
      <c r="Q160" s="5"/>
      <c r="R160" s="5"/>
    </row>
    <row r="161" spans="17:18">
      <c r="Q161" s="5"/>
      <c r="R161" s="5"/>
    </row>
    <row r="162" spans="17:18">
      <c r="Q162" s="5"/>
      <c r="R162" s="5"/>
    </row>
    <row r="163" spans="17:18">
      <c r="Q163" s="5"/>
      <c r="R163" s="5"/>
    </row>
    <row r="164" spans="17:18">
      <c r="Q164" s="5"/>
      <c r="R164" s="5"/>
    </row>
    <row r="165" spans="17:18">
      <c r="Q165" s="5"/>
      <c r="R165" s="5"/>
    </row>
  </sheetData>
  <pageMargins left="0.75" right="0.75" top="1" bottom="1" header="0.5" footer="0.5"/>
  <pageSetup scale="71" orientation="landscape"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84">
    <tabColor theme="3" tint="0.79998168889431442"/>
    <pageSetUpPr autoPageBreaks="0"/>
  </sheetPr>
  <dimension ref="A1:DI812"/>
  <sheetViews>
    <sheetView showGridLines="0" zoomScale="80" zoomScaleNormal="80" zoomScaleSheetLayoutView="72" workbookViewId="0">
      <pane ySplit="5" topLeftCell="A6" activePane="bottomLeft" state="frozen"/>
      <selection pane="bottomLeft"/>
    </sheetView>
  </sheetViews>
  <sheetFormatPr defaultColWidth="8.88671875" defaultRowHeight="12"/>
  <cols>
    <col min="1" max="1" width="20" style="39" customWidth="1"/>
    <col min="2" max="2" width="2.33203125" style="42" customWidth="1"/>
    <col min="3" max="3" width="26.5546875" style="39" customWidth="1"/>
    <col min="4" max="4" width="11.109375" style="39" customWidth="1"/>
    <col min="5" max="7" width="11.109375" style="5" customWidth="1"/>
    <col min="8" max="8" width="2.33203125" style="39" customWidth="1"/>
    <col min="9" max="12" width="11.109375" style="39" customWidth="1"/>
    <col min="13" max="13" width="11.109375" style="69" customWidth="1"/>
    <col min="14" max="14" width="2.33203125" style="39" customWidth="1"/>
    <col min="15" max="18" width="11.109375" style="39" customWidth="1"/>
    <col min="19" max="19" width="11.109375" style="69" customWidth="1"/>
    <col min="20" max="20" width="2.33203125" style="39" customWidth="1"/>
    <col min="21" max="21" width="11.109375" style="39" customWidth="1"/>
    <col min="22" max="22" width="26.5546875" style="39" customWidth="1"/>
    <col min="23" max="24" width="9.44140625" style="5" bestFit="1" customWidth="1"/>
    <col min="25" max="25" width="10.33203125" style="5" customWidth="1"/>
    <col min="26" max="26" width="3.6640625" style="5" customWidth="1"/>
    <col min="27" max="27" width="10.5546875" style="5" customWidth="1"/>
    <col min="28" max="28" width="8.6640625" style="63" bestFit="1" customWidth="1"/>
    <col min="29" max="29" width="8" style="5" bestFit="1" customWidth="1"/>
    <col min="30" max="32" width="9.109375" style="5"/>
    <col min="33" max="33" width="10.44140625" style="5" bestFit="1" customWidth="1"/>
    <col min="34" max="46" width="9.109375" style="5"/>
    <col min="47" max="47" width="22.5546875" style="5" bestFit="1" customWidth="1"/>
    <col min="48" max="48" width="18.5546875" style="5" bestFit="1" customWidth="1"/>
    <col min="49" max="52" width="9.109375" style="5"/>
    <col min="53" max="53" width="26.33203125" style="5" customWidth="1"/>
    <col min="54" max="54" width="18" style="5" bestFit="1" customWidth="1"/>
    <col min="55" max="113" width="9.109375" style="5" customWidth="1"/>
    <col min="114" max="118" width="9.109375" style="39" customWidth="1"/>
    <col min="119" max="16384" width="8.88671875" style="39"/>
  </cols>
  <sheetData>
    <row r="1" spans="1:69" s="149" customFormat="1">
      <c r="A1" s="131"/>
      <c r="B1" s="148"/>
      <c r="F1" s="150"/>
      <c r="M1" s="151"/>
      <c r="S1" s="151"/>
      <c r="AB1" s="152"/>
      <c r="AC1" s="152"/>
    </row>
    <row r="2" spans="1:69" s="149" customFormat="1">
      <c r="A2" s="131"/>
      <c r="B2" s="148"/>
      <c r="M2" s="151"/>
      <c r="S2" s="151"/>
      <c r="AB2" s="152"/>
      <c r="AC2" s="152"/>
    </row>
    <row r="3" spans="1:69" s="149" customFormat="1">
      <c r="A3" s="131"/>
      <c r="B3" s="148"/>
      <c r="U3" s="153"/>
      <c r="AB3" s="152"/>
      <c r="AC3" s="152"/>
    </row>
    <row r="4" spans="1:69" s="156" customFormat="1" ht="21">
      <c r="A4" s="128"/>
      <c r="B4" s="154"/>
      <c r="C4" s="155" t="s">
        <v>199</v>
      </c>
      <c r="AB4" s="157"/>
      <c r="AC4" s="157"/>
    </row>
    <row r="5" spans="1:69" s="131" customFormat="1">
      <c r="B5" s="158"/>
      <c r="D5" s="153"/>
      <c r="E5" s="153"/>
      <c r="F5" s="153"/>
      <c r="G5" s="153"/>
      <c r="H5" s="153"/>
      <c r="I5" s="153" t="str" cm="1">
        <f t="array" ref="I5:M5">headings</f>
        <v>2023E</v>
      </c>
      <c r="J5" s="153" t="str">
        <v>2024E</v>
      </c>
      <c r="K5" s="153" t="str">
        <v>2025E</v>
      </c>
      <c r="L5" s="153" t="str">
        <v>2026E</v>
      </c>
      <c r="M5" s="153" t="str">
        <v>23E-26E</v>
      </c>
      <c r="O5" s="153" t="str" cm="1">
        <f t="array" ref="O5:S5">headings</f>
        <v>2023E</v>
      </c>
      <c r="P5" s="153" t="str">
        <v>2024E</v>
      </c>
      <c r="Q5" s="153" t="str">
        <v>2025E</v>
      </c>
      <c r="R5" s="153" t="str">
        <v>2026E</v>
      </c>
      <c r="S5" s="153" t="str">
        <v>23E-26E</v>
      </c>
      <c r="T5" s="153"/>
      <c r="U5" s="160"/>
      <c r="V5" s="161"/>
      <c r="Z5" s="153"/>
      <c r="AC5" s="161"/>
      <c r="AD5" s="162"/>
      <c r="AE5" s="162"/>
      <c r="AF5" s="162"/>
      <c r="AG5" s="162"/>
      <c r="AH5" s="162"/>
      <c r="AI5" s="162"/>
      <c r="AJ5" s="162"/>
      <c r="AK5" s="162"/>
      <c r="AL5" s="162"/>
      <c r="AM5" s="162"/>
      <c r="AN5" s="162"/>
      <c r="AO5" s="162"/>
      <c r="AP5" s="162"/>
      <c r="AQ5" s="162"/>
      <c r="AR5" s="162"/>
      <c r="AS5" s="162"/>
      <c r="AT5" s="162"/>
      <c r="AU5" s="162"/>
      <c r="AV5" s="162"/>
      <c r="AW5" s="162"/>
      <c r="BC5" s="163"/>
      <c r="BD5" s="163"/>
      <c r="BE5" s="163"/>
      <c r="BG5" s="163"/>
      <c r="BH5" s="163"/>
      <c r="BI5" s="163"/>
      <c r="BK5" s="163"/>
      <c r="BL5" s="163"/>
      <c r="BM5" s="163"/>
      <c r="BO5" s="163"/>
      <c r="BP5" s="163"/>
      <c r="BQ5" s="163"/>
    </row>
    <row r="6" spans="1:69" s="5" customFormat="1">
      <c r="B6" s="42"/>
      <c r="D6" s="49"/>
      <c r="E6" s="69"/>
      <c r="F6" s="69"/>
      <c r="G6" s="69"/>
      <c r="H6" s="134"/>
      <c r="I6" s="625"/>
      <c r="J6" s="625"/>
      <c r="K6" s="625"/>
      <c r="L6" s="625"/>
      <c r="M6" s="625"/>
      <c r="N6" s="46"/>
      <c r="O6" s="50"/>
      <c r="P6" s="50"/>
      <c r="Q6" s="50"/>
      <c r="R6" s="50"/>
      <c r="S6" s="50"/>
      <c r="T6" s="46"/>
      <c r="U6" s="134"/>
      <c r="V6" s="63"/>
      <c r="Z6" s="49"/>
      <c r="AT6" s="69"/>
      <c r="AU6" s="69"/>
      <c r="AV6" s="69"/>
      <c r="AW6" s="69"/>
      <c r="BC6" s="65"/>
      <c r="BD6" s="65"/>
      <c r="BE6" s="65"/>
      <c r="BG6" s="65"/>
      <c r="BH6" s="65"/>
      <c r="BI6" s="65"/>
      <c r="BK6" s="65"/>
      <c r="BL6" s="65"/>
      <c r="BM6" s="65"/>
      <c r="BO6" s="65"/>
      <c r="BP6" s="65"/>
      <c r="BQ6" s="65"/>
    </row>
    <row r="7" spans="1:69" s="41" customFormat="1">
      <c r="B7" s="147"/>
      <c r="C7" s="164"/>
      <c r="D7" s="165" t="s">
        <v>464</v>
      </c>
      <c r="E7" s="165" t="s">
        <v>57</v>
      </c>
      <c r="F7" s="165" t="s">
        <v>59</v>
      </c>
      <c r="G7" s="165" t="s">
        <v>56</v>
      </c>
      <c r="H7" s="134"/>
      <c r="I7" s="166" t="s">
        <v>184</v>
      </c>
      <c r="J7" s="166"/>
      <c r="K7" s="166"/>
      <c r="L7" s="166"/>
      <c r="M7" s="166"/>
      <c r="N7" s="46"/>
      <c r="O7" s="166" t="s">
        <v>185</v>
      </c>
      <c r="P7" s="166"/>
      <c r="Q7" s="166"/>
      <c r="R7" s="166"/>
      <c r="S7" s="166"/>
      <c r="T7" s="46"/>
      <c r="U7" s="167" t="s">
        <v>464</v>
      </c>
      <c r="V7" s="165"/>
      <c r="Z7" s="49"/>
      <c r="AC7" s="135"/>
      <c r="AD7" s="136"/>
      <c r="AE7" s="136"/>
      <c r="AF7" s="136"/>
      <c r="AG7" s="136"/>
      <c r="AH7" s="136"/>
      <c r="AI7" s="136"/>
      <c r="AJ7" s="136"/>
      <c r="AK7" s="136"/>
      <c r="AL7" s="136"/>
      <c r="AM7" s="136"/>
      <c r="AN7" s="136"/>
      <c r="AO7" s="136"/>
      <c r="AP7" s="136"/>
      <c r="AQ7" s="136"/>
      <c r="AR7" s="136"/>
      <c r="AS7" s="136"/>
      <c r="AT7" s="136"/>
      <c r="AU7" s="136"/>
      <c r="AV7" s="136"/>
      <c r="AW7" s="136"/>
      <c r="BC7" s="137"/>
      <c r="BD7" s="137"/>
      <c r="BE7" s="137"/>
      <c r="BG7" s="137"/>
      <c r="BH7" s="137"/>
      <c r="BI7" s="137"/>
      <c r="BK7" s="137"/>
      <c r="BL7" s="137"/>
      <c r="BM7" s="137"/>
      <c r="BO7" s="137"/>
      <c r="BP7" s="137"/>
      <c r="BQ7" s="137"/>
    </row>
    <row r="8" spans="1:69" s="5" customFormat="1">
      <c r="A8" s="41" t="s">
        <v>506</v>
      </c>
      <c r="B8" s="42" t="s">
        <v>230</v>
      </c>
      <c r="C8" s="48" t="s">
        <v>405</v>
      </c>
      <c r="D8" s="44" t="str">
        <f>'EM Multiples'!B8&amp;TEXT(Prices!C104/100,"0.0")</f>
        <v>ZAR 25.3</v>
      </c>
      <c r="E8" s="44" t="str">
        <f>'EM Multiples'!B8&amp;TEXT(Prices!E104/100,"0.0")</f>
        <v>ZAR 56.0</v>
      </c>
      <c r="F8" s="45">
        <f>Prices!F104</f>
        <v>1.21606648199446</v>
      </c>
      <c r="G8" s="44" t="str">
        <f>Prices!D104</f>
        <v>Neutral</v>
      </c>
      <c r="H8" s="134"/>
      <c r="I8" s="47">
        <f>TKG!$D$38</f>
        <v>1.5135746264308387</v>
      </c>
      <c r="J8" s="47">
        <f>TKG!$E$38</f>
        <v>1.2998970888414256</v>
      </c>
      <c r="K8" s="47">
        <f>TKG!$F$38</f>
        <v>1.067392654519006</v>
      </c>
      <c r="L8" s="47">
        <f>TKG!$G$38</f>
        <v>0.82616468719586611</v>
      </c>
      <c r="M8" s="45">
        <f>TKG!$H$38</f>
        <v>6.71694721895566E-3</v>
      </c>
      <c r="N8" s="46"/>
      <c r="O8" s="47">
        <f>TKG!$D$39</f>
        <v>3.3456036298414493</v>
      </c>
      <c r="P8" s="47">
        <f>TKG!$E$39</f>
        <v>2.8235435492693335</v>
      </c>
      <c r="Q8" s="47">
        <f>TKG!$F$39</f>
        <v>2.3629672200793865</v>
      </c>
      <c r="R8" s="47">
        <f>TKG!$G$39</f>
        <v>1.8289427662500468</v>
      </c>
      <c r="S8" s="45">
        <f>TKG!$H$39</f>
        <v>6.2049124089686991E-3</v>
      </c>
      <c r="T8" s="46"/>
      <c r="U8" s="48" t="str">
        <f t="shared" ref="U8" si="0">D8</f>
        <v>ZAR 25.3</v>
      </c>
      <c r="V8" s="44" t="s">
        <v>405</v>
      </c>
      <c r="Z8" s="46"/>
      <c r="AE8" s="41"/>
      <c r="AF8" s="31"/>
      <c r="AG8" s="31"/>
      <c r="AI8" s="41"/>
      <c r="AJ8" s="64"/>
      <c r="AK8" s="64"/>
      <c r="AM8" s="41"/>
      <c r="AN8" s="64"/>
      <c r="AO8" s="64"/>
      <c r="AQ8" s="41"/>
      <c r="AR8" s="64"/>
      <c r="AS8" s="64"/>
      <c r="BC8" s="65"/>
      <c r="BD8" s="65"/>
      <c r="BE8" s="65"/>
      <c r="BG8" s="65"/>
      <c r="BH8" s="65"/>
      <c r="BI8" s="65"/>
      <c r="BK8" s="65"/>
      <c r="BL8" s="65"/>
      <c r="BM8" s="65"/>
      <c r="BO8" s="65"/>
      <c r="BP8" s="65"/>
      <c r="BQ8" s="65"/>
    </row>
    <row r="9" spans="1:69" s="5" customFormat="1">
      <c r="B9" s="42"/>
      <c r="C9" s="51" t="s">
        <v>95</v>
      </c>
      <c r="D9" s="58"/>
      <c r="E9" s="58"/>
      <c r="F9" s="55"/>
      <c r="G9" s="58"/>
      <c r="H9" s="134"/>
      <c r="I9" s="54">
        <f>'EMEA INCUMB'!$D$38</f>
        <v>1.5135746264308387</v>
      </c>
      <c r="J9" s="54">
        <f>'EMEA INCUMB'!$E$38</f>
        <v>1.2998970888414254</v>
      </c>
      <c r="K9" s="54">
        <f>'EMEA INCUMB'!$F$38</f>
        <v>1.067392654519006</v>
      </c>
      <c r="L9" s="54">
        <f>'EMEA INCUMB'!$G$38</f>
        <v>0.82616468719586622</v>
      </c>
      <c r="M9" s="55">
        <f>'EMEA INCUMB'!$H$38</f>
        <v>6.71694721895566E-3</v>
      </c>
      <c r="N9" s="56"/>
      <c r="O9" s="54">
        <f>'EMEA INCUMB'!$D$39</f>
        <v>3.3456036298414493</v>
      </c>
      <c r="P9" s="54">
        <f>'EMEA INCUMB'!$E$39</f>
        <v>2.8235435492693335</v>
      </c>
      <c r="Q9" s="54">
        <f>'EMEA INCUMB'!$F$39</f>
        <v>2.3629672200793865</v>
      </c>
      <c r="R9" s="54">
        <f>'EMEA INCUMB'!$G$39</f>
        <v>1.8289427662500468</v>
      </c>
      <c r="S9" s="55">
        <f>'EMEA INCUMB'!$H$39</f>
        <v>6.2049124089686991E-3</v>
      </c>
      <c r="T9" s="56"/>
      <c r="U9" s="51"/>
      <c r="V9" s="58" t="s">
        <v>95</v>
      </c>
      <c r="Z9" s="46"/>
      <c r="AE9" s="41"/>
      <c r="AF9" s="31"/>
      <c r="AG9" s="31"/>
      <c r="AI9" s="41"/>
      <c r="AJ9" s="64"/>
      <c r="AK9" s="64"/>
      <c r="AM9" s="41"/>
      <c r="AN9" s="64"/>
      <c r="AO9" s="64"/>
      <c r="AQ9" s="41"/>
      <c r="AR9" s="64"/>
      <c r="AS9" s="64"/>
      <c r="BC9" s="65"/>
      <c r="BD9" s="65"/>
      <c r="BE9" s="65"/>
      <c r="BG9" s="65"/>
      <c r="BH9" s="65"/>
      <c r="BI9" s="65"/>
      <c r="BK9" s="65"/>
      <c r="BL9" s="65"/>
      <c r="BM9" s="65"/>
      <c r="BO9" s="65"/>
      <c r="BP9" s="65"/>
      <c r="BQ9" s="65"/>
    </row>
    <row r="10" spans="1:69" s="5" customFormat="1">
      <c r="B10" s="42"/>
      <c r="C10" s="48"/>
      <c r="D10" s="44"/>
      <c r="E10" s="44"/>
      <c r="F10" s="68"/>
      <c r="G10" s="44"/>
      <c r="H10" s="134"/>
      <c r="I10" s="62"/>
      <c r="J10" s="62"/>
      <c r="K10" s="62"/>
      <c r="L10" s="62"/>
      <c r="M10" s="61"/>
      <c r="N10" s="46"/>
      <c r="O10" s="62"/>
      <c r="P10" s="62"/>
      <c r="Q10" s="62"/>
      <c r="R10" s="62"/>
      <c r="S10" s="61"/>
      <c r="T10" s="46"/>
      <c r="U10" s="48"/>
      <c r="V10" s="44"/>
      <c r="Z10" s="46"/>
      <c r="AE10" s="41"/>
      <c r="AF10" s="31"/>
      <c r="AG10" s="31"/>
      <c r="AI10" s="41"/>
      <c r="AJ10" s="64"/>
      <c r="AK10" s="64"/>
      <c r="AM10" s="41"/>
      <c r="AN10" s="64"/>
      <c r="AO10" s="64"/>
      <c r="AQ10" s="41"/>
      <c r="AR10" s="64"/>
      <c r="AS10" s="64"/>
      <c r="BC10" s="65"/>
      <c r="BD10" s="65"/>
      <c r="BE10" s="65"/>
      <c r="BG10" s="65"/>
      <c r="BH10" s="65"/>
      <c r="BI10" s="65"/>
      <c r="BK10" s="65"/>
      <c r="BL10" s="65"/>
      <c r="BM10" s="65"/>
      <c r="BO10" s="65"/>
      <c r="BP10" s="65"/>
      <c r="BQ10" s="65"/>
    </row>
    <row r="11" spans="1:69" s="5" customFormat="1">
      <c r="B11" s="42" t="s">
        <v>1417</v>
      </c>
      <c r="C11" s="48" t="s">
        <v>344</v>
      </c>
      <c r="D11" s="44" t="str">
        <f>'EM Multiples'!B11&amp;TEXT(Prices!C123,"0.0")</f>
        <v>USD 16.2</v>
      </c>
      <c r="E11" s="44" t="str">
        <f>'EM Multiples'!B11&amp;TEXT(Prices!E123,"0.0")</f>
        <v>USD 24.0</v>
      </c>
      <c r="F11" s="45">
        <f>Prices!F123</f>
        <v>0.47965474722564738</v>
      </c>
      <c r="G11" s="44" t="str">
        <f>Prices!D123</f>
        <v>Buy</v>
      </c>
      <c r="H11" s="46"/>
      <c r="I11" s="47">
        <f>AMX!$D$38</f>
        <v>4.8289407306018157</v>
      </c>
      <c r="J11" s="47">
        <f>AMX!$E$38</f>
        <v>4.3286547732527465</v>
      </c>
      <c r="K11" s="47">
        <f>AMX!$F$38</f>
        <v>3.8692076250550027</v>
      </c>
      <c r="L11" s="47">
        <f>AMX!$G$38</f>
        <v>3.4832872853867136</v>
      </c>
      <c r="M11" s="45">
        <f>AMX!$H$38</f>
        <v>4.8956975895425581E-2</v>
      </c>
      <c r="N11" s="46"/>
      <c r="O11" s="47">
        <f>AMX!$D$39</f>
        <v>8.7519094402122182</v>
      </c>
      <c r="P11" s="47">
        <f>AMX!$E$39</f>
        <v>7.0839633039162884</v>
      </c>
      <c r="Q11" s="47">
        <f>AMX!$F$39</f>
        <v>6.0703338354390155</v>
      </c>
      <c r="R11" s="47">
        <f>AMX!$G$39</f>
        <v>5.2289973558869729</v>
      </c>
      <c r="S11" s="45">
        <f>AMX!$H$39</f>
        <v>0.11694454902488172</v>
      </c>
      <c r="T11" s="46"/>
      <c r="U11" s="48" t="str">
        <f>D11</f>
        <v>USD 16.2</v>
      </c>
      <c r="V11" s="44" t="s">
        <v>344</v>
      </c>
      <c r="Z11" s="46"/>
      <c r="AE11" s="41"/>
      <c r="AF11" s="31"/>
      <c r="AG11" s="31"/>
      <c r="AI11" s="41"/>
      <c r="AJ11" s="64"/>
      <c r="AK11" s="64"/>
      <c r="AM11" s="41"/>
      <c r="AN11" s="64"/>
      <c r="AO11" s="64"/>
      <c r="AQ11" s="41"/>
      <c r="AR11" s="64"/>
      <c r="AS11" s="64"/>
      <c r="BC11" s="65"/>
      <c r="BD11" s="65"/>
      <c r="BE11" s="65"/>
      <c r="BG11" s="65"/>
      <c r="BH11" s="65"/>
      <c r="BI11" s="65"/>
      <c r="BK11" s="65"/>
      <c r="BL11" s="65"/>
      <c r="BM11" s="65"/>
      <c r="BO11" s="65"/>
      <c r="BP11" s="65"/>
      <c r="BQ11" s="65"/>
    </row>
    <row r="12" spans="1:69" s="5" customFormat="1">
      <c r="B12" s="42" t="s">
        <v>143</v>
      </c>
      <c r="C12" s="48" t="s">
        <v>662</v>
      </c>
      <c r="D12" s="44" t="str">
        <f>'EM Multiples'!B12&amp;TEXT(Prices!C127,"0.00")</f>
        <v>BRL 1.78</v>
      </c>
      <c r="E12" s="44" t="str">
        <f>'EM Multiples'!B12&amp;TEXT(Prices!E127,"0.00")</f>
        <v>BRL 0.90</v>
      </c>
      <c r="F12" s="45">
        <f>Prices!F127</f>
        <v>-0.4943820224719101</v>
      </c>
      <c r="G12" s="44" t="str">
        <f>Prices!D126</f>
        <v>Neutral</v>
      </c>
      <c r="H12" s="46"/>
      <c r="I12" s="47">
        <f>OIBR!$D$38</f>
        <v>5.1462039054612259</v>
      </c>
      <c r="J12" s="47">
        <f>OIBR!$E$38</f>
        <v>5.5045100613040683</v>
      </c>
      <c r="K12" s="47">
        <f>OIBR!$F$38</f>
        <v>5.6082445787552828</v>
      </c>
      <c r="L12" s="47">
        <f>OIBR!$G$38</f>
        <v>5.9062756608123665</v>
      </c>
      <c r="M12" s="45">
        <f>OIBR!$H$38</f>
        <v>8.0660330902892818E-2</v>
      </c>
      <c r="N12" s="46"/>
      <c r="O12" s="47">
        <f>OIBR!$D$39</f>
        <v>-8.2665561078230194</v>
      </c>
      <c r="P12" s="47">
        <f>OIBR!$E$39</f>
        <v>-12.967284507425402</v>
      </c>
      <c r="Q12" s="47">
        <f>OIBR!$F$39</f>
        <v>-452.07570640452144</v>
      </c>
      <c r="R12" s="47">
        <f>OIBR!$G$39</f>
        <v>30.482077882031117</v>
      </c>
      <c r="S12" s="45">
        <f>OIBR!$H$39</f>
        <v>-1.7323603107617997</v>
      </c>
      <c r="T12" s="46"/>
      <c r="U12" s="48" t="str">
        <f>D12</f>
        <v>BRL 1.78</v>
      </c>
      <c r="V12" s="44" t="s">
        <v>662</v>
      </c>
      <c r="Z12" s="46"/>
      <c r="AE12" s="41"/>
      <c r="AF12" s="31"/>
      <c r="AG12" s="31"/>
      <c r="AI12" s="41"/>
      <c r="AJ12" s="64"/>
      <c r="AK12" s="64"/>
      <c r="AM12" s="41"/>
      <c r="AN12" s="64"/>
      <c r="AO12" s="64"/>
      <c r="AQ12" s="41"/>
      <c r="AR12" s="64"/>
      <c r="AS12" s="64"/>
      <c r="BC12" s="65"/>
      <c r="BD12" s="65"/>
      <c r="BE12" s="65"/>
      <c r="BG12" s="65"/>
      <c r="BH12" s="65"/>
      <c r="BI12" s="65"/>
      <c r="BK12" s="65"/>
      <c r="BL12" s="65"/>
      <c r="BM12" s="65"/>
      <c r="BO12" s="65"/>
      <c r="BP12" s="65"/>
      <c r="BQ12" s="65"/>
    </row>
    <row r="13" spans="1:69" s="5" customFormat="1">
      <c r="B13" s="42" t="s">
        <v>143</v>
      </c>
      <c r="C13" s="48" t="s">
        <v>619</v>
      </c>
      <c r="D13" s="44" t="str">
        <f>'EM Multiples'!B13&amp;TEXT(Prices!C125,"0.00")</f>
        <v>BRL 45.90</v>
      </c>
      <c r="E13" s="44" t="str">
        <f>'EM Multiples'!B13&amp;TEXT(Prices!E125,"0.00")</f>
        <v>BRL 61.00</v>
      </c>
      <c r="F13" s="45">
        <f>Prices!F125</f>
        <v>0.32897603485838789</v>
      </c>
      <c r="G13" s="44" t="str">
        <f>Prices!D125</f>
        <v>Buy</v>
      </c>
      <c r="H13" s="46"/>
      <c r="I13" s="47">
        <f>VIVO!$D$38</f>
        <v>3.9113634571043887</v>
      </c>
      <c r="J13" s="47">
        <f>VIVO!$E$38</f>
        <v>3.3965878886720513</v>
      </c>
      <c r="K13" s="47">
        <f>VIVO!$F$38</f>
        <v>2.8720746984112022</v>
      </c>
      <c r="L13" s="47">
        <f>VIVO!$G$38</f>
        <v>2.4476102166861797</v>
      </c>
      <c r="M13" s="45">
        <f>VIVO!$H$38</f>
        <v>7.4479561881599876E-2</v>
      </c>
      <c r="N13" s="46"/>
      <c r="O13" s="47">
        <f>VIVO!$D$39</f>
        <v>6.7582052274874629</v>
      </c>
      <c r="P13" s="47">
        <f>VIVO!$E$39</f>
        <v>5.4829093764712367</v>
      </c>
      <c r="Q13" s="47">
        <f>VIVO!$F$39</f>
        <v>4.5226726893681901</v>
      </c>
      <c r="R13" s="47">
        <f>VIVO!$G$39</f>
        <v>3.7745020379300822</v>
      </c>
      <c r="S13" s="45">
        <f>VIVO!$H$39</f>
        <v>0.11598945437726726</v>
      </c>
      <c r="T13" s="46"/>
      <c r="U13" s="48" t="str">
        <f>D13</f>
        <v>BRL 45.90</v>
      </c>
      <c r="V13" s="44" t="s">
        <v>619</v>
      </c>
      <c r="Z13" s="46"/>
      <c r="AE13" s="41"/>
      <c r="AF13" s="31"/>
      <c r="AG13" s="31"/>
      <c r="AI13" s="41"/>
      <c r="AJ13" s="64"/>
      <c r="AK13" s="64"/>
      <c r="AM13" s="41"/>
      <c r="AN13" s="64"/>
      <c r="AO13" s="64"/>
      <c r="AQ13" s="41"/>
      <c r="AR13" s="64"/>
      <c r="AS13" s="64"/>
      <c r="BC13" s="65"/>
      <c r="BD13" s="65"/>
      <c r="BE13" s="65"/>
      <c r="BG13" s="65"/>
      <c r="BH13" s="65"/>
      <c r="BI13" s="65"/>
      <c r="BK13" s="65"/>
      <c r="BL13" s="65"/>
      <c r="BM13" s="65"/>
      <c r="BO13" s="65"/>
      <c r="BP13" s="65"/>
      <c r="BQ13" s="65"/>
    </row>
    <row r="14" spans="1:69" s="5" customFormat="1">
      <c r="B14" s="42" t="s">
        <v>1417</v>
      </c>
      <c r="C14" s="48" t="s">
        <v>673</v>
      </c>
      <c r="D14" s="44" t="str">
        <f>'EM Multiples'!B14&amp;TEXT(Prices!C124,"0.0")</f>
        <v>USD 3.1</v>
      </c>
      <c r="E14" s="44" t="str">
        <f>'EM Multiples'!B14&amp;TEXT(Prices!E124,"0.0")</f>
        <v>USD 3.7</v>
      </c>
      <c r="F14" s="45">
        <f>Prices!F124</f>
        <v>0.17834394904458595</v>
      </c>
      <c r="G14" s="44" t="str">
        <f>Prices!D124</f>
        <v>Neutral</v>
      </c>
      <c r="H14" s="46"/>
      <c r="I14" s="47">
        <f>TVIS!$D$38</f>
        <v>0.51952543324309097</v>
      </c>
      <c r="J14" s="47">
        <f>TVIS!$E$38</f>
        <v>0.34062191852775076</v>
      </c>
      <c r="K14" s="47">
        <f>TVIS!$F$38</f>
        <v>0.23346498414279893</v>
      </c>
      <c r="L14" s="47">
        <f>TVIS!$G$38</f>
        <v>7.6575802123670614E-2</v>
      </c>
      <c r="M14" s="45">
        <f>TVIS!$H$38</f>
        <v>1.485187073949934E-2</v>
      </c>
      <c r="N14" s="46"/>
      <c r="O14" s="47">
        <f>TVIS!$D$39</f>
        <v>1.3747273320592415</v>
      </c>
      <c r="P14" s="47">
        <f>TVIS!$E$39</f>
        <v>0.84455791640290123</v>
      </c>
      <c r="Q14" s="47">
        <f>TVIS!$F$39</f>
        <v>0.57938383593457521</v>
      </c>
      <c r="R14" s="47">
        <f>TVIS!$G$39</f>
        <v>0.18831190956437813</v>
      </c>
      <c r="S14" s="45">
        <f>TVIS!$H$39</f>
        <v>3.9945301517286813E-2</v>
      </c>
      <c r="T14" s="46"/>
      <c r="U14" s="48" t="str">
        <f>D14</f>
        <v>USD 3.1</v>
      </c>
      <c r="V14" s="44" t="s">
        <v>673</v>
      </c>
      <c r="Z14" s="46"/>
      <c r="AE14" s="41"/>
      <c r="AF14" s="31"/>
      <c r="AG14" s="31"/>
      <c r="AI14" s="41"/>
      <c r="AJ14" s="64"/>
      <c r="AK14" s="64"/>
      <c r="AM14" s="41"/>
      <c r="AN14" s="64"/>
      <c r="AO14" s="64"/>
      <c r="AQ14" s="41"/>
      <c r="AR14" s="64"/>
      <c r="AS14" s="64"/>
      <c r="BC14" s="65"/>
      <c r="BD14" s="65"/>
      <c r="BE14" s="65"/>
      <c r="BG14" s="65"/>
      <c r="BH14" s="65"/>
      <c r="BI14" s="65"/>
      <c r="BK14" s="65"/>
      <c r="BL14" s="65"/>
      <c r="BM14" s="65"/>
      <c r="BO14" s="65"/>
      <c r="BP14" s="65"/>
      <c r="BQ14" s="65"/>
    </row>
    <row r="15" spans="1:69" s="5" customFormat="1">
      <c r="B15" s="42"/>
      <c r="C15" s="51" t="s">
        <v>512</v>
      </c>
      <c r="D15" s="52"/>
      <c r="E15" s="52"/>
      <c r="F15" s="53"/>
      <c r="G15" s="52"/>
      <c r="H15" s="46"/>
      <c r="I15" s="54">
        <f>'LATAM INCUMB'!$D$38</f>
        <v>4.4371486159074989</v>
      </c>
      <c r="J15" s="54">
        <f>'LATAM INCUMB'!$E$38</f>
        <v>3.9890624654994724</v>
      </c>
      <c r="K15" s="54">
        <f>'LATAM INCUMB'!$F$38</f>
        <v>3.5635773257800083</v>
      </c>
      <c r="L15" s="54">
        <f>'LATAM INCUMB'!$G$38</f>
        <v>3.2131957346788256</v>
      </c>
      <c r="M15" s="55">
        <f>'LATAM INCUMB'!$H$38</f>
        <v>5.2545313573403529E-2</v>
      </c>
      <c r="N15" s="56"/>
      <c r="O15" s="54">
        <f>'LATAM INCUMB'!$D$39</f>
        <v>8.7775076030846968</v>
      </c>
      <c r="P15" s="54">
        <f>'LATAM INCUMB'!$E$39</f>
        <v>7.0717582272737056</v>
      </c>
      <c r="Q15" s="54">
        <f>'LATAM INCUMB'!$F$39</f>
        <v>5.9348076148416871</v>
      </c>
      <c r="R15" s="54">
        <f>'LATAM INCUMB'!$G$39</f>
        <v>5.0856006821112363</v>
      </c>
      <c r="S15" s="55">
        <f>'LATAM INCUMB'!$H$39</f>
        <v>0.13377842924611083</v>
      </c>
      <c r="T15" s="46"/>
      <c r="U15" s="57"/>
      <c r="V15" s="58" t="s">
        <v>512</v>
      </c>
      <c r="Z15" s="46"/>
      <c r="AE15" s="41"/>
      <c r="AF15" s="31"/>
      <c r="AG15" s="31"/>
      <c r="AI15" s="41"/>
      <c r="AJ15" s="64"/>
      <c r="AK15" s="64"/>
      <c r="AM15" s="41"/>
      <c r="AN15" s="64"/>
      <c r="AO15" s="64"/>
      <c r="AQ15" s="41"/>
      <c r="AR15" s="64"/>
      <c r="AS15" s="64"/>
      <c r="BC15" s="65"/>
      <c r="BD15" s="65"/>
      <c r="BE15" s="65"/>
      <c r="BG15" s="65"/>
      <c r="BH15" s="65"/>
      <c r="BI15" s="65"/>
      <c r="BK15" s="65"/>
      <c r="BL15" s="65"/>
      <c r="BM15" s="65"/>
      <c r="BO15" s="65"/>
      <c r="BP15" s="65"/>
      <c r="BQ15" s="65"/>
    </row>
    <row r="16" spans="1:69" s="5" customFormat="1">
      <c r="A16" s="39"/>
      <c r="B16" s="42"/>
      <c r="C16" s="48"/>
      <c r="D16" s="44"/>
      <c r="E16" s="44"/>
      <c r="F16" s="45"/>
      <c r="G16" s="44"/>
      <c r="H16" s="46"/>
      <c r="I16" s="47"/>
      <c r="J16" s="47"/>
      <c r="K16" s="47"/>
      <c r="L16" s="47"/>
      <c r="M16" s="45"/>
      <c r="N16" s="56"/>
      <c r="O16" s="47"/>
      <c r="P16" s="47"/>
      <c r="Q16" s="47"/>
      <c r="R16" s="47"/>
      <c r="S16" s="45"/>
      <c r="T16" s="46"/>
      <c r="U16" s="48"/>
      <c r="V16" s="50"/>
      <c r="Z16" s="46"/>
      <c r="AE16" s="41"/>
      <c r="AF16" s="31"/>
      <c r="AG16" s="31"/>
      <c r="AI16" s="41"/>
      <c r="AJ16" s="64"/>
      <c r="AK16" s="64"/>
      <c r="AM16" s="41"/>
      <c r="AN16" s="64"/>
      <c r="AO16" s="64"/>
      <c r="AQ16" s="41"/>
      <c r="AR16" s="64"/>
      <c r="AS16" s="64"/>
      <c r="BC16" s="65"/>
      <c r="BD16" s="65"/>
      <c r="BE16" s="65"/>
      <c r="BG16" s="65"/>
      <c r="BH16" s="65"/>
      <c r="BI16" s="65"/>
      <c r="BK16" s="65"/>
      <c r="BL16" s="65"/>
      <c r="BM16" s="65"/>
      <c r="BO16" s="65"/>
      <c r="BP16" s="65"/>
      <c r="BQ16" s="65"/>
    </row>
    <row r="17" spans="1:69" s="5" customFormat="1">
      <c r="B17" s="42" t="s">
        <v>1419</v>
      </c>
      <c r="C17" s="48" t="s">
        <v>297</v>
      </c>
      <c r="D17" s="44" t="str">
        <f>'EM Multiples'!B17&amp;TEXT(Prices!C74,"0.00")</f>
        <v>HKD 4.44</v>
      </c>
      <c r="E17" s="44" t="str">
        <f>'EM Multiples'!B17&amp;TEXT(Prices!E74,"0.00")</f>
        <v>HKD 8.75</v>
      </c>
      <c r="F17" s="45">
        <f>Prices!F74</f>
        <v>0.97072072072072046</v>
      </c>
      <c r="G17" s="44" t="str">
        <f>Prices!D74</f>
        <v>Buy</v>
      </c>
      <c r="H17" s="46"/>
      <c r="I17" s="47">
        <f>_CT!$D$38</f>
        <v>1.6103274254746387</v>
      </c>
      <c r="J17" s="47">
        <f>_CT!$E$38</f>
        <v>1.4129084242220269</v>
      </c>
      <c r="K17" s="47">
        <f>_CT!$F$38</f>
        <v>1.2283465260290805</v>
      </c>
      <c r="L17" s="47">
        <f>_CT!$G$38</f>
        <v>1.0361051756913151</v>
      </c>
      <c r="M17" s="45">
        <f>_CT!$H$38</f>
        <v>5.395798870598334E-2</v>
      </c>
      <c r="N17" s="56"/>
      <c r="O17" s="47">
        <f>_CT!$D$39</f>
        <v>5.7996710262080127</v>
      </c>
      <c r="P17" s="47">
        <f>_CT!$E$39</f>
        <v>4.3178444120692143</v>
      </c>
      <c r="Q17" s="47">
        <f>_CT!$F$39</f>
        <v>3.5339982666516323</v>
      </c>
      <c r="R17" s="47">
        <f>_CT!$G$39</f>
        <v>2.739380896511622</v>
      </c>
      <c r="S17" s="169">
        <f>_CT!$H$39</f>
        <v>0.16834246929040142</v>
      </c>
      <c r="T17" s="46"/>
      <c r="U17" s="48" t="str">
        <f t="shared" ref="U17:U21" si="1">D17</f>
        <v>HKD 4.44</v>
      </c>
      <c r="V17" s="44" t="s">
        <v>297</v>
      </c>
      <c r="Z17" s="46"/>
      <c r="AE17" s="41"/>
      <c r="AF17" s="31"/>
      <c r="AG17" s="31"/>
      <c r="AI17" s="41"/>
      <c r="AJ17" s="64"/>
      <c r="AK17" s="64"/>
      <c r="AM17" s="41"/>
      <c r="AN17" s="64"/>
      <c r="AO17" s="64"/>
      <c r="AQ17" s="41"/>
      <c r="AR17" s="64"/>
      <c r="AS17" s="64"/>
      <c r="BC17" s="65"/>
      <c r="BD17" s="65"/>
      <c r="BE17" s="65"/>
      <c r="BG17" s="65"/>
      <c r="BH17" s="65"/>
      <c r="BI17" s="65"/>
      <c r="BK17" s="65"/>
      <c r="BL17" s="65"/>
      <c r="BM17" s="65"/>
      <c r="BO17" s="65"/>
      <c r="BP17" s="65"/>
      <c r="BQ17" s="65"/>
    </row>
    <row r="18" spans="1:69" s="5" customFormat="1">
      <c r="B18" s="42" t="s">
        <v>1419</v>
      </c>
      <c r="C18" s="48" t="s">
        <v>239</v>
      </c>
      <c r="D18" s="44" t="str">
        <f>'EM Multiples'!B18&amp;TEXT(Prices!C75,"0.00")</f>
        <v>HKD 6.20</v>
      </c>
      <c r="E18" s="44" t="str">
        <f>'EM Multiples'!B18&amp;TEXT(Prices!E75,"0.00")</f>
        <v>HKD 13.20</v>
      </c>
      <c r="F18" s="45">
        <f>Prices!F75</f>
        <v>1.129032258064516</v>
      </c>
      <c r="G18" s="44" t="str">
        <f>Prices!D75</f>
        <v>Buy</v>
      </c>
      <c r="H18" s="46"/>
      <c r="I18" s="47">
        <f>_CU!$D$38</f>
        <v>0.8722994911083678</v>
      </c>
      <c r="J18" s="47">
        <f>_CU!$E$38</f>
        <v>0.70730756652913129</v>
      </c>
      <c r="K18" s="47">
        <f>_CU!$F$38</f>
        <v>0.57147198820253997</v>
      </c>
      <c r="L18" s="47">
        <f>_CU!$G$38</f>
        <v>0.47615269594779391</v>
      </c>
      <c r="M18" s="45">
        <f>_CU!$H$38</f>
        <v>1.8560140619139132E-2</v>
      </c>
      <c r="N18" s="56"/>
      <c r="O18" s="47">
        <f>_CU!$D$39</f>
        <v>3.360063167895508</v>
      </c>
      <c r="P18" s="47">
        <f>_CU!$E$39</f>
        <v>2.0572504276410326</v>
      </c>
      <c r="Q18" s="47">
        <f>_CU!$F$39</f>
        <v>1.6436519415396882</v>
      </c>
      <c r="R18" s="47">
        <f>_CU!$G$39</f>
        <v>1.3435888716035254</v>
      </c>
      <c r="S18" s="169">
        <f>_CU!$H$39</f>
        <v>0.12990145452903046</v>
      </c>
      <c r="T18" s="46"/>
      <c r="U18" s="48" t="str">
        <f t="shared" si="1"/>
        <v>HKD 6.20</v>
      </c>
      <c r="V18" s="44" t="s">
        <v>239</v>
      </c>
      <c r="Z18" s="46"/>
      <c r="AE18" s="41"/>
      <c r="AF18" s="31"/>
      <c r="AG18" s="31"/>
      <c r="AI18" s="41"/>
      <c r="AJ18" s="64"/>
      <c r="AK18" s="64"/>
      <c r="AM18" s="41"/>
      <c r="AN18" s="64"/>
      <c r="AO18" s="64"/>
      <c r="AQ18" s="41"/>
      <c r="AR18" s="64"/>
      <c r="AS18" s="64"/>
      <c r="BC18" s="65"/>
      <c r="BD18" s="65"/>
      <c r="BE18" s="65"/>
      <c r="BG18" s="65"/>
      <c r="BH18" s="65"/>
      <c r="BI18" s="65"/>
      <c r="BK18" s="65"/>
      <c r="BL18" s="65"/>
      <c r="BM18" s="65"/>
      <c r="BO18" s="65"/>
      <c r="BP18" s="65"/>
      <c r="BQ18" s="65"/>
    </row>
    <row r="19" spans="1:69" s="5" customFormat="1">
      <c r="A19" s="39"/>
      <c r="B19" s="42" t="s">
        <v>248</v>
      </c>
      <c r="C19" s="48" t="s">
        <v>420</v>
      </c>
      <c r="D19" s="44" t="str">
        <f>'EM Multiples'!B19&amp;TEXT(Prices!C76,"0.00")</f>
        <v>TWD 127.00</v>
      </c>
      <c r="E19" s="44" t="str">
        <f>'EM Multiples'!B19&amp;TEXT(Prices!E76,"0.00")</f>
        <v>TWD n/r</v>
      </c>
      <c r="F19" s="45" t="str">
        <f>Prices!F76</f>
        <v>-</v>
      </c>
      <c r="G19" s="44" t="str">
        <f>Prices!D76</f>
        <v>n/r</v>
      </c>
      <c r="H19" s="46"/>
      <c r="I19" s="47">
        <f>CHUNG!$D$38</f>
        <v>10.722554823298813</v>
      </c>
      <c r="J19" s="47">
        <f>CHUNG!$E$38</f>
        <v>9.9694001026954329</v>
      </c>
      <c r="K19" s="47">
        <f>CHUNG!$F$38</f>
        <v>9.1928403717494209</v>
      </c>
      <c r="L19" s="47">
        <f>CHUNG!$G$38</f>
        <v>8.4215861590245424</v>
      </c>
      <c r="M19" s="45">
        <f>CHUNG!$H$38</f>
        <v>1.4487858365059614E-2</v>
      </c>
      <c r="N19" s="56"/>
      <c r="O19" s="47">
        <f>CHUNG!$D$39</f>
        <v>16.392814217385194</v>
      </c>
      <c r="P19" s="47">
        <f>CHUNG!$E$39</f>
        <v>14.082055200946206</v>
      </c>
      <c r="Q19" s="47">
        <f>CHUNG!$F$39</f>
        <v>12.503269572555718</v>
      </c>
      <c r="R19" s="47">
        <f>CHUNG!$G$39</f>
        <v>11.440536809817651</v>
      </c>
      <c r="S19" s="45">
        <f>CHUNG!$H$39</f>
        <v>5.5231544534847021E-2</v>
      </c>
      <c r="T19" s="46"/>
      <c r="U19" s="48" t="str">
        <f t="shared" si="1"/>
        <v>TWD 127.00</v>
      </c>
      <c r="V19" s="44" t="s">
        <v>420</v>
      </c>
      <c r="Z19" s="46"/>
      <c r="AE19" s="41"/>
      <c r="AF19" s="31"/>
      <c r="AG19" s="31"/>
      <c r="AI19" s="41"/>
      <c r="AJ19" s="64"/>
      <c r="AK19" s="64"/>
      <c r="AM19" s="41"/>
      <c r="AN19" s="64"/>
      <c r="AO19" s="64"/>
      <c r="AQ19" s="41"/>
      <c r="AR19" s="64"/>
      <c r="AS19" s="64"/>
      <c r="BC19" s="65"/>
      <c r="BD19" s="65"/>
      <c r="BE19" s="65"/>
      <c r="BG19" s="65"/>
      <c r="BH19" s="65"/>
      <c r="BI19" s="65"/>
      <c r="BK19" s="65"/>
      <c r="BL19" s="65"/>
      <c r="BM19" s="65"/>
      <c r="BO19" s="65"/>
      <c r="BP19" s="65"/>
      <c r="BQ19" s="65"/>
    </row>
    <row r="20" spans="1:69" s="5" customFormat="1">
      <c r="A20" s="39"/>
      <c r="B20" s="42" t="s">
        <v>578</v>
      </c>
      <c r="C20" s="48" t="s">
        <v>364</v>
      </c>
      <c r="D20" s="44" t="str">
        <f>'EM Multiples'!B20&amp;TEXT(Prices!C88,"0,0")</f>
        <v>KRW 36,350</v>
      </c>
      <c r="E20" s="44" t="str">
        <f>'EM Multiples'!B20&amp;TEXT(Prices!E88,"0,0")</f>
        <v>KRW 70,000</v>
      </c>
      <c r="F20" s="45">
        <f>Prices!F88</f>
        <v>0.92572214580467671</v>
      </c>
      <c r="G20" s="44" t="str">
        <f>Prices!D88</f>
        <v>Buy</v>
      </c>
      <c r="H20" s="46"/>
      <c r="I20" s="47">
        <f>_KT!$D$38</f>
        <v>3.1480985994482036</v>
      </c>
      <c r="J20" s="47">
        <f>_KT!$E$38</f>
        <v>2.9321989101729384</v>
      </c>
      <c r="K20" s="47">
        <f>_KT!$F$38</f>
        <v>2.4663809352338295</v>
      </c>
      <c r="L20" s="47">
        <f>_KT!$G$38</f>
        <v>2.1266676262937541</v>
      </c>
      <c r="M20" s="45">
        <f>_KT!$H$38</f>
        <v>4.6165944374719992E-2</v>
      </c>
      <c r="N20" s="56"/>
      <c r="O20" s="47">
        <f>_KT!$D$39</f>
        <v>8.0285410542889633</v>
      </c>
      <c r="P20" s="47">
        <f>_KT!$E$39</f>
        <v>7.7979739147151079</v>
      </c>
      <c r="Q20" s="47">
        <f>_KT!$F$39</f>
        <v>5.4688453733367535</v>
      </c>
      <c r="R20" s="47">
        <f>_KT!$G$39</f>
        <v>4.5135656261089308</v>
      </c>
      <c r="S20" s="45">
        <f>_KT!$H$39</f>
        <v>0.11221812132162357</v>
      </c>
      <c r="T20" s="46"/>
      <c r="U20" s="48" t="str">
        <f t="shared" si="1"/>
        <v>KRW 36,350</v>
      </c>
      <c r="V20" s="44" t="s">
        <v>364</v>
      </c>
      <c r="Z20" s="46"/>
      <c r="AE20" s="41"/>
      <c r="AF20" s="31"/>
      <c r="AG20" s="31"/>
      <c r="AI20" s="41"/>
      <c r="AJ20" s="64"/>
      <c r="AK20" s="64"/>
      <c r="AM20" s="41"/>
      <c r="AN20" s="64"/>
      <c r="AO20" s="64"/>
      <c r="AQ20" s="41"/>
      <c r="AR20" s="64"/>
      <c r="AS20" s="64"/>
      <c r="BC20" s="65"/>
      <c r="BD20" s="65"/>
      <c r="BE20" s="65"/>
      <c r="BG20" s="65"/>
      <c r="BH20" s="65"/>
      <c r="BI20" s="65"/>
      <c r="BK20" s="65"/>
      <c r="BL20" s="65"/>
      <c r="BM20" s="65"/>
      <c r="BO20" s="65"/>
      <c r="BP20" s="65"/>
      <c r="BQ20" s="65"/>
    </row>
    <row r="21" spans="1:69" s="5" customFormat="1">
      <c r="A21" s="39"/>
      <c r="B21" s="42" t="s">
        <v>385</v>
      </c>
      <c r="C21" s="48" t="s">
        <v>557</v>
      </c>
      <c r="D21" s="44" t="str">
        <f>'EM Multiples'!B21&amp;TEXT(Prices!C77,"0,00")</f>
        <v>IDR 2,940</v>
      </c>
      <c r="E21" s="44" t="str">
        <f>'EM Multiples'!B21&amp;TEXT(Prices!E77,"0,00")</f>
        <v>IDR 5,000</v>
      </c>
      <c r="F21" s="45">
        <f>Prices!F77</f>
        <v>0.70068027210884343</v>
      </c>
      <c r="G21" s="44" t="str">
        <f>Prices!D77</f>
        <v>Buy</v>
      </c>
      <c r="H21" s="46"/>
      <c r="I21" s="47">
        <f>PTT!$D$38</f>
        <v>6.609659353147709</v>
      </c>
      <c r="J21" s="47">
        <f>PTT!$E$38</f>
        <v>6.1079475855473433</v>
      </c>
      <c r="K21" s="47">
        <f>PTT!$F$38</f>
        <v>5.30240577528801</v>
      </c>
      <c r="L21" s="47">
        <f>PTT!$G$38</f>
        <v>4.576211004873576</v>
      </c>
      <c r="M21" s="45">
        <f>PTT!$H$38</f>
        <v>6.8117029657460471E-2</v>
      </c>
      <c r="N21" s="56"/>
      <c r="O21" s="47">
        <f>PTT!$D$39</f>
        <v>11.494267399472015</v>
      </c>
      <c r="P21" s="47">
        <f>PTT!$E$39</f>
        <v>10.038227179073516</v>
      </c>
      <c r="Q21" s="47">
        <f>PTT!$F$39</f>
        <v>8.5456493405554923</v>
      </c>
      <c r="R21" s="47">
        <f>PTT!$G$39</f>
        <v>7.2558287558131784</v>
      </c>
      <c r="S21" s="169">
        <f>PTT!$H$39</f>
        <v>0.10152050111746846</v>
      </c>
      <c r="T21" s="46"/>
      <c r="U21" s="48" t="str">
        <f t="shared" si="1"/>
        <v>IDR 2,940</v>
      </c>
      <c r="V21" s="44" t="s">
        <v>557</v>
      </c>
      <c r="Z21" s="46"/>
      <c r="AE21" s="41"/>
      <c r="AF21" s="31"/>
      <c r="AG21" s="31"/>
      <c r="AI21" s="41"/>
      <c r="AJ21" s="64"/>
      <c r="AK21" s="64"/>
      <c r="AM21" s="41"/>
      <c r="AN21" s="64"/>
      <c r="AO21" s="64"/>
      <c r="AQ21" s="41"/>
      <c r="AR21" s="64"/>
      <c r="AS21" s="64"/>
      <c r="BC21" s="65"/>
      <c r="BD21" s="65"/>
      <c r="BE21" s="65"/>
      <c r="BG21" s="65"/>
      <c r="BH21" s="65"/>
      <c r="BI21" s="65"/>
      <c r="BK21" s="65"/>
      <c r="BL21" s="65"/>
      <c r="BM21" s="65"/>
      <c r="BO21" s="65"/>
      <c r="BP21" s="65"/>
      <c r="BQ21" s="65"/>
    </row>
    <row r="22" spans="1:69" s="5" customFormat="1">
      <c r="A22" s="39"/>
      <c r="B22" s="42"/>
      <c r="C22" s="51" t="s">
        <v>629</v>
      </c>
      <c r="D22" s="52"/>
      <c r="E22" s="52"/>
      <c r="F22" s="53"/>
      <c r="G22" s="52"/>
      <c r="H22" s="46"/>
      <c r="I22" s="54">
        <f>'EM ASIA INCUMB'!D38</f>
        <v>393.52581321306968</v>
      </c>
      <c r="J22" s="54">
        <f>'EM ASIA INCUMB'!E38</f>
        <v>371.50676967248074</v>
      </c>
      <c r="K22" s="54">
        <f>'EM ASIA INCUMB'!F38</f>
        <v>319.28107805067725</v>
      </c>
      <c r="L22" s="54">
        <f>'EM ASIA INCUMB'!G38</f>
        <v>269.15698986342824</v>
      </c>
      <c r="M22" s="55">
        <f>'EM ASIA INCUMB'!H38</f>
        <v>4.1866648394238704E-2</v>
      </c>
      <c r="N22" s="56"/>
      <c r="O22" s="54">
        <f>'EM ASIA INCUMB'!D39</f>
        <v>1171.0083663671553</v>
      </c>
      <c r="P22" s="54">
        <f>'EM ASIA INCUMB'!E39</f>
        <v>954.71013151370084</v>
      </c>
      <c r="Q22" s="54">
        <f>'EM ASIA INCUMB'!F39</f>
        <v>779.86735149164258</v>
      </c>
      <c r="R22" s="54">
        <f>'EM ASIA INCUMB'!G39</f>
        <v>628.71389846964632</v>
      </c>
      <c r="S22" s="55">
        <f>'EM ASIA INCUMB'!H39</f>
        <v>0.12942811388589948</v>
      </c>
      <c r="T22" s="46"/>
      <c r="U22" s="57"/>
      <c r="V22" s="58" t="s">
        <v>629</v>
      </c>
      <c r="Z22" s="46"/>
      <c r="AE22" s="41"/>
      <c r="AF22" s="31"/>
      <c r="AG22" s="31"/>
      <c r="AI22" s="41"/>
      <c r="AJ22" s="64"/>
      <c r="AK22" s="64"/>
      <c r="AM22" s="41"/>
      <c r="AN22" s="64"/>
      <c r="AO22" s="64"/>
      <c r="AQ22" s="41"/>
      <c r="AR22" s="64"/>
      <c r="AS22" s="64"/>
      <c r="BC22" s="65"/>
      <c r="BD22" s="65"/>
      <c r="BE22" s="65"/>
      <c r="BG22" s="65"/>
      <c r="BH22" s="65"/>
      <c r="BI22" s="65"/>
      <c r="BK22" s="65"/>
      <c r="BL22" s="65"/>
      <c r="BM22" s="65"/>
      <c r="BO22" s="65"/>
      <c r="BP22" s="65"/>
      <c r="BQ22" s="65"/>
    </row>
    <row r="23" spans="1:69" s="5" customFormat="1">
      <c r="A23" s="39"/>
      <c r="B23" s="42"/>
      <c r="C23" s="43"/>
      <c r="D23" s="44"/>
      <c r="E23" s="44"/>
      <c r="F23" s="68"/>
      <c r="G23" s="44"/>
      <c r="H23" s="46"/>
      <c r="I23" s="62"/>
      <c r="J23" s="62"/>
      <c r="K23" s="62"/>
      <c r="L23" s="62"/>
      <c r="M23" s="61"/>
      <c r="N23" s="56"/>
      <c r="O23" s="62"/>
      <c r="P23" s="62"/>
      <c r="Q23" s="62"/>
      <c r="R23" s="62"/>
      <c r="S23" s="61"/>
      <c r="T23" s="46"/>
      <c r="U23" s="48"/>
      <c r="V23" s="50"/>
      <c r="Z23" s="46"/>
      <c r="AE23" s="41"/>
      <c r="AF23" s="31"/>
      <c r="AG23" s="31"/>
      <c r="AI23" s="41"/>
      <c r="AJ23" s="64"/>
      <c r="AK23" s="64"/>
      <c r="AM23" s="41"/>
      <c r="AN23" s="64"/>
      <c r="AO23" s="64"/>
      <c r="AQ23" s="41"/>
      <c r="AR23" s="64"/>
      <c r="AS23" s="64"/>
      <c r="BC23" s="65"/>
      <c r="BD23" s="65"/>
      <c r="BE23" s="65"/>
      <c r="BG23" s="65"/>
      <c r="BH23" s="65"/>
      <c r="BI23" s="65"/>
      <c r="BK23" s="65"/>
      <c r="BL23" s="65"/>
      <c r="BM23" s="65"/>
      <c r="BO23" s="65"/>
      <c r="BP23" s="65"/>
      <c r="BQ23" s="65"/>
    </row>
    <row r="24" spans="1:69" s="5" customFormat="1">
      <c r="A24" s="39"/>
      <c r="B24" s="42"/>
      <c r="C24" s="51" t="s">
        <v>869</v>
      </c>
      <c r="D24" s="52"/>
      <c r="E24" s="52"/>
      <c r="F24" s="53"/>
      <c r="G24" s="52"/>
      <c r="H24" s="46"/>
      <c r="I24" s="54">
        <f>'EM INCUMB'!D38</f>
        <v>251.76312581207961</v>
      </c>
      <c r="J24" s="54">
        <f>'EM INCUMB'!E38</f>
        <v>235.47331923446734</v>
      </c>
      <c r="K24" s="54">
        <f>'EM INCUMB'!F38</f>
        <v>202.08803624698223</v>
      </c>
      <c r="L24" s="54">
        <f>'EM INCUMB'!G38</f>
        <v>170.59019208597164</v>
      </c>
      <c r="M24" s="55">
        <f>'EM INCUMB'!H38</f>
        <v>4.5319782471582526E-2</v>
      </c>
      <c r="N24" s="56"/>
      <c r="O24" s="54">
        <f>'EM INCUMB'!D39</f>
        <v>633.79269108992571</v>
      </c>
      <c r="P24" s="54">
        <f>'EM INCUMB'!E39</f>
        <v>519.97663465590415</v>
      </c>
      <c r="Q24" s="54">
        <f>'EM INCUMB'!F39</f>
        <v>421.98747207824152</v>
      </c>
      <c r="R24" s="54">
        <f>'EM INCUMB'!G39</f>
        <v>339.87458306214415</v>
      </c>
      <c r="S24" s="55">
        <f>'EM INCUMB'!H39</f>
        <v>0.13008903497063584</v>
      </c>
      <c r="T24" s="46"/>
      <c r="U24" s="57"/>
      <c r="V24" s="58" t="str">
        <f>C24</f>
        <v>Agg. Emerging Incumbent</v>
      </c>
      <c r="Z24" s="46"/>
      <c r="AE24" s="41"/>
      <c r="AF24" s="31"/>
      <c r="AG24" s="31"/>
      <c r="AI24" s="41"/>
      <c r="AJ24" s="64"/>
      <c r="AK24" s="64"/>
      <c r="AM24" s="41"/>
      <c r="AN24" s="64"/>
      <c r="AO24" s="64"/>
      <c r="AQ24" s="41"/>
      <c r="AR24" s="64"/>
      <c r="AS24" s="64"/>
      <c r="BC24" s="65"/>
      <c r="BD24" s="65"/>
      <c r="BE24" s="65"/>
      <c r="BG24" s="65"/>
      <c r="BH24" s="65"/>
      <c r="BI24" s="65"/>
      <c r="BK24" s="65"/>
      <c r="BL24" s="65"/>
      <c r="BM24" s="65"/>
      <c r="BO24" s="65"/>
      <c r="BP24" s="65"/>
      <c r="BQ24" s="65"/>
    </row>
    <row r="25" spans="1:69" s="5" customFormat="1">
      <c r="A25" s="39"/>
      <c r="B25" s="42"/>
      <c r="C25" s="43"/>
      <c r="D25" s="44"/>
      <c r="E25" s="44"/>
      <c r="F25" s="45"/>
      <c r="G25" s="44"/>
      <c r="H25" s="46"/>
      <c r="I25" s="47"/>
      <c r="J25" s="47"/>
      <c r="K25" s="47"/>
      <c r="L25" s="47"/>
      <c r="M25" s="45"/>
      <c r="N25" s="56"/>
      <c r="O25" s="47"/>
      <c r="P25" s="47"/>
      <c r="Q25" s="47"/>
      <c r="R25" s="47"/>
      <c r="S25" s="45"/>
      <c r="T25" s="46"/>
      <c r="U25" s="48"/>
      <c r="V25" s="50"/>
      <c r="Z25" s="46"/>
      <c r="AE25" s="41"/>
      <c r="AF25" s="31"/>
      <c r="AG25" s="31"/>
      <c r="AI25" s="41"/>
      <c r="AJ25" s="64"/>
      <c r="AK25" s="64"/>
      <c r="AM25" s="41"/>
      <c r="AN25" s="64"/>
      <c r="AO25" s="64"/>
      <c r="AQ25" s="41"/>
      <c r="AR25" s="64"/>
      <c r="AS25" s="64"/>
      <c r="BC25" s="65"/>
      <c r="BD25" s="65"/>
      <c r="BE25" s="65"/>
      <c r="BG25" s="65"/>
      <c r="BH25" s="65"/>
      <c r="BI25" s="65"/>
      <c r="BK25" s="65"/>
      <c r="BL25" s="65"/>
      <c r="BM25" s="65"/>
      <c r="BO25" s="65"/>
      <c r="BP25" s="65"/>
      <c r="BQ25" s="65"/>
    </row>
    <row r="26" spans="1:69" s="5" customFormat="1">
      <c r="A26" s="41" t="s">
        <v>507</v>
      </c>
      <c r="B26" s="42" t="s">
        <v>1417</v>
      </c>
      <c r="C26" s="48" t="s">
        <v>1084</v>
      </c>
      <c r="D26" s="44" t="str">
        <f>'EM Multiples'!B26&amp;TEXT(Prices!C108,"0.00")</f>
        <v>USD 1.21</v>
      </c>
      <c r="E26" s="44" t="str">
        <f>'EM Multiples'!B26&amp;TEXT(Prices!E108,"0.00")</f>
        <v>USD 1.50</v>
      </c>
      <c r="F26" s="45">
        <f>Prices!F108</f>
        <v>0.2396694214876034</v>
      </c>
      <c r="G26" s="44" t="str">
        <f>Prices!D108</f>
        <v>Buy</v>
      </c>
      <c r="H26" s="46"/>
      <c r="I26" s="47">
        <f>AAF!$D$38</f>
        <v>5.2314964608568664</v>
      </c>
      <c r="J26" s="47">
        <f>AAF!$E$38</f>
        <v>5.4543296153018233</v>
      </c>
      <c r="K26" s="47">
        <f>AAF!$F$38</f>
        <v>4.7813279069830799</v>
      </c>
      <c r="L26" s="47">
        <f>AAF!$G$38</f>
        <v>4.2920380885976783</v>
      </c>
      <c r="M26" s="45">
        <f>AAF!$H$38</f>
        <v>4.283460967218744E-2</v>
      </c>
      <c r="N26" s="56"/>
      <c r="O26" s="47">
        <f>AAF!$D$39</f>
        <v>8.4150371024641686</v>
      </c>
      <c r="P26" s="47">
        <f>AAF!$E$39</f>
        <v>9.4442898868632561</v>
      </c>
      <c r="Q26" s="47">
        <f>AAF!$F$39</f>
        <v>8.0146030900236038</v>
      </c>
      <c r="R26" s="47">
        <f>AAF!$G$39</f>
        <v>7.0602349179844683</v>
      </c>
      <c r="S26" s="169">
        <f>AAF!$H$39</f>
        <v>3.5079262624339913E-2</v>
      </c>
      <c r="T26" s="46"/>
      <c r="U26" s="48" t="str">
        <f t="shared" ref="U26" si="2">D26</f>
        <v>USD 1.21</v>
      </c>
      <c r="V26" s="44" t="s">
        <v>1084</v>
      </c>
      <c r="Z26" s="46"/>
      <c r="AE26" s="41"/>
      <c r="AF26" s="31"/>
      <c r="AG26" s="31"/>
      <c r="AI26" s="41"/>
      <c r="AJ26" s="64"/>
      <c r="AK26" s="64"/>
      <c r="AM26" s="41"/>
      <c r="AN26" s="64"/>
      <c r="AO26" s="64"/>
      <c r="AQ26" s="41"/>
      <c r="AR26" s="64"/>
      <c r="AS26" s="64"/>
      <c r="BC26" s="65"/>
      <c r="BD26" s="65"/>
      <c r="BE26" s="65"/>
      <c r="BG26" s="65"/>
      <c r="BH26" s="65"/>
      <c r="BI26" s="65"/>
      <c r="BK26" s="65"/>
      <c r="BL26" s="65"/>
      <c r="BM26" s="65"/>
      <c r="BO26" s="65"/>
      <c r="BP26" s="65"/>
      <c r="BQ26" s="65"/>
    </row>
    <row r="27" spans="1:69" s="5" customFormat="1">
      <c r="A27" s="41"/>
      <c r="B27" s="42" t="s">
        <v>1417</v>
      </c>
      <c r="C27" s="48" t="s">
        <v>292</v>
      </c>
      <c r="D27" s="44" t="str">
        <f>'EM Multiples'!B27&amp;TEXT(Prices!C109,"0.00")</f>
        <v>USD 10.00</v>
      </c>
      <c r="E27" s="44" t="str">
        <f>'EM Multiples'!B27&amp;TEXT(Prices!E109,"0.00")</f>
        <v>USD 10.10</v>
      </c>
      <c r="F27" s="45">
        <f>Prices!F109</f>
        <v>1.0000000000000009E-2</v>
      </c>
      <c r="G27" s="44" t="str">
        <f>Prices!D109</f>
        <v>Buy</v>
      </c>
      <c r="H27" s="46"/>
      <c r="I27" s="47">
        <f>MTS!$D$38</f>
        <v>6.8460028655583676</v>
      </c>
      <c r="J27" s="47">
        <f>MTS!$E$38</f>
        <v>6.5970097623661905</v>
      </c>
      <c r="K27" s="47">
        <f>MTS!$F$38</f>
        <v>6.3392540459890103</v>
      </c>
      <c r="L27" s="47">
        <f>MTS!$G$38</f>
        <v>6.0955787141535192</v>
      </c>
      <c r="M27" s="45">
        <f>MTS!$H$38</f>
        <v>1.8741464069604863E-3</v>
      </c>
      <c r="N27" s="56"/>
      <c r="O27" s="47">
        <f>MTS!$D$39</f>
        <v>11.76556157433623</v>
      </c>
      <c r="P27" s="47">
        <f>MTS!$E$39</f>
        <v>10.834052707576824</v>
      </c>
      <c r="Q27" s="47">
        <f>MTS!$F$39</f>
        <v>10.532137706695863</v>
      </c>
      <c r="R27" s="47">
        <f>MTS!$G$39</f>
        <v>10.251137001703572</v>
      </c>
      <c r="S27" s="169">
        <f>MTS!$H$39</f>
        <v>9.1428942790983125E-3</v>
      </c>
      <c r="T27" s="46"/>
      <c r="U27" s="48" t="str">
        <f t="shared" ref="U27:U32" si="3">D27</f>
        <v>USD 10.00</v>
      </c>
      <c r="V27" s="44" t="s">
        <v>292</v>
      </c>
      <c r="Z27" s="46"/>
      <c r="AE27" s="41"/>
      <c r="AF27" s="31"/>
      <c r="AG27" s="31"/>
      <c r="AI27" s="41"/>
      <c r="AJ27" s="64"/>
      <c r="AK27" s="64"/>
      <c r="AM27" s="41"/>
      <c r="AN27" s="64"/>
      <c r="AO27" s="64"/>
      <c r="AQ27" s="41"/>
      <c r="AR27" s="64"/>
      <c r="AS27" s="64"/>
      <c r="BC27" s="65"/>
      <c r="BD27" s="65"/>
      <c r="BE27" s="65"/>
      <c r="BG27" s="65"/>
      <c r="BH27" s="65"/>
      <c r="BI27" s="65"/>
      <c r="BK27" s="65"/>
      <c r="BL27" s="65"/>
      <c r="BM27" s="65"/>
      <c r="BO27" s="65"/>
      <c r="BP27" s="65"/>
      <c r="BQ27" s="65"/>
    </row>
    <row r="28" spans="1:69" s="5" customFormat="1">
      <c r="A28" s="39"/>
      <c r="B28" s="42" t="s">
        <v>230</v>
      </c>
      <c r="C28" s="48" t="s">
        <v>404</v>
      </c>
      <c r="D28" s="44" t="str">
        <f>'EM Multiples'!B28&amp;TEXT(Prices!C110/100,"0.00")</f>
        <v>ZAR 86.08</v>
      </c>
      <c r="E28" s="44" t="str">
        <f>'EM Multiples'!B28&amp;TEXT(Prices!E110/100,"0.00")</f>
        <v>ZAR 130.00</v>
      </c>
      <c r="F28" s="45">
        <f>Prices!F110</f>
        <v>0.5102230483271375</v>
      </c>
      <c r="G28" s="44" t="str">
        <f>Prices!D110</f>
        <v>Buy</v>
      </c>
      <c r="H28" s="46"/>
      <c r="I28" s="47">
        <f>MTN!$D$38</f>
        <v>3.507772039723279</v>
      </c>
      <c r="J28" s="47">
        <f>MTN!$E$38</f>
        <v>4.3295314081234828</v>
      </c>
      <c r="K28" s="47">
        <f>MTN!$F$38</f>
        <v>3.8716124568965551</v>
      </c>
      <c r="L28" s="47">
        <f>MTN!$G$38</f>
        <v>3.5556147422525739</v>
      </c>
      <c r="M28" s="45">
        <f>MTN!$H$38</f>
        <v>4.1911162523096346E-2</v>
      </c>
      <c r="N28" s="56"/>
      <c r="O28" s="47">
        <f>MTN!$D$39</f>
        <v>9.081883767653574</v>
      </c>
      <c r="P28" s="47">
        <f>MTN!$E$39</f>
        <v>10.033926313047974</v>
      </c>
      <c r="Q28" s="47">
        <f>MTN!$F$39</f>
        <v>8.1273427505428284</v>
      </c>
      <c r="R28" s="47">
        <f>MTN!$G$39</f>
        <v>6.9916595796481857</v>
      </c>
      <c r="S28" s="169">
        <f>MTN!$H$39</f>
        <v>0.14197612556269124</v>
      </c>
      <c r="T28" s="46"/>
      <c r="U28" s="48" t="str">
        <f t="shared" si="3"/>
        <v>ZAR 86.08</v>
      </c>
      <c r="V28" s="44" t="s">
        <v>404</v>
      </c>
      <c r="Z28" s="46"/>
      <c r="AE28" s="41"/>
      <c r="AF28" s="31"/>
      <c r="AG28" s="31"/>
      <c r="AI28" s="41"/>
      <c r="AJ28" s="64"/>
      <c r="AK28" s="64"/>
      <c r="AM28" s="41"/>
      <c r="AN28" s="64"/>
      <c r="AO28" s="64"/>
      <c r="AQ28" s="41"/>
      <c r="AR28" s="64"/>
      <c r="AS28" s="64"/>
      <c r="BC28" s="65"/>
      <c r="BD28" s="65"/>
      <c r="BE28" s="65"/>
      <c r="BG28" s="65"/>
      <c r="BH28" s="65"/>
      <c r="BI28" s="65"/>
      <c r="BK28" s="65"/>
      <c r="BL28" s="65"/>
      <c r="BM28" s="65"/>
      <c r="BO28" s="65"/>
      <c r="BP28" s="65"/>
      <c r="BQ28" s="65"/>
    </row>
    <row r="29" spans="1:69" s="5" customFormat="1">
      <c r="A29" s="39"/>
      <c r="B29" s="42" t="s">
        <v>1427</v>
      </c>
      <c r="C29" s="48" t="s">
        <v>414</v>
      </c>
      <c r="D29" s="44" t="str">
        <f>'EM Multiples'!B29&amp;TEXT(Prices!C111,"0.00")</f>
        <v>KES 17.75</v>
      </c>
      <c r="E29" s="44" t="str">
        <f>'EM Multiples'!B29&amp;TEXT(Prices!E111,"0.0")</f>
        <v>KES 17.0</v>
      </c>
      <c r="F29" s="45">
        <f>Prices!F111</f>
        <v>-4.2253521126760618E-2</v>
      </c>
      <c r="G29" s="44" t="str">
        <f>Prices!D111</f>
        <v>Neutral</v>
      </c>
      <c r="H29" s="46"/>
      <c r="I29" s="47">
        <f>SAF!$D$38</f>
        <v>4.2326501749961523</v>
      </c>
      <c r="J29" s="47">
        <f>SAF!$E$38</f>
        <v>3.7559170740729182</v>
      </c>
      <c r="K29" s="47">
        <f>SAF!$F$38</f>
        <v>3.2334659691282921</v>
      </c>
      <c r="L29" s="47">
        <f>SAF!$G$38</f>
        <v>2.7292276409590754</v>
      </c>
      <c r="M29" s="45">
        <f>SAF!$H$38</f>
        <v>7.8068541407177117E-2</v>
      </c>
      <c r="N29" s="56"/>
      <c r="O29" s="47">
        <f>SAF!$D$39</f>
        <v>9.1276610879085673</v>
      </c>
      <c r="P29" s="47">
        <f>SAF!$E$39</f>
        <v>9.8532835501814375</v>
      </c>
      <c r="Q29" s="47">
        <f>SAF!$F$39</f>
        <v>6.0588274297803997</v>
      </c>
      <c r="R29" s="47">
        <f>SAF!$G$39</f>
        <v>4.2407413717092117</v>
      </c>
      <c r="S29" s="169">
        <f>SAF!$H$39</f>
        <v>0.20252673734908933</v>
      </c>
      <c r="T29" s="46"/>
      <c r="U29" s="48" t="str">
        <f>D29</f>
        <v>KES 17.75</v>
      </c>
      <c r="V29" s="44" t="str">
        <f>C29</f>
        <v>Safaricom</v>
      </c>
      <c r="Z29" s="46"/>
      <c r="AE29" s="41"/>
      <c r="AF29" s="31"/>
      <c r="AG29" s="31"/>
      <c r="AI29" s="41"/>
      <c r="AJ29" s="64"/>
      <c r="AK29" s="64"/>
      <c r="AM29" s="41"/>
      <c r="AN29" s="64"/>
      <c r="AO29" s="64"/>
      <c r="AQ29" s="41"/>
      <c r="AR29" s="64"/>
      <c r="AS29" s="64"/>
      <c r="BC29" s="65"/>
      <c r="BD29" s="65"/>
      <c r="BE29" s="65"/>
      <c r="BG29" s="65"/>
      <c r="BH29" s="65"/>
      <c r="BI29" s="65"/>
      <c r="BK29" s="65"/>
      <c r="BL29" s="65"/>
      <c r="BM29" s="65"/>
      <c r="BO29" s="65"/>
      <c r="BP29" s="65"/>
      <c r="BQ29" s="65"/>
    </row>
    <row r="30" spans="1:69" s="5" customFormat="1">
      <c r="A30" s="39"/>
      <c r="B30" s="42" t="s">
        <v>1417</v>
      </c>
      <c r="C30" s="48" t="s">
        <v>392</v>
      </c>
      <c r="D30" s="44" t="str">
        <f>'EM Multiples'!B30&amp;TEXT(Prices!C112,"0.00")</f>
        <v>USD 91.80</v>
      </c>
      <c r="E30" s="44" t="str">
        <f>'EM Multiples'!B30&amp;TEXT(Prices!E112,"0.00")</f>
        <v>USD 16.90</v>
      </c>
      <c r="F30" s="45">
        <f>Prices!F112</f>
        <v>-0.81590413943355122</v>
      </c>
      <c r="G30" s="44" t="str">
        <f>Prices!D112</f>
        <v>Buy</v>
      </c>
      <c r="H30" s="46"/>
      <c r="I30" s="47">
        <f>TKC!$D$38</f>
        <v>14.788101183012847</v>
      </c>
      <c r="J30" s="47">
        <f>TKC!$E$38</f>
        <v>13.640187715118071</v>
      </c>
      <c r="K30" s="47">
        <f>TKC!$F$38</f>
        <v>12.542660127424764</v>
      </c>
      <c r="L30" s="47">
        <f>TKC!$G$38</f>
        <v>11.516046898027426</v>
      </c>
      <c r="M30" s="45">
        <f>TKC!$H$38</f>
        <v>5.8545726276221677E-2</v>
      </c>
      <c r="N30" s="56"/>
      <c r="O30" s="47">
        <f>TKC!$D$39</f>
        <v>24.880978154165284</v>
      </c>
      <c r="P30" s="47">
        <f>TKC!$E$39</f>
        <v>22.204830988526737</v>
      </c>
      <c r="Q30" s="47">
        <f>TKC!$F$39</f>
        <v>19.813648730238469</v>
      </c>
      <c r="R30" s="47">
        <f>TKC!$G$39</f>
        <v>18.311841010693133</v>
      </c>
      <c r="S30" s="169">
        <f>TKC!$H$39</f>
        <v>7.8661324138610045E-2</v>
      </c>
      <c r="T30" s="46"/>
      <c r="U30" s="48" t="str">
        <f t="shared" si="3"/>
        <v>USD 91.80</v>
      </c>
      <c r="V30" s="44" t="s">
        <v>392</v>
      </c>
      <c r="Z30" s="46"/>
      <c r="AE30" s="41"/>
      <c r="AF30" s="31"/>
      <c r="AG30" s="31"/>
      <c r="AI30" s="41"/>
      <c r="AJ30" s="64"/>
      <c r="AK30" s="64"/>
      <c r="AM30" s="41"/>
      <c r="AN30" s="64"/>
      <c r="AO30" s="64"/>
      <c r="AQ30" s="41"/>
      <c r="AR30" s="64"/>
      <c r="AS30" s="64"/>
      <c r="BC30" s="65"/>
      <c r="BD30" s="65"/>
      <c r="BE30" s="65"/>
      <c r="BG30" s="65"/>
      <c r="BH30" s="65"/>
      <c r="BI30" s="65"/>
      <c r="BK30" s="65"/>
      <c r="BL30" s="65"/>
      <c r="BM30" s="65"/>
      <c r="BO30" s="65"/>
      <c r="BP30" s="65"/>
      <c r="BQ30" s="65"/>
    </row>
    <row r="31" spans="1:69" s="5" customFormat="1">
      <c r="A31" s="39"/>
      <c r="B31" s="42" t="s">
        <v>1417</v>
      </c>
      <c r="C31" s="48" t="s">
        <v>987</v>
      </c>
      <c r="D31" s="44" t="str">
        <f>'EM Multiples'!B31&amp;TEXT(Prices!C113,"0.0")</f>
        <v>USD 25.5</v>
      </c>
      <c r="E31" s="44" t="str">
        <f>'EM Multiples'!B31&amp;TEXT(Prices!E113,"0.0")</f>
        <v>USD 40.0</v>
      </c>
      <c r="F31" s="45">
        <f>Prices!F113</f>
        <v>0.56678417547982751</v>
      </c>
      <c r="G31" s="44" t="str">
        <f>Prices!D113</f>
        <v>Buy</v>
      </c>
      <c r="H31" s="46"/>
      <c r="I31" s="47">
        <f>VIMP!$D$38</f>
        <v>30.558099847386256</v>
      </c>
      <c r="J31" s="47">
        <f>VIMP!$E$38</f>
        <v>27.146361796712473</v>
      </c>
      <c r="K31" s="47">
        <f>VIMP!$F$38</f>
        <v>25.640223465794648</v>
      </c>
      <c r="L31" s="47">
        <f>VIMP!$G$38</f>
        <v>24.473147135844336</v>
      </c>
      <c r="M31" s="45">
        <f>VIMP!$H$38</f>
        <v>6.7709469932891286E-2</v>
      </c>
      <c r="N31" s="56"/>
      <c r="O31" s="47">
        <f>VIMP!$D$39</f>
        <v>61.554279887103945</v>
      </c>
      <c r="P31" s="47">
        <f>VIMP!$E$39</f>
        <v>50.45172048665443</v>
      </c>
      <c r="Q31" s="47">
        <f>VIMP!$F$39</f>
        <v>49.068012560023988</v>
      </c>
      <c r="R31" s="47">
        <f>VIMP!$G$39</f>
        <v>46.372683456728645</v>
      </c>
      <c r="S31" s="45">
        <f>VIMP!$H$39</f>
        <v>8.9698271943677632E-2</v>
      </c>
      <c r="T31" s="46"/>
      <c r="U31" s="48" t="str">
        <f t="shared" si="3"/>
        <v>USD 25.5</v>
      </c>
      <c r="V31" s="44" t="s">
        <v>407</v>
      </c>
      <c r="Z31" s="46"/>
      <c r="AE31" s="41"/>
      <c r="AF31" s="31"/>
      <c r="AG31" s="31"/>
      <c r="AI31" s="41"/>
      <c r="AJ31" s="64"/>
      <c r="AK31" s="64"/>
      <c r="AM31" s="41"/>
      <c r="AN31" s="64"/>
      <c r="AO31" s="64"/>
      <c r="AQ31" s="41"/>
      <c r="AR31" s="64"/>
      <c r="AS31" s="64"/>
      <c r="BC31" s="65"/>
      <c r="BD31" s="65"/>
      <c r="BE31" s="65"/>
      <c r="BG31" s="65"/>
      <c r="BH31" s="65"/>
      <c r="BI31" s="65"/>
      <c r="BK31" s="65"/>
      <c r="BL31" s="65"/>
      <c r="BM31" s="65"/>
      <c r="BO31" s="65"/>
      <c r="BP31" s="65"/>
      <c r="BQ31" s="65"/>
    </row>
    <row r="32" spans="1:69" s="5" customFormat="1">
      <c r="A32" s="39"/>
      <c r="B32" s="42" t="s">
        <v>230</v>
      </c>
      <c r="C32" s="48" t="s">
        <v>381</v>
      </c>
      <c r="D32" s="44" t="str">
        <f>'EM Multiples'!B32&amp;TEXT(Prices!C114/100,"0.0")</f>
        <v>ZAR 95.8</v>
      </c>
      <c r="E32" s="44" t="str">
        <f>'EM Multiples'!B32&amp;TEXT(Prices!E114/100,"0.0")</f>
        <v>ZAR 130.0</v>
      </c>
      <c r="F32" s="45">
        <f>Prices!F114</f>
        <v>0.35685210312075988</v>
      </c>
      <c r="G32" s="44" t="str">
        <f>Prices!D114</f>
        <v>Neutral</v>
      </c>
      <c r="H32" s="46"/>
      <c r="I32" s="47">
        <f>VODA!$D$38</f>
        <v>3.3745061674116141</v>
      </c>
      <c r="J32" s="47">
        <f>VODA!$E$38</f>
        <v>3.2951767016462807</v>
      </c>
      <c r="K32" s="47">
        <f>VODA!$F$38</f>
        <v>2.757672855847106</v>
      </c>
      <c r="L32" s="47">
        <f>VODA!$G$38</f>
        <v>2.3174722364793405</v>
      </c>
      <c r="M32" s="45">
        <f>VODA!$H$38</f>
        <v>3.8546957924480596E-2</v>
      </c>
      <c r="N32" s="56"/>
      <c r="O32" s="47">
        <f>VODA!$D$39</f>
        <v>5.2511679868800254</v>
      </c>
      <c r="P32" s="47">
        <f>VODA!$E$39</f>
        <v>5.4153580477071435</v>
      </c>
      <c r="Q32" s="47">
        <f>VODA!$F$39</f>
        <v>4.4269113580850119</v>
      </c>
      <c r="R32" s="47">
        <f>VODA!$G$39</f>
        <v>3.706176133487308</v>
      </c>
      <c r="S32" s="45">
        <f>VODA!$H$39</f>
        <v>2.9131476324875338E-2</v>
      </c>
      <c r="T32" s="46"/>
      <c r="U32" s="48" t="str">
        <f t="shared" si="3"/>
        <v>ZAR 95.8</v>
      </c>
      <c r="V32" s="44" t="s">
        <v>381</v>
      </c>
      <c r="Z32" s="46"/>
      <c r="AE32" s="41"/>
      <c r="AF32" s="31"/>
      <c r="AG32" s="31"/>
      <c r="AI32" s="41"/>
      <c r="AJ32" s="64"/>
      <c r="AK32" s="64"/>
      <c r="AM32" s="41"/>
      <c r="AN32" s="64"/>
      <c r="AO32" s="64"/>
      <c r="AQ32" s="41"/>
      <c r="AR32" s="64"/>
      <c r="AS32" s="64"/>
      <c r="BC32" s="65"/>
      <c r="BD32" s="65"/>
      <c r="BE32" s="65"/>
      <c r="BG32" s="65"/>
      <c r="BH32" s="65"/>
      <c r="BI32" s="65"/>
      <c r="BK32" s="65"/>
      <c r="BL32" s="65"/>
      <c r="BM32" s="65"/>
      <c r="BO32" s="65"/>
      <c r="BP32" s="65"/>
      <c r="BQ32" s="65"/>
    </row>
    <row r="33" spans="1:69" s="5" customFormat="1">
      <c r="B33" s="42"/>
      <c r="C33" s="51" t="s">
        <v>513</v>
      </c>
      <c r="D33" s="52"/>
      <c r="E33" s="52"/>
      <c r="F33" s="53"/>
      <c r="G33" s="52"/>
      <c r="H33" s="46"/>
      <c r="I33" s="54">
        <f>'EMEA CELLULAR'!$D$38</f>
        <v>7.2238222733245729</v>
      </c>
      <c r="J33" s="54">
        <f>'EMEA CELLULAR'!$E$38</f>
        <v>7.4237558505709842</v>
      </c>
      <c r="K33" s="54">
        <f>'EMEA CELLULAR'!$F$38</f>
        <v>6.674196011969129</v>
      </c>
      <c r="L33" s="54">
        <f>'EMEA CELLULAR'!$G$38</f>
        <v>6.0998043636708204</v>
      </c>
      <c r="M33" s="55">
        <f>'EMEA CELLULAR'!$H$38</f>
        <v>4.2902128020809061E-2</v>
      </c>
      <c r="N33" s="56"/>
      <c r="O33" s="54">
        <f>'EMEA CELLULAR'!$D$39</f>
        <v>13.934000165140167</v>
      </c>
      <c r="P33" s="54">
        <f>'EMEA CELLULAR'!$E$39</f>
        <v>14.181691463921256</v>
      </c>
      <c r="Q33" s="54">
        <f>'EMEA CELLULAR'!$F$39</f>
        <v>12.081890560836975</v>
      </c>
      <c r="R33" s="54">
        <f>'EMEA CELLULAR'!$G$39</f>
        <v>10.645257413209695</v>
      </c>
      <c r="S33" s="55">
        <f>'EMEA CELLULAR'!$H$39</f>
        <v>7.8283731285485381E-2</v>
      </c>
      <c r="T33" s="46"/>
      <c r="U33" s="57"/>
      <c r="V33" s="58" t="s">
        <v>513</v>
      </c>
      <c r="Z33" s="46"/>
      <c r="AE33" s="41"/>
      <c r="AF33" s="31"/>
      <c r="AG33" s="31"/>
      <c r="AI33" s="41"/>
      <c r="AJ33" s="64"/>
      <c r="AK33" s="64"/>
      <c r="AM33" s="41"/>
      <c r="AN33" s="64"/>
      <c r="AO33" s="64"/>
      <c r="AQ33" s="41"/>
      <c r="AR33" s="64"/>
      <c r="AS33" s="64"/>
      <c r="BC33" s="65"/>
      <c r="BD33" s="65"/>
      <c r="BE33" s="65"/>
      <c r="BG33" s="65"/>
      <c r="BH33" s="65"/>
      <c r="BI33" s="65"/>
      <c r="BK33" s="65"/>
      <c r="BL33" s="65"/>
      <c r="BM33" s="65"/>
      <c r="BO33" s="65"/>
      <c r="BP33" s="65"/>
      <c r="BQ33" s="65"/>
    </row>
    <row r="34" spans="1:69" s="5" customFormat="1">
      <c r="B34" s="42"/>
      <c r="C34" s="43"/>
      <c r="D34" s="44"/>
      <c r="E34" s="44"/>
      <c r="F34" s="45"/>
      <c r="G34" s="44"/>
      <c r="H34" s="46"/>
      <c r="I34" s="47"/>
      <c r="J34" s="47"/>
      <c r="K34" s="47"/>
      <c r="L34" s="47"/>
      <c r="M34" s="45"/>
      <c r="N34" s="56"/>
      <c r="O34" s="47"/>
      <c r="P34" s="47"/>
      <c r="Q34" s="47"/>
      <c r="R34" s="47"/>
      <c r="S34" s="45"/>
      <c r="T34" s="46"/>
      <c r="U34" s="48"/>
      <c r="V34" s="50"/>
      <c r="Z34" s="46"/>
      <c r="AE34" s="41"/>
      <c r="AF34" s="31"/>
      <c r="AG34" s="31"/>
      <c r="AI34" s="41"/>
      <c r="AJ34" s="64"/>
      <c r="AK34" s="64"/>
      <c r="AM34" s="41"/>
      <c r="AN34" s="64"/>
      <c r="AO34" s="64"/>
      <c r="AQ34" s="41"/>
      <c r="AR34" s="64"/>
      <c r="AS34" s="64"/>
      <c r="BC34" s="65"/>
      <c r="BD34" s="65"/>
      <c r="BE34" s="65"/>
      <c r="BG34" s="65"/>
      <c r="BH34" s="65"/>
      <c r="BI34" s="65"/>
      <c r="BK34" s="65"/>
      <c r="BL34" s="65"/>
      <c r="BM34" s="65"/>
      <c r="BO34" s="65"/>
      <c r="BP34" s="65"/>
      <c r="BQ34" s="65"/>
    </row>
    <row r="35" spans="1:69" s="5" customFormat="1">
      <c r="B35" s="42" t="s">
        <v>437</v>
      </c>
      <c r="C35" s="48" t="s">
        <v>637</v>
      </c>
      <c r="D35" s="44" t="str">
        <f>'EM Multiples'!B35&amp;TEXT(Prices!C130," 0,0")</f>
        <v>CLP 3,022</v>
      </c>
      <c r="E35" s="44" t="str">
        <f>'EM Multiples'!B35&amp;TEXT(Prices!E130," 0,0")</f>
        <v>CLP 3,150</v>
      </c>
      <c r="F35" s="45">
        <f>Prices!F130</f>
        <v>4.2356055592323028E-2</v>
      </c>
      <c r="G35" s="44" t="str">
        <f>Prices!D130</f>
        <v>Neutral</v>
      </c>
      <c r="H35" s="46"/>
      <c r="I35" s="47">
        <f>ENTEL!$D$38</f>
        <v>3.5603082319004309</v>
      </c>
      <c r="J35" s="47">
        <f>ENTEL!$E$38</f>
        <v>3.1258993368743018</v>
      </c>
      <c r="K35" s="47">
        <f>ENTEL!$F$38</f>
        <v>2.6259327932672565</v>
      </c>
      <c r="L35" s="47">
        <f>ENTEL!$G$38</f>
        <v>2.0850264264730933</v>
      </c>
      <c r="M35" s="45">
        <f>ENTEL!$H$38</f>
        <v>6.28752032525417E-2</v>
      </c>
      <c r="N35" s="56"/>
      <c r="O35" s="47">
        <f>ENTEL!$D$39</f>
        <v>8.8762817369266074</v>
      </c>
      <c r="P35" s="47">
        <f>ENTEL!$E$39</f>
        <v>7.1385255061227326</v>
      </c>
      <c r="Q35" s="47">
        <f>ENTEL!$F$39</f>
        <v>5.4995552399881298</v>
      </c>
      <c r="R35" s="47">
        <f>ENTEL!$G$39</f>
        <v>4.1630261190302784</v>
      </c>
      <c r="S35" s="169">
        <f>ENTEL!$H$39</f>
        <v>0.1445398311886632</v>
      </c>
      <c r="T35" s="46"/>
      <c r="U35" s="48" t="str">
        <f>D35</f>
        <v>CLP 3,022</v>
      </c>
      <c r="V35" s="44" t="s">
        <v>637</v>
      </c>
      <c r="Z35" s="46"/>
      <c r="AE35" s="41"/>
      <c r="AF35" s="31"/>
      <c r="AG35" s="31"/>
      <c r="AI35" s="41"/>
      <c r="AJ35" s="64"/>
      <c r="AK35" s="64"/>
      <c r="AM35" s="41"/>
      <c r="AN35" s="64"/>
      <c r="AO35" s="64"/>
      <c r="AQ35" s="41"/>
      <c r="AR35" s="64"/>
      <c r="AS35" s="64"/>
      <c r="BC35" s="65"/>
      <c r="BD35" s="65"/>
      <c r="BE35" s="65"/>
      <c r="BG35" s="65"/>
      <c r="BH35" s="65"/>
      <c r="BI35" s="65"/>
      <c r="BK35" s="65"/>
      <c r="BL35" s="65"/>
      <c r="BM35" s="65"/>
      <c r="BO35" s="65"/>
      <c r="BP35" s="65"/>
      <c r="BQ35" s="65"/>
    </row>
    <row r="36" spans="1:69" s="5" customFormat="1">
      <c r="B36" s="42" t="s">
        <v>1417</v>
      </c>
      <c r="C36" s="48" t="s">
        <v>403</v>
      </c>
      <c r="D36" s="44" t="str">
        <f>'EM Multiples'!B36&amp;TEXT(Prices!C131," 0.0")</f>
        <v>USD  24.1</v>
      </c>
      <c r="E36" s="44" t="str">
        <f>'EM Multiples'!B36&amp;TEXT(Prices!E131,"0.0")</f>
        <v>USD 18.0</v>
      </c>
      <c r="F36" s="45">
        <f>Prices!F131</f>
        <v>-0.25280199252801994</v>
      </c>
      <c r="G36" s="44" t="str">
        <f>Prices!D131</f>
        <v>Neutral</v>
      </c>
      <c r="H36" s="46"/>
      <c r="I36" s="47">
        <f>MILLI!$D$38</f>
        <v>7.5765323570629031</v>
      </c>
      <c r="J36" s="47">
        <f>MILLI!$E$38</f>
        <v>7.4383251164379987</v>
      </c>
      <c r="K36" s="47">
        <f>MILLI!$F$38</f>
        <v>7.0533042929666898</v>
      </c>
      <c r="L36" s="47">
        <f>MILLI!$G$38</f>
        <v>6.6033707992578723</v>
      </c>
      <c r="M36" s="45">
        <f>MILLI!$H$38</f>
        <v>2.6439969252693762E-2</v>
      </c>
      <c r="N36" s="56"/>
      <c r="O36" s="47">
        <f>MILLI!$D$39</f>
        <v>12.673050046580405</v>
      </c>
      <c r="P36" s="47">
        <f>MILLI!$E$39</f>
        <v>12.232774588375465</v>
      </c>
      <c r="Q36" s="47">
        <f>MILLI!$F$39</f>
        <v>11.378500609748203</v>
      </c>
      <c r="R36" s="47">
        <f>MILLI!$G$39</f>
        <v>10.539345860590066</v>
      </c>
      <c r="S36" s="169">
        <f>MILLI!$H$39</f>
        <v>4.2608161608423067E-2</v>
      </c>
      <c r="T36" s="46"/>
      <c r="U36" s="48" t="str">
        <f>D36</f>
        <v>USD  24.1</v>
      </c>
      <c r="V36" s="44" t="s">
        <v>403</v>
      </c>
      <c r="Z36" s="46"/>
      <c r="AE36" s="41"/>
      <c r="AF36" s="31"/>
      <c r="AG36" s="31"/>
      <c r="AI36" s="41"/>
      <c r="AJ36" s="64"/>
      <c r="AK36" s="64"/>
      <c r="AM36" s="41"/>
      <c r="AN36" s="64"/>
      <c r="AO36" s="64"/>
      <c r="AQ36" s="41"/>
      <c r="AR36" s="64"/>
      <c r="AS36" s="64"/>
      <c r="BC36" s="65"/>
      <c r="BD36" s="65"/>
      <c r="BE36" s="65"/>
      <c r="BG36" s="65"/>
      <c r="BH36" s="65"/>
      <c r="BI36" s="65"/>
      <c r="BK36" s="65"/>
      <c r="BL36" s="65"/>
      <c r="BM36" s="65"/>
      <c r="BO36" s="65"/>
      <c r="BP36" s="65"/>
      <c r="BQ36" s="65"/>
    </row>
    <row r="37" spans="1:69" s="5" customFormat="1">
      <c r="B37" s="42" t="s">
        <v>143</v>
      </c>
      <c r="C37" s="48" t="s">
        <v>111</v>
      </c>
      <c r="D37" s="44" t="str">
        <f>'EM Multiples'!B37&amp;TEXT(Prices!C132,"0.00")</f>
        <v>BRL 16.42</v>
      </c>
      <c r="E37" s="44" t="str">
        <f>'EM Multiples'!B37&amp;TEXT(Prices!E132,"0.00")</f>
        <v>BRL 23.00</v>
      </c>
      <c r="F37" s="45">
        <f>Prices!F132</f>
        <v>0.40073081607795347</v>
      </c>
      <c r="G37" s="44" t="str">
        <f>Prices!D132</f>
        <v>Buy</v>
      </c>
      <c r="H37" s="46"/>
      <c r="I37" s="47">
        <f>TIMP!$D$38</f>
        <v>3.9889126545095897</v>
      </c>
      <c r="J37" s="47">
        <f>TIMP!$E$38</f>
        <v>3.2583026802964468</v>
      </c>
      <c r="K37" s="47">
        <f>TIMP!$F$38</f>
        <v>2.5989767944237996</v>
      </c>
      <c r="L37" s="47">
        <f>TIMP!$G$38</f>
        <v>2.0046998961028448</v>
      </c>
      <c r="M37" s="45">
        <f>TIMP!$H$38</f>
        <v>7.1701870419550895E-2</v>
      </c>
      <c r="N37" s="56"/>
      <c r="O37" s="47">
        <f>TIMP!$D$39</f>
        <v>6.5070798956210885</v>
      </c>
      <c r="P37" s="47">
        <f>TIMP!$E$39</f>
        <v>5.0035668596839091</v>
      </c>
      <c r="Q37" s="47">
        <f>TIMP!$F$39</f>
        <v>3.8241588176856176</v>
      </c>
      <c r="R37" s="47">
        <f>TIMP!$G$39</f>
        <v>2.9501041167016293</v>
      </c>
      <c r="S37" s="45">
        <f>TIMP!$H$39</f>
        <v>0.10914553252012116</v>
      </c>
      <c r="T37" s="46"/>
      <c r="U37" s="48" t="str">
        <f>D37</f>
        <v>BRL 16.42</v>
      </c>
      <c r="V37" s="44" t="s">
        <v>111</v>
      </c>
      <c r="Z37" s="46"/>
      <c r="AE37" s="41"/>
      <c r="AF37" s="31"/>
      <c r="AG37" s="31"/>
      <c r="AI37" s="41"/>
      <c r="AJ37" s="64"/>
      <c r="AK37" s="64"/>
      <c r="AM37" s="41"/>
      <c r="AN37" s="64"/>
      <c r="AO37" s="64"/>
      <c r="AQ37" s="41"/>
      <c r="AR37" s="64"/>
      <c r="AS37" s="64"/>
      <c r="BC37" s="65"/>
      <c r="BD37" s="65"/>
      <c r="BE37" s="65"/>
      <c r="BG37" s="65"/>
      <c r="BH37" s="65"/>
      <c r="BI37" s="65"/>
      <c r="BK37" s="65"/>
      <c r="BL37" s="65"/>
      <c r="BM37" s="65"/>
      <c r="BO37" s="65"/>
      <c r="BP37" s="65"/>
      <c r="BQ37" s="65"/>
    </row>
    <row r="38" spans="1:69" s="5" customFormat="1">
      <c r="A38" s="39"/>
      <c r="B38" s="42"/>
      <c r="C38" s="51" t="s">
        <v>514</v>
      </c>
      <c r="D38" s="52"/>
      <c r="E38" s="52"/>
      <c r="F38" s="53"/>
      <c r="G38" s="52"/>
      <c r="H38" s="46"/>
      <c r="I38" s="54">
        <f>'LATAM CELLULAR'!$D$38</f>
        <v>5.410957038933323</v>
      </c>
      <c r="J38" s="54">
        <f>'LATAM CELLULAR'!$E$38</f>
        <v>4.895893420940304</v>
      </c>
      <c r="K38" s="54">
        <f>'LATAM CELLULAR'!$F$38</f>
        <v>4.3252495010822969</v>
      </c>
      <c r="L38" s="54">
        <f>'LATAM CELLULAR'!$G$38</f>
        <v>3.7846351492189108</v>
      </c>
      <c r="M38" s="55">
        <f>'LATAM CELLULAR'!$H$38</f>
        <v>5.2100575988367481E-2</v>
      </c>
      <c r="N38" s="56"/>
      <c r="O38" s="54">
        <f>'LATAM CELLULAR'!$D$39</f>
        <v>9.4014895625729391</v>
      </c>
      <c r="P38" s="54">
        <f>'LATAM CELLULAR'!$E$39</f>
        <v>8.1257141265924719</v>
      </c>
      <c r="Q38" s="54">
        <f>'LATAM CELLULAR'!$F$39</f>
        <v>6.9046540387491486</v>
      </c>
      <c r="R38" s="54">
        <f>'LATAM CELLULAR'!$G$39</f>
        <v>5.9878977182280968</v>
      </c>
      <c r="S38" s="55">
        <f>'LATAM CELLULAR'!$H$39</f>
        <v>8.5462108298754558E-2</v>
      </c>
      <c r="T38" s="46"/>
      <c r="U38" s="57"/>
      <c r="V38" s="58" t="s">
        <v>514</v>
      </c>
      <c r="Z38" s="46"/>
      <c r="AE38" s="41"/>
      <c r="AF38" s="31"/>
      <c r="AG38" s="31"/>
      <c r="AI38" s="41"/>
      <c r="AJ38" s="64"/>
      <c r="AK38" s="64"/>
      <c r="AM38" s="41"/>
      <c r="AN38" s="64"/>
      <c r="AO38" s="64"/>
      <c r="AQ38" s="41"/>
      <c r="AR38" s="64"/>
      <c r="AS38" s="64"/>
      <c r="BC38" s="65"/>
      <c r="BD38" s="65"/>
      <c r="BE38" s="65"/>
      <c r="BG38" s="65"/>
      <c r="BH38" s="65"/>
      <c r="BI38" s="65"/>
      <c r="BK38" s="65"/>
      <c r="BL38" s="65"/>
      <c r="BM38" s="65"/>
      <c r="BO38" s="65"/>
      <c r="BP38" s="65"/>
      <c r="BQ38" s="65"/>
    </row>
    <row r="39" spans="1:69" s="5" customFormat="1">
      <c r="B39" s="42"/>
      <c r="C39" s="43"/>
      <c r="D39" s="44"/>
      <c r="E39" s="44"/>
      <c r="F39" s="45"/>
      <c r="G39" s="44"/>
      <c r="H39" s="46"/>
      <c r="I39" s="47"/>
      <c r="J39" s="47"/>
      <c r="K39" s="47"/>
      <c r="L39" s="47"/>
      <c r="M39" s="45"/>
      <c r="N39" s="46"/>
      <c r="O39" s="47"/>
      <c r="P39" s="47"/>
      <c r="Q39" s="47"/>
      <c r="R39" s="47"/>
      <c r="S39" s="45"/>
      <c r="T39" s="46"/>
      <c r="U39" s="48"/>
      <c r="V39" s="50"/>
      <c r="Z39" s="46"/>
      <c r="AE39" s="41"/>
      <c r="AF39" s="31"/>
      <c r="AG39" s="31"/>
      <c r="AI39" s="41"/>
      <c r="AJ39" s="64"/>
      <c r="AK39" s="64"/>
      <c r="AM39" s="41"/>
      <c r="AN39" s="64"/>
      <c r="AO39" s="64"/>
      <c r="AQ39" s="41"/>
      <c r="AR39" s="64"/>
      <c r="AS39" s="64"/>
      <c r="BC39" s="65"/>
      <c r="BD39" s="65"/>
      <c r="BE39" s="65"/>
      <c r="BG39" s="65"/>
      <c r="BH39" s="65"/>
      <c r="BI39" s="65"/>
      <c r="BK39" s="65"/>
      <c r="BL39" s="65"/>
      <c r="BM39" s="65"/>
      <c r="BO39" s="65"/>
      <c r="BP39" s="65"/>
      <c r="BQ39" s="65"/>
    </row>
    <row r="40" spans="1:69" s="5" customFormat="1">
      <c r="A40" s="39"/>
      <c r="B40" s="42" t="s">
        <v>206</v>
      </c>
      <c r="C40" s="48" t="s">
        <v>560</v>
      </c>
      <c r="D40" s="44" t="str">
        <f>'EM Multiples'!B40&amp;TEXT(Prices!C80,"0.0")</f>
        <v>THB 207.0</v>
      </c>
      <c r="E40" s="44" t="str">
        <f>'EM Multiples'!B40&amp;TEXT(Prices!E80,"0.0")</f>
        <v>THB 300.0</v>
      </c>
      <c r="F40" s="45">
        <f>Prices!F80</f>
        <v>0.44927536231884058</v>
      </c>
      <c r="G40" s="44" t="str">
        <f>Prices!D80</f>
        <v>Buy</v>
      </c>
      <c r="H40" s="46"/>
      <c r="I40" s="47">
        <f>ADVANCED!$D$38</f>
        <v>9.2634082450011253</v>
      </c>
      <c r="J40" s="47">
        <f>ADVANCED!$E$38</f>
        <v>7.5821646232086337</v>
      </c>
      <c r="K40" s="47">
        <f>ADVANCED!$F$38</f>
        <v>6.459665965033909</v>
      </c>
      <c r="L40" s="47">
        <f>ADVANCED!$G$38</f>
        <v>5.6254384515686358</v>
      </c>
      <c r="M40" s="45">
        <f>ADVANCED!$H$38</f>
        <v>8.6293987917293702E-2</v>
      </c>
      <c r="N40" s="46"/>
      <c r="O40" s="47">
        <f>ADVANCED!$D$39</f>
        <v>15.367583306575698</v>
      </c>
      <c r="P40" s="47">
        <f>ADVANCED!$E$39</f>
        <v>9.967626348439433</v>
      </c>
      <c r="Q40" s="47">
        <f>ADVANCED!$F$39</f>
        <v>8.330895473318142</v>
      </c>
      <c r="R40" s="47">
        <f>ADVANCED!$G$39</f>
        <v>7.493431120081901</v>
      </c>
      <c r="S40" s="45">
        <f>ADVANCED!$H$39</f>
        <v>0.16873895371596181</v>
      </c>
      <c r="T40" s="46"/>
      <c r="U40" s="48" t="str">
        <f t="shared" ref="U40:U53" si="4">D40</f>
        <v>THB 207.0</v>
      </c>
      <c r="V40" s="44" t="s">
        <v>560</v>
      </c>
      <c r="Z40" s="46"/>
      <c r="AE40" s="41"/>
      <c r="AF40" s="31"/>
      <c r="AG40" s="31"/>
      <c r="AI40" s="41"/>
      <c r="AJ40" s="64"/>
      <c r="AK40" s="64"/>
      <c r="AM40" s="41"/>
      <c r="AN40" s="64"/>
      <c r="AO40" s="64"/>
      <c r="AQ40" s="41"/>
      <c r="AR40" s="64"/>
      <c r="AS40" s="64"/>
      <c r="BC40" s="65"/>
      <c r="BD40" s="65"/>
      <c r="BE40" s="65"/>
      <c r="BG40" s="65"/>
      <c r="BH40" s="65"/>
      <c r="BI40" s="65"/>
      <c r="BK40" s="65"/>
      <c r="BL40" s="65"/>
      <c r="BM40" s="65"/>
      <c r="BO40" s="65"/>
      <c r="BP40" s="65"/>
      <c r="BQ40" s="65"/>
    </row>
    <row r="41" spans="1:69" s="5" customFormat="1">
      <c r="A41" s="39"/>
      <c r="B41" s="42" t="s">
        <v>126</v>
      </c>
      <c r="C41" s="48" t="s">
        <v>329</v>
      </c>
      <c r="D41" s="44" t="str">
        <f>'EM Multiples'!B41&amp;TEXT(Prices!C81,"0.00")</f>
        <v>MYR 2.87</v>
      </c>
      <c r="E41" s="44" t="str">
        <f>'EM Multiples'!B41&amp;TEXT(Prices!E81,"0.00")</f>
        <v>MYR 4.50</v>
      </c>
      <c r="F41" s="45">
        <f>Prices!F81</f>
        <v>0.56794425087108014</v>
      </c>
      <c r="G41" s="44" t="str">
        <f>Prices!D81</f>
        <v>Buy</v>
      </c>
      <c r="H41" s="46"/>
      <c r="I41" s="47">
        <f>AXI!$D$38</f>
        <v>4.5373636734973406</v>
      </c>
      <c r="J41" s="47">
        <f>AXI!$E$38</f>
        <v>4.9891947627988271</v>
      </c>
      <c r="K41" s="47">
        <f>AXI!$F$38</f>
        <v>4.5490576522826034</v>
      </c>
      <c r="L41" s="47">
        <f>AXI!$G$38</f>
        <v>4.1853316185190197</v>
      </c>
      <c r="M41" s="45">
        <f>AXI!$H$38</f>
        <v>5.6575017875276856E-2</v>
      </c>
      <c r="N41" s="46"/>
      <c r="O41" s="47">
        <f>AXI!$D$39</f>
        <v>11.257388736716498</v>
      </c>
      <c r="P41" s="47">
        <f>AXI!$E$39</f>
        <v>12.457084971864052</v>
      </c>
      <c r="Q41" s="47">
        <f>AXI!$F$39</f>
        <v>12.02875951675624</v>
      </c>
      <c r="R41" s="47">
        <f>AXI!$G$39</f>
        <v>10.925879399376141</v>
      </c>
      <c r="S41" s="45">
        <f>AXI!$H$39</f>
        <v>3.8810154632409111E-2</v>
      </c>
      <c r="T41" s="46"/>
      <c r="U41" s="48" t="str">
        <f t="shared" si="4"/>
        <v>MYR 2.87</v>
      </c>
      <c r="V41" s="44" t="s">
        <v>329</v>
      </c>
      <c r="Z41" s="46"/>
      <c r="AE41" s="41"/>
      <c r="AF41" s="31"/>
      <c r="AG41" s="31"/>
      <c r="AI41" s="41"/>
      <c r="AJ41" s="64"/>
      <c r="AK41" s="64"/>
      <c r="AM41" s="41"/>
      <c r="AN41" s="64"/>
      <c r="AO41" s="64"/>
      <c r="AQ41" s="41"/>
      <c r="AR41" s="64"/>
      <c r="AS41" s="64"/>
      <c r="BC41" s="65"/>
      <c r="BD41" s="65"/>
      <c r="BE41" s="65"/>
      <c r="BG41" s="65"/>
      <c r="BH41" s="65"/>
      <c r="BI41" s="65"/>
      <c r="BK41" s="65"/>
      <c r="BL41" s="65"/>
      <c r="BM41" s="65"/>
      <c r="BO41" s="65"/>
      <c r="BP41" s="65"/>
      <c r="BQ41" s="65"/>
    </row>
    <row r="42" spans="1:69">
      <c r="A42" s="5"/>
      <c r="B42" s="42" t="s">
        <v>110</v>
      </c>
      <c r="C42" s="48" t="s">
        <v>343</v>
      </c>
      <c r="D42" s="44" t="str">
        <f>'EM Multiples'!B42&amp;TEXT(Prices!C82,"0")</f>
        <v>INR 1389</v>
      </c>
      <c r="E42" s="44" t="str">
        <f>'EM Multiples'!B42&amp;TEXT(Prices!E82,"0")</f>
        <v>INR 1500</v>
      </c>
      <c r="F42" s="45">
        <f>Prices!F82</f>
        <v>8.0224686734840844E-2</v>
      </c>
      <c r="G42" s="44" t="str">
        <f>Prices!D82</f>
        <v>Buy</v>
      </c>
      <c r="H42" s="46"/>
      <c r="I42" s="47">
        <f>BHART!$D$38</f>
        <v>14.343868774287696</v>
      </c>
      <c r="J42" s="47">
        <f>BHART!$E$38</f>
        <v>12.273675302875681</v>
      </c>
      <c r="K42" s="47">
        <f>BHART!$F$38</f>
        <v>10.104376064148514</v>
      </c>
      <c r="L42" s="47">
        <f>BHART!$G$38</f>
        <v>8.3792084885885512</v>
      </c>
      <c r="M42" s="45">
        <f>BHART!$H$38</f>
        <v>0.15296706595857801</v>
      </c>
      <c r="N42" s="46"/>
      <c r="O42" s="47">
        <f>BHART!$D$39</f>
        <v>28.658160323163997</v>
      </c>
      <c r="P42" s="47">
        <f>BHART!$E$39</f>
        <v>20.943618037154589</v>
      </c>
      <c r="Q42" s="47">
        <f>BHART!$F$39</f>
        <v>15.776006922976258</v>
      </c>
      <c r="R42" s="47">
        <f>BHART!$G$39</f>
        <v>12.121546322334213</v>
      </c>
      <c r="S42" s="45">
        <f>BHART!$H$39</f>
        <v>0.28398286260087913</v>
      </c>
      <c r="T42" s="46"/>
      <c r="U42" s="48" t="str">
        <f t="shared" si="4"/>
        <v>INR 1389</v>
      </c>
      <c r="V42" s="44" t="s">
        <v>343</v>
      </c>
      <c r="Z42" s="46"/>
      <c r="AE42" s="41"/>
      <c r="AF42" s="31"/>
      <c r="AG42" s="31"/>
      <c r="AI42" s="41"/>
      <c r="AJ42" s="64"/>
      <c r="AK42" s="64"/>
      <c r="AM42" s="41"/>
      <c r="AN42" s="64"/>
      <c r="AO42" s="64"/>
      <c r="AQ42" s="41"/>
      <c r="AR42" s="64"/>
      <c r="AS42" s="64"/>
    </row>
    <row r="43" spans="1:69">
      <c r="A43" s="5"/>
      <c r="B43" s="42" t="s">
        <v>1419</v>
      </c>
      <c r="C43" s="48" t="s">
        <v>478</v>
      </c>
      <c r="D43" s="44" t="str">
        <f>'EM Multiples'!B43&amp;TEXT(Prices!C83,"0.0")</f>
        <v>HKD 73.2</v>
      </c>
      <c r="E43" s="44" t="str">
        <f>'EM Multiples'!B43&amp;TEXT(Prices!E83,"0.0")</f>
        <v>HKD 115.0</v>
      </c>
      <c r="F43" s="45">
        <f>Prices!F83</f>
        <v>0.57103825136612008</v>
      </c>
      <c r="G43" s="44" t="str">
        <f>Prices!D83</f>
        <v>Buy</v>
      </c>
      <c r="H43" s="46"/>
      <c r="I43" s="47">
        <f>_CM!$D$38</f>
        <v>3.7278763242717949</v>
      </c>
      <c r="J43" s="47">
        <f>_CM!$E$38</f>
        <v>3.4413117273494755</v>
      </c>
      <c r="K43" s="47">
        <f>_CM!$F$38</f>
        <v>2.8779053661089069</v>
      </c>
      <c r="L43" s="47">
        <f>_CM!$G$38</f>
        <v>2.3387382596126516</v>
      </c>
      <c r="M43" s="45">
        <f>_CM!$H$38</f>
        <v>4.1384081993670385E-2</v>
      </c>
      <c r="N43" s="46"/>
      <c r="O43" s="47">
        <f>_CM!$D$39</f>
        <v>7.4443292814643423</v>
      </c>
      <c r="P43" s="47">
        <f>_CM!$E$39</f>
        <v>6.4867533464606755</v>
      </c>
      <c r="Q43" s="47">
        <f>_CM!$F$39</f>
        <v>5.1439915731777059</v>
      </c>
      <c r="R43" s="47">
        <f>_CM!$G$39</f>
        <v>4.1152816052693586</v>
      </c>
      <c r="S43" s="45">
        <f>_CM!$H$39</f>
        <v>8.6241310160845019E-2</v>
      </c>
      <c r="T43" s="46"/>
      <c r="U43" s="48" t="str">
        <f t="shared" si="4"/>
        <v>HKD 73.2</v>
      </c>
      <c r="V43" s="44" t="s">
        <v>478</v>
      </c>
      <c r="Z43" s="46"/>
      <c r="AE43" s="41"/>
      <c r="AF43" s="31"/>
      <c r="AG43" s="31"/>
      <c r="AI43" s="41"/>
      <c r="AJ43" s="64"/>
      <c r="AK43" s="64"/>
      <c r="AM43" s="41"/>
      <c r="AN43" s="64"/>
      <c r="AO43" s="64"/>
      <c r="AQ43" s="41"/>
      <c r="AR43" s="64"/>
      <c r="AS43" s="64"/>
    </row>
    <row r="44" spans="1:69" s="5" customFormat="1">
      <c r="B44" s="42" t="s">
        <v>126</v>
      </c>
      <c r="C44" s="48" t="s">
        <v>1574</v>
      </c>
      <c r="D44" s="44" t="str">
        <f>'EM Multiples'!B44&amp;TEXT(Prices!C84,"0.0")</f>
        <v>MYR 4.1</v>
      </c>
      <c r="E44" s="44" t="str">
        <f>'EM Multiples'!B44&amp;TEXT(Prices!E84,"0.0")</f>
        <v>MYR 6.0</v>
      </c>
      <c r="F44" s="45">
        <f>Prices!F84</f>
        <v>0.48148148148148162</v>
      </c>
      <c r="G44" s="44" t="str">
        <f>Prices!D84</f>
        <v>Buy</v>
      </c>
      <c r="H44" s="46"/>
      <c r="I44" s="47">
        <f>DIGI!$D$38</f>
        <v>10.186203385764502</v>
      </c>
      <c r="J44" s="47">
        <f>DIGI!$E$38</f>
        <v>9.5299920451023787</v>
      </c>
      <c r="K44" s="47">
        <f>DIGI!$F$38</f>
        <v>8.6658340351398753</v>
      </c>
      <c r="L44" s="47">
        <f>DIGI!$G$38</f>
        <v>7.7947303768785661</v>
      </c>
      <c r="M44" s="45">
        <f>DIGI!$H$38</f>
        <v>3.8396670293431745E-2</v>
      </c>
      <c r="N44" s="46"/>
      <c r="O44" s="47">
        <f>DIGI!$D$39</f>
        <v>14.25028444149094</v>
      </c>
      <c r="P44" s="47">
        <f>DIGI!$D$39</f>
        <v>14.25028444149094</v>
      </c>
      <c r="Q44" s="47">
        <f>DIGI!$F$39</f>
        <v>12.319048221402456</v>
      </c>
      <c r="R44" s="47">
        <f>DIGI!$G$39</f>
        <v>10.711463134997647</v>
      </c>
      <c r="S44" s="45">
        <f>DIGI!$H$39</f>
        <v>4.460263434813605E-2</v>
      </c>
      <c r="T44" s="46"/>
      <c r="U44" s="48" t="str">
        <f t="shared" si="4"/>
        <v>MYR 4.1</v>
      </c>
      <c r="V44" s="44" t="s">
        <v>1574</v>
      </c>
      <c r="Z44" s="46"/>
      <c r="AE44" s="41"/>
      <c r="AF44" s="31"/>
      <c r="AG44" s="31"/>
      <c r="AI44" s="41"/>
      <c r="AJ44" s="64"/>
      <c r="AK44" s="64"/>
      <c r="AM44" s="41"/>
      <c r="AN44" s="64"/>
      <c r="AO44" s="64"/>
      <c r="AQ44" s="41"/>
      <c r="AR44" s="64"/>
      <c r="AS44" s="64"/>
      <c r="BC44" s="65"/>
      <c r="BD44" s="65"/>
      <c r="BE44" s="65"/>
      <c r="BG44" s="65"/>
      <c r="BH44" s="65"/>
      <c r="BI44" s="65"/>
      <c r="BK44" s="65"/>
      <c r="BL44" s="65"/>
      <c r="BM44" s="65"/>
      <c r="BO44" s="65"/>
      <c r="BP44" s="65"/>
      <c r="BQ44" s="65"/>
    </row>
    <row r="45" spans="1:69" s="5" customFormat="1">
      <c r="B45" s="42" t="s">
        <v>248</v>
      </c>
      <c r="C45" s="48" t="s">
        <v>421</v>
      </c>
      <c r="D45" s="44" t="str">
        <f>'EM Multiples'!B45&amp;TEXT(Prices!C85,"0.0")</f>
        <v>TWD 84.0</v>
      </c>
      <c r="E45" s="44" t="str">
        <f>'EM Multiples'!B45&amp;TEXT(Prices!E85,"0.0")</f>
        <v>TWD n/r</v>
      </c>
      <c r="F45" s="45" t="str">
        <f>Prices!F85</f>
        <v>-</v>
      </c>
      <c r="G45" s="44" t="str">
        <f>Prices!D85</f>
        <v>n/r</v>
      </c>
      <c r="H45" s="46"/>
      <c r="I45" s="47">
        <f>FAR!$D$38</f>
        <v>10.39635288182412</v>
      </c>
      <c r="J45" s="47">
        <f>FAR!$E$38</f>
        <v>9.7659203544972097</v>
      </c>
      <c r="K45" s="47">
        <f>FAR!$F$38</f>
        <v>9.1456024841323469</v>
      </c>
      <c r="L45" s="47">
        <f>FAR!$G$38</f>
        <v>8.5350057620200825</v>
      </c>
      <c r="M45" s="45">
        <f>FAR!$H$38</f>
        <v>1.8162609649959416E-2</v>
      </c>
      <c r="N45" s="46"/>
      <c r="O45" s="47">
        <f>FAR!$D$39</f>
        <v>14.764534779465253</v>
      </c>
      <c r="P45" s="47">
        <f>FAR!$E$39</f>
        <v>13.628033708999405</v>
      </c>
      <c r="Q45" s="47">
        <f>FAR!$F$39</f>
        <v>12.805418202949561</v>
      </c>
      <c r="R45" s="47">
        <f>FAR!$G$39</f>
        <v>11.992199796642833</v>
      </c>
      <c r="S45" s="45">
        <f>FAR!$H$39</f>
        <v>2.1798004661201187E-2</v>
      </c>
      <c r="T45" s="46"/>
      <c r="U45" s="48" t="str">
        <f t="shared" si="4"/>
        <v>TWD 84.0</v>
      </c>
      <c r="V45" s="44" t="s">
        <v>421</v>
      </c>
      <c r="Z45" s="46"/>
      <c r="AE45" s="41"/>
      <c r="AF45" s="31"/>
      <c r="AG45" s="31"/>
      <c r="AI45" s="41"/>
      <c r="AJ45" s="64"/>
      <c r="AK45" s="64"/>
      <c r="AM45" s="41"/>
      <c r="AN45" s="64"/>
      <c r="AO45" s="64"/>
      <c r="AQ45" s="41"/>
      <c r="AR45" s="64"/>
      <c r="AS45" s="64"/>
      <c r="BC45" s="65"/>
      <c r="BD45" s="65"/>
      <c r="BE45" s="65"/>
      <c r="BG45" s="65"/>
      <c r="BH45" s="65"/>
      <c r="BI45" s="65"/>
      <c r="BK45" s="65"/>
      <c r="BL45" s="65"/>
      <c r="BM45" s="65"/>
      <c r="BO45" s="65"/>
      <c r="BP45" s="65"/>
      <c r="BQ45" s="65"/>
    </row>
    <row r="46" spans="1:69">
      <c r="A46" s="5"/>
      <c r="B46" s="42" t="s">
        <v>110</v>
      </c>
      <c r="C46" s="48" t="s">
        <v>1078</v>
      </c>
      <c r="D46" s="44" t="str">
        <f>'EM Multiples'!B46&amp;TEXT(Prices!C86,"0.0")</f>
        <v>INR 15.1</v>
      </c>
      <c r="E46" s="44" t="str">
        <f>'EM Multiples'!B46&amp;TEXT(Prices!E86,"0.0")</f>
        <v>INR 5.0</v>
      </c>
      <c r="F46" s="45">
        <f>Prices!F86</f>
        <v>-0.66909331568497676</v>
      </c>
      <c r="G46" s="44" t="str">
        <f>Prices!D86</f>
        <v>Reduce</v>
      </c>
      <c r="H46" s="46"/>
      <c r="I46" s="47">
        <f>IDEA!$D$38</f>
        <v>16.535864638561254</v>
      </c>
      <c r="J46" s="47">
        <f>IDEA!$E$38</f>
        <v>16.76179096836216</v>
      </c>
      <c r="K46" s="47">
        <f>IDEA!$F$38</f>
        <v>15.280571125979225</v>
      </c>
      <c r="L46" s="47">
        <f>IDEA!$G$38</f>
        <v>14.263233895119836</v>
      </c>
      <c r="M46" s="45">
        <f>IDEA!$H$38</f>
        <v>0.13186890558136688</v>
      </c>
      <c r="N46" s="46"/>
      <c r="O46" s="47">
        <f>IDEA!$D$39</f>
        <v>18.538440547263683</v>
      </c>
      <c r="P46" s="47">
        <f>IDEA!$E$39</f>
        <v>235.33671130443719</v>
      </c>
      <c r="Q46" s="47">
        <f>IDEA!$F$39</f>
        <v>153.77792445962828</v>
      </c>
      <c r="R46" s="47">
        <f>IDEA!$G$39</f>
        <v>26.693039107025385</v>
      </c>
      <c r="S46" s="45">
        <f>IDEA!$H$39</f>
        <v>-4.5846561559431231E-2</v>
      </c>
      <c r="T46" s="46"/>
      <c r="U46" s="48" t="str">
        <f t="shared" si="4"/>
        <v>INR 15.1</v>
      </c>
      <c r="V46" s="44" t="s">
        <v>1078</v>
      </c>
      <c r="Z46" s="46"/>
      <c r="AE46" s="41"/>
      <c r="AF46" s="31"/>
      <c r="AG46" s="31"/>
      <c r="AI46" s="41"/>
      <c r="AJ46" s="64"/>
      <c r="AK46" s="64"/>
      <c r="AM46" s="41"/>
      <c r="AN46" s="64"/>
      <c r="AO46" s="64"/>
      <c r="AQ46" s="41"/>
      <c r="AR46" s="64"/>
      <c r="AS46" s="64"/>
      <c r="BC46" s="65"/>
      <c r="BD46" s="65"/>
      <c r="BE46" s="65"/>
      <c r="BG46" s="65"/>
      <c r="BH46" s="65"/>
      <c r="BI46" s="65"/>
      <c r="BK46" s="65"/>
      <c r="BL46" s="65"/>
      <c r="BM46" s="65"/>
      <c r="BO46" s="65"/>
      <c r="BP46" s="65"/>
      <c r="BQ46" s="65"/>
    </row>
    <row r="47" spans="1:69">
      <c r="A47" s="5"/>
      <c r="B47" s="42" t="s">
        <v>385</v>
      </c>
      <c r="C47" s="48" t="s">
        <v>558</v>
      </c>
      <c r="D47" s="44" t="str">
        <f>'EM Multiples'!B47&amp;TEXT(Prices!C87,"0,0")</f>
        <v>IDR 10,075</v>
      </c>
      <c r="E47" s="44" t="str">
        <f>'EM Multiples'!B47&amp;TEXT(Prices!E87,"0,0")</f>
        <v>IDR 12,500</v>
      </c>
      <c r="F47" s="45">
        <f>Prices!F87</f>
        <v>0.2406947890818858</v>
      </c>
      <c r="G47" s="44" t="str">
        <f>Prices!D87</f>
        <v>Buy</v>
      </c>
      <c r="H47" s="46"/>
      <c r="I47" s="47">
        <f>INDO!$D$38</f>
        <v>5.4263475734086519</v>
      </c>
      <c r="J47" s="47">
        <f>INDO!$E$38</f>
        <v>4.4171253078848274</v>
      </c>
      <c r="K47" s="47">
        <f>INDO!$F$38</f>
        <v>3.3689544528533912</v>
      </c>
      <c r="L47" s="47">
        <f>INDO!$G$38</f>
        <v>2.3515657288327949</v>
      </c>
      <c r="M47" s="45">
        <f>INDO!$H$38</f>
        <v>0.11753047636265901</v>
      </c>
      <c r="N47" s="46"/>
      <c r="O47" s="47">
        <f>INDO!$D$39</f>
        <v>11.645063036696486</v>
      </c>
      <c r="P47" s="47">
        <f>INDO!$E$39</f>
        <v>7.9387894711054168</v>
      </c>
      <c r="Q47" s="47">
        <f>INDO!$F$39</f>
        <v>5.6789711607451538</v>
      </c>
      <c r="R47" s="47">
        <f>INDO!$G$39</f>
        <v>3.948102496938775</v>
      </c>
      <c r="S47" s="45">
        <f>INDO!$H$39</f>
        <v>0.21281256776527746</v>
      </c>
      <c r="T47" s="46"/>
      <c r="U47" s="48" t="str">
        <f t="shared" si="4"/>
        <v>IDR 10,075</v>
      </c>
      <c r="V47" s="44" t="s">
        <v>558</v>
      </c>
      <c r="Z47" s="46"/>
      <c r="AE47" s="41"/>
      <c r="AF47" s="31"/>
      <c r="AG47" s="31"/>
      <c r="AI47" s="41"/>
      <c r="AJ47" s="64"/>
      <c r="AK47" s="64"/>
      <c r="AM47" s="41"/>
      <c r="AN47" s="64"/>
      <c r="AO47" s="64"/>
      <c r="AQ47" s="41"/>
      <c r="AR47" s="64"/>
      <c r="AS47" s="64"/>
      <c r="BC47" s="65"/>
      <c r="BD47" s="65"/>
      <c r="BE47" s="65"/>
      <c r="BG47" s="65"/>
      <c r="BH47" s="65"/>
      <c r="BI47" s="65"/>
      <c r="BK47" s="65"/>
      <c r="BL47" s="65"/>
      <c r="BM47" s="65"/>
      <c r="BO47" s="65"/>
      <c r="BP47" s="65"/>
      <c r="BQ47" s="65"/>
    </row>
    <row r="48" spans="1:69">
      <c r="B48" s="42" t="s">
        <v>578</v>
      </c>
      <c r="C48" s="48" t="s">
        <v>224</v>
      </c>
      <c r="D48" s="44" t="str">
        <f>'EM Multiples'!B48&amp;TEXT(Prices!C89,"0,0")</f>
        <v>KRW 9,770</v>
      </c>
      <c r="E48" s="44" t="str">
        <f>'EM Multiples'!B48&amp;TEXT(Prices!E89,"0,0")</f>
        <v>KRW 21,000</v>
      </c>
      <c r="F48" s="45">
        <f>Prices!F89</f>
        <v>1.1494370522006143</v>
      </c>
      <c r="G48" s="44" t="str">
        <f>Prices!D89</f>
        <v>Buy</v>
      </c>
      <c r="H48" s="46"/>
      <c r="I48" s="47">
        <f>_LG!$D$38</f>
        <v>3.3766711912498328</v>
      </c>
      <c r="J48" s="47">
        <f>_LG!$E$38</f>
        <v>3.1766842039660714</v>
      </c>
      <c r="K48" s="47">
        <f>_LG!$F$38</f>
        <v>2.9383264013868322</v>
      </c>
      <c r="L48" s="47">
        <f>_LG!$G$38</f>
        <v>2.7108257837061132</v>
      </c>
      <c r="M48" s="45">
        <f>_LG!$H$38</f>
        <v>4.1844544973138165E-2</v>
      </c>
      <c r="N48" s="46"/>
      <c r="O48" s="47">
        <f>_LG!$D$39</f>
        <v>11.42403078950524</v>
      </c>
      <c r="P48" s="47">
        <f>_LG!$E$39</f>
        <v>8.1611725539736835</v>
      </c>
      <c r="Q48" s="47">
        <f>_LG!$F$39</f>
        <v>7.2294902043266935</v>
      </c>
      <c r="R48" s="47">
        <f>_LG!$G$39</f>
        <v>6.4459891126473359</v>
      </c>
      <c r="S48" s="45">
        <f>_LG!$H$39</f>
        <v>0.17179183160426881</v>
      </c>
      <c r="T48" s="46"/>
      <c r="U48" s="48" t="str">
        <f t="shared" si="4"/>
        <v>KRW 9,770</v>
      </c>
      <c r="V48" s="44" t="s">
        <v>224</v>
      </c>
      <c r="Z48" s="46"/>
      <c r="AE48" s="41"/>
      <c r="AF48" s="31"/>
      <c r="AG48" s="31"/>
      <c r="AI48" s="41"/>
      <c r="AJ48" s="64"/>
      <c r="AK48" s="64"/>
      <c r="AM48" s="41"/>
      <c r="AN48" s="64"/>
      <c r="AO48" s="64"/>
      <c r="AQ48" s="41"/>
      <c r="AR48" s="64"/>
      <c r="AS48" s="64"/>
      <c r="BC48" s="65"/>
      <c r="BD48" s="65"/>
      <c r="BE48" s="65"/>
      <c r="BG48" s="65"/>
      <c r="BH48" s="65"/>
      <c r="BI48" s="65"/>
      <c r="BK48" s="65"/>
      <c r="BL48" s="65"/>
      <c r="BM48" s="65"/>
      <c r="BO48" s="65"/>
      <c r="BP48" s="65"/>
      <c r="BQ48" s="65"/>
    </row>
    <row r="49" spans="1:69">
      <c r="B49" s="42" t="s">
        <v>126</v>
      </c>
      <c r="C49" s="48" t="s">
        <v>362</v>
      </c>
      <c r="D49" s="44" t="str">
        <f>'EM Multiples'!B49&amp;TEXT(Prices!C90,"0.00")</f>
        <v>MYR 3.71</v>
      </c>
      <c r="E49" s="44" t="str">
        <f>'EM Multiples'!B49&amp;TEXT(Prices!E90,"0.00")</f>
        <v>MYR 5.60</v>
      </c>
      <c r="F49" s="45">
        <f>Prices!F90</f>
        <v>0.50943396226415083</v>
      </c>
      <c r="G49" s="44" t="str">
        <f>Prices!D90</f>
        <v>Buy</v>
      </c>
      <c r="H49" s="46"/>
      <c r="I49" s="47">
        <f>MAXI!$D$38</f>
        <v>9.5114228495636102</v>
      </c>
      <c r="J49" s="47">
        <f>MAXI!$E$38</f>
        <v>8.9424277961234289</v>
      </c>
      <c r="K49" s="47">
        <f>MAXI!$F$38</f>
        <v>8.1959223531620005</v>
      </c>
      <c r="L49" s="47">
        <f>MAXI!$G$38</f>
        <v>7.4438811872438491</v>
      </c>
      <c r="M49" s="45">
        <f>MAXI!$H$38</f>
        <v>3.8592001793239294E-2</v>
      </c>
      <c r="N49" s="46"/>
      <c r="O49" s="47">
        <f>MAXI!$D$39</f>
        <v>11.968615978478518</v>
      </c>
      <c r="P49" s="47">
        <f>MAXI!$E$39</f>
        <v>12.425314018513266</v>
      </c>
      <c r="Q49" s="47">
        <f>MAXI!$F$39</f>
        <v>11.370094805330641</v>
      </c>
      <c r="R49" s="47">
        <f>MAXI!$G$39</f>
        <v>10.309273332127532</v>
      </c>
      <c r="S49" s="45">
        <f>MAXI!$H$39</f>
        <v>5.9311284383554153E-3</v>
      </c>
      <c r="T49" s="46"/>
      <c r="U49" s="48" t="str">
        <f t="shared" si="4"/>
        <v>MYR 3.71</v>
      </c>
      <c r="V49" s="44" t="s">
        <v>362</v>
      </c>
      <c r="Z49" s="46"/>
      <c r="AE49" s="41"/>
      <c r="AF49" s="31"/>
      <c r="AG49" s="31"/>
      <c r="AI49" s="41"/>
      <c r="AJ49" s="64"/>
      <c r="AK49" s="64"/>
      <c r="AM49" s="41"/>
      <c r="AN49" s="64"/>
      <c r="AO49" s="64"/>
      <c r="AQ49" s="41"/>
      <c r="AR49" s="64"/>
      <c r="AS49" s="64"/>
      <c r="BC49" s="65"/>
      <c r="BD49" s="65"/>
      <c r="BE49" s="65"/>
      <c r="BG49" s="65"/>
      <c r="BH49" s="65"/>
      <c r="BI49" s="65"/>
      <c r="BK49" s="65"/>
      <c r="BL49" s="65"/>
      <c r="BM49" s="65"/>
      <c r="BO49" s="65"/>
      <c r="BP49" s="65"/>
      <c r="BQ49" s="65"/>
    </row>
    <row r="50" spans="1:69">
      <c r="A50" s="5"/>
      <c r="B50" s="42" t="s">
        <v>578</v>
      </c>
      <c r="C50" s="48" t="s">
        <v>441</v>
      </c>
      <c r="D50" s="44" t="str">
        <f>'EM Multiples'!B50&amp;TEXT(Prices!C91,"0,0")</f>
        <v>KRW 51,800</v>
      </c>
      <c r="E50" s="44" t="str">
        <f>'EM Multiples'!B50&amp;TEXT(Prices!E91,"0,0")</f>
        <v>KRW 116,000</v>
      </c>
      <c r="F50" s="45">
        <f>Prices!F91</f>
        <v>1.2393822393822393</v>
      </c>
      <c r="G50" s="44" t="str">
        <f>Prices!D91</f>
        <v>Buy</v>
      </c>
      <c r="H50" s="46"/>
      <c r="I50" s="47">
        <f>SKT!$D$38</f>
        <v>4.2260039725236433</v>
      </c>
      <c r="J50" s="47">
        <f>SKT!$E$38</f>
        <v>3.8572774304658197</v>
      </c>
      <c r="K50" s="47">
        <f>SKT!$F$38</f>
        <v>3.5305092335392683</v>
      </c>
      <c r="L50" s="47">
        <f>SKT!$G$38</f>
        <v>3.1549146254343849</v>
      </c>
      <c r="M50" s="45">
        <f>SKT!$H$38</f>
        <v>3.824853286608465E-2</v>
      </c>
      <c r="N50" s="46"/>
      <c r="O50" s="47">
        <f>SKT!$D$39</f>
        <v>8.4231636172923192</v>
      </c>
      <c r="P50" s="47">
        <f>SKT!$E$39</f>
        <v>7.4801578966313054</v>
      </c>
      <c r="Q50" s="47">
        <f>SKT!$F$39</f>
        <v>6.4599776583848207</v>
      </c>
      <c r="R50" s="47">
        <f>SKT!$G$39</f>
        <v>5.5439852669406307</v>
      </c>
      <c r="S50" s="45">
        <f>SKT!$H$39</f>
        <v>8.2775164891126574E-2</v>
      </c>
      <c r="T50" s="46"/>
      <c r="U50" s="48" t="str">
        <f t="shared" si="4"/>
        <v>KRW 51,800</v>
      </c>
      <c r="V50" s="44" t="s">
        <v>441</v>
      </c>
      <c r="Z50" s="46"/>
      <c r="AE50" s="41"/>
      <c r="AF50" s="31"/>
      <c r="AG50" s="31"/>
      <c r="AI50" s="41"/>
      <c r="AJ50" s="64"/>
      <c r="AK50" s="64"/>
      <c r="AM50" s="41"/>
      <c r="AN50" s="64"/>
      <c r="AO50" s="64"/>
      <c r="AQ50" s="41"/>
      <c r="AR50" s="64"/>
      <c r="AS50" s="64"/>
      <c r="BC50" s="65"/>
      <c r="BD50" s="65"/>
      <c r="BE50" s="65"/>
      <c r="BG50" s="65"/>
      <c r="BH50" s="65"/>
      <c r="BI50" s="65"/>
      <c r="BK50" s="65"/>
      <c r="BL50" s="65"/>
      <c r="BM50" s="65"/>
      <c r="BO50" s="65"/>
      <c r="BP50" s="65"/>
      <c r="BQ50" s="65"/>
    </row>
    <row r="51" spans="1:69">
      <c r="A51" s="5"/>
      <c r="B51" s="42" t="s">
        <v>248</v>
      </c>
      <c r="C51" s="48" t="s">
        <v>247</v>
      </c>
      <c r="D51" s="44" t="str">
        <f>'EM Multiples'!B51&amp;TEXT(Prices!C92,"0.0")</f>
        <v>TWD 106.5</v>
      </c>
      <c r="E51" s="44" t="str">
        <f>'EM Multiples'!B51&amp;TEXT(Prices!E92,"0.0")</f>
        <v>TWD n/r</v>
      </c>
      <c r="F51" s="45" t="str">
        <f>Prices!F92</f>
        <v>-</v>
      </c>
      <c r="G51" s="44" t="str">
        <f>Prices!D92</f>
        <v>n/r</v>
      </c>
      <c r="H51" s="46"/>
      <c r="I51" s="47">
        <f>TAIWAN!$D$38</f>
        <v>8.7534660813125722</v>
      </c>
      <c r="J51" s="47">
        <f>TAIWAN!$E$38</f>
        <v>7.8521438719763283</v>
      </c>
      <c r="K51" s="47">
        <f>TAIWAN!$F$38</f>
        <v>6.9582490051363175</v>
      </c>
      <c r="L51" s="47">
        <f>TAIWAN!$G$38</f>
        <v>5.9297910322492138</v>
      </c>
      <c r="M51" s="45">
        <f>TAIWAN!$H$38</f>
        <v>5.7002752048651795E-2</v>
      </c>
      <c r="N51" s="46"/>
      <c r="O51" s="47">
        <f>TAIWAN!$D$39</f>
        <v>12.712687246286189</v>
      </c>
      <c r="P51" s="47">
        <f>TAIWAN!$E$39</f>
        <v>10.658896378758307</v>
      </c>
      <c r="Q51" s="47">
        <f>TAIWAN!$F$39</f>
        <v>9.6729660039360112</v>
      </c>
      <c r="R51" s="47">
        <f>TAIWAN!$G$39</f>
        <v>8.1170284667216972</v>
      </c>
      <c r="S51" s="45">
        <f>TAIWAN!$H$39</f>
        <v>7.8059326725372857E-2</v>
      </c>
      <c r="T51" s="46"/>
      <c r="U51" s="48" t="str">
        <f t="shared" si="4"/>
        <v>TWD 106.5</v>
      </c>
      <c r="V51" s="44" t="s">
        <v>247</v>
      </c>
      <c r="Z51" s="46"/>
      <c r="AE51" s="41"/>
      <c r="AF51" s="31"/>
      <c r="AG51" s="31"/>
      <c r="AI51" s="41"/>
      <c r="AJ51" s="64"/>
      <c r="AK51" s="64"/>
      <c r="AM51" s="41"/>
      <c r="AN51" s="64"/>
      <c r="AO51" s="64"/>
      <c r="AQ51" s="41"/>
      <c r="AR51" s="64"/>
      <c r="AS51" s="64"/>
      <c r="BC51" s="65"/>
      <c r="BD51" s="65"/>
      <c r="BE51" s="65"/>
      <c r="BG51" s="65"/>
      <c r="BH51" s="65"/>
      <c r="BI51" s="65"/>
      <c r="BK51" s="65"/>
      <c r="BL51" s="65"/>
      <c r="BM51" s="65"/>
      <c r="BO51" s="65"/>
      <c r="BP51" s="65"/>
      <c r="BQ51" s="65"/>
    </row>
    <row r="52" spans="1:69">
      <c r="A52" s="5"/>
      <c r="B52" s="42" t="s">
        <v>206</v>
      </c>
      <c r="C52" s="48" t="s">
        <v>37</v>
      </c>
      <c r="D52" s="44" t="str">
        <f>'EM Multiples'!B52&amp;TEXT(Prices!C93,"0.0")</f>
        <v>THB 8.0</v>
      </c>
      <c r="E52" s="44" t="str">
        <f>'EM Multiples'!B52&amp;TEXT(Prices!E93,"0.0")</f>
        <v>THB 15.0</v>
      </c>
      <c r="F52" s="45">
        <f>Prices!F93</f>
        <v>0.875</v>
      </c>
      <c r="G52" s="44" t="str">
        <f>Prices!D93</f>
        <v>Buy</v>
      </c>
      <c r="H52" s="46"/>
      <c r="I52" s="47">
        <f>TRUECORP!$D$38</f>
        <v>8.9931743909488535</v>
      </c>
      <c r="J52" s="47">
        <f>TRUECORP!$E$38</f>
        <v>7.6031342151861212</v>
      </c>
      <c r="K52" s="47">
        <f>TRUECORP!$F$38</f>
        <v>6.5384005538267971</v>
      </c>
      <c r="L52" s="47">
        <f>TRUECORP!$G$38</f>
        <v>5.5276559818588327</v>
      </c>
      <c r="M52" s="45">
        <f>TRUECORP!$H$38</f>
        <v>0.10670531330914002</v>
      </c>
      <c r="N52" s="46"/>
      <c r="O52" s="47">
        <f>TRUECORP!$D$39</f>
        <v>15.857306344898504</v>
      </c>
      <c r="P52" s="47">
        <f>TRUECORP!$E$39</f>
        <v>10.928083878134252</v>
      </c>
      <c r="Q52" s="47">
        <f>TRUECORP!$F$39</f>
        <v>8.8978358288532071</v>
      </c>
      <c r="R52" s="47">
        <f>TRUECORP!$G$39</f>
        <v>7.3841245372083986</v>
      </c>
      <c r="S52" s="45">
        <f>TRUECORP!$H$39</f>
        <v>0.21399843450490885</v>
      </c>
      <c r="T52" s="46"/>
      <c r="U52" s="48" t="str">
        <f>D52</f>
        <v>THB 8.0</v>
      </c>
      <c r="V52" s="44" t="s">
        <v>37</v>
      </c>
      <c r="Z52" s="46"/>
      <c r="AE52" s="41"/>
      <c r="AF52" s="31"/>
      <c r="AG52" s="31"/>
      <c r="AI52" s="41"/>
      <c r="AJ52" s="64"/>
      <c r="AK52" s="64"/>
      <c r="AM52" s="41"/>
      <c r="AN52" s="64"/>
      <c r="AO52" s="64"/>
      <c r="AQ52" s="41"/>
      <c r="AR52" s="64"/>
      <c r="AS52" s="64"/>
      <c r="BC52" s="65"/>
      <c r="BD52" s="65"/>
      <c r="BE52" s="65"/>
      <c r="BG52" s="65"/>
      <c r="BH52" s="65"/>
      <c r="BI52" s="65"/>
      <c r="BK52" s="65"/>
      <c r="BL52" s="65"/>
      <c r="BM52" s="65"/>
      <c r="BO52" s="65"/>
      <c r="BP52" s="65"/>
      <c r="BQ52" s="65"/>
    </row>
    <row r="53" spans="1:69">
      <c r="A53" s="5"/>
      <c r="B53" s="42" t="s">
        <v>385</v>
      </c>
      <c r="C53" s="48" t="s">
        <v>358</v>
      </c>
      <c r="D53" s="44" t="str">
        <f>'EM Multiples'!B53&amp;TEXT(Prices!C94,"0,00")</f>
        <v>IDR 2,470</v>
      </c>
      <c r="E53" s="44" t="str">
        <f>'EM Multiples'!B53&amp;TEXT(Prices!E94,"0,00")</f>
        <v>IDR 5,000</v>
      </c>
      <c r="F53" s="45">
        <f>Prices!F94</f>
        <v>1.0242914979757085</v>
      </c>
      <c r="G53" s="44" t="str">
        <f>Prices!D94</f>
        <v>Buy</v>
      </c>
      <c r="H53" s="46"/>
      <c r="I53" s="47">
        <f>XLAX!$D$38</f>
        <v>4.871213770384009</v>
      </c>
      <c r="J53" s="47">
        <f>XLAX!$E$38</f>
        <v>4.0700186634493782</v>
      </c>
      <c r="K53" s="47">
        <f>XLAX!$F$38</f>
        <v>3.4878508924610325</v>
      </c>
      <c r="L53" s="47">
        <f>XLAX!$G$38</f>
        <v>2.9191127109789106</v>
      </c>
      <c r="M53" s="45">
        <f>XLAX!$H$38</f>
        <v>7.0515978419444014E-2</v>
      </c>
      <c r="N53" s="56"/>
      <c r="O53" s="47">
        <f>XLAX!$D$39</f>
        <v>8.8666472719777687</v>
      </c>
      <c r="P53" s="47">
        <f>XLAX!$E$39</f>
        <v>7.5813787639294672</v>
      </c>
      <c r="Q53" s="47">
        <f>XLAX!$F$39</f>
        <v>6.2570748863176835</v>
      </c>
      <c r="R53" s="47">
        <f>XLAX!$G$39</f>
        <v>5.2286300753456567</v>
      </c>
      <c r="S53" s="45">
        <f>XLAX!$H$39</f>
        <v>7.6270782791585834E-2</v>
      </c>
      <c r="T53" s="46"/>
      <c r="U53" s="48" t="str">
        <f t="shared" si="4"/>
        <v>IDR 2,470</v>
      </c>
      <c r="V53" s="44" t="s">
        <v>358</v>
      </c>
      <c r="Z53" s="46"/>
      <c r="AE53" s="41"/>
      <c r="AF53" s="31"/>
      <c r="AG53" s="31"/>
      <c r="AI53" s="41"/>
      <c r="AJ53" s="64"/>
      <c r="AK53" s="64"/>
      <c r="AM53" s="41"/>
      <c r="AN53" s="64"/>
      <c r="AO53" s="64"/>
      <c r="AQ53" s="41"/>
      <c r="AR53" s="64"/>
      <c r="AS53" s="64"/>
      <c r="BC53" s="65"/>
      <c r="BD53" s="65"/>
      <c r="BE53" s="65"/>
      <c r="BG53" s="65"/>
      <c r="BH53" s="65"/>
      <c r="BI53" s="65"/>
      <c r="BK53" s="65"/>
      <c r="BL53" s="65"/>
      <c r="BM53" s="65"/>
      <c r="BO53" s="65"/>
      <c r="BP53" s="65"/>
      <c r="BQ53" s="65"/>
    </row>
    <row r="54" spans="1:69">
      <c r="C54" s="51" t="s">
        <v>630</v>
      </c>
      <c r="D54" s="52"/>
      <c r="E54" s="52"/>
      <c r="F54" s="53"/>
      <c r="G54" s="52"/>
      <c r="H54" s="46"/>
      <c r="I54" s="54">
        <f>'EM ASIA CELLULAR'!D38</f>
        <v>6.0691968701190078</v>
      </c>
      <c r="J54" s="54">
        <f>'EM ASIA CELLULAR'!E38</f>
        <v>5.5831972180796781</v>
      </c>
      <c r="K54" s="54">
        <f>'EM ASIA CELLULAR'!F38</f>
        <v>4.8747610925670459</v>
      </c>
      <c r="L54" s="54">
        <f>'EM ASIA CELLULAR'!G38</f>
        <v>4.2092725575364076</v>
      </c>
      <c r="M54" s="55">
        <f>'EM ASIA CELLULAR'!H38</f>
        <v>6.4031099626415955E-2</v>
      </c>
      <c r="N54" s="56"/>
      <c r="O54" s="54">
        <f>'EM ASIA CELLULAR'!D39</f>
        <v>11.711453620308948</v>
      </c>
      <c r="P54" s="54">
        <f>'EM ASIA CELLULAR'!E39</f>
        <v>10.351343508507215</v>
      </c>
      <c r="Q54" s="54">
        <f>'EM ASIA CELLULAR'!F39</f>
        <v>8.578383477640104</v>
      </c>
      <c r="R54" s="54">
        <f>'EM ASIA CELLULAR'!G39</f>
        <v>7.0537059267133086</v>
      </c>
      <c r="S54" s="55">
        <f>'EM ASIA CELLULAR'!H39</f>
        <v>0.11526330676280883</v>
      </c>
      <c r="T54" s="46"/>
      <c r="U54" s="57"/>
      <c r="V54" s="58" t="s">
        <v>630</v>
      </c>
      <c r="Z54" s="46"/>
      <c r="AE54" s="41"/>
      <c r="AF54" s="31"/>
      <c r="AG54" s="31"/>
      <c r="AI54" s="41"/>
      <c r="AJ54" s="64"/>
      <c r="AK54" s="64"/>
      <c r="AM54" s="41"/>
      <c r="AN54" s="64"/>
      <c r="AO54" s="64"/>
      <c r="AQ54" s="41"/>
      <c r="AR54" s="64"/>
      <c r="AS54" s="64"/>
      <c r="BC54" s="65"/>
      <c r="BD54" s="65"/>
      <c r="BE54" s="65"/>
      <c r="BG54" s="65"/>
      <c r="BH54" s="65"/>
      <c r="BI54" s="65"/>
      <c r="BK54" s="65"/>
      <c r="BL54" s="65"/>
      <c r="BM54" s="65"/>
      <c r="BO54" s="65"/>
      <c r="BP54" s="65"/>
      <c r="BQ54" s="65"/>
    </row>
    <row r="55" spans="1:69">
      <c r="C55" s="43"/>
      <c r="D55" s="44"/>
      <c r="E55" s="44"/>
      <c r="F55" s="68"/>
      <c r="G55" s="44"/>
      <c r="H55" s="46"/>
      <c r="I55" s="62"/>
      <c r="J55" s="62"/>
      <c r="K55" s="62"/>
      <c r="L55" s="62"/>
      <c r="M55" s="61"/>
      <c r="N55" s="46"/>
      <c r="O55" s="62"/>
      <c r="P55" s="62"/>
      <c r="Q55" s="62"/>
      <c r="R55" s="62"/>
      <c r="S55" s="61"/>
      <c r="T55" s="46"/>
      <c r="U55" s="48"/>
      <c r="V55" s="50"/>
      <c r="Z55" s="46"/>
      <c r="AE55" s="41"/>
      <c r="AF55" s="31"/>
      <c r="AG55" s="31"/>
      <c r="AI55" s="41"/>
      <c r="AJ55" s="64"/>
      <c r="AK55" s="64"/>
      <c r="AM55" s="41"/>
      <c r="AN55" s="64"/>
      <c r="AO55" s="64"/>
      <c r="AQ55" s="41"/>
      <c r="AR55" s="64"/>
      <c r="AS55" s="64"/>
      <c r="BC55" s="65"/>
      <c r="BD55" s="65"/>
      <c r="BE55" s="65"/>
      <c r="BG55" s="65"/>
      <c r="BH55" s="65"/>
      <c r="BI55" s="65"/>
      <c r="BK55" s="65"/>
      <c r="BL55" s="65"/>
      <c r="BM55" s="65"/>
      <c r="BO55" s="65"/>
      <c r="BP55" s="65"/>
      <c r="BQ55" s="65"/>
    </row>
    <row r="56" spans="1:69">
      <c r="C56" s="51" t="s">
        <v>870</v>
      </c>
      <c r="D56" s="52"/>
      <c r="E56" s="52"/>
      <c r="F56" s="53"/>
      <c r="G56" s="52"/>
      <c r="H56" s="46"/>
      <c r="I56" s="54">
        <f>'EM CELLULAR'!D38</f>
        <v>6.211590807666914</v>
      </c>
      <c r="J56" s="54">
        <f>'EM CELLULAR'!E38</f>
        <v>5.8072036978296566</v>
      </c>
      <c r="K56" s="54">
        <f>'EM CELLULAR'!F38</f>
        <v>5.1059602676010947</v>
      </c>
      <c r="L56" s="54">
        <f>'EM CELLULAR'!G38</f>
        <v>4.4630559895464135</v>
      </c>
      <c r="M56" s="55">
        <f>'EM CELLULAR'!H38</f>
        <v>6.0231249791276253E-2</v>
      </c>
      <c r="N56" s="46"/>
      <c r="O56" s="54">
        <f>'EM CELLULAR'!D39</f>
        <v>11.916721009928562</v>
      </c>
      <c r="P56" s="54">
        <f>'EM CELLULAR'!E39</f>
        <v>10.745312356284957</v>
      </c>
      <c r="Q56" s="54">
        <f>'EM CELLULAR'!F39</f>
        <v>8.9736502860396943</v>
      </c>
      <c r="R56" s="54">
        <f>'EM CELLULAR'!G39</f>
        <v>7.4998267467078747</v>
      </c>
      <c r="S56" s="55">
        <f>'EM CELLULAR'!H39</f>
        <v>0.10809997877797661</v>
      </c>
      <c r="T56" s="46"/>
      <c r="U56" s="57"/>
      <c r="V56" s="58" t="str">
        <f>C56</f>
        <v>Agg. Emerging  Cellular</v>
      </c>
      <c r="Z56" s="46"/>
      <c r="AE56" s="41"/>
      <c r="AF56" s="31"/>
      <c r="AG56" s="31"/>
      <c r="AI56" s="41"/>
      <c r="AJ56" s="64"/>
      <c r="AK56" s="64"/>
      <c r="AM56" s="41"/>
      <c r="AN56" s="64"/>
      <c r="AO56" s="64"/>
      <c r="AQ56" s="41"/>
      <c r="AR56" s="64"/>
      <c r="AS56" s="64"/>
      <c r="BC56" s="65"/>
      <c r="BD56" s="65"/>
      <c r="BE56" s="65"/>
      <c r="BG56" s="65"/>
      <c r="BH56" s="65"/>
      <c r="BI56" s="65"/>
      <c r="BK56" s="65"/>
      <c r="BL56" s="65"/>
      <c r="BM56" s="65"/>
      <c r="BO56" s="65"/>
      <c r="BP56" s="65"/>
      <c r="BQ56" s="65"/>
    </row>
    <row r="57" spans="1:69">
      <c r="A57" s="5"/>
      <c r="C57" s="43"/>
      <c r="D57" s="44"/>
      <c r="E57" s="44"/>
      <c r="F57" s="45"/>
      <c r="G57" s="44"/>
      <c r="H57" s="46"/>
      <c r="I57" s="47"/>
      <c r="J57" s="47"/>
      <c r="K57" s="47"/>
      <c r="L57" s="47"/>
      <c r="M57" s="45"/>
      <c r="N57" s="46"/>
      <c r="O57" s="47"/>
      <c r="P57" s="47"/>
      <c r="Q57" s="47"/>
      <c r="R57" s="47"/>
      <c r="S57" s="45"/>
      <c r="T57" s="46"/>
      <c r="U57" s="48"/>
      <c r="V57" s="50"/>
      <c r="Z57" s="46"/>
      <c r="AE57" s="41"/>
      <c r="AF57" s="31"/>
      <c r="AG57" s="31"/>
      <c r="AI57" s="41"/>
      <c r="AJ57" s="64"/>
      <c r="AK57" s="64"/>
      <c r="AM57" s="41"/>
      <c r="AN57" s="64"/>
      <c r="AO57" s="64"/>
      <c r="AQ57" s="41"/>
      <c r="AR57" s="64"/>
      <c r="AS57" s="64"/>
      <c r="BC57" s="65"/>
      <c r="BD57" s="65"/>
      <c r="BE57" s="65"/>
      <c r="BG57" s="65"/>
      <c r="BH57" s="65"/>
      <c r="BI57" s="65"/>
      <c r="BK57" s="65"/>
      <c r="BL57" s="65"/>
      <c r="BM57" s="65"/>
      <c r="BO57" s="65"/>
      <c r="BP57" s="65"/>
      <c r="BQ57" s="65"/>
    </row>
    <row r="58" spans="1:69">
      <c r="A58" s="41" t="s">
        <v>508</v>
      </c>
      <c r="B58" s="42" t="s">
        <v>1420</v>
      </c>
      <c r="C58" s="48" t="s">
        <v>819</v>
      </c>
      <c r="D58" s="44" t="str">
        <f>'EM Multiples'!B58&amp;TEXT(Prices!C$135,"0.00")</f>
        <v>MXN 52.16</v>
      </c>
      <c r="E58" s="44" t="str">
        <f>'EM Multiples'!B58&amp;TEXT(Prices!E$135,"0.00")</f>
        <v>MXN 55.00</v>
      </c>
      <c r="F58" s="45">
        <f>Prices!F$135</f>
        <v>5.444785276073616E-2</v>
      </c>
      <c r="G58" s="44" t="str">
        <f>Prices!D$135</f>
        <v>Buy</v>
      </c>
      <c r="H58" s="46"/>
      <c r="I58" s="47">
        <f>MEGA!$D$38</f>
        <v>5.1543422782048509</v>
      </c>
      <c r="J58" s="47">
        <f>MEGA!$E$38</f>
        <v>4.8704529084169241</v>
      </c>
      <c r="K58" s="47">
        <f>MEGA!$F$38</f>
        <v>4.353095331249583</v>
      </c>
      <c r="L58" s="47">
        <f>MEGA!$G$38</f>
        <v>3.8047413490689381</v>
      </c>
      <c r="M58" s="45">
        <f>MEGA!$H$38</f>
        <v>8.7003439023187523E-2</v>
      </c>
      <c r="N58" s="46"/>
      <c r="O58" s="47">
        <f>MEGA!$D$39</f>
        <v>66.343096712695129</v>
      </c>
      <c r="P58" s="47">
        <f>MEGA!$E$39</f>
        <v>45.07591678543033</v>
      </c>
      <c r="Q58" s="47">
        <f>MEGA!$F$39</f>
        <v>14.404516747732849</v>
      </c>
      <c r="R58" s="47">
        <f>MEGA!$G$39</f>
        <v>8.6985811041666263</v>
      </c>
      <c r="S58" s="45">
        <f>MEGA!$H$39</f>
        <v>0.93373661215068116</v>
      </c>
      <c r="T58" s="46"/>
      <c r="U58" s="48" t="str">
        <f>D58</f>
        <v>MXN 52.16</v>
      </c>
      <c r="V58" s="44" t="str">
        <f>C58</f>
        <v>Megacable</v>
      </c>
      <c r="Z58" s="46"/>
      <c r="AE58" s="41"/>
      <c r="AF58" s="31"/>
      <c r="AG58" s="31"/>
      <c r="AI58" s="41"/>
      <c r="AJ58" s="64"/>
      <c r="AK58" s="64"/>
      <c r="AM58" s="41"/>
      <c r="AN58" s="64"/>
      <c r="AO58" s="64"/>
      <c r="AQ58" s="41"/>
      <c r="AR58" s="64"/>
      <c r="AS58" s="64"/>
      <c r="BC58" s="65"/>
      <c r="BD58" s="65"/>
      <c r="BE58" s="65"/>
      <c r="BG58" s="65"/>
      <c r="BH58" s="65"/>
      <c r="BI58" s="65"/>
      <c r="BK58" s="65"/>
      <c r="BL58" s="65"/>
      <c r="BM58" s="65"/>
      <c r="BO58" s="65"/>
      <c r="BP58" s="65"/>
      <c r="BQ58" s="65"/>
    </row>
    <row r="59" spans="1:69">
      <c r="A59" s="5"/>
      <c r="B59" s="42" t="s">
        <v>1417</v>
      </c>
      <c r="C59" s="48" t="s">
        <v>804</v>
      </c>
      <c r="D59" s="44" t="str">
        <f>'EM Multiples'!B59&amp;TEXT(Prices!C138,"0.00")</f>
        <v>USD 8.55</v>
      </c>
      <c r="E59" s="44" t="str">
        <f>'EM Multiples'!B59&amp;TEXT(Prices!E138,"0.00")</f>
        <v>USD 14.00</v>
      </c>
      <c r="F59" s="45">
        <f>Prices!F138</f>
        <v>0.63742690058479523</v>
      </c>
      <c r="G59" s="44" t="str">
        <f>Prices!D138</f>
        <v>Buy</v>
      </c>
      <c r="H59" s="46"/>
      <c r="I59" s="47">
        <f>LiLAC!$D$38</f>
        <v>5.1871399736307229</v>
      </c>
      <c r="J59" s="47">
        <f>LiLAC!$E$38</f>
        <v>4.6840635045749135</v>
      </c>
      <c r="K59" s="47">
        <f>LiLAC!$F$38</f>
        <v>5.2524428767939604</v>
      </c>
      <c r="L59" s="47">
        <f>LiLAC!$G$38</f>
        <v>5.1090664048936087</v>
      </c>
      <c r="M59" s="45">
        <f>LiLAC!$H$38</f>
        <v>3.4388923456728726E-2</v>
      </c>
      <c r="N59" s="46"/>
      <c r="O59" s="47">
        <f>LiLAC!$D$39</f>
        <v>9.517010871935641</v>
      </c>
      <c r="P59" s="47">
        <f>LiLAC!$E$39</f>
        <v>8.0049532160496479</v>
      </c>
      <c r="Q59" s="47">
        <f>LiLAC!$F$39</f>
        <v>8.6914805441951284</v>
      </c>
      <c r="R59" s="47">
        <f>LiLAC!$G$39</f>
        <v>8.8323965766031058</v>
      </c>
      <c r="S59" s="45">
        <f>LiLAC!$H$39</f>
        <v>5.5105101534048684E-2</v>
      </c>
      <c r="T59" s="46"/>
      <c r="U59" s="48" t="str">
        <f>D59</f>
        <v>USD 8.55</v>
      </c>
      <c r="V59" s="44" t="str">
        <f>C59</f>
        <v>LiLAC</v>
      </c>
      <c r="Z59" s="46"/>
      <c r="AE59" s="41"/>
      <c r="AF59" s="31"/>
      <c r="AG59" s="31"/>
      <c r="AI59" s="41"/>
      <c r="AJ59" s="64"/>
      <c r="AK59" s="64"/>
      <c r="AM59" s="41"/>
      <c r="AN59" s="64"/>
      <c r="AO59" s="64"/>
      <c r="AQ59" s="41"/>
      <c r="AR59" s="64"/>
      <c r="AS59" s="64"/>
      <c r="BC59" s="65"/>
      <c r="BD59" s="65"/>
      <c r="BE59" s="65"/>
      <c r="BG59" s="65"/>
      <c r="BH59" s="65"/>
      <c r="BI59" s="65"/>
      <c r="BK59" s="65"/>
      <c r="BL59" s="65"/>
      <c r="BM59" s="65"/>
      <c r="BO59" s="65"/>
      <c r="BP59" s="65"/>
      <c r="BQ59" s="65"/>
    </row>
    <row r="60" spans="1:69">
      <c r="A60" s="5"/>
      <c r="C60" s="67" t="s">
        <v>822</v>
      </c>
      <c r="D60" s="52"/>
      <c r="E60" s="52"/>
      <c r="F60" s="53"/>
      <c r="G60" s="52"/>
      <c r="H60" s="46"/>
      <c r="I60" s="54">
        <f>'LATAM ALTNET &amp; CABLE'!D38</f>
        <v>5.1765948976417588</v>
      </c>
      <c r="J60" s="54">
        <f>'LATAM ALTNET &amp; CABLE'!E38</f>
        <v>4.7446114124060035</v>
      </c>
      <c r="K60" s="54">
        <f>'LATAM ALTNET &amp; CABLE'!F38</f>
        <v>4.9485110228400195</v>
      </c>
      <c r="L60" s="54">
        <f>'LATAM ALTNET &amp; CABLE'!G38</f>
        <v>4.6462777873739931</v>
      </c>
      <c r="M60" s="55">
        <f>'LATAM ALTNET &amp; CABLE'!H38</f>
        <v>5.1882999030477217E-2</v>
      </c>
      <c r="N60" s="46"/>
      <c r="O60" s="54">
        <f>'LATAM ALTNET &amp; CABLE'!D39</f>
        <v>13.112670935174428</v>
      </c>
      <c r="P60" s="54">
        <f>'LATAM ALTNET &amp; CABLE'!E39</f>
        <v>11.02980176197647</v>
      </c>
      <c r="Q60" s="54">
        <f>'LATAM ALTNET &amp; CABLE'!F39</f>
        <v>9.8532504026613026</v>
      </c>
      <c r="R60" s="54">
        <f>'LATAM ALTNET &amp; CABLE'!G39</f>
        <v>8.7930944138820468</v>
      </c>
      <c r="S60" s="55">
        <f>'LATAM ALTNET &amp; CABLE'!H39</f>
        <v>0.15923346120854243</v>
      </c>
      <c r="T60" s="46"/>
      <c r="U60" s="57"/>
      <c r="V60" s="58" t="str">
        <f>C60</f>
        <v>Agg. Emerging LatAm Altnets &amp; Cable</v>
      </c>
      <c r="Z60" s="46"/>
      <c r="AE60" s="41"/>
      <c r="AF60" s="31"/>
      <c r="AG60" s="31"/>
      <c r="AI60" s="41"/>
      <c r="AJ60" s="64"/>
      <c r="AK60" s="64"/>
      <c r="AM60" s="41"/>
      <c r="AN60" s="64"/>
      <c r="AO60" s="64"/>
      <c r="AQ60" s="41"/>
      <c r="AR60" s="64"/>
      <c r="AS60" s="64"/>
      <c r="BC60" s="65"/>
      <c r="BD60" s="65"/>
      <c r="BE60" s="65"/>
      <c r="BG60" s="65"/>
      <c r="BH60" s="65"/>
      <c r="BI60" s="65"/>
      <c r="BK60" s="65"/>
      <c r="BL60" s="65"/>
      <c r="BM60" s="65"/>
      <c r="BO60" s="65"/>
      <c r="BP60" s="65"/>
      <c r="BQ60" s="65"/>
    </row>
    <row r="61" spans="1:69">
      <c r="A61" s="5"/>
      <c r="C61" s="43"/>
      <c r="D61" s="44"/>
      <c r="E61" s="44"/>
      <c r="F61" s="45"/>
      <c r="G61" s="44"/>
      <c r="H61" s="46"/>
      <c r="I61" s="47"/>
      <c r="J61" s="47"/>
      <c r="K61" s="47"/>
      <c r="L61" s="47"/>
      <c r="M61" s="45"/>
      <c r="N61" s="46"/>
      <c r="O61" s="47"/>
      <c r="P61" s="47"/>
      <c r="Q61" s="47"/>
      <c r="R61" s="47"/>
      <c r="S61" s="45"/>
      <c r="T61" s="46"/>
      <c r="U61" s="48"/>
      <c r="V61" s="50"/>
      <c r="Z61" s="46"/>
      <c r="AE61" s="41"/>
      <c r="AF61" s="31"/>
      <c r="AG61" s="31"/>
      <c r="AI61" s="41"/>
      <c r="AJ61" s="64"/>
      <c r="AK61" s="64"/>
      <c r="AM61" s="41"/>
      <c r="AN61" s="64"/>
      <c r="AO61" s="64"/>
      <c r="AQ61" s="41"/>
      <c r="AR61" s="64"/>
      <c r="AS61" s="64"/>
      <c r="BC61" s="65"/>
      <c r="BD61" s="65"/>
      <c r="BE61" s="65"/>
      <c r="BG61" s="65"/>
      <c r="BH61" s="65"/>
      <c r="BI61" s="65"/>
      <c r="BK61" s="65"/>
      <c r="BL61" s="65"/>
      <c r="BM61" s="65"/>
      <c r="BO61" s="65"/>
      <c r="BP61" s="65"/>
      <c r="BQ61" s="65"/>
    </row>
    <row r="62" spans="1:69">
      <c r="A62" s="5"/>
      <c r="C62" s="67" t="s">
        <v>515</v>
      </c>
      <c r="D62" s="52"/>
      <c r="E62" s="52"/>
      <c r="F62" s="53"/>
      <c r="G62" s="52"/>
      <c r="H62" s="46"/>
      <c r="I62" s="54">
        <f>'EMEA AGG'!$D$38</f>
        <v>6.9665232901604561</v>
      </c>
      <c r="J62" s="54">
        <f>'EMEA AGG'!$E$38</f>
        <v>7.1420323704087929</v>
      </c>
      <c r="K62" s="54">
        <f>'EMEA AGG'!$F$38</f>
        <v>6.4353495299374348</v>
      </c>
      <c r="L62" s="54">
        <f>'EMEA AGG'!$G$38</f>
        <v>5.8850922250694264</v>
      </c>
      <c r="M62" s="55">
        <f>'EMEA AGG'!$H$38</f>
        <v>4.1325188452830064E-2</v>
      </c>
      <c r="N62" s="56"/>
      <c r="O62" s="54">
        <f>'EMEA AGG'!$D$39</f>
        <v>13.51525404538649</v>
      </c>
      <c r="P62" s="54">
        <f>'EMEA AGG'!$E$39</f>
        <v>13.719588091553831</v>
      </c>
      <c r="Q62" s="54">
        <f>'EMEA AGG'!$F$39</f>
        <v>11.740690047173304</v>
      </c>
      <c r="R62" s="54">
        <f>'EMEA AGG'!$G$39</f>
        <v>10.359827817035917</v>
      </c>
      <c r="S62" s="55">
        <f>'EMEA AGG'!$H$39</f>
        <v>7.5612875377866651E-2</v>
      </c>
      <c r="T62" s="46"/>
      <c r="U62" s="57"/>
      <c r="V62" s="58" t="s">
        <v>515</v>
      </c>
      <c r="Z62" s="46"/>
      <c r="AE62" s="41"/>
      <c r="AF62" s="31"/>
      <c r="AG62" s="31"/>
      <c r="AI62" s="41"/>
      <c r="AJ62" s="64"/>
      <c r="AK62" s="64"/>
      <c r="AM62" s="41"/>
      <c r="AN62" s="64"/>
      <c r="AO62" s="64"/>
      <c r="AQ62" s="41"/>
      <c r="AR62" s="64"/>
      <c r="AS62" s="64"/>
      <c r="BC62" s="65"/>
      <c r="BD62" s="65"/>
      <c r="BE62" s="65"/>
      <c r="BG62" s="65"/>
      <c r="BH62" s="65"/>
      <c r="BI62" s="65"/>
      <c r="BK62" s="65"/>
      <c r="BL62" s="65"/>
      <c r="BM62" s="65"/>
      <c r="BO62" s="65"/>
      <c r="BP62" s="65"/>
      <c r="BQ62" s="65"/>
    </row>
    <row r="63" spans="1:69">
      <c r="A63" s="5"/>
      <c r="C63" s="41" t="s">
        <v>516</v>
      </c>
      <c r="D63" s="44"/>
      <c r="E63" s="44"/>
      <c r="F63" s="45"/>
      <c r="G63" s="44"/>
      <c r="H63" s="46"/>
      <c r="I63" s="60">
        <f>'LATAM AGG'!$D$38</f>
        <v>4.651220941363122</v>
      </c>
      <c r="J63" s="60">
        <f>'LATAM AGG'!$E$38</f>
        <v>4.193217438425294</v>
      </c>
      <c r="K63" s="60">
        <f>'LATAM AGG'!$F$38</f>
        <v>3.7941618758158446</v>
      </c>
      <c r="L63" s="60">
        <f>'LATAM AGG'!$G$38</f>
        <v>3.4150946246506964</v>
      </c>
      <c r="M63" s="59">
        <f>'LATAM AGG'!$H$38</f>
        <v>5.2422730877842438E-2</v>
      </c>
      <c r="N63" s="56"/>
      <c r="O63" s="60">
        <f>'LATAM AGG'!$D$39</f>
        <v>9.1495896000876566</v>
      </c>
      <c r="P63" s="60">
        <f>'LATAM AGG'!$E$39</f>
        <v>7.4893839332245742</v>
      </c>
      <c r="Q63" s="60">
        <f>'LATAM AGG'!$F$39</f>
        <v>6.355259039611612</v>
      </c>
      <c r="R63" s="60">
        <f>'LATAM AGG'!$G$39</f>
        <v>5.473354808075225</v>
      </c>
      <c r="S63" s="59">
        <f>'LATAM AGG'!$H$39</f>
        <v>0.1268120459382811</v>
      </c>
      <c r="T63" s="46"/>
      <c r="U63" s="48"/>
      <c r="V63" s="50" t="s">
        <v>516</v>
      </c>
      <c r="Z63" s="46"/>
      <c r="AE63" s="41"/>
      <c r="AF63" s="31"/>
      <c r="AG63" s="31"/>
      <c r="AI63" s="41"/>
      <c r="AJ63" s="64"/>
      <c r="AK63" s="64"/>
      <c r="AM63" s="41"/>
      <c r="AN63" s="64"/>
      <c r="AO63" s="64"/>
      <c r="AQ63" s="41"/>
      <c r="AR63" s="64"/>
      <c r="AS63" s="64"/>
      <c r="BC63" s="65"/>
      <c r="BD63" s="65"/>
      <c r="BE63" s="65"/>
      <c r="BG63" s="65"/>
      <c r="BH63" s="65"/>
      <c r="BI63" s="65"/>
      <c r="BK63" s="65"/>
      <c r="BL63" s="65"/>
      <c r="BM63" s="65"/>
      <c r="BO63" s="65"/>
      <c r="BP63" s="65"/>
      <c r="BQ63" s="65"/>
    </row>
    <row r="64" spans="1:69">
      <c r="C64" s="67" t="s">
        <v>631</v>
      </c>
      <c r="D64" s="52"/>
      <c r="E64" s="52"/>
      <c r="F64" s="53"/>
      <c r="G64" s="52"/>
      <c r="H64" s="46"/>
      <c r="I64" s="54">
        <f>'AGG EM ASIA'!$D$38</f>
        <v>144.49908412579191</v>
      </c>
      <c r="J64" s="54">
        <f>'AGG EM ASIA'!$E$38</f>
        <v>133.99145464186535</v>
      </c>
      <c r="K64" s="54">
        <f>'AGG EM ASIA'!$F$38</f>
        <v>113.75750256840418</v>
      </c>
      <c r="L64" s="54">
        <f>'AGG EM ASIA'!$G$38</f>
        <v>95.06277622145636</v>
      </c>
      <c r="M64" s="55">
        <f>'AGG EM ASIA'!$H$38</f>
        <v>5.6218810807975972E-2</v>
      </c>
      <c r="N64" s="56"/>
      <c r="O64" s="54">
        <f>'AGG EM ASIA'!$D$39</f>
        <v>318.88259208510215</v>
      </c>
      <c r="P64" s="54">
        <f>'AGG EM ASIA'!$E$39</f>
        <v>275.33537026997863</v>
      </c>
      <c r="Q64" s="54">
        <f>'AGG EM ASIA'!$F$39</f>
        <v>221.64278966496494</v>
      </c>
      <c r="R64" s="54">
        <f>'AGG EM ASIA'!$G$39</f>
        <v>176.39559747763283</v>
      </c>
      <c r="S64" s="55">
        <f>'AGG EM ASIA'!$H$39</f>
        <v>0.1190514494363597</v>
      </c>
      <c r="T64" s="46"/>
      <c r="U64" s="57"/>
      <c r="V64" s="58" t="s">
        <v>631</v>
      </c>
      <c r="Z64" s="46"/>
      <c r="AE64" s="41"/>
      <c r="AF64" s="31"/>
      <c r="AG64" s="31"/>
      <c r="AI64" s="41"/>
      <c r="AJ64" s="64"/>
      <c r="AK64" s="64"/>
      <c r="AM64" s="41"/>
      <c r="AN64" s="64"/>
      <c r="AO64" s="64"/>
      <c r="AQ64" s="41"/>
      <c r="AR64" s="64"/>
      <c r="AS64" s="64"/>
      <c r="BC64" s="65"/>
      <c r="BD64" s="65"/>
      <c r="BE64" s="65"/>
      <c r="BG64" s="65"/>
      <c r="BH64" s="65"/>
      <c r="BI64" s="65"/>
      <c r="BK64" s="65"/>
      <c r="BL64" s="65"/>
      <c r="BM64" s="65"/>
      <c r="BO64" s="65"/>
      <c r="BP64" s="65"/>
      <c r="BQ64" s="65"/>
    </row>
    <row r="65" spans="1:69">
      <c r="C65" s="41"/>
      <c r="D65" s="44"/>
      <c r="E65" s="44"/>
      <c r="F65" s="45"/>
      <c r="G65" s="44"/>
      <c r="H65" s="46"/>
      <c r="I65" s="60"/>
      <c r="J65" s="60"/>
      <c r="K65" s="60"/>
      <c r="L65" s="60"/>
      <c r="M65" s="59"/>
      <c r="N65" s="56"/>
      <c r="O65" s="60"/>
      <c r="P65" s="60"/>
      <c r="Q65" s="60"/>
      <c r="R65" s="60"/>
      <c r="S65" s="59"/>
      <c r="T65" s="46"/>
      <c r="U65" s="48"/>
      <c r="V65" s="50"/>
      <c r="Z65" s="46"/>
      <c r="AE65" s="41"/>
      <c r="AF65" s="31"/>
      <c r="AG65" s="31"/>
      <c r="AI65" s="41"/>
      <c r="AJ65" s="64"/>
      <c r="AK65" s="64"/>
      <c r="AM65" s="41"/>
      <c r="AN65" s="64"/>
      <c r="AO65" s="64"/>
      <c r="AQ65" s="41"/>
      <c r="AR65" s="64"/>
      <c r="AS65" s="64"/>
      <c r="BC65" s="65"/>
      <c r="BD65" s="65"/>
      <c r="BE65" s="65"/>
      <c r="BG65" s="65"/>
      <c r="BH65" s="65"/>
      <c r="BI65" s="65"/>
      <c r="BK65" s="65"/>
      <c r="BL65" s="65"/>
      <c r="BM65" s="65"/>
      <c r="BO65" s="65"/>
      <c r="BP65" s="65"/>
      <c r="BQ65" s="65"/>
    </row>
    <row r="66" spans="1:69">
      <c r="C66" s="67" t="s">
        <v>517</v>
      </c>
      <c r="D66" s="52"/>
      <c r="E66" s="52"/>
      <c r="F66" s="53"/>
      <c r="G66" s="52"/>
      <c r="H66" s="46"/>
      <c r="I66" s="54">
        <f>'AGG EM'!$D$38</f>
        <v>105.42482757786077</v>
      </c>
      <c r="J66" s="54">
        <f>'AGG EM'!$E$38</f>
        <v>98.32493726594646</v>
      </c>
      <c r="K66" s="54">
        <f>'AGG EM'!$F$38</f>
        <v>83.460498540205094</v>
      </c>
      <c r="L66" s="54">
        <f>'AGG EM'!$G$38</f>
        <v>69.927868752575165</v>
      </c>
      <c r="M66" s="55">
        <f>'AGG EM'!$H$38</f>
        <v>5.4135753422354771E-2</v>
      </c>
      <c r="N66" s="56"/>
      <c r="O66" s="54">
        <f>'AGG EM'!$D$39</f>
        <v>224.63525692719486</v>
      </c>
      <c r="P66" s="54">
        <f>'AGG EM'!$E$39</f>
        <v>195.27313510926092</v>
      </c>
      <c r="Q66" s="54">
        <f>'AGG EM'!$F$39</f>
        <v>156.82951036244214</v>
      </c>
      <c r="R66" s="54">
        <f>'AGG EM'!$G$39</f>
        <v>125.44852848860397</v>
      </c>
      <c r="S66" s="55">
        <f>'AGG EM'!$H$39</f>
        <v>0.11635706268692725</v>
      </c>
      <c r="T66" s="46"/>
      <c r="U66" s="57"/>
      <c r="V66" s="58" t="s">
        <v>517</v>
      </c>
      <c r="Z66" s="46"/>
      <c r="AE66" s="41"/>
      <c r="AF66" s="31"/>
      <c r="AG66" s="31"/>
      <c r="AI66" s="41"/>
      <c r="AJ66" s="64"/>
      <c r="AK66" s="64"/>
      <c r="AM66" s="41"/>
      <c r="AN66" s="64"/>
      <c r="AO66" s="64"/>
      <c r="AQ66" s="41"/>
      <c r="AR66" s="64"/>
      <c r="AS66" s="64"/>
      <c r="BC66" s="65"/>
      <c r="BD66" s="65"/>
      <c r="BE66" s="65"/>
      <c r="BG66" s="65"/>
      <c r="BH66" s="65"/>
      <c r="BI66" s="65"/>
      <c r="BK66" s="65"/>
      <c r="BL66" s="65"/>
      <c r="BM66" s="65"/>
      <c r="BO66" s="65"/>
      <c r="BP66" s="65"/>
      <c r="BQ66" s="65"/>
    </row>
    <row r="67" spans="1:69">
      <c r="C67" s="43"/>
      <c r="D67" s="44"/>
      <c r="E67" s="44"/>
      <c r="F67" s="45"/>
      <c r="G67" s="44"/>
      <c r="H67" s="46"/>
      <c r="I67" s="47"/>
      <c r="J67" s="47"/>
      <c r="K67" s="47"/>
      <c r="L67" s="47"/>
      <c r="M67" s="45"/>
      <c r="N67" s="46"/>
      <c r="O67" s="47"/>
      <c r="P67" s="47"/>
      <c r="Q67" s="47"/>
      <c r="R67" s="47"/>
      <c r="S67" s="45"/>
      <c r="T67" s="46"/>
      <c r="U67" s="48"/>
      <c r="V67" s="50"/>
      <c r="Z67" s="46"/>
      <c r="AE67" s="41"/>
      <c r="AF67" s="31"/>
      <c r="AG67" s="31"/>
      <c r="AI67" s="41"/>
      <c r="AJ67" s="64"/>
      <c r="AK67" s="64"/>
      <c r="AM67" s="41"/>
      <c r="AN67" s="64"/>
      <c r="AO67" s="64"/>
      <c r="AQ67" s="41"/>
      <c r="AR67" s="64"/>
      <c r="AS67" s="64"/>
      <c r="BC67" s="65"/>
      <c r="BD67" s="65"/>
      <c r="BE67" s="65"/>
      <c r="BG67" s="65"/>
      <c r="BH67" s="65"/>
      <c r="BI67" s="65"/>
      <c r="BK67" s="65"/>
      <c r="BL67" s="65"/>
      <c r="BM67" s="65"/>
      <c r="BO67" s="65"/>
      <c r="BP67" s="65"/>
      <c r="BQ67" s="65"/>
    </row>
    <row r="68" spans="1:69">
      <c r="C68" s="43"/>
      <c r="D68" s="44"/>
      <c r="E68" s="44"/>
      <c r="F68" s="45"/>
      <c r="G68" s="44"/>
      <c r="H68" s="46"/>
      <c r="I68" s="47"/>
      <c r="J68" s="47"/>
      <c r="K68" s="47"/>
      <c r="L68" s="47"/>
      <c r="M68" s="45"/>
      <c r="N68" s="46"/>
      <c r="O68" s="47"/>
      <c r="P68" s="47"/>
      <c r="Q68" s="47"/>
      <c r="R68" s="47"/>
      <c r="S68" s="45"/>
      <c r="T68" s="46"/>
      <c r="U68" s="48"/>
      <c r="V68" s="50"/>
      <c r="Z68" s="46"/>
      <c r="AE68" s="41"/>
      <c r="AF68" s="31"/>
      <c r="AG68" s="31"/>
      <c r="AI68" s="41"/>
      <c r="AJ68" s="64"/>
      <c r="AK68" s="64"/>
      <c r="AM68" s="41"/>
      <c r="AN68" s="64"/>
      <c r="AO68" s="64"/>
      <c r="AQ68" s="41"/>
      <c r="AR68" s="64"/>
      <c r="AS68" s="64"/>
      <c r="BC68" s="65"/>
      <c r="BD68" s="65"/>
      <c r="BE68" s="65"/>
      <c r="BG68" s="65"/>
      <c r="BH68" s="65"/>
      <c r="BI68" s="65"/>
      <c r="BK68" s="65"/>
      <c r="BL68" s="65"/>
      <c r="BM68" s="65"/>
      <c r="BO68" s="65"/>
      <c r="BP68" s="65"/>
      <c r="BQ68" s="65"/>
    </row>
    <row r="69" spans="1:69" s="41" customFormat="1">
      <c r="B69" s="147"/>
      <c r="C69" s="164"/>
      <c r="D69" s="165" t="s">
        <v>464</v>
      </c>
      <c r="E69" s="165" t="s">
        <v>57</v>
      </c>
      <c r="F69" s="165" t="s">
        <v>59</v>
      </c>
      <c r="G69" s="165" t="s">
        <v>56</v>
      </c>
      <c r="H69" s="134"/>
      <c r="I69" s="166" t="s">
        <v>466</v>
      </c>
      <c r="J69" s="166"/>
      <c r="K69" s="166"/>
      <c r="L69" s="166"/>
      <c r="M69" s="166"/>
      <c r="N69" s="46"/>
      <c r="O69" s="166" t="s">
        <v>467</v>
      </c>
      <c r="P69" s="166"/>
      <c r="Q69" s="166"/>
      <c r="R69" s="166"/>
      <c r="S69" s="166"/>
      <c r="T69" s="46"/>
      <c r="U69" s="167" t="s">
        <v>464</v>
      </c>
      <c r="V69" s="165"/>
      <c r="Z69" s="49"/>
      <c r="AC69" s="135"/>
      <c r="AD69" s="136"/>
      <c r="AE69" s="136"/>
      <c r="AF69" s="136"/>
      <c r="AG69" s="136"/>
      <c r="AH69" s="136"/>
      <c r="AI69" s="136"/>
      <c r="AJ69" s="136"/>
      <c r="AK69" s="136"/>
      <c r="AL69" s="136"/>
      <c r="AM69" s="136"/>
      <c r="AN69" s="136"/>
      <c r="AO69" s="136"/>
      <c r="AP69" s="136"/>
      <c r="AQ69" s="136"/>
      <c r="AR69" s="136"/>
      <c r="AS69" s="136"/>
      <c r="AT69" s="136"/>
      <c r="AU69" s="136"/>
      <c r="AV69" s="136"/>
      <c r="AW69" s="136"/>
      <c r="BC69" s="137"/>
      <c r="BD69" s="137"/>
      <c r="BE69" s="137"/>
      <c r="BG69" s="137"/>
      <c r="BH69" s="137"/>
      <c r="BI69" s="137"/>
      <c r="BK69" s="137"/>
      <c r="BL69" s="137"/>
      <c r="BM69" s="137"/>
      <c r="BO69" s="137"/>
      <c r="BP69" s="137"/>
      <c r="BQ69" s="137"/>
    </row>
    <row r="70" spans="1:69">
      <c r="A70" s="41" t="s">
        <v>506</v>
      </c>
      <c r="C70" s="48" t="str">
        <f>C8</f>
        <v>Telkom SA</v>
      </c>
      <c r="D70" s="44" t="str">
        <f>D8</f>
        <v>ZAR 25.3</v>
      </c>
      <c r="E70" s="44" t="str">
        <f>E8</f>
        <v>ZAR 56.0</v>
      </c>
      <c r="F70" s="45">
        <f>F8</f>
        <v>1.21606648199446</v>
      </c>
      <c r="G70" s="44" t="str">
        <f>G8</f>
        <v>Neutral</v>
      </c>
      <c r="H70" s="134"/>
      <c r="I70" s="47">
        <f>TKG!$D$40</f>
        <v>4.6466717081131241</v>
      </c>
      <c r="J70" s="47">
        <f>TKG!$E$40</f>
        <v>3.9215882628740748</v>
      </c>
      <c r="K70" s="47">
        <f>TKG!$F$40</f>
        <v>3.2818989167769255</v>
      </c>
      <c r="L70" s="47">
        <f>TKG!$G$40</f>
        <v>2.5401982864583985</v>
      </c>
      <c r="M70" s="45">
        <f>TKG!$H$40</f>
        <v>6.2049124089686991E-3</v>
      </c>
      <c r="N70" s="46"/>
      <c r="O70" s="47">
        <f>TKG!$D$44</f>
        <v>3.3421618761320615</v>
      </c>
      <c r="P70" s="47">
        <f>TKG!$E$44</f>
        <v>3.4729295564380194</v>
      </c>
      <c r="Q70" s="47">
        <f>TKG!$F$44</f>
        <v>3.4433874806439966</v>
      </c>
      <c r="R70" s="47">
        <f>TKG!$G$44</f>
        <v>3.3727418387296719</v>
      </c>
      <c r="S70" s="45">
        <f>TKG!$H$44</f>
        <v>-3.031445748740591E-3</v>
      </c>
      <c r="T70" s="46"/>
      <c r="U70" s="48" t="str">
        <f>U8</f>
        <v>ZAR 25.3</v>
      </c>
      <c r="V70" s="44" t="str">
        <f>V8</f>
        <v>Telkom SA</v>
      </c>
      <c r="AE70" s="41"/>
      <c r="AF70" s="31"/>
      <c r="AG70" s="31"/>
      <c r="AI70" s="41"/>
      <c r="AJ70" s="64"/>
      <c r="AK70" s="64"/>
      <c r="AM70" s="41"/>
      <c r="AN70" s="64"/>
      <c r="AO70" s="64"/>
      <c r="AQ70" s="41"/>
      <c r="AR70" s="64"/>
      <c r="AS70" s="64"/>
      <c r="AT70" s="69"/>
      <c r="AU70" s="69"/>
      <c r="AV70" s="69"/>
      <c r="AW70" s="69"/>
      <c r="BC70" s="65"/>
      <c r="BD70" s="65"/>
      <c r="BE70" s="65"/>
      <c r="BG70" s="65"/>
      <c r="BH70" s="65"/>
      <c r="BI70" s="65"/>
      <c r="BK70" s="65"/>
      <c r="BL70" s="65"/>
      <c r="BM70" s="65"/>
      <c r="BO70" s="65"/>
      <c r="BP70" s="65"/>
      <c r="BQ70" s="65"/>
    </row>
    <row r="71" spans="1:69">
      <c r="A71" s="5"/>
      <c r="C71" s="51" t="str">
        <f>C9</f>
        <v>Agg. EMEA Incumbent</v>
      </c>
      <c r="D71" s="58"/>
      <c r="E71" s="58"/>
      <c r="F71" s="55"/>
      <c r="G71" s="58"/>
      <c r="H71" s="134"/>
      <c r="I71" s="54">
        <f>'EMEA INCUMB'!$D$40</f>
        <v>4.6466717081131232</v>
      </c>
      <c r="J71" s="54">
        <f>'EMEA INCUMB'!$E$40</f>
        <v>3.9215882628740744</v>
      </c>
      <c r="K71" s="54">
        <f>'EMEA INCUMB'!$F$40</f>
        <v>3.2818989167769259</v>
      </c>
      <c r="L71" s="54">
        <f>'EMEA INCUMB'!$G$40</f>
        <v>2.5401982864583985</v>
      </c>
      <c r="M71" s="55">
        <f>'EMEA INCUMB'!$H$40</f>
        <v>6.2049124089686991E-3</v>
      </c>
      <c r="N71" s="56"/>
      <c r="O71" s="54">
        <f>'EMEA INCUMB'!$D$44</f>
        <v>3.3421618761320615</v>
      </c>
      <c r="P71" s="54">
        <f>'EMEA INCUMB'!$E$44</f>
        <v>3.4729295564380194</v>
      </c>
      <c r="Q71" s="54">
        <f>'EMEA INCUMB'!$F$44</f>
        <v>3.443387480643997</v>
      </c>
      <c r="R71" s="54">
        <f>'EMEA INCUMB'!$G$44</f>
        <v>3.3727418387296719</v>
      </c>
      <c r="S71" s="55">
        <f>'EMEA INCUMB'!$H$44</f>
        <v>-3.031445748740591E-3</v>
      </c>
      <c r="T71" s="56"/>
      <c r="U71" s="51"/>
      <c r="V71" s="58" t="str">
        <f>V9</f>
        <v>Agg. EMEA Incumbent</v>
      </c>
      <c r="AE71" s="41"/>
      <c r="AF71" s="31"/>
      <c r="AG71" s="31"/>
      <c r="AI71" s="41"/>
      <c r="AJ71" s="64"/>
      <c r="AK71" s="64"/>
      <c r="AM71" s="41"/>
      <c r="AN71" s="64"/>
      <c r="AO71" s="64"/>
      <c r="AQ71" s="41"/>
      <c r="AR71" s="64"/>
      <c r="AS71" s="64"/>
      <c r="AT71" s="69"/>
      <c r="BC71" s="65"/>
      <c r="BD71" s="65"/>
      <c r="BE71" s="65"/>
      <c r="BG71" s="65"/>
      <c r="BH71" s="65"/>
      <c r="BI71" s="65"/>
      <c r="BK71" s="65"/>
      <c r="BL71" s="65"/>
      <c r="BM71" s="65"/>
      <c r="BO71" s="65"/>
      <c r="BP71" s="65"/>
      <c r="BQ71" s="65"/>
    </row>
    <row r="72" spans="1:69">
      <c r="A72" s="5"/>
      <c r="C72" s="48"/>
      <c r="D72" s="44"/>
      <c r="E72" s="44"/>
      <c r="F72" s="68"/>
      <c r="G72" s="44"/>
      <c r="H72" s="134"/>
      <c r="I72" s="62"/>
      <c r="J72" s="62"/>
      <c r="K72" s="62"/>
      <c r="L72" s="62"/>
      <c r="M72" s="61"/>
      <c r="N72" s="46"/>
      <c r="O72" s="62"/>
      <c r="P72" s="62"/>
      <c r="Q72" s="62"/>
      <c r="R72" s="62"/>
      <c r="S72" s="61"/>
      <c r="T72" s="46"/>
      <c r="U72" s="48"/>
      <c r="V72" s="44"/>
      <c r="AE72" s="41"/>
      <c r="AF72" s="31"/>
      <c r="AG72" s="31"/>
      <c r="AI72" s="41"/>
      <c r="AJ72" s="64"/>
      <c r="AK72" s="64"/>
      <c r="AM72" s="41"/>
      <c r="AN72" s="64"/>
      <c r="AO72" s="64"/>
      <c r="AQ72" s="41"/>
      <c r="AR72" s="64"/>
      <c r="AS72" s="64"/>
      <c r="AT72" s="69"/>
      <c r="BC72" s="65"/>
      <c r="BD72" s="65"/>
      <c r="BE72" s="65"/>
      <c r="BG72" s="65"/>
      <c r="BH72" s="65"/>
      <c r="BI72" s="65"/>
      <c r="BK72" s="65"/>
      <c r="BL72" s="65"/>
      <c r="BM72" s="65"/>
      <c r="BO72" s="65"/>
      <c r="BP72" s="65"/>
      <c r="BQ72" s="65"/>
    </row>
    <row r="73" spans="1:69">
      <c r="A73" s="5"/>
      <c r="C73" s="48" t="str">
        <f t="shared" ref="C73:G75" si="5">C11</f>
        <v>America Movil</v>
      </c>
      <c r="D73" s="44" t="str">
        <f t="shared" si="5"/>
        <v>USD 16.2</v>
      </c>
      <c r="E73" s="44" t="str">
        <f t="shared" si="5"/>
        <v>USD 24.0</v>
      </c>
      <c r="F73" s="45">
        <f t="shared" si="5"/>
        <v>0.47965474722564738</v>
      </c>
      <c r="G73" s="44" t="str">
        <f t="shared" si="5"/>
        <v>Buy</v>
      </c>
      <c r="H73" s="46"/>
      <c r="I73" s="47">
        <f>AMX!$D$40</f>
        <v>14.586515733687031</v>
      </c>
      <c r="J73" s="47">
        <f>AMX!$E$40</f>
        <v>10.417593093994542</v>
      </c>
      <c r="K73" s="47">
        <f>AMX!$F$40</f>
        <v>8.7975852687521972</v>
      </c>
      <c r="L73" s="47">
        <f>AMX!$G$40</f>
        <v>7.4699962226956762</v>
      </c>
      <c r="M73" s="45">
        <f>AMX!$H$40</f>
        <v>0.17583723704721455</v>
      </c>
      <c r="N73" s="46"/>
      <c r="O73" s="47">
        <f>AMX!$D$44</f>
        <v>12.152870198547117</v>
      </c>
      <c r="P73" s="47">
        <f>AMX!$E$44</f>
        <v>9.370353959073757</v>
      </c>
      <c r="Q73" s="47">
        <f>AMX!$F$44</f>
        <v>7.3064813292941553</v>
      </c>
      <c r="R73" s="47">
        <f>AMX!$G$44</f>
        <v>5.8802645558850601</v>
      </c>
      <c r="S73" s="45">
        <f>AMX!$H$44</f>
        <v>0.22420898009497869</v>
      </c>
      <c r="T73" s="46"/>
      <c r="U73" s="48" t="str">
        <f t="shared" ref="U73:V76" si="6">U11</f>
        <v>USD 16.2</v>
      </c>
      <c r="V73" s="44" t="str">
        <f t="shared" si="6"/>
        <v>America Movil</v>
      </c>
      <c r="AE73" s="41"/>
      <c r="AF73" s="31"/>
      <c r="AG73" s="31"/>
      <c r="AI73" s="41"/>
      <c r="AJ73" s="64"/>
      <c r="AK73" s="64"/>
      <c r="AM73" s="41"/>
      <c r="AN73" s="64"/>
      <c r="AO73" s="64"/>
      <c r="AQ73" s="41"/>
      <c r="AR73" s="64"/>
      <c r="AS73" s="64"/>
      <c r="AT73" s="69"/>
    </row>
    <row r="74" spans="1:69">
      <c r="A74" s="5"/>
      <c r="C74" s="48" t="str">
        <f t="shared" si="5"/>
        <v>Oi</v>
      </c>
      <c r="D74" s="44" t="str">
        <f t="shared" si="5"/>
        <v>BRL 1.78</v>
      </c>
      <c r="E74" s="44" t="str">
        <f t="shared" si="5"/>
        <v>BRL 0.90</v>
      </c>
      <c r="F74" s="45">
        <f t="shared" si="5"/>
        <v>-0.4943820224719101</v>
      </c>
      <c r="G74" s="44" t="str">
        <f t="shared" si="5"/>
        <v>Neutral</v>
      </c>
      <c r="H74" s="46"/>
      <c r="I74" s="47">
        <f>OIBR!$D$40</f>
        <v>-12.525085011853061</v>
      </c>
      <c r="J74" s="47">
        <f>OIBR!$E$40</f>
        <v>-19.647400768826369</v>
      </c>
      <c r="K74" s="47">
        <f>OIBR!$F$40</f>
        <v>-684.96319152200215</v>
      </c>
      <c r="L74" s="47">
        <f>OIBR!$G$40</f>
        <v>46.184966487925941</v>
      </c>
      <c r="M74" s="45">
        <f>OIBR!$H$40</f>
        <v>-1.7323603107617997</v>
      </c>
      <c r="N74" s="46"/>
      <c r="O74" s="47">
        <f>OIBR!$D$44</f>
        <v>-0.9968096827663484</v>
      </c>
      <c r="P74" s="47">
        <f>OIBR!$E$44</f>
        <v>-1.2030838715625432</v>
      </c>
      <c r="Q74" s="47">
        <f>OIBR!$F$44</f>
        <v>-1.6622971923331795</v>
      </c>
      <c r="R74" s="47">
        <f>OIBR!$G$44</f>
        <v>-2.2617885219495766</v>
      </c>
      <c r="S74" s="45">
        <f>OIBR!$H$44</f>
        <v>-0.23899633082579186</v>
      </c>
      <c r="T74" s="46"/>
      <c r="U74" s="48" t="str">
        <f t="shared" si="6"/>
        <v>BRL 1.78</v>
      </c>
      <c r="V74" s="44" t="str">
        <f t="shared" si="6"/>
        <v>Oi</v>
      </c>
      <c r="AE74" s="41"/>
      <c r="AF74" s="31"/>
      <c r="AG74" s="31"/>
      <c r="AI74" s="41"/>
      <c r="AJ74" s="64"/>
      <c r="AK74" s="64"/>
      <c r="AM74" s="41"/>
      <c r="AN74" s="64"/>
      <c r="AO74" s="64"/>
      <c r="AQ74" s="41"/>
      <c r="AR74" s="64"/>
      <c r="AS74" s="64"/>
      <c r="AT74" s="69"/>
      <c r="BC74" s="65"/>
      <c r="BD74" s="65"/>
      <c r="BE74" s="65"/>
      <c r="BG74" s="65"/>
      <c r="BH74" s="65"/>
      <c r="BI74" s="65"/>
      <c r="BK74" s="65"/>
      <c r="BL74" s="65"/>
      <c r="BM74" s="65"/>
      <c r="BO74" s="65"/>
      <c r="BP74" s="65"/>
      <c r="BQ74" s="65"/>
    </row>
    <row r="75" spans="1:69" s="5" customFormat="1">
      <c r="B75" s="42"/>
      <c r="C75" s="48" t="str">
        <f t="shared" si="5"/>
        <v>Telefonica Brasil</v>
      </c>
      <c r="D75" s="44" t="str">
        <f t="shared" si="5"/>
        <v>BRL 45.90</v>
      </c>
      <c r="E75" s="44" t="str">
        <f t="shared" si="5"/>
        <v>BRL 61.00</v>
      </c>
      <c r="F75" s="45">
        <f t="shared" si="5"/>
        <v>0.32897603485838789</v>
      </c>
      <c r="G75" s="44" t="str">
        <f t="shared" si="5"/>
        <v>Buy</v>
      </c>
      <c r="H75" s="46"/>
      <c r="I75" s="47">
        <f>VIVO!$D$40</f>
        <v>10.239704890132522</v>
      </c>
      <c r="J75" s="47">
        <f>VIVO!$E$40</f>
        <v>8.3074384491988447</v>
      </c>
      <c r="K75" s="47">
        <f>VIVO!$F$40</f>
        <v>6.852534377830592</v>
      </c>
      <c r="L75" s="47">
        <f>VIVO!$G$40</f>
        <v>5.7189424817122463</v>
      </c>
      <c r="M75" s="45">
        <f>VIVO!$H$40</f>
        <v>0.11598945437726726</v>
      </c>
      <c r="N75" s="46"/>
      <c r="O75" s="47">
        <f>VIVO!$D$44</f>
        <v>14.145008299710769</v>
      </c>
      <c r="P75" s="47">
        <f>VIVO!$E$44</f>
        <v>11.514283989185907</v>
      </c>
      <c r="Q75" s="47">
        <f>VIVO!$F$44</f>
        <v>9.2022786991052339</v>
      </c>
      <c r="R75" s="47">
        <f>VIVO!$G$44</f>
        <v>8.0562906539870216</v>
      </c>
      <c r="S75" s="45">
        <f>VIVO!$H$44</f>
        <v>0.19733950436133263</v>
      </c>
      <c r="T75" s="46"/>
      <c r="U75" s="48" t="str">
        <f t="shared" si="6"/>
        <v>BRL 45.90</v>
      </c>
      <c r="V75" s="44" t="str">
        <f t="shared" si="6"/>
        <v>Telefonica Brasil</v>
      </c>
      <c r="AE75" s="41"/>
      <c r="AF75" s="31"/>
      <c r="AG75" s="31"/>
      <c r="AI75" s="41"/>
      <c r="AJ75" s="64"/>
      <c r="AK75" s="64"/>
      <c r="AM75" s="41"/>
      <c r="AN75" s="64"/>
      <c r="AO75" s="64"/>
      <c r="AQ75" s="41"/>
      <c r="AR75" s="64"/>
      <c r="AS75" s="64"/>
    </row>
    <row r="76" spans="1:69" s="5" customFormat="1">
      <c r="B76" s="42"/>
      <c r="C76" s="48" t="s">
        <v>673</v>
      </c>
      <c r="D76" s="44" t="str">
        <f>D14</f>
        <v>USD 3.1</v>
      </c>
      <c r="E76" s="44" t="str">
        <f>E14</f>
        <v>USD 3.7</v>
      </c>
      <c r="F76" s="45">
        <f>F14</f>
        <v>0.17834394904458595</v>
      </c>
      <c r="G76" s="44" t="str">
        <f>G14</f>
        <v>Neutral</v>
      </c>
      <c r="H76" s="46"/>
      <c r="I76" s="47">
        <f>TVIS!$D$40</f>
        <v>1.8329697760789885</v>
      </c>
      <c r="J76" s="47">
        <f>TVIS!$E$40</f>
        <v>1.1729971061151407</v>
      </c>
      <c r="K76" s="47">
        <f>TVIS!$F$40</f>
        <v>0.80469977213135446</v>
      </c>
      <c r="L76" s="47">
        <f>TVIS!$G$40</f>
        <v>0.26154431883941409</v>
      </c>
      <c r="M76" s="45">
        <f>TVIS!$H$40</f>
        <v>2.5890263698069571E-2</v>
      </c>
      <c r="N76" s="46"/>
      <c r="O76" s="47">
        <f>TVIS!$D$44</f>
        <v>-22.726427051529011</v>
      </c>
      <c r="P76" s="47">
        <f>TVIS!$E$44</f>
        <v>52.572277236563394</v>
      </c>
      <c r="Q76" s="47">
        <f>TVIS!$F$44</f>
        <v>15.48343824545913</v>
      </c>
      <c r="R76" s="47">
        <f>TVIS!$G$44</f>
        <v>8.3016521816940294</v>
      </c>
      <c r="S76" s="45">
        <f>TVIS!$H$44</f>
        <v>-2.3989071069474379</v>
      </c>
      <c r="T76" s="46"/>
      <c r="U76" s="48" t="str">
        <f t="shared" si="6"/>
        <v>USD 3.1</v>
      </c>
      <c r="V76" s="44" t="str">
        <f t="shared" si="6"/>
        <v>Televisa</v>
      </c>
      <c r="AE76" s="41"/>
      <c r="AF76" s="31"/>
      <c r="AG76" s="31"/>
      <c r="AI76" s="41"/>
      <c r="AJ76" s="64"/>
      <c r="AK76" s="64"/>
      <c r="AM76" s="41"/>
      <c r="AN76" s="64"/>
      <c r="AO76" s="64"/>
      <c r="AQ76" s="41"/>
      <c r="AR76" s="64"/>
      <c r="AS76" s="64"/>
      <c r="AT76" s="69"/>
    </row>
    <row r="77" spans="1:69" s="5" customFormat="1">
      <c r="B77" s="42"/>
      <c r="C77" s="51" t="str">
        <f>C15</f>
        <v>Agg. LatAm Incumbent</v>
      </c>
      <c r="D77" s="52"/>
      <c r="E77" s="52"/>
      <c r="F77" s="53"/>
      <c r="G77" s="52"/>
      <c r="H77" s="46"/>
      <c r="I77" s="54">
        <f>'LATAM INCUMB'!$D$40</f>
        <v>14.26260581436496</v>
      </c>
      <c r="J77" s="54">
        <f>'LATAM INCUMB'!$E$40</f>
        <v>10.423838597934619</v>
      </c>
      <c r="K77" s="54">
        <f>'LATAM INCUMB'!$F$40</f>
        <v>8.6569763163017868</v>
      </c>
      <c r="L77" s="54">
        <f>'LATAM INCUMB'!$G$40</f>
        <v>7.3396218928570018</v>
      </c>
      <c r="M77" s="55">
        <f>'LATAM INCUMB'!$H$40</f>
        <v>0.17948820297265589</v>
      </c>
      <c r="N77" s="56"/>
      <c r="O77" s="54">
        <f>'LATAM INCUMB'!$D$44</f>
        <v>15.253817863531252</v>
      </c>
      <c r="P77" s="54">
        <f>'LATAM INCUMB'!$E$44</f>
        <v>11.073980990801601</v>
      </c>
      <c r="Q77" s="54">
        <f>'LATAM INCUMB'!$F$44</f>
        <v>8.2928435180962055</v>
      </c>
      <c r="R77" s="54">
        <f>'LATAM INCUMB'!$G$44</f>
        <v>6.6146703376605194</v>
      </c>
      <c r="S77" s="55">
        <f>'LATAM INCUMB'!$H$44</f>
        <v>0.2809349860711805</v>
      </c>
      <c r="T77" s="46"/>
      <c r="U77" s="57"/>
      <c r="V77" s="58" t="str">
        <f>V15</f>
        <v>Agg. LatAm Incumbent</v>
      </c>
      <c r="AE77" s="41"/>
      <c r="AF77" s="31"/>
      <c r="AG77" s="31"/>
      <c r="AI77" s="41"/>
      <c r="AJ77" s="64"/>
      <c r="AK77" s="64"/>
      <c r="AM77" s="41"/>
      <c r="AN77" s="64"/>
      <c r="AO77" s="64"/>
      <c r="AQ77" s="41"/>
      <c r="AR77" s="64"/>
      <c r="AS77" s="64"/>
      <c r="AT77" s="69"/>
    </row>
    <row r="78" spans="1:69" s="5" customFormat="1">
      <c r="A78" s="39"/>
      <c r="B78" s="42"/>
      <c r="C78" s="48"/>
      <c r="D78" s="44"/>
      <c r="E78" s="44"/>
      <c r="F78" s="45"/>
      <c r="G78" s="44"/>
      <c r="H78" s="46"/>
      <c r="I78" s="47"/>
      <c r="J78" s="47"/>
      <c r="K78" s="47"/>
      <c r="L78" s="47"/>
      <c r="M78" s="45"/>
      <c r="N78" s="56"/>
      <c r="O78" s="47"/>
      <c r="P78" s="47"/>
      <c r="Q78" s="47"/>
      <c r="R78" s="47"/>
      <c r="S78" s="45"/>
      <c r="T78" s="46"/>
      <c r="U78" s="48"/>
      <c r="V78" s="50"/>
      <c r="AE78" s="41"/>
      <c r="AF78" s="31"/>
      <c r="AG78" s="31"/>
      <c r="AI78" s="41"/>
      <c r="AJ78" s="64"/>
      <c r="AK78" s="64"/>
      <c r="AM78" s="41"/>
      <c r="AN78" s="64"/>
      <c r="AO78" s="64"/>
      <c r="AQ78" s="41"/>
      <c r="AR78" s="64"/>
      <c r="AS78" s="64"/>
      <c r="AT78" s="69"/>
      <c r="AU78" s="69"/>
      <c r="AV78" s="69"/>
      <c r="AW78" s="69"/>
    </row>
    <row r="79" spans="1:69" s="5" customFormat="1">
      <c r="B79" s="42"/>
      <c r="C79" s="48" t="str">
        <f t="shared" ref="C79:G83" si="7">C17</f>
        <v>China Telecom</v>
      </c>
      <c r="D79" s="44" t="str">
        <f t="shared" si="7"/>
        <v>HKD 4.44</v>
      </c>
      <c r="E79" s="44" t="str">
        <f t="shared" si="7"/>
        <v>HKD 8.75</v>
      </c>
      <c r="F79" s="45">
        <f t="shared" si="7"/>
        <v>0.97072072072072046</v>
      </c>
      <c r="G79" s="44" t="str">
        <f t="shared" si="7"/>
        <v>Buy</v>
      </c>
      <c r="H79" s="46"/>
      <c r="I79" s="47">
        <f>_CT!$D$40</f>
        <v>7.4724038027954167</v>
      </c>
      <c r="J79" s="47">
        <f>_CT!$E$40</f>
        <v>5.5631908876942777</v>
      </c>
      <c r="K79" s="47">
        <f>_CT!$F$40</f>
        <v>4.5532689643029638</v>
      </c>
      <c r="L79" s="47">
        <f>_CT!$G$40</f>
        <v>3.5294691950454067</v>
      </c>
      <c r="M79" s="45">
        <f>_CT!$H$40</f>
        <v>0.16834246929040142</v>
      </c>
      <c r="N79" s="56"/>
      <c r="O79" s="47">
        <f>_CT!$D$44</f>
        <v>13.362163473357819</v>
      </c>
      <c r="P79" s="47">
        <f>_CT!$E$44</f>
        <v>12.126000298418063</v>
      </c>
      <c r="Q79" s="47">
        <f>_CT!$F$44</f>
        <v>10.960433821860802</v>
      </c>
      <c r="R79" s="47">
        <f>_CT!$G$44</f>
        <v>9.606602019255595</v>
      </c>
      <c r="S79" s="169">
        <f>_CT!$H$44</f>
        <v>0.11626933345092705</v>
      </c>
      <c r="T79" s="46"/>
      <c r="U79" s="48" t="str">
        <f t="shared" ref="U79:V83" si="8">U17</f>
        <v>HKD 4.44</v>
      </c>
      <c r="V79" s="44" t="str">
        <f t="shared" si="8"/>
        <v>China Telecom</v>
      </c>
      <c r="AE79" s="41"/>
      <c r="AF79" s="31"/>
      <c r="AG79" s="31"/>
      <c r="AI79" s="41"/>
      <c r="AJ79" s="64"/>
      <c r="AK79" s="64"/>
      <c r="AM79" s="41"/>
      <c r="AN79" s="64"/>
      <c r="AO79" s="64"/>
      <c r="AQ79" s="41"/>
      <c r="AR79" s="64"/>
      <c r="AS79" s="64"/>
      <c r="AT79" s="69"/>
    </row>
    <row r="80" spans="1:69" s="5" customFormat="1">
      <c r="B80" s="42"/>
      <c r="C80" s="48" t="str">
        <f t="shared" si="7"/>
        <v>China Unicom</v>
      </c>
      <c r="D80" s="44" t="str">
        <f t="shared" si="7"/>
        <v>HKD 6.20</v>
      </c>
      <c r="E80" s="44" t="str">
        <f t="shared" si="7"/>
        <v>HKD 13.20</v>
      </c>
      <c r="F80" s="45">
        <f t="shared" si="7"/>
        <v>1.129032258064516</v>
      </c>
      <c r="G80" s="44" t="str">
        <f t="shared" si="7"/>
        <v>Buy</v>
      </c>
      <c r="H80" s="46"/>
      <c r="I80" s="47">
        <f>_CU!$D$40</f>
        <v>4.0744450579939979</v>
      </c>
      <c r="J80" s="47">
        <f>_CU!$E$40</f>
        <v>2.4946417430622287</v>
      </c>
      <c r="K80" s="47">
        <f>_CU!$F$40</f>
        <v>1.9931082231597161</v>
      </c>
      <c r="L80" s="47">
        <f>_CU!$G$40</f>
        <v>1.6292488457321048</v>
      </c>
      <c r="M80" s="45">
        <f>_CU!$H$40</f>
        <v>0.12990145452903046</v>
      </c>
      <c r="N80" s="56"/>
      <c r="O80" s="47">
        <f>_CU!$D$44</f>
        <v>10.203526962249972</v>
      </c>
      <c r="P80" s="47">
        <f>_CU!$E$44</f>
        <v>9.0660488171953251</v>
      </c>
      <c r="Q80" s="47">
        <f>_CU!$F$44</f>
        <v>9.9376756618596964</v>
      </c>
      <c r="R80" s="47">
        <f>_CU!$G$44</f>
        <v>8.5170122795305847</v>
      </c>
      <c r="S80" s="169">
        <f>_CU!$H$44</f>
        <v>6.2072949426983159E-2</v>
      </c>
      <c r="T80" s="46"/>
      <c r="U80" s="48" t="str">
        <f t="shared" si="8"/>
        <v>HKD 6.20</v>
      </c>
      <c r="V80" s="44" t="str">
        <f t="shared" si="8"/>
        <v>China Unicom</v>
      </c>
      <c r="AE80" s="41"/>
      <c r="AF80" s="31"/>
      <c r="AG80" s="31"/>
      <c r="AI80" s="41"/>
      <c r="AJ80" s="64"/>
      <c r="AK80" s="64"/>
      <c r="AM80" s="41"/>
      <c r="AN80" s="64"/>
      <c r="AO80" s="64"/>
      <c r="AQ80" s="41"/>
      <c r="AR80" s="64"/>
      <c r="AS80" s="64"/>
      <c r="AT80" s="69"/>
    </row>
    <row r="81" spans="1:49" s="5" customFormat="1">
      <c r="A81" s="39"/>
      <c r="B81" s="42"/>
      <c r="C81" s="48" t="str">
        <f t="shared" si="7"/>
        <v>Chunghwa Telecom</v>
      </c>
      <c r="D81" s="44" t="str">
        <f t="shared" si="7"/>
        <v>TWD 127.00</v>
      </c>
      <c r="E81" s="44" t="str">
        <f t="shared" si="7"/>
        <v>TWD n/r</v>
      </c>
      <c r="F81" s="45" t="str">
        <f t="shared" si="7"/>
        <v>-</v>
      </c>
      <c r="G81" s="44" t="str">
        <f t="shared" si="7"/>
        <v>n/r</v>
      </c>
      <c r="H81" s="46"/>
      <c r="I81" s="47">
        <f>CHUNG!$D$40</f>
        <v>20.270249815820275</v>
      </c>
      <c r="J81" s="47">
        <f>CHUNG!$E$40</f>
        <v>17.412920872404186</v>
      </c>
      <c r="K81" s="47">
        <f>CHUNG!$F$40</f>
        <v>15.460700913785841</v>
      </c>
      <c r="L81" s="47">
        <f>CHUNG!$G$40</f>
        <v>14.146597166711619</v>
      </c>
      <c r="M81" s="45">
        <f>CHUNG!$H$40</f>
        <v>5.5231544534847021E-2</v>
      </c>
      <c r="N81" s="56"/>
      <c r="O81" s="47">
        <f>CHUNG!$D$44</f>
        <v>28.690163172343485</v>
      </c>
      <c r="P81" s="47">
        <f>CHUNG!$E$44</f>
        <v>27.374474374435742</v>
      </c>
      <c r="Q81" s="47">
        <f>CHUNG!$F$44</f>
        <v>25.946644038520152</v>
      </c>
      <c r="R81" s="47">
        <f>CHUNG!$G$44</f>
        <v>24.584904716523603</v>
      </c>
      <c r="S81" s="45">
        <f>CHUNG!$H$44</f>
        <v>5.2821704558468241E-2</v>
      </c>
      <c r="T81" s="46"/>
      <c r="U81" s="48" t="str">
        <f t="shared" si="8"/>
        <v>TWD 127.00</v>
      </c>
      <c r="V81" s="44" t="str">
        <f t="shared" si="8"/>
        <v>Chunghwa Telecom</v>
      </c>
      <c r="AE81" s="41"/>
      <c r="AF81" s="31"/>
      <c r="AG81" s="31"/>
      <c r="AI81" s="41"/>
      <c r="AJ81" s="64"/>
      <c r="AK81" s="64"/>
      <c r="AM81" s="41"/>
      <c r="AN81" s="64"/>
      <c r="AO81" s="64"/>
      <c r="AQ81" s="41"/>
      <c r="AR81" s="64"/>
      <c r="AS81" s="64"/>
      <c r="AT81" s="69"/>
    </row>
    <row r="82" spans="1:49" s="5" customFormat="1">
      <c r="A82" s="39"/>
      <c r="B82" s="42"/>
      <c r="C82" s="48" t="str">
        <f t="shared" si="7"/>
        <v>KT Corp</v>
      </c>
      <c r="D82" s="44" t="str">
        <f t="shared" si="7"/>
        <v>KRW 36,350</v>
      </c>
      <c r="E82" s="44" t="str">
        <f t="shared" si="7"/>
        <v>KRW 70,000</v>
      </c>
      <c r="F82" s="45">
        <f t="shared" si="7"/>
        <v>0.92572214580467671</v>
      </c>
      <c r="G82" s="44" t="str">
        <f t="shared" si="7"/>
        <v>Buy</v>
      </c>
      <c r="H82" s="46"/>
      <c r="I82" s="47">
        <f>_KT!$D$40</f>
        <v>11.073849730053743</v>
      </c>
      <c r="J82" s="47">
        <f>_KT!$E$40</f>
        <v>10.755826089262218</v>
      </c>
      <c r="K82" s="47">
        <f>_KT!$F$40</f>
        <v>7.5432349977058681</v>
      </c>
      <c r="L82" s="47">
        <f>_KT!$G$40</f>
        <v>6.2256077601502486</v>
      </c>
      <c r="M82" s="45">
        <f>_KT!$H$40</f>
        <v>0.11221812132162357</v>
      </c>
      <c r="N82" s="56"/>
      <c r="O82" s="47">
        <f>_KT!$D$44</f>
        <v>7.4253858972342375</v>
      </c>
      <c r="P82" s="47">
        <f>_KT!$E$44</f>
        <v>6.4311116611456578</v>
      </c>
      <c r="Q82" s="47">
        <f>_KT!$F$44</f>
        <v>5.142134747626768</v>
      </c>
      <c r="R82" s="47">
        <f>_KT!$G$44</f>
        <v>4.7072194560723828</v>
      </c>
      <c r="S82" s="45">
        <f>_KT!$H$44</f>
        <v>0.17212892483030862</v>
      </c>
      <c r="T82" s="46"/>
      <c r="U82" s="48" t="str">
        <f t="shared" si="8"/>
        <v>KRW 36,350</v>
      </c>
      <c r="V82" s="44" t="str">
        <f t="shared" si="8"/>
        <v>KT Corp</v>
      </c>
      <c r="AE82" s="41"/>
      <c r="AF82" s="31"/>
      <c r="AG82" s="31"/>
      <c r="AI82" s="41"/>
      <c r="AJ82" s="64"/>
      <c r="AK82" s="64"/>
      <c r="AM82" s="41"/>
      <c r="AN82" s="64"/>
      <c r="AO82" s="64"/>
      <c r="AQ82" s="41"/>
      <c r="AR82" s="64"/>
      <c r="AS82" s="64"/>
      <c r="AT82" s="69"/>
    </row>
    <row r="83" spans="1:49" s="5" customFormat="1">
      <c r="A83" s="39"/>
      <c r="B83" s="42"/>
      <c r="C83" s="48" t="str">
        <f t="shared" si="7"/>
        <v>PT Telkom</v>
      </c>
      <c r="D83" s="44" t="str">
        <f t="shared" si="7"/>
        <v>IDR 2,940</v>
      </c>
      <c r="E83" s="44" t="str">
        <f t="shared" si="7"/>
        <v>IDR 5,000</v>
      </c>
      <c r="F83" s="45">
        <f t="shared" si="7"/>
        <v>0.70068027210884343</v>
      </c>
      <c r="G83" s="44" t="str">
        <f t="shared" si="7"/>
        <v>Buy</v>
      </c>
      <c r="H83" s="46"/>
      <c r="I83" s="47">
        <f>PTT!$D$40</f>
        <v>14.558406119413233</v>
      </c>
      <c r="J83" s="47">
        <f>PTT!$E$40</f>
        <v>13.178437046978052</v>
      </c>
      <c r="K83" s="47">
        <f>PTT!$F$40</f>
        <v>11.218943330435188</v>
      </c>
      <c r="L83" s="47">
        <f>PTT!$G$40</f>
        <v>9.5256344348806028</v>
      </c>
      <c r="M83" s="45">
        <f>PTT!$H$40</f>
        <v>8.8431579441025754E-2</v>
      </c>
      <c r="N83" s="56"/>
      <c r="O83" s="47">
        <f>PTT!$D$44</f>
        <v>11.607002901482543</v>
      </c>
      <c r="P83" s="47">
        <f>PTT!$E$44</f>
        <v>11.469996035353242</v>
      </c>
      <c r="Q83" s="47">
        <f>PTT!$F$44</f>
        <v>9.7606083896121234</v>
      </c>
      <c r="R83" s="47">
        <f>PTT!$G$44</f>
        <v>8.567953373924361</v>
      </c>
      <c r="S83" s="169">
        <f>PTT!$H$44</f>
        <v>0.10649044046827383</v>
      </c>
      <c r="T83" s="46"/>
      <c r="U83" s="48" t="str">
        <f t="shared" si="8"/>
        <v>IDR 2,940</v>
      </c>
      <c r="V83" s="44" t="str">
        <f t="shared" si="8"/>
        <v>PT Telkom</v>
      </c>
      <c r="AE83" s="41"/>
      <c r="AF83" s="31"/>
      <c r="AG83" s="31"/>
      <c r="AI83" s="41"/>
      <c r="AJ83" s="64"/>
      <c r="AK83" s="64"/>
      <c r="AM83" s="41"/>
      <c r="AN83" s="64"/>
      <c r="AO83" s="64"/>
      <c r="AQ83" s="41"/>
      <c r="AR83" s="64"/>
      <c r="AS83" s="64"/>
      <c r="AV83" s="69"/>
      <c r="AW83" s="69"/>
    </row>
    <row r="84" spans="1:49">
      <c r="C84" s="51" t="str">
        <f>C22</f>
        <v>Agg. Emerging Asia Incumbent</v>
      </c>
      <c r="D84" s="52"/>
      <c r="E84" s="52"/>
      <c r="F84" s="53"/>
      <c r="G84" s="52"/>
      <c r="H84" s="46"/>
      <c r="I84" s="54">
        <f>'EM ASIA INCUMB'!$D$40</f>
        <v>1485.0679006946493</v>
      </c>
      <c r="J84" s="54">
        <f>'EM ASIA INCUMB'!$E$40</f>
        <v>1215.6548182192266</v>
      </c>
      <c r="K84" s="54">
        <f>'EM ASIA INCUMB'!$F$40</f>
        <v>995.09931812071466</v>
      </c>
      <c r="L84" s="54">
        <f>'EM ASIA INCUMB'!$G$40</f>
        <v>802.87753676119451</v>
      </c>
      <c r="M84" s="55">
        <f>'EM ASIA INCUMB'!$H$40</f>
        <v>0.12682191049364189</v>
      </c>
      <c r="N84" s="56"/>
      <c r="O84" s="54">
        <f>'EM ASIA INCUMB'!$D$44</f>
        <v>928.17149046569807</v>
      </c>
      <c r="P84" s="54">
        <f>'EM ASIA INCUMB'!$E$44</f>
        <v>865.66155864672101</v>
      </c>
      <c r="Q84" s="54">
        <f>'EM ASIA INCUMB'!$F$44</f>
        <v>804.02662348639615</v>
      </c>
      <c r="R84" s="54">
        <f>'EM ASIA INCUMB'!$G$44</f>
        <v>710.31233833650629</v>
      </c>
      <c r="S84" s="55">
        <f>'EM ASIA INCUMB'!$H$44</f>
        <v>0.10071798166920032</v>
      </c>
      <c r="T84" s="46"/>
      <c r="U84" s="57"/>
      <c r="V84" s="58" t="str">
        <f>V22</f>
        <v>Agg. Emerging Asia Incumbent</v>
      </c>
      <c r="AE84" s="41"/>
      <c r="AF84" s="31"/>
      <c r="AG84" s="31"/>
      <c r="AI84" s="41"/>
      <c r="AJ84" s="64"/>
      <c r="AK84" s="64"/>
      <c r="AM84" s="41"/>
      <c r="AN84" s="64"/>
      <c r="AO84" s="64"/>
      <c r="AQ84" s="41"/>
      <c r="AR84" s="64"/>
      <c r="AS84" s="64"/>
      <c r="AT84" s="69"/>
      <c r="AU84" s="69"/>
      <c r="AV84" s="69"/>
      <c r="AW84" s="69"/>
    </row>
    <row r="85" spans="1:49">
      <c r="C85" s="43"/>
      <c r="D85" s="44"/>
      <c r="E85" s="44"/>
      <c r="F85" s="68"/>
      <c r="G85" s="44"/>
      <c r="H85" s="46"/>
      <c r="I85" s="62"/>
      <c r="J85" s="62"/>
      <c r="K85" s="62"/>
      <c r="L85" s="62"/>
      <c r="M85" s="61"/>
      <c r="N85" s="56"/>
      <c r="O85" s="62"/>
      <c r="P85" s="62"/>
      <c r="Q85" s="62"/>
      <c r="R85" s="62"/>
      <c r="S85" s="61"/>
      <c r="T85" s="46"/>
      <c r="U85" s="48"/>
      <c r="V85" s="50"/>
      <c r="AE85" s="41"/>
      <c r="AF85" s="31"/>
      <c r="AG85" s="31"/>
      <c r="AI85" s="41"/>
      <c r="AJ85" s="64"/>
      <c r="AK85" s="64"/>
      <c r="AM85" s="41"/>
      <c r="AN85" s="64"/>
      <c r="AO85" s="64"/>
      <c r="AQ85" s="41"/>
      <c r="AR85" s="64"/>
      <c r="AS85" s="64"/>
      <c r="AT85" s="69"/>
      <c r="AU85" s="69"/>
      <c r="AV85" s="69"/>
      <c r="AW85" s="69"/>
    </row>
    <row r="86" spans="1:49">
      <c r="C86" s="51" t="str">
        <f>C24</f>
        <v>Agg. Emerging Incumbent</v>
      </c>
      <c r="D86" s="52"/>
      <c r="E86" s="52"/>
      <c r="F86" s="53"/>
      <c r="G86" s="52"/>
      <c r="H86" s="46"/>
      <c r="I86" s="54">
        <f>'EM INCUMB'!$D$40</f>
        <v>892.97096758269697</v>
      </c>
      <c r="J86" s="54">
        <f>'EM INCUMB'!$E$40</f>
        <v>705.80398591621361</v>
      </c>
      <c r="K86" s="54">
        <f>'EM INCUMB'!$F$40</f>
        <v>571.3100453625151</v>
      </c>
      <c r="L86" s="54">
        <f>'EM INCUMB'!$G$40</f>
        <v>458.33681098022043</v>
      </c>
      <c r="M86" s="55">
        <f>'EM INCUMB'!$H$40</f>
        <v>0.14671109623312839</v>
      </c>
      <c r="N86" s="56"/>
      <c r="O86" s="54">
        <f>'EM INCUMB'!$D$44</f>
        <v>634.01902759549682</v>
      </c>
      <c r="P86" s="54">
        <f>'EM INCUMB'!$E$44</f>
        <v>553.37622650460344</v>
      </c>
      <c r="Q86" s="54">
        <f>'EM INCUMB'!$F$44</f>
        <v>480.19823322626689</v>
      </c>
      <c r="R86" s="54">
        <f>'EM INCUMB'!$G$44</f>
        <v>413.04467594801395</v>
      </c>
      <c r="S86" s="55">
        <f>'EM INCUMB'!$H$44</f>
        <v>0.16110061170195666</v>
      </c>
      <c r="T86" s="46"/>
      <c r="U86" s="57"/>
      <c r="V86" s="58" t="str">
        <f>V24</f>
        <v>Agg. Emerging Incumbent</v>
      </c>
      <c r="AE86" s="41"/>
      <c r="AF86" s="31"/>
      <c r="AG86" s="31"/>
      <c r="AI86" s="41"/>
      <c r="AJ86" s="64"/>
      <c r="AK86" s="64"/>
      <c r="AM86" s="41"/>
      <c r="AN86" s="64"/>
      <c r="AO86" s="64"/>
      <c r="AQ86" s="41"/>
      <c r="AR86" s="64"/>
      <c r="AS86" s="64"/>
      <c r="AT86" s="69"/>
      <c r="AU86" s="69"/>
      <c r="AV86" s="69"/>
      <c r="AW86" s="69"/>
    </row>
    <row r="87" spans="1:49">
      <c r="C87" s="43"/>
      <c r="D87" s="44"/>
      <c r="E87" s="44"/>
      <c r="F87" s="45"/>
      <c r="G87" s="44"/>
      <c r="H87" s="46"/>
      <c r="I87" s="47"/>
      <c r="J87" s="47"/>
      <c r="K87" s="47"/>
      <c r="L87" s="47"/>
      <c r="M87" s="45"/>
      <c r="N87" s="56"/>
      <c r="O87" s="47"/>
      <c r="P87" s="47"/>
      <c r="Q87" s="47"/>
      <c r="R87" s="47"/>
      <c r="S87" s="45"/>
      <c r="T87" s="46"/>
      <c r="U87" s="48"/>
      <c r="V87" s="50"/>
      <c r="AE87" s="41"/>
      <c r="AF87" s="31"/>
      <c r="AG87" s="31"/>
      <c r="AI87" s="41"/>
      <c r="AJ87" s="64"/>
      <c r="AK87" s="64"/>
      <c r="AM87" s="41"/>
      <c r="AN87" s="64"/>
      <c r="AO87" s="64"/>
      <c r="AQ87" s="41"/>
      <c r="AR87" s="64"/>
      <c r="AS87" s="64"/>
      <c r="AT87" s="69"/>
      <c r="AU87" s="69"/>
      <c r="AV87" s="69"/>
      <c r="AW87" s="69"/>
    </row>
    <row r="88" spans="1:49" s="5" customFormat="1">
      <c r="A88" s="41" t="s">
        <v>507</v>
      </c>
      <c r="B88" s="42"/>
      <c r="C88" s="48" t="str">
        <f t="shared" ref="C88:G90" si="9">C26</f>
        <v>Airtel Africa</v>
      </c>
      <c r="D88" s="44" t="str">
        <f t="shared" si="9"/>
        <v>USD 1.21</v>
      </c>
      <c r="E88" s="44" t="str">
        <f t="shared" si="9"/>
        <v>USD 1.50</v>
      </c>
      <c r="F88" s="45">
        <f t="shared" si="9"/>
        <v>0.2396694214876034</v>
      </c>
      <c r="G88" s="44" t="str">
        <f t="shared" si="9"/>
        <v>Buy</v>
      </c>
      <c r="H88" s="46"/>
      <c r="I88" s="47">
        <f>AAF!$D$40</f>
        <v>14.025061837440282</v>
      </c>
      <c r="J88" s="47">
        <f>AAF!$E$40</f>
        <v>15.740483144772094</v>
      </c>
      <c r="K88" s="47">
        <f>AAF!$F$40</f>
        <v>13.357671816706008</v>
      </c>
      <c r="L88" s="47">
        <f>AAF!$G$40</f>
        <v>11.767058196640781</v>
      </c>
      <c r="M88" s="45">
        <f>AAF!$H$40</f>
        <v>3.5079262624339913E-2</v>
      </c>
      <c r="N88" s="56"/>
      <c r="O88" s="47">
        <f>AAF!$D$44</f>
        <v>-11.986745375574705</v>
      </c>
      <c r="P88" s="47">
        <f>AAF!$E$44</f>
        <v>45.269222877654357</v>
      </c>
      <c r="Q88" s="47">
        <f>AAF!$F$44</f>
        <v>7.9054706505012255</v>
      </c>
      <c r="R88" s="47">
        <f>AAF!$G$44</f>
        <v>7.1273463409038786</v>
      </c>
      <c r="S88" s="169">
        <f>AAF!$H$44</f>
        <v>-2.1809094004388401</v>
      </c>
      <c r="T88" s="46"/>
      <c r="U88" s="48" t="str">
        <f t="shared" ref="U88:V94" si="10">U26</f>
        <v>USD 1.21</v>
      </c>
      <c r="V88" s="44" t="str">
        <f t="shared" si="10"/>
        <v>Airtel Africa</v>
      </c>
      <c r="AE88" s="41"/>
      <c r="AF88" s="31"/>
      <c r="AG88" s="31"/>
      <c r="AI88" s="41"/>
      <c r="AJ88" s="64"/>
      <c r="AK88" s="64"/>
      <c r="AM88" s="41"/>
      <c r="AN88" s="64"/>
      <c r="AO88" s="64"/>
      <c r="AQ88" s="41"/>
      <c r="AR88" s="64"/>
      <c r="AS88" s="64"/>
    </row>
    <row r="89" spans="1:49" s="5" customFormat="1">
      <c r="A89" s="41"/>
      <c r="B89" s="42"/>
      <c r="C89" s="48" t="str">
        <f t="shared" si="9"/>
        <v>MobileTeleSystems</v>
      </c>
      <c r="D89" s="44" t="str">
        <f t="shared" si="9"/>
        <v>USD 10.00</v>
      </c>
      <c r="E89" s="44" t="str">
        <f t="shared" si="9"/>
        <v>USD 10.10</v>
      </c>
      <c r="F89" s="45">
        <f t="shared" si="9"/>
        <v>1.0000000000000009E-2</v>
      </c>
      <c r="G89" s="44" t="str">
        <f t="shared" si="9"/>
        <v>Buy</v>
      </c>
      <c r="H89" s="46"/>
      <c r="I89" s="47">
        <f>MTS!$D$40</f>
        <v>15.546037629496597</v>
      </c>
      <c r="J89" s="47">
        <f>MTS!$E$40</f>
        <v>14.315219040570174</v>
      </c>
      <c r="K89" s="47">
        <f>MTS!$F$40</f>
        <v>13.916293588950181</v>
      </c>
      <c r="L89" s="47">
        <f>MTS!$G$40</f>
        <v>13.545002553998314</v>
      </c>
      <c r="M89" s="45">
        <f>MTS!$H$40</f>
        <v>9.1428942790983125E-3</v>
      </c>
      <c r="N89" s="56"/>
      <c r="O89" s="47">
        <f>MTS!$D$44</f>
        <v>19.721277422403986</v>
      </c>
      <c r="P89" s="47">
        <f>MTS!$E$44</f>
        <v>19.843513812426227</v>
      </c>
      <c r="Q89" s="47">
        <f>MTS!$F$44</f>
        <v>19.307265217813296</v>
      </c>
      <c r="R89" s="47">
        <f>MTS!$G$44</f>
        <v>19.012315923718088</v>
      </c>
      <c r="S89" s="169">
        <f>MTS!$H$44</f>
        <v>1.2278485660941918E-2</v>
      </c>
      <c r="T89" s="46"/>
      <c r="U89" s="48" t="str">
        <f t="shared" si="10"/>
        <v>USD 10.00</v>
      </c>
      <c r="V89" s="44" t="str">
        <f t="shared" si="10"/>
        <v>MobileTeleSystems</v>
      </c>
      <c r="AE89" s="41"/>
      <c r="AF89" s="31"/>
      <c r="AG89" s="31"/>
      <c r="AI89" s="41"/>
      <c r="AJ89" s="64"/>
      <c r="AK89" s="64"/>
      <c r="AM89" s="41"/>
      <c r="AN89" s="64"/>
      <c r="AO89" s="64"/>
      <c r="AQ89" s="41"/>
      <c r="AR89" s="64"/>
      <c r="AS89" s="64"/>
    </row>
    <row r="90" spans="1:49" s="5" customFormat="1">
      <c r="A90" s="39"/>
      <c r="B90" s="42"/>
      <c r="C90" s="48" t="str">
        <f t="shared" si="9"/>
        <v>MTN</v>
      </c>
      <c r="D90" s="44" t="str">
        <f t="shared" si="9"/>
        <v>ZAR 86.08</v>
      </c>
      <c r="E90" s="44" t="str">
        <f t="shared" si="9"/>
        <v>ZAR 130.00</v>
      </c>
      <c r="F90" s="45">
        <f t="shared" si="9"/>
        <v>0.5102230483271375</v>
      </c>
      <c r="G90" s="44" t="str">
        <f t="shared" si="9"/>
        <v>Buy</v>
      </c>
      <c r="H90" s="46"/>
      <c r="I90" s="47">
        <f>MTN!$D$40</f>
        <v>15.658420289057885</v>
      </c>
      <c r="J90" s="47">
        <f>MTN!$E$40</f>
        <v>17.299872953530986</v>
      </c>
      <c r="K90" s="47">
        <f>MTN!$F$40</f>
        <v>14.012659914729012</v>
      </c>
      <c r="L90" s="47">
        <f>MTN!$G$40</f>
        <v>12.054585482152042</v>
      </c>
      <c r="M90" s="45">
        <f>MTN!$H$40</f>
        <v>0.14197612556269124</v>
      </c>
      <c r="N90" s="56"/>
      <c r="O90" s="47">
        <f>MTN!$D$44</f>
        <v>6.508830254835134</v>
      </c>
      <c r="P90" s="47">
        <f>MTN!$E$44</f>
        <v>16.15145251423294</v>
      </c>
      <c r="Q90" s="47">
        <f>MTN!$F$44</f>
        <v>12.542105991123176</v>
      </c>
      <c r="R90" s="47">
        <f>MTN!$G$44</f>
        <v>8.8247950102172865</v>
      </c>
      <c r="S90" s="169">
        <f>MTN!$H$44</f>
        <v>-9.6490396249268251E-2</v>
      </c>
      <c r="T90" s="46"/>
      <c r="U90" s="48" t="str">
        <f t="shared" si="10"/>
        <v>ZAR 86.08</v>
      </c>
      <c r="V90" s="44" t="str">
        <f t="shared" si="10"/>
        <v>MTN</v>
      </c>
      <c r="AE90" s="41"/>
      <c r="AF90" s="31"/>
      <c r="AG90" s="31"/>
      <c r="AI90" s="41"/>
      <c r="AJ90" s="64"/>
      <c r="AK90" s="64"/>
      <c r="AM90" s="41"/>
      <c r="AN90" s="64"/>
      <c r="AO90" s="64"/>
      <c r="AQ90" s="41"/>
      <c r="AR90" s="64"/>
      <c r="AS90" s="64"/>
    </row>
    <row r="91" spans="1:49" s="5" customFormat="1">
      <c r="A91" s="39"/>
      <c r="B91" s="42"/>
      <c r="C91" s="48" t="s">
        <v>414</v>
      </c>
      <c r="D91" s="44" t="str">
        <f t="shared" ref="D91:G94" si="11">D29</f>
        <v>KES 17.75</v>
      </c>
      <c r="E91" s="44" t="str">
        <f t="shared" si="11"/>
        <v>KES 17.0</v>
      </c>
      <c r="F91" s="45">
        <f t="shared" si="11"/>
        <v>-4.2253521126760618E-2</v>
      </c>
      <c r="G91" s="44" t="str">
        <f t="shared" si="11"/>
        <v>Neutral</v>
      </c>
      <c r="H91" s="46"/>
      <c r="I91" s="47">
        <f>SAF!$D$40</f>
        <v>13.039515839869383</v>
      </c>
      <c r="J91" s="47">
        <f>SAF!$E$40</f>
        <v>14.076119357402055</v>
      </c>
      <c r="K91" s="47">
        <f>SAF!$F$40</f>
        <v>8.6554677568291449</v>
      </c>
      <c r="L91" s="47">
        <f>SAF!$G$40</f>
        <v>6.0582019595845882</v>
      </c>
      <c r="M91" s="45">
        <f>SAF!$H$40</f>
        <v>0.20252673734908933</v>
      </c>
      <c r="N91" s="56"/>
      <c r="O91" s="47">
        <f>SAF!$D$44</f>
        <v>10.85208297202586</v>
      </c>
      <c r="P91" s="47">
        <f>SAF!$E$44</f>
        <v>10.943145490180292</v>
      </c>
      <c r="Q91" s="47">
        <f>SAF!$F$44</f>
        <v>10.139785638833271</v>
      </c>
      <c r="R91" s="47">
        <f>SAF!$G$44</f>
        <v>9.4385721970458665</v>
      </c>
      <c r="S91" s="169">
        <f>SAF!$H$44</f>
        <v>4.7616350087195558E-2</v>
      </c>
      <c r="T91" s="46"/>
      <c r="U91" s="48" t="str">
        <f t="shared" si="10"/>
        <v>KES 17.75</v>
      </c>
      <c r="V91" s="44" t="str">
        <f t="shared" si="10"/>
        <v>Safaricom</v>
      </c>
      <c r="AE91" s="41"/>
      <c r="AF91" s="31"/>
      <c r="AG91" s="31"/>
      <c r="AI91" s="41"/>
      <c r="AJ91" s="64"/>
      <c r="AK91" s="64"/>
      <c r="AM91" s="41"/>
      <c r="AN91" s="64"/>
      <c r="AO91" s="64"/>
      <c r="AQ91" s="41"/>
      <c r="AR91" s="64"/>
      <c r="AS91" s="64"/>
      <c r="AU91" s="69"/>
      <c r="AV91" s="69"/>
      <c r="AW91" s="69"/>
    </row>
    <row r="92" spans="1:49" s="5" customFormat="1">
      <c r="A92" s="39"/>
      <c r="B92" s="42"/>
      <c r="C92" s="48" t="str">
        <f>C30</f>
        <v>Turkcell</v>
      </c>
      <c r="D92" s="44" t="str">
        <f t="shared" si="11"/>
        <v>USD 91.80</v>
      </c>
      <c r="E92" s="44" t="str">
        <f t="shared" si="11"/>
        <v>USD 16.90</v>
      </c>
      <c r="F92" s="45">
        <f t="shared" si="11"/>
        <v>-0.81590413943355122</v>
      </c>
      <c r="G92" s="44" t="str">
        <f t="shared" si="11"/>
        <v>Buy</v>
      </c>
      <c r="H92" s="46"/>
      <c r="I92" s="47">
        <f>TKC!$D$40</f>
        <v>31.898689941237542</v>
      </c>
      <c r="J92" s="47">
        <f>TKC!$E$40</f>
        <v>28.467732036572738</v>
      </c>
      <c r="K92" s="47">
        <f>TKC!$F$40</f>
        <v>25.402113756715988</v>
      </c>
      <c r="L92" s="47">
        <f>TKC!$G$40</f>
        <v>23.476719244478378</v>
      </c>
      <c r="M92" s="45">
        <f>TKC!$H$40</f>
        <v>7.8661324138609823E-2</v>
      </c>
      <c r="N92" s="56"/>
      <c r="O92" s="47">
        <f>TKC!$D$44</f>
        <v>33.804404069503491</v>
      </c>
      <c r="P92" s="47">
        <f>TKC!$E$44</f>
        <v>31.824373932728509</v>
      </c>
      <c r="Q92" s="47">
        <f>TKC!$F$44</f>
        <v>29.605897218779198</v>
      </c>
      <c r="R92" s="47">
        <f>TKC!$G$44</f>
        <v>27.336575301107619</v>
      </c>
      <c r="S92" s="169">
        <f>TKC!$H$44</f>
        <v>7.3354198818009531E-2</v>
      </c>
      <c r="T92" s="46"/>
      <c r="U92" s="48" t="str">
        <f t="shared" si="10"/>
        <v>USD 91.80</v>
      </c>
      <c r="V92" s="44" t="str">
        <f t="shared" si="10"/>
        <v>Turkcell</v>
      </c>
      <c r="AE92" s="41"/>
      <c r="AF92" s="31"/>
      <c r="AG92" s="31"/>
      <c r="AI92" s="41"/>
      <c r="AJ92" s="64"/>
      <c r="AK92" s="64"/>
      <c r="AM92" s="41"/>
      <c r="AN92" s="64"/>
      <c r="AO92" s="64"/>
      <c r="AQ92" s="41"/>
      <c r="AR92" s="64"/>
      <c r="AS92" s="64"/>
      <c r="AU92" s="69"/>
      <c r="AV92" s="69"/>
      <c r="AW92" s="69"/>
    </row>
    <row r="93" spans="1:49" s="5" customFormat="1">
      <c r="A93" s="39"/>
      <c r="B93" s="42"/>
      <c r="C93" s="48" t="str">
        <f>C31</f>
        <v>VEON</v>
      </c>
      <c r="D93" s="44" t="str">
        <f t="shared" si="11"/>
        <v>USD 25.5</v>
      </c>
      <c r="E93" s="44" t="str">
        <f t="shared" si="11"/>
        <v>USD 40.0</v>
      </c>
      <c r="F93" s="45">
        <f t="shared" si="11"/>
        <v>0.56678417547982751</v>
      </c>
      <c r="G93" s="44" t="str">
        <f t="shared" si="11"/>
        <v>Buy</v>
      </c>
      <c r="H93" s="46"/>
      <c r="I93" s="47">
        <f>VIMP!$D$40</f>
        <v>82.957250521703429</v>
      </c>
      <c r="J93" s="47">
        <f>VIMP!$E$40</f>
        <v>67.994232461798433</v>
      </c>
      <c r="K93" s="47">
        <f>VIMP!$F$40</f>
        <v>66.129396981164405</v>
      </c>
      <c r="L93" s="47">
        <f>VIMP!$G$40</f>
        <v>62.496877974027825</v>
      </c>
      <c r="M93" s="45">
        <f>VIMP!$H$40</f>
        <v>8.9698271943677632E-2</v>
      </c>
      <c r="N93" s="56"/>
      <c r="O93" s="47">
        <f>VIMP!$D$44</f>
        <v>187.05689496342103</v>
      </c>
      <c r="P93" s="47">
        <f>VIMP!$E$44</f>
        <v>94.493537910051387</v>
      </c>
      <c r="Q93" s="47">
        <f>VIMP!$F$44</f>
        <v>84.141913562498175</v>
      </c>
      <c r="R93" s="47">
        <f>VIMP!$G$44</f>
        <v>78.508063870485756</v>
      </c>
      <c r="S93" s="45">
        <f>VIMP!$H$44</f>
        <v>0.3356309820416794</v>
      </c>
      <c r="T93" s="46"/>
      <c r="U93" s="48" t="str">
        <f t="shared" si="10"/>
        <v>USD 25.5</v>
      </c>
      <c r="V93" s="44" t="str">
        <f t="shared" si="10"/>
        <v>Vimpel Com</v>
      </c>
      <c r="AE93" s="41"/>
      <c r="AF93" s="31"/>
      <c r="AG93" s="31"/>
      <c r="AI93" s="41"/>
      <c r="AJ93" s="64"/>
      <c r="AK93" s="64"/>
      <c r="AM93" s="41"/>
      <c r="AN93" s="64"/>
      <c r="AO93" s="64"/>
      <c r="AQ93" s="41"/>
      <c r="AR93" s="64"/>
      <c r="AS93" s="64"/>
      <c r="AU93" s="69"/>
      <c r="AV93" s="69"/>
      <c r="AW93" s="69"/>
    </row>
    <row r="94" spans="1:49">
      <c r="C94" s="48" t="str">
        <f>C32</f>
        <v>Vodacom</v>
      </c>
      <c r="D94" s="44" t="str">
        <f t="shared" si="11"/>
        <v>ZAR 95.8</v>
      </c>
      <c r="E94" s="44" t="str">
        <f t="shared" si="11"/>
        <v>ZAR 130.0</v>
      </c>
      <c r="F94" s="45">
        <f t="shared" si="11"/>
        <v>0.35685210312075988</v>
      </c>
      <c r="G94" s="44" t="str">
        <f t="shared" si="11"/>
        <v>Neutral</v>
      </c>
      <c r="H94" s="46"/>
      <c r="I94" s="47">
        <f>VODA!$D$40</f>
        <v>7.2932888706667027</v>
      </c>
      <c r="J94" s="47">
        <f>VODA!$E$40</f>
        <v>7.5213306218154772</v>
      </c>
      <c r="K94" s="47">
        <f>VODA!$F$40</f>
        <v>6.1484879973402951</v>
      </c>
      <c r="L94" s="47">
        <f>VODA!$G$40</f>
        <v>5.1474668520657056</v>
      </c>
      <c r="M94" s="45">
        <f>VODA!$H$40</f>
        <v>2.9131476324875338E-2</v>
      </c>
      <c r="N94" s="56"/>
      <c r="O94" s="47">
        <f>VODA!$D$44</f>
        <v>10.321030792819911</v>
      </c>
      <c r="P94" s="47">
        <f>VODA!$E$44</f>
        <v>9.6658611768230678</v>
      </c>
      <c r="Q94" s="47">
        <f>VODA!$F$44</f>
        <v>8.7200660845101634</v>
      </c>
      <c r="R94" s="47">
        <f>VODA!$G$44</f>
        <v>7.9672224708511186</v>
      </c>
      <c r="S94" s="45">
        <f>VODA!$H$44</f>
        <v>9.011431622566235E-2</v>
      </c>
      <c r="T94" s="46"/>
      <c r="U94" s="48" t="str">
        <f t="shared" si="10"/>
        <v>ZAR 95.8</v>
      </c>
      <c r="V94" s="44" t="str">
        <f t="shared" si="10"/>
        <v>Vodacom</v>
      </c>
      <c r="AE94" s="41"/>
      <c r="AF94" s="31"/>
      <c r="AG94" s="31"/>
      <c r="AI94" s="41"/>
      <c r="AJ94" s="64"/>
      <c r="AK94" s="64"/>
      <c r="AM94" s="41"/>
      <c r="AN94" s="64"/>
      <c r="AO94" s="64"/>
      <c r="AQ94" s="41"/>
      <c r="AR94" s="64"/>
      <c r="AS94" s="64"/>
      <c r="AT94" s="69"/>
      <c r="AU94" s="69"/>
      <c r="AV94" s="69"/>
      <c r="AW94" s="69"/>
    </row>
    <row r="95" spans="1:49" s="5" customFormat="1">
      <c r="A95" s="39"/>
      <c r="B95" s="42"/>
      <c r="C95" s="51" t="str">
        <f>C33</f>
        <v>Agg. EMEA Cellular</v>
      </c>
      <c r="D95" s="52"/>
      <c r="E95" s="52"/>
      <c r="F95" s="53"/>
      <c r="G95" s="52"/>
      <c r="H95" s="46"/>
      <c r="I95" s="54">
        <f>'EMEA CELLULAR'!$D$40</f>
        <v>20.693503485744461</v>
      </c>
      <c r="J95" s="54">
        <f>'EMEA CELLULAR'!$E$40</f>
        <v>20.954826177285547</v>
      </c>
      <c r="K95" s="54">
        <f>'EMEA CELLULAR'!$F$40</f>
        <v>17.986415749594904</v>
      </c>
      <c r="L95" s="54">
        <f>'EMEA CELLULAR'!$G$40</f>
        <v>15.937236715818882</v>
      </c>
      <c r="M95" s="55">
        <f>'EMEA CELLULAR'!$H$40</f>
        <v>7.539209226558885E-2</v>
      </c>
      <c r="N95" s="56"/>
      <c r="O95" s="54">
        <f>'EMEA CELLULAR'!$D$44</f>
        <v>27.614186259633261</v>
      </c>
      <c r="P95" s="54">
        <f>'EMEA CELLULAR'!$E$44</f>
        <v>26.587472010710737</v>
      </c>
      <c r="Q95" s="54">
        <f>'EMEA CELLULAR'!$F$44</f>
        <v>20.63478491648139</v>
      </c>
      <c r="R95" s="54">
        <f>'EMEA CELLULAR'!$G$44</f>
        <v>18.214851681953164</v>
      </c>
      <c r="S95" s="55">
        <f>'EMEA CELLULAR'!$H$44</f>
        <v>0.14827356589829632</v>
      </c>
      <c r="T95" s="46"/>
      <c r="U95" s="57"/>
      <c r="V95" s="58" t="str">
        <f>V33</f>
        <v>Agg. EMEA Cellular</v>
      </c>
      <c r="AE95" s="41"/>
      <c r="AF95" s="31"/>
      <c r="AG95" s="31"/>
      <c r="AI95" s="41"/>
      <c r="AJ95" s="64"/>
      <c r="AK95" s="64"/>
      <c r="AM95" s="41"/>
      <c r="AN95" s="64"/>
      <c r="AO95" s="64"/>
      <c r="AQ95" s="41"/>
      <c r="AR95" s="64"/>
      <c r="AS95" s="64"/>
      <c r="AT95" s="69"/>
    </row>
    <row r="96" spans="1:49" s="5" customFormat="1">
      <c r="B96" s="42"/>
      <c r="C96" s="43"/>
      <c r="D96" s="44"/>
      <c r="E96" s="44"/>
      <c r="F96" s="45"/>
      <c r="G96" s="44"/>
      <c r="H96" s="46"/>
      <c r="I96" s="47"/>
      <c r="J96" s="47"/>
      <c r="K96" s="47"/>
      <c r="L96" s="47"/>
      <c r="M96" s="45"/>
      <c r="N96" s="56"/>
      <c r="O96" s="47"/>
      <c r="P96" s="47"/>
      <c r="Q96" s="47"/>
      <c r="R96" s="47"/>
      <c r="S96" s="45"/>
      <c r="T96" s="46"/>
      <c r="U96" s="48"/>
      <c r="V96" s="50"/>
      <c r="AE96" s="41"/>
      <c r="AF96" s="31"/>
      <c r="AG96" s="31"/>
      <c r="AI96" s="41"/>
      <c r="AJ96" s="64"/>
      <c r="AK96" s="64"/>
      <c r="AM96" s="41"/>
      <c r="AN96" s="64"/>
      <c r="AO96" s="64"/>
      <c r="AQ96" s="41"/>
      <c r="AR96" s="64"/>
      <c r="AS96" s="64"/>
    </row>
    <row r="97" spans="1:45" s="5" customFormat="1">
      <c r="B97" s="42"/>
      <c r="C97" s="48" t="str">
        <f t="shared" ref="C97:G99" si="12">C35</f>
        <v>Entel</v>
      </c>
      <c r="D97" s="44" t="str">
        <f t="shared" si="12"/>
        <v>CLP 3,022</v>
      </c>
      <c r="E97" s="44" t="str">
        <f t="shared" si="12"/>
        <v>CLP 3,150</v>
      </c>
      <c r="F97" s="45">
        <f t="shared" si="12"/>
        <v>4.2356055592323028E-2</v>
      </c>
      <c r="G97" s="44" t="str">
        <f t="shared" si="12"/>
        <v>Neutral</v>
      </c>
      <c r="H97" s="46"/>
      <c r="I97" s="47">
        <f>ENTEL!$D$40</f>
        <v>12.159290050584394</v>
      </c>
      <c r="J97" s="47">
        <f>ENTEL!$E$40</f>
        <v>9.7788020631818249</v>
      </c>
      <c r="K97" s="47">
        <f>ENTEL!$F$40</f>
        <v>7.5336373150522329</v>
      </c>
      <c r="L97" s="47">
        <f>ENTEL!$G$40</f>
        <v>5.702775505520929</v>
      </c>
      <c r="M97" s="45">
        <f>ENTEL!$H$40</f>
        <v>0.1445398311886632</v>
      </c>
      <c r="N97" s="56"/>
      <c r="O97" s="47">
        <f>ENTEL!$D$44</f>
        <v>5.5070292738493478</v>
      </c>
      <c r="P97" s="47">
        <f>ENTEL!$E$44</f>
        <v>4.6575206456605738</v>
      </c>
      <c r="Q97" s="47">
        <f>ENTEL!$F$44</f>
        <v>3.9890280683720163</v>
      </c>
      <c r="R97" s="47">
        <f>ENTEL!$G$44</f>
        <v>3.5215359328343863</v>
      </c>
      <c r="S97" s="169">
        <f>ENTEL!$H$44</f>
        <v>0.16072254598340718</v>
      </c>
      <c r="T97" s="46"/>
      <c r="U97" s="48" t="str">
        <f t="shared" ref="U97:V99" si="13">U35</f>
        <v>CLP 3,022</v>
      </c>
      <c r="V97" s="44" t="str">
        <f t="shared" si="13"/>
        <v>Entel</v>
      </c>
      <c r="AE97" s="41"/>
      <c r="AF97" s="31"/>
      <c r="AG97" s="31"/>
      <c r="AI97" s="41"/>
      <c r="AJ97" s="64"/>
      <c r="AK97" s="64"/>
      <c r="AM97" s="41"/>
      <c r="AN97" s="64"/>
      <c r="AO97" s="64"/>
      <c r="AQ97" s="41"/>
      <c r="AR97" s="64"/>
      <c r="AS97" s="64"/>
    </row>
    <row r="98" spans="1:45" s="5" customFormat="1">
      <c r="B98" s="42"/>
      <c r="C98" s="48" t="str">
        <f t="shared" si="12"/>
        <v>Millicom</v>
      </c>
      <c r="D98" s="44" t="str">
        <f t="shared" si="12"/>
        <v>USD  24.1</v>
      </c>
      <c r="E98" s="44" t="str">
        <f t="shared" si="12"/>
        <v>USD 18.0</v>
      </c>
      <c r="F98" s="45">
        <f t="shared" si="12"/>
        <v>-0.25280199252801994</v>
      </c>
      <c r="G98" s="44" t="str">
        <f t="shared" si="12"/>
        <v>Neutral</v>
      </c>
      <c r="H98" s="46"/>
      <c r="I98" s="47">
        <f>MILLI!$D$40</f>
        <v>17.3603425295622</v>
      </c>
      <c r="J98" s="47">
        <f>MILLI!$E$40</f>
        <v>16.757225463528034</v>
      </c>
      <c r="K98" s="47">
        <f>MILLI!$F$40</f>
        <v>15.586987136641374</v>
      </c>
      <c r="L98" s="47">
        <f>MILLI!$G$40</f>
        <v>14.437460083000092</v>
      </c>
      <c r="M98" s="45">
        <f>MILLI!$H$40</f>
        <v>4.2608161608423067E-2</v>
      </c>
      <c r="N98" s="56"/>
      <c r="O98" s="47">
        <f>MILLI!$D$44</f>
        <v>13.233756315035139</v>
      </c>
      <c r="P98" s="47">
        <f>MILLI!$E$44</f>
        <v>11.762938227924494</v>
      </c>
      <c r="Q98" s="47">
        <f>MILLI!$F$44</f>
        <v>8.3929721938242032</v>
      </c>
      <c r="R98" s="47">
        <f>MILLI!$G$44</f>
        <v>7.1666413572931544</v>
      </c>
      <c r="S98" s="169">
        <f>MILLI!$H$44</f>
        <v>0.17638932495014359</v>
      </c>
      <c r="T98" s="46"/>
      <c r="U98" s="48" t="str">
        <f t="shared" si="13"/>
        <v>USD  24.1</v>
      </c>
      <c r="V98" s="44" t="str">
        <f t="shared" si="13"/>
        <v>Millicom</v>
      </c>
      <c r="AE98" s="41"/>
      <c r="AF98" s="31"/>
      <c r="AG98" s="31"/>
      <c r="AI98" s="41"/>
      <c r="AJ98" s="64"/>
      <c r="AK98" s="64"/>
      <c r="AM98" s="41"/>
      <c r="AN98" s="64"/>
      <c r="AO98" s="64"/>
      <c r="AQ98" s="41"/>
      <c r="AR98" s="64"/>
      <c r="AS98" s="64"/>
    </row>
    <row r="99" spans="1:45">
      <c r="A99" s="5"/>
      <c r="C99" s="48" t="str">
        <f t="shared" si="12"/>
        <v>TIM Participacoes</v>
      </c>
      <c r="D99" s="44" t="str">
        <f t="shared" si="12"/>
        <v>BRL 16.42</v>
      </c>
      <c r="E99" s="44" t="str">
        <f t="shared" si="12"/>
        <v>BRL 23.00</v>
      </c>
      <c r="F99" s="45">
        <f t="shared" si="12"/>
        <v>0.40073081607795347</v>
      </c>
      <c r="G99" s="44" t="str">
        <f t="shared" si="12"/>
        <v>Buy</v>
      </c>
      <c r="H99" s="46"/>
      <c r="I99" s="47">
        <f>TIMP!$D$40</f>
        <v>7.3944089722966915</v>
      </c>
      <c r="J99" s="47">
        <f>TIMP!$E$40</f>
        <v>5.8181009996324526</v>
      </c>
      <c r="K99" s="47">
        <f>TIMP!$F$40</f>
        <v>4.7211837255377995</v>
      </c>
      <c r="L99" s="47">
        <f>TIMP!$G$40</f>
        <v>3.7821847650020888</v>
      </c>
      <c r="M99" s="45">
        <f>TIMP!$H$40</f>
        <v>6.5432264633138004E-2</v>
      </c>
      <c r="N99" s="56"/>
      <c r="O99" s="47">
        <f>TIMP!$D$44</f>
        <v>12.873115311873185</v>
      </c>
      <c r="P99" s="47">
        <f>TIMP!$E$44</f>
        <v>8.5782015404777976</v>
      </c>
      <c r="Q99" s="47">
        <f>TIMP!$F$44</f>
        <v>6.3779482465268131</v>
      </c>
      <c r="R99" s="47">
        <f>TIMP!$G$44</f>
        <v>5.3519705542587399</v>
      </c>
      <c r="S99" s="45">
        <f>TIMP!$H$44</f>
        <v>0.33985144217270324</v>
      </c>
      <c r="T99" s="46"/>
      <c r="U99" s="48" t="str">
        <f t="shared" si="13"/>
        <v>BRL 16.42</v>
      </c>
      <c r="V99" s="44" t="str">
        <f t="shared" si="13"/>
        <v>TIM Participacoes</v>
      </c>
      <c r="AE99" s="41"/>
      <c r="AF99" s="31"/>
      <c r="AG99" s="31"/>
      <c r="AI99" s="41"/>
      <c r="AJ99" s="64"/>
      <c r="AK99" s="64"/>
      <c r="AM99" s="41"/>
      <c r="AN99" s="64"/>
      <c r="AO99" s="64"/>
      <c r="AQ99" s="41"/>
      <c r="AR99" s="64"/>
      <c r="AS99" s="64"/>
    </row>
    <row r="100" spans="1:45" s="5" customFormat="1">
      <c r="B100" s="42"/>
      <c r="C100" s="51" t="str">
        <f>C38</f>
        <v>Agg. LatAm Cellular</v>
      </c>
      <c r="D100" s="52"/>
      <c r="E100" s="52"/>
      <c r="F100" s="53"/>
      <c r="G100" s="52"/>
      <c r="H100" s="46"/>
      <c r="I100" s="54">
        <f>'LATAM CELLULAR'!$D$40</f>
        <v>11.750204897305654</v>
      </c>
      <c r="J100" s="54">
        <f>'LATAM CELLULAR'!$E$40</f>
        <v>10.233905229978822</v>
      </c>
      <c r="K100" s="54">
        <f>'LATAM CELLULAR'!$F$40</f>
        <v>8.9634490411779844</v>
      </c>
      <c r="L100" s="54">
        <f>'LATAM CELLULAR'!$G$40</f>
        <v>7.9316802112853138</v>
      </c>
      <c r="M100" s="55">
        <f>'LATAM CELLULAR'!$H$40</f>
        <v>6.4634781721076617E-2</v>
      </c>
      <c r="N100" s="56"/>
      <c r="O100" s="54">
        <f>'LATAM CELLULAR'!$D$44</f>
        <v>11.611494042146568</v>
      </c>
      <c r="P100" s="54">
        <f>'LATAM CELLULAR'!$E$44</f>
        <v>8.7734417852019941</v>
      </c>
      <c r="Q100" s="54">
        <f>'LATAM CELLULAR'!$F$44</f>
        <v>6.5638259943661907</v>
      </c>
      <c r="R100" s="54">
        <f>'LATAM CELLULAR'!$G$44</f>
        <v>5.5476326994737466</v>
      </c>
      <c r="S100" s="55">
        <f>'LATAM CELLULAR'!$H$44</f>
        <v>0.26086654067969706</v>
      </c>
      <c r="T100" s="46"/>
      <c r="U100" s="57"/>
      <c r="V100" s="58" t="str">
        <f>V38</f>
        <v>Agg. LatAm Cellular</v>
      </c>
      <c r="Z100" s="46"/>
      <c r="AE100" s="41"/>
      <c r="AF100" s="31"/>
      <c r="AG100" s="31"/>
      <c r="AI100" s="41"/>
      <c r="AJ100" s="64"/>
      <c r="AK100" s="64"/>
      <c r="AM100" s="41"/>
      <c r="AN100" s="64"/>
      <c r="AO100" s="64"/>
      <c r="AQ100" s="41"/>
      <c r="AR100" s="64"/>
      <c r="AS100" s="64"/>
    </row>
    <row r="101" spans="1:45" s="5" customFormat="1">
      <c r="A101" s="39"/>
      <c r="B101" s="42"/>
      <c r="C101" s="43"/>
      <c r="D101" s="44"/>
      <c r="E101" s="44"/>
      <c r="F101" s="45"/>
      <c r="G101" s="44"/>
      <c r="H101" s="46"/>
      <c r="I101" s="47"/>
      <c r="J101" s="47"/>
      <c r="K101" s="47"/>
      <c r="L101" s="47"/>
      <c r="M101" s="45"/>
      <c r="N101" s="46"/>
      <c r="O101" s="47"/>
      <c r="P101" s="47"/>
      <c r="Q101" s="47"/>
      <c r="R101" s="47"/>
      <c r="S101" s="45"/>
      <c r="T101" s="46"/>
      <c r="U101" s="48"/>
      <c r="V101" s="50"/>
      <c r="Z101" s="46"/>
      <c r="AE101" s="41"/>
      <c r="AF101" s="31"/>
      <c r="AG101" s="31"/>
      <c r="AJ101" s="64"/>
      <c r="AK101" s="64"/>
      <c r="AM101" s="41"/>
      <c r="AN101" s="64"/>
      <c r="AO101" s="64"/>
      <c r="AQ101" s="41"/>
      <c r="AR101" s="64"/>
      <c r="AS101" s="64"/>
    </row>
    <row r="102" spans="1:45" s="5" customFormat="1">
      <c r="B102" s="42"/>
      <c r="C102" s="48" t="str">
        <f t="shared" ref="C102:G115" si="14">C40</f>
        <v>AIS</v>
      </c>
      <c r="D102" s="44" t="str">
        <f t="shared" si="14"/>
        <v>THB 207.0</v>
      </c>
      <c r="E102" s="44" t="str">
        <f t="shared" si="14"/>
        <v>THB 300.0</v>
      </c>
      <c r="F102" s="45">
        <f t="shared" si="14"/>
        <v>0.44927536231884058</v>
      </c>
      <c r="G102" s="44" t="str">
        <f t="shared" si="14"/>
        <v>Buy</v>
      </c>
      <c r="H102" s="46"/>
      <c r="I102" s="47">
        <f>ADVANCED!$D$40</f>
        <v>19.017952317960262</v>
      </c>
      <c r="J102" s="47">
        <f>ADVANCED!$E$40</f>
        <v>12.335306003303216</v>
      </c>
      <c r="K102" s="47">
        <f>ADVANCED!$F$40</f>
        <v>10.309791052811885</v>
      </c>
      <c r="L102" s="47">
        <f>ADVANCED!$G$40</f>
        <v>9.2733979635339345</v>
      </c>
      <c r="M102" s="45">
        <f>ADVANCED!$H$40</f>
        <v>0.16873895371596181</v>
      </c>
      <c r="N102" s="46"/>
      <c r="O102" s="47">
        <f>ADVANCED!$D$44</f>
        <v>21.291464571983521</v>
      </c>
      <c r="P102" s="47">
        <f>ADVANCED!$E$44</f>
        <v>18.54589421590557</v>
      </c>
      <c r="Q102" s="47">
        <f>ADVANCED!$F$44</f>
        <v>13.378597532634984</v>
      </c>
      <c r="R102" s="47">
        <f>ADVANCED!$G$44</f>
        <v>11.327451325260135</v>
      </c>
      <c r="S102" s="45">
        <f>ADVANCED!$H$44</f>
        <v>0.23412109882484144</v>
      </c>
      <c r="T102" s="46"/>
      <c r="U102" s="48" t="str">
        <f t="shared" ref="U102:V115" si="15">U40</f>
        <v>THB 207.0</v>
      </c>
      <c r="V102" s="44" t="str">
        <f t="shared" si="15"/>
        <v>AIS</v>
      </c>
      <c r="Z102" s="46"/>
      <c r="AE102" s="41"/>
      <c r="AF102" s="31"/>
      <c r="AG102" s="31"/>
      <c r="AI102" s="41"/>
      <c r="AJ102" s="64"/>
      <c r="AK102" s="64"/>
      <c r="AM102" s="41"/>
      <c r="AN102" s="64"/>
      <c r="AO102" s="64"/>
      <c r="AQ102" s="41"/>
      <c r="AR102" s="64"/>
      <c r="AS102" s="64"/>
    </row>
    <row r="103" spans="1:45" s="5" customFormat="1">
      <c r="A103" s="39"/>
      <c r="B103" s="42"/>
      <c r="C103" s="48" t="str">
        <f t="shared" si="14"/>
        <v>Axiata</v>
      </c>
      <c r="D103" s="44" t="str">
        <f t="shared" si="14"/>
        <v>MYR 2.87</v>
      </c>
      <c r="E103" s="44" t="str">
        <f t="shared" si="14"/>
        <v>MYR 4.50</v>
      </c>
      <c r="F103" s="45">
        <f t="shared" si="14"/>
        <v>0.56794425087108014</v>
      </c>
      <c r="G103" s="44" t="str">
        <f t="shared" si="14"/>
        <v>Buy</v>
      </c>
      <c r="H103" s="46"/>
      <c r="I103" s="47">
        <f>AXI!$D$40</f>
        <v>18.762314561194163</v>
      </c>
      <c r="J103" s="47">
        <f>AXI!$E$40</f>
        <v>20.76180828644009</v>
      </c>
      <c r="K103" s="47">
        <f>AXI!$F$40</f>
        <v>20.04793252792707</v>
      </c>
      <c r="L103" s="47">
        <f>AXI!$G$40</f>
        <v>18.209798998960238</v>
      </c>
      <c r="M103" s="45">
        <f>AXI!$H$40</f>
        <v>3.8810154632409111E-2</v>
      </c>
      <c r="N103" s="46"/>
      <c r="O103" s="47">
        <f>AXI!$D$44</f>
        <v>12.848747565602602</v>
      </c>
      <c r="P103" s="47">
        <f>AXI!$E$44</f>
        <v>7.5814879701256075</v>
      </c>
      <c r="Q103" s="47">
        <f>AXI!$F$44</f>
        <v>6.602744170957525</v>
      </c>
      <c r="R103" s="47">
        <f>AXI!$G$44</f>
        <v>5.9659446699446859</v>
      </c>
      <c r="S103" s="45">
        <f>AXI!$H$44</f>
        <v>0.29139923610651675</v>
      </c>
      <c r="T103" s="46"/>
      <c r="U103" s="48" t="str">
        <f t="shared" si="15"/>
        <v>MYR 2.87</v>
      </c>
      <c r="V103" s="44" t="str">
        <f t="shared" si="15"/>
        <v>Axiata</v>
      </c>
      <c r="Z103" s="46"/>
      <c r="AF103" s="31"/>
      <c r="AG103" s="31"/>
      <c r="AJ103" s="64"/>
      <c r="AK103" s="64"/>
      <c r="AN103" s="64"/>
      <c r="AO103" s="64"/>
      <c r="AR103" s="64"/>
      <c r="AS103" s="64"/>
    </row>
    <row r="104" spans="1:45" s="5" customFormat="1">
      <c r="A104" s="39"/>
      <c r="B104" s="42"/>
      <c r="C104" s="48" t="str">
        <f t="shared" si="14"/>
        <v>Bharti Airtel</v>
      </c>
      <c r="D104" s="44" t="str">
        <f t="shared" si="14"/>
        <v>INR 1389</v>
      </c>
      <c r="E104" s="44" t="str">
        <f t="shared" si="14"/>
        <v>INR 1500</v>
      </c>
      <c r="F104" s="45">
        <f t="shared" si="14"/>
        <v>8.0224686734840844E-2</v>
      </c>
      <c r="G104" s="44" t="str">
        <f t="shared" si="14"/>
        <v>Buy</v>
      </c>
      <c r="H104" s="46"/>
      <c r="I104" s="47">
        <f>BHART!$D$40</f>
        <v>35.822700403954997</v>
      </c>
      <c r="J104" s="47">
        <f>BHART!$E$40</f>
        <v>26.179522546443234</v>
      </c>
      <c r="K104" s="47">
        <f>BHART!$F$40</f>
        <v>19.720008653720321</v>
      </c>
      <c r="L104" s="47">
        <f>BHART!$G$40</f>
        <v>15.151932902917766</v>
      </c>
      <c r="M104" s="45">
        <f>BHART!$H$40</f>
        <v>0.28398286260087913</v>
      </c>
      <c r="N104" s="46"/>
      <c r="O104" s="47">
        <f>BHART!$D$44</f>
        <v>55.832812697399476</v>
      </c>
      <c r="P104" s="47">
        <f>BHART!$E$44</f>
        <v>42.057737453999302</v>
      </c>
      <c r="Q104" s="47">
        <f>BHART!$F$44</f>
        <v>27.676479982317005</v>
      </c>
      <c r="R104" s="47">
        <f>BHART!$G$44</f>
        <v>20.357950196622472</v>
      </c>
      <c r="S104" s="45">
        <f>BHART!$H$44</f>
        <v>0.39975433052608622</v>
      </c>
      <c r="T104" s="46"/>
      <c r="U104" s="48" t="str">
        <f t="shared" si="15"/>
        <v>INR 1389</v>
      </c>
      <c r="V104" s="44" t="str">
        <f t="shared" si="15"/>
        <v>Bharti Airtel</v>
      </c>
      <c r="Z104" s="46"/>
      <c r="AF104" s="31"/>
      <c r="AG104" s="31"/>
      <c r="AJ104" s="64"/>
      <c r="AK104" s="64"/>
      <c r="AN104" s="64"/>
      <c r="AO104" s="64"/>
      <c r="AR104" s="64"/>
      <c r="AS104" s="64"/>
    </row>
    <row r="105" spans="1:45" s="5" customFormat="1">
      <c r="B105" s="42"/>
      <c r="C105" s="48" t="str">
        <f t="shared" si="14"/>
        <v>China Mobile</v>
      </c>
      <c r="D105" s="44" t="str">
        <f t="shared" si="14"/>
        <v>HKD 73.2</v>
      </c>
      <c r="E105" s="44" t="str">
        <f t="shared" si="14"/>
        <v>HKD 115.0</v>
      </c>
      <c r="F105" s="45">
        <f t="shared" si="14"/>
        <v>0.57103825136612008</v>
      </c>
      <c r="G105" s="44" t="str">
        <f t="shared" si="14"/>
        <v>Buy</v>
      </c>
      <c r="H105" s="46"/>
      <c r="I105" s="47">
        <f>_CM!$D$40</f>
        <v>9.6220784226884142</v>
      </c>
      <c r="J105" s="47">
        <f>_CM!$E$40</f>
        <v>8.3843751462863185</v>
      </c>
      <c r="K105" s="47">
        <f>_CM!$F$40</f>
        <v>6.6488045398534688</v>
      </c>
      <c r="L105" s="47">
        <f>_CM!$G$40</f>
        <v>5.3191578233841597</v>
      </c>
      <c r="M105" s="45">
        <f>_CM!$H$40</f>
        <v>8.6241310160845019E-2</v>
      </c>
      <c r="N105" s="46"/>
      <c r="O105" s="47">
        <f>_CM!$D$44</f>
        <v>11.02760517604502</v>
      </c>
      <c r="P105" s="47">
        <f>_CM!$E$44</f>
        <v>10.542177257577915</v>
      </c>
      <c r="Q105" s="47">
        <f>_CM!$F$44</f>
        <v>9.9205281900356308</v>
      </c>
      <c r="R105" s="47">
        <f>_CM!$G$44</f>
        <v>9.2849080545674916</v>
      </c>
      <c r="S105" s="45">
        <f>_CM!$H$44</f>
        <v>5.9012778158243462E-2</v>
      </c>
      <c r="T105" s="46"/>
      <c r="U105" s="48" t="str">
        <f t="shared" si="15"/>
        <v>HKD 73.2</v>
      </c>
      <c r="V105" s="44" t="str">
        <f t="shared" si="15"/>
        <v>China Mobile</v>
      </c>
      <c r="Z105" s="46"/>
      <c r="AE105" s="41"/>
      <c r="AF105" s="31"/>
      <c r="AG105" s="31"/>
      <c r="AI105" s="41"/>
      <c r="AJ105" s="64"/>
      <c r="AK105" s="64"/>
      <c r="AN105" s="64"/>
      <c r="AO105" s="64"/>
      <c r="AR105" s="64"/>
      <c r="AS105" s="64"/>
    </row>
    <row r="106" spans="1:45" s="5" customFormat="1">
      <c r="B106" s="42"/>
      <c r="C106" s="48" t="str">
        <f t="shared" si="14"/>
        <v>CelcomDigi</v>
      </c>
      <c r="D106" s="44" t="str">
        <f t="shared" si="14"/>
        <v>MYR 4.1</v>
      </c>
      <c r="E106" s="44" t="str">
        <f t="shared" si="14"/>
        <v>MYR 6.0</v>
      </c>
      <c r="F106" s="45">
        <f t="shared" si="14"/>
        <v>0.48148148148148162</v>
      </c>
      <c r="G106" s="44" t="str">
        <f t="shared" si="14"/>
        <v>Buy</v>
      </c>
      <c r="H106" s="46"/>
      <c r="I106" s="47">
        <f>DIGI!$D$40</f>
        <v>19.000379255321253</v>
      </c>
      <c r="J106" s="47">
        <f>DIGI!$E$40</f>
        <v>18.706263213764615</v>
      </c>
      <c r="K106" s="47">
        <f>DIGI!$F$40</f>
        <v>16.425397628536608</v>
      </c>
      <c r="L106" s="47">
        <f>DIGI!$G$40</f>
        <v>14.281950846663529</v>
      </c>
      <c r="M106" s="45">
        <f>DIGI!$H$40</f>
        <v>4.460263434813605E-2</v>
      </c>
      <c r="N106" s="46"/>
      <c r="O106" s="47">
        <f>DIGI!$D$44</f>
        <v>22.099829000651162</v>
      </c>
      <c r="P106" s="47">
        <f>DIGI!$E$44</f>
        <v>24.819494980240687</v>
      </c>
      <c r="Q106" s="47">
        <f>DIGI!$F$44</f>
        <v>20.606506456198829</v>
      </c>
      <c r="R106" s="47">
        <f>DIGI!$G$44</f>
        <v>17.679797747815421</v>
      </c>
      <c r="S106" s="45">
        <f>DIGI!$H$44</f>
        <v>7.7218674343038751E-2</v>
      </c>
      <c r="T106" s="46"/>
      <c r="U106" s="48" t="str">
        <f t="shared" si="15"/>
        <v>MYR 4.1</v>
      </c>
      <c r="V106" s="44" t="str">
        <f t="shared" si="15"/>
        <v>CelcomDigi</v>
      </c>
      <c r="Z106" s="46"/>
      <c r="AE106" s="41"/>
      <c r="AF106" s="31"/>
      <c r="AG106" s="31"/>
      <c r="AI106" s="41"/>
      <c r="AJ106" s="64"/>
      <c r="AK106" s="64"/>
      <c r="AM106" s="41"/>
      <c r="AN106" s="64"/>
      <c r="AO106" s="64"/>
      <c r="AQ106" s="41"/>
      <c r="AR106" s="64"/>
      <c r="AS106" s="64"/>
    </row>
    <row r="107" spans="1:45" s="5" customFormat="1">
      <c r="B107" s="42"/>
      <c r="C107" s="48" t="str">
        <f t="shared" si="14"/>
        <v>Far EasTone</v>
      </c>
      <c r="D107" s="44" t="str">
        <f t="shared" si="14"/>
        <v>TWD 84.0</v>
      </c>
      <c r="E107" s="44" t="str">
        <f t="shared" si="14"/>
        <v>TWD n/r</v>
      </c>
      <c r="F107" s="45" t="str">
        <f t="shared" si="14"/>
        <v>-</v>
      </c>
      <c r="G107" s="44" t="str">
        <f t="shared" si="14"/>
        <v>n/r</v>
      </c>
      <c r="H107" s="46"/>
      <c r="I107" s="47">
        <f>FAR!$D$40</f>
        <v>18.005530218860063</v>
      </c>
      <c r="J107" s="47">
        <f>FAR!$E$40</f>
        <v>16.61955330365781</v>
      </c>
      <c r="K107" s="47">
        <f>FAR!$F$40</f>
        <v>15.616363662133608</v>
      </c>
      <c r="L107" s="47">
        <f>FAR!$G$40</f>
        <v>14.624633898344918</v>
      </c>
      <c r="M107" s="45">
        <f>FAR!$H$40</f>
        <v>2.1798004661201187E-2</v>
      </c>
      <c r="N107" s="46"/>
      <c r="O107" s="47">
        <f>FAR!$D$44</f>
        <v>21.399838822374814</v>
      </c>
      <c r="P107" s="47">
        <f>FAR!$E$44</f>
        <v>20.411043834796722</v>
      </c>
      <c r="Q107" s="47">
        <f>FAR!$F$44</f>
        <v>19.464336983402539</v>
      </c>
      <c r="R107" s="47">
        <f>FAR!$G$44</f>
        <v>18.689505917915923</v>
      </c>
      <c r="S107" s="45">
        <f>FAR!$H$44</f>
        <v>4.6174734223593417E-2</v>
      </c>
      <c r="T107" s="46"/>
      <c r="U107" s="48" t="str">
        <f t="shared" si="15"/>
        <v>TWD 84.0</v>
      </c>
      <c r="V107" s="44" t="str">
        <f t="shared" si="15"/>
        <v>Far EasTone</v>
      </c>
      <c r="Z107" s="46"/>
      <c r="AE107" s="41"/>
      <c r="AF107" s="31"/>
      <c r="AG107" s="31"/>
      <c r="AI107" s="41"/>
      <c r="AJ107" s="64"/>
      <c r="AK107" s="64"/>
      <c r="AM107" s="41"/>
      <c r="AN107" s="64"/>
      <c r="AO107" s="64"/>
      <c r="AQ107" s="41"/>
      <c r="AR107" s="64"/>
      <c r="AS107" s="64"/>
    </row>
    <row r="108" spans="1:45" s="5" customFormat="1">
      <c r="B108" s="42"/>
      <c r="C108" s="48" t="str">
        <f t="shared" si="14"/>
        <v>Vodafone IDEA</v>
      </c>
      <c r="D108" s="44" t="str">
        <f t="shared" si="14"/>
        <v>INR 15.1</v>
      </c>
      <c r="E108" s="44" t="str">
        <f t="shared" si="14"/>
        <v>INR 5.0</v>
      </c>
      <c r="F108" s="45">
        <f t="shared" si="14"/>
        <v>-0.66909331568497676</v>
      </c>
      <c r="G108" s="44" t="str">
        <f t="shared" si="14"/>
        <v>Reduce</v>
      </c>
      <c r="H108" s="46"/>
      <c r="I108" s="47">
        <f>IDEA!$D$40</f>
        <v>25.747834093421783</v>
      </c>
      <c r="J108" s="47">
        <f>IDEA!$E$40</f>
        <v>326.85654347838505</v>
      </c>
      <c r="K108" s="47">
        <f>IDEA!$F$40</f>
        <v>213.58045063837261</v>
      </c>
      <c r="L108" s="47">
        <f>IDEA!$G$40</f>
        <v>37.073665426424142</v>
      </c>
      <c r="M108" s="45">
        <f>IDEA!$H$40</f>
        <v>-4.5846561559431231E-2</v>
      </c>
      <c r="N108" s="46"/>
      <c r="O108" s="47">
        <f>IDEA!$D$44</f>
        <v>-2.4248824173572245</v>
      </c>
      <c r="P108" s="47">
        <f>IDEA!$E$44</f>
        <v>-4.0367833310364842</v>
      </c>
      <c r="Q108" s="47">
        <f>IDEA!$F$44</f>
        <v>-4.2914368553892537</v>
      </c>
      <c r="R108" s="47">
        <f>IDEA!$G$44</f>
        <v>-4.0889317914015306</v>
      </c>
      <c r="S108" s="45">
        <f>IDEA!$H$44</f>
        <v>-6.4613667498900407E-2</v>
      </c>
      <c r="T108" s="46"/>
      <c r="U108" s="48" t="str">
        <f t="shared" si="15"/>
        <v>INR 15.1</v>
      </c>
      <c r="V108" s="44" t="str">
        <f t="shared" si="15"/>
        <v>Vodafone IDEA</v>
      </c>
      <c r="Z108" s="46"/>
      <c r="AF108" s="31"/>
      <c r="AG108" s="31"/>
      <c r="AJ108" s="64"/>
      <c r="AK108" s="64"/>
      <c r="AN108" s="64"/>
      <c r="AO108" s="64"/>
      <c r="AR108" s="64"/>
      <c r="AS108" s="64"/>
    </row>
    <row r="109" spans="1:45" s="5" customFormat="1">
      <c r="B109" s="42"/>
      <c r="C109" s="48" t="str">
        <f t="shared" si="14"/>
        <v>Indosat</v>
      </c>
      <c r="D109" s="44" t="str">
        <f t="shared" si="14"/>
        <v>IDR 10,075</v>
      </c>
      <c r="E109" s="44" t="str">
        <f t="shared" si="14"/>
        <v>IDR 12,500</v>
      </c>
      <c r="F109" s="45">
        <f t="shared" si="14"/>
        <v>0.2406947890818858</v>
      </c>
      <c r="G109" s="44" t="str">
        <f t="shared" si="14"/>
        <v>Buy</v>
      </c>
      <c r="H109" s="46"/>
      <c r="I109" s="47">
        <f>INDO!$D$40</f>
        <v>16.635804338137838</v>
      </c>
      <c r="J109" s="47">
        <f>INDO!$E$40</f>
        <v>11.341127815864883</v>
      </c>
      <c r="K109" s="47">
        <f>INDO!$F$40</f>
        <v>8.1128159439216478</v>
      </c>
      <c r="L109" s="47">
        <f>INDO!$G$40</f>
        <v>5.6401464241982504</v>
      </c>
      <c r="M109" s="45">
        <f>INDO!$H$40</f>
        <v>0.21281256776527746</v>
      </c>
      <c r="N109" s="46"/>
      <c r="O109" s="47">
        <f>INDO!$D$44</f>
        <v>18.025884076849238</v>
      </c>
      <c r="P109" s="47">
        <f>INDO!$E$44</f>
        <v>13.713523418322632</v>
      </c>
      <c r="Q109" s="47">
        <f>INDO!$F$44</f>
        <v>11.084982647878208</v>
      </c>
      <c r="R109" s="47">
        <f>INDO!$G$44</f>
        <v>9.1641329820156159</v>
      </c>
      <c r="S109" s="45">
        <f>INDO!$H$44</f>
        <v>0.25295381763064406</v>
      </c>
      <c r="T109" s="46"/>
      <c r="U109" s="48" t="str">
        <f t="shared" si="15"/>
        <v>IDR 10,075</v>
      </c>
      <c r="V109" s="44" t="str">
        <f t="shared" si="15"/>
        <v>Indosat</v>
      </c>
      <c r="Z109" s="46"/>
      <c r="AF109" s="31"/>
      <c r="AG109" s="31"/>
      <c r="AI109" s="41"/>
      <c r="AJ109" s="64"/>
      <c r="AK109" s="64"/>
      <c r="AN109" s="64"/>
      <c r="AO109" s="64"/>
      <c r="AR109" s="64"/>
      <c r="AS109" s="64"/>
    </row>
    <row r="110" spans="1:45" s="5" customFormat="1">
      <c r="B110" s="42"/>
      <c r="C110" s="48" t="str">
        <f t="shared" si="14"/>
        <v>LG Uplus</v>
      </c>
      <c r="D110" s="44" t="str">
        <f t="shared" si="14"/>
        <v>KRW 9,770</v>
      </c>
      <c r="E110" s="44" t="str">
        <f t="shared" si="14"/>
        <v>KRW 21,000</v>
      </c>
      <c r="F110" s="45">
        <f t="shared" si="14"/>
        <v>1.1494370522006143</v>
      </c>
      <c r="G110" s="44" t="str">
        <f t="shared" si="14"/>
        <v>Buy</v>
      </c>
      <c r="H110" s="46"/>
      <c r="I110" s="47">
        <f>_LG!$D$40</f>
        <v>13.974466554358367</v>
      </c>
      <c r="J110" s="47">
        <f>_LG!$E$40</f>
        <v>11.256789729618873</v>
      </c>
      <c r="K110" s="47">
        <f>_LG!$F$40</f>
        <v>9.971710626657508</v>
      </c>
      <c r="L110" s="47">
        <f>_LG!$G$40</f>
        <v>8.8910194657204649</v>
      </c>
      <c r="M110" s="45">
        <f>_LG!$H$40</f>
        <v>0.12581861778862002</v>
      </c>
      <c r="N110" s="46"/>
      <c r="O110" s="47">
        <f>_LG!$D$44</f>
        <v>5.7982818446788533</v>
      </c>
      <c r="P110" s="47">
        <f>_LG!$E$44</f>
        <v>5.238628691911523</v>
      </c>
      <c r="Q110" s="47">
        <f>_LG!$F$44</f>
        <v>4.5984442394023164</v>
      </c>
      <c r="R110" s="47">
        <f>_LG!$G$44</f>
        <v>4.1432752122784731</v>
      </c>
      <c r="S110" s="45">
        <f>_LG!$H$44</f>
        <v>0.11854084277242083</v>
      </c>
      <c r="T110" s="46"/>
      <c r="U110" s="48" t="str">
        <f t="shared" si="15"/>
        <v>KRW 9,770</v>
      </c>
      <c r="V110" s="44" t="str">
        <f t="shared" si="15"/>
        <v>LG Uplus</v>
      </c>
      <c r="Z110" s="46"/>
      <c r="AF110" s="31"/>
      <c r="AG110" s="31"/>
      <c r="AI110" s="41"/>
      <c r="AJ110" s="64"/>
      <c r="AK110" s="64"/>
      <c r="AN110" s="64"/>
      <c r="AO110" s="64"/>
      <c r="AR110" s="64"/>
      <c r="AS110" s="64"/>
    </row>
    <row r="111" spans="1:45" s="5" customFormat="1">
      <c r="A111" s="39"/>
      <c r="B111" s="42"/>
      <c r="C111" s="48" t="str">
        <f t="shared" si="14"/>
        <v>Maxis</v>
      </c>
      <c r="D111" s="44" t="str">
        <f t="shared" si="14"/>
        <v>MYR 3.71</v>
      </c>
      <c r="E111" s="44" t="str">
        <f t="shared" si="14"/>
        <v>MYR 5.60</v>
      </c>
      <c r="F111" s="45">
        <f t="shared" si="14"/>
        <v>0.50943396226415083</v>
      </c>
      <c r="G111" s="44" t="str">
        <f t="shared" si="14"/>
        <v>Buy</v>
      </c>
      <c r="H111" s="46"/>
      <c r="I111" s="47">
        <f>MAXI!$D$40</f>
        <v>15.958154637971358</v>
      </c>
      <c r="J111" s="47">
        <f>MAXI!$E$40</f>
        <v>16.567085358017689</v>
      </c>
      <c r="K111" s="47">
        <f>MAXI!$F$40</f>
        <v>15.160126407107521</v>
      </c>
      <c r="L111" s="47">
        <f>MAXI!$G$40</f>
        <v>13.74569777617004</v>
      </c>
      <c r="M111" s="45">
        <f>MAXI!$H$40</f>
        <v>5.9311284383554153E-3</v>
      </c>
      <c r="N111" s="46"/>
      <c r="O111" s="47">
        <f>MAXI!$D$44</f>
        <v>29.246169354838713</v>
      </c>
      <c r="P111" s="47">
        <f>MAXI!$E$44</f>
        <v>17.3595125425358</v>
      </c>
      <c r="Q111" s="47">
        <f>MAXI!$F$44</f>
        <v>16.068397423266884</v>
      </c>
      <c r="R111" s="47">
        <f>MAXI!$G$44</f>
        <v>15.045558958639047</v>
      </c>
      <c r="S111" s="45">
        <f>MAXI!$H$44</f>
        <v>0.2480161954794311</v>
      </c>
      <c r="T111" s="46"/>
      <c r="U111" s="48" t="str">
        <f t="shared" si="15"/>
        <v>MYR 3.71</v>
      </c>
      <c r="V111" s="44" t="str">
        <f t="shared" si="15"/>
        <v>Maxis</v>
      </c>
      <c r="Z111" s="46"/>
      <c r="AF111" s="31"/>
      <c r="AG111" s="31"/>
      <c r="AI111" s="41"/>
      <c r="AJ111" s="64"/>
      <c r="AK111" s="64"/>
      <c r="AN111" s="64"/>
      <c r="AO111" s="64"/>
      <c r="AR111" s="64"/>
      <c r="AS111" s="64"/>
    </row>
    <row r="112" spans="1:45" s="5" customFormat="1">
      <c r="B112" s="42"/>
      <c r="C112" s="48" t="str">
        <f t="shared" si="14"/>
        <v>SK Telecom</v>
      </c>
      <c r="D112" s="44" t="str">
        <f t="shared" si="14"/>
        <v>KRW 51,800</v>
      </c>
      <c r="E112" s="44" t="str">
        <f t="shared" si="14"/>
        <v>KRW 116,000</v>
      </c>
      <c r="F112" s="45">
        <f t="shared" si="14"/>
        <v>1.2393822393822393</v>
      </c>
      <c r="G112" s="44" t="str">
        <f t="shared" si="14"/>
        <v>Buy</v>
      </c>
      <c r="H112" s="46"/>
      <c r="I112" s="47">
        <f>SKT!$D$40</f>
        <v>11.618156713506648</v>
      </c>
      <c r="J112" s="47">
        <f>SKT!$E$40</f>
        <v>10.31745916776732</v>
      </c>
      <c r="K112" s="47">
        <f>SKT!$F$40</f>
        <v>8.9103140115652693</v>
      </c>
      <c r="L112" s="47">
        <f>SKT!$G$40</f>
        <v>7.6468762302629392</v>
      </c>
      <c r="M112" s="45">
        <f>SKT!$H$40</f>
        <v>8.2775164891126574E-2</v>
      </c>
      <c r="N112" s="46"/>
      <c r="O112" s="47">
        <f>SKT!$D$44</f>
        <v>11.918355665657568</v>
      </c>
      <c r="P112" s="47">
        <f>SKT!$E$44</f>
        <v>9.8478358437603077</v>
      </c>
      <c r="Q112" s="47">
        <f>SKT!$F$44</f>
        <v>8.0782276133763364</v>
      </c>
      <c r="R112" s="47">
        <f>SKT!$G$44</f>
        <v>6.9598439877391582</v>
      </c>
      <c r="S112" s="45">
        <f>SKT!$H$44</f>
        <v>0.19143115060956228</v>
      </c>
      <c r="T112" s="46"/>
      <c r="U112" s="48" t="str">
        <f t="shared" si="15"/>
        <v>KRW 51,800</v>
      </c>
      <c r="V112" s="44" t="str">
        <f t="shared" si="15"/>
        <v>SK Telecom</v>
      </c>
      <c r="Z112" s="46"/>
      <c r="AF112" s="31"/>
      <c r="AG112" s="31"/>
      <c r="AI112" s="41"/>
      <c r="AJ112" s="64"/>
      <c r="AK112" s="64"/>
      <c r="AN112" s="64"/>
      <c r="AO112" s="64"/>
      <c r="AR112" s="64"/>
      <c r="AS112" s="64"/>
    </row>
    <row r="113" spans="1:45" s="5" customFormat="1">
      <c r="B113" s="42"/>
      <c r="C113" s="48" t="str">
        <f t="shared" si="14"/>
        <v>Taiwan Mobile</v>
      </c>
      <c r="D113" s="44" t="str">
        <f t="shared" si="14"/>
        <v>TWD 106.5</v>
      </c>
      <c r="E113" s="44" t="str">
        <f t="shared" si="14"/>
        <v>TWD n/r</v>
      </c>
      <c r="F113" s="45" t="str">
        <f t="shared" si="14"/>
        <v>-</v>
      </c>
      <c r="G113" s="44" t="str">
        <f t="shared" si="14"/>
        <v>n/r</v>
      </c>
      <c r="H113" s="46"/>
      <c r="I113" s="47">
        <f>TAIWAN!$D$40</f>
        <v>15.527877689515011</v>
      </c>
      <c r="J113" s="47">
        <f>TAIWAN!$E$40</f>
        <v>13.019280351046516</v>
      </c>
      <c r="K113" s="47">
        <f>TAIWAN!$F$40</f>
        <v>11.815018343020583</v>
      </c>
      <c r="L113" s="47">
        <f>TAIWAN!$G$40</f>
        <v>9.9145226175832128</v>
      </c>
      <c r="M113" s="45">
        <f>TAIWAN!$H$40</f>
        <v>7.8059326725372857E-2</v>
      </c>
      <c r="N113" s="46"/>
      <c r="O113" s="47">
        <f>TAIWAN!$D$44</f>
        <v>23.509368071134563</v>
      </c>
      <c r="P113" s="47">
        <f>TAIWAN!$E$44</f>
        <v>19.992655196491857</v>
      </c>
      <c r="Q113" s="47">
        <f>TAIWAN!$F$44</f>
        <v>17.658727805276307</v>
      </c>
      <c r="R113" s="47">
        <f>TAIWAN!$G$44</f>
        <v>15.590267584697441</v>
      </c>
      <c r="S113" s="45">
        <f>TAIWAN!$H$44</f>
        <v>0.14673340005885316</v>
      </c>
      <c r="T113" s="46"/>
      <c r="U113" s="48" t="str">
        <f t="shared" si="15"/>
        <v>TWD 106.5</v>
      </c>
      <c r="V113" s="44" t="str">
        <f t="shared" si="15"/>
        <v>Taiwan Mobile</v>
      </c>
      <c r="Z113" s="46"/>
      <c r="AF113" s="31"/>
      <c r="AG113" s="31"/>
      <c r="AI113" s="41"/>
      <c r="AJ113" s="64"/>
      <c r="AK113" s="64"/>
      <c r="AN113" s="64"/>
      <c r="AO113" s="64"/>
      <c r="AR113" s="64"/>
      <c r="AS113" s="64"/>
    </row>
    <row r="114" spans="1:45" s="5" customFormat="1">
      <c r="B114" s="42"/>
      <c r="C114" s="48" t="str">
        <f t="shared" si="14"/>
        <v>True Corp</v>
      </c>
      <c r="D114" s="44" t="str">
        <f t="shared" si="14"/>
        <v>THB 8.0</v>
      </c>
      <c r="E114" s="44" t="str">
        <f t="shared" si="14"/>
        <v>THB 15.0</v>
      </c>
      <c r="F114" s="45">
        <f t="shared" si="14"/>
        <v>0.875</v>
      </c>
      <c r="G114" s="44" t="str">
        <f t="shared" si="14"/>
        <v>Buy</v>
      </c>
      <c r="H114" s="46"/>
      <c r="I114" s="47">
        <f>TRUECORP!$D$40</f>
        <v>14.026378311296218</v>
      </c>
      <c r="J114" s="47">
        <f>TRUECORP!$E$40</f>
        <v>12.856569268393239</v>
      </c>
      <c r="K114" s="47">
        <f>TRUECORP!$F$40</f>
        <v>11.12229478606651</v>
      </c>
      <c r="L114" s="47">
        <f>TRUECORP!$G$40</f>
        <v>9.2301556715104986</v>
      </c>
      <c r="M114" s="45">
        <f>TRUECORP!$H$40</f>
        <v>8.1816247416002685E-2</v>
      </c>
      <c r="N114" s="46"/>
      <c r="O114" s="47">
        <f>TRUECORP!$D$44</f>
        <v>-17.618510192364077</v>
      </c>
      <c r="P114" s="47">
        <f>TRUECORP!$E$44</f>
        <v>81.773694864561079</v>
      </c>
      <c r="Q114" s="47">
        <f>TRUECORP!$F$44</f>
        <v>13.925598461028015</v>
      </c>
      <c r="R114" s="47">
        <f>TRUECORP!$G$44</f>
        <v>8.2700093603402447</v>
      </c>
      <c r="S114" s="45">
        <f>TRUECORP!$H$44</f>
        <v>-2.286730889898839</v>
      </c>
      <c r="T114" s="46"/>
      <c r="U114" s="48" t="str">
        <f t="shared" si="15"/>
        <v>THB 8.0</v>
      </c>
      <c r="V114" s="44" t="str">
        <f t="shared" si="15"/>
        <v>True Corp</v>
      </c>
      <c r="Z114" s="46"/>
      <c r="AF114" s="31"/>
      <c r="AG114" s="31"/>
      <c r="AJ114" s="64"/>
      <c r="AK114" s="64"/>
      <c r="AN114" s="64"/>
      <c r="AO114" s="64"/>
      <c r="AR114" s="64"/>
      <c r="AS114" s="64"/>
    </row>
    <row r="115" spans="1:45" s="5" customFormat="1">
      <c r="B115" s="42"/>
      <c r="C115" s="48" t="str">
        <f t="shared" si="14"/>
        <v>XL Axiata</v>
      </c>
      <c r="D115" s="44" t="str">
        <f t="shared" si="14"/>
        <v>IDR 2,470</v>
      </c>
      <c r="E115" s="44" t="str">
        <f t="shared" si="14"/>
        <v>IDR 5,000</v>
      </c>
      <c r="F115" s="45">
        <f t="shared" si="14"/>
        <v>1.0242914979757085</v>
      </c>
      <c r="G115" s="44" t="str">
        <f t="shared" si="14"/>
        <v>Buy</v>
      </c>
      <c r="H115" s="46"/>
      <c r="I115" s="47">
        <f>XLAX!$D$40</f>
        <v>11.822196362637026</v>
      </c>
      <c r="J115" s="47">
        <f>XLAX!$E$40</f>
        <v>10.108505018572624</v>
      </c>
      <c r="K115" s="47">
        <f>XLAX!$F$40</f>
        <v>8.3427665150902452</v>
      </c>
      <c r="L115" s="47">
        <f>XLAX!$G$40</f>
        <v>6.9715067671275417</v>
      </c>
      <c r="M115" s="45">
        <f>XLAX!$H$40</f>
        <v>7.6270782791585834E-2</v>
      </c>
      <c r="N115" s="56"/>
      <c r="O115" s="47">
        <f>XLAX!$D$44</f>
        <v>25.246038564854317</v>
      </c>
      <c r="P115" s="47">
        <f>XLAX!$E$44</f>
        <v>19.665369374487081</v>
      </c>
      <c r="Q115" s="47">
        <f>XLAX!$F$44</f>
        <v>15.301580716510241</v>
      </c>
      <c r="R115" s="47">
        <f>XLAX!$G$44</f>
        <v>12.258980936311771</v>
      </c>
      <c r="S115" s="45">
        <f>XLAX!$H$44</f>
        <v>0.27227098780169845</v>
      </c>
      <c r="T115" s="46"/>
      <c r="U115" s="48" t="str">
        <f t="shared" si="15"/>
        <v>IDR 2,470</v>
      </c>
      <c r="V115" s="44" t="str">
        <f t="shared" si="15"/>
        <v>XL Axiata</v>
      </c>
      <c r="Z115" s="46"/>
    </row>
    <row r="116" spans="1:45" s="5" customFormat="1">
      <c r="B116" s="42"/>
      <c r="C116" s="51" t="str">
        <f>C54</f>
        <v>Agg. Emerging Asia Cellular</v>
      </c>
      <c r="D116" s="52"/>
      <c r="E116" s="52"/>
      <c r="F116" s="53"/>
      <c r="G116" s="52"/>
      <c r="H116" s="46"/>
      <c r="I116" s="54">
        <f>'EM ASIA CELLULAR'!$D$40</f>
        <v>14.998308412300936</v>
      </c>
      <c r="J116" s="54">
        <f>'EM ASIA CELLULAR'!$E$40</f>
        <v>13.377569711729079</v>
      </c>
      <c r="K116" s="54">
        <f>'EM ASIA CELLULAR'!$F$40</f>
        <v>11.10525612969515</v>
      </c>
      <c r="L116" s="54">
        <f>'EM ASIA CELLULAR'!$G$40</f>
        <v>9.1395954338227661</v>
      </c>
      <c r="M116" s="55">
        <f>'EM ASIA CELLULAR'!$H$40</f>
        <v>0.11092489376641446</v>
      </c>
      <c r="N116" s="56"/>
      <c r="O116" s="54">
        <f>'EM ASIA CELLULAR'!$D$44</f>
        <v>19.573477396817211</v>
      </c>
      <c r="P116" s="54">
        <f>'EM ASIA CELLULAR'!$E$44</f>
        <v>16.812459359209619</v>
      </c>
      <c r="Q116" s="54">
        <f>'EM ASIA CELLULAR'!$F$44</f>
        <v>14.3183599321803</v>
      </c>
      <c r="R116" s="54">
        <f>'EM ASIA CELLULAR'!$G$44</f>
        <v>12.590948257078356</v>
      </c>
      <c r="S116" s="55">
        <f>'EM ASIA CELLULAR'!$H$44</f>
        <v>0.16172761825523807</v>
      </c>
      <c r="T116" s="46"/>
      <c r="U116" s="57"/>
      <c r="V116" s="58" t="str">
        <f>V54</f>
        <v>Agg. Emerging Asia Cellular</v>
      </c>
      <c r="Z116" s="46"/>
    </row>
    <row r="117" spans="1:45" s="5" customFormat="1">
      <c r="B117" s="42"/>
      <c r="C117" s="43"/>
      <c r="D117" s="44"/>
      <c r="E117" s="44"/>
      <c r="F117" s="68"/>
      <c r="G117" s="44"/>
      <c r="H117" s="46"/>
      <c r="I117" s="62"/>
      <c r="J117" s="62"/>
      <c r="K117" s="62"/>
      <c r="L117" s="62"/>
      <c r="M117" s="61"/>
      <c r="N117" s="46"/>
      <c r="O117" s="62"/>
      <c r="P117" s="62"/>
      <c r="Q117" s="62"/>
      <c r="R117" s="62"/>
      <c r="S117" s="61"/>
      <c r="T117" s="46"/>
      <c r="U117" s="48"/>
      <c r="V117" s="50"/>
      <c r="Z117" s="46"/>
    </row>
    <row r="118" spans="1:45" s="5" customFormat="1">
      <c r="B118" s="42"/>
      <c r="C118" s="51" t="str">
        <f>C56</f>
        <v>Agg. Emerging  Cellular</v>
      </c>
      <c r="D118" s="52"/>
      <c r="E118" s="52"/>
      <c r="F118" s="53"/>
      <c r="G118" s="52"/>
      <c r="H118" s="46"/>
      <c r="I118" s="54">
        <f>'EM CELLULAR'!$D$40</f>
        <v>15.565314163351601</v>
      </c>
      <c r="J118" s="54">
        <f>'EM CELLULAR'!$E$40</f>
        <v>14.107230346818808</v>
      </c>
      <c r="K118" s="54">
        <f>'EM CELLULAR'!$F$40</f>
        <v>11.835137000764389</v>
      </c>
      <c r="L118" s="54">
        <f>'EM CELLULAR'!$G$40</f>
        <v>9.9165135948155338</v>
      </c>
      <c r="M118" s="55">
        <f>'EM CELLULAR'!$H$40</f>
        <v>0.10359585146755945</v>
      </c>
      <c r="N118" s="46"/>
      <c r="O118" s="54">
        <f>'EM CELLULAR'!$D$44</f>
        <v>20.347655496934248</v>
      </c>
      <c r="P118" s="54">
        <f>'EM CELLULAR'!$E$44</f>
        <v>17.632113552740702</v>
      </c>
      <c r="Q118" s="54">
        <f>'EM CELLULAR'!$F$44</f>
        <v>14.75716332600194</v>
      </c>
      <c r="R118" s="54">
        <f>'EM CELLULAR'!$G$44</f>
        <v>12.965336224440424</v>
      </c>
      <c r="S118" s="55">
        <f>'EM CELLULAR'!$H$44</f>
        <v>0.16425371227743413</v>
      </c>
      <c r="T118" s="46"/>
      <c r="U118" s="57"/>
      <c r="V118" s="58" t="str">
        <f>V56</f>
        <v>Agg. Emerging  Cellular</v>
      </c>
      <c r="Z118" s="46"/>
    </row>
    <row r="119" spans="1:45">
      <c r="C119" s="43"/>
      <c r="D119" s="44"/>
      <c r="E119" s="44"/>
      <c r="F119" s="45"/>
      <c r="G119" s="44"/>
      <c r="H119" s="46"/>
      <c r="I119" s="47"/>
      <c r="J119" s="47"/>
      <c r="K119" s="47"/>
      <c r="L119" s="47"/>
      <c r="M119" s="45"/>
      <c r="N119" s="46"/>
      <c r="O119" s="47"/>
      <c r="P119" s="47"/>
      <c r="Q119" s="47"/>
      <c r="R119" s="47"/>
      <c r="S119" s="45"/>
      <c r="T119" s="46"/>
      <c r="U119" s="48"/>
      <c r="V119" s="50"/>
      <c r="Z119" s="46"/>
    </row>
    <row r="120" spans="1:45">
      <c r="A120" s="41" t="s">
        <v>508</v>
      </c>
      <c r="B120" s="42" t="s">
        <v>582</v>
      </c>
      <c r="C120" s="48" t="s">
        <v>819</v>
      </c>
      <c r="D120" s="44" t="str">
        <f>'EM Multiples'!B120&amp;TEXT(Prices!C$135,"0.00")</f>
        <v>MXN52.16</v>
      </c>
      <c r="E120" s="44" t="str">
        <f>'EM Multiples'!B120&amp;TEXT(Prices!E$135,"0.00")</f>
        <v>MXN55.00</v>
      </c>
      <c r="F120" s="45">
        <f>Prices!F$135</f>
        <v>5.444785276073616E-2</v>
      </c>
      <c r="G120" s="44" t="str">
        <f>Prices!D$135</f>
        <v>Buy</v>
      </c>
      <c r="H120" s="46"/>
      <c r="I120" s="47">
        <f>MEGA!$D$40</f>
        <v>92.143189878743229</v>
      </c>
      <c r="J120" s="47">
        <f>MEGA!$E$40</f>
        <v>62.605439979764348</v>
      </c>
      <c r="K120" s="47">
        <f>MEGA!$F$40</f>
        <v>20.00627326074007</v>
      </c>
      <c r="L120" s="47">
        <f>MEGA!$G$40</f>
        <v>12.081362644675869</v>
      </c>
      <c r="M120" s="45">
        <f>MEGA!$H$40</f>
        <v>0.93373661215068116</v>
      </c>
      <c r="N120" s="46"/>
      <c r="O120" s="47">
        <f>MEGA!$D$44</f>
        <v>6.7570929369360639</v>
      </c>
      <c r="P120" s="47">
        <f>MEGA!$E$44</f>
        <v>6.2704123235462559</v>
      </c>
      <c r="Q120" s="47">
        <f>MEGA!$F$44</f>
        <v>5.9451905475439046</v>
      </c>
      <c r="R120" s="47">
        <f>MEGA!$G$44</f>
        <v>5.7470875630571845</v>
      </c>
      <c r="S120" s="45">
        <f>MEGA!$H$44</f>
        <v>5.5449259116693295E-2</v>
      </c>
      <c r="T120" s="46"/>
      <c r="U120" s="48" t="str">
        <f>D120</f>
        <v>MXN52.16</v>
      </c>
      <c r="V120" s="44" t="str">
        <f>C120</f>
        <v>Megacable</v>
      </c>
      <c r="Z120" s="46"/>
      <c r="AE120" s="41"/>
    </row>
    <row r="121" spans="1:45">
      <c r="A121" s="5"/>
      <c r="B121" s="42" t="s">
        <v>411</v>
      </c>
      <c r="C121" s="48" t="s">
        <v>804</v>
      </c>
      <c r="D121" s="44" t="str">
        <f>'EM Multiples'!B121&amp;TEXT(Prices!C$138,"0.00")</f>
        <v>USD8.55</v>
      </c>
      <c r="E121" s="44" t="str">
        <f>'EM Multiples'!B121&amp;TEXT(Prices!E$138,"0.00")</f>
        <v>USD14.00</v>
      </c>
      <c r="F121" s="45">
        <f>Prices!F$138</f>
        <v>0.63742690058479523</v>
      </c>
      <c r="G121" s="44" t="str">
        <f>Prices!D$138</f>
        <v>Buy</v>
      </c>
      <c r="H121" s="46"/>
      <c r="I121" s="47">
        <f>LiLAC!$D$40</f>
        <v>13.218070655466168</v>
      </c>
      <c r="J121" s="47">
        <f>LiLAC!$E$40</f>
        <v>11.117990577846735</v>
      </c>
      <c r="K121" s="47">
        <f>LiLAC!$F$40</f>
        <v>12.071500755826568</v>
      </c>
      <c r="L121" s="47">
        <f>LiLAC!$G$40</f>
        <v>12.267217467504315</v>
      </c>
      <c r="M121" s="45">
        <f>LiLAC!$H$40</f>
        <v>5.5105101534048684E-2</v>
      </c>
      <c r="N121" s="46"/>
      <c r="O121" s="47">
        <f>LiLAC!$D$44</f>
        <v>11.471094064235588</v>
      </c>
      <c r="P121" s="47">
        <f>LiLAC!$E$44</f>
        <v>3.3385600576535612</v>
      </c>
      <c r="Q121" s="47">
        <f>LiLAC!$F$44</f>
        <v>3.9663144977298184</v>
      </c>
      <c r="R121" s="47">
        <f>LiLAC!$G$44</f>
        <v>3.8314064011885214</v>
      </c>
      <c r="S121" s="45">
        <f>LiLAC!$H$44</f>
        <v>0.56054219804724514</v>
      </c>
      <c r="T121" s="46"/>
      <c r="U121" s="48" t="str">
        <f>D121</f>
        <v>USD8.55</v>
      </c>
      <c r="V121" s="44" t="str">
        <f>C121</f>
        <v>LiLAC</v>
      </c>
      <c r="Z121" s="46"/>
      <c r="AE121" s="41"/>
    </row>
    <row r="122" spans="1:45">
      <c r="A122" s="5"/>
      <c r="C122" s="67" t="s">
        <v>822</v>
      </c>
      <c r="D122" s="52"/>
      <c r="E122" s="52"/>
      <c r="F122" s="53"/>
      <c r="G122" s="52"/>
      <c r="H122" s="46"/>
      <c r="I122" s="54">
        <f>'LATAM ALTNET &amp; CABLE'!D40</f>
        <v>18.212042965520041</v>
      </c>
      <c r="J122" s="54">
        <f>'LATAM ALTNET &amp; CABLE'!E40</f>
        <v>15.31916911385621</v>
      </c>
      <c r="K122" s="54">
        <f>'LATAM ALTNET &amp; CABLE'!F40</f>
        <v>13.685070003696255</v>
      </c>
      <c r="L122" s="54">
        <f>'LATAM ALTNET &amp; CABLE'!G40</f>
        <v>12.212631130391735</v>
      </c>
      <c r="M122" s="55">
        <f>'LATAM ALTNET &amp; CABLE'!H40</f>
        <v>0.15923346120854243</v>
      </c>
      <c r="N122" s="46"/>
      <c r="O122" s="54">
        <f>'LATAM ALTNET &amp; CABLE'!D44</f>
        <v>7.9551363991029369</v>
      </c>
      <c r="P122" s="54">
        <f>'LATAM ALTNET &amp; CABLE'!E44</f>
        <v>4.7399510803429443</v>
      </c>
      <c r="Q122" s="54">
        <f>'LATAM ALTNET &amp; CABLE'!F44</f>
        <v>4.9034480734846939</v>
      </c>
      <c r="R122" s="54">
        <f>'LATAM ALTNET &amp; CABLE'!G44</f>
        <v>4.7430296086516766</v>
      </c>
      <c r="S122" s="55">
        <f>'LATAM ALTNET &amp; CABLE'!H44</f>
        <v>0.22600233239872392</v>
      </c>
      <c r="T122" s="46"/>
      <c r="U122" s="57"/>
      <c r="V122" s="58" t="str">
        <f>C122</f>
        <v>Agg. Emerging LatAm Altnets &amp; Cable</v>
      </c>
      <c r="Z122" s="46"/>
      <c r="AE122" s="41"/>
    </row>
    <row r="123" spans="1:45">
      <c r="C123" s="43"/>
      <c r="D123" s="44"/>
      <c r="E123" s="44"/>
      <c r="F123" s="45"/>
      <c r="G123" s="44"/>
      <c r="H123" s="46"/>
      <c r="I123" s="47"/>
      <c r="J123" s="47"/>
      <c r="K123" s="47"/>
      <c r="L123" s="47"/>
      <c r="M123" s="45"/>
      <c r="N123" s="46"/>
      <c r="O123" s="47"/>
      <c r="P123" s="47"/>
      <c r="Q123" s="47"/>
      <c r="R123" s="47"/>
      <c r="S123" s="45"/>
      <c r="T123" s="46"/>
      <c r="U123" s="48"/>
      <c r="V123" s="50"/>
      <c r="Z123" s="46"/>
    </row>
    <row r="124" spans="1:45">
      <c r="A124" s="5"/>
      <c r="C124" s="67" t="str">
        <f>C62</f>
        <v>Agg. EMEA sector</v>
      </c>
      <c r="D124" s="52"/>
      <c r="E124" s="52"/>
      <c r="F124" s="53"/>
      <c r="G124" s="52"/>
      <c r="H124" s="46"/>
      <c r="I124" s="54">
        <f>'EMEA AGG'!$D$40</f>
        <v>20.016778269322003</v>
      </c>
      <c r="J124" s="54">
        <f>'EMEA AGG'!$E$40</f>
        <v>20.219482618163937</v>
      </c>
      <c r="K124" s="54">
        <f>'EMEA AGG'!$F$40</f>
        <v>17.434477996976877</v>
      </c>
      <c r="L124" s="54">
        <f>'EMEA AGG'!$G$40</f>
        <v>15.470882641279308</v>
      </c>
      <c r="M124" s="55">
        <f>'EMEA AGG'!$H$40</f>
        <v>7.2651050461786104E-2</v>
      </c>
      <c r="N124" s="56"/>
      <c r="O124" s="54">
        <f>'EMEA AGG'!$D$44</f>
        <v>26.213825000247358</v>
      </c>
      <c r="P124" s="54">
        <f>'EMEA AGG'!$E$44</f>
        <v>25.345020478278418</v>
      </c>
      <c r="Q124" s="54">
        <f>'EMEA AGG'!$F$44</f>
        <v>19.902905963121967</v>
      </c>
      <c r="R124" s="54">
        <f>'EMEA AGG'!$G$44</f>
        <v>17.643001204673816</v>
      </c>
      <c r="S124" s="55">
        <f>'EMEA AGG'!$H$44</f>
        <v>0.1405925766795979</v>
      </c>
      <c r="T124" s="46"/>
      <c r="U124" s="57"/>
      <c r="V124" s="58" t="str">
        <f>V62</f>
        <v>Agg. EMEA sector</v>
      </c>
      <c r="Z124" s="46"/>
    </row>
    <row r="125" spans="1:45">
      <c r="A125" s="5"/>
      <c r="C125" s="41" t="str">
        <f>C63</f>
        <v>Agg. LatAm sector</v>
      </c>
      <c r="D125" s="44"/>
      <c r="E125" s="44"/>
      <c r="F125" s="45"/>
      <c r="G125" s="44"/>
      <c r="H125" s="46"/>
      <c r="I125" s="60">
        <f>'LATAM AGG'!$D$40</f>
        <v>13.95931501626152</v>
      </c>
      <c r="J125" s="60">
        <f>'LATAM AGG'!$E$40</f>
        <v>10.685797087442774</v>
      </c>
      <c r="K125" s="60">
        <f>'LATAM AGG'!$F$40</f>
        <v>9.051010977069458</v>
      </c>
      <c r="L125" s="60">
        <f>'LATAM AGG'!$G$40</f>
        <v>7.765799145958038</v>
      </c>
      <c r="M125" s="59">
        <f>'LATAM AGG'!$H$40</f>
        <v>0.15441367221361157</v>
      </c>
      <c r="N125" s="56"/>
      <c r="O125" s="60">
        <f>'LATAM AGG'!$D$44</f>
        <v>14.003638354134434</v>
      </c>
      <c r="P125" s="60">
        <f>'LATAM AGG'!$E$44</f>
        <v>10.015010028189321</v>
      </c>
      <c r="Q125" s="60">
        <f>'LATAM AGG'!$F$44</f>
        <v>7.6985717831877851</v>
      </c>
      <c r="R125" s="60">
        <f>'LATAM AGG'!$G$44</f>
        <v>6.2949098591769337</v>
      </c>
      <c r="S125" s="59">
        <f>'LATAM AGG'!$H$44</f>
        <v>0.27294383402184597</v>
      </c>
      <c r="T125" s="46"/>
      <c r="U125" s="48"/>
      <c r="V125" s="50" t="str">
        <f>V63</f>
        <v>Agg. LatAm sector</v>
      </c>
      <c r="Z125" s="46"/>
    </row>
    <row r="126" spans="1:45">
      <c r="A126" s="5"/>
      <c r="C126" s="67" t="str">
        <f>C64</f>
        <v>Agg. Emerging Asia sector</v>
      </c>
      <c r="D126" s="52"/>
      <c r="E126" s="52"/>
      <c r="F126" s="53"/>
      <c r="G126" s="52"/>
      <c r="H126" s="46"/>
      <c r="I126" s="54">
        <f>'AGG EM ASIA'!$D$40</f>
        <v>407.31783707262946</v>
      </c>
      <c r="J126" s="54">
        <f>'AGG EM ASIA'!$E$40</f>
        <v>354.34418194952445</v>
      </c>
      <c r="K126" s="54">
        <f>'AGG EM ASIA'!$F$40</f>
        <v>285.78111968044561</v>
      </c>
      <c r="L126" s="54">
        <f>'AGG EM ASIA'!$G$40</f>
        <v>227.65042652296677</v>
      </c>
      <c r="M126" s="55">
        <f>'AGG EM ASIA'!$H$40</f>
        <v>0.11521178704677681</v>
      </c>
      <c r="N126" s="56"/>
      <c r="O126" s="54">
        <f>'AGG EM ASIA'!$D$44</f>
        <v>317.45895157846934</v>
      </c>
      <c r="P126" s="54">
        <f>'AGG EM ASIA'!$E$44</f>
        <v>282.08806852362591</v>
      </c>
      <c r="Q126" s="54">
        <f>'AGG EM ASIA'!$F$44</f>
        <v>246.64316141832273</v>
      </c>
      <c r="R126" s="54">
        <f>'AGG EM ASIA'!$G$44</f>
        <v>217.18293821731166</v>
      </c>
      <c r="S126" s="55">
        <f>'AGG EM ASIA'!$H$44</f>
        <v>0.14243906748114865</v>
      </c>
      <c r="T126" s="46"/>
      <c r="U126" s="57"/>
      <c r="V126" s="58" t="str">
        <f>V64</f>
        <v>Agg. Emerging Asia sector</v>
      </c>
      <c r="Z126" s="46"/>
    </row>
    <row r="127" spans="1:45">
      <c r="A127" s="5"/>
      <c r="C127" s="41"/>
      <c r="D127" s="44"/>
      <c r="E127" s="44"/>
      <c r="F127" s="45"/>
      <c r="G127" s="44"/>
      <c r="H127" s="46"/>
      <c r="I127" s="60"/>
      <c r="J127" s="60"/>
      <c r="K127" s="60"/>
      <c r="L127" s="60"/>
      <c r="M127" s="59"/>
      <c r="N127" s="56"/>
      <c r="O127" s="60"/>
      <c r="P127" s="60"/>
      <c r="Q127" s="60"/>
      <c r="R127" s="60"/>
      <c r="S127" s="59"/>
      <c r="T127" s="46"/>
      <c r="U127" s="48"/>
      <c r="V127" s="50"/>
      <c r="X127" s="47"/>
      <c r="Y127" s="138"/>
      <c r="Z127" s="46"/>
    </row>
    <row r="128" spans="1:45">
      <c r="A128" s="5"/>
      <c r="C128" s="67" t="str">
        <f>C66</f>
        <v>Agg. Global EM sector (ex-consensus)</v>
      </c>
      <c r="D128" s="52"/>
      <c r="E128" s="52"/>
      <c r="F128" s="53"/>
      <c r="G128" s="52"/>
      <c r="H128" s="46"/>
      <c r="I128" s="54">
        <f>'AGG EM'!$D$40</f>
        <v>301.14194802237273</v>
      </c>
      <c r="J128" s="54">
        <f>'AGG EM'!$E$40</f>
        <v>259.63239152824843</v>
      </c>
      <c r="K128" s="54">
        <f>'AGG EM'!$F$40</f>
        <v>208.91697606045113</v>
      </c>
      <c r="L128" s="54">
        <f>'AGG EM'!$G$40</f>
        <v>167.13793424632385</v>
      </c>
      <c r="M128" s="55">
        <f>'AGG EM'!$H$40</f>
        <v>0.11865907373414464</v>
      </c>
      <c r="N128" s="56"/>
      <c r="O128" s="54">
        <f>'AGG EM'!$D$44</f>
        <v>245.42467510563969</v>
      </c>
      <c r="P128" s="54">
        <f>'AGG EM'!$E$44</f>
        <v>213.62789634539095</v>
      </c>
      <c r="Q128" s="54">
        <f>'AGG EM'!$F$44</f>
        <v>181.57395789810795</v>
      </c>
      <c r="R128" s="54">
        <f>'AGG EM'!$G$44</f>
        <v>158.59598060321596</v>
      </c>
      <c r="S128" s="55">
        <f>'AGG EM'!$H$44</f>
        <v>0.16397795492835376</v>
      </c>
      <c r="T128" s="46"/>
      <c r="U128" s="57"/>
      <c r="V128" s="58" t="str">
        <f>V66</f>
        <v>Agg. Global EM sector (ex-consensus)</v>
      </c>
    </row>
    <row r="129" spans="1:69">
      <c r="A129" s="5"/>
      <c r="C129" s="43"/>
      <c r="D129" s="44"/>
      <c r="E129" s="44"/>
      <c r="F129" s="45"/>
      <c r="G129" s="44"/>
      <c r="H129" s="5"/>
      <c r="I129" s="5"/>
      <c r="J129" s="5"/>
      <c r="K129" s="5"/>
      <c r="L129" s="5"/>
      <c r="N129" s="5"/>
      <c r="O129" s="5"/>
      <c r="P129" s="5"/>
      <c r="Q129" s="5"/>
      <c r="R129" s="5"/>
      <c r="T129" s="5"/>
      <c r="U129" s="63"/>
      <c r="V129" s="63"/>
      <c r="W129" s="173"/>
      <c r="AU129" s="10"/>
    </row>
    <row r="130" spans="1:69">
      <c r="A130" s="5"/>
      <c r="C130" s="43"/>
      <c r="D130" s="44"/>
      <c r="E130" s="44"/>
      <c r="F130" s="45"/>
      <c r="G130" s="44"/>
      <c r="H130" s="5"/>
      <c r="I130" s="5"/>
      <c r="J130" s="5"/>
      <c r="K130" s="5"/>
      <c r="L130" s="5"/>
      <c r="N130" s="5"/>
      <c r="O130" s="5"/>
      <c r="P130" s="5"/>
      <c r="Q130" s="5"/>
      <c r="R130" s="5"/>
      <c r="T130" s="5"/>
      <c r="U130" s="63"/>
      <c r="V130" s="63"/>
      <c r="W130" s="173"/>
      <c r="AU130" s="10"/>
    </row>
    <row r="131" spans="1:69" s="41" customFormat="1">
      <c r="B131" s="147"/>
      <c r="C131" s="164"/>
      <c r="D131" s="165" t="s">
        <v>464</v>
      </c>
      <c r="E131" s="165" t="s">
        <v>57</v>
      </c>
      <c r="F131" s="165" t="s">
        <v>59</v>
      </c>
      <c r="G131" s="165" t="s">
        <v>56</v>
      </c>
      <c r="H131" s="134"/>
      <c r="I131" s="166" t="s">
        <v>580</v>
      </c>
      <c r="J131" s="166"/>
      <c r="K131" s="166"/>
      <c r="L131" s="166"/>
      <c r="M131" s="166"/>
      <c r="N131" s="46"/>
      <c r="O131" s="166" t="s">
        <v>581</v>
      </c>
      <c r="P131" s="166"/>
      <c r="Q131" s="166"/>
      <c r="R131" s="166"/>
      <c r="S131" s="166"/>
      <c r="T131" s="46"/>
      <c r="U131" s="167" t="s">
        <v>464</v>
      </c>
      <c r="V131" s="165"/>
      <c r="Z131" s="49"/>
      <c r="AC131" s="135"/>
      <c r="AD131" s="136"/>
      <c r="AE131" s="136"/>
      <c r="AF131" s="136"/>
      <c r="AG131" s="136"/>
      <c r="AH131" s="136"/>
      <c r="AI131" s="136"/>
      <c r="AJ131" s="136"/>
      <c r="AK131" s="136"/>
      <c r="AL131" s="136"/>
      <c r="AM131" s="136"/>
      <c r="AN131" s="136"/>
      <c r="AO131" s="136"/>
      <c r="AP131" s="136"/>
      <c r="AQ131" s="136"/>
      <c r="AR131" s="136"/>
      <c r="AS131" s="136"/>
      <c r="AT131" s="136"/>
      <c r="AU131" s="136"/>
      <c r="AV131" s="136"/>
      <c r="AW131" s="136"/>
      <c r="BC131" s="137"/>
      <c r="BD131" s="137"/>
      <c r="BE131" s="137"/>
      <c r="BG131" s="137"/>
      <c r="BH131" s="137"/>
      <c r="BI131" s="137"/>
      <c r="BK131" s="137"/>
      <c r="BL131" s="137"/>
      <c r="BM131" s="137"/>
      <c r="BO131" s="137"/>
      <c r="BP131" s="137"/>
      <c r="BQ131" s="137"/>
    </row>
    <row r="132" spans="1:69">
      <c r="A132" s="41" t="s">
        <v>506</v>
      </c>
      <c r="C132" s="48" t="str">
        <f>C70</f>
        <v>Telkom SA</v>
      </c>
      <c r="D132" s="44" t="str">
        <f>D70</f>
        <v>ZAR 25.3</v>
      </c>
      <c r="E132" s="44" t="str">
        <f>E70</f>
        <v>ZAR 56.0</v>
      </c>
      <c r="F132" s="45">
        <f>F70</f>
        <v>1.21606648199446</v>
      </c>
      <c r="G132" s="44" t="str">
        <f>G70</f>
        <v>Neutral</v>
      </c>
      <c r="H132" s="134"/>
      <c r="I132" s="45">
        <f>TKG!$D$45</f>
        <v>0.17269022263382081</v>
      </c>
      <c r="J132" s="45">
        <f>TKG!$E$45</f>
        <v>0.17344681057539141</v>
      </c>
      <c r="K132" s="45">
        <f>TKG!$F$45</f>
        <v>0.1722121002083328</v>
      </c>
      <c r="L132" s="45">
        <f>TKG!$G$45</f>
        <v>0.17344681057539177</v>
      </c>
      <c r="M132" s="45">
        <f>TKG!$H$45</f>
        <v>1.4582676697889596E-3</v>
      </c>
      <c r="N132" s="46"/>
      <c r="O132" s="45">
        <f>TKG!$D$47</f>
        <v>0.23630333630734493</v>
      </c>
      <c r="P132" s="45">
        <f>TKG!$E$47</f>
        <v>0.23733862511568804</v>
      </c>
      <c r="Q132" s="45">
        <f>TKG!$F$47</f>
        <v>0.2356490900936134</v>
      </c>
      <c r="R132" s="45">
        <f>TKG!$G$47</f>
        <v>0.24058500930480944</v>
      </c>
      <c r="S132" s="45">
        <f>TKG!$H$47</f>
        <v>6.0036813160782021E-3</v>
      </c>
      <c r="T132" s="46"/>
      <c r="U132" s="48" t="str">
        <f>U70</f>
        <v>ZAR 25.3</v>
      </c>
      <c r="V132" s="44" t="str">
        <f>V70</f>
        <v>Telkom SA</v>
      </c>
    </row>
    <row r="133" spans="1:69">
      <c r="A133" s="41"/>
      <c r="C133" s="51" t="str">
        <f>C71</f>
        <v>Agg. EMEA Incumbent</v>
      </c>
      <c r="D133" s="58"/>
      <c r="E133" s="58"/>
      <c r="F133" s="55"/>
      <c r="G133" s="58"/>
      <c r="H133" s="134"/>
      <c r="I133" s="55">
        <f>'EMEA INCUMB'!$D$45</f>
        <v>0.17269022263382078</v>
      </c>
      <c r="J133" s="55">
        <f>'EMEA INCUMB'!$E$45</f>
        <v>0.17344681057539141</v>
      </c>
      <c r="K133" s="55">
        <f>'EMEA INCUMB'!$F$45</f>
        <v>0.1722121002083328</v>
      </c>
      <c r="L133" s="55">
        <f>'EMEA INCUMB'!$G$45</f>
        <v>0.17344681057539177</v>
      </c>
      <c r="M133" s="55">
        <f>'EMEA INCUMB'!$H$45</f>
        <v>1.4582676697889596E-3</v>
      </c>
      <c r="N133" s="56"/>
      <c r="O133" s="55">
        <f>'EMEA INCUMB'!$D$47</f>
        <v>0.23630333630734493</v>
      </c>
      <c r="P133" s="55">
        <f>'EMEA INCUMB'!$E$47</f>
        <v>0.23733862511568804</v>
      </c>
      <c r="Q133" s="55">
        <f>'EMEA INCUMB'!$F$47</f>
        <v>0.23564909009361334</v>
      </c>
      <c r="R133" s="55">
        <f>'EMEA INCUMB'!$G$47</f>
        <v>0.24058500930480939</v>
      </c>
      <c r="S133" s="55">
        <f>'EMEA INCUMB'!$H$47</f>
        <v>6.0036813160782021E-3</v>
      </c>
      <c r="T133" s="56"/>
      <c r="U133" s="51"/>
      <c r="V133" s="58" t="str">
        <f>V71</f>
        <v>Agg. EMEA Incumbent</v>
      </c>
    </row>
    <row r="134" spans="1:69">
      <c r="A134" s="41"/>
      <c r="C134" s="48"/>
      <c r="D134" s="44"/>
      <c r="E134" s="44"/>
      <c r="F134" s="68"/>
      <c r="G134" s="44"/>
      <c r="H134" s="134"/>
      <c r="I134" s="61"/>
      <c r="J134" s="61"/>
      <c r="K134" s="61"/>
      <c r="L134" s="61"/>
      <c r="M134" s="61"/>
      <c r="N134" s="46"/>
      <c r="O134" s="61"/>
      <c r="P134" s="61"/>
      <c r="Q134" s="61"/>
      <c r="R134" s="61"/>
      <c r="S134" s="61"/>
      <c r="T134" s="46"/>
      <c r="U134" s="48"/>
      <c r="V134" s="44"/>
    </row>
    <row r="135" spans="1:69">
      <c r="A135" s="5"/>
      <c r="C135" s="48" t="str">
        <f t="shared" ref="C135:G137" si="16">C73</f>
        <v>America Movil</v>
      </c>
      <c r="D135" s="44" t="str">
        <f t="shared" si="16"/>
        <v>USD 16.2</v>
      </c>
      <c r="E135" s="44" t="str">
        <f t="shared" si="16"/>
        <v>USD 24.0</v>
      </c>
      <c r="F135" s="45">
        <f t="shared" si="16"/>
        <v>0.47965474722564738</v>
      </c>
      <c r="G135" s="44" t="str">
        <f t="shared" si="16"/>
        <v>Buy</v>
      </c>
      <c r="H135" s="46"/>
      <c r="I135" s="45">
        <f>AMX!$D$45</f>
        <v>3.1811608885950547E-2</v>
      </c>
      <c r="J135" s="45">
        <f>AMX!$E$45</f>
        <v>3.4327550742985512E-2</v>
      </c>
      <c r="K135" s="45">
        <f>AMX!$F$45</f>
        <v>3.6346818433749359E-2</v>
      </c>
      <c r="L135" s="45">
        <f>AMX!$G$45</f>
        <v>3.8273701328203756E-2</v>
      </c>
      <c r="M135" s="45">
        <f>AMX!$H$45</f>
        <v>2.2193635887354013E-2</v>
      </c>
      <c r="N135" s="46"/>
      <c r="O135" s="45">
        <f>AMX!$D$47</f>
        <v>4.1723952463990896E-2</v>
      </c>
      <c r="P135" s="45">
        <f>AMX!$E$47</f>
        <v>7.001665824859564E-2</v>
      </c>
      <c r="Q135" s="45">
        <f>AMX!$F$47</f>
        <v>8.8670853604949987E-2</v>
      </c>
      <c r="R135" s="45">
        <f>AMX!$G$47</f>
        <v>0.11101787669319027</v>
      </c>
      <c r="S135" s="45">
        <f>AMX!$H$47</f>
        <v>0.34403562870736648</v>
      </c>
      <c r="T135" s="46"/>
      <c r="U135" s="48" t="str">
        <f t="shared" ref="U135:V138" si="17">U73</f>
        <v>USD 16.2</v>
      </c>
      <c r="V135" s="44" t="str">
        <f t="shared" si="17"/>
        <v>America Movil</v>
      </c>
      <c r="AE135" s="143"/>
      <c r="AF135" s="174"/>
      <c r="AG135" s="174"/>
      <c r="AH135" s="174"/>
      <c r="AK135" s="143"/>
      <c r="AL135" s="174"/>
      <c r="AM135" s="174"/>
      <c r="AN135" s="174"/>
    </row>
    <row r="136" spans="1:69" s="5" customFormat="1">
      <c r="B136" s="42"/>
      <c r="C136" s="48" t="str">
        <f t="shared" si="16"/>
        <v>Oi</v>
      </c>
      <c r="D136" s="44" t="str">
        <f t="shared" si="16"/>
        <v>BRL 1.78</v>
      </c>
      <c r="E136" s="44" t="str">
        <f t="shared" si="16"/>
        <v>BRL 0.90</v>
      </c>
      <c r="F136" s="45">
        <f t="shared" si="16"/>
        <v>-0.4943820224719101</v>
      </c>
      <c r="G136" s="44" t="str">
        <f t="shared" si="16"/>
        <v>Neutral</v>
      </c>
      <c r="H136" s="46"/>
      <c r="I136" s="45">
        <f>OIBR!$D$45</f>
        <v>0</v>
      </c>
      <c r="J136" s="45">
        <f>OIBR!$E$45</f>
        <v>0</v>
      </c>
      <c r="K136" s="45">
        <f>OIBR!$F$45</f>
        <v>0</v>
      </c>
      <c r="L136" s="45">
        <f>OIBR!$G$45</f>
        <v>0</v>
      </c>
      <c r="M136" s="45" t="str">
        <f>OIBR!$H$45</f>
        <v>nm</v>
      </c>
      <c r="N136" s="46"/>
      <c r="O136" s="45">
        <f>OIBR!$D$47</f>
        <v>-1.5253899409884168</v>
      </c>
      <c r="P136" s="45">
        <f>OIBR!$E$47</f>
        <v>-1.414193407814097</v>
      </c>
      <c r="Q136" s="45">
        <f>OIBR!$F$47</f>
        <v>-0.87233604107412976</v>
      </c>
      <c r="R136" s="45">
        <f>OIBR!$G$47</f>
        <v>-0.55149816929291096</v>
      </c>
      <c r="S136" s="45">
        <f>OIBR!$H$47</f>
        <v>-0.28760466703159515</v>
      </c>
      <c r="T136" s="46"/>
      <c r="U136" s="48" t="str">
        <f t="shared" si="17"/>
        <v>BRL 1.78</v>
      </c>
      <c r="V136" s="44" t="str">
        <f t="shared" si="17"/>
        <v>Oi</v>
      </c>
    </row>
    <row r="137" spans="1:69">
      <c r="A137" s="5"/>
      <c r="C137" s="48" t="str">
        <f t="shared" si="16"/>
        <v>Telefonica Brasil</v>
      </c>
      <c r="D137" s="44" t="str">
        <f t="shared" si="16"/>
        <v>BRL 45.90</v>
      </c>
      <c r="E137" s="44" t="str">
        <f t="shared" si="16"/>
        <v>BRL 61.00</v>
      </c>
      <c r="F137" s="45">
        <f t="shared" si="16"/>
        <v>0.32897603485838789</v>
      </c>
      <c r="G137" s="44" t="str">
        <f t="shared" si="16"/>
        <v>Buy</v>
      </c>
      <c r="H137" s="46"/>
      <c r="I137" s="45">
        <f>VIVO!$D$45</f>
        <v>5.1242151333636236E-2</v>
      </c>
      <c r="J137" s="45">
        <f>VIVO!$E$45</f>
        <v>6.027694284929852E-2</v>
      </c>
      <c r="K137" s="45">
        <f>VIVO!$F$45</f>
        <v>8.1202177954654287E-2</v>
      </c>
      <c r="L137" s="45">
        <f>VIVO!$G$45</f>
        <v>9.784837611594735E-2</v>
      </c>
      <c r="M137" s="45">
        <f>VIVO!$H$45</f>
        <v>0.2313174684450654</v>
      </c>
      <c r="N137" s="46"/>
      <c r="O137" s="45">
        <f>VIVO!$D$47</f>
        <v>9.4972680061031725E-2</v>
      </c>
      <c r="P137" s="45">
        <f>VIVO!$E$47</f>
        <v>0.11455714217090181</v>
      </c>
      <c r="Q137" s="45">
        <f>VIVO!$F$47</f>
        <v>0.12577105342970146</v>
      </c>
      <c r="R137" s="45">
        <f>VIVO!$G$47</f>
        <v>0.13556286155607866</v>
      </c>
      <c r="S137" s="45">
        <f>VIVO!$H$47</f>
        <v>0.11724669242949792</v>
      </c>
      <c r="T137" s="46"/>
      <c r="U137" s="48" t="str">
        <f t="shared" si="17"/>
        <v>BRL 45.90</v>
      </c>
      <c r="V137" s="44" t="str">
        <f t="shared" si="17"/>
        <v>Telefonica Brasil</v>
      </c>
      <c r="AE137" s="140"/>
      <c r="AF137" s="142"/>
      <c r="AG137" s="142"/>
      <c r="AH137" s="142"/>
      <c r="AK137" s="140"/>
      <c r="AL137" s="142"/>
      <c r="AM137" s="142"/>
      <c r="AN137" s="142"/>
    </row>
    <row r="138" spans="1:69">
      <c r="A138" s="5"/>
      <c r="C138" s="48" t="s">
        <v>673</v>
      </c>
      <c r="D138" s="44" t="str">
        <f>D76</f>
        <v>USD 3.1</v>
      </c>
      <c r="E138" s="44" t="str">
        <f>E76</f>
        <v>USD 3.7</v>
      </c>
      <c r="F138" s="45">
        <f>F76</f>
        <v>0.17834394904458595</v>
      </c>
      <c r="G138" s="44" t="str">
        <f>G76</f>
        <v>Neutral</v>
      </c>
      <c r="H138" s="46"/>
      <c r="I138" s="45">
        <f>TVIS!$D$45</f>
        <v>3.389647525651035E-2</v>
      </c>
      <c r="J138" s="45">
        <f>TVIS!$E$45</f>
        <v>3.389647525651035E-2</v>
      </c>
      <c r="K138" s="45">
        <f>TVIS!$F$45</f>
        <v>3.389647525651035E-2</v>
      </c>
      <c r="L138" s="45">
        <f>TVIS!$G$45</f>
        <v>3.389647525651035E-2</v>
      </c>
      <c r="M138" s="45">
        <f>TVIS!$H$45</f>
        <v>0</v>
      </c>
      <c r="N138" s="46"/>
      <c r="O138" s="45">
        <f>TVIS!$D$47</f>
        <v>-0.21418349440287915</v>
      </c>
      <c r="P138" s="45">
        <f>TVIS!$E$47</f>
        <v>0.11536511524404942</v>
      </c>
      <c r="Q138" s="45">
        <f>TVIS!$F$47</f>
        <v>0.15168321421742534</v>
      </c>
      <c r="R138" s="45">
        <f>TVIS!$G$47</f>
        <v>0.19856182143155043</v>
      </c>
      <c r="S138" s="45">
        <f>TVIS!$H$47</f>
        <v>-1.9750717692940676</v>
      </c>
      <c r="T138" s="46"/>
      <c r="U138" s="48" t="str">
        <f t="shared" si="17"/>
        <v>USD 3.1</v>
      </c>
      <c r="V138" s="44" t="str">
        <f t="shared" si="17"/>
        <v>Televisa</v>
      </c>
      <c r="AE138" s="140"/>
      <c r="AF138" s="142"/>
      <c r="AG138" s="142"/>
      <c r="AH138" s="142"/>
      <c r="AK138" s="140"/>
      <c r="AL138" s="142"/>
      <c r="AM138" s="142"/>
      <c r="AN138" s="142"/>
    </row>
    <row r="139" spans="1:69">
      <c r="A139" s="5"/>
      <c r="C139" s="51" t="str">
        <f>C77</f>
        <v>Agg. LatAm Incumbent</v>
      </c>
      <c r="D139" s="52"/>
      <c r="E139" s="52"/>
      <c r="F139" s="53"/>
      <c r="G139" s="52"/>
      <c r="H139" s="46"/>
      <c r="I139" s="55">
        <f>'LATAM INCUMB'!$D$45</f>
        <v>3.5776465076388382E-2</v>
      </c>
      <c r="J139" s="55">
        <f>'LATAM INCUMB'!$E$45</f>
        <v>3.9720772392338836E-2</v>
      </c>
      <c r="K139" s="55">
        <f>'LATAM INCUMB'!$F$45</f>
        <v>4.6101210230168325E-2</v>
      </c>
      <c r="L139" s="55">
        <f>'LATAM INCUMB'!$G$45</f>
        <v>5.1630244536013982E-2</v>
      </c>
      <c r="M139" s="55">
        <f>'LATAM INCUMB'!$H$45</f>
        <v>9.5651796667158839E-2</v>
      </c>
      <c r="N139" s="56"/>
      <c r="O139" s="55">
        <f>'LATAM INCUMB'!$D$47</f>
        <v>3.3466964738764829E-2</v>
      </c>
      <c r="P139" s="55">
        <f>'LATAM INCUMB'!$E$47</f>
        <v>6.6189938714395199E-2</v>
      </c>
      <c r="Q139" s="55">
        <f>'LATAM INCUMB'!$F$47</f>
        <v>8.8227100222968535E-2</v>
      </c>
      <c r="R139" s="55">
        <f>'LATAM INCUMB'!$G$47</f>
        <v>0.11132014555003983</v>
      </c>
      <c r="S139" s="55">
        <f>'LATAM INCUMB'!$H$47</f>
        <v>0.45506380228138199</v>
      </c>
      <c r="T139" s="46"/>
      <c r="U139" s="57"/>
      <c r="V139" s="58" t="str">
        <f>V77</f>
        <v>Agg. LatAm Incumbent</v>
      </c>
      <c r="AE139" s="140"/>
      <c r="AF139" s="142"/>
      <c r="AG139" s="142"/>
      <c r="AH139" s="142"/>
      <c r="AK139" s="140"/>
      <c r="AL139" s="142"/>
      <c r="AM139" s="142"/>
      <c r="AN139" s="142"/>
    </row>
    <row r="140" spans="1:69">
      <c r="C140" s="48"/>
      <c r="D140" s="44"/>
      <c r="E140" s="44"/>
      <c r="F140" s="45"/>
      <c r="G140" s="44"/>
      <c r="H140" s="46"/>
      <c r="I140" s="45"/>
      <c r="J140" s="45"/>
      <c r="K140" s="45"/>
      <c r="L140" s="45"/>
      <c r="M140" s="45"/>
      <c r="N140" s="56"/>
      <c r="O140" s="45"/>
      <c r="P140" s="45"/>
      <c r="Q140" s="45"/>
      <c r="R140" s="45"/>
      <c r="S140" s="45"/>
      <c r="T140" s="46"/>
      <c r="U140" s="48"/>
      <c r="V140" s="50"/>
      <c r="AE140" s="143"/>
      <c r="AF140" s="143"/>
      <c r="AG140" s="143"/>
      <c r="AH140" s="143"/>
      <c r="AK140" s="143"/>
      <c r="AL140" s="143"/>
      <c r="AM140" s="143"/>
      <c r="AN140" s="143"/>
    </row>
    <row r="141" spans="1:69">
      <c r="A141" s="5"/>
      <c r="C141" s="48" t="str">
        <f t="shared" ref="C141:G145" si="18">C79</f>
        <v>China Telecom</v>
      </c>
      <c r="D141" s="44" t="str">
        <f t="shared" si="18"/>
        <v>HKD 4.44</v>
      </c>
      <c r="E141" s="44" t="str">
        <f t="shared" si="18"/>
        <v>HKD 8.75</v>
      </c>
      <c r="F141" s="45">
        <f t="shared" si="18"/>
        <v>0.97072072072072046</v>
      </c>
      <c r="G141" s="44" t="str">
        <f t="shared" si="18"/>
        <v>Buy</v>
      </c>
      <c r="H141" s="46"/>
      <c r="I141" s="45">
        <f>_CT!$D$45</f>
        <v>5.6645418745821789E-2</v>
      </c>
      <c r="J141" s="45">
        <f>_CT!$E$45</f>
        <v>6.2628579533314604E-2</v>
      </c>
      <c r="K141" s="45">
        <f>_CT!$F$45</f>
        <v>7.2259878137824335E-2</v>
      </c>
      <c r="L141" s="45">
        <f>_CT!$G$45</f>
        <v>8.7699197999149672E-2</v>
      </c>
      <c r="M141" s="45">
        <f>_CT!$H$45</f>
        <v>0.15684971358067301</v>
      </c>
      <c r="N141" s="56"/>
      <c r="O141" s="169">
        <f>_CT!$D$47</f>
        <v>7.7083883213309806E-2</v>
      </c>
      <c r="P141" s="169">
        <f>_CT!$E$47</f>
        <v>9.8395703213354932E-2</v>
      </c>
      <c r="Q141" s="169">
        <f>_CT!$F$47</f>
        <v>0.11065750445145259</v>
      </c>
      <c r="R141" s="169">
        <f>_CT!$G$47</f>
        <v>0.12832750383154695</v>
      </c>
      <c r="S141" s="169">
        <f>_CT!$H$47</f>
        <v>0.18518292868775843</v>
      </c>
      <c r="T141" s="46"/>
      <c r="U141" s="48" t="str">
        <f t="shared" ref="U141:V145" si="19">U79</f>
        <v>HKD 4.44</v>
      </c>
      <c r="V141" s="44" t="str">
        <f t="shared" si="19"/>
        <v>China Telecom</v>
      </c>
      <c r="AE141" s="140"/>
      <c r="AF141" s="141"/>
      <c r="AG141" s="141"/>
      <c r="AH141" s="141"/>
      <c r="AK141" s="140"/>
      <c r="AL141" s="141"/>
      <c r="AM141" s="141"/>
      <c r="AN141" s="141"/>
    </row>
    <row r="142" spans="1:69">
      <c r="A142" s="5"/>
      <c r="C142" s="48" t="str">
        <f t="shared" si="18"/>
        <v>China Unicom</v>
      </c>
      <c r="D142" s="44" t="str">
        <f t="shared" si="18"/>
        <v>HKD 6.20</v>
      </c>
      <c r="E142" s="44" t="str">
        <f t="shared" si="18"/>
        <v>HKD 13.20</v>
      </c>
      <c r="F142" s="45">
        <f t="shared" si="18"/>
        <v>1.129032258064516</v>
      </c>
      <c r="G142" s="44" t="str">
        <f t="shared" si="18"/>
        <v>Buy</v>
      </c>
      <c r="H142" s="46"/>
      <c r="I142" s="45">
        <f>_CU!$D$45</f>
        <v>5.8551987009147391E-2</v>
      </c>
      <c r="J142" s="45">
        <f>_CU!$E$45</f>
        <v>7.3917836762294284E-2</v>
      </c>
      <c r="K142" s="45">
        <f>_CU!$F$45</f>
        <v>9.6568384341391797E-2</v>
      </c>
      <c r="L142" s="45">
        <f>_CU!$G$45</f>
        <v>0.12191376007111471</v>
      </c>
      <c r="M142" s="45">
        <f>_CU!$H$45</f>
        <v>0.27693962168686048</v>
      </c>
      <c r="N142" s="56"/>
      <c r="O142" s="169">
        <f>_CU!$D$47</f>
        <v>0.16135386825892079</v>
      </c>
      <c r="P142" s="169">
        <f>_CU!$E$47</f>
        <v>0.21312334459646232</v>
      </c>
      <c r="Q142" s="169">
        <f>_CU!$F$47</f>
        <v>0.23103148542826493</v>
      </c>
      <c r="R142" s="169">
        <f>_CU!$G$47</f>
        <v>0.24804409499853261</v>
      </c>
      <c r="S142" s="169">
        <f>_CU!$H$47</f>
        <v>0.15411699690031244</v>
      </c>
      <c r="T142" s="46"/>
      <c r="U142" s="48" t="str">
        <f t="shared" si="19"/>
        <v>HKD 6.20</v>
      </c>
      <c r="V142" s="44" t="str">
        <f t="shared" si="19"/>
        <v>China Unicom</v>
      </c>
      <c r="AE142" s="143"/>
      <c r="AF142" s="174"/>
      <c r="AG142" s="174"/>
      <c r="AH142" s="174"/>
      <c r="AK142" s="143"/>
      <c r="AL142" s="174"/>
      <c r="AM142" s="174"/>
      <c r="AN142" s="174"/>
      <c r="AT142" s="69"/>
    </row>
    <row r="143" spans="1:69">
      <c r="C143" s="48" t="str">
        <f t="shared" si="18"/>
        <v>Chunghwa Telecom</v>
      </c>
      <c r="D143" s="44" t="str">
        <f t="shared" si="18"/>
        <v>TWD 127.00</v>
      </c>
      <c r="E143" s="44" t="str">
        <f t="shared" si="18"/>
        <v>TWD n/r</v>
      </c>
      <c r="F143" s="45" t="str">
        <f t="shared" si="18"/>
        <v>-</v>
      </c>
      <c r="G143" s="44" t="str">
        <f t="shared" si="18"/>
        <v>n/r</v>
      </c>
      <c r="H143" s="46"/>
      <c r="I143" s="45">
        <f>CHUNG!$D$45</f>
        <v>3.5968116729568914E-2</v>
      </c>
      <c r="J143" s="45">
        <f>CHUNG!$E$45</f>
        <v>3.7682673984351364E-2</v>
      </c>
      <c r="K143" s="45">
        <f>CHUNG!$F$45</f>
        <v>3.9733889402213528E-2</v>
      </c>
      <c r="L143" s="45">
        <f>CHUNG!$G$45</f>
        <v>4.1911308728350402E-2</v>
      </c>
      <c r="M143" s="45">
        <f>CHUNG!$H$45</f>
        <v>5.2295809971018903E-2</v>
      </c>
      <c r="N143" s="56"/>
      <c r="O143" s="45">
        <f>CHUNG!$D$47</f>
        <v>4.2583262525529179E-2</v>
      </c>
      <c r="P143" s="45">
        <f>CHUNG!$E$47</f>
        <v>4.7322902496911026E-2</v>
      </c>
      <c r="Q143" s="45">
        <f>CHUNG!$F$47</f>
        <v>5.0002496772943515E-2</v>
      </c>
      <c r="R143" s="45">
        <f>CHUNG!$G$47</f>
        <v>5.0589589364142082E-2</v>
      </c>
      <c r="S143" s="45">
        <f>CHUNG!$H$47</f>
        <v>5.910920048487367E-2</v>
      </c>
      <c r="T143" s="46"/>
      <c r="U143" s="48" t="str">
        <f t="shared" si="19"/>
        <v>TWD 127.00</v>
      </c>
      <c r="V143" s="44" t="str">
        <f t="shared" si="19"/>
        <v>Chunghwa Telecom</v>
      </c>
      <c r="AE143" s="143"/>
      <c r="AF143" s="174"/>
      <c r="AG143" s="174"/>
      <c r="AH143" s="174"/>
      <c r="AK143" s="143"/>
      <c r="AL143" s="174"/>
      <c r="AM143" s="174"/>
      <c r="AN143" s="174"/>
      <c r="AT143" s="69"/>
    </row>
    <row r="144" spans="1:69">
      <c r="C144" s="48" t="str">
        <f t="shared" si="18"/>
        <v>KT Corp</v>
      </c>
      <c r="D144" s="44" t="str">
        <f t="shared" si="18"/>
        <v>KRW 36,350</v>
      </c>
      <c r="E144" s="44" t="str">
        <f t="shared" si="18"/>
        <v>KRW 70,000</v>
      </c>
      <c r="F144" s="45">
        <f t="shared" si="18"/>
        <v>0.92572214580467671</v>
      </c>
      <c r="G144" s="44" t="str">
        <f t="shared" si="18"/>
        <v>Buy</v>
      </c>
      <c r="H144" s="46"/>
      <c r="I144" s="45">
        <f>_KT!$D$45</f>
        <v>5.3920220082530952E-2</v>
      </c>
      <c r="J144" s="45">
        <f>_KT!$E$45</f>
        <v>5.6649388422948761E-2</v>
      </c>
      <c r="K144" s="45">
        <f>_KT!$F$45</f>
        <v>6.6096189478465128E-2</v>
      </c>
      <c r="L144" s="45">
        <f>_KT!$G$45</f>
        <v>7.5243421180323011E-2</v>
      </c>
      <c r="M144" s="45">
        <f>_KT!$H$45</f>
        <v>0.12519937319242191</v>
      </c>
      <c r="N144" s="56"/>
      <c r="O144" s="45">
        <f>_KT!$D$47</f>
        <v>0.12768418579747709</v>
      </c>
      <c r="P144" s="45">
        <f>_KT!$E$47</f>
        <v>0.10277725847033342</v>
      </c>
      <c r="Q144" s="45">
        <f>_KT!$F$47</f>
        <v>0.1652700686066424</v>
      </c>
      <c r="R144" s="45">
        <f>_KT!$G$47</f>
        <v>0.2110445876785019</v>
      </c>
      <c r="S144" s="45">
        <f>_KT!$H$47</f>
        <v>0.19052495656990964</v>
      </c>
      <c r="T144" s="46"/>
      <c r="U144" s="48" t="str">
        <f t="shared" si="19"/>
        <v>KRW 36,350</v>
      </c>
      <c r="V144" s="44" t="str">
        <f t="shared" si="19"/>
        <v>KT Corp</v>
      </c>
      <c r="AE144" s="140"/>
      <c r="AF144" s="141"/>
      <c r="AG144" s="141"/>
      <c r="AH144" s="141"/>
      <c r="AK144" s="140"/>
      <c r="AL144" s="141"/>
      <c r="AM144" s="141"/>
      <c r="AN144" s="141"/>
      <c r="AT144" s="69"/>
    </row>
    <row r="145" spans="1:46">
      <c r="C145" s="48" t="str">
        <f t="shared" si="18"/>
        <v>PT Telkom</v>
      </c>
      <c r="D145" s="44" t="str">
        <f t="shared" si="18"/>
        <v>IDR 2,940</v>
      </c>
      <c r="E145" s="44" t="str">
        <f t="shared" si="18"/>
        <v>IDR 5,000</v>
      </c>
      <c r="F145" s="45">
        <f t="shared" si="18"/>
        <v>0.70068027210884343</v>
      </c>
      <c r="G145" s="44" t="str">
        <f t="shared" si="18"/>
        <v>Buy</v>
      </c>
      <c r="H145" s="46"/>
      <c r="I145" s="45">
        <f>PTT!$D$45</f>
        <v>6.0714285714285714E-2</v>
      </c>
      <c r="J145" s="45">
        <f>PTT!$E$45</f>
        <v>6.974719062972741E-2</v>
      </c>
      <c r="K145" s="45">
        <f>PTT!$F$45</f>
        <v>8.1962104006899045E-2</v>
      </c>
      <c r="L145" s="45">
        <f>PTT!$G$45</f>
        <v>9.3371189721306536E-2</v>
      </c>
      <c r="M145" s="45">
        <f>PTT!$H$45</f>
        <v>0.15426980299800741</v>
      </c>
      <c r="N145" s="56"/>
      <c r="O145" s="169">
        <f>PTT!$D$47</f>
        <v>9.5691940960595523E-2</v>
      </c>
      <c r="P145" s="169">
        <f>PTT!$E$47</f>
        <v>0.10464451054050891</v>
      </c>
      <c r="Q145" s="169">
        <f>PTT!$F$47</f>
        <v>0.11487126871828544</v>
      </c>
      <c r="R145" s="169">
        <f>PTT!$G$47</f>
        <v>0.12570395493485581</v>
      </c>
      <c r="S145" s="169">
        <f>PTT!$H$47</f>
        <v>9.5194345126273117E-2</v>
      </c>
      <c r="T145" s="46"/>
      <c r="U145" s="48" t="str">
        <f t="shared" si="19"/>
        <v>IDR 2,940</v>
      </c>
      <c r="V145" s="44" t="str">
        <f t="shared" si="19"/>
        <v>PT Telkom</v>
      </c>
      <c r="AE145" s="140"/>
      <c r="AF145" s="142"/>
      <c r="AG145" s="142"/>
      <c r="AH145" s="142"/>
      <c r="AK145" s="140"/>
      <c r="AL145" s="142"/>
      <c r="AM145" s="142"/>
      <c r="AN145" s="142"/>
    </row>
    <row r="146" spans="1:46">
      <c r="C146" s="51" t="str">
        <f>C84</f>
        <v>Agg. Emerging Asia Incumbent</v>
      </c>
      <c r="D146" s="52"/>
      <c r="E146" s="52"/>
      <c r="F146" s="53"/>
      <c r="G146" s="52"/>
      <c r="H146" s="46"/>
      <c r="I146" s="55">
        <f>'EM ASIA INCUMB'!$D$45</f>
        <v>7.6233092692546691E-4</v>
      </c>
      <c r="J146" s="55">
        <f>'EM ASIA INCUMB'!$E$45</f>
        <v>8.4692353742656752E-4</v>
      </c>
      <c r="K146" s="55">
        <f>'EM ASIA INCUMB'!$F$45</f>
        <v>9.9784513663295476E-4</v>
      </c>
      <c r="L146" s="55">
        <f>'EM ASIA INCUMB'!$G$45</f>
        <v>1.1870245577308349E-3</v>
      </c>
      <c r="M146" s="55">
        <f>'EM ASIA INCUMB'!$H$45</f>
        <v>0.16695782620681299</v>
      </c>
      <c r="N146" s="56"/>
      <c r="O146" s="55">
        <f>'EM ASIA INCUMB'!$D$47</f>
        <v>8.9720446106360027E-2</v>
      </c>
      <c r="P146" s="55">
        <f>'EM ASIA INCUMB'!$E$47</f>
        <v>0.10879254813644838</v>
      </c>
      <c r="Q146" s="55">
        <f>'EM ASIA INCUMB'!$F$47</f>
        <v>0.12213904986308721</v>
      </c>
      <c r="R146" s="55">
        <f>'EM ASIA INCUMB'!$G$47</f>
        <v>0.13620688242645101</v>
      </c>
      <c r="S146" s="55">
        <f>'EM ASIA INCUMB'!$H$47</f>
        <v>0.14970422100773506</v>
      </c>
      <c r="T146" s="46"/>
      <c r="U146" s="57"/>
      <c r="V146" s="58" t="str">
        <f>V84</f>
        <v>Agg. Emerging Asia Incumbent</v>
      </c>
      <c r="AE146" s="140"/>
      <c r="AF146" s="142"/>
      <c r="AG146" s="142"/>
      <c r="AH146" s="142"/>
      <c r="AK146" s="140"/>
      <c r="AL146" s="142"/>
      <c r="AM146" s="142"/>
      <c r="AN146" s="142"/>
    </row>
    <row r="147" spans="1:46">
      <c r="C147" s="43"/>
      <c r="D147" s="44"/>
      <c r="E147" s="44"/>
      <c r="F147" s="68"/>
      <c r="G147" s="44"/>
      <c r="H147" s="46"/>
      <c r="I147" s="61"/>
      <c r="J147" s="61"/>
      <c r="K147" s="61"/>
      <c r="L147" s="61"/>
      <c r="M147" s="61"/>
      <c r="N147" s="56"/>
      <c r="O147" s="61"/>
      <c r="P147" s="61"/>
      <c r="Q147" s="61"/>
      <c r="R147" s="61"/>
      <c r="S147" s="61"/>
      <c r="T147" s="46"/>
      <c r="U147" s="48"/>
      <c r="V147" s="50"/>
      <c r="AE147" s="140"/>
      <c r="AF147" s="142"/>
      <c r="AG147" s="142"/>
      <c r="AH147" s="142"/>
      <c r="AK147" s="140"/>
      <c r="AL147" s="142"/>
      <c r="AM147" s="142"/>
      <c r="AN147" s="142"/>
    </row>
    <row r="148" spans="1:46">
      <c r="C148" s="51" t="str">
        <f>C86</f>
        <v>Agg. Emerging Incumbent</v>
      </c>
      <c r="D148" s="52"/>
      <c r="E148" s="52"/>
      <c r="F148" s="53"/>
      <c r="G148" s="52"/>
      <c r="H148" s="46"/>
      <c r="I148" s="55">
        <f>'EM INCUMB'!$D$45</f>
        <v>1.0345069302667427E-3</v>
      </c>
      <c r="J148" s="55">
        <f>'EM INCUMB'!$E$45</f>
        <v>1.1346526117121838E-3</v>
      </c>
      <c r="K148" s="55">
        <f>'EM INCUMB'!$F$45</f>
        <v>1.3193330533490405E-3</v>
      </c>
      <c r="L148" s="55">
        <f>'EM INCUMB'!$G$45</f>
        <v>1.5335766283768081E-3</v>
      </c>
      <c r="M148" s="55">
        <f>'EM INCUMB'!$H$45</f>
        <v>0.14769227496166182</v>
      </c>
      <c r="N148" s="56"/>
      <c r="O148" s="55">
        <f>'EM INCUMB'!$D$47</f>
        <v>6.8760359320712713E-2</v>
      </c>
      <c r="P148" s="55">
        <f>'EM INCUMB'!$E$47</f>
        <v>9.3200854168148425E-2</v>
      </c>
      <c r="Q148" s="55">
        <f>'EM INCUMB'!$F$47</f>
        <v>0.10998278583214015</v>
      </c>
      <c r="R148" s="55">
        <f>'EM INCUMB'!$G$47</f>
        <v>0.12752081374284024</v>
      </c>
      <c r="S148" s="55">
        <f>'EM INCUMB'!$H$47</f>
        <v>0.21725098476735072</v>
      </c>
      <c r="T148" s="46"/>
      <c r="U148" s="57"/>
      <c r="V148" s="58" t="str">
        <f>V86</f>
        <v>Agg. Emerging Incumbent</v>
      </c>
      <c r="AE148" s="140"/>
      <c r="AF148" s="142"/>
      <c r="AG148" s="142"/>
      <c r="AH148" s="142"/>
      <c r="AK148" s="140"/>
      <c r="AL148" s="142"/>
      <c r="AM148" s="142"/>
      <c r="AN148" s="142"/>
    </row>
    <row r="149" spans="1:46">
      <c r="C149" s="43"/>
      <c r="D149" s="44"/>
      <c r="E149" s="44"/>
      <c r="F149" s="45"/>
      <c r="G149" s="44"/>
      <c r="H149" s="46"/>
      <c r="I149" s="45"/>
      <c r="J149" s="45"/>
      <c r="K149" s="45"/>
      <c r="L149" s="45"/>
      <c r="M149" s="45"/>
      <c r="N149" s="56"/>
      <c r="O149" s="45"/>
      <c r="P149" s="45"/>
      <c r="Q149" s="45"/>
      <c r="R149" s="45"/>
      <c r="S149" s="45"/>
      <c r="T149" s="46"/>
      <c r="U149" s="48"/>
      <c r="V149" s="50"/>
      <c r="AF149" s="142"/>
      <c r="AG149" s="142"/>
      <c r="AH149" s="142"/>
      <c r="AT149" s="69"/>
    </row>
    <row r="150" spans="1:46">
      <c r="A150" s="41" t="s">
        <v>507</v>
      </c>
      <c r="C150" s="48" t="str">
        <f t="shared" ref="C150:G156" si="20">C88</f>
        <v>Airtel Africa</v>
      </c>
      <c r="D150" s="44" t="str">
        <f t="shared" si="20"/>
        <v>USD 1.21</v>
      </c>
      <c r="E150" s="44" t="str">
        <f t="shared" si="20"/>
        <v>USD 1.50</v>
      </c>
      <c r="F150" s="45">
        <f t="shared" si="20"/>
        <v>0.2396694214876034</v>
      </c>
      <c r="G150" s="44" t="str">
        <f t="shared" si="20"/>
        <v>Buy</v>
      </c>
      <c r="H150" s="46"/>
      <c r="I150" s="45">
        <f>AAF!$D$45</f>
        <v>-3.6655976611570253E-2</v>
      </c>
      <c r="J150" s="45">
        <f>AAF!$E$45</f>
        <v>-3.9803137861811173E-2</v>
      </c>
      <c r="K150" s="45">
        <f>AAF!$F$45</f>
        <v>-4.3205394025619848E-2</v>
      </c>
      <c r="L150" s="45">
        <f>AAF!$G$45</f>
        <v>-4.833329591056449E-2</v>
      </c>
      <c r="M150" s="45">
        <f>AAF!$H$45</f>
        <v>8.8911655055702976E-2</v>
      </c>
      <c r="N150" s="56"/>
      <c r="O150" s="169">
        <f>AAF!$D$47</f>
        <v>0.17355310965615861</v>
      </c>
      <c r="P150" s="169">
        <f>AAF!$E$47</f>
        <v>8.5716335384395062E-2</v>
      </c>
      <c r="Q150" s="169">
        <f>AAF!$F$47</f>
        <v>8.4380606872891964E-2</v>
      </c>
      <c r="R150" s="169">
        <f>AAF!$G$47</f>
        <v>9.0166249504973969E-2</v>
      </c>
      <c r="S150" s="169">
        <f>AAF!$H$47</f>
        <v>-0.2017064088299837</v>
      </c>
      <c r="T150" s="46"/>
      <c r="U150" s="48" t="str">
        <f t="shared" ref="U150:V156" si="21">U88</f>
        <v>USD 1.21</v>
      </c>
      <c r="V150" s="44" t="str">
        <f t="shared" si="21"/>
        <v>Airtel Africa</v>
      </c>
      <c r="AT150" s="69"/>
    </row>
    <row r="151" spans="1:46">
      <c r="A151" s="41"/>
      <c r="C151" s="48" t="str">
        <f t="shared" si="20"/>
        <v>MobileTeleSystems</v>
      </c>
      <c r="D151" s="44" t="str">
        <f t="shared" si="20"/>
        <v>USD 10.00</v>
      </c>
      <c r="E151" s="44" t="str">
        <f t="shared" si="20"/>
        <v>USD 10.10</v>
      </c>
      <c r="F151" s="45">
        <f t="shared" si="20"/>
        <v>1.0000000000000009E-2</v>
      </c>
      <c r="G151" s="44" t="str">
        <f t="shared" si="20"/>
        <v>Buy</v>
      </c>
      <c r="H151" s="46"/>
      <c r="I151" s="45">
        <f>MTS!$D$45</f>
        <v>5.0192970683640085E-2</v>
      </c>
      <c r="J151" s="45">
        <f>MTS!$E$45</f>
        <v>5.1238761617250952E-2</v>
      </c>
      <c r="K151" s="45">
        <f>MTS!$F$45</f>
        <v>5.2306342029785395E-2</v>
      </c>
      <c r="L151" s="45">
        <f>MTS!$G$45</f>
        <v>5.339616591388812E-2</v>
      </c>
      <c r="M151" s="45">
        <f>MTS!$H$45</f>
        <v>2.083540622057134E-2</v>
      </c>
      <c r="N151" s="56"/>
      <c r="O151" s="169">
        <f>MTS!$D$47</f>
        <v>4.0364626114316002E-2</v>
      </c>
      <c r="P151" s="169">
        <f>MTS!$E$47</f>
        <v>4.529927202357438E-2</v>
      </c>
      <c r="Q151" s="169">
        <f>MTS!$F$47</f>
        <v>4.3723584168088039E-2</v>
      </c>
      <c r="R151" s="169">
        <f>MTS!$G$47</f>
        <v>4.2331717051916434E-2</v>
      </c>
      <c r="S151" s="169">
        <f>MTS!$H$47</f>
        <v>1.5987387973576794E-2</v>
      </c>
      <c r="T151" s="46"/>
      <c r="U151" s="48" t="str">
        <f t="shared" si="21"/>
        <v>USD 10.00</v>
      </c>
      <c r="V151" s="44" t="str">
        <f t="shared" si="21"/>
        <v>MobileTeleSystems</v>
      </c>
      <c r="AT151" s="69"/>
    </row>
    <row r="152" spans="1:46">
      <c r="C152" s="48" t="str">
        <f t="shared" si="20"/>
        <v>MTN</v>
      </c>
      <c r="D152" s="44" t="str">
        <f t="shared" si="20"/>
        <v>ZAR 86.08</v>
      </c>
      <c r="E152" s="44" t="str">
        <f t="shared" si="20"/>
        <v>ZAR 130.00</v>
      </c>
      <c r="F152" s="45">
        <f t="shared" si="20"/>
        <v>0.5102230483271375</v>
      </c>
      <c r="G152" s="44" t="str">
        <f t="shared" si="20"/>
        <v>Buy</v>
      </c>
      <c r="H152" s="46"/>
      <c r="I152" s="45">
        <f>MTN!$D$45</f>
        <v>3.8336431226765798E-2</v>
      </c>
      <c r="J152" s="45">
        <f>MTN!$E$45</f>
        <v>4.217007434944238E-2</v>
      </c>
      <c r="K152" s="45">
        <f>MTN!$F$45</f>
        <v>4.6387081784386622E-2</v>
      </c>
      <c r="L152" s="45">
        <f>MTN!$G$45</f>
        <v>5.1025789962825287E-2</v>
      </c>
      <c r="M152" s="45">
        <f>MTN!$H$45</f>
        <v>0.10000000000000009</v>
      </c>
      <c r="N152" s="56"/>
      <c r="O152" s="169">
        <f>MTN!$D$47</f>
        <v>-2.0349860002182293E-2</v>
      </c>
      <c r="P152" s="169">
        <f>MTN!$E$47</f>
        <v>-5.4601807105738309E-2</v>
      </c>
      <c r="Q152" s="169">
        <f>MTN!$F$47</f>
        <v>5.3075167624186707E-3</v>
      </c>
      <c r="R152" s="169">
        <f>MTN!$G$47</f>
        <v>1.2900487429348271E-2</v>
      </c>
      <c r="S152" s="169">
        <f>MTN!$H$47</f>
        <v>-1.8590429895883656</v>
      </c>
      <c r="T152" s="46"/>
      <c r="U152" s="48" t="str">
        <f t="shared" si="21"/>
        <v>ZAR 86.08</v>
      </c>
      <c r="V152" s="44" t="str">
        <f t="shared" si="21"/>
        <v>MTN</v>
      </c>
      <c r="AT152" s="69"/>
    </row>
    <row r="153" spans="1:46" s="5" customFormat="1">
      <c r="A153" s="39"/>
      <c r="B153" s="42"/>
      <c r="C153" s="48" t="str">
        <f t="shared" si="20"/>
        <v>Safaricom</v>
      </c>
      <c r="D153" s="44" t="str">
        <f t="shared" si="20"/>
        <v>KES 17.75</v>
      </c>
      <c r="E153" s="44" t="str">
        <f t="shared" si="20"/>
        <v>KES 17.0</v>
      </c>
      <c r="F153" s="45">
        <f t="shared" si="20"/>
        <v>-4.2253521126760618E-2</v>
      </c>
      <c r="G153" s="44" t="str">
        <f t="shared" si="20"/>
        <v>Neutral</v>
      </c>
      <c r="H153" s="46"/>
      <c r="I153" s="45">
        <f>SAF!$D$45</f>
        <v>5.6210406939611296E-2</v>
      </c>
      <c r="J153" s="45">
        <f>SAF!$E$45</f>
        <v>7.3105123268065023E-2</v>
      </c>
      <c r="K153" s="45">
        <f>SAF!$F$45</f>
        <v>8.8759272834446026E-2</v>
      </c>
      <c r="L153" s="45">
        <f>SAF!$G$45</f>
        <v>0.10065081668786048</v>
      </c>
      <c r="M153" s="45">
        <f>SAF!$H$45</f>
        <v>0.21432105304348426</v>
      </c>
      <c r="N153" s="56"/>
      <c r="O153" s="169">
        <f>SAF!$D$47</f>
        <v>7.604116338559444E-2</v>
      </c>
      <c r="P153" s="169">
        <f>SAF!$E$47</f>
        <v>5.8765037561744594E-2</v>
      </c>
      <c r="Q153" s="169">
        <f>SAF!$F$47</f>
        <v>0.10284290000879787</v>
      </c>
      <c r="R153" s="169">
        <f>SAF!$G$47</f>
        <v>0.13488493155390202</v>
      </c>
      <c r="S153" s="169">
        <f>SAF!$H$47</f>
        <v>0.21051886246874441</v>
      </c>
      <c r="T153" s="46"/>
      <c r="U153" s="48" t="str">
        <f t="shared" si="21"/>
        <v>KES 17.75</v>
      </c>
      <c r="V153" s="44" t="str">
        <f t="shared" si="21"/>
        <v>Safaricom</v>
      </c>
      <c r="AI153" s="41"/>
      <c r="AJ153" s="64"/>
      <c r="AN153" s="64"/>
      <c r="AR153" s="64"/>
      <c r="AT153" s="69"/>
    </row>
    <row r="154" spans="1:46" s="5" customFormat="1">
      <c r="A154" s="39"/>
      <c r="B154" s="42"/>
      <c r="C154" s="48" t="str">
        <f t="shared" si="20"/>
        <v>Turkcell</v>
      </c>
      <c r="D154" s="44" t="str">
        <f t="shared" si="20"/>
        <v>USD 91.80</v>
      </c>
      <c r="E154" s="44" t="str">
        <f t="shared" si="20"/>
        <v>USD 16.90</v>
      </c>
      <c r="F154" s="45">
        <f t="shared" si="20"/>
        <v>-0.81590413943355122</v>
      </c>
      <c r="G154" s="44" t="str">
        <f t="shared" si="20"/>
        <v>Buy</v>
      </c>
      <c r="H154" s="46"/>
      <c r="I154" s="45">
        <f>TKC!$D$45</f>
        <v>1.9813683822980425E-2</v>
      </c>
      <c r="J154" s="45">
        <f>TKC!$E$45</f>
        <v>2.1093499820071443E-2</v>
      </c>
      <c r="K154" s="45">
        <f>TKC!$F$45</f>
        <v>2.2774954992479432E-2</v>
      </c>
      <c r="L154" s="45">
        <f>TKC!$G$45</f>
        <v>2.480579869626719E-2</v>
      </c>
      <c r="M154" s="45">
        <f>TKC!$H$45</f>
        <v>7.7778035922869693E-2</v>
      </c>
      <c r="N154" s="56"/>
      <c r="O154" s="169">
        <f>TKC!$D$47</f>
        <v>2.9977415362365815E-2</v>
      </c>
      <c r="P154" s="169">
        <f>TKC!$E$47</f>
        <v>3.3244245705644541E-2</v>
      </c>
      <c r="Q154" s="169">
        <f>TKC!$F$47</f>
        <v>3.6637282071297891E-2</v>
      </c>
      <c r="R154" s="169">
        <f>TKC!$G$47</f>
        <v>3.8405838616978744E-2</v>
      </c>
      <c r="S154" s="169">
        <f>TKC!$H$47</f>
        <v>8.6094686647357976E-2</v>
      </c>
      <c r="T154" s="46"/>
      <c r="U154" s="48" t="str">
        <f t="shared" si="21"/>
        <v>USD 91.80</v>
      </c>
      <c r="V154" s="44" t="str">
        <f t="shared" si="21"/>
        <v>Turkcell</v>
      </c>
      <c r="AT154" s="69"/>
    </row>
    <row r="155" spans="1:46" s="5" customFormat="1">
      <c r="A155" s="39"/>
      <c r="B155" s="42"/>
      <c r="C155" s="48" t="str">
        <f t="shared" si="20"/>
        <v>VEON</v>
      </c>
      <c r="D155" s="44" t="str">
        <f t="shared" si="20"/>
        <v>USD 25.5</v>
      </c>
      <c r="E155" s="44" t="str">
        <f t="shared" si="20"/>
        <v>USD 40.0</v>
      </c>
      <c r="F155" s="45">
        <f t="shared" si="20"/>
        <v>0.56678417547982751</v>
      </c>
      <c r="G155" s="44" t="str">
        <f t="shared" si="20"/>
        <v>Buy</v>
      </c>
      <c r="H155" s="46"/>
      <c r="I155" s="45">
        <f>VIMP!$D$45</f>
        <v>0</v>
      </c>
      <c r="J155" s="45">
        <f>VIMP!$E$45</f>
        <v>1.3976886752523525E-3</v>
      </c>
      <c r="K155" s="45">
        <f>VIMP!$F$45</f>
        <v>4.053430711872346E-3</v>
      </c>
      <c r="L155" s="45">
        <f>VIMP!$G$45</f>
        <v>4.3420174014271251E-3</v>
      </c>
      <c r="M155" s="45" t="str">
        <f>VIMP!$H$45</f>
        <v>nm</v>
      </c>
      <c r="N155" s="56"/>
      <c r="O155" s="45">
        <f>VIMP!$D$47</f>
        <v>2.7956834561925228E-3</v>
      </c>
      <c r="P155" s="45">
        <f>VIMP!$E$47</f>
        <v>8.107749159488746E-3</v>
      </c>
      <c r="Q155" s="45">
        <f>VIMP!$F$47</f>
        <v>8.6849857415337382E-3</v>
      </c>
      <c r="R155" s="45">
        <f>VIMP!$G$47</f>
        <v>9.6164624044740247E-3</v>
      </c>
      <c r="S155" s="45">
        <f>VIMP!$H$47</f>
        <v>0.50953242856473269</v>
      </c>
      <c r="T155" s="46"/>
      <c r="U155" s="48" t="str">
        <f t="shared" si="21"/>
        <v>USD 25.5</v>
      </c>
      <c r="V155" s="44" t="str">
        <f t="shared" si="21"/>
        <v>Vimpel Com</v>
      </c>
      <c r="AT155" s="69"/>
    </row>
    <row r="156" spans="1:46">
      <c r="C156" s="48" t="str">
        <f t="shared" si="20"/>
        <v>Vodacom</v>
      </c>
      <c r="D156" s="44" t="str">
        <f t="shared" si="20"/>
        <v>ZAR 95.8</v>
      </c>
      <c r="E156" s="44" t="str">
        <f t="shared" si="20"/>
        <v>ZAR 130.0</v>
      </c>
      <c r="F156" s="45">
        <f t="shared" si="20"/>
        <v>0.35685210312075988</v>
      </c>
      <c r="G156" s="44" t="str">
        <f t="shared" si="20"/>
        <v>Neutral</v>
      </c>
      <c r="H156" s="46"/>
      <c r="I156" s="45">
        <f>VODA!$D$45</f>
        <v>7.320702103282492E-2</v>
      </c>
      <c r="J156" s="45">
        <f>VODA!$E$45</f>
        <v>7.7476298416438147E-2</v>
      </c>
      <c r="K156" s="45">
        <f>VODA!$F$45</f>
        <v>8.8972598331018976E-2</v>
      </c>
      <c r="L156" s="45">
        <f>VODA!$G$45</f>
        <v>9.9966778731552908E-2</v>
      </c>
      <c r="M156" s="45">
        <f>VODA!$H$45</f>
        <v>0.10943276479161579</v>
      </c>
      <c r="N156" s="56"/>
      <c r="O156" s="45">
        <f>VODA!$D$47</f>
        <v>7.447521406886283E-2</v>
      </c>
      <c r="P156" s="45">
        <f>VODA!$E$47</f>
        <v>7.0719594963116514E-2</v>
      </c>
      <c r="Q156" s="45">
        <f>VODA!$F$47</f>
        <v>7.7379382826698914E-2</v>
      </c>
      <c r="R156" s="45">
        <f>VODA!$G$47</f>
        <v>8.2861489827030135E-2</v>
      </c>
      <c r="S156" s="45">
        <f>VODA!$H$47</f>
        <v>3.6208122933402143E-2</v>
      </c>
      <c r="T156" s="46"/>
      <c r="U156" s="48" t="str">
        <f t="shared" si="21"/>
        <v>ZAR 95.8</v>
      </c>
      <c r="V156" s="44" t="str">
        <f t="shared" si="21"/>
        <v>Vodacom</v>
      </c>
      <c r="AT156" s="69"/>
    </row>
    <row r="157" spans="1:46" s="5" customFormat="1">
      <c r="A157" s="39"/>
      <c r="B157" s="42"/>
      <c r="C157" s="51" t="str">
        <f>C95</f>
        <v>Agg. EMEA Cellular</v>
      </c>
      <c r="D157" s="52"/>
      <c r="E157" s="52"/>
      <c r="F157" s="53"/>
      <c r="G157" s="52"/>
      <c r="H157" s="46"/>
      <c r="I157" s="55">
        <f>'EMEA CELLULAR'!$D$45</f>
        <v>2.0041910197939054E-2</v>
      </c>
      <c r="J157" s="55">
        <f>'EMEA CELLULAR'!$E$45</f>
        <v>2.2662064400045302E-2</v>
      </c>
      <c r="K157" s="55">
        <f>'EMEA CELLULAR'!$F$45</f>
        <v>2.6655091715603346E-2</v>
      </c>
      <c r="L157" s="55">
        <f>'EMEA CELLULAR'!$G$45</f>
        <v>2.9169701214626476E-2</v>
      </c>
      <c r="M157" s="55">
        <f>'EMEA CELLULAR'!$H$45</f>
        <v>0.13276751641400475</v>
      </c>
      <c r="N157" s="56"/>
      <c r="O157" s="55">
        <f>'EMEA CELLULAR'!$D$47</f>
        <v>3.2098956963272834E-2</v>
      </c>
      <c r="P157" s="55">
        <f>'EMEA CELLULAR'!$E$47</f>
        <v>2.4636965901880678E-2</v>
      </c>
      <c r="Q157" s="55">
        <f>'EMEA CELLULAR'!$F$47</f>
        <v>3.4543068430874381E-2</v>
      </c>
      <c r="R157" s="55">
        <f>'EMEA CELLULAR'!$G$47</f>
        <v>3.8831735679974472E-2</v>
      </c>
      <c r="S157" s="55">
        <f>'EMEA CELLULAR'!$H$47</f>
        <v>6.5529048867266182E-2</v>
      </c>
      <c r="T157" s="46"/>
      <c r="U157" s="57"/>
      <c r="V157" s="58" t="str">
        <f>V95</f>
        <v>Agg. EMEA Cellular</v>
      </c>
      <c r="AT157" s="69"/>
    </row>
    <row r="158" spans="1:46">
      <c r="A158" s="5"/>
      <c r="C158" s="43"/>
      <c r="D158" s="44"/>
      <c r="E158" s="44"/>
      <c r="F158" s="45"/>
      <c r="G158" s="44"/>
      <c r="H158" s="46"/>
      <c r="I158" s="45"/>
      <c r="J158" s="45"/>
      <c r="K158" s="45"/>
      <c r="L158" s="45"/>
      <c r="M158" s="45"/>
      <c r="N158" s="56"/>
      <c r="O158" s="45"/>
      <c r="P158" s="45"/>
      <c r="Q158" s="45"/>
      <c r="R158" s="45"/>
      <c r="S158" s="45"/>
      <c r="T158" s="46"/>
      <c r="U158" s="48"/>
      <c r="V158" s="50"/>
      <c r="AE158" s="41"/>
    </row>
    <row r="159" spans="1:46">
      <c r="A159" s="5"/>
      <c r="C159" s="48" t="str">
        <f t="shared" ref="C159:G161" si="22">C97</f>
        <v>Entel</v>
      </c>
      <c r="D159" s="44" t="str">
        <f t="shared" si="22"/>
        <v>CLP 3,022</v>
      </c>
      <c r="E159" s="44" t="str">
        <f t="shared" si="22"/>
        <v>CLP 3,150</v>
      </c>
      <c r="F159" s="45">
        <f t="shared" si="22"/>
        <v>4.2356055592323028E-2</v>
      </c>
      <c r="G159" s="44" t="str">
        <f t="shared" si="22"/>
        <v>Neutral</v>
      </c>
      <c r="H159" s="46"/>
      <c r="I159" s="45">
        <f>ENTEL!$D$45</f>
        <v>2.8445565850430177E-2</v>
      </c>
      <c r="J159" s="45">
        <f>ENTEL!$E$45</f>
        <v>3.1290122435473196E-2</v>
      </c>
      <c r="K159" s="45">
        <f>ENTEL!$F$45</f>
        <v>3.4419134679020517E-2</v>
      </c>
      <c r="L159" s="45">
        <f>ENTEL!$G$45</f>
        <v>3.786104814692258E-2</v>
      </c>
      <c r="M159" s="45">
        <f>ENTEL!$H$45</f>
        <v>0.10000000000000009</v>
      </c>
      <c r="N159" s="56"/>
      <c r="O159" s="169">
        <f>ENTEL!$D$47</f>
        <v>0.10781467607883949</v>
      </c>
      <c r="P159" s="169">
        <f>ENTEL!$E$47</f>
        <v>0.13305905445710331</v>
      </c>
      <c r="Q159" s="169">
        <f>ENTEL!$F$47</f>
        <v>0.16169270671451769</v>
      </c>
      <c r="R159" s="169">
        <f>ENTEL!$G$47</f>
        <v>0.17830720564500732</v>
      </c>
      <c r="S159" s="169">
        <f>ENTEL!$H$47</f>
        <v>0.2731216083954402</v>
      </c>
      <c r="T159" s="46"/>
      <c r="U159" s="48" t="str">
        <f t="shared" ref="U159:V161" si="23">U97</f>
        <v>CLP 3,022</v>
      </c>
      <c r="V159" s="44" t="str">
        <f t="shared" si="23"/>
        <v>Entel</v>
      </c>
      <c r="AI159" s="41"/>
      <c r="AJ159" s="64"/>
    </row>
    <row r="160" spans="1:46" s="5" customFormat="1">
      <c r="B160" s="42"/>
      <c r="C160" s="48" t="str">
        <f t="shared" si="22"/>
        <v>Millicom</v>
      </c>
      <c r="D160" s="44" t="str">
        <f t="shared" si="22"/>
        <v>USD  24.1</v>
      </c>
      <c r="E160" s="44" t="str">
        <f t="shared" si="22"/>
        <v>USD 18.0</v>
      </c>
      <c r="F160" s="45">
        <f t="shared" si="22"/>
        <v>-0.25280199252801994</v>
      </c>
      <c r="G160" s="44" t="str">
        <f t="shared" si="22"/>
        <v>Neutral</v>
      </c>
      <c r="H160" s="46"/>
      <c r="I160" s="45">
        <f>MILLI!$D$45</f>
        <v>0</v>
      </c>
      <c r="J160" s="45">
        <f>MILLI!$E$45</f>
        <v>0</v>
      </c>
      <c r="K160" s="45">
        <f>MILLI!$F$45</f>
        <v>0</v>
      </c>
      <c r="L160" s="45">
        <f>MILLI!$G$45</f>
        <v>0</v>
      </c>
      <c r="M160" s="45" t="str">
        <f>MILLI!$H$45</f>
        <v>nm</v>
      </c>
      <c r="N160" s="56"/>
      <c r="O160" s="169">
        <f>MILLI!$D$47</f>
        <v>5.3351632106439908E-2</v>
      </c>
      <c r="P160" s="169">
        <f>MILLI!$E$47</f>
        <v>6.5957702996052886E-2</v>
      </c>
      <c r="Q160" s="169">
        <f>MILLI!$F$47</f>
        <v>8.0019198695431282E-2</v>
      </c>
      <c r="R160" s="169">
        <f>MILLI!$G$47</f>
        <v>0.11719143602235765</v>
      </c>
      <c r="S160" s="169">
        <f>MILLI!$H$47</f>
        <v>0.16660079559050223</v>
      </c>
      <c r="T160" s="46"/>
      <c r="U160" s="48" t="str">
        <f t="shared" si="23"/>
        <v>USD  24.1</v>
      </c>
      <c r="V160" s="44" t="str">
        <f t="shared" si="23"/>
        <v>Millicom</v>
      </c>
    </row>
    <row r="161" spans="1:45" s="5" customFormat="1">
      <c r="B161" s="42"/>
      <c r="C161" s="48" t="str">
        <f t="shared" si="22"/>
        <v>TIM Participacoes</v>
      </c>
      <c r="D161" s="44" t="str">
        <f t="shared" si="22"/>
        <v>BRL 16.42</v>
      </c>
      <c r="E161" s="44" t="str">
        <f t="shared" si="22"/>
        <v>BRL 23.00</v>
      </c>
      <c r="F161" s="45">
        <f t="shared" si="22"/>
        <v>0.40073081607795347</v>
      </c>
      <c r="G161" s="44" t="str">
        <f t="shared" si="22"/>
        <v>Buy</v>
      </c>
      <c r="H161" s="46"/>
      <c r="I161" s="45">
        <f>TIMP!$D$45</f>
        <v>6.1524331667359058E-2</v>
      </c>
      <c r="J161" s="45">
        <f>TIMP!$E$45</f>
        <v>8.9210280917670637E-2</v>
      </c>
      <c r="K161" s="45">
        <f>TIMP!$F$45</f>
        <v>0.10259182305532122</v>
      </c>
      <c r="L161" s="45">
        <f>TIMP!$G$45</f>
        <v>0.10772141420808727</v>
      </c>
      <c r="M161" s="45">
        <f>TIMP!$H$45</f>
        <v>0.20527194381139346</v>
      </c>
      <c r="N161" s="56"/>
      <c r="O161" s="45">
        <f>TIMP!$D$47</f>
        <v>0.10867203847943542</v>
      </c>
      <c r="P161" s="45">
        <f>TIMP!$E$47</f>
        <v>0.14692125723885602</v>
      </c>
      <c r="Q161" s="45">
        <f>TIMP!$F$47</f>
        <v>0.17882269673124673</v>
      </c>
      <c r="R161" s="45">
        <f>TIMP!$G$47</f>
        <v>0.19227901166024128</v>
      </c>
      <c r="S161" s="45">
        <f>TIMP!$H$47</f>
        <v>0.20949670386105068</v>
      </c>
      <c r="T161" s="46"/>
      <c r="U161" s="48" t="str">
        <f t="shared" si="23"/>
        <v>BRL 16.42</v>
      </c>
      <c r="V161" s="44" t="str">
        <f t="shared" si="23"/>
        <v>TIM Participacoes</v>
      </c>
      <c r="AE161" s="41"/>
      <c r="AF161" s="31"/>
      <c r="AG161" s="31"/>
      <c r="AI161" s="41"/>
      <c r="AJ161" s="64"/>
      <c r="AK161" s="64"/>
      <c r="AM161" s="41"/>
      <c r="AN161" s="17"/>
      <c r="AO161" s="17"/>
      <c r="AQ161" s="41"/>
      <c r="AR161" s="18"/>
      <c r="AS161" s="18"/>
    </row>
    <row r="162" spans="1:45" s="5" customFormat="1">
      <c r="B162" s="42"/>
      <c r="C162" s="51" t="str">
        <f>C100</f>
        <v>Agg. LatAm Cellular</v>
      </c>
      <c r="D162" s="52"/>
      <c r="E162" s="52"/>
      <c r="F162" s="53"/>
      <c r="G162" s="52"/>
      <c r="H162" s="46"/>
      <c r="I162" s="55">
        <f>'LATAM CELLULAR'!$D$45</f>
        <v>3.6607801523391964E-2</v>
      </c>
      <c r="J162" s="55">
        <f>'LATAM CELLULAR'!$E$45</f>
        <v>5.220008637227537E-2</v>
      </c>
      <c r="K162" s="55">
        <f>'LATAM CELLULAR'!$F$45</f>
        <v>6.1185872972349648E-2</v>
      </c>
      <c r="L162" s="55">
        <f>'LATAM CELLULAR'!$G$45</f>
        <v>6.5823217763140832E-2</v>
      </c>
      <c r="M162" s="55">
        <f>'LATAM CELLULAR'!$H$45</f>
        <v>0.19860882859561735</v>
      </c>
      <c r="N162" s="56"/>
      <c r="O162" s="55">
        <f>'LATAM CELLULAR'!$D$47</f>
        <v>8.1979470887216382E-2</v>
      </c>
      <c r="P162" s="55">
        <f>'LATAM CELLULAR'!$E$47</f>
        <v>0.10699886388277298</v>
      </c>
      <c r="Q162" s="55">
        <f>'LATAM CELLULAR'!$F$47</f>
        <v>0.13113354991718781</v>
      </c>
      <c r="R162" s="55">
        <f>'LATAM CELLULAR'!$G$47</f>
        <v>0.16120657785420231</v>
      </c>
      <c r="S162" s="55">
        <f>'LATAM CELLULAR'!$H$47</f>
        <v>0.20384371568002635</v>
      </c>
      <c r="T162" s="46"/>
      <c r="U162" s="57"/>
      <c r="V162" s="58" t="str">
        <f>V100</f>
        <v>Agg. LatAm Cellular</v>
      </c>
      <c r="AE162" s="41"/>
      <c r="AF162" s="31"/>
      <c r="AG162" s="31"/>
      <c r="AI162" s="41"/>
      <c r="AJ162" s="64"/>
      <c r="AK162" s="64"/>
      <c r="AM162" s="41"/>
      <c r="AN162" s="17"/>
      <c r="AO162" s="17"/>
      <c r="AQ162" s="41"/>
      <c r="AR162" s="18"/>
      <c r="AS162" s="18"/>
    </row>
    <row r="163" spans="1:45" s="5" customFormat="1">
      <c r="A163" s="39"/>
      <c r="B163" s="42"/>
      <c r="C163" s="43"/>
      <c r="D163" s="44"/>
      <c r="E163" s="44"/>
      <c r="F163" s="45"/>
      <c r="G163" s="44"/>
      <c r="H163" s="46"/>
      <c r="I163" s="45"/>
      <c r="J163" s="45"/>
      <c r="K163" s="45"/>
      <c r="L163" s="45"/>
      <c r="M163" s="45"/>
      <c r="N163" s="46"/>
      <c r="O163" s="45"/>
      <c r="P163" s="45"/>
      <c r="Q163" s="45"/>
      <c r="R163" s="45"/>
      <c r="S163" s="45"/>
      <c r="T163" s="46"/>
      <c r="U163" s="48"/>
      <c r="V163" s="50"/>
      <c r="AE163" s="41"/>
      <c r="AF163" s="31"/>
      <c r="AG163" s="31"/>
      <c r="AI163" s="41"/>
      <c r="AJ163" s="64"/>
      <c r="AK163" s="64"/>
      <c r="AM163" s="41"/>
      <c r="AN163" s="17"/>
      <c r="AO163" s="17"/>
      <c r="AQ163" s="41"/>
      <c r="AR163" s="18"/>
      <c r="AS163" s="18"/>
    </row>
    <row r="164" spans="1:45" s="5" customFormat="1">
      <c r="B164" s="42"/>
      <c r="C164" s="48" t="str">
        <f t="shared" ref="C164:G177" si="24">C102</f>
        <v>AIS</v>
      </c>
      <c r="D164" s="44" t="str">
        <f t="shared" si="24"/>
        <v>THB 207.0</v>
      </c>
      <c r="E164" s="44" t="str">
        <f t="shared" si="24"/>
        <v>THB 300.0</v>
      </c>
      <c r="F164" s="45">
        <f t="shared" si="24"/>
        <v>0.44927536231884058</v>
      </c>
      <c r="G164" s="44" t="str">
        <f t="shared" si="24"/>
        <v>Buy</v>
      </c>
      <c r="H164" s="46"/>
      <c r="I164" s="45">
        <f>ADVANCED!$D$45</f>
        <v>4.1594202898550724E-2</v>
      </c>
      <c r="J164" s="45">
        <f>ADVANCED!$E$45</f>
        <v>4.9698808110919909E-2</v>
      </c>
      <c r="K164" s="45">
        <f>ADVANCED!$F$45</f>
        <v>6.8032133888629026E-2</v>
      </c>
      <c r="L164" s="45">
        <f>ADVANCED!$G$45</f>
        <v>7.994702424481899E-2</v>
      </c>
      <c r="M164" s="45">
        <f>ADVANCED!$H$45</f>
        <v>0.24333979009018925</v>
      </c>
      <c r="N164" s="46"/>
      <c r="O164" s="45">
        <f>ADVANCED!$D$47</f>
        <v>7.0220493877696882E-2</v>
      </c>
      <c r="P164" s="45">
        <f>ADVANCED!$E$47</f>
        <v>0.11061615944661586</v>
      </c>
      <c r="Q164" s="45">
        <f>ADVANCED!$F$47</f>
        <v>0.1185105164266137</v>
      </c>
      <c r="R164" s="45">
        <f>ADVANCED!$G$47</f>
        <v>0.11641371921636201</v>
      </c>
      <c r="S164" s="45">
        <f>ADVANCED!$H$47</f>
        <v>0.18353224573047422</v>
      </c>
      <c r="T164" s="46"/>
      <c r="U164" s="48" t="str">
        <f t="shared" ref="U164:V177" si="25">U102</f>
        <v>THB 207.0</v>
      </c>
      <c r="V164" s="44" t="str">
        <f t="shared" si="25"/>
        <v>AIS</v>
      </c>
      <c r="AE164" s="41"/>
      <c r="AF164" s="31"/>
      <c r="AG164" s="31"/>
      <c r="AI164" s="41"/>
      <c r="AJ164" s="64"/>
      <c r="AK164" s="64"/>
      <c r="AM164" s="41"/>
      <c r="AN164" s="17"/>
      <c r="AO164" s="17"/>
      <c r="AQ164" s="41"/>
      <c r="AR164" s="18"/>
      <c r="AS164" s="18"/>
    </row>
    <row r="165" spans="1:45" s="5" customFormat="1">
      <c r="A165" s="39"/>
      <c r="B165" s="42"/>
      <c r="C165" s="48" t="str">
        <f t="shared" si="24"/>
        <v>Axiata</v>
      </c>
      <c r="D165" s="44" t="str">
        <f t="shared" si="24"/>
        <v>MYR 2.87</v>
      </c>
      <c r="E165" s="44" t="str">
        <f t="shared" si="24"/>
        <v>MYR 4.50</v>
      </c>
      <c r="F165" s="45">
        <f t="shared" si="24"/>
        <v>0.56794425087108014</v>
      </c>
      <c r="G165" s="44" t="str">
        <f t="shared" si="24"/>
        <v>Buy</v>
      </c>
      <c r="H165" s="46"/>
      <c r="I165" s="45">
        <f>AXI!$D$45</f>
        <v>3.484320557491289E-2</v>
      </c>
      <c r="J165" s="45">
        <f>AXI!$E$45</f>
        <v>3.8327526132404179E-2</v>
      </c>
      <c r="K165" s="45">
        <f>AXI!$F$45</f>
        <v>4.1811846689895467E-2</v>
      </c>
      <c r="L165" s="45">
        <f>AXI!$G$45</f>
        <v>4.5296167247386755E-2</v>
      </c>
      <c r="M165" s="45">
        <f>AXI!$H$45</f>
        <v>9.1392883061105934E-2</v>
      </c>
      <c r="N165" s="46"/>
      <c r="O165" s="45">
        <f>AXI!$D$47</f>
        <v>0.14296060745943626</v>
      </c>
      <c r="P165" s="45">
        <f>AXI!$E$47</f>
        <v>0.17037467515553301</v>
      </c>
      <c r="Q165" s="45">
        <f>AXI!$F$47</f>
        <v>0.18138638249591366</v>
      </c>
      <c r="R165" s="45">
        <f>AXI!$G$47</f>
        <v>0.20132319993257758</v>
      </c>
      <c r="S165" s="45">
        <f>AXI!$H$47</f>
        <v>0.12088006848502442</v>
      </c>
      <c r="T165" s="46"/>
      <c r="U165" s="48" t="str">
        <f t="shared" si="25"/>
        <v>MYR 2.87</v>
      </c>
      <c r="V165" s="44" t="str">
        <f t="shared" si="25"/>
        <v>Axiata</v>
      </c>
      <c r="AE165" s="41"/>
      <c r="AF165" s="31"/>
      <c r="AG165" s="31"/>
      <c r="AI165" s="41"/>
      <c r="AJ165" s="64"/>
      <c r="AK165" s="64"/>
      <c r="AM165" s="41"/>
      <c r="AN165" s="17"/>
      <c r="AO165" s="17"/>
      <c r="AQ165" s="41"/>
      <c r="AR165" s="18"/>
      <c r="AS165" s="18"/>
    </row>
    <row r="166" spans="1:45" s="5" customFormat="1">
      <c r="A166" s="39"/>
      <c r="B166" s="42"/>
      <c r="C166" s="48" t="str">
        <f t="shared" si="24"/>
        <v>Bharti Airtel</v>
      </c>
      <c r="D166" s="44" t="str">
        <f t="shared" si="24"/>
        <v>INR 1389</v>
      </c>
      <c r="E166" s="44" t="str">
        <f t="shared" si="24"/>
        <v>INR 1500</v>
      </c>
      <c r="F166" s="45">
        <f t="shared" si="24"/>
        <v>8.0224686734840844E-2</v>
      </c>
      <c r="G166" s="44" t="str">
        <f t="shared" si="24"/>
        <v>Buy</v>
      </c>
      <c r="H166" s="46"/>
      <c r="I166" s="45">
        <f>BHART!$D$45</f>
        <v>5.761198329252485E-3</v>
      </c>
      <c r="J166" s="45">
        <f>BHART!$E$45</f>
        <v>1.4402995823131213E-2</v>
      </c>
      <c r="K166" s="45">
        <f>BHART!$F$45</f>
        <v>2.160449373469682E-2</v>
      </c>
      <c r="L166" s="45">
        <f>BHART!$G$45</f>
        <v>3.0844772303284682E-2</v>
      </c>
      <c r="M166" s="45">
        <f>BHART!$H$45</f>
        <v>0.74940184755137995</v>
      </c>
      <c r="N166" s="46"/>
      <c r="O166" s="45">
        <f>BHART!$D$47</f>
        <v>1.7976689417840988E-2</v>
      </c>
      <c r="P166" s="45">
        <f>BHART!$E$47</f>
        <v>2.9802087513031202E-2</v>
      </c>
      <c r="Q166" s="45">
        <f>BHART!$F$47</f>
        <v>4.3865284306310766E-2</v>
      </c>
      <c r="R166" s="45">
        <f>BHART!$G$47</f>
        <v>6.0054427825742308E-2</v>
      </c>
      <c r="S166" s="45">
        <f>BHART!$H$47</f>
        <v>0.49489872946611912</v>
      </c>
      <c r="T166" s="46"/>
      <c r="U166" s="48" t="str">
        <f t="shared" si="25"/>
        <v>INR 1389</v>
      </c>
      <c r="V166" s="44" t="str">
        <f t="shared" si="25"/>
        <v>Bharti Airtel</v>
      </c>
      <c r="AE166" s="41"/>
      <c r="AF166" s="31"/>
      <c r="AG166" s="31"/>
      <c r="AI166" s="41"/>
      <c r="AJ166" s="64"/>
      <c r="AK166" s="64"/>
      <c r="AM166" s="41"/>
      <c r="AN166" s="17"/>
      <c r="AO166" s="17"/>
      <c r="AQ166" s="41"/>
      <c r="AR166" s="18"/>
      <c r="AS166" s="18"/>
    </row>
    <row r="167" spans="1:45" s="5" customFormat="1">
      <c r="B167" s="42"/>
      <c r="C167" s="48" t="str">
        <f t="shared" si="24"/>
        <v>China Mobile</v>
      </c>
      <c r="D167" s="44" t="str">
        <f t="shared" si="24"/>
        <v>HKD 73.2</v>
      </c>
      <c r="E167" s="44" t="str">
        <f t="shared" si="24"/>
        <v>HKD 115.0</v>
      </c>
      <c r="F167" s="45">
        <f t="shared" si="24"/>
        <v>0.57103825136612008</v>
      </c>
      <c r="G167" s="44" t="str">
        <f t="shared" si="24"/>
        <v>Buy</v>
      </c>
      <c r="H167" s="46"/>
      <c r="I167" s="45">
        <f>_CM!$D$45</f>
        <v>6.5200849281138104E-2</v>
      </c>
      <c r="J167" s="45">
        <f>_CM!$E$45</f>
        <v>6.6289463501488094E-2</v>
      </c>
      <c r="K167" s="45">
        <f>_CM!$F$45</f>
        <v>7.3462354400556096E-2</v>
      </c>
      <c r="L167" s="45">
        <f>_CM!$G$45</f>
        <v>8.064184108948258E-2</v>
      </c>
      <c r="M167" s="45">
        <f>_CM!$H$45</f>
        <v>7.3418461965862436E-2</v>
      </c>
      <c r="N167" s="46"/>
      <c r="O167" s="45">
        <f>_CM!$D$47</f>
        <v>5.2877901646044563E-2</v>
      </c>
      <c r="P167" s="45">
        <f>_CM!$E$47</f>
        <v>5.9994095453259143E-2</v>
      </c>
      <c r="Q167" s="45">
        <f>_CM!$F$47</f>
        <v>7.0266504162555352E-2</v>
      </c>
      <c r="R167" s="45">
        <f>_CM!$G$47</f>
        <v>7.6145739013264088E-2</v>
      </c>
      <c r="S167" s="45">
        <f>_CM!$H$47</f>
        <v>0.12925094955416516</v>
      </c>
      <c r="T167" s="46"/>
      <c r="U167" s="48" t="str">
        <f t="shared" si="25"/>
        <v>HKD 73.2</v>
      </c>
      <c r="V167" s="44" t="str">
        <f t="shared" si="25"/>
        <v>China Mobile</v>
      </c>
      <c r="AE167" s="41"/>
      <c r="AF167" s="31"/>
      <c r="AG167" s="31"/>
      <c r="AI167" s="41"/>
      <c r="AJ167" s="64"/>
      <c r="AK167" s="64"/>
      <c r="AM167" s="41"/>
      <c r="AN167" s="17"/>
      <c r="AO167" s="17"/>
      <c r="AQ167" s="41"/>
      <c r="AR167" s="18"/>
      <c r="AS167" s="18"/>
    </row>
    <row r="168" spans="1:45" s="5" customFormat="1">
      <c r="B168" s="42"/>
      <c r="C168" s="48" t="str">
        <f t="shared" si="24"/>
        <v>CelcomDigi</v>
      </c>
      <c r="D168" s="44" t="str">
        <f t="shared" si="24"/>
        <v>MYR 4.1</v>
      </c>
      <c r="E168" s="44" t="str">
        <f t="shared" si="24"/>
        <v>MYR 6.0</v>
      </c>
      <c r="F168" s="45">
        <f t="shared" si="24"/>
        <v>0.48148148148148162</v>
      </c>
      <c r="G168" s="44" t="str">
        <f t="shared" si="24"/>
        <v>Buy</v>
      </c>
      <c r="H168" s="46"/>
      <c r="I168" s="45">
        <f>DIGI!$D$45</f>
        <v>3.2592592592592597E-2</v>
      </c>
      <c r="J168" s="45">
        <f>DIGI!$E$45</f>
        <v>3.981266022997685E-2</v>
      </c>
      <c r="K168" s="45">
        <f>DIGI!$F$45</f>
        <v>4.7952335968656647E-2</v>
      </c>
      <c r="L168" s="45">
        <f>DIGI!$G$45</f>
        <v>5.5890352074306697E-2</v>
      </c>
      <c r="M168" s="45">
        <f>DIGI!$H$45</f>
        <v>0.19694073060847783</v>
      </c>
      <c r="N168" s="46"/>
      <c r="O168" s="45">
        <f>DIGI!$D$47</f>
        <v>5.9562704370091001E-2</v>
      </c>
      <c r="P168" s="45">
        <f>DIGI!$E$47</f>
        <v>4.6988784921694053E-2</v>
      </c>
      <c r="Q168" s="45">
        <f>DIGI!$F$47</f>
        <v>5.4555303777065439E-2</v>
      </c>
      <c r="R168" s="45">
        <f>DIGI!$G$47</f>
        <v>6.2269350062767514E-2</v>
      </c>
      <c r="S168" s="45">
        <f>DIGI!$H$47</f>
        <v>1.4923499405633978E-2</v>
      </c>
      <c r="T168" s="46"/>
      <c r="U168" s="48" t="str">
        <f t="shared" si="25"/>
        <v>MYR 4.1</v>
      </c>
      <c r="V168" s="44" t="str">
        <f t="shared" si="25"/>
        <v>CelcomDigi</v>
      </c>
      <c r="AE168" s="41"/>
      <c r="AF168" s="31"/>
      <c r="AG168" s="31"/>
      <c r="AI168" s="41"/>
      <c r="AJ168" s="64"/>
      <c r="AK168" s="64"/>
      <c r="AM168" s="41"/>
      <c r="AN168" s="17"/>
      <c r="AO168" s="17"/>
      <c r="AQ168" s="41"/>
      <c r="AR168" s="18"/>
      <c r="AS168" s="18"/>
    </row>
    <row r="169" spans="1:45" s="5" customFormat="1">
      <c r="B169" s="42"/>
      <c r="C169" s="48" t="str">
        <f t="shared" si="24"/>
        <v>Far EasTone</v>
      </c>
      <c r="D169" s="44" t="str">
        <f t="shared" si="24"/>
        <v>TWD 84.0</v>
      </c>
      <c r="E169" s="44" t="str">
        <f t="shared" si="24"/>
        <v>TWD n/r</v>
      </c>
      <c r="F169" s="45" t="str">
        <f t="shared" si="24"/>
        <v>-</v>
      </c>
      <c r="G169" s="44" t="str">
        <f t="shared" si="24"/>
        <v>n/r</v>
      </c>
      <c r="H169" s="46"/>
      <c r="I169" s="45">
        <f>FAR!$D$45</f>
        <v>3.9742392113095229E-2</v>
      </c>
      <c r="J169" s="45">
        <f>FAR!$E$45</f>
        <v>4.0735951915922608E-2</v>
      </c>
      <c r="K169" s="45">
        <f>FAR!$F$45</f>
        <v>4.1754350713820672E-2</v>
      </c>
      <c r="L169" s="45">
        <f>FAR!$G$45</f>
        <v>4.2798209481666183E-2</v>
      </c>
      <c r="M169" s="45">
        <f>FAR!$H$45</f>
        <v>2.4999999999999911E-2</v>
      </c>
      <c r="N169" s="46"/>
      <c r="O169" s="45">
        <f>FAR!$D$47</f>
        <v>5.8565578781290296E-2</v>
      </c>
      <c r="P169" s="45">
        <f>FAR!$E$47</f>
        <v>6.0949354614656767E-2</v>
      </c>
      <c r="Q169" s="45">
        <f>FAR!$F$47</f>
        <v>6.1759042872041765E-2</v>
      </c>
      <c r="R169" s="45">
        <f>FAR!$G$47</f>
        <v>6.2644730496549825E-2</v>
      </c>
      <c r="S169" s="45">
        <f>FAR!$H$47</f>
        <v>2.2697910262943655E-2</v>
      </c>
      <c r="T169" s="46"/>
      <c r="U169" s="48" t="str">
        <f t="shared" si="25"/>
        <v>TWD 84.0</v>
      </c>
      <c r="V169" s="44" t="str">
        <f t="shared" si="25"/>
        <v>Far EasTone</v>
      </c>
      <c r="AE169" s="41"/>
      <c r="AF169" s="31"/>
      <c r="AG169" s="31"/>
      <c r="AI169" s="41"/>
      <c r="AJ169" s="64"/>
      <c r="AK169" s="64"/>
      <c r="AM169" s="41"/>
      <c r="AN169" s="17"/>
      <c r="AO169" s="17"/>
      <c r="AQ169" s="41"/>
      <c r="AR169" s="18"/>
      <c r="AS169" s="18"/>
    </row>
    <row r="170" spans="1:45" s="5" customFormat="1">
      <c r="B170" s="42"/>
      <c r="C170" s="48" t="str">
        <f t="shared" si="24"/>
        <v>Vodafone IDEA</v>
      </c>
      <c r="D170" s="44" t="str">
        <f t="shared" si="24"/>
        <v>INR 15.1</v>
      </c>
      <c r="E170" s="44" t="str">
        <f t="shared" si="24"/>
        <v>INR 5.0</v>
      </c>
      <c r="F170" s="45">
        <f t="shared" si="24"/>
        <v>-0.66909331568497676</v>
      </c>
      <c r="G170" s="44" t="str">
        <f t="shared" si="24"/>
        <v>Reduce</v>
      </c>
      <c r="H170" s="46"/>
      <c r="I170" s="45">
        <f>IDEA!$D$45</f>
        <v>0</v>
      </c>
      <c r="J170" s="45">
        <f>IDEA!$E$45</f>
        <v>0</v>
      </c>
      <c r="K170" s="45">
        <f>IDEA!$F$45</f>
        <v>0</v>
      </c>
      <c r="L170" s="45">
        <f>IDEA!$G$45</f>
        <v>0</v>
      </c>
      <c r="M170" s="45" t="str">
        <f>IDEA!$H$45</f>
        <v>nm</v>
      </c>
      <c r="N170" s="46"/>
      <c r="O170" s="45">
        <f>IDEA!$D$47</f>
        <v>-0.13795272140129614</v>
      </c>
      <c r="P170" s="45">
        <f>IDEA!$E$47</f>
        <v>-0.23905759708055302</v>
      </c>
      <c r="Q170" s="45">
        <f>IDEA!$F$47</f>
        <v>-0.24551545440598321</v>
      </c>
      <c r="R170" s="45">
        <f>IDEA!$G$47</f>
        <v>-0.15845073136714405</v>
      </c>
      <c r="S170" s="45">
        <f>IDEA!$H$47</f>
        <v>0.16596470933997254</v>
      </c>
      <c r="T170" s="46"/>
      <c r="U170" s="48" t="str">
        <f t="shared" si="25"/>
        <v>INR 15.1</v>
      </c>
      <c r="V170" s="44" t="str">
        <f t="shared" si="25"/>
        <v>Vodafone IDEA</v>
      </c>
      <c r="AE170" s="41"/>
      <c r="AF170" s="31"/>
      <c r="AG170" s="31"/>
      <c r="AI170" s="41"/>
      <c r="AJ170" s="64"/>
      <c r="AK170" s="64"/>
      <c r="AM170" s="41"/>
      <c r="AN170" s="17"/>
      <c r="AO170" s="17"/>
      <c r="AQ170" s="41"/>
      <c r="AR170" s="18"/>
      <c r="AS170" s="18"/>
    </row>
    <row r="171" spans="1:45" s="5" customFormat="1">
      <c r="B171" s="42"/>
      <c r="C171" s="48" t="str">
        <f t="shared" si="24"/>
        <v>Indosat</v>
      </c>
      <c r="D171" s="44" t="str">
        <f t="shared" si="24"/>
        <v>IDR 10,075</v>
      </c>
      <c r="E171" s="44" t="str">
        <f t="shared" si="24"/>
        <v>IDR 12,500</v>
      </c>
      <c r="F171" s="45">
        <f t="shared" si="24"/>
        <v>0.2406947890818858</v>
      </c>
      <c r="G171" s="44" t="str">
        <f t="shared" si="24"/>
        <v>Buy</v>
      </c>
      <c r="H171" s="46"/>
      <c r="I171" s="45">
        <f>INDO!$D$45</f>
        <v>2.6640198511166252E-2</v>
      </c>
      <c r="J171" s="45">
        <f>INDO!$E$45</f>
        <v>2.9168287959136754E-2</v>
      </c>
      <c r="K171" s="45">
        <f>INDO!$F$45</f>
        <v>4.059546273499446E-2</v>
      </c>
      <c r="L171" s="45">
        <f>INDO!$G$45</f>
        <v>5.4560535184423629E-2</v>
      </c>
      <c r="M171" s="45">
        <f>INDO!$H$45</f>
        <v>0.26993177062119189</v>
      </c>
      <c r="N171" s="46"/>
      <c r="O171" s="45">
        <f>INDO!$D$47</f>
        <v>7.8100003989611463E-2</v>
      </c>
      <c r="P171" s="45">
        <f>INDO!$E$47</f>
        <v>0.12023896438887167</v>
      </c>
      <c r="Q171" s="45">
        <f>INDO!$F$47</f>
        <v>0.15478822533812017</v>
      </c>
      <c r="R171" s="45">
        <f>INDO!$G$47</f>
        <v>0.17971662796542034</v>
      </c>
      <c r="S171" s="45">
        <f>INDO!$H$47</f>
        <v>0.32021825962211836</v>
      </c>
      <c r="T171" s="46"/>
      <c r="U171" s="48" t="str">
        <f t="shared" si="25"/>
        <v>IDR 10,075</v>
      </c>
      <c r="V171" s="44" t="str">
        <f t="shared" si="25"/>
        <v>Indosat</v>
      </c>
      <c r="AE171" s="41"/>
      <c r="AF171" s="31"/>
      <c r="AG171" s="31"/>
      <c r="AI171" s="41"/>
      <c r="AJ171" s="64"/>
      <c r="AK171" s="64"/>
      <c r="AM171" s="41"/>
      <c r="AN171" s="17"/>
      <c r="AO171" s="17"/>
      <c r="AQ171" s="41"/>
      <c r="AR171" s="18"/>
      <c r="AS171" s="18"/>
    </row>
    <row r="172" spans="1:45" s="5" customFormat="1">
      <c r="B172" s="42"/>
      <c r="C172" s="48" t="str">
        <f t="shared" si="24"/>
        <v>LG Uplus</v>
      </c>
      <c r="D172" s="44" t="str">
        <f t="shared" si="24"/>
        <v>KRW 9,770</v>
      </c>
      <c r="E172" s="44" t="str">
        <f t="shared" si="24"/>
        <v>KRW 21,000</v>
      </c>
      <c r="F172" s="45">
        <f t="shared" si="24"/>
        <v>1.1494370522006143</v>
      </c>
      <c r="G172" s="44" t="str">
        <f t="shared" si="24"/>
        <v>Buy</v>
      </c>
      <c r="H172" s="46"/>
      <c r="I172" s="45">
        <f>_LG!$D$45</f>
        <v>6.6530194472876156E-2</v>
      </c>
      <c r="J172" s="45">
        <f>_LG!$E$45</f>
        <v>6.6681105123433115E-2</v>
      </c>
      <c r="K172" s="45">
        <f>_LG!$F$45</f>
        <v>7.7688640040445386E-2</v>
      </c>
      <c r="L172" s="45">
        <f>_LG!$G$45</f>
        <v>8.748880141829822E-2</v>
      </c>
      <c r="M172" s="45">
        <f>_LG!$H$45</f>
        <v>9.5581166551993224E-2</v>
      </c>
      <c r="N172" s="46"/>
      <c r="O172" s="45">
        <f>_LG!$D$47</f>
        <v>2.2218939596050376E-2</v>
      </c>
      <c r="P172" s="45">
        <f>_LG!$E$47</f>
        <v>8.498339469462779E-2</v>
      </c>
      <c r="Q172" s="45">
        <f>_LG!$F$47</f>
        <v>0.10008273946114375</v>
      </c>
      <c r="R172" s="45">
        <f>_LG!$G$47</f>
        <v>0.11338811606573616</v>
      </c>
      <c r="S172" s="45">
        <f>_LG!$H$47</f>
        <v>0.72166269958997487</v>
      </c>
      <c r="T172" s="46"/>
      <c r="U172" s="48" t="str">
        <f t="shared" si="25"/>
        <v>KRW 9,770</v>
      </c>
      <c r="V172" s="44" t="str">
        <f t="shared" si="25"/>
        <v>LG Uplus</v>
      </c>
      <c r="AE172" s="41"/>
      <c r="AF172" s="31"/>
      <c r="AG172" s="31"/>
      <c r="AI172" s="41"/>
      <c r="AJ172" s="64"/>
      <c r="AK172" s="64"/>
      <c r="AM172" s="41"/>
      <c r="AN172" s="17"/>
      <c r="AO172" s="17"/>
      <c r="AQ172" s="41"/>
      <c r="AR172" s="18"/>
      <c r="AS172" s="18"/>
    </row>
    <row r="173" spans="1:45" s="5" customFormat="1">
      <c r="A173" s="39"/>
      <c r="B173" s="42"/>
      <c r="C173" s="48" t="str">
        <f t="shared" si="24"/>
        <v>Maxis</v>
      </c>
      <c r="D173" s="44" t="str">
        <f t="shared" si="24"/>
        <v>MYR 3.71</v>
      </c>
      <c r="E173" s="44" t="str">
        <f t="shared" si="24"/>
        <v>MYR 5.60</v>
      </c>
      <c r="F173" s="45">
        <f t="shared" si="24"/>
        <v>0.50943396226415083</v>
      </c>
      <c r="G173" s="44" t="str">
        <f t="shared" si="24"/>
        <v>Buy</v>
      </c>
      <c r="H173" s="46"/>
      <c r="I173" s="45">
        <f>MAXI!$D$45</f>
        <v>4.3126684636118601E-2</v>
      </c>
      <c r="J173" s="45">
        <f>MAXI!$E$45</f>
        <v>5.6453198072164645E-2</v>
      </c>
      <c r="K173" s="45">
        <f>MAXI!$F$45</f>
        <v>6.0989280647301476E-2</v>
      </c>
      <c r="L173" s="45">
        <f>MAXI!$G$45</f>
        <v>6.5135499631091567E-2</v>
      </c>
      <c r="M173" s="45">
        <f>MAXI!$H$45</f>
        <v>0.14733583599232314</v>
      </c>
      <c r="N173" s="46"/>
      <c r="O173" s="45">
        <f>MAXI!$D$47</f>
        <v>4.7140844153913841E-2</v>
      </c>
      <c r="P173" s="45">
        <f>MAXI!$E$47</f>
        <v>5.7786831475716803E-2</v>
      </c>
      <c r="Q173" s="45">
        <f>MAXI!$F$47</f>
        <v>6.1334379204766115E-2</v>
      </c>
      <c r="R173" s="45">
        <f>MAXI!$G$47</f>
        <v>6.4597659911449515E-2</v>
      </c>
      <c r="S173" s="45">
        <f>MAXI!$H$47</f>
        <v>0.11072482055359956</v>
      </c>
      <c r="T173" s="46"/>
      <c r="U173" s="48" t="str">
        <f t="shared" si="25"/>
        <v>MYR 3.71</v>
      </c>
      <c r="V173" s="44" t="str">
        <f t="shared" si="25"/>
        <v>Maxis</v>
      </c>
      <c r="AE173" s="41"/>
      <c r="AF173" s="31"/>
      <c r="AG173" s="31"/>
      <c r="AI173" s="41"/>
      <c r="AJ173" s="64"/>
      <c r="AK173" s="64"/>
      <c r="AM173" s="41"/>
      <c r="AN173" s="17"/>
      <c r="AO173" s="17"/>
      <c r="AQ173" s="41"/>
      <c r="AR173" s="18"/>
      <c r="AS173" s="18"/>
    </row>
    <row r="174" spans="1:45" s="5" customFormat="1">
      <c r="B174" s="42"/>
      <c r="C174" s="48" t="str">
        <f t="shared" si="24"/>
        <v>SK Telecom</v>
      </c>
      <c r="D174" s="44" t="str">
        <f t="shared" si="24"/>
        <v>KRW 51,800</v>
      </c>
      <c r="E174" s="44" t="str">
        <f t="shared" si="24"/>
        <v>KRW 116,000</v>
      </c>
      <c r="F174" s="45">
        <f t="shared" si="24"/>
        <v>1.2393822393822393</v>
      </c>
      <c r="G174" s="44" t="str">
        <f t="shared" si="24"/>
        <v>Buy</v>
      </c>
      <c r="H174" s="46"/>
      <c r="I174" s="45">
        <f>SKT!$D$45</f>
        <v>6.8339768339768348E-2</v>
      </c>
      <c r="J174" s="45">
        <f>SKT!$E$45</f>
        <v>7.6222912022771233E-2</v>
      </c>
      <c r="K174" s="45">
        <f>SKT!$F$45</f>
        <v>9.3488791270724791E-2</v>
      </c>
      <c r="L174" s="45">
        <f>SKT!$G$45</f>
        <v>0.10896079010180744</v>
      </c>
      <c r="M174" s="45">
        <f>SKT!$H$45</f>
        <v>0.16339962365598204</v>
      </c>
      <c r="N174" s="46"/>
      <c r="O174" s="45">
        <f>SKT!$D$47</f>
        <v>9.4228727856247071E-2</v>
      </c>
      <c r="P174" s="45">
        <f>SKT!$E$47</f>
        <v>0.14400173092720028</v>
      </c>
      <c r="Q174" s="45">
        <f>SKT!$F$47</f>
        <v>0.14553753127898753</v>
      </c>
      <c r="R174" s="45">
        <f>SKT!$G$47</f>
        <v>0.18692798445688863</v>
      </c>
      <c r="S174" s="45">
        <f>SKT!$H$47</f>
        <v>0.25129680862682613</v>
      </c>
      <c r="T174" s="46"/>
      <c r="U174" s="48" t="str">
        <f t="shared" si="25"/>
        <v>KRW 51,800</v>
      </c>
      <c r="V174" s="44" t="str">
        <f t="shared" si="25"/>
        <v>SK Telecom</v>
      </c>
      <c r="AE174" s="41"/>
      <c r="AF174" s="31"/>
      <c r="AG174" s="31"/>
      <c r="AI174" s="41"/>
      <c r="AJ174" s="64"/>
      <c r="AK174" s="64"/>
      <c r="AM174" s="41"/>
      <c r="AN174" s="17"/>
      <c r="AO174" s="17"/>
      <c r="AQ174" s="41"/>
      <c r="AR174" s="18"/>
      <c r="AS174" s="18"/>
    </row>
    <row r="175" spans="1:45" s="5" customFormat="1">
      <c r="B175" s="42"/>
      <c r="C175" s="48" t="str">
        <f t="shared" si="24"/>
        <v>Taiwan Mobile</v>
      </c>
      <c r="D175" s="44" t="str">
        <f t="shared" si="24"/>
        <v>TWD 106.5</v>
      </c>
      <c r="E175" s="44" t="str">
        <f t="shared" si="24"/>
        <v>TWD n/r</v>
      </c>
      <c r="F175" s="45" t="str">
        <f t="shared" si="24"/>
        <v>-</v>
      </c>
      <c r="G175" s="44" t="str">
        <f t="shared" si="24"/>
        <v>n/r</v>
      </c>
      <c r="H175" s="46"/>
      <c r="I175" s="45">
        <f>TAIWAN!$D$45</f>
        <v>5.0704225352112678E-2</v>
      </c>
      <c r="J175" s="45">
        <f>TAIWAN!$E$45</f>
        <v>5.0704225352112678E-2</v>
      </c>
      <c r="K175" s="45">
        <f>TAIWAN!$F$45</f>
        <v>5.0704225352112678E-2</v>
      </c>
      <c r="L175" s="45">
        <f>TAIWAN!$G$45</f>
        <v>5.0704225352112678E-2</v>
      </c>
      <c r="M175" s="45">
        <f>TAIWAN!$H$45</f>
        <v>0</v>
      </c>
      <c r="N175" s="46"/>
      <c r="O175" s="45">
        <f>TAIWAN!$D$47</f>
        <v>6.9319425216738867E-2</v>
      </c>
      <c r="P175" s="45">
        <f>TAIWAN!$E$47</f>
        <v>7.7722468910635278E-2</v>
      </c>
      <c r="Q175" s="45">
        <f>TAIWAN!$F$47</f>
        <v>7.8993869850726844E-2</v>
      </c>
      <c r="R175" s="45">
        <f>TAIWAN!$G$47</f>
        <v>8.6572571832418663E-2</v>
      </c>
      <c r="S175" s="45">
        <f>TAIWAN!$H$47</f>
        <v>7.6899368139329516E-2</v>
      </c>
      <c r="T175" s="46"/>
      <c r="U175" s="48" t="str">
        <f t="shared" si="25"/>
        <v>TWD 106.5</v>
      </c>
      <c r="V175" s="44" t="str">
        <f t="shared" si="25"/>
        <v>Taiwan Mobile</v>
      </c>
      <c r="AE175" s="41"/>
      <c r="AF175" s="31"/>
      <c r="AG175" s="31"/>
      <c r="AI175" s="41"/>
      <c r="AJ175" s="64"/>
      <c r="AK175" s="64"/>
      <c r="AM175" s="41"/>
      <c r="AN175" s="17"/>
      <c r="AO175" s="17"/>
      <c r="AQ175" s="41"/>
      <c r="AR175" s="18"/>
      <c r="AS175" s="18"/>
    </row>
    <row r="176" spans="1:45" s="5" customFormat="1">
      <c r="B176" s="42"/>
      <c r="C176" s="48" t="str">
        <f t="shared" si="24"/>
        <v>True Corp</v>
      </c>
      <c r="D176" s="44" t="str">
        <f t="shared" si="24"/>
        <v>THB 8.0</v>
      </c>
      <c r="E176" s="44" t="str">
        <f t="shared" si="24"/>
        <v>THB 15.0</v>
      </c>
      <c r="F176" s="45">
        <f t="shared" si="24"/>
        <v>0.875</v>
      </c>
      <c r="G176" s="44" t="str">
        <f t="shared" si="24"/>
        <v>Buy</v>
      </c>
      <c r="H176" s="46"/>
      <c r="I176" s="45">
        <f>TRUECORP!$D$45</f>
        <v>0</v>
      </c>
      <c r="J176" s="45">
        <f>TRUECORP!$E$45</f>
        <v>3.057217854886786E-3</v>
      </c>
      <c r="K176" s="45">
        <f>TRUECORP!$F$45</f>
        <v>1.795254980959321E-2</v>
      </c>
      <c r="L176" s="45">
        <f>TRUECORP!$G$45</f>
        <v>6.0459423709700491E-2</v>
      </c>
      <c r="M176" s="45" t="str">
        <f>TRUECORP!$H$45</f>
        <v>nm</v>
      </c>
      <c r="N176" s="46"/>
      <c r="O176" s="45">
        <f>TRUECORP!$D$47</f>
        <v>0.12013902076354835</v>
      </c>
      <c r="P176" s="45">
        <f>TRUECORP!$E$47</f>
        <v>0.17881268329732114</v>
      </c>
      <c r="Q176" s="45">
        <f>TRUECORP!$F$47</f>
        <v>0.21179724924856977</v>
      </c>
      <c r="R176" s="45">
        <f>TRUECORP!$G$47</f>
        <v>0.23779527829075434</v>
      </c>
      <c r="S176" s="45">
        <f>TRUECORP!$H$47</f>
        <v>0.2555664808277105</v>
      </c>
      <c r="T176" s="46"/>
      <c r="U176" s="48" t="str">
        <f t="shared" si="25"/>
        <v>THB 8.0</v>
      </c>
      <c r="V176" s="44" t="str">
        <f t="shared" si="25"/>
        <v>True Corp</v>
      </c>
      <c r="AE176" s="41"/>
      <c r="AF176" s="31"/>
      <c r="AG176" s="31"/>
      <c r="AI176" s="41"/>
      <c r="AJ176" s="64"/>
      <c r="AK176" s="64"/>
      <c r="AM176" s="41"/>
      <c r="AN176" s="17"/>
      <c r="AO176" s="17"/>
      <c r="AQ176" s="41"/>
      <c r="AR176" s="18"/>
      <c r="AS176" s="18"/>
    </row>
    <row r="177" spans="1:45" s="5" customFormat="1">
      <c r="B177" s="42"/>
      <c r="C177" s="48" t="str">
        <f t="shared" si="24"/>
        <v>XL Axiata</v>
      </c>
      <c r="D177" s="44" t="str">
        <f t="shared" si="24"/>
        <v>IDR 2,470</v>
      </c>
      <c r="E177" s="44" t="str">
        <f t="shared" si="24"/>
        <v>IDR 5,000</v>
      </c>
      <c r="F177" s="45">
        <f t="shared" si="24"/>
        <v>1.0242914979757085</v>
      </c>
      <c r="G177" s="44" t="str">
        <f t="shared" si="24"/>
        <v>Buy</v>
      </c>
      <c r="H177" s="46"/>
      <c r="I177" s="45">
        <f>XLAX!$D$45</f>
        <v>1.9676113360323887E-2</v>
      </c>
      <c r="J177" s="45">
        <f>XLAX!$E$45</f>
        <v>2.5425405975271247E-2</v>
      </c>
      <c r="K177" s="45">
        <f>XLAX!$F$45</f>
        <v>3.2676362610073693E-2</v>
      </c>
      <c r="L177" s="45">
        <f>XLAX!$G$45</f>
        <v>4.0786424466896162E-2</v>
      </c>
      <c r="M177" s="45">
        <f>XLAX!$H$45</f>
        <v>0.27504478570969981</v>
      </c>
      <c r="N177" s="56"/>
      <c r="O177" s="45">
        <f>XLAX!$D$47</f>
        <v>0.16881513025788009</v>
      </c>
      <c r="P177" s="45">
        <f>XLAX!$E$47</f>
        <v>0.18445564160097236</v>
      </c>
      <c r="Q177" s="45">
        <f>XLAX!$F$47</f>
        <v>0.21484266271074492</v>
      </c>
      <c r="R177" s="45">
        <f>XLAX!$G$47</f>
        <v>0.23674050124025839</v>
      </c>
      <c r="S177" s="45">
        <f>XLAX!$H$47</f>
        <v>0.11931862816894312</v>
      </c>
      <c r="T177" s="46"/>
      <c r="U177" s="48" t="str">
        <f t="shared" si="25"/>
        <v>IDR 2,470</v>
      </c>
      <c r="V177" s="44" t="str">
        <f t="shared" si="25"/>
        <v>XL Axiata</v>
      </c>
      <c r="AE177" s="41"/>
      <c r="AF177" s="31"/>
      <c r="AG177" s="31"/>
      <c r="AI177" s="41"/>
      <c r="AJ177" s="64"/>
      <c r="AK177" s="64"/>
      <c r="AM177" s="41"/>
      <c r="AN177" s="17"/>
      <c r="AO177" s="17"/>
      <c r="AQ177" s="41"/>
      <c r="AR177" s="18"/>
      <c r="AS177" s="18"/>
    </row>
    <row r="178" spans="1:45" s="5" customFormat="1">
      <c r="B178" s="42"/>
      <c r="C178" s="51" t="str">
        <f>C116</f>
        <v>Agg. Emerging Asia Cellular</v>
      </c>
      <c r="D178" s="52"/>
      <c r="E178" s="52"/>
      <c r="F178" s="53"/>
      <c r="G178" s="52"/>
      <c r="H178" s="46"/>
      <c r="I178" s="55">
        <f>'EM ASIA CELLULAR'!$D$45</f>
        <v>4.2977027524480849E-2</v>
      </c>
      <c r="J178" s="55">
        <f>'EM ASIA CELLULAR'!$E$45</f>
        <v>4.6437635961314262E-2</v>
      </c>
      <c r="K178" s="55">
        <f>'EM ASIA CELLULAR'!$F$45</f>
        <v>5.3938088493753644E-2</v>
      </c>
      <c r="L178" s="55">
        <f>'EM ASIA CELLULAR'!$G$45</f>
        <v>6.2195817253014526E-2</v>
      </c>
      <c r="M178" s="55">
        <f>'EM ASIA CELLULAR'!$H$45</f>
        <v>0.1343386565198228</v>
      </c>
      <c r="N178" s="56"/>
      <c r="O178" s="55">
        <f>'EM ASIA CELLULAR'!$D$47</f>
        <v>4.4900180246518116E-2</v>
      </c>
      <c r="P178" s="55">
        <f>'EM ASIA CELLULAR'!$E$47</f>
        <v>5.212542707057808E-2</v>
      </c>
      <c r="Q178" s="55">
        <f>'EM ASIA CELLULAR'!$F$47</f>
        <v>6.287137008915826E-2</v>
      </c>
      <c r="R178" s="55">
        <f>'EM ASIA CELLULAR'!$G$47</f>
        <v>7.5246485913234587E-2</v>
      </c>
      <c r="S178" s="55">
        <f>'EM ASIA CELLULAR'!$H$47</f>
        <v>0.19118855058350359</v>
      </c>
      <c r="T178" s="46"/>
      <c r="U178" s="57"/>
      <c r="V178" s="58" t="str">
        <f>V116</f>
        <v>Agg. Emerging Asia Cellular</v>
      </c>
      <c r="AE178" s="41"/>
      <c r="AF178" s="31"/>
      <c r="AG178" s="31"/>
      <c r="AI178" s="41"/>
      <c r="AJ178" s="64"/>
      <c r="AK178" s="64"/>
      <c r="AM178" s="41"/>
      <c r="AN178" s="17"/>
      <c r="AO178" s="17"/>
      <c r="AQ178" s="41"/>
      <c r="AR178" s="18"/>
      <c r="AS178" s="18"/>
    </row>
    <row r="179" spans="1:45" s="5" customFormat="1">
      <c r="B179" s="42"/>
      <c r="C179" s="43"/>
      <c r="D179" s="44"/>
      <c r="E179" s="44"/>
      <c r="F179" s="68"/>
      <c r="G179" s="44"/>
      <c r="H179" s="46"/>
      <c r="I179" s="61"/>
      <c r="J179" s="61"/>
      <c r="K179" s="61"/>
      <c r="L179" s="61"/>
      <c r="M179" s="61"/>
      <c r="N179" s="46"/>
      <c r="O179" s="61"/>
      <c r="P179" s="61"/>
      <c r="Q179" s="61"/>
      <c r="R179" s="61"/>
      <c r="S179" s="61"/>
      <c r="T179" s="46"/>
      <c r="U179" s="48"/>
      <c r="V179" s="50"/>
      <c r="AE179" s="41"/>
      <c r="AF179" s="31"/>
      <c r="AG179" s="31"/>
      <c r="AI179" s="41"/>
      <c r="AJ179" s="64"/>
      <c r="AK179" s="64"/>
      <c r="AM179" s="41"/>
      <c r="AN179" s="17"/>
      <c r="AO179" s="17"/>
      <c r="AQ179" s="41"/>
      <c r="AR179" s="18"/>
      <c r="AS179" s="18"/>
    </row>
    <row r="180" spans="1:45" s="5" customFormat="1">
      <c r="B180" s="42"/>
      <c r="C180" s="51" t="str">
        <f>C118</f>
        <v>Agg. Emerging  Cellular</v>
      </c>
      <c r="D180" s="52"/>
      <c r="E180" s="52"/>
      <c r="F180" s="53"/>
      <c r="G180" s="52"/>
      <c r="H180" s="46"/>
      <c r="I180" s="55">
        <f>'EM CELLULAR'!$D$45</f>
        <v>3.8592786101513454E-2</v>
      </c>
      <c r="J180" s="55">
        <f>'EM CELLULAR'!$E$45</f>
        <v>4.221028254180547E-2</v>
      </c>
      <c r="K180" s="55">
        <f>'EM CELLULAR'!$F$45</f>
        <v>4.9095770089858652E-2</v>
      </c>
      <c r="L180" s="55">
        <f>'EM CELLULAR'!$G$45</f>
        <v>5.6214491846374066E-2</v>
      </c>
      <c r="M180" s="55">
        <f>'EM CELLULAR'!$H$45</f>
        <v>0.1356682547662138</v>
      </c>
      <c r="N180" s="46"/>
      <c r="O180" s="55">
        <f>'EM CELLULAR'!$D$47</f>
        <v>4.3761880265579547E-2</v>
      </c>
      <c r="P180" s="55">
        <f>'EM CELLULAR'!$E$47</f>
        <v>4.8987760671499313E-2</v>
      </c>
      <c r="Q180" s="55">
        <f>'EM CELLULAR'!$F$47</f>
        <v>5.9961714304254204E-2</v>
      </c>
      <c r="R180" s="55">
        <f>'EM CELLULAR'!$G$47</f>
        <v>7.1164235559031272E-2</v>
      </c>
      <c r="S180" s="55">
        <f>'EM CELLULAR'!$H$47</f>
        <v>0.1773224152875903</v>
      </c>
      <c r="T180" s="46"/>
      <c r="U180" s="57"/>
      <c r="V180" s="58" t="str">
        <f>V118</f>
        <v>Agg. Emerging  Cellular</v>
      </c>
      <c r="AE180" s="41"/>
      <c r="AF180" s="31"/>
      <c r="AG180" s="31"/>
      <c r="AI180" s="41"/>
      <c r="AJ180" s="64"/>
      <c r="AK180" s="64"/>
      <c r="AM180" s="41"/>
      <c r="AN180" s="17"/>
      <c r="AO180" s="17"/>
      <c r="AQ180" s="41"/>
      <c r="AR180" s="18"/>
      <c r="AS180" s="18"/>
    </row>
    <row r="181" spans="1:45" s="5" customFormat="1">
      <c r="A181" s="39"/>
      <c r="B181" s="42"/>
      <c r="C181" s="43"/>
      <c r="D181" s="44"/>
      <c r="E181" s="44"/>
      <c r="F181" s="45"/>
      <c r="G181" s="44"/>
      <c r="H181" s="46"/>
      <c r="I181" s="45"/>
      <c r="J181" s="45"/>
      <c r="K181" s="45"/>
      <c r="L181" s="45"/>
      <c r="M181" s="45"/>
      <c r="N181" s="46"/>
      <c r="O181" s="45"/>
      <c r="P181" s="45"/>
      <c r="Q181" s="45"/>
      <c r="R181" s="45"/>
      <c r="S181" s="45"/>
      <c r="T181" s="46"/>
      <c r="U181" s="48"/>
      <c r="V181" s="50"/>
      <c r="AE181" s="41"/>
      <c r="AF181" s="31"/>
      <c r="AG181" s="31"/>
      <c r="AI181" s="41"/>
      <c r="AJ181" s="64"/>
      <c r="AK181" s="64"/>
      <c r="AM181" s="41"/>
      <c r="AN181" s="17"/>
      <c r="AO181" s="17"/>
      <c r="AQ181" s="41"/>
      <c r="AR181" s="18"/>
      <c r="AS181" s="18"/>
    </row>
    <row r="182" spans="1:45">
      <c r="A182" s="41" t="s">
        <v>508</v>
      </c>
      <c r="B182" s="42" t="s">
        <v>582</v>
      </c>
      <c r="C182" s="48" t="s">
        <v>819</v>
      </c>
      <c r="D182" s="44" t="str">
        <f>'EM Multiples'!B182&amp;TEXT(Prices!C$135,"0.00")</f>
        <v>MXN52.16</v>
      </c>
      <c r="E182" s="44" t="str">
        <f>'EM Multiples'!B182&amp;TEXT(Prices!E$135,"0.00")</f>
        <v>MXN55.00</v>
      </c>
      <c r="F182" s="45">
        <f>Prices!F$135</f>
        <v>5.444785276073616E-2</v>
      </c>
      <c r="G182" s="44" t="str">
        <f>Prices!D$135</f>
        <v>Buy</v>
      </c>
      <c r="H182" s="46"/>
      <c r="I182" s="45">
        <f>MEGA!$D$45</f>
        <v>5.9585889570552157E-2</v>
      </c>
      <c r="J182" s="45">
        <f>MEGA!$E$45</f>
        <v>6.2565184049079764E-2</v>
      </c>
      <c r="K182" s="45">
        <f>MEGA!$F$45</f>
        <v>6.8821702453987749E-2</v>
      </c>
      <c r="L182" s="45">
        <f>MEGA!$G$45</f>
        <v>7.5703872699386526E-2</v>
      </c>
      <c r="M182" s="45">
        <f>MEGA!$H$45</f>
        <v>8.3074231263342124E-2</v>
      </c>
      <c r="N182" s="46"/>
      <c r="O182" s="45">
        <f>MEGA!$D$47</f>
        <v>3.3359934100860703E-2</v>
      </c>
      <c r="P182" s="45">
        <f>MEGA!$E$47</f>
        <v>4.5187473120889401E-2</v>
      </c>
      <c r="Q182" s="45">
        <f>MEGA!$F$47</f>
        <v>0.11107519012081342</v>
      </c>
      <c r="R182" s="45">
        <f>MEGA!$G$47</f>
        <v>0.15817487127545959</v>
      </c>
      <c r="S182" s="45">
        <f>MEGA!$H$47</f>
        <v>0.67997996269311889</v>
      </c>
      <c r="T182" s="46"/>
      <c r="U182" s="48" t="str">
        <f>D182</f>
        <v>MXN52.16</v>
      </c>
      <c r="V182" s="44" t="str">
        <f>C182</f>
        <v>Megacable</v>
      </c>
      <c r="Z182" s="46"/>
      <c r="AE182" s="41"/>
    </row>
    <row r="183" spans="1:45">
      <c r="A183" s="5"/>
      <c r="B183" s="42" t="s">
        <v>411</v>
      </c>
      <c r="C183" s="48" t="s">
        <v>804</v>
      </c>
      <c r="D183" s="44" t="str">
        <f>'EM Multiples'!B183&amp;TEXT(Prices!C$138,"0.00")</f>
        <v>USD8.55</v>
      </c>
      <c r="E183" s="44" t="str">
        <f>'EM Multiples'!B183&amp;TEXT(Prices!E$138,"0.00")</f>
        <v>USD14.00</v>
      </c>
      <c r="F183" s="45">
        <f>Prices!F$138</f>
        <v>0.63742690058479523</v>
      </c>
      <c r="G183" s="44" t="str">
        <f>Prices!D$138</f>
        <v>Buy</v>
      </c>
      <c r="H183" s="46"/>
      <c r="I183" s="45">
        <f>LiLAC!D$45</f>
        <v>0</v>
      </c>
      <c r="J183" s="45">
        <f>LiLAC!E$45</f>
        <v>0</v>
      </c>
      <c r="K183" s="45">
        <f>LiLAC!F$45</f>
        <v>0</v>
      </c>
      <c r="L183" s="45">
        <f>LiLAC!G$45</f>
        <v>0</v>
      </c>
      <c r="M183" s="45" t="str">
        <f>LiLAC!H$45</f>
        <v>nm</v>
      </c>
      <c r="N183" s="46"/>
      <c r="O183" s="45">
        <f>LiLAC!$D$47</f>
        <v>0.16731386192800918</v>
      </c>
      <c r="P183" s="45">
        <f>LiLAC!$E$47</f>
        <v>0.25972337255354422</v>
      </c>
      <c r="Q183" s="45">
        <f>LiLAC!$F$47</f>
        <v>0.23313983300870331</v>
      </c>
      <c r="R183" s="45">
        <f>LiLAC!$G$47</f>
        <v>0.2196622540022149</v>
      </c>
      <c r="S183" s="45">
        <f>LiLAC!$H$47</f>
        <v>0.18558987177064479</v>
      </c>
      <c r="T183" s="46"/>
      <c r="U183" s="48" t="str">
        <f>D183</f>
        <v>USD8.55</v>
      </c>
      <c r="V183" s="44" t="str">
        <f>C183</f>
        <v>LiLAC</v>
      </c>
      <c r="Z183" s="46"/>
      <c r="AE183" s="41"/>
    </row>
    <row r="184" spans="1:45">
      <c r="A184" s="5"/>
      <c r="C184" s="67" t="s">
        <v>822</v>
      </c>
      <c r="D184" s="52"/>
      <c r="E184" s="52"/>
      <c r="F184" s="53"/>
      <c r="G184" s="52"/>
      <c r="H184" s="46"/>
      <c r="I184" s="55">
        <f>'LATAM ALTNET &amp; CABLE'!D45</f>
        <v>3.7749364457923699E-2</v>
      </c>
      <c r="J184" s="55">
        <f>'LATAM ALTNET &amp; CABLE'!E45</f>
        <v>3.9561451287999268E-2</v>
      </c>
      <c r="K184" s="55">
        <f>'LATAM ALTNET &amp; CABLE'!F45</f>
        <v>3.9515958030884861E-2</v>
      </c>
      <c r="L184" s="55">
        <f>'LATAM ALTNET &amp; CABLE'!G45</f>
        <v>4.3651806279717507E-2</v>
      </c>
      <c r="M184" s="55">
        <f>'LATAM ALTNET &amp; CABLE'!H45</f>
        <v>8.3074231263342124E-2</v>
      </c>
      <c r="N184" s="46"/>
      <c r="O184" s="55">
        <f>'LATAM ALTNET &amp; CABLE'!D47</f>
        <v>0.13014443365857262</v>
      </c>
      <c r="P184" s="55">
        <f>'LATAM ALTNET &amp; CABLE'!E47</f>
        <v>0.19620840029907513</v>
      </c>
      <c r="Q184" s="55">
        <f>'LATAM ALTNET &amp; CABLE'!F47</f>
        <v>0.28397587889211784</v>
      </c>
      <c r="R184" s="55">
        <f>'LATAM ALTNET &amp; CABLE'!G47</f>
        <v>0.31946554296169805</v>
      </c>
      <c r="S184" s="55">
        <f>'LATAM ALTNET &amp; CABLE'!H47</f>
        <v>0.34896125174837644</v>
      </c>
      <c r="T184" s="46"/>
      <c r="U184" s="57"/>
      <c r="V184" s="58" t="str">
        <f>C184</f>
        <v>Agg. Emerging LatAm Altnets &amp; Cable</v>
      </c>
      <c r="Z184" s="46"/>
      <c r="AE184" s="41"/>
    </row>
    <row r="185" spans="1:45" s="5" customFormat="1">
      <c r="A185" s="39"/>
      <c r="B185" s="42"/>
      <c r="C185" s="43"/>
      <c r="D185" s="44"/>
      <c r="E185" s="44"/>
      <c r="F185" s="45"/>
      <c r="G185" s="44"/>
      <c r="H185" s="46"/>
      <c r="I185" s="45"/>
      <c r="J185" s="45"/>
      <c r="K185" s="45"/>
      <c r="L185" s="45"/>
      <c r="M185" s="45"/>
      <c r="N185" s="46"/>
      <c r="O185" s="45"/>
      <c r="P185" s="45"/>
      <c r="Q185" s="45"/>
      <c r="R185" s="45"/>
      <c r="S185" s="45"/>
      <c r="T185" s="46"/>
      <c r="U185" s="48"/>
      <c r="V185" s="50"/>
      <c r="AE185" s="41"/>
      <c r="AF185" s="31"/>
      <c r="AG185" s="31"/>
      <c r="AI185" s="41"/>
      <c r="AJ185" s="64"/>
      <c r="AK185" s="64"/>
      <c r="AM185" s="41"/>
      <c r="AN185" s="17"/>
      <c r="AO185" s="17"/>
      <c r="AQ185" s="41"/>
      <c r="AR185" s="18"/>
      <c r="AS185" s="18"/>
    </row>
    <row r="186" spans="1:45" s="5" customFormat="1">
      <c r="B186" s="42"/>
      <c r="C186" s="67" t="str">
        <f>C124</f>
        <v>Agg. EMEA sector</v>
      </c>
      <c r="D186" s="52"/>
      <c r="E186" s="52"/>
      <c r="F186" s="53"/>
      <c r="G186" s="52"/>
      <c r="H186" s="46"/>
      <c r="I186" s="55">
        <f>'EMEA AGG'!$D$45</f>
        <v>2.1164763913513625E-2</v>
      </c>
      <c r="J186" s="55">
        <f>'EMEA AGG'!$E$45</f>
        <v>2.3772657298446607E-2</v>
      </c>
      <c r="K186" s="55">
        <f>'EMEA AGG'!$F$45</f>
        <v>2.7727180133330809E-2</v>
      </c>
      <c r="L186" s="55">
        <f>'EMEA AGG'!$G$45</f>
        <v>3.0232362638425939E-2</v>
      </c>
      <c r="M186" s="55">
        <f>'EMEA AGG'!$H$45</f>
        <v>0.12572104032812148</v>
      </c>
      <c r="N186" s="56"/>
      <c r="O186" s="55">
        <f>'EMEA AGG'!$D$47</f>
        <v>3.370150137012877E-2</v>
      </c>
      <c r="P186" s="55">
        <f>'EMEA AGG'!$E$47</f>
        <v>2.6306194815564891E-2</v>
      </c>
      <c r="Q186" s="55">
        <f>'EMEA AGG'!$F$47</f>
        <v>3.6121297708992105E-2</v>
      </c>
      <c r="R186" s="55">
        <f>'EMEA AGG'!$G$47</f>
        <v>4.0415044428057607E-2</v>
      </c>
      <c r="S186" s="55">
        <f>'EMEA AGG'!$H$47</f>
        <v>6.2424157782066558E-2</v>
      </c>
      <c r="T186" s="46"/>
      <c r="U186" s="57"/>
      <c r="V186" s="58" t="str">
        <f>V124</f>
        <v>Agg. EMEA sector</v>
      </c>
      <c r="AE186" s="41"/>
      <c r="AF186" s="31"/>
      <c r="AG186" s="31"/>
      <c r="AI186" s="41"/>
      <c r="AJ186" s="64"/>
      <c r="AK186" s="64"/>
      <c r="AM186" s="41"/>
      <c r="AN186" s="17"/>
      <c r="AO186" s="17"/>
      <c r="AQ186" s="41"/>
      <c r="AR186" s="18"/>
      <c r="AS186" s="18"/>
    </row>
    <row r="187" spans="1:45" s="5" customFormat="1">
      <c r="B187" s="42"/>
      <c r="C187" s="41" t="str">
        <f>C125</f>
        <v>Agg. LatAm sector</v>
      </c>
      <c r="D187" s="44"/>
      <c r="E187" s="44"/>
      <c r="F187" s="45"/>
      <c r="G187" s="44"/>
      <c r="H187" s="46"/>
      <c r="I187" s="59">
        <f>'LATAM AGG'!$D$45</f>
        <v>3.5989848479016144E-2</v>
      </c>
      <c r="J187" s="59">
        <f>'LATAM AGG'!$E$45</f>
        <v>4.1451941086865333E-2</v>
      </c>
      <c r="K187" s="59">
        <f>'LATAM AGG'!$F$45</f>
        <v>4.7824878139300982E-2</v>
      </c>
      <c r="L187" s="59">
        <f>'LATAM AGG'!$G$45</f>
        <v>5.3153248137280715E-2</v>
      </c>
      <c r="M187" s="59">
        <f>'LATAM AGG'!$H$45</f>
        <v>0.11047481900324096</v>
      </c>
      <c r="N187" s="56"/>
      <c r="O187" s="59">
        <f>'LATAM AGG'!$D$47</f>
        <v>4.3226331124647133E-2</v>
      </c>
      <c r="P187" s="59">
        <f>'LATAM AGG'!$E$47</f>
        <v>7.5924554773589267E-2</v>
      </c>
      <c r="Q187" s="59">
        <f>'LATAM AGG'!$F$47</f>
        <v>0.10031270693823238</v>
      </c>
      <c r="R187" s="59">
        <f>'LATAM AGG'!$G$47</f>
        <v>0.12450335743042659</v>
      </c>
      <c r="S187" s="59">
        <f>'LATAM AGG'!$H$47</f>
        <v>0.38502462778786439</v>
      </c>
      <c r="T187" s="46"/>
      <c r="U187" s="48"/>
      <c r="V187" s="50" t="str">
        <f>V125</f>
        <v>Agg. LatAm sector</v>
      </c>
      <c r="AE187" s="41"/>
      <c r="AF187" s="31"/>
      <c r="AG187" s="31"/>
      <c r="AI187" s="41"/>
      <c r="AJ187" s="64"/>
      <c r="AK187" s="64"/>
      <c r="AM187" s="41"/>
      <c r="AN187" s="17"/>
      <c r="AO187" s="17"/>
      <c r="AQ187" s="41"/>
      <c r="AR187" s="18"/>
      <c r="AS187" s="18"/>
    </row>
    <row r="188" spans="1:45" s="5" customFormat="1">
      <c r="B188" s="42"/>
      <c r="C188" s="67" t="str">
        <f>C126</f>
        <v>Agg. Emerging Asia sector</v>
      </c>
      <c r="D188" s="52"/>
      <c r="E188" s="52"/>
      <c r="F188" s="53"/>
      <c r="G188" s="52"/>
      <c r="H188" s="46"/>
      <c r="I188" s="55">
        <f>'AGG EM ASIA'!$D$45</f>
        <v>2.5118115528606558E-3</v>
      </c>
      <c r="J188" s="55">
        <f>'AGG EM ASIA'!$E$45</f>
        <v>2.7149712821106205E-3</v>
      </c>
      <c r="K188" s="55">
        <f>'AGG EM ASIA'!$F$45</f>
        <v>3.1670348015542089E-3</v>
      </c>
      <c r="L188" s="55">
        <f>'AGG EM ASIA'!$G$45</f>
        <v>3.6868174221346673E-3</v>
      </c>
      <c r="M188" s="55">
        <f>'AGG EM ASIA'!$H$45</f>
        <v>0.14402087057935331</v>
      </c>
      <c r="N188" s="56"/>
      <c r="O188" s="55">
        <f>'AGG EM ASIA'!$D$47</f>
        <v>5.6148513242455601E-2</v>
      </c>
      <c r="P188" s="55">
        <f>'AGG EM ASIA'!$E$47</f>
        <v>6.6267278024500359E-2</v>
      </c>
      <c r="Q188" s="55">
        <f>'AGG EM ASIA'!$F$47</f>
        <v>7.7662216667960443E-2</v>
      </c>
      <c r="R188" s="55">
        <f>'AGG EM ASIA'!$G$47</f>
        <v>9.0459767007571565E-2</v>
      </c>
      <c r="S188" s="55">
        <f>'AGG EM ASIA'!$H$47</f>
        <v>0.17490349102654967</v>
      </c>
      <c r="T188" s="46"/>
      <c r="U188" s="57"/>
      <c r="V188" s="58" t="str">
        <f>V126</f>
        <v>Agg. Emerging Asia sector</v>
      </c>
      <c r="AE188" s="41"/>
      <c r="AF188" s="31"/>
      <c r="AG188" s="31"/>
      <c r="AI188" s="41"/>
      <c r="AJ188" s="64"/>
      <c r="AK188" s="64"/>
      <c r="AM188" s="41"/>
      <c r="AN188" s="17"/>
      <c r="AO188" s="17"/>
      <c r="AQ188" s="41"/>
      <c r="AR188" s="18"/>
      <c r="AS188" s="18"/>
    </row>
    <row r="189" spans="1:45" s="5" customFormat="1">
      <c r="B189" s="42"/>
      <c r="C189" s="41"/>
      <c r="D189" s="44"/>
      <c r="E189" s="44"/>
      <c r="F189" s="45"/>
      <c r="G189" s="44"/>
      <c r="H189" s="46"/>
      <c r="I189" s="59"/>
      <c r="J189" s="59"/>
      <c r="K189" s="59"/>
      <c r="L189" s="59"/>
      <c r="M189" s="59"/>
      <c r="N189" s="56"/>
      <c r="O189" s="59"/>
      <c r="P189" s="59"/>
      <c r="Q189" s="59"/>
      <c r="R189" s="59"/>
      <c r="S189" s="59"/>
      <c r="T189" s="46"/>
      <c r="U189" s="48"/>
      <c r="V189" s="50"/>
      <c r="AE189" s="41"/>
      <c r="AF189" s="31"/>
      <c r="AG189" s="31"/>
      <c r="AI189" s="41"/>
      <c r="AJ189" s="64"/>
      <c r="AK189" s="64"/>
      <c r="AM189" s="41"/>
      <c r="AN189" s="17"/>
      <c r="AO189" s="17"/>
      <c r="AQ189" s="41"/>
      <c r="AR189" s="18"/>
      <c r="AS189" s="18"/>
    </row>
    <row r="190" spans="1:45" s="5" customFormat="1">
      <c r="B190" s="42"/>
      <c r="C190" s="67" t="str">
        <f>C128</f>
        <v>Agg. Global EM sector (ex-consensus)</v>
      </c>
      <c r="D190" s="52"/>
      <c r="E190" s="52"/>
      <c r="F190" s="53"/>
      <c r="G190" s="52"/>
      <c r="H190" s="46"/>
      <c r="I190" s="55">
        <f>'AGG EM'!$D$45</f>
        <v>2.9794876849606393E-3</v>
      </c>
      <c r="J190" s="55">
        <f>'AGG EM'!$E$45</f>
        <v>3.2338565373739416E-3</v>
      </c>
      <c r="K190" s="55">
        <f>'AGG EM'!$F$45</f>
        <v>3.7591690821787136E-3</v>
      </c>
      <c r="L190" s="55">
        <f>'AGG EM'!$G$45</f>
        <v>4.3245157193855478E-3</v>
      </c>
      <c r="M190" s="55">
        <f>'AGG EM'!$H$45</f>
        <v>0.13937853690845947</v>
      </c>
      <c r="N190" s="56"/>
      <c r="O190" s="55">
        <f>'AGG EM'!$D$47</f>
        <v>5.1811900201972863E-2</v>
      </c>
      <c r="P190" s="55">
        <f>'AGG EM'!$E$47</f>
        <v>6.2960660506253749E-2</v>
      </c>
      <c r="Q190" s="55">
        <f>'AGG EM'!$F$47</f>
        <v>7.5904765421494755E-2</v>
      </c>
      <c r="R190" s="55">
        <f>'AGG EM'!$G$47</f>
        <v>8.9047497965951045E-2</v>
      </c>
      <c r="S190" s="55">
        <f>'AGG EM'!$H$47</f>
        <v>0.19549120190388991</v>
      </c>
      <c r="T190" s="46"/>
      <c r="U190" s="57"/>
      <c r="V190" s="58" t="str">
        <f>V128</f>
        <v>Agg. Global EM sector (ex-consensus)</v>
      </c>
      <c r="AE190" s="41"/>
      <c r="AF190" s="31"/>
      <c r="AG190" s="31"/>
      <c r="AI190" s="41"/>
      <c r="AJ190" s="64"/>
      <c r="AK190" s="64"/>
      <c r="AM190" s="41"/>
      <c r="AN190" s="17"/>
      <c r="AO190" s="17"/>
      <c r="AQ190" s="41"/>
      <c r="AR190" s="18"/>
      <c r="AS190" s="18"/>
    </row>
    <row r="191" spans="1:45" s="5" customFormat="1">
      <c r="B191" s="42"/>
      <c r="C191" s="43"/>
      <c r="D191" s="44"/>
      <c r="E191" s="44"/>
      <c r="F191" s="45"/>
      <c r="G191" s="44"/>
      <c r="H191" s="46"/>
      <c r="I191" s="170"/>
      <c r="J191" s="170"/>
      <c r="K191" s="170"/>
      <c r="L191" s="170"/>
      <c r="M191" s="45"/>
      <c r="N191" s="46"/>
      <c r="O191" s="45"/>
      <c r="P191" s="45"/>
      <c r="Q191" s="45"/>
      <c r="R191" s="45"/>
      <c r="S191" s="45"/>
      <c r="T191" s="46"/>
      <c r="U191" s="48"/>
      <c r="V191" s="50"/>
      <c r="AE191" s="41"/>
      <c r="AF191" s="31"/>
      <c r="AG191" s="31"/>
      <c r="AI191" s="41"/>
      <c r="AJ191" s="64"/>
      <c r="AK191" s="64"/>
      <c r="AM191" s="41"/>
      <c r="AN191" s="17"/>
      <c r="AO191" s="17"/>
      <c r="AQ191" s="41"/>
      <c r="AR191" s="18"/>
      <c r="AS191" s="18"/>
    </row>
    <row r="192" spans="1:45" s="5" customFormat="1">
      <c r="B192" s="42"/>
      <c r="C192" s="43"/>
      <c r="D192" s="44"/>
      <c r="E192" s="44"/>
      <c r="F192" s="45"/>
      <c r="G192" s="44"/>
      <c r="H192" s="46"/>
      <c r="I192" s="170"/>
      <c r="J192" s="170"/>
      <c r="K192" s="170"/>
      <c r="L192" s="170"/>
      <c r="M192" s="45"/>
      <c r="N192" s="46"/>
      <c r="O192" s="45"/>
      <c r="P192" s="45"/>
      <c r="Q192" s="45"/>
      <c r="R192" s="45"/>
      <c r="S192" s="45"/>
      <c r="T192" s="46"/>
      <c r="U192" s="48"/>
      <c r="V192" s="50"/>
      <c r="AE192" s="41"/>
      <c r="AF192" s="31"/>
      <c r="AG192" s="31"/>
      <c r="AI192" s="41"/>
      <c r="AJ192" s="64"/>
      <c r="AK192" s="64"/>
      <c r="AM192" s="41"/>
      <c r="AN192" s="17"/>
      <c r="AO192" s="17"/>
      <c r="AQ192" s="41"/>
      <c r="AR192" s="18"/>
      <c r="AS192" s="18"/>
    </row>
    <row r="193" spans="1:69" s="41" customFormat="1">
      <c r="B193" s="147"/>
      <c r="C193" s="164"/>
      <c r="D193" s="165" t="s">
        <v>464</v>
      </c>
      <c r="E193" s="165" t="s">
        <v>57</v>
      </c>
      <c r="F193" s="165" t="s">
        <v>59</v>
      </c>
      <c r="G193" s="165" t="s">
        <v>56</v>
      </c>
      <c r="H193" s="134"/>
      <c r="I193" s="166" t="s">
        <v>530</v>
      </c>
      <c r="J193" s="166"/>
      <c r="K193" s="166"/>
      <c r="L193" s="166"/>
      <c r="M193" s="166"/>
      <c r="N193" s="46"/>
      <c r="O193" s="166" t="s">
        <v>273</v>
      </c>
      <c r="P193" s="166"/>
      <c r="Q193" s="166"/>
      <c r="R193" s="166"/>
      <c r="S193" s="166"/>
      <c r="T193" s="46"/>
      <c r="U193" s="167" t="s">
        <v>464</v>
      </c>
      <c r="V193" s="165"/>
      <c r="Z193" s="49"/>
      <c r="AC193" s="135"/>
      <c r="AD193" s="136"/>
      <c r="AE193" s="136"/>
      <c r="AF193" s="136"/>
      <c r="AG193" s="136"/>
      <c r="AH193" s="136"/>
      <c r="AI193" s="136"/>
      <c r="AJ193" s="136"/>
      <c r="AK193" s="136"/>
      <c r="AL193" s="136"/>
      <c r="AM193" s="136"/>
      <c r="AN193" s="136"/>
      <c r="AO193" s="136"/>
      <c r="AP193" s="136"/>
      <c r="AQ193" s="136"/>
      <c r="AR193" s="136"/>
      <c r="AS193" s="136"/>
      <c r="AT193" s="136"/>
      <c r="AU193" s="136"/>
      <c r="AV193" s="136"/>
      <c r="AW193" s="136"/>
      <c r="BC193" s="137"/>
      <c r="BD193" s="137"/>
      <c r="BE193" s="137"/>
      <c r="BG193" s="137"/>
      <c r="BH193" s="137"/>
      <c r="BI193" s="137"/>
      <c r="BK193" s="137"/>
      <c r="BL193" s="137"/>
      <c r="BM193" s="137"/>
      <c r="BO193" s="137"/>
      <c r="BP193" s="137"/>
      <c r="BQ193" s="137"/>
    </row>
    <row r="194" spans="1:69" s="5" customFormat="1">
      <c r="A194" s="41" t="s">
        <v>506</v>
      </c>
      <c r="B194" s="42"/>
      <c r="C194" s="48" t="str">
        <f>C132</f>
        <v>Telkom SA</v>
      </c>
      <c r="D194" s="44" t="str">
        <f>D132</f>
        <v>ZAR 25.3</v>
      </c>
      <c r="E194" s="44" t="str">
        <f>E132</f>
        <v>ZAR 56.0</v>
      </c>
      <c r="F194" s="45">
        <f>F132</f>
        <v>1.21606648199446</v>
      </c>
      <c r="G194" s="44" t="str">
        <f>G132</f>
        <v>Neutral</v>
      </c>
      <c r="H194" s="134"/>
      <c r="I194" s="47">
        <f>TKG!$D$41</f>
        <v>0.43854150614622467</v>
      </c>
      <c r="J194" s="47">
        <f>TKG!$E$41</f>
        <v>0.37588879701324635</v>
      </c>
      <c r="K194" s="47">
        <f>TKG!$F$41</f>
        <v>0.31274947197669972</v>
      </c>
      <c r="L194" s="47">
        <f>TKG!$G$41</f>
        <v>0.24723416951628824</v>
      </c>
      <c r="M194" s="45">
        <f>TKG!$H$41</f>
        <v>-4.0694686979286798E-3</v>
      </c>
      <c r="N194" s="46"/>
      <c r="O194" s="47">
        <f>TKG!$D$37</f>
        <v>0.4074058284411608</v>
      </c>
      <c r="P194" s="47">
        <f>TKG!$E$37</f>
        <v>0.34140257323146977</v>
      </c>
      <c r="Q194" s="47">
        <f>TKG!$F$37</f>
        <v>0.27665584057483394</v>
      </c>
      <c r="R194" s="47">
        <f>TKG!$G$37</f>
        <v>0.21413233923032149</v>
      </c>
      <c r="S194" s="45">
        <f>TKG!$H$37</f>
        <v>1.947512825024833E-2</v>
      </c>
      <c r="T194" s="46"/>
      <c r="U194" s="48" t="str">
        <f>U132</f>
        <v>ZAR 25.3</v>
      </c>
      <c r="V194" s="44" t="str">
        <f>V132</f>
        <v>Telkom SA</v>
      </c>
      <c r="AE194" s="41"/>
      <c r="AF194" s="31"/>
      <c r="AG194" s="31"/>
      <c r="AI194" s="41"/>
      <c r="AJ194" s="64"/>
      <c r="AK194" s="64"/>
      <c r="AM194" s="41"/>
      <c r="AN194" s="17"/>
      <c r="AO194" s="17"/>
      <c r="AQ194" s="41"/>
      <c r="AR194" s="18"/>
      <c r="AS194" s="18"/>
    </row>
    <row r="195" spans="1:69" s="5" customFormat="1">
      <c r="A195" s="41"/>
      <c r="B195" s="42"/>
      <c r="C195" s="51" t="str">
        <f>C133</f>
        <v>Agg. EMEA Incumbent</v>
      </c>
      <c r="D195" s="58"/>
      <c r="E195" s="58"/>
      <c r="F195" s="55"/>
      <c r="G195" s="58"/>
      <c r="H195" s="134"/>
      <c r="I195" s="54">
        <f>'EMEA INCUMB'!$D$41</f>
        <v>0.43854150614622467</v>
      </c>
      <c r="J195" s="54">
        <f>'EMEA INCUMB'!$E$41</f>
        <v>0.37588879701324635</v>
      </c>
      <c r="K195" s="54">
        <f>'EMEA INCUMB'!$F$41</f>
        <v>0.31274947197669978</v>
      </c>
      <c r="L195" s="54">
        <f>'EMEA INCUMB'!$G$41</f>
        <v>0.24723416951628824</v>
      </c>
      <c r="M195" s="55">
        <f>'EMEA INCUMB'!$H$41</f>
        <v>-4.0694686979287908E-3</v>
      </c>
      <c r="N195" s="56"/>
      <c r="O195" s="54">
        <f>'EMEA INCUMB'!$D$37</f>
        <v>0.4074058284411608</v>
      </c>
      <c r="P195" s="54">
        <f>'EMEA INCUMB'!$E$37</f>
        <v>0.34140257323146972</v>
      </c>
      <c r="Q195" s="54">
        <f>'EMEA INCUMB'!$F$37</f>
        <v>0.27665584057483394</v>
      </c>
      <c r="R195" s="54">
        <f>'EMEA INCUMB'!$G$37</f>
        <v>0.21413233923032152</v>
      </c>
      <c r="S195" s="55">
        <f>'EMEA INCUMB'!$H$37</f>
        <v>1.947512825024833E-2</v>
      </c>
      <c r="T195" s="56"/>
      <c r="U195" s="51"/>
      <c r="V195" s="58" t="str">
        <f>V133</f>
        <v>Agg. EMEA Incumbent</v>
      </c>
      <c r="AE195" s="41"/>
      <c r="AF195" s="31"/>
      <c r="AG195" s="31"/>
      <c r="AI195" s="41"/>
      <c r="AJ195" s="64"/>
      <c r="AK195" s="64"/>
      <c r="AM195" s="41"/>
      <c r="AN195" s="17"/>
      <c r="AO195" s="17"/>
      <c r="AQ195" s="41"/>
      <c r="AR195" s="18"/>
      <c r="AS195" s="18"/>
    </row>
    <row r="196" spans="1:69" s="5" customFormat="1">
      <c r="A196" s="41"/>
      <c r="B196" s="42"/>
      <c r="C196" s="48"/>
      <c r="D196" s="44"/>
      <c r="E196" s="44"/>
      <c r="F196" s="68"/>
      <c r="G196" s="44"/>
      <c r="H196" s="134"/>
      <c r="I196" s="62"/>
      <c r="J196" s="62"/>
      <c r="K196" s="62"/>
      <c r="L196" s="62"/>
      <c r="M196" s="61"/>
      <c r="N196" s="46"/>
      <c r="O196" s="62"/>
      <c r="P196" s="62"/>
      <c r="Q196" s="62"/>
      <c r="R196" s="62"/>
      <c r="S196" s="61"/>
      <c r="T196" s="46"/>
      <c r="U196" s="48"/>
      <c r="V196" s="44"/>
      <c r="AE196" s="41"/>
      <c r="AF196" s="31"/>
      <c r="AG196" s="31"/>
      <c r="AI196" s="41"/>
      <c r="AJ196" s="64"/>
      <c r="AK196" s="64"/>
      <c r="AM196" s="41"/>
      <c r="AN196" s="17"/>
      <c r="AO196" s="17"/>
      <c r="AQ196" s="41"/>
      <c r="AR196" s="18"/>
      <c r="AS196" s="18"/>
    </row>
    <row r="197" spans="1:69" s="5" customFormat="1">
      <c r="B197" s="42"/>
      <c r="C197" s="48" t="str">
        <f t="shared" ref="C197:G199" si="26">C135</f>
        <v>America Movil</v>
      </c>
      <c r="D197" s="44" t="str">
        <f t="shared" si="26"/>
        <v>USD 16.2</v>
      </c>
      <c r="E197" s="44" t="str">
        <f t="shared" si="26"/>
        <v>USD 24.0</v>
      </c>
      <c r="F197" s="45">
        <f t="shared" si="26"/>
        <v>0.47965474722564738</v>
      </c>
      <c r="G197" s="44" t="str">
        <f t="shared" si="26"/>
        <v>Buy</v>
      </c>
      <c r="H197" s="46"/>
      <c r="I197" s="47">
        <f>AMX!$D$41</f>
        <v>1.5913988915191195</v>
      </c>
      <c r="J197" s="47">
        <f>AMX!$E$41</f>
        <v>1.5229887168744467</v>
      </c>
      <c r="K197" s="47">
        <f>AMX!$F$41</f>
        <v>1.4416989199116323</v>
      </c>
      <c r="L197" s="47">
        <f>AMX!$G$41</f>
        <v>1.3559261606543942</v>
      </c>
      <c r="M197" s="45">
        <f>AMX!$H$41</f>
        <v>-7.6813529020137716E-3</v>
      </c>
      <c r="N197" s="46"/>
      <c r="O197" s="47">
        <f>AMX!$D$37</f>
        <v>1.8783864641060379</v>
      </c>
      <c r="P197" s="47">
        <f>AMX!$E$37</f>
        <v>1.7152748240973184</v>
      </c>
      <c r="Q197" s="47">
        <f>AMX!$F$37</f>
        <v>1.5634082324002827</v>
      </c>
      <c r="R197" s="47">
        <f>AMX!$G$37</f>
        <v>1.431498831013311</v>
      </c>
      <c r="S197" s="45">
        <f>AMX!$H$37</f>
        <v>2.9915196167993097E-2</v>
      </c>
      <c r="T197" s="46"/>
      <c r="U197" s="48" t="str">
        <f t="shared" ref="U197:V199" si="27">U135</f>
        <v>USD 16.2</v>
      </c>
      <c r="V197" s="44" t="str">
        <f t="shared" si="27"/>
        <v>America Movil</v>
      </c>
      <c r="AE197" s="41"/>
      <c r="AF197" s="31"/>
      <c r="AG197" s="31"/>
      <c r="AI197" s="41"/>
      <c r="AJ197" s="64"/>
      <c r="AK197" s="64"/>
      <c r="AM197" s="41"/>
      <c r="AN197" s="17"/>
      <c r="AO197" s="17"/>
      <c r="AQ197" s="41"/>
      <c r="AR197" s="18"/>
      <c r="AS197" s="18"/>
    </row>
    <row r="198" spans="1:69" s="5" customFormat="1">
      <c r="B198" s="42"/>
      <c r="C198" s="48" t="str">
        <f t="shared" si="26"/>
        <v>Oi</v>
      </c>
      <c r="D198" s="44" t="str">
        <f t="shared" si="26"/>
        <v>BRL 1.78</v>
      </c>
      <c r="E198" s="44" t="str">
        <f t="shared" si="26"/>
        <v>BRL 0.90</v>
      </c>
      <c r="F198" s="45">
        <f t="shared" si="26"/>
        <v>-0.4943820224719101</v>
      </c>
      <c r="G198" s="44" t="str">
        <f t="shared" si="26"/>
        <v>Neutral</v>
      </c>
      <c r="H198" s="46"/>
      <c r="I198" s="47">
        <f>OIBR!$D$41</f>
        <v>1.0767737633825094</v>
      </c>
      <c r="J198" s="47">
        <f>OIBR!$E$41</f>
        <v>1.044528542718087</v>
      </c>
      <c r="K198" s="47">
        <f>OIBR!$F$41</f>
        <v>1.0745746892892425</v>
      </c>
      <c r="L198" s="47">
        <f>OIBR!$G$41</f>
        <v>1.1002507864283775</v>
      </c>
      <c r="M198" s="45">
        <f>OIBR!$H$41</f>
        <v>0.12333435963956574</v>
      </c>
      <c r="N198" s="46"/>
      <c r="O198" s="47">
        <f>OIBR!$D$37</f>
        <v>1.1981384725537885</v>
      </c>
      <c r="P198" s="47">
        <f>OIBR!$E$37</f>
        <v>1.3832956890720733</v>
      </c>
      <c r="Q198" s="47">
        <f>OIBR!$F$37</f>
        <v>1.4895840051538456</v>
      </c>
      <c r="R198" s="47">
        <f>OIBR!$G$37</f>
        <v>1.607268597999062</v>
      </c>
      <c r="S198" s="45">
        <f>OIBR!$H$37</f>
        <v>2.5898280258095152E-2</v>
      </c>
      <c r="T198" s="46"/>
      <c r="U198" s="48" t="str">
        <f t="shared" si="27"/>
        <v>BRL 1.78</v>
      </c>
      <c r="V198" s="44" t="str">
        <f t="shared" si="27"/>
        <v>Oi</v>
      </c>
      <c r="AE198" s="41"/>
      <c r="AF198" s="31"/>
      <c r="AG198" s="31"/>
      <c r="AI198" s="41"/>
      <c r="AJ198" s="64"/>
      <c r="AK198" s="64"/>
      <c r="AM198" s="41"/>
      <c r="AN198" s="17"/>
      <c r="AO198" s="17"/>
      <c r="AQ198" s="41"/>
      <c r="AR198" s="18"/>
      <c r="AS198" s="18"/>
    </row>
    <row r="199" spans="1:69" s="5" customFormat="1">
      <c r="B199" s="42"/>
      <c r="C199" s="48" t="str">
        <f t="shared" si="26"/>
        <v>Telefonica Brasil</v>
      </c>
      <c r="D199" s="44" t="str">
        <f t="shared" si="26"/>
        <v>BRL 45.90</v>
      </c>
      <c r="E199" s="44" t="str">
        <f t="shared" si="26"/>
        <v>BRL 61.00</v>
      </c>
      <c r="F199" s="45">
        <f t="shared" si="26"/>
        <v>0.32897603485838789</v>
      </c>
      <c r="G199" s="44" t="str">
        <f t="shared" si="26"/>
        <v>Buy</v>
      </c>
      <c r="H199" s="46"/>
      <c r="I199" s="47">
        <f>VIVO!$D$41</f>
        <v>1.0018797009325544</v>
      </c>
      <c r="J199" s="47">
        <f>VIVO!$E$41</f>
        <v>0.96482544191825037</v>
      </c>
      <c r="K199" s="47">
        <f>VIVO!$F$41</f>
        <v>0.90345356651256803</v>
      </c>
      <c r="L199" s="47">
        <f>VIVO!$G$41</f>
        <v>0.82238939163192148</v>
      </c>
      <c r="M199" s="45">
        <f>VIVO!$H$41</f>
        <v>-1.84429513214317E-2</v>
      </c>
      <c r="N199" s="46"/>
      <c r="O199" s="47">
        <f>VIVO!$D$37</f>
        <v>1.5829045878912495</v>
      </c>
      <c r="P199" s="47">
        <f>VIVO!$E$37</f>
        <v>1.4074902668711373</v>
      </c>
      <c r="Q199" s="47">
        <f>VIVO!$F$37</f>
        <v>1.218626630715232</v>
      </c>
      <c r="R199" s="47">
        <f>VIVO!$G$37</f>
        <v>1.0507209979298231</v>
      </c>
      <c r="S199" s="45">
        <f>VIVO!$H$37</f>
        <v>5.3558436109118146E-2</v>
      </c>
      <c r="T199" s="46"/>
      <c r="U199" s="48" t="str">
        <f t="shared" si="27"/>
        <v>BRL 45.90</v>
      </c>
      <c r="V199" s="44" t="str">
        <f t="shared" si="27"/>
        <v>Telefonica Brasil</v>
      </c>
      <c r="AE199" s="41"/>
      <c r="AF199" s="31"/>
      <c r="AG199" s="31"/>
      <c r="AI199" s="41"/>
      <c r="AJ199" s="64"/>
      <c r="AK199" s="64"/>
      <c r="AM199" s="41"/>
      <c r="AN199" s="17"/>
      <c r="AO199" s="17"/>
      <c r="AQ199" s="41"/>
      <c r="AR199" s="18"/>
      <c r="AS199" s="18"/>
    </row>
    <row r="200" spans="1:69" s="5" customFormat="1">
      <c r="B200" s="42"/>
      <c r="C200" s="48" t="s">
        <v>673</v>
      </c>
      <c r="D200" s="44" t="str">
        <f>D138</f>
        <v>USD 3.1</v>
      </c>
      <c r="E200" s="44" t="str">
        <f>E138</f>
        <v>USD 3.7</v>
      </c>
      <c r="F200" s="45">
        <f>F138</f>
        <v>0.17834394904458595</v>
      </c>
      <c r="G200" s="44" t="str">
        <f>G138</f>
        <v>Neutral</v>
      </c>
      <c r="H200" s="46"/>
      <c r="I200" s="47">
        <f>TVIS!$D$41</f>
        <v>6.0225920600328428E-2</v>
      </c>
      <c r="J200" s="47">
        <f>TVIS!$E$41</f>
        <v>4.1338523707964495E-2</v>
      </c>
      <c r="K200" s="47">
        <f>TVIS!$F$41</f>
        <v>2.8377201735587925E-2</v>
      </c>
      <c r="L200" s="47">
        <f>TVIS!$G$41</f>
        <v>9.2432581053117236E-3</v>
      </c>
      <c r="M200" s="45">
        <f>TVIS!$H$41</f>
        <v>1.2680527424493437E-3</v>
      </c>
      <c r="N200" s="46"/>
      <c r="O200" s="47">
        <f>TVIS!$D$37</f>
        <v>0.16412468180559686</v>
      </c>
      <c r="P200" s="47">
        <f>TVIS!$E$37</f>
        <v>0.11046607242617336</v>
      </c>
      <c r="Q200" s="47">
        <f>TVIS!$F$37</f>
        <v>7.5070499117868339E-2</v>
      </c>
      <c r="R200" s="47">
        <f>TVIS!$G$37</f>
        <v>2.4352543076329513E-2</v>
      </c>
      <c r="S200" s="45">
        <f>TVIS!$H$37</f>
        <v>1.2606621051490574E-2</v>
      </c>
      <c r="T200" s="46"/>
      <c r="U200" s="48" t="str">
        <f>U138</f>
        <v>USD 3.1</v>
      </c>
      <c r="V200" s="44" t="s">
        <v>673</v>
      </c>
      <c r="AE200" s="41"/>
      <c r="AF200" s="31"/>
      <c r="AG200" s="31"/>
      <c r="AI200" s="41"/>
      <c r="AJ200" s="64"/>
      <c r="AK200" s="64"/>
      <c r="AM200" s="41"/>
      <c r="AN200" s="17"/>
      <c r="AO200" s="17"/>
      <c r="AQ200" s="41"/>
      <c r="AR200" s="18"/>
      <c r="AS200" s="18"/>
    </row>
    <row r="201" spans="1:69" s="5" customFormat="1">
      <c r="B201" s="42"/>
      <c r="C201" s="51" t="str">
        <f>C139</f>
        <v>Agg. LatAm Incumbent</v>
      </c>
      <c r="D201" s="52"/>
      <c r="E201" s="52"/>
      <c r="F201" s="53"/>
      <c r="G201" s="52"/>
      <c r="H201" s="46"/>
      <c r="I201" s="54">
        <f>'LATAM INCUMB'!$D$41</f>
        <v>1.2450541555502495</v>
      </c>
      <c r="J201" s="54">
        <f>'LATAM INCUMB'!$E$41</f>
        <v>1.1922739983005051</v>
      </c>
      <c r="K201" s="54">
        <f>'LATAM INCUMB'!$F$41</f>
        <v>1.1271780163435798</v>
      </c>
      <c r="L201" s="54">
        <f>'LATAM INCUMB'!$G$41</f>
        <v>1.0560147649150291</v>
      </c>
      <c r="M201" s="55">
        <f>'LATAM INCUMB'!$H$41</f>
        <v>-1.4772716171091993E-3</v>
      </c>
      <c r="N201" s="56"/>
      <c r="O201" s="54">
        <f>'LATAM INCUMB'!$D$37</f>
        <v>1.6754972545250479</v>
      </c>
      <c r="P201" s="54">
        <f>'LATAM INCUMB'!$E$37</f>
        <v>1.5413873359407957</v>
      </c>
      <c r="Q201" s="54">
        <f>'LATAM INCUMB'!$F$37</f>
        <v>1.4052879925497239</v>
      </c>
      <c r="R201" s="54">
        <f>'LATAM INCUMB'!$G$37</f>
        <v>1.2861713457611794</v>
      </c>
      <c r="S201" s="55">
        <f>'LATAM INCUMB'!$H$37</f>
        <v>3.2286309728766227E-2</v>
      </c>
      <c r="T201" s="46"/>
      <c r="U201" s="57"/>
      <c r="V201" s="58" t="str">
        <f>V139</f>
        <v>Agg. LatAm Incumbent</v>
      </c>
      <c r="AE201" s="41"/>
      <c r="AF201" s="31"/>
      <c r="AG201" s="31"/>
      <c r="AI201" s="41"/>
      <c r="AJ201" s="64"/>
      <c r="AK201" s="64"/>
      <c r="AM201" s="41"/>
      <c r="AN201" s="17"/>
      <c r="AO201" s="17"/>
      <c r="AQ201" s="41"/>
      <c r="AR201" s="18"/>
      <c r="AS201" s="18"/>
    </row>
    <row r="202" spans="1:69" s="5" customFormat="1">
      <c r="A202" s="39"/>
      <c r="B202" s="42"/>
      <c r="C202" s="48"/>
      <c r="D202" s="44"/>
      <c r="E202" s="44"/>
      <c r="F202" s="45"/>
      <c r="G202" s="44"/>
      <c r="H202" s="46"/>
      <c r="I202" s="47"/>
      <c r="J202" s="47"/>
      <c r="K202" s="47"/>
      <c r="L202" s="47"/>
      <c r="M202" s="45"/>
      <c r="N202" s="56"/>
      <c r="O202" s="47"/>
      <c r="P202" s="47"/>
      <c r="Q202" s="47"/>
      <c r="R202" s="47"/>
      <c r="S202" s="45"/>
      <c r="T202" s="46"/>
      <c r="U202" s="48"/>
      <c r="V202" s="50"/>
      <c r="AE202" s="41"/>
      <c r="AF202" s="31"/>
      <c r="AG202" s="31"/>
      <c r="AI202" s="41"/>
      <c r="AJ202" s="64"/>
      <c r="AK202" s="64"/>
      <c r="AM202" s="41"/>
      <c r="AN202" s="17"/>
      <c r="AO202" s="17"/>
      <c r="AQ202" s="41"/>
      <c r="AR202" s="18"/>
      <c r="AS202" s="18"/>
    </row>
    <row r="203" spans="1:69" s="5" customFormat="1">
      <c r="B203" s="42"/>
      <c r="C203" s="48" t="str">
        <f t="shared" ref="C203:G207" si="28">C141</f>
        <v>China Telecom</v>
      </c>
      <c r="D203" s="44" t="str">
        <f t="shared" si="28"/>
        <v>HKD 4.44</v>
      </c>
      <c r="E203" s="44" t="str">
        <f t="shared" si="28"/>
        <v>HKD 8.75</v>
      </c>
      <c r="F203" s="45">
        <f t="shared" si="28"/>
        <v>0.97072072072072046</v>
      </c>
      <c r="G203" s="44" t="str">
        <f t="shared" si="28"/>
        <v>Buy</v>
      </c>
      <c r="H203" s="46"/>
      <c r="I203" s="47">
        <f>_CT!$D$41</f>
        <v>0.54123500797747726</v>
      </c>
      <c r="J203" s="47">
        <f>_CT!$E$41</f>
        <v>0.50505870261926189</v>
      </c>
      <c r="K203" s="47">
        <f>_CT!$F$41</f>
        <v>0.4652229786501913</v>
      </c>
      <c r="L203" s="47">
        <f>_CT!$G$41</f>
        <v>0.41903920672783018</v>
      </c>
      <c r="M203" s="45">
        <f>_CT!$H$41</f>
        <v>-9.0990194084140663E-3</v>
      </c>
      <c r="N203" s="56"/>
      <c r="O203" s="47">
        <f>_CT!$D$37</f>
        <v>0.42905398222901875</v>
      </c>
      <c r="P203" s="47">
        <f>_CT!$E$37</f>
        <v>0.37479956034333184</v>
      </c>
      <c r="Q203" s="47">
        <f>_CT!$F$37</f>
        <v>0.32627217581472495</v>
      </c>
      <c r="R203" s="47">
        <f>_CT!$G$37</f>
        <v>0.27876157633265558</v>
      </c>
      <c r="S203" s="169">
        <f>_CT!$H$37</f>
        <v>5.0540645025821451E-2</v>
      </c>
      <c r="T203" s="46"/>
      <c r="U203" s="48" t="str">
        <f t="shared" ref="U203:V207" si="29">U141</f>
        <v>HKD 4.44</v>
      </c>
      <c r="V203" s="44" t="str">
        <f t="shared" si="29"/>
        <v>China Telecom</v>
      </c>
      <c r="AE203" s="41"/>
      <c r="AF203" s="31"/>
      <c r="AG203" s="31"/>
      <c r="AI203" s="41"/>
      <c r="AJ203" s="64"/>
      <c r="AK203" s="64"/>
      <c r="AM203" s="41"/>
      <c r="AN203" s="17"/>
      <c r="AO203" s="17"/>
      <c r="AQ203" s="41"/>
      <c r="AR203" s="18"/>
      <c r="AS203" s="18"/>
    </row>
    <row r="204" spans="1:69" s="5" customFormat="1">
      <c r="B204" s="42"/>
      <c r="C204" s="48" t="str">
        <f t="shared" si="28"/>
        <v>China Unicom</v>
      </c>
      <c r="D204" s="44" t="str">
        <f t="shared" si="28"/>
        <v>HKD 6.20</v>
      </c>
      <c r="E204" s="44" t="str">
        <f t="shared" si="28"/>
        <v>HKD 13.20</v>
      </c>
      <c r="F204" s="45">
        <f t="shared" si="28"/>
        <v>1.129032258064516</v>
      </c>
      <c r="G204" s="44" t="str">
        <f t="shared" si="28"/>
        <v>Buy</v>
      </c>
      <c r="H204" s="46"/>
      <c r="I204" s="47">
        <f>_CU!$D$41</f>
        <v>0.24755111983630901</v>
      </c>
      <c r="J204" s="47">
        <f>_CU!$E$41</f>
        <v>0.20676230277568</v>
      </c>
      <c r="K204" s="47">
        <f>_CU!$F$41</f>
        <v>0.17243175295199592</v>
      </c>
      <c r="L204" s="47">
        <f>_CU!$G$41</f>
        <v>0.14665004792188507</v>
      </c>
      <c r="M204" s="45">
        <f>_CU!$H$41</f>
        <v>-8.8460522866237179E-3</v>
      </c>
      <c r="N204" s="56"/>
      <c r="O204" s="47">
        <f>_CU!$D$37</f>
        <v>0.23367326308721864</v>
      </c>
      <c r="P204" s="47">
        <f>_CU!$E$37</f>
        <v>0.18255248527145132</v>
      </c>
      <c r="Q204" s="47">
        <f>_CU!$F$37</f>
        <v>0.14441505318977926</v>
      </c>
      <c r="R204" s="47">
        <f>_CU!$G$37</f>
        <v>0.11811504960615288</v>
      </c>
      <c r="S204" s="169">
        <f>_CU!$H$37</f>
        <v>4.4996450380622832E-2</v>
      </c>
      <c r="T204" s="46"/>
      <c r="U204" s="48" t="str">
        <f t="shared" si="29"/>
        <v>HKD 6.20</v>
      </c>
      <c r="V204" s="44" t="str">
        <f t="shared" si="29"/>
        <v>China Unicom</v>
      </c>
      <c r="AE204" s="41"/>
      <c r="AF204" s="31"/>
      <c r="AG204" s="31"/>
      <c r="AI204" s="41"/>
      <c r="AJ204" s="64"/>
      <c r="AK204" s="64"/>
      <c r="AM204" s="41"/>
      <c r="AN204" s="17"/>
      <c r="AO204" s="17"/>
      <c r="AQ204" s="41"/>
      <c r="AR204" s="18"/>
      <c r="AS204" s="18"/>
    </row>
    <row r="205" spans="1:69" s="5" customFormat="1">
      <c r="A205" s="39"/>
      <c r="B205" s="42"/>
      <c r="C205" s="48" t="str">
        <f t="shared" si="28"/>
        <v>Chunghwa Telecom</v>
      </c>
      <c r="D205" s="44" t="str">
        <f t="shared" si="28"/>
        <v>TWD 127.00</v>
      </c>
      <c r="E205" s="44" t="str">
        <f t="shared" si="28"/>
        <v>TWD n/r</v>
      </c>
      <c r="F205" s="45" t="str">
        <f t="shared" si="28"/>
        <v>-</v>
      </c>
      <c r="G205" s="44" t="str">
        <f t="shared" si="28"/>
        <v>n/r</v>
      </c>
      <c r="H205" s="46"/>
      <c r="I205" s="47">
        <f>CHUNG!$D$41</f>
        <v>2.2262616054123598</v>
      </c>
      <c r="J205" s="47">
        <f>CHUNG!$E$41</f>
        <v>2.1584277209555363</v>
      </c>
      <c r="K205" s="47">
        <f>CHUNG!$F$41</f>
        <v>2.082946840043669</v>
      </c>
      <c r="L205" s="47">
        <f>CHUNG!$G$41</f>
        <v>1.9919841314785773</v>
      </c>
      <c r="M205" s="45">
        <f>CHUNG!$H$41</f>
        <v>-2.8650544100582875E-2</v>
      </c>
      <c r="N205" s="56"/>
      <c r="O205" s="47">
        <f>CHUNG!$D$37</f>
        <v>4.0298809634458035</v>
      </c>
      <c r="P205" s="47">
        <f>CHUNG!$E$37</f>
        <v>3.7549612873884373</v>
      </c>
      <c r="Q205" s="47">
        <f>CHUNG!$F$37</f>
        <v>3.4720742940963985</v>
      </c>
      <c r="R205" s="47">
        <f>CHUNG!$G$37</f>
        <v>3.191422371348128</v>
      </c>
      <c r="S205" s="45">
        <f>CHUNG!$H$37</f>
        <v>1.1691353321333642E-2</v>
      </c>
      <c r="T205" s="46"/>
      <c r="U205" s="48" t="str">
        <f t="shared" si="29"/>
        <v>TWD 127.00</v>
      </c>
      <c r="V205" s="44" t="str">
        <f t="shared" si="29"/>
        <v>Chunghwa Telecom</v>
      </c>
      <c r="AE205" s="41"/>
      <c r="AF205" s="31"/>
      <c r="AG205" s="31"/>
      <c r="AI205" s="41"/>
      <c r="AJ205" s="64"/>
      <c r="AK205" s="64"/>
      <c r="AM205" s="41"/>
      <c r="AN205" s="17"/>
      <c r="AO205" s="17"/>
      <c r="AQ205" s="41"/>
      <c r="AR205" s="18"/>
      <c r="AS205" s="18"/>
    </row>
    <row r="206" spans="1:69" s="5" customFormat="1">
      <c r="A206" s="39"/>
      <c r="B206" s="42"/>
      <c r="C206" s="48" t="str">
        <f t="shared" si="28"/>
        <v>KT Corp</v>
      </c>
      <c r="D206" s="44" t="str">
        <f t="shared" si="28"/>
        <v>KRW 36,350</v>
      </c>
      <c r="E206" s="44" t="str">
        <f t="shared" si="28"/>
        <v>KRW 70,000</v>
      </c>
      <c r="F206" s="45">
        <f t="shared" si="28"/>
        <v>0.92572214580467671</v>
      </c>
      <c r="G206" s="44" t="str">
        <f t="shared" si="28"/>
        <v>Buy</v>
      </c>
      <c r="H206" s="46"/>
      <c r="I206" s="47">
        <f>_KT!$D$41</f>
        <v>0.66364875049237049</v>
      </c>
      <c r="J206" s="47">
        <f>_KT!$E$41</f>
        <v>0.64407109440614141</v>
      </c>
      <c r="K206" s="47">
        <f>_KT!$F$41</f>
        <v>0.58030021396613918</v>
      </c>
      <c r="L206" s="47">
        <f>_KT!$G$41</f>
        <v>0.51097799510217956</v>
      </c>
      <c r="M206" s="45">
        <f>_KT!$H$41</f>
        <v>1.5278660211297534E-3</v>
      </c>
      <c r="N206" s="56"/>
      <c r="O206" s="47">
        <f>_KT!$D$37</f>
        <v>0.65139286554467157</v>
      </c>
      <c r="P206" s="47">
        <f>_KT!$E$37</f>
        <v>0.62066298324563396</v>
      </c>
      <c r="Q206" s="47">
        <f>_KT!$F$37</f>
        <v>0.52214204646036033</v>
      </c>
      <c r="R206" s="47">
        <f>_KT!$G$37</f>
        <v>0.45923715696181011</v>
      </c>
      <c r="S206" s="45">
        <f>_KT!$H$37</f>
        <v>3.1382288109379708E-2</v>
      </c>
      <c r="T206" s="46"/>
      <c r="U206" s="48" t="str">
        <f t="shared" si="29"/>
        <v>KRW 36,350</v>
      </c>
      <c r="V206" s="44" t="str">
        <f t="shared" si="29"/>
        <v>KT Corp</v>
      </c>
      <c r="AE206" s="41"/>
      <c r="AF206" s="31"/>
      <c r="AG206" s="31"/>
      <c r="AI206" s="41"/>
      <c r="AJ206" s="64"/>
      <c r="AK206" s="64"/>
      <c r="AM206" s="41"/>
      <c r="AN206" s="17"/>
      <c r="AO206" s="17"/>
      <c r="AQ206" s="41"/>
      <c r="AR206" s="18"/>
      <c r="AS206" s="18"/>
    </row>
    <row r="207" spans="1:69" s="5" customFormat="1">
      <c r="A207" s="39"/>
      <c r="B207" s="42"/>
      <c r="C207" s="48" t="str">
        <f t="shared" si="28"/>
        <v>PT Telkom</v>
      </c>
      <c r="D207" s="44" t="str">
        <f t="shared" si="28"/>
        <v>IDR 2,940</v>
      </c>
      <c r="E207" s="44" t="str">
        <f t="shared" si="28"/>
        <v>IDR 5,000</v>
      </c>
      <c r="F207" s="45">
        <f t="shared" si="28"/>
        <v>0.70068027210884343</v>
      </c>
      <c r="G207" s="44" t="str">
        <f t="shared" si="28"/>
        <v>Buy</v>
      </c>
      <c r="H207" s="46"/>
      <c r="I207" s="47">
        <f>PTT!$D$41</f>
        <v>2.5219019754279861</v>
      </c>
      <c r="J207" s="47">
        <f>PTT!$E$41</f>
        <v>2.4964271907837783</v>
      </c>
      <c r="K207" s="47">
        <f>PTT!$F$41</f>
        <v>2.3230805854782544</v>
      </c>
      <c r="L207" s="47">
        <f>PTT!$G$41</f>
        <v>2.1178407934271335</v>
      </c>
      <c r="M207" s="45">
        <f>PTT!$H$41</f>
        <v>1.5503600178805588E-3</v>
      </c>
      <c r="N207" s="56"/>
      <c r="O207" s="47">
        <f>PTT!$D$37</f>
        <v>3.4364328420400367</v>
      </c>
      <c r="P207" s="47">
        <f>PTT!$E$37</f>
        <v>3.2532269553185462</v>
      </c>
      <c r="Q207" s="47">
        <f>PTT!$F$37</f>
        <v>2.8396335669131343</v>
      </c>
      <c r="R207" s="47">
        <f>PTT!$G$37</f>
        <v>2.4583566751016304</v>
      </c>
      <c r="S207" s="169">
        <f>PTT!$H$37</f>
        <v>5.653076978076732E-2</v>
      </c>
      <c r="T207" s="46"/>
      <c r="U207" s="48" t="str">
        <f t="shared" si="29"/>
        <v>IDR 2,940</v>
      </c>
      <c r="V207" s="44" t="str">
        <f t="shared" si="29"/>
        <v>PT Telkom</v>
      </c>
      <c r="AE207" s="41"/>
      <c r="AF207" s="31"/>
      <c r="AG207" s="31"/>
      <c r="AI207" s="41"/>
      <c r="AJ207" s="64"/>
      <c r="AK207" s="64"/>
      <c r="AM207" s="41"/>
      <c r="AN207" s="17"/>
      <c r="AO207" s="17"/>
      <c r="AQ207" s="41"/>
      <c r="AR207" s="18"/>
      <c r="AS207" s="18"/>
    </row>
    <row r="208" spans="1:69" s="5" customFormat="1">
      <c r="A208" s="39"/>
      <c r="B208" s="42"/>
      <c r="C208" s="51" t="str">
        <f>C146</f>
        <v>Agg. Emerging Asia Incumbent</v>
      </c>
      <c r="D208" s="52"/>
      <c r="E208" s="52"/>
      <c r="F208" s="53"/>
      <c r="G208" s="52"/>
      <c r="H208" s="46"/>
      <c r="I208" s="54">
        <f>'EM ASIA INCUMB'!$D$41</f>
        <v>116.75532871065406</v>
      </c>
      <c r="J208" s="54">
        <f>'EM ASIA INCUMB'!$E$41</f>
        <v>115.79801028360639</v>
      </c>
      <c r="K208" s="54">
        <f>'EM ASIA INCUMB'!$F$41</f>
        <v>104.86126941159976</v>
      </c>
      <c r="L208" s="54">
        <f>'EM ASIA INCUMB'!$G$41</f>
        <v>92.580980329578097</v>
      </c>
      <c r="M208" s="55">
        <f>'EM ASIA INCUMB'!$H$41</f>
        <v>-8.2369426887253239E-3</v>
      </c>
      <c r="N208" s="56"/>
      <c r="O208" s="54">
        <f>'EM ASIA INCUMB'!$D$37</f>
        <v>109.85187218204636</v>
      </c>
      <c r="P208" s="54">
        <f>'EM ASIA INCUMB'!$E$37</f>
        <v>102.75062524768276</v>
      </c>
      <c r="Q208" s="54">
        <f>'EM ASIA INCUMB'!$F$37</f>
        <v>87.876417471662137</v>
      </c>
      <c r="R208" s="54">
        <f>'EM ASIA INCUMB'!$G$37</f>
        <v>74.412257713968671</v>
      </c>
      <c r="S208" s="55">
        <f>'EM ASIA INCUMB'!$H$37</f>
        <v>4.5226973833718986E-2</v>
      </c>
      <c r="T208" s="46"/>
      <c r="U208" s="57"/>
      <c r="V208" s="58" t="str">
        <f>V146</f>
        <v>Agg. Emerging Asia Incumbent</v>
      </c>
      <c r="AE208" s="41"/>
      <c r="AF208" s="31"/>
      <c r="AG208" s="31"/>
      <c r="AI208" s="41"/>
      <c r="AJ208" s="64"/>
      <c r="AK208" s="64"/>
      <c r="AM208" s="41"/>
      <c r="AN208" s="17"/>
      <c r="AO208" s="17"/>
      <c r="AQ208" s="41"/>
      <c r="AR208" s="18"/>
      <c r="AS208" s="18"/>
    </row>
    <row r="209" spans="1:45" s="5" customFormat="1">
      <c r="A209" s="39"/>
      <c r="B209" s="42"/>
      <c r="C209" s="43"/>
      <c r="D209" s="44"/>
      <c r="E209" s="44"/>
      <c r="F209" s="68"/>
      <c r="G209" s="44"/>
      <c r="H209" s="46"/>
      <c r="I209" s="62"/>
      <c r="J209" s="62"/>
      <c r="K209" s="62"/>
      <c r="L209" s="62"/>
      <c r="M209" s="61"/>
      <c r="N209" s="56"/>
      <c r="O209" s="62"/>
      <c r="P209" s="62"/>
      <c r="Q209" s="62"/>
      <c r="R209" s="62"/>
      <c r="S209" s="61"/>
      <c r="T209" s="46"/>
      <c r="U209" s="48"/>
      <c r="V209" s="50"/>
      <c r="AE209" s="41"/>
      <c r="AF209" s="31"/>
      <c r="AG209" s="31"/>
      <c r="AI209" s="41"/>
      <c r="AJ209" s="64"/>
      <c r="AK209" s="64"/>
      <c r="AM209" s="41"/>
      <c r="AN209" s="17"/>
      <c r="AO209" s="17"/>
      <c r="AQ209" s="41"/>
      <c r="AR209" s="18"/>
      <c r="AS209" s="18"/>
    </row>
    <row r="210" spans="1:45" s="5" customFormat="1">
      <c r="A210" s="39"/>
      <c r="B210" s="42"/>
      <c r="C210" s="51" t="str">
        <f>C148</f>
        <v>Agg. Emerging Incumbent</v>
      </c>
      <c r="D210" s="52"/>
      <c r="E210" s="52"/>
      <c r="F210" s="53"/>
      <c r="G210" s="52"/>
      <c r="H210" s="46"/>
      <c r="I210" s="54">
        <f>'EM INCUMB'!$D$41</f>
        <v>73.192015654274968</v>
      </c>
      <c r="J210" s="54">
        <f>'EM INCUMB'!$E$41</f>
        <v>72.225901315613712</v>
      </c>
      <c r="K210" s="54">
        <f>'EM INCUMB'!$F$41</f>
        <v>65.390223329659477</v>
      </c>
      <c r="L210" s="54">
        <f>'EM INCUMB'!$G$41</f>
        <v>57.627095382058755</v>
      </c>
      <c r="M210" s="55">
        <f>'EM INCUMB'!$H$41</f>
        <v>-5.7044998568572813E-3</v>
      </c>
      <c r="N210" s="56"/>
      <c r="O210" s="54">
        <f>'EM INCUMB'!$D$37</f>
        <v>77.390130364881429</v>
      </c>
      <c r="P210" s="54">
        <f>'EM INCUMB'!$E$37</f>
        <v>72.512941061391317</v>
      </c>
      <c r="Q210" s="54">
        <f>'EM INCUMB'!$F$37</f>
        <v>62.400788137070009</v>
      </c>
      <c r="R210" s="54">
        <f>'EM INCUMB'!$G$37</f>
        <v>53.058255887060461</v>
      </c>
      <c r="S210" s="55">
        <f>'EM INCUMB'!$H$37</f>
        <v>4.1231626442215452E-2</v>
      </c>
      <c r="T210" s="46"/>
      <c r="U210" s="57"/>
      <c r="V210" s="58" t="str">
        <f>V148</f>
        <v>Agg. Emerging Incumbent</v>
      </c>
      <c r="AE210" s="41"/>
      <c r="AF210" s="31"/>
      <c r="AG210" s="31"/>
      <c r="AI210" s="41"/>
      <c r="AJ210" s="64"/>
      <c r="AK210" s="64"/>
      <c r="AM210" s="41"/>
      <c r="AN210" s="17"/>
      <c r="AO210" s="17"/>
      <c r="AQ210" s="41"/>
      <c r="AR210" s="18"/>
      <c r="AS210" s="18"/>
    </row>
    <row r="211" spans="1:45" s="5" customFormat="1">
      <c r="A211" s="39"/>
      <c r="B211" s="42"/>
      <c r="C211" s="43"/>
      <c r="D211" s="44"/>
      <c r="E211" s="44"/>
      <c r="F211" s="45"/>
      <c r="G211" s="44"/>
      <c r="H211" s="46"/>
      <c r="I211" s="47"/>
      <c r="J211" s="47"/>
      <c r="K211" s="47"/>
      <c r="L211" s="47"/>
      <c r="M211" s="45"/>
      <c r="N211" s="56"/>
      <c r="O211" s="47"/>
      <c r="P211" s="47"/>
      <c r="Q211" s="47"/>
      <c r="R211" s="47"/>
      <c r="S211" s="45"/>
      <c r="T211" s="46"/>
      <c r="U211" s="48"/>
      <c r="V211" s="50"/>
      <c r="AE211" s="41"/>
      <c r="AF211" s="31"/>
      <c r="AG211" s="31"/>
      <c r="AI211" s="41"/>
      <c r="AJ211" s="64"/>
      <c r="AK211" s="64"/>
      <c r="AM211" s="41"/>
      <c r="AN211" s="17"/>
      <c r="AO211" s="17"/>
      <c r="AQ211" s="41"/>
      <c r="AR211" s="18"/>
      <c r="AS211" s="18"/>
    </row>
    <row r="212" spans="1:45" s="5" customFormat="1">
      <c r="A212" s="41" t="s">
        <v>507</v>
      </c>
      <c r="B212" s="42"/>
      <c r="C212" s="48" t="str">
        <f t="shared" ref="C212:G218" si="30">C150</f>
        <v>Airtel Africa</v>
      </c>
      <c r="D212" s="44" t="str">
        <f t="shared" si="30"/>
        <v>USD 1.21</v>
      </c>
      <c r="E212" s="44" t="str">
        <f t="shared" si="30"/>
        <v>USD 1.50</v>
      </c>
      <c r="F212" s="45">
        <f t="shared" si="30"/>
        <v>0.2396694214876034</v>
      </c>
      <c r="G212" s="44" t="str">
        <f t="shared" si="30"/>
        <v>Buy</v>
      </c>
      <c r="H212" s="46"/>
      <c r="I212" s="47">
        <f>AAF!$D$41</f>
        <v>1.7067868991594182</v>
      </c>
      <c r="J212" s="47">
        <f>AAF!$E$41</f>
        <v>1.6841764642178081</v>
      </c>
      <c r="K212" s="47">
        <f>AAF!$F$41</f>
        <v>1.5910790100400161</v>
      </c>
      <c r="L212" s="47">
        <f>AAF!$G$41</f>
        <v>1.4930478199461032</v>
      </c>
      <c r="M212" s="45">
        <f>AAF!$H$41</f>
        <v>2.0774567136006894E-2</v>
      </c>
      <c r="N212" s="56"/>
      <c r="O212" s="47">
        <f>AAF!$D$37</f>
        <v>2.2423759289636296</v>
      </c>
      <c r="P212" s="47">
        <f>AAF!$E$37</f>
        <v>2.2424810721234798</v>
      </c>
      <c r="Q212" s="47">
        <f>AAF!$F$37</f>
        <v>1.9901645382647926</v>
      </c>
      <c r="R212" s="47">
        <f>AAF!$G$37</f>
        <v>1.7980432329520035</v>
      </c>
      <c r="S212" s="169">
        <f>AAF!$H$37</f>
        <v>5.0825841545305339E-2</v>
      </c>
      <c r="T212" s="46"/>
      <c r="U212" s="48" t="str">
        <f t="shared" ref="U212:V218" si="31">U150</f>
        <v>USD 1.21</v>
      </c>
      <c r="V212" s="44" t="str">
        <f t="shared" si="31"/>
        <v>Airtel Africa</v>
      </c>
      <c r="AE212" s="41"/>
      <c r="AF212" s="31"/>
      <c r="AG212" s="31"/>
      <c r="AI212" s="41"/>
      <c r="AJ212" s="64"/>
      <c r="AK212" s="64"/>
      <c r="AM212" s="41"/>
      <c r="AN212" s="17"/>
      <c r="AO212" s="17"/>
      <c r="AQ212" s="41"/>
      <c r="AR212" s="18"/>
      <c r="AS212" s="18"/>
    </row>
    <row r="213" spans="1:45" s="5" customFormat="1">
      <c r="A213" s="41"/>
      <c r="B213" s="42"/>
      <c r="C213" s="48" t="str">
        <f t="shared" si="30"/>
        <v>MobileTeleSystems</v>
      </c>
      <c r="D213" s="44" t="str">
        <f t="shared" si="30"/>
        <v>USD 10.00</v>
      </c>
      <c r="E213" s="44" t="str">
        <f t="shared" si="30"/>
        <v>USD 10.10</v>
      </c>
      <c r="F213" s="45">
        <f t="shared" si="30"/>
        <v>1.0000000000000009E-2</v>
      </c>
      <c r="G213" s="44" t="str">
        <f t="shared" si="30"/>
        <v>Buy</v>
      </c>
      <c r="H213" s="46"/>
      <c r="I213" s="47">
        <f>MTS!$D$41</f>
        <v>2.5605850240925556</v>
      </c>
      <c r="J213" s="47">
        <f>MTS!$E$41</f>
        <v>2.5046518343738158</v>
      </c>
      <c r="K213" s="47">
        <f>MTS!$F$41</f>
        <v>2.436342393116246</v>
      </c>
      <c r="L213" s="47">
        <f>MTS!$G$41</f>
        <v>2.360636684123067</v>
      </c>
      <c r="M213" s="45">
        <f>MTS!$H$41</f>
        <v>-9.6794102526188697E-3</v>
      </c>
      <c r="N213" s="56"/>
      <c r="O213" s="47">
        <f>MTS!$D$37</f>
        <v>2.8845671051660804</v>
      </c>
      <c r="P213" s="47">
        <f>MTS!$E$37</f>
        <v>2.7222666832816316</v>
      </c>
      <c r="Q213" s="47">
        <f>MTS!$F$37</f>
        <v>2.5698164393385907</v>
      </c>
      <c r="R213" s="47">
        <f>MTS!$G$37</f>
        <v>2.4267352735492227</v>
      </c>
      <c r="S213" s="169">
        <f>MTS!$H$37</f>
        <v>2.0998741327123316E-2</v>
      </c>
      <c r="T213" s="46"/>
      <c r="U213" s="48" t="str">
        <f t="shared" si="31"/>
        <v>USD 10.00</v>
      </c>
      <c r="V213" s="44" t="str">
        <f t="shared" si="31"/>
        <v>MobileTeleSystems</v>
      </c>
      <c r="AE213" s="41"/>
      <c r="AF213" s="31"/>
      <c r="AG213" s="31"/>
      <c r="AI213" s="41"/>
      <c r="AJ213" s="64"/>
      <c r="AK213" s="64"/>
      <c r="AM213" s="41"/>
      <c r="AN213" s="17"/>
      <c r="AO213" s="17"/>
      <c r="AQ213" s="41"/>
      <c r="AR213" s="18"/>
      <c r="AS213" s="18"/>
    </row>
    <row r="214" spans="1:45" s="5" customFormat="1">
      <c r="A214" s="39"/>
      <c r="B214" s="42"/>
      <c r="C214" s="48" t="str">
        <f t="shared" si="30"/>
        <v>MTN</v>
      </c>
      <c r="D214" s="44" t="str">
        <f t="shared" si="30"/>
        <v>ZAR 86.08</v>
      </c>
      <c r="E214" s="44" t="str">
        <f t="shared" si="30"/>
        <v>ZAR 130.00</v>
      </c>
      <c r="F214" s="45">
        <f t="shared" si="30"/>
        <v>0.5102230483271375</v>
      </c>
      <c r="G214" s="44" t="str">
        <f t="shared" si="30"/>
        <v>Buy</v>
      </c>
      <c r="H214" s="46"/>
      <c r="I214" s="47">
        <f>MTN!$D$41</f>
        <v>1.439671206238512</v>
      </c>
      <c r="J214" s="47">
        <f>MTN!$E$41</f>
        <v>1.4987768406617683</v>
      </c>
      <c r="K214" s="47">
        <f>MTN!$F$41</f>
        <v>1.5267099344117609</v>
      </c>
      <c r="L214" s="47">
        <f>MTN!$G$41</f>
        <v>1.5377776940874837</v>
      </c>
      <c r="M214" s="45">
        <f>MTN!$H$41</f>
        <v>2.3878421348017431E-2</v>
      </c>
      <c r="N214" s="56"/>
      <c r="O214" s="47">
        <f>MTN!$D$37</f>
        <v>1.4825223969459278</v>
      </c>
      <c r="P214" s="47">
        <f>MTN!$E$37</f>
        <v>1.7484711941938953</v>
      </c>
      <c r="Q214" s="47">
        <f>MTN!$F$37</f>
        <v>1.6005609562171441</v>
      </c>
      <c r="R214" s="47">
        <f>MTN!$G$37</f>
        <v>1.491192799565112</v>
      </c>
      <c r="S214" s="169">
        <f>MTN!$H$37</f>
        <v>4.4594234907070041E-2</v>
      </c>
      <c r="T214" s="46"/>
      <c r="U214" s="48" t="str">
        <f t="shared" si="31"/>
        <v>ZAR 86.08</v>
      </c>
      <c r="V214" s="44" t="str">
        <f t="shared" si="31"/>
        <v>MTN</v>
      </c>
      <c r="AE214" s="41"/>
      <c r="AF214" s="31"/>
      <c r="AG214" s="31"/>
      <c r="AI214" s="41"/>
      <c r="AJ214" s="64"/>
      <c r="AK214" s="64"/>
      <c r="AM214" s="41"/>
      <c r="AN214" s="17"/>
      <c r="AO214" s="17"/>
      <c r="AQ214" s="41"/>
      <c r="AR214" s="18"/>
      <c r="AS214" s="18"/>
    </row>
    <row r="215" spans="1:45" s="5" customFormat="1">
      <c r="A215" s="39"/>
      <c r="B215" s="42"/>
      <c r="C215" s="48" t="str">
        <f t="shared" si="30"/>
        <v>Safaricom</v>
      </c>
      <c r="D215" s="44" t="str">
        <f t="shared" si="30"/>
        <v>KES 17.75</v>
      </c>
      <c r="E215" s="44" t="str">
        <f t="shared" si="30"/>
        <v>KES 17.0</v>
      </c>
      <c r="F215" s="45">
        <f t="shared" si="30"/>
        <v>-4.2253521126760618E-2</v>
      </c>
      <c r="G215" s="44" t="str">
        <f t="shared" si="30"/>
        <v>Neutral</v>
      </c>
      <c r="H215" s="46"/>
      <c r="I215" s="47">
        <f>SAF!$D$41</f>
        <v>2.1545844961974994</v>
      </c>
      <c r="J215" s="47">
        <f>SAF!$E$41</f>
        <v>1.5892171613215162</v>
      </c>
      <c r="K215" s="47">
        <f>SAF!$F$41</f>
        <v>1.2008578621708241</v>
      </c>
      <c r="L215" s="47">
        <f>SAF!$G$41</f>
        <v>0.91792167871597796</v>
      </c>
      <c r="M215" s="45">
        <f>SAF!$H$41</f>
        <v>0.23777432397007026</v>
      </c>
      <c r="N215" s="56"/>
      <c r="O215" s="47">
        <f>SAF!$D$37</f>
        <v>2.1379762162372717</v>
      </c>
      <c r="P215" s="47">
        <f>SAF!$E$37</f>
        <v>1.9051056071150716</v>
      </c>
      <c r="Q215" s="47">
        <f>SAF!$F$37</f>
        <v>1.6713247811581082</v>
      </c>
      <c r="R215" s="47">
        <f>SAF!$G$37</f>
        <v>1.403252478072782</v>
      </c>
      <c r="S215" s="169">
        <f>SAF!$H$37</f>
        <v>7.1711404607406992E-2</v>
      </c>
      <c r="T215" s="46"/>
      <c r="U215" s="48" t="str">
        <f t="shared" si="31"/>
        <v>KES 17.75</v>
      </c>
      <c r="V215" s="44" t="str">
        <f t="shared" si="31"/>
        <v>Safaricom</v>
      </c>
      <c r="AE215" s="41"/>
      <c r="AF215" s="31"/>
      <c r="AG215" s="31"/>
      <c r="AI215" s="41"/>
      <c r="AJ215" s="64"/>
      <c r="AK215" s="64"/>
      <c r="AM215" s="41"/>
      <c r="AN215" s="17"/>
      <c r="AO215" s="17"/>
      <c r="AQ215" s="41"/>
      <c r="AR215" s="18"/>
      <c r="AS215" s="18"/>
    </row>
    <row r="216" spans="1:45" s="5" customFormat="1">
      <c r="A216" s="39"/>
      <c r="B216" s="42"/>
      <c r="C216" s="48" t="str">
        <f t="shared" si="30"/>
        <v>Turkcell</v>
      </c>
      <c r="D216" s="44" t="str">
        <f t="shared" si="30"/>
        <v>USD 91.80</v>
      </c>
      <c r="E216" s="44" t="str">
        <f t="shared" si="30"/>
        <v>USD 16.90</v>
      </c>
      <c r="F216" s="45">
        <f t="shared" si="30"/>
        <v>-0.81590413943355122</v>
      </c>
      <c r="G216" s="44" t="str">
        <f t="shared" si="30"/>
        <v>Buy</v>
      </c>
      <c r="H216" s="46"/>
      <c r="I216" s="47">
        <f>TKC!$D$41</f>
        <v>6.0273285172729487</v>
      </c>
      <c r="J216" s="47">
        <f>TKC!$E$41</f>
        <v>5.8778039699222502</v>
      </c>
      <c r="K216" s="47">
        <f>TKC!$F$41</f>
        <v>5.743187276676827</v>
      </c>
      <c r="L216" s="47">
        <f>TKC!$G$41</f>
        <v>5.5593177248127574</v>
      </c>
      <c r="M216" s="45">
        <f>TKC!$H$41</f>
        <v>4.7847525913957689E-4</v>
      </c>
      <c r="N216" s="56"/>
      <c r="O216" s="47">
        <f>TKC!$D$37</f>
        <v>5.7241736641848453</v>
      </c>
      <c r="P216" s="47">
        <f>TKC!$E$37</f>
        <v>5.2319719797515907</v>
      </c>
      <c r="Q216" s="47">
        <f>TKC!$F$37</f>
        <v>4.7652119905082291</v>
      </c>
      <c r="R216" s="47">
        <f>TKC!$G$37</f>
        <v>4.3315248717658381</v>
      </c>
      <c r="S216" s="169">
        <f>TKC!$H$37</f>
        <v>6.8720048316360804E-2</v>
      </c>
      <c r="T216" s="46"/>
      <c r="U216" s="48" t="str">
        <f t="shared" si="31"/>
        <v>USD 91.80</v>
      </c>
      <c r="V216" s="44" t="str">
        <f t="shared" si="31"/>
        <v>Turkcell</v>
      </c>
      <c r="AE216" s="41"/>
      <c r="AF216" s="31"/>
      <c r="AG216" s="31"/>
      <c r="AI216" s="41"/>
      <c r="AJ216" s="64"/>
      <c r="AK216" s="64"/>
      <c r="AM216" s="41"/>
      <c r="AN216" s="17"/>
      <c r="AO216" s="17"/>
      <c r="AQ216" s="41"/>
      <c r="AR216" s="18"/>
      <c r="AS216" s="18"/>
    </row>
    <row r="217" spans="1:45" s="5" customFormat="1">
      <c r="A217" s="39"/>
      <c r="B217" s="42"/>
      <c r="C217" s="48" t="str">
        <f t="shared" si="30"/>
        <v>VEON</v>
      </c>
      <c r="D217" s="44" t="str">
        <f t="shared" si="30"/>
        <v>USD 25.5</v>
      </c>
      <c r="E217" s="44" t="str">
        <f t="shared" si="30"/>
        <v>USD 40.0</v>
      </c>
      <c r="F217" s="45">
        <f t="shared" si="30"/>
        <v>0.56678417547982751</v>
      </c>
      <c r="G217" s="44" t="str">
        <f t="shared" si="30"/>
        <v>Buy</v>
      </c>
      <c r="H217" s="46"/>
      <c r="I217" s="47">
        <f>VIMP!$D$41</f>
        <v>12.720694020017778</v>
      </c>
      <c r="J217" s="47">
        <f>VIMP!$E$41</f>
        <v>11.997107686905535</v>
      </c>
      <c r="K217" s="47">
        <f>VIMP!$F$41</f>
        <v>11.231366864264448</v>
      </c>
      <c r="L217" s="47">
        <f>VIMP!$G$41</f>
        <v>10.533308523040343</v>
      </c>
      <c r="M217" s="45">
        <f>VIMP!$H$41</f>
        <v>5.5900317204622407E-2</v>
      </c>
      <c r="N217" s="56"/>
      <c r="O217" s="47">
        <f>VIMP!$D$37</f>
        <v>13.32423550039683</v>
      </c>
      <c r="P217" s="47">
        <f>VIMP!$E$37</f>
        <v>12.623302461978314</v>
      </c>
      <c r="Q217" s="47">
        <f>VIMP!$F$37</f>
        <v>11.97506164871033</v>
      </c>
      <c r="R217" s="47">
        <f>VIMP!$G$37</f>
        <v>11.430081802230882</v>
      </c>
      <c r="S217" s="45">
        <f>VIMP!$H$37</f>
        <v>4.353072435664318E-2</v>
      </c>
      <c r="T217" s="46"/>
      <c r="U217" s="48" t="str">
        <f t="shared" si="31"/>
        <v>USD 25.5</v>
      </c>
      <c r="V217" s="44" t="str">
        <f t="shared" si="31"/>
        <v>Vimpel Com</v>
      </c>
      <c r="AE217" s="41"/>
      <c r="AF217" s="31"/>
      <c r="AG217" s="31"/>
      <c r="AI217" s="41"/>
      <c r="AJ217" s="64"/>
      <c r="AK217" s="64"/>
      <c r="AM217" s="41"/>
      <c r="AN217" s="17"/>
      <c r="AO217" s="17"/>
      <c r="AQ217" s="41"/>
      <c r="AR217" s="18"/>
      <c r="AS217" s="18"/>
    </row>
    <row r="218" spans="1:45" s="5" customFormat="1">
      <c r="A218" s="39"/>
      <c r="B218" s="42"/>
      <c r="C218" s="48" t="str">
        <f t="shared" si="30"/>
        <v>Vodacom</v>
      </c>
      <c r="D218" s="44" t="str">
        <f t="shared" si="30"/>
        <v>ZAR 95.8</v>
      </c>
      <c r="E218" s="44" t="str">
        <f t="shared" si="30"/>
        <v>ZAR 130.0</v>
      </c>
      <c r="F218" s="45">
        <f t="shared" si="30"/>
        <v>0.35685210312075988</v>
      </c>
      <c r="G218" s="44" t="str">
        <f t="shared" si="30"/>
        <v>Neutral</v>
      </c>
      <c r="H218" s="46"/>
      <c r="I218" s="47">
        <f>VODA!$D$41</f>
        <v>1.4643549921749048</v>
      </c>
      <c r="J218" s="47">
        <f>VODA!$E$41</f>
        <v>1.439824260269458</v>
      </c>
      <c r="K218" s="47">
        <f>VODA!$F$41</f>
        <v>1.3212279310829658</v>
      </c>
      <c r="L218" s="47">
        <f>VODA!$G$41</f>
        <v>1.1901898775926998</v>
      </c>
      <c r="M218" s="45">
        <f>VODA!$H$41</f>
        <v>-1.8167020605997397E-2</v>
      </c>
      <c r="N218" s="56"/>
      <c r="O218" s="47">
        <f>VODA!$D$37</f>
        <v>1.2934322726207876</v>
      </c>
      <c r="P218" s="47">
        <f>VODA!$E$37</f>
        <v>1.2581586806688179</v>
      </c>
      <c r="Q218" s="47">
        <f>VODA!$F$37</f>
        <v>1.0705785229675326</v>
      </c>
      <c r="R218" s="47">
        <f>VODA!$G$37</f>
        <v>0.90185666241191964</v>
      </c>
      <c r="S218" s="45">
        <f>VODA!$H$37</f>
        <v>3.3307625059563861E-2</v>
      </c>
      <c r="T218" s="46"/>
      <c r="U218" s="48" t="str">
        <f t="shared" si="31"/>
        <v>ZAR 95.8</v>
      </c>
      <c r="V218" s="44" t="str">
        <f t="shared" si="31"/>
        <v>Vodacom</v>
      </c>
      <c r="AE218" s="41"/>
      <c r="AF218" s="31"/>
      <c r="AG218" s="31"/>
      <c r="AI218" s="41"/>
      <c r="AJ218" s="64"/>
      <c r="AK218" s="64"/>
      <c r="AM218" s="41"/>
      <c r="AN218" s="17"/>
      <c r="AO218" s="17"/>
      <c r="AQ218" s="41"/>
      <c r="AR218" s="18"/>
      <c r="AS218" s="18"/>
    </row>
    <row r="219" spans="1:45" s="5" customFormat="1">
      <c r="A219" s="39"/>
      <c r="B219" s="42"/>
      <c r="C219" s="51" t="str">
        <f>C157</f>
        <v>Agg. EMEA Cellular</v>
      </c>
      <c r="D219" s="52"/>
      <c r="E219" s="52"/>
      <c r="F219" s="53"/>
      <c r="G219" s="52"/>
      <c r="H219" s="46"/>
      <c r="I219" s="54">
        <f>'EMEA CELLULAR'!$D$41</f>
        <v>2.9063718801101484</v>
      </c>
      <c r="J219" s="54">
        <f>'EMEA CELLULAR'!$E$41</f>
        <v>2.8096465424917763</v>
      </c>
      <c r="K219" s="54">
        <f>'EMEA CELLULAR'!$F$41</f>
        <v>2.6770412504562215</v>
      </c>
      <c r="L219" s="54">
        <f>'EMEA CELLULAR'!$G$41</f>
        <v>2.5396311085256196</v>
      </c>
      <c r="M219" s="55">
        <f>'EMEA CELLULAR'!$H$41</f>
        <v>3.1066523451782402E-2</v>
      </c>
      <c r="N219" s="56"/>
      <c r="O219" s="54">
        <f>'EMEA CELLULAR'!$D$37</f>
        <v>3.0372013947638039</v>
      </c>
      <c r="P219" s="54">
        <f>'EMEA CELLULAR'!$E$37</f>
        <v>3.0765788213213532</v>
      </c>
      <c r="Q219" s="54">
        <f>'EMEA CELLULAR'!$F$37</f>
        <v>2.7986180316483407</v>
      </c>
      <c r="R219" s="54">
        <f>'EMEA CELLULAR'!$G$37</f>
        <v>2.565989431468322</v>
      </c>
      <c r="S219" s="55">
        <f>'EMEA CELLULAR'!$H$37</f>
        <v>4.2716103268778172E-2</v>
      </c>
      <c r="T219" s="46"/>
      <c r="U219" s="57"/>
      <c r="V219" s="58" t="str">
        <f>V157</f>
        <v>Agg. EMEA Cellular</v>
      </c>
      <c r="AE219" s="41"/>
      <c r="AF219" s="31"/>
      <c r="AG219" s="31"/>
      <c r="AI219" s="41"/>
      <c r="AJ219" s="64"/>
      <c r="AK219" s="64"/>
      <c r="AM219" s="41"/>
      <c r="AN219" s="17"/>
      <c r="AO219" s="17"/>
      <c r="AQ219" s="41"/>
      <c r="AR219" s="18"/>
      <c r="AS219" s="18"/>
    </row>
    <row r="220" spans="1:45" s="5" customFormat="1">
      <c r="B220" s="42"/>
      <c r="C220" s="43"/>
      <c r="D220" s="44"/>
      <c r="E220" s="44"/>
      <c r="F220" s="45"/>
      <c r="G220" s="44"/>
      <c r="H220" s="46"/>
      <c r="I220" s="47"/>
      <c r="J220" s="47"/>
      <c r="K220" s="47"/>
      <c r="L220" s="47"/>
      <c r="M220" s="45"/>
      <c r="N220" s="56"/>
      <c r="O220" s="47"/>
      <c r="P220" s="47"/>
      <c r="Q220" s="47"/>
      <c r="R220" s="47"/>
      <c r="S220" s="45"/>
      <c r="T220" s="46"/>
      <c r="U220" s="48"/>
      <c r="V220" s="50"/>
      <c r="AE220" s="41"/>
      <c r="AF220" s="31"/>
      <c r="AG220" s="31"/>
      <c r="AI220" s="41"/>
      <c r="AJ220" s="64"/>
      <c r="AK220" s="64"/>
      <c r="AM220" s="41"/>
      <c r="AN220" s="17"/>
      <c r="AO220" s="17"/>
      <c r="AQ220" s="41"/>
      <c r="AR220" s="18"/>
      <c r="AS220" s="18"/>
    </row>
    <row r="221" spans="1:45" s="5" customFormat="1">
      <c r="B221" s="42"/>
      <c r="C221" s="48" t="str">
        <f t="shared" ref="C221:G223" si="32">C159</f>
        <v>Entel</v>
      </c>
      <c r="D221" s="44" t="str">
        <f t="shared" si="32"/>
        <v>CLP 3,022</v>
      </c>
      <c r="E221" s="44" t="str">
        <f t="shared" si="32"/>
        <v>CLP 3,150</v>
      </c>
      <c r="F221" s="45">
        <f t="shared" si="32"/>
        <v>4.2356055592323028E-2</v>
      </c>
      <c r="G221" s="44" t="str">
        <f t="shared" si="32"/>
        <v>Neutral</v>
      </c>
      <c r="H221" s="46"/>
      <c r="I221" s="47">
        <f>ENTEL!$D$41</f>
        <v>0.71953923633981642</v>
      </c>
      <c r="J221" s="47">
        <f>ENTEL!$E$41</f>
        <v>0.66504374412220579</v>
      </c>
      <c r="K221" s="47">
        <f>ENTEL!$F$41</f>
        <v>0.59013349233346035</v>
      </c>
      <c r="L221" s="47">
        <f>ENTEL!$G$41</f>
        <v>0.49492640770253166</v>
      </c>
      <c r="M221" s="45">
        <f>ENTEL!$H$41</f>
        <v>7.3836120578982811E-3</v>
      </c>
      <c r="N221" s="56"/>
      <c r="O221" s="47">
        <f>ENTEL!$D$37</f>
        <v>1.0759197419482147</v>
      </c>
      <c r="P221" s="47">
        <f>ENTEL!$E$37</f>
        <v>0.97924770605103262</v>
      </c>
      <c r="Q221" s="47">
        <f>ENTEL!$F$37</f>
        <v>0.85036542935497939</v>
      </c>
      <c r="R221" s="47">
        <f>ENTEL!$G$37</f>
        <v>0.69569041833659839</v>
      </c>
      <c r="S221" s="169">
        <f>ENTEL!$H$37</f>
        <v>2.8359304202485891E-2</v>
      </c>
      <c r="T221" s="46"/>
      <c r="U221" s="48" t="str">
        <f t="shared" ref="U221:V223" si="33">U159</f>
        <v>CLP 3,022</v>
      </c>
      <c r="V221" s="44" t="str">
        <f t="shared" si="33"/>
        <v>Entel</v>
      </c>
      <c r="AE221" s="41"/>
      <c r="AF221" s="31"/>
      <c r="AG221" s="31"/>
      <c r="AI221" s="41"/>
      <c r="AJ221" s="64"/>
      <c r="AK221" s="64"/>
      <c r="AM221" s="41"/>
      <c r="AN221" s="17"/>
      <c r="AO221" s="17"/>
      <c r="AQ221" s="41"/>
      <c r="AR221" s="18"/>
      <c r="AS221" s="18"/>
    </row>
    <row r="222" spans="1:45" s="5" customFormat="1">
      <c r="B222" s="42"/>
      <c r="C222" s="48" t="str">
        <f t="shared" si="32"/>
        <v>Millicom</v>
      </c>
      <c r="D222" s="44" t="str">
        <f t="shared" si="32"/>
        <v>USD  24.1</v>
      </c>
      <c r="E222" s="44" t="str">
        <f t="shared" si="32"/>
        <v>USD 18.0</v>
      </c>
      <c r="F222" s="45">
        <f t="shared" si="32"/>
        <v>-0.25280199252801994</v>
      </c>
      <c r="G222" s="44" t="str">
        <f t="shared" si="32"/>
        <v>Neutral</v>
      </c>
      <c r="H222" s="46"/>
      <c r="I222" s="47">
        <f>MILLI!$D$41</f>
        <v>4.4646007962321734</v>
      </c>
      <c r="J222" s="47">
        <f>MILLI!$E$41</f>
        <v>4.3995298961581035</v>
      </c>
      <c r="K222" s="47">
        <f>MILLI!$F$41</f>
        <v>4.2348228484627661</v>
      </c>
      <c r="L222" s="47">
        <f>MILLI!$G$41</f>
        <v>3.8935074422046809</v>
      </c>
      <c r="M222" s="45">
        <f>MILLI!$H$41</f>
        <v>2.6232655829803386E-2</v>
      </c>
      <c r="N222" s="56"/>
      <c r="O222" s="47">
        <f>MILLI!$D$37</f>
        <v>2.8365548423936104</v>
      </c>
      <c r="P222" s="47">
        <f>MILLI!$E$37</f>
        <v>2.790327052208045</v>
      </c>
      <c r="Q222" s="47">
        <f>MILLI!$F$37</f>
        <v>2.6797978379074174</v>
      </c>
      <c r="R222" s="47">
        <f>MILLI!$G$37</f>
        <v>2.537300791485595</v>
      </c>
      <c r="S222" s="169">
        <f>MILLI!$H$37</f>
        <v>1.7587349161343635E-2</v>
      </c>
      <c r="T222" s="46"/>
      <c r="U222" s="48" t="str">
        <f t="shared" si="33"/>
        <v>USD  24.1</v>
      </c>
      <c r="V222" s="44" t="str">
        <f t="shared" si="33"/>
        <v>Millicom</v>
      </c>
      <c r="AE222" s="41"/>
      <c r="AF222" s="31"/>
      <c r="AG222" s="31"/>
      <c r="AI222" s="41"/>
      <c r="AJ222" s="64"/>
      <c r="AK222" s="64"/>
      <c r="AM222" s="41"/>
      <c r="AN222" s="17"/>
      <c r="AO222" s="17"/>
      <c r="AQ222" s="41"/>
      <c r="AR222" s="18"/>
      <c r="AS222" s="18"/>
    </row>
    <row r="223" spans="1:45" s="5" customFormat="1">
      <c r="B223" s="42"/>
      <c r="C223" s="48" t="str">
        <f t="shared" si="32"/>
        <v>TIM Participacoes</v>
      </c>
      <c r="D223" s="44" t="str">
        <f t="shared" si="32"/>
        <v>BRL 16.42</v>
      </c>
      <c r="E223" s="44" t="str">
        <f t="shared" si="32"/>
        <v>BRL 23.00</v>
      </c>
      <c r="F223" s="45">
        <f t="shared" si="32"/>
        <v>0.40073081607795347</v>
      </c>
      <c r="G223" s="44" t="str">
        <f t="shared" si="32"/>
        <v>Buy</v>
      </c>
      <c r="H223" s="46"/>
      <c r="I223" s="47">
        <f>TIMP!$D$41</f>
        <v>1.1658262229019334</v>
      </c>
      <c r="J223" s="47">
        <f>TIMP!$E$41</f>
        <v>1.0637845793502769</v>
      </c>
      <c r="K223" s="47">
        <f>TIMP!$F$41</f>
        <v>0.9261462199893542</v>
      </c>
      <c r="L223" s="47">
        <f>TIMP!$G$41</f>
        <v>0.75881345112869125</v>
      </c>
      <c r="M223" s="45">
        <f>TIMP!$H$41</f>
        <v>-1.6807548965773189E-2</v>
      </c>
      <c r="N223" s="56"/>
      <c r="O223" s="47">
        <f>TIMP!$D$37</f>
        <v>1.9573733861816445</v>
      </c>
      <c r="P223" s="47">
        <f>TIMP!$E$37</f>
        <v>1.633859530213658</v>
      </c>
      <c r="Q223" s="47">
        <f>TIMP!$F$37</f>
        <v>1.3237907501542443</v>
      </c>
      <c r="R223" s="47">
        <f>TIMP!$G$37</f>
        <v>1.0169501418917162</v>
      </c>
      <c r="S223" s="45">
        <f>TIMP!$H$37</f>
        <v>5.9896866881330002E-2</v>
      </c>
      <c r="T223" s="46"/>
      <c r="U223" s="48" t="str">
        <f t="shared" si="33"/>
        <v>BRL 16.42</v>
      </c>
      <c r="V223" s="44" t="str">
        <f t="shared" si="33"/>
        <v>TIM Participacoes</v>
      </c>
      <c r="AE223" s="41"/>
      <c r="AF223" s="31"/>
      <c r="AG223" s="31"/>
      <c r="AI223" s="41"/>
      <c r="AJ223" s="64"/>
      <c r="AK223" s="64"/>
      <c r="AM223" s="41"/>
      <c r="AN223" s="17"/>
      <c r="AO223" s="17"/>
      <c r="AQ223" s="41"/>
      <c r="AR223" s="18"/>
      <c r="AS223" s="18"/>
    </row>
    <row r="224" spans="1:45" s="5" customFormat="1">
      <c r="B224" s="42"/>
      <c r="C224" s="51" t="str">
        <f>C162</f>
        <v>Agg. LatAm Cellular</v>
      </c>
      <c r="D224" s="52"/>
      <c r="E224" s="52"/>
      <c r="F224" s="53"/>
      <c r="G224" s="52"/>
      <c r="H224" s="46"/>
      <c r="I224" s="54">
        <f>'LATAM CELLULAR'!$D$41</f>
        <v>1.8452675851036058</v>
      </c>
      <c r="J224" s="54">
        <f>'LATAM CELLULAR'!$E$41</f>
        <v>1.7730353181200462</v>
      </c>
      <c r="K224" s="54">
        <f>'LATAM CELLULAR'!$F$41</f>
        <v>1.6572553203995799</v>
      </c>
      <c r="L224" s="54">
        <f>'LATAM CELLULAR'!$G$41</f>
        <v>1.5038178651110559</v>
      </c>
      <c r="M224" s="55">
        <f>'LATAM CELLULAR'!$H$41</f>
        <v>-1.6437518757150826E-4</v>
      </c>
      <c r="N224" s="56"/>
      <c r="O224" s="54">
        <f>'LATAM CELLULAR'!$D$37</f>
        <v>2.1756139095100253</v>
      </c>
      <c r="P224" s="54">
        <f>'LATAM CELLULAR'!$E$37</f>
        <v>2.008321324080522</v>
      </c>
      <c r="Q224" s="54">
        <f>'LATAM CELLULAR'!$F$37</f>
        <v>1.8102479294249028</v>
      </c>
      <c r="R224" s="54">
        <f>'LATAM CELLULAR'!$G$37</f>
        <v>1.5971586695816715</v>
      </c>
      <c r="S224" s="55">
        <f>'LATAM CELLULAR'!$H$37</f>
        <v>3.5265696156160375E-2</v>
      </c>
      <c r="T224" s="46"/>
      <c r="U224" s="57"/>
      <c r="V224" s="58" t="str">
        <f>V162</f>
        <v>Agg. LatAm Cellular</v>
      </c>
      <c r="AE224" s="41"/>
      <c r="AF224" s="31"/>
      <c r="AG224" s="31"/>
      <c r="AI224" s="41"/>
      <c r="AJ224" s="64"/>
      <c r="AK224" s="64"/>
      <c r="AM224" s="41"/>
      <c r="AN224" s="17"/>
      <c r="AO224" s="17"/>
      <c r="AQ224" s="41"/>
      <c r="AR224" s="18"/>
      <c r="AS224" s="18"/>
    </row>
    <row r="225" spans="1:45" s="5" customFormat="1">
      <c r="A225" s="39"/>
      <c r="B225" s="42"/>
      <c r="C225" s="43"/>
      <c r="D225" s="44"/>
      <c r="E225" s="44"/>
      <c r="F225" s="45"/>
      <c r="G225" s="44"/>
      <c r="H225" s="46"/>
      <c r="I225" s="47"/>
      <c r="J225" s="47"/>
      <c r="K225" s="47"/>
      <c r="L225" s="47"/>
      <c r="M225" s="45"/>
      <c r="N225" s="46"/>
      <c r="O225" s="47"/>
      <c r="P225" s="47"/>
      <c r="Q225" s="47"/>
      <c r="R225" s="47"/>
      <c r="S225" s="45"/>
      <c r="T225" s="46"/>
      <c r="U225" s="48"/>
      <c r="V225" s="50"/>
      <c r="AE225" s="41"/>
      <c r="AF225" s="31"/>
      <c r="AG225" s="31"/>
      <c r="AI225" s="41"/>
      <c r="AJ225" s="64"/>
      <c r="AK225" s="64"/>
      <c r="AM225" s="41"/>
      <c r="AN225" s="17"/>
      <c r="AO225" s="17"/>
      <c r="AQ225" s="41"/>
      <c r="AR225" s="18"/>
      <c r="AS225" s="18"/>
    </row>
    <row r="226" spans="1:45" s="5" customFormat="1">
      <c r="B226" s="42"/>
      <c r="C226" s="48" t="str">
        <f t="shared" ref="C226:G239" si="34">C164</f>
        <v>AIS</v>
      </c>
      <c r="D226" s="44" t="str">
        <f t="shared" si="34"/>
        <v>THB 207.0</v>
      </c>
      <c r="E226" s="44" t="str">
        <f t="shared" si="34"/>
        <v>THB 300.0</v>
      </c>
      <c r="F226" s="45">
        <f t="shared" si="34"/>
        <v>0.44927536231884058</v>
      </c>
      <c r="G226" s="44" t="str">
        <f t="shared" si="34"/>
        <v>Buy</v>
      </c>
      <c r="H226" s="46"/>
      <c r="I226" s="47">
        <f>ADVANCED!$D$41</f>
        <v>2.5439682588543913</v>
      </c>
      <c r="J226" s="47">
        <f>ADVANCED!$E$41</f>
        <v>2.7317282636465379</v>
      </c>
      <c r="K226" s="47">
        <f>ADVANCED!$F$41</f>
        <v>2.7377453768559965</v>
      </c>
      <c r="L226" s="47">
        <f>ADVANCED!$G$41</f>
        <v>2.6446017074585848</v>
      </c>
      <c r="M226" s="45">
        <f>ADVANCED!$H$41</f>
        <v>-9.1915272113775037E-2</v>
      </c>
      <c r="N226" s="46"/>
      <c r="O226" s="47">
        <f>ADVANCED!$D$37</f>
        <v>4.5794459305671005</v>
      </c>
      <c r="P226" s="47">
        <f>ADVANCED!$E$37</f>
        <v>3.899250225724292</v>
      </c>
      <c r="Q226" s="47">
        <f>ADVANCED!$F$37</f>
        <v>3.3596289058070661</v>
      </c>
      <c r="R226" s="47">
        <f>ADVANCED!$G$37</f>
        <v>2.9336296200686895</v>
      </c>
      <c r="S226" s="45">
        <f>ADVANCED!$H$37</f>
        <v>6.7116376718759252E-2</v>
      </c>
      <c r="T226" s="46"/>
      <c r="U226" s="48" t="str">
        <f t="shared" ref="U226:V239" si="35">U164</f>
        <v>THB 207.0</v>
      </c>
      <c r="V226" s="44" t="str">
        <f t="shared" si="35"/>
        <v>AIS</v>
      </c>
      <c r="AE226" s="41"/>
      <c r="AF226" s="31"/>
      <c r="AG226" s="31"/>
      <c r="AI226" s="41"/>
      <c r="AJ226" s="64"/>
      <c r="AK226" s="64"/>
      <c r="AM226" s="41"/>
      <c r="AN226" s="17"/>
      <c r="AO226" s="17"/>
      <c r="AQ226" s="41"/>
      <c r="AR226" s="18"/>
      <c r="AS226" s="18"/>
    </row>
    <row r="227" spans="1:45" s="5" customFormat="1">
      <c r="A227" s="39"/>
      <c r="B227" s="42"/>
      <c r="C227" s="48" t="str">
        <f t="shared" si="34"/>
        <v>Axiata</v>
      </c>
      <c r="D227" s="44" t="str">
        <f t="shared" si="34"/>
        <v>MYR 2.87</v>
      </c>
      <c r="E227" s="44" t="str">
        <f t="shared" si="34"/>
        <v>MYR 4.50</v>
      </c>
      <c r="F227" s="45">
        <f t="shared" si="34"/>
        <v>0.56794425087108014</v>
      </c>
      <c r="G227" s="44" t="str">
        <f t="shared" si="34"/>
        <v>Buy</v>
      </c>
      <c r="H227" s="46"/>
      <c r="I227" s="47">
        <f>AXI!$D$41</f>
        <v>0.76544157294629245</v>
      </c>
      <c r="J227" s="47">
        <f>AXI!$E$41</f>
        <v>0.85850078346190728</v>
      </c>
      <c r="K227" s="47">
        <f>AXI!$F$41</f>
        <v>0.80850024550619126</v>
      </c>
      <c r="L227" s="47">
        <f>AXI!$G$41</f>
        <v>0.75795903681613985</v>
      </c>
      <c r="M227" s="45">
        <f>AXI!$H$41</f>
        <v>3.1884770987806066E-2</v>
      </c>
      <c r="N227" s="46"/>
      <c r="O227" s="47">
        <f>AXI!$D$37</f>
        <v>2.0384257977321107</v>
      </c>
      <c r="P227" s="47">
        <f>AXI!$E$37</f>
        <v>2.2705736821140485</v>
      </c>
      <c r="Q227" s="47">
        <f>AXI!$F$37</f>
        <v>2.0827872255952906</v>
      </c>
      <c r="R227" s="47">
        <f>AXI!$G$37</f>
        <v>1.9291002256255823</v>
      </c>
      <c r="S227" s="45">
        <f>AXI!$H$37</f>
        <v>4.7584677909829676E-2</v>
      </c>
      <c r="T227" s="46"/>
      <c r="U227" s="48" t="str">
        <f t="shared" si="35"/>
        <v>MYR 2.87</v>
      </c>
      <c r="V227" s="44" t="str">
        <f t="shared" si="35"/>
        <v>Axiata</v>
      </c>
      <c r="AE227" s="41"/>
      <c r="AF227" s="31"/>
      <c r="AG227" s="31"/>
      <c r="AI227" s="41"/>
      <c r="AJ227" s="64"/>
      <c r="AK227" s="64"/>
      <c r="AM227" s="41"/>
      <c r="AN227" s="17"/>
      <c r="AO227" s="17"/>
      <c r="AQ227" s="41"/>
      <c r="AR227" s="18"/>
      <c r="AS227" s="18"/>
    </row>
    <row r="228" spans="1:45" s="5" customFormat="1">
      <c r="A228" s="39"/>
      <c r="B228" s="42"/>
      <c r="C228" s="48" t="str">
        <f t="shared" si="34"/>
        <v>Bharti Airtel</v>
      </c>
      <c r="D228" s="44" t="str">
        <f t="shared" si="34"/>
        <v>INR 1389</v>
      </c>
      <c r="E228" s="44" t="str">
        <f t="shared" si="34"/>
        <v>INR 1500</v>
      </c>
      <c r="F228" s="45">
        <f t="shared" si="34"/>
        <v>8.0224686734840844E-2</v>
      </c>
      <c r="G228" s="44" t="str">
        <f t="shared" si="34"/>
        <v>Buy</v>
      </c>
      <c r="H228" s="46"/>
      <c r="I228" s="47">
        <f>BHART!$D$41</f>
        <v>3.9552192554269459</v>
      </c>
      <c r="J228" s="47">
        <f>BHART!$E$41</f>
        <v>3.952744209855799</v>
      </c>
      <c r="K228" s="47">
        <f>BHART!$F$41</f>
        <v>3.9223821154311662</v>
      </c>
      <c r="L228" s="47">
        <f>BHART!$G$41</f>
        <v>3.8890164431788654</v>
      </c>
      <c r="M228" s="45">
        <f>BHART!$H$41</f>
        <v>-3.0741999675800602E-2</v>
      </c>
      <c r="N228" s="46"/>
      <c r="O228" s="47">
        <f>BHART!$D$37</f>
        <v>7.4880418552997847</v>
      </c>
      <c r="P228" s="47">
        <f>BHART!$E$37</f>
        <v>6.5275137059344059</v>
      </c>
      <c r="Q228" s="47">
        <f>BHART!$F$37</f>
        <v>5.4603848284167729</v>
      </c>
      <c r="R228" s="47">
        <f>BHART!$G$37</f>
        <v>4.5660520412596002</v>
      </c>
      <c r="S228" s="45">
        <f>BHART!$H$37</f>
        <v>0.13659289046180012</v>
      </c>
      <c r="T228" s="46"/>
      <c r="U228" s="48" t="str">
        <f t="shared" si="35"/>
        <v>INR 1389</v>
      </c>
      <c r="V228" s="44" t="str">
        <f t="shared" si="35"/>
        <v>Bharti Airtel</v>
      </c>
      <c r="AE228" s="41"/>
      <c r="AF228" s="31"/>
      <c r="AG228" s="31"/>
      <c r="AI228" s="41"/>
      <c r="AJ228" s="64"/>
      <c r="AK228" s="64"/>
      <c r="AM228" s="41"/>
      <c r="AN228" s="17"/>
      <c r="AO228" s="17"/>
      <c r="AQ228" s="41"/>
      <c r="AR228" s="18"/>
      <c r="AS228" s="18"/>
    </row>
    <row r="229" spans="1:45" s="5" customFormat="1">
      <c r="B229" s="42"/>
      <c r="C229" s="48" t="str">
        <f t="shared" si="34"/>
        <v>China Mobile</v>
      </c>
      <c r="D229" s="44" t="str">
        <f t="shared" si="34"/>
        <v>HKD 73.2</v>
      </c>
      <c r="E229" s="44" t="str">
        <f t="shared" si="34"/>
        <v>HKD 115.0</v>
      </c>
      <c r="F229" s="45">
        <f t="shared" si="34"/>
        <v>0.57103825136612008</v>
      </c>
      <c r="G229" s="44" t="str">
        <f t="shared" si="34"/>
        <v>Buy</v>
      </c>
      <c r="H229" s="46"/>
      <c r="I229" s="47">
        <f>_CM!$D$41</f>
        <v>0.75353165956123325</v>
      </c>
      <c r="J229" s="47">
        <f>_CM!$E$41</f>
        <v>0.73637633615776954</v>
      </c>
      <c r="K229" s="47">
        <f>_CM!$F$41</f>
        <v>0.65242101866678559</v>
      </c>
      <c r="L229" s="47">
        <f>_CM!$G$41</f>
        <v>0.56125575753356527</v>
      </c>
      <c r="M229" s="45">
        <f>_CM!$H$41</f>
        <v>-1.6522244423797461E-2</v>
      </c>
      <c r="N229" s="46"/>
      <c r="O229" s="47">
        <f>_CM!$D$37</f>
        <v>1.2612468049523824</v>
      </c>
      <c r="P229" s="47">
        <f>_CM!$E$37</f>
        <v>1.1596101524340514</v>
      </c>
      <c r="Q229" s="47">
        <f>_CM!$F$37</f>
        <v>0.96755416768012681</v>
      </c>
      <c r="R229" s="47">
        <f>_CM!$G$37</f>
        <v>0.7849717749578472</v>
      </c>
      <c r="S229" s="45">
        <f>_CM!$H$37</f>
        <v>4.4158245805836938E-2</v>
      </c>
      <c r="T229" s="46"/>
      <c r="U229" s="48" t="str">
        <f t="shared" si="35"/>
        <v>HKD 73.2</v>
      </c>
      <c r="V229" s="44" t="str">
        <f t="shared" si="35"/>
        <v>China Mobile</v>
      </c>
      <c r="AE229" s="41"/>
      <c r="AF229" s="31"/>
      <c r="AG229" s="31"/>
      <c r="AI229" s="41"/>
      <c r="AJ229" s="64"/>
      <c r="AK229" s="64"/>
      <c r="AM229" s="41"/>
      <c r="AN229" s="17"/>
      <c r="AO229" s="17"/>
      <c r="AQ229" s="41"/>
      <c r="AR229" s="18"/>
      <c r="AS229" s="18"/>
    </row>
    <row r="230" spans="1:45" s="5" customFormat="1">
      <c r="B230" s="42"/>
      <c r="C230" s="48" t="str">
        <f t="shared" si="34"/>
        <v>CelcomDigi</v>
      </c>
      <c r="D230" s="44" t="str">
        <f t="shared" si="34"/>
        <v>MYR 4.1</v>
      </c>
      <c r="E230" s="44" t="str">
        <f t="shared" si="34"/>
        <v>MYR 6.0</v>
      </c>
      <c r="F230" s="45">
        <f t="shared" si="34"/>
        <v>0.48148148148148162</v>
      </c>
      <c r="G230" s="44" t="str">
        <f t="shared" si="34"/>
        <v>Buy</v>
      </c>
      <c r="H230" s="46"/>
      <c r="I230" s="47">
        <f>DIGI!$D$41</f>
        <v>1.9894534229462133</v>
      </c>
      <c r="J230" s="47">
        <f>DIGI!$E$41</f>
        <v>2.0376098854555362</v>
      </c>
      <c r="K230" s="47">
        <f>DIGI!$F$41</f>
        <v>2.0046076208712296</v>
      </c>
      <c r="L230" s="47">
        <f>DIGI!$G$41</f>
        <v>1.949676967906121</v>
      </c>
      <c r="M230" s="45">
        <f>DIGI!$H$41</f>
        <v>-4.379742317685642E-2</v>
      </c>
      <c r="N230" s="46"/>
      <c r="O230" s="47">
        <f>DIGI!$D$37</f>
        <v>4.9431959243769334</v>
      </c>
      <c r="P230" s="47">
        <f>DIGI!$E$37</f>
        <v>4.7541923344221209</v>
      </c>
      <c r="Q230" s="47">
        <f>DIGI!$F$37</f>
        <v>4.3833247346540416</v>
      </c>
      <c r="R230" s="47">
        <f>DIGI!$G$37</f>
        <v>4.007571608522432</v>
      </c>
      <c r="S230" s="45">
        <f>DIGI!$H$37</f>
        <v>1.8595412333380024E-2</v>
      </c>
      <c r="T230" s="46"/>
      <c r="U230" s="48" t="str">
        <f t="shared" si="35"/>
        <v>MYR 4.1</v>
      </c>
      <c r="V230" s="44" t="str">
        <f t="shared" si="35"/>
        <v>CelcomDigi</v>
      </c>
      <c r="AE230" s="41"/>
      <c r="AF230" s="31"/>
      <c r="AG230" s="31"/>
      <c r="AI230" s="41"/>
      <c r="AJ230" s="64"/>
      <c r="AK230" s="64"/>
      <c r="AM230" s="41"/>
      <c r="AN230" s="17"/>
      <c r="AO230" s="17"/>
      <c r="AQ230" s="41"/>
      <c r="AR230" s="18"/>
      <c r="AS230" s="18"/>
    </row>
    <row r="231" spans="1:45" s="5" customFormat="1">
      <c r="B231" s="42"/>
      <c r="C231" s="48" t="str">
        <f t="shared" si="34"/>
        <v>Far EasTone</v>
      </c>
      <c r="D231" s="44" t="str">
        <f t="shared" si="34"/>
        <v>TWD 84.0</v>
      </c>
      <c r="E231" s="44" t="str">
        <f t="shared" si="34"/>
        <v>TWD n/r</v>
      </c>
      <c r="F231" s="45" t="str">
        <f t="shared" si="34"/>
        <v>-</v>
      </c>
      <c r="G231" s="44" t="str">
        <f t="shared" si="34"/>
        <v>n/r</v>
      </c>
      <c r="H231" s="46"/>
      <c r="I231" s="47">
        <f>FAR!$D$41</f>
        <v>2.4455518952752109</v>
      </c>
      <c r="J231" s="47">
        <f>FAR!$E$41</f>
        <v>2.4091115688808826</v>
      </c>
      <c r="K231" s="47">
        <f>FAR!$F$41</f>
        <v>2.3604011127518172</v>
      </c>
      <c r="L231" s="47">
        <f>FAR!$G$41</f>
        <v>2.3005420007414878</v>
      </c>
      <c r="M231" s="45">
        <f>FAR!$H$41</f>
        <v>-2.7013117648623908E-2</v>
      </c>
      <c r="N231" s="46"/>
      <c r="O231" s="47">
        <f>FAR!$D$37</f>
        <v>3.5139863059772378</v>
      </c>
      <c r="P231" s="47">
        <f>FAR!$E$37</f>
        <v>3.2737458897620497</v>
      </c>
      <c r="Q231" s="47">
        <f>FAR!$F$37</f>
        <v>3.0399782352113371</v>
      </c>
      <c r="R231" s="47">
        <f>FAR!$G$37</f>
        <v>2.812564717851334</v>
      </c>
      <c r="S231" s="45">
        <f>FAR!$H$37</f>
        <v>2.6811190545072972E-2</v>
      </c>
      <c r="T231" s="46"/>
      <c r="U231" s="48" t="str">
        <f t="shared" si="35"/>
        <v>TWD 84.0</v>
      </c>
      <c r="V231" s="44" t="str">
        <f t="shared" si="35"/>
        <v>Far EasTone</v>
      </c>
      <c r="AE231" s="41"/>
      <c r="AF231" s="31"/>
      <c r="AG231" s="31"/>
      <c r="AI231" s="41"/>
      <c r="AJ231" s="64"/>
      <c r="AK231" s="64"/>
      <c r="AM231" s="41"/>
      <c r="AN231" s="17"/>
      <c r="AO231" s="17"/>
      <c r="AQ231" s="41"/>
      <c r="AR231" s="18"/>
      <c r="AS231" s="18"/>
    </row>
    <row r="232" spans="1:45" s="5" customFormat="1">
      <c r="B232" s="42"/>
      <c r="C232" s="48" t="str">
        <f t="shared" si="34"/>
        <v>Vodafone IDEA</v>
      </c>
      <c r="D232" s="44" t="str">
        <f t="shared" si="34"/>
        <v>INR 15.1</v>
      </c>
      <c r="E232" s="44" t="str">
        <f t="shared" si="34"/>
        <v>INR 5.0</v>
      </c>
      <c r="F232" s="45">
        <f t="shared" si="34"/>
        <v>-0.66909331568497676</v>
      </c>
      <c r="G232" s="44" t="str">
        <f t="shared" si="34"/>
        <v>Reduce</v>
      </c>
      <c r="H232" s="46"/>
      <c r="I232" s="47">
        <f>IDEA!$D$41</f>
        <v>2.7415859544568293</v>
      </c>
      <c r="J232" s="47">
        <f>IDEA!$E$41</f>
        <v>3.7921109382068279</v>
      </c>
      <c r="K232" s="47">
        <f>IDEA!$F$41</f>
        <v>4.0853442527829644</v>
      </c>
      <c r="L232" s="47">
        <f>IDEA!$G$41</f>
        <v>4.8464113359835688</v>
      </c>
      <c r="M232" s="45">
        <f>IDEA!$H$41</f>
        <v>-0.10891248401383624</v>
      </c>
      <c r="N232" s="46"/>
      <c r="O232" s="47">
        <f>IDEA!$D$37</f>
        <v>6.6396701139696663</v>
      </c>
      <c r="P232" s="47">
        <f>IDEA!$E$37</f>
        <v>6.8579350608047402</v>
      </c>
      <c r="Q232" s="47">
        <f>IDEA!$F$37</f>
        <v>6.4472677144016117</v>
      </c>
      <c r="R232" s="47">
        <f>IDEA!$G$37</f>
        <v>6.1260663970890361</v>
      </c>
      <c r="S232" s="45">
        <f>IDEA!$H$37</f>
        <v>0.10674634231514601</v>
      </c>
      <c r="T232" s="46"/>
      <c r="U232" s="48" t="str">
        <f t="shared" si="35"/>
        <v>INR 15.1</v>
      </c>
      <c r="V232" s="44" t="str">
        <f t="shared" si="35"/>
        <v>Vodafone IDEA</v>
      </c>
      <c r="AE232" s="41"/>
      <c r="AF232" s="31"/>
      <c r="AG232" s="31"/>
      <c r="AI232" s="41"/>
      <c r="AJ232" s="64"/>
      <c r="AK232" s="64"/>
      <c r="AM232" s="41"/>
      <c r="AN232" s="17"/>
      <c r="AO232" s="17"/>
      <c r="AQ232" s="41"/>
      <c r="AR232" s="18"/>
      <c r="AS232" s="18"/>
    </row>
    <row r="233" spans="1:45" s="5" customFormat="1">
      <c r="B233" s="42"/>
      <c r="C233" s="48" t="str">
        <f t="shared" si="34"/>
        <v>Indosat</v>
      </c>
      <c r="D233" s="44" t="str">
        <f t="shared" si="34"/>
        <v>IDR 10,075</v>
      </c>
      <c r="E233" s="44" t="str">
        <f t="shared" si="34"/>
        <v>IDR 12,500</v>
      </c>
      <c r="F233" s="45">
        <f t="shared" si="34"/>
        <v>0.2406947890818858</v>
      </c>
      <c r="G233" s="44" t="str">
        <f t="shared" si="34"/>
        <v>Buy</v>
      </c>
      <c r="H233" s="46"/>
      <c r="I233" s="47">
        <f>INDO!$D$41</f>
        <v>1.5769205887073574</v>
      </c>
      <c r="J233" s="47">
        <f>INDO!$E$41</f>
        <v>1.5655238138685121</v>
      </c>
      <c r="K233" s="47">
        <f>INDO!$F$41</f>
        <v>1.4078009379891889</v>
      </c>
      <c r="L233" s="47">
        <f>INDO!$G$41</f>
        <v>1.1684019643213333</v>
      </c>
      <c r="M233" s="45">
        <f>INDO!$H$41</f>
        <v>-6.5423057538105511E-2</v>
      </c>
      <c r="N233" s="46"/>
      <c r="O233" s="47">
        <f>INDO!$D$37</f>
        <v>2.5356012738537692</v>
      </c>
      <c r="P233" s="47">
        <f>INDO!$E$37</f>
        <v>2.1620530646791596</v>
      </c>
      <c r="Q233" s="47">
        <f>INDO!$F$37</f>
        <v>1.6593924299350209</v>
      </c>
      <c r="R233" s="47">
        <f>INDO!$G$37</f>
        <v>1.1651517923104113</v>
      </c>
      <c r="S233" s="45">
        <f>INDO!$H$37</f>
        <v>9.5911198990965563E-2</v>
      </c>
      <c r="T233" s="46"/>
      <c r="U233" s="48" t="str">
        <f t="shared" si="35"/>
        <v>IDR 10,075</v>
      </c>
      <c r="V233" s="44" t="str">
        <f t="shared" si="35"/>
        <v>Indosat</v>
      </c>
      <c r="AE233" s="41"/>
      <c r="AF233" s="31"/>
      <c r="AG233" s="31"/>
      <c r="AI233" s="41"/>
      <c r="AJ233" s="64"/>
      <c r="AK233" s="64"/>
      <c r="AM233" s="41"/>
      <c r="AN233" s="17"/>
      <c r="AO233" s="17"/>
      <c r="AQ233" s="41"/>
      <c r="AR233" s="18"/>
      <c r="AS233" s="18"/>
    </row>
    <row r="234" spans="1:45" s="5" customFormat="1">
      <c r="B234" s="42"/>
      <c r="C234" s="48" t="str">
        <f t="shared" si="34"/>
        <v>LG Uplus</v>
      </c>
      <c r="D234" s="44" t="str">
        <f t="shared" si="34"/>
        <v>KRW 9,770</v>
      </c>
      <c r="E234" s="44" t="str">
        <f t="shared" si="34"/>
        <v>KRW 21,000</v>
      </c>
      <c r="F234" s="45">
        <f t="shared" si="34"/>
        <v>1.1494370522006143</v>
      </c>
      <c r="G234" s="44" t="str">
        <f t="shared" si="34"/>
        <v>Buy</v>
      </c>
      <c r="H234" s="46"/>
      <c r="I234" s="47">
        <f>_LG!$D$41</f>
        <v>0.83242009345652312</v>
      </c>
      <c r="J234" s="47">
        <f>_LG!$E$41</f>
        <v>0.80398433340502018</v>
      </c>
      <c r="K234" s="47">
        <f>_LG!$F$41</f>
        <v>0.74910509203615305</v>
      </c>
      <c r="L234" s="47">
        <f>_LG!$G$41</f>
        <v>0.69169075245329781</v>
      </c>
      <c r="M234" s="45">
        <f>_LG!$H$41</f>
        <v>2.9952973327890486E-2</v>
      </c>
      <c r="N234" s="46"/>
      <c r="O234" s="47">
        <f>_LG!$D$37</f>
        <v>0.83856277403147705</v>
      </c>
      <c r="P234" s="47">
        <f>_LG!$E$37</f>
        <v>0.80446299921826037</v>
      </c>
      <c r="Q234" s="47">
        <f>_LG!$F$37</f>
        <v>0.75367712141345433</v>
      </c>
      <c r="R234" s="47">
        <f>_LG!$G$37</f>
        <v>0.70105056313504688</v>
      </c>
      <c r="S234" s="45">
        <f>_LG!$H$37</f>
        <v>2.7864687478187822E-2</v>
      </c>
      <c r="T234" s="46"/>
      <c r="U234" s="48" t="str">
        <f t="shared" si="35"/>
        <v>KRW 9,770</v>
      </c>
      <c r="V234" s="44" t="str">
        <f t="shared" si="35"/>
        <v>LG Uplus</v>
      </c>
      <c r="AE234" s="41"/>
      <c r="AF234" s="31"/>
      <c r="AG234" s="31"/>
      <c r="AI234" s="41"/>
      <c r="AJ234" s="64"/>
      <c r="AK234" s="64"/>
      <c r="AM234" s="41"/>
      <c r="AN234" s="17"/>
      <c r="AO234" s="17"/>
      <c r="AQ234" s="41"/>
      <c r="AR234" s="18"/>
      <c r="AS234" s="18"/>
    </row>
    <row r="235" spans="1:45" s="5" customFormat="1">
      <c r="A235" s="39"/>
      <c r="B235" s="42"/>
      <c r="C235" s="48" t="str">
        <f t="shared" si="34"/>
        <v>Maxis</v>
      </c>
      <c r="D235" s="44" t="str">
        <f t="shared" si="34"/>
        <v>MYR 3.71</v>
      </c>
      <c r="E235" s="44" t="str">
        <f t="shared" si="34"/>
        <v>MYR 5.60</v>
      </c>
      <c r="F235" s="45">
        <f t="shared" si="34"/>
        <v>0.50943396226415083</v>
      </c>
      <c r="G235" s="44" t="str">
        <f t="shared" si="34"/>
        <v>Buy</v>
      </c>
      <c r="H235" s="46"/>
      <c r="I235" s="47">
        <f>MAXI!$D$41</f>
        <v>2.5563699843159888</v>
      </c>
      <c r="J235" s="47">
        <f>MAXI!$E$41</f>
        <v>2.5899684686164091</v>
      </c>
      <c r="K235" s="47">
        <f>MAXI!$F$41</f>
        <v>2.4932868959527212</v>
      </c>
      <c r="L235" s="47">
        <f>MAXI!$G$41</f>
        <v>2.3820399812164177</v>
      </c>
      <c r="M235" s="45">
        <f>MAXI!$H$41</f>
        <v>-2.0086270704836928E-2</v>
      </c>
      <c r="N235" s="46"/>
      <c r="O235" s="47">
        <f>MAXI!$D$37</f>
        <v>3.6999248019913455</v>
      </c>
      <c r="P235" s="47">
        <f>MAXI!$E$37</f>
        <v>3.5092653907115272</v>
      </c>
      <c r="Q235" s="47">
        <f>MAXI!$F$37</f>
        <v>3.2294167104816309</v>
      </c>
      <c r="R235" s="47">
        <f>MAXI!$G$37</f>
        <v>2.9460228172616651</v>
      </c>
      <c r="S235" s="45">
        <f>MAXI!$H$37</f>
        <v>3.2639068367961599E-2</v>
      </c>
      <c r="T235" s="46"/>
      <c r="U235" s="48" t="str">
        <f t="shared" si="35"/>
        <v>MYR 3.71</v>
      </c>
      <c r="V235" s="44" t="str">
        <f t="shared" si="35"/>
        <v>Maxis</v>
      </c>
      <c r="AE235" s="41"/>
      <c r="AF235" s="31"/>
      <c r="AG235" s="31"/>
      <c r="AI235" s="41"/>
      <c r="AJ235" s="64"/>
      <c r="AK235" s="64"/>
      <c r="AM235" s="41"/>
      <c r="AN235" s="17"/>
      <c r="AO235" s="17"/>
      <c r="AQ235" s="41"/>
      <c r="AR235" s="18"/>
      <c r="AS235" s="18"/>
    </row>
    <row r="236" spans="1:45" s="5" customFormat="1">
      <c r="B236" s="42"/>
      <c r="C236" s="48" t="str">
        <f t="shared" si="34"/>
        <v>SK Telecom</v>
      </c>
      <c r="D236" s="44" t="str">
        <f t="shared" si="34"/>
        <v>KRW 51,800</v>
      </c>
      <c r="E236" s="44" t="str">
        <f t="shared" si="34"/>
        <v>KRW 116,000</v>
      </c>
      <c r="F236" s="45">
        <f t="shared" si="34"/>
        <v>1.2393822393822393</v>
      </c>
      <c r="G236" s="44" t="str">
        <f t="shared" si="34"/>
        <v>Buy</v>
      </c>
      <c r="H236" s="46"/>
      <c r="I236" s="47">
        <f>SKT!$D$41</f>
        <v>2.5220144185582609</v>
      </c>
      <c r="J236" s="47">
        <f>SKT!$E$41</f>
        <v>2.5730322139874393</v>
      </c>
      <c r="K236" s="47">
        <f>SKT!$F$41</f>
        <v>2.634611365999771</v>
      </c>
      <c r="L236" s="47">
        <f>SKT!$G$41</f>
        <v>2.7986161466961281</v>
      </c>
      <c r="M236" s="45">
        <f>SKT!$H$41</f>
        <v>-9.0250191627807674E-2</v>
      </c>
      <c r="N236" s="46"/>
      <c r="O236" s="47">
        <f>SKT!$D$37</f>
        <v>1.3206692513849896</v>
      </c>
      <c r="P236" s="47">
        <f>SKT!$E$37</f>
        <v>1.2216889613700923</v>
      </c>
      <c r="Q236" s="47">
        <f>SKT!$F$37</f>
        <v>1.1353496406040806</v>
      </c>
      <c r="R236" s="47">
        <f>SKT!$G$37</f>
        <v>1.029473914628708</v>
      </c>
      <c r="S236" s="45">
        <f>SKT!$H$37</f>
        <v>2.3403275899132492E-2</v>
      </c>
      <c r="T236" s="46"/>
      <c r="U236" s="48" t="str">
        <f t="shared" si="35"/>
        <v>KRW 51,800</v>
      </c>
      <c r="V236" s="44" t="str">
        <f t="shared" si="35"/>
        <v>SK Telecom</v>
      </c>
      <c r="AE236" s="41"/>
      <c r="AF236" s="31"/>
      <c r="AG236" s="31"/>
      <c r="AI236" s="41"/>
      <c r="AJ236" s="64"/>
      <c r="AK236" s="64"/>
      <c r="AM236" s="41"/>
      <c r="AN236" s="17"/>
      <c r="AO236" s="17"/>
      <c r="AQ236" s="41"/>
      <c r="AR236" s="18"/>
      <c r="AS236" s="18"/>
    </row>
    <row r="237" spans="1:45" s="5" customFormat="1">
      <c r="B237" s="42"/>
      <c r="C237" s="48" t="str">
        <f t="shared" si="34"/>
        <v>Taiwan Mobile</v>
      </c>
      <c r="D237" s="44" t="str">
        <f t="shared" si="34"/>
        <v>TWD 106.5</v>
      </c>
      <c r="E237" s="44" t="str">
        <f t="shared" si="34"/>
        <v>TWD n/r</v>
      </c>
      <c r="F237" s="45" t="str">
        <f t="shared" si="34"/>
        <v>-</v>
      </c>
      <c r="G237" s="44" t="str">
        <f t="shared" si="34"/>
        <v>n/r</v>
      </c>
      <c r="H237" s="46"/>
      <c r="I237" s="47">
        <f>TAIWAN!$D$41</f>
        <v>3.0027683265102159</v>
      </c>
      <c r="J237" s="47">
        <f>TAIWAN!$E$41</f>
        <v>2.9372643729163403</v>
      </c>
      <c r="K237" s="47">
        <f>TAIWAN!$F$41</f>
        <v>2.8139400670171892</v>
      </c>
      <c r="L237" s="47">
        <f>TAIWAN!$G$41</f>
        <v>2.6595034573194267</v>
      </c>
      <c r="M237" s="45">
        <f>TAIWAN!$H$41</f>
        <v>-3.3349116329359663E-2</v>
      </c>
      <c r="N237" s="46"/>
      <c r="O237" s="47">
        <f>TAIWAN!$D$37</f>
        <v>1.9674590123436522</v>
      </c>
      <c r="P237" s="47">
        <f>TAIWAN!$E$37</f>
        <v>1.7891535719005729</v>
      </c>
      <c r="Q237" s="47">
        <f>TAIWAN!$F$37</f>
        <v>1.6115672081910239</v>
      </c>
      <c r="R237" s="47">
        <f>TAIWAN!$G$37</f>
        <v>1.4303880869868235</v>
      </c>
      <c r="S237" s="45">
        <f>TAIWAN!$H$37</f>
        <v>3.2396443240543915E-2</v>
      </c>
      <c r="T237" s="46"/>
      <c r="U237" s="48" t="str">
        <f t="shared" si="35"/>
        <v>TWD 106.5</v>
      </c>
      <c r="V237" s="44" t="str">
        <f t="shared" si="35"/>
        <v>Taiwan Mobile</v>
      </c>
      <c r="AE237" s="41"/>
      <c r="AF237" s="31"/>
      <c r="AG237" s="31"/>
      <c r="AI237" s="41"/>
      <c r="AJ237" s="64"/>
      <c r="AK237" s="64"/>
      <c r="AM237" s="41"/>
      <c r="AN237" s="17"/>
      <c r="AO237" s="17"/>
      <c r="AQ237" s="41"/>
      <c r="AR237" s="18"/>
      <c r="AS237" s="18"/>
    </row>
    <row r="238" spans="1:45" s="5" customFormat="1">
      <c r="B238" s="42"/>
      <c r="C238" s="48" t="str">
        <f t="shared" si="34"/>
        <v>True Corp</v>
      </c>
      <c r="D238" s="44" t="str">
        <f t="shared" si="34"/>
        <v>THB 8.0</v>
      </c>
      <c r="E238" s="44" t="str">
        <f t="shared" si="34"/>
        <v>THB 15.0</v>
      </c>
      <c r="F238" s="45">
        <f t="shared" si="34"/>
        <v>0.875</v>
      </c>
      <c r="G238" s="44" t="str">
        <f t="shared" si="34"/>
        <v>Buy</v>
      </c>
      <c r="H238" s="46"/>
      <c r="I238" s="47">
        <f>TRUECORP!$D$41</f>
        <v>1.4545454323341815</v>
      </c>
      <c r="J238" s="47">
        <f>TRUECORP!$E$41</f>
        <v>1.4785776837428941</v>
      </c>
      <c r="K238" s="47">
        <f>TRUECORP!$F$41</f>
        <v>1.4551878407156524</v>
      </c>
      <c r="L238" s="47">
        <f>TRUECORP!$G$41</f>
        <v>1.4019153835617335</v>
      </c>
      <c r="M238" s="45">
        <f>TRUECORP!$H$41</f>
        <v>-4.7401656487550348E-2</v>
      </c>
      <c r="N238" s="46"/>
      <c r="O238" s="47">
        <f>TRUECORP!$D$37</f>
        <v>3.8008725717158969</v>
      </c>
      <c r="P238" s="47">
        <f>TRUECORP!$E$37</f>
        <v>3.4984819503472746</v>
      </c>
      <c r="Q238" s="47">
        <f>TRUECORP!$F$37</f>
        <v>3.2054661522239596</v>
      </c>
      <c r="R238" s="47">
        <f>TRUECORP!$G$37</f>
        <v>2.8582207905787236</v>
      </c>
      <c r="S238" s="45">
        <f>TRUECORP!$H$37</f>
        <v>3.4754135372314421E-2</v>
      </c>
      <c r="T238" s="46"/>
      <c r="U238" s="48" t="str">
        <f t="shared" si="35"/>
        <v>THB 8.0</v>
      </c>
      <c r="V238" s="44" t="str">
        <f t="shared" si="35"/>
        <v>True Corp</v>
      </c>
      <c r="AE238" s="41"/>
      <c r="AF238" s="31"/>
      <c r="AG238" s="31"/>
      <c r="AI238" s="41"/>
      <c r="AJ238" s="64"/>
      <c r="AK238" s="64"/>
      <c r="AM238" s="41"/>
      <c r="AN238" s="17"/>
      <c r="AO238" s="17"/>
      <c r="AQ238" s="41"/>
      <c r="AR238" s="18"/>
      <c r="AS238" s="18"/>
    </row>
    <row r="239" spans="1:45" s="5" customFormat="1">
      <c r="B239" s="42"/>
      <c r="C239" s="48" t="str">
        <f t="shared" si="34"/>
        <v>XL Axiata</v>
      </c>
      <c r="D239" s="44" t="str">
        <f t="shared" si="34"/>
        <v>IDR 2,470</v>
      </c>
      <c r="E239" s="44" t="str">
        <f t="shared" si="34"/>
        <v>IDR 5,000</v>
      </c>
      <c r="F239" s="45">
        <f t="shared" si="34"/>
        <v>1.0242914979757085</v>
      </c>
      <c r="G239" s="44" t="str">
        <f t="shared" si="34"/>
        <v>Buy</v>
      </c>
      <c r="H239" s="46"/>
      <c r="I239" s="47">
        <f>XLAX!$D$41</f>
        <v>1.082881533339529</v>
      </c>
      <c r="J239" s="47">
        <f>XLAX!$E$41</f>
        <v>1.0762802167988783</v>
      </c>
      <c r="K239" s="47">
        <f>XLAX!$F$41</f>
        <v>1.0482099196889973</v>
      </c>
      <c r="L239" s="47">
        <f>XLAX!$G$41</f>
        <v>1.0058985024001419</v>
      </c>
      <c r="M239" s="45">
        <f>XLAX!$H$41</f>
        <v>-7.50037451352219E-2</v>
      </c>
      <c r="N239" s="56"/>
      <c r="O239" s="47">
        <f>XLAX!$D$37</f>
        <v>2.3939630057741854</v>
      </c>
      <c r="P239" s="47">
        <f>XLAX!$E$37</f>
        <v>2.0650809835819546</v>
      </c>
      <c r="Q239" s="47">
        <f>XLAX!$F$37</f>
        <v>1.7731835567805205</v>
      </c>
      <c r="R239" s="47">
        <f>XLAX!$G$37</f>
        <v>1.4869626739437627</v>
      </c>
      <c r="S239" s="45">
        <f>XLAX!$H$37</f>
        <v>5.7799851407760672E-2</v>
      </c>
      <c r="T239" s="46"/>
      <c r="U239" s="48" t="str">
        <f t="shared" si="35"/>
        <v>IDR 2,470</v>
      </c>
      <c r="V239" s="44" t="str">
        <f t="shared" si="35"/>
        <v>XL Axiata</v>
      </c>
      <c r="AE239" s="41"/>
      <c r="AF239" s="31"/>
      <c r="AG239" s="31"/>
      <c r="AI239" s="41"/>
      <c r="AJ239" s="64"/>
      <c r="AK239" s="64"/>
      <c r="AM239" s="41"/>
      <c r="AN239" s="17"/>
      <c r="AO239" s="17"/>
      <c r="AQ239" s="41"/>
      <c r="AR239" s="18"/>
      <c r="AS239" s="18"/>
    </row>
    <row r="240" spans="1:45" s="5" customFormat="1">
      <c r="B240" s="42"/>
      <c r="C240" s="51" t="str">
        <f>C178</f>
        <v>Agg. Emerging Asia Cellular</v>
      </c>
      <c r="D240" s="52"/>
      <c r="E240" s="52"/>
      <c r="F240" s="53"/>
      <c r="G240" s="52"/>
      <c r="H240" s="46"/>
      <c r="I240" s="54">
        <f>'EM ASIA CELLULAR'!$D$41</f>
        <v>1.3301121342038957</v>
      </c>
      <c r="J240" s="54">
        <f>'EM ASIA CELLULAR'!$E$41</f>
        <v>1.3397391329411645</v>
      </c>
      <c r="K240" s="54">
        <f>'EM ASIA CELLULAR'!$F$41</f>
        <v>1.2721595826254968</v>
      </c>
      <c r="L240" s="54">
        <f>'EM ASIA CELLULAR'!$G$41</f>
        <v>1.1950538179904546</v>
      </c>
      <c r="M240" s="55">
        <f>'EM ASIA CELLULAR'!$H$41</f>
        <v>-2.3932483034564522E-2</v>
      </c>
      <c r="N240" s="56"/>
      <c r="O240" s="54">
        <f>'EM ASIA CELLULAR'!$D$37</f>
        <v>2.1890470478300736</v>
      </c>
      <c r="P240" s="54">
        <f>'EM ASIA CELLULAR'!$E$37</f>
        <v>2.0379336101004566</v>
      </c>
      <c r="Q240" s="54">
        <f>'EM ASIA CELLULAR'!$F$37</f>
        <v>1.7992534221229244</v>
      </c>
      <c r="R240" s="54">
        <f>'EM ASIA CELLULAR'!$G$37</f>
        <v>1.5686210483991974</v>
      </c>
      <c r="S240" s="55">
        <f>'EM ASIA CELLULAR'!$H$37</f>
        <v>5.2507700166190885E-2</v>
      </c>
      <c r="T240" s="46"/>
      <c r="U240" s="57"/>
      <c r="V240" s="58" t="str">
        <f>V178</f>
        <v>Agg. Emerging Asia Cellular</v>
      </c>
      <c r="AE240" s="41"/>
      <c r="AF240" s="31"/>
      <c r="AG240" s="31"/>
      <c r="AI240" s="41"/>
      <c r="AJ240" s="64"/>
      <c r="AK240" s="64"/>
      <c r="AM240" s="41"/>
      <c r="AN240" s="17"/>
      <c r="AO240" s="17"/>
      <c r="AQ240" s="41"/>
      <c r="AR240" s="18"/>
      <c r="AS240" s="18"/>
    </row>
    <row r="241" spans="1:69" s="5" customFormat="1">
      <c r="B241" s="42"/>
      <c r="C241" s="43"/>
      <c r="D241" s="44"/>
      <c r="E241" s="44"/>
      <c r="F241" s="68"/>
      <c r="G241" s="44"/>
      <c r="H241" s="46"/>
      <c r="I241" s="62"/>
      <c r="J241" s="62"/>
      <c r="K241" s="62"/>
      <c r="L241" s="62"/>
      <c r="M241" s="61"/>
      <c r="N241" s="46"/>
      <c r="O241" s="62"/>
      <c r="P241" s="62"/>
      <c r="Q241" s="62"/>
      <c r="R241" s="62"/>
      <c r="S241" s="61"/>
      <c r="T241" s="46"/>
      <c r="U241" s="48"/>
      <c r="V241" s="50"/>
      <c r="AE241" s="41"/>
      <c r="AF241" s="31"/>
      <c r="AG241" s="31"/>
      <c r="AI241" s="41"/>
      <c r="AJ241" s="64"/>
      <c r="AK241" s="64"/>
      <c r="AM241" s="41"/>
      <c r="AN241" s="17"/>
      <c r="AO241" s="17"/>
      <c r="AQ241" s="41"/>
      <c r="AR241" s="18"/>
      <c r="AS241" s="18"/>
    </row>
    <row r="242" spans="1:69" s="5" customFormat="1">
      <c r="B242" s="42"/>
      <c r="C242" s="51" t="str">
        <f>C180</f>
        <v>Agg. Emerging  Cellular</v>
      </c>
      <c r="D242" s="52"/>
      <c r="E242" s="52"/>
      <c r="F242" s="53"/>
      <c r="G242" s="52"/>
      <c r="H242" s="46"/>
      <c r="I242" s="54">
        <f>'EM CELLULAR'!$D$41</f>
        <v>1.4932378441908309</v>
      </c>
      <c r="J242" s="54">
        <f>'EM CELLULAR'!$E$41</f>
        <v>1.4974861733035032</v>
      </c>
      <c r="K242" s="54">
        <f>'EM CELLULAR'!$F$41</f>
        <v>1.4281781003335032</v>
      </c>
      <c r="L242" s="54">
        <f>'EM CELLULAR'!$G$41</f>
        <v>1.349282061711496</v>
      </c>
      <c r="M242" s="55">
        <f>'EM CELLULAR'!$H$41</f>
        <v>-1.7756462726124411E-2</v>
      </c>
      <c r="N242" s="46"/>
      <c r="O242" s="54">
        <f>'EM CELLULAR'!$D$37</f>
        <v>2.3028864261184152</v>
      </c>
      <c r="P242" s="54">
        <f>'EM CELLULAR'!$E$37</f>
        <v>2.1687959715674001</v>
      </c>
      <c r="Q242" s="54">
        <f>'EM CELLULAR'!$F$37</f>
        <v>1.9297924574883407</v>
      </c>
      <c r="R242" s="54">
        <f>'EM CELLULAR'!$G$37</f>
        <v>1.70163849543242</v>
      </c>
      <c r="S242" s="55">
        <f>'EM CELLULAR'!$H$37</f>
        <v>5.0377730628003325E-2</v>
      </c>
      <c r="T242" s="46"/>
      <c r="U242" s="57"/>
      <c r="V242" s="58" t="str">
        <f>V180</f>
        <v>Agg. Emerging  Cellular</v>
      </c>
      <c r="AE242" s="41"/>
      <c r="AF242" s="31"/>
      <c r="AG242" s="31"/>
      <c r="AI242" s="41"/>
      <c r="AJ242" s="64"/>
      <c r="AK242" s="64"/>
      <c r="AM242" s="41"/>
      <c r="AN242" s="17"/>
      <c r="AO242" s="17"/>
      <c r="AQ242" s="41"/>
      <c r="AR242" s="18"/>
      <c r="AS242" s="18"/>
    </row>
    <row r="243" spans="1:69" s="5" customFormat="1">
      <c r="A243" s="39"/>
      <c r="B243" s="42"/>
      <c r="C243" s="43"/>
      <c r="D243" s="44"/>
      <c r="E243" s="44"/>
      <c r="F243" s="45"/>
      <c r="G243" s="44"/>
      <c r="H243" s="46"/>
      <c r="I243" s="47"/>
      <c r="J243" s="47"/>
      <c r="K243" s="47"/>
      <c r="L243" s="47"/>
      <c r="M243" s="45"/>
      <c r="N243" s="46"/>
      <c r="O243" s="47"/>
      <c r="P243" s="47"/>
      <c r="Q243" s="47"/>
      <c r="R243" s="47"/>
      <c r="S243" s="45"/>
      <c r="T243" s="46"/>
      <c r="U243" s="48"/>
      <c r="V243" s="50"/>
      <c r="AE243" s="41"/>
      <c r="AF243" s="31"/>
      <c r="AG243" s="31"/>
      <c r="AI243" s="41"/>
      <c r="AJ243" s="64"/>
      <c r="AK243" s="64"/>
      <c r="AM243" s="41"/>
      <c r="AN243" s="17"/>
      <c r="AO243" s="17"/>
      <c r="AQ243" s="41"/>
      <c r="AR243" s="18"/>
      <c r="AS243" s="18"/>
    </row>
    <row r="244" spans="1:69">
      <c r="A244" s="41" t="s">
        <v>508</v>
      </c>
      <c r="B244" s="42" t="s">
        <v>582</v>
      </c>
      <c r="C244" s="48" t="s">
        <v>819</v>
      </c>
      <c r="D244" s="44" t="str">
        <f>'EM Multiples'!B244&amp;TEXT(Prices!C$135,"0.00")</f>
        <v>MXN52.16</v>
      </c>
      <c r="E244" s="44" t="str">
        <f>'EM Multiples'!B244&amp;TEXT(Prices!E$135,"0.00")</f>
        <v>MXN55.00</v>
      </c>
      <c r="F244" s="45">
        <f>Prices!F$135</f>
        <v>5.444785276073616E-2</v>
      </c>
      <c r="G244" s="44" t="str">
        <f>Prices!D$135</f>
        <v>Buy</v>
      </c>
      <c r="H244" s="46"/>
      <c r="I244" s="47">
        <f>MEGA!$D$41</f>
        <v>1.2596438807015191</v>
      </c>
      <c r="J244" s="47">
        <f>MEGA!$E$41</f>
        <v>1.1880897059380422</v>
      </c>
      <c r="K244" s="47">
        <f>MEGA!$F$41</f>
        <v>1.1183376725907488</v>
      </c>
      <c r="L244" s="47">
        <f>MEGA!$G$41</f>
        <v>1.0361063538003372</v>
      </c>
      <c r="M244" s="45">
        <f>MEGA!$H$41</f>
        <v>4.8486140250052712E-2</v>
      </c>
      <c r="N244" s="46"/>
      <c r="O244" s="47">
        <f>MEGA!$D$37</f>
        <v>2.291296217411094</v>
      </c>
      <c r="P244" s="47">
        <f>MEGA!$E$37</f>
        <v>2.1295774864008847</v>
      </c>
      <c r="Q244" s="47">
        <f>MEGA!$F$37</f>
        <v>1.9338869520679469</v>
      </c>
      <c r="R244" s="47">
        <f>MEGA!$G$37</f>
        <v>1.6906893595554531</v>
      </c>
      <c r="S244" s="45">
        <f>MEGA!$H$37</f>
        <v>8.7144697988267739E-2</v>
      </c>
      <c r="T244" s="46"/>
      <c r="U244" s="48" t="str">
        <f>D244</f>
        <v>MXN52.16</v>
      </c>
      <c r="V244" s="44" t="str">
        <f>C244</f>
        <v>Megacable</v>
      </c>
      <c r="Z244" s="46"/>
      <c r="AE244" s="41"/>
    </row>
    <row r="245" spans="1:69">
      <c r="A245" s="5"/>
      <c r="B245" s="42" t="s">
        <v>411</v>
      </c>
      <c r="C245" s="48" t="s">
        <v>804</v>
      </c>
      <c r="D245" s="44" t="str">
        <f>'EM Multiples'!B245&amp;TEXT(Prices!C$138,"0.00")</f>
        <v>USD8.55</v>
      </c>
      <c r="E245" s="44" t="str">
        <f>'EM Multiples'!B245&amp;TEXT(Prices!E$138,"0.00")</f>
        <v>USD14.00</v>
      </c>
      <c r="F245" s="45">
        <f>Prices!F$138</f>
        <v>0.63742690058479523</v>
      </c>
      <c r="G245" s="44" t="str">
        <f>Prices!D$138</f>
        <v>Buy</v>
      </c>
      <c r="H245" s="46"/>
      <c r="I245" s="47">
        <f>LiLAC!$D$41</f>
        <v>1.2120460874027379</v>
      </c>
      <c r="J245" s="47">
        <f>LiLAC!$E$41</f>
        <v>1.2246658949053597</v>
      </c>
      <c r="K245" s="47">
        <f>LiLAC!$F$41</f>
        <v>1.5039503741158471</v>
      </c>
      <c r="L245" s="47">
        <f>LiLAC!$G$41</f>
        <v>1.5404134937369998</v>
      </c>
      <c r="M245" s="45">
        <f>LiLAC!$H$41</f>
        <v>-4.987153823261381E-2</v>
      </c>
      <c r="N245" s="46"/>
      <c r="O245" s="47">
        <f>LiLAC!$D$37</f>
        <v>1.8846539530027266</v>
      </c>
      <c r="P245" s="47">
        <f>LiLAC!$E$37</f>
        <v>1.7916881380670227</v>
      </c>
      <c r="Q245" s="47">
        <f>LiLAC!$F$37</f>
        <v>2.0401690692716765</v>
      </c>
      <c r="R245" s="47">
        <f>LiLAC!$G$37</f>
        <v>2.0107225542624501</v>
      </c>
      <c r="S245" s="45">
        <f>LiLAC!$H$37</f>
        <v>7.1980542314982188E-3</v>
      </c>
      <c r="T245" s="46"/>
      <c r="U245" s="48" t="str">
        <f>D245</f>
        <v>USD8.55</v>
      </c>
      <c r="V245" s="44" t="str">
        <f>C245</f>
        <v>LiLAC</v>
      </c>
      <c r="Z245" s="46"/>
      <c r="AE245" s="41"/>
    </row>
    <row r="246" spans="1:69">
      <c r="A246" s="5"/>
      <c r="C246" s="67" t="s">
        <v>822</v>
      </c>
      <c r="D246" s="52"/>
      <c r="E246" s="52"/>
      <c r="F246" s="53"/>
      <c r="G246" s="52"/>
      <c r="H246" s="46"/>
      <c r="I246" s="54">
        <f>'LATAM ALTNET &amp; CABLE'!$D$41</f>
        <v>1.2268876383841461</v>
      </c>
      <c r="J246" s="54">
        <f>'LATAM ALTNET &amp; CABLE'!$E$41</f>
        <v>1.2122213854463402</v>
      </c>
      <c r="K246" s="54">
        <f>'LATAM ALTNET &amp; CABLE'!$F$41</f>
        <v>1.3641194936027397</v>
      </c>
      <c r="L246" s="54">
        <f>'LATAM ALTNET &amp; CABLE'!$G$41</f>
        <v>1.3495601303146896</v>
      </c>
      <c r="M246" s="55">
        <f>'LATAM ALTNET &amp; CABLE'!$H$41</f>
        <v>-1.7063904711860811E-2</v>
      </c>
      <c r="N246" s="46"/>
      <c r="O246" s="54">
        <f>'LATAM ALTNET &amp; CABLE'!$D$37</f>
        <v>1.9981816154853409</v>
      </c>
      <c r="P246" s="54">
        <f>'LATAM ALTNET &amp; CABLE'!$E$37</f>
        <v>1.8917798874057477</v>
      </c>
      <c r="Q246" s="54">
        <f>'LATAM ALTNET &amp; CABLE'!$F$37</f>
        <v>2.0073724279441492</v>
      </c>
      <c r="R246" s="54">
        <f>'LATAM ALTNET &amp; CABLE'!$G$37</f>
        <v>1.9059015150115719</v>
      </c>
      <c r="S246" s="55">
        <f>'LATAM ALTNET &amp; CABLE'!$H$37</f>
        <v>3.0779883338322822E-2</v>
      </c>
      <c r="T246" s="46"/>
      <c r="U246" s="57"/>
      <c r="V246" s="58" t="str">
        <f>C246</f>
        <v>Agg. Emerging LatAm Altnets &amp; Cable</v>
      </c>
      <c r="Z246" s="46"/>
      <c r="AE246" s="41"/>
    </row>
    <row r="247" spans="1:69" s="5" customFormat="1">
      <c r="A247" s="39"/>
      <c r="B247" s="42"/>
      <c r="C247" s="43"/>
      <c r="D247" s="44"/>
      <c r="E247" s="44"/>
      <c r="F247" s="45"/>
      <c r="G247" s="44"/>
      <c r="H247" s="46"/>
      <c r="I247" s="47"/>
      <c r="J247" s="47"/>
      <c r="K247" s="47"/>
      <c r="L247" s="47"/>
      <c r="M247" s="45"/>
      <c r="N247" s="46"/>
      <c r="O247" s="47"/>
      <c r="P247" s="47"/>
      <c r="Q247" s="47"/>
      <c r="R247" s="47"/>
      <c r="S247" s="45"/>
      <c r="T247" s="46"/>
      <c r="U247" s="48"/>
      <c r="V247" s="50"/>
      <c r="AE247" s="41"/>
      <c r="AF247" s="31"/>
      <c r="AG247" s="31"/>
      <c r="AI247" s="41"/>
      <c r="AJ247" s="64"/>
      <c r="AK247" s="64"/>
      <c r="AM247" s="41"/>
      <c r="AN247" s="17"/>
      <c r="AO247" s="17"/>
      <c r="AQ247" s="41"/>
      <c r="AR247" s="18"/>
      <c r="AS247" s="18"/>
    </row>
    <row r="248" spans="1:69" s="5" customFormat="1">
      <c r="A248" s="39"/>
      <c r="B248" s="42"/>
      <c r="C248" s="67" t="str">
        <f>C186</f>
        <v>Agg. EMEA sector</v>
      </c>
      <c r="D248" s="52"/>
      <c r="E248" s="52"/>
      <c r="F248" s="53"/>
      <c r="G248" s="52"/>
      <c r="H248" s="46"/>
      <c r="I248" s="54">
        <f>'EMEA AGG'!$D$41</f>
        <v>2.7546189770034313</v>
      </c>
      <c r="J248" s="54">
        <f>'EMEA AGG'!$E$41</f>
        <v>2.6651603508897779</v>
      </c>
      <c r="K248" s="54">
        <f>'EMEA AGG'!$F$41</f>
        <v>2.5412987622617824</v>
      </c>
      <c r="L248" s="54">
        <f>'EMEA AGG'!$G$41</f>
        <v>2.4118152160118882</v>
      </c>
      <c r="M248" s="55">
        <f>'EMEA AGG'!$H$41</f>
        <v>2.8974474809809747E-2</v>
      </c>
      <c r="N248" s="56"/>
      <c r="O248" s="54">
        <f>'EMEA AGG'!$D$37</f>
        <v>2.8566805721528863</v>
      </c>
      <c r="P248" s="54">
        <f>'EMEA AGG'!$E$37</f>
        <v>2.8831710290777304</v>
      </c>
      <c r="Q248" s="54">
        <f>'EMEA AGG'!$F$37</f>
        <v>2.6292665728217446</v>
      </c>
      <c r="R248" s="54">
        <f>'EMEA AGG'!$G$37</f>
        <v>2.4144234922587007</v>
      </c>
      <c r="S248" s="55">
        <f>'EMEA AGG'!$H$37</f>
        <v>4.1153694472270574E-2</v>
      </c>
      <c r="T248" s="46"/>
      <c r="U248" s="57"/>
      <c r="V248" s="58" t="str">
        <f>V186</f>
        <v>Agg. EMEA sector</v>
      </c>
      <c r="AE248" s="41"/>
      <c r="AF248" s="31"/>
      <c r="AG248" s="31"/>
      <c r="AI248" s="41"/>
      <c r="AJ248" s="64"/>
      <c r="AK248" s="64"/>
      <c r="AM248" s="41"/>
      <c r="AN248" s="17"/>
      <c r="AO248" s="17"/>
      <c r="AQ248" s="41"/>
      <c r="AR248" s="18"/>
      <c r="AS248" s="18"/>
    </row>
    <row r="249" spans="1:69" s="5" customFormat="1">
      <c r="A249" s="39"/>
      <c r="B249" s="42"/>
      <c r="C249" s="41" t="str">
        <f>C187</f>
        <v>Agg. LatAm sector</v>
      </c>
      <c r="D249" s="44"/>
      <c r="E249" s="44"/>
      <c r="F249" s="45"/>
      <c r="G249" s="44"/>
      <c r="H249" s="46"/>
      <c r="I249" s="60">
        <f>'LATAM AGG'!$D$41</f>
        <v>1.3244031933420088</v>
      </c>
      <c r="J249" s="60">
        <f>'LATAM AGG'!$E$41</f>
        <v>1.2722607705792592</v>
      </c>
      <c r="K249" s="60">
        <f>'LATAM AGG'!$F$41</f>
        <v>1.2205020316481807</v>
      </c>
      <c r="L249" s="60">
        <f>'LATAM AGG'!$G$41</f>
        <v>1.1427907734281766</v>
      </c>
      <c r="M249" s="59">
        <f>'LATAM AGG'!$H$41</f>
        <v>-2.7134202435501464E-3</v>
      </c>
      <c r="N249" s="56"/>
      <c r="O249" s="60">
        <f>'LATAM AGG'!$D$37</f>
        <v>1.7767735397530575</v>
      </c>
      <c r="P249" s="60">
        <f>'LATAM AGG'!$E$37</f>
        <v>1.6394749827784822</v>
      </c>
      <c r="Q249" s="60">
        <f>'LATAM AGG'!$F$37</f>
        <v>1.5136137533872256</v>
      </c>
      <c r="R249" s="60">
        <f>'LATAM AGG'!$G$37</f>
        <v>1.3810292874531336</v>
      </c>
      <c r="S249" s="59">
        <f>'LATAM AGG'!$H$37</f>
        <v>3.2631114257633875E-2</v>
      </c>
      <c r="T249" s="46"/>
      <c r="U249" s="48"/>
      <c r="V249" s="50" t="str">
        <f>V187</f>
        <v>Agg. LatAm sector</v>
      </c>
      <c r="AE249" s="41"/>
      <c r="AF249" s="31"/>
      <c r="AG249" s="31"/>
      <c r="AI249" s="41"/>
      <c r="AJ249" s="64"/>
      <c r="AK249" s="64"/>
      <c r="AM249" s="41"/>
      <c r="AN249" s="17"/>
      <c r="AO249" s="17"/>
      <c r="AQ249" s="41"/>
      <c r="AR249" s="18"/>
      <c r="AS249" s="18"/>
    </row>
    <row r="250" spans="1:69" s="5" customFormat="1">
      <c r="A250" s="39"/>
      <c r="B250" s="42"/>
      <c r="C250" s="67" t="str">
        <f>C188</f>
        <v>Agg. Emerging Asia sector</v>
      </c>
      <c r="D250" s="52"/>
      <c r="E250" s="52"/>
      <c r="F250" s="53"/>
      <c r="G250" s="52"/>
      <c r="H250" s="46"/>
      <c r="I250" s="54">
        <f>'AGG EM ASIA'!$D$41</f>
        <v>34.929307633527465</v>
      </c>
      <c r="J250" s="54">
        <f>'AGG EM ASIA'!$E$41</f>
        <v>34.977431768279246</v>
      </c>
      <c r="K250" s="54">
        <f>'AGG EM ASIA'!$F$41</f>
        <v>31.96062119548154</v>
      </c>
      <c r="L250" s="54">
        <f>'AGG EM ASIA'!$G$41</f>
        <v>28.708076551488872</v>
      </c>
      <c r="M250" s="55">
        <f>'AGG EM ASIA'!$H$41</f>
        <v>-1.9311706160580422E-2</v>
      </c>
      <c r="N250" s="56"/>
      <c r="O250" s="54">
        <f>'AGG EM ASIA'!$D$37</f>
        <v>47.193328395080187</v>
      </c>
      <c r="P250" s="54">
        <f>'AGG EM ASIA'!$E$37</f>
        <v>43.974428930576956</v>
      </c>
      <c r="Q250" s="54">
        <f>'AGG EM ASIA'!$F$37</f>
        <v>37.552316947855871</v>
      </c>
      <c r="R250" s="54">
        <f>'AGG EM ASIA'!$G$37</f>
        <v>31.649690997757475</v>
      </c>
      <c r="S250" s="55">
        <f>'AGG EM ASIA'!$H$37</f>
        <v>4.9476557311922686E-2</v>
      </c>
      <c r="T250" s="46"/>
      <c r="U250" s="57"/>
      <c r="V250" s="58" t="str">
        <f>V188</f>
        <v>Agg. Emerging Asia sector</v>
      </c>
      <c r="AE250" s="41"/>
      <c r="AF250" s="31"/>
      <c r="AG250" s="31"/>
      <c r="AI250" s="41"/>
      <c r="AJ250" s="64"/>
      <c r="AK250" s="64"/>
      <c r="AM250" s="41"/>
      <c r="AN250" s="17"/>
      <c r="AO250" s="17"/>
      <c r="AQ250" s="41"/>
      <c r="AR250" s="18"/>
      <c r="AS250" s="18"/>
    </row>
    <row r="251" spans="1:69" s="5" customFormat="1">
      <c r="A251" s="39"/>
      <c r="B251" s="42"/>
      <c r="C251" s="41"/>
      <c r="D251" s="44"/>
      <c r="E251" s="44"/>
      <c r="F251" s="45"/>
      <c r="G251" s="44"/>
      <c r="H251" s="46"/>
      <c r="I251" s="60"/>
      <c r="J251" s="60"/>
      <c r="K251" s="60"/>
      <c r="L251" s="60"/>
      <c r="M251" s="59"/>
      <c r="N251" s="56"/>
      <c r="O251" s="60"/>
      <c r="P251" s="60"/>
      <c r="Q251" s="60"/>
      <c r="R251" s="60"/>
      <c r="S251" s="59"/>
      <c r="T251" s="46"/>
      <c r="U251" s="48"/>
      <c r="V251" s="50"/>
      <c r="AE251" s="41"/>
      <c r="AF251" s="31"/>
      <c r="AG251" s="31"/>
      <c r="AI251" s="41"/>
      <c r="AJ251" s="64"/>
      <c r="AK251" s="64"/>
      <c r="AM251" s="41"/>
      <c r="AN251" s="17"/>
      <c r="AO251" s="17"/>
      <c r="AQ251" s="41"/>
      <c r="AR251" s="18"/>
      <c r="AS251" s="18"/>
    </row>
    <row r="252" spans="1:69" s="5" customFormat="1">
      <c r="A252" s="39"/>
      <c r="B252" s="42"/>
      <c r="C252" s="67" t="str">
        <f>C190</f>
        <v>Agg. Global EM sector (ex-consensus)</v>
      </c>
      <c r="D252" s="52"/>
      <c r="E252" s="52"/>
      <c r="F252" s="53"/>
      <c r="G252" s="52"/>
      <c r="H252" s="46"/>
      <c r="I252" s="54">
        <f>'AGG EM'!$D$41</f>
        <v>27.243713322021154</v>
      </c>
      <c r="J252" s="54">
        <f>'AGG EM'!$E$41</f>
        <v>27.089658338273644</v>
      </c>
      <c r="K252" s="54">
        <f>'AGG EM'!$F$41</f>
        <v>24.66957505581005</v>
      </c>
      <c r="L252" s="54">
        <f>'AGG EM'!$G$41</f>
        <v>22.040277006694431</v>
      </c>
      <c r="M252" s="55">
        <f>'AGG EM'!$H$41</f>
        <v>-1.3382626032309664E-2</v>
      </c>
      <c r="N252" s="56"/>
      <c r="O252" s="54">
        <f>'AGG EM'!$D$37</f>
        <v>36.099467473183068</v>
      </c>
      <c r="P252" s="54">
        <f>'AGG EM'!$E$37</f>
        <v>33.850821771625633</v>
      </c>
      <c r="Q252" s="54">
        <f>'AGG EM'!$F$37</f>
        <v>28.989720438526753</v>
      </c>
      <c r="R252" s="54">
        <f>'AGG EM'!$G$37</f>
        <v>24.505387911772221</v>
      </c>
      <c r="S252" s="55">
        <f>'AGG EM'!$H$37</f>
        <v>4.6033064370190946E-2</v>
      </c>
      <c r="T252" s="46"/>
      <c r="U252" s="57"/>
      <c r="V252" s="58" t="str">
        <f>V190</f>
        <v>Agg. Global EM sector (ex-consensus)</v>
      </c>
      <c r="AE252" s="41"/>
      <c r="AF252" s="31"/>
      <c r="AG252" s="31"/>
      <c r="AI252" s="41"/>
      <c r="AJ252" s="64"/>
      <c r="AK252" s="64"/>
      <c r="AM252" s="41"/>
      <c r="AN252" s="17"/>
      <c r="AO252" s="17"/>
      <c r="AQ252" s="41"/>
      <c r="AR252" s="18"/>
      <c r="AS252" s="18"/>
    </row>
    <row r="253" spans="1:69" s="5" customFormat="1">
      <c r="A253" s="39"/>
      <c r="B253" s="42"/>
      <c r="C253" s="41"/>
      <c r="D253" s="69"/>
      <c r="E253" s="10"/>
      <c r="G253" s="10"/>
      <c r="M253" s="69"/>
      <c r="S253" s="69"/>
      <c r="U253" s="63"/>
      <c r="V253" s="63"/>
      <c r="AE253" s="41"/>
      <c r="AF253" s="31"/>
      <c r="AG253" s="31"/>
      <c r="AI253" s="41"/>
      <c r="AJ253" s="64"/>
      <c r="AK253" s="64"/>
      <c r="AM253" s="41"/>
      <c r="AN253" s="17"/>
      <c r="AO253" s="17"/>
      <c r="AQ253" s="41"/>
      <c r="AR253" s="18"/>
      <c r="AS253" s="18"/>
    </row>
    <row r="254" spans="1:69" s="5" customFormat="1">
      <c r="A254" s="39"/>
      <c r="B254" s="42"/>
      <c r="C254" s="41"/>
      <c r="D254" s="69"/>
      <c r="E254" s="10"/>
      <c r="G254" s="10"/>
      <c r="M254" s="69"/>
      <c r="S254" s="69"/>
      <c r="U254" s="63"/>
      <c r="V254" s="63"/>
      <c r="AE254" s="41"/>
      <c r="AF254" s="31"/>
      <c r="AG254" s="31"/>
      <c r="AI254" s="41"/>
      <c r="AJ254" s="64"/>
      <c r="AK254" s="64"/>
      <c r="AM254" s="41"/>
      <c r="AN254" s="17"/>
      <c r="AO254" s="17"/>
      <c r="AQ254" s="41"/>
      <c r="AR254" s="18"/>
      <c r="AS254" s="18"/>
    </row>
    <row r="255" spans="1:69" s="41" customFormat="1">
      <c r="B255" s="147"/>
      <c r="C255" s="164"/>
      <c r="D255" s="165" t="s">
        <v>464</v>
      </c>
      <c r="E255" s="165" t="s">
        <v>57</v>
      </c>
      <c r="F255" s="165" t="s">
        <v>59</v>
      </c>
      <c r="G255" s="165" t="s">
        <v>56</v>
      </c>
      <c r="H255" s="134"/>
      <c r="I255" s="166" t="s">
        <v>593</v>
      </c>
      <c r="J255" s="166"/>
      <c r="K255" s="166"/>
      <c r="L255" s="166"/>
      <c r="M255" s="166"/>
      <c r="N255" s="46"/>
      <c r="O255" s="166" t="s">
        <v>288</v>
      </c>
      <c r="P255" s="166"/>
      <c r="Q255" s="166"/>
      <c r="R255" s="166"/>
      <c r="S255" s="166"/>
      <c r="T255" s="46"/>
      <c r="U255" s="167" t="s">
        <v>464</v>
      </c>
      <c r="V255" s="165"/>
      <c r="Z255" s="49"/>
      <c r="AC255" s="135"/>
      <c r="AD255" s="136"/>
      <c r="AE255" s="136"/>
      <c r="AF255" s="136"/>
      <c r="AG255" s="136"/>
      <c r="AH255" s="136"/>
      <c r="AI255" s="136"/>
      <c r="AJ255" s="136"/>
      <c r="AK255" s="136"/>
      <c r="AL255" s="136"/>
      <c r="AM255" s="136"/>
      <c r="AN255" s="136"/>
      <c r="AO255" s="136"/>
      <c r="AP255" s="136"/>
      <c r="AQ255" s="136"/>
      <c r="AR255" s="136"/>
      <c r="AS255" s="136"/>
      <c r="AT255" s="136"/>
      <c r="AU255" s="136"/>
      <c r="AV255" s="136"/>
      <c r="AW255" s="136"/>
      <c r="BC255" s="137"/>
      <c r="BD255" s="137"/>
      <c r="BE255" s="137"/>
      <c r="BG255" s="137"/>
      <c r="BH255" s="137"/>
      <c r="BI255" s="137"/>
      <c r="BK255" s="137"/>
      <c r="BL255" s="137"/>
      <c r="BM255" s="137"/>
      <c r="BO255" s="137"/>
      <c r="BP255" s="137"/>
      <c r="BQ255" s="137"/>
    </row>
    <row r="256" spans="1:69" s="5" customFormat="1">
      <c r="A256" s="41" t="s">
        <v>506</v>
      </c>
      <c r="B256" s="42"/>
      <c r="C256" s="48" t="str">
        <f>C194</f>
        <v>Telkom SA</v>
      </c>
      <c r="D256" s="44" t="str">
        <f>D194</f>
        <v>ZAR 25.3</v>
      </c>
      <c r="E256" s="44" t="str">
        <f>E194</f>
        <v>ZAR 56.0</v>
      </c>
      <c r="F256" s="45">
        <f>F194</f>
        <v>1.21606648199446</v>
      </c>
      <c r="G256" s="44" t="str">
        <f>G194</f>
        <v>Neutral</v>
      </c>
      <c r="H256" s="134"/>
      <c r="I256" s="47">
        <f>TKG!$D$42</f>
        <v>0.46409470475784848</v>
      </c>
      <c r="J256" s="47">
        <f>TKG!$E$42</f>
        <v>0.39094015790221343</v>
      </c>
      <c r="K256" s="47">
        <f>TKG!$F$42</f>
        <v>0.32017860683781585</v>
      </c>
      <c r="L256" s="47">
        <f>TKG!$G$42</f>
        <v>0.24781907337011971</v>
      </c>
      <c r="M256" s="45">
        <f>TKG!$H$42</f>
        <v>1.4111258607638399E-2</v>
      </c>
      <c r="N256" s="46"/>
      <c r="O256" s="45">
        <f>(TKG!$D$23/TKG!$C$23)-1</f>
        <v>1.9851285359285153E-2</v>
      </c>
      <c r="P256" s="45">
        <f>(TKG!$E$23/TKG!$D$23)-1</f>
        <v>1.6539625945453995E-2</v>
      </c>
      <c r="Q256" s="45">
        <f>(TKG!$F$23/TKG!$E$23)-1</f>
        <v>2.0946056737308538E-2</v>
      </c>
      <c r="R256" s="45">
        <f>(TKG!$G$23/TKG!$F$23)-1</f>
        <v>2.0946056737308538E-2</v>
      </c>
      <c r="S256" s="45">
        <f>TKG!$H$23</f>
        <v>1.947512825024833E-2</v>
      </c>
      <c r="T256" s="46"/>
      <c r="U256" s="48" t="str">
        <f>U194</f>
        <v>ZAR 25.3</v>
      </c>
      <c r="V256" s="44" t="str">
        <f>V194</f>
        <v>Telkom SA</v>
      </c>
      <c r="AE256" s="41"/>
      <c r="AF256" s="31"/>
      <c r="AG256" s="31"/>
      <c r="AI256" s="41"/>
      <c r="AJ256" s="64"/>
      <c r="AK256" s="64"/>
      <c r="AM256" s="41"/>
      <c r="AN256" s="17"/>
      <c r="AO256" s="17"/>
      <c r="AQ256" s="41"/>
      <c r="AR256" s="18"/>
      <c r="AS256" s="18"/>
    </row>
    <row r="257" spans="1:45" s="5" customFormat="1">
      <c r="A257" s="41"/>
      <c r="B257" s="42"/>
      <c r="C257" s="51" t="str">
        <f>C195</f>
        <v>Agg. EMEA Incumbent</v>
      </c>
      <c r="D257" s="58"/>
      <c r="E257" s="58"/>
      <c r="F257" s="55"/>
      <c r="G257" s="58"/>
      <c r="H257" s="134"/>
      <c r="I257" s="54">
        <f>'EMEA INCUMB'!$D$42</f>
        <v>0.46409470475784848</v>
      </c>
      <c r="J257" s="54">
        <f>'EMEA INCUMB'!$E$42</f>
        <v>0.39094015790221343</v>
      </c>
      <c r="K257" s="54">
        <f>'EMEA INCUMB'!$F$42</f>
        <v>0.32017860683781585</v>
      </c>
      <c r="L257" s="54">
        <f>'EMEA INCUMB'!$G$42</f>
        <v>0.24781907337011971</v>
      </c>
      <c r="M257" s="55">
        <f>'EMEA INCUMB'!$H$42</f>
        <v>1.4111258607638399E-2</v>
      </c>
      <c r="N257" s="56"/>
      <c r="O257" s="55">
        <f>('EMEA INCUMB'!$D$23/'EMEA INCUMB'!$C$23)-1</f>
        <v>1.9851285359285153E-2</v>
      </c>
      <c r="P257" s="55">
        <f>('EMEA INCUMB'!$E$23/'EMEA INCUMB'!$D$23)-1</f>
        <v>1.6539625945453995E-2</v>
      </c>
      <c r="Q257" s="55">
        <f>('EMEA INCUMB'!$F$23/'EMEA INCUMB'!$E$23)-1</f>
        <v>2.0946056737308538E-2</v>
      </c>
      <c r="R257" s="55">
        <f>('EMEA INCUMB'!$G$23/'EMEA INCUMB'!$F$23)-1</f>
        <v>2.0946056737308538E-2</v>
      </c>
      <c r="S257" s="55">
        <f>'EMEA INCUMB'!$H$23</f>
        <v>1.947512825024833E-2</v>
      </c>
      <c r="T257" s="56"/>
      <c r="U257" s="51"/>
      <c r="V257" s="58" t="str">
        <f>V195</f>
        <v>Agg. EMEA Incumbent</v>
      </c>
      <c r="AE257" s="41"/>
      <c r="AF257" s="31"/>
      <c r="AG257" s="31"/>
      <c r="AI257" s="41"/>
      <c r="AJ257" s="64"/>
      <c r="AK257" s="64"/>
      <c r="AM257" s="41"/>
      <c r="AN257" s="17"/>
      <c r="AO257" s="17"/>
      <c r="AQ257" s="41"/>
      <c r="AR257" s="18"/>
      <c r="AS257" s="18"/>
    </row>
    <row r="258" spans="1:45" s="5" customFormat="1">
      <c r="B258" s="42"/>
      <c r="C258" s="48"/>
      <c r="D258" s="44"/>
      <c r="E258" s="44"/>
      <c r="F258" s="68"/>
      <c r="G258" s="44"/>
      <c r="H258" s="134"/>
      <c r="I258" s="62"/>
      <c r="J258" s="62"/>
      <c r="K258" s="62"/>
      <c r="L258" s="62"/>
      <c r="M258" s="61"/>
      <c r="N258" s="46"/>
      <c r="O258" s="61"/>
      <c r="P258" s="61"/>
      <c r="Q258" s="61"/>
      <c r="R258" s="61"/>
      <c r="S258" s="61"/>
      <c r="T258" s="46"/>
      <c r="U258" s="48"/>
      <c r="V258" s="44"/>
      <c r="Z258" s="49"/>
      <c r="AE258" s="41"/>
      <c r="AF258" s="31"/>
      <c r="AG258" s="31"/>
      <c r="AI258" s="41"/>
      <c r="AJ258" s="64"/>
      <c r="AK258" s="64"/>
      <c r="AM258" s="41"/>
      <c r="AN258" s="17"/>
      <c r="AO258" s="17"/>
      <c r="AQ258" s="41"/>
      <c r="AR258" s="18"/>
      <c r="AS258" s="18"/>
    </row>
    <row r="259" spans="1:45" s="5" customFormat="1">
      <c r="B259" s="42"/>
      <c r="C259" s="48" t="str">
        <f t="shared" ref="C259:G261" si="36">C197</f>
        <v>America Movil</v>
      </c>
      <c r="D259" s="44" t="str">
        <f t="shared" si="36"/>
        <v>USD 16.2</v>
      </c>
      <c r="E259" s="44" t="str">
        <f t="shared" si="36"/>
        <v>USD 24.0</v>
      </c>
      <c r="F259" s="45">
        <f t="shared" si="36"/>
        <v>0.47965474722564738</v>
      </c>
      <c r="G259" s="44" t="str">
        <f t="shared" si="36"/>
        <v>Buy</v>
      </c>
      <c r="H259" s="46"/>
      <c r="I259" s="47">
        <f>AMX!$D$42</f>
        <v>2.3888390177511827</v>
      </c>
      <c r="J259" s="47">
        <f>AMX!$E$42</f>
        <v>2.3777150893350316</v>
      </c>
      <c r="K259" s="47">
        <f>AMX!$F$42</f>
        <v>2.3341728623788489</v>
      </c>
      <c r="L259" s="47">
        <f>AMX!$G$42</f>
        <v>2.2973200709907498</v>
      </c>
      <c r="M259" s="45">
        <f>AMX!$H$42</f>
        <v>-4.6928957646193981E-2</v>
      </c>
      <c r="N259" s="46"/>
      <c r="O259" s="45">
        <f>(AMX!$D$23/AMX!$C$23)-1</f>
        <v>0.10802339668092942</v>
      </c>
      <c r="P259" s="45">
        <f>(AMX!$E$23/AMX!$D$23)-1</f>
        <v>4.4634549797566869E-2</v>
      </c>
      <c r="Q259" s="45">
        <f>(AMX!$F$23/AMX!$E$23)-1</f>
        <v>2.3377741923980233E-2</v>
      </c>
      <c r="R259" s="45">
        <f>(AMX!$G$23/AMX!$F$23)-1</f>
        <v>2.1889756853228359E-2</v>
      </c>
      <c r="S259" s="45">
        <f>AMX!$H$23</f>
        <v>2.9915196167993097E-2</v>
      </c>
      <c r="T259" s="46"/>
      <c r="U259" s="48" t="str">
        <f t="shared" ref="U259:V261" si="37">U197</f>
        <v>USD 16.2</v>
      </c>
      <c r="V259" s="44" t="str">
        <f t="shared" si="37"/>
        <v>America Movil</v>
      </c>
      <c r="AE259" s="41"/>
      <c r="AF259" s="31"/>
      <c r="AG259" s="31"/>
      <c r="AI259" s="41"/>
      <c r="AJ259" s="64"/>
      <c r="AK259" s="64"/>
      <c r="AM259" s="41"/>
      <c r="AN259" s="17"/>
      <c r="AO259" s="17"/>
      <c r="AQ259" s="41"/>
      <c r="AR259" s="18"/>
      <c r="AS259" s="18"/>
    </row>
    <row r="260" spans="1:45">
      <c r="A260" s="5"/>
      <c r="C260" s="48" t="str">
        <f t="shared" si="36"/>
        <v>Oi</v>
      </c>
      <c r="D260" s="44" t="str">
        <f t="shared" si="36"/>
        <v>BRL 1.78</v>
      </c>
      <c r="E260" s="44" t="str">
        <f t="shared" si="36"/>
        <v>BRL 0.90</v>
      </c>
      <c r="F260" s="45">
        <f t="shared" si="36"/>
        <v>-0.4943820224719101</v>
      </c>
      <c r="G260" s="44" t="str">
        <f t="shared" si="36"/>
        <v>Neutral</v>
      </c>
      <c r="H260" s="46"/>
      <c r="I260" s="47" t="e">
        <f>OIBR!$D$42</f>
        <v>#DIV/0!</v>
      </c>
      <c r="J260" s="47" t="e">
        <f>OIBR!$E$42</f>
        <v>#DIV/0!</v>
      </c>
      <c r="K260" s="47" t="e">
        <f>OIBR!$F$42</f>
        <v>#DIV/0!</v>
      </c>
      <c r="L260" s="47" t="e">
        <f>OIBR!$G$42</f>
        <v>#DIV/0!</v>
      </c>
      <c r="M260" s="45" t="str">
        <f>OIBR!$H$42</f>
        <v>nm</v>
      </c>
      <c r="N260" s="46"/>
      <c r="O260" s="45">
        <f>(OIBR!$D$23/OIBR!$C$23)-1</f>
        <v>-6.8373475548712981E-2</v>
      </c>
      <c r="P260" s="45">
        <f>(OIBR!$E$23/OIBR!$D$23)-1</f>
        <v>1.0278514536162353E-2</v>
      </c>
      <c r="Q260" s="45">
        <f>(OIBR!$F$23/OIBR!$E$23)-1</f>
        <v>3.1857592021235837E-2</v>
      </c>
      <c r="R260" s="45">
        <f>(OIBR!$G$23/OIBR!$F$23)-1</f>
        <v>3.574304212826851E-2</v>
      </c>
      <c r="S260" s="45">
        <f>OIBR!$H$23</f>
        <v>2.5898280258095152E-2</v>
      </c>
      <c r="T260" s="46"/>
      <c r="U260" s="48" t="str">
        <f t="shared" si="37"/>
        <v>BRL 1.78</v>
      </c>
      <c r="V260" s="44" t="str">
        <f t="shared" si="37"/>
        <v>Oi</v>
      </c>
      <c r="Z260" s="46"/>
    </row>
    <row r="261" spans="1:45" s="5" customFormat="1">
      <c r="B261" s="42"/>
      <c r="C261" s="48" t="str">
        <f t="shared" si="36"/>
        <v>Telefonica Brasil</v>
      </c>
      <c r="D261" s="44" t="str">
        <f t="shared" si="36"/>
        <v>BRL 45.90</v>
      </c>
      <c r="E261" s="44" t="str">
        <f t="shared" si="36"/>
        <v>BRL 61.00</v>
      </c>
      <c r="F261" s="45">
        <f t="shared" si="36"/>
        <v>0.32897603485838789</v>
      </c>
      <c r="G261" s="44" t="str">
        <f t="shared" si="36"/>
        <v>Buy</v>
      </c>
      <c r="H261" s="46"/>
      <c r="I261" s="47">
        <f>VIVO!$D$42</f>
        <v>1.7320949297918533</v>
      </c>
      <c r="J261" s="47">
        <f>VIVO!$E$42</f>
        <v>1.5620899572323337</v>
      </c>
      <c r="K261" s="47">
        <f>VIVO!$F$42</f>
        <v>1.3692798828089263</v>
      </c>
      <c r="L261" s="47">
        <f>VIVO!$G$42</f>
        <v>1.1748212065587531</v>
      </c>
      <c r="M261" s="45">
        <f>VIVO!$H$42</f>
        <v>4.6010774055409209E-2</v>
      </c>
      <c r="N261" s="46"/>
      <c r="O261" s="45">
        <f>(VIVO!$D$23/VIVO!$C$23)-1</f>
        <v>8.4594506528700597E-2</v>
      </c>
      <c r="P261" s="45">
        <f>(VIVO!$E$23/VIVO!$D$23)-1</f>
        <v>5.1724410718370528E-2</v>
      </c>
      <c r="Q261" s="45">
        <f>(VIVO!$F$23/VIVO!$E$23)-1</f>
        <v>6.0916358471222898E-2</v>
      </c>
      <c r="R261" s="45">
        <f>(VIVO!$G$23/VIVO!$F$23)-1</f>
        <v>4.8076025838815317E-2</v>
      </c>
      <c r="S261" s="45">
        <f>VIVO!$H$23</f>
        <v>5.3558436109118146E-2</v>
      </c>
      <c r="T261" s="46"/>
      <c r="U261" s="48" t="str">
        <f t="shared" si="37"/>
        <v>BRL 45.90</v>
      </c>
      <c r="V261" s="44" t="str">
        <f t="shared" si="37"/>
        <v>Telefonica Brasil</v>
      </c>
      <c r="Z261" s="49"/>
      <c r="AE261" s="41"/>
      <c r="AF261" s="31"/>
      <c r="AG261" s="31"/>
      <c r="AI261" s="41"/>
      <c r="AJ261" s="64"/>
      <c r="AK261" s="64"/>
      <c r="AM261" s="41"/>
      <c r="AN261" s="17"/>
      <c r="AO261" s="17"/>
      <c r="AQ261" s="41"/>
      <c r="AR261" s="18"/>
      <c r="AS261" s="18"/>
    </row>
    <row r="262" spans="1:45" s="5" customFormat="1">
      <c r="B262" s="42"/>
      <c r="C262" s="48" t="s">
        <v>673</v>
      </c>
      <c r="D262" s="44" t="str">
        <f>D200</f>
        <v>USD 3.1</v>
      </c>
      <c r="E262" s="44" t="str">
        <f>E200</f>
        <v>USD 3.7</v>
      </c>
      <c r="F262" s="45">
        <f>F200</f>
        <v>0.17834394904458595</v>
      </c>
      <c r="G262" s="44" t="str">
        <f>G200</f>
        <v>Neutral</v>
      </c>
      <c r="H262" s="46"/>
      <c r="I262" s="47">
        <f>TVIS!$D$42</f>
        <v>0.15273343588464175</v>
      </c>
      <c r="J262" s="47">
        <f>TVIS!$E$42</f>
        <v>0.10623404293182639</v>
      </c>
      <c r="K262" s="47">
        <f>TVIS!$F$42</f>
        <v>7.4738359005488378E-2</v>
      </c>
      <c r="L262" s="47">
        <f>TVIS!$G$42</f>
        <v>2.5068794225631165E-2</v>
      </c>
      <c r="M262" s="45">
        <f>TVIS!$H$42</f>
        <v>-2.0890804844164723E-2</v>
      </c>
      <c r="N262" s="46"/>
      <c r="O262" s="45">
        <f>(TVIS!$D$23/TVIS!$C$23)-1</f>
        <v>-1.7143225226495695E-2</v>
      </c>
      <c r="P262" s="45">
        <f>(TVIS!$E$23/TVIS!$D$23)-1</f>
        <v>6.3525228150134172E-3</v>
      </c>
      <c r="Q262" s="45">
        <f>(TVIS!$F$23/TVIS!$E$23)-1</f>
        <v>1.440098878980911E-2</v>
      </c>
      <c r="R262" s="45">
        <f>(TVIS!$G$23/TVIS!$F$23)-1</f>
        <v>1.7097260850428952E-2</v>
      </c>
      <c r="S262" s="45">
        <f>TVIS!$H$23</f>
        <v>1.2606621051490574E-2</v>
      </c>
      <c r="T262" s="46"/>
      <c r="U262" s="48" t="str">
        <f>U200</f>
        <v>USD 3.1</v>
      </c>
      <c r="V262" s="44" t="s">
        <v>673</v>
      </c>
      <c r="Z262" s="49"/>
      <c r="AE262" s="41"/>
      <c r="AF262" s="31"/>
      <c r="AG262" s="31"/>
      <c r="AI262" s="41"/>
      <c r="AJ262" s="64"/>
      <c r="AK262" s="64"/>
      <c r="AM262" s="41"/>
      <c r="AN262" s="17"/>
      <c r="AO262" s="17"/>
      <c r="AQ262" s="41"/>
      <c r="AR262" s="18"/>
      <c r="AS262" s="18"/>
    </row>
    <row r="263" spans="1:45" s="5" customFormat="1">
      <c r="B263" s="42"/>
      <c r="C263" s="51" t="str">
        <f>C201</f>
        <v>Agg. LatAm Incumbent</v>
      </c>
      <c r="D263" s="52"/>
      <c r="E263" s="52"/>
      <c r="F263" s="53"/>
      <c r="G263" s="52"/>
      <c r="H263" s="46"/>
      <c r="I263" s="54">
        <f>'LATAM INCUMB'!$D$42</f>
        <v>2.1427162563071951</v>
      </c>
      <c r="J263" s="54">
        <f>'LATAM INCUMB'!$E$42</f>
        <v>2.1067241831034007</v>
      </c>
      <c r="K263" s="54">
        <f>'LATAM INCUMB'!$F$42</f>
        <v>2.0337088917341903</v>
      </c>
      <c r="L263" s="54">
        <f>'LATAM INCUMB'!$G$42</f>
        <v>1.9591699426923035</v>
      </c>
      <c r="M263" s="55">
        <f>'LATAM INCUMB'!$H$42</f>
        <v>-2.6170957037785714E-2</v>
      </c>
      <c r="N263" s="56"/>
      <c r="O263" s="55">
        <f>('LATAM INCUMB'!$D$23/'LATAM INCUMB'!$C$23)-1</f>
        <v>8.3299568162038318E-2</v>
      </c>
      <c r="P263" s="55">
        <f>('LATAM INCUMB'!$E$23/'LATAM INCUMB'!$D$23)-1</f>
        <v>4.11639359794993E-2</v>
      </c>
      <c r="Q263" s="55">
        <f>('LATAM INCUMB'!$F$23/'LATAM INCUMB'!$E$23)-1</f>
        <v>2.9162822135416766E-2</v>
      </c>
      <c r="R263" s="55">
        <f>('LATAM INCUMB'!$G$23/'LATAM INCUMB'!$F$23)-1</f>
        <v>2.6590633408410946E-2</v>
      </c>
      <c r="S263" s="55">
        <f>'LATAM INCUMB'!$H$23</f>
        <v>3.2286309728766227E-2</v>
      </c>
      <c r="T263" s="46"/>
      <c r="U263" s="57"/>
      <c r="V263" s="58" t="str">
        <f>V201</f>
        <v>Agg. LatAm Incumbent</v>
      </c>
      <c r="Z263" s="46"/>
      <c r="AE263" s="41"/>
      <c r="AF263" s="31"/>
      <c r="AG263" s="31"/>
      <c r="AI263" s="41"/>
      <c r="AJ263" s="64"/>
      <c r="AK263" s="64"/>
      <c r="AM263" s="41"/>
      <c r="AN263" s="17"/>
      <c r="AO263" s="17"/>
      <c r="AQ263" s="41"/>
      <c r="AR263" s="18"/>
      <c r="AS263" s="18"/>
    </row>
    <row r="264" spans="1:45" s="5" customFormat="1">
      <c r="A264" s="39"/>
      <c r="B264" s="42"/>
      <c r="C264" s="48"/>
      <c r="D264" s="44"/>
      <c r="E264" s="44"/>
      <c r="F264" s="45"/>
      <c r="G264" s="44"/>
      <c r="H264" s="46"/>
      <c r="I264" s="47"/>
      <c r="J264" s="47"/>
      <c r="K264" s="47"/>
      <c r="L264" s="47"/>
      <c r="M264" s="45"/>
      <c r="N264" s="56"/>
      <c r="O264" s="45"/>
      <c r="P264" s="45"/>
      <c r="Q264" s="45"/>
      <c r="R264" s="45"/>
      <c r="S264" s="45"/>
      <c r="T264" s="46"/>
      <c r="U264" s="48"/>
      <c r="V264" s="50"/>
      <c r="Z264" s="46"/>
      <c r="AE264" s="41"/>
      <c r="AF264" s="31"/>
      <c r="AG264" s="31"/>
      <c r="AI264" s="41"/>
      <c r="AJ264" s="64"/>
      <c r="AK264" s="64"/>
      <c r="AM264" s="41"/>
      <c r="AN264" s="17"/>
      <c r="AO264" s="17"/>
      <c r="AQ264" s="41"/>
      <c r="AR264" s="18"/>
      <c r="AS264" s="18"/>
    </row>
    <row r="265" spans="1:45">
      <c r="A265" s="5"/>
      <c r="C265" s="48" t="str">
        <f t="shared" ref="C265:G269" si="38">C203</f>
        <v>China Telecom</v>
      </c>
      <c r="D265" s="44" t="str">
        <f t="shared" si="38"/>
        <v>HKD 4.44</v>
      </c>
      <c r="E265" s="44" t="str">
        <f t="shared" si="38"/>
        <v>HKD 8.75</v>
      </c>
      <c r="F265" s="45">
        <f t="shared" si="38"/>
        <v>0.97072072072072046</v>
      </c>
      <c r="G265" s="44" t="str">
        <f t="shared" si="38"/>
        <v>Buy</v>
      </c>
      <c r="H265" s="46"/>
      <c r="I265" s="47">
        <f>_CT!$D$42</f>
        <v>0.53749204554705121</v>
      </c>
      <c r="J265" s="47">
        <f>_CT!$E$42</f>
        <v>0.50066826912269846</v>
      </c>
      <c r="K265" s="47">
        <f>_CT!$F$42</f>
        <v>0.46348197337870001</v>
      </c>
      <c r="L265" s="47">
        <f>_CT!$G$42</f>
        <v>0.42224891864934155</v>
      </c>
      <c r="M265" s="45">
        <f>_CT!$H$42</f>
        <v>-1.3899869256029596E-2</v>
      </c>
      <c r="N265" s="56"/>
      <c r="O265" s="169">
        <f>(_CT!$D$23/_CT!$C$23)-1</f>
        <v>6.6680098369917395E-2</v>
      </c>
      <c r="P265" s="169">
        <f>(_CT!$E$23/_CT!$D$23)-1</f>
        <v>5.5616258455952972E-2</v>
      </c>
      <c r="Q265" s="169">
        <f>(_CT!$F$23/_CT!$E$23)-1</f>
        <v>4.9122211452692577E-2</v>
      </c>
      <c r="R265" s="169">
        <f>(_CT!$G$23/_CT!$F$23)-1</f>
        <v>4.6902958147480467E-2</v>
      </c>
      <c r="S265" s="169">
        <f>_CT!$H$23</f>
        <v>5.0540645025821451E-2</v>
      </c>
      <c r="T265" s="46"/>
      <c r="U265" s="48" t="str">
        <f t="shared" ref="U265:V269" si="39">U203</f>
        <v>HKD 4.44</v>
      </c>
      <c r="V265" s="44" t="str">
        <f t="shared" si="39"/>
        <v>China Telecom</v>
      </c>
      <c r="Z265" s="46"/>
      <c r="AC265" s="63"/>
      <c r="AE265" s="41"/>
      <c r="AF265" s="31"/>
      <c r="AG265" s="31"/>
      <c r="AI265" s="41"/>
      <c r="AJ265" s="64"/>
      <c r="AK265" s="64"/>
      <c r="AM265" s="41"/>
      <c r="AN265" s="17"/>
      <c r="AO265" s="17"/>
      <c r="AQ265" s="41"/>
      <c r="AR265" s="18"/>
      <c r="AS265" s="18"/>
    </row>
    <row r="266" spans="1:45">
      <c r="A266" s="5"/>
      <c r="C266" s="48" t="str">
        <f t="shared" si="38"/>
        <v>China Unicom</v>
      </c>
      <c r="D266" s="44" t="str">
        <f t="shared" si="38"/>
        <v>HKD 6.20</v>
      </c>
      <c r="E266" s="44" t="str">
        <f t="shared" si="38"/>
        <v>HKD 13.20</v>
      </c>
      <c r="F266" s="45">
        <f t="shared" si="38"/>
        <v>1.129032258064516</v>
      </c>
      <c r="G266" s="44" t="str">
        <f t="shared" si="38"/>
        <v>Buy</v>
      </c>
      <c r="H266" s="46"/>
      <c r="I266" s="47">
        <f>_CU!$D$42</f>
        <v>0.24457072938245875</v>
      </c>
      <c r="J266" s="47">
        <f>_CU!$E$42</f>
        <v>0.20996257462855586</v>
      </c>
      <c r="K266" s="47">
        <f>_CU!$F$42</f>
        <v>0.18095949935198796</v>
      </c>
      <c r="L266" s="47">
        <f>_CU!$G$42</f>
        <v>0.16013788977830148</v>
      </c>
      <c r="M266" s="45">
        <f>_CU!$H$42</f>
        <v>-4.1371479810563216E-2</v>
      </c>
      <c r="N266" s="56"/>
      <c r="O266" s="169">
        <f>(_CU!$D$23/_CU!$C$23)-1</f>
        <v>4.9734606022358463E-2</v>
      </c>
      <c r="P266" s="169">
        <f>(_CU!$E$23/_CU!$D$23)-1</f>
        <v>4.8116533936544137E-2</v>
      </c>
      <c r="Q266" s="169">
        <f>(_CU!$F$23/_CU!$E$23)-1</f>
        <v>4.4979243585043571E-2</v>
      </c>
      <c r="R266" s="169">
        <f>(_CU!$G$23/_CU!$F$23)-1</f>
        <v>4.1902810695092274E-2</v>
      </c>
      <c r="S266" s="169">
        <f>_CU!$H$23</f>
        <v>4.4996450380622832E-2</v>
      </c>
      <c r="T266" s="46"/>
      <c r="U266" s="48" t="str">
        <f t="shared" si="39"/>
        <v>HKD 6.20</v>
      </c>
      <c r="V266" s="44" t="str">
        <f t="shared" si="39"/>
        <v>China Unicom</v>
      </c>
      <c r="Z266" s="46"/>
      <c r="AC266" s="63"/>
      <c r="AE266" s="41"/>
      <c r="AF266" s="31"/>
      <c r="AG266" s="31"/>
      <c r="AI266" s="41"/>
      <c r="AJ266" s="64"/>
      <c r="AK266" s="64"/>
      <c r="AM266" s="41"/>
      <c r="AN266" s="17"/>
      <c r="AO266" s="17"/>
      <c r="AQ266" s="41"/>
      <c r="AR266" s="18"/>
      <c r="AS266" s="18"/>
    </row>
    <row r="267" spans="1:45">
      <c r="C267" s="48" t="str">
        <f t="shared" si="38"/>
        <v>Chunghwa Telecom</v>
      </c>
      <c r="D267" s="44" t="str">
        <f t="shared" si="38"/>
        <v>TWD 127.00</v>
      </c>
      <c r="E267" s="44" t="str">
        <f t="shared" si="38"/>
        <v>TWD n/r</v>
      </c>
      <c r="F267" s="45" t="str">
        <f t="shared" si="38"/>
        <v>-</v>
      </c>
      <c r="G267" s="44" t="str">
        <f t="shared" si="38"/>
        <v>n/r</v>
      </c>
      <c r="H267" s="46"/>
      <c r="I267" s="47">
        <f>CHUNG!$D$42</f>
        <v>3.025798418131084</v>
      </c>
      <c r="J267" s="47">
        <f>IFERROR(CHUNG!$E$42, "na")</f>
        <v>2.9214347538371803</v>
      </c>
      <c r="K267" s="47">
        <f>IFERROR(CHUNG!$F$42,"na")</f>
        <v>2.789193582957199</v>
      </c>
      <c r="L267" s="47" t="str">
        <f>IFERROR(CHUNG!$G$42,"na")</f>
        <v>na</v>
      </c>
      <c r="M267" s="45" t="str">
        <f>CHUNG!$H$42</f>
        <v>nm</v>
      </c>
      <c r="N267" s="56"/>
      <c r="O267" s="45">
        <f>(CHUNG!$D$23/CHUNG!$C$23)-1</f>
        <v>1.1509777714780567E-2</v>
      </c>
      <c r="P267" s="45">
        <f>(CHUNG!$E$23/CHUNG!$D$23)-1</f>
        <v>1.132296611259398E-2</v>
      </c>
      <c r="Q267" s="45">
        <f>(CHUNG!$F$23/CHUNG!$E$23)-1</f>
        <v>1.169544222252572E-2</v>
      </c>
      <c r="R267" s="45">
        <f>(CHUNG!$G$23/CHUNG!$F$23)-1</f>
        <v>1.2055784345689213E-2</v>
      </c>
      <c r="S267" s="45">
        <f>CHUNG!$H$23</f>
        <v>1.1691353321333642E-2</v>
      </c>
      <c r="T267" s="46"/>
      <c r="U267" s="48" t="str">
        <f t="shared" si="39"/>
        <v>TWD 127.00</v>
      </c>
      <c r="V267" s="44" t="str">
        <f t="shared" si="39"/>
        <v>Chunghwa Telecom</v>
      </c>
      <c r="Z267" s="46"/>
      <c r="AC267" s="63"/>
      <c r="AE267" s="41"/>
      <c r="AF267" s="31"/>
      <c r="AG267" s="31"/>
      <c r="AI267" s="41"/>
      <c r="AJ267" s="64"/>
      <c r="AK267" s="64"/>
      <c r="AM267" s="41"/>
      <c r="AN267" s="17"/>
      <c r="AO267" s="17"/>
      <c r="AQ267" s="41"/>
      <c r="AR267" s="18"/>
      <c r="AS267" s="18"/>
    </row>
    <row r="268" spans="1:45">
      <c r="C268" s="48" t="str">
        <f t="shared" si="38"/>
        <v>KT Corp</v>
      </c>
      <c r="D268" s="44" t="str">
        <f t="shared" si="38"/>
        <v>KRW 36,350</v>
      </c>
      <c r="E268" s="44" t="str">
        <f t="shared" si="38"/>
        <v>KRW 70,000</v>
      </c>
      <c r="F268" s="45">
        <f t="shared" si="38"/>
        <v>0.92572214580467671</v>
      </c>
      <c r="G268" s="44" t="str">
        <f t="shared" si="38"/>
        <v>Buy</v>
      </c>
      <c r="H268" s="46"/>
      <c r="I268" s="47">
        <f>_KT!$D$42</f>
        <v>1.1557415256169099</v>
      </c>
      <c r="J268" s="47">
        <f>_KT!$E$42</f>
        <v>1.1769893492884747</v>
      </c>
      <c r="K268" s="47">
        <f>_KT!$F$42</f>
        <v>1.0680176776261836</v>
      </c>
      <c r="L268" s="47">
        <f>_KT!$G$42</f>
        <v>0.95397972199861703</v>
      </c>
      <c r="M268" s="45">
        <f>_KT!$H$42</f>
        <v>-2.143081790270418E-2</v>
      </c>
      <c r="N268" s="56"/>
      <c r="O268" s="45">
        <f>(_KT!$D$23/_KT!$C$23)-1</f>
        <v>2.8728932830671239E-2</v>
      </c>
      <c r="P268" s="45">
        <f>(_KT!$E$23/_KT!$D$23)-1</f>
        <v>2.7824120342914149E-2</v>
      </c>
      <c r="Q268" s="45">
        <f>(_KT!$F$23/_KT!$E$23)-1</f>
        <v>6.68794035135023E-2</v>
      </c>
      <c r="R268" s="45">
        <f>(_KT!$G$23/_KT!$F$23)-1</f>
        <v>5.1791824794289454E-4</v>
      </c>
      <c r="S268" s="45">
        <f>_KT!$H$23</f>
        <v>3.1382288109379708E-2</v>
      </c>
      <c r="T268" s="46"/>
      <c r="U268" s="48" t="str">
        <f t="shared" si="39"/>
        <v>KRW 36,350</v>
      </c>
      <c r="V268" s="44" t="str">
        <f t="shared" si="39"/>
        <v>KT Corp</v>
      </c>
      <c r="Z268" s="46"/>
      <c r="AE268" s="41"/>
      <c r="AF268" s="31"/>
      <c r="AG268" s="31"/>
      <c r="AI268" s="41"/>
      <c r="AJ268" s="64"/>
      <c r="AK268" s="64"/>
      <c r="AM268" s="41"/>
      <c r="AN268" s="17"/>
      <c r="AO268" s="17"/>
      <c r="AQ268" s="41"/>
      <c r="AR268" s="18"/>
      <c r="AS268" s="18"/>
    </row>
    <row r="269" spans="1:45">
      <c r="C269" s="48" t="str">
        <f t="shared" si="38"/>
        <v>PT Telkom</v>
      </c>
      <c r="D269" s="44" t="str">
        <f t="shared" si="38"/>
        <v>IDR 2,940</v>
      </c>
      <c r="E269" s="44" t="str">
        <f t="shared" si="38"/>
        <v>IDR 5,000</v>
      </c>
      <c r="F269" s="45">
        <f t="shared" si="38"/>
        <v>0.70068027210884343</v>
      </c>
      <c r="G269" s="44" t="str">
        <f t="shared" si="38"/>
        <v>Buy</v>
      </c>
      <c r="H269" s="46"/>
      <c r="I269" s="47">
        <f>PTT!$D$42</f>
        <v>3.0208262911578418</v>
      </c>
      <c r="J269" s="47">
        <f>PTT!$E$42</f>
        <v>3.0631891616558864</v>
      </c>
      <c r="K269" s="47">
        <f>PTT!$F$42</f>
        <v>2.9180316517494744</v>
      </c>
      <c r="L269" s="47">
        <f>PTT!$G$42</f>
        <v>2.7182508046780338</v>
      </c>
      <c r="M269" s="45">
        <f>PTT!$H$42</f>
        <v>-2.1246706901503765E-2</v>
      </c>
      <c r="N269" s="56"/>
      <c r="O269" s="169">
        <f>(PTT!$D$23/PTT!$C$23)-1</f>
        <v>1.2966206400282454E-2</v>
      </c>
      <c r="P269" s="169">
        <f>(PTT!$E$23/PTT!$D$23)-1</f>
        <v>3.5240180100271745E-2</v>
      </c>
      <c r="Q269" s="169">
        <f>(PTT!$F$23/PTT!$E$23)-1</f>
        <v>6.8830073386051183E-2</v>
      </c>
      <c r="R269" s="169">
        <f>(PTT!$G$23/PTT!$F$23)-1</f>
        <v>6.5851411229055801E-2</v>
      </c>
      <c r="S269" s="169">
        <f>PTT!$H$23</f>
        <v>5.653076978076732E-2</v>
      </c>
      <c r="T269" s="46"/>
      <c r="U269" s="48" t="str">
        <f t="shared" si="39"/>
        <v>IDR 2,940</v>
      </c>
      <c r="V269" s="44" t="str">
        <f t="shared" si="39"/>
        <v>PT Telkom</v>
      </c>
      <c r="Z269" s="46"/>
      <c r="AI269" s="41"/>
      <c r="AJ269" s="64"/>
      <c r="AK269" s="64"/>
    </row>
    <row r="270" spans="1:45">
      <c r="C270" s="51" t="str">
        <f>C208</f>
        <v>Agg. Emerging Asia Incumbent</v>
      </c>
      <c r="D270" s="52"/>
      <c r="E270" s="52"/>
      <c r="F270" s="53"/>
      <c r="G270" s="52"/>
      <c r="H270" s="46"/>
      <c r="I270" s="54">
        <f>'EM ASIA INCUMB'!$D$42</f>
        <v>127.29848581347441</v>
      </c>
      <c r="J270" s="54">
        <f>'EM ASIA INCUMB'!$E$42</f>
        <v>128.23927359809397</v>
      </c>
      <c r="K270" s="54">
        <f>'EM ASIA INCUMB'!$F$42</f>
        <v>117.9370082923418</v>
      </c>
      <c r="L270" s="54">
        <f>'EM ASIA INCUMB'!$G$42</f>
        <v>113.6466061578768</v>
      </c>
      <c r="M270" s="55">
        <f>'EM ASIA INCUMB'!$H$42</f>
        <v>-4.6665732243638236E-2</v>
      </c>
      <c r="N270" s="56"/>
      <c r="O270" s="55">
        <f>('EM ASIA INCUMB'!$D$23/'EM ASIA INCUMB'!$C$23)-1</f>
        <v>5.0732597462202156E-2</v>
      </c>
      <c r="P270" s="55">
        <f>('EM ASIA INCUMB'!$E$23/'EM ASIA INCUMB'!$D$23)-1</f>
        <v>4.6734061800383309E-2</v>
      </c>
      <c r="Q270" s="55">
        <f>('EM ASIA INCUMB'!$F$23/'EM ASIA INCUMB'!$E$23)-1</f>
        <v>4.9570105932872366E-2</v>
      </c>
      <c r="R270" s="55">
        <f>('EM ASIA INCUMB'!$G$23/'EM ASIA INCUMB'!$F$23)-1</f>
        <v>3.9403122966394255E-2</v>
      </c>
      <c r="S270" s="55">
        <f>'EM ASIA INCUMB'!$H$23</f>
        <v>4.5226973833718986E-2</v>
      </c>
      <c r="T270" s="46"/>
      <c r="U270" s="57"/>
      <c r="V270" s="58" t="str">
        <f>V208</f>
        <v>Agg. Emerging Asia Incumbent</v>
      </c>
      <c r="Z270" s="46"/>
      <c r="AI270" s="41"/>
      <c r="AJ270" s="64"/>
      <c r="AK270" s="64"/>
    </row>
    <row r="271" spans="1:45">
      <c r="C271" s="43"/>
      <c r="D271" s="44"/>
      <c r="E271" s="44"/>
      <c r="F271" s="68"/>
      <c r="G271" s="44"/>
      <c r="H271" s="46"/>
      <c r="I271" s="62"/>
      <c r="J271" s="62"/>
      <c r="K271" s="62"/>
      <c r="L271" s="62"/>
      <c r="M271" s="61"/>
      <c r="N271" s="56"/>
      <c r="O271" s="61"/>
      <c r="P271" s="61"/>
      <c r="Q271" s="61"/>
      <c r="R271" s="61"/>
      <c r="S271" s="61"/>
      <c r="T271" s="46"/>
      <c r="U271" s="48"/>
      <c r="V271" s="50"/>
      <c r="Z271" s="46"/>
      <c r="AI271" s="41"/>
      <c r="AJ271" s="64"/>
      <c r="AK271" s="64"/>
    </row>
    <row r="272" spans="1:45">
      <c r="C272" s="51" t="str">
        <f>C210</f>
        <v>Agg. Emerging Incumbent</v>
      </c>
      <c r="D272" s="52"/>
      <c r="E272" s="52"/>
      <c r="F272" s="53"/>
      <c r="G272" s="52"/>
      <c r="H272" s="46"/>
      <c r="I272" s="54">
        <f>'EM INCUMB'!$D$42</f>
        <v>92.154024734754898</v>
      </c>
      <c r="J272" s="54">
        <f>'EM INCUMB'!$E$42</f>
        <v>92.71619293829275</v>
      </c>
      <c r="K272" s="54">
        <f>'EM INCUMB'!$F$42</f>
        <v>85.347970481322818</v>
      </c>
      <c r="L272" s="54">
        <f>'EM INCUMB'!$G$42</f>
        <v>80.686740973878528</v>
      </c>
      <c r="M272" s="55">
        <f>'EM INCUMB'!$H$42</f>
        <v>-4.0288882333939902E-2</v>
      </c>
      <c r="N272" s="56"/>
      <c r="O272" s="55">
        <f>('EM INCUMB'!$D$23/'EM INCUMB'!$C$23)-1</f>
        <v>5.9527533485305817E-2</v>
      </c>
      <c r="P272" s="55">
        <f>('EM INCUMB'!$E$23/'EM INCUMB'!$D$23)-1</f>
        <v>4.4771046993388408E-2</v>
      </c>
      <c r="Q272" s="55">
        <f>('EM INCUMB'!$F$23/'EM INCUMB'!$E$23)-1</f>
        <v>4.3381037445339166E-2</v>
      </c>
      <c r="R272" s="55">
        <f>('EM INCUMB'!$G$23/'EM INCUMB'!$F$23)-1</f>
        <v>3.5566480094079367E-2</v>
      </c>
      <c r="S272" s="55">
        <f>'EM INCUMB'!$H$23</f>
        <v>4.1231626442215452E-2</v>
      </c>
      <c r="T272" s="46"/>
      <c r="U272" s="57"/>
      <c r="V272" s="58" t="str">
        <f>V210</f>
        <v>Agg. Emerging Incumbent</v>
      </c>
      <c r="Z272" s="46"/>
      <c r="AI272" s="41"/>
      <c r="AJ272" s="64"/>
      <c r="AK272" s="64"/>
    </row>
    <row r="273" spans="1:45">
      <c r="C273" s="43"/>
      <c r="D273" s="44"/>
      <c r="E273" s="44"/>
      <c r="F273" s="45"/>
      <c r="G273" s="44"/>
      <c r="H273" s="46"/>
      <c r="I273" s="47"/>
      <c r="J273" s="47"/>
      <c r="K273" s="47"/>
      <c r="L273" s="47"/>
      <c r="M273" s="45"/>
      <c r="N273" s="56"/>
      <c r="O273" s="45"/>
      <c r="P273" s="45"/>
      <c r="Q273" s="45"/>
      <c r="R273" s="45"/>
      <c r="S273" s="45"/>
      <c r="T273" s="46"/>
      <c r="U273" s="48"/>
      <c r="V273" s="50"/>
      <c r="Z273" s="46"/>
      <c r="AE273" s="41"/>
      <c r="AF273" s="31"/>
      <c r="AG273" s="31"/>
      <c r="AM273" s="41"/>
      <c r="AN273" s="17"/>
      <c r="AO273" s="17"/>
      <c r="AQ273" s="41"/>
      <c r="AR273" s="18"/>
      <c r="AS273" s="18"/>
    </row>
    <row r="274" spans="1:45">
      <c r="A274" s="41" t="s">
        <v>507</v>
      </c>
      <c r="C274" s="48" t="str">
        <f t="shared" ref="C274:G280" si="40">C212</f>
        <v>Airtel Africa</v>
      </c>
      <c r="D274" s="44" t="str">
        <f t="shared" si="40"/>
        <v>USD 1.21</v>
      </c>
      <c r="E274" s="44" t="str">
        <f t="shared" si="40"/>
        <v>USD 1.50</v>
      </c>
      <c r="F274" s="45">
        <f t="shared" si="40"/>
        <v>0.2396694214876034</v>
      </c>
      <c r="G274" s="44" t="str">
        <f t="shared" si="40"/>
        <v>Buy</v>
      </c>
      <c r="H274" s="46"/>
      <c r="I274" s="47">
        <f>AAF!$D$42</f>
        <v>2.6468972181177688</v>
      </c>
      <c r="J274" s="47">
        <f>AAF!$E$42</f>
        <v>2.4960713260932756</v>
      </c>
      <c r="K274" s="47">
        <f>AAF!$F$42</f>
        <v>2.3406936890879324</v>
      </c>
      <c r="L274" s="47">
        <f>AAF!$G$42</f>
        <v>2.1775926771386471</v>
      </c>
      <c r="M274" s="45">
        <f>AAF!$H$42</f>
        <v>4.1873015604453556E-2</v>
      </c>
      <c r="N274" s="56"/>
      <c r="O274" s="169">
        <f>(AAF!$D$23/AAF!$C$23)-1</f>
        <v>-4.3885213194307604E-2</v>
      </c>
      <c r="P274" s="169">
        <f>(AAF!$E$23/AAF!$D$23)-1</f>
        <v>-2.4188023677811477E-2</v>
      </c>
      <c r="Q274" s="169">
        <f>(AAF!$F$23/AAF!$E$23)-1</f>
        <v>0.10218217942059749</v>
      </c>
      <c r="R274" s="169">
        <f>(AAF!$G$23/AAF!$F$23)-1</f>
        <v>7.8878910919735645E-2</v>
      </c>
      <c r="S274" s="169">
        <f>AAF!$H$23</f>
        <v>5.0825841545305339E-2</v>
      </c>
      <c r="T274" s="46"/>
      <c r="U274" s="48" t="str">
        <f t="shared" ref="U274:V280" si="41">U212</f>
        <v>USD 1.21</v>
      </c>
      <c r="V274" s="44" t="str">
        <f t="shared" si="41"/>
        <v>Airtel Africa</v>
      </c>
      <c r="Z274" s="46"/>
    </row>
    <row r="275" spans="1:45">
      <c r="A275" s="41"/>
      <c r="C275" s="48" t="str">
        <f t="shared" si="40"/>
        <v>MobileTeleSystems</v>
      </c>
      <c r="D275" s="44" t="str">
        <f t="shared" si="40"/>
        <v>USD 10.00</v>
      </c>
      <c r="E275" s="44" t="str">
        <f t="shared" si="40"/>
        <v>USD 10.10</v>
      </c>
      <c r="F275" s="45">
        <f t="shared" si="40"/>
        <v>1.0000000000000009E-2</v>
      </c>
      <c r="G275" s="44" t="str">
        <f t="shared" si="40"/>
        <v>Buy</v>
      </c>
      <c r="H275" s="46"/>
      <c r="I275" s="47">
        <f>MTS!$D$42</f>
        <v>5.9738852486552938</v>
      </c>
      <c r="J275" s="47">
        <f>MTS!$E$42</f>
        <v>5.9710634570511818</v>
      </c>
      <c r="K275" s="47">
        <f>MTS!$F$42</f>
        <v>5.9045375093296082</v>
      </c>
      <c r="L275" s="47">
        <f>MTS!$G$42</f>
        <v>5.7937345861635769</v>
      </c>
      <c r="M275" s="45">
        <f>MTS!$H$42</f>
        <v>-2.6269996550228214E-2</v>
      </c>
      <c r="N275" s="56"/>
      <c r="O275" s="169">
        <f>(MTS!$D$23/MTS!$C$23)-1</f>
        <v>2.1703121973661421E-2</v>
      </c>
      <c r="P275" s="169">
        <f>(MTS!$E$23/MTS!$D$23)-1</f>
        <v>2.1223040160335938E-2</v>
      </c>
      <c r="Q275" s="169">
        <f>(MTS!$F$23/MTS!$E$23)-1</f>
        <v>2.0960083440349608E-2</v>
      </c>
      <c r="R275" s="169">
        <f>(MTS!$G$23/MTS!$F$23)-1</f>
        <v>2.0813142617820857E-2</v>
      </c>
      <c r="S275" s="169">
        <f>MTS!$H$23</f>
        <v>2.0998741327123316E-2</v>
      </c>
      <c r="T275" s="46"/>
      <c r="U275" s="48" t="str">
        <f t="shared" si="41"/>
        <v>USD 10.00</v>
      </c>
      <c r="V275" s="44" t="str">
        <f t="shared" si="41"/>
        <v>MobileTeleSystems</v>
      </c>
      <c r="Z275" s="46"/>
    </row>
    <row r="276" spans="1:45">
      <c r="C276" s="48" t="str">
        <f t="shared" si="40"/>
        <v>MTN</v>
      </c>
      <c r="D276" s="44" t="str">
        <f t="shared" si="40"/>
        <v>ZAR 86.08</v>
      </c>
      <c r="E276" s="44" t="str">
        <f t="shared" si="40"/>
        <v>ZAR 130.00</v>
      </c>
      <c r="F276" s="45">
        <f t="shared" si="40"/>
        <v>0.5102230483271375</v>
      </c>
      <c r="G276" s="44" t="str">
        <f t="shared" si="40"/>
        <v>Buy</v>
      </c>
      <c r="H276" s="46"/>
      <c r="I276" s="47">
        <f>MTN!$D$42</f>
        <v>1.6931185046239237</v>
      </c>
      <c r="J276" s="47">
        <f>MTN!$E$42</f>
        <v>1.8078813067784032</v>
      </c>
      <c r="K276" s="47">
        <f>MTN!$F$42</f>
        <v>1.8325097082877198</v>
      </c>
      <c r="L276" s="47">
        <f>MTN!$G$42</f>
        <v>1.8419510560998336</v>
      </c>
      <c r="M276" s="45">
        <f>MTN!$H$42</f>
        <v>1.7641695814025304E-2</v>
      </c>
      <c r="N276" s="56"/>
      <c r="O276" s="169">
        <f>(MTN!$D$23/MTN!$C$23)-1</f>
        <v>3.9304363509790496E-2</v>
      </c>
      <c r="P276" s="169">
        <f>(MTN!$E$23/MTN!$D$23)-1</f>
        <v>-8.0263442741309143E-2</v>
      </c>
      <c r="Q276" s="169">
        <f>(MTN!$F$23/MTN!$E$23)-1</f>
        <v>0.12339499679703114</v>
      </c>
      <c r="R276" s="169">
        <f>(MTN!$G$23/MTN!$F$23)-1</f>
        <v>0.10318142220699023</v>
      </c>
      <c r="S276" s="169">
        <f>MTN!$H$23</f>
        <v>4.4594234907070041E-2</v>
      </c>
      <c r="T276" s="46"/>
      <c r="U276" s="48" t="str">
        <f t="shared" si="41"/>
        <v>ZAR 86.08</v>
      </c>
      <c r="V276" s="44" t="str">
        <f t="shared" si="41"/>
        <v>MTN</v>
      </c>
      <c r="Z276" s="46"/>
    </row>
    <row r="277" spans="1:45">
      <c r="C277" s="48" t="str">
        <f t="shared" si="40"/>
        <v>Safaricom</v>
      </c>
      <c r="D277" s="44" t="str">
        <f t="shared" si="40"/>
        <v>KES 17.75</v>
      </c>
      <c r="E277" s="44" t="str">
        <f t="shared" si="40"/>
        <v>KES 17.0</v>
      </c>
      <c r="F277" s="45">
        <f t="shared" si="40"/>
        <v>-4.2253521126760618E-2</v>
      </c>
      <c r="G277" s="44" t="str">
        <f t="shared" si="40"/>
        <v>Neutral</v>
      </c>
      <c r="H277" s="46"/>
      <c r="I277" s="47">
        <f>SAF!$D$42</f>
        <v>2.651438170734473</v>
      </c>
      <c r="J277" s="47">
        <f>SAF!$E$42</f>
        <v>2.4119177196245847</v>
      </c>
      <c r="K277" s="47">
        <f>SAF!$F$42</f>
        <v>2.2364290399622515</v>
      </c>
      <c r="L277" s="47">
        <f>SAF!$G$42</f>
        <v>1.9899053318381004</v>
      </c>
      <c r="M277" s="45">
        <f>SAF!$H$42</f>
        <v>2.4877277502107997E-2</v>
      </c>
      <c r="N277" s="56"/>
      <c r="O277" s="169">
        <f>(SAF!$D$23/SAF!$C$23)-1</f>
        <v>5.9230597948020769E-2</v>
      </c>
      <c r="P277" s="169">
        <f>(SAF!$E$23/SAF!$D$23)-1</f>
        <v>8.0360882143441836E-2</v>
      </c>
      <c r="Q277" s="169">
        <f>(SAF!$F$23/SAF!$E$23)-1</f>
        <v>7.2444294288096733E-2</v>
      </c>
      <c r="R277" s="169">
        <f>(SAF!$G$23/SAF!$F$23)-1</f>
        <v>6.2404650397453798E-2</v>
      </c>
      <c r="S277" s="169">
        <f>SAF!$H$23</f>
        <v>7.1711404607406992E-2</v>
      </c>
      <c r="T277" s="46"/>
      <c r="U277" s="48" t="str">
        <f t="shared" si="41"/>
        <v>KES 17.75</v>
      </c>
      <c r="V277" s="44" t="str">
        <f t="shared" si="41"/>
        <v>Safaricom</v>
      </c>
      <c r="Z277" s="46"/>
    </row>
    <row r="278" spans="1:45">
      <c r="C278" s="48" t="str">
        <f t="shared" si="40"/>
        <v>Turkcell</v>
      </c>
      <c r="D278" s="44" t="str">
        <f t="shared" si="40"/>
        <v>USD 91.80</v>
      </c>
      <c r="E278" s="44" t="str">
        <f t="shared" si="40"/>
        <v>USD 16.90</v>
      </c>
      <c r="F278" s="45">
        <f t="shared" si="40"/>
        <v>-0.81590413943355122</v>
      </c>
      <c r="G278" s="44" t="str">
        <f t="shared" si="40"/>
        <v>Buy</v>
      </c>
      <c r="H278" s="46"/>
      <c r="I278" s="47">
        <f>TKC!$D$42</f>
        <v>12.162760296775129</v>
      </c>
      <c r="J278" s="47">
        <f>TKC!$E$42</f>
        <v>11.8959421535457</v>
      </c>
      <c r="K278" s="47">
        <f>TKC!$F$42</f>
        <v>11.803199533563424</v>
      </c>
      <c r="L278" s="47">
        <f>TKC!$G$42</f>
        <v>11.633299712105618</v>
      </c>
      <c r="M278" s="45">
        <f>TKC!$H$42</f>
        <v>-1.1561384352462012E-2</v>
      </c>
      <c r="N278" s="56"/>
      <c r="O278" s="169">
        <f>(TKC!$D$23/TKC!$C$23)-1</f>
        <v>6.8915828842198268E-2</v>
      </c>
      <c r="P278" s="169">
        <f>(TKC!$E$23/TKC!$D$23)-1</f>
        <v>6.8772068079935078E-2</v>
      </c>
      <c r="Q278" s="169">
        <f>(TKC!$F$23/TKC!$E$23)-1</f>
        <v>6.8720377995901805E-2</v>
      </c>
      <c r="R278" s="169">
        <f>(TKC!$G$23/TKC!$F$23)-1</f>
        <v>6.8667701421323279E-2</v>
      </c>
      <c r="S278" s="169">
        <f>TKC!$H$23</f>
        <v>6.8720048316360804E-2</v>
      </c>
      <c r="T278" s="46"/>
      <c r="U278" s="48" t="str">
        <f t="shared" si="41"/>
        <v>USD 91.80</v>
      </c>
      <c r="V278" s="44" t="str">
        <f t="shared" si="41"/>
        <v>Turkcell</v>
      </c>
      <c r="Z278" s="46"/>
    </row>
    <row r="279" spans="1:45">
      <c r="C279" s="48" t="str">
        <f t="shared" si="40"/>
        <v>VEON</v>
      </c>
      <c r="D279" s="44" t="str">
        <f t="shared" si="40"/>
        <v>USD 25.5</v>
      </c>
      <c r="E279" s="44" t="str">
        <f t="shared" si="40"/>
        <v>USD 40.0</v>
      </c>
      <c r="F279" s="45">
        <f t="shared" si="40"/>
        <v>0.56678417547982751</v>
      </c>
      <c r="G279" s="44" t="str">
        <f t="shared" si="40"/>
        <v>Buy</v>
      </c>
      <c r="H279" s="46"/>
      <c r="I279" s="47">
        <f>VIMP!$D$42</f>
        <v>15.281163780463475</v>
      </c>
      <c r="J279" s="47">
        <f>VIMP!$E$42</f>
        <v>14.219278090678232</v>
      </c>
      <c r="K279" s="47">
        <f>VIMP!$F$42</f>
        <v>13.172378535305921</v>
      </c>
      <c r="L279" s="47">
        <f>VIMP!$G$42</f>
        <v>12.301848763492648</v>
      </c>
      <c r="M279" s="45">
        <f>VIMP!$H$42</f>
        <v>6.5866801561411004E-2</v>
      </c>
      <c r="N279" s="56"/>
      <c r="O279" s="45">
        <f>(VIMP!$D$23/VIMP!$C$23)-1</f>
        <v>-6.1884609667923418E-2</v>
      </c>
      <c r="P279" s="45">
        <f>(VIMP!$E$23/VIMP!$D$23)-1</f>
        <v>4.7366075193286949E-2</v>
      </c>
      <c r="Q279" s="45">
        <f>(VIMP!$F$23/VIMP!$E$23)-1</f>
        <v>4.5334233401820079E-2</v>
      </c>
      <c r="R279" s="45">
        <f>(VIMP!$G$23/VIMP!$F$23)-1</f>
        <v>3.7915613610546517E-2</v>
      </c>
      <c r="S279" s="45">
        <f>VIMP!$H$23</f>
        <v>4.353072435664318E-2</v>
      </c>
      <c r="T279" s="46"/>
      <c r="U279" s="48" t="str">
        <f t="shared" si="41"/>
        <v>USD 25.5</v>
      </c>
      <c r="V279" s="44" t="str">
        <f t="shared" si="41"/>
        <v>Vimpel Com</v>
      </c>
      <c r="Z279" s="46"/>
    </row>
    <row r="280" spans="1:45">
      <c r="C280" s="48" t="str">
        <f t="shared" si="40"/>
        <v>Vodacom</v>
      </c>
      <c r="D280" s="44" t="str">
        <f t="shared" si="40"/>
        <v>ZAR 95.8</v>
      </c>
      <c r="E280" s="44" t="str">
        <f t="shared" si="40"/>
        <v>ZAR 130.0</v>
      </c>
      <c r="F280" s="45">
        <f t="shared" si="40"/>
        <v>0.35685210312075988</v>
      </c>
      <c r="G280" s="44" t="str">
        <f t="shared" si="40"/>
        <v>Neutral</v>
      </c>
      <c r="H280" s="46"/>
      <c r="I280" s="47">
        <f>VODA!$D$42</f>
        <v>2.5899118633774085</v>
      </c>
      <c r="J280" s="47">
        <f>VODA!$E$42</f>
        <v>2.4520923255479028</v>
      </c>
      <c r="K280" s="47">
        <f>VODA!$F$42</f>
        <v>2.1403145565770689</v>
      </c>
      <c r="L280" s="47">
        <f>VODA!$G$42</f>
        <v>1.8152981549124314</v>
      </c>
      <c r="M280" s="45">
        <f>VODA!$H$42</f>
        <v>3.1509539625711902E-2</v>
      </c>
      <c r="N280" s="56"/>
      <c r="O280" s="45">
        <f>(VODA!$D$23/VODA!$C$23)-1</f>
        <v>0.24732953341031449</v>
      </c>
      <c r="P280" s="45">
        <f>(VODA!$E$23/VODA!$D$23)-1</f>
        <v>-3.6581455516506711E-3</v>
      </c>
      <c r="Q280" s="45">
        <f>(VODA!$F$23/VODA!$E$23)-1</f>
        <v>5.775452685108462E-2</v>
      </c>
      <c r="R280" s="45">
        <f>(VODA!$G$23/VODA!$F$23)-1</f>
        <v>4.6876944265159981E-2</v>
      </c>
      <c r="S280" s="45">
        <f>VODA!$H$23</f>
        <v>3.3307625059563861E-2</v>
      </c>
      <c r="T280" s="46"/>
      <c r="U280" s="48" t="str">
        <f t="shared" si="41"/>
        <v>ZAR 95.8</v>
      </c>
      <c r="V280" s="44" t="str">
        <f t="shared" si="41"/>
        <v>Vodacom</v>
      </c>
      <c r="Z280" s="46"/>
    </row>
    <row r="281" spans="1:45">
      <c r="C281" s="51" t="str">
        <f>C219</f>
        <v>Agg. EMEA Cellular</v>
      </c>
      <c r="D281" s="52"/>
      <c r="E281" s="52"/>
      <c r="F281" s="53"/>
      <c r="G281" s="52"/>
      <c r="H281" s="46"/>
      <c r="I281" s="54">
        <f>'EMEA CELLULAR'!$D$42</f>
        <v>4.1985652011209735</v>
      </c>
      <c r="J281" s="54">
        <f>'EMEA CELLULAR'!$E$42</f>
        <v>4.0862699766964772</v>
      </c>
      <c r="K281" s="54">
        <f>'EMEA CELLULAR'!$F$42</f>
        <v>3.913769934902958</v>
      </c>
      <c r="L281" s="54">
        <f>'EMEA CELLULAR'!$G$42</f>
        <v>3.7199710824883767</v>
      </c>
      <c r="M281" s="55">
        <f>'EMEA CELLULAR'!$H$42</f>
        <v>2.6314073359182233E-2</v>
      </c>
      <c r="N281" s="56"/>
      <c r="O281" s="55">
        <f>('EMEA CELLULAR'!$D$23/'EMEA CELLULAR'!$C$23)-1</f>
        <v>5.4721824006734199E-2</v>
      </c>
      <c r="P281" s="55">
        <f>('EMEA CELLULAR'!$E$23/'EMEA CELLULAR'!$D$23)-1</f>
        <v>-1.5363047264710716E-2</v>
      </c>
      <c r="Q281" s="55">
        <f>('EMEA CELLULAR'!$F$23/'EMEA CELLULAR'!$E$23)-1</f>
        <v>7.9199932898028402E-2</v>
      </c>
      <c r="R281" s="55">
        <f>('EMEA CELLULAR'!$G$23/'EMEA CELLULAR'!$F$23)-1</f>
        <v>6.6891369070687157E-2</v>
      </c>
      <c r="S281" s="55">
        <f>'EMEA CELLULAR'!$H$23</f>
        <v>4.2716103268778172E-2</v>
      </c>
      <c r="T281" s="46"/>
      <c r="U281" s="57"/>
      <c r="V281" s="58" t="str">
        <f>V219</f>
        <v>Agg. EMEA Cellular</v>
      </c>
      <c r="Z281" s="46"/>
    </row>
    <row r="282" spans="1:45">
      <c r="A282" s="5"/>
      <c r="C282" s="43"/>
      <c r="D282" s="44"/>
      <c r="E282" s="44"/>
      <c r="F282" s="45"/>
      <c r="G282" s="44"/>
      <c r="H282" s="46"/>
      <c r="I282" s="47"/>
      <c r="J282" s="47"/>
      <c r="K282" s="47"/>
      <c r="L282" s="47"/>
      <c r="M282" s="45"/>
      <c r="N282" s="56"/>
      <c r="O282" s="45"/>
      <c r="P282" s="45"/>
      <c r="Q282" s="45"/>
      <c r="R282" s="45"/>
      <c r="S282" s="45"/>
      <c r="T282" s="46"/>
      <c r="U282" s="48"/>
      <c r="V282" s="50"/>
      <c r="Z282" s="46"/>
    </row>
    <row r="283" spans="1:45">
      <c r="A283" s="5"/>
      <c r="C283" s="48" t="str">
        <f t="shared" ref="C283:G285" si="42">C221</f>
        <v>Entel</v>
      </c>
      <c r="D283" s="44" t="str">
        <f t="shared" si="42"/>
        <v>CLP 3,022</v>
      </c>
      <c r="E283" s="44" t="str">
        <f t="shared" si="42"/>
        <v>CLP 3,150</v>
      </c>
      <c r="F283" s="45">
        <f t="shared" si="42"/>
        <v>4.2356055592323028E-2</v>
      </c>
      <c r="G283" s="44" t="str">
        <f t="shared" si="42"/>
        <v>Neutral</v>
      </c>
      <c r="H283" s="46"/>
      <c r="I283" s="47">
        <f>ENTEL!$D$42</f>
        <v>1.0063192822716012</v>
      </c>
      <c r="J283" s="47">
        <f>ENTEL!$E$42</f>
        <v>0.92607049545759146</v>
      </c>
      <c r="K283" s="47">
        <f>ENTEL!$F$42</f>
        <v>0.81970212247406193</v>
      </c>
      <c r="L283" s="47">
        <f>ENTEL!$G$42</f>
        <v>0.68621477212122139</v>
      </c>
      <c r="M283" s="45">
        <f>ENTEL!$H$42</f>
        <v>1.0296482080886182E-2</v>
      </c>
      <c r="N283" s="56"/>
      <c r="O283" s="169">
        <f>(ENTEL!$D$23/ENTEL!$C$23)-1</f>
        <v>2.4837110678697982E-2</v>
      </c>
      <c r="P283" s="169">
        <f>(ENTEL!$E$23/ENTEL!$D$23)-1</f>
        <v>2.6727537643034927E-2</v>
      </c>
      <c r="Q283" s="169">
        <f>(ENTEL!$F$23/ENTEL!$E$23)-1</f>
        <v>2.8422346348874861E-2</v>
      </c>
      <c r="R283" s="169">
        <f>(ENTEL!$G$23/ENTEL!$F$23)-1</f>
        <v>2.9930525642278827E-2</v>
      </c>
      <c r="S283" s="169">
        <f>ENTEL!$H$23</f>
        <v>2.8359304202485891E-2</v>
      </c>
      <c r="T283" s="46"/>
      <c r="U283" s="48" t="str">
        <f t="shared" ref="U283:V285" si="43">U221</f>
        <v>CLP 3,022</v>
      </c>
      <c r="V283" s="44" t="str">
        <f t="shared" si="43"/>
        <v>Entel</v>
      </c>
      <c r="Z283" s="46"/>
    </row>
    <row r="284" spans="1:45">
      <c r="A284" s="5"/>
      <c r="C284" s="48" t="str">
        <f t="shared" si="42"/>
        <v>Millicom</v>
      </c>
      <c r="D284" s="44" t="str">
        <f t="shared" si="42"/>
        <v>USD  24.1</v>
      </c>
      <c r="E284" s="44" t="str">
        <f t="shared" si="42"/>
        <v>USD 18.0</v>
      </c>
      <c r="F284" s="45">
        <f t="shared" si="42"/>
        <v>-0.25280199252801994</v>
      </c>
      <c r="G284" s="44" t="str">
        <f t="shared" si="42"/>
        <v>Neutral</v>
      </c>
      <c r="H284" s="46"/>
      <c r="I284" s="47">
        <f>MILLI!$D$42</f>
        <v>1.299190578018466</v>
      </c>
      <c r="J284" s="47">
        <f>MILLI!$E$42</f>
        <v>1.3048552609025064</v>
      </c>
      <c r="K284" s="47">
        <f>MILLI!$F$42</f>
        <v>1.2859578245348606</v>
      </c>
      <c r="L284" s="47">
        <f>MILLI!$G$42</f>
        <v>1.2508782780812617</v>
      </c>
      <c r="M284" s="45">
        <f>MILLI!$H$42</f>
        <v>-7.0716907447597732E-3</v>
      </c>
      <c r="N284" s="56"/>
      <c r="O284" s="169">
        <f>(MILLI!$D$23/MILLI!$C$23)-1</f>
        <v>2.032018956888515E-2</v>
      </c>
      <c r="P284" s="169">
        <f>(MILLI!$E$23/MILLI!$D$23)-1</f>
        <v>1.1470022393937906E-2</v>
      </c>
      <c r="Q284" s="169">
        <f>(MILLI!$F$23/MILLI!$E$23)-1</f>
        <v>1.7856256088548239E-2</v>
      </c>
      <c r="R284" s="169">
        <f>(MILLI!$G$23/MILLI!$F$23)-1</f>
        <v>2.3471211462788188E-2</v>
      </c>
      <c r="S284" s="169">
        <f>MILLI!$H$23</f>
        <v>1.7587349161343635E-2</v>
      </c>
      <c r="T284" s="46"/>
      <c r="U284" s="48" t="str">
        <f t="shared" si="43"/>
        <v>USD  24.1</v>
      </c>
      <c r="V284" s="44" t="str">
        <f t="shared" si="43"/>
        <v>Millicom</v>
      </c>
      <c r="Z284" s="46"/>
    </row>
    <row r="285" spans="1:45">
      <c r="A285" s="5"/>
      <c r="C285" s="48" t="str">
        <f t="shared" si="42"/>
        <v>TIM Participacoes</v>
      </c>
      <c r="D285" s="44" t="str">
        <f t="shared" si="42"/>
        <v>BRL 16.42</v>
      </c>
      <c r="E285" s="44" t="str">
        <f t="shared" si="42"/>
        <v>BRL 23.00</v>
      </c>
      <c r="F285" s="45">
        <f t="shared" si="42"/>
        <v>0.40073081607795347</v>
      </c>
      <c r="G285" s="44" t="str">
        <f t="shared" si="42"/>
        <v>Buy</v>
      </c>
      <c r="H285" s="46"/>
      <c r="I285" s="47">
        <f>TIMP!$D$42</f>
        <v>2.0141320628043822</v>
      </c>
      <c r="J285" s="47">
        <f>TIMP!$E$42</f>
        <v>1.7263818078026454</v>
      </c>
      <c r="K285" s="47">
        <f>TIMP!$F$42</f>
        <v>1.4254319238488693</v>
      </c>
      <c r="L285" s="47">
        <f>TIMP!$G$42</f>
        <v>1.0876257628136994</v>
      </c>
      <c r="M285" s="45">
        <f>TIMP!$H$42</f>
        <v>4.6345444874369202E-2</v>
      </c>
      <c r="N285" s="56"/>
      <c r="O285" s="45">
        <f>(TIMP!$D$23/TIMP!$C$23)-1</f>
        <v>0.10804128232708843</v>
      </c>
      <c r="P285" s="45">
        <f>(TIMP!$E$23/TIMP!$D$23)-1</f>
        <v>7.4850394038312729E-2</v>
      </c>
      <c r="Q285" s="45">
        <f>(TIMP!$F$23/TIMP!$E$23)-1</f>
        <v>6.1104890989370331E-2</v>
      </c>
      <c r="R285" s="45">
        <f>(TIMP!$G$23/TIMP!$F$23)-1</f>
        <v>4.39615144044887E-2</v>
      </c>
      <c r="S285" s="45">
        <f>TIMP!$H$23</f>
        <v>5.9896866881330002E-2</v>
      </c>
      <c r="T285" s="46"/>
      <c r="U285" s="48" t="str">
        <f t="shared" si="43"/>
        <v>BRL 16.42</v>
      </c>
      <c r="V285" s="44" t="str">
        <f t="shared" si="43"/>
        <v>TIM Participacoes</v>
      </c>
      <c r="Z285" s="46"/>
    </row>
    <row r="286" spans="1:45">
      <c r="A286" s="5"/>
      <c r="C286" s="51" t="str">
        <f>C224</f>
        <v>Agg. LatAm Cellular</v>
      </c>
      <c r="D286" s="52"/>
      <c r="E286" s="52"/>
      <c r="F286" s="53"/>
      <c r="G286" s="52"/>
      <c r="H286" s="46"/>
      <c r="I286" s="54">
        <f>'LATAM CELLULAR'!$D$42</f>
        <v>1.4224453262374004</v>
      </c>
      <c r="J286" s="54">
        <f>'LATAM CELLULAR'!$E$42</f>
        <v>1.3526818761660755</v>
      </c>
      <c r="K286" s="54">
        <f>'LATAM CELLULAR'!$F$42</f>
        <v>1.2556841877250959</v>
      </c>
      <c r="L286" s="54">
        <f>'LATAM CELLULAR'!$G$42</f>
        <v>1.1313245250649355</v>
      </c>
      <c r="M286" s="55">
        <f>'LATAM CELLULAR'!$H$42</f>
        <v>7.9910967777558906E-3</v>
      </c>
      <c r="N286" s="56"/>
      <c r="O286" s="55">
        <f>('LATAM CELLULAR'!$D$23/'LATAM CELLULAR'!$C$23)-1</f>
        <v>5.1151312011046723E-2</v>
      </c>
      <c r="P286" s="55">
        <f>('LATAM CELLULAR'!$E$23/'LATAM CELLULAR'!$D$23)-1</f>
        <v>3.7248767636795632E-2</v>
      </c>
      <c r="Q286" s="55">
        <f>('LATAM CELLULAR'!$F$23/'LATAM CELLULAR'!$E$23)-1</f>
        <v>3.6019913738220888E-2</v>
      </c>
      <c r="R286" s="55">
        <f>('LATAM CELLULAR'!$G$23/'LATAM CELLULAR'!$F$23)-1</f>
        <v>3.2534188416235565E-2</v>
      </c>
      <c r="S286" s="55">
        <f>'LATAM CELLULAR'!$H$23</f>
        <v>3.5265696156160375E-2</v>
      </c>
      <c r="T286" s="46"/>
      <c r="U286" s="57"/>
      <c r="V286" s="58" t="str">
        <f>V224</f>
        <v>Agg. LatAm Cellular</v>
      </c>
      <c r="Z286" s="46"/>
    </row>
    <row r="287" spans="1:45">
      <c r="C287" s="43"/>
      <c r="D287" s="44"/>
      <c r="E287" s="44"/>
      <c r="F287" s="45"/>
      <c r="G287" s="44"/>
      <c r="H287" s="46"/>
      <c r="I287" s="47"/>
      <c r="J287" s="47"/>
      <c r="K287" s="47"/>
      <c r="L287" s="47"/>
      <c r="M287" s="45"/>
      <c r="N287" s="46"/>
      <c r="O287" s="45"/>
      <c r="P287" s="45"/>
      <c r="Q287" s="45"/>
      <c r="R287" s="45"/>
      <c r="S287" s="45"/>
      <c r="T287" s="46"/>
      <c r="U287" s="48"/>
      <c r="V287" s="50"/>
      <c r="Z287" s="46"/>
    </row>
    <row r="288" spans="1:45">
      <c r="A288" s="5"/>
      <c r="C288" s="48" t="str">
        <f t="shared" ref="C288:G301" si="44">C226</f>
        <v>AIS</v>
      </c>
      <c r="D288" s="44" t="str">
        <f t="shared" si="44"/>
        <v>THB 207.0</v>
      </c>
      <c r="E288" s="44" t="str">
        <f t="shared" si="44"/>
        <v>THB 300.0</v>
      </c>
      <c r="F288" s="45">
        <f t="shared" si="44"/>
        <v>0.44927536231884058</v>
      </c>
      <c r="G288" s="44" t="str">
        <f t="shared" si="44"/>
        <v>Buy</v>
      </c>
      <c r="H288" s="46"/>
      <c r="I288" s="47">
        <f>ADVANCED!$D$42</f>
        <v>6.2125409042420223</v>
      </c>
      <c r="J288" s="47">
        <f>ADVANCED!$E$42</f>
        <v>6.8261939980553201</v>
      </c>
      <c r="K288" s="47">
        <f>ADVANCED!$F$42</f>
        <v>6.9198191958503399</v>
      </c>
      <c r="L288" s="47">
        <f>ADVANCED!$G$42</f>
        <v>6.5169676425289591</v>
      </c>
      <c r="M288" s="45">
        <f>ADVANCED!$H$42</f>
        <v>-9.4648693737996559E-2</v>
      </c>
      <c r="N288" s="46"/>
      <c r="O288" s="45">
        <f>(ADVANCED!$D$23/ADVANCED!$C$23)-1</f>
        <v>1.8273578013702219E-2</v>
      </c>
      <c r="P288" s="45">
        <f>(ADVANCED!$E$23/ADVANCED!$D$23)-1</f>
        <v>0.11849711884714509</v>
      </c>
      <c r="Q288" s="45">
        <f>(ADVANCED!$F$23/ADVANCED!$E$23)-1</f>
        <v>5.3542304781097005E-2</v>
      </c>
      <c r="R288" s="45">
        <f>(ADVANCED!$G$23/ADVANCED!$F$23)-1</f>
        <v>3.1213300334912875E-2</v>
      </c>
      <c r="S288" s="45">
        <f>ADVANCED!$H$23</f>
        <v>6.7116376718759252E-2</v>
      </c>
      <c r="T288" s="46"/>
      <c r="U288" s="48" t="str">
        <f t="shared" ref="U288:V301" si="45">U226</f>
        <v>THB 207.0</v>
      </c>
      <c r="V288" s="44" t="str">
        <f t="shared" si="45"/>
        <v>AIS</v>
      </c>
      <c r="Z288" s="46"/>
    </row>
    <row r="289" spans="1:26">
      <c r="C289" s="48" t="str">
        <f t="shared" si="44"/>
        <v>Axiata</v>
      </c>
      <c r="D289" s="44" t="str">
        <f t="shared" si="44"/>
        <v>MYR 2.87</v>
      </c>
      <c r="E289" s="44" t="str">
        <f t="shared" si="44"/>
        <v>MYR 4.50</v>
      </c>
      <c r="F289" s="45">
        <f t="shared" si="44"/>
        <v>0.56794425087108014</v>
      </c>
      <c r="G289" s="44" t="str">
        <f t="shared" si="44"/>
        <v>Buy</v>
      </c>
      <c r="H289" s="46"/>
      <c r="I289" s="47">
        <f>AXI!$D$42</f>
        <v>1.7996124924423038</v>
      </c>
      <c r="J289" s="47">
        <f>AXI!$E$42</f>
        <v>2.1544015274254487</v>
      </c>
      <c r="K289" s="47">
        <f>AXI!$F$42</f>
        <v>2.16418811911293</v>
      </c>
      <c r="L289" s="47">
        <f>AXI!$G$42</f>
        <v>2.1819754673170988</v>
      </c>
      <c r="M289" s="45">
        <f>AXI!$H$42</f>
        <v>-3.5463179142296797E-2</v>
      </c>
      <c r="N289" s="46"/>
      <c r="O289" s="45">
        <f>(AXI!D23/AXI!C23)-1</f>
        <v>-0.11892142439796338</v>
      </c>
      <c r="P289" s="45">
        <f>(AXI!E23/AXI!D23)-1</f>
        <v>3.3176728685858192E-2</v>
      </c>
      <c r="Q289" s="45">
        <f>(AXI!$F$23/AXI!$E$23)-1</f>
        <v>6.0830123453079255E-2</v>
      </c>
      <c r="R289" s="45">
        <f>(AXI!$G$23/AXI!$F$23)-1</f>
        <v>4.8931080978561692E-2</v>
      </c>
      <c r="S289" s="45">
        <f>AXI!$H$23</f>
        <v>4.7584677909829676E-2</v>
      </c>
      <c r="T289" s="46"/>
      <c r="U289" s="48" t="str">
        <f t="shared" si="45"/>
        <v>MYR 2.87</v>
      </c>
      <c r="V289" s="44" t="str">
        <f t="shared" si="45"/>
        <v>Axiata</v>
      </c>
      <c r="Z289" s="46"/>
    </row>
    <row r="290" spans="1:26">
      <c r="C290" s="48" t="str">
        <f t="shared" si="44"/>
        <v>Bharti Airtel</v>
      </c>
      <c r="D290" s="44" t="str">
        <f t="shared" si="44"/>
        <v>INR 1389</v>
      </c>
      <c r="E290" s="44" t="str">
        <f t="shared" si="44"/>
        <v>INR 1500</v>
      </c>
      <c r="F290" s="45">
        <f t="shared" si="44"/>
        <v>8.0224686734840844E-2</v>
      </c>
      <c r="G290" s="44" t="str">
        <f t="shared" si="44"/>
        <v>Buy</v>
      </c>
      <c r="H290" s="46"/>
      <c r="I290" s="47">
        <f>BHART!$D$42</f>
        <v>6.6128891236984995</v>
      </c>
      <c r="J290" s="47">
        <f>BHART!$E$42</f>
        <v>6.6631902722988876</v>
      </c>
      <c r="K290" s="47">
        <f>BHART!$F$42</f>
        <v>6.6649928751606389</v>
      </c>
      <c r="L290" s="47">
        <f>BHART!$G$42</f>
        <v>6.7352542602521766</v>
      </c>
      <c r="M290" s="45">
        <f>BHART!$H$42</f>
        <v>-4.2052852985401845E-2</v>
      </c>
      <c r="N290" s="46"/>
      <c r="O290" s="45">
        <f>(BHART!$D$23/BHART!$C$23)-1</f>
        <v>8.0927232309214503E-2</v>
      </c>
      <c r="P290" s="45">
        <f>(BHART!$E$23/BHART!$D$23)-1</f>
        <v>0.1217690450647666</v>
      </c>
      <c r="Q290" s="45">
        <f>(BHART!$F$23/BHART!$E$23)-1</f>
        <v>0.14908955942540114</v>
      </c>
      <c r="R290" s="45">
        <f>(BHART!$G$23/BHART!$F$23)-1</f>
        <v>0.13908852053811271</v>
      </c>
      <c r="S290" s="45">
        <f>BHART!$H$23</f>
        <v>0.13659289046180012</v>
      </c>
      <c r="T290" s="46"/>
      <c r="U290" s="48" t="str">
        <f t="shared" si="45"/>
        <v>INR 1389</v>
      </c>
      <c r="V290" s="44" t="str">
        <f t="shared" si="45"/>
        <v>Bharti Airtel</v>
      </c>
      <c r="Z290" s="46"/>
    </row>
    <row r="291" spans="1:26">
      <c r="A291" s="5"/>
      <c r="C291" s="48" t="str">
        <f t="shared" si="44"/>
        <v>China Mobile</v>
      </c>
      <c r="D291" s="44" t="str">
        <f t="shared" si="44"/>
        <v>HKD 73.2</v>
      </c>
      <c r="E291" s="44" t="str">
        <f t="shared" si="44"/>
        <v>HKD 115.0</v>
      </c>
      <c r="F291" s="45">
        <f t="shared" si="44"/>
        <v>0.57103825136612008</v>
      </c>
      <c r="G291" s="44" t="str">
        <f t="shared" si="44"/>
        <v>Buy</v>
      </c>
      <c r="H291" s="46"/>
      <c r="I291" s="47">
        <f>_CM!$D$42</f>
        <v>1.7812420000191473</v>
      </c>
      <c r="J291" s="47">
        <f>_CM!$E$42</f>
        <v>1.5926185873352245</v>
      </c>
      <c r="K291" s="47">
        <f>_CM!$F$42</f>
        <v>1.2990918268217431</v>
      </c>
      <c r="L291" s="47">
        <f>_CM!$G$42</f>
        <v>1.0334515712627472</v>
      </c>
      <c r="M291" s="45">
        <f>_CM!$H$42</f>
        <v>6.8879075890788899E-2</v>
      </c>
      <c r="N291" s="46"/>
      <c r="O291" s="45">
        <f>(_CM!$D$23/_CM!$C$23)-1</f>
        <v>7.687309484358118E-2</v>
      </c>
      <c r="P291" s="45">
        <f>(_CM!$E$23/_CM!$D$23)-1</f>
        <v>4.7968557161045755E-2</v>
      </c>
      <c r="Q291" s="45">
        <f>(_CM!$F$23/_CM!$E$23)-1</f>
        <v>4.4219907011364246E-2</v>
      </c>
      <c r="R291" s="45">
        <f>(_CM!$G$23/_CM!$F$23)-1</f>
        <v>4.0300354987147236E-2</v>
      </c>
      <c r="S291" s="45">
        <f>_CM!$H$23</f>
        <v>4.4158245805836938E-2</v>
      </c>
      <c r="T291" s="46"/>
      <c r="U291" s="48" t="str">
        <f t="shared" si="45"/>
        <v>HKD 73.2</v>
      </c>
      <c r="V291" s="44" t="str">
        <f t="shared" si="45"/>
        <v>China Mobile</v>
      </c>
      <c r="Z291" s="46"/>
    </row>
    <row r="292" spans="1:26">
      <c r="A292" s="5"/>
      <c r="C292" s="48" t="str">
        <f t="shared" si="44"/>
        <v>CelcomDigi</v>
      </c>
      <c r="D292" s="44" t="str">
        <f t="shared" si="44"/>
        <v>MYR 4.1</v>
      </c>
      <c r="E292" s="44" t="str">
        <f t="shared" si="44"/>
        <v>MYR 6.0</v>
      </c>
      <c r="F292" s="45">
        <f t="shared" si="44"/>
        <v>0.48148148148148162</v>
      </c>
      <c r="G292" s="44" t="str">
        <f t="shared" si="44"/>
        <v>Buy</v>
      </c>
      <c r="H292" s="46"/>
      <c r="I292" s="47">
        <f>DIGI!$D$42</f>
        <v>10.020675057199952</v>
      </c>
      <c r="J292" s="47">
        <f>DIGI!$E$42</f>
        <v>10.303898440194111</v>
      </c>
      <c r="K292" s="47">
        <f>DIGI!$F$42</f>
        <v>10.186441824872352</v>
      </c>
      <c r="L292" s="47">
        <f>DIGI!$G$42</f>
        <v>9.9831794416984696</v>
      </c>
      <c r="M292" s="45">
        <f>DIGI!$H$42</f>
        <v>-4.902542586759473E-2</v>
      </c>
      <c r="N292" s="46"/>
      <c r="O292" s="45">
        <f>(DIGI!$D$23/DIGI!$C$23)-1</f>
        <v>1.0377570694087406</v>
      </c>
      <c r="P292" s="45">
        <f>(DIGI!$E$23/DIGI!$D$23)-1</f>
        <v>1.4759156876431367E-2</v>
      </c>
      <c r="Q292" s="45">
        <f>(DIGI!$F$23/DIGI!$E$23)-1</f>
        <v>2.0536964032197069E-2</v>
      </c>
      <c r="R292" s="45">
        <f>(DIGI!$G$23/DIGI!$F$23)-1</f>
        <v>2.0500986669935495E-2</v>
      </c>
      <c r="S292" s="45">
        <f>DIGI!$H$23</f>
        <v>1.8595412333380024E-2</v>
      </c>
      <c r="T292" s="46"/>
      <c r="U292" s="48" t="str">
        <f t="shared" si="45"/>
        <v>MYR 4.1</v>
      </c>
      <c r="V292" s="44" t="str">
        <f t="shared" si="45"/>
        <v>CelcomDigi</v>
      </c>
      <c r="Z292" s="46"/>
    </row>
    <row r="293" spans="1:26">
      <c r="A293" s="5"/>
      <c r="C293" s="48" t="str">
        <f t="shared" si="44"/>
        <v>Far EasTone</v>
      </c>
      <c r="D293" s="44" t="str">
        <f t="shared" si="44"/>
        <v>TWD 84.0</v>
      </c>
      <c r="E293" s="44" t="str">
        <f t="shared" si="44"/>
        <v>TWD n/r</v>
      </c>
      <c r="F293" s="45" t="str">
        <f t="shared" si="44"/>
        <v>-</v>
      </c>
      <c r="G293" s="44" t="str">
        <f t="shared" si="44"/>
        <v>n/r</v>
      </c>
      <c r="H293" s="46"/>
      <c r="I293" s="47">
        <f>FAR!$D$42</f>
        <v>7.596719367761799</v>
      </c>
      <c r="J293" s="47">
        <f>FAR!$E$42</f>
        <v>7.5654982699910027</v>
      </c>
      <c r="K293" s="47">
        <f>FAR!$F$42</f>
        <v>7.4392429206418029</v>
      </c>
      <c r="L293" s="47">
        <f>FAR!$G$42</f>
        <v>7.2304856181198698</v>
      </c>
      <c r="M293" s="45">
        <f>FAR!$H$42</f>
        <v>-3.0805475439947272E-2</v>
      </c>
      <c r="N293" s="46"/>
      <c r="O293" s="45">
        <f>(FAR!$D$23/FAR!$C$23)-1</f>
        <v>2.3300073866665549E-2</v>
      </c>
      <c r="P293" s="45">
        <f>(FAR!$E$23/FAR!$D$23)-1</f>
        <v>2.6378186587066033E-2</v>
      </c>
      <c r="Q293" s="45">
        <f>(FAR!$F$23/FAR!$E$23)-1</f>
        <v>2.6812240821729061E-2</v>
      </c>
      <c r="R293" s="45">
        <f>(FAR!$G$23/FAR!$F$23)-1</f>
        <v>2.7243326458235906E-2</v>
      </c>
      <c r="S293" s="45">
        <f>FAR!$H$23</f>
        <v>2.6811190545072972E-2</v>
      </c>
      <c r="T293" s="46"/>
      <c r="U293" s="48" t="str">
        <f t="shared" si="45"/>
        <v>TWD 84.0</v>
      </c>
      <c r="V293" s="44" t="str">
        <f t="shared" si="45"/>
        <v>Far EasTone</v>
      </c>
      <c r="Z293" s="46"/>
    </row>
    <row r="294" spans="1:26">
      <c r="A294" s="5"/>
      <c r="C294" s="48" t="str">
        <f t="shared" si="44"/>
        <v>Vodafone IDEA</v>
      </c>
      <c r="D294" s="44" t="str">
        <f t="shared" si="44"/>
        <v>INR 15.1</v>
      </c>
      <c r="E294" s="44" t="str">
        <f t="shared" si="44"/>
        <v>INR 5.0</v>
      </c>
      <c r="F294" s="45">
        <f t="shared" si="44"/>
        <v>-0.66909331568497676</v>
      </c>
      <c r="G294" s="44" t="str">
        <f t="shared" si="44"/>
        <v>Reduce</v>
      </c>
      <c r="H294" s="46"/>
      <c r="I294" s="47">
        <f>IDEA!$D$42</f>
        <v>2.0210071150859807</v>
      </c>
      <c r="J294" s="47">
        <f>IDEA!$E$42</f>
        <v>2.3612321150120974</v>
      </c>
      <c r="K294" s="47">
        <f>IDEA!$F$42</f>
        <v>2.5073732606738681</v>
      </c>
      <c r="L294" s="47">
        <f>IDEA!$G$42</f>
        <v>2.7918756888117002</v>
      </c>
      <c r="M294" s="45">
        <f>IDEA!$H$42</f>
        <v>-3.2575497241350004E-2</v>
      </c>
      <c r="N294" s="46"/>
      <c r="O294" s="45">
        <f>(IDEA!$D$23/IDEA!$C$23)-1</f>
        <v>1.125015411170005E-2</v>
      </c>
      <c r="P294" s="45">
        <f>(IDEA!$E$23/IDEA!$D$23)-1</f>
        <v>8.6287669837810554E-2</v>
      </c>
      <c r="Q294" s="45">
        <f>(IDEA!$F$23/IDEA!$E$23)-1</f>
        <v>0.14049036647809432</v>
      </c>
      <c r="R294" s="45">
        <f>(IDEA!$G$23/IDEA!$F$23)-1</f>
        <v>9.4227977761068837E-2</v>
      </c>
      <c r="S294" s="45">
        <f>IDEA!$H$23</f>
        <v>0.10674634231514601</v>
      </c>
      <c r="T294" s="46"/>
      <c r="U294" s="48" t="str">
        <f t="shared" si="45"/>
        <v>INR 15.1</v>
      </c>
      <c r="V294" s="44" t="str">
        <f t="shared" si="45"/>
        <v>Vodafone IDEA</v>
      </c>
      <c r="Z294" s="46"/>
    </row>
    <row r="295" spans="1:26">
      <c r="A295" s="5"/>
      <c r="C295" s="48" t="str">
        <f t="shared" si="44"/>
        <v>Indosat</v>
      </c>
      <c r="D295" s="44" t="str">
        <f t="shared" si="44"/>
        <v>IDR 10,075</v>
      </c>
      <c r="E295" s="44" t="str">
        <f t="shared" si="44"/>
        <v>IDR 12,500</v>
      </c>
      <c r="F295" s="45">
        <f t="shared" si="44"/>
        <v>0.2406947890818858</v>
      </c>
      <c r="G295" s="44" t="str">
        <f t="shared" si="44"/>
        <v>Buy</v>
      </c>
      <c r="H295" s="46"/>
      <c r="I295" s="47">
        <f>INDO!$D$42</f>
        <v>1.7827937198729538</v>
      </c>
      <c r="J295" s="47">
        <f>INDO!$E$42</f>
        <v>1.7553484793583254</v>
      </c>
      <c r="K295" s="47">
        <f>INDO!$F$42</f>
        <v>1.5888456341239892</v>
      </c>
      <c r="L295" s="47">
        <f>INDO!$G$42</f>
        <v>1.3316609999063473</v>
      </c>
      <c r="M295" s="45">
        <f>INDO!$H$42</f>
        <v>-6.7937535571264696E-2</v>
      </c>
      <c r="N295" s="46"/>
      <c r="O295" s="45">
        <f>(INDO!$D$23/INDO!$C$23)-1</f>
        <v>9.5748550040241964E-2</v>
      </c>
      <c r="P295" s="45">
        <f>(INDO!$E$23/INDO!$D$23)-1</f>
        <v>9.8875275450277744E-2</v>
      </c>
      <c r="Q295" s="45">
        <f>(INDO!$F$23/INDO!$E$23)-1</f>
        <v>9.555262361700656E-2</v>
      </c>
      <c r="R295" s="45">
        <f>(INDO!$G$23/INDO!$F$23)-1</f>
        <v>9.3312842959276665E-2</v>
      </c>
      <c r="S295" s="45">
        <f>INDO!$H$23</f>
        <v>9.5911198990965563E-2</v>
      </c>
      <c r="T295" s="46"/>
      <c r="U295" s="48" t="str">
        <f t="shared" si="45"/>
        <v>IDR 10,075</v>
      </c>
      <c r="V295" s="44" t="str">
        <f t="shared" si="45"/>
        <v>Indosat</v>
      </c>
      <c r="Z295" s="46"/>
    </row>
    <row r="296" spans="1:26">
      <c r="A296" s="5"/>
      <c r="C296" s="48" t="str">
        <f t="shared" si="44"/>
        <v>LG Uplus</v>
      </c>
      <c r="D296" s="44" t="str">
        <f t="shared" si="44"/>
        <v>KRW 9,770</v>
      </c>
      <c r="E296" s="44" t="str">
        <f t="shared" si="44"/>
        <v>KRW 21,000</v>
      </c>
      <c r="F296" s="45">
        <f t="shared" si="44"/>
        <v>1.1494370522006143</v>
      </c>
      <c r="G296" s="44" t="str">
        <f t="shared" si="44"/>
        <v>Buy</v>
      </c>
      <c r="H296" s="46"/>
      <c r="I296" s="47">
        <f>_LG!$D$42</f>
        <v>1.0891030960571346</v>
      </c>
      <c r="J296" s="47">
        <f>_LG!$E$42</f>
        <v>1.1507993305632971</v>
      </c>
      <c r="K296" s="47">
        <f>_LG!$F$42</f>
        <v>1.1056654249692379</v>
      </c>
      <c r="L296" s="47">
        <f>_LG!$G$42</f>
        <v>1.0511390326423609</v>
      </c>
      <c r="M296" s="45">
        <f>_LG!$H$42</f>
        <v>-2.0186369088822431E-2</v>
      </c>
      <c r="N296" s="46"/>
      <c r="O296" s="45">
        <f>(_LG!$D$23/_LG!$C$23)-1</f>
        <v>3.3556018984611136E-2</v>
      </c>
      <c r="P296" s="45">
        <f>(_LG!$E$23/_LG!$D$23)-1</f>
        <v>3.2212971251075251E-2</v>
      </c>
      <c r="Q296" s="45">
        <f>(_LG!$F$23/_LG!$E$23)-1</f>
        <v>2.5759835073667414E-2</v>
      </c>
      <c r="R296" s="45">
        <f>(_LG!$G$23/_LG!$F$23)-1</f>
        <v>2.5635007701220625E-2</v>
      </c>
      <c r="S296" s="45">
        <f>_LG!$H$23</f>
        <v>2.7864687478187822E-2</v>
      </c>
      <c r="T296" s="46"/>
      <c r="U296" s="48" t="str">
        <f t="shared" si="45"/>
        <v>KRW 9,770</v>
      </c>
      <c r="V296" s="44" t="str">
        <f t="shared" si="45"/>
        <v>LG Uplus</v>
      </c>
      <c r="Z296" s="46"/>
    </row>
    <row r="297" spans="1:26">
      <c r="C297" s="48" t="str">
        <f t="shared" si="44"/>
        <v>Maxis</v>
      </c>
      <c r="D297" s="44" t="str">
        <f t="shared" si="44"/>
        <v>MYR 3.71</v>
      </c>
      <c r="E297" s="44" t="str">
        <f t="shared" si="44"/>
        <v>MYR 5.60</v>
      </c>
      <c r="F297" s="45">
        <f t="shared" si="44"/>
        <v>0.50943396226415083</v>
      </c>
      <c r="G297" s="44" t="str">
        <f t="shared" si="44"/>
        <v>Buy</v>
      </c>
      <c r="H297" s="46"/>
      <c r="I297" s="47">
        <f>MAXI!$D$42</f>
        <v>6.7624567114927441</v>
      </c>
      <c r="J297" s="47">
        <f>MAXI!$E$42</f>
        <v>6.7031157463789262</v>
      </c>
      <c r="K297" s="47">
        <f>MAXI!$F$42</f>
        <v>6.2987866272055149</v>
      </c>
      <c r="L297" s="47">
        <f>MAXI!$G$42</f>
        <v>5.8503021975635185</v>
      </c>
      <c r="M297" s="45">
        <f>MAXI!$H$42</f>
        <v>4.4732003214891236E-3</v>
      </c>
      <c r="N297" s="46"/>
      <c r="O297" s="45">
        <f>(MAXI!$D$23/MAXI!$C$23)-1</f>
        <v>3.9942792930840687E-2</v>
      </c>
      <c r="P297" s="45">
        <f>(MAXI!$E$23/MAXI!$D$23)-1</f>
        <v>4.4089290171825501E-2</v>
      </c>
      <c r="Q297" s="45">
        <f>(MAXI!$F$23/MAXI!$E$23)-1</f>
        <v>2.5903624877396725E-2</v>
      </c>
      <c r="R297" s="45">
        <f>(MAXI!$G$23/MAXI!$F$23)-1</f>
        <v>2.8019731415444449E-2</v>
      </c>
      <c r="S297" s="45">
        <f>MAXI!$H$23</f>
        <v>3.2639068367961599E-2</v>
      </c>
      <c r="T297" s="46"/>
      <c r="U297" s="48" t="str">
        <f t="shared" si="45"/>
        <v>MYR 3.71</v>
      </c>
      <c r="V297" s="44" t="str">
        <f t="shared" si="45"/>
        <v>Maxis</v>
      </c>
      <c r="Z297" s="46"/>
    </row>
    <row r="298" spans="1:26">
      <c r="A298" s="5"/>
      <c r="C298" s="48" t="str">
        <f t="shared" si="44"/>
        <v>SK Telecom</v>
      </c>
      <c r="D298" s="44" t="str">
        <f t="shared" si="44"/>
        <v>KRW 51,800</v>
      </c>
      <c r="E298" s="44" t="str">
        <f t="shared" si="44"/>
        <v>KRW 116,000</v>
      </c>
      <c r="F298" s="45">
        <f t="shared" si="44"/>
        <v>1.2393822393822393</v>
      </c>
      <c r="G298" s="44" t="str">
        <f t="shared" si="44"/>
        <v>Buy</v>
      </c>
      <c r="H298" s="46"/>
      <c r="I298" s="47">
        <f>SKT!$D$42</f>
        <v>1.2935885739888195</v>
      </c>
      <c r="J298" s="47">
        <f>SKT!$E$42</f>
        <v>1.3706934986720711</v>
      </c>
      <c r="K298" s="47">
        <f>SKT!$F$42</f>
        <v>1.3872435124350055</v>
      </c>
      <c r="L298" s="47">
        <f>SKT!$G$42</f>
        <v>1.3721326545550772</v>
      </c>
      <c r="M298" s="45">
        <f>SKT!$H$42</f>
        <v>-7.646380714546297E-2</v>
      </c>
      <c r="N298" s="46"/>
      <c r="O298" s="45">
        <f>(SKT!$D$23/SKT!$C$23)-1</f>
        <v>1.7541427690118239E-2</v>
      </c>
      <c r="P298" s="45">
        <f>(SKT!$E$23/SKT!$D$23)-1</f>
        <v>2.3120261252784546E-2</v>
      </c>
      <c r="Q298" s="45">
        <f>(SKT!$F$23/SKT!$E$23)-1</f>
        <v>2.3354297115337097E-2</v>
      </c>
      <c r="R298" s="45">
        <f>(SKT!$G$23/SKT!$F$23)-1</f>
        <v>2.3735363509836072E-2</v>
      </c>
      <c r="S298" s="45">
        <f>SKT!$H$23</f>
        <v>2.3403275899132492E-2</v>
      </c>
      <c r="T298" s="46"/>
      <c r="U298" s="48" t="str">
        <f t="shared" si="45"/>
        <v>KRW 51,800</v>
      </c>
      <c r="V298" s="44" t="str">
        <f t="shared" si="45"/>
        <v>SK Telecom</v>
      </c>
      <c r="Z298" s="46"/>
    </row>
    <row r="299" spans="1:26">
      <c r="A299" s="5"/>
      <c r="C299" s="48" t="str">
        <f t="shared" si="44"/>
        <v>Taiwan Mobile</v>
      </c>
      <c r="D299" s="44" t="str">
        <f t="shared" si="44"/>
        <v>TWD 106.5</v>
      </c>
      <c r="E299" s="44" t="str">
        <f t="shared" si="44"/>
        <v>TWD n/r</v>
      </c>
      <c r="F299" s="45" t="str">
        <f t="shared" si="44"/>
        <v>-</v>
      </c>
      <c r="G299" s="44" t="str">
        <f t="shared" si="44"/>
        <v>n/r</v>
      </c>
      <c r="H299" s="46"/>
      <c r="I299" s="47">
        <f>TAIWAN!$D$42</f>
        <v>9.3818924532980112</v>
      </c>
      <c r="J299" s="47">
        <f>TAIWAN!$E$42</f>
        <v>9.6298514370938069</v>
      </c>
      <c r="K299" s="47">
        <f>TAIWAN!$F$42</f>
        <v>9.2263941613173603</v>
      </c>
      <c r="L299" s="47">
        <f>TAIWAN!$G$42</f>
        <v>8.5797612602505406</v>
      </c>
      <c r="M299" s="45">
        <f>TAIWAN!$H$42</f>
        <v>-4.3611572895530193E-2</v>
      </c>
      <c r="N299" s="46"/>
      <c r="O299" s="45">
        <f>(TAIWAN!$D$23/TAIWAN!$C$23)-1</f>
        <v>2.517229459719017E-2</v>
      </c>
      <c r="P299" s="45">
        <f>(TAIWAN!$E$23/TAIWAN!$D$23)-1</f>
        <v>2.9937533079832601E-2</v>
      </c>
      <c r="Q299" s="45">
        <f>(TAIWAN!$F$23/TAIWAN!$E$23)-1</f>
        <v>3.3416522552040195E-2</v>
      </c>
      <c r="R299" s="45">
        <f>(TAIWAN!$G$23/TAIWAN!$F$23)-1</f>
        <v>3.3839718524802276E-2</v>
      </c>
      <c r="S299" s="45">
        <f>TAIWAN!$H$23</f>
        <v>3.2396443240543915E-2</v>
      </c>
      <c r="T299" s="46"/>
      <c r="U299" s="48" t="str">
        <f t="shared" si="45"/>
        <v>TWD 106.5</v>
      </c>
      <c r="V299" s="44" t="str">
        <f t="shared" si="45"/>
        <v>Taiwan Mobile</v>
      </c>
      <c r="Z299" s="46"/>
    </row>
    <row r="300" spans="1:26" s="5" customFormat="1">
      <c r="B300" s="42"/>
      <c r="C300" s="48" t="str">
        <f t="shared" si="44"/>
        <v>True Corp</v>
      </c>
      <c r="D300" s="44" t="str">
        <f t="shared" si="44"/>
        <v>THB 8.0</v>
      </c>
      <c r="E300" s="44" t="str">
        <f t="shared" si="44"/>
        <v>THB 15.0</v>
      </c>
      <c r="F300" s="45">
        <f t="shared" si="44"/>
        <v>0.875</v>
      </c>
      <c r="G300" s="44" t="str">
        <f t="shared" si="44"/>
        <v>Buy</v>
      </c>
      <c r="H300" s="46"/>
      <c r="I300" s="47">
        <f>TRUECORP!$D$42</f>
        <v>3.463310124548574</v>
      </c>
      <c r="J300" s="47">
        <f>TRUECORP!$E$42</f>
        <v>3.8053900011245112</v>
      </c>
      <c r="K300" s="47">
        <f>TRUECORP!$F$42</f>
        <v>4.0697639330012914</v>
      </c>
      <c r="L300" s="47">
        <f>TRUECORP!$G$42</f>
        <v>4.1227820943215567</v>
      </c>
      <c r="M300" s="45">
        <f>TRUECORP!$H$42</f>
        <v>-0.11214578817069887</v>
      </c>
      <c r="N300" s="46"/>
      <c r="O300" s="45">
        <f>(TRUECORP!$D$23/TRUECORP!$C$23)-1</f>
        <v>0.50179158399715718</v>
      </c>
      <c r="P300" s="45">
        <f>(TRUECORP!$E$23/TRUECORP!$D$23)-1</f>
        <v>3.5016365089349133E-2</v>
      </c>
      <c r="Q300" s="45">
        <f>(TRUECORP!$F$23/TRUECORP!$E$23)-1</f>
        <v>3.4500952097663351E-2</v>
      </c>
      <c r="R300" s="45">
        <f>(TRUECORP!$G$23/TRUECORP!$F$23)-1</f>
        <v>3.474515317017568E-2</v>
      </c>
      <c r="S300" s="45">
        <f>TRUECORP!$H$23</f>
        <v>3.4754135372314421E-2</v>
      </c>
      <c r="T300" s="46"/>
      <c r="U300" s="48" t="str">
        <f t="shared" si="45"/>
        <v>THB 8.0</v>
      </c>
      <c r="V300" s="44" t="str">
        <f t="shared" si="45"/>
        <v>True Corp</v>
      </c>
      <c r="Z300" s="46"/>
    </row>
    <row r="301" spans="1:26" s="5" customFormat="1">
      <c r="B301" s="42"/>
      <c r="C301" s="48" t="str">
        <f t="shared" si="44"/>
        <v>XL Axiata</v>
      </c>
      <c r="D301" s="44" t="str">
        <f t="shared" si="44"/>
        <v>IDR 2,470</v>
      </c>
      <c r="E301" s="44" t="str">
        <f t="shared" si="44"/>
        <v>IDR 5,000</v>
      </c>
      <c r="F301" s="45">
        <f t="shared" si="44"/>
        <v>1.0242914979757085</v>
      </c>
      <c r="G301" s="44" t="str">
        <f t="shared" si="44"/>
        <v>Buy</v>
      </c>
      <c r="H301" s="46"/>
      <c r="I301" s="47">
        <f>XLAX!$D$42</f>
        <v>1.2111235074734323</v>
      </c>
      <c r="J301" s="47">
        <f>XLAX!$E$42</f>
        <v>1.2005276370529916</v>
      </c>
      <c r="K301" s="47">
        <f>XLAX!$F$42</f>
        <v>1.1685301086839237</v>
      </c>
      <c r="L301" s="47">
        <f>XLAX!$G$42</f>
        <v>1.1209138706637036</v>
      </c>
      <c r="M301" s="45">
        <f>XLAX!$H$42</f>
        <v>-7.3874641728225221E-2</v>
      </c>
      <c r="N301" s="56"/>
      <c r="O301" s="45">
        <f>(XLAX!$D$23/XLAX!$C$23)-1</f>
        <v>0.10914342374787411</v>
      </c>
      <c r="P301" s="45">
        <f>(XLAX!$E$23/XLAX!$D$23)-1</f>
        <v>7.7623018353116358E-2</v>
      </c>
      <c r="Q301" s="45">
        <f>(XLAX!$F$23/XLAX!$E$23)-1</f>
        <v>4.8625869824375778E-2</v>
      </c>
      <c r="R301" s="45">
        <f>(XLAX!$G$23/XLAX!$F$23)-1</f>
        <v>4.7425343562232714E-2</v>
      </c>
      <c r="S301" s="45">
        <f>XLAX!$H$23</f>
        <v>5.7799851407760672E-2</v>
      </c>
      <c r="T301" s="46"/>
      <c r="U301" s="48" t="str">
        <f t="shared" si="45"/>
        <v>IDR 2,470</v>
      </c>
      <c r="V301" s="44" t="str">
        <f t="shared" si="45"/>
        <v>XL Axiata</v>
      </c>
      <c r="Z301" s="46"/>
    </row>
    <row r="302" spans="1:26" s="5" customFormat="1">
      <c r="B302" s="42"/>
      <c r="C302" s="51" t="str">
        <f>C240</f>
        <v>Agg. Emerging Asia Cellular</v>
      </c>
      <c r="D302" s="52"/>
      <c r="E302" s="52"/>
      <c r="F302" s="53"/>
      <c r="G302" s="52"/>
      <c r="H302" s="46"/>
      <c r="I302" s="54">
        <f>'EM ASIA CELLULAR'!$D$42</f>
        <v>2.5778077706427549</v>
      </c>
      <c r="J302" s="54">
        <f>'EM ASIA CELLULAR'!$E$42</f>
        <v>2.4982843303600863</v>
      </c>
      <c r="K302" s="54">
        <f>'EM ASIA CELLULAR'!$F$42</f>
        <v>2.2754197569691903</v>
      </c>
      <c r="L302" s="54">
        <f>'EM ASIA CELLULAR'!$G$42</f>
        <v>2.0543793251052009</v>
      </c>
      <c r="M302" s="55">
        <f>'EM ASIA CELLULAR'!$H$42</f>
        <v>1.5865536292713589E-2</v>
      </c>
      <c r="N302" s="56"/>
      <c r="O302" s="55">
        <f>('EM ASIA CELLULAR'!$D$23/'EM ASIA CELLULAR'!$C$23)-1</f>
        <v>7.5150552367940993E-2</v>
      </c>
      <c r="P302" s="55">
        <f>('EM ASIA CELLULAR'!$E$23/'EM ASIA CELLULAR'!$D$23)-1</f>
        <v>5.3705470101474972E-2</v>
      </c>
      <c r="Q302" s="55">
        <f>('EM ASIA CELLULAR'!$F$23/'EM ASIA CELLULAR'!$E$23)-1</f>
        <v>5.4058874150591185E-2</v>
      </c>
      <c r="R302" s="55">
        <f>('EM ASIA CELLULAR'!$G$23/'EM ASIA CELLULAR'!$F$23)-1</f>
        <v>4.9764161174493893E-2</v>
      </c>
      <c r="S302" s="55">
        <f>'EM ASIA CELLULAR'!$H$23</f>
        <v>5.2507700166190885E-2</v>
      </c>
      <c r="T302" s="46"/>
      <c r="U302" s="57"/>
      <c r="V302" s="58" t="str">
        <f>V240</f>
        <v>Agg. Emerging Asia Cellular</v>
      </c>
      <c r="Z302" s="46"/>
    </row>
    <row r="303" spans="1:26" s="5" customFormat="1">
      <c r="B303" s="42"/>
      <c r="C303" s="43"/>
      <c r="D303" s="44"/>
      <c r="E303" s="44"/>
      <c r="F303" s="68"/>
      <c r="G303" s="44"/>
      <c r="H303" s="46"/>
      <c r="I303" s="62"/>
      <c r="J303" s="62"/>
      <c r="K303" s="62"/>
      <c r="L303" s="62"/>
      <c r="M303" s="61"/>
      <c r="N303" s="46"/>
      <c r="O303" s="61"/>
      <c r="P303" s="61"/>
      <c r="Q303" s="61"/>
      <c r="R303" s="61"/>
      <c r="S303" s="61"/>
      <c r="T303" s="46"/>
      <c r="U303" s="48"/>
      <c r="V303" s="50"/>
      <c r="Z303" s="46"/>
    </row>
    <row r="304" spans="1:26" s="5" customFormat="1">
      <c r="B304" s="42"/>
      <c r="C304" s="51" t="str">
        <f>C242</f>
        <v>Agg. Emerging  Cellular</v>
      </c>
      <c r="D304" s="52"/>
      <c r="E304" s="52"/>
      <c r="F304" s="53"/>
      <c r="G304" s="52"/>
      <c r="H304" s="46"/>
      <c r="I304" s="54">
        <f>'EM CELLULAR'!$D$42</f>
        <v>2.6624591278665166</v>
      </c>
      <c r="J304" s="54">
        <f>'EM CELLULAR'!$E$42</f>
        <v>2.5827331248183691</v>
      </c>
      <c r="K304" s="54">
        <f>'EM CELLULAR'!$F$42</f>
        <v>2.37828077636942</v>
      </c>
      <c r="L304" s="54">
        <f>'EM CELLULAR'!$G$42</f>
        <v>2.1713530277562678</v>
      </c>
      <c r="M304" s="55">
        <f>'EM CELLULAR'!$H$42</f>
        <v>1.6392074372026055E-2</v>
      </c>
      <c r="N304" s="46"/>
      <c r="O304" s="55">
        <f>('EM CELLULAR'!$D$23/'EM CELLULAR'!$C$23)-1</f>
        <v>7.117309808733685E-2</v>
      </c>
      <c r="P304" s="55">
        <f>('EM CELLULAR'!$E$23/'EM CELLULAR'!$D$23)-1</f>
        <v>4.3590487994359162E-2</v>
      </c>
      <c r="Q304" s="55">
        <f>('EM CELLULAR'!$F$23/'EM CELLULAR'!$E$23)-1</f>
        <v>5.6397941222443126E-2</v>
      </c>
      <c r="R304" s="55">
        <f>('EM CELLULAR'!$G$23/'EM CELLULAR'!$F$23)-1</f>
        <v>5.1184282408953896E-2</v>
      </c>
      <c r="S304" s="55">
        <f>'EM CELLULAR'!$H$23</f>
        <v>5.0377730628003325E-2</v>
      </c>
      <c r="T304" s="46"/>
      <c r="U304" s="57"/>
      <c r="V304" s="58" t="str">
        <f>V242</f>
        <v>Agg. Emerging  Cellular</v>
      </c>
      <c r="Z304" s="46"/>
    </row>
    <row r="305" spans="1:69" s="5" customFormat="1">
      <c r="A305" s="39"/>
      <c r="B305" s="42"/>
      <c r="C305" s="43"/>
      <c r="D305" s="44"/>
      <c r="E305" s="44"/>
      <c r="F305" s="45"/>
      <c r="G305" s="44"/>
      <c r="H305" s="46"/>
      <c r="I305" s="47"/>
      <c r="J305" s="47"/>
      <c r="K305" s="47"/>
      <c r="L305" s="47"/>
      <c r="M305" s="45"/>
      <c r="N305" s="46"/>
      <c r="O305" s="45"/>
      <c r="P305" s="45"/>
      <c r="Q305" s="45"/>
      <c r="R305" s="45"/>
      <c r="S305" s="45"/>
      <c r="T305" s="46"/>
      <c r="U305" s="48"/>
      <c r="V305" s="50"/>
      <c r="Z305" s="46"/>
    </row>
    <row r="306" spans="1:69">
      <c r="A306" s="41" t="s">
        <v>508</v>
      </c>
      <c r="B306" s="42" t="s">
        <v>582</v>
      </c>
      <c r="C306" s="48" t="s">
        <v>819</v>
      </c>
      <c r="D306" s="44" t="str">
        <f>'EM Multiples'!B306&amp;TEXT(Prices!C$135,"0.00")</f>
        <v>MXN52.16</v>
      </c>
      <c r="E306" s="44" t="str">
        <f>'EM Multiples'!B306&amp;TEXT(Prices!E$135,"0.00")</f>
        <v>MXN55.00</v>
      </c>
      <c r="F306" s="45">
        <f>Prices!F$135</f>
        <v>5.444785276073616E-2</v>
      </c>
      <c r="G306" s="44" t="str">
        <f>Prices!D$135</f>
        <v>Buy</v>
      </c>
      <c r="H306" s="46"/>
      <c r="I306" s="47">
        <f>MEGA!$D$42</f>
        <v>1.3656677181869625</v>
      </c>
      <c r="J306" s="47">
        <f>MEGA!$E$42</f>
        <v>1.2712011323893122</v>
      </c>
      <c r="K306" s="47">
        <f>MEGA!$F$42</f>
        <v>1.1918878472355874</v>
      </c>
      <c r="L306" s="47">
        <f>MEGA!$G$42</f>
        <v>1.1059476408536679</v>
      </c>
      <c r="M306" s="45">
        <f>MEGA!$H$42</f>
        <v>5.3946028302531701E-2</v>
      </c>
      <c r="N306" s="46"/>
      <c r="O306" s="45">
        <f>(MEGA!$D$23/MEGA!$C$23)-1</f>
        <v>9.5249224505013608E-2</v>
      </c>
      <c r="P306" s="45">
        <f>(MEGA!$E$23/MEGA!$D$23)-1</f>
        <v>0.1059238056627716</v>
      </c>
      <c r="Q306" s="45">
        <f>(MEGA!$F$23/MEGA!$E$23)-1</f>
        <v>8.1074869452573584E-2</v>
      </c>
      <c r="R306" s="45">
        <f>(MEGA!$G$23/MEGA!$F$23)-1</f>
        <v>7.4684729513550874E-2</v>
      </c>
      <c r="S306" s="45">
        <f>MEGA!$H$23</f>
        <v>8.7144697988267739E-2</v>
      </c>
      <c r="T306" s="46"/>
      <c r="U306" s="48" t="str">
        <f>D306</f>
        <v>MXN52.16</v>
      </c>
      <c r="V306" s="44" t="str">
        <f>C306</f>
        <v>Megacable</v>
      </c>
      <c r="Z306" s="46"/>
      <c r="AE306" s="41"/>
    </row>
    <row r="307" spans="1:69">
      <c r="A307" s="5"/>
      <c r="B307" s="42" t="s">
        <v>411</v>
      </c>
      <c r="C307" s="48" t="s">
        <v>804</v>
      </c>
      <c r="D307" s="44" t="str">
        <f>'EM Multiples'!B307&amp;TEXT(Prices!C$138,"0.00")</f>
        <v>USD8.55</v>
      </c>
      <c r="E307" s="44" t="str">
        <f>'EM Multiples'!B307&amp;TEXT(Prices!E$138,"0.00")</f>
        <v>USD14.00</v>
      </c>
      <c r="F307" s="45">
        <f>Prices!F$138</f>
        <v>0.63742690058479523</v>
      </c>
      <c r="G307" s="44" t="str">
        <f>Prices!D$138</f>
        <v>Buy</v>
      </c>
      <c r="H307" s="46"/>
      <c r="I307" s="47">
        <f>LiLAC!$D$42</f>
        <v>3.5027875668329247</v>
      </c>
      <c r="J307" s="47">
        <f>LiLAC!$E$42</f>
        <v>3.0932266905546801</v>
      </c>
      <c r="K307" s="47">
        <f>LiLAC!$F$42</f>
        <v>3.3689910204479925</v>
      </c>
      <c r="L307" s="47">
        <f>LiLAC!$G$42</f>
        <v>3.0695932991549064</v>
      </c>
      <c r="M307" s="45">
        <f>LiLAC!$H$42</f>
        <v>7.5472661546031272E-2</v>
      </c>
      <c r="N307" s="46"/>
      <c r="O307" s="45">
        <f>(LiLAC!$D$23/LiLAC!$C$23)-1</f>
        <v>-4.6304135085881715E-2</v>
      </c>
      <c r="P307" s="45">
        <f>(LiLAC!$E$23/LiLAC!$D$23)-1</f>
        <v>1.7650462193364191E-2</v>
      </c>
      <c r="Q307" s="45">
        <f>(LiLAC!$F$23/LiLAC!$E$23)-1</f>
        <v>1.9573940801440592E-2</v>
      </c>
      <c r="R307" s="45">
        <f>(LiLAC!$G$23/LiLAC!$F$23)-1</f>
        <v>-1.5247089013729176E-2</v>
      </c>
      <c r="S307" s="45">
        <f>LiLAC!$H$23</f>
        <v>7.1980542314982188E-3</v>
      </c>
      <c r="T307" s="46"/>
      <c r="U307" s="48" t="str">
        <f>D307</f>
        <v>USD8.55</v>
      </c>
      <c r="V307" s="44" t="str">
        <f>C307</f>
        <v>LiLAC</v>
      </c>
      <c r="Z307" s="46"/>
      <c r="AE307" s="41"/>
    </row>
    <row r="308" spans="1:69">
      <c r="A308" s="5"/>
      <c r="C308" s="67" t="s">
        <v>822</v>
      </c>
      <c r="D308" s="52"/>
      <c r="E308" s="52"/>
      <c r="F308" s="53"/>
      <c r="G308" s="52"/>
      <c r="H308" s="46"/>
      <c r="I308" s="54">
        <f>'LATAM ALTNET &amp; CABLE'!$D$42</f>
        <v>2.3336690110090066</v>
      </c>
      <c r="J308" s="54">
        <f>'LATAM ALTNET &amp; CABLE'!$E$42</f>
        <v>2.0929102293848412</v>
      </c>
      <c r="K308" s="54">
        <f>'LATAM ALTNET &amp; CABLE'!$F$42</f>
        <v>2.1833746548644828</v>
      </c>
      <c r="L308" s="54">
        <f>'LATAM ALTNET &amp; CABLE'!$G$42</f>
        <v>2.0249632735751923</v>
      </c>
      <c r="M308" s="55">
        <f>'LATAM ALTNET &amp; CABLE'!$H$42</f>
        <v>6.3804449613136471E-2</v>
      </c>
      <c r="N308" s="46"/>
      <c r="O308" s="55">
        <f>('LATAM ALTNET &amp; CABLE'!$D$23/'LATAM ALTNET &amp; CABLE'!$C$23)-1</f>
        <v>-1.0604281550089967E-2</v>
      </c>
      <c r="P308" s="55">
        <f>('LATAM ALTNET &amp; CABLE'!$E$23/'LATAM ALTNET &amp; CABLE'!$D$23)-1</f>
        <v>4.2294891021211756E-2</v>
      </c>
      <c r="Q308" s="55">
        <f>('LATAM ALTNET &amp; CABLE'!$F$23/'LATAM ALTNET &amp; CABLE'!$E$23)-1</f>
        <v>3.7792140235669791E-2</v>
      </c>
      <c r="R308" s="55">
        <f>('LATAM ALTNET &amp; CABLE'!$G$23/'LATAM ALTNET &amp; CABLE'!$F$23)-1</f>
        <v>1.2504160902733652E-2</v>
      </c>
      <c r="S308" s="55">
        <f>'LATAM ALTNET &amp; CABLE'!$H$23</f>
        <v>3.0779883338322822E-2</v>
      </c>
      <c r="T308" s="46"/>
      <c r="U308" s="57"/>
      <c r="V308" s="58" t="str">
        <f>C308</f>
        <v>Agg. Emerging LatAm Altnets &amp; Cable</v>
      </c>
      <c r="Z308" s="46"/>
      <c r="AE308" s="41"/>
    </row>
    <row r="309" spans="1:69" s="5" customFormat="1">
      <c r="A309" s="39"/>
      <c r="B309" s="42"/>
      <c r="C309" s="43"/>
      <c r="D309" s="44"/>
      <c r="E309" s="44"/>
      <c r="F309" s="45"/>
      <c r="G309" s="44"/>
      <c r="H309" s="46"/>
      <c r="I309" s="47"/>
      <c r="J309" s="47"/>
      <c r="K309" s="47"/>
      <c r="L309" s="47"/>
      <c r="M309" s="45"/>
      <c r="N309" s="46"/>
      <c r="O309" s="45"/>
      <c r="P309" s="45"/>
      <c r="Q309" s="45"/>
      <c r="R309" s="45"/>
      <c r="S309" s="45"/>
      <c r="T309" s="46"/>
      <c r="U309" s="48"/>
      <c r="V309" s="50"/>
      <c r="Z309" s="46"/>
    </row>
    <row r="310" spans="1:69" s="5" customFormat="1">
      <c r="A310" s="39"/>
      <c r="B310" s="42"/>
      <c r="C310" s="67" t="str">
        <f>C248</f>
        <v>Agg. EMEA sector</v>
      </c>
      <c r="D310" s="52"/>
      <c r="E310" s="52"/>
      <c r="F310" s="53"/>
      <c r="G310" s="52"/>
      <c r="H310" s="46"/>
      <c r="I310" s="54">
        <f>'EMEA AGG'!$D$42</f>
        <v>3.8919716869406806</v>
      </c>
      <c r="J310" s="54">
        <f>'EMEA AGG'!$E$42</f>
        <v>3.7865781603034989</v>
      </c>
      <c r="K310" s="54">
        <f>'EMEA AGG'!$F$42</f>
        <v>3.6261998501473318</v>
      </c>
      <c r="L310" s="54">
        <f>'EMEA AGG'!$G$42</f>
        <v>3.4441628772388109</v>
      </c>
      <c r="M310" s="55">
        <f>'EMEA AGG'!$H$42</f>
        <v>2.5323151598348081E-2</v>
      </c>
      <c r="N310" s="56"/>
      <c r="O310" s="55">
        <f>('EMEA AGG'!$D$23/'EMEA AGG'!$C$23)-1</f>
        <v>5.2252108502651495E-2</v>
      </c>
      <c r="P310" s="55">
        <f>('EMEA AGG'!$E$23/'EMEA AGG'!$D$23)-1</f>
        <v>-1.3173106386743738E-2</v>
      </c>
      <c r="Q310" s="55">
        <f>('EMEA AGG'!$F$23/'EMEA AGG'!$E$23)-1</f>
        <v>7.5080727203058473E-2</v>
      </c>
      <c r="R310" s="55">
        <f>('EMEA AGG'!$G$23/'EMEA AGG'!$F$23)-1</f>
        <v>6.3806110418736628E-2</v>
      </c>
      <c r="S310" s="55">
        <f>'EMEA AGG'!$H$23</f>
        <v>4.1153694472270574E-2</v>
      </c>
      <c r="T310" s="46"/>
      <c r="U310" s="57"/>
      <c r="V310" s="58" t="str">
        <f>V248</f>
        <v>Agg. EMEA sector</v>
      </c>
      <c r="Z310" s="46"/>
    </row>
    <row r="311" spans="1:69">
      <c r="C311" s="41" t="str">
        <f>C249</f>
        <v>Agg. LatAm sector</v>
      </c>
      <c r="D311" s="44"/>
      <c r="E311" s="44"/>
      <c r="F311" s="45"/>
      <c r="G311" s="44"/>
      <c r="H311" s="46"/>
      <c r="I311" s="60">
        <f>'LATAM AGG'!$D$42</f>
        <v>1.9689411766105482</v>
      </c>
      <c r="J311" s="60">
        <f>'LATAM AGG'!$E$42</f>
        <v>1.9063316312058507</v>
      </c>
      <c r="K311" s="60">
        <f>'LATAM AGG'!$F$42</f>
        <v>1.8370256590532699</v>
      </c>
      <c r="L311" s="60">
        <f>'LATAM AGG'!$G$42</f>
        <v>1.7374689514230273</v>
      </c>
      <c r="M311" s="59">
        <f>'LATAM AGG'!$H$42</f>
        <v>-1.0139395873632551E-2</v>
      </c>
      <c r="N311" s="56"/>
      <c r="O311" s="59">
        <f>('LATAM AGG'!$D$23/'LATAM AGG'!$C$23)-1</f>
        <v>7.0568359427030991E-2</v>
      </c>
      <c r="P311" s="59">
        <f>('LATAM AGG'!$E$23/'LATAM AGG'!$D$23)-1</f>
        <v>4.0648310723141901E-2</v>
      </c>
      <c r="Q311" s="59">
        <f>('LATAM AGG'!$F$23/'LATAM AGG'!$E$23)-1</f>
        <v>3.086776387785628E-2</v>
      </c>
      <c r="R311" s="59">
        <f>('LATAM AGG'!$G$23/'LATAM AGG'!$F$23)-1</f>
        <v>2.6428441114326073E-2</v>
      </c>
      <c r="S311" s="59">
        <f>'LATAM AGG'!$H$23</f>
        <v>3.2631114257633875E-2</v>
      </c>
      <c r="T311" s="46"/>
      <c r="U311" s="48"/>
      <c r="V311" s="50" t="str">
        <f>V249</f>
        <v>Agg. LatAm sector</v>
      </c>
      <c r="Z311" s="46"/>
      <c r="AG311" s="175"/>
    </row>
    <row r="312" spans="1:69" s="5" customFormat="1">
      <c r="A312" s="39"/>
      <c r="B312" s="42"/>
      <c r="C312" s="67" t="str">
        <f>C250</f>
        <v>Agg. Emerging Asia sector</v>
      </c>
      <c r="D312" s="52"/>
      <c r="E312" s="52"/>
      <c r="F312" s="53"/>
      <c r="G312" s="52"/>
      <c r="H312" s="46"/>
      <c r="I312" s="54">
        <f>'AGG EM ASIA'!$D$42</f>
        <v>55.200728365555712</v>
      </c>
      <c r="J312" s="54">
        <f>'AGG EM ASIA'!$E$42</f>
        <v>54.309605609240755</v>
      </c>
      <c r="K312" s="54">
        <f>'AGG EM ASIA'!$F$42</f>
        <v>48.656427655975996</v>
      </c>
      <c r="L312" s="54">
        <f>'AGG EM ASIA'!$G$42</f>
        <v>44.041809341678963</v>
      </c>
      <c r="M312" s="55">
        <f>'AGG EM ASIA'!$H$42</f>
        <v>-9.5583020329573776E-3</v>
      </c>
      <c r="N312" s="56"/>
      <c r="O312" s="55">
        <f>('AGG EM ASIA'!$D$23/'AGG EM ASIA'!$C$23)-1</f>
        <v>6.4806850906278024E-2</v>
      </c>
      <c r="P312" s="55">
        <f>('AGG EM ASIA'!$E$23/'AGG EM ASIA'!$D$23)-1</f>
        <v>5.0791342405329454E-2</v>
      </c>
      <c r="Q312" s="55">
        <f>('AGG EM ASIA'!$F$23/'AGG EM ASIA'!$E$23)-1</f>
        <v>5.2189763075350948E-2</v>
      </c>
      <c r="R312" s="55">
        <f>('AGG EM ASIA'!$G$23/'AGG EM ASIA'!$F$23)-1</f>
        <v>4.546059400499991E-2</v>
      </c>
      <c r="S312" s="55">
        <f>'AGG EM ASIA'!$H$23</f>
        <v>4.9476557311922686E-2</v>
      </c>
      <c r="T312" s="46"/>
      <c r="U312" s="57"/>
      <c r="V312" s="58" t="str">
        <f>V250</f>
        <v>Agg. Emerging Asia sector</v>
      </c>
      <c r="Z312" s="46"/>
      <c r="AG312" s="175"/>
    </row>
    <row r="313" spans="1:69">
      <c r="C313" s="41"/>
      <c r="D313" s="44"/>
      <c r="E313" s="44"/>
      <c r="F313" s="45"/>
      <c r="G313" s="44"/>
      <c r="H313" s="46"/>
      <c r="I313" s="60"/>
      <c r="J313" s="60"/>
      <c r="K313" s="60"/>
      <c r="L313" s="60"/>
      <c r="M313" s="59"/>
      <c r="N313" s="56"/>
      <c r="O313" s="59"/>
      <c r="P313" s="59"/>
      <c r="Q313" s="59"/>
      <c r="R313" s="59"/>
      <c r="S313" s="59"/>
      <c r="T313" s="46"/>
      <c r="U313" s="48"/>
      <c r="V313" s="50"/>
      <c r="Z313" s="46"/>
      <c r="AG313" s="175"/>
    </row>
    <row r="314" spans="1:69">
      <c r="C314" s="67" t="str">
        <f>C252</f>
        <v>Agg. Global EM sector (ex-consensus)</v>
      </c>
      <c r="D314" s="52"/>
      <c r="E314" s="52"/>
      <c r="F314" s="53"/>
      <c r="G314" s="52"/>
      <c r="H314" s="46"/>
      <c r="I314" s="54">
        <f>'AGG EM'!$D$42</f>
        <v>42.295202413837345</v>
      </c>
      <c r="J314" s="54">
        <f>'AGG EM'!$E$42</f>
        <v>41.555857792028846</v>
      </c>
      <c r="K314" s="54">
        <f>'AGG EM'!$F$42</f>
        <v>37.316788882264667</v>
      </c>
      <c r="L314" s="54">
        <f>'AGG EM'!$G$42</f>
        <v>33.586664495982959</v>
      </c>
      <c r="M314" s="55">
        <f>'AGG EM'!$H$42</f>
        <v>-7.2488050935257675E-3</v>
      </c>
      <c r="N314" s="56"/>
      <c r="O314" s="55">
        <f>('AGG EM'!$D$23/'AGG EM'!$C$23)-1</f>
        <v>6.4782227975083373E-2</v>
      </c>
      <c r="P314" s="55">
        <f>('AGG EM'!$E$23/'AGG EM'!$D$23)-1</f>
        <v>4.4105389211953172E-2</v>
      </c>
      <c r="Q314" s="55">
        <f>('AGG EM'!$F$23/'AGG EM'!$E$23)-1</f>
        <v>5.0297732987774291E-2</v>
      </c>
      <c r="R314" s="55">
        <f>('AGG EM'!$G$23/'AGG EM'!$F$23)-1</f>
        <v>4.3709104638591345E-2</v>
      </c>
      <c r="S314" s="55">
        <f>'AGG EM'!$H$23</f>
        <v>4.6033064370190946E-2</v>
      </c>
      <c r="T314" s="46"/>
      <c r="U314" s="57"/>
      <c r="V314" s="58" t="str">
        <f>V252</f>
        <v>Agg. Global EM sector (ex-consensus)</v>
      </c>
      <c r="Z314" s="46"/>
      <c r="AG314" s="175"/>
    </row>
    <row r="315" spans="1:69" s="5" customFormat="1">
      <c r="A315" s="39"/>
      <c r="B315" s="42"/>
      <c r="C315" s="39"/>
      <c r="D315" s="39"/>
      <c r="H315" s="39"/>
      <c r="I315" s="39"/>
      <c r="J315" s="39"/>
      <c r="K315" s="39"/>
      <c r="L315" s="39"/>
      <c r="M315" s="69"/>
      <c r="N315" s="39"/>
      <c r="O315" s="171"/>
      <c r="P315" s="171"/>
      <c r="Q315" s="171"/>
      <c r="R315" s="171"/>
      <c r="S315" s="69"/>
      <c r="T315" s="46"/>
      <c r="V315" s="63"/>
      <c r="Z315" s="46"/>
    </row>
    <row r="316" spans="1:69" s="5" customFormat="1">
      <c r="A316" s="39"/>
      <c r="B316" s="42"/>
      <c r="C316" s="39"/>
      <c r="D316" s="39"/>
      <c r="H316" s="39"/>
      <c r="I316" s="39"/>
      <c r="J316" s="39"/>
      <c r="K316" s="39"/>
      <c r="L316" s="39"/>
      <c r="M316" s="69"/>
      <c r="N316" s="39"/>
      <c r="O316" s="171"/>
      <c r="P316" s="171"/>
      <c r="Q316" s="171"/>
      <c r="R316" s="171"/>
      <c r="S316" s="69"/>
      <c r="T316" s="46"/>
      <c r="V316" s="63"/>
      <c r="Z316" s="46"/>
    </row>
    <row r="317" spans="1:69" s="41" customFormat="1">
      <c r="B317" s="147"/>
      <c r="C317" s="164"/>
      <c r="D317" s="165" t="s">
        <v>464</v>
      </c>
      <c r="E317" s="165" t="s">
        <v>57</v>
      </c>
      <c r="F317" s="165" t="s">
        <v>59</v>
      </c>
      <c r="G317" s="165" t="s">
        <v>56</v>
      </c>
      <c r="H317" s="134"/>
      <c r="I317" s="166" t="s">
        <v>470</v>
      </c>
      <c r="J317" s="166"/>
      <c r="K317" s="166"/>
      <c r="L317" s="166"/>
      <c r="M317" s="166"/>
      <c r="N317" s="46"/>
      <c r="O317" s="166" t="s">
        <v>471</v>
      </c>
      <c r="P317" s="166"/>
      <c r="Q317" s="166"/>
      <c r="R317" s="166"/>
      <c r="S317" s="166"/>
      <c r="T317" s="46"/>
      <c r="U317" s="167" t="s">
        <v>464</v>
      </c>
      <c r="V317" s="165"/>
      <c r="Z317" s="49"/>
      <c r="AC317" s="135"/>
      <c r="AD317" s="136"/>
      <c r="AE317" s="136"/>
      <c r="AF317" s="136"/>
      <c r="AG317" s="136"/>
      <c r="AH317" s="136"/>
      <c r="AI317" s="136"/>
      <c r="AJ317" s="136"/>
      <c r="AK317" s="136"/>
      <c r="AL317" s="136"/>
      <c r="AM317" s="136"/>
      <c r="AN317" s="136"/>
      <c r="AO317" s="136"/>
      <c r="AP317" s="136"/>
      <c r="AQ317" s="136"/>
      <c r="AR317" s="136"/>
      <c r="AS317" s="136"/>
      <c r="AT317" s="136"/>
      <c r="AU317" s="136"/>
      <c r="AV317" s="136"/>
      <c r="AW317" s="136"/>
      <c r="BC317" s="137"/>
      <c r="BD317" s="137"/>
      <c r="BE317" s="137"/>
      <c r="BG317" s="137"/>
      <c r="BH317" s="137"/>
      <c r="BI317" s="137"/>
      <c r="BK317" s="137"/>
      <c r="BL317" s="137"/>
      <c r="BM317" s="137"/>
      <c r="BO317" s="137"/>
      <c r="BP317" s="137"/>
      <c r="BQ317" s="137"/>
    </row>
    <row r="318" spans="1:69" s="5" customFormat="1">
      <c r="A318" s="41" t="s">
        <v>506</v>
      </c>
      <c r="B318" s="42"/>
      <c r="C318" s="48" t="str">
        <f>C256</f>
        <v>Telkom SA</v>
      </c>
      <c r="D318" s="44" t="str">
        <f>D256</f>
        <v>ZAR 25.3</v>
      </c>
      <c r="E318" s="44" t="str">
        <f>E256</f>
        <v>ZAR 56.0</v>
      </c>
      <c r="F318" s="45">
        <f>F256</f>
        <v>1.21606648199446</v>
      </c>
      <c r="G318" s="44" t="str">
        <f>G256</f>
        <v>Neutral</v>
      </c>
      <c r="H318" s="134"/>
      <c r="I318" s="45">
        <f>(TKG!$D$24/TKG!$C$24)-1</f>
        <v>-1.1482679292367459E-2</v>
      </c>
      <c r="J318" s="45">
        <f>(TKG!$E$24/TKG!$D$24)-1</f>
        <v>-8.120915641855464E-3</v>
      </c>
      <c r="K318" s="45">
        <f>(TKG!$F$24/TKG!$E$24)-1</f>
        <v>7.536087424774518E-3</v>
      </c>
      <c r="L318" s="45">
        <f>(TKG!$G$24/TKG!$F$24)-1</f>
        <v>2.094605673730876E-2</v>
      </c>
      <c r="M318" s="45">
        <f>TKG!$H$24</f>
        <v>6.71694721895566E-3</v>
      </c>
      <c r="N318" s="46"/>
      <c r="O318" s="45">
        <f>(TKG!$D$25/TKG!$C$25)-1</f>
        <v>3.4794739188994672E-3</v>
      </c>
      <c r="P318" s="45">
        <f>(TKG!$E$25/TKG!$D$25)-1</f>
        <v>9.3548196734949407E-3</v>
      </c>
      <c r="Q318" s="45">
        <f>(TKG!$F$25/TKG!$E$25)-1</f>
        <v>-1.1418127446912951E-2</v>
      </c>
      <c r="R318" s="45">
        <f>(TKG!$G$25/TKG!$F$25)-1</f>
        <v>2.0946056737308982E-2</v>
      </c>
      <c r="S318" s="45">
        <f>TKG!$H$25</f>
        <v>6.2049124089686991E-3</v>
      </c>
      <c r="T318" s="46"/>
      <c r="U318" s="48" t="str">
        <f>U256</f>
        <v>ZAR 25.3</v>
      </c>
      <c r="V318" s="44" t="str">
        <f>V256</f>
        <v>Telkom SA</v>
      </c>
      <c r="Z318" s="46"/>
      <c r="AE318" s="41"/>
      <c r="AF318" s="31"/>
      <c r="AG318" s="31"/>
      <c r="AI318" s="41"/>
      <c r="AJ318" s="64"/>
      <c r="AK318" s="64"/>
      <c r="AM318" s="41"/>
      <c r="AN318" s="64"/>
      <c r="AO318" s="64"/>
      <c r="AQ318" s="41"/>
      <c r="AR318" s="64"/>
      <c r="AS318" s="64"/>
    </row>
    <row r="319" spans="1:69" s="5" customFormat="1">
      <c r="B319" s="42"/>
      <c r="C319" s="51" t="str">
        <f>C257</f>
        <v>Agg. EMEA Incumbent</v>
      </c>
      <c r="D319" s="58"/>
      <c r="E319" s="58"/>
      <c r="F319" s="55"/>
      <c r="G319" s="58"/>
      <c r="H319" s="134"/>
      <c r="I319" s="55"/>
      <c r="J319" s="55"/>
      <c r="K319" s="55"/>
      <c r="L319" s="55"/>
      <c r="M319" s="55"/>
      <c r="N319" s="56"/>
      <c r="O319" s="55"/>
      <c r="P319" s="55"/>
      <c r="Q319" s="55"/>
      <c r="R319" s="55"/>
      <c r="S319" s="55"/>
      <c r="T319" s="56"/>
      <c r="U319" s="51"/>
      <c r="V319" s="58" t="str">
        <f>V257</f>
        <v>Agg. EMEA Incumbent</v>
      </c>
      <c r="Z319" s="46"/>
      <c r="AE319" s="41"/>
      <c r="AF319" s="31"/>
      <c r="AG319" s="31"/>
      <c r="AI319" s="41"/>
      <c r="AJ319" s="64"/>
      <c r="AK319" s="64"/>
      <c r="AM319" s="41"/>
      <c r="AN319" s="64"/>
      <c r="AO319" s="64"/>
      <c r="AQ319" s="41"/>
      <c r="AR319" s="64"/>
      <c r="AS319" s="64"/>
    </row>
    <row r="320" spans="1:69" s="5" customFormat="1">
      <c r="B320" s="42"/>
      <c r="C320" s="48"/>
      <c r="D320" s="44"/>
      <c r="E320" s="44"/>
      <c r="F320" s="68"/>
      <c r="G320" s="44"/>
      <c r="H320" s="134"/>
      <c r="I320" s="61"/>
      <c r="J320" s="61"/>
      <c r="K320" s="61"/>
      <c r="L320" s="61"/>
      <c r="M320" s="61"/>
      <c r="N320" s="46"/>
      <c r="O320" s="61"/>
      <c r="P320" s="61"/>
      <c r="Q320" s="61"/>
      <c r="R320" s="61"/>
      <c r="S320" s="61"/>
      <c r="T320" s="46"/>
      <c r="U320" s="48"/>
      <c r="V320" s="44"/>
      <c r="Z320" s="46"/>
      <c r="AE320" s="41"/>
      <c r="AF320" s="31"/>
      <c r="AG320" s="31"/>
      <c r="AI320" s="41"/>
      <c r="AJ320" s="64"/>
      <c r="AK320" s="64"/>
      <c r="AM320" s="41"/>
      <c r="AN320" s="64"/>
      <c r="AO320" s="64"/>
      <c r="AQ320" s="41"/>
      <c r="AR320" s="64"/>
      <c r="AS320" s="64"/>
    </row>
    <row r="321" spans="1:45" s="5" customFormat="1">
      <c r="B321" s="42"/>
      <c r="C321" s="48" t="str">
        <f t="shared" ref="C321:G323" si="46">C259</f>
        <v>America Movil</v>
      </c>
      <c r="D321" s="44" t="str">
        <f t="shared" si="46"/>
        <v>USD 16.2</v>
      </c>
      <c r="E321" s="44" t="str">
        <f t="shared" si="46"/>
        <v>USD 24.0</v>
      </c>
      <c r="F321" s="45">
        <f t="shared" si="46"/>
        <v>0.47965474722564738</v>
      </c>
      <c r="G321" s="44" t="str">
        <f t="shared" si="46"/>
        <v>Buy</v>
      </c>
      <c r="H321" s="46"/>
      <c r="I321" s="45">
        <f>(AMX!$D$24/AMX!$C$24)-1</f>
        <v>0.1222017710517096</v>
      </c>
      <c r="J321" s="45">
        <f>(AMX!$E$24/AMX!$D$24)-1</f>
        <v>6.4172601283289943E-2</v>
      </c>
      <c r="K321" s="45">
        <f>(AMX!$F$24/AMX!$E$24)-1</f>
        <v>4.3531501329128641E-2</v>
      </c>
      <c r="L321" s="45">
        <f>(AMX!$G$24/AMX!$F$24)-1</f>
        <v>3.9334609963629585E-2</v>
      </c>
      <c r="M321" s="45">
        <f>AMX!$H$24</f>
        <v>4.8956975895425581E-2</v>
      </c>
      <c r="N321" s="46"/>
      <c r="O321" s="45">
        <f>(AMX!$D$25/AMX!$C$25)-1</f>
        <v>0.20560731928447051</v>
      </c>
      <c r="P321" s="45">
        <f>(AMX!$E$25/AMX!$D$25)-1</f>
        <v>0.17852733773878637</v>
      </c>
      <c r="Q321" s="45">
        <f>(AMX!$F$25/AMX!$E$25)-1</f>
        <v>8.8524918609688141E-2</v>
      </c>
      <c r="R321" s="45">
        <f>(AMX!$G$25/AMX!$F$25)-1</f>
        <v>8.621751772446351E-2</v>
      </c>
      <c r="S321" s="45">
        <f>AMX!$H$25</f>
        <v>0.11694454902488172</v>
      </c>
      <c r="T321" s="46"/>
      <c r="U321" s="48" t="str">
        <f t="shared" ref="U321:V323" si="47">U259</f>
        <v>USD 16.2</v>
      </c>
      <c r="V321" s="44" t="str">
        <f t="shared" si="47"/>
        <v>America Movil</v>
      </c>
      <c r="Z321" s="46"/>
      <c r="AE321" s="41"/>
      <c r="AF321" s="31"/>
      <c r="AG321" s="31"/>
      <c r="AI321" s="41"/>
      <c r="AJ321" s="64"/>
      <c r="AK321" s="64"/>
      <c r="AM321" s="41"/>
      <c r="AN321" s="64"/>
      <c r="AO321" s="64"/>
      <c r="AQ321" s="41"/>
      <c r="AR321" s="64"/>
      <c r="AS321" s="64"/>
    </row>
    <row r="322" spans="1:45" s="5" customFormat="1">
      <c r="B322" s="42"/>
      <c r="C322" s="48" t="str">
        <f t="shared" si="46"/>
        <v>Oi</v>
      </c>
      <c r="D322" s="44" t="str">
        <f t="shared" si="46"/>
        <v>BRL 1.78</v>
      </c>
      <c r="E322" s="44" t="str">
        <f t="shared" si="46"/>
        <v>BRL 0.90</v>
      </c>
      <c r="F322" s="45">
        <f t="shared" si="46"/>
        <v>-0.4943820224719101</v>
      </c>
      <c r="G322" s="44" t="str">
        <f t="shared" si="46"/>
        <v>Neutral</v>
      </c>
      <c r="H322" s="46"/>
      <c r="I322" s="45">
        <f>(OIBR!$D$24/OIBR!$C$24)-1</f>
        <v>-2.1612523218836555E-2</v>
      </c>
      <c r="J322" s="45">
        <f>(OIBR!$E$24/OIBR!$D$24)-1</f>
        <v>9.047935262882123E-2</v>
      </c>
      <c r="K322" s="45">
        <f>(OIBR!$F$24/OIBR!$E$24)-1</f>
        <v>9.0589884975149193E-2</v>
      </c>
      <c r="L322" s="45">
        <f>(OIBR!$G$24/OIBR!$F$24)-1</f>
        <v>6.1179169655319665E-2</v>
      </c>
      <c r="M322" s="45">
        <f>OIBR!$H$24</f>
        <v>8.0660330902892818E-2</v>
      </c>
      <c r="N322" s="46"/>
      <c r="O322" s="45">
        <f>(OIBR!$D$25/OIBR!$C$25)-1</f>
        <v>-0.19510765297148902</v>
      </c>
      <c r="P322" s="45">
        <f>(OIBR!$E$25/OIBR!$D$25)-1</f>
        <v>-0.25642512795782268</v>
      </c>
      <c r="Q322" s="45">
        <f>(OIBR!$F$25/OIBR!$E$25)-1</f>
        <v>-0.96812812520682057</v>
      </c>
      <c r="R322" s="45">
        <f>(OIBR!$G$25/OIBR!$F$25)-1</f>
        <v>-17.574562940044579</v>
      </c>
      <c r="S322" s="45">
        <f>OIBR!$H$25</f>
        <v>-1.7323603107617997</v>
      </c>
      <c r="T322" s="46"/>
      <c r="U322" s="48" t="str">
        <f t="shared" si="47"/>
        <v>BRL 1.78</v>
      </c>
      <c r="V322" s="44" t="str">
        <f t="shared" si="47"/>
        <v>Oi</v>
      </c>
      <c r="Z322" s="46"/>
      <c r="AE322" s="41"/>
      <c r="AF322" s="31"/>
      <c r="AG322" s="31"/>
      <c r="AI322" s="41"/>
      <c r="AJ322" s="64"/>
      <c r="AK322" s="64"/>
      <c r="AM322" s="41"/>
      <c r="AN322" s="64"/>
      <c r="AO322" s="64"/>
      <c r="AQ322" s="41"/>
      <c r="AR322" s="64"/>
      <c r="AS322" s="64"/>
    </row>
    <row r="323" spans="1:45" s="5" customFormat="1">
      <c r="B323" s="42"/>
      <c r="C323" s="48" t="str">
        <f t="shared" si="46"/>
        <v>Telefonica Brasil</v>
      </c>
      <c r="D323" s="44" t="str">
        <f t="shared" si="46"/>
        <v>BRL 45.90</v>
      </c>
      <c r="E323" s="44" t="str">
        <f t="shared" si="46"/>
        <v>BRL 61.00</v>
      </c>
      <c r="F323" s="45">
        <f t="shared" si="46"/>
        <v>0.32897603485838789</v>
      </c>
      <c r="G323" s="44" t="str">
        <f t="shared" si="46"/>
        <v>Buy</v>
      </c>
      <c r="H323" s="46"/>
      <c r="I323" s="45">
        <f>(VIVO!$D$24/VIVO!$C$24)-1</f>
        <v>9.3588475042109431E-2</v>
      </c>
      <c r="J323" s="45">
        <f>(VIVO!$E$24/VIVO!$D$24)-1</f>
        <v>7.6906340006623886E-2</v>
      </c>
      <c r="K323" s="45">
        <f>(VIVO!$F$24/VIVO!$E$24)-1</f>
        <v>8.6309395623007434E-2</v>
      </c>
      <c r="L323" s="45">
        <f>(VIVO!$G$24/VIVO!$F$24)-1</f>
        <v>6.0383612649223872E-2</v>
      </c>
      <c r="M323" s="45">
        <f>VIVO!$H$24</f>
        <v>7.4479561881599876E-2</v>
      </c>
      <c r="N323" s="46"/>
      <c r="O323" s="45">
        <f>(VIVO!$D$25/VIVO!$C$25)-1</f>
        <v>0.25143733840483962</v>
      </c>
      <c r="P323" s="45">
        <f>(VIVO!$E$25/VIVO!$D$25)-1</f>
        <v>0.15269105945851846</v>
      </c>
      <c r="Q323" s="45">
        <f>(VIVO!$F$25/VIVO!$E$25)-1</f>
        <v>0.11358230018622995</v>
      </c>
      <c r="R323" s="45">
        <f>(VIVO!$G$25/VIVO!$F$25)-1</f>
        <v>8.2791974179513783E-2</v>
      </c>
      <c r="S323" s="45">
        <f>VIVO!$H$25</f>
        <v>0.11598945437726726</v>
      </c>
      <c r="T323" s="46"/>
      <c r="U323" s="48" t="str">
        <f t="shared" si="47"/>
        <v>BRL 45.90</v>
      </c>
      <c r="V323" s="44" t="str">
        <f t="shared" si="47"/>
        <v>Telefonica Brasil</v>
      </c>
      <c r="Z323" s="46"/>
      <c r="AE323" s="41"/>
      <c r="AF323" s="31"/>
      <c r="AG323" s="31"/>
      <c r="AI323" s="41"/>
      <c r="AJ323" s="64"/>
      <c r="AK323" s="64"/>
      <c r="AM323" s="41"/>
      <c r="AN323" s="64"/>
      <c r="AO323" s="64"/>
      <c r="AQ323" s="41"/>
      <c r="AR323" s="64"/>
      <c r="AS323" s="64"/>
    </row>
    <row r="324" spans="1:45" s="5" customFormat="1">
      <c r="B324" s="42"/>
      <c r="C324" s="48" t="s">
        <v>673</v>
      </c>
      <c r="D324" s="44" t="str">
        <f>D262</f>
        <v>USD 3.1</v>
      </c>
      <c r="E324" s="44" t="str">
        <f>E262</f>
        <v>USD 3.7</v>
      </c>
      <c r="F324" s="45">
        <f>F262</f>
        <v>0.17834394904458595</v>
      </c>
      <c r="G324" s="44" t="str">
        <f>G262</f>
        <v>Neutral</v>
      </c>
      <c r="H324" s="46"/>
      <c r="I324" s="45">
        <f>(TVIS!$D$24/TVIS!$C$24)-1</f>
        <v>-8.0539412612388062E-2</v>
      </c>
      <c r="J324" s="45">
        <f>(TVIS!$E$24/TVIS!$D$24)-1</f>
        <v>3.309290305739454E-2</v>
      </c>
      <c r="K324" s="45">
        <f>(TVIS!$F$24/TVIS!$E$24)-1</f>
        <v>5.7751287327516554E-3</v>
      </c>
      <c r="L324" s="45">
        <f>(TVIS!$G$24/TVIS!$F$24)-1</f>
        <v>5.9298595828554124E-3</v>
      </c>
      <c r="M324" s="45">
        <f>TVIS!$H$24</f>
        <v>1.485187073949934E-2</v>
      </c>
      <c r="N324" s="46"/>
      <c r="O324" s="45">
        <f>(TVIS!$D$25/TVIS!$C$25)-1</f>
        <v>6.8938286288764195E-2</v>
      </c>
      <c r="P324" s="45">
        <f>(TVIS!$E$25/TVIS!$D$25)-1</f>
        <v>0.10253474824488551</v>
      </c>
      <c r="Q324" s="45">
        <f>(TVIS!$F$25/TVIS!$E$25)-1</f>
        <v>4.8774867626162344E-3</v>
      </c>
      <c r="R324" s="45">
        <f>(TVIS!$G$25/TVIS!$F$25)-1</f>
        <v>1.5140346490697176E-2</v>
      </c>
      <c r="S324" s="45">
        <f>TVIS!$H$25</f>
        <v>3.9945301517286813E-2</v>
      </c>
      <c r="T324" s="46"/>
      <c r="U324" s="48" t="str">
        <f>U262</f>
        <v>USD 3.1</v>
      </c>
      <c r="V324" s="44" t="s">
        <v>673</v>
      </c>
      <c r="Z324" s="46"/>
      <c r="AE324" s="41"/>
      <c r="AF324" s="31"/>
      <c r="AG324" s="31"/>
      <c r="AI324" s="41"/>
      <c r="AJ324" s="64"/>
      <c r="AK324" s="64"/>
      <c r="AM324" s="41"/>
      <c r="AN324" s="64"/>
      <c r="AO324" s="64"/>
      <c r="AQ324" s="41"/>
      <c r="AR324" s="64"/>
      <c r="AS324" s="64"/>
    </row>
    <row r="325" spans="1:45" s="5" customFormat="1">
      <c r="B325" s="42"/>
      <c r="C325" s="51" t="str">
        <f>C263</f>
        <v>Agg. LatAm Incumbent</v>
      </c>
      <c r="D325" s="52"/>
      <c r="E325" s="52"/>
      <c r="F325" s="53"/>
      <c r="G325" s="52"/>
      <c r="H325" s="46"/>
      <c r="I325" s="55">
        <f>('LATAM INCUMB'!$D$24/'LATAM INCUMB'!$C$24)-1</f>
        <v>9.7801415906464406E-2</v>
      </c>
      <c r="J325" s="55">
        <f>('LATAM INCUMB'!$E$24/'LATAM INCUMB'!$D$24)-1</f>
        <v>6.5418712987063143E-2</v>
      </c>
      <c r="K325" s="55">
        <f>('LATAM INCUMB'!$F$24/'LATAM INCUMB'!$E$24)-1</f>
        <v>5.0321579141022532E-2</v>
      </c>
      <c r="L325" s="55">
        <f>('LATAM INCUMB'!$G$24/'LATAM INCUMB'!$F$24)-1</f>
        <v>4.2028979134880018E-2</v>
      </c>
      <c r="M325" s="55">
        <f>'LATAM INCUMB'!$H$24</f>
        <v>5.2545313573403529E-2</v>
      </c>
      <c r="N325" s="56"/>
      <c r="O325" s="55">
        <f>('LATAM INCUMB'!$D$25/'LATAM INCUMB'!$C$25)-1</f>
        <v>0.23366792968815564</v>
      </c>
      <c r="P325" s="55">
        <f>('LATAM INCUMB'!$E$25/'LATAM INCUMB'!$D$25)-1</f>
        <v>0.18886075897974464</v>
      </c>
      <c r="Q325" s="55">
        <f>('LATAM INCUMB'!$F$25/'LATAM INCUMB'!$E$25)-1</f>
        <v>0.11804271794813892</v>
      </c>
      <c r="R325" s="55">
        <f>('LATAM INCUMB'!$G$25/'LATAM INCUMB'!$F$25)-1</f>
        <v>9.6466028010378846E-2</v>
      </c>
      <c r="S325" s="55">
        <f>'LATAM INCUMB'!$H$25</f>
        <v>0.13377842924611083</v>
      </c>
      <c r="T325" s="46"/>
      <c r="U325" s="57"/>
      <c r="V325" s="58" t="str">
        <f>V263</f>
        <v>Agg. LatAm Incumbent</v>
      </c>
      <c r="Z325" s="46"/>
      <c r="AE325" s="41"/>
      <c r="AF325" s="31"/>
      <c r="AG325" s="31"/>
      <c r="AI325" s="41"/>
      <c r="AJ325" s="64"/>
      <c r="AK325" s="64"/>
      <c r="AM325" s="41"/>
      <c r="AN325" s="64"/>
      <c r="AO325" s="64"/>
      <c r="AQ325" s="41"/>
      <c r="AR325" s="64"/>
      <c r="AS325" s="64"/>
    </row>
    <row r="326" spans="1:45" s="5" customFormat="1">
      <c r="A326" s="39"/>
      <c r="B326" s="42"/>
      <c r="C326" s="48"/>
      <c r="D326" s="44"/>
      <c r="E326" s="44"/>
      <c r="F326" s="45"/>
      <c r="G326" s="44"/>
      <c r="H326" s="46"/>
      <c r="I326" s="45"/>
      <c r="J326" s="45"/>
      <c r="K326" s="45"/>
      <c r="L326" s="45"/>
      <c r="M326" s="45"/>
      <c r="N326" s="56"/>
      <c r="O326" s="45"/>
      <c r="P326" s="45"/>
      <c r="Q326" s="45"/>
      <c r="R326" s="45"/>
      <c r="S326" s="45"/>
      <c r="T326" s="46"/>
      <c r="U326" s="48"/>
      <c r="V326" s="50"/>
      <c r="Z326" s="46"/>
      <c r="AE326" s="41"/>
      <c r="AF326" s="31"/>
      <c r="AG326" s="31"/>
      <c r="AI326" s="41"/>
      <c r="AJ326" s="64"/>
      <c r="AK326" s="64"/>
      <c r="AM326" s="41"/>
      <c r="AN326" s="64"/>
      <c r="AO326" s="64"/>
      <c r="AQ326" s="41"/>
      <c r="AR326" s="64"/>
      <c r="AS326" s="64"/>
    </row>
    <row r="327" spans="1:45" s="5" customFormat="1">
      <c r="B327" s="42"/>
      <c r="C327" s="48" t="str">
        <f t="shared" ref="C327:G331" si="48">C265</f>
        <v>China Telecom</v>
      </c>
      <c r="D327" s="44" t="str">
        <f t="shared" si="48"/>
        <v>HKD 4.44</v>
      </c>
      <c r="E327" s="44" t="str">
        <f t="shared" si="48"/>
        <v>HKD 8.75</v>
      </c>
      <c r="F327" s="45">
        <f t="shared" si="48"/>
        <v>0.97072072072072046</v>
      </c>
      <c r="G327" s="44" t="str">
        <f t="shared" si="48"/>
        <v>Buy</v>
      </c>
      <c r="H327" s="46"/>
      <c r="I327" s="169">
        <f>(_CT!$D$24/_CT!$C$24)-1</f>
        <v>4.9639840747474295E-2</v>
      </c>
      <c r="J327" s="169">
        <f>(_CT!$E$24/_CT!$D$24)-1</f>
        <v>5.0977409402168883E-2</v>
      </c>
      <c r="K327" s="169">
        <f>(_CT!$F$24/_CT!$E$24)-1</f>
        <v>5.050992715574476E-2</v>
      </c>
      <c r="L327" s="169">
        <f>(_CT!$G$24/_CT!$F$24)-1</f>
        <v>6.041621081024795E-2</v>
      </c>
      <c r="M327" s="45">
        <f>_CT!$H$24</f>
        <v>5.395798870598334E-2</v>
      </c>
      <c r="N327" s="56"/>
      <c r="O327" s="169">
        <f>(_CT!$D$25/_CT!$C$25)-1</f>
        <v>4.2557690782691893E-3</v>
      </c>
      <c r="P327" s="169">
        <f>(_CT!$E$25/_CT!$D$25)-1</f>
        <v>0.2385957255987603</v>
      </c>
      <c r="Q327" s="169">
        <f>(_CT!$F$25/_CT!$E$25)-1</f>
        <v>0.11585484903684495</v>
      </c>
      <c r="R327" s="169">
        <f>(_CT!$G$25/_CT!$F$25)-1</f>
        <v>0.15391337915401038</v>
      </c>
      <c r="S327" s="169">
        <f>_CT!$H$25</f>
        <v>0.16834246929040142</v>
      </c>
      <c r="T327" s="46"/>
      <c r="U327" s="48" t="str">
        <f t="shared" ref="U327:V331" si="49">U265</f>
        <v>HKD 4.44</v>
      </c>
      <c r="V327" s="44" t="str">
        <f t="shared" si="49"/>
        <v>China Telecom</v>
      </c>
      <c r="Z327" s="46"/>
      <c r="AE327" s="41"/>
      <c r="AF327" s="31"/>
      <c r="AG327" s="31"/>
      <c r="AI327" s="41"/>
      <c r="AJ327" s="64"/>
      <c r="AK327" s="64"/>
      <c r="AM327" s="41"/>
      <c r="AN327" s="64"/>
      <c r="AO327" s="64"/>
      <c r="AQ327" s="41"/>
      <c r="AR327" s="64"/>
      <c r="AS327" s="64"/>
    </row>
    <row r="328" spans="1:45" s="5" customFormat="1">
      <c r="B328" s="42"/>
      <c r="C328" s="48" t="str">
        <f t="shared" si="48"/>
        <v>China Unicom</v>
      </c>
      <c r="D328" s="44" t="str">
        <f t="shared" si="48"/>
        <v>HKD 6.20</v>
      </c>
      <c r="E328" s="44" t="str">
        <f t="shared" si="48"/>
        <v>HKD 13.20</v>
      </c>
      <c r="F328" s="45">
        <f t="shared" si="48"/>
        <v>1.129032258064516</v>
      </c>
      <c r="G328" s="44" t="str">
        <f t="shared" si="48"/>
        <v>Buy</v>
      </c>
      <c r="H328" s="46"/>
      <c r="I328" s="169">
        <f>(_CU!$D$24/_CU!$C$24)-1</f>
        <v>6.4838810515381873E-3</v>
      </c>
      <c r="J328" s="169">
        <f>(_CU!$E$24/_CU!$D$24)-1</f>
        <v>9.8238267837498228E-3</v>
      </c>
      <c r="K328" s="169">
        <f>(_CU!$F$24/_CU!$E$24)-1</f>
        <v>2.3165141050768057E-2</v>
      </c>
      <c r="L328" s="169">
        <f>(_CU!$G$24/_CU!$F$24)-1</f>
        <v>2.2748100573594776E-2</v>
      </c>
      <c r="M328" s="45">
        <f>_CU!$H$24</f>
        <v>1.8560140619139132E-2</v>
      </c>
      <c r="N328" s="56"/>
      <c r="O328" s="169">
        <f>(_CU!$D$25/_CU!$C$25)-1</f>
        <v>3.7766830870279211E-2</v>
      </c>
      <c r="P328" s="169">
        <f>(_CU!$E$25/_CU!$D$25)-1</f>
        <v>0.33736076950929705</v>
      </c>
      <c r="Q328" s="169">
        <f>(_CU!$F$25/_CU!$E$25)-1</f>
        <v>3.4688645084897773E-2</v>
      </c>
      <c r="R328" s="169">
        <f>(_CU!$G$25/_CU!$F$25)-1</f>
        <v>4.2469699831324315E-2</v>
      </c>
      <c r="S328" s="169">
        <f>_CU!$H$25</f>
        <v>0.12990145452903046</v>
      </c>
      <c r="T328" s="46"/>
      <c r="U328" s="48" t="str">
        <f t="shared" si="49"/>
        <v>HKD 6.20</v>
      </c>
      <c r="V328" s="44" t="str">
        <f t="shared" si="49"/>
        <v>China Unicom</v>
      </c>
      <c r="Z328" s="46"/>
      <c r="AE328" s="41"/>
      <c r="AF328" s="31"/>
      <c r="AG328" s="31"/>
      <c r="AI328" s="41"/>
      <c r="AJ328" s="64"/>
      <c r="AK328" s="64"/>
      <c r="AM328" s="41"/>
      <c r="AN328" s="64"/>
      <c r="AO328" s="64"/>
      <c r="AQ328" s="41"/>
      <c r="AR328" s="64"/>
      <c r="AS328" s="64"/>
    </row>
    <row r="329" spans="1:45" s="5" customFormat="1">
      <c r="A329" s="39"/>
      <c r="B329" s="42"/>
      <c r="C329" s="48" t="str">
        <f t="shared" si="48"/>
        <v>Chunghwa Telecom</v>
      </c>
      <c r="D329" s="44" t="str">
        <f t="shared" si="48"/>
        <v>TWD 127.00</v>
      </c>
      <c r="E329" s="44" t="str">
        <f t="shared" si="48"/>
        <v>TWD n/r</v>
      </c>
      <c r="F329" s="45" t="str">
        <f t="shared" si="48"/>
        <v>-</v>
      </c>
      <c r="G329" s="44" t="str">
        <f t="shared" si="48"/>
        <v>n/r</v>
      </c>
      <c r="H329" s="46"/>
      <c r="I329" s="45">
        <f>(CHUNG!$D$24/CHUNG!$C$24)-1</f>
        <v>1.4027157074484986E-2</v>
      </c>
      <c r="J329" s="45">
        <f>(CHUNG!$E$24/CHUNG!$D$24)-1</f>
        <v>1.3520098186603935E-2</v>
      </c>
      <c r="K329" s="45">
        <f>(CHUNG!$F$24/CHUNG!$E$24)-1</f>
        <v>1.4501389115283425E-2</v>
      </c>
      <c r="L329" s="45">
        <f>(CHUNG!$G$24/CHUNG!$F$24)-1</f>
        <v>1.5442999120380163E-2</v>
      </c>
      <c r="M329" s="45">
        <f>CHUNG!$H$24</f>
        <v>1.4487858365059614E-2</v>
      </c>
      <c r="N329" s="56"/>
      <c r="O329" s="45">
        <f>(CHUNG!$D$25/CHUNG!$C$25)-1</f>
        <v>9.9807552950548217E-2</v>
      </c>
      <c r="P329" s="45">
        <f>(CHUNG!$E$25/CHUNG!$D$25)-1</f>
        <v>9.6959491588610947E-2</v>
      </c>
      <c r="Q329" s="45">
        <f>(CHUNG!$F$25/CHUNG!$E$25)-1</f>
        <v>5.3600059992703564E-2</v>
      </c>
      <c r="R329" s="45">
        <f>(CHUNG!$G$25/CHUNG!$F$25)-1</f>
        <v>1.6662767358061936E-2</v>
      </c>
      <c r="S329" s="45">
        <f>CHUNG!$H$25</f>
        <v>5.5231544534847021E-2</v>
      </c>
      <c r="T329" s="46"/>
      <c r="U329" s="48" t="str">
        <f t="shared" si="49"/>
        <v>TWD 127.00</v>
      </c>
      <c r="V329" s="44" t="str">
        <f t="shared" si="49"/>
        <v>Chunghwa Telecom</v>
      </c>
      <c r="Z329" s="46"/>
      <c r="AE329" s="41"/>
      <c r="AF329" s="31"/>
      <c r="AG329" s="31"/>
      <c r="AI329" s="41"/>
      <c r="AJ329" s="64"/>
      <c r="AK329" s="64"/>
      <c r="AM329" s="41"/>
      <c r="AN329" s="64"/>
      <c r="AO329" s="64"/>
      <c r="AQ329" s="41"/>
      <c r="AR329" s="64"/>
      <c r="AS329" s="64"/>
    </row>
    <row r="330" spans="1:45" s="5" customFormat="1">
      <c r="A330" s="39"/>
      <c r="B330" s="42"/>
      <c r="C330" s="48" t="str">
        <f t="shared" si="48"/>
        <v>KT Corp</v>
      </c>
      <c r="D330" s="44" t="str">
        <f t="shared" si="48"/>
        <v>KRW 36,350</v>
      </c>
      <c r="E330" s="44" t="str">
        <f t="shared" si="48"/>
        <v>KRW 70,000</v>
      </c>
      <c r="F330" s="45">
        <f t="shared" si="48"/>
        <v>0.92572214580467671</v>
      </c>
      <c r="G330" s="44" t="str">
        <f t="shared" si="48"/>
        <v>Buy</v>
      </c>
      <c r="H330" s="46"/>
      <c r="I330" s="45">
        <f>(_KT!$D$24/_KT!$C$24)-1</f>
        <v>2.1305649083426914E-2</v>
      </c>
      <c r="J330" s="45">
        <f>(_KT!$E$24/_KT!$D$24)-1</f>
        <v>5.1444976271406873E-2</v>
      </c>
      <c r="K330" s="45">
        <f>(_KT!$F$24/_KT!$E$24)-1</f>
        <v>6.704178538889094E-2</v>
      </c>
      <c r="L330" s="45">
        <f>(_KT!$G$24/_KT!$F$24)-1</f>
        <v>2.0548757274651663E-2</v>
      </c>
      <c r="M330" s="45">
        <f>_KT!$H$24</f>
        <v>4.6165944374719992E-2</v>
      </c>
      <c r="N330" s="56"/>
      <c r="O330" s="45">
        <f>(_KT!$D$25/_KT!$C$25)-1</f>
        <v>0.18086045228902403</v>
      </c>
      <c r="P330" s="45">
        <f>(_KT!$E$25/_KT!$D$25)-1</f>
        <v>8.2924299092554943E-3</v>
      </c>
      <c r="Q330" s="45">
        <f>(_KT!$F$25/_KT!$E$25)-1</f>
        <v>0.27977696006336505</v>
      </c>
      <c r="R330" s="45">
        <f>(_KT!$G$25/_KT!$F$25)-1</f>
        <v>6.6225601651400678E-2</v>
      </c>
      <c r="S330" s="45">
        <f>_KT!$H$25</f>
        <v>0.11221812132162357</v>
      </c>
      <c r="T330" s="46"/>
      <c r="U330" s="48" t="str">
        <f t="shared" si="49"/>
        <v>KRW 36,350</v>
      </c>
      <c r="V330" s="44" t="str">
        <f t="shared" si="49"/>
        <v>KT Corp</v>
      </c>
      <c r="Z330" s="46"/>
      <c r="AE330" s="41"/>
      <c r="AF330" s="31"/>
      <c r="AG330" s="31"/>
      <c r="AI330" s="41"/>
      <c r="AJ330" s="64"/>
      <c r="AK330" s="64"/>
      <c r="AM330" s="41"/>
      <c r="AN330" s="64"/>
      <c r="AO330" s="64"/>
      <c r="AQ330" s="41"/>
      <c r="AR330" s="64"/>
      <c r="AS330" s="64"/>
    </row>
    <row r="331" spans="1:45" s="5" customFormat="1">
      <c r="A331" s="39"/>
      <c r="B331" s="42"/>
      <c r="C331" s="48" t="str">
        <f t="shared" si="48"/>
        <v>PT Telkom</v>
      </c>
      <c r="D331" s="44" t="str">
        <f t="shared" si="48"/>
        <v>IDR 2,940</v>
      </c>
      <c r="E331" s="44" t="str">
        <f t="shared" si="48"/>
        <v>IDR 5,000</v>
      </c>
      <c r="F331" s="45">
        <f t="shared" si="48"/>
        <v>0.70068027210884343</v>
      </c>
      <c r="G331" s="44" t="str">
        <f t="shared" si="48"/>
        <v>Buy</v>
      </c>
      <c r="H331" s="46"/>
      <c r="I331" s="169">
        <f>(PTT!$D$24/PTT!$C$24)-1</f>
        <v>-1.7887887381000556E-2</v>
      </c>
      <c r="J331" s="169">
        <f>(PTT!$E$24/PTT!$D$24)-1</f>
        <v>6.0550606655570549E-2</v>
      </c>
      <c r="K331" s="169">
        <f>(PTT!$F$24/PTT!$E$24)-1</f>
        <v>7.467945378384333E-2</v>
      </c>
      <c r="L331" s="169">
        <f>(PTT!$G$24/PTT!$F$24)-1</f>
        <v>6.9168550184081079E-2</v>
      </c>
      <c r="M331" s="45">
        <f>PTT!$H$24</f>
        <v>6.8117029657460471E-2</v>
      </c>
      <c r="N331" s="56"/>
      <c r="O331" s="169">
        <f>(PTT!$D$25/PTT!$C$25)-1</f>
        <v>-5.018288875011101E-3</v>
      </c>
      <c r="P331" s="169">
        <f>(PTT!$E$25/PTT!$D$25)-1</f>
        <v>0.12220421829812134</v>
      </c>
      <c r="Q331" s="169">
        <f>(PTT!$F$25/PTT!$E$25)-1</f>
        <v>9.5894017490392169E-2</v>
      </c>
      <c r="R331" s="169">
        <f>(PTT!$G$25/PTT!$F$25)-1</f>
        <v>8.6769147194492247E-2</v>
      </c>
      <c r="S331" s="169">
        <f>PTT!$H$25</f>
        <v>0.10152050111746846</v>
      </c>
      <c r="T331" s="46"/>
      <c r="U331" s="48" t="str">
        <f t="shared" si="49"/>
        <v>IDR 2,940</v>
      </c>
      <c r="V331" s="44" t="str">
        <f t="shared" si="49"/>
        <v>PT Telkom</v>
      </c>
      <c r="Z331" s="46"/>
      <c r="AE331" s="41"/>
      <c r="AF331" s="31"/>
      <c r="AG331" s="31"/>
      <c r="AI331" s="41"/>
      <c r="AJ331" s="64"/>
      <c r="AK331" s="64"/>
      <c r="AM331" s="41"/>
      <c r="AN331" s="64"/>
      <c r="AO331" s="64"/>
      <c r="AQ331" s="41"/>
      <c r="AR331" s="64"/>
      <c r="AS331" s="64"/>
    </row>
    <row r="332" spans="1:45" s="5" customFormat="1">
      <c r="A332" s="39"/>
      <c r="B332" s="42"/>
      <c r="C332" s="51" t="str">
        <f>C270</f>
        <v>Agg. Emerging Asia Incumbent</v>
      </c>
      <c r="D332" s="52"/>
      <c r="E332" s="52"/>
      <c r="F332" s="53"/>
      <c r="G332" s="52"/>
      <c r="H332" s="46"/>
      <c r="I332" s="55">
        <f>('EM ASIA INCUMB'!$D$24/'EM ASIA INCUMB'!$C$24)-1</f>
        <v>2.3539910915355122E-2</v>
      </c>
      <c r="J332" s="55">
        <f>('EM ASIA INCUMB'!$E$24/'EM ASIA INCUMB'!$D$24)-1</f>
        <v>3.7098151625258868E-2</v>
      </c>
      <c r="K332" s="55">
        <f>('EM ASIA INCUMB'!$F$24/'EM ASIA INCUMB'!$E$24)-1</f>
        <v>4.4462551939607353E-2</v>
      </c>
      <c r="L332" s="55">
        <f>('EM ASIA INCUMB'!$G$24/'EM ASIA INCUMB'!$F$24)-1</f>
        <v>4.4055712547412806E-2</v>
      </c>
      <c r="M332" s="55">
        <f>'EM ASIA INCUMB'!$H$24</f>
        <v>4.1866648394238704E-2</v>
      </c>
      <c r="N332" s="56"/>
      <c r="O332" s="55">
        <f>('EM ASIA INCUMB'!$D$25/'EM ASIA INCUMB'!$C$25)-1</f>
        <v>3.665907596856588E-2</v>
      </c>
      <c r="P332" s="55">
        <f>('EM ASIA INCUMB'!$E$25/'EM ASIA INCUMB'!$D$25)-1</f>
        <v>0.20088614348450307</v>
      </c>
      <c r="Q332" s="55">
        <f>('EM ASIA INCUMB'!$F$25/'EM ASIA INCUMB'!$E$25)-1</f>
        <v>9.8879609175203553E-2</v>
      </c>
      <c r="R332" s="55">
        <f>('EM ASIA INCUMB'!$G$25/'EM ASIA INCUMB'!$F$25)-1</f>
        <v>9.1751591706223046E-2</v>
      </c>
      <c r="S332" s="55">
        <f>'EM ASIA INCUMB'!$H$25</f>
        <v>0.12942811388589948</v>
      </c>
      <c r="T332" s="46"/>
      <c r="U332" s="57"/>
      <c r="V332" s="58" t="str">
        <f>V270</f>
        <v>Agg. Emerging Asia Incumbent</v>
      </c>
      <c r="Z332" s="46"/>
      <c r="AE332" s="41"/>
      <c r="AF332" s="31"/>
      <c r="AG332" s="31"/>
      <c r="AI332" s="41"/>
      <c r="AJ332" s="64"/>
      <c r="AK332" s="64"/>
      <c r="AM332" s="41"/>
      <c r="AN332" s="64"/>
      <c r="AO332" s="64"/>
      <c r="AQ332" s="41"/>
      <c r="AR332" s="64"/>
      <c r="AS332" s="64"/>
    </row>
    <row r="333" spans="1:45" s="5" customFormat="1">
      <c r="A333" s="39"/>
      <c r="B333" s="42"/>
      <c r="C333" s="43"/>
      <c r="D333" s="44"/>
      <c r="E333" s="44"/>
      <c r="F333" s="68"/>
      <c r="G333" s="44"/>
      <c r="H333" s="46"/>
      <c r="I333" s="61"/>
      <c r="J333" s="61"/>
      <c r="K333" s="61"/>
      <c r="L333" s="61"/>
      <c r="M333" s="61"/>
      <c r="N333" s="56"/>
      <c r="O333" s="61"/>
      <c r="P333" s="61"/>
      <c r="Q333" s="61"/>
      <c r="R333" s="61"/>
      <c r="S333" s="61"/>
      <c r="T333" s="46"/>
      <c r="U333" s="48"/>
      <c r="V333" s="50"/>
      <c r="Z333" s="46"/>
      <c r="AE333" s="41"/>
      <c r="AF333" s="31"/>
      <c r="AG333" s="31"/>
      <c r="AI333" s="41"/>
      <c r="AJ333" s="64"/>
      <c r="AK333" s="64"/>
      <c r="AM333" s="41"/>
      <c r="AN333" s="64"/>
      <c r="AO333" s="64"/>
      <c r="AQ333" s="41"/>
      <c r="AR333" s="64"/>
      <c r="AS333" s="64"/>
    </row>
    <row r="334" spans="1:45" s="5" customFormat="1">
      <c r="A334" s="39"/>
      <c r="B334" s="42"/>
      <c r="C334" s="51" t="str">
        <f>C272</f>
        <v>Agg. Emerging Incumbent</v>
      </c>
      <c r="D334" s="52"/>
      <c r="E334" s="52"/>
      <c r="F334" s="53"/>
      <c r="G334" s="52"/>
      <c r="H334" s="46"/>
      <c r="I334" s="55">
        <f>('EM INCUMB'!$D$24/'EM INCUMB'!$C$24)-1</f>
        <v>4.8246798846891092E-2</v>
      </c>
      <c r="J334" s="55">
        <f>('EM INCUMB'!$E$24/'EM INCUMB'!$D$24)-1</f>
        <v>4.6650022190455331E-2</v>
      </c>
      <c r="K334" s="55">
        <f>('EM INCUMB'!$F$24/'EM INCUMB'!$E$24)-1</f>
        <v>4.620934835835655E-2</v>
      </c>
      <c r="L334" s="55">
        <f>('EM INCUMB'!$G$24/'EM INCUMB'!$F$24)-1</f>
        <v>4.3103553542118034E-2</v>
      </c>
      <c r="M334" s="55">
        <f>'EM INCUMB'!$H$24</f>
        <v>4.5319782471582526E-2</v>
      </c>
      <c r="N334" s="56"/>
      <c r="O334" s="55">
        <f>('EM INCUMB'!$D$25/'EM INCUMB'!$C$25)-1</f>
        <v>0.1165170169773273</v>
      </c>
      <c r="P334" s="55">
        <f>('EM INCUMB'!$E$25/'EM INCUMB'!$D$25)-1</f>
        <v>0.19320336195287569</v>
      </c>
      <c r="Q334" s="55">
        <f>('EM INCUMB'!$F$25/'EM INCUMB'!$E$25)-1</f>
        <v>0.10637350122226419</v>
      </c>
      <c r="R334" s="55">
        <f>('EM INCUMB'!$G$25/'EM INCUMB'!$F$25)-1</f>
        <v>9.3255697704053286E-2</v>
      </c>
      <c r="S334" s="55">
        <f>'EM INCUMB'!$H$25</f>
        <v>0.13008903497063584</v>
      </c>
      <c r="T334" s="46"/>
      <c r="U334" s="57"/>
      <c r="V334" s="58" t="str">
        <f>V272</f>
        <v>Agg. Emerging Incumbent</v>
      </c>
      <c r="Z334" s="46"/>
      <c r="AE334" s="41"/>
      <c r="AF334" s="31"/>
      <c r="AG334" s="31"/>
      <c r="AI334" s="41"/>
      <c r="AJ334" s="64"/>
      <c r="AK334" s="64"/>
      <c r="AM334" s="41"/>
      <c r="AN334" s="64"/>
      <c r="AO334" s="64"/>
      <c r="AQ334" s="41"/>
      <c r="AR334" s="64"/>
      <c r="AS334" s="64"/>
    </row>
    <row r="335" spans="1:45" s="5" customFormat="1">
      <c r="A335" s="39"/>
      <c r="B335" s="42"/>
      <c r="C335" s="43"/>
      <c r="D335" s="44"/>
      <c r="E335" s="44"/>
      <c r="F335" s="45"/>
      <c r="G335" s="44"/>
      <c r="H335" s="46"/>
      <c r="I335" s="45"/>
      <c r="J335" s="45"/>
      <c r="K335" s="45"/>
      <c r="L335" s="45"/>
      <c r="M335" s="45"/>
      <c r="N335" s="56"/>
      <c r="O335" s="45"/>
      <c r="P335" s="45"/>
      <c r="Q335" s="45"/>
      <c r="R335" s="45"/>
      <c r="S335" s="45"/>
      <c r="T335" s="46"/>
      <c r="U335" s="48"/>
      <c r="V335" s="50"/>
      <c r="Z335" s="46"/>
      <c r="AE335" s="41"/>
      <c r="AF335" s="31"/>
      <c r="AG335" s="31"/>
      <c r="AI335" s="41"/>
      <c r="AJ335" s="64"/>
      <c r="AK335" s="64"/>
      <c r="AM335" s="41"/>
      <c r="AN335" s="64"/>
      <c r="AO335" s="64"/>
      <c r="AQ335" s="41"/>
      <c r="AR335" s="64"/>
      <c r="AS335" s="64"/>
    </row>
    <row r="336" spans="1:45" s="5" customFormat="1">
      <c r="A336" s="41" t="s">
        <v>507</v>
      </c>
      <c r="B336" s="42"/>
      <c r="C336" s="48" t="str">
        <f t="shared" ref="C336:G342" si="50">C274</f>
        <v>Airtel Africa</v>
      </c>
      <c r="D336" s="44" t="str">
        <f t="shared" si="50"/>
        <v>USD 1.21</v>
      </c>
      <c r="E336" s="44" t="str">
        <f t="shared" si="50"/>
        <v>USD 1.50</v>
      </c>
      <c r="F336" s="45">
        <f t="shared" si="50"/>
        <v>0.2396694214876034</v>
      </c>
      <c r="G336" s="44" t="str">
        <f t="shared" si="50"/>
        <v>Buy</v>
      </c>
      <c r="H336" s="46"/>
      <c r="I336" s="169">
        <f>(AAF!$D$24/AAF!$C$24)-1</f>
        <v>-6.2020474843187512E-2</v>
      </c>
      <c r="J336" s="169">
        <f>(AAF!$E$24/AAF!$D$24)-1</f>
        <v>-6.4010313294580179E-2</v>
      </c>
      <c r="K336" s="169">
        <f>(AAF!$F$24/AAF!$E$24)-1</f>
        <v>0.11585158080065283</v>
      </c>
      <c r="L336" s="169">
        <f>(AAF!$G$24/AAF!$F$24)-1</f>
        <v>8.5847440353007176E-2</v>
      </c>
      <c r="M336" s="45">
        <f>AAF!$H$24</f>
        <v>4.283460967218744E-2</v>
      </c>
      <c r="N336" s="56"/>
      <c r="O336" s="169">
        <f>(AAF!$D$25/AAF!$C$25)-1</f>
        <v>-0.13510340669001508</v>
      </c>
      <c r="P336" s="169">
        <f>(AAF!$E$25/AAF!$D$25)-1</f>
        <v>-0.13049269830331367</v>
      </c>
      <c r="Q336" s="169">
        <f>(AAF!$F$25/AAF!$E$25)-1</f>
        <v>0.15265906967986798</v>
      </c>
      <c r="R336" s="169">
        <f>(AAF!$G$25/AAF!$F$25)-1</f>
        <v>0.10648802490957054</v>
      </c>
      <c r="S336" s="169">
        <f>AAF!$H$25</f>
        <v>3.5079262624339913E-2</v>
      </c>
      <c r="T336" s="46"/>
      <c r="U336" s="48" t="str">
        <f t="shared" ref="U336:V342" si="51">U274</f>
        <v>USD 1.21</v>
      </c>
      <c r="V336" s="44" t="str">
        <f t="shared" si="51"/>
        <v>Airtel Africa</v>
      </c>
      <c r="Z336" s="46"/>
      <c r="AE336" s="41"/>
      <c r="AF336" s="31"/>
      <c r="AG336" s="31"/>
      <c r="AI336" s="41"/>
      <c r="AJ336" s="64"/>
      <c r="AK336" s="64"/>
      <c r="AM336" s="41"/>
      <c r="AN336" s="64"/>
      <c r="AO336" s="64"/>
      <c r="AQ336" s="41"/>
      <c r="AR336" s="64"/>
      <c r="AS336" s="64"/>
    </row>
    <row r="337" spans="1:45" s="5" customFormat="1">
      <c r="A337" s="41"/>
      <c r="B337" s="42"/>
      <c r="C337" s="48" t="str">
        <f t="shared" si="50"/>
        <v>MobileTeleSystems</v>
      </c>
      <c r="D337" s="44" t="str">
        <f t="shared" si="50"/>
        <v>USD 10.00</v>
      </c>
      <c r="E337" s="44" t="str">
        <f t="shared" si="50"/>
        <v>USD 10.10</v>
      </c>
      <c r="F337" s="45">
        <f t="shared" si="50"/>
        <v>1.0000000000000009E-2</v>
      </c>
      <c r="G337" s="44" t="str">
        <f t="shared" si="50"/>
        <v>Buy</v>
      </c>
      <c r="H337" s="46"/>
      <c r="I337" s="169">
        <f>(MTS!$D$24/MTS!$C$24)-1</f>
        <v>1.0270452923701878E-3</v>
      </c>
      <c r="J337" s="169">
        <f>(MTS!$E$24/MTS!$D$24)-1</f>
        <v>1.3949054720230336E-4</v>
      </c>
      <c r="K337" s="169">
        <f>(MTS!$F$24/MTS!$E$24)-1</f>
        <v>2.9728291360309189E-3</v>
      </c>
      <c r="L337" s="169">
        <f>(MTS!$G$24/MTS!$F$24)-1</f>
        <v>2.5124281915767099E-3</v>
      </c>
      <c r="M337" s="45">
        <f>MTS!$H$24</f>
        <v>1.8741464069604863E-3</v>
      </c>
      <c r="N337" s="56"/>
      <c r="O337" s="169">
        <f>(MTS!$D$25/MTS!$C$25)-1</f>
        <v>6.2818774073745143E-3</v>
      </c>
      <c r="P337" s="169">
        <f>(MTS!$E$25/MTS!$D$25)-1</f>
        <v>4.6627985062124289E-2</v>
      </c>
      <c r="Q337" s="169">
        <f>(MTS!$F$25/MTS!$E$25)-1</f>
        <v>-8.5869916211371855E-3</v>
      </c>
      <c r="R337" s="169">
        <f>(MTS!$G$25/MTS!$F$25)-1</f>
        <v>-9.5990602798423641E-3</v>
      </c>
      <c r="S337" s="169">
        <f>MTS!$H$25</f>
        <v>9.1428942790983125E-3</v>
      </c>
      <c r="T337" s="46"/>
      <c r="U337" s="48" t="str">
        <f t="shared" si="51"/>
        <v>USD 10.00</v>
      </c>
      <c r="V337" s="44" t="str">
        <f t="shared" si="51"/>
        <v>MobileTeleSystems</v>
      </c>
      <c r="Z337" s="46"/>
      <c r="AE337" s="41"/>
      <c r="AF337" s="31"/>
      <c r="AG337" s="31"/>
      <c r="AI337" s="41"/>
      <c r="AJ337" s="64"/>
      <c r="AK337" s="64"/>
      <c r="AM337" s="41"/>
      <c r="AN337" s="64"/>
      <c r="AO337" s="64"/>
      <c r="AQ337" s="41"/>
      <c r="AR337" s="64"/>
      <c r="AS337" s="64"/>
    </row>
    <row r="338" spans="1:45" s="5" customFormat="1">
      <c r="A338" s="39"/>
      <c r="B338" s="42"/>
      <c r="C338" s="48" t="str">
        <f t="shared" si="50"/>
        <v>MTN</v>
      </c>
      <c r="D338" s="44" t="str">
        <f t="shared" si="50"/>
        <v>ZAR 86.08</v>
      </c>
      <c r="E338" s="44" t="str">
        <f t="shared" si="50"/>
        <v>ZAR 130.00</v>
      </c>
      <c r="F338" s="45">
        <f t="shared" si="50"/>
        <v>0.5102230483271375</v>
      </c>
      <c r="G338" s="44" t="str">
        <f t="shared" si="50"/>
        <v>Buy</v>
      </c>
      <c r="H338" s="46"/>
      <c r="I338" s="169">
        <f>(MTN!$D$24/MTN!$C$24)-1</f>
        <v>1.2113496781337219E-2</v>
      </c>
      <c r="J338" s="169">
        <f>(MTN!$E$24/MTN!$D$24)-1</f>
        <v>-0.12115732944975255</v>
      </c>
      <c r="K338" s="169">
        <f>(MTN!$F$24/MTN!$E$24)-1</f>
        <v>0.1499931095308138</v>
      </c>
      <c r="L338" s="169">
        <f>(MTN!$G$24/MTN!$F$24)-1</f>
        <v>0.11914330071119039</v>
      </c>
      <c r="M338" s="45">
        <f>MTN!$H$24</f>
        <v>4.1911162523096346E-2</v>
      </c>
      <c r="N338" s="56"/>
      <c r="O338" s="169">
        <f>(MTN!$D$25/MTN!$C$25)-1</f>
        <v>-1.7287179780230755E-2</v>
      </c>
      <c r="P338" s="169">
        <f>(MTN!$E$25/MTN!$D$25)-1</f>
        <v>-1.8193959684306704E-2</v>
      </c>
      <c r="Q338" s="169">
        <f>(MTN!$F$25/MTN!$E$25)-1</f>
        <v>0.26960479529993298</v>
      </c>
      <c r="R338" s="169">
        <f>(MTN!$G$25/MTN!$F$25)-1</f>
        <v>0.19474939663258728</v>
      </c>
      <c r="S338" s="169">
        <f>MTN!$H$25</f>
        <v>0.14197612556269124</v>
      </c>
      <c r="T338" s="46"/>
      <c r="U338" s="48" t="str">
        <f t="shared" si="51"/>
        <v>ZAR 86.08</v>
      </c>
      <c r="V338" s="44" t="str">
        <f t="shared" si="51"/>
        <v>MTN</v>
      </c>
      <c r="Z338" s="46"/>
      <c r="AE338" s="41"/>
      <c r="AF338" s="31"/>
      <c r="AG338" s="31"/>
      <c r="AI338" s="41"/>
      <c r="AJ338" s="64"/>
      <c r="AK338" s="64"/>
      <c r="AM338" s="41"/>
      <c r="AN338" s="64"/>
      <c r="AO338" s="64"/>
      <c r="AQ338" s="41"/>
      <c r="AR338" s="64"/>
      <c r="AS338" s="64"/>
    </row>
    <row r="339" spans="1:45" s="5" customFormat="1">
      <c r="A339" s="39"/>
      <c r="B339" s="42"/>
      <c r="C339" s="48" t="str">
        <f t="shared" si="50"/>
        <v>Safaricom</v>
      </c>
      <c r="D339" s="44" t="str">
        <f t="shared" si="50"/>
        <v>KES 17.75</v>
      </c>
      <c r="E339" s="44" t="str">
        <f t="shared" si="50"/>
        <v>KES 17.0</v>
      </c>
      <c r="F339" s="45">
        <f t="shared" si="50"/>
        <v>-4.2253521126760618E-2</v>
      </c>
      <c r="G339" s="44" t="str">
        <f t="shared" si="50"/>
        <v>Neutral</v>
      </c>
      <c r="H339" s="46"/>
      <c r="I339" s="169">
        <f>(SAF!$D$24/SAF!$C$24)-1</f>
        <v>0.18934393488403045</v>
      </c>
      <c r="J339" s="169">
        <f>(SAF!$E$24/SAF!$D$24)-1</f>
        <v>8.4879286375713736E-2</v>
      </c>
      <c r="K339" s="169">
        <f>(SAF!$F$24/SAF!$E$24)-1</f>
        <v>9.2859271009246847E-2</v>
      </c>
      <c r="L339" s="169">
        <f>(SAF!$G$24/SAF!$F$24)-1</f>
        <v>5.6801599029950189E-2</v>
      </c>
      <c r="M339" s="45">
        <f>SAF!$H$24</f>
        <v>7.8068541407177117E-2</v>
      </c>
      <c r="N339" s="56"/>
      <c r="O339" s="169">
        <f>(SAF!$D$25/SAF!$C$25)-1</f>
        <v>0.76529640826453194</v>
      </c>
      <c r="P339" s="169">
        <f>(SAF!$E$25/SAF!$D$25)-1</f>
        <v>-0.10820802090447335</v>
      </c>
      <c r="Q339" s="169">
        <f>(SAF!$F$25/SAF!$E$25)-1</f>
        <v>0.53006167905741797</v>
      </c>
      <c r="R339" s="169">
        <f>(SAF!$G$25/SAF!$F$25)-1</f>
        <v>0.27441749283171002</v>
      </c>
      <c r="S339" s="169">
        <f>SAF!$H$25</f>
        <v>0.20252673734908933</v>
      </c>
      <c r="T339" s="46"/>
      <c r="U339" s="48" t="str">
        <f t="shared" si="51"/>
        <v>KES 17.75</v>
      </c>
      <c r="V339" s="44" t="str">
        <f t="shared" si="51"/>
        <v>Safaricom</v>
      </c>
      <c r="Z339" s="46"/>
      <c r="AE339" s="41"/>
      <c r="AF339" s="31"/>
      <c r="AG339" s="31"/>
      <c r="AI339" s="41"/>
      <c r="AJ339" s="64"/>
      <c r="AK339" s="64"/>
      <c r="AM339" s="41"/>
      <c r="AN339" s="64"/>
      <c r="AO339" s="64"/>
      <c r="AQ339" s="41"/>
      <c r="AR339" s="64"/>
      <c r="AS339" s="64"/>
    </row>
    <row r="340" spans="1:45" s="5" customFormat="1">
      <c r="A340" s="39"/>
      <c r="B340" s="42"/>
      <c r="C340" s="48" t="str">
        <f t="shared" si="50"/>
        <v>Turkcell</v>
      </c>
      <c r="D340" s="44" t="str">
        <f t="shared" si="50"/>
        <v>USD 91.80</v>
      </c>
      <c r="E340" s="44" t="str">
        <f t="shared" si="50"/>
        <v>USD 16.90</v>
      </c>
      <c r="F340" s="45">
        <f t="shared" si="50"/>
        <v>-0.81590413943355122</v>
      </c>
      <c r="G340" s="44" t="str">
        <f t="shared" si="50"/>
        <v>Buy</v>
      </c>
      <c r="H340" s="46"/>
      <c r="I340" s="169">
        <f>(TKC!$D$24/TKC!$C$24)-1</f>
        <v>5.9561869015394509E-2</v>
      </c>
      <c r="J340" s="169">
        <f>(TKC!$E$24/TKC!$D$24)-1</f>
        <v>5.9082445823887886E-2</v>
      </c>
      <c r="K340" s="169">
        <f>(TKC!$F$24/TKC!$E$24)-1</f>
        <v>5.8550544325711718E-2</v>
      </c>
      <c r="L340" s="169">
        <f>(TKC!$G$24/TKC!$F$24)-1</f>
        <v>5.8004463140254758E-2</v>
      </c>
      <c r="M340" s="45">
        <f>TKC!$H$24</f>
        <v>5.8545726276221677E-2</v>
      </c>
      <c r="N340" s="56"/>
      <c r="O340" s="169">
        <f>(TKC!$D$25/TKC!$C$25)-1</f>
        <v>5.2276783953843164E-2</v>
      </c>
      <c r="P340" s="169">
        <f>(TKC!$E$25/TKC!$D$25)-1</f>
        <v>9.4605639612265424E-2</v>
      </c>
      <c r="Q340" s="169">
        <f>(TKC!$F$25/TKC!$E$25)-1</f>
        <v>9.0847195885055632E-2</v>
      </c>
      <c r="R340" s="169">
        <f>(TKC!$G$25/TKC!$F$25)-1</f>
        <v>5.1075034357674021E-2</v>
      </c>
      <c r="S340" s="169">
        <f>TKC!$H$25</f>
        <v>7.8661324138610045E-2</v>
      </c>
      <c r="T340" s="46"/>
      <c r="U340" s="48" t="str">
        <f t="shared" si="51"/>
        <v>USD 91.80</v>
      </c>
      <c r="V340" s="44" t="str">
        <f t="shared" si="51"/>
        <v>Turkcell</v>
      </c>
      <c r="Z340" s="46"/>
      <c r="AE340" s="41"/>
      <c r="AF340" s="31"/>
      <c r="AG340" s="31"/>
      <c r="AI340" s="41"/>
      <c r="AJ340" s="64"/>
      <c r="AK340" s="64"/>
      <c r="AM340" s="41"/>
      <c r="AN340" s="64"/>
      <c r="AO340" s="64"/>
      <c r="AQ340" s="41"/>
      <c r="AR340" s="64"/>
      <c r="AS340" s="64"/>
    </row>
    <row r="341" spans="1:45" s="5" customFormat="1">
      <c r="A341" s="39"/>
      <c r="B341" s="42"/>
      <c r="C341" s="48" t="str">
        <f t="shared" si="50"/>
        <v>VEON</v>
      </c>
      <c r="D341" s="44" t="str">
        <f t="shared" si="50"/>
        <v>USD 25.5</v>
      </c>
      <c r="E341" s="44" t="str">
        <f t="shared" si="50"/>
        <v>USD 40.0</v>
      </c>
      <c r="F341" s="45">
        <f t="shared" si="50"/>
        <v>0.56678417547982751</v>
      </c>
      <c r="G341" s="44" t="str">
        <f t="shared" si="50"/>
        <v>Buy</v>
      </c>
      <c r="H341" s="46"/>
      <c r="I341" s="45">
        <f>(VIMP!$D$24/VIMP!$C$24)-1</f>
        <v>-0.11868302597876268</v>
      </c>
      <c r="J341" s="45">
        <f>(VIMP!$E$24/VIMP!$D$24)-1</f>
        <v>0.11697615933687677</v>
      </c>
      <c r="K341" s="45">
        <f>(VIMP!$F$24/VIMP!$E$24)-1</f>
        <v>4.9904433863699138E-2</v>
      </c>
      <c r="L341" s="45">
        <f>(VIMP!$G$24/VIMP!$F$24)-1</f>
        <v>3.7924134430563639E-2</v>
      </c>
      <c r="M341" s="45">
        <f>VIMP!$H$24</f>
        <v>6.7709469932891286E-2</v>
      </c>
      <c r="N341" s="56"/>
      <c r="O341" s="45">
        <f>(VIMP!$D$25/VIMP!$C$25)-1</f>
        <v>-0.15454387481360243</v>
      </c>
      <c r="P341" s="45">
        <f>(VIMP!$E$25/VIMP!$D$25)-1</f>
        <v>0.21063009252694798</v>
      </c>
      <c r="Q341" s="45">
        <f>(VIMP!$F$25/VIMP!$E$25)-1</f>
        <v>1.9617911425695134E-2</v>
      </c>
      <c r="R341" s="45">
        <f>(VIMP!$G$25/VIMP!$F$25)-1</f>
        <v>4.8262055288779582E-2</v>
      </c>
      <c r="S341" s="45">
        <f>VIMP!$H$25</f>
        <v>8.9698271943677632E-2</v>
      </c>
      <c r="T341" s="46"/>
      <c r="U341" s="48" t="str">
        <f t="shared" si="51"/>
        <v>USD 25.5</v>
      </c>
      <c r="V341" s="44" t="str">
        <f t="shared" si="51"/>
        <v>Vimpel Com</v>
      </c>
      <c r="Z341" s="46"/>
      <c r="AE341" s="41"/>
      <c r="AF341" s="31"/>
      <c r="AG341" s="31"/>
      <c r="AI341" s="41"/>
      <c r="AJ341" s="64"/>
      <c r="AK341" s="64"/>
      <c r="AM341" s="41"/>
      <c r="AN341" s="64"/>
      <c r="AO341" s="64"/>
      <c r="AQ341" s="41"/>
      <c r="AR341" s="64"/>
      <c r="AS341" s="64"/>
    </row>
    <row r="342" spans="1:45" s="5" customFormat="1">
      <c r="A342" s="39"/>
      <c r="B342" s="42"/>
      <c r="C342" s="48" t="str">
        <f t="shared" si="50"/>
        <v>Vodacom</v>
      </c>
      <c r="D342" s="44" t="str">
        <f t="shared" si="50"/>
        <v>ZAR 95.8</v>
      </c>
      <c r="E342" s="44" t="str">
        <f t="shared" si="50"/>
        <v>ZAR 130.0</v>
      </c>
      <c r="F342" s="45">
        <f t="shared" si="50"/>
        <v>0.35685210312075988</v>
      </c>
      <c r="G342" s="44" t="str">
        <f t="shared" si="50"/>
        <v>Neutral</v>
      </c>
      <c r="H342" s="46"/>
      <c r="I342" s="45">
        <f>(VODA!$D$24/VODA!$C$24)-1</f>
        <v>0.26206456771340481</v>
      </c>
      <c r="J342" s="45">
        <f>(VODA!$E$24/VODA!$D$24)-1</f>
        <v>-7.4974803268152979E-3</v>
      </c>
      <c r="K342" s="45">
        <f>(VODA!$F$24/VODA!$E$24)-1</f>
        <v>7.5484027723266234E-2</v>
      </c>
      <c r="L342" s="45">
        <f>(VODA!$G$24/VODA!$F$24)-1</f>
        <v>4.9404279447750277E-2</v>
      </c>
      <c r="M342" s="45">
        <f>VODA!$H$24</f>
        <v>3.8546957924480596E-2</v>
      </c>
      <c r="N342" s="56"/>
      <c r="O342" s="45">
        <f>(VODA!$D$25/VODA!$C$25)-1</f>
        <v>0.27776406254128627</v>
      </c>
      <c r="P342" s="45">
        <f>(VODA!$E$25/VODA!$D$25)-1</f>
        <v>-6.0214293028735377E-2</v>
      </c>
      <c r="Q342" s="45">
        <f>(VODA!$F$25/VODA!$E$25)-1</f>
        <v>0.10101782777584178</v>
      </c>
      <c r="R342" s="45">
        <f>(VODA!$G$25/VODA!$F$25)-1</f>
        <v>5.3390500439113753E-2</v>
      </c>
      <c r="S342" s="45">
        <f>VODA!$H$25</f>
        <v>2.9131476324875338E-2</v>
      </c>
      <c r="T342" s="46"/>
      <c r="U342" s="48" t="str">
        <f t="shared" si="51"/>
        <v>ZAR 95.8</v>
      </c>
      <c r="V342" s="44" t="str">
        <f t="shared" si="51"/>
        <v>Vodacom</v>
      </c>
      <c r="Z342" s="46"/>
      <c r="AE342" s="41"/>
      <c r="AF342" s="31"/>
      <c r="AG342" s="31"/>
      <c r="AI342" s="41"/>
      <c r="AJ342" s="64"/>
      <c r="AK342" s="64"/>
      <c r="AM342" s="41"/>
      <c r="AN342" s="64"/>
      <c r="AO342" s="64"/>
      <c r="AQ342" s="41"/>
      <c r="AR342" s="64"/>
      <c r="AS342" s="64"/>
    </row>
    <row r="343" spans="1:45" s="5" customFormat="1">
      <c r="A343" s="39"/>
      <c r="B343" s="42"/>
      <c r="C343" s="51" t="str">
        <f>C281</f>
        <v>Agg. EMEA Cellular</v>
      </c>
      <c r="D343" s="52"/>
      <c r="E343" s="52"/>
      <c r="F343" s="53"/>
      <c r="G343" s="52"/>
      <c r="H343" s="46"/>
      <c r="I343" s="55">
        <f>('EMEA CELLULAR'!$D$24/'EMEA CELLULAR'!$C$24)-1</f>
        <v>3.9338146495137671E-2</v>
      </c>
      <c r="J343" s="55">
        <f>('EMEA CELLULAR'!$E$24/'EMEA CELLULAR'!$D$24)-1</f>
        <v>-2.9458840629030481E-2</v>
      </c>
      <c r="K343" s="55">
        <f>('EMEA CELLULAR'!$F$24/'EMEA CELLULAR'!$E$24)-1</f>
        <v>9.1948648108437503E-2</v>
      </c>
      <c r="L343" s="55">
        <f>('EMEA CELLULAR'!$G$24/'EMEA CELLULAR'!$F$24)-1</f>
        <v>7.0322087998061278E-2</v>
      </c>
      <c r="M343" s="55">
        <f>'EMEA CELLULAR'!$H$24</f>
        <v>4.2902128020809061E-2</v>
      </c>
      <c r="N343" s="56"/>
      <c r="O343" s="55">
        <f>('EMEA CELLULAR'!$D$25/'EMEA CELLULAR'!$C$25)-1</f>
        <v>4.2295313316027539E-2</v>
      </c>
      <c r="P343" s="55">
        <f>('EMEA CELLULAR'!$E$25/'EMEA CELLULAR'!$D$25)-1</f>
        <v>-2.0017400052474543E-2</v>
      </c>
      <c r="Q343" s="55">
        <f>('EMEA CELLULAR'!$F$25/'EMEA CELLULAR'!$E$25)-1</f>
        <v>0.15231343834080779</v>
      </c>
      <c r="R343" s="55">
        <f>('EMEA CELLULAR'!$G$25/'EMEA CELLULAR'!$F$25)-1</f>
        <v>0.11022286419854721</v>
      </c>
      <c r="S343" s="55">
        <f>'EMEA CELLULAR'!$H$25</f>
        <v>7.8283731285485381E-2</v>
      </c>
      <c r="T343" s="46"/>
      <c r="U343" s="57"/>
      <c r="V343" s="58" t="str">
        <f>V281</f>
        <v>Agg. EMEA Cellular</v>
      </c>
      <c r="Z343" s="46"/>
      <c r="AE343" s="41"/>
      <c r="AF343" s="31"/>
      <c r="AG343" s="31"/>
      <c r="AI343" s="41"/>
      <c r="AJ343" s="64"/>
      <c r="AK343" s="64"/>
      <c r="AM343" s="41"/>
      <c r="AN343" s="64"/>
      <c r="AO343" s="64"/>
      <c r="AQ343" s="41"/>
      <c r="AR343" s="64"/>
      <c r="AS343" s="64"/>
    </row>
    <row r="344" spans="1:45" s="5" customFormat="1">
      <c r="B344" s="42"/>
      <c r="C344" s="43"/>
      <c r="D344" s="44"/>
      <c r="E344" s="44"/>
      <c r="F344" s="45"/>
      <c r="G344" s="44"/>
      <c r="H344" s="46"/>
      <c r="I344" s="45"/>
      <c r="J344" s="45"/>
      <c r="K344" s="45"/>
      <c r="L344" s="45"/>
      <c r="M344" s="45"/>
      <c r="N344" s="56"/>
      <c r="O344" s="45"/>
      <c r="P344" s="45"/>
      <c r="Q344" s="45"/>
      <c r="R344" s="45"/>
      <c r="S344" s="45"/>
      <c r="T344" s="46"/>
      <c r="U344" s="48"/>
      <c r="V344" s="50"/>
      <c r="Z344" s="46"/>
      <c r="AE344" s="41"/>
      <c r="AF344" s="31"/>
      <c r="AG344" s="31"/>
      <c r="AI344" s="41"/>
      <c r="AJ344" s="64"/>
      <c r="AK344" s="64"/>
      <c r="AM344" s="41"/>
      <c r="AN344" s="64"/>
      <c r="AO344" s="64"/>
      <c r="AQ344" s="41"/>
      <c r="AR344" s="64"/>
      <c r="AS344" s="64"/>
    </row>
    <row r="345" spans="1:45" s="5" customFormat="1">
      <c r="B345" s="42"/>
      <c r="C345" s="48" t="str">
        <f t="shared" ref="C345:G347" si="52">C283</f>
        <v>Entel</v>
      </c>
      <c r="D345" s="44" t="str">
        <f t="shared" si="52"/>
        <v>CLP 3,022</v>
      </c>
      <c r="E345" s="44" t="str">
        <f t="shared" si="52"/>
        <v>CLP 3,150</v>
      </c>
      <c r="F345" s="45">
        <f t="shared" si="52"/>
        <v>4.2356055592323028E-2</v>
      </c>
      <c r="G345" s="44" t="str">
        <f t="shared" si="52"/>
        <v>Neutral</v>
      </c>
      <c r="H345" s="46"/>
      <c r="I345" s="169">
        <f>(ENTEL!$D$24/ENTEL!$C$24)-1</f>
        <v>7.364900897522042E-2</v>
      </c>
      <c r="J345" s="169">
        <f>(ENTEL!$E$24/ENTEL!$D$24)-1</f>
        <v>6.4340300744376799E-2</v>
      </c>
      <c r="K345" s="169">
        <f>(ENTEL!$F$24/ENTEL!$E$24)-1</f>
        <v>6.3104409690005081E-2</v>
      </c>
      <c r="L345" s="169">
        <f>(ENTEL!$G$24/ENTEL!$F$24)-1</f>
        <v>6.1183280934368423E-2</v>
      </c>
      <c r="M345" s="45">
        <f>ENTEL!$H$24</f>
        <v>6.28752032525417E-2</v>
      </c>
      <c r="N345" s="56"/>
      <c r="O345" s="169">
        <f>(ENTEL!$D$25/ENTEL!$C$25)-1</f>
        <v>0.29953817072939803</v>
      </c>
      <c r="P345" s="169">
        <f>(ENTEL!$E$25/ENTEL!$D$25)-1</f>
        <v>0.16195807820664454</v>
      </c>
      <c r="Q345" s="169">
        <f>(ENTEL!$F$25/ENTEL!$E$25)-1</f>
        <v>0.15921898454988836</v>
      </c>
      <c r="R345" s="169">
        <f>(ENTEL!$G$25/ENTEL!$F$25)-1</f>
        <v>0.11310667973633026</v>
      </c>
      <c r="S345" s="169">
        <f>ENTEL!$H$25</f>
        <v>0.1445398311886632</v>
      </c>
      <c r="T345" s="46"/>
      <c r="U345" s="48" t="str">
        <f t="shared" ref="U345:V347" si="53">U283</f>
        <v>CLP 3,022</v>
      </c>
      <c r="V345" s="44" t="str">
        <f t="shared" si="53"/>
        <v>Entel</v>
      </c>
      <c r="Z345" s="46"/>
      <c r="AE345" s="41"/>
      <c r="AF345" s="31"/>
      <c r="AG345" s="31"/>
      <c r="AI345" s="41"/>
      <c r="AJ345" s="64"/>
      <c r="AK345" s="64"/>
      <c r="AM345" s="41"/>
      <c r="AN345" s="64"/>
      <c r="AO345" s="64"/>
      <c r="AQ345" s="41"/>
      <c r="AR345" s="64"/>
      <c r="AS345" s="64"/>
    </row>
    <row r="346" spans="1:45" s="5" customFormat="1">
      <c r="B346" s="42"/>
      <c r="C346" s="48" t="str">
        <f t="shared" si="52"/>
        <v>Millicom</v>
      </c>
      <c r="D346" s="44" t="str">
        <f t="shared" si="52"/>
        <v>USD  24.1</v>
      </c>
      <c r="E346" s="44" t="str">
        <f t="shared" si="52"/>
        <v>USD 18.0</v>
      </c>
      <c r="F346" s="45">
        <f t="shared" si="52"/>
        <v>-0.25280199252801994</v>
      </c>
      <c r="G346" s="44" t="str">
        <f t="shared" si="52"/>
        <v>Neutral</v>
      </c>
      <c r="H346" s="46"/>
      <c r="I346" s="169">
        <f>(MILLI!$D$24/MILLI!$C$24)-1</f>
        <v>-3.5703277173319892E-2</v>
      </c>
      <c r="J346" s="169">
        <f>(MILLI!$E$24/MILLI!$D$24)-1</f>
        <v>1.3473194189742799E-2</v>
      </c>
      <c r="K346" s="169">
        <f>(MILLI!$F$24/MILLI!$E$24)-1</f>
        <v>3.0898503686831003E-2</v>
      </c>
      <c r="L346" s="169">
        <f>(MILLI!$G$24/MILLI!$F$24)-1</f>
        <v>3.5076597094688466E-2</v>
      </c>
      <c r="M346" s="45">
        <f>MILLI!$H$24</f>
        <v>2.6439969252693762E-2</v>
      </c>
      <c r="N346" s="56"/>
      <c r="O346" s="169">
        <f>(MILLI!$D$25/MILLI!$C$25)-1</f>
        <v>2.3429387186608475E-2</v>
      </c>
      <c r="P346" s="169">
        <f>(MILLI!$E$25/MILLI!$D$25)-1</f>
        <v>3.0796932597046522E-2</v>
      </c>
      <c r="Q346" s="169">
        <f>(MILLI!$F$25/MILLI!$E$25)-1</f>
        <v>5.0928837146379857E-2</v>
      </c>
      <c r="R346" s="169">
        <f>(MILLI!$G$25/MILLI!$F$25)-1</f>
        <v>4.6205344438754903E-2</v>
      </c>
      <c r="S346" s="169">
        <f>MILLI!$H$25</f>
        <v>4.2608161608423067E-2</v>
      </c>
      <c r="T346" s="46"/>
      <c r="U346" s="48" t="str">
        <f t="shared" si="53"/>
        <v>USD  24.1</v>
      </c>
      <c r="V346" s="44" t="str">
        <f t="shared" si="53"/>
        <v>Millicom</v>
      </c>
      <c r="Z346" s="46"/>
      <c r="AE346" s="41"/>
      <c r="AF346" s="31"/>
      <c r="AG346" s="31"/>
      <c r="AI346" s="41"/>
      <c r="AJ346" s="64"/>
      <c r="AK346" s="64"/>
      <c r="AM346" s="41"/>
      <c r="AN346" s="64"/>
      <c r="AO346" s="64"/>
      <c r="AQ346" s="41"/>
      <c r="AR346" s="64"/>
      <c r="AS346" s="64"/>
    </row>
    <row r="347" spans="1:45" s="5" customFormat="1">
      <c r="B347" s="42"/>
      <c r="C347" s="48" t="str">
        <f t="shared" si="52"/>
        <v>TIM Participacoes</v>
      </c>
      <c r="D347" s="44" t="str">
        <f t="shared" si="52"/>
        <v>BRL 16.42</v>
      </c>
      <c r="E347" s="44" t="str">
        <f t="shared" si="52"/>
        <v>BRL 23.00</v>
      </c>
      <c r="F347" s="45">
        <f t="shared" si="52"/>
        <v>0.40073081607795347</v>
      </c>
      <c r="G347" s="44" t="str">
        <f t="shared" si="52"/>
        <v>Buy</v>
      </c>
      <c r="H347" s="46"/>
      <c r="I347" s="45">
        <f>(TIMP!$D$24/TIMP!$C$24)-1</f>
        <v>0.14628224227761466</v>
      </c>
      <c r="J347" s="45">
        <f>(TIMP!$E$24/TIMP!$D$24)-1</f>
        <v>9.8378839663347595E-2</v>
      </c>
      <c r="K347" s="45">
        <f>(TIMP!$F$24/TIMP!$E$24)-1</f>
        <v>7.7834217194907351E-2</v>
      </c>
      <c r="L347" s="45">
        <f>(TIMP!$G$24/TIMP!$F$24)-1</f>
        <v>3.97234560898303E-2</v>
      </c>
      <c r="M347" s="45">
        <f>TIMP!$H$24</f>
        <v>7.1701870419550895E-2</v>
      </c>
      <c r="N347" s="56"/>
      <c r="O347" s="45">
        <f>(TIMP!$D$25/TIMP!$C$25)-1</f>
        <v>0.306302105116532</v>
      </c>
      <c r="P347" s="45">
        <f>(TIMP!$E$25/TIMP!$D$25)-1</f>
        <v>0.16679749590075055</v>
      </c>
      <c r="Q347" s="45">
        <f>(TIMP!$F$25/TIMP!$E$25)-1</f>
        <v>0.12488138501077861</v>
      </c>
      <c r="R347" s="45">
        <f>(TIMP!$G$25/TIMP!$F$25)-1</f>
        <v>3.9593090698300415E-2</v>
      </c>
      <c r="S347" s="45">
        <f>TIMP!$H$25</f>
        <v>0.10914553252012116</v>
      </c>
      <c r="T347" s="46"/>
      <c r="U347" s="48" t="str">
        <f t="shared" si="53"/>
        <v>BRL 16.42</v>
      </c>
      <c r="V347" s="44" t="str">
        <f t="shared" si="53"/>
        <v>TIM Participacoes</v>
      </c>
      <c r="Z347" s="46"/>
      <c r="AE347" s="41"/>
      <c r="AF347" s="31"/>
      <c r="AG347" s="31"/>
      <c r="AI347" s="41"/>
      <c r="AJ347" s="64"/>
      <c r="AK347" s="64"/>
      <c r="AM347" s="41"/>
      <c r="AN347" s="64"/>
      <c r="AO347" s="64"/>
      <c r="AQ347" s="41"/>
      <c r="AR347" s="64"/>
      <c r="AS347" s="64"/>
    </row>
    <row r="348" spans="1:45" s="5" customFormat="1">
      <c r="B348" s="42"/>
      <c r="C348" s="51" t="str">
        <f>C286</f>
        <v>Agg. LatAm Cellular</v>
      </c>
      <c r="D348" s="52"/>
      <c r="E348" s="52"/>
      <c r="F348" s="53"/>
      <c r="G348" s="52"/>
      <c r="H348" s="46"/>
      <c r="I348" s="55">
        <f>('LATAM CELLULAR'!$D$24/'LATAM CELLULAR'!$C$24)-1</f>
        <v>5.348923087985491E-2</v>
      </c>
      <c r="J348" s="55">
        <f>('LATAM CELLULAR'!$E$24/'LATAM CELLULAR'!$D$24)-1</f>
        <v>5.8221134931873975E-2</v>
      </c>
      <c r="K348" s="55">
        <f>('LATAM CELLULAR'!$F$24/'LATAM CELLULAR'!$E$24)-1</f>
        <v>5.7045674551386982E-2</v>
      </c>
      <c r="L348" s="55">
        <f>('LATAM CELLULAR'!$G$24/'LATAM CELLULAR'!$F$24)-1</f>
        <v>4.1121920720256888E-2</v>
      </c>
      <c r="M348" s="55">
        <f>'LATAM CELLULAR'!$H$24</f>
        <v>5.2100575988367481E-2</v>
      </c>
      <c r="N348" s="56"/>
      <c r="O348" s="55">
        <f>('LATAM CELLULAR'!$D$25/'LATAM CELLULAR'!$C$25)-1</f>
        <v>0.16698187297611233</v>
      </c>
      <c r="P348" s="55">
        <f>('LATAM CELLULAR'!$E$25/'LATAM CELLULAR'!$D$25)-1</f>
        <v>0.10782058144843076</v>
      </c>
      <c r="Q348" s="55">
        <f>('LATAM CELLULAR'!$F$25/'LATAM CELLULAR'!$E$25)-1</f>
        <v>9.8987061266293308E-2</v>
      </c>
      <c r="R348" s="55">
        <f>('LATAM CELLULAR'!$G$25/'LATAM CELLULAR'!$F$25)-1</f>
        <v>5.0465984498650363E-2</v>
      </c>
      <c r="S348" s="55">
        <f>'LATAM CELLULAR'!$H$25</f>
        <v>8.5462108298754558E-2</v>
      </c>
      <c r="T348" s="46"/>
      <c r="U348" s="57"/>
      <c r="V348" s="58" t="str">
        <f>V286</f>
        <v>Agg. LatAm Cellular</v>
      </c>
      <c r="Z348" s="46"/>
      <c r="AE348" s="41"/>
      <c r="AF348" s="31"/>
      <c r="AG348" s="31"/>
      <c r="AI348" s="41"/>
      <c r="AJ348" s="64"/>
      <c r="AK348" s="64"/>
      <c r="AM348" s="41"/>
      <c r="AN348" s="64"/>
      <c r="AO348" s="64"/>
      <c r="AQ348" s="41"/>
      <c r="AR348" s="64"/>
      <c r="AS348" s="64"/>
    </row>
    <row r="349" spans="1:45" s="5" customFormat="1">
      <c r="A349" s="39"/>
      <c r="B349" s="42"/>
      <c r="C349" s="43"/>
      <c r="D349" s="44"/>
      <c r="E349" s="44"/>
      <c r="F349" s="45"/>
      <c r="G349" s="44"/>
      <c r="H349" s="46"/>
      <c r="I349" s="45"/>
      <c r="J349" s="45"/>
      <c r="K349" s="45"/>
      <c r="L349" s="45"/>
      <c r="M349" s="45"/>
      <c r="N349" s="46"/>
      <c r="O349" s="45"/>
      <c r="P349" s="45"/>
      <c r="Q349" s="45"/>
      <c r="R349" s="45"/>
      <c r="S349" s="45"/>
      <c r="T349" s="46"/>
      <c r="U349" s="48"/>
      <c r="V349" s="50"/>
      <c r="Z349" s="46"/>
      <c r="AE349" s="41"/>
      <c r="AF349" s="31"/>
      <c r="AG349" s="31"/>
      <c r="AI349" s="41"/>
      <c r="AJ349" s="64"/>
      <c r="AK349" s="64"/>
      <c r="AM349" s="41"/>
      <c r="AN349" s="64"/>
      <c r="AO349" s="64"/>
      <c r="AQ349" s="41"/>
      <c r="AR349" s="64"/>
      <c r="AS349" s="64"/>
    </row>
    <row r="350" spans="1:45" s="5" customFormat="1">
      <c r="B350" s="42"/>
      <c r="C350" s="48" t="str">
        <f t="shared" ref="C350:G363" si="54">C288</f>
        <v>AIS</v>
      </c>
      <c r="D350" s="44" t="str">
        <f t="shared" si="54"/>
        <v>THB 207.0</v>
      </c>
      <c r="E350" s="44" t="str">
        <f t="shared" si="54"/>
        <v>THB 300.0</v>
      </c>
      <c r="F350" s="45">
        <f t="shared" si="54"/>
        <v>0.44927536231884058</v>
      </c>
      <c r="G350" s="44" t="str">
        <f t="shared" si="54"/>
        <v>Buy</v>
      </c>
      <c r="H350" s="46"/>
      <c r="I350" s="45">
        <f>(ADVANCED!$D$24/ADVANCED!$C$24)-1</f>
        <v>4.0797672526223128E-2</v>
      </c>
      <c r="J350" s="45">
        <f>(ADVANCED!$E$24/ADVANCED!$D$24)-1</f>
        <v>0.16353816911672814</v>
      </c>
      <c r="K350" s="45">
        <f>(ADVANCED!$F$24/ADVANCED!$E$24)-1</f>
        <v>6.5480071736264023E-2</v>
      </c>
      <c r="L350" s="45">
        <f>(ADVANCED!$G$24/ADVANCED!$F$24)-1</f>
        <v>3.3989579436563888E-2</v>
      </c>
      <c r="M350" s="45">
        <f>ADVANCED!$H$24</f>
        <v>8.6293987917293702E-2</v>
      </c>
      <c r="N350" s="46"/>
      <c r="O350" s="45">
        <f>(ADVANCED!$D$25/ADVANCED!$C$25)-1</f>
        <v>-2.1029012732206254E-2</v>
      </c>
      <c r="P350" s="45">
        <f>(ADVANCED!$E$25/ADVANCED!$D$25)-1</f>
        <v>0.46830699125131958</v>
      </c>
      <c r="Q350" s="45">
        <f>(ADVANCED!$F$25/ADVANCED!$E$25)-1</f>
        <v>8.6081075889366199E-2</v>
      </c>
      <c r="R350" s="45">
        <f>(ADVANCED!$G$25/ADVANCED!$F$25)-1</f>
        <v>1.0907403799276238E-3</v>
      </c>
      <c r="S350" s="45">
        <f>ADVANCED!$H$25</f>
        <v>0.16873895371596181</v>
      </c>
      <c r="T350" s="46"/>
      <c r="U350" s="48" t="str">
        <f t="shared" ref="U350:V363" si="55">U288</f>
        <v>THB 207.0</v>
      </c>
      <c r="V350" s="44" t="str">
        <f t="shared" si="55"/>
        <v>AIS</v>
      </c>
      <c r="Z350" s="46"/>
      <c r="AE350" s="41"/>
      <c r="AF350" s="31"/>
      <c r="AG350" s="31"/>
      <c r="AI350" s="41"/>
      <c r="AJ350" s="64"/>
      <c r="AK350" s="64"/>
      <c r="AM350" s="41"/>
      <c r="AN350" s="64"/>
      <c r="AO350" s="64"/>
      <c r="AQ350" s="41"/>
      <c r="AR350" s="64"/>
      <c r="AS350" s="64"/>
    </row>
    <row r="351" spans="1:45" s="5" customFormat="1">
      <c r="A351" s="39"/>
      <c r="B351" s="42"/>
      <c r="C351" s="48" t="str">
        <f t="shared" si="54"/>
        <v>Axiata</v>
      </c>
      <c r="D351" s="44" t="str">
        <f t="shared" si="54"/>
        <v>MYR 2.87</v>
      </c>
      <c r="E351" s="44" t="str">
        <f t="shared" si="54"/>
        <v>MYR 4.50</v>
      </c>
      <c r="F351" s="45">
        <f t="shared" si="54"/>
        <v>0.56794425087108014</v>
      </c>
      <c r="G351" s="44" t="str">
        <f t="shared" si="54"/>
        <v>Buy</v>
      </c>
      <c r="H351" s="46"/>
      <c r="I351" s="45">
        <f>(AXI!$D$24/AXI!$C$24)-1</f>
        <v>-0.10829120322819474</v>
      </c>
      <c r="J351" s="45">
        <f>(AXI!$E$24/AXI!$D$24)-1</f>
        <v>4.6618579869265098E-2</v>
      </c>
      <c r="K351" s="45">
        <f>(AXI!$F$24/AXI!$E$24)-1</f>
        <v>6.7245091502968091E-2</v>
      </c>
      <c r="L351" s="45">
        <f>(AXI!$G$24/AXI!$F$24)-1</f>
        <v>5.5962285250463095E-2</v>
      </c>
      <c r="M351" s="45">
        <f>AXI!$H$24</f>
        <v>5.6575017875276856E-2</v>
      </c>
      <c r="N351" s="46"/>
      <c r="O351" s="45">
        <f>(AXI!$D$25/AXI!$C$25)-1</f>
        <v>-0.18046639436118039</v>
      </c>
      <c r="P351" s="45">
        <f>(AXI!$E$25/AXI!$D$25)-1</f>
        <v>4.0007675896565065E-2</v>
      </c>
      <c r="Q351" s="45">
        <f>(AXI!$F$25/AXI!$E$25)-1</f>
        <v>7.7451892463809013E-3</v>
      </c>
      <c r="R351" s="45">
        <f>(AXI!$G$25/AXI!$F$25)-1</f>
        <v>6.9599720272357946E-2</v>
      </c>
      <c r="S351" s="45">
        <f>AXI!$H$25</f>
        <v>3.8810154632409111E-2</v>
      </c>
      <c r="T351" s="46"/>
      <c r="U351" s="48" t="str">
        <f t="shared" si="55"/>
        <v>MYR 2.87</v>
      </c>
      <c r="V351" s="44" t="str">
        <f t="shared" si="55"/>
        <v>Axiata</v>
      </c>
      <c r="Z351" s="46"/>
      <c r="AE351" s="41"/>
      <c r="AF351" s="31"/>
      <c r="AG351" s="31"/>
      <c r="AI351" s="41"/>
      <c r="AJ351" s="64"/>
      <c r="AK351" s="64"/>
      <c r="AM351" s="41"/>
      <c r="AN351" s="64"/>
      <c r="AO351" s="64"/>
      <c r="AQ351" s="41"/>
      <c r="AR351" s="64"/>
      <c r="AS351" s="64"/>
    </row>
    <row r="352" spans="1:45" s="5" customFormat="1">
      <c r="A352" s="39"/>
      <c r="B352" s="42"/>
      <c r="C352" s="48" t="str">
        <f t="shared" si="54"/>
        <v>Bharti Airtel</v>
      </c>
      <c r="D352" s="44" t="str">
        <f t="shared" si="54"/>
        <v>INR 1389</v>
      </c>
      <c r="E352" s="44" t="str">
        <f t="shared" si="54"/>
        <v>INR 1500</v>
      </c>
      <c r="F352" s="45">
        <f t="shared" si="54"/>
        <v>8.0224686734840844E-2</v>
      </c>
      <c r="G352" s="44" t="str">
        <f t="shared" si="54"/>
        <v>Buy</v>
      </c>
      <c r="H352" s="46"/>
      <c r="I352" s="45">
        <f>(BHART!$D$24/BHART!$C$24)-1</f>
        <v>0.10194410609936866</v>
      </c>
      <c r="J352" s="45">
        <f>(BHART!$E$24/BHART!$D$24)-1</f>
        <v>0.14281163728266755</v>
      </c>
      <c r="K352" s="45">
        <f>(BHART!$F$24/BHART!$E$24)-1</f>
        <v>0.16760102117965414</v>
      </c>
      <c r="L352" s="45">
        <f>(BHART!$G$24/BHART!$F$24)-1</f>
        <v>0.14863378402984218</v>
      </c>
      <c r="M352" s="45">
        <f>BHART!$H$24</f>
        <v>0.15296706595857801</v>
      </c>
      <c r="N352" s="46"/>
      <c r="O352" s="45">
        <f>(BHART!$D$25/BHART!$C$25)-1</f>
        <v>4.9718957901903948E-2</v>
      </c>
      <c r="P352" s="45">
        <f>(BHART!$E$25/BHART!$D$25)-1</f>
        <v>0.33807229877093903</v>
      </c>
      <c r="Q352" s="45">
        <f>(BHART!$F$25/BHART!$E$25)-1</f>
        <v>0.27609779482467722</v>
      </c>
      <c r="R352" s="45">
        <f>(BHART!$G$25/BHART!$F$25)-1</f>
        <v>0.23969298470881717</v>
      </c>
      <c r="S352" s="45">
        <f>BHART!$H$25</f>
        <v>0.28398286260087913</v>
      </c>
      <c r="T352" s="46"/>
      <c r="U352" s="48" t="str">
        <f t="shared" si="55"/>
        <v>INR 1389</v>
      </c>
      <c r="V352" s="44" t="str">
        <f t="shared" si="55"/>
        <v>Bharti Airtel</v>
      </c>
      <c r="Z352" s="46"/>
      <c r="AE352" s="41"/>
      <c r="AF352" s="31"/>
      <c r="AG352" s="31"/>
      <c r="AI352" s="41"/>
      <c r="AJ352" s="64"/>
      <c r="AK352" s="64"/>
      <c r="AM352" s="41"/>
      <c r="AN352" s="64"/>
      <c r="AO352" s="64"/>
      <c r="AQ352" s="41"/>
      <c r="AR352" s="64"/>
      <c r="AS352" s="64"/>
    </row>
    <row r="353" spans="1:45" s="5" customFormat="1">
      <c r="B353" s="42"/>
      <c r="C353" s="48" t="str">
        <f t="shared" si="54"/>
        <v>China Mobile</v>
      </c>
      <c r="D353" s="44" t="str">
        <f t="shared" si="54"/>
        <v>HKD 73.2</v>
      </c>
      <c r="E353" s="44" t="str">
        <f t="shared" si="54"/>
        <v>HKD 115.0</v>
      </c>
      <c r="F353" s="45">
        <f t="shared" si="54"/>
        <v>0.57103825136612008</v>
      </c>
      <c r="G353" s="44" t="str">
        <f t="shared" si="54"/>
        <v>Buy</v>
      </c>
      <c r="H353" s="46"/>
      <c r="I353" s="45">
        <f>(_CM!$D$24/_CM!$C$24)-1</f>
        <v>3.7372104892215763E-2</v>
      </c>
      <c r="J353" s="45">
        <f>(_CM!$E$24/_CM!$D$24)-1</f>
        <v>4.3752824305968163E-2</v>
      </c>
      <c r="K353" s="45">
        <f>(_CM!$F$24/_CM!$E$24)-1</f>
        <v>4.1844138895685612E-2</v>
      </c>
      <c r="L353" s="45">
        <f>(_CM!$G$24/_CM!$F$24)-1</f>
        <v>3.8561905281469855E-2</v>
      </c>
      <c r="M353" s="45">
        <f>_CM!$H$24</f>
        <v>4.1384081993670385E-2</v>
      </c>
      <c r="N353" s="46"/>
      <c r="O353" s="45">
        <f>(_CM!$D$25/_CM!$C$25)-1</f>
        <v>0.11500091286090619</v>
      </c>
      <c r="P353" s="45">
        <f>(_CM!$E$25/_CM!$D$25)-1</f>
        <v>0.10575362707739711</v>
      </c>
      <c r="Q353" s="45">
        <f>(_CM!$F$25/_CM!$E$25)-1</f>
        <v>9.8708244616079854E-2</v>
      </c>
      <c r="R353" s="45">
        <f>(_CM!$G$25/_CM!$F$25)-1</f>
        <v>5.4965334941338817E-2</v>
      </c>
      <c r="S353" s="45">
        <f>_CM!$H$25</f>
        <v>8.6241310160845019E-2</v>
      </c>
      <c r="T353" s="46"/>
      <c r="U353" s="48" t="str">
        <f t="shared" si="55"/>
        <v>HKD 73.2</v>
      </c>
      <c r="V353" s="44" t="str">
        <f t="shared" si="55"/>
        <v>China Mobile</v>
      </c>
      <c r="Z353" s="46"/>
      <c r="AE353" s="41"/>
      <c r="AF353" s="31"/>
      <c r="AG353" s="31"/>
      <c r="AI353" s="41"/>
      <c r="AJ353" s="64"/>
      <c r="AK353" s="64"/>
      <c r="AM353" s="41"/>
      <c r="AN353" s="64"/>
      <c r="AO353" s="64"/>
      <c r="AQ353" s="41"/>
      <c r="AR353" s="64"/>
      <c r="AS353" s="64"/>
    </row>
    <row r="354" spans="1:45" s="5" customFormat="1">
      <c r="B354" s="42"/>
      <c r="C354" s="48" t="str">
        <f t="shared" si="54"/>
        <v>CelcomDigi</v>
      </c>
      <c r="D354" s="44" t="str">
        <f t="shared" si="54"/>
        <v>MYR 4.1</v>
      </c>
      <c r="E354" s="44" t="str">
        <f t="shared" si="54"/>
        <v>MYR 6.0</v>
      </c>
      <c r="F354" s="45">
        <f t="shared" si="54"/>
        <v>0.48148148148148162</v>
      </c>
      <c r="G354" s="44" t="str">
        <f t="shared" si="54"/>
        <v>Buy</v>
      </c>
      <c r="H354" s="46"/>
      <c r="I354" s="45">
        <f>(DIGI!$D$24/DIGI!$C$24)-1</f>
        <v>1.2020930232558142</v>
      </c>
      <c r="J354" s="45">
        <f>(DIGI!$E$24/DIGI!$D$24)-1</f>
        <v>4.3161878018176392E-2</v>
      </c>
      <c r="K354" s="45">
        <f>(DIGI!$F$24/DIGI!$E$24)-1</f>
        <v>3.4755656270931246E-2</v>
      </c>
      <c r="L354" s="45">
        <f>(DIGI!$G$24/DIGI!$F$24)-1</f>
        <v>3.7290365135250525E-2</v>
      </c>
      <c r="M354" s="45">
        <f>DIGI!$H$24</f>
        <v>3.8396670293431745E-2</v>
      </c>
      <c r="N354" s="46"/>
      <c r="O354" s="45">
        <f>(DIGI!$D$25/DIGI!$C$25)-1</f>
        <v>1.1566323529411768</v>
      </c>
      <c r="P354" s="45">
        <f>(DIGI!$E$25/DIGI!$D$25)-1</f>
        <v>-8.6953781303983346E-3</v>
      </c>
      <c r="Q354" s="45">
        <f>(DIGI!$F$25/DIGI!$E$25)-1</f>
        <v>7.1585398874160378E-2</v>
      </c>
      <c r="R354" s="45">
        <f>(DIGI!$G$25/DIGI!$F$25)-1</f>
        <v>7.3048697582496214E-2</v>
      </c>
      <c r="S354" s="45">
        <f>DIGI!$H$25</f>
        <v>4.460263434813605E-2</v>
      </c>
      <c r="T354" s="46"/>
      <c r="U354" s="48" t="str">
        <f t="shared" si="55"/>
        <v>MYR 4.1</v>
      </c>
      <c r="V354" s="44" t="str">
        <f t="shared" si="55"/>
        <v>CelcomDigi</v>
      </c>
      <c r="Z354" s="46"/>
      <c r="AE354" s="41"/>
      <c r="AF354" s="31"/>
      <c r="AG354" s="31"/>
      <c r="AI354" s="41"/>
      <c r="AJ354" s="64"/>
      <c r="AK354" s="64"/>
      <c r="AM354" s="41"/>
      <c r="AN354" s="64"/>
      <c r="AO354" s="64"/>
      <c r="AQ354" s="41"/>
      <c r="AR354" s="64"/>
      <c r="AS354" s="64"/>
    </row>
    <row r="355" spans="1:45" s="5" customFormat="1">
      <c r="B355" s="42"/>
      <c r="C355" s="48" t="str">
        <f t="shared" si="54"/>
        <v>Far EasTone</v>
      </c>
      <c r="D355" s="44" t="str">
        <f t="shared" si="54"/>
        <v>TWD 84.0</v>
      </c>
      <c r="E355" s="44" t="str">
        <f t="shared" si="54"/>
        <v>TWD n/r</v>
      </c>
      <c r="F355" s="45" t="str">
        <f t="shared" si="54"/>
        <v>-</v>
      </c>
      <c r="G355" s="44" t="str">
        <f t="shared" si="54"/>
        <v>n/r</v>
      </c>
      <c r="H355" s="46"/>
      <c r="I355" s="45">
        <f>(FAR!$D$24/FAR!$C$24)-1</f>
        <v>1.5021025383199715E-2</v>
      </c>
      <c r="J355" s="45">
        <f>(FAR!$E$24/FAR!$D$24)-1</f>
        <v>1.7935239094289068E-2</v>
      </c>
      <c r="K355" s="45">
        <f>(FAR!$F$24/FAR!$E$24)-1</f>
        <v>1.8163215818177036E-2</v>
      </c>
      <c r="L355" s="45">
        <f>(FAR!$G$24/FAR!$F$24)-1</f>
        <v>1.8389424688877831E-2</v>
      </c>
      <c r="M355" s="45">
        <f>FAR!$H$24</f>
        <v>1.8162609649959416E-2</v>
      </c>
      <c r="N355" s="46"/>
      <c r="O355" s="45">
        <f>(FAR!$D$25/FAR!$C$25)-1</f>
        <v>0.10322824457088675</v>
      </c>
      <c r="P355" s="45">
        <f>(FAR!$E$25/FAR!$D$25)-1</f>
        <v>3.5950210543163719E-2</v>
      </c>
      <c r="Q355" s="45">
        <f>(FAR!$F$25/FAR!$E$25)-1</f>
        <v>1.4742799333389511E-2</v>
      </c>
      <c r="R355" s="45">
        <f>(FAR!$G$25/FAR!$F$25)-1</f>
        <v>1.4846339482126325E-2</v>
      </c>
      <c r="S355" s="45">
        <f>FAR!$H$25</f>
        <v>2.1798004661201187E-2</v>
      </c>
      <c r="T355" s="46"/>
      <c r="U355" s="48" t="str">
        <f t="shared" si="55"/>
        <v>TWD 84.0</v>
      </c>
      <c r="V355" s="44" t="str">
        <f t="shared" si="55"/>
        <v>Far EasTone</v>
      </c>
      <c r="Z355" s="46"/>
      <c r="AE355" s="41"/>
      <c r="AF355" s="31"/>
      <c r="AG355" s="31"/>
      <c r="AI355" s="41"/>
      <c r="AJ355" s="64"/>
      <c r="AK355" s="64"/>
      <c r="AM355" s="41"/>
      <c r="AN355" s="64"/>
      <c r="AO355" s="64"/>
      <c r="AQ355" s="41"/>
      <c r="AR355" s="64"/>
      <c r="AS355" s="64"/>
    </row>
    <row r="356" spans="1:45" s="5" customFormat="1">
      <c r="B356" s="42"/>
      <c r="C356" s="48" t="str">
        <f t="shared" si="54"/>
        <v>Vodafone IDEA</v>
      </c>
      <c r="D356" s="44" t="str">
        <f t="shared" si="54"/>
        <v>INR 15.1</v>
      </c>
      <c r="E356" s="44" t="str">
        <f t="shared" si="54"/>
        <v>INR 5.0</v>
      </c>
      <c r="F356" s="45">
        <f t="shared" si="54"/>
        <v>-0.66909331568497676</v>
      </c>
      <c r="G356" s="44" t="str">
        <f t="shared" si="54"/>
        <v>Reduce</v>
      </c>
      <c r="H356" s="46"/>
      <c r="I356" s="45">
        <f>(IDEA!$D$24/IDEA!$C$24)-1</f>
        <v>1.8374264137480001E-2</v>
      </c>
      <c r="J356" s="45">
        <f>(IDEA!$E$24/IDEA!$D$24)-1</f>
        <v>0.10687404580828241</v>
      </c>
      <c r="K356" s="45">
        <f>(IDEA!$F$24/IDEA!$E$24)-1</f>
        <v>0.17612854514668363</v>
      </c>
      <c r="L356" s="45">
        <f>(IDEA!$G$24/IDEA!$F$24)-1</f>
        <v>0.1138722719082188</v>
      </c>
      <c r="M356" s="45">
        <f>IDEA!$H$24</f>
        <v>0.13186890558136688</v>
      </c>
      <c r="N356" s="46"/>
      <c r="O356" s="45">
        <f>(IDEA!$D$25/IDEA!$C$25)-1</f>
        <v>0.13517128631938768</v>
      </c>
      <c r="P356" s="45">
        <f>(IDEA!$E$25/IDEA!$D$25)-1</f>
        <v>-0.91161567808218558</v>
      </c>
      <c r="Q356" s="45">
        <f>(IDEA!$F$25/IDEA!$E$25)-1</f>
        <v>0.64085287431369253</v>
      </c>
      <c r="R356" s="45">
        <f>(IDEA!$G$25/IDEA!$F$25)-1</f>
        <v>4.9897649825142487</v>
      </c>
      <c r="S356" s="45">
        <f>IDEA!$H$25</f>
        <v>-4.5846561559431231E-2</v>
      </c>
      <c r="T356" s="46"/>
      <c r="U356" s="48" t="str">
        <f t="shared" si="55"/>
        <v>INR 15.1</v>
      </c>
      <c r="V356" s="44" t="str">
        <f t="shared" si="55"/>
        <v>Vodafone IDEA</v>
      </c>
      <c r="Z356" s="46"/>
      <c r="AE356" s="41"/>
      <c r="AF356" s="31"/>
      <c r="AG356" s="31"/>
      <c r="AI356" s="41"/>
      <c r="AJ356" s="64"/>
      <c r="AK356" s="64"/>
      <c r="AM356" s="41"/>
      <c r="AN356" s="64"/>
      <c r="AO356" s="64"/>
      <c r="AQ356" s="41"/>
      <c r="AR356" s="64"/>
      <c r="AS356" s="64"/>
    </row>
    <row r="357" spans="1:45" s="5" customFormat="1">
      <c r="B357" s="42"/>
      <c r="C357" s="48" t="str">
        <f t="shared" si="54"/>
        <v>Indosat</v>
      </c>
      <c r="D357" s="44" t="str">
        <f t="shared" si="54"/>
        <v>IDR 10,075</v>
      </c>
      <c r="E357" s="44" t="str">
        <f t="shared" si="54"/>
        <v>IDR 12,500</v>
      </c>
      <c r="F357" s="45">
        <f t="shared" si="54"/>
        <v>0.2406947890818858</v>
      </c>
      <c r="G357" s="44" t="str">
        <f t="shared" si="54"/>
        <v>Buy</v>
      </c>
      <c r="H357" s="46"/>
      <c r="I357" s="45">
        <f>(INDO!$D$24/INDO!$C$24)-1</f>
        <v>0.22956286793366143</v>
      </c>
      <c r="J357" s="45">
        <f>(INDO!$E$24/INDO!$D$24)-1</f>
        <v>0.15106984826572267</v>
      </c>
      <c r="K357" s="45">
        <f>(INDO!$F$24/INDO!$E$24)-1</f>
        <v>0.10245425787338758</v>
      </c>
      <c r="L357" s="45">
        <f>(INDO!$G$24/INDO!$F$24)-1</f>
        <v>9.9805456424789218E-2</v>
      </c>
      <c r="M357" s="45">
        <f>INDO!$H$24</f>
        <v>0.11753047636265901</v>
      </c>
      <c r="N357" s="46"/>
      <c r="O357" s="45">
        <f>(INDO!$D$25/INDO!$C$25)-1</f>
        <v>0.49559450131551541</v>
      </c>
      <c r="P357" s="45">
        <f>(INDO!$E$25/INDO!$D$25)-1</f>
        <v>0.37442595634609566</v>
      </c>
      <c r="Q357" s="45">
        <f>(INDO!$F$25/INDO!$E$25)-1</f>
        <v>0.17544041967691637</v>
      </c>
      <c r="R357" s="45">
        <f>(INDO!$G$25/INDO!$F$25)-1</f>
        <v>0.10422886882748683</v>
      </c>
      <c r="S357" s="45">
        <f>INDO!$H$25</f>
        <v>0.21281256776527746</v>
      </c>
      <c r="T357" s="46"/>
      <c r="U357" s="48" t="str">
        <f t="shared" si="55"/>
        <v>IDR 10,075</v>
      </c>
      <c r="V357" s="44" t="str">
        <f t="shared" si="55"/>
        <v>Indosat</v>
      </c>
      <c r="Z357" s="46"/>
      <c r="AE357" s="41"/>
      <c r="AF357" s="31"/>
      <c r="AG357" s="31"/>
      <c r="AI357" s="41"/>
      <c r="AJ357" s="64"/>
      <c r="AK357" s="64"/>
      <c r="AM357" s="41"/>
      <c r="AN357" s="64"/>
      <c r="AO357" s="64"/>
      <c r="AQ357" s="41"/>
      <c r="AR357" s="64"/>
      <c r="AS357" s="64"/>
    </row>
    <row r="358" spans="1:45" s="5" customFormat="1">
      <c r="B358" s="42"/>
      <c r="C358" s="48" t="str">
        <f t="shared" si="54"/>
        <v>LG Uplus</v>
      </c>
      <c r="D358" s="44" t="str">
        <f t="shared" si="54"/>
        <v>KRW 9,770</v>
      </c>
      <c r="E358" s="44" t="str">
        <f t="shared" si="54"/>
        <v>KRW 21,000</v>
      </c>
      <c r="F358" s="45">
        <f t="shared" si="54"/>
        <v>1.1494370522006143</v>
      </c>
      <c r="G358" s="44" t="str">
        <f t="shared" si="54"/>
        <v>Buy</v>
      </c>
      <c r="H358" s="46"/>
      <c r="I358" s="45">
        <f>(_LG!$D$24/_LG!$C$24)-1</f>
        <v>1.0446155588268669E-2</v>
      </c>
      <c r="J358" s="45">
        <f>(_LG!$E$24/_LG!$D$24)-1</f>
        <v>5.2578600009140386E-2</v>
      </c>
      <c r="K358" s="45">
        <f>(_LG!$F$24/_LG!$E$24)-1</f>
        <v>3.8960302871024588E-2</v>
      </c>
      <c r="L358" s="45">
        <f>(_LG!$G$24/_LG!$F$24)-1</f>
        <v>3.4082708623989877E-2</v>
      </c>
      <c r="M358" s="45">
        <f>_LG!$H$24</f>
        <v>4.1844544973138165E-2</v>
      </c>
      <c r="N358" s="46"/>
      <c r="O358" s="45">
        <f>(_LG!$D$25/_LG!$C$25)-1</f>
        <v>-5.125899280575541E-2</v>
      </c>
      <c r="P358" s="45">
        <f>(_LG!$E$25/_LG!$D$25)-1</f>
        <v>0.38613845337253805</v>
      </c>
      <c r="Q358" s="45">
        <f>(_LG!$F$25/_LG!$E$25)-1</f>
        <v>8.4850353232940989E-2</v>
      </c>
      <c r="R358" s="45">
        <f>(_LG!$G$25/_LG!$F$25)-1</f>
        <v>6.9978256995054888E-2</v>
      </c>
      <c r="S358" s="45">
        <f>_LG!$H$25</f>
        <v>0.17179183160426881</v>
      </c>
      <c r="T358" s="46"/>
      <c r="U358" s="48" t="str">
        <f t="shared" si="55"/>
        <v>KRW 9,770</v>
      </c>
      <c r="V358" s="44" t="str">
        <f t="shared" si="55"/>
        <v>LG Uplus</v>
      </c>
      <c r="Z358" s="46"/>
      <c r="AE358" s="41"/>
      <c r="AF358" s="31"/>
      <c r="AG358" s="31"/>
      <c r="AI358" s="41"/>
      <c r="AJ358" s="64"/>
      <c r="AK358" s="64"/>
      <c r="AM358" s="41"/>
      <c r="AN358" s="64"/>
      <c r="AO358" s="64"/>
      <c r="AQ358" s="41"/>
      <c r="AR358" s="64"/>
      <c r="AS358" s="64"/>
    </row>
    <row r="359" spans="1:45" s="5" customFormat="1">
      <c r="A359" s="39"/>
      <c r="B359" s="42"/>
      <c r="C359" s="48" t="str">
        <f t="shared" si="54"/>
        <v>Maxis</v>
      </c>
      <c r="D359" s="44" t="str">
        <f t="shared" si="54"/>
        <v>MYR 3.71</v>
      </c>
      <c r="E359" s="44" t="str">
        <f t="shared" si="54"/>
        <v>MYR 5.60</v>
      </c>
      <c r="F359" s="45">
        <f t="shared" si="54"/>
        <v>0.50943396226415083</v>
      </c>
      <c r="G359" s="44" t="str">
        <f t="shared" si="54"/>
        <v>Buy</v>
      </c>
      <c r="H359" s="46"/>
      <c r="I359" s="45">
        <f>(MAXI!$D$24/MAXI!$C$24)-1</f>
        <v>7.8900483583608239E-3</v>
      </c>
      <c r="J359" s="45">
        <f>(MAXI!$E$24/MAXI!$D$24)-1</f>
        <v>5.3297380531675431E-2</v>
      </c>
      <c r="K359" s="45">
        <f>(MAXI!$F$24/MAXI!$E$24)-1</f>
        <v>3.008258797161889E-2</v>
      </c>
      <c r="L359" s="45">
        <f>(MAXI!$G$24/MAXI!$F$24)-1</f>
        <v>3.2551854512054446E-2</v>
      </c>
      <c r="M359" s="45">
        <f>MAXI!$H$24</f>
        <v>3.8592001793239294E-2</v>
      </c>
      <c r="N359" s="46"/>
      <c r="O359" s="45">
        <f>(MAXI!$D$25/MAXI!$C$25)-1</f>
        <v>0.11793960923623437</v>
      </c>
      <c r="P359" s="45">
        <f>(MAXI!$E$25/MAXI!$D$25)-1</f>
        <v>-4.6111712815054329E-2</v>
      </c>
      <c r="Q359" s="45">
        <f>(MAXI!$F$25/MAXI!$E$25)-1</f>
        <v>3.1710205584707385E-2</v>
      </c>
      <c r="R359" s="45">
        <f>(MAXI!$G$25/MAXI!$F$25)-1</f>
        <v>3.4307085914112134E-2</v>
      </c>
      <c r="S359" s="45">
        <f>MAXI!$H$25</f>
        <v>5.9311284383554153E-3</v>
      </c>
      <c r="T359" s="46"/>
      <c r="U359" s="48" t="str">
        <f t="shared" si="55"/>
        <v>MYR 3.71</v>
      </c>
      <c r="V359" s="44" t="str">
        <f t="shared" si="55"/>
        <v>Maxis</v>
      </c>
      <c r="Z359" s="46"/>
      <c r="AE359" s="41"/>
      <c r="AF359" s="31"/>
      <c r="AG359" s="31"/>
      <c r="AI359" s="41"/>
      <c r="AJ359" s="64"/>
      <c r="AK359" s="64"/>
      <c r="AM359" s="41"/>
      <c r="AN359" s="64"/>
      <c r="AO359" s="64"/>
      <c r="AQ359" s="41"/>
      <c r="AR359" s="64"/>
      <c r="AS359" s="64"/>
    </row>
    <row r="360" spans="1:45" s="5" customFormat="1">
      <c r="B360" s="42"/>
      <c r="C360" s="48" t="str">
        <f t="shared" si="54"/>
        <v>SK Telecom</v>
      </c>
      <c r="D360" s="44" t="str">
        <f t="shared" si="54"/>
        <v>KRW 51,800</v>
      </c>
      <c r="E360" s="44" t="str">
        <f t="shared" si="54"/>
        <v>KRW 116,000</v>
      </c>
      <c r="F360" s="45">
        <f t="shared" si="54"/>
        <v>1.2393822393822393</v>
      </c>
      <c r="G360" s="44" t="str">
        <f t="shared" si="54"/>
        <v>Buy</v>
      </c>
      <c r="H360" s="46"/>
      <c r="I360" s="45">
        <f>(SKT!$D$24/SKT!$C$24)-1</f>
        <v>2.5238138477003957E-2</v>
      </c>
      <c r="J360" s="45">
        <f>(SKT!$E$24/SKT!$D$24)-1</f>
        <v>3.691293808864593E-2</v>
      </c>
      <c r="K360" s="45">
        <f>(SKT!$F$24/SKT!$E$24)-1</f>
        <v>3.905495805058723E-2</v>
      </c>
      <c r="L360" s="45">
        <f>(SKT!$G$24/SKT!$F$24)-1</f>
        <v>3.8779010739542041E-2</v>
      </c>
      <c r="M360" s="45">
        <f>SKT!$H$24</f>
        <v>3.824853286608465E-2</v>
      </c>
      <c r="N360" s="46"/>
      <c r="O360" s="45">
        <f>(SKT!$D$25/SKT!$C$25)-1</f>
        <v>0.1839048706026627</v>
      </c>
      <c r="P360" s="45">
        <f>(SKT!$E$25/SKT!$D$25)-1</f>
        <v>6.5755886450042045E-2</v>
      </c>
      <c r="Q360" s="45">
        <f>(SKT!$F$25/SKT!$E$25)-1</f>
        <v>0.10122165728233989</v>
      </c>
      <c r="R360" s="45">
        <f>(SKT!$G$25/SKT!$F$25)-1</f>
        <v>8.1639089879664839E-2</v>
      </c>
      <c r="S360" s="45">
        <f>SKT!$H$25</f>
        <v>8.2775164891126574E-2</v>
      </c>
      <c r="T360" s="46"/>
      <c r="U360" s="48" t="str">
        <f t="shared" si="55"/>
        <v>KRW 51,800</v>
      </c>
      <c r="V360" s="44" t="str">
        <f t="shared" si="55"/>
        <v>SK Telecom</v>
      </c>
      <c r="Z360" s="46"/>
      <c r="AE360" s="41"/>
      <c r="AF360" s="31"/>
      <c r="AG360" s="31"/>
      <c r="AI360" s="41"/>
      <c r="AJ360" s="64"/>
      <c r="AK360" s="64"/>
      <c r="AM360" s="41"/>
      <c r="AN360" s="64"/>
      <c r="AO360" s="64"/>
      <c r="AQ360" s="41"/>
      <c r="AR360" s="64"/>
      <c r="AS360" s="64"/>
    </row>
    <row r="361" spans="1:45" s="5" customFormat="1">
      <c r="B361" s="42"/>
      <c r="C361" s="48" t="str">
        <f t="shared" si="54"/>
        <v>Taiwan Mobile</v>
      </c>
      <c r="D361" s="44" t="str">
        <f t="shared" si="54"/>
        <v>TWD 106.5</v>
      </c>
      <c r="E361" s="44" t="str">
        <f t="shared" si="54"/>
        <v>TWD n/r</v>
      </c>
      <c r="F361" s="45" t="str">
        <f t="shared" si="54"/>
        <v>-</v>
      </c>
      <c r="G361" s="44" t="str">
        <f t="shared" si="54"/>
        <v>n/r</v>
      </c>
      <c r="H361" s="46"/>
      <c r="I361" s="45">
        <f>(TAIWAN!$D$24/TAIWAN!$C$24)-1</f>
        <v>3.543908952062913E-2</v>
      </c>
      <c r="J361" s="45">
        <f>(TAIWAN!$E$24/TAIWAN!$D$24)-1</f>
        <v>4.4106059248306684E-2</v>
      </c>
      <c r="K361" s="45">
        <f>(TAIWAN!$F$24/TAIWAN!$E$24)-1</f>
        <v>5.0423635448649362E-2</v>
      </c>
      <c r="L361" s="45">
        <f>(TAIWAN!$G$24/TAIWAN!$F$24)-1</f>
        <v>7.676084063793831E-2</v>
      </c>
      <c r="M361" s="45">
        <f>TAIWAN!$H$24</f>
        <v>5.7002752048651795E-2</v>
      </c>
      <c r="N361" s="46"/>
      <c r="O361" s="45">
        <f>(TAIWAN!$D$25/TAIWAN!$C$25)-1</f>
        <v>0.11312584512244528</v>
      </c>
      <c r="P361" s="45">
        <f>(TAIWAN!$E$25/TAIWAN!$D$25)-1</f>
        <v>0.11706368603820927</v>
      </c>
      <c r="Q361" s="45">
        <f>(TAIWAN!$F$25/TAIWAN!$E$25)-1</f>
        <v>2.571990090062215E-2</v>
      </c>
      <c r="R361" s="45">
        <f>(TAIWAN!$G$25/TAIWAN!$F$25)-1</f>
        <v>9.3506245943508315E-2</v>
      </c>
      <c r="S361" s="45">
        <f>TAIWAN!$H$25</f>
        <v>7.8059326725372857E-2</v>
      </c>
      <c r="T361" s="46"/>
      <c r="U361" s="48" t="str">
        <f t="shared" si="55"/>
        <v>TWD 106.5</v>
      </c>
      <c r="V361" s="44" t="str">
        <f t="shared" si="55"/>
        <v>Taiwan Mobile</v>
      </c>
      <c r="Z361" s="46"/>
      <c r="AE361" s="41"/>
      <c r="AF361" s="31"/>
      <c r="AG361" s="31"/>
      <c r="AI361" s="41"/>
      <c r="AJ361" s="64"/>
      <c r="AK361" s="64"/>
      <c r="AM361" s="41"/>
      <c r="AN361" s="64"/>
      <c r="AO361" s="64"/>
      <c r="AQ361" s="41"/>
      <c r="AR361" s="64"/>
      <c r="AS361" s="64"/>
    </row>
    <row r="362" spans="1:45" s="5" customFormat="1">
      <c r="B362" s="42"/>
      <c r="C362" s="48" t="str">
        <f t="shared" si="54"/>
        <v>True Corp</v>
      </c>
      <c r="D362" s="44" t="str">
        <f t="shared" si="54"/>
        <v>THB 8.0</v>
      </c>
      <c r="E362" s="44" t="str">
        <f t="shared" si="54"/>
        <v>THB 15.0</v>
      </c>
      <c r="F362" s="45">
        <f t="shared" si="54"/>
        <v>0.875</v>
      </c>
      <c r="G362" s="44" t="str">
        <f t="shared" si="54"/>
        <v>Buy</v>
      </c>
      <c r="H362" s="46"/>
      <c r="I362" s="45">
        <f>(TRUECORP!$D$24/TRUECORP!$C$24)-1</f>
        <v>0.6236459359139459</v>
      </c>
      <c r="J362" s="45">
        <f>(TRUECORP!$E$24/TRUECORP!$D$24)-1</f>
        <v>0.12684427539278764</v>
      </c>
      <c r="K362" s="45">
        <f>(TRUECORP!$F$24/TRUECORP!$E$24)-1</f>
        <v>0.10220807071912508</v>
      </c>
      <c r="L362" s="45">
        <f>(TRUECORP!$G$24/TRUECORP!$F$24)-1</f>
        <v>9.1361164400110662E-2</v>
      </c>
      <c r="M362" s="45">
        <f>TRUECORP!$H$24</f>
        <v>0.10670531330914002</v>
      </c>
      <c r="N362" s="46"/>
      <c r="O362" s="45">
        <f>(TRUECORP!$D$25/TRUECORP!$C$25)-1</f>
        <v>2.5723312027036958</v>
      </c>
      <c r="P362" s="45">
        <f>(TRUECORP!$E$25/TRUECORP!$D$25)-1</f>
        <v>0.3823847723275311</v>
      </c>
      <c r="Q362" s="45">
        <f>(TRUECORP!$F$25/TRUECORP!$E$25)-1</f>
        <v>0.16413161494256245</v>
      </c>
      <c r="R362" s="45">
        <f>(TRUECORP!$G$25/TRUECORP!$F$25)-1</f>
        <v>0.11179151474764604</v>
      </c>
      <c r="S362" s="45">
        <f>TRUECORP!$H$25</f>
        <v>0.21399843450490885</v>
      </c>
      <c r="T362" s="46"/>
      <c r="U362" s="48" t="str">
        <f t="shared" si="55"/>
        <v>THB 8.0</v>
      </c>
      <c r="V362" s="44" t="str">
        <f t="shared" si="55"/>
        <v>True Corp</v>
      </c>
      <c r="Z362" s="46"/>
      <c r="AE362" s="41"/>
      <c r="AF362" s="31"/>
      <c r="AG362" s="31"/>
      <c r="AI362" s="41"/>
      <c r="AJ362" s="64"/>
      <c r="AK362" s="64"/>
      <c r="AM362" s="41"/>
      <c r="AN362" s="64"/>
      <c r="AO362" s="64"/>
      <c r="AQ362" s="41"/>
      <c r="AR362" s="64"/>
      <c r="AS362" s="64"/>
    </row>
    <row r="363" spans="1:45" s="5" customFormat="1">
      <c r="B363" s="42"/>
      <c r="C363" s="48" t="str">
        <f t="shared" si="54"/>
        <v>XL Axiata</v>
      </c>
      <c r="D363" s="44" t="str">
        <f t="shared" si="54"/>
        <v>IDR 2,470</v>
      </c>
      <c r="E363" s="44" t="str">
        <f t="shared" si="54"/>
        <v>IDR 5,000</v>
      </c>
      <c r="F363" s="45">
        <f t="shared" si="54"/>
        <v>1.0242914979757085</v>
      </c>
      <c r="G363" s="44" t="str">
        <f t="shared" si="54"/>
        <v>Buy</v>
      </c>
      <c r="H363" s="46"/>
      <c r="I363" s="45">
        <f>(XLAX!$D$24/XLAX!$C$24)-1</f>
        <v>0.11591148577449939</v>
      </c>
      <c r="J363" s="45">
        <f>(XLAX!$E$24/XLAX!$D$24)-1</f>
        <v>0.11256988442230886</v>
      </c>
      <c r="K363" s="45">
        <f>(XLAX!$F$24/XLAX!$E$24)-1</f>
        <v>5.0692581442511875E-2</v>
      </c>
      <c r="L363" s="45">
        <f>(XLAX!$G$24/XLAX!$F$24)-1</f>
        <v>4.948562852560312E-2</v>
      </c>
      <c r="M363" s="45">
        <f>XLAX!$H$24</f>
        <v>7.0515978419444014E-2</v>
      </c>
      <c r="N363" s="56"/>
      <c r="O363" s="45">
        <f>(XLAX!$D$25/XLAX!$C$25)-1</f>
        <v>0.68735498839907194</v>
      </c>
      <c r="P363" s="45">
        <f>(XLAX!$E$25/XLAX!$D$25)-1</f>
        <v>8.7170725573129104E-2</v>
      </c>
      <c r="Q363" s="45">
        <f>(XLAX!$F$25/XLAX!$E$25)-1</f>
        <v>9.0973036644460104E-2</v>
      </c>
      <c r="R363" s="45">
        <f>(XLAX!$G$25/XLAX!$F$25)-1</f>
        <v>5.11214182226567E-2</v>
      </c>
      <c r="S363" s="45">
        <f>XLAX!$H$25</f>
        <v>7.6270782791585834E-2</v>
      </c>
      <c r="T363" s="46"/>
      <c r="U363" s="48" t="str">
        <f t="shared" si="55"/>
        <v>IDR 2,470</v>
      </c>
      <c r="V363" s="44" t="str">
        <f t="shared" si="55"/>
        <v>XL Axiata</v>
      </c>
      <c r="Z363" s="46"/>
      <c r="AE363" s="41"/>
      <c r="AF363" s="31"/>
      <c r="AG363" s="31"/>
      <c r="AI363" s="41"/>
      <c r="AJ363" s="64"/>
      <c r="AK363" s="64"/>
      <c r="AM363" s="41"/>
      <c r="AN363" s="64"/>
      <c r="AO363" s="64"/>
      <c r="AQ363" s="41"/>
      <c r="AR363" s="64"/>
      <c r="AS363" s="64"/>
    </row>
    <row r="364" spans="1:45" s="5" customFormat="1">
      <c r="B364" s="42"/>
      <c r="C364" s="51" t="str">
        <f>C302</f>
        <v>Agg. Emerging Asia Cellular</v>
      </c>
      <c r="D364" s="52"/>
      <c r="E364" s="52"/>
      <c r="F364" s="53"/>
      <c r="G364" s="52"/>
      <c r="H364" s="46"/>
      <c r="I364" s="55">
        <f>('EM ASIA CELLULAR'!$D$24/'EM ASIA CELLULAR'!$C$24)-1</f>
        <v>6.2125714975647339E-2</v>
      </c>
      <c r="J364" s="55">
        <f>('EM ASIA CELLULAR'!$E$24/'EM ASIA CELLULAR'!$D$24)-1</f>
        <v>6.6356515955757533E-2</v>
      </c>
      <c r="K364" s="55">
        <f>('EM ASIA CELLULAR'!$F$24/'EM ASIA CELLULAR'!$E$24)-1</f>
        <v>6.5851761275906195E-2</v>
      </c>
      <c r="L364" s="55">
        <f>('EM ASIA CELLULAR'!$G$24/'EM ASIA CELLULAR'!$F$24)-1</f>
        <v>5.9897166276335012E-2</v>
      </c>
      <c r="M364" s="55">
        <f>'EM ASIA CELLULAR'!$H$24</f>
        <v>6.4031099626415955E-2</v>
      </c>
      <c r="N364" s="56"/>
      <c r="O364" s="55">
        <f>('EM ASIA CELLULAR'!$D$25/'EM ASIA CELLULAR'!$C$25)-1</f>
        <v>0.14016743508830998</v>
      </c>
      <c r="P364" s="55">
        <f>('EM ASIA CELLULAR'!$E$25/'EM ASIA CELLULAR'!$D$25)-1</f>
        <v>0.10986013628358982</v>
      </c>
      <c r="Q364" s="55">
        <f>('EM ASIA CELLULAR'!$F$25/'EM ASIA CELLULAR'!$E$25)-1</f>
        <v>0.12294487860012304</v>
      </c>
      <c r="R364" s="55">
        <f>('EM ASIA CELLULAR'!$G$25/'EM ASIA CELLULAR'!$F$25)-1</f>
        <v>0.11302661545051307</v>
      </c>
      <c r="S364" s="55">
        <f>'EM ASIA CELLULAR'!$H$25</f>
        <v>0.11526330676280883</v>
      </c>
      <c r="T364" s="46"/>
      <c r="U364" s="57"/>
      <c r="V364" s="58" t="str">
        <f>V302</f>
        <v>Agg. Emerging Asia Cellular</v>
      </c>
      <c r="Z364" s="46"/>
      <c r="AE364" s="41"/>
      <c r="AF364" s="31"/>
      <c r="AG364" s="31"/>
      <c r="AI364" s="41"/>
      <c r="AJ364" s="64"/>
      <c r="AK364" s="64"/>
      <c r="AM364" s="41"/>
      <c r="AN364" s="64"/>
      <c r="AO364" s="64"/>
      <c r="AQ364" s="41"/>
      <c r="AR364" s="64"/>
      <c r="AS364" s="64"/>
    </row>
    <row r="365" spans="1:45" s="5" customFormat="1">
      <c r="B365" s="42"/>
      <c r="C365" s="43"/>
      <c r="D365" s="44"/>
      <c r="E365" s="44"/>
      <c r="F365" s="68"/>
      <c r="G365" s="44"/>
      <c r="H365" s="46"/>
      <c r="I365" s="61"/>
      <c r="J365" s="61"/>
      <c r="K365" s="61"/>
      <c r="L365" s="61"/>
      <c r="M365" s="61"/>
      <c r="N365" s="46"/>
      <c r="O365" s="61"/>
      <c r="P365" s="61"/>
      <c r="Q365" s="61"/>
      <c r="R365" s="61"/>
      <c r="S365" s="61"/>
      <c r="T365" s="46"/>
      <c r="U365" s="48"/>
      <c r="V365" s="50"/>
      <c r="Z365" s="46"/>
      <c r="AE365" s="41"/>
      <c r="AF365" s="31"/>
      <c r="AG365" s="31"/>
      <c r="AI365" s="41"/>
      <c r="AJ365" s="64"/>
      <c r="AK365" s="64"/>
      <c r="AM365" s="41"/>
      <c r="AN365" s="64"/>
      <c r="AO365" s="64"/>
      <c r="AQ365" s="41"/>
      <c r="AR365" s="64"/>
      <c r="AS365" s="64"/>
    </row>
    <row r="366" spans="1:45" s="5" customFormat="1">
      <c r="B366" s="42"/>
      <c r="C366" s="51" t="str">
        <f>C304</f>
        <v>Agg. Emerging  Cellular</v>
      </c>
      <c r="D366" s="52"/>
      <c r="E366" s="52"/>
      <c r="F366" s="53"/>
      <c r="G366" s="52"/>
      <c r="H366" s="46"/>
      <c r="I366" s="55">
        <f>('EM CELLULAR'!$D$24/'EM CELLULAR'!$C$24)-1</f>
        <v>5.8121661359320509E-2</v>
      </c>
      <c r="J366" s="55">
        <f>('EM CELLULAR'!$E$24/'EM CELLULAR'!$D$24)-1</f>
        <v>5.1264668373250055E-2</v>
      </c>
      <c r="K366" s="55">
        <f>('EM CELLULAR'!$F$24/'EM CELLULAR'!$E$24)-1</f>
        <v>6.9077235274630944E-2</v>
      </c>
      <c r="L366" s="55">
        <f>('EM CELLULAR'!$G$24/'EM CELLULAR'!$F$24)-1</f>
        <v>6.0426693963498757E-2</v>
      </c>
      <c r="M366" s="55">
        <f>'EM CELLULAR'!$H$24</f>
        <v>6.0231249791276253E-2</v>
      </c>
      <c r="N366" s="46"/>
      <c r="O366" s="55">
        <f>('EM CELLULAR'!$D$25/'EM CELLULAR'!$C$25)-1</f>
        <v>0.1255662734261449</v>
      </c>
      <c r="P366" s="55">
        <f>('EM CELLULAR'!$E$25/'EM CELLULAR'!$D$25)-1</f>
        <v>8.9968676343036735E-2</v>
      </c>
      <c r="Q366" s="55">
        <f>('EM CELLULAR'!$F$25/'EM CELLULAR'!$E$25)-1</f>
        <v>0.12556183002422161</v>
      </c>
      <c r="R366" s="55">
        <f>('EM CELLULAR'!$G$25/'EM CELLULAR'!$F$25)-1</f>
        <v>0.10905597382628507</v>
      </c>
      <c r="S366" s="55">
        <f>'EM CELLULAR'!$H$25</f>
        <v>0.10809997877797661</v>
      </c>
      <c r="T366" s="46"/>
      <c r="U366" s="57"/>
      <c r="V366" s="58" t="str">
        <f>V304</f>
        <v>Agg. Emerging  Cellular</v>
      </c>
      <c r="Z366" s="46"/>
      <c r="AE366" s="41"/>
      <c r="AF366" s="31"/>
      <c r="AG366" s="31"/>
      <c r="AI366" s="41"/>
      <c r="AJ366" s="64"/>
      <c r="AK366" s="64"/>
      <c r="AM366" s="41"/>
      <c r="AN366" s="64"/>
      <c r="AO366" s="64"/>
      <c r="AQ366" s="41"/>
      <c r="AR366" s="64"/>
      <c r="AS366" s="64"/>
    </row>
    <row r="367" spans="1:45" s="5" customFormat="1">
      <c r="A367" s="39"/>
      <c r="B367" s="42"/>
      <c r="C367" s="43"/>
      <c r="D367" s="44"/>
      <c r="E367" s="44"/>
      <c r="F367" s="45"/>
      <c r="G367" s="44"/>
      <c r="H367" s="46"/>
      <c r="I367" s="45"/>
      <c r="J367" s="45"/>
      <c r="K367" s="45"/>
      <c r="L367" s="45"/>
      <c r="M367" s="45"/>
      <c r="N367" s="46"/>
      <c r="O367" s="45"/>
      <c r="P367" s="45"/>
      <c r="Q367" s="45"/>
      <c r="R367" s="45"/>
      <c r="S367" s="45"/>
      <c r="T367" s="46"/>
      <c r="U367" s="48"/>
      <c r="V367" s="50"/>
      <c r="Z367" s="46"/>
      <c r="AE367" s="41"/>
      <c r="AF367" s="31"/>
      <c r="AG367" s="31"/>
      <c r="AI367" s="41"/>
      <c r="AJ367" s="64"/>
      <c r="AK367" s="64"/>
      <c r="AM367" s="41"/>
      <c r="AN367" s="64"/>
      <c r="AO367" s="64"/>
      <c r="AQ367" s="41"/>
      <c r="AR367" s="64"/>
      <c r="AS367" s="64"/>
    </row>
    <row r="368" spans="1:45">
      <c r="A368" s="41" t="s">
        <v>508</v>
      </c>
      <c r="B368" s="42" t="s">
        <v>582</v>
      </c>
      <c r="C368" s="48" t="s">
        <v>819</v>
      </c>
      <c r="D368" s="44" t="str">
        <f>'EM Multiples'!B368&amp;TEXT(Prices!C$135,"0.00")</f>
        <v>MXN52.16</v>
      </c>
      <c r="E368" s="44" t="str">
        <f>'EM Multiples'!B368&amp;TEXT(Prices!E$135,"0.00")</f>
        <v>MXN55.00</v>
      </c>
      <c r="F368" s="45">
        <f>Prices!F$135</f>
        <v>5.444785276073616E-2</v>
      </c>
      <c r="G368" s="44" t="str">
        <f>Prices!D$135</f>
        <v>Buy</v>
      </c>
      <c r="H368" s="46"/>
      <c r="I368" s="45">
        <f>(MEGA!$D$24/MEGA!$C$24)-1</f>
        <v>3.5433285095729072E-2</v>
      </c>
      <c r="J368" s="45">
        <f>(MEGA!$E$24/MEGA!$D$24)-1</f>
        <v>8.7780631153970612E-2</v>
      </c>
      <c r="K368" s="45">
        <f>(MEGA!$F$24/MEGA!$E$24)-1</f>
        <v>9.8410254459488922E-2</v>
      </c>
      <c r="L368" s="45">
        <f>(MEGA!$G$24/MEGA!$F$24)-1</f>
        <v>7.494650995074692E-2</v>
      </c>
      <c r="M368" s="45">
        <f>MEGA!$H$24</f>
        <v>8.7003439023187523E-2</v>
      </c>
      <c r="N368" s="46"/>
      <c r="O368" s="45">
        <f>(MEGA!$D$25/MEGA!$C$25)-1</f>
        <v>0.10094877884206288</v>
      </c>
      <c r="P368" s="45">
        <f>(MEGA!$E$25/MEGA!$D$25)-1</f>
        <v>0.51282462863559508</v>
      </c>
      <c r="Q368" s="45">
        <f>(MEGA!$F$25/MEGA!$E$25)-1</f>
        <v>2.0721278394113574</v>
      </c>
      <c r="R368" s="45">
        <f>(MEGA!$G$25/MEGA!$F$25)-1</f>
        <v>0.5558369800522438</v>
      </c>
      <c r="S368" s="45">
        <f>MEGA!$H$25</f>
        <v>0.93373661215068116</v>
      </c>
      <c r="T368" s="46"/>
      <c r="U368" s="48" t="str">
        <f>D368</f>
        <v>MXN52.16</v>
      </c>
      <c r="V368" s="44" t="str">
        <f>C368</f>
        <v>Megacable</v>
      </c>
      <c r="Z368" s="46"/>
      <c r="AE368" s="41"/>
    </row>
    <row r="369" spans="1:69">
      <c r="A369" s="5"/>
      <c r="B369" s="42" t="s">
        <v>411</v>
      </c>
      <c r="C369" s="48" t="s">
        <v>804</v>
      </c>
      <c r="D369" s="44" t="str">
        <f>'EM Multiples'!B369&amp;TEXT(Prices!C$138,"0.00")</f>
        <v>USD8.55</v>
      </c>
      <c r="E369" s="44" t="str">
        <f>'EM Multiples'!B369&amp;TEXT(Prices!E$138,"0.00")</f>
        <v>USD14.00</v>
      </c>
      <c r="F369" s="45">
        <f>Prices!F$138</f>
        <v>0.63742690058479523</v>
      </c>
      <c r="G369" s="44" t="str">
        <f>Prices!D$138</f>
        <v>Buy</v>
      </c>
      <c r="H369" s="46"/>
      <c r="I369" s="45">
        <f>(LiLAC!$D$24/LiLAC!$C$24)-1</f>
        <v>-2.884917412019572E-2</v>
      </c>
      <c r="J369" s="45">
        <f>(LiLAC!$E$24/LiLAC!$D$24)-1</f>
        <v>7.1358022263985799E-2</v>
      </c>
      <c r="K369" s="45">
        <f>(LiLAC!$F$24/LiLAC!$E$24)-1</f>
        <v>3.5342171231292019E-2</v>
      </c>
      <c r="L369" s="45">
        <f>(LiLAC!$G$24/LiLAC!$F$24)-1</f>
        <v>-2.2239982705398731E-3</v>
      </c>
      <c r="M369" s="45">
        <f>LiLAC!$H$24</f>
        <v>3.4388923456728726E-2</v>
      </c>
      <c r="N369" s="46"/>
      <c r="O369" s="45">
        <f>(LiLAC!$D$25/LiLAC!$C$25)-1</f>
        <v>8.4983121266604122E-3</v>
      </c>
      <c r="P369" s="45">
        <f>(LiLAC!$E$25/LiLAC!$D$25)-1</f>
        <v>0.15019427137211272</v>
      </c>
      <c r="Q369" s="45">
        <f>(LiLAC!$F$25/LiLAC!$E$25)-1</f>
        <v>6.9270297782890067E-2</v>
      </c>
      <c r="R369" s="45">
        <f>(LiLAC!$G$25/LiLAC!$F$25)-1</f>
        <v>-4.4944818081710913E-2</v>
      </c>
      <c r="S369" s="45">
        <f>LiLAC!$H$25</f>
        <v>5.5105101534048684E-2</v>
      </c>
      <c r="T369" s="46"/>
      <c r="U369" s="48" t="str">
        <f>D369</f>
        <v>USD8.55</v>
      </c>
      <c r="V369" s="44" t="str">
        <f>C369</f>
        <v>LiLAC</v>
      </c>
      <c r="Z369" s="46"/>
      <c r="AE369" s="41"/>
    </row>
    <row r="370" spans="1:69">
      <c r="A370" s="5"/>
      <c r="C370" s="67" t="s">
        <v>822</v>
      </c>
      <c r="D370" s="52"/>
      <c r="E370" s="52"/>
      <c r="F370" s="53"/>
      <c r="G370" s="52"/>
      <c r="H370" s="46"/>
      <c r="I370" s="55">
        <f>('LATAM ALTNET &amp; CABLE'!$D$24/'LATAM ALTNET &amp; CABLE'!$C$24)-1</f>
        <v>-9.0694623521322404E-3</v>
      </c>
      <c r="J370" s="55">
        <f>('LATAM ALTNET &amp; CABLE'!$E$24/'LATAM ALTNET &amp; CABLE'!$D$24)-1</f>
        <v>7.6638199923825479E-2</v>
      </c>
      <c r="K370" s="55">
        <f>('LATAM ALTNET &amp; CABLE'!$F$24/'LATAM ALTNET &amp; CABLE'!$E$24)-1</f>
        <v>5.5829604592156246E-2</v>
      </c>
      <c r="L370" s="55">
        <f>('LATAM ALTNET &amp; CABLE'!$G$24/'LATAM ALTNET &amp; CABLE'!$F$24)-1</f>
        <v>2.3855547674144217E-2</v>
      </c>
      <c r="M370" s="55">
        <f>'LATAM ALTNET &amp; CABLE'!$H$24</f>
        <v>5.1882999030477217E-2</v>
      </c>
      <c r="N370" s="46"/>
      <c r="O370" s="55">
        <f>('LATAM ALTNET &amp; CABLE'!$D$25/'LATAM ALTNET &amp; CABLE'!$C$25)-1</f>
        <v>1.3885495858295016E-2</v>
      </c>
      <c r="P370" s="55">
        <f>('LATAM ALTNET &amp; CABLE'!$E$25/'LATAM ALTNET &amp; CABLE'!$D$25)-1</f>
        <v>0.17313964010618577</v>
      </c>
      <c r="Q370" s="55">
        <f>('LATAM ALTNET &amp; CABLE'!$F$25/'LATAM ALTNET &amp; CABLE'!$E$25)-1</f>
        <v>0.23269579685724961</v>
      </c>
      <c r="R370" s="55">
        <f>('LATAM ALTNET &amp; CABLE'!$G$25/'LATAM ALTNET &amp; CABLE'!$F$25)-1</f>
        <v>7.7226678775762059E-2</v>
      </c>
      <c r="S370" s="55">
        <f>'LATAM ALTNET &amp; CABLE'!$H$25</f>
        <v>0.15923346120854243</v>
      </c>
      <c r="T370" s="46"/>
      <c r="U370" s="57"/>
      <c r="V370" s="58" t="str">
        <f>C370</f>
        <v>Agg. Emerging LatAm Altnets &amp; Cable</v>
      </c>
      <c r="Z370" s="46"/>
      <c r="AE370" s="41"/>
    </row>
    <row r="371" spans="1:69" s="5" customFormat="1">
      <c r="A371" s="39"/>
      <c r="B371" s="42"/>
      <c r="C371" s="43"/>
      <c r="D371" s="44"/>
      <c r="E371" s="44"/>
      <c r="F371" s="45"/>
      <c r="G371" s="44"/>
      <c r="H371" s="46"/>
      <c r="I371" s="45"/>
      <c r="J371" s="45"/>
      <c r="K371" s="45"/>
      <c r="L371" s="45"/>
      <c r="M371" s="45"/>
      <c r="N371" s="46"/>
      <c r="O371" s="45"/>
      <c r="P371" s="45"/>
      <c r="Q371" s="45"/>
      <c r="R371" s="45"/>
      <c r="S371" s="45"/>
      <c r="T371" s="46"/>
      <c r="U371" s="48"/>
      <c r="V371" s="50"/>
      <c r="Z371" s="46"/>
      <c r="AE371" s="41"/>
      <c r="AF371" s="31"/>
      <c r="AG371" s="31"/>
      <c r="AI371" s="41"/>
      <c r="AJ371" s="64"/>
      <c r="AK371" s="64"/>
      <c r="AM371" s="41"/>
      <c r="AN371" s="64"/>
      <c r="AO371" s="64"/>
      <c r="AQ371" s="41"/>
      <c r="AR371" s="64"/>
      <c r="AS371" s="64"/>
    </row>
    <row r="372" spans="1:69" s="5" customFormat="1">
      <c r="A372" s="39"/>
      <c r="B372" s="42"/>
      <c r="C372" s="67" t="str">
        <f>C310</f>
        <v>Agg. EMEA sector</v>
      </c>
      <c r="D372" s="52"/>
      <c r="E372" s="52"/>
      <c r="F372" s="53"/>
      <c r="G372" s="52"/>
      <c r="H372" s="46"/>
      <c r="I372" s="55">
        <f>('EMEA AGG'!$D$24/'EMEA AGG'!$C$24)-1</f>
        <v>3.6936038497481505E-2</v>
      </c>
      <c r="J372" s="55">
        <f>('EMEA AGG'!$E$24/'EMEA AGG'!$D$24)-1</f>
        <v>-2.8497371575228692E-2</v>
      </c>
      <c r="K372" s="55">
        <f>('EMEA AGG'!$F$24/'EMEA AGG'!$E$24)-1</f>
        <v>8.8065312242852301E-2</v>
      </c>
      <c r="L372" s="55">
        <f>('EMEA AGG'!$G$24/'EMEA AGG'!$F$24)-1</f>
        <v>6.8218698488663243E-2</v>
      </c>
      <c r="M372" s="55">
        <f>'EMEA AGG'!$H$24</f>
        <v>4.1325188452830064E-2</v>
      </c>
      <c r="N372" s="56"/>
      <c r="O372" s="55">
        <f>('EMEA AGG'!$D$25/'EMEA AGG'!$C$25)-1</f>
        <v>4.0703295157600738E-2</v>
      </c>
      <c r="P372" s="55">
        <f>('EMEA AGG'!$E$25/'EMEA AGG'!$D$25)-1</f>
        <v>-1.8855798010295688E-2</v>
      </c>
      <c r="Q372" s="55">
        <f>('EMEA AGG'!$F$25/'EMEA AGG'!$E$25)-1</f>
        <v>0.14565206103862427</v>
      </c>
      <c r="R372" s="55">
        <f>('EMEA AGG'!$G$25/'EMEA AGG'!$F$25)-1</f>
        <v>0.10708863919275013</v>
      </c>
      <c r="S372" s="55">
        <f>'EMEA AGG'!$H$25</f>
        <v>7.5612875377866651E-2</v>
      </c>
      <c r="T372" s="46"/>
      <c r="U372" s="57"/>
      <c r="V372" s="58" t="str">
        <f>V310</f>
        <v>Agg. EMEA sector</v>
      </c>
      <c r="Z372" s="46"/>
      <c r="AE372" s="41"/>
      <c r="AF372" s="31"/>
      <c r="AG372" s="31"/>
      <c r="AI372" s="41"/>
      <c r="AJ372" s="64"/>
      <c r="AK372" s="64"/>
      <c r="AM372" s="41"/>
      <c r="AN372" s="64"/>
      <c r="AO372" s="64"/>
      <c r="AQ372" s="41"/>
      <c r="AR372" s="64"/>
      <c r="AS372" s="64"/>
    </row>
    <row r="373" spans="1:69" s="5" customFormat="1">
      <c r="A373" s="39"/>
      <c r="B373" s="42"/>
      <c r="C373" s="41" t="str">
        <f>C311</f>
        <v>Agg. LatAm sector</v>
      </c>
      <c r="D373" s="44"/>
      <c r="E373" s="44"/>
      <c r="F373" s="45"/>
      <c r="G373" s="44"/>
      <c r="H373" s="46"/>
      <c r="I373" s="59">
        <f>('LATAM AGG'!$D$24/'LATAM AGG'!$C$24)-1</f>
        <v>8.1512770374956522E-2</v>
      </c>
      <c r="J373" s="59">
        <f>('LATAM AGG'!$E$24/'LATAM AGG'!$D$24)-1</f>
        <v>6.511447345384358E-2</v>
      </c>
      <c r="K373" s="59">
        <f>('LATAM AGG'!$F$24/'LATAM AGG'!$E$24)-1</f>
        <v>5.1828072618627097E-2</v>
      </c>
      <c r="L373" s="59">
        <f>('LATAM AGG'!$G$24/'LATAM AGG'!$F$24)-1</f>
        <v>4.0470125771761234E-2</v>
      </c>
      <c r="M373" s="59">
        <f>'LATAM AGG'!$H$24</f>
        <v>5.2422730877842438E-2</v>
      </c>
      <c r="N373" s="56"/>
      <c r="O373" s="59">
        <f>('LATAM AGG'!$D$25/'LATAM AGG'!$C$25)-1</f>
        <v>0.2055145958834641</v>
      </c>
      <c r="P373" s="59">
        <f>('LATAM AGG'!$E$25/'LATAM AGG'!$D$25)-1</f>
        <v>0.17309239530525145</v>
      </c>
      <c r="Q373" s="59">
        <f>('LATAM AGG'!$F$25/'LATAM AGG'!$E$25)-1</f>
        <v>0.12156918336396805</v>
      </c>
      <c r="R373" s="59">
        <f>('LATAM AGG'!$G$25/'LATAM AGG'!$F$25)-1</f>
        <v>8.741709415357124E-2</v>
      </c>
      <c r="S373" s="59">
        <f>'LATAM AGG'!$H$25</f>
        <v>0.1268120459382811</v>
      </c>
      <c r="T373" s="46"/>
      <c r="U373" s="48"/>
      <c r="V373" s="50" t="str">
        <f>V311</f>
        <v>Agg. LatAm sector</v>
      </c>
      <c r="Z373" s="46"/>
      <c r="AE373" s="41"/>
      <c r="AF373" s="31"/>
      <c r="AG373" s="31"/>
      <c r="AI373" s="41"/>
      <c r="AJ373" s="64"/>
      <c r="AK373" s="64"/>
      <c r="AM373" s="41"/>
      <c r="AN373" s="64"/>
      <c r="AO373" s="64"/>
      <c r="AQ373" s="41"/>
      <c r="AR373" s="64"/>
      <c r="AS373" s="64"/>
    </row>
    <row r="374" spans="1:69" s="5" customFormat="1">
      <c r="A374" s="39"/>
      <c r="B374" s="42"/>
      <c r="C374" s="67" t="str">
        <f>C312</f>
        <v>Agg. Emerging Asia sector</v>
      </c>
      <c r="D374" s="52"/>
      <c r="E374" s="52"/>
      <c r="F374" s="53"/>
      <c r="G374" s="52"/>
      <c r="H374" s="46"/>
      <c r="I374" s="55">
        <f>('AGG EM ASIA'!$D$24/'AGG EM ASIA'!$C$24)-1</f>
        <v>4.8010253269088254E-2</v>
      </c>
      <c r="J374" s="55">
        <f>('AGG EM ASIA'!$E$24/'AGG EM ASIA'!$D$24)-1</f>
        <v>5.5903133809944938E-2</v>
      </c>
      <c r="K374" s="55">
        <f>('AGG EM ASIA'!$F$24/'AGG EM ASIA'!$E$24)-1</f>
        <v>5.8345955951246697E-2</v>
      </c>
      <c r="L374" s="55">
        <f>('AGG EM ASIA'!$G$24/'AGG EM ASIA'!$F$24)-1</f>
        <v>5.4411077677175346E-2</v>
      </c>
      <c r="M374" s="55">
        <f>'AGG EM ASIA'!$H$24</f>
        <v>5.6218810807975972E-2</v>
      </c>
      <c r="N374" s="56"/>
      <c r="O374" s="55">
        <f>('AGG EM ASIA'!$D$25/'AGG EM ASIA'!$C$25)-1</f>
        <v>0.11078055596857883</v>
      </c>
      <c r="P374" s="55">
        <f>('AGG EM ASIA'!$E$25/'AGG EM ASIA'!$D$25)-1</f>
        <v>0.13397868775592925</v>
      </c>
      <c r="Q374" s="55">
        <f>('AGG EM ASIA'!$F$25/'AGG EM ASIA'!$E$25)-1</f>
        <v>0.11619224170161457</v>
      </c>
      <c r="R374" s="55">
        <f>('AGG EM ASIA'!$G$25/'AGG EM ASIA'!$F$25)-1</f>
        <v>0.10714950519912381</v>
      </c>
      <c r="S374" s="55">
        <f>'AGG EM ASIA'!$H$25</f>
        <v>0.1190514494363597</v>
      </c>
      <c r="T374" s="46"/>
      <c r="U374" s="57"/>
      <c r="V374" s="58" t="str">
        <f>V312</f>
        <v>Agg. Emerging Asia sector</v>
      </c>
      <c r="Z374" s="46"/>
      <c r="AE374" s="41"/>
      <c r="AF374" s="31"/>
      <c r="AG374" s="31"/>
      <c r="AI374" s="41"/>
      <c r="AJ374" s="64"/>
      <c r="AK374" s="64"/>
      <c r="AM374" s="41"/>
      <c r="AN374" s="64"/>
      <c r="AO374" s="64"/>
      <c r="AQ374" s="41"/>
      <c r="AR374" s="64"/>
      <c r="AS374" s="64"/>
    </row>
    <row r="375" spans="1:69" s="5" customFormat="1">
      <c r="A375" s="39"/>
      <c r="B375" s="42"/>
      <c r="C375" s="41"/>
      <c r="D375" s="44"/>
      <c r="E375" s="44"/>
      <c r="F375" s="45"/>
      <c r="G375" s="44"/>
      <c r="H375" s="46"/>
      <c r="I375" s="59"/>
      <c r="J375" s="59"/>
      <c r="K375" s="59"/>
      <c r="L375" s="59"/>
      <c r="M375" s="59"/>
      <c r="N375" s="56"/>
      <c r="O375" s="59"/>
      <c r="P375" s="59"/>
      <c r="Q375" s="59"/>
      <c r="R375" s="59"/>
      <c r="S375" s="59"/>
      <c r="T375" s="46"/>
      <c r="U375" s="48"/>
      <c r="V375" s="50"/>
      <c r="Z375" s="46"/>
      <c r="AE375" s="41"/>
      <c r="AF375" s="31"/>
      <c r="AG375" s="31"/>
      <c r="AI375" s="41"/>
      <c r="AJ375" s="64"/>
      <c r="AK375" s="64"/>
      <c r="AM375" s="41"/>
      <c r="AN375" s="64"/>
      <c r="AO375" s="64"/>
      <c r="AQ375" s="41"/>
      <c r="AR375" s="64"/>
      <c r="AS375" s="64"/>
    </row>
    <row r="376" spans="1:69" s="5" customFormat="1">
      <c r="A376" s="39"/>
      <c r="B376" s="42"/>
      <c r="C376" s="67" t="str">
        <f>C314</f>
        <v>Agg. Global EM sector (ex-consensus)</v>
      </c>
      <c r="D376" s="52"/>
      <c r="E376" s="52"/>
      <c r="F376" s="53"/>
      <c r="G376" s="52"/>
      <c r="H376" s="46"/>
      <c r="I376" s="55">
        <f>('AGG EM'!$D$24/'AGG EM'!$C$24)-1</f>
        <v>5.3085996913240896E-2</v>
      </c>
      <c r="J376" s="55">
        <f>('AGG EM'!$E$24/'AGG EM'!$D$24)-1</f>
        <v>4.9764735734157295E-2</v>
      </c>
      <c r="K376" s="55">
        <f>('AGG EM'!$F$24/'AGG EM'!$E$24)-1</f>
        <v>5.9668299903272493E-2</v>
      </c>
      <c r="L376" s="55">
        <f>('AGG EM'!$G$24/'AGG EM'!$F$24)-1</f>
        <v>5.2998394042376162E-2</v>
      </c>
      <c r="M376" s="55">
        <f>'AGG EM'!$H$24</f>
        <v>5.4135753422354771E-2</v>
      </c>
      <c r="N376" s="56"/>
      <c r="O376" s="55">
        <f>('AGG EM'!$D$25/'AGG EM'!$C$25)-1</f>
        <v>0.12096523606443954</v>
      </c>
      <c r="P376" s="55">
        <f>('AGG EM'!$E$25/'AGG EM'!$D$25)-1</f>
        <v>0.12628468813820626</v>
      </c>
      <c r="Q376" s="55">
        <f>('AGG EM'!$F$25/'AGG EM'!$E$25)-1</f>
        <v>0.11995855495498953</v>
      </c>
      <c r="R376" s="55">
        <f>('AGG EM'!$G$25/'AGG EM'!$F$25)-1</f>
        <v>0.10295867661208136</v>
      </c>
      <c r="S376" s="55">
        <f>'AGG EM'!$H$25</f>
        <v>0.11635706268692725</v>
      </c>
      <c r="T376" s="46"/>
      <c r="U376" s="57"/>
      <c r="V376" s="58" t="str">
        <f>V314</f>
        <v>Agg. Global EM sector (ex-consensus)</v>
      </c>
      <c r="Z376" s="46"/>
      <c r="AE376" s="41"/>
      <c r="AF376" s="31"/>
      <c r="AG376" s="31"/>
      <c r="AI376" s="41"/>
      <c r="AJ376" s="64"/>
      <c r="AK376" s="64"/>
      <c r="AM376" s="41"/>
      <c r="AN376" s="64"/>
      <c r="AO376" s="64"/>
      <c r="AQ376" s="41"/>
      <c r="AR376" s="64"/>
      <c r="AS376" s="64"/>
    </row>
    <row r="377" spans="1:69" s="5" customFormat="1">
      <c r="A377" s="39"/>
      <c r="B377" s="42"/>
      <c r="C377" s="43"/>
      <c r="D377" s="44"/>
      <c r="E377" s="44"/>
      <c r="F377" s="45"/>
      <c r="G377" s="44"/>
      <c r="H377" s="134"/>
      <c r="I377" s="45"/>
      <c r="J377" s="45"/>
      <c r="K377" s="45"/>
      <c r="L377" s="45"/>
      <c r="M377" s="45"/>
      <c r="N377" s="46"/>
      <c r="O377" s="45"/>
      <c r="P377" s="45"/>
      <c r="Q377" s="45"/>
      <c r="R377" s="45"/>
      <c r="S377" s="45"/>
      <c r="T377" s="46"/>
      <c r="U377" s="48"/>
      <c r="V377" s="50"/>
      <c r="Z377" s="46"/>
      <c r="AE377" s="41"/>
      <c r="AF377" s="31"/>
      <c r="AG377" s="31"/>
      <c r="AI377" s="41"/>
      <c r="AJ377" s="64"/>
      <c r="AK377" s="64"/>
      <c r="AM377" s="41"/>
      <c r="AN377" s="64"/>
      <c r="AO377" s="64"/>
      <c r="AQ377" s="41"/>
      <c r="AR377" s="64"/>
      <c r="AS377" s="64"/>
    </row>
    <row r="378" spans="1:69" s="5" customFormat="1">
      <c r="A378" s="39"/>
      <c r="B378" s="42"/>
      <c r="C378" s="43"/>
      <c r="D378" s="44"/>
      <c r="E378" s="44"/>
      <c r="F378" s="45"/>
      <c r="G378" s="44"/>
      <c r="H378" s="134"/>
      <c r="I378" s="45"/>
      <c r="J378" s="45"/>
      <c r="K378" s="45"/>
      <c r="L378" s="45"/>
      <c r="M378" s="45"/>
      <c r="N378" s="46"/>
      <c r="O378" s="45"/>
      <c r="P378" s="45"/>
      <c r="Q378" s="45"/>
      <c r="R378" s="45"/>
      <c r="S378" s="45"/>
      <c r="T378" s="46"/>
      <c r="U378" s="48"/>
      <c r="V378" s="50"/>
      <c r="Z378" s="46"/>
      <c r="AE378" s="41"/>
      <c r="AF378" s="31"/>
      <c r="AG378" s="31"/>
      <c r="AI378" s="41"/>
      <c r="AJ378" s="139"/>
      <c r="AK378" s="139"/>
      <c r="AM378" s="41"/>
      <c r="AN378" s="139"/>
      <c r="AO378" s="139"/>
      <c r="AQ378" s="41"/>
      <c r="AR378" s="139"/>
      <c r="AS378" s="139"/>
    </row>
    <row r="379" spans="1:69" s="41" customFormat="1">
      <c r="B379" s="147"/>
      <c r="C379" s="164"/>
      <c r="D379" s="165" t="s">
        <v>464</v>
      </c>
      <c r="E379" s="165" t="s">
        <v>57</v>
      </c>
      <c r="F379" s="165" t="s">
        <v>59</v>
      </c>
      <c r="G379" s="165" t="s">
        <v>56</v>
      </c>
      <c r="H379" s="134"/>
      <c r="I379" s="166" t="s">
        <v>468</v>
      </c>
      <c r="J379" s="166"/>
      <c r="K379" s="166"/>
      <c r="L379" s="166"/>
      <c r="M379" s="166"/>
      <c r="N379" s="46"/>
      <c r="O379" s="166" t="s">
        <v>469</v>
      </c>
      <c r="P379" s="166"/>
      <c r="Q379" s="166"/>
      <c r="R379" s="166"/>
      <c r="S379" s="166"/>
      <c r="T379" s="46"/>
      <c r="U379" s="167" t="s">
        <v>464</v>
      </c>
      <c r="V379" s="165"/>
      <c r="Z379" s="49"/>
      <c r="AC379" s="135"/>
      <c r="AD379" s="136"/>
      <c r="AE379" s="136"/>
      <c r="AF379" s="136"/>
      <c r="AG379" s="136"/>
      <c r="AH379" s="136"/>
      <c r="AI379" s="136"/>
      <c r="AJ379" s="136"/>
      <c r="AK379" s="136"/>
      <c r="AL379" s="136"/>
      <c r="AM379" s="136"/>
      <c r="AN379" s="136"/>
      <c r="AO379" s="136"/>
      <c r="AP379" s="136"/>
      <c r="AQ379" s="136"/>
      <c r="AR379" s="136"/>
      <c r="AS379" s="136"/>
      <c r="AT379" s="136"/>
      <c r="AU379" s="136"/>
      <c r="AV379" s="136"/>
      <c r="AW379" s="136"/>
      <c r="BC379" s="137"/>
      <c r="BD379" s="137"/>
      <c r="BE379" s="137"/>
      <c r="BG379" s="137"/>
      <c r="BH379" s="137"/>
      <c r="BI379" s="137"/>
      <c r="BK379" s="137"/>
      <c r="BL379" s="137"/>
      <c r="BM379" s="137"/>
      <c r="BO379" s="137"/>
      <c r="BP379" s="137"/>
      <c r="BQ379" s="137"/>
    </row>
    <row r="380" spans="1:69" s="5" customFormat="1">
      <c r="A380" s="41" t="s">
        <v>506</v>
      </c>
      <c r="B380" s="42"/>
      <c r="C380" s="48" t="str">
        <f>C318</f>
        <v>Telkom SA</v>
      </c>
      <c r="D380" s="44" t="str">
        <f>D318</f>
        <v>ZAR 25.3</v>
      </c>
      <c r="E380" s="44" t="str">
        <f>E318</f>
        <v>ZAR 56.0</v>
      </c>
      <c r="F380" s="45">
        <f>F318</f>
        <v>1.21606648199446</v>
      </c>
      <c r="G380" s="44" t="str">
        <f>G318</f>
        <v>Neutral</v>
      </c>
      <c r="H380" s="134"/>
      <c r="I380" s="45">
        <f>TKG!$D$24/TKG!$D$23</f>
        <v>0.26916798242176188</v>
      </c>
      <c r="J380" s="45">
        <f>TKG!$E$24/TKG!$E$23</f>
        <v>0.26263815509868987</v>
      </c>
      <c r="K380" s="45">
        <f>TKG!$F$24/TKG!$F$23</f>
        <v>0.25918844335639735</v>
      </c>
      <c r="L380" s="45">
        <f>TKG!$G$24/TKG!$G$23</f>
        <v>0.25918844335639735</v>
      </c>
      <c r="M380" s="45">
        <f t="shared" ref="M380" si="56">L380-I380</f>
        <v>-9.9795390653645288E-3</v>
      </c>
      <c r="N380" s="46"/>
      <c r="O380" s="45">
        <f>TKG!$D$25/TKG!$D$23</f>
        <v>0.12177348948550372</v>
      </c>
      <c r="P380" s="45">
        <f>TKG!$E$25/TKG!$E$23</f>
        <v>0.12091280593841618</v>
      </c>
      <c r="Q380" s="45">
        <f>TKG!$F$25/TKG!$F$23</f>
        <v>0.11707984699235033</v>
      </c>
      <c r="R380" s="45">
        <f>TKG!$G$25/TKG!$G$23</f>
        <v>0.11707984699235037</v>
      </c>
      <c r="S380" s="45">
        <f t="shared" ref="S380" si="57">R380-O380</f>
        <v>-4.6936424931533494E-3</v>
      </c>
      <c r="T380" s="46"/>
      <c r="U380" s="48" t="str">
        <f>U318</f>
        <v>ZAR 25.3</v>
      </c>
      <c r="V380" s="44" t="str">
        <f>V318</f>
        <v>Telkom SA</v>
      </c>
      <c r="Z380" s="46"/>
      <c r="AE380" s="41"/>
      <c r="AF380" s="31"/>
      <c r="AG380" s="31"/>
      <c r="AI380" s="41"/>
      <c r="AJ380" s="64"/>
      <c r="AK380" s="64"/>
      <c r="AM380" s="41"/>
      <c r="AN380" s="64"/>
      <c r="AO380" s="64"/>
      <c r="AQ380" s="41"/>
      <c r="AR380" s="64"/>
      <c r="AS380" s="64"/>
    </row>
    <row r="381" spans="1:69" s="5" customFormat="1">
      <c r="B381" s="42"/>
      <c r="C381" s="51" t="str">
        <f>C319</f>
        <v>Agg. EMEA Incumbent</v>
      </c>
      <c r="D381" s="58"/>
      <c r="E381" s="58"/>
      <c r="F381" s="55"/>
      <c r="G381" s="58"/>
      <c r="H381" s="134"/>
      <c r="I381" s="55"/>
      <c r="J381" s="55"/>
      <c r="K381" s="55"/>
      <c r="L381" s="55"/>
      <c r="M381" s="55"/>
      <c r="N381" s="56"/>
      <c r="O381" s="55"/>
      <c r="P381" s="55"/>
      <c r="Q381" s="55"/>
      <c r="R381" s="55"/>
      <c r="S381" s="55"/>
      <c r="T381" s="56"/>
      <c r="U381" s="51"/>
      <c r="V381" s="58" t="str">
        <f>V319</f>
        <v>Agg. EMEA Incumbent</v>
      </c>
      <c r="Z381" s="46"/>
      <c r="AE381" s="41"/>
      <c r="AF381" s="31"/>
      <c r="AG381" s="31"/>
      <c r="AI381" s="41"/>
      <c r="AJ381" s="64"/>
      <c r="AK381" s="64"/>
      <c r="AM381" s="41"/>
      <c r="AN381" s="64"/>
      <c r="AO381" s="64"/>
      <c r="AQ381" s="41"/>
      <c r="AR381" s="64"/>
      <c r="AS381" s="64"/>
    </row>
    <row r="382" spans="1:69" s="5" customFormat="1">
      <c r="B382" s="42"/>
      <c r="C382" s="48"/>
      <c r="D382" s="44"/>
      <c r="E382" s="44"/>
      <c r="F382" s="68"/>
      <c r="G382" s="44"/>
      <c r="H382" s="134"/>
      <c r="I382" s="61"/>
      <c r="J382" s="61"/>
      <c r="K382" s="61"/>
      <c r="L382" s="61"/>
      <c r="M382" s="61"/>
      <c r="N382" s="46"/>
      <c r="O382" s="61"/>
      <c r="P382" s="61"/>
      <c r="Q382" s="61"/>
      <c r="R382" s="61"/>
      <c r="S382" s="61"/>
      <c r="T382" s="46"/>
      <c r="U382" s="48"/>
      <c r="V382" s="44"/>
      <c r="X382" s="56"/>
      <c r="Y382" s="56"/>
      <c r="Z382" s="56"/>
      <c r="AE382" s="41"/>
      <c r="AF382" s="31"/>
      <c r="AG382" s="31"/>
      <c r="AI382" s="41"/>
      <c r="AJ382" s="64"/>
      <c r="AK382" s="64"/>
      <c r="AM382" s="41"/>
      <c r="AN382" s="64"/>
      <c r="AO382" s="64"/>
      <c r="AQ382" s="41"/>
      <c r="AR382" s="64"/>
      <c r="AS382" s="64"/>
    </row>
    <row r="383" spans="1:69" s="5" customFormat="1">
      <c r="B383" s="42"/>
      <c r="C383" s="48" t="str">
        <f t="shared" ref="C383:G385" si="58">C321</f>
        <v>America Movil</v>
      </c>
      <c r="D383" s="44" t="str">
        <f t="shared" si="58"/>
        <v>USD 16.2</v>
      </c>
      <c r="E383" s="44" t="str">
        <f t="shared" si="58"/>
        <v>USD 24.0</v>
      </c>
      <c r="F383" s="45">
        <f t="shared" si="58"/>
        <v>0.47965474722564738</v>
      </c>
      <c r="G383" s="44" t="str">
        <f t="shared" si="58"/>
        <v>Buy</v>
      </c>
      <c r="H383" s="46"/>
      <c r="I383" s="45">
        <f>AMX!$D$24/AMX!$D$23</f>
        <v>0.38898519756152417</v>
      </c>
      <c r="J383" s="45">
        <f>AMX!$E$24/AMX!$E$23</f>
        <v>0.39626048136159947</v>
      </c>
      <c r="K383" s="45">
        <f>AMX!$F$24/AMX!$F$23</f>
        <v>0.40406418675401479</v>
      </c>
      <c r="L383" s="45">
        <f>AMX!$G$24/AMX!$G$23</f>
        <v>0.41096203491994959</v>
      </c>
      <c r="M383" s="45">
        <f t="shared" ref="M383:M387" si="59">L383-I383</f>
        <v>2.1976837358425427E-2</v>
      </c>
      <c r="N383" s="46"/>
      <c r="O383" s="45">
        <f>AMX!$D$25/AMX!$D$23</f>
        <v>0.21462590271734924</v>
      </c>
      <c r="P383" s="45">
        <f>AMX!$E$25/AMX!$E$23</f>
        <v>0.24213491099665188</v>
      </c>
      <c r="Q383" s="45">
        <f>AMX!$F$25/AMX!$F$23</f>
        <v>0.25754897091046308</v>
      </c>
      <c r="R383" s="45">
        <f>AMX!$G$25/AMX!$G$23</f>
        <v>0.2737616283935741</v>
      </c>
      <c r="S383" s="45">
        <f t="shared" ref="S383:S387" si="60">R383-O383</f>
        <v>5.9135725676224854E-2</v>
      </c>
      <c r="T383" s="46"/>
      <c r="U383" s="48" t="str">
        <f t="shared" ref="U383:V385" si="61">U321</f>
        <v>USD 16.2</v>
      </c>
      <c r="V383" s="44" t="str">
        <f t="shared" si="61"/>
        <v>America Movil</v>
      </c>
      <c r="Z383" s="46"/>
      <c r="AE383" s="41"/>
      <c r="AF383" s="31"/>
      <c r="AG383" s="31"/>
      <c r="AI383" s="41"/>
      <c r="AJ383" s="64"/>
      <c r="AK383" s="64"/>
      <c r="AM383" s="41"/>
      <c r="AN383" s="64"/>
      <c r="AO383" s="64"/>
      <c r="AQ383" s="41"/>
      <c r="AR383" s="64"/>
      <c r="AS383" s="64"/>
    </row>
    <row r="384" spans="1:69" s="5" customFormat="1">
      <c r="B384" s="42"/>
      <c r="C384" s="48" t="str">
        <f t="shared" si="58"/>
        <v>Oi</v>
      </c>
      <c r="D384" s="44" t="str">
        <f t="shared" si="58"/>
        <v>BRL 1.78</v>
      </c>
      <c r="E384" s="44" t="str">
        <f t="shared" si="58"/>
        <v>BRL 0.90</v>
      </c>
      <c r="F384" s="45">
        <f t="shared" si="58"/>
        <v>-0.4943820224719101</v>
      </c>
      <c r="G384" s="44" t="str">
        <f t="shared" si="58"/>
        <v>Neutral</v>
      </c>
      <c r="H384" s="46"/>
      <c r="I384" s="45">
        <f>OIBR!$D$24/OIBR!$D$23</f>
        <v>0.23281985995197482</v>
      </c>
      <c r="J384" s="45">
        <f>OIBR!$E$24/OIBR!$E$23</f>
        <v>0.2513022364690452</v>
      </c>
      <c r="K384" s="45">
        <f>OIBR!$F$24/OIBR!$F$23</f>
        <v>0.26560610619525621</v>
      </c>
      <c r="L384" s="45">
        <f>OIBR!$G$24/OIBR!$G$23</f>
        <v>0.27212895067921594</v>
      </c>
      <c r="M384" s="45">
        <f>L384-I384</f>
        <v>3.9309090727241119E-2</v>
      </c>
      <c r="N384" s="46"/>
      <c r="O384" s="45">
        <f>OIBR!$D$25/OIBR!$D$23</f>
        <v>-0.14493804396003981</v>
      </c>
      <c r="P384" s="45">
        <f>OIBR!$E$25/OIBR!$E$23</f>
        <v>-0.10667581854010856</v>
      </c>
      <c r="Q384" s="45">
        <f>OIBR!$F$25/OIBR!$F$23</f>
        <v>-3.2949879501398211E-3</v>
      </c>
      <c r="R384" s="45">
        <f>OIBR!$G$25/OIBR!$G$23</f>
        <v>5.2728314789410438E-2</v>
      </c>
      <c r="S384" s="45">
        <f>R384-O384</f>
        <v>0.19766635874945027</v>
      </c>
      <c r="T384" s="46"/>
      <c r="U384" s="48" t="str">
        <f t="shared" si="61"/>
        <v>BRL 1.78</v>
      </c>
      <c r="V384" s="44" t="str">
        <f t="shared" si="61"/>
        <v>Oi</v>
      </c>
      <c r="W384" s="56"/>
      <c r="AE384" s="41"/>
      <c r="AF384" s="31"/>
      <c r="AG384" s="31"/>
      <c r="AI384" s="41"/>
      <c r="AJ384" s="64"/>
      <c r="AK384" s="64"/>
      <c r="AM384" s="41"/>
      <c r="AN384" s="64"/>
      <c r="AO384" s="64"/>
      <c r="AQ384" s="41"/>
      <c r="AR384" s="64"/>
      <c r="AS384" s="64"/>
    </row>
    <row r="385" spans="1:45" s="5" customFormat="1">
      <c r="B385" s="42"/>
      <c r="C385" s="48" t="str">
        <f t="shared" si="58"/>
        <v>Telefonica Brasil</v>
      </c>
      <c r="D385" s="44" t="str">
        <f t="shared" si="58"/>
        <v>BRL 45.90</v>
      </c>
      <c r="E385" s="44" t="str">
        <f t="shared" si="58"/>
        <v>BRL 61.00</v>
      </c>
      <c r="F385" s="45">
        <f t="shared" si="58"/>
        <v>0.32897603485838789</v>
      </c>
      <c r="G385" s="44" t="str">
        <f t="shared" si="58"/>
        <v>Buy</v>
      </c>
      <c r="H385" s="46"/>
      <c r="I385" s="45">
        <f>VIVO!$D$24/VIVO!$D$23</f>
        <v>0.40469381208134653</v>
      </c>
      <c r="J385" s="45">
        <f>VIVO!$E$24/VIVO!$E$23</f>
        <v>0.4143835852342444</v>
      </c>
      <c r="K385" s="45">
        <f>VIVO!$F$24/VIVO!$F$23</f>
        <v>0.42430185795284564</v>
      </c>
      <c r="L385" s="45">
        <f>VIVO!$G$24/VIVO!$G$23</f>
        <v>0.42928444683173234</v>
      </c>
      <c r="M385" s="45">
        <f t="shared" si="59"/>
        <v>2.4590634750385809E-2</v>
      </c>
      <c r="N385" s="46"/>
      <c r="O385" s="45">
        <f>VIVO!$D$25/VIVO!$D$23</f>
        <v>0.2342196684784216</v>
      </c>
      <c r="P385" s="45">
        <f>VIVO!$E$25/VIVO!$E$23</f>
        <v>0.25670500280582581</v>
      </c>
      <c r="Q385" s="45">
        <f>VIVO!$F$25/VIVO!$F$23</f>
        <v>0.2694483360646362</v>
      </c>
      <c r="R385" s="45">
        <f>VIVO!$G$25/VIVO!$G$23</f>
        <v>0.27837340856385739</v>
      </c>
      <c r="S385" s="45">
        <f t="shared" si="60"/>
        <v>4.4153740085435794E-2</v>
      </c>
      <c r="T385" s="46"/>
      <c r="U385" s="48" t="str">
        <f t="shared" si="61"/>
        <v>BRL 45.90</v>
      </c>
      <c r="V385" s="44" t="str">
        <f t="shared" si="61"/>
        <v>Telefonica Brasil</v>
      </c>
      <c r="AE385" s="41"/>
      <c r="AF385" s="31"/>
      <c r="AG385" s="31"/>
      <c r="AI385" s="41"/>
      <c r="AJ385" s="64"/>
      <c r="AK385" s="64"/>
      <c r="AM385" s="41"/>
      <c r="AN385" s="64"/>
      <c r="AO385" s="64"/>
      <c r="AQ385" s="41"/>
      <c r="AR385" s="64"/>
      <c r="AS385" s="64"/>
    </row>
    <row r="386" spans="1:45" s="5" customFormat="1">
      <c r="B386" s="42"/>
      <c r="C386" s="48" t="s">
        <v>673</v>
      </c>
      <c r="D386" s="44" t="str">
        <f>D324</f>
        <v>USD 3.1</v>
      </c>
      <c r="E386" s="44" t="str">
        <f>E324</f>
        <v>USD 3.7</v>
      </c>
      <c r="F386" s="45">
        <f>F324</f>
        <v>0.17834394904458595</v>
      </c>
      <c r="G386" s="44" t="str">
        <f>G324</f>
        <v>Neutral</v>
      </c>
      <c r="H386" s="46"/>
      <c r="I386" s="45">
        <f>TVIS!$D$24/TVIS!$D$23</f>
        <v>0.31591269898195984</v>
      </c>
      <c r="J386" s="45">
        <f>TVIS!$E$24/TVIS!$E$23</f>
        <v>0.32430699968937432</v>
      </c>
      <c r="K386" s="45">
        <f>TVIS!$F$24/TVIS!$F$23</f>
        <v>0.32154928668854016</v>
      </c>
      <c r="L386" s="45">
        <f>TVIS!$G$24/TVIS!$G$23</f>
        <v>0.3180187787912418</v>
      </c>
      <c r="M386" s="45">
        <f>L386-I386</f>
        <v>2.1060798092819577E-3</v>
      </c>
      <c r="N386" s="46"/>
      <c r="O386" s="45">
        <f>TVIS!$D$25/TVIS!$D$23</f>
        <v>0.11938707987986973</v>
      </c>
      <c r="P386" s="45">
        <f>TVIS!$E$25/TVIS!$E$23</f>
        <v>0.13079750989330008</v>
      </c>
      <c r="Q386" s="45">
        <f>TVIS!$F$25/TVIS!$F$23</f>
        <v>0.12956954347332775</v>
      </c>
      <c r="R386" s="45">
        <f>TVIS!$G$25/TVIS!$G$23</f>
        <v>0.12932024922196497</v>
      </c>
      <c r="S386" s="45">
        <f>R386-O386</f>
        <v>9.9331693420952466E-3</v>
      </c>
      <c r="T386" s="46"/>
      <c r="U386" s="48" t="str">
        <f>U324</f>
        <v>USD 3.1</v>
      </c>
      <c r="V386" s="44" t="s">
        <v>673</v>
      </c>
      <c r="AE386" s="41"/>
      <c r="AF386" s="31"/>
      <c r="AG386" s="31"/>
      <c r="AI386" s="41"/>
      <c r="AJ386" s="64"/>
      <c r="AK386" s="64"/>
      <c r="AM386" s="41"/>
      <c r="AN386" s="64"/>
      <c r="AO386" s="64"/>
      <c r="AQ386" s="41"/>
      <c r="AR386" s="64"/>
      <c r="AS386" s="64"/>
    </row>
    <row r="387" spans="1:45" s="5" customFormat="1">
      <c r="B387" s="42"/>
      <c r="C387" s="51" t="str">
        <f>C325</f>
        <v>Agg. LatAm Incumbent</v>
      </c>
      <c r="D387" s="52"/>
      <c r="E387" s="52"/>
      <c r="F387" s="53"/>
      <c r="G387" s="52"/>
      <c r="H387" s="46"/>
      <c r="I387" s="55">
        <f>'LATAM INCUMB'!D26/'LATAM INCUMB'!D25</f>
        <v>0.61542103296749595</v>
      </c>
      <c r="J387" s="55">
        <f>'LATAM INCUMB'!E26/'LATAM INCUMB'!E25</f>
        <v>0.67842169281812403</v>
      </c>
      <c r="K387" s="55">
        <f>'LATAM INCUMB'!F26/'LATAM INCUMB'!F25</f>
        <v>0.68555202162976514</v>
      </c>
      <c r="L387" s="55">
        <f>'LATAM INCUMB'!G26/'LATAM INCUMB'!G25</f>
        <v>0.69289682170965738</v>
      </c>
      <c r="M387" s="55">
        <f t="shared" si="59"/>
        <v>7.7475788742161433E-2</v>
      </c>
      <c r="N387" s="56"/>
      <c r="O387" s="55">
        <f>'LATAM INCUMB'!D30/'LATAM INCUMB'!D28</f>
        <v>8.7767774370499665E-2</v>
      </c>
      <c r="P387" s="55">
        <f>'LATAM INCUMB'!E30/'LATAM INCUMB'!E28</f>
        <v>0.12096626366793881</v>
      </c>
      <c r="Q387" s="55">
        <f>'LATAM INCUMB'!F30/'LATAM INCUMB'!F28</f>
        <v>0.1608237324325785</v>
      </c>
      <c r="R387" s="55">
        <f>'LATAM INCUMB'!G30/'LATAM INCUMB'!G28</f>
        <v>0.19974144199552096</v>
      </c>
      <c r="S387" s="55">
        <f t="shared" si="60"/>
        <v>0.1119736676250213</v>
      </c>
      <c r="T387" s="46"/>
      <c r="U387" s="57"/>
      <c r="V387" s="58" t="str">
        <f>V325</f>
        <v>Agg. LatAm Incumbent</v>
      </c>
      <c r="AE387" s="41"/>
      <c r="AF387" s="31"/>
      <c r="AG387" s="31"/>
      <c r="AI387" s="41"/>
      <c r="AJ387" s="64"/>
      <c r="AK387" s="64"/>
      <c r="AM387" s="41"/>
      <c r="AN387" s="64"/>
      <c r="AO387" s="64"/>
      <c r="AQ387" s="41"/>
      <c r="AR387" s="64"/>
      <c r="AS387" s="64"/>
    </row>
    <row r="388" spans="1:45" s="5" customFormat="1">
      <c r="A388" s="39"/>
      <c r="B388" s="42"/>
      <c r="C388" s="48"/>
      <c r="D388" s="44"/>
      <c r="E388" s="44"/>
      <c r="F388" s="45"/>
      <c r="G388" s="44"/>
      <c r="H388" s="46"/>
      <c r="I388" s="45"/>
      <c r="J388" s="45"/>
      <c r="K388" s="45"/>
      <c r="L388" s="45"/>
      <c r="M388" s="45"/>
      <c r="N388" s="56"/>
      <c r="O388" s="45"/>
      <c r="P388" s="45"/>
      <c r="Q388" s="45"/>
      <c r="R388" s="45"/>
      <c r="S388" s="45"/>
      <c r="T388" s="46"/>
      <c r="U388" s="48"/>
      <c r="V388" s="50"/>
      <c r="AE388" s="41"/>
      <c r="AF388" s="31"/>
      <c r="AG388" s="31"/>
      <c r="AI388" s="41"/>
      <c r="AJ388" s="64"/>
      <c r="AK388" s="64"/>
      <c r="AM388" s="41"/>
      <c r="AN388" s="64"/>
      <c r="AO388" s="64"/>
      <c r="AQ388" s="41"/>
      <c r="AR388" s="64"/>
      <c r="AS388" s="64"/>
    </row>
    <row r="389" spans="1:45" s="5" customFormat="1">
      <c r="B389" s="42"/>
      <c r="C389" s="48" t="str">
        <f t="shared" ref="C389:G393" si="62">C327</f>
        <v>China Telecom</v>
      </c>
      <c r="D389" s="44" t="str">
        <f t="shared" si="62"/>
        <v>HKD 4.44</v>
      </c>
      <c r="E389" s="44" t="str">
        <f t="shared" si="62"/>
        <v>HKD 8.75</v>
      </c>
      <c r="F389" s="45">
        <f t="shared" si="62"/>
        <v>0.97072072072072046</v>
      </c>
      <c r="G389" s="44" t="str">
        <f t="shared" si="62"/>
        <v>Buy</v>
      </c>
      <c r="H389" s="46"/>
      <c r="I389" s="169">
        <f>_CT!$D$24/_CT!$D$23</f>
        <v>0.26643897100774799</v>
      </c>
      <c r="J389" s="169">
        <f>_CT!$E$24/_CT!$E$23</f>
        <v>0.26526811923405669</v>
      </c>
      <c r="K389" s="169">
        <f>_CT!$F$24/_CT!$F$23</f>
        <v>0.2656189999327605</v>
      </c>
      <c r="L389" s="169">
        <f>_CT!$G$24/_CT!$G$23</f>
        <v>0.26904756666875917</v>
      </c>
      <c r="M389" s="45">
        <f t="shared" ref="M389:M394" si="63">L389-I389</f>
        <v>2.6085956610111816E-3</v>
      </c>
      <c r="N389" s="56"/>
      <c r="O389" s="169">
        <f>_CT!$D$25/_CT!$D$23</f>
        <v>7.3979020584128932E-2</v>
      </c>
      <c r="P389" s="169">
        <f>_CT!$E$25/_CT!$E$23</f>
        <v>8.6802470069485188E-2</v>
      </c>
      <c r="Q389" s="169">
        <f>_CT!$F$25/_CT!$F$23</f>
        <v>9.2323807539345243E-2</v>
      </c>
      <c r="R389" s="169">
        <f>_CT!$G$25/_CT!$G$23</f>
        <v>0.1017607944509052</v>
      </c>
      <c r="S389" s="169">
        <f t="shared" ref="S389:S394" si="64">R389-O389</f>
        <v>2.7781773866776271E-2</v>
      </c>
      <c r="T389" s="46"/>
      <c r="U389" s="48" t="str">
        <f t="shared" ref="U389:V393" si="65">U327</f>
        <v>HKD 4.44</v>
      </c>
      <c r="V389" s="44" t="str">
        <f t="shared" si="65"/>
        <v>China Telecom</v>
      </c>
      <c r="AE389" s="41"/>
      <c r="AF389" s="31"/>
      <c r="AG389" s="31"/>
      <c r="AI389" s="41"/>
      <c r="AJ389" s="64"/>
      <c r="AK389" s="64"/>
      <c r="AM389" s="41"/>
      <c r="AN389" s="64"/>
      <c r="AO389" s="64"/>
      <c r="AQ389" s="41"/>
      <c r="AR389" s="64"/>
      <c r="AS389" s="64"/>
    </row>
    <row r="390" spans="1:45" s="5" customFormat="1">
      <c r="B390" s="42"/>
      <c r="C390" s="48" t="str">
        <f t="shared" si="62"/>
        <v>China Unicom</v>
      </c>
      <c r="D390" s="44" t="str">
        <f t="shared" si="62"/>
        <v>HKD 6.20</v>
      </c>
      <c r="E390" s="44" t="str">
        <f t="shared" si="62"/>
        <v>HKD 13.20</v>
      </c>
      <c r="F390" s="45">
        <f t="shared" si="62"/>
        <v>1.129032258064516</v>
      </c>
      <c r="G390" s="44" t="str">
        <f t="shared" si="62"/>
        <v>Buy</v>
      </c>
      <c r="H390" s="46"/>
      <c r="I390" s="169">
        <f>_CU!$D$24/_CU!$D$23</f>
        <v>0.26788192068105754</v>
      </c>
      <c r="J390" s="169">
        <f>_CU!$E$24/_CU!$E$23</f>
        <v>0.25809491359927744</v>
      </c>
      <c r="K390" s="169">
        <f>_CU!$F$24/_CU!$F$23</f>
        <v>0.25270714255655868</v>
      </c>
      <c r="L390" s="169">
        <f>_CU!$G$24/_CU!$G$23</f>
        <v>0.2480612849855694</v>
      </c>
      <c r="M390" s="45">
        <f t="shared" si="63"/>
        <v>-1.9820635695488142E-2</v>
      </c>
      <c r="N390" s="56"/>
      <c r="O390" s="169">
        <f>_CU!$D$25/_CU!$D$23</f>
        <v>6.9544306583252141E-2</v>
      </c>
      <c r="P390" s="169">
        <f>_CU!$E$25/_CU!$E$23</f>
        <v>8.873615133028652E-2</v>
      </c>
      <c r="Q390" s="169">
        <f>_CU!$F$25/_CU!$F$23</f>
        <v>8.7862308034935124E-2</v>
      </c>
      <c r="R390" s="169">
        <f>_CU!$G$25/_CU!$G$23</f>
        <v>8.7910113058012149E-2</v>
      </c>
      <c r="S390" s="169">
        <f t="shared" si="64"/>
        <v>1.8365806474760007E-2</v>
      </c>
      <c r="T390" s="46"/>
      <c r="U390" s="48" t="str">
        <f t="shared" si="65"/>
        <v>HKD 6.20</v>
      </c>
      <c r="V390" s="44" t="str">
        <f t="shared" si="65"/>
        <v>China Unicom</v>
      </c>
      <c r="AE390" s="41"/>
      <c r="AF390" s="31"/>
      <c r="AG390" s="31"/>
      <c r="AI390" s="41"/>
      <c r="AJ390" s="64"/>
      <c r="AK390" s="64"/>
      <c r="AM390" s="41"/>
      <c r="AN390" s="64"/>
      <c r="AO390" s="64"/>
      <c r="AQ390" s="41"/>
      <c r="AR390" s="64"/>
      <c r="AS390" s="64"/>
    </row>
    <row r="391" spans="1:45" s="5" customFormat="1">
      <c r="A391" s="39"/>
      <c r="B391" s="42"/>
      <c r="C391" s="48" t="str">
        <f t="shared" si="62"/>
        <v>Chunghwa Telecom</v>
      </c>
      <c r="D391" s="44" t="str">
        <f t="shared" si="62"/>
        <v>TWD 127.00</v>
      </c>
      <c r="E391" s="44" t="str">
        <f t="shared" si="62"/>
        <v>TWD n/r</v>
      </c>
      <c r="F391" s="45" t="str">
        <f t="shared" si="62"/>
        <v>-</v>
      </c>
      <c r="G391" s="44" t="str">
        <f t="shared" si="62"/>
        <v>n/r</v>
      </c>
      <c r="H391" s="46"/>
      <c r="I391" s="45">
        <f>CHUNG!$D$24/CHUNG!$D$23</f>
        <v>0.37583216219042875</v>
      </c>
      <c r="J391" s="45">
        <f>CHUNG!$E$24/CHUNG!$E$23</f>
        <v>0.37664866980042322</v>
      </c>
      <c r="K391" s="45">
        <f>CHUNG!$F$24/CHUNG!$F$23</f>
        <v>0.3776933084540936</v>
      </c>
      <c r="L391" s="45">
        <f>CHUNG!$G$24/CHUNG!$G$23</f>
        <v>0.3789573972271495</v>
      </c>
      <c r="M391" s="45">
        <f t="shared" si="63"/>
        <v>3.1252350367207415E-3</v>
      </c>
      <c r="N391" s="56"/>
      <c r="O391" s="45">
        <f>CHUNG!$D$25/CHUNG!$D$23</f>
        <v>0.24583216219042872</v>
      </c>
      <c r="P391" s="45">
        <f>CHUNG!$E$25/CHUNG!$E$23</f>
        <v>0.26664866980042323</v>
      </c>
      <c r="Q391" s="45">
        <f>CHUNG!$F$25/CHUNG!$F$23</f>
        <v>0.27769330845409362</v>
      </c>
      <c r="R391" s="45">
        <f>CHUNG!$G$25/CHUNG!$G$23</f>
        <v>0.27895739722714952</v>
      </c>
      <c r="S391" s="45">
        <f t="shared" si="64"/>
        <v>3.3125235036720796E-2</v>
      </c>
      <c r="T391" s="46"/>
      <c r="U391" s="48" t="str">
        <f t="shared" si="65"/>
        <v>TWD 127.00</v>
      </c>
      <c r="V391" s="44" t="str">
        <f t="shared" si="65"/>
        <v>Chunghwa Telecom</v>
      </c>
      <c r="AE391" s="41"/>
      <c r="AF391" s="31"/>
      <c r="AG391" s="31"/>
      <c r="AI391" s="41"/>
      <c r="AJ391" s="64"/>
      <c r="AK391" s="64"/>
      <c r="AM391" s="41"/>
      <c r="AN391" s="64"/>
      <c r="AO391" s="64"/>
      <c r="AQ391" s="41"/>
      <c r="AR391" s="64"/>
      <c r="AS391" s="64"/>
    </row>
    <row r="392" spans="1:45" s="5" customFormat="1">
      <c r="A392" s="39"/>
      <c r="B392" s="42"/>
      <c r="C392" s="48" t="str">
        <f t="shared" si="62"/>
        <v>KT Corp</v>
      </c>
      <c r="D392" s="44" t="str">
        <f t="shared" si="62"/>
        <v>KRW 36,350</v>
      </c>
      <c r="E392" s="44" t="str">
        <f t="shared" si="62"/>
        <v>KRW 70,000</v>
      </c>
      <c r="F392" s="45">
        <f t="shared" si="62"/>
        <v>0.92572214580467671</v>
      </c>
      <c r="G392" s="44" t="str">
        <f t="shared" si="62"/>
        <v>Buy</v>
      </c>
      <c r="H392" s="46"/>
      <c r="I392" s="45">
        <f>_KT!$D$24/_KT!$D$23</f>
        <v>0.20691628453405089</v>
      </c>
      <c r="J392" s="45">
        <f>_KT!$E$24/_KT!$E$23</f>
        <v>0.21167151419786451</v>
      </c>
      <c r="K392" s="45">
        <f>_KT!$F$24/_KT!$F$23</f>
        <v>0.21170373116383892</v>
      </c>
      <c r="L392" s="45">
        <f>_KT!$G$24/_KT!$G$23</f>
        <v>0.2159421393751805</v>
      </c>
      <c r="M392" s="45">
        <f t="shared" si="63"/>
        <v>9.0258548411296102E-3</v>
      </c>
      <c r="N392" s="56"/>
      <c r="O392" s="45">
        <f>_KT!$D$25/_KT!$D$23</f>
        <v>8.1134649638079384E-2</v>
      </c>
      <c r="P392" s="45">
        <f>_KT!$E$25/_KT!$E$23</f>
        <v>7.9592851942530435E-2</v>
      </c>
      <c r="Q392" s="45">
        <f>_KT!$F$25/_KT!$F$23</f>
        <v>9.5475737713494949E-2</v>
      </c>
      <c r="R392" s="45">
        <f>_KT!$G$25/_KT!$G$23</f>
        <v>0.1017459797870959</v>
      </c>
      <c r="S392" s="45">
        <f t="shared" si="64"/>
        <v>2.0611330149016518E-2</v>
      </c>
      <c r="T392" s="46"/>
      <c r="U392" s="48" t="str">
        <f t="shared" si="65"/>
        <v>KRW 36,350</v>
      </c>
      <c r="V392" s="44" t="str">
        <f t="shared" si="65"/>
        <v>KT Corp</v>
      </c>
      <c r="AE392" s="41"/>
      <c r="AF392" s="31"/>
      <c r="AG392" s="31"/>
      <c r="AI392" s="41"/>
      <c r="AJ392" s="64"/>
      <c r="AK392" s="64"/>
      <c r="AM392" s="41"/>
      <c r="AN392" s="64"/>
      <c r="AO392" s="64"/>
      <c r="AQ392" s="41"/>
      <c r="AR392" s="64"/>
      <c r="AS392" s="64"/>
    </row>
    <row r="393" spans="1:45" s="5" customFormat="1">
      <c r="A393" s="39"/>
      <c r="B393" s="42"/>
      <c r="C393" s="48" t="str">
        <f t="shared" si="62"/>
        <v>PT Telkom</v>
      </c>
      <c r="D393" s="44" t="str">
        <f t="shared" si="62"/>
        <v>IDR 2,940</v>
      </c>
      <c r="E393" s="44" t="str">
        <f t="shared" si="62"/>
        <v>IDR 5,000</v>
      </c>
      <c r="F393" s="45">
        <f t="shared" si="62"/>
        <v>0.70068027210884343</v>
      </c>
      <c r="G393" s="44" t="str">
        <f t="shared" si="62"/>
        <v>Buy</v>
      </c>
      <c r="H393" s="46"/>
      <c r="I393" s="169">
        <f>PTT!$D$24/PTT!$D$23</f>
        <v>0.51991073343341199</v>
      </c>
      <c r="J393" s="169">
        <f>PTT!$E$24/PTT!$E$23</f>
        <v>0.53262195029576687</v>
      </c>
      <c r="K393" s="169">
        <f>PTT!$F$24/PTT!$F$23</f>
        <v>0.53553682748070974</v>
      </c>
      <c r="L393" s="169">
        <f>PTT!$G$24/PTT!$G$23</f>
        <v>0.53720352328236798</v>
      </c>
      <c r="M393" s="45">
        <f t="shared" si="63"/>
        <v>1.7292789848955992E-2</v>
      </c>
      <c r="N393" s="56"/>
      <c r="O393" s="169">
        <f>PTT!$D$25/PTT!$D$23</f>
        <v>0.29896927943384088</v>
      </c>
      <c r="P393" s="169">
        <f>PTT!$E$25/PTT!$E$23</f>
        <v>0.32408381453056584</v>
      </c>
      <c r="Q393" s="169">
        <f>PTT!$F$25/PTT!$F$23</f>
        <v>0.3322899704574761</v>
      </c>
      <c r="R393" s="169">
        <f>PTT!$G$25/PTT!$G$23</f>
        <v>0.33881128646153064</v>
      </c>
      <c r="S393" s="169">
        <f t="shared" si="64"/>
        <v>3.9842007027689752E-2</v>
      </c>
      <c r="T393" s="46"/>
      <c r="U393" s="48" t="str">
        <f t="shared" si="65"/>
        <v>IDR 2,940</v>
      </c>
      <c r="V393" s="44" t="str">
        <f t="shared" si="65"/>
        <v>PT Telkom</v>
      </c>
      <c r="AE393" s="41"/>
      <c r="AF393" s="31"/>
      <c r="AG393" s="31"/>
      <c r="AI393" s="41"/>
      <c r="AJ393" s="64"/>
      <c r="AK393" s="64"/>
      <c r="AM393" s="41"/>
      <c r="AN393" s="64"/>
      <c r="AO393" s="64"/>
      <c r="AQ393" s="41"/>
      <c r="AR393" s="64"/>
      <c r="AS393" s="64"/>
    </row>
    <row r="394" spans="1:45" s="5" customFormat="1">
      <c r="A394" s="39"/>
      <c r="B394" s="42"/>
      <c r="C394" s="51" t="str">
        <f>C332</f>
        <v>Agg. Emerging Asia Incumbent</v>
      </c>
      <c r="D394" s="52"/>
      <c r="E394" s="52"/>
      <c r="F394" s="53"/>
      <c r="G394" s="52"/>
      <c r="H394" s="46"/>
      <c r="I394" s="55">
        <f>'EM ASIA INCUMB'!$D$24/'EM ASIA INCUMB'!$D$23</f>
        <v>0.27914781824634316</v>
      </c>
      <c r="J394" s="55">
        <f>'EM ASIA INCUMB'!$E$24/'EM ASIA INCUMB'!$E$23</f>
        <v>0.27657806973010857</v>
      </c>
      <c r="K394" s="55">
        <f>'EM ASIA INCUMB'!$F$24/'EM ASIA INCUMB'!$F$23</f>
        <v>0.2752321497038861</v>
      </c>
      <c r="L394" s="55">
        <f>'EM ASIA INCUMB'!$G$24/'EM ASIA INCUMB'!$G$23</f>
        <v>0.27646414738003228</v>
      </c>
      <c r="M394" s="55">
        <f t="shared" si="63"/>
        <v>-2.6836708663108833E-3</v>
      </c>
      <c r="N394" s="56"/>
      <c r="O394" s="55">
        <f>'EM ASIA INCUMB'!$D$25/'EM ASIA INCUMB'!$D$23</f>
        <v>9.3809639057355509E-2</v>
      </c>
      <c r="P394" s="55">
        <f>'EM ASIA INCUMB'!$E$25/'EM ASIA INCUMB'!$E$23</f>
        <v>0.10762494484558449</v>
      </c>
      <c r="Q394" s="55">
        <f>'EM ASIA INCUMB'!$F$25/'EM ASIA INCUMB'!$F$23</f>
        <v>0.11268123649949187</v>
      </c>
      <c r="R394" s="55">
        <f>'EM ASIA INCUMB'!$G$25/'EM ASIA INCUMB'!$G$23</f>
        <v>0.11835631102651889</v>
      </c>
      <c r="S394" s="55">
        <f t="shared" si="64"/>
        <v>2.4546671969163381E-2</v>
      </c>
      <c r="T394" s="46"/>
      <c r="U394" s="57"/>
      <c r="V394" s="58" t="str">
        <f>V332</f>
        <v>Agg. Emerging Asia Incumbent</v>
      </c>
      <c r="AE394" s="41"/>
      <c r="AF394" s="31"/>
      <c r="AG394" s="31"/>
      <c r="AI394" s="41"/>
      <c r="AJ394" s="64"/>
      <c r="AK394" s="64"/>
      <c r="AM394" s="41"/>
      <c r="AN394" s="64"/>
      <c r="AO394" s="64"/>
      <c r="AQ394" s="41"/>
      <c r="AR394" s="64"/>
      <c r="AS394" s="64"/>
    </row>
    <row r="395" spans="1:45" s="5" customFormat="1">
      <c r="A395" s="39"/>
      <c r="B395" s="42"/>
      <c r="C395" s="43"/>
      <c r="D395" s="44"/>
      <c r="E395" s="44"/>
      <c r="F395" s="68"/>
      <c r="G395" s="44"/>
      <c r="H395" s="46"/>
      <c r="I395" s="61"/>
      <c r="J395" s="61"/>
      <c r="K395" s="61"/>
      <c r="L395" s="61"/>
      <c r="M395" s="61"/>
      <c r="N395" s="56"/>
      <c r="O395" s="61"/>
      <c r="P395" s="61"/>
      <c r="Q395" s="61"/>
      <c r="R395" s="61"/>
      <c r="S395" s="61"/>
      <c r="T395" s="46"/>
      <c r="U395" s="48"/>
      <c r="V395" s="50"/>
      <c r="AE395" s="41"/>
      <c r="AF395" s="31"/>
      <c r="AG395" s="31"/>
      <c r="AI395" s="41"/>
      <c r="AJ395" s="64"/>
      <c r="AK395" s="64"/>
      <c r="AM395" s="41"/>
      <c r="AN395" s="64"/>
      <c r="AO395" s="64"/>
      <c r="AQ395" s="41"/>
      <c r="AR395" s="64"/>
      <c r="AS395" s="64"/>
    </row>
    <row r="396" spans="1:45" s="5" customFormat="1">
      <c r="A396" s="39"/>
      <c r="B396" s="42"/>
      <c r="C396" s="51" t="str">
        <f>C334</f>
        <v>Agg. Emerging Incumbent</v>
      </c>
      <c r="D396" s="52"/>
      <c r="E396" s="52"/>
      <c r="F396" s="53"/>
      <c r="G396" s="52"/>
      <c r="H396" s="46"/>
      <c r="I396" s="55">
        <f>'EM INCUMB'!$D$24/'EM INCUMB'!$D$23</f>
        <v>0.3073926339103637</v>
      </c>
      <c r="J396" s="55">
        <f>'EM INCUMB'!$E$24/'EM INCUMB'!$E$23</f>
        <v>0.30794546616633095</v>
      </c>
      <c r="K396" s="55">
        <f>'EM INCUMB'!$F$24/'EM INCUMB'!$F$23</f>
        <v>0.30878021923478327</v>
      </c>
      <c r="L396" s="55">
        <f>'EM INCUMB'!$G$24/'EM INCUMB'!$G$23</f>
        <v>0.31102758744958159</v>
      </c>
      <c r="M396" s="55">
        <f t="shared" ref="M396" si="66">L396-I396</f>
        <v>3.6349535392178889E-3</v>
      </c>
      <c r="N396" s="56"/>
      <c r="O396" s="55">
        <f>'EM INCUMB'!$D$25/'EM INCUMB'!$D$23</f>
        <v>0.12210637871477273</v>
      </c>
      <c r="P396" s="55">
        <f>'EM INCUMB'!$E$25/'EM INCUMB'!$E$23</f>
        <v>0.13945422972587398</v>
      </c>
      <c r="Q396" s="55">
        <f>'EM INCUMB'!$F$25/'EM INCUMB'!$F$23</f>
        <v>0.14787355612656708</v>
      </c>
      <c r="R396" s="55">
        <f>'EM INCUMB'!$G$25/'EM INCUMB'!$G$23</f>
        <v>0.15611127907543193</v>
      </c>
      <c r="S396" s="55">
        <f t="shared" ref="S396" si="67">R396-O396</f>
        <v>3.4004900360659202E-2</v>
      </c>
      <c r="T396" s="46"/>
      <c r="U396" s="57"/>
      <c r="V396" s="58" t="str">
        <f>V334</f>
        <v>Agg. Emerging Incumbent</v>
      </c>
      <c r="AE396" s="41"/>
      <c r="AF396" s="31"/>
      <c r="AG396" s="31"/>
      <c r="AI396" s="41"/>
      <c r="AJ396" s="64"/>
      <c r="AK396" s="64"/>
      <c r="AM396" s="41"/>
      <c r="AN396" s="64"/>
      <c r="AO396" s="64"/>
      <c r="AQ396" s="41"/>
      <c r="AR396" s="64"/>
      <c r="AS396" s="64"/>
    </row>
    <row r="397" spans="1:45" s="5" customFormat="1">
      <c r="A397" s="39"/>
      <c r="B397" s="42"/>
      <c r="C397" s="43"/>
      <c r="D397" s="44"/>
      <c r="E397" s="44"/>
      <c r="F397" s="45"/>
      <c r="G397" s="44"/>
      <c r="H397" s="46"/>
      <c r="I397" s="45"/>
      <c r="J397" s="45"/>
      <c r="K397" s="45"/>
      <c r="L397" s="45"/>
      <c r="M397" s="45"/>
      <c r="N397" s="56"/>
      <c r="O397" s="45"/>
      <c r="P397" s="45"/>
      <c r="Q397" s="45"/>
      <c r="R397" s="45"/>
      <c r="S397" s="45"/>
      <c r="T397" s="46"/>
      <c r="U397" s="48"/>
      <c r="V397" s="50"/>
      <c r="AE397" s="41"/>
      <c r="AF397" s="31"/>
      <c r="AG397" s="31"/>
      <c r="AI397" s="41"/>
      <c r="AJ397" s="64"/>
      <c r="AK397" s="64"/>
      <c r="AM397" s="41"/>
      <c r="AN397" s="64"/>
      <c r="AO397" s="64"/>
      <c r="AQ397" s="41"/>
      <c r="AR397" s="64"/>
      <c r="AS397" s="64"/>
    </row>
    <row r="398" spans="1:45" s="5" customFormat="1">
      <c r="A398" s="41" t="s">
        <v>507</v>
      </c>
      <c r="B398" s="42"/>
      <c r="C398" s="48" t="str">
        <f t="shared" ref="C398:G404" si="68">C336</f>
        <v>Airtel Africa</v>
      </c>
      <c r="D398" s="44" t="str">
        <f t="shared" si="68"/>
        <v>USD 1.21</v>
      </c>
      <c r="E398" s="44" t="str">
        <f t="shared" si="68"/>
        <v>USD 1.50</v>
      </c>
      <c r="F398" s="45">
        <f t="shared" si="68"/>
        <v>0.2396694214876034</v>
      </c>
      <c r="G398" s="44" t="str">
        <f t="shared" si="68"/>
        <v>Buy</v>
      </c>
      <c r="H398" s="46"/>
      <c r="I398" s="169">
        <f>AAF!$D$24/AAF!$D$23</f>
        <v>0.42862992372097508</v>
      </c>
      <c r="J398" s="169">
        <f>AAF!$E$24/AAF!$E$23</f>
        <v>0.41113779882908463</v>
      </c>
      <c r="K398" s="169">
        <f>AAF!$F$24/AAF!$F$23</f>
        <v>0.41623678128374708</v>
      </c>
      <c r="L398" s="169">
        <f>AAF!$G$24/AAF!$G$23</f>
        <v>0.41892527415558689</v>
      </c>
      <c r="M398" s="45">
        <f t="shared" ref="M398" si="69">L398-I398</f>
        <v>-9.7046495653881903E-3</v>
      </c>
      <c r="N398" s="56"/>
      <c r="O398" s="169">
        <f>AAF!$D$25/AAF!$D$23</f>
        <v>0.26647249461407563</v>
      </c>
      <c r="P398" s="169">
        <f>AAF!$E$25/AAF!$E$23</f>
        <v>0.23744305807922184</v>
      </c>
      <c r="Q398" s="169">
        <f>AAF!$F$25/AAF!$F$23</f>
        <v>0.24831729231134406</v>
      </c>
      <c r="R398" s="169">
        <f>AAF!$G$25/AAF!$G$23</f>
        <v>0.25467187053108747</v>
      </c>
      <c r="S398" s="169">
        <f t="shared" ref="S398" si="70">R398-O398</f>
        <v>-1.1800624082988154E-2</v>
      </c>
      <c r="T398" s="46"/>
      <c r="U398" s="48" t="str">
        <f t="shared" ref="U398:V404" si="71">U336</f>
        <v>USD 1.21</v>
      </c>
      <c r="V398" s="44" t="str">
        <f t="shared" si="71"/>
        <v>Airtel Africa</v>
      </c>
      <c r="AE398" s="41"/>
      <c r="AF398" s="31"/>
      <c r="AG398" s="31"/>
      <c r="AI398" s="41"/>
      <c r="AJ398" s="64"/>
      <c r="AK398" s="64"/>
      <c r="AM398" s="41"/>
      <c r="AN398" s="64"/>
      <c r="AO398" s="64"/>
      <c r="AQ398" s="41"/>
      <c r="AR398" s="64"/>
      <c r="AS398" s="64"/>
    </row>
    <row r="399" spans="1:45" s="5" customFormat="1">
      <c r="A399" s="41"/>
      <c r="B399" s="42"/>
      <c r="C399" s="48" t="str">
        <f t="shared" si="68"/>
        <v>MobileTeleSystems</v>
      </c>
      <c r="D399" s="44" t="str">
        <f t="shared" si="68"/>
        <v>USD 10.00</v>
      </c>
      <c r="E399" s="44" t="str">
        <f t="shared" si="68"/>
        <v>USD 10.10</v>
      </c>
      <c r="F399" s="45">
        <f t="shared" si="68"/>
        <v>1.0000000000000009E-2</v>
      </c>
      <c r="G399" s="44" t="str">
        <f t="shared" si="68"/>
        <v>Buy</v>
      </c>
      <c r="H399" s="46"/>
      <c r="I399" s="169">
        <f>MTS!$D$24/MTS!$D$23</f>
        <v>0.42135055474166994</v>
      </c>
      <c r="J399" s="169">
        <f>MTS!$E$24/MTS!$E$23</f>
        <v>0.41265160752243896</v>
      </c>
      <c r="K399" s="169">
        <f>MTS!$F$24/MTS!$F$23</f>
        <v>0.40538151976486442</v>
      </c>
      <c r="L399" s="169">
        <f>MTS!$G$24/MTS!$G$23</f>
        <v>0.39811400809483577</v>
      </c>
      <c r="M399" s="45">
        <f t="shared" ref="M399:M405" si="72">L399-I399</f>
        <v>-2.3236546646834166E-2</v>
      </c>
      <c r="N399" s="56"/>
      <c r="O399" s="169">
        <f>MTS!$D$25/MTS!$D$23</f>
        <v>0.24517037176177603</v>
      </c>
      <c r="P399" s="169">
        <f>MTS!$E$25/MTS!$E$23</f>
        <v>0.25126947013815126</v>
      </c>
      <c r="Q399" s="169">
        <f>MTS!$F$25/MTS!$F$23</f>
        <v>0.24399761101725967</v>
      </c>
      <c r="R399" s="169">
        <f>MTS!$G$25/MTS!$G$23</f>
        <v>0.23672840126377578</v>
      </c>
      <c r="S399" s="169">
        <f t="shared" ref="S399:S405" si="73">R399-O399</f>
        <v>-8.4419704980002452E-3</v>
      </c>
      <c r="T399" s="46"/>
      <c r="U399" s="48" t="str">
        <f t="shared" si="71"/>
        <v>USD 10.00</v>
      </c>
      <c r="V399" s="44" t="str">
        <f t="shared" si="71"/>
        <v>MobileTeleSystems</v>
      </c>
      <c r="AE399" s="41"/>
      <c r="AF399" s="31"/>
      <c r="AG399" s="31"/>
      <c r="AI399" s="41"/>
      <c r="AJ399" s="64"/>
      <c r="AK399" s="64"/>
      <c r="AM399" s="41"/>
      <c r="AN399" s="64"/>
      <c r="AO399" s="64"/>
      <c r="AQ399" s="41"/>
      <c r="AR399" s="64"/>
      <c r="AS399" s="64"/>
    </row>
    <row r="400" spans="1:45" s="5" customFormat="1">
      <c r="A400" s="39"/>
      <c r="B400" s="42"/>
      <c r="C400" s="48" t="str">
        <f t="shared" si="68"/>
        <v>MTN</v>
      </c>
      <c r="D400" s="44" t="str">
        <f t="shared" si="68"/>
        <v>ZAR 86.08</v>
      </c>
      <c r="E400" s="44" t="str">
        <f t="shared" si="68"/>
        <v>ZAR 130.00</v>
      </c>
      <c r="F400" s="45">
        <f t="shared" si="68"/>
        <v>0.5102230483271375</v>
      </c>
      <c r="G400" s="44" t="str">
        <f t="shared" si="68"/>
        <v>Buy</v>
      </c>
      <c r="H400" s="46"/>
      <c r="I400" s="169">
        <f>MTN!$D$24/MTN!$D$23</f>
        <v>0.42263932209884447</v>
      </c>
      <c r="J400" s="169">
        <f>MTN!$E$24/MTN!$E$23</f>
        <v>0.40384767527341309</v>
      </c>
      <c r="K400" s="169">
        <f>MTN!$F$24/MTN!$F$23</f>
        <v>0.41340939312405706</v>
      </c>
      <c r="L400" s="169">
        <f>MTN!$G$24/MTN!$G$23</f>
        <v>0.41939099358678061</v>
      </c>
      <c r="M400" s="45">
        <f t="shared" si="72"/>
        <v>-3.2483285120638583E-3</v>
      </c>
      <c r="N400" s="56"/>
      <c r="O400" s="169">
        <f>MTN!$D$25/MTN!$D$23</f>
        <v>0.16323952550748808</v>
      </c>
      <c r="P400" s="169">
        <f>MTN!$E$25/MTN!$E$23</f>
        <v>0.17425593328507988</v>
      </c>
      <c r="Q400" s="169">
        <f>MTN!$F$25/MTN!$F$23</f>
        <v>0.19693533364398128</v>
      </c>
      <c r="R400" s="169">
        <f>MTN!$G$25/MTN!$G$23</f>
        <v>0.21328166547264127</v>
      </c>
      <c r="S400" s="169">
        <f t="shared" si="73"/>
        <v>5.0042139965153193E-2</v>
      </c>
      <c r="T400" s="46"/>
      <c r="U400" s="48" t="str">
        <f t="shared" si="71"/>
        <v>ZAR 86.08</v>
      </c>
      <c r="V400" s="44" t="str">
        <f t="shared" si="71"/>
        <v>MTN</v>
      </c>
      <c r="AE400" s="41"/>
      <c r="AF400" s="31"/>
      <c r="AG400" s="31"/>
      <c r="AI400" s="41"/>
      <c r="AJ400" s="64"/>
      <c r="AK400" s="64"/>
      <c r="AM400" s="41"/>
      <c r="AN400" s="64"/>
      <c r="AO400" s="64"/>
      <c r="AQ400" s="41"/>
      <c r="AR400" s="64"/>
      <c r="AS400" s="64"/>
    </row>
    <row r="401" spans="1:45" s="5" customFormat="1">
      <c r="A401" s="39"/>
      <c r="B401" s="42"/>
      <c r="C401" s="48" t="str">
        <f t="shared" si="68"/>
        <v>Safaricom</v>
      </c>
      <c r="D401" s="44" t="str">
        <f t="shared" si="68"/>
        <v>KES 17.75</v>
      </c>
      <c r="E401" s="44" t="str">
        <f t="shared" si="68"/>
        <v>KES 17.0</v>
      </c>
      <c r="F401" s="45">
        <f t="shared" si="68"/>
        <v>-4.2253521126760618E-2</v>
      </c>
      <c r="G401" s="44" t="str">
        <f t="shared" si="68"/>
        <v>Neutral</v>
      </c>
      <c r="H401" s="46"/>
      <c r="I401" s="169">
        <f>SAF!$D$24/SAF!$D$23</f>
        <v>0.50511526534063622</v>
      </c>
      <c r="J401" s="169">
        <f>SAF!$E$24/SAF!$E$23</f>
        <v>0.50722781401804862</v>
      </c>
      <c r="K401" s="169">
        <f>SAF!$F$24/SAF!$F$23</f>
        <v>0.51688336822319481</v>
      </c>
      <c r="L401" s="169">
        <f>SAF!$G$24/SAF!$G$23</f>
        <v>0.5141573597648551</v>
      </c>
      <c r="M401" s="45">
        <f>L401-I401</f>
        <v>9.0420944242188828E-3</v>
      </c>
      <c r="N401" s="56"/>
      <c r="O401" s="169">
        <f>SAF!$D$25/SAF!$D$23</f>
        <v>0.23423045571547932</v>
      </c>
      <c r="P401" s="169">
        <f>SAF!$E$25/SAF!$E$23</f>
        <v>0.19334728341193338</v>
      </c>
      <c r="Q401" s="169">
        <f>SAF!$F$25/SAF!$F$23</f>
        <v>0.27584954358382918</v>
      </c>
      <c r="R401" s="169">
        <f>SAF!$G$25/SAF!$G$23</f>
        <v>0.33089791502828841</v>
      </c>
      <c r="S401" s="169">
        <f>R401-O401</f>
        <v>9.6667459312809095E-2</v>
      </c>
      <c r="T401" s="46"/>
      <c r="U401" s="48" t="str">
        <f t="shared" si="71"/>
        <v>KES 17.75</v>
      </c>
      <c r="V401" s="44" t="str">
        <f t="shared" si="71"/>
        <v>Safaricom</v>
      </c>
      <c r="AE401" s="41"/>
      <c r="AF401" s="31"/>
      <c r="AG401" s="31"/>
      <c r="AI401" s="41"/>
      <c r="AJ401" s="64"/>
      <c r="AK401" s="64"/>
      <c r="AM401" s="41"/>
      <c r="AN401" s="64"/>
      <c r="AO401" s="64"/>
      <c r="AQ401" s="41"/>
      <c r="AR401" s="64"/>
      <c r="AS401" s="64"/>
    </row>
    <row r="402" spans="1:45" s="5" customFormat="1">
      <c r="A402" s="39"/>
      <c r="B402" s="42"/>
      <c r="C402" s="48" t="str">
        <f t="shared" si="68"/>
        <v>Turkcell</v>
      </c>
      <c r="D402" s="44" t="str">
        <f t="shared" si="68"/>
        <v>USD 91.80</v>
      </c>
      <c r="E402" s="44" t="str">
        <f t="shared" si="68"/>
        <v>USD 16.90</v>
      </c>
      <c r="F402" s="45">
        <f t="shared" si="68"/>
        <v>-0.81590413943355122</v>
      </c>
      <c r="G402" s="44" t="str">
        <f t="shared" si="68"/>
        <v>Buy</v>
      </c>
      <c r="H402" s="46"/>
      <c r="I402" s="169">
        <f>TKC!$D$24/TKC!$D$23</f>
        <v>0.38707969287904437</v>
      </c>
      <c r="J402" s="169">
        <f>TKC!$E$24/TKC!$E$23</f>
        <v>0.38357037960355539</v>
      </c>
      <c r="K402" s="169">
        <f>TKC!$F$24/TKC!$F$23</f>
        <v>0.37992036315239086</v>
      </c>
      <c r="L402" s="169">
        <f>TKC!$G$24/TKC!$G$23</f>
        <v>0.37612949218779074</v>
      </c>
      <c r="M402" s="45">
        <f t="shared" si="72"/>
        <v>-1.0950200691253631E-2</v>
      </c>
      <c r="N402" s="56"/>
      <c r="O402" s="169">
        <f>TKC!$D$25/TKC!$D$23</f>
        <v>0.23006224388435348</v>
      </c>
      <c r="P402" s="169">
        <f>TKC!$E$25/TKC!$E$23</f>
        <v>0.23562313905721494</v>
      </c>
      <c r="Q402" s="169">
        <f>TKC!$F$25/TKC!$F$23</f>
        <v>0.24050148740326824</v>
      </c>
      <c r="R402" s="169">
        <f>TKC!$G$25/TKC!$G$23</f>
        <v>0.23654229354855472</v>
      </c>
      <c r="S402" s="169">
        <f t="shared" si="73"/>
        <v>6.4800496642012373E-3</v>
      </c>
      <c r="T402" s="46"/>
      <c r="U402" s="48" t="str">
        <f t="shared" si="71"/>
        <v>USD 91.80</v>
      </c>
      <c r="V402" s="44" t="str">
        <f t="shared" si="71"/>
        <v>Turkcell</v>
      </c>
      <c r="AE402" s="41"/>
      <c r="AF402" s="31"/>
      <c r="AG402" s="31"/>
      <c r="AI402" s="41"/>
      <c r="AJ402" s="64"/>
      <c r="AK402" s="64"/>
      <c r="AM402" s="41"/>
      <c r="AN402" s="64"/>
      <c r="AO402" s="64"/>
      <c r="AQ402" s="41"/>
      <c r="AR402" s="64"/>
      <c r="AS402" s="64"/>
    </row>
    <row r="403" spans="1:45" s="5" customFormat="1">
      <c r="A403" s="39"/>
      <c r="B403" s="42"/>
      <c r="C403" s="48" t="str">
        <f t="shared" si="68"/>
        <v>VEON</v>
      </c>
      <c r="D403" s="44" t="str">
        <f t="shared" si="68"/>
        <v>USD 25.5</v>
      </c>
      <c r="E403" s="44" t="str">
        <f t="shared" si="68"/>
        <v>USD 40.0</v>
      </c>
      <c r="F403" s="45">
        <f t="shared" si="68"/>
        <v>0.56678417547982751</v>
      </c>
      <c r="G403" s="44" t="str">
        <f t="shared" si="68"/>
        <v>Buy</v>
      </c>
      <c r="H403" s="46"/>
      <c r="I403" s="45">
        <f>VIMP!$D$24/VIMP!$D$23</f>
        <v>0.43602958190924618</v>
      </c>
      <c r="J403" s="45">
        <f>VIMP!$E$24/VIMP!$E$23</f>
        <v>0.46500899665704165</v>
      </c>
      <c r="K403" s="45">
        <f>VIMP!$F$24/VIMP!$F$23</f>
        <v>0.46704201563163694</v>
      </c>
      <c r="L403" s="45">
        <f>VIMP!$G$24/VIMP!$G$23</f>
        <v>0.46704584983636749</v>
      </c>
      <c r="M403" s="45">
        <f t="shared" si="72"/>
        <v>3.101626792712131E-2</v>
      </c>
      <c r="N403" s="56"/>
      <c r="O403" s="45">
        <f>VIMP!$D$25/VIMP!$D$23</f>
        <v>0.216463185416752</v>
      </c>
      <c r="P403" s="45">
        <f>VIMP!$E$25/VIMP!$E$23</f>
        <v>0.25020558942717225</v>
      </c>
      <c r="Q403" s="45">
        <f>VIMP!$F$25/VIMP!$F$23</f>
        <v>0.24405026867679752</v>
      </c>
      <c r="R403" s="45">
        <f>VIMP!$G$25/VIMP!$G$23</f>
        <v>0.24648307905011663</v>
      </c>
      <c r="S403" s="45">
        <f t="shared" si="73"/>
        <v>3.001989363336463E-2</v>
      </c>
      <c r="T403" s="46"/>
      <c r="U403" s="48" t="str">
        <f t="shared" si="71"/>
        <v>USD 25.5</v>
      </c>
      <c r="V403" s="44" t="str">
        <f t="shared" si="71"/>
        <v>Vimpel Com</v>
      </c>
      <c r="AE403" s="41"/>
      <c r="AF403" s="31"/>
      <c r="AG403" s="31"/>
      <c r="AI403" s="41"/>
      <c r="AJ403" s="64"/>
      <c r="AK403" s="64"/>
      <c r="AM403" s="41"/>
      <c r="AN403" s="64"/>
      <c r="AO403" s="64"/>
      <c r="AQ403" s="41"/>
      <c r="AR403" s="64"/>
      <c r="AS403" s="64"/>
    </row>
    <row r="404" spans="1:45" s="5" customFormat="1">
      <c r="A404" s="39"/>
      <c r="B404" s="42"/>
      <c r="C404" s="48" t="str">
        <f t="shared" si="68"/>
        <v>Vodacom</v>
      </c>
      <c r="D404" s="44" t="str">
        <f t="shared" si="68"/>
        <v>ZAR 95.8</v>
      </c>
      <c r="E404" s="44" t="str">
        <f t="shared" si="68"/>
        <v>ZAR 130.0</v>
      </c>
      <c r="F404" s="45">
        <f t="shared" si="68"/>
        <v>0.35685210312075988</v>
      </c>
      <c r="G404" s="44" t="str">
        <f t="shared" si="68"/>
        <v>Neutral</v>
      </c>
      <c r="H404" s="46"/>
      <c r="I404" s="45">
        <f>VODA!$D$24/VODA!$D$23</f>
        <v>0.38329527594637758</v>
      </c>
      <c r="J404" s="45">
        <f>VODA!$E$24/VODA!$E$23</f>
        <v>0.38181827397609291</v>
      </c>
      <c r="K404" s="45">
        <f>VODA!$F$24/VODA!$F$23</f>
        <v>0.3882181023385643</v>
      </c>
      <c r="L404" s="45">
        <f>VODA!$G$24/VODA!$G$23</f>
        <v>0.38915532545149412</v>
      </c>
      <c r="M404" s="45">
        <f t="shared" si="72"/>
        <v>5.860049505116538E-3</v>
      </c>
      <c r="N404" s="56"/>
      <c r="O404" s="45">
        <f>VODA!$D$25/VODA!$D$23</f>
        <v>0.24631325370896745</v>
      </c>
      <c r="P404" s="45">
        <f>VODA!$E$25/VODA!$E$23</f>
        <v>0.23233157800184989</v>
      </c>
      <c r="Q404" s="45">
        <f>VODA!$F$25/VODA!$F$23</f>
        <v>0.24183419010916049</v>
      </c>
      <c r="R404" s="45">
        <f>VODA!$G$25/VODA!$G$23</f>
        <v>0.24333885652739395</v>
      </c>
      <c r="S404" s="45">
        <f t="shared" si="73"/>
        <v>-2.974397181573496E-3</v>
      </c>
      <c r="T404" s="46"/>
      <c r="U404" s="48" t="str">
        <f t="shared" si="71"/>
        <v>ZAR 95.8</v>
      </c>
      <c r="V404" s="44" t="str">
        <f t="shared" si="71"/>
        <v>Vodacom</v>
      </c>
      <c r="AE404" s="41"/>
      <c r="AF404" s="31"/>
      <c r="AG404" s="31"/>
      <c r="AI404" s="41"/>
      <c r="AJ404" s="64"/>
      <c r="AK404" s="64"/>
      <c r="AM404" s="41"/>
      <c r="AN404" s="64"/>
      <c r="AO404" s="64"/>
      <c r="AQ404" s="41"/>
      <c r="AR404" s="64"/>
      <c r="AS404" s="64"/>
    </row>
    <row r="405" spans="1:45" s="5" customFormat="1">
      <c r="A405" s="39"/>
      <c r="B405" s="42"/>
      <c r="C405" s="51" t="str">
        <f>C343</f>
        <v>Agg. EMEA Cellular</v>
      </c>
      <c r="D405" s="52"/>
      <c r="E405" s="52"/>
      <c r="F405" s="53"/>
      <c r="G405" s="52"/>
      <c r="H405" s="46"/>
      <c r="I405" s="55">
        <f>'EMEA CELLULAR'!$D$24/'EMEA CELLULAR'!$D$23</f>
        <v>0.42044243059235903</v>
      </c>
      <c r="J405" s="55">
        <f>'EMEA CELLULAR'!$E$24/'EMEA CELLULAR'!$E$23</f>
        <v>0.41442349172686277</v>
      </c>
      <c r="K405" s="55">
        <f>'EMEA CELLULAR'!$F$24/'EMEA CELLULAR'!$F$23</f>
        <v>0.41931912497467205</v>
      </c>
      <c r="L405" s="55">
        <f>'EMEA CELLULAR'!$G$24/'EMEA CELLULAR'!$G$23</f>
        <v>0.42066749660871539</v>
      </c>
      <c r="M405" s="55">
        <f t="shared" si="72"/>
        <v>2.250660163563567E-4</v>
      </c>
      <c r="N405" s="56"/>
      <c r="O405" s="55">
        <f>'EMEA CELLULAR'!$D$25/'EMEA CELLULAR'!$D$23</f>
        <v>0.21797052955132154</v>
      </c>
      <c r="P405" s="55">
        <f>'EMEA CELLULAR'!$E$25/'EMEA CELLULAR'!$E$23</f>
        <v>0.21694018863323059</v>
      </c>
      <c r="Q405" s="55">
        <f>'EMEA CELLULAR'!$F$25/'EMEA CELLULAR'!$F$23</f>
        <v>0.23163742607634297</v>
      </c>
      <c r="R405" s="55">
        <f>'EMEA CELLULAR'!$G$25/'EMEA CELLULAR'!$G$23</f>
        <v>0.24104531547392993</v>
      </c>
      <c r="S405" s="55">
        <f t="shared" si="73"/>
        <v>2.3074785922608393E-2</v>
      </c>
      <c r="T405" s="46"/>
      <c r="U405" s="57"/>
      <c r="V405" s="58" t="str">
        <f>V343</f>
        <v>Agg. EMEA Cellular</v>
      </c>
      <c r="AE405" s="41"/>
      <c r="AF405" s="31"/>
      <c r="AG405" s="31"/>
      <c r="AI405" s="41"/>
      <c r="AJ405" s="64"/>
      <c r="AK405" s="64"/>
      <c r="AM405" s="41"/>
      <c r="AN405" s="64"/>
      <c r="AO405" s="64"/>
      <c r="AQ405" s="41"/>
      <c r="AR405" s="64"/>
      <c r="AS405" s="64"/>
    </row>
    <row r="406" spans="1:45" s="5" customFormat="1">
      <c r="B406" s="42"/>
      <c r="C406" s="43"/>
      <c r="D406" s="44"/>
      <c r="E406" s="44"/>
      <c r="F406" s="45"/>
      <c r="G406" s="44"/>
      <c r="H406" s="46"/>
      <c r="I406" s="45"/>
      <c r="J406" s="45"/>
      <c r="K406" s="45"/>
      <c r="L406" s="45"/>
      <c r="M406" s="45"/>
      <c r="N406" s="56"/>
      <c r="O406" s="45"/>
      <c r="P406" s="45"/>
      <c r="Q406" s="45"/>
      <c r="R406" s="45"/>
      <c r="S406" s="45"/>
      <c r="T406" s="46"/>
      <c r="U406" s="48"/>
      <c r="V406" s="50"/>
      <c r="AE406" s="41"/>
      <c r="AF406" s="31"/>
      <c r="AG406" s="31"/>
      <c r="AI406" s="41"/>
      <c r="AJ406" s="64"/>
      <c r="AK406" s="64"/>
      <c r="AM406" s="41"/>
      <c r="AN406" s="64"/>
      <c r="AO406" s="64"/>
      <c r="AQ406" s="41"/>
      <c r="AR406" s="64"/>
      <c r="AS406" s="64"/>
    </row>
    <row r="407" spans="1:45" s="5" customFormat="1">
      <c r="B407" s="42"/>
      <c r="C407" s="48" t="str">
        <f t="shared" ref="C407:G409" si="74">C345</f>
        <v>Entel</v>
      </c>
      <c r="D407" s="44" t="str">
        <f t="shared" si="74"/>
        <v>CLP 3,022</v>
      </c>
      <c r="E407" s="44" t="str">
        <f t="shared" si="74"/>
        <v>CLP 3,150</v>
      </c>
      <c r="F407" s="45">
        <f t="shared" si="74"/>
        <v>4.2356055592323028E-2</v>
      </c>
      <c r="G407" s="44" t="str">
        <f t="shared" si="74"/>
        <v>Neutral</v>
      </c>
      <c r="H407" s="46"/>
      <c r="I407" s="169">
        <f>ENTEL!$D$24/ENTEL!$D$23</f>
        <v>0.3021984816673885</v>
      </c>
      <c r="J407" s="169">
        <f>ENTEL!$E$24/ENTEL!$E$23</f>
        <v>0.31326911090816423</v>
      </c>
      <c r="K407" s="169">
        <f>ENTEL!$F$24/ENTEL!$F$23</f>
        <v>0.32383366076057557</v>
      </c>
      <c r="L407" s="169">
        <f>ENTEL!$G$24/ENTEL!$G$23</f>
        <v>0.33366024022697255</v>
      </c>
      <c r="M407" s="45">
        <f>L407-I407</f>
        <v>3.1461758559584052E-2</v>
      </c>
      <c r="N407" s="56"/>
      <c r="O407" s="169">
        <f>ENTEL!$D$25/ENTEL!$D$23</f>
        <v>0.1212128877649561</v>
      </c>
      <c r="P407" s="169">
        <f>ENTEL!$E$25/ENTEL!$E$23</f>
        <v>0.13717786750374839</v>
      </c>
      <c r="Q407" s="169">
        <f>ENTEL!$F$25/ENTEL!$F$23</f>
        <v>0.15462440001908495</v>
      </c>
      <c r="R407" s="169">
        <f>ENTEL!$G$25/ENTEL!$G$23</f>
        <v>0.16711171115559809</v>
      </c>
      <c r="S407" s="169">
        <f>R407-O407</f>
        <v>4.5898823390641982E-2</v>
      </c>
      <c r="T407" s="46"/>
      <c r="U407" s="48" t="str">
        <f t="shared" ref="U407:V409" si="75">U345</f>
        <v>CLP 3,022</v>
      </c>
      <c r="V407" s="44" t="str">
        <f t="shared" si="75"/>
        <v>Entel</v>
      </c>
      <c r="AE407" s="41"/>
      <c r="AF407" s="31"/>
      <c r="AG407" s="31"/>
      <c r="AI407" s="41"/>
      <c r="AJ407" s="64"/>
      <c r="AK407" s="64"/>
      <c r="AM407" s="41"/>
      <c r="AN407" s="64"/>
      <c r="AO407" s="64"/>
      <c r="AQ407" s="41"/>
      <c r="AR407" s="64"/>
      <c r="AS407" s="64"/>
    </row>
    <row r="408" spans="1:45" s="5" customFormat="1">
      <c r="B408" s="42"/>
      <c r="C408" s="48" t="str">
        <f t="shared" si="74"/>
        <v>Millicom</v>
      </c>
      <c r="D408" s="44" t="str">
        <f t="shared" si="74"/>
        <v>USD  24.1</v>
      </c>
      <c r="E408" s="44" t="str">
        <f t="shared" si="74"/>
        <v>USD 18.0</v>
      </c>
      <c r="F408" s="45">
        <f t="shared" si="74"/>
        <v>-0.25280199252801994</v>
      </c>
      <c r="G408" s="44" t="str">
        <f t="shared" si="74"/>
        <v>Neutral</v>
      </c>
      <c r="H408" s="46"/>
      <c r="I408" s="169">
        <f>MILLI!$D$24/MILLI!$D$23</f>
        <v>0.37438695021863816</v>
      </c>
      <c r="J408" s="169">
        <f>MILLI!$E$24/MILLI!$E$23</f>
        <v>0.37512840707132911</v>
      </c>
      <c r="K408" s="169">
        <f>MILLI!$F$24/MILLI!$F$23</f>
        <v>0.37993509518363172</v>
      </c>
      <c r="L408" s="169">
        <f>MILLI!$G$24/MILLI!$G$23</f>
        <v>0.38424327038711092</v>
      </c>
      <c r="M408" s="45">
        <f>L408-I408</f>
        <v>9.8563201684727653E-3</v>
      </c>
      <c r="N408" s="56"/>
      <c r="O408" s="169">
        <f>MILLI!$D$25/MILLI!$D$23</f>
        <v>0.22382574297171687</v>
      </c>
      <c r="P408" s="169">
        <f>MILLI!$E$25/MILLI!$E$23</f>
        <v>0.22810254795830467</v>
      </c>
      <c r="Q408" s="169">
        <f>MILLI!$F$25/MILLI!$F$23</f>
        <v>0.23551414459753842</v>
      </c>
      <c r="R408" s="169">
        <f>MILLI!$G$25/MILLI!$G$23</f>
        <v>0.24074556666494476</v>
      </c>
      <c r="S408" s="169">
        <f>R408-O408</f>
        <v>1.6919823693227892E-2</v>
      </c>
      <c r="T408" s="46"/>
      <c r="U408" s="48" t="str">
        <f t="shared" si="75"/>
        <v>USD  24.1</v>
      </c>
      <c r="V408" s="44" t="str">
        <f t="shared" si="75"/>
        <v>Millicom</v>
      </c>
      <c r="AE408" s="41"/>
      <c r="AF408" s="31"/>
      <c r="AG408" s="31"/>
      <c r="AI408" s="41"/>
      <c r="AJ408" s="64"/>
      <c r="AK408" s="64"/>
      <c r="AM408" s="41"/>
      <c r="AN408" s="64"/>
      <c r="AO408" s="64"/>
      <c r="AQ408" s="41"/>
      <c r="AR408" s="64"/>
      <c r="AS408" s="64"/>
    </row>
    <row r="409" spans="1:45" s="5" customFormat="1">
      <c r="B409" s="42"/>
      <c r="C409" s="48" t="str">
        <f t="shared" si="74"/>
        <v>TIM Participacoes</v>
      </c>
      <c r="D409" s="44" t="str">
        <f t="shared" si="74"/>
        <v>BRL 16.42</v>
      </c>
      <c r="E409" s="44" t="str">
        <f t="shared" si="74"/>
        <v>BRL 23.00</v>
      </c>
      <c r="F409" s="45">
        <f t="shared" si="74"/>
        <v>0.40073081607795347</v>
      </c>
      <c r="G409" s="44" t="str">
        <f t="shared" si="74"/>
        <v>Buy</v>
      </c>
      <c r="H409" s="46"/>
      <c r="I409" s="45">
        <f>TIMP!$D$24/TIMP!$D$23</f>
        <v>0.49070349634474275</v>
      </c>
      <c r="J409" s="45">
        <f>TIMP!$E$24/TIMP!$E$23</f>
        <v>0.50144498241182622</v>
      </c>
      <c r="K409" s="45">
        <f>TIMP!$F$24/TIMP!$F$23</f>
        <v>0.50935073871936298</v>
      </c>
      <c r="L409" s="45">
        <f>TIMP!$G$24/TIMP!$G$23</f>
        <v>0.50728298229010571</v>
      </c>
      <c r="M409" s="45">
        <f>L409-I409</f>
        <v>1.6579485945362959E-2</v>
      </c>
      <c r="N409" s="56"/>
      <c r="O409" s="45">
        <f>TIMP!$D$25/TIMP!$D$23</f>
        <v>0.30080672399594333</v>
      </c>
      <c r="P409" s="45">
        <f>TIMP!$E$25/TIMP!$E$23</f>
        <v>0.32653896231075324</v>
      </c>
      <c r="Q409" s="45">
        <f>TIMP!$F$25/TIMP!$F$23</f>
        <v>0.34616521260364469</v>
      </c>
      <c r="R409" s="45">
        <f>TIMP!$G$25/TIMP!$G$23</f>
        <v>0.34471669529708654</v>
      </c>
      <c r="S409" s="45">
        <f>R409-O409</f>
        <v>4.3909971301143214E-2</v>
      </c>
      <c r="T409" s="46"/>
      <c r="U409" s="48" t="str">
        <f t="shared" si="75"/>
        <v>BRL 16.42</v>
      </c>
      <c r="V409" s="44" t="str">
        <f t="shared" si="75"/>
        <v>TIM Participacoes</v>
      </c>
      <c r="AE409" s="41"/>
      <c r="AF409" s="31"/>
      <c r="AG409" s="31"/>
      <c r="AI409" s="41"/>
      <c r="AJ409" s="64"/>
      <c r="AK409" s="64"/>
      <c r="AM409" s="41"/>
      <c r="AN409" s="64"/>
      <c r="AO409" s="64"/>
      <c r="AQ409" s="41"/>
      <c r="AR409" s="64"/>
      <c r="AS409" s="64"/>
    </row>
    <row r="410" spans="1:45" s="5" customFormat="1">
      <c r="B410" s="42"/>
      <c r="C410" s="51" t="str">
        <f>C348</f>
        <v>Agg. LatAm Cellular</v>
      </c>
      <c r="D410" s="52"/>
      <c r="E410" s="52"/>
      <c r="F410" s="53"/>
      <c r="G410" s="52"/>
      <c r="H410" s="46"/>
      <c r="I410" s="55">
        <f>'LATAM CELLULAR'!$D$24/'LATAM CELLULAR'!$D$23</f>
        <v>0.4020756206075719</v>
      </c>
      <c r="J410" s="55">
        <f>'LATAM CELLULAR'!$E$24/'LATAM CELLULAR'!$E$23</f>
        <v>0.41020527846678584</v>
      </c>
      <c r="K410" s="55">
        <f>'LATAM CELLULAR'!$F$24/'LATAM CELLULAR'!$F$23</f>
        <v>0.41853029032705025</v>
      </c>
      <c r="L410" s="55">
        <f>'LATAM CELLULAR'!$G$24/'LATAM CELLULAR'!$G$23</f>
        <v>0.42201126571244257</v>
      </c>
      <c r="M410" s="55">
        <f>L410-I410</f>
        <v>1.993564510487067E-2</v>
      </c>
      <c r="N410" s="56"/>
      <c r="O410" s="55">
        <f>'LATAM CELLULAR'!$D$25/'LATAM CELLULAR'!$D$23</f>
        <v>0.23141161781119046</v>
      </c>
      <c r="P410" s="55">
        <f>'LATAM CELLULAR'!$E$25/'LATAM CELLULAR'!$E$23</f>
        <v>0.24715628593282968</v>
      </c>
      <c r="Q410" s="55">
        <f>'LATAM CELLULAR'!$F$25/'LATAM CELLULAR'!$F$23</f>
        <v>0.26217793379157467</v>
      </c>
      <c r="R410" s="55">
        <f>'LATAM CELLULAR'!$G$25/'LATAM CELLULAR'!$G$23</f>
        <v>0.26673112079380895</v>
      </c>
      <c r="S410" s="55">
        <f>R410-O410</f>
        <v>3.5319502982618489E-2</v>
      </c>
      <c r="T410" s="46"/>
      <c r="U410" s="57"/>
      <c r="V410" s="58" t="str">
        <f>V348</f>
        <v>Agg. LatAm Cellular</v>
      </c>
      <c r="AE410" s="41"/>
      <c r="AF410" s="31"/>
      <c r="AG410" s="31"/>
      <c r="AI410" s="41"/>
      <c r="AJ410" s="64"/>
      <c r="AK410" s="64"/>
      <c r="AM410" s="41"/>
      <c r="AN410" s="64"/>
      <c r="AO410" s="64"/>
      <c r="AQ410" s="41"/>
      <c r="AR410" s="64"/>
      <c r="AS410" s="64"/>
    </row>
    <row r="411" spans="1:45" s="5" customFormat="1">
      <c r="A411" s="39"/>
      <c r="B411" s="42"/>
      <c r="C411" s="43"/>
      <c r="D411" s="44"/>
      <c r="E411" s="44"/>
      <c r="F411" s="45"/>
      <c r="G411" s="44"/>
      <c r="H411" s="46"/>
      <c r="I411" s="45"/>
      <c r="J411" s="45"/>
      <c r="K411" s="45"/>
      <c r="L411" s="45"/>
      <c r="M411" s="45"/>
      <c r="N411" s="46"/>
      <c r="O411" s="45"/>
      <c r="P411" s="45"/>
      <c r="Q411" s="45"/>
      <c r="R411" s="45"/>
      <c r="S411" s="45"/>
      <c r="T411" s="46"/>
      <c r="U411" s="48"/>
      <c r="V411" s="50"/>
      <c r="AE411" s="41"/>
      <c r="AF411" s="31"/>
      <c r="AG411" s="31"/>
      <c r="AI411" s="41"/>
      <c r="AJ411" s="64"/>
      <c r="AK411" s="64"/>
      <c r="AM411" s="41"/>
      <c r="AN411" s="64"/>
      <c r="AO411" s="64"/>
      <c r="AQ411" s="41"/>
      <c r="AR411" s="64"/>
      <c r="AS411" s="64"/>
    </row>
    <row r="412" spans="1:45" s="5" customFormat="1">
      <c r="B412" s="42"/>
      <c r="C412" s="48" t="str">
        <f t="shared" ref="C412:G425" si="76">C350</f>
        <v>AIS</v>
      </c>
      <c r="D412" s="44" t="str">
        <f t="shared" si="76"/>
        <v>THB 207.0</v>
      </c>
      <c r="E412" s="44" t="str">
        <f t="shared" si="76"/>
        <v>THB 300.0</v>
      </c>
      <c r="F412" s="45">
        <f t="shared" si="76"/>
        <v>0.44927536231884058</v>
      </c>
      <c r="G412" s="44" t="str">
        <f t="shared" si="76"/>
        <v>Buy</v>
      </c>
      <c r="H412" s="46"/>
      <c r="I412" s="45">
        <f>ADVANCED!$D$24/ADVANCED!$D$23</f>
        <v>0.49435864310939098</v>
      </c>
      <c r="J412" s="45">
        <f>ADVANCED!$E$24/ADVANCED!$E$23</f>
        <v>0.51426609939183843</v>
      </c>
      <c r="K412" s="45">
        <f>ADVANCED!$F$24/ADVANCED!$F$23</f>
        <v>0.52009328717501735</v>
      </c>
      <c r="L412" s="45">
        <f>ADVANCED!$G$24/ADVANCED!$G$23</f>
        <v>0.52149350585298038</v>
      </c>
      <c r="M412" s="45">
        <f t="shared" ref="M412:M426" si="77">L412-I412</f>
        <v>2.7134862743589394E-2</v>
      </c>
      <c r="N412" s="46"/>
      <c r="O412" s="45">
        <f>ADVANCED!$D$25/ADVANCED!$D$23</f>
        <v>0.29799389007428273</v>
      </c>
      <c r="P412" s="45">
        <f>ADVANCED!$E$25/ADVANCED!$E$23</f>
        <v>0.3911914521489635</v>
      </c>
      <c r="Q412" s="45">
        <f>ADVANCED!$F$25/ADVANCED!$F$23</f>
        <v>0.40327344360124923</v>
      </c>
      <c r="R412" s="45">
        <f>ADVANCED!$G$25/ADVANCED!$G$23</f>
        <v>0.39149350585298043</v>
      </c>
      <c r="S412" s="45">
        <f t="shared" ref="S412:S426" si="78">R412-O412</f>
        <v>9.3499615778697698E-2</v>
      </c>
      <c r="T412" s="46"/>
      <c r="U412" s="48" t="str">
        <f t="shared" ref="U412:V425" si="79">U350</f>
        <v>THB 207.0</v>
      </c>
      <c r="V412" s="44" t="str">
        <f t="shared" si="79"/>
        <v>AIS</v>
      </c>
      <c r="AE412" s="41"/>
      <c r="AF412" s="31"/>
      <c r="AG412" s="31"/>
      <c r="AI412" s="41"/>
      <c r="AJ412" s="64"/>
      <c r="AK412" s="64"/>
      <c r="AM412" s="41"/>
      <c r="AN412" s="64"/>
      <c r="AO412" s="64"/>
      <c r="AQ412" s="41"/>
      <c r="AR412" s="64"/>
      <c r="AS412" s="64"/>
    </row>
    <row r="413" spans="1:45" s="5" customFormat="1">
      <c r="A413" s="39"/>
      <c r="B413" s="42"/>
      <c r="C413" s="48" t="str">
        <f t="shared" si="76"/>
        <v>Axiata</v>
      </c>
      <c r="D413" s="44" t="str">
        <f t="shared" si="76"/>
        <v>MYR 2.87</v>
      </c>
      <c r="E413" s="44" t="str">
        <f t="shared" si="76"/>
        <v>MYR 4.50</v>
      </c>
      <c r="F413" s="45">
        <f t="shared" si="76"/>
        <v>0.56794425087108014</v>
      </c>
      <c r="G413" s="44" t="str">
        <f t="shared" si="76"/>
        <v>Buy</v>
      </c>
      <c r="H413" s="46"/>
      <c r="I413" s="45">
        <f>AXI!$D$24/AXI!$D$23</f>
        <v>0.4492533427810777</v>
      </c>
      <c r="J413" s="45">
        <f>AXI!$E$24/AXI!$E$23</f>
        <v>0.45509822527760119</v>
      </c>
      <c r="K413" s="45">
        <f>AXI!$F$24/AXI!$F$23</f>
        <v>0.457850259283964</v>
      </c>
      <c r="L413" s="45">
        <f>AXI!$G$24/AXI!$G$23</f>
        <v>0.46091932526679802</v>
      </c>
      <c r="M413" s="45">
        <f t="shared" si="77"/>
        <v>1.1665982485720316E-2</v>
      </c>
      <c r="N413" s="46"/>
      <c r="O413" s="45">
        <f>AXI!$D$25/AXI!$D$23</f>
        <v>0.18107447876288488</v>
      </c>
      <c r="P413" s="45">
        <f>AXI!$E$25/AXI!$E$23</f>
        <v>0.18227167007710349</v>
      </c>
      <c r="Q413" s="45">
        <f>AXI!$F$25/AXI!$F$23</f>
        <v>0.17315062477505988</v>
      </c>
      <c r="R413" s="45">
        <f>AXI!$G$25/AXI!$G$23</f>
        <v>0.17656246743266563</v>
      </c>
      <c r="S413" s="45">
        <f t="shared" si="78"/>
        <v>-4.512011330219251E-3</v>
      </c>
      <c r="T413" s="46"/>
      <c r="U413" s="48" t="str">
        <f t="shared" si="79"/>
        <v>MYR 2.87</v>
      </c>
      <c r="V413" s="44" t="str">
        <f t="shared" si="79"/>
        <v>Axiata</v>
      </c>
      <c r="AE413" s="41"/>
      <c r="AF413" s="31"/>
      <c r="AG413" s="31"/>
      <c r="AI413" s="41"/>
      <c r="AJ413" s="64"/>
      <c r="AK413" s="64"/>
      <c r="AM413" s="41"/>
      <c r="AN413" s="64"/>
      <c r="AO413" s="64"/>
      <c r="AQ413" s="41"/>
      <c r="AR413" s="64"/>
      <c r="AS413" s="64"/>
    </row>
    <row r="414" spans="1:45" s="5" customFormat="1">
      <c r="A414" s="39"/>
      <c r="B414" s="42"/>
      <c r="C414" s="48" t="str">
        <f t="shared" si="76"/>
        <v>Bharti Airtel</v>
      </c>
      <c r="D414" s="44" t="str">
        <f t="shared" si="76"/>
        <v>INR 1389</v>
      </c>
      <c r="E414" s="44" t="str">
        <f t="shared" si="76"/>
        <v>INR 1500</v>
      </c>
      <c r="F414" s="45">
        <f t="shared" si="76"/>
        <v>8.0224686734840844E-2</v>
      </c>
      <c r="G414" s="44" t="str">
        <f t="shared" si="76"/>
        <v>Buy</v>
      </c>
      <c r="H414" s="46"/>
      <c r="I414" s="45">
        <f>BHART!$D$24/BHART!$D$23</f>
        <v>0.52203781093721247</v>
      </c>
      <c r="J414" s="45">
        <f>BHART!$E$24/BHART!$E$23</f>
        <v>0.53183040489958466</v>
      </c>
      <c r="K414" s="45">
        <f>BHART!$F$24/BHART!$F$23</f>
        <v>0.54039802099120637</v>
      </c>
      <c r="L414" s="45">
        <f>BHART!$G$24/BHART!$G$23</f>
        <v>0.54492641488489035</v>
      </c>
      <c r="M414" s="45">
        <f t="shared" si="77"/>
        <v>2.2888603947677888E-2</v>
      </c>
      <c r="N414" s="46"/>
      <c r="O414" s="45">
        <f>BHART!$D$25/BHART!$D$23</f>
        <v>0.2612882952311249</v>
      </c>
      <c r="P414" s="45">
        <f>BHART!$E$25/BHART!$E$23</f>
        <v>0.31167077695718126</v>
      </c>
      <c r="Q414" s="45">
        <f>BHART!$F$25/BHART!$F$23</f>
        <v>0.34611957608006877</v>
      </c>
      <c r="R414" s="45">
        <f>BHART!$G$25/BHART!$G$23</f>
        <v>0.37668890749083306</v>
      </c>
      <c r="S414" s="45">
        <f t="shared" si="78"/>
        <v>0.11540061225970816</v>
      </c>
      <c r="T414" s="46"/>
      <c r="U414" s="48" t="str">
        <f t="shared" si="79"/>
        <v>INR 1389</v>
      </c>
      <c r="V414" s="44" t="str">
        <f t="shared" si="79"/>
        <v>Bharti Airtel</v>
      </c>
      <c r="AE414" s="41"/>
      <c r="AF414" s="31"/>
      <c r="AG414" s="31"/>
      <c r="AI414" s="41"/>
      <c r="AJ414" s="64"/>
      <c r="AK414" s="64"/>
      <c r="AM414" s="41"/>
      <c r="AN414" s="64"/>
      <c r="AO414" s="64"/>
      <c r="AQ414" s="41"/>
      <c r="AR414" s="64"/>
      <c r="AS414" s="64"/>
    </row>
    <row r="415" spans="1:45" s="5" customFormat="1">
      <c r="B415" s="42"/>
      <c r="C415" s="48" t="str">
        <f t="shared" si="76"/>
        <v>China Mobile</v>
      </c>
      <c r="D415" s="44" t="str">
        <f t="shared" si="76"/>
        <v>HKD 73.2</v>
      </c>
      <c r="E415" s="44" t="str">
        <f t="shared" si="76"/>
        <v>HKD 115.0</v>
      </c>
      <c r="F415" s="45">
        <f t="shared" si="76"/>
        <v>0.57103825136612008</v>
      </c>
      <c r="G415" s="44" t="str">
        <f t="shared" si="76"/>
        <v>Buy</v>
      </c>
      <c r="H415" s="46"/>
      <c r="I415" s="45">
        <f>_CM!$D$24/_CM!$D$23</f>
        <v>0.33832849999355996</v>
      </c>
      <c r="J415" s="45">
        <f>_CM!$E$24/_CM!$E$23</f>
        <v>0.33696748342155913</v>
      </c>
      <c r="K415" s="45">
        <f>_CM!$F$24/_CM!$F$23</f>
        <v>0.33620082823929526</v>
      </c>
      <c r="L415" s="45">
        <f>_CM!$G$24/_CM!$G$23</f>
        <v>0.33563900181282214</v>
      </c>
      <c r="M415" s="45">
        <f t="shared" si="77"/>
        <v>-2.689498180737826E-3</v>
      </c>
      <c r="N415" s="46"/>
      <c r="O415" s="45">
        <f>_CM!$D$25/_CM!$D$23</f>
        <v>0.16942383353363541</v>
      </c>
      <c r="P415" s="45">
        <f>_CM!$E$25/_CM!$E$23</f>
        <v>0.17876587724223583</v>
      </c>
      <c r="Q415" s="45">
        <f>_CM!$F$25/_CM!$F$23</f>
        <v>0.1880940421297034</v>
      </c>
      <c r="R415" s="45">
        <f>_CM!$G$25/_CM!$G$23</f>
        <v>0.19074557958627675</v>
      </c>
      <c r="S415" s="45">
        <f t="shared" si="78"/>
        <v>2.1321746052641338E-2</v>
      </c>
      <c r="T415" s="46"/>
      <c r="U415" s="48" t="str">
        <f t="shared" si="79"/>
        <v>HKD 73.2</v>
      </c>
      <c r="V415" s="44" t="str">
        <f t="shared" si="79"/>
        <v>China Mobile</v>
      </c>
      <c r="AE415" s="41"/>
      <c r="AF415" s="31"/>
      <c r="AG415" s="31"/>
      <c r="AI415" s="41"/>
      <c r="AJ415" s="64"/>
      <c r="AK415" s="64"/>
      <c r="AM415" s="41"/>
      <c r="AN415" s="64"/>
      <c r="AO415" s="64"/>
      <c r="AQ415" s="41"/>
      <c r="AR415" s="64"/>
      <c r="AS415" s="64"/>
    </row>
    <row r="416" spans="1:45" s="5" customFormat="1">
      <c r="B416" s="42"/>
      <c r="C416" s="48" t="str">
        <f t="shared" si="76"/>
        <v>CelcomDigi</v>
      </c>
      <c r="D416" s="44" t="str">
        <f t="shared" si="76"/>
        <v>MYR 4.1</v>
      </c>
      <c r="E416" s="44" t="str">
        <f t="shared" si="76"/>
        <v>MYR 6.0</v>
      </c>
      <c r="F416" s="45">
        <f t="shared" si="76"/>
        <v>0.48148148148148162</v>
      </c>
      <c r="G416" s="44" t="str">
        <f t="shared" si="76"/>
        <v>Buy</v>
      </c>
      <c r="H416" s="46"/>
      <c r="I416" s="45">
        <f>DIGI!$D$24/DIGI!$D$23</f>
        <v>0.48528345028778685</v>
      </c>
      <c r="J416" s="45">
        <f>DIGI!$E$24/DIGI!$E$23</f>
        <v>0.49886634867291202</v>
      </c>
      <c r="K416" s="45">
        <f>DIGI!$F$24/DIGI!$F$23</f>
        <v>0.50581683388808296</v>
      </c>
      <c r="L416" s="45">
        <f>DIGI!$G$24/DIGI!$G$23</f>
        <v>0.51413858013742886</v>
      </c>
      <c r="M416" s="45">
        <f t="shared" si="77"/>
        <v>2.8855129849642003E-2</v>
      </c>
      <c r="N416" s="46"/>
      <c r="O416" s="45">
        <f>DIGI!$D$25/DIGI!$D$23</f>
        <v>0.34688401797681939</v>
      </c>
      <c r="P416" s="45">
        <f>DIGI!$E$25/DIGI!$E$23</f>
        <v>0.33886634867291204</v>
      </c>
      <c r="Q416" s="45">
        <f>DIGI!$F$25/DIGI!$F$23</f>
        <v>0.355816833888083</v>
      </c>
      <c r="R416" s="45">
        <f>DIGI!$G$25/DIGI!$G$23</f>
        <v>0.37413858013742884</v>
      </c>
      <c r="S416" s="45">
        <f t="shared" si="78"/>
        <v>2.7254562160609452E-2</v>
      </c>
      <c r="T416" s="46"/>
      <c r="U416" s="48" t="str">
        <f t="shared" si="79"/>
        <v>MYR 4.1</v>
      </c>
      <c r="V416" s="44" t="str">
        <f t="shared" si="79"/>
        <v>CelcomDigi</v>
      </c>
      <c r="AE416" s="41"/>
      <c r="AF416" s="31"/>
      <c r="AG416" s="31"/>
      <c r="AI416" s="41"/>
      <c r="AJ416" s="64"/>
      <c r="AK416" s="64"/>
      <c r="AM416" s="41"/>
      <c r="AN416" s="64"/>
      <c r="AO416" s="64"/>
      <c r="AQ416" s="41"/>
      <c r="AR416" s="64"/>
      <c r="AS416" s="64"/>
    </row>
    <row r="417" spans="1:45" s="5" customFormat="1">
      <c r="B417" s="42"/>
      <c r="C417" s="48" t="str">
        <f t="shared" si="76"/>
        <v>Far EasTone</v>
      </c>
      <c r="D417" s="44" t="str">
        <f t="shared" si="76"/>
        <v>TWD 84.0</v>
      </c>
      <c r="E417" s="44" t="str">
        <f t="shared" si="76"/>
        <v>TWD n/r</v>
      </c>
      <c r="F417" s="45" t="str">
        <f t="shared" si="76"/>
        <v>-</v>
      </c>
      <c r="G417" s="44" t="str">
        <f t="shared" si="76"/>
        <v>n/r</v>
      </c>
      <c r="H417" s="46"/>
      <c r="I417" s="45">
        <f>FAR!$D$24/FAR!$D$23</f>
        <v>0.33800183063434858</v>
      </c>
      <c r="J417" s="45">
        <f>FAR!$E$24/FAR!$E$23</f>
        <v>0.33522144057364628</v>
      </c>
      <c r="K417" s="45">
        <f>FAR!$F$24/FAR!$F$23</f>
        <v>0.33239780982015238</v>
      </c>
      <c r="L417" s="45">
        <f>FAR!$G$24/FAR!$G$23</f>
        <v>0.32953284347703243</v>
      </c>
      <c r="M417" s="45">
        <f t="shared" si="77"/>
        <v>-8.4689871573161435E-3</v>
      </c>
      <c r="N417" s="46"/>
      <c r="O417" s="45">
        <f>FAR!$D$25/FAR!$D$23</f>
        <v>0.23800183063434857</v>
      </c>
      <c r="P417" s="45">
        <f>FAR!$E$25/FAR!$E$23</f>
        <v>0.24022144057364633</v>
      </c>
      <c r="Q417" s="45">
        <f>FAR!$F$25/FAR!$F$23</f>
        <v>0.23739780982015238</v>
      </c>
      <c r="R417" s="45">
        <f>FAR!$G$25/FAR!$G$23</f>
        <v>0.23453284347703246</v>
      </c>
      <c r="S417" s="45">
        <f t="shared" si="78"/>
        <v>-3.4689871573161113E-3</v>
      </c>
      <c r="T417" s="46"/>
      <c r="U417" s="48" t="str">
        <f t="shared" si="79"/>
        <v>TWD 84.0</v>
      </c>
      <c r="V417" s="44" t="str">
        <f t="shared" si="79"/>
        <v>Far EasTone</v>
      </c>
      <c r="AE417" s="41"/>
      <c r="AF417" s="31"/>
      <c r="AG417" s="31"/>
      <c r="AI417" s="41"/>
      <c r="AJ417" s="64"/>
      <c r="AK417" s="64"/>
      <c r="AM417" s="41"/>
      <c r="AN417" s="64"/>
      <c r="AO417" s="64"/>
      <c r="AQ417" s="41"/>
      <c r="AR417" s="64"/>
      <c r="AS417" s="64"/>
    </row>
    <row r="418" spans="1:45" s="5" customFormat="1">
      <c r="B418" s="42"/>
      <c r="C418" s="48" t="str">
        <f t="shared" si="76"/>
        <v>Vodafone IDEA</v>
      </c>
      <c r="D418" s="44" t="str">
        <f t="shared" si="76"/>
        <v>INR 15.1</v>
      </c>
      <c r="E418" s="44" t="str">
        <f t="shared" si="76"/>
        <v>INR 5.0</v>
      </c>
      <c r="F418" s="45">
        <f t="shared" si="76"/>
        <v>-0.66909331568497676</v>
      </c>
      <c r="G418" s="44" t="str">
        <f t="shared" si="76"/>
        <v>Reduce</v>
      </c>
      <c r="H418" s="46"/>
      <c r="I418" s="45">
        <f>IDEA!$D$24/IDEA!$D$23</f>
        <v>0.40153147471261402</v>
      </c>
      <c r="J418" s="45">
        <f>IDEA!$E$24/IDEA!$E$23</f>
        <v>0.40914094882516294</v>
      </c>
      <c r="K418" s="45">
        <f>IDEA!$F$24/IDEA!$F$23</f>
        <v>0.42192583387412175</v>
      </c>
      <c r="L418" s="45">
        <f>IDEA!$G$24/IDEA!$G$23</f>
        <v>0.42950052156019608</v>
      </c>
      <c r="M418" s="45">
        <f t="shared" si="77"/>
        <v>2.7969046847582058E-2</v>
      </c>
      <c r="N418" s="46"/>
      <c r="O418" s="45">
        <f>IDEA!$D$25/IDEA!$D$23</f>
        <v>0.35815688471971807</v>
      </c>
      <c r="P418" s="45">
        <f>IDEA!$E$25/IDEA!$E$23</f>
        <v>2.9140948825162903E-2</v>
      </c>
      <c r="Q418" s="45">
        <f>IDEA!$F$25/IDEA!$F$23</f>
        <v>4.1925833874121708E-2</v>
      </c>
      <c r="R418" s="45">
        <f>IDEA!$G$25/IDEA!$G$23</f>
        <v>0.22950052156019607</v>
      </c>
      <c r="S418" s="45">
        <f t="shared" si="78"/>
        <v>-0.128656363159522</v>
      </c>
      <c r="T418" s="46"/>
      <c r="U418" s="48" t="str">
        <f t="shared" si="79"/>
        <v>INR 15.1</v>
      </c>
      <c r="V418" s="44" t="str">
        <f t="shared" si="79"/>
        <v>Vodafone IDEA</v>
      </c>
      <c r="AE418" s="41"/>
      <c r="AF418" s="31"/>
      <c r="AG418" s="31"/>
      <c r="AI418" s="41"/>
      <c r="AJ418" s="64"/>
      <c r="AK418" s="64"/>
      <c r="AM418" s="41"/>
      <c r="AN418" s="64"/>
      <c r="AO418" s="64"/>
      <c r="AQ418" s="41"/>
      <c r="AR418" s="64"/>
      <c r="AS418" s="64"/>
    </row>
    <row r="419" spans="1:45">
      <c r="A419" s="5"/>
      <c r="C419" s="48" t="str">
        <f t="shared" si="76"/>
        <v>Indosat</v>
      </c>
      <c r="D419" s="44" t="str">
        <f t="shared" si="76"/>
        <v>IDR 10,075</v>
      </c>
      <c r="E419" s="44" t="str">
        <f t="shared" si="76"/>
        <v>IDR 12,500</v>
      </c>
      <c r="F419" s="45">
        <f t="shared" si="76"/>
        <v>0.2406947890818858</v>
      </c>
      <c r="G419" s="44" t="str">
        <f t="shared" si="76"/>
        <v>Buy</v>
      </c>
      <c r="H419" s="46"/>
      <c r="I419" s="45">
        <f>INDO!$D$24/INDO!$D$23</f>
        <v>0.46727586826160283</v>
      </c>
      <c r="J419" s="45">
        <f>INDO!$E$24/INDO!$E$23</f>
        <v>0.48947062036473549</v>
      </c>
      <c r="K419" s="45">
        <f>INDO!$F$24/INDO!$F$23</f>
        <v>0.49255413011878846</v>
      </c>
      <c r="L419" s="45">
        <f>INDO!$G$24/INDO!$G$23</f>
        <v>0.49547915162411266</v>
      </c>
      <c r="M419" s="45">
        <f t="shared" si="77"/>
        <v>2.8203283362509823E-2</v>
      </c>
      <c r="N419" s="46"/>
      <c r="O419" s="45">
        <f>INDO!$D$25/INDO!$D$23</f>
        <v>0.21774045068399028</v>
      </c>
      <c r="P419" s="45">
        <f>INDO!$E$25/INDO!$E$23</f>
        <v>0.27234039554119954</v>
      </c>
      <c r="Q419" s="45">
        <f>INDO!$F$25/INDO!$F$23</f>
        <v>0.29219948173099852</v>
      </c>
      <c r="R419" s="45">
        <f>INDO!$G$25/INDO!$G$23</f>
        <v>0.2951169057069391</v>
      </c>
      <c r="S419" s="45">
        <f t="shared" si="78"/>
        <v>7.737645502294882E-2</v>
      </c>
      <c r="T419" s="46"/>
      <c r="U419" s="48" t="str">
        <f t="shared" si="79"/>
        <v>IDR 10,075</v>
      </c>
      <c r="V419" s="44" t="str">
        <f t="shared" si="79"/>
        <v>Indosat</v>
      </c>
      <c r="AE419" s="41"/>
      <c r="AF419" s="31"/>
      <c r="AG419" s="31"/>
      <c r="AI419" s="41"/>
      <c r="AJ419" s="64"/>
      <c r="AK419" s="64"/>
      <c r="AM419" s="41"/>
      <c r="AN419" s="64"/>
      <c r="AO419" s="64"/>
      <c r="AQ419" s="41"/>
      <c r="AR419" s="64"/>
      <c r="AS419" s="64"/>
    </row>
    <row r="420" spans="1:45">
      <c r="A420" s="5"/>
      <c r="C420" s="48" t="str">
        <f t="shared" si="76"/>
        <v>LG Uplus</v>
      </c>
      <c r="D420" s="44" t="str">
        <f t="shared" si="76"/>
        <v>KRW 9,770</v>
      </c>
      <c r="E420" s="44" t="str">
        <f t="shared" si="76"/>
        <v>KRW 21,000</v>
      </c>
      <c r="F420" s="45">
        <f t="shared" si="76"/>
        <v>1.1494370522006143</v>
      </c>
      <c r="G420" s="44" t="str">
        <f t="shared" si="76"/>
        <v>Buy</v>
      </c>
      <c r="H420" s="46"/>
      <c r="I420" s="45">
        <f>_LG!$D$24/_LG!$D$23</f>
        <v>0.24834007415483456</v>
      </c>
      <c r="J420" s="45">
        <f>_LG!$E$24/_LG!$E$23</f>
        <v>0.25323983989780696</v>
      </c>
      <c r="K420" s="45">
        <f>_LG!$F$24/_LG!$F$23</f>
        <v>0.25649877462821474</v>
      </c>
      <c r="L420" s="45">
        <f>_LG!$G$24/_LG!$G$23</f>
        <v>0.25861144133600633</v>
      </c>
      <c r="M420" s="45">
        <f t="shared" si="77"/>
        <v>1.0271367181171775E-2</v>
      </c>
      <c r="N420" s="46"/>
      <c r="O420" s="45">
        <f>_LG!$D$25/_LG!$D$23</f>
        <v>7.3403406335514093E-2</v>
      </c>
      <c r="P420" s="45">
        <f>_LG!$E$25/_LG!$E$23</f>
        <v>9.8571987529728969E-2</v>
      </c>
      <c r="Q420" s="45">
        <f>_LG!$F$25/_LG!$F$23</f>
        <v>0.1042503828226221</v>
      </c>
      <c r="R420" s="45">
        <f>_LG!$G$25/_LG!$G$23</f>
        <v>0.10875763996553336</v>
      </c>
      <c r="S420" s="45">
        <f t="shared" si="78"/>
        <v>3.5354233630019272E-2</v>
      </c>
      <c r="T420" s="46"/>
      <c r="U420" s="48" t="str">
        <f t="shared" si="79"/>
        <v>KRW 9,770</v>
      </c>
      <c r="V420" s="44" t="str">
        <f t="shared" si="79"/>
        <v>LG Uplus</v>
      </c>
      <c r="AE420" s="41"/>
      <c r="AF420" s="31"/>
      <c r="AG420" s="31"/>
      <c r="AI420" s="41"/>
      <c r="AJ420" s="64"/>
      <c r="AK420" s="64"/>
      <c r="AM420" s="41"/>
      <c r="AN420" s="64"/>
      <c r="AO420" s="64"/>
      <c r="AQ420" s="41"/>
      <c r="AR420" s="64"/>
      <c r="AS420" s="64"/>
    </row>
    <row r="421" spans="1:45">
      <c r="C421" s="48" t="str">
        <f t="shared" si="76"/>
        <v>Maxis</v>
      </c>
      <c r="D421" s="44" t="str">
        <f t="shared" si="76"/>
        <v>MYR 3.71</v>
      </c>
      <c r="E421" s="44" t="str">
        <f t="shared" si="76"/>
        <v>MYR 5.60</v>
      </c>
      <c r="F421" s="45">
        <f t="shared" si="76"/>
        <v>0.50943396226415083</v>
      </c>
      <c r="G421" s="44" t="str">
        <f t="shared" si="76"/>
        <v>Buy</v>
      </c>
      <c r="H421" s="46"/>
      <c r="I421" s="45">
        <f>MAXI!$D$24/MAXI!$D$23</f>
        <v>0.38899803536345778</v>
      </c>
      <c r="J421" s="45">
        <f>MAXI!$E$24/MAXI!$E$23</f>
        <v>0.39242870848035305</v>
      </c>
      <c r="K421" s="45">
        <f>MAXI!$F$24/MAXI!$F$23</f>
        <v>0.39402724566268205</v>
      </c>
      <c r="L421" s="45">
        <f>MAXI!$G$24/MAXI!$G$23</f>
        <v>0.39576435237979013</v>
      </c>
      <c r="M421" s="45">
        <f t="shared" si="77"/>
        <v>6.7663170163323461E-3</v>
      </c>
      <c r="N421" s="46"/>
      <c r="O421" s="45">
        <f>MAXI!$D$25/MAXI!$D$23</f>
        <v>0.30913555992141456</v>
      </c>
      <c r="P421" s="45">
        <f>MAXI!$E$25/MAXI!$E$23</f>
        <v>0.28242870848035301</v>
      </c>
      <c r="Q421" s="45">
        <f>MAXI!$F$25/MAXI!$F$23</f>
        <v>0.28402724566268206</v>
      </c>
      <c r="R421" s="45">
        <f>MAXI!$G$25/MAXI!$G$23</f>
        <v>0.28576435237979014</v>
      </c>
      <c r="S421" s="45">
        <f t="shared" si="78"/>
        <v>-2.3371207541624417E-2</v>
      </c>
      <c r="T421" s="46"/>
      <c r="U421" s="48" t="str">
        <f t="shared" si="79"/>
        <v>MYR 3.71</v>
      </c>
      <c r="V421" s="44" t="str">
        <f t="shared" si="79"/>
        <v>Maxis</v>
      </c>
      <c r="AE421" s="41"/>
      <c r="AF421" s="31"/>
      <c r="AG421" s="31"/>
      <c r="AI421" s="41"/>
      <c r="AJ421" s="64"/>
      <c r="AK421" s="64"/>
      <c r="AM421" s="41"/>
      <c r="AN421" s="64"/>
      <c r="AO421" s="64"/>
      <c r="AQ421" s="41"/>
      <c r="AR421" s="64"/>
      <c r="AS421" s="64"/>
    </row>
    <row r="422" spans="1:45">
      <c r="A422" s="5"/>
      <c r="C422" s="48" t="str">
        <f t="shared" si="76"/>
        <v>SK Telecom</v>
      </c>
      <c r="D422" s="44" t="str">
        <f t="shared" si="76"/>
        <v>KRW 51,800</v>
      </c>
      <c r="E422" s="44" t="str">
        <f t="shared" si="76"/>
        <v>KRW 116,000</v>
      </c>
      <c r="F422" s="45">
        <f t="shared" si="76"/>
        <v>1.2393822393822393</v>
      </c>
      <c r="G422" s="44" t="str">
        <f t="shared" si="76"/>
        <v>Buy</v>
      </c>
      <c r="H422" s="46"/>
      <c r="I422" s="45">
        <f>SKT!$D$24/SKT!$D$23</f>
        <v>0.31251017745644127</v>
      </c>
      <c r="J422" s="45">
        <f>SKT!$E$24/SKT!$E$23</f>
        <v>0.31672312489655596</v>
      </c>
      <c r="K422" s="45">
        <f>SKT!$F$24/SKT!$F$23</f>
        <v>0.3215824022830594</v>
      </c>
      <c r="L422" s="45">
        <f>SKT!$G$24/SKT!$G$23</f>
        <v>0.32630801047016122</v>
      </c>
      <c r="M422" s="45">
        <f t="shared" si="77"/>
        <v>1.3797833013719951E-2</v>
      </c>
      <c r="N422" s="46"/>
      <c r="O422" s="45">
        <f>SKT!$D$25/SKT!$D$23</f>
        <v>0.1567901695122868</v>
      </c>
      <c r="P422" s="45">
        <f>SKT!$E$25/SKT!$E$23</f>
        <v>0.16332395361871715</v>
      </c>
      <c r="Q422" s="45">
        <f>SKT!$F$25/SKT!$F$23</f>
        <v>0.1757513261877055</v>
      </c>
      <c r="R422" s="45">
        <f>SKT!$G$25/SKT!$G$23</f>
        <v>0.18569203651524285</v>
      </c>
      <c r="S422" s="45">
        <f t="shared" si="78"/>
        <v>2.890186700295605E-2</v>
      </c>
      <c r="T422" s="46"/>
      <c r="U422" s="48" t="str">
        <f t="shared" si="79"/>
        <v>KRW 51,800</v>
      </c>
      <c r="V422" s="44" t="str">
        <f t="shared" si="79"/>
        <v>SK Telecom</v>
      </c>
      <c r="AE422" s="41"/>
      <c r="AF422" s="31"/>
      <c r="AG422" s="31"/>
      <c r="AI422" s="41"/>
      <c r="AJ422" s="64"/>
      <c r="AK422" s="64"/>
      <c r="AM422" s="41"/>
      <c r="AN422" s="64"/>
      <c r="AO422" s="64"/>
      <c r="AQ422" s="41"/>
      <c r="AR422" s="64"/>
      <c r="AS422" s="64"/>
    </row>
    <row r="423" spans="1:45">
      <c r="A423" s="5"/>
      <c r="C423" s="48" t="str">
        <f t="shared" si="76"/>
        <v>Taiwan Mobile</v>
      </c>
      <c r="D423" s="44" t="str">
        <f t="shared" si="76"/>
        <v>TWD 106.5</v>
      </c>
      <c r="E423" s="44" t="str">
        <f t="shared" si="76"/>
        <v>TWD n/r</v>
      </c>
      <c r="F423" s="45" t="str">
        <f t="shared" si="76"/>
        <v>-</v>
      </c>
      <c r="G423" s="44" t="str">
        <f t="shared" si="76"/>
        <v>n/r</v>
      </c>
      <c r="H423" s="46"/>
      <c r="I423" s="45">
        <f>TAIWAN!$D$24/TAIWAN!$D$23</f>
        <v>0.22476342446152875</v>
      </c>
      <c r="J423" s="45">
        <f>TAIWAN!$E$24/TAIWAN!$E$23</f>
        <v>0.22785542408181267</v>
      </c>
      <c r="K423" s="45">
        <f>TAIWAN!$F$24/TAIWAN!$F$23</f>
        <v>0.23160527986299795</v>
      </c>
      <c r="L423" s="45">
        <f>TAIWAN!$G$24/TAIWAN!$G$23</f>
        <v>0.24122065671583481</v>
      </c>
      <c r="M423" s="45">
        <f t="shared" si="77"/>
        <v>1.6457232254306065E-2</v>
      </c>
      <c r="N423" s="46"/>
      <c r="O423" s="45">
        <f>TAIWAN!$D$25/TAIWAN!$D$23</f>
        <v>0.15476342446152874</v>
      </c>
      <c r="P423" s="45">
        <f>TAIWAN!$E$25/TAIWAN!$E$23</f>
        <v>0.16785542408181267</v>
      </c>
      <c r="Q423" s="45">
        <f>TAIWAN!$F$25/TAIWAN!$F$23</f>
        <v>0.16660527986299795</v>
      </c>
      <c r="R423" s="45">
        <f>TAIWAN!$G$25/TAIWAN!$G$23</f>
        <v>0.17622065671583484</v>
      </c>
      <c r="S423" s="45">
        <f t="shared" si="78"/>
        <v>2.1457232254306097E-2</v>
      </c>
      <c r="T423" s="46"/>
      <c r="U423" s="48" t="str">
        <f t="shared" si="79"/>
        <v>TWD 106.5</v>
      </c>
      <c r="V423" s="44" t="str">
        <f t="shared" si="79"/>
        <v>Taiwan Mobile</v>
      </c>
      <c r="AE423" s="41"/>
      <c r="AF423" s="31"/>
      <c r="AG423" s="31"/>
      <c r="AI423" s="41"/>
      <c r="AJ423" s="64"/>
      <c r="AK423" s="64"/>
      <c r="AM423" s="41"/>
      <c r="AN423" s="64"/>
      <c r="AO423" s="64"/>
      <c r="AQ423" s="41"/>
      <c r="AR423" s="64"/>
      <c r="AS423" s="64"/>
    </row>
    <row r="424" spans="1:45" s="5" customFormat="1">
      <c r="B424" s="42"/>
      <c r="C424" s="48" t="str">
        <f t="shared" si="76"/>
        <v>True Corp</v>
      </c>
      <c r="D424" s="44" t="str">
        <f t="shared" si="76"/>
        <v>THB 8.0</v>
      </c>
      <c r="E424" s="44" t="str">
        <f t="shared" si="76"/>
        <v>THB 15.0</v>
      </c>
      <c r="F424" s="45">
        <f t="shared" si="76"/>
        <v>0.875</v>
      </c>
      <c r="G424" s="44" t="str">
        <f t="shared" si="76"/>
        <v>Buy</v>
      </c>
      <c r="H424" s="46"/>
      <c r="I424" s="45">
        <f>TRUECORP!$D$24/TRUECORP!$D$23</f>
        <v>0.4226397050124226</v>
      </c>
      <c r="J424" s="45">
        <f>TRUECORP!$E$24/TRUECORP!$E$23</f>
        <v>0.46013681349456931</v>
      </c>
      <c r="K424" s="45">
        <f>TRUECORP!$F$24/TRUECORP!$F$23</f>
        <v>0.49025233707161964</v>
      </c>
      <c r="L424" s="45">
        <f>TRUECORP!$G$24/TRUECORP!$G$23</f>
        <v>0.51707646061171209</v>
      </c>
      <c r="M424" s="45">
        <f>L424-I424</f>
        <v>9.443675559928949E-2</v>
      </c>
      <c r="N424" s="46"/>
      <c r="O424" s="45">
        <f>TRUECORP!$D$25/TRUECORP!$D$23</f>
        <v>0.23969219544898845</v>
      </c>
      <c r="P424" s="45">
        <f>TRUECORP!$E$25/TRUECORP!$E$23</f>
        <v>0.32013681349456929</v>
      </c>
      <c r="Q424" s="45">
        <f>TRUECORP!$F$25/TRUECORP!$F$23</f>
        <v>0.36025233707161963</v>
      </c>
      <c r="R424" s="45">
        <f>TRUECORP!$G$25/TRUECORP!$G$23</f>
        <v>0.38707646061171214</v>
      </c>
      <c r="S424" s="45">
        <f>R424-O424</f>
        <v>0.14738426516272368</v>
      </c>
      <c r="T424" s="46"/>
      <c r="U424" s="48" t="str">
        <f t="shared" si="79"/>
        <v>THB 8.0</v>
      </c>
      <c r="V424" s="44" t="str">
        <f t="shared" si="79"/>
        <v>True Corp</v>
      </c>
      <c r="AE424" s="41"/>
      <c r="AF424" s="31"/>
      <c r="AG424" s="31"/>
      <c r="AI424" s="41"/>
      <c r="AJ424" s="64"/>
      <c r="AK424" s="64"/>
      <c r="AM424" s="41"/>
      <c r="AN424" s="64"/>
      <c r="AO424" s="64"/>
      <c r="AQ424" s="41"/>
      <c r="AR424" s="64"/>
      <c r="AS424" s="64"/>
    </row>
    <row r="425" spans="1:45" s="5" customFormat="1">
      <c r="B425" s="42"/>
      <c r="C425" s="48" t="str">
        <f t="shared" si="76"/>
        <v>XL Axiata</v>
      </c>
      <c r="D425" s="44" t="str">
        <f t="shared" si="76"/>
        <v>IDR 2,470</v>
      </c>
      <c r="E425" s="44" t="str">
        <f t="shared" si="76"/>
        <v>IDR 5,000</v>
      </c>
      <c r="F425" s="45">
        <f t="shared" si="76"/>
        <v>1.0242914979757085</v>
      </c>
      <c r="G425" s="44" t="str">
        <f t="shared" si="76"/>
        <v>Buy</v>
      </c>
      <c r="H425" s="46"/>
      <c r="I425" s="45">
        <f>XLAX!$D$24/XLAX!$D$23</f>
        <v>0.49145102609312574</v>
      </c>
      <c r="J425" s="45">
        <f>XLAX!$E$24/XLAX!$E$23</f>
        <v>0.50738857836877316</v>
      </c>
      <c r="K425" s="45">
        <f>XLAX!$F$24/XLAX!$F$23</f>
        <v>0.50838857836877305</v>
      </c>
      <c r="L425" s="45">
        <f>XLAX!$G$24/XLAX!$G$23</f>
        <v>0.50938857836877316</v>
      </c>
      <c r="M425" s="45">
        <f t="shared" si="77"/>
        <v>1.7937552275647417E-2</v>
      </c>
      <c r="N425" s="56"/>
      <c r="O425" s="45">
        <f>XLAX!$D$25/XLAX!$D$23</f>
        <v>0.26999641830120924</v>
      </c>
      <c r="P425" s="45">
        <f>XLAX!$E$25/XLAX!$E$23</f>
        <v>0.27238857836877317</v>
      </c>
      <c r="Q425" s="45">
        <f>XLAX!$F$25/XLAX!$F$23</f>
        <v>0.28338857836877307</v>
      </c>
      <c r="R425" s="45">
        <f>XLAX!$G$25/XLAX!$G$23</f>
        <v>0.28438857836877318</v>
      </c>
      <c r="S425" s="45">
        <f t="shared" si="78"/>
        <v>1.4392160067563942E-2</v>
      </c>
      <c r="T425" s="46"/>
      <c r="U425" s="48" t="str">
        <f t="shared" si="79"/>
        <v>IDR 2,470</v>
      </c>
      <c r="V425" s="44" t="str">
        <f t="shared" si="79"/>
        <v>XL Axiata</v>
      </c>
    </row>
    <row r="426" spans="1:45" s="5" customFormat="1">
      <c r="B426" s="42"/>
      <c r="C426" s="51" t="str">
        <f>C364</f>
        <v>Agg. Emerging Asia Cellular</v>
      </c>
      <c r="D426" s="52"/>
      <c r="E426" s="52"/>
      <c r="F426" s="53"/>
      <c r="G426" s="52"/>
      <c r="H426" s="46"/>
      <c r="I426" s="55">
        <f>'EM ASIA CELLULAR'!$D$24/'EM ASIA CELLULAR'!$D$23</f>
        <v>0.36068150278788863</v>
      </c>
      <c r="J426" s="55">
        <f>'EM ASIA CELLULAR'!$E$24/'EM ASIA CELLULAR'!$E$23</f>
        <v>0.36501193321653741</v>
      </c>
      <c r="K426" s="55">
        <f>'EM ASIA CELLULAR'!$F$24/'EM ASIA CELLULAR'!$F$23</f>
        <v>0.36909571319636486</v>
      </c>
      <c r="L426" s="55">
        <f>'EM ASIA CELLULAR'!$G$24/'EM ASIA CELLULAR'!$G$23</f>
        <v>0.37265846460588331</v>
      </c>
      <c r="M426" s="55">
        <f t="shared" si="77"/>
        <v>1.197696181799468E-2</v>
      </c>
      <c r="N426" s="56"/>
      <c r="O426" s="55">
        <f>'EM ASIA CELLULAR'!$D$25/'EM ASIA CELLULAR'!$D$23</f>
        <v>0.18691505929153199</v>
      </c>
      <c r="P426" s="55">
        <f>'EM ASIA CELLULAR'!$E$25/'EM ASIA CELLULAR'!$E$23</f>
        <v>0.1968762420477678</v>
      </c>
      <c r="Q426" s="55">
        <f>'EM ASIA CELLULAR'!$F$25/'EM ASIA CELLULAR'!$F$23</f>
        <v>0.20974271280979098</v>
      </c>
      <c r="R426" s="55">
        <f>'EM ASIA CELLULAR'!$G$25/'EM ASIA CELLULAR'!$G$23</f>
        <v>0.22238254113467135</v>
      </c>
      <c r="S426" s="55">
        <f t="shared" si="78"/>
        <v>3.5467481843139359E-2</v>
      </c>
      <c r="T426" s="46"/>
      <c r="U426" s="57"/>
      <c r="V426" s="58" t="str">
        <f>V364</f>
        <v>Agg. Emerging Asia Cellular</v>
      </c>
    </row>
    <row r="427" spans="1:45" s="5" customFormat="1">
      <c r="B427" s="42"/>
      <c r="C427" s="43"/>
      <c r="D427" s="44"/>
      <c r="E427" s="44"/>
      <c r="F427" s="68"/>
      <c r="G427" s="44"/>
      <c r="H427" s="46"/>
      <c r="I427" s="61"/>
      <c r="J427" s="61"/>
      <c r="K427" s="61"/>
      <c r="L427" s="61"/>
      <c r="M427" s="61"/>
      <c r="N427" s="46"/>
      <c r="O427" s="61"/>
      <c r="P427" s="61"/>
      <c r="Q427" s="61"/>
      <c r="R427" s="61"/>
      <c r="S427" s="61"/>
      <c r="T427" s="46"/>
      <c r="U427" s="48"/>
      <c r="V427" s="50"/>
    </row>
    <row r="428" spans="1:45" s="5" customFormat="1">
      <c r="B428" s="42"/>
      <c r="C428" s="51" t="str">
        <f>C366</f>
        <v>Agg. Emerging  Cellular</v>
      </c>
      <c r="D428" s="52"/>
      <c r="E428" s="52"/>
      <c r="F428" s="53"/>
      <c r="G428" s="52"/>
      <c r="H428" s="46"/>
      <c r="I428" s="55">
        <f>'EM CELLULAR'!$D$24/'EM CELLULAR'!$D$23</f>
        <v>0.37074020125021467</v>
      </c>
      <c r="J428" s="55">
        <f>'EM CELLULAR'!$E$24/'EM CELLULAR'!$E$23</f>
        <v>0.37346648824768286</v>
      </c>
      <c r="K428" s="55">
        <f>'EM CELLULAR'!$F$24/'EM CELLULAR'!$F$23</f>
        <v>0.37794897655852783</v>
      </c>
      <c r="L428" s="55">
        <f>'EM CELLULAR'!$G$24/'EM CELLULAR'!$G$23</f>
        <v>0.38127204754277794</v>
      </c>
      <c r="M428" s="55">
        <f t="shared" ref="M428" si="80">L428-I428</f>
        <v>1.0531846292563263E-2</v>
      </c>
      <c r="N428" s="46"/>
      <c r="O428" s="55">
        <f>'EM CELLULAR'!$D$25/'EM CELLULAR'!$D$23</f>
        <v>0.19324832931808483</v>
      </c>
      <c r="P428" s="55">
        <f>'EM CELLULAR'!$E$25/'EM CELLULAR'!$E$23</f>
        <v>0.20183647526066251</v>
      </c>
      <c r="Q428" s="55">
        <f>'EM CELLULAR'!$F$25/'EM CELLULAR'!$F$23</f>
        <v>0.21505099886614912</v>
      </c>
      <c r="R428" s="55">
        <f>'EM CELLULAR'!$G$25/'EM CELLULAR'!$G$23</f>
        <v>0.2268903739915554</v>
      </c>
      <c r="S428" s="55">
        <f t="shared" ref="S428" si="81">R428-O428</f>
        <v>3.3642044673470567E-2</v>
      </c>
      <c r="T428" s="46"/>
      <c r="U428" s="57"/>
      <c r="V428" s="58" t="str">
        <f>V366</f>
        <v>Agg. Emerging  Cellular</v>
      </c>
    </row>
    <row r="429" spans="1:45" s="5" customFormat="1">
      <c r="A429" s="39"/>
      <c r="B429" s="42"/>
      <c r="C429" s="43"/>
      <c r="D429" s="44"/>
      <c r="E429" s="44"/>
      <c r="F429" s="45"/>
      <c r="G429" s="44"/>
      <c r="H429" s="46"/>
      <c r="I429" s="45"/>
      <c r="J429" s="45"/>
      <c r="K429" s="45"/>
      <c r="L429" s="45"/>
      <c r="M429" s="45"/>
      <c r="N429" s="46"/>
      <c r="O429" s="45"/>
      <c r="P429" s="45"/>
      <c r="Q429" s="45"/>
      <c r="R429" s="45"/>
      <c r="S429" s="45"/>
      <c r="T429" s="46"/>
      <c r="U429" s="48"/>
      <c r="V429" s="50"/>
    </row>
    <row r="430" spans="1:45">
      <c r="A430" s="41" t="s">
        <v>508</v>
      </c>
      <c r="B430" s="42" t="s">
        <v>582</v>
      </c>
      <c r="C430" s="48" t="s">
        <v>819</v>
      </c>
      <c r="D430" s="44" t="str">
        <f>'EM Multiples'!B430&amp;TEXT(Prices!C$135,"0.00")</f>
        <v>MXN52.16</v>
      </c>
      <c r="E430" s="44" t="str">
        <f>'EM Multiples'!B430&amp;TEXT(Prices!E$135,"0.00")</f>
        <v>MXN55.00</v>
      </c>
      <c r="F430" s="45">
        <f>Prices!F$135</f>
        <v>5.444785276073616E-2</v>
      </c>
      <c r="G430" s="44" t="str">
        <f>Prices!D$135</f>
        <v>Buy</v>
      </c>
      <c r="H430" s="46"/>
      <c r="I430" s="45">
        <f>MEGA!$D$24/MEGA!$D$23</f>
        <v>0.44453707063650888</v>
      </c>
      <c r="J430" s="45">
        <f>MEGA!$E$24/MEGA!$E$23</f>
        <v>0.43724424123280881</v>
      </c>
      <c r="K430" s="45">
        <f>MEGA!$F$24/MEGA!$F$23</f>
        <v>0.4442555939873738</v>
      </c>
      <c r="L430" s="45">
        <f>MEGA!$G$24/MEGA!$G$23</f>
        <v>0.44436380937410724</v>
      </c>
      <c r="M430" s="45">
        <f>L430-I430</f>
        <v>-1.7326126240163608E-4</v>
      </c>
      <c r="N430" s="46"/>
      <c r="O430" s="45">
        <f>MEGA!$D$25/MEGA!$D$23</f>
        <v>3.4537070636508911E-2</v>
      </c>
      <c r="P430" s="45">
        <f>MEGA!$E$25/MEGA!$E$23</f>
        <v>4.7244241232808779E-2</v>
      </c>
      <c r="Q430" s="45">
        <f>MEGA!$F$25/MEGA!$F$23</f>
        <v>0.13425559398737374</v>
      </c>
      <c r="R430" s="45">
        <f>MEGA!$G$25/MEGA!$G$23</f>
        <v>0.19436380937410722</v>
      </c>
      <c r="S430" s="45">
        <f>R430-O430</f>
        <v>0.15982673873759831</v>
      </c>
      <c r="T430" s="46"/>
      <c r="U430" s="48" t="str">
        <f>D430</f>
        <v>MXN52.16</v>
      </c>
      <c r="V430" s="44" t="str">
        <f>C430</f>
        <v>Megacable</v>
      </c>
      <c r="Z430" s="46"/>
      <c r="AE430" s="41"/>
    </row>
    <row r="431" spans="1:45">
      <c r="A431" s="5"/>
      <c r="B431" s="42" t="s">
        <v>411</v>
      </c>
      <c r="C431" s="48" t="s">
        <v>804</v>
      </c>
      <c r="D431" s="44" t="str">
        <f>'EM Multiples'!B431&amp;TEXT(Prices!C$138,"0.00")</f>
        <v>USD8.55</v>
      </c>
      <c r="E431" s="44" t="str">
        <f>'EM Multiples'!B431&amp;TEXT(Prices!E$138,"0.00")</f>
        <v>USD14.00</v>
      </c>
      <c r="F431" s="45">
        <f>Prices!F$138</f>
        <v>0.63742690058479523</v>
      </c>
      <c r="G431" s="44" t="str">
        <f>Prices!D$138</f>
        <v>Buy</v>
      </c>
      <c r="H431" s="46"/>
      <c r="I431" s="45">
        <f>LiLAC!$D$24/LiLAC!$D$23</f>
        <v>0.36333200233337232</v>
      </c>
      <c r="J431" s="45">
        <f>LiLAC!$E$24/LiLAC!$E$23</f>
        <v>0.38250722611191862</v>
      </c>
      <c r="K431" s="45">
        <f>LiLAC!$F$24/LiLAC!$F$23</f>
        <v>0.38842289523707785</v>
      </c>
      <c r="L431" s="45">
        <f>LiLAC!$G$24/LiLAC!$G$23</f>
        <v>0.39355968290733573</v>
      </c>
      <c r="M431" s="45">
        <f>L431-I431</f>
        <v>3.0227680573963411E-2</v>
      </c>
      <c r="N431" s="46"/>
      <c r="O431" s="45">
        <f>LiLAC!$D$25/LiLAC!$D$23</f>
        <v>0.19803003047525275</v>
      </c>
      <c r="P431" s="45">
        <f>LiLAC!$E$25/LiLAC!$E$23</f>
        <v>0.22382243714738409</v>
      </c>
      <c r="Q431" s="45">
        <f>LiLAC!$F$25/LiLAC!$F$23</f>
        <v>0.23473205271503092</v>
      </c>
      <c r="R431" s="45">
        <f>LiLAC!$G$25/LiLAC!$G$23</f>
        <v>0.22765311054859402</v>
      </c>
      <c r="S431" s="45">
        <f>R431-O431</f>
        <v>2.9623080073341274E-2</v>
      </c>
      <c r="T431" s="46"/>
      <c r="U431" s="48" t="str">
        <f>D431</f>
        <v>USD8.55</v>
      </c>
      <c r="V431" s="44" t="str">
        <f>C431</f>
        <v>LiLAC</v>
      </c>
      <c r="Z431" s="46"/>
      <c r="AE431" s="41"/>
    </row>
    <row r="432" spans="1:45">
      <c r="A432" s="5"/>
      <c r="C432" s="67" t="s">
        <v>822</v>
      </c>
      <c r="D432" s="52"/>
      <c r="E432" s="52"/>
      <c r="F432" s="53"/>
      <c r="G432" s="52"/>
      <c r="H432" s="46"/>
      <c r="I432" s="55">
        <f>'LATAM ALTNET &amp; CABLE'!$D$24/'LATAM ALTNET &amp; CABLE'!$D$23</f>
        <v>0.38600308793636318</v>
      </c>
      <c r="J432" s="55">
        <f>'LATAM ALTNET &amp; CABLE'!$E$24/'LATAM ALTNET &amp; CABLE'!$E$23</f>
        <v>0.39872177570942979</v>
      </c>
      <c r="K432" s="55">
        <f>'LATAM ALTNET &amp; CABLE'!$F$24/'LATAM ALTNET &amp; CABLE'!$F$23</f>
        <v>0.40565180489222996</v>
      </c>
      <c r="L432" s="55">
        <f>'LATAM ALTNET &amp; CABLE'!$G$24/'LATAM ALTNET &amp; CABLE'!$G$23</f>
        <v>0.41019964845639567</v>
      </c>
      <c r="M432" s="55">
        <f>L432-I432</f>
        <v>2.4196560520032495E-2</v>
      </c>
      <c r="N432" s="46"/>
      <c r="O432" s="55">
        <f>'LATAM ALTNET &amp; CABLE'!$D$25/'LATAM ALTNET &amp; CABLE'!$D$23</f>
        <v>0.15238555328382916</v>
      </c>
      <c r="P432" s="55">
        <f>'LATAM ALTNET &amp; CABLE'!$E$25/'LATAM ALTNET &amp; CABLE'!$E$23</f>
        <v>0.17151531171914305</v>
      </c>
      <c r="Q432" s="55">
        <f>'LATAM ALTNET &amp; CABLE'!$F$25/'LATAM ALTNET &amp; CABLE'!$F$23</f>
        <v>0.20372692724849154</v>
      </c>
      <c r="R432" s="55">
        <f>'LATAM ALTNET &amp; CABLE'!$G$25/'LATAM ALTNET &amp; CABLE'!$G$23</f>
        <v>0.21674980675774855</v>
      </c>
      <c r="S432" s="55">
        <f>R432-O432</f>
        <v>6.4364253473919386E-2</v>
      </c>
      <c r="T432" s="46"/>
      <c r="U432" s="57"/>
      <c r="V432" s="58" t="str">
        <f>C432</f>
        <v>Agg. Emerging LatAm Altnets &amp; Cable</v>
      </c>
      <c r="Z432" s="46"/>
      <c r="AE432" s="41"/>
    </row>
    <row r="433" spans="1:69" s="5" customFormat="1">
      <c r="A433" s="39"/>
      <c r="B433" s="42"/>
      <c r="C433" s="43"/>
      <c r="D433" s="44"/>
      <c r="E433" s="44"/>
      <c r="F433" s="45"/>
      <c r="G433" s="44"/>
      <c r="H433" s="46"/>
      <c r="I433" s="45"/>
      <c r="J433" s="45"/>
      <c r="K433" s="45"/>
      <c r="L433" s="45"/>
      <c r="M433" s="45"/>
      <c r="N433" s="46"/>
      <c r="O433" s="45"/>
      <c r="P433" s="45"/>
      <c r="Q433" s="45"/>
      <c r="R433" s="45"/>
      <c r="S433" s="45"/>
      <c r="T433" s="46"/>
      <c r="U433" s="48"/>
      <c r="V433" s="50"/>
    </row>
    <row r="434" spans="1:69" s="5" customFormat="1">
      <c r="A434" s="39"/>
      <c r="B434" s="42"/>
      <c r="C434" s="67" t="str">
        <f>C372</f>
        <v>Agg. EMEA sector</v>
      </c>
      <c r="D434" s="52"/>
      <c r="E434" s="52"/>
      <c r="F434" s="53"/>
      <c r="G434" s="52"/>
      <c r="H434" s="46"/>
      <c r="I434" s="55">
        <f>'EMEA AGG'!$D$24/'EMEA AGG'!$D$23</f>
        <v>0.41005828203971884</v>
      </c>
      <c r="J434" s="55">
        <f>'EMEA AGG'!$E$24/'EMEA AGG'!$E$23</f>
        <v>0.4036905574698067</v>
      </c>
      <c r="K434" s="55">
        <f>'EMEA AGG'!$F$24/'EMEA AGG'!$F$23</f>
        <v>0.40856624190967705</v>
      </c>
      <c r="L434" s="55">
        <f>'EMEA AGG'!$G$24/'EMEA AGG'!$G$23</f>
        <v>0.41026094408065417</v>
      </c>
      <c r="M434" s="55">
        <f>L434-I434</f>
        <v>2.026620409353308E-4</v>
      </c>
      <c r="N434" s="56"/>
      <c r="O434" s="55">
        <f>'EMEA AGG'!$D$25/'EMEA AGG'!$D$23</f>
        <v>0.21136713838746013</v>
      </c>
      <c r="P434" s="55">
        <f>'EMEA AGG'!$E$25/'EMEA AGG'!$E$23</f>
        <v>0.21014997023508983</v>
      </c>
      <c r="Q434" s="55">
        <f>'EMEA AGG'!$F$25/'EMEA AGG'!$F$23</f>
        <v>0.22394480752473048</v>
      </c>
      <c r="R434" s="55">
        <f>'EMEA AGG'!$G$25/'EMEA AGG'!$G$23</f>
        <v>0.23305633403369622</v>
      </c>
      <c r="S434" s="55">
        <f>R434-O434</f>
        <v>2.1689195646236087E-2</v>
      </c>
      <c r="T434" s="46"/>
      <c r="U434" s="57"/>
      <c r="V434" s="58" t="str">
        <f>V372</f>
        <v>Agg. EMEA sector</v>
      </c>
    </row>
    <row r="435" spans="1:69">
      <c r="C435" s="41" t="str">
        <f>C373</f>
        <v>Agg. LatAm sector</v>
      </c>
      <c r="D435" s="44"/>
      <c r="E435" s="44"/>
      <c r="F435" s="45"/>
      <c r="G435" s="44"/>
      <c r="H435" s="46"/>
      <c r="I435" s="59">
        <f>'LATAM AGG'!$D$24/'LATAM AGG'!$D$23</f>
        <v>0.38200153511356161</v>
      </c>
      <c r="J435" s="59">
        <f>'LATAM AGG'!$E$24/'LATAM AGG'!$E$23</f>
        <v>0.39098258243296935</v>
      </c>
      <c r="K435" s="59">
        <f>'LATAM AGG'!$F$24/'LATAM AGG'!$F$23</f>
        <v>0.39893230782668143</v>
      </c>
      <c r="L435" s="59">
        <f>'LATAM AGG'!$G$24/'LATAM AGG'!$G$23</f>
        <v>0.40438975760280388</v>
      </c>
      <c r="M435" s="59">
        <f>L435-I435</f>
        <v>2.2388222489242271E-2</v>
      </c>
      <c r="N435" s="56"/>
      <c r="O435" s="59">
        <f>'LATAM AGG'!$D$25/'LATAM AGG'!$D$23</f>
        <v>0.19419161048885025</v>
      </c>
      <c r="P435" s="59">
        <f>'LATAM AGG'!$E$25/'LATAM AGG'!$E$23</f>
        <v>0.21890652120335377</v>
      </c>
      <c r="Q435" s="59">
        <f>'LATAM AGG'!$F$25/'LATAM AGG'!$F$23</f>
        <v>0.23816712174170118</v>
      </c>
      <c r="R435" s="59">
        <f>'LATAM AGG'!$G$25/'LATAM AGG'!$G$23</f>
        <v>0.25231861187138899</v>
      </c>
      <c r="S435" s="59">
        <f>R435-O435</f>
        <v>5.8127001382538734E-2</v>
      </c>
      <c r="T435" s="46"/>
      <c r="U435" s="48"/>
      <c r="V435" s="50" t="str">
        <f>V373</f>
        <v>Agg. LatAm sector</v>
      </c>
    </row>
    <row r="436" spans="1:69" s="5" customFormat="1">
      <c r="A436" s="39"/>
      <c r="B436" s="42"/>
      <c r="C436" s="67" t="str">
        <f>C374</f>
        <v>Agg. Emerging Asia sector</v>
      </c>
      <c r="D436" s="52"/>
      <c r="E436" s="52"/>
      <c r="F436" s="53"/>
      <c r="G436" s="52"/>
      <c r="H436" s="46"/>
      <c r="I436" s="55">
        <f>'AGG EM ASIA'!$D$24/'AGG EM ASIA'!$D$23</f>
        <v>0.32659949840233315</v>
      </c>
      <c r="J436" s="55">
        <f>'AGG EM ASIA'!$E$24/'AGG EM ASIA'!$E$23</f>
        <v>0.32818830908368418</v>
      </c>
      <c r="K436" s="55">
        <f>'AGG EM ASIA'!$F$24/'AGG EM ASIA'!$F$23</f>
        <v>0.33010848603392179</v>
      </c>
      <c r="L436" s="55">
        <f>'AGG EM ASIA'!$G$24/'AGG EM ASIA'!$G$23</f>
        <v>0.33293463809669288</v>
      </c>
      <c r="M436" s="55">
        <f>L436-I436</f>
        <v>6.335139694359726E-3</v>
      </c>
      <c r="N436" s="56"/>
      <c r="O436" s="55">
        <f>'AGG EM ASIA'!$D$25/'AGG EM ASIA'!$D$23</f>
        <v>0.14799593821190907</v>
      </c>
      <c r="P436" s="55">
        <f>'AGG EM ASIA'!$E$25/'AGG EM ASIA'!$E$23</f>
        <v>0.15971224070288559</v>
      </c>
      <c r="Q436" s="55">
        <f>'AGG EM ASIA'!$F$25/'AGG EM ASIA'!$F$23</f>
        <v>0.16942719862270245</v>
      </c>
      <c r="R436" s="55">
        <f>'AGG EM ASIA'!$G$25/'AGG EM ASIA'!$G$23</f>
        <v>0.17942449500062321</v>
      </c>
      <c r="S436" s="55">
        <f>R436-O436</f>
        <v>3.1428556788714146E-2</v>
      </c>
      <c r="T436" s="46"/>
      <c r="U436" s="57"/>
      <c r="V436" s="58" t="str">
        <f>V374</f>
        <v>Agg. Emerging Asia sector</v>
      </c>
    </row>
    <row r="437" spans="1:69">
      <c r="C437" s="41"/>
      <c r="D437" s="44"/>
      <c r="E437" s="44"/>
      <c r="F437" s="45"/>
      <c r="G437" s="44"/>
      <c r="H437" s="46"/>
      <c r="I437" s="59"/>
      <c r="J437" s="59"/>
      <c r="K437" s="59"/>
      <c r="L437" s="59"/>
      <c r="M437" s="59"/>
      <c r="N437" s="56"/>
      <c r="O437" s="59"/>
      <c r="P437" s="59"/>
      <c r="Q437" s="59"/>
      <c r="R437" s="59"/>
      <c r="S437" s="59"/>
      <c r="T437" s="46"/>
      <c r="U437" s="48"/>
      <c r="V437" s="50"/>
    </row>
    <row r="438" spans="1:69">
      <c r="C438" s="67" t="str">
        <f>C376</f>
        <v>Agg. Global EM sector (ex-consensus)</v>
      </c>
      <c r="D438" s="52"/>
      <c r="E438" s="52"/>
      <c r="F438" s="53"/>
      <c r="G438" s="52"/>
      <c r="H438" s="46"/>
      <c r="I438" s="55">
        <f>'AGG EM'!$D$24/'AGG EM'!$D$23</f>
        <v>0.34241903261849838</v>
      </c>
      <c r="J438" s="55">
        <f>'AGG EM'!$E$24/'AGG EM'!$E$23</f>
        <v>0.34427504062440339</v>
      </c>
      <c r="K438" s="55">
        <f>'AGG EM'!$F$24/'AGG EM'!$F$23</f>
        <v>0.34734660043471521</v>
      </c>
      <c r="L438" s="55">
        <f>'AGG EM'!$G$24/'AGG EM'!$G$23</f>
        <v>0.35043807782100878</v>
      </c>
      <c r="M438" s="55">
        <f>L438-I438</f>
        <v>8.0190452025103998E-3</v>
      </c>
      <c r="N438" s="56"/>
      <c r="O438" s="55">
        <f>'AGG EM'!$D$25/'AGG EM'!$D$23</f>
        <v>0.16070258946432014</v>
      </c>
      <c r="P438" s="55">
        <f>'AGG EM'!$E$25/'AGG EM'!$E$23</f>
        <v>0.17335114608922073</v>
      </c>
      <c r="Q438" s="55">
        <f>'AGG EM'!$F$25/'AGG EM'!$F$23</f>
        <v>0.18484863194133436</v>
      </c>
      <c r="R438" s="55">
        <f>'AGG EM'!$G$25/'AGG EM'!$G$23</f>
        <v>0.19534217106419344</v>
      </c>
      <c r="S438" s="55">
        <f>R438-O438</f>
        <v>3.4639581599873293E-2</v>
      </c>
      <c r="T438" s="46"/>
      <c r="U438" s="57"/>
      <c r="V438" s="58" t="str">
        <f>V376</f>
        <v>Agg. Global EM sector (ex-consensus)</v>
      </c>
    </row>
    <row r="439" spans="1:69" s="5" customFormat="1">
      <c r="A439" s="39"/>
      <c r="B439" s="42"/>
      <c r="C439" s="43"/>
      <c r="D439" s="44"/>
      <c r="E439" s="44"/>
      <c r="F439" s="45"/>
      <c r="G439" s="44"/>
      <c r="H439" s="134"/>
      <c r="I439" s="59"/>
      <c r="J439" s="59"/>
      <c r="K439" s="59"/>
      <c r="L439" s="59"/>
      <c r="M439" s="59"/>
      <c r="N439" s="56"/>
      <c r="O439" s="59"/>
      <c r="P439" s="59"/>
      <c r="Q439" s="59"/>
      <c r="R439" s="59"/>
      <c r="S439" s="59"/>
      <c r="T439" s="56"/>
      <c r="U439" s="48"/>
      <c r="V439" s="50"/>
    </row>
    <row r="440" spans="1:69" s="5" customFormat="1">
      <c r="A440" s="39"/>
      <c r="B440" s="42"/>
      <c r="C440" s="43"/>
      <c r="D440" s="44"/>
      <c r="E440" s="44"/>
      <c r="F440" s="45"/>
      <c r="G440" s="44"/>
      <c r="H440" s="134"/>
      <c r="I440" s="59"/>
      <c r="J440" s="59"/>
      <c r="K440" s="59"/>
      <c r="L440" s="59"/>
      <c r="M440" s="59"/>
      <c r="N440" s="56"/>
      <c r="O440" s="59"/>
      <c r="P440" s="59"/>
      <c r="Q440" s="59"/>
      <c r="R440" s="59"/>
      <c r="S440" s="59"/>
      <c r="T440" s="56"/>
      <c r="U440" s="48"/>
      <c r="V440" s="50"/>
    </row>
    <row r="441" spans="1:69" s="41" customFormat="1">
      <c r="B441" s="147"/>
      <c r="C441" s="164"/>
      <c r="D441" s="165" t="s">
        <v>464</v>
      </c>
      <c r="E441" s="165" t="s">
        <v>57</v>
      </c>
      <c r="F441" s="165" t="s">
        <v>59</v>
      </c>
      <c r="G441" s="165" t="s">
        <v>56</v>
      </c>
      <c r="H441" s="134"/>
      <c r="I441" s="166" t="s">
        <v>472</v>
      </c>
      <c r="J441" s="166"/>
      <c r="K441" s="166"/>
      <c r="L441" s="166"/>
      <c r="M441" s="166"/>
      <c r="N441" s="46"/>
      <c r="O441" s="166" t="s">
        <v>289</v>
      </c>
      <c r="P441" s="166"/>
      <c r="Q441" s="166"/>
      <c r="R441" s="166"/>
      <c r="S441" s="166"/>
      <c r="T441" s="46"/>
      <c r="U441" s="167" t="s">
        <v>464</v>
      </c>
      <c r="V441" s="165"/>
      <c r="Z441" s="49"/>
      <c r="AC441" s="135"/>
      <c r="AD441" s="136"/>
      <c r="AE441" s="136"/>
      <c r="AF441" s="136"/>
      <c r="AG441" s="136"/>
      <c r="AH441" s="136"/>
      <c r="AI441" s="136"/>
      <c r="AJ441" s="136"/>
      <c r="AK441" s="136"/>
      <c r="AL441" s="136"/>
      <c r="AM441" s="136"/>
      <c r="AN441" s="136"/>
      <c r="AO441" s="136"/>
      <c r="AP441" s="136"/>
      <c r="AQ441" s="136"/>
      <c r="AR441" s="136"/>
      <c r="AS441" s="136"/>
      <c r="AT441" s="136"/>
      <c r="AU441" s="136"/>
      <c r="AV441" s="136"/>
      <c r="AW441" s="136"/>
      <c r="BC441" s="137"/>
      <c r="BD441" s="137"/>
      <c r="BE441" s="137"/>
      <c r="BG441" s="137"/>
      <c r="BH441" s="137"/>
      <c r="BI441" s="137"/>
      <c r="BK441" s="137"/>
      <c r="BL441" s="137"/>
      <c r="BM441" s="137"/>
      <c r="BO441" s="137"/>
      <c r="BP441" s="137"/>
      <c r="BQ441" s="137"/>
    </row>
    <row r="442" spans="1:69" s="5" customFormat="1">
      <c r="A442" s="41" t="s">
        <v>506</v>
      </c>
      <c r="B442" s="42"/>
      <c r="C442" s="48" t="str">
        <f>C380</f>
        <v>Telkom SA</v>
      </c>
      <c r="D442" s="44" t="str">
        <f>D380</f>
        <v>ZAR 25.3</v>
      </c>
      <c r="E442" s="44" t="str">
        <f>E380</f>
        <v>ZAR 56.0</v>
      </c>
      <c r="F442" s="45">
        <f>F380</f>
        <v>1.21606648199446</v>
      </c>
      <c r="G442" s="44" t="str">
        <f>G380</f>
        <v>Neutral</v>
      </c>
      <c r="H442" s="134"/>
      <c r="I442" s="45">
        <f>TKG!$D$30/TKG!$D$23</f>
        <v>7.60902045235054E-2</v>
      </c>
      <c r="J442" s="45">
        <f>TKG!$E$30/TKG!$E$23</f>
        <v>7.203373691914669E-2</v>
      </c>
      <c r="K442" s="45">
        <f>TKG!$F$30/TKG!$F$23</f>
        <v>7.1161194182806781E-2</v>
      </c>
      <c r="L442" s="45">
        <f>TKG!$G$30/TKG!$G$23</f>
        <v>7.1161194182806753E-2</v>
      </c>
      <c r="M442" s="45">
        <f t="shared" ref="M442" si="82">L442-I442</f>
        <v>-4.9290103406986474E-3</v>
      </c>
      <c r="N442" s="46"/>
      <c r="O442" s="47">
        <f>TKG!$D$12/TKG!$D$24</f>
        <v>0.92988875815275363</v>
      </c>
      <c r="P442" s="47">
        <f>TKG!$E$12/TKG!$E$24</f>
        <v>0.88024508746602526</v>
      </c>
      <c r="Q442" s="47">
        <f>TKG!$F$12/TKG!$F$24</f>
        <v>0.819163667876599</v>
      </c>
      <c r="R442" s="47">
        <f>TKG!$G$12/TKG!$G$24</f>
        <v>0.74786001019225234</v>
      </c>
      <c r="S442" s="45">
        <f t="shared" ref="S442" si="83">R442-O442</f>
        <v>-0.18202874796050128</v>
      </c>
      <c r="T442" s="46"/>
      <c r="U442" s="48" t="str">
        <f>U380</f>
        <v>ZAR 25.3</v>
      </c>
      <c r="V442" s="44" t="str">
        <f>V380</f>
        <v>Telkom SA</v>
      </c>
    </row>
    <row r="443" spans="1:69" s="5" customFormat="1">
      <c r="B443" s="42"/>
      <c r="C443" s="51" t="str">
        <f>C381</f>
        <v>Agg. EMEA Incumbent</v>
      </c>
      <c r="D443" s="58"/>
      <c r="E443" s="58"/>
      <c r="F443" s="55"/>
      <c r="G443" s="58"/>
      <c r="H443" s="134"/>
      <c r="I443" s="55"/>
      <c r="J443" s="55"/>
      <c r="K443" s="55"/>
      <c r="L443" s="55"/>
      <c r="M443" s="55"/>
      <c r="N443" s="56"/>
      <c r="O443" s="54"/>
      <c r="P443" s="54"/>
      <c r="Q443" s="54"/>
      <c r="R443" s="54"/>
      <c r="S443" s="55"/>
      <c r="T443" s="56"/>
      <c r="U443" s="51"/>
      <c r="V443" s="58" t="str">
        <f>V381</f>
        <v>Agg. EMEA Incumbent</v>
      </c>
      <c r="Z443" s="46"/>
      <c r="AE443" s="41"/>
      <c r="AF443" s="31"/>
      <c r="AG443" s="31"/>
      <c r="AI443" s="41"/>
      <c r="AJ443" s="64"/>
      <c r="AK443" s="64"/>
      <c r="AM443" s="41"/>
      <c r="AN443" s="64"/>
      <c r="AO443" s="64"/>
      <c r="AQ443" s="41"/>
      <c r="AR443" s="64"/>
      <c r="AS443" s="64"/>
    </row>
    <row r="444" spans="1:69" s="5" customFormat="1">
      <c r="B444" s="42"/>
      <c r="C444" s="48"/>
      <c r="D444" s="44"/>
      <c r="E444" s="44"/>
      <c r="F444" s="68"/>
      <c r="G444" s="44"/>
      <c r="H444" s="134"/>
      <c r="I444" s="61"/>
      <c r="J444" s="61"/>
      <c r="K444" s="61"/>
      <c r="L444" s="61"/>
      <c r="M444" s="61"/>
      <c r="N444" s="46"/>
      <c r="O444" s="62"/>
      <c r="P444" s="62"/>
      <c r="Q444" s="62"/>
      <c r="R444" s="62"/>
      <c r="S444" s="61"/>
      <c r="T444" s="46"/>
      <c r="U444" s="48"/>
      <c r="V444" s="44"/>
    </row>
    <row r="445" spans="1:69" s="5" customFormat="1">
      <c r="B445" s="42"/>
      <c r="C445" s="48" t="str">
        <f t="shared" ref="C445:G447" si="84">C383</f>
        <v>America Movil</v>
      </c>
      <c r="D445" s="44" t="str">
        <f t="shared" si="84"/>
        <v>USD 16.2</v>
      </c>
      <c r="E445" s="44" t="str">
        <f t="shared" si="84"/>
        <v>USD 24.0</v>
      </c>
      <c r="F445" s="45">
        <f t="shared" si="84"/>
        <v>0.47965474722564738</v>
      </c>
      <c r="G445" s="44" t="str">
        <f t="shared" si="84"/>
        <v>Buy</v>
      </c>
      <c r="H445" s="46"/>
      <c r="I445" s="45">
        <f>AMX!$D$30/AMX!$D$23</f>
        <v>8.9427125467583385E-2</v>
      </c>
      <c r="J445" s="45">
        <f>AMX!$E$30/AMX!$E$23</f>
        <v>0.10746560501936354</v>
      </c>
      <c r="K445" s="45">
        <f>AMX!$F$30/AMX!$F$23</f>
        <v>0.12909474699240431</v>
      </c>
      <c r="L445" s="45">
        <f>AMX!$G$30/AMX!$G$23</f>
        <v>0.1501867279009442</v>
      </c>
      <c r="M445" s="45">
        <f t="shared" ref="M445:M449" si="85">L445-I445</f>
        <v>6.0759602433360815E-2</v>
      </c>
      <c r="N445" s="46"/>
      <c r="O445" s="47">
        <f>AMX!$D$12/AMX!$D$24</f>
        <v>1.5477325424162764</v>
      </c>
      <c r="P445" s="47">
        <f>AMX!$E$12/AMX!$E$24</f>
        <v>1.4196487476077333</v>
      </c>
      <c r="Q445" s="47">
        <f>AMX!$F$12/AMX!$F$24</f>
        <v>1.2709376884124557</v>
      </c>
      <c r="R445" s="47">
        <f>AMX!$G$12/AMX!$G$24</f>
        <v>1.1663693132052295</v>
      </c>
      <c r="S445" s="45">
        <f t="shared" ref="S445:S449" si="86">R445-O445</f>
        <v>-0.38136322921104693</v>
      </c>
      <c r="T445" s="46"/>
      <c r="U445" s="48" t="str">
        <f t="shared" ref="U445:V447" si="87">U383</f>
        <v>USD 16.2</v>
      </c>
      <c r="V445" s="44" t="str">
        <f t="shared" si="87"/>
        <v>America Movil</v>
      </c>
    </row>
    <row r="446" spans="1:69" s="5" customFormat="1">
      <c r="B446" s="42"/>
      <c r="C446" s="48" t="str">
        <f t="shared" si="84"/>
        <v>Oi</v>
      </c>
      <c r="D446" s="44" t="str">
        <f t="shared" si="84"/>
        <v>BRL 1.78</v>
      </c>
      <c r="E446" s="44" t="str">
        <f t="shared" si="84"/>
        <v>BRL 0.90</v>
      </c>
      <c r="F446" s="45">
        <f t="shared" si="84"/>
        <v>-0.4943820224719101</v>
      </c>
      <c r="G446" s="44" t="str">
        <f t="shared" si="84"/>
        <v>Neutral</v>
      </c>
      <c r="H446" s="46"/>
      <c r="I446" s="45">
        <f>OIBR!$D$30/OIBR!$D$23</f>
        <v>-0.18674143214298422</v>
      </c>
      <c r="J446" s="45">
        <f>OIBR!$E$30/OIBR!$E$23</f>
        <v>-0.15314961570787686</v>
      </c>
      <c r="K446" s="45">
        <f>OIBR!$F$30/OIBR!$F$23</f>
        <v>-0.10741956290213873</v>
      </c>
      <c r="L446" s="45">
        <f>OIBR!$G$30/OIBR!$G$23</f>
        <v>-7.6223349985381633E-2</v>
      </c>
      <c r="M446" s="45">
        <f>L446-I446</f>
        <v>0.11051808215760259</v>
      </c>
      <c r="N446" s="46"/>
      <c r="O446" s="47">
        <f>OIBR!$D$12/OIBR!$D$24</f>
        <v>4.7768984222995616</v>
      </c>
      <c r="P446" s="47">
        <f>OIBR!$E$12/OIBR!$E$24</f>
        <v>5.2676230958388892</v>
      </c>
      <c r="Q446" s="47">
        <f>OIBR!$F$12/OIBR!$F$24</f>
        <v>5.216952602510708</v>
      </c>
      <c r="R446" s="47">
        <f>OIBR!$G$12/OIBR!$G$24</f>
        <v>5.3661145658634313</v>
      </c>
      <c r="S446" s="45">
        <f>R446-O446</f>
        <v>0.58921614356386964</v>
      </c>
      <c r="T446" s="46"/>
      <c r="U446" s="48" t="str">
        <f t="shared" si="87"/>
        <v>BRL 1.78</v>
      </c>
      <c r="V446" s="44" t="str">
        <f t="shared" si="87"/>
        <v>Oi</v>
      </c>
    </row>
    <row r="447" spans="1:69">
      <c r="A447" s="5"/>
      <c r="C447" s="48" t="str">
        <f t="shared" si="84"/>
        <v>Telefonica Brasil</v>
      </c>
      <c r="D447" s="44" t="str">
        <f t="shared" si="84"/>
        <v>BRL 45.90</v>
      </c>
      <c r="E447" s="44" t="str">
        <f t="shared" si="84"/>
        <v>BRL 61.00</v>
      </c>
      <c r="F447" s="45">
        <f t="shared" si="84"/>
        <v>0.32897603485838789</v>
      </c>
      <c r="G447" s="44" t="str">
        <f t="shared" si="84"/>
        <v>Buy</v>
      </c>
      <c r="H447" s="46"/>
      <c r="I447" s="45">
        <f>VIVO!$D$30/VIVO!$D$23</f>
        <v>0.10310362033399606</v>
      </c>
      <c r="J447" s="45">
        <f>VIVO!$E$30/VIVO!$E$23</f>
        <v>0.11970354765694938</v>
      </c>
      <c r="K447" s="45">
        <f>VIVO!$F$30/VIVO!$F$23</f>
        <v>0.14014860885610056</v>
      </c>
      <c r="L447" s="45">
        <f>VIVO!$G$30/VIVO!$G$23</f>
        <v>0.15133868748375126</v>
      </c>
      <c r="M447" s="45">
        <f t="shared" si="85"/>
        <v>4.8235067149755201E-2</v>
      </c>
      <c r="N447" s="46"/>
      <c r="O447" s="47">
        <f>VIVO!$D$12/VIVO!$D$24</f>
        <v>0.70957378789009129</v>
      </c>
      <c r="P447" s="47">
        <f>VIVO!$E$12/VIVO!$E$24</f>
        <v>0.65251297831513444</v>
      </c>
      <c r="Q447" s="47">
        <f>VIVO!$F$12/VIVO!$F$24</f>
        <v>0.62492280798238664</v>
      </c>
      <c r="R447" s="47">
        <f>VIVO!$G$12/VIVO!$G$24</f>
        <v>0.6567727025950465</v>
      </c>
      <c r="S447" s="45">
        <f t="shared" si="86"/>
        <v>-5.2801085295044792E-2</v>
      </c>
      <c r="T447" s="46"/>
      <c r="U447" s="48" t="str">
        <f t="shared" si="87"/>
        <v>BRL 45.90</v>
      </c>
      <c r="V447" s="44" t="str">
        <f t="shared" si="87"/>
        <v>Telefonica Brasil</v>
      </c>
    </row>
    <row r="448" spans="1:69" s="5" customFormat="1">
      <c r="B448" s="42"/>
      <c r="C448" s="48" t="s">
        <v>673</v>
      </c>
      <c r="D448" s="44" t="str">
        <f>D386</f>
        <v>USD 3.1</v>
      </c>
      <c r="E448" s="44" t="str">
        <f>E386</f>
        <v>USD 3.7</v>
      </c>
      <c r="F448" s="45">
        <f>F386</f>
        <v>0.17834394904458595</v>
      </c>
      <c r="G448" s="44" t="str">
        <f>G386</f>
        <v>Neutral</v>
      </c>
      <c r="H448" s="46"/>
      <c r="I448" s="45">
        <f>TVIS!$D$30/TVIS!$D$23</f>
        <v>-1.7697144284019944E-2</v>
      </c>
      <c r="J448" s="45">
        <f>TVIS!$E$30/TVIS!$E$23</f>
        <v>7.6019923074712803E-3</v>
      </c>
      <c r="K448" s="45">
        <f>TVIS!$F$30/TVIS!$F$23</f>
        <v>2.5445274778343473E-2</v>
      </c>
      <c r="L448" s="45">
        <f>TVIS!$G$30/TVIS!$G$23</f>
        <v>4.6660300682879831E-2</v>
      </c>
      <c r="M448" s="45">
        <f>L448-I448</f>
        <v>6.4357444966899768E-2</v>
      </c>
      <c r="N448" s="46"/>
      <c r="O448" s="47">
        <f>TVIS!$D$12/TVIS!$D$24</f>
        <v>2.6801166481462428</v>
      </c>
      <c r="P448" s="47">
        <f>TVIS!$E$12/TVIS!$E$24</f>
        <v>2.4764995214533054</v>
      </c>
      <c r="Q448" s="47">
        <f>TVIS!$F$12/TVIS!$F$24</f>
        <v>2.4022040330310137</v>
      </c>
      <c r="R448" s="47">
        <f>TVIS!$G$12/TVIS!$G$24</f>
        <v>2.278287110933511</v>
      </c>
      <c r="S448" s="45">
        <f>R448-O448</f>
        <v>-0.40182953721273185</v>
      </c>
      <c r="T448" s="46"/>
      <c r="U448" s="48" t="str">
        <f>U386</f>
        <v>USD 3.1</v>
      </c>
      <c r="V448" s="44" t="s">
        <v>673</v>
      </c>
    </row>
    <row r="449" spans="1:22" s="5" customFormat="1">
      <c r="B449" s="42"/>
      <c r="C449" s="51" t="str">
        <f>C387</f>
        <v>Agg. LatAm Incumbent</v>
      </c>
      <c r="D449" s="52"/>
      <c r="E449" s="52"/>
      <c r="F449" s="53"/>
      <c r="G449" s="52"/>
      <c r="H449" s="46"/>
      <c r="I449" s="55">
        <f>'LATAM INCUMB'!D33/'LATAM INCUMB'!D25</f>
        <v>-6.5807454372540666E-2</v>
      </c>
      <c r="J449" s="55">
        <f>'LATAM INCUMB'!E33/'LATAM INCUMB'!E25</f>
        <v>-5.1059979301387851E-2</v>
      </c>
      <c r="K449" s="55">
        <f>'LATAM INCUMB'!F33/'LATAM INCUMB'!F25</f>
        <v>-2.5177759887427278E-2</v>
      </c>
      <c r="L449" s="55">
        <f>'LATAM INCUMB'!G33/'LATAM INCUMB'!G25</f>
        <v>-4.0458453422662979E-3</v>
      </c>
      <c r="M449" s="55">
        <f t="shared" si="85"/>
        <v>6.1761609030274368E-2</v>
      </c>
      <c r="N449" s="56"/>
      <c r="O449" s="54">
        <f>'LATAM INCUMB'!$D$12/'LATAM INCUMB'!$D$24</f>
        <v>1.5848749872610848</v>
      </c>
      <c r="P449" s="54">
        <f>'LATAM INCUMB'!$E$12/'LATAM INCUMB'!$E$24</f>
        <v>1.4856633594659714</v>
      </c>
      <c r="Q449" s="54">
        <f>'LATAM INCUMB'!$F$12/'LATAM INCUMB'!$F$24</f>
        <v>1.364028791315103</v>
      </c>
      <c r="R449" s="54">
        <f>'LATAM INCUMB'!$G$12/'LATAM INCUMB'!$G$24</f>
        <v>1.2908455042830018</v>
      </c>
      <c r="S449" s="55">
        <f t="shared" si="86"/>
        <v>-0.29402948297808296</v>
      </c>
      <c r="T449" s="46"/>
      <c r="U449" s="57"/>
      <c r="V449" s="58" t="str">
        <f>V387</f>
        <v>Agg. LatAm Incumbent</v>
      </c>
    </row>
    <row r="450" spans="1:22" s="5" customFormat="1">
      <c r="A450" s="39"/>
      <c r="B450" s="42"/>
      <c r="C450" s="48"/>
      <c r="D450" s="44"/>
      <c r="E450" s="44"/>
      <c r="F450" s="45"/>
      <c r="G450" s="44"/>
      <c r="H450" s="46"/>
      <c r="I450" s="45"/>
      <c r="J450" s="45"/>
      <c r="K450" s="45"/>
      <c r="L450" s="45"/>
      <c r="M450" s="45"/>
      <c r="N450" s="56"/>
      <c r="O450" s="47"/>
      <c r="P450" s="47"/>
      <c r="Q450" s="47"/>
      <c r="R450" s="47"/>
      <c r="S450" s="45"/>
      <c r="T450" s="46"/>
      <c r="U450" s="48"/>
      <c r="V450" s="50"/>
    </row>
    <row r="451" spans="1:22" s="5" customFormat="1">
      <c r="B451" s="42"/>
      <c r="C451" s="48" t="str">
        <f t="shared" ref="C451:G455" si="88">C389</f>
        <v>China Telecom</v>
      </c>
      <c r="D451" s="44" t="str">
        <f t="shared" si="88"/>
        <v>HKD 4.44</v>
      </c>
      <c r="E451" s="44" t="str">
        <f t="shared" si="88"/>
        <v>HKD 8.75</v>
      </c>
      <c r="F451" s="45">
        <f t="shared" si="88"/>
        <v>0.97072072072072046</v>
      </c>
      <c r="G451" s="44" t="str">
        <f t="shared" si="88"/>
        <v>Buy</v>
      </c>
      <c r="H451" s="46"/>
      <c r="I451" s="45">
        <f>_CT!$D$30/_CT!$D$23</f>
        <v>5.4898150329762772E-2</v>
      </c>
      <c r="J451" s="45">
        <f>_CT!$E$30/_CT!$E$23</f>
        <v>5.7307418786995162E-2</v>
      </c>
      <c r="K451" s="45">
        <f>_CT!$F$30/_CT!$F$23</f>
        <v>6.0433061550908551E-2</v>
      </c>
      <c r="L451" s="45">
        <f>_CT!$G$30/_CT!$G$23</f>
        <v>6.5860665420991241E-2</v>
      </c>
      <c r="M451" s="45">
        <f t="shared" ref="M451:M456" si="89">L451-I451</f>
        <v>1.0962515091228468E-2</v>
      </c>
      <c r="N451" s="56"/>
      <c r="O451" s="47">
        <f>_CT!$D$12/_CT!$D$24</f>
        <v>-0.29276474457355844</v>
      </c>
      <c r="P451" s="47">
        <f>_CT!$E$12/_CT!$E$24</f>
        <v>-0.39787471252564083</v>
      </c>
      <c r="Q451" s="47">
        <f>_CT!$F$12/_CT!$F$24</f>
        <v>-0.49537172730562384</v>
      </c>
      <c r="R451" s="47">
        <f>_CT!$G$12/_CT!$G$24</f>
        <v>-0.58940586022319363</v>
      </c>
      <c r="S451" s="169">
        <f t="shared" ref="S451:S456" si="90">R451-O451</f>
        <v>-0.29664111564963519</v>
      </c>
      <c r="T451" s="46"/>
      <c r="U451" s="48" t="str">
        <f t="shared" ref="U451:V455" si="91">U389</f>
        <v>HKD 4.44</v>
      </c>
      <c r="V451" s="44" t="str">
        <f t="shared" si="91"/>
        <v>China Telecom</v>
      </c>
    </row>
    <row r="452" spans="1:22" s="5" customFormat="1">
      <c r="B452" s="42"/>
      <c r="C452" s="48" t="str">
        <f t="shared" si="88"/>
        <v>China Unicom</v>
      </c>
      <c r="D452" s="44" t="str">
        <f t="shared" si="88"/>
        <v>HKD 6.20</v>
      </c>
      <c r="E452" s="44" t="str">
        <f t="shared" si="88"/>
        <v>HKD 13.20</v>
      </c>
      <c r="F452" s="45">
        <f t="shared" si="88"/>
        <v>1.129032258064516</v>
      </c>
      <c r="G452" s="44" t="str">
        <f t="shared" si="88"/>
        <v>Buy</v>
      </c>
      <c r="H452" s="46"/>
      <c r="I452" s="45">
        <f>_CU!$D$30/_CU!$D$23</f>
        <v>4.6267479787773569E-2</v>
      </c>
      <c r="J452" s="45">
        <f>_CU!$E$30/_CU!$E$23</f>
        <v>4.9681938752750669E-2</v>
      </c>
      <c r="K452" s="45">
        <f>_CU!$F$30/_CU!$F$23</f>
        <v>4.3373463747571006E-2</v>
      </c>
      <c r="L452" s="45">
        <f>_CU!$G$30/_CU!$G$23</f>
        <v>4.8572945608596048E-2</v>
      </c>
      <c r="M452" s="45">
        <f t="shared" si="89"/>
        <v>2.305465820822479E-3</v>
      </c>
      <c r="N452" s="56"/>
      <c r="O452" s="47">
        <f>_CU!$D$12/_CU!$D$24</f>
        <v>-2.1931230713741836E-2</v>
      </c>
      <c r="P452" s="47">
        <f>_CU!$E$12/_CU!$E$24</f>
        <v>-0.17822384806444219</v>
      </c>
      <c r="Q452" s="47">
        <f>_CU!$F$12/_CU!$F$24</f>
        <v>-0.29401040468288631</v>
      </c>
      <c r="R452" s="47">
        <f>_CU!$G$12/_CU!$G$24</f>
        <v>-0.37007952134992766</v>
      </c>
      <c r="S452" s="169">
        <f t="shared" si="90"/>
        <v>-0.34814829063618585</v>
      </c>
      <c r="T452" s="46"/>
      <c r="U452" s="48" t="str">
        <f t="shared" si="91"/>
        <v>HKD 6.20</v>
      </c>
      <c r="V452" s="44" t="str">
        <f t="shared" si="91"/>
        <v>China Unicom</v>
      </c>
    </row>
    <row r="453" spans="1:22" s="5" customFormat="1">
      <c r="A453" s="39"/>
      <c r="B453" s="42"/>
      <c r="C453" s="48" t="str">
        <f t="shared" si="88"/>
        <v>Chunghwa Telecom</v>
      </c>
      <c r="D453" s="44" t="str">
        <f t="shared" si="88"/>
        <v>TWD 127.00</v>
      </c>
      <c r="E453" s="44" t="str">
        <f t="shared" si="88"/>
        <v>TWD n/r</v>
      </c>
      <c r="F453" s="45" t="str">
        <f t="shared" si="88"/>
        <v>-</v>
      </c>
      <c r="G453" s="44" t="str">
        <f t="shared" si="88"/>
        <v>n/r</v>
      </c>
      <c r="H453" s="46"/>
      <c r="I453" s="45">
        <f>CHUNG!$D$30/CHUNG!$D$23</f>
        <v>0.16446776861195203</v>
      </c>
      <c r="J453" s="45">
        <f>CHUNG!$E$30/CHUNG!$E$23</f>
        <v>0.17044260368017572</v>
      </c>
      <c r="K453" s="45">
        <f>CHUNG!$F$30/CHUNG!$F$23</f>
        <v>0.1777431864076772</v>
      </c>
      <c r="L453" s="45">
        <f>CHUNG!$G$30/CHUNG!$G$23</f>
        <v>0.18535366359280223</v>
      </c>
      <c r="M453" s="45">
        <f t="shared" si="89"/>
        <v>2.0885894980850195E-2</v>
      </c>
      <c r="N453" s="56"/>
      <c r="O453" s="47">
        <f>CHUNG!$D$12/CHUNG!$D$24</f>
        <v>-0.15334046934878751</v>
      </c>
      <c r="P453" s="47">
        <f>CHUNG!$E$12/CHUNG!$E$24</f>
        <v>-0.31585454699191379</v>
      </c>
      <c r="Q453" s="47">
        <f>CHUNG!$F$12/CHUNG!$F$24</f>
        <v>-0.48526997894835006</v>
      </c>
      <c r="R453" s="47">
        <f>CHUNG!$G$12/CHUNG!$G$24</f>
        <v>-0.63154446410975373</v>
      </c>
      <c r="S453" s="45">
        <f t="shared" si="90"/>
        <v>-0.4782039947609662</v>
      </c>
      <c r="T453" s="46"/>
      <c r="U453" s="48" t="str">
        <f t="shared" si="91"/>
        <v>TWD 127.00</v>
      </c>
      <c r="V453" s="44" t="str">
        <f t="shared" si="91"/>
        <v>Chunghwa Telecom</v>
      </c>
    </row>
    <row r="454" spans="1:22" s="5" customFormat="1">
      <c r="A454" s="39"/>
      <c r="B454" s="42"/>
      <c r="C454" s="48" t="str">
        <f t="shared" si="88"/>
        <v>KT Corp</v>
      </c>
      <c r="D454" s="44" t="str">
        <f t="shared" si="88"/>
        <v>KRW 36,350</v>
      </c>
      <c r="E454" s="44" t="str">
        <f t="shared" si="88"/>
        <v>KRW 70,000</v>
      </c>
      <c r="F454" s="45">
        <f t="shared" si="88"/>
        <v>0.92572214580467671</v>
      </c>
      <c r="G454" s="44" t="str">
        <f t="shared" si="88"/>
        <v>Buy</v>
      </c>
      <c r="H454" s="46"/>
      <c r="I454" s="45">
        <f>_KT!$D$30/_KT!$D$23</f>
        <v>4.5715105797551975E-2</v>
      </c>
      <c r="J454" s="45">
        <f>_KT!$E$30/_KT!$E$23</f>
        <v>5.2425848677189593E-2</v>
      </c>
      <c r="K454" s="45">
        <f>_KT!$F$30/_KT!$F$23</f>
        <v>6.1457195181641597E-2</v>
      </c>
      <c r="L454" s="45">
        <f>_KT!$G$30/_KT!$G$23</f>
        <v>6.7100672355079188E-2</v>
      </c>
      <c r="M454" s="45">
        <f t="shared" si="89"/>
        <v>2.1385566557527214E-2</v>
      </c>
      <c r="N454" s="56"/>
      <c r="O454" s="47">
        <f>_KT!$D$12/_KT!$D$24</f>
        <v>1.3440905511089947</v>
      </c>
      <c r="P454" s="47">
        <f>_KT!$E$12/_KT!$E$24</f>
        <v>1.198722220012068</v>
      </c>
      <c r="Q454" s="47">
        <f>_KT!$F$12/_KT!$F$24</f>
        <v>0.94146282434191142</v>
      </c>
      <c r="R454" s="47">
        <f>_KT!$G$12/_KT!$G$24</f>
        <v>0.74516627850404216</v>
      </c>
      <c r="S454" s="45">
        <f t="shared" si="90"/>
        <v>-0.59892427260495251</v>
      </c>
      <c r="T454" s="46"/>
      <c r="U454" s="48" t="str">
        <f t="shared" si="91"/>
        <v>KRW 36,350</v>
      </c>
      <c r="V454" s="44" t="str">
        <f t="shared" si="91"/>
        <v>KT Corp</v>
      </c>
    </row>
    <row r="455" spans="1:22" s="5" customFormat="1">
      <c r="A455" s="39"/>
      <c r="B455" s="42"/>
      <c r="C455" s="48" t="str">
        <f t="shared" si="88"/>
        <v>PT Telkom</v>
      </c>
      <c r="D455" s="44" t="str">
        <f t="shared" si="88"/>
        <v>IDR 2,940</v>
      </c>
      <c r="E455" s="44" t="str">
        <f t="shared" si="88"/>
        <v>IDR 5,000</v>
      </c>
      <c r="F455" s="45">
        <f t="shared" si="88"/>
        <v>0.70068027210884343</v>
      </c>
      <c r="G455" s="44" t="str">
        <f t="shared" si="88"/>
        <v>Buy</v>
      </c>
      <c r="H455" s="46"/>
      <c r="I455" s="45">
        <f>PTT!$D$30/PTT!$D$23</f>
        <v>0.16815891057259275</v>
      </c>
      <c r="J455" s="45">
        <f>PTT!$E$30/PTT!$E$23</f>
        <v>0.1643749337027374</v>
      </c>
      <c r="K455" s="45">
        <f>PTT!$F$30/PTT!$F$23</f>
        <v>0.18072294910667241</v>
      </c>
      <c r="L455" s="45">
        <f>PTT!$G$30/PTT!$G$23</f>
        <v>0.19315966099945578</v>
      </c>
      <c r="M455" s="45">
        <f t="shared" si="89"/>
        <v>2.5000750426863033E-2</v>
      </c>
      <c r="N455" s="56"/>
      <c r="O455" s="47">
        <f>PTT!$D$12/PTT!$D$24</f>
        <v>0.50422150324185666</v>
      </c>
      <c r="P455" s="47">
        <f>PTT!$E$12/PTT!$E$24</f>
        <v>0.351090900358832</v>
      </c>
      <c r="Q455" s="47">
        <f>PTT!$F$12/PTT!$F$24</f>
        <v>0.21556197888914219</v>
      </c>
      <c r="R455" s="47">
        <f>PTT!$G$12/PTT!$G$24</f>
        <v>0.1061064525727945</v>
      </c>
      <c r="S455" s="169">
        <f t="shared" si="90"/>
        <v>-0.39811505066906216</v>
      </c>
      <c r="T455" s="46"/>
      <c r="U455" s="48" t="str">
        <f t="shared" si="91"/>
        <v>IDR 2,940</v>
      </c>
      <c r="V455" s="44" t="str">
        <f t="shared" si="91"/>
        <v>PT Telkom</v>
      </c>
    </row>
    <row r="456" spans="1:22" s="5" customFormat="1">
      <c r="A456" s="39"/>
      <c r="B456" s="42"/>
      <c r="C456" s="51" t="str">
        <f>C394</f>
        <v>Agg. Emerging Asia Incumbent</v>
      </c>
      <c r="D456" s="52"/>
      <c r="E456" s="52"/>
      <c r="F456" s="53"/>
      <c r="G456" s="52"/>
      <c r="H456" s="46"/>
      <c r="I456" s="55">
        <f>'EM ASIA INCUMB'!$D$30/'EM ASIA INCUMB'!$D$23</f>
        <v>6.2172904775781433E-2</v>
      </c>
      <c r="J456" s="55">
        <f>'EM ASIA INCUMB'!$E$30/'EM ASIA INCUMB'!$E$23</f>
        <v>6.4997134706639675E-2</v>
      </c>
      <c r="K456" s="55">
        <f>'EM ASIA INCUMB'!$F$30/'EM ASIA INCUMB'!$F$23</f>
        <v>6.6674606611162382E-2</v>
      </c>
      <c r="L456" s="55">
        <f>'EM ASIA INCUMB'!$G$30/'EM ASIA INCUMB'!$G$23</f>
        <v>7.2610180389449386E-2</v>
      </c>
      <c r="M456" s="55">
        <f t="shared" si="89"/>
        <v>1.0437275613667953E-2</v>
      </c>
      <c r="N456" s="56"/>
      <c r="O456" s="54">
        <f>'EM ASIA INCUMB'!$D$12/'EM ASIA INCUMB'!$D$24</f>
        <v>166.95416887334386</v>
      </c>
      <c r="P456" s="54">
        <f>'EM ASIA INCUMB'!$E$12/'EM ASIA INCUMB'!$E$24</f>
        <v>150.82940967130753</v>
      </c>
      <c r="Q456" s="54">
        <f>'EM ASIA INCUMB'!$F$12/'EM ASIA INCUMB'!$F$24</f>
        <v>120.8797613970842</v>
      </c>
      <c r="R456" s="54">
        <f>'EM ASIA INCUMB'!$G$12/'EM ASIA INCUMB'!$G$24</f>
        <v>93.367909141245022</v>
      </c>
      <c r="S456" s="55">
        <f t="shared" si="90"/>
        <v>-73.586259732098839</v>
      </c>
      <c r="T456" s="46"/>
      <c r="U456" s="57"/>
      <c r="V456" s="58" t="str">
        <f>V394</f>
        <v>Agg. Emerging Asia Incumbent</v>
      </c>
    </row>
    <row r="457" spans="1:22" s="5" customFormat="1">
      <c r="A457" s="39"/>
      <c r="B457" s="42"/>
      <c r="C457" s="43"/>
      <c r="D457" s="44"/>
      <c r="E457" s="44"/>
      <c r="F457" s="68"/>
      <c r="G457" s="44"/>
      <c r="H457" s="46"/>
      <c r="I457" s="61"/>
      <c r="J457" s="61"/>
      <c r="K457" s="61"/>
      <c r="L457" s="61"/>
      <c r="M457" s="61"/>
      <c r="N457" s="56"/>
      <c r="O457" s="62"/>
      <c r="P457" s="62"/>
      <c r="Q457" s="62"/>
      <c r="R457" s="62"/>
      <c r="S457" s="61"/>
      <c r="T457" s="46"/>
      <c r="U457" s="48"/>
      <c r="V457" s="50"/>
    </row>
    <row r="458" spans="1:22" s="5" customFormat="1">
      <c r="A458" s="39"/>
      <c r="B458" s="42"/>
      <c r="C458" s="51" t="str">
        <f>C396</f>
        <v>Agg. Emerging Incumbent</v>
      </c>
      <c r="D458" s="52"/>
      <c r="E458" s="52"/>
      <c r="F458" s="53"/>
      <c r="G458" s="52"/>
      <c r="H458" s="46"/>
      <c r="I458" s="55">
        <f>'EM INCUMB'!$D$30/'EM INCUMB'!$D$23</f>
        <v>6.4198223101732413E-2</v>
      </c>
      <c r="J458" s="55">
        <f>'EM INCUMB'!$E$30/'EM INCUMB'!$E$23</f>
        <v>7.182701902532751E-2</v>
      </c>
      <c r="K458" s="55">
        <f>'EM INCUMB'!$F$30/'EM INCUMB'!$F$23</f>
        <v>7.9313212453929915E-2</v>
      </c>
      <c r="L458" s="55">
        <f>'EM INCUMB'!$G$30/'EM INCUMB'!$G$23</f>
        <v>8.9020599873505579E-2</v>
      </c>
      <c r="M458" s="55">
        <f t="shared" ref="M458" si="92">L458-I458</f>
        <v>2.4822376771773166E-2</v>
      </c>
      <c r="N458" s="56"/>
      <c r="O458" s="54">
        <f>'EM INCUMB'!$D$12/'EM INCUMB'!$D$24</f>
        <v>106.7087253302555</v>
      </c>
      <c r="P458" s="54">
        <f>'EM INCUMB'!$E$12/'EM INCUMB'!$E$24</f>
        <v>95.55593454259872</v>
      </c>
      <c r="Q458" s="54">
        <f>'EM INCUMB'!$F$12/'EM INCUMB'!$F$24</f>
        <v>76.519806627056951</v>
      </c>
      <c r="R458" s="54">
        <f>'EM INCUMB'!$G$12/'EM INCUMB'!$G$24</f>
        <v>59.244001879516603</v>
      </c>
      <c r="S458" s="55">
        <f t="shared" ref="S458" si="93">R458-O458</f>
        <v>-47.464723450738902</v>
      </c>
      <c r="T458" s="46"/>
      <c r="U458" s="57"/>
      <c r="V458" s="58" t="str">
        <f>V396</f>
        <v>Agg. Emerging Incumbent</v>
      </c>
    </row>
    <row r="459" spans="1:22" s="5" customFormat="1">
      <c r="A459" s="39"/>
      <c r="B459" s="42"/>
      <c r="C459" s="43"/>
      <c r="D459" s="44"/>
      <c r="E459" s="44"/>
      <c r="F459" s="45"/>
      <c r="G459" s="44"/>
      <c r="H459" s="46"/>
      <c r="I459" s="45"/>
      <c r="J459" s="45"/>
      <c r="K459" s="45"/>
      <c r="L459" s="45"/>
      <c r="M459" s="45"/>
      <c r="N459" s="56"/>
      <c r="O459" s="47"/>
      <c r="P459" s="47"/>
      <c r="Q459" s="47"/>
      <c r="R459" s="47"/>
      <c r="S459" s="45"/>
      <c r="T459" s="46"/>
      <c r="U459" s="48"/>
      <c r="V459" s="50"/>
    </row>
    <row r="460" spans="1:22" s="5" customFormat="1">
      <c r="A460" s="41" t="s">
        <v>507</v>
      </c>
      <c r="B460" s="42"/>
      <c r="C460" s="48" t="str">
        <f t="shared" ref="C460:G466" si="94">C398</f>
        <v>Airtel Africa</v>
      </c>
      <c r="D460" s="44" t="str">
        <f t="shared" si="94"/>
        <v>USD 1.21</v>
      </c>
      <c r="E460" s="44" t="str">
        <f t="shared" si="94"/>
        <v>USD 1.50</v>
      </c>
      <c r="F460" s="45">
        <f t="shared" si="94"/>
        <v>0.2396694214876034</v>
      </c>
      <c r="G460" s="44" t="str">
        <f t="shared" si="94"/>
        <v>Buy</v>
      </c>
      <c r="H460" s="46"/>
      <c r="I460" s="45">
        <f>AAF!$D$30/AAF!$D$23</f>
        <v>-9.6024586904343984E-2</v>
      </c>
      <c r="J460" s="45">
        <f>AAF!$E$30/AAF!$E$23</f>
        <v>2.5514723523689688E-2</v>
      </c>
      <c r="K460" s="45">
        <f>AAF!$F$30/AAF!$F$23</f>
        <v>0.13256009001525801</v>
      </c>
      <c r="L460" s="45">
        <f>AAF!$G$30/AAF!$G$23</f>
        <v>0.13628245675543382</v>
      </c>
      <c r="M460" s="45">
        <f t="shared" ref="M460" si="95">L460-I460</f>
        <v>0.23230704365977781</v>
      </c>
      <c r="N460" s="56"/>
      <c r="O460" s="47">
        <f>AAF!$D$12/AAF!$D$24</f>
        <v>1.4410213092303046</v>
      </c>
      <c r="P460" s="47">
        <f>AAF!$E$12/AAF!$E$24</f>
        <v>1.5856546488464429</v>
      </c>
      <c r="Q460" s="47">
        <f>AAF!$F$12/AAF!$F$24</f>
        <v>1.4359998343661238</v>
      </c>
      <c r="R460" s="47">
        <f>AAF!$G$12/AAF!$G$24</f>
        <v>1.3398723750439077</v>
      </c>
      <c r="S460" s="169">
        <f t="shared" ref="S460" si="96">R460-O460</f>
        <v>-0.10114893418639692</v>
      </c>
      <c r="T460" s="46"/>
      <c r="U460" s="48" t="str">
        <f t="shared" ref="U460:V466" si="97">U398</f>
        <v>USD 1.21</v>
      </c>
      <c r="V460" s="44" t="str">
        <f t="shared" si="97"/>
        <v>Airtel Africa</v>
      </c>
    </row>
    <row r="461" spans="1:22" s="5" customFormat="1">
      <c r="A461" s="41"/>
      <c r="B461" s="42"/>
      <c r="C461" s="48" t="str">
        <f t="shared" si="94"/>
        <v>MobileTeleSystems</v>
      </c>
      <c r="D461" s="44" t="str">
        <f t="shared" si="94"/>
        <v>USD 10.00</v>
      </c>
      <c r="E461" s="44" t="str">
        <f t="shared" si="94"/>
        <v>USD 10.10</v>
      </c>
      <c r="F461" s="45">
        <f t="shared" si="94"/>
        <v>1.0000000000000009E-2</v>
      </c>
      <c r="G461" s="44" t="str">
        <f t="shared" si="94"/>
        <v>Buy</v>
      </c>
      <c r="H461" s="46"/>
      <c r="I461" s="45">
        <f>MTS!$D$30/MTS!$D$23</f>
        <v>0.11554255018676778</v>
      </c>
      <c r="J461" s="45">
        <f>MTS!$E$30/MTS!$E$23</f>
        <v>0.11244439417575668</v>
      </c>
      <c r="K461" s="45">
        <f>MTS!$F$30/MTS!$F$23</f>
        <v>0.11319490036960685</v>
      </c>
      <c r="L461" s="45">
        <f>MTS!$G$30/MTS!$G$23</f>
        <v>0.11260724902870176</v>
      </c>
      <c r="M461" s="45">
        <f t="shared" ref="M461:M467" si="98">L461-I461</f>
        <v>-2.9353011580660199E-3</v>
      </c>
      <c r="N461" s="56"/>
      <c r="O461" s="47">
        <f>MTS!$D$12/MTS!$D$24</f>
        <v>2.7174579407502271</v>
      </c>
      <c r="P461" s="47">
        <f>MTS!$E$12/MTS!$E$24</f>
        <v>2.740444338781638</v>
      </c>
      <c r="Q461" s="47">
        <f>MTS!$F$12/MTS!$F$24</f>
        <v>2.7703568386599748</v>
      </c>
      <c r="R461" s="47">
        <f>MTS!$G$12/MTS!$G$24</f>
        <v>2.8169117267061825</v>
      </c>
      <c r="S461" s="169">
        <f t="shared" ref="S461:S467" si="99">R461-O461</f>
        <v>9.9453785955955443E-2</v>
      </c>
      <c r="T461" s="46"/>
      <c r="U461" s="48" t="str">
        <f t="shared" si="97"/>
        <v>USD 10.00</v>
      </c>
      <c r="V461" s="44" t="str">
        <f t="shared" si="97"/>
        <v>MobileTeleSystems</v>
      </c>
    </row>
    <row r="462" spans="1:22" s="5" customFormat="1">
      <c r="A462" s="39"/>
      <c r="B462" s="42"/>
      <c r="C462" s="48" t="str">
        <f t="shared" si="94"/>
        <v>MTN</v>
      </c>
      <c r="D462" s="44" t="str">
        <f t="shared" si="94"/>
        <v>ZAR 86.08</v>
      </c>
      <c r="E462" s="44" t="str">
        <f t="shared" si="94"/>
        <v>ZAR 130.00</v>
      </c>
      <c r="F462" s="45">
        <f t="shared" si="94"/>
        <v>0.5102230483271375</v>
      </c>
      <c r="G462" s="44" t="str">
        <f t="shared" si="94"/>
        <v>Buy</v>
      </c>
      <c r="H462" s="46"/>
      <c r="I462" s="45">
        <f>MTN!$D$30/MTN!$D$23</f>
        <v>0.11385209336413238</v>
      </c>
      <c r="J462" s="45">
        <f>MTN!$E$30/MTN!$E$23</f>
        <v>4.9884880021481989E-2</v>
      </c>
      <c r="K462" s="45">
        <f>MTN!$F$30/MTN!$F$23</f>
        <v>5.718439951220694E-2</v>
      </c>
      <c r="L462" s="45">
        <f>MTN!$G$30/MTN!$G$23</f>
        <v>7.3670983205231091E-2</v>
      </c>
      <c r="M462" s="45">
        <f t="shared" si="98"/>
        <v>-4.0181110158901287E-2</v>
      </c>
      <c r="N462" s="56"/>
      <c r="O462" s="47">
        <f>MTN!$D$12/MTN!$D$24</f>
        <v>1.2389297369977608</v>
      </c>
      <c r="P462" s="47">
        <f>MTN!$E$12/MTN!$E$24</f>
        <v>1.8243910095799176</v>
      </c>
      <c r="Q462" s="47">
        <f>MTN!$F$12/MTN!$F$24</f>
        <v>1.7663761732915608</v>
      </c>
      <c r="R462" s="47">
        <f>MTN!$G$12/MTN!$G$24</f>
        <v>1.7464089095870499</v>
      </c>
      <c r="S462" s="169">
        <f t="shared" si="99"/>
        <v>0.5074791725892891</v>
      </c>
      <c r="T462" s="46"/>
      <c r="U462" s="48" t="str">
        <f t="shared" si="97"/>
        <v>ZAR 86.08</v>
      </c>
      <c r="V462" s="44" t="str">
        <f t="shared" si="97"/>
        <v>MTN</v>
      </c>
    </row>
    <row r="463" spans="1:22" s="5" customFormat="1">
      <c r="A463" s="39"/>
      <c r="B463" s="42"/>
      <c r="C463" s="48" t="str">
        <f t="shared" si="94"/>
        <v>Safaricom</v>
      </c>
      <c r="D463" s="44" t="str">
        <f t="shared" si="94"/>
        <v>KES 17.75</v>
      </c>
      <c r="E463" s="44" t="str">
        <f t="shared" si="94"/>
        <v>KES 17.0</v>
      </c>
      <c r="F463" s="45">
        <f t="shared" si="94"/>
        <v>-4.2253521126760618E-2</v>
      </c>
      <c r="G463" s="44" t="str">
        <f t="shared" si="94"/>
        <v>Neutral</v>
      </c>
      <c r="H463" s="46"/>
      <c r="I463" s="45">
        <f>SAF!$D$30/SAF!$D$23</f>
        <v>0.1989925374446268</v>
      </c>
      <c r="J463" s="45">
        <f>SAF!$E$30/SAF!$E$23</f>
        <v>0.18265807293878186</v>
      </c>
      <c r="K463" s="45">
        <f>SAF!$F$30/SAF!$F$23</f>
        <v>0.18381355220579643</v>
      </c>
      <c r="L463" s="45">
        <f>SAF!$G$30/SAF!$G$23</f>
        <v>0.18587031568439485</v>
      </c>
      <c r="M463" s="45">
        <f>L463-I463</f>
        <v>-1.312222176023195E-2</v>
      </c>
      <c r="N463" s="56"/>
      <c r="O463" s="47">
        <f>SAF!$D$12/SAF!$D$24</f>
        <v>0.69498731236534128</v>
      </c>
      <c r="P463" s="47">
        <f>SAF!$E$12/SAF!$E$24</f>
        <v>0.74369077095069602</v>
      </c>
      <c r="Q463" s="47">
        <f>SAF!$F$12/SAF!$F$24</f>
        <v>0.68495370031086522</v>
      </c>
      <c r="R463" s="47">
        <f>SAF!$G$12/SAF!$G$24</f>
        <v>0.58155274349101183</v>
      </c>
      <c r="S463" s="169">
        <f>R463-O463</f>
        <v>-0.11343456887432946</v>
      </c>
      <c r="T463" s="46"/>
      <c r="U463" s="48" t="str">
        <f t="shared" si="97"/>
        <v>KES 17.75</v>
      </c>
      <c r="V463" s="44" t="str">
        <f t="shared" si="97"/>
        <v>Safaricom</v>
      </c>
    </row>
    <row r="464" spans="1:22" s="5" customFormat="1">
      <c r="A464" s="39"/>
      <c r="B464" s="42"/>
      <c r="C464" s="48" t="str">
        <f t="shared" si="94"/>
        <v>Turkcell</v>
      </c>
      <c r="D464" s="44" t="str">
        <f t="shared" si="94"/>
        <v>USD 91.80</v>
      </c>
      <c r="E464" s="44" t="str">
        <f t="shared" si="94"/>
        <v>USD 16.90</v>
      </c>
      <c r="F464" s="45">
        <f t="shared" si="94"/>
        <v>-0.81590413943355122</v>
      </c>
      <c r="G464" s="44" t="str">
        <f t="shared" si="94"/>
        <v>Buy</v>
      </c>
      <c r="H464" s="46"/>
      <c r="I464" s="45">
        <f>TKC!$D$30/TKC!$D$23</f>
        <v>0.17368203940307111</v>
      </c>
      <c r="J464" s="45">
        <f>TKC!$E$30/TKC!$E$23</f>
        <v>0.17261686720159344</v>
      </c>
      <c r="K464" s="45">
        <f>TKC!$F$30/TKC!$F$23</f>
        <v>0.17362041164715591</v>
      </c>
      <c r="L464" s="45">
        <f>TKC!$G$30/TKC!$G$23</f>
        <v>0.17595119436749371</v>
      </c>
      <c r="M464" s="45">
        <f t="shared" si="98"/>
        <v>2.2691549644225928E-3</v>
      </c>
      <c r="N464" s="56"/>
      <c r="O464" s="47">
        <f>TKC!$D$12/TKC!$D$24</f>
        <v>0.97656557047645109</v>
      </c>
      <c r="P464" s="47">
        <f>TKC!$E$12/TKC!$E$24</f>
        <v>0.88291648951215163</v>
      </c>
      <c r="Q464" s="47">
        <f>TKC!$F$12/TKC!$F$24</f>
        <v>0.7764066348148837</v>
      </c>
      <c r="R464" s="47">
        <f>TKC!$G$12/TKC!$G$24</f>
        <v>0.68611487916877711</v>
      </c>
      <c r="S464" s="169">
        <f t="shared" si="99"/>
        <v>-0.29045069130767398</v>
      </c>
      <c r="T464" s="46"/>
      <c r="U464" s="48" t="str">
        <f t="shared" si="97"/>
        <v>USD 91.80</v>
      </c>
      <c r="V464" s="44" t="str">
        <f t="shared" si="97"/>
        <v>Turkcell</v>
      </c>
    </row>
    <row r="465" spans="1:22" s="5" customFormat="1">
      <c r="A465" s="39"/>
      <c r="B465" s="42"/>
      <c r="C465" s="48" t="str">
        <f t="shared" si="94"/>
        <v>VEON</v>
      </c>
      <c r="D465" s="44" t="str">
        <f t="shared" si="94"/>
        <v>USD 25.5</v>
      </c>
      <c r="E465" s="44" t="str">
        <f t="shared" si="94"/>
        <v>USD 40.0</v>
      </c>
      <c r="F465" s="45">
        <f t="shared" si="94"/>
        <v>0.56678417547982751</v>
      </c>
      <c r="G465" s="44" t="str">
        <f t="shared" si="94"/>
        <v>Buy</v>
      </c>
      <c r="H465" s="46"/>
      <c r="I465" s="45">
        <f>VIMP!$D$30/VIMP!$D$23</f>
        <v>6.7925649182725367E-2</v>
      </c>
      <c r="J465" s="45">
        <f>VIMP!$E$30/VIMP!$E$23</f>
        <v>0.1283828186647247</v>
      </c>
      <c r="K465" s="45">
        <f>VIMP!$F$30/VIMP!$F$23</f>
        <v>0.13792451271443754</v>
      </c>
      <c r="L465" s="45">
        <f>VIMP!$G$30/VIMP!$G$23</f>
        <v>0.1424221476830389</v>
      </c>
      <c r="M465" s="45">
        <f t="shared" si="98"/>
        <v>7.4496498500313535E-2</v>
      </c>
      <c r="N465" s="56"/>
      <c r="O465" s="47">
        <f>VIMP!$D$12/VIMP!$D$24</f>
        <v>1.6983243326664785</v>
      </c>
      <c r="P465" s="47">
        <f>VIMP!$E$12/VIMP!$E$24</f>
        <v>1.3089477449630011</v>
      </c>
      <c r="Q465" s="47">
        <f>VIMP!$F$12/VIMP!$F$24</f>
        <v>1.0656567268747772</v>
      </c>
      <c r="R465" s="47">
        <f>VIMP!$G$12/VIMP!$G$24</f>
        <v>0.89354843985659849</v>
      </c>
      <c r="S465" s="45">
        <f t="shared" si="99"/>
        <v>-0.80477589280988004</v>
      </c>
      <c r="T465" s="46"/>
      <c r="U465" s="48" t="str">
        <f t="shared" si="97"/>
        <v>USD 25.5</v>
      </c>
      <c r="V465" s="44" t="str">
        <f t="shared" si="97"/>
        <v>Vimpel Com</v>
      </c>
    </row>
    <row r="466" spans="1:22">
      <c r="C466" s="48" t="str">
        <f t="shared" si="94"/>
        <v>Vodacom</v>
      </c>
      <c r="D466" s="44" t="str">
        <f t="shared" si="94"/>
        <v>ZAR 95.8</v>
      </c>
      <c r="E466" s="44" t="str">
        <f t="shared" si="94"/>
        <v>ZAR 130.0</v>
      </c>
      <c r="F466" s="45">
        <f t="shared" si="94"/>
        <v>0.35685210312075988</v>
      </c>
      <c r="G466" s="44" t="str">
        <f t="shared" si="94"/>
        <v>Neutral</v>
      </c>
      <c r="H466" s="46"/>
      <c r="I466" s="45">
        <f>VODA!$D$30/VODA!$D$23</f>
        <v>0.12976331543782541</v>
      </c>
      <c r="J466" s="45">
        <f>VODA!$E$30/VODA!$E$23</f>
        <v>0.13906763816597748</v>
      </c>
      <c r="K466" s="45">
        <f>VODA!$F$30/VODA!$F$23</f>
        <v>0.14573436181579205</v>
      </c>
      <c r="L466" s="45">
        <f>VODA!$G$30/VODA!$G$23</f>
        <v>0.15236287542461563</v>
      </c>
      <c r="M466" s="45">
        <f t="shared" si="98"/>
        <v>2.2599559986790224E-2</v>
      </c>
      <c r="N466" s="56"/>
      <c r="O466" s="47">
        <f>VODA!$D$12/VODA!$D$24</f>
        <v>0.75450089725065872</v>
      </c>
      <c r="P466" s="47">
        <f>VODA!$E$12/VODA!$E$24</f>
        <v>0.9131082298419323</v>
      </c>
      <c r="Q466" s="47">
        <f>VODA!$F$12/VODA!$F$24</f>
        <v>0.79640740852114011</v>
      </c>
      <c r="R466" s="47">
        <f>VODA!$G$12/VODA!$G$24</f>
        <v>0.72607608600714724</v>
      </c>
      <c r="S466" s="45">
        <f t="shared" si="99"/>
        <v>-2.8424811243511483E-2</v>
      </c>
      <c r="T466" s="46"/>
      <c r="U466" s="48" t="str">
        <f t="shared" si="97"/>
        <v>ZAR 95.8</v>
      </c>
      <c r="V466" s="44" t="str">
        <f t="shared" si="97"/>
        <v>Vodacom</v>
      </c>
    </row>
    <row r="467" spans="1:22" s="5" customFormat="1">
      <c r="A467" s="39"/>
      <c r="B467" s="42"/>
      <c r="C467" s="51" t="str">
        <f>C405</f>
        <v>Agg. EMEA Cellular</v>
      </c>
      <c r="D467" s="52"/>
      <c r="E467" s="52"/>
      <c r="F467" s="53"/>
      <c r="G467" s="52"/>
      <c r="H467" s="46"/>
      <c r="I467" s="55">
        <f>'EMEA CELLULAR'!$D$30/'EMEA CELLULAR'!$D$23</f>
        <v>9.1595936891581742E-2</v>
      </c>
      <c r="J467" s="55">
        <f>'EMEA CELLULAR'!$E$30/'EMEA CELLULAR'!$E$23</f>
        <v>9.6490548182622884E-2</v>
      </c>
      <c r="K467" s="55">
        <f>'EMEA CELLULAR'!$F$30/'EMEA CELLULAR'!$F$23</f>
        <v>0.11520198527578095</v>
      </c>
      <c r="L467" s="55">
        <f>'EMEA CELLULAR'!$G$30/'EMEA CELLULAR'!$G$23</f>
        <v>0.1223246744808701</v>
      </c>
      <c r="M467" s="55">
        <f t="shared" si="98"/>
        <v>3.072873758928836E-2</v>
      </c>
      <c r="N467" s="56"/>
      <c r="O467" s="54">
        <f>'EMEA CELLULAR'!$D$12/'EMEA CELLULAR'!$D$24</f>
        <v>1.3425187820414761</v>
      </c>
      <c r="P467" s="54">
        <f>'EMEA CELLULAR'!$E$12/'EMEA CELLULAR'!$E$24</f>
        <v>1.5297057112867831</v>
      </c>
      <c r="Q467" s="54">
        <f>'EMEA CELLULAR'!$F$12/'EMEA CELLULAR'!$F$24</f>
        <v>1.4307390073754842</v>
      </c>
      <c r="R467" s="54">
        <f>'EMEA CELLULAR'!$G$12/'EMEA CELLULAR'!$G$24</f>
        <v>1.3708665034373784</v>
      </c>
      <c r="S467" s="55">
        <f t="shared" si="99"/>
        <v>2.8347721395902248E-2</v>
      </c>
      <c r="T467" s="46"/>
      <c r="U467" s="57"/>
      <c r="V467" s="58" t="str">
        <f>V405</f>
        <v>Agg. EMEA Cellular</v>
      </c>
    </row>
    <row r="468" spans="1:22">
      <c r="A468" s="5"/>
      <c r="C468" s="43"/>
      <c r="D468" s="44"/>
      <c r="E468" s="44"/>
      <c r="F468" s="45"/>
      <c r="G468" s="44"/>
      <c r="H468" s="46"/>
      <c r="I468" s="45"/>
      <c r="J468" s="45"/>
      <c r="K468" s="45"/>
      <c r="L468" s="45"/>
      <c r="M468" s="45"/>
      <c r="N468" s="56"/>
      <c r="O468" s="47"/>
      <c r="P468" s="47"/>
      <c r="Q468" s="47"/>
      <c r="R468" s="47"/>
      <c r="S468" s="45"/>
      <c r="T468" s="46"/>
      <c r="U468" s="48"/>
      <c r="V468" s="50"/>
    </row>
    <row r="469" spans="1:22">
      <c r="A469" s="5"/>
      <c r="C469" s="48" t="str">
        <f t="shared" ref="C469:G471" si="100">C407</f>
        <v>Entel</v>
      </c>
      <c r="D469" s="44" t="str">
        <f t="shared" si="100"/>
        <v>CLP 3,022</v>
      </c>
      <c r="E469" s="44" t="str">
        <f t="shared" si="100"/>
        <v>CLP 3,150</v>
      </c>
      <c r="F469" s="45">
        <f t="shared" si="100"/>
        <v>4.2356055592323028E-2</v>
      </c>
      <c r="G469" s="44" t="str">
        <f t="shared" si="100"/>
        <v>Neutral</v>
      </c>
      <c r="H469" s="46"/>
      <c r="I469" s="45">
        <f>ENTEL!$D$30/ENTEL!$D$23</f>
        <v>7.2407337727766016E-2</v>
      </c>
      <c r="J469" s="45">
        <f>ENTEL!$E$30/ENTEL!$E$23</f>
        <v>8.3385390267677939E-2</v>
      </c>
      <c r="K469" s="45">
        <f>ENTEL!$F$30/ENTEL!$F$23</f>
        <v>9.466864421597862E-2</v>
      </c>
      <c r="L469" s="45">
        <f>ENTEL!$G$30/ENTEL!$G$23</f>
        <v>0.10411976885043818</v>
      </c>
      <c r="M469" s="45">
        <f>L469-I469</f>
        <v>3.1712431122672163E-2</v>
      </c>
      <c r="N469" s="56"/>
      <c r="O469" s="47">
        <f>ENTEL!$D$12/ENTEL!$D$24</f>
        <v>2.2867544773958897</v>
      </c>
      <c r="P469" s="47">
        <f>ENTEL!$E$12/ENTEL!$E$24</f>
        <v>1.9724968987961247</v>
      </c>
      <c r="Q469" s="47">
        <f>ENTEL!$F$12/ENTEL!$F$24</f>
        <v>1.6316507758844492</v>
      </c>
      <c r="R469" s="47">
        <f>ENTEL!$G$12/ENTEL!$G$24</f>
        <v>1.2867556166924876</v>
      </c>
      <c r="S469" s="169">
        <f>R469-O469</f>
        <v>-0.99999886070340205</v>
      </c>
      <c r="T469" s="46"/>
      <c r="U469" s="48" t="str">
        <f t="shared" ref="U469:V471" si="101">U407</f>
        <v>CLP 3,022</v>
      </c>
      <c r="V469" s="44" t="str">
        <f t="shared" si="101"/>
        <v>Entel</v>
      </c>
    </row>
    <row r="470" spans="1:22">
      <c r="A470" s="5"/>
      <c r="C470" s="48" t="str">
        <f t="shared" si="100"/>
        <v>Millicom</v>
      </c>
      <c r="D470" s="44" t="str">
        <f t="shared" si="100"/>
        <v>USD  24.1</v>
      </c>
      <c r="E470" s="44" t="str">
        <f t="shared" si="100"/>
        <v>USD 18.0</v>
      </c>
      <c r="F470" s="45">
        <f t="shared" si="100"/>
        <v>-0.25280199252801994</v>
      </c>
      <c r="G470" s="44" t="str">
        <f t="shared" si="100"/>
        <v>Neutral</v>
      </c>
      <c r="H470" s="46"/>
      <c r="I470" s="45">
        <f>MILLI!$D$30/MILLI!$D$23</f>
        <v>5.3593836824894485E-2</v>
      </c>
      <c r="J470" s="45">
        <f>MILLI!$E$30/MILLI!$E$23</f>
        <v>5.9611376560440875E-2</v>
      </c>
      <c r="K470" s="45">
        <f>MILLI!$F$30/MILLI!$F$23</f>
        <v>7.7223002931476326E-2</v>
      </c>
      <c r="L470" s="45">
        <f>MILLI!$G$30/MILLI!$G$23</f>
        <v>8.2804316555040253E-2</v>
      </c>
      <c r="M470" s="45">
        <f>L470-I470</f>
        <v>2.9210479730145768E-2</v>
      </c>
      <c r="N470" s="56"/>
      <c r="O470" s="47">
        <f>MILLI!$D$12/MILLI!$D$24</f>
        <v>3.2493964223831027</v>
      </c>
      <c r="P470" s="47">
        <f>MILLI!$E$12/MILLI!$E$24</f>
        <v>3.1687144750442879</v>
      </c>
      <c r="Q470" s="47">
        <f>MILLI!$F$12/MILLI!$F$24</f>
        <v>3.0189803149835561</v>
      </c>
      <c r="R470" s="47">
        <f>MILLI!$G$12/MILLI!$G$24</f>
        <v>2.809441142962223</v>
      </c>
      <c r="S470" s="169">
        <f>R470-O470</f>
        <v>-0.43995527942087964</v>
      </c>
      <c r="T470" s="46"/>
      <c r="U470" s="48" t="str">
        <f t="shared" si="101"/>
        <v>USD  24.1</v>
      </c>
      <c r="V470" s="44" t="str">
        <f t="shared" si="101"/>
        <v>Millicom</v>
      </c>
    </row>
    <row r="471" spans="1:22" s="5" customFormat="1">
      <c r="B471" s="42"/>
      <c r="C471" s="48" t="str">
        <f t="shared" si="100"/>
        <v>TIM Participacoes</v>
      </c>
      <c r="D471" s="44" t="str">
        <f t="shared" si="100"/>
        <v>BRL 16.42</v>
      </c>
      <c r="E471" s="44" t="str">
        <f t="shared" si="100"/>
        <v>BRL 23.00</v>
      </c>
      <c r="F471" s="45">
        <f t="shared" si="100"/>
        <v>0.40073081607795347</v>
      </c>
      <c r="G471" s="44" t="str">
        <f t="shared" si="100"/>
        <v>Buy</v>
      </c>
      <c r="H471" s="46"/>
      <c r="I471" s="45">
        <f>TIMP!$D$30/TIMP!$D$23</f>
        <v>0.10560503889278637</v>
      </c>
      <c r="J471" s="45">
        <f>TIMP!$E$30/TIMP!$E$23</f>
        <v>0.14744295788703612</v>
      </c>
      <c r="K471" s="45">
        <f>TIMP!$F$30/TIMP!$F$23</f>
        <v>0.18688780924074858</v>
      </c>
      <c r="L471" s="45">
        <f>TIMP!$G$30/TIMP!$G$23</f>
        <v>0.21333580941161076</v>
      </c>
      <c r="M471" s="45">
        <f>L471-I471</f>
        <v>0.10773077051882439</v>
      </c>
      <c r="N471" s="56"/>
      <c r="O471" s="47">
        <f>TIMP!$D$12/TIMP!$D$24</f>
        <v>1.2548976374731609</v>
      </c>
      <c r="P471" s="47">
        <f>TIMP!$E$12/TIMP!$E$24</f>
        <v>1.0279335424124951</v>
      </c>
      <c r="Q471" s="47">
        <f>TIMP!$F$12/TIMP!$F$24</f>
        <v>0.78175553079969884</v>
      </c>
      <c r="R471" s="47">
        <f>TIMP!$G$12/TIMP!$G$24</f>
        <v>0.51148363316509893</v>
      </c>
      <c r="S471" s="45">
        <f>R471-O471</f>
        <v>-0.74341400430806193</v>
      </c>
      <c r="T471" s="46"/>
      <c r="U471" s="48" t="str">
        <f t="shared" si="101"/>
        <v>BRL 16.42</v>
      </c>
      <c r="V471" s="44" t="str">
        <f t="shared" si="101"/>
        <v>TIM Participacoes</v>
      </c>
    </row>
    <row r="472" spans="1:22" s="5" customFormat="1">
      <c r="B472" s="42"/>
      <c r="C472" s="51" t="str">
        <f>C410</f>
        <v>Agg. LatAm Cellular</v>
      </c>
      <c r="D472" s="52"/>
      <c r="E472" s="52"/>
      <c r="F472" s="53"/>
      <c r="G472" s="52"/>
      <c r="H472" s="46"/>
      <c r="I472" s="55">
        <f>'LATAM CELLULAR'!$D$30/'LATAM CELLULAR'!$D$23</f>
        <v>7.5980774622607883E-2</v>
      </c>
      <c r="J472" s="55">
        <f>'LATAM CELLULAR'!$E$30/'LATAM CELLULAR'!$E$23</f>
        <v>9.6948008954810705E-2</v>
      </c>
      <c r="K472" s="55">
        <f>'LATAM CELLULAR'!$F$30/'LATAM CELLULAR'!$F$23</f>
        <v>0.12243304112947757</v>
      </c>
      <c r="L472" s="55">
        <f>'LATAM CELLULAR'!$G$30/'LATAM CELLULAR'!$G$23</f>
        <v>0.13726366984042282</v>
      </c>
      <c r="M472" s="55">
        <f>L472-I472</f>
        <v>6.1282895217814937E-2</v>
      </c>
      <c r="N472" s="56"/>
      <c r="O472" s="54">
        <f>'LATAM CELLULAR'!$D$12/'LATAM CELLULAR'!$D$24</f>
        <v>2.232420306931854</v>
      </c>
      <c r="P472" s="54">
        <f>'LATAM CELLULAR'!$E$12/'LATAM CELLULAR'!$E$24</f>
        <v>2.0164925539415086</v>
      </c>
      <c r="Q472" s="54">
        <f>'LATAM CELLULAR'!$F$12/'LATAM CELLULAR'!$F$24</f>
        <v>1.7733166211488274</v>
      </c>
      <c r="R472" s="54">
        <f>'LATAM CELLULAR'!$G$12/'LATAM CELLULAR'!$G$24</f>
        <v>1.5124813458203867</v>
      </c>
      <c r="S472" s="55">
        <f>R472-O472</f>
        <v>-0.71993896111146727</v>
      </c>
      <c r="T472" s="46"/>
      <c r="U472" s="57"/>
      <c r="V472" s="58" t="str">
        <f>V410</f>
        <v>Agg. LatAm Cellular</v>
      </c>
    </row>
    <row r="473" spans="1:22" s="5" customFormat="1">
      <c r="A473" s="39"/>
      <c r="B473" s="42"/>
      <c r="C473" s="43"/>
      <c r="D473" s="44"/>
      <c r="E473" s="44"/>
      <c r="F473" s="45"/>
      <c r="G473" s="44"/>
      <c r="H473" s="46"/>
      <c r="I473" s="45"/>
      <c r="J473" s="45"/>
      <c r="K473" s="45"/>
      <c r="L473" s="45"/>
      <c r="M473" s="45"/>
      <c r="N473" s="46"/>
      <c r="O473" s="47"/>
      <c r="P473" s="47"/>
      <c r="Q473" s="47"/>
      <c r="R473" s="47"/>
      <c r="S473" s="45"/>
      <c r="T473" s="46"/>
      <c r="U473" s="48"/>
      <c r="V473" s="50"/>
    </row>
    <row r="474" spans="1:22" s="5" customFormat="1">
      <c r="B474" s="42"/>
      <c r="C474" s="48" t="str">
        <f t="shared" ref="C474:G487" si="102">C412</f>
        <v>AIS</v>
      </c>
      <c r="D474" s="44" t="str">
        <f t="shared" si="102"/>
        <v>THB 207.0</v>
      </c>
      <c r="E474" s="44" t="str">
        <f t="shared" si="102"/>
        <v>THB 300.0</v>
      </c>
      <c r="F474" s="45">
        <f t="shared" si="102"/>
        <v>0.44927536231884058</v>
      </c>
      <c r="G474" s="44" t="str">
        <f t="shared" si="102"/>
        <v>Buy</v>
      </c>
      <c r="H474" s="46"/>
      <c r="I474" s="45">
        <f>ADVANCED!$D$30/ADVANCED!$D$23</f>
        <v>0.15308614783478847</v>
      </c>
      <c r="J474" s="45">
        <f>ADVANCED!$E$30/ADVANCED!$E$23</f>
        <v>0.1571298815300459</v>
      </c>
      <c r="K474" s="45">
        <f>ADVANCED!$F$30/ADVANCED!$F$23</f>
        <v>0.20674927388191139</v>
      </c>
      <c r="L474" s="45">
        <f>ADVANCED!$G$30/ADVANCED!$G$23</f>
        <v>0.23679573263230261</v>
      </c>
      <c r="M474" s="45">
        <f t="shared" ref="M474:M488" si="103">L474-I474</f>
        <v>8.3709584797514142E-2</v>
      </c>
      <c r="N474" s="46"/>
      <c r="O474" s="47">
        <f>ADVANCED!$D$12/ADVANCED!$D$24</f>
        <v>1.9824865379293355</v>
      </c>
      <c r="P474" s="47">
        <f>ADVANCED!$E$12/ADVANCED!$E$24</f>
        <v>1.3245944804096872</v>
      </c>
      <c r="Q474" s="47">
        <f>ADVANCED!$F$12/ADVANCED!$F$24</f>
        <v>0.94847634845668538</v>
      </c>
      <c r="R474" s="47">
        <f>ADVANCED!$G$12/ADVANCED!$G$24</f>
        <v>0.70662015072000628</v>
      </c>
      <c r="S474" s="45">
        <f t="shared" ref="S474:S488" si="104">R474-O474</f>
        <v>-1.2758663872093292</v>
      </c>
      <c r="T474" s="46"/>
      <c r="U474" s="48" t="str">
        <f t="shared" ref="U474:V487" si="105">U412</f>
        <v>THB 207.0</v>
      </c>
      <c r="V474" s="44" t="str">
        <f t="shared" si="105"/>
        <v>AIS</v>
      </c>
    </row>
    <row r="475" spans="1:22" s="5" customFormat="1">
      <c r="A475" s="39"/>
      <c r="B475" s="42"/>
      <c r="C475" s="48" t="str">
        <f t="shared" si="102"/>
        <v>Axiata</v>
      </c>
      <c r="D475" s="44" t="str">
        <f t="shared" si="102"/>
        <v>MYR 2.87</v>
      </c>
      <c r="E475" s="44" t="str">
        <f t="shared" si="102"/>
        <v>MYR 4.50</v>
      </c>
      <c r="F475" s="45">
        <f t="shared" si="102"/>
        <v>0.56794425087108014</v>
      </c>
      <c r="G475" s="44" t="str">
        <f t="shared" si="102"/>
        <v>Buy</v>
      </c>
      <c r="H475" s="46"/>
      <c r="I475" s="45">
        <f>AXI!$D$30/AXI!$D$23</f>
        <v>8.8629258928939234E-2</v>
      </c>
      <c r="J475" s="45">
        <f>AXI!$E$30/AXI!$E$23</f>
        <v>0.14538140076720393</v>
      </c>
      <c r="K475" s="45">
        <f>AXI!$F$30/AXI!$F$23</f>
        <v>0.15735950661350162</v>
      </c>
      <c r="L475" s="45">
        <f>AXI!$G$30/AXI!$G$23</f>
        <v>0.16603180152031324</v>
      </c>
      <c r="M475" s="45">
        <f t="shared" si="103"/>
        <v>7.740254259137401E-2</v>
      </c>
      <c r="N475" s="46"/>
      <c r="O475" s="47">
        <f>AXI!$D$12/AXI!$D$24</f>
        <v>2.2153727567317469</v>
      </c>
      <c r="P475" s="47">
        <f>AXI!$E$12/AXI!$E$24</f>
        <v>2.0645295314543404</v>
      </c>
      <c r="Q475" s="47">
        <f>AXI!$F$12/AXI!$F$24</f>
        <v>1.8960742474974928</v>
      </c>
      <c r="R475" s="47">
        <f>AXI!$G$12/AXI!$G$24</f>
        <v>1.7554427359338423</v>
      </c>
      <c r="S475" s="45">
        <f t="shared" si="104"/>
        <v>-0.45993002079790468</v>
      </c>
      <c r="T475" s="46"/>
      <c r="U475" s="48" t="str">
        <f t="shared" si="105"/>
        <v>MYR 2.87</v>
      </c>
      <c r="V475" s="44" t="str">
        <f t="shared" si="105"/>
        <v>Axiata</v>
      </c>
    </row>
    <row r="476" spans="1:22" s="5" customFormat="1">
      <c r="A476" s="39"/>
      <c r="B476" s="42"/>
      <c r="C476" s="48" t="str">
        <f t="shared" si="102"/>
        <v>Bharti Airtel</v>
      </c>
      <c r="D476" s="44" t="str">
        <f t="shared" si="102"/>
        <v>INR 1389</v>
      </c>
      <c r="E476" s="44" t="str">
        <f t="shared" si="102"/>
        <v>INR 1500</v>
      </c>
      <c r="F476" s="45">
        <f t="shared" si="102"/>
        <v>8.0224686734840844E-2</v>
      </c>
      <c r="G476" s="44" t="str">
        <f t="shared" si="102"/>
        <v>Buy</v>
      </c>
      <c r="H476" s="46"/>
      <c r="I476" s="45">
        <f>BHART!$D$30/BHART!$D$23</f>
        <v>9.932319714062679E-2</v>
      </c>
      <c r="J476" s="45">
        <f>BHART!$E$30/BHART!$E$23</f>
        <v>0.11754139493918718</v>
      </c>
      <c r="K476" s="45">
        <f>BHART!$F$30/BHART!$F$23</f>
        <v>0.15544330213979671</v>
      </c>
      <c r="L476" s="45">
        <f>BHART!$G$30/BHART!$G$23</f>
        <v>0.18552026014578635</v>
      </c>
      <c r="M476" s="45">
        <f t="shared" si="103"/>
        <v>8.6197063005159558E-2</v>
      </c>
      <c r="N476" s="46"/>
      <c r="O476" s="47">
        <f>BHART!$D$12/BHART!$D$24</f>
        <v>2.5889554711176812</v>
      </c>
      <c r="P476" s="47">
        <f>BHART!$E$12/BHART!$E$24</f>
        <v>1.9877166026996964</v>
      </c>
      <c r="Q476" s="47">
        <f>BHART!$F$12/BHART!$F$24</f>
        <v>1.4095579749948099</v>
      </c>
      <c r="R476" s="47">
        <f>BHART!$G$12/BHART!$G$24</f>
        <v>0.91182506470190305</v>
      </c>
      <c r="S476" s="45">
        <f t="shared" si="104"/>
        <v>-1.6771304064157782</v>
      </c>
      <c r="T476" s="46"/>
      <c r="U476" s="48" t="str">
        <f t="shared" si="105"/>
        <v>INR 1389</v>
      </c>
      <c r="V476" s="44" t="str">
        <f t="shared" si="105"/>
        <v>Bharti Airtel</v>
      </c>
    </row>
    <row r="477" spans="1:22" s="5" customFormat="1">
      <c r="B477" s="42"/>
      <c r="C477" s="48" t="str">
        <f t="shared" si="102"/>
        <v>China Mobile</v>
      </c>
      <c r="D477" s="44" t="str">
        <f t="shared" si="102"/>
        <v>HKD 73.2</v>
      </c>
      <c r="E477" s="44" t="str">
        <f t="shared" si="102"/>
        <v>HKD 115.0</v>
      </c>
      <c r="F477" s="45">
        <f t="shared" si="102"/>
        <v>0.57103825136612008</v>
      </c>
      <c r="G477" s="44" t="str">
        <f t="shared" si="102"/>
        <v>Buy</v>
      </c>
      <c r="H477" s="46"/>
      <c r="I477" s="45">
        <f>_CM!$D$30/_CM!$D$23</f>
        <v>0.13055070350110817</v>
      </c>
      <c r="J477" s="45">
        <f>_CM!$E$30/_CM!$E$23</f>
        <v>0.13031123428136865</v>
      </c>
      <c r="K477" s="45">
        <f>_CM!$F$30/_CM!$F$23</f>
        <v>0.13261278894947293</v>
      </c>
      <c r="L477" s="45">
        <f>_CM!$G$30/_CM!$G$23</f>
        <v>0.13620211456265752</v>
      </c>
      <c r="M477" s="45">
        <f t="shared" si="103"/>
        <v>5.651411061549344E-3</v>
      </c>
      <c r="N477" s="46"/>
      <c r="O477" s="47">
        <f>_CM!$D$12/_CM!$D$24</f>
        <v>-0.22208751369048663</v>
      </c>
      <c r="P477" s="47">
        <f>_CM!$E$12/_CM!$E$24</f>
        <v>-0.3430745238578119</v>
      </c>
      <c r="Q477" s="47">
        <f>_CM!$F$12/_CM!$F$24</f>
        <v>-0.49109416332572248</v>
      </c>
      <c r="R477" s="47">
        <f>_CM!$G$12/_CM!$G$24</f>
        <v>-0.62441305118334012</v>
      </c>
      <c r="S477" s="45">
        <f t="shared" si="104"/>
        <v>-0.40232553749285349</v>
      </c>
      <c r="T477" s="46"/>
      <c r="U477" s="48" t="str">
        <f t="shared" si="105"/>
        <v>HKD 73.2</v>
      </c>
      <c r="V477" s="44" t="str">
        <f t="shared" si="105"/>
        <v>China Mobile</v>
      </c>
    </row>
    <row r="478" spans="1:22" s="5" customFormat="1">
      <c r="B478" s="42"/>
      <c r="C478" s="48" t="str">
        <f t="shared" si="102"/>
        <v>CelcomDigi</v>
      </c>
      <c r="D478" s="44" t="str">
        <f t="shared" si="102"/>
        <v>MYR 4.1</v>
      </c>
      <c r="E478" s="44" t="str">
        <f t="shared" si="102"/>
        <v>MYR 6.0</v>
      </c>
      <c r="F478" s="45">
        <f t="shared" si="102"/>
        <v>0.48148148148148162</v>
      </c>
      <c r="G478" s="44" t="str">
        <f t="shared" si="102"/>
        <v>Buy</v>
      </c>
      <c r="H478" s="46"/>
      <c r="I478" s="45">
        <f>DIGI!$D$30/DIGI!$D$23</f>
        <v>0.1695182527793109</v>
      </c>
      <c r="J478" s="45">
        <f>DIGI!$E$30/DIGI!$E$23</f>
        <v>0.14874742677025457</v>
      </c>
      <c r="K478" s="45">
        <f>DIGI!$F$30/DIGI!$F$23</f>
        <v>0.17555341930821647</v>
      </c>
      <c r="L478" s="45">
        <f>DIGI!$G$30/DIGI!$G$23</f>
        <v>0.20050395370319193</v>
      </c>
      <c r="M478" s="45">
        <f t="shared" si="103"/>
        <v>3.0985700923881032E-2</v>
      </c>
      <c r="N478" s="46"/>
      <c r="O478" s="47">
        <f>DIGI!$D$12/DIGI!$D$24</f>
        <v>2.4663349322034893</v>
      </c>
      <c r="P478" s="47">
        <f>DIGI!$E$12/DIGI!$E$24</f>
        <v>2.1295409586157827</v>
      </c>
      <c r="Q478" s="47">
        <f>DIGI!$F$12/DIGI!$F$24</f>
        <v>1.8569008082766745</v>
      </c>
      <c r="R478" s="47">
        <f>DIGI!$G$12/DIGI!$G$24</f>
        <v>1.6159281825597414</v>
      </c>
      <c r="S478" s="45">
        <f t="shared" si="104"/>
        <v>-0.85040674964374796</v>
      </c>
      <c r="T478" s="46"/>
      <c r="U478" s="48" t="str">
        <f t="shared" si="105"/>
        <v>MYR 4.1</v>
      </c>
      <c r="V478" s="44" t="str">
        <f t="shared" si="105"/>
        <v>CelcomDigi</v>
      </c>
    </row>
    <row r="479" spans="1:22" s="5" customFormat="1">
      <c r="B479" s="42"/>
      <c r="C479" s="48" t="str">
        <f t="shared" si="102"/>
        <v>Far EasTone</v>
      </c>
      <c r="D479" s="44" t="str">
        <f t="shared" si="102"/>
        <v>TWD 84.0</v>
      </c>
      <c r="E479" s="44" t="str">
        <f t="shared" si="102"/>
        <v>TWD n/r</v>
      </c>
      <c r="F479" s="45" t="str">
        <f t="shared" si="102"/>
        <v>-</v>
      </c>
      <c r="G479" s="44" t="str">
        <f t="shared" si="102"/>
        <v>n/r</v>
      </c>
      <c r="H479" s="46"/>
      <c r="I479" s="45">
        <f>FAR!$D$30/FAR!$D$23</f>
        <v>0.14739074133422625</v>
      </c>
      <c r="J479" s="45">
        <f>FAR!$E$30/FAR!$E$23</f>
        <v>0.15055946980701124</v>
      </c>
      <c r="K479" s="45">
        <f>FAR!$F$30/FAR!$F$23</f>
        <v>0.15375974140415863</v>
      </c>
      <c r="L479" s="45">
        <f>FAR!$G$30/FAR!$G$23</f>
        <v>0.15588743311261352</v>
      </c>
      <c r="M479" s="45">
        <f t="shared" si="103"/>
        <v>8.496691778387272E-3</v>
      </c>
      <c r="N479" s="46"/>
      <c r="O479" s="47">
        <f>FAR!$D$12/FAR!$D$24</f>
        <v>2.4848812340403725</v>
      </c>
      <c r="P479" s="47">
        <f>FAR!$E$12/FAR!$E$24</f>
        <v>2.3581732580369565</v>
      </c>
      <c r="Q479" s="47">
        <f>FAR!$F$12/FAR!$F$24</f>
        <v>2.2367805551597004</v>
      </c>
      <c r="R479" s="47">
        <f>FAR!$G$12/FAR!$G$24</f>
        <v>2.1200966394646326</v>
      </c>
      <c r="S479" s="45">
        <f t="shared" si="104"/>
        <v>-0.36478459457573997</v>
      </c>
      <c r="T479" s="46"/>
      <c r="U479" s="48" t="str">
        <f t="shared" si="105"/>
        <v>TWD 84.0</v>
      </c>
      <c r="V479" s="44" t="str">
        <f t="shared" si="105"/>
        <v>Far EasTone</v>
      </c>
    </row>
    <row r="480" spans="1:22" s="5" customFormat="1">
      <c r="B480" s="42"/>
      <c r="C480" s="48" t="str">
        <f t="shared" si="102"/>
        <v>Vodafone IDEA</v>
      </c>
      <c r="D480" s="44" t="str">
        <f t="shared" si="102"/>
        <v>INR 15.1</v>
      </c>
      <c r="E480" s="44" t="str">
        <f t="shared" si="102"/>
        <v>INR 5.0</v>
      </c>
      <c r="F480" s="45">
        <f t="shared" si="102"/>
        <v>-0.66909331568497676</v>
      </c>
      <c r="G480" s="44" t="str">
        <f t="shared" si="102"/>
        <v>Reduce</v>
      </c>
      <c r="H480" s="46"/>
      <c r="I480" s="45">
        <f>IDEA!$D$30/IDEA!$D$23</f>
        <v>-0.73222872710818088</v>
      </c>
      <c r="J480" s="45">
        <f>IDEA!$E$30/IDEA!$E$23</f>
        <v>-0.55879099542093602</v>
      </c>
      <c r="K480" s="45">
        <f>IDEA!$F$30/IDEA!$F$23</f>
        <v>-0.46088278980486241</v>
      </c>
      <c r="L480" s="45">
        <f>IDEA!$G$30/IDEA!$G$23</f>
        <v>-0.44205421595801414</v>
      </c>
      <c r="M480" s="45">
        <f t="shared" si="103"/>
        <v>0.29017451115016674</v>
      </c>
      <c r="N480" s="46"/>
      <c r="O480" s="47">
        <f>IDEA!$D$12/IDEA!$D$24</f>
        <v>12.113873642415042</v>
      </c>
      <c r="P480" s="47">
        <f>IDEA!$E$12/IDEA!$E$24</f>
        <v>11.248487588864819</v>
      </c>
      <c r="Q480" s="47">
        <f>IDEA!$F$12/IDEA!$F$24</f>
        <v>10.592900375831983</v>
      </c>
      <c r="R480" s="47">
        <f>IDEA!$G$12/IDEA!$G$24</f>
        <v>10.054788395245232</v>
      </c>
      <c r="S480" s="45">
        <f t="shared" si="104"/>
        <v>-2.0590852471698096</v>
      </c>
      <c r="T480" s="46"/>
      <c r="U480" s="48" t="str">
        <f t="shared" si="105"/>
        <v>INR 15.1</v>
      </c>
      <c r="V480" s="44" t="str">
        <f t="shared" si="105"/>
        <v>Vodafone IDEA</v>
      </c>
    </row>
    <row r="481" spans="1:31" s="5" customFormat="1">
      <c r="B481" s="42"/>
      <c r="C481" s="48" t="str">
        <f t="shared" si="102"/>
        <v>Indosat</v>
      </c>
      <c r="D481" s="44" t="str">
        <f t="shared" si="102"/>
        <v>IDR 10,075</v>
      </c>
      <c r="E481" s="44" t="str">
        <f t="shared" si="102"/>
        <v>IDR 12,500</v>
      </c>
      <c r="F481" s="45">
        <f t="shared" si="102"/>
        <v>0.2406947890818858</v>
      </c>
      <c r="G481" s="44" t="str">
        <f t="shared" si="102"/>
        <v>Buy</v>
      </c>
      <c r="H481" s="46"/>
      <c r="I481" s="45">
        <f>INDO!$D$30/INDO!$D$23</f>
        <v>8.7965792679117971E-2</v>
      </c>
      <c r="J481" s="45">
        <f>INDO!$E$30/INDO!$E$23</f>
        <v>0.10522354761888603</v>
      </c>
      <c r="K481" s="45">
        <f>INDO!$F$30/INDO!$F$23</f>
        <v>0.11882114460287678</v>
      </c>
      <c r="L481" s="45">
        <f>INDO!$G$30/INDO!$G$23</f>
        <v>0.13145978475189657</v>
      </c>
      <c r="M481" s="45">
        <f t="shared" si="103"/>
        <v>4.3493992072778598E-2</v>
      </c>
      <c r="N481" s="46"/>
      <c r="O481" s="47">
        <f>INDO!$D$12/INDO!$D$24</f>
        <v>2.0329320575142882</v>
      </c>
      <c r="P481" s="47">
        <f>INDO!$E$12/INDO!$E$24</f>
        <v>1.469071789666879</v>
      </c>
      <c r="Q481" s="47">
        <f>INDO!$F$12/INDO!$F$24</f>
        <v>0.97763890121103525</v>
      </c>
      <c r="R481" s="47">
        <f>INDO!$G$12/INDO!$G$24</f>
        <v>0.53306856807466474</v>
      </c>
      <c r="S481" s="45">
        <f t="shared" si="104"/>
        <v>-1.4998634894396234</v>
      </c>
      <c r="T481" s="46"/>
      <c r="U481" s="48" t="str">
        <f t="shared" si="105"/>
        <v>IDR 10,075</v>
      </c>
      <c r="V481" s="44" t="str">
        <f t="shared" si="105"/>
        <v>Indosat</v>
      </c>
    </row>
    <row r="482" spans="1:31" s="5" customFormat="1">
      <c r="B482" s="42"/>
      <c r="C482" s="48" t="str">
        <f t="shared" si="102"/>
        <v>LG Uplus</v>
      </c>
      <c r="D482" s="44" t="str">
        <f t="shared" si="102"/>
        <v>KRW 9,770</v>
      </c>
      <c r="E482" s="44" t="str">
        <f t="shared" si="102"/>
        <v>KRW 21,000</v>
      </c>
      <c r="F482" s="45">
        <f t="shared" si="102"/>
        <v>1.1494370522006143</v>
      </c>
      <c r="G482" s="44" t="str">
        <f t="shared" si="102"/>
        <v>Buy</v>
      </c>
      <c r="H482" s="46"/>
      <c r="I482" s="45">
        <f>_LG!$D$30/_LG!$D$23</f>
        <v>5.1185002368976655E-2</v>
      </c>
      <c r="J482" s="45">
        <f>_LG!$E$30/_LG!$E$23</f>
        <v>5.4885183435801878E-2</v>
      </c>
      <c r="K482" s="45">
        <f>_LG!$F$30/_LG!$F$23</f>
        <v>6.0955952638491781E-2</v>
      </c>
      <c r="L482" s="45">
        <f>_LG!$G$30/_LG!$G$23</f>
        <v>6.5961485805122094E-2</v>
      </c>
      <c r="M482" s="45">
        <f t="shared" si="103"/>
        <v>1.4776483436145439E-2</v>
      </c>
      <c r="N482" s="46"/>
      <c r="O482" s="47">
        <f>_LG!$D$12/_LG!$D$24</f>
        <v>1.6030874401143083</v>
      </c>
      <c r="P482" s="47">
        <f>_LG!$E$12/_LG!$E$24</f>
        <v>1.5051927846649322</v>
      </c>
      <c r="Q482" s="47">
        <f>_LG!$F$12/_LG!$F$24</f>
        <v>1.4285092124779399</v>
      </c>
      <c r="R482" s="47">
        <f>_LG!$G$12/_LG!$G$24</f>
        <v>1.3580181938036211</v>
      </c>
      <c r="S482" s="45">
        <f t="shared" si="104"/>
        <v>-0.24506924631068716</v>
      </c>
      <c r="T482" s="46"/>
      <c r="U482" s="48" t="str">
        <f t="shared" si="105"/>
        <v>KRW 9,770</v>
      </c>
      <c r="V482" s="44" t="str">
        <f t="shared" si="105"/>
        <v>LG Uplus</v>
      </c>
    </row>
    <row r="483" spans="1:31" s="5" customFormat="1">
      <c r="A483" s="39"/>
      <c r="B483" s="42"/>
      <c r="C483" s="48" t="str">
        <f t="shared" si="102"/>
        <v>Maxis</v>
      </c>
      <c r="D483" s="44" t="str">
        <f t="shared" si="102"/>
        <v>MYR 3.71</v>
      </c>
      <c r="E483" s="44" t="str">
        <f t="shared" si="102"/>
        <v>MYR 5.60</v>
      </c>
      <c r="F483" s="45">
        <f t="shared" si="102"/>
        <v>0.50943396226415083</v>
      </c>
      <c r="G483" s="44" t="str">
        <f t="shared" si="102"/>
        <v>Buy</v>
      </c>
      <c r="H483" s="46"/>
      <c r="I483" s="45">
        <f>MAXI!$D$30/MAXI!$D$23</f>
        <v>9.7545661469507924E-2</v>
      </c>
      <c r="J483" s="45">
        <f>MAXI!$E$30/MAXI!$E$23</f>
        <v>0.157398932162821</v>
      </c>
      <c r="K483" s="45">
        <f>MAXI!$F$30/MAXI!$F$23</f>
        <v>0.16575253477845911</v>
      </c>
      <c r="L483" s="45">
        <f>MAXI!$G$30/MAXI!$G$23</f>
        <v>0.17219596317762048</v>
      </c>
      <c r="M483" s="45">
        <f t="shared" si="103"/>
        <v>7.4650301708112557E-2</v>
      </c>
      <c r="N483" s="46"/>
      <c r="O483" s="47">
        <f>MAXI!$D$12/MAXI!$D$24</f>
        <v>2.1776147687555296</v>
      </c>
      <c r="P483" s="47">
        <f>MAXI!$E$12/MAXI!$E$24</f>
        <v>1.9797141158651745</v>
      </c>
      <c r="Q483" s="47">
        <f>MAXI!$F$12/MAXI!$F$24</f>
        <v>1.8487975129872278</v>
      </c>
      <c r="R483" s="47">
        <f>MAXI!$G$12/MAXI!$G$24</f>
        <v>1.7232487580434626</v>
      </c>
      <c r="S483" s="45">
        <f t="shared" si="104"/>
        <v>-0.45436601071206706</v>
      </c>
      <c r="T483" s="46"/>
      <c r="U483" s="48" t="str">
        <f t="shared" si="105"/>
        <v>MYR 3.71</v>
      </c>
      <c r="V483" s="44" t="str">
        <f t="shared" si="105"/>
        <v>Maxis</v>
      </c>
    </row>
    <row r="484" spans="1:31" s="5" customFormat="1">
      <c r="B484" s="42"/>
      <c r="C484" s="48" t="str">
        <f t="shared" si="102"/>
        <v>SK Telecom</v>
      </c>
      <c r="D484" s="44" t="str">
        <f t="shared" si="102"/>
        <v>KRW 51,800</v>
      </c>
      <c r="E484" s="44" t="str">
        <f t="shared" si="102"/>
        <v>KRW 116,000</v>
      </c>
      <c r="F484" s="45">
        <f t="shared" si="102"/>
        <v>1.2393822393822393</v>
      </c>
      <c r="G484" s="44" t="str">
        <f t="shared" si="102"/>
        <v>Buy</v>
      </c>
      <c r="H484" s="46"/>
      <c r="I484" s="45">
        <f>SKT!$D$30/SKT!$D$23</f>
        <v>5.3157837869836543E-2</v>
      </c>
      <c r="J484" s="45">
        <f>SKT!$E$30/SKT!$E$23</f>
        <v>6.2102084702861951E-2</v>
      </c>
      <c r="K484" s="45">
        <f>SKT!$F$30/SKT!$F$23</f>
        <v>7.3978390184893411E-2</v>
      </c>
      <c r="L484" s="45">
        <f>SKT!$G$30/SKT!$G$23</f>
        <v>8.3875235415818289E-2</v>
      </c>
      <c r="M484" s="45">
        <f t="shared" si="103"/>
        <v>3.0717397545981746E-2</v>
      </c>
      <c r="N484" s="46"/>
      <c r="O484" s="47">
        <f>SKT!$D$12/SKT!$D$24</f>
        <v>1.6756462379542969</v>
      </c>
      <c r="P484" s="47">
        <f>SKT!$E$12/SKT!$E$24</f>
        <v>1.499117426317869</v>
      </c>
      <c r="Q484" s="47">
        <f>SKT!$F$12/SKT!$F$24</f>
        <v>1.3400493443174399</v>
      </c>
      <c r="R484" s="47">
        <f>SKT!$G$12/SKT!$G$24</f>
        <v>1.1273123787122004</v>
      </c>
      <c r="S484" s="45">
        <f t="shared" si="104"/>
        <v>-0.54833385924209654</v>
      </c>
      <c r="T484" s="46"/>
      <c r="U484" s="48" t="str">
        <f t="shared" si="105"/>
        <v>KRW 51,800</v>
      </c>
      <c r="V484" s="44" t="str">
        <f t="shared" si="105"/>
        <v>SK Telecom</v>
      </c>
    </row>
    <row r="485" spans="1:31" s="5" customFormat="1">
      <c r="B485" s="42"/>
      <c r="C485" s="48" t="str">
        <f t="shared" si="102"/>
        <v>Taiwan Mobile</v>
      </c>
      <c r="D485" s="44" t="str">
        <f t="shared" si="102"/>
        <v>TWD 106.5</v>
      </c>
      <c r="E485" s="44" t="str">
        <f t="shared" si="102"/>
        <v>TWD n/r</v>
      </c>
      <c r="F485" s="45" t="str">
        <f t="shared" si="102"/>
        <v>-</v>
      </c>
      <c r="G485" s="44" t="str">
        <f t="shared" si="102"/>
        <v>n/r</v>
      </c>
      <c r="H485" s="46"/>
      <c r="I485" s="45">
        <f>TAIWAN!$D$30/TAIWAN!$D$23</f>
        <v>8.0016178796081222E-2</v>
      </c>
      <c r="J485" s="45">
        <f>TAIWAN!$E$30/TAIWAN!$E$23</f>
        <v>9.1356068632886797E-2</v>
      </c>
      <c r="K485" s="45">
        <f>TAIWAN!$F$30/TAIWAN!$F$23</f>
        <v>0.100085938272681</v>
      </c>
      <c r="L485" s="45">
        <f>TAIWAN!$G$30/TAIWAN!$G$23</f>
        <v>0.10965430707131604</v>
      </c>
      <c r="M485" s="45">
        <f t="shared" si="103"/>
        <v>2.9638128275234821E-2</v>
      </c>
      <c r="N485" s="46"/>
      <c r="O485" s="47">
        <f>TAIWAN!$D$12/TAIWAN!$D$24</f>
        <v>2.089398889248729</v>
      </c>
      <c r="P485" s="47">
        <f>TAIWAN!$E$12/TAIWAN!$E$24</f>
        <v>1.876022607772478</v>
      </c>
      <c r="Q485" s="47">
        <f>TAIWAN!$F$12/TAIWAN!$F$24</f>
        <v>1.6559265730535735</v>
      </c>
      <c r="R485" s="47">
        <f>TAIWAN!$G$12/TAIWAN!$G$24</f>
        <v>1.3648068546669339</v>
      </c>
      <c r="S485" s="45">
        <f t="shared" si="104"/>
        <v>-0.72459203458179511</v>
      </c>
      <c r="T485" s="46"/>
      <c r="U485" s="48" t="str">
        <f t="shared" si="105"/>
        <v>TWD 106.5</v>
      </c>
      <c r="V485" s="44" t="str">
        <f t="shared" si="105"/>
        <v>Taiwan Mobile</v>
      </c>
    </row>
    <row r="486" spans="1:31" s="5" customFormat="1">
      <c r="B486" s="42"/>
      <c r="C486" s="48" t="str">
        <f t="shared" si="102"/>
        <v>True Corp</v>
      </c>
      <c r="D486" s="44" t="str">
        <f t="shared" si="102"/>
        <v>THB 8.0</v>
      </c>
      <c r="E486" s="44" t="str">
        <f t="shared" si="102"/>
        <v>THB 15.0</v>
      </c>
      <c r="F486" s="45">
        <f t="shared" si="102"/>
        <v>0.875</v>
      </c>
      <c r="G486" s="44" t="str">
        <f t="shared" si="102"/>
        <v>Buy</v>
      </c>
      <c r="H486" s="46"/>
      <c r="I486" s="45">
        <f>TRUECORP!$D$30/TRUECORP!$D$23</f>
        <v>-7.7340576566628544E-2</v>
      </c>
      <c r="J486" s="45">
        <f>TRUECORP!$E$30/TRUECORP!$E$23</f>
        <v>1.6099624592370954E-2</v>
      </c>
      <c r="K486" s="45">
        <f>TRUECORP!$F$30/TRUECORP!$F$23</f>
        <v>9.1387039333422557E-2</v>
      </c>
      <c r="L486" s="45">
        <f>TRUECORP!$G$30/TRUECORP!$G$23</f>
        <v>0.14871647199835791</v>
      </c>
      <c r="M486" s="45">
        <f>L486-I486</f>
        <v>0.22605704856498646</v>
      </c>
      <c r="N486" s="46"/>
      <c r="O486" s="47">
        <f>TRUECORP!$D$12/TRUECORP!$D$24</f>
        <v>5.7690908030559278</v>
      </c>
      <c r="P486" s="47">
        <f>TRUECORP!$E$12/TRUECORP!$E$24</f>
        <v>4.7419725992484647</v>
      </c>
      <c r="Q486" s="47">
        <f>TRUECORP!$F$12/TRUECORP!$F$24</f>
        <v>3.9891573173106525</v>
      </c>
      <c r="R486" s="47">
        <f>TRUECORP!$G$12/TRUECORP!$G$24</f>
        <v>3.3356227622478096</v>
      </c>
      <c r="S486" s="45">
        <f>R486-O486</f>
        <v>-2.4334680408081182</v>
      </c>
      <c r="T486" s="46"/>
      <c r="U486" s="48" t="str">
        <f t="shared" si="105"/>
        <v>THB 8.0</v>
      </c>
      <c r="V486" s="44" t="str">
        <f t="shared" si="105"/>
        <v>True Corp</v>
      </c>
    </row>
    <row r="487" spans="1:31" s="5" customFormat="1">
      <c r="B487" s="42"/>
      <c r="C487" s="48" t="str">
        <f t="shared" si="102"/>
        <v>XL Axiata</v>
      </c>
      <c r="D487" s="44" t="str">
        <f t="shared" si="102"/>
        <v>IDR 2,470</v>
      </c>
      <c r="E487" s="44" t="str">
        <f t="shared" si="102"/>
        <v>IDR 5,000</v>
      </c>
      <c r="F487" s="45">
        <f t="shared" si="102"/>
        <v>1.0242914979757085</v>
      </c>
      <c r="G487" s="44" t="str">
        <f t="shared" si="102"/>
        <v>Buy</v>
      </c>
      <c r="H487" s="46"/>
      <c r="I487" s="45">
        <f>XLAX!$D$30/XLAX!$D$23</f>
        <v>3.9738324681351161E-2</v>
      </c>
      <c r="J487" s="45">
        <f>XLAX!$E$30/XLAX!$E$23</f>
        <v>4.7340607582412049E-2</v>
      </c>
      <c r="K487" s="45">
        <f>XLAX!$F$30/XLAX!$F$23</f>
        <v>5.8020179819500181E-2</v>
      </c>
      <c r="L487" s="45">
        <f>XLAX!$G$30/XLAX!$G$23</f>
        <v>6.914136041770684E-2</v>
      </c>
      <c r="M487" s="45">
        <f t="shared" si="103"/>
        <v>2.9403035736355679E-2</v>
      </c>
      <c r="N487" s="56"/>
      <c r="O487" s="47">
        <f>XLAX!$D$12/XLAX!$D$24</f>
        <v>2.8298399118665407</v>
      </c>
      <c r="P487" s="47">
        <f>XLAX!$E$12/XLAX!$E$24</f>
        <v>2.2351911284784558</v>
      </c>
      <c r="Q487" s="47">
        <f>XLAX!$F$12/XLAX!$F$24</f>
        <v>1.7986107888766749</v>
      </c>
      <c r="R487" s="47">
        <f>XLAX!$G$12/XLAX!$G$24</f>
        <v>1.3773911218517743</v>
      </c>
      <c r="S487" s="45">
        <f t="shared" si="104"/>
        <v>-1.4524487900147665</v>
      </c>
      <c r="T487" s="46"/>
      <c r="U487" s="48" t="str">
        <f t="shared" si="105"/>
        <v>IDR 2,470</v>
      </c>
      <c r="V487" s="44" t="str">
        <f t="shared" si="105"/>
        <v>XL Axiata</v>
      </c>
    </row>
    <row r="488" spans="1:31" s="5" customFormat="1">
      <c r="B488" s="42"/>
      <c r="C488" s="51" t="str">
        <f>C426</f>
        <v>Agg. Emerging Asia Cellular</v>
      </c>
      <c r="D488" s="52"/>
      <c r="E488" s="52"/>
      <c r="F488" s="53"/>
      <c r="G488" s="52"/>
      <c r="H488" s="46"/>
      <c r="I488" s="55">
        <f>'EM ASIA CELLULAR'!$D$30/'EM ASIA CELLULAR'!$D$23</f>
        <v>9.1550812448864885E-2</v>
      </c>
      <c r="J488" s="55">
        <f>'EM ASIA CELLULAR'!$E$30/'EM ASIA CELLULAR'!$E$23</f>
        <v>0.10201947921133885</v>
      </c>
      <c r="K488" s="55">
        <f>'EM ASIA CELLULAR'!$F$30/'EM ASIA CELLULAR'!$F$23</f>
        <v>0.11364653668166616</v>
      </c>
      <c r="L488" s="55">
        <f>'EM ASIA CELLULAR'!$G$30/'EM ASIA CELLULAR'!$G$23</f>
        <v>0.12311169187509659</v>
      </c>
      <c r="M488" s="55">
        <f t="shared" si="103"/>
        <v>3.1560879426231703E-2</v>
      </c>
      <c r="N488" s="56"/>
      <c r="O488" s="54">
        <f>'EM ASIA CELLULAR'!$D$12/'EM ASIA CELLULAR'!$D$24</f>
        <v>1.1241635953750027</v>
      </c>
      <c r="P488" s="54">
        <f>'EM ASIA CELLULAR'!$E$12/'EM ASIA CELLULAR'!$E$24</f>
        <v>0.9002514477799276</v>
      </c>
      <c r="Q488" s="54">
        <f>'EM ASIA CELLULAR'!$F$12/'EM ASIA CELLULAR'!$F$24</f>
        <v>0.69636940206940579</v>
      </c>
      <c r="R488" s="54">
        <f>'EM ASIA CELLULAR'!$G$12/'EM ASIA CELLULAR'!$G$24</f>
        <v>0.49522002104551022</v>
      </c>
      <c r="S488" s="55">
        <f t="shared" si="104"/>
        <v>-0.62894357432949244</v>
      </c>
      <c r="T488" s="46"/>
      <c r="U488" s="57"/>
      <c r="V488" s="58" t="str">
        <f>V426</f>
        <v>Agg. Emerging Asia Cellular</v>
      </c>
    </row>
    <row r="489" spans="1:31" s="5" customFormat="1">
      <c r="B489" s="42"/>
      <c r="C489" s="43"/>
      <c r="D489" s="44"/>
      <c r="E489" s="44"/>
      <c r="F489" s="68"/>
      <c r="G489" s="44"/>
      <c r="H489" s="46"/>
      <c r="I489" s="61"/>
      <c r="J489" s="61"/>
      <c r="K489" s="61"/>
      <c r="L489" s="61"/>
      <c r="M489" s="61"/>
      <c r="N489" s="46"/>
      <c r="O489" s="62"/>
      <c r="P489" s="62"/>
      <c r="Q489" s="62"/>
      <c r="R489" s="62"/>
      <c r="S489" s="61"/>
      <c r="T489" s="46"/>
      <c r="U489" s="48"/>
      <c r="V489" s="50"/>
    </row>
    <row r="490" spans="1:31" s="5" customFormat="1">
      <c r="B490" s="42"/>
      <c r="C490" s="51" t="str">
        <f>C428</f>
        <v>Agg. Emerging  Cellular</v>
      </c>
      <c r="D490" s="52"/>
      <c r="E490" s="52"/>
      <c r="F490" s="53"/>
      <c r="G490" s="52"/>
      <c r="H490" s="46"/>
      <c r="I490" s="55">
        <f>'EM CELLULAR'!$D$30/'EM CELLULAR'!$D$23</f>
        <v>9.0807618401059803E-2</v>
      </c>
      <c r="J490" s="55">
        <f>'EM CELLULAR'!$E$30/'EM CELLULAR'!$E$23</f>
        <v>0.10107275716865871</v>
      </c>
      <c r="K490" s="55">
        <f>'EM CELLULAR'!$F$30/'EM CELLULAR'!$F$23</f>
        <v>0.11426107083705277</v>
      </c>
      <c r="L490" s="55">
        <f>'EM CELLULAR'!$G$30/'EM CELLULAR'!$G$23</f>
        <v>0.12365983510588793</v>
      </c>
      <c r="M490" s="55">
        <f t="shared" ref="M490" si="106">L490-I490</f>
        <v>3.285221670482813E-2</v>
      </c>
      <c r="N490" s="46"/>
      <c r="O490" s="54">
        <f>'EM CELLULAR'!$D$12/'EM CELLULAR'!$D$24</f>
        <v>1.2154300459033154</v>
      </c>
      <c r="P490" s="54">
        <f>'EM CELLULAR'!$E$12/'EM CELLULAR'!$E$24</f>
        <v>1.0478515963714392</v>
      </c>
      <c r="Q490" s="54">
        <f>'EM CELLULAR'!$F$12/'EM CELLULAR'!$F$24</f>
        <v>0.85831580348731651</v>
      </c>
      <c r="R490" s="54">
        <f>'EM CELLULAR'!$G$12/'EM CELLULAR'!$G$24</f>
        <v>0.67467648092412713</v>
      </c>
      <c r="S490" s="55">
        <f t="shared" ref="S490" si="107">R490-O490</f>
        <v>-0.54075356497918825</v>
      </c>
      <c r="T490" s="46"/>
      <c r="U490" s="57"/>
      <c r="V490" s="58" t="str">
        <f>V428</f>
        <v>Agg. Emerging  Cellular</v>
      </c>
    </row>
    <row r="491" spans="1:31" s="5" customFormat="1">
      <c r="A491" s="39"/>
      <c r="B491" s="42"/>
      <c r="C491" s="43"/>
      <c r="D491" s="44"/>
      <c r="E491" s="44"/>
      <c r="F491" s="45"/>
      <c r="G491" s="44"/>
      <c r="H491" s="46"/>
      <c r="I491" s="45"/>
      <c r="J491" s="45"/>
      <c r="K491" s="45"/>
      <c r="L491" s="45"/>
      <c r="M491" s="45"/>
      <c r="N491" s="46"/>
      <c r="O491" s="47"/>
      <c r="P491" s="47"/>
      <c r="Q491" s="47"/>
      <c r="R491" s="47"/>
      <c r="S491" s="45"/>
      <c r="T491" s="46"/>
      <c r="U491" s="48"/>
      <c r="V491" s="50"/>
    </row>
    <row r="492" spans="1:31">
      <c r="A492" s="41" t="s">
        <v>508</v>
      </c>
      <c r="B492" s="42" t="s">
        <v>582</v>
      </c>
      <c r="C492" s="48" t="s">
        <v>819</v>
      </c>
      <c r="D492" s="44" t="str">
        <f>'EM Multiples'!B492&amp;TEXT(Prices!C$135,"0.00")</f>
        <v>MXN52.16</v>
      </c>
      <c r="E492" s="44" t="str">
        <f>'EM Multiples'!B492&amp;TEXT(Prices!E$135,"0.00")</f>
        <v>MXN55.00</v>
      </c>
      <c r="F492" s="45">
        <f>Prices!F$135</f>
        <v>5.444785276073616E-2</v>
      </c>
      <c r="G492" s="44" t="str">
        <f>Prices!D$135</f>
        <v>Buy</v>
      </c>
      <c r="H492" s="46"/>
      <c r="I492" s="45">
        <f>MEGA!$D$30/MEGA!$D$23</f>
        <v>0.22258694419401259</v>
      </c>
      <c r="J492" s="45">
        <f>MEGA!$E$30/MEGA!$E$23</f>
        <v>0.21688937298041919</v>
      </c>
      <c r="K492" s="45">
        <f>MEGA!$F$30/MEGA!$F$23</f>
        <v>0.21159861579898517</v>
      </c>
      <c r="L492" s="45">
        <f>MEGA!$G$30/MEGA!$G$23</f>
        <v>0.20368062031039469</v>
      </c>
      <c r="M492" s="45">
        <f>L492-I492</f>
        <v>-1.8906323883617904E-2</v>
      </c>
      <c r="N492" s="46"/>
      <c r="O492" s="47">
        <f>MEGA!$D$12/MEGA!$D$24</f>
        <v>1.4453674943563573</v>
      </c>
      <c r="P492" s="47">
        <f>MEGA!$E$12/MEGA!$E$24</f>
        <v>1.6461146582071524</v>
      </c>
      <c r="Q492" s="47">
        <f>MEGA!$F$12/MEGA!$F$24</f>
        <v>1.5948015481225482</v>
      </c>
      <c r="R492" s="47">
        <f>MEGA!$G$12/MEGA!$G$24</f>
        <v>1.4200533317606507</v>
      </c>
      <c r="S492" s="45">
        <f>R492-O492</f>
        <v>-2.5314162595706513E-2</v>
      </c>
      <c r="T492" s="46"/>
      <c r="U492" s="48" t="str">
        <f>D492</f>
        <v>MXN52.16</v>
      </c>
      <c r="V492" s="44" t="str">
        <f>C492</f>
        <v>Megacable</v>
      </c>
      <c r="Z492" s="46"/>
      <c r="AE492" s="41"/>
    </row>
    <row r="493" spans="1:31">
      <c r="A493" s="5"/>
      <c r="B493" s="42" t="s">
        <v>411</v>
      </c>
      <c r="C493" s="48" t="s">
        <v>804</v>
      </c>
      <c r="D493" s="44" t="str">
        <f>'EM Multiples'!B493&amp;TEXT(Prices!C$138,"0.00")</f>
        <v>USD8.55</v>
      </c>
      <c r="E493" s="44" t="str">
        <f>'EM Multiples'!B493&amp;TEXT(Prices!E$138,"0.00")</f>
        <v>USD14.00</v>
      </c>
      <c r="F493" s="45">
        <f>Prices!F$138</f>
        <v>0.63742690058479523</v>
      </c>
      <c r="G493" s="44" t="str">
        <f>Prices!D$138</f>
        <v>Buy</v>
      </c>
      <c r="H493" s="46"/>
      <c r="I493" s="45">
        <f>LiLAC!$D$30/LiLAC!$D$23</f>
        <v>2.9376013931927736E-2</v>
      </c>
      <c r="J493" s="45">
        <f>LiLAC!$E$30/LiLAC!$E$23</f>
        <v>9.969929622613144E-2</v>
      </c>
      <c r="K493" s="45">
        <f>LiLAC!$F$30/LiLAC!$F$23</f>
        <v>0.10497830475613189</v>
      </c>
      <c r="L493" s="45">
        <f>LiLAC!$G$30/LiLAC!$G$23</f>
        <v>0.10926341784287463</v>
      </c>
      <c r="M493" s="45">
        <f>L493-I493</f>
        <v>7.9887403910946897E-2</v>
      </c>
      <c r="N493" s="46"/>
      <c r="O493" s="47">
        <f>LiLAC!$D$12/LiLAC!$D$24</f>
        <v>4.2596823952139182</v>
      </c>
      <c r="P493" s="47">
        <f>LiLAC!$E$12/LiLAC!$E$24</f>
        <v>3.8138784062694953</v>
      </c>
      <c r="Q493" s="47">
        <f>LiLAC!$F$12/LiLAC!$F$24</f>
        <v>3.5410764393076017</v>
      </c>
      <c r="R493" s="47">
        <f>LiLAC!$G$12/LiLAC!$G$24</f>
        <v>3.4045349888919798</v>
      </c>
      <c r="S493" s="45">
        <f>R493-O493</f>
        <v>-0.85514740632193842</v>
      </c>
      <c r="T493" s="46"/>
      <c r="U493" s="48" t="str">
        <f>D493</f>
        <v>USD8.55</v>
      </c>
      <c r="V493" s="44" t="str">
        <f>C493</f>
        <v>LiLAC</v>
      </c>
      <c r="Z493" s="46"/>
      <c r="AE493" s="41"/>
    </row>
    <row r="494" spans="1:31">
      <c r="A494" s="5"/>
      <c r="C494" s="67" t="s">
        <v>822</v>
      </c>
      <c r="D494" s="52"/>
      <c r="E494" s="52"/>
      <c r="F494" s="53"/>
      <c r="G494" s="52"/>
      <c r="H494" s="46"/>
      <c r="I494" s="55">
        <f>'LATAM ALTNET &amp; CABLE'!$D$30/'LATAM ALTNET &amp; CABLE'!$D$23</f>
        <v>8.3317247292555741E-2</v>
      </c>
      <c r="J494" s="55">
        <f>'LATAM ALTNET &amp; CABLE'!$E$30/'LATAM ALTNET &amp; CABLE'!$E$23</f>
        <v>0.13441409219503592</v>
      </c>
      <c r="K494" s="55">
        <f>'LATAM ALTNET &amp; CABLE'!$F$30/'LATAM ALTNET &amp; CABLE'!$F$23</f>
        <v>0.13787930627456194</v>
      </c>
      <c r="L494" s="55">
        <f>'LATAM ALTNET &amp; CABLE'!$G$30/'LATAM ALTNET &amp; CABLE'!$G$23</f>
        <v>0.14018805144179566</v>
      </c>
      <c r="M494" s="55">
        <f>L494-I494</f>
        <v>5.6870804149239923E-2</v>
      </c>
      <c r="N494" s="46"/>
      <c r="O494" s="54">
        <f>'LATAM ALTNET &amp; CABLE'!$D$12/'LATAM ALTNET &amp; CABLE'!$D$24</f>
        <v>3.3548272186211001</v>
      </c>
      <c r="P494" s="54">
        <f>'LATAM ALTNET &amp; CABLE'!$E$12/'LATAM ALTNET &amp; CABLE'!$E$24</f>
        <v>3.1096883776962425</v>
      </c>
      <c r="Q494" s="54">
        <f>'LATAM ALTNET &amp; CABLE'!$F$12/'LATAM ALTNET &amp; CABLE'!$F$24</f>
        <v>2.8833385726591532</v>
      </c>
      <c r="R494" s="54">
        <f>'LATAM ALTNET &amp; CABLE'!$G$12/'LATAM ALTNET &amp; CABLE'!$G$24</f>
        <v>2.7004194630147436</v>
      </c>
      <c r="S494" s="55">
        <f>R494-O494</f>
        <v>-0.65440775560635656</v>
      </c>
      <c r="T494" s="46"/>
      <c r="U494" s="57"/>
      <c r="V494" s="58" t="str">
        <f>C494</f>
        <v>Agg. Emerging LatAm Altnets &amp; Cable</v>
      </c>
      <c r="Z494" s="46"/>
      <c r="AE494" s="41"/>
    </row>
    <row r="495" spans="1:31" s="5" customFormat="1">
      <c r="A495" s="39"/>
      <c r="B495" s="42"/>
      <c r="C495" s="43"/>
      <c r="D495" s="44"/>
      <c r="E495" s="44"/>
      <c r="F495" s="45"/>
      <c r="G495" s="44"/>
      <c r="H495" s="46"/>
      <c r="I495" s="45"/>
      <c r="J495" s="45"/>
      <c r="K495" s="45"/>
      <c r="L495" s="45"/>
      <c r="M495" s="45"/>
      <c r="N495" s="46"/>
      <c r="O495" s="47"/>
      <c r="P495" s="47"/>
      <c r="Q495" s="47"/>
      <c r="R495" s="47"/>
      <c r="S495" s="45"/>
      <c r="T495" s="46"/>
      <c r="U495" s="48"/>
      <c r="V495" s="50"/>
    </row>
    <row r="496" spans="1:31" s="5" customFormat="1">
      <c r="A496" s="39"/>
      <c r="B496" s="42"/>
      <c r="C496" s="67" t="str">
        <f>C434</f>
        <v>Agg. EMEA sector</v>
      </c>
      <c r="D496" s="52"/>
      <c r="E496" s="52"/>
      <c r="F496" s="53"/>
      <c r="G496" s="52"/>
      <c r="H496" s="46"/>
      <c r="I496" s="55">
        <f>'EMEA AGG'!$D$30/'EMEA AGG'!$D$23</f>
        <v>9.0531554702290906E-2</v>
      </c>
      <c r="J496" s="55">
        <f>'EMEA AGG'!$E$30/'EMEA AGG'!$E$23</f>
        <v>9.4761175943780432E-2</v>
      </c>
      <c r="K496" s="55">
        <f>'EMEA AGG'!$F$30/'EMEA AGG'!$F$23</f>
        <v>0.11224461650718025</v>
      </c>
      <c r="L496" s="55">
        <f>'EMEA AGG'!$G$30/'EMEA AGG'!$G$23</f>
        <v>0.11902743292218776</v>
      </c>
      <c r="M496" s="55">
        <f>L496-I496</f>
        <v>2.8495878219896853E-2</v>
      </c>
      <c r="N496" s="56"/>
      <c r="O496" s="54">
        <f>'EMEA AGG'!$D$12/'EMEA AGG'!$D$24</f>
        <v>1.3239260182710104</v>
      </c>
      <c r="P496" s="54">
        <f>'EMEA AGG'!$E$12/'EMEA AGG'!$E$24</f>
        <v>1.4998277676094185</v>
      </c>
      <c r="Q496" s="54">
        <f>'EMEA AGG'!$F$12/'EMEA AGG'!$F$24</f>
        <v>1.4046862623398388</v>
      </c>
      <c r="R496" s="54">
        <f>'EMEA AGG'!$G$12/'EMEA AGG'!$G$24</f>
        <v>1.3455012785199585</v>
      </c>
      <c r="S496" s="55">
        <f>R496-O496</f>
        <v>2.1575260248948069E-2</v>
      </c>
      <c r="T496" s="46"/>
      <c r="U496" s="57"/>
      <c r="V496" s="58" t="str">
        <f>V434</f>
        <v>Agg. EMEA sector</v>
      </c>
    </row>
    <row r="497" spans="1:69" s="5" customFormat="1">
      <c r="A497" s="39"/>
      <c r="B497" s="42"/>
      <c r="C497" s="41" t="str">
        <f>C435</f>
        <v>Agg. LatAm sector</v>
      </c>
      <c r="D497" s="44"/>
      <c r="E497" s="44"/>
      <c r="F497" s="45"/>
      <c r="G497" s="44"/>
      <c r="H497" s="46"/>
      <c r="I497" s="59">
        <f>'LATAM AGG'!$D$30/'LATAM AGG'!$D$23</f>
        <v>7.087239936418574E-2</v>
      </c>
      <c r="J497" s="59">
        <f>'LATAM AGG'!$E$30/'LATAM AGG'!$E$23</f>
        <v>9.3283201106297883E-2</v>
      </c>
      <c r="K497" s="59">
        <f>'LATAM AGG'!$F$30/'LATAM AGG'!$F$23</f>
        <v>0.11491268531921882</v>
      </c>
      <c r="L497" s="59">
        <f>'LATAM AGG'!$G$30/'LATAM AGG'!$G$23</f>
        <v>0.13276061060283403</v>
      </c>
      <c r="M497" s="59">
        <f>L497-I497</f>
        <v>6.1888211238648294E-2</v>
      </c>
      <c r="N497" s="56"/>
      <c r="O497" s="60">
        <f>'LATAM AGG'!$D$12/'LATAM AGG'!$D$24</f>
        <v>1.8251344711218609</v>
      </c>
      <c r="P497" s="60">
        <f>'LATAM AGG'!$E$12/'LATAM AGG'!$E$24</f>
        <v>1.6966665491019437</v>
      </c>
      <c r="Q497" s="60">
        <f>'LATAM AGG'!$F$12/'LATAM AGG'!$F$24</f>
        <v>1.5481758638844534</v>
      </c>
      <c r="R497" s="60">
        <f>'LATAM AGG'!$G$12/'LATAM AGG'!$G$24</f>
        <v>1.4344465558527892</v>
      </c>
      <c r="S497" s="59">
        <f>R497-O497</f>
        <v>-0.39068791526907165</v>
      </c>
      <c r="T497" s="46"/>
      <c r="U497" s="48"/>
      <c r="V497" s="50" t="str">
        <f>V435</f>
        <v>Agg. LatAm sector</v>
      </c>
    </row>
    <row r="498" spans="1:69" s="5" customFormat="1">
      <c r="A498" s="39"/>
      <c r="B498" s="42"/>
      <c r="C498" s="67" t="str">
        <f>C436</f>
        <v>Agg. Emerging Asia sector</v>
      </c>
      <c r="D498" s="52"/>
      <c r="E498" s="52"/>
      <c r="F498" s="53"/>
      <c r="G498" s="52"/>
      <c r="H498" s="46"/>
      <c r="I498" s="55">
        <f>'AGG EM ASIA'!$D$30/'AGG EM ASIA'!$D$23</f>
        <v>7.9270514020277572E-2</v>
      </c>
      <c r="J498" s="55">
        <f>'AGG EM ASIA'!$E$30/'AGG EM ASIA'!$E$23</f>
        <v>8.6603474020439775E-2</v>
      </c>
      <c r="K498" s="55">
        <f>'AGG EM ASIA'!$F$30/'AGG EM ASIA'!$F$23</f>
        <v>9.41362470679135E-2</v>
      </c>
      <c r="L498" s="55">
        <f>'AGG EM ASIA'!$G$30/'AGG EM ASIA'!$G$23</f>
        <v>0.10225689152345359</v>
      </c>
      <c r="M498" s="55">
        <f>L498-I498</f>
        <v>2.2986377503176017E-2</v>
      </c>
      <c r="N498" s="56"/>
      <c r="O498" s="54">
        <f>'AGG EM ASIA'!$D$12/'AGG EM ASIA'!$D$24</f>
        <v>60.371645677131234</v>
      </c>
      <c r="P498" s="54">
        <f>'AGG EM ASIA'!$E$12/'AGG EM ASIA'!$E$24</f>
        <v>53.512718623278154</v>
      </c>
      <c r="Q498" s="54">
        <f>'AGG EM ASIA'!$F$12/'AGG EM ASIA'!$F$24</f>
        <v>42.31734358251466</v>
      </c>
      <c r="R498" s="54">
        <f>'AGG EM ASIA'!$G$12/'AGG EM ASIA'!$G$24</f>
        <v>32.342292670168909</v>
      </c>
      <c r="S498" s="55">
        <f>R498-O498</f>
        <v>-28.029353006962324</v>
      </c>
      <c r="T498" s="46"/>
      <c r="U498" s="57"/>
      <c r="V498" s="58" t="str">
        <f>V436</f>
        <v>Agg. Emerging Asia sector</v>
      </c>
    </row>
    <row r="499" spans="1:69" s="5" customFormat="1">
      <c r="A499" s="39"/>
      <c r="B499" s="42"/>
      <c r="C499" s="41"/>
      <c r="D499" s="44"/>
      <c r="E499" s="44"/>
      <c r="F499" s="45"/>
      <c r="G499" s="44"/>
      <c r="H499" s="46"/>
      <c r="I499" s="59"/>
      <c r="J499" s="59"/>
      <c r="K499" s="59"/>
      <c r="L499" s="59"/>
      <c r="M499" s="59"/>
      <c r="N499" s="56"/>
      <c r="O499" s="60"/>
      <c r="P499" s="60"/>
      <c r="Q499" s="60"/>
      <c r="R499" s="60"/>
      <c r="S499" s="59"/>
      <c r="T499" s="46"/>
      <c r="U499" s="48"/>
      <c r="V499" s="50"/>
    </row>
    <row r="500" spans="1:69" s="5" customFormat="1">
      <c r="A500" s="39"/>
      <c r="B500" s="42"/>
      <c r="C500" s="67" t="str">
        <f>C438</f>
        <v>Agg. Global EM sector (ex-consensus)</v>
      </c>
      <c r="D500" s="52"/>
      <c r="E500" s="52"/>
      <c r="F500" s="53"/>
      <c r="G500" s="52"/>
      <c r="H500" s="46"/>
      <c r="I500" s="55">
        <f>'AGG EM'!$D$30/'AGG EM'!$D$23</f>
        <v>7.8733871916856935E-2</v>
      </c>
      <c r="J500" s="55">
        <f>'AGG EM'!$E$30/'AGG EM'!$E$23</f>
        <v>8.8323978831502711E-2</v>
      </c>
      <c r="K500" s="55">
        <f>'AGG EM'!$F$30/'AGG EM'!$F$23</f>
        <v>9.8920124612022972E-2</v>
      </c>
      <c r="L500" s="55">
        <f>'AGG EM'!$G$30/'AGG EM'!$G$23</f>
        <v>0.10848248805627092</v>
      </c>
      <c r="M500" s="55">
        <f>L500-I500</f>
        <v>2.9748616139413986E-2</v>
      </c>
      <c r="N500" s="56"/>
      <c r="O500" s="54">
        <f>'AGG EM'!$D$12/'AGG EM'!$D$24</f>
        <v>43.876353972338912</v>
      </c>
      <c r="P500" s="54">
        <f>'AGG EM'!$E$12/'AGG EM'!$E$24</f>
        <v>39.155946674620331</v>
      </c>
      <c r="Q500" s="54">
        <f>'AGG EM'!$F$12/'AGG EM'!$F$24</f>
        <v>30.985207440567727</v>
      </c>
      <c r="R500" s="54">
        <f>'AGG EM'!$G$12/'AGG EM'!$G$24</f>
        <v>23.782790493143768</v>
      </c>
      <c r="S500" s="55">
        <f>R500-O500</f>
        <v>-20.093563479195144</v>
      </c>
      <c r="T500" s="46"/>
      <c r="U500" s="57"/>
      <c r="V500" s="58" t="str">
        <f>V438</f>
        <v>Agg. Global EM sector (ex-consensus)</v>
      </c>
    </row>
    <row r="501" spans="1:69" s="5" customFormat="1">
      <c r="A501" s="39"/>
      <c r="B501" s="42"/>
      <c r="C501" s="43"/>
      <c r="D501" s="44"/>
      <c r="E501" s="44"/>
      <c r="F501" s="45"/>
      <c r="G501" s="44"/>
      <c r="H501" s="134"/>
      <c r="I501" s="45"/>
      <c r="J501" s="45"/>
      <c r="K501" s="45"/>
      <c r="L501" s="45"/>
      <c r="M501" s="45"/>
      <c r="N501" s="46"/>
      <c r="O501" s="45"/>
      <c r="P501" s="45"/>
      <c r="Q501" s="45"/>
      <c r="R501" s="45"/>
      <c r="S501" s="45"/>
      <c r="T501" s="46"/>
      <c r="U501" s="48"/>
      <c r="V501" s="50"/>
    </row>
    <row r="502" spans="1:69" s="5" customFormat="1">
      <c r="A502" s="39"/>
      <c r="B502" s="42"/>
      <c r="C502" s="43"/>
      <c r="D502" s="44"/>
      <c r="E502" s="44"/>
      <c r="F502" s="45"/>
      <c r="G502" s="44"/>
      <c r="H502" s="134"/>
      <c r="I502" s="45"/>
      <c r="J502" s="45"/>
      <c r="K502" s="45"/>
      <c r="L502" s="45"/>
      <c r="M502" s="45"/>
      <c r="N502" s="46"/>
      <c r="O502" s="45"/>
      <c r="P502" s="45"/>
      <c r="Q502" s="45"/>
      <c r="R502" s="45"/>
      <c r="S502" s="45"/>
      <c r="T502" s="46"/>
      <c r="U502" s="48"/>
      <c r="V502" s="50"/>
    </row>
    <row r="503" spans="1:69" s="41" customFormat="1">
      <c r="B503" s="147"/>
      <c r="C503" s="164"/>
      <c r="D503" s="165" t="s">
        <v>464</v>
      </c>
      <c r="E503" s="165" t="s">
        <v>57</v>
      </c>
      <c r="F503" s="165" t="s">
        <v>59</v>
      </c>
      <c r="G503" s="165" t="s">
        <v>56</v>
      </c>
      <c r="H503" s="134"/>
      <c r="I503" s="166" t="s">
        <v>290</v>
      </c>
      <c r="J503" s="166"/>
      <c r="K503" s="166"/>
      <c r="L503" s="166"/>
      <c r="M503" s="166"/>
      <c r="N503" s="46"/>
      <c r="O503" s="166" t="s">
        <v>474</v>
      </c>
      <c r="P503" s="166"/>
      <c r="Q503" s="166"/>
      <c r="R503" s="166"/>
      <c r="S503" s="166"/>
      <c r="T503" s="46"/>
      <c r="U503" s="167" t="s">
        <v>464</v>
      </c>
      <c r="V503" s="165"/>
      <c r="Z503" s="49"/>
      <c r="AC503" s="135"/>
      <c r="AD503" s="136"/>
      <c r="AE503" s="136"/>
      <c r="AF503" s="136"/>
      <c r="AG503" s="136"/>
      <c r="AH503" s="136"/>
      <c r="AI503" s="136"/>
      <c r="AJ503" s="136"/>
      <c r="AK503" s="136"/>
      <c r="AL503" s="136"/>
      <c r="AM503" s="136"/>
      <c r="AN503" s="136"/>
      <c r="AO503" s="136"/>
      <c r="AP503" s="136"/>
      <c r="AQ503" s="136"/>
      <c r="AR503" s="136"/>
      <c r="AS503" s="136"/>
      <c r="AT503" s="136"/>
      <c r="AU503" s="136"/>
      <c r="AV503" s="136"/>
      <c r="AW503" s="136"/>
      <c r="BC503" s="137"/>
      <c r="BD503" s="137"/>
      <c r="BE503" s="137"/>
      <c r="BG503" s="137"/>
      <c r="BH503" s="137"/>
      <c r="BI503" s="137"/>
      <c r="BK503" s="137"/>
      <c r="BL503" s="137"/>
      <c r="BM503" s="137"/>
      <c r="BO503" s="137"/>
      <c r="BP503" s="137"/>
      <c r="BQ503" s="137"/>
    </row>
    <row r="504" spans="1:69" s="5" customFormat="1">
      <c r="A504" s="41" t="s">
        <v>506</v>
      </c>
      <c r="B504" s="42"/>
      <c r="C504" s="48" t="str">
        <f>C442</f>
        <v>Telkom SA</v>
      </c>
      <c r="D504" s="44" t="str">
        <f>D442</f>
        <v>ZAR 25.3</v>
      </c>
      <c r="E504" s="44" t="str">
        <f>E442</f>
        <v>ZAR 56.0</v>
      </c>
      <c r="F504" s="45">
        <f>F442</f>
        <v>1.21606648199446</v>
      </c>
      <c r="G504" s="44" t="str">
        <f>G442</f>
        <v>Neutral</v>
      </c>
      <c r="H504" s="134"/>
      <c r="I504" s="47">
        <f>TKG!$D$25/TKG!$D$33</f>
        <v>6.3923089013786525</v>
      </c>
      <c r="J504" s="47">
        <f>TKG!$E$25/TKG!$E$33</f>
        <v>6.8132411152002401</v>
      </c>
      <c r="K504" s="47">
        <f>TKG!$F$25/TKG!$F$33</f>
        <v>7.1270762693961176</v>
      </c>
      <c r="L504" s="47">
        <f>TKG!$G$25/TKG!$G$33</f>
        <v>7.1270762693961203</v>
      </c>
      <c r="M504" s="45">
        <f t="shared" ref="M504" si="108">L504-I504</f>
        <v>0.73476736801746778</v>
      </c>
      <c r="N504" s="46"/>
      <c r="O504" s="45">
        <f>(TKG!$D$24-TKG!$D$25)/TKG!$D$23</f>
        <v>0.14739449293625817</v>
      </c>
      <c r="P504" s="45">
        <f>(TKG!$E$24-TKG!$E$25)/TKG!$E$23</f>
        <v>0.14172534916027368</v>
      </c>
      <c r="Q504" s="45">
        <f>(TKG!$F$24-TKG!$F$25)/TKG!$F$23</f>
        <v>0.14210859636404699</v>
      </c>
      <c r="R504" s="45">
        <f>(TKG!$G$24-TKG!$G$25)/TKG!$G$23</f>
        <v>0.14210859636404699</v>
      </c>
      <c r="S504" s="45">
        <f t="shared" ref="S504" si="109">R504-O504</f>
        <v>-5.2858965722111795E-3</v>
      </c>
      <c r="T504" s="46"/>
      <c r="U504" s="48" t="str">
        <f>U442</f>
        <v>ZAR 25.3</v>
      </c>
      <c r="V504" s="44" t="str">
        <f>V442</f>
        <v>Telkom SA</v>
      </c>
    </row>
    <row r="505" spans="1:69" s="5" customFormat="1">
      <c r="A505" s="41"/>
      <c r="B505" s="42"/>
      <c r="C505" s="51" t="str">
        <f>C443</f>
        <v>Agg. EMEA Incumbent</v>
      </c>
      <c r="D505" s="58"/>
      <c r="E505" s="58"/>
      <c r="F505" s="55"/>
      <c r="G505" s="58"/>
      <c r="H505" s="134"/>
      <c r="I505" s="54"/>
      <c r="J505" s="54"/>
      <c r="K505" s="54"/>
      <c r="L505" s="54"/>
      <c r="M505" s="55"/>
      <c r="N505" s="56"/>
      <c r="O505" s="55"/>
      <c r="P505" s="55"/>
      <c r="Q505" s="55"/>
      <c r="R505" s="55"/>
      <c r="S505" s="55"/>
      <c r="T505" s="56"/>
      <c r="U505" s="51"/>
      <c r="V505" s="58" t="str">
        <f>V443</f>
        <v>Agg. EMEA Incumbent</v>
      </c>
    </row>
    <row r="506" spans="1:69">
      <c r="A506" s="5"/>
      <c r="C506" s="48"/>
      <c r="D506" s="44"/>
      <c r="E506" s="44"/>
      <c r="F506" s="68"/>
      <c r="G506" s="44"/>
      <c r="H506" s="134"/>
      <c r="I506" s="62"/>
      <c r="J506" s="62"/>
      <c r="K506" s="62"/>
      <c r="L506" s="62"/>
      <c r="M506" s="61"/>
      <c r="N506" s="46"/>
      <c r="O506" s="61"/>
      <c r="P506" s="61"/>
      <c r="Q506" s="61"/>
      <c r="R506" s="61"/>
      <c r="S506" s="61"/>
      <c r="T506" s="46"/>
      <c r="U506" s="48"/>
      <c r="V506" s="44"/>
    </row>
    <row r="507" spans="1:69">
      <c r="A507" s="5"/>
      <c r="C507" s="48" t="str">
        <f t="shared" ref="C507:G510" si="110">C445</f>
        <v>America Movil</v>
      </c>
      <c r="D507" s="44" t="str">
        <f t="shared" si="110"/>
        <v>USD 16.2</v>
      </c>
      <c r="E507" s="44" t="str">
        <f t="shared" si="110"/>
        <v>USD 24.0</v>
      </c>
      <c r="F507" s="45">
        <f t="shared" si="110"/>
        <v>0.47965474722564738</v>
      </c>
      <c r="G507" s="44" t="str">
        <f t="shared" si="110"/>
        <v>Buy</v>
      </c>
      <c r="H507" s="46"/>
      <c r="I507" s="47">
        <f>AMX!$D$25/AMX!$D$33</f>
        <v>-4.8673836832508472</v>
      </c>
      <c r="J507" s="47">
        <f>AMX!$E$25/AMX!$E$33</f>
        <v>-5.9086447398282846</v>
      </c>
      <c r="K507" s="47">
        <f>AMX!$F$25/AMX!$F$33</f>
        <v>-7.7800099427844414</v>
      </c>
      <c r="L507" s="47">
        <f>AMX!$G$25/AMX!$G$33</f>
        <v>-10.628859314961487</v>
      </c>
      <c r="M507" s="45">
        <f t="shared" ref="M507:M511" si="111">L507-I507</f>
        <v>-5.7614756317106393</v>
      </c>
      <c r="N507" s="46"/>
      <c r="O507" s="45">
        <f>(AMX!$D$24-AMX!$D$25)/AMX!$D$23</f>
        <v>0.17435929484417489</v>
      </c>
      <c r="P507" s="45">
        <f>(AMX!$E$24-AMX!$E$25)/AMX!$E$23</f>
        <v>0.15412557036494759</v>
      </c>
      <c r="Q507" s="45">
        <f>(AMX!$F$24-AMX!$F$25)/AMX!$F$23</f>
        <v>0.14651521584355173</v>
      </c>
      <c r="R507" s="45">
        <f>(AMX!$G$24-AMX!$G$25)/AMX!$G$23</f>
        <v>0.1372004065263755</v>
      </c>
      <c r="S507" s="45">
        <f t="shared" ref="S507:S511" si="112">R507-O507</f>
        <v>-3.7158888317799399E-2</v>
      </c>
      <c r="T507" s="46"/>
      <c r="U507" s="48" t="str">
        <f t="shared" ref="U507:V509" si="113">U445</f>
        <v>USD 16.2</v>
      </c>
      <c r="V507" s="44" t="str">
        <f t="shared" si="113"/>
        <v>America Movil</v>
      </c>
    </row>
    <row r="508" spans="1:69">
      <c r="A508" s="5"/>
      <c r="C508" s="48" t="str">
        <f t="shared" si="110"/>
        <v>Oi</v>
      </c>
      <c r="D508" s="44" t="str">
        <f t="shared" si="110"/>
        <v>BRL 1.78</v>
      </c>
      <c r="E508" s="44" t="str">
        <f t="shared" si="110"/>
        <v>BRL 0.90</v>
      </c>
      <c r="F508" s="45">
        <f t="shared" si="110"/>
        <v>-0.4943820224719101</v>
      </c>
      <c r="G508" s="44" t="str">
        <f t="shared" si="110"/>
        <v>Neutral</v>
      </c>
      <c r="H508" s="46"/>
      <c r="I508" s="47">
        <f>OIBR!$D$25/OIBR!$D$33</f>
        <v>-1.0426695938658281</v>
      </c>
      <c r="J508" s="47">
        <f>OIBR!$E$25/OIBR!$E$33</f>
        <v>-0.69318666319297606</v>
      </c>
      <c r="K508" s="47">
        <f>OIBR!$F$25/OIBR!$F$33</f>
        <v>-2.1610423502982194E-2</v>
      </c>
      <c r="L508" s="47">
        <f>OIBR!$G$25/OIBR!$G$33</f>
        <v>0.35673710810750831</v>
      </c>
      <c r="M508" s="45">
        <f>L508-I508</f>
        <v>1.3994067019733365</v>
      </c>
      <c r="N508" s="46"/>
      <c r="O508" s="45">
        <f>(OIBR!$D$24-OIBR!$D$25)/OIBR!$D$23</f>
        <v>0.37775790391201464</v>
      </c>
      <c r="P508" s="45">
        <f>(OIBR!$E$24-OIBR!$E$25)/OIBR!$E$23</f>
        <v>0.35797805500915375</v>
      </c>
      <c r="Q508" s="45">
        <f>(OIBR!$F$24-OIBR!$F$25)/OIBR!$F$23</f>
        <v>0.26890109414539604</v>
      </c>
      <c r="R508" s="45">
        <f>(OIBR!$G$24-OIBR!$G$25)/OIBR!$G$23</f>
        <v>0.21940063588980549</v>
      </c>
      <c r="S508" s="45">
        <f>R508-O508</f>
        <v>-0.15835726802220915</v>
      </c>
      <c r="T508" s="46"/>
      <c r="U508" s="48" t="str">
        <f t="shared" si="113"/>
        <v>BRL 1.78</v>
      </c>
      <c r="V508" s="44" t="str">
        <f t="shared" si="113"/>
        <v>Oi</v>
      </c>
      <c r="Z508" s="49"/>
    </row>
    <row r="509" spans="1:69">
      <c r="A509" s="5"/>
      <c r="C509" s="48" t="str">
        <f t="shared" si="110"/>
        <v>Telefonica Brasil</v>
      </c>
      <c r="D509" s="44" t="str">
        <f t="shared" si="110"/>
        <v>BRL 45.90</v>
      </c>
      <c r="E509" s="44" t="str">
        <f t="shared" si="110"/>
        <v>BRL 61.00</v>
      </c>
      <c r="F509" s="45">
        <f t="shared" si="110"/>
        <v>0.32897603485838789</v>
      </c>
      <c r="G509" s="44" t="str">
        <f t="shared" si="110"/>
        <v>Buy</v>
      </c>
      <c r="H509" s="46"/>
      <c r="I509" s="47">
        <f>VIVO!$D$25/VIVO!$D$33</f>
        <v>5.2705526873741251</v>
      </c>
      <c r="J509" s="47">
        <f>VIVO!$E$25/VIVO!$E$33</f>
        <v>6.8138410510142071</v>
      </c>
      <c r="K509" s="47">
        <f>VIVO!$F$25/VIVO!$F$33</f>
        <v>7.8741009872534367</v>
      </c>
      <c r="L509" s="47">
        <f>VIVO!$G$25/VIVO!$G$33</f>
        <v>8.3571155429616564</v>
      </c>
      <c r="M509" s="45">
        <f t="shared" si="111"/>
        <v>3.0865628555875313</v>
      </c>
      <c r="N509" s="46"/>
      <c r="O509" s="45">
        <f>(VIVO!$D$24-VIVO!$D$25)/VIVO!$D$23</f>
        <v>0.17047414360292493</v>
      </c>
      <c r="P509" s="45">
        <f>(VIVO!$E$24-VIVO!$E$25)/VIVO!$E$23</f>
        <v>0.15767858242841865</v>
      </c>
      <c r="Q509" s="45">
        <f>(VIVO!$F$24-VIVO!$F$25)/VIVO!$F$23</f>
        <v>0.15485352188820947</v>
      </c>
      <c r="R509" s="45">
        <f>(VIVO!$G$24-VIVO!$G$25)/VIVO!$G$23</f>
        <v>0.15091103826787494</v>
      </c>
      <c r="S509" s="45">
        <f t="shared" si="112"/>
        <v>-1.9563105335049985E-2</v>
      </c>
      <c r="T509" s="46"/>
      <c r="U509" s="48" t="str">
        <f t="shared" si="113"/>
        <v>BRL 45.90</v>
      </c>
      <c r="V509" s="44" t="str">
        <f t="shared" si="113"/>
        <v>Telefonica Brasil</v>
      </c>
    </row>
    <row r="510" spans="1:69">
      <c r="A510" s="5"/>
      <c r="C510" s="48" t="str">
        <f t="shared" si="110"/>
        <v>Televisa</v>
      </c>
      <c r="D510" s="44" t="str">
        <f t="shared" si="110"/>
        <v>USD 3.1</v>
      </c>
      <c r="E510" s="44" t="str">
        <f t="shared" si="110"/>
        <v>USD 3.7</v>
      </c>
      <c r="F510" s="45">
        <f t="shared" si="110"/>
        <v>0.17834394904458595</v>
      </c>
      <c r="G510" s="44" t="str">
        <f t="shared" si="110"/>
        <v>Neutral</v>
      </c>
      <c r="H510" s="46"/>
      <c r="I510" s="47">
        <f>TVIS!$D$25/TVIS!$D$33</f>
        <v>1.8915647068735615</v>
      </c>
      <c r="J510" s="47">
        <f>TVIS!$E$25/TVIS!$E$33</f>
        <v>2.1461101877468005</v>
      </c>
      <c r="K510" s="47">
        <f>TVIS!$F$25/TVIS!$F$33</f>
        <v>2.2094289553981374</v>
      </c>
      <c r="L510" s="47">
        <f>TVIS!$G$25/TVIS!$G$33</f>
        <v>2.3010233861349274</v>
      </c>
      <c r="M510" s="45">
        <f>L510-I510</f>
        <v>0.40945867926136592</v>
      </c>
      <c r="N510" s="46"/>
      <c r="O510" s="45">
        <f>(TVIS!$D$24-TVIS!$D$25)/TVIS!$D$23</f>
        <v>0.1965256191020901</v>
      </c>
      <c r="P510" s="45">
        <f>(TVIS!$E$24-TVIS!$E$25)/TVIS!$E$23</f>
        <v>0.19350948979607427</v>
      </c>
      <c r="Q510" s="45">
        <f>(TVIS!$F$24-TVIS!$F$25)/TVIS!$F$23</f>
        <v>0.19197974321521241</v>
      </c>
      <c r="R510" s="45">
        <f>(TVIS!$G$24-TVIS!$G$25)/TVIS!$G$23</f>
        <v>0.18869852956927682</v>
      </c>
      <c r="S510" s="45">
        <f>R510-O510</f>
        <v>-7.827089532813275E-3</v>
      </c>
      <c r="T510" s="46"/>
      <c r="U510" s="48" t="str">
        <f>U448</f>
        <v>USD 3.1</v>
      </c>
      <c r="V510" s="44" t="s">
        <v>673</v>
      </c>
    </row>
    <row r="511" spans="1:69">
      <c r="A511" s="5"/>
      <c r="C511" s="51" t="str">
        <f>C449</f>
        <v>Agg. LatAm Incumbent</v>
      </c>
      <c r="D511" s="52"/>
      <c r="E511" s="52"/>
      <c r="F511" s="53"/>
      <c r="G511" s="52"/>
      <c r="H511" s="46"/>
      <c r="I511" s="54">
        <f>'LATAM INCUMB'!$D$25/'LATAM INCUMB'!$D$33</f>
        <v>-15.195846876843602</v>
      </c>
      <c r="J511" s="54">
        <f>'LATAM INCUMB'!$E$25/'LATAM INCUMB'!$E$33</f>
        <v>-19.584810132753407</v>
      </c>
      <c r="K511" s="54">
        <f>'LATAM INCUMB'!$F$25/'LATAM INCUMB'!$F$33</f>
        <v>-39.717592211186279</v>
      </c>
      <c r="L511" s="54">
        <f>'LATAM INCUMB'!$G$25/'LATAM INCUMB'!$G$33</f>
        <v>-247.16713453012159</v>
      </c>
      <c r="M511" s="55">
        <f t="shared" si="111"/>
        <v>-231.97128765327798</v>
      </c>
      <c r="N511" s="56"/>
      <c r="O511" s="55">
        <f>('LATAM INCUMB'!$D$24-'LATAM INCUMB'!$D$25)/'LATAM INCUMB'!$D$23</f>
        <v>0.18672143754191259</v>
      </c>
      <c r="P511" s="55">
        <f>('LATAM INCUMB'!$E$24-'LATAM INCUMB'!$E$25)/'LATAM INCUMB'!$E$23</f>
        <v>0.16843960347746992</v>
      </c>
      <c r="Q511" s="55">
        <f>('LATAM INCUMB'!$F$24-'LATAM INCUMB'!$F$25)/'LATAM INCUMB'!$F$23</f>
        <v>0.15756009611744262</v>
      </c>
      <c r="R511" s="55">
        <f>('LATAM INCUMB'!$G$24-'LATAM INCUMB'!$G$25)/'LATAM INCUMB'!$G$23</f>
        <v>0.14737342316526972</v>
      </c>
      <c r="S511" s="55">
        <f t="shared" si="112"/>
        <v>-3.934801437664287E-2</v>
      </c>
      <c r="T511" s="46"/>
      <c r="U511" s="57"/>
      <c r="V511" s="58" t="str">
        <f>V449</f>
        <v>Agg. LatAm Incumbent</v>
      </c>
    </row>
    <row r="512" spans="1:69">
      <c r="C512" s="48"/>
      <c r="D512" s="44"/>
      <c r="E512" s="44"/>
      <c r="F512" s="45"/>
      <c r="G512" s="44"/>
      <c r="H512" s="46"/>
      <c r="I512" s="47"/>
      <c r="J512" s="47"/>
      <c r="K512" s="47"/>
      <c r="L512" s="47"/>
      <c r="M512" s="45"/>
      <c r="N512" s="56"/>
      <c r="O512" s="45"/>
      <c r="P512" s="45"/>
      <c r="Q512" s="45"/>
      <c r="R512" s="45"/>
      <c r="S512" s="45"/>
      <c r="T512" s="46"/>
      <c r="U512" s="48"/>
      <c r="V512" s="50"/>
    </row>
    <row r="513" spans="1:29">
      <c r="A513" s="5"/>
      <c r="C513" s="48" t="str">
        <f t="shared" ref="C513:G517" si="114">C451</f>
        <v>China Telecom</v>
      </c>
      <c r="D513" s="44" t="str">
        <f t="shared" si="114"/>
        <v>HKD 4.44</v>
      </c>
      <c r="E513" s="44" t="str">
        <f t="shared" si="114"/>
        <v>HKD 8.75</v>
      </c>
      <c r="F513" s="45">
        <f t="shared" si="114"/>
        <v>0.97072072072072046</v>
      </c>
      <c r="G513" s="44" t="str">
        <f t="shared" si="114"/>
        <v>Buy</v>
      </c>
      <c r="H513" s="46"/>
      <c r="I513" s="47">
        <f>_CT!$D$25/_CT!$D$33</f>
        <v>-114.43373493975903</v>
      </c>
      <c r="J513" s="47">
        <f>_CT!$E$25/_CT!$E$33</f>
        <v>-109.81898914334091</v>
      </c>
      <c r="K513" s="47">
        <f>_CT!$F$25/_CT!$F$33</f>
        <v>-674.40097540002728</v>
      </c>
      <c r="L513" s="47">
        <f>_CT!$G$25/_CT!$G$33</f>
        <v>203.83467886674381</v>
      </c>
      <c r="M513" s="45">
        <f t="shared" ref="M513:M518" si="115">L513-I513</f>
        <v>318.26841380650285</v>
      </c>
      <c r="N513" s="56"/>
      <c r="O513" s="169">
        <f>(_CT!$D$24-_CT!$D$25)/_CT!$D$23</f>
        <v>0.19245995042361908</v>
      </c>
      <c r="P513" s="169">
        <f>(_CT!$E$24-_CT!$E$25)/_CT!$E$23</f>
        <v>0.17846564916457153</v>
      </c>
      <c r="Q513" s="169">
        <f>(_CT!$F$24-_CT!$F$25)/_CT!$F$23</f>
        <v>0.17329519239341529</v>
      </c>
      <c r="R513" s="169">
        <f>(_CT!$G$24-_CT!$G$25)/_CT!$G$23</f>
        <v>0.16728677221785399</v>
      </c>
      <c r="S513" s="169">
        <f t="shared" ref="S513:S518" si="116">R513-O513</f>
        <v>-2.517317820576509E-2</v>
      </c>
      <c r="T513" s="46"/>
      <c r="U513" s="48" t="str">
        <f t="shared" ref="U513:V517" si="117">U451</f>
        <v>HKD 4.44</v>
      </c>
      <c r="V513" s="44" t="str">
        <f t="shared" si="117"/>
        <v>China Telecom</v>
      </c>
    </row>
    <row r="514" spans="1:29">
      <c r="A514" s="5"/>
      <c r="C514" s="48" t="str">
        <f t="shared" si="114"/>
        <v>China Unicom</v>
      </c>
      <c r="D514" s="44" t="str">
        <f t="shared" si="114"/>
        <v>HKD 6.20</v>
      </c>
      <c r="E514" s="44" t="str">
        <f t="shared" si="114"/>
        <v>HKD 13.20</v>
      </c>
      <c r="F514" s="45">
        <f t="shared" si="114"/>
        <v>1.129032258064516</v>
      </c>
      <c r="G514" s="44" t="str">
        <f t="shared" si="114"/>
        <v>Buy</v>
      </c>
      <c r="H514" s="46"/>
      <c r="I514" s="47">
        <f>_CU!$D$25/_CU!$D$33</f>
        <v>-44.165849162438036</v>
      </c>
      <c r="J514" s="47">
        <f>_CU!$E$25/_CU!$E$33</f>
        <v>-28.710825284010653</v>
      </c>
      <c r="K514" s="47">
        <f>_CU!$F$25/_CU!$F$33</f>
        <v>-21.450283622229808</v>
      </c>
      <c r="L514" s="47">
        <f>_CU!$G$25/_CU!$G$33</f>
        <v>-18.376193634490292</v>
      </c>
      <c r="M514" s="45">
        <f t="shared" si="115"/>
        <v>25.789655527947744</v>
      </c>
      <c r="N514" s="56"/>
      <c r="O514" s="169">
        <f>(_CU!$D$24-_CU!$D$25)/_CU!$D$23</f>
        <v>0.1983376140978054</v>
      </c>
      <c r="P514" s="169">
        <f>(_CU!$E$24-_CU!$E$25)/_CU!$E$23</f>
        <v>0.16935876226899091</v>
      </c>
      <c r="Q514" s="169">
        <f>(_CU!$F$24-_CU!$F$25)/_CU!$F$23</f>
        <v>0.16484483452162355</v>
      </c>
      <c r="R514" s="169">
        <f>(_CU!$G$24-_CU!$G$25)/_CU!$G$23</f>
        <v>0.16015117192755723</v>
      </c>
      <c r="S514" s="169">
        <f t="shared" si="116"/>
        <v>-3.8186442170248164E-2</v>
      </c>
      <c r="T514" s="46"/>
      <c r="U514" s="48" t="str">
        <f t="shared" si="117"/>
        <v>HKD 6.20</v>
      </c>
      <c r="V514" s="44" t="str">
        <f t="shared" si="117"/>
        <v>China Unicom</v>
      </c>
    </row>
    <row r="515" spans="1:29">
      <c r="C515" s="48" t="str">
        <f t="shared" si="114"/>
        <v>Chunghwa Telecom</v>
      </c>
      <c r="D515" s="44" t="str">
        <f t="shared" si="114"/>
        <v>TWD 127.00</v>
      </c>
      <c r="E515" s="44" t="str">
        <f t="shared" si="114"/>
        <v>TWD n/r</v>
      </c>
      <c r="F515" s="45" t="str">
        <f t="shared" si="114"/>
        <v>-</v>
      </c>
      <c r="G515" s="44" t="str">
        <f t="shared" si="114"/>
        <v>n/r</v>
      </c>
      <c r="H515" s="46"/>
      <c r="I515" s="47">
        <f>CHUNG!$D$25/CHUNG!$D$33</f>
        <v>-1616.0226101055337</v>
      </c>
      <c r="J515" s="47">
        <f>CHUNG!$E$25/CHUNG!$E$33</f>
        <v>-677.17021277113452</v>
      </c>
      <c r="K515" s="47">
        <f>CHUNG!$F$25/CHUNG!$F$33</f>
        <v>-412.41200290123919</v>
      </c>
      <c r="L515" s="47">
        <f>CHUNG!$G$25/CHUNG!$G$33</f>
        <v>-296.48082807884992</v>
      </c>
      <c r="M515" s="45">
        <f t="shared" si="115"/>
        <v>1319.5417820266837</v>
      </c>
      <c r="N515" s="56"/>
      <c r="O515" s="45">
        <f>(CHUNG!$D$24-CHUNG!$D$25)/CHUNG!$D$23</f>
        <v>0.13</v>
      </c>
      <c r="P515" s="45">
        <f>(CHUNG!$E$24-CHUNG!$E$25)/CHUNG!$E$23</f>
        <v>0.10999999999999999</v>
      </c>
      <c r="Q515" s="45">
        <f>(CHUNG!$F$24-CHUNG!$F$25)/CHUNG!$F$23</f>
        <v>9.9999999999999992E-2</v>
      </c>
      <c r="R515" s="45">
        <f>(CHUNG!$G$24-CHUNG!$G$25)/CHUNG!$G$23</f>
        <v>0.10000000000000002</v>
      </c>
      <c r="S515" s="45">
        <f t="shared" si="116"/>
        <v>-2.9999999999999985E-2</v>
      </c>
      <c r="T515" s="46"/>
      <c r="U515" s="48" t="str">
        <f t="shared" si="117"/>
        <v>TWD 127.00</v>
      </c>
      <c r="V515" s="44" t="str">
        <f t="shared" si="117"/>
        <v>Chunghwa Telecom</v>
      </c>
    </row>
    <row r="516" spans="1:29">
      <c r="C516" s="48" t="str">
        <f t="shared" si="114"/>
        <v>KT Corp</v>
      </c>
      <c r="D516" s="44" t="str">
        <f t="shared" si="114"/>
        <v>KRW 36,350</v>
      </c>
      <c r="E516" s="44" t="str">
        <f t="shared" si="114"/>
        <v>KRW 70,000</v>
      </c>
      <c r="F516" s="45">
        <f t="shared" si="114"/>
        <v>0.92572214580467671</v>
      </c>
      <c r="G516" s="44" t="str">
        <f t="shared" si="114"/>
        <v>Buy</v>
      </c>
      <c r="H516" s="46"/>
      <c r="I516" s="47">
        <f>_KT!$D$25/_KT!$D$33</f>
        <v>-6.5752457002456994</v>
      </c>
      <c r="J516" s="47">
        <f>_KT!$E$25/_KT!$E$33</f>
        <v>-7.0532099459681401</v>
      </c>
      <c r="K516" s="47">
        <f>_KT!$F$25/_KT!$F$33</f>
        <v>-14.167250223741839</v>
      </c>
      <c r="L516" s="47">
        <f>_KT!$G$25/_KT!$G$33</f>
        <v>-33.270927672150087</v>
      </c>
      <c r="M516" s="45">
        <f t="shared" si="115"/>
        <v>-26.695681971904389</v>
      </c>
      <c r="N516" s="56"/>
      <c r="O516" s="45">
        <f>(_KT!$D$24-_KT!$D$25)/_KT!$D$23</f>
        <v>0.12578163489597149</v>
      </c>
      <c r="P516" s="45">
        <f>(_KT!$E$24-_KT!$E$25)/_KT!$E$23</f>
        <v>0.1320786622553341</v>
      </c>
      <c r="Q516" s="45">
        <f>(_KT!$F$24-_KT!$F$25)/_KT!$F$23</f>
        <v>0.11622799345034399</v>
      </c>
      <c r="R516" s="45">
        <f>(_KT!$G$24-_KT!$G$25)/_KT!$G$23</f>
        <v>0.1141961595880846</v>
      </c>
      <c r="S516" s="45">
        <f t="shared" si="116"/>
        <v>-1.1585475307886894E-2</v>
      </c>
      <c r="T516" s="46"/>
      <c r="U516" s="48" t="str">
        <f t="shared" si="117"/>
        <v>KRW 36,350</v>
      </c>
      <c r="V516" s="44" t="str">
        <f t="shared" si="117"/>
        <v>KT Corp</v>
      </c>
      <c r="Z516" s="49"/>
    </row>
    <row r="517" spans="1:29">
      <c r="C517" s="48" t="str">
        <f t="shared" si="114"/>
        <v>PT Telkom</v>
      </c>
      <c r="D517" s="44" t="str">
        <f t="shared" si="114"/>
        <v>IDR 2,940</v>
      </c>
      <c r="E517" s="44" t="str">
        <f t="shared" si="114"/>
        <v>IDR 5,000</v>
      </c>
      <c r="F517" s="45">
        <f t="shared" si="114"/>
        <v>0.70068027210884343</v>
      </c>
      <c r="G517" s="44" t="str">
        <f t="shared" si="114"/>
        <v>Buy</v>
      </c>
      <c r="H517" s="46"/>
      <c r="I517" s="47">
        <f>PTT!$D$25/PTT!$D$33</f>
        <v>12.423001949317738</v>
      </c>
      <c r="J517" s="47">
        <f>PTT!$E$25/PTT!$E$33</f>
        <v>14.813401812557601</v>
      </c>
      <c r="K517" s="47">
        <f>PTT!$F$25/PTT!$F$33</f>
        <v>19.108781253260396</v>
      </c>
      <c r="L517" s="47">
        <f>PTT!$G$25/PTT!$G$33</f>
        <v>24.80448800748885</v>
      </c>
      <c r="M517" s="45">
        <f t="shared" si="115"/>
        <v>12.381486058171111</v>
      </c>
      <c r="N517" s="56"/>
      <c r="O517" s="169">
        <f>(PTT!$D$24-PTT!$D$25)/PTT!$D$23</f>
        <v>0.2209414539995711</v>
      </c>
      <c r="P517" s="169">
        <f>(PTT!$E$24-PTT!$E$25)/PTT!$E$23</f>
        <v>0.20853813576520105</v>
      </c>
      <c r="Q517" s="169">
        <f>(PTT!$F$24-PTT!$F$25)/PTT!$F$23</f>
        <v>0.20324685702323372</v>
      </c>
      <c r="R517" s="169">
        <f>(PTT!$G$24-PTT!$G$25)/PTT!$G$23</f>
        <v>0.19839223682083731</v>
      </c>
      <c r="S517" s="169">
        <f t="shared" si="116"/>
        <v>-2.2549217178733788E-2</v>
      </c>
      <c r="T517" s="46"/>
      <c r="U517" s="48" t="str">
        <f t="shared" si="117"/>
        <v>IDR 2,940</v>
      </c>
      <c r="V517" s="44" t="str">
        <f t="shared" si="117"/>
        <v>PT Telkom</v>
      </c>
      <c r="Z517" s="49"/>
    </row>
    <row r="518" spans="1:29">
      <c r="C518" s="51" t="str">
        <f>C456</f>
        <v>Agg. Emerging Asia Incumbent</v>
      </c>
      <c r="D518" s="52"/>
      <c r="E518" s="52"/>
      <c r="F518" s="53"/>
      <c r="G518" s="52"/>
      <c r="H518" s="46"/>
      <c r="I518" s="54">
        <f>'EM ASIA INCUMB'!$D$25/'EM ASIA INCUMB'!$D$33</f>
        <v>-104.7095493826028</v>
      </c>
      <c r="J518" s="54">
        <f>'EM ASIA INCUMB'!$E$25/'EM ASIA INCUMB'!$E$33</f>
        <v>-73.727741290220422</v>
      </c>
      <c r="K518" s="54">
        <f>'EM ASIA INCUMB'!$F$25/'EM ASIA INCUMB'!$F$33</f>
        <v>-93.31413139884674</v>
      </c>
      <c r="L518" s="54">
        <f>'EM ASIA INCUMB'!$G$25/'EM ASIA INCUMB'!$G$33</f>
        <v>-132.62817908396698</v>
      </c>
      <c r="M518" s="55">
        <f t="shared" si="115"/>
        <v>-27.918629701364182</v>
      </c>
      <c r="N518" s="56"/>
      <c r="O518" s="55">
        <f>('EM ASIA INCUMB'!$D$24-'EM ASIA INCUMB'!$D$25)/'EM ASIA INCUMB'!$D$23</f>
        <v>0.18533817918898768</v>
      </c>
      <c r="P518" s="55">
        <f>('EM ASIA INCUMB'!$E$24-'EM ASIA INCUMB'!$E$25)/'EM ASIA INCUMB'!$E$23</f>
        <v>0.1689531248845241</v>
      </c>
      <c r="Q518" s="55">
        <f>('EM ASIA INCUMB'!$F$24-'EM ASIA INCUMB'!$F$25)/'EM ASIA INCUMB'!$F$23</f>
        <v>0.16255091320439422</v>
      </c>
      <c r="R518" s="55">
        <f>('EM ASIA INCUMB'!$G$24-'EM ASIA INCUMB'!$G$25)/'EM ASIA INCUMB'!$G$23</f>
        <v>0.15810783635351339</v>
      </c>
      <c r="S518" s="55">
        <f t="shared" si="116"/>
        <v>-2.7230342835474292E-2</v>
      </c>
      <c r="T518" s="46"/>
      <c r="U518" s="57"/>
      <c r="V518" s="58" t="str">
        <f>V456</f>
        <v>Agg. Emerging Asia Incumbent</v>
      </c>
      <c r="Z518" s="49"/>
    </row>
    <row r="519" spans="1:29">
      <c r="C519" s="43"/>
      <c r="D519" s="44"/>
      <c r="E519" s="44"/>
      <c r="F519" s="68"/>
      <c r="G519" s="44"/>
      <c r="H519" s="46"/>
      <c r="I519" s="62"/>
      <c r="J519" s="62"/>
      <c r="K519" s="62"/>
      <c r="L519" s="62"/>
      <c r="M519" s="61"/>
      <c r="N519" s="56"/>
      <c r="O519" s="61"/>
      <c r="P519" s="61"/>
      <c r="Q519" s="61"/>
      <c r="R519" s="61"/>
      <c r="S519" s="61"/>
      <c r="T519" s="46"/>
      <c r="U519" s="48"/>
      <c r="V519" s="50"/>
      <c r="Z519" s="49"/>
    </row>
    <row r="520" spans="1:29">
      <c r="C520" s="51" t="str">
        <f>C458</f>
        <v>Agg. Emerging Incumbent</v>
      </c>
      <c r="D520" s="52"/>
      <c r="E520" s="52"/>
      <c r="F520" s="53"/>
      <c r="G520" s="52"/>
      <c r="H520" s="46"/>
      <c r="I520" s="54">
        <f>'EM INCUMB'!$D$25/'EM INCUMB'!$D$33</f>
        <v>-30.376802018710297</v>
      </c>
      <c r="J520" s="54">
        <f>'EM INCUMB'!$E$25/'EM INCUMB'!$E$33</f>
        <v>-34.743493381743484</v>
      </c>
      <c r="K520" s="54">
        <f>'EM INCUMB'!$F$25/'EM INCUMB'!$F$33</f>
        <v>-62.805049597084306</v>
      </c>
      <c r="L520" s="54">
        <f>'EM INCUMB'!$G$25/'EM INCUMB'!$G$33</f>
        <v>-212.06647706298926</v>
      </c>
      <c r="M520" s="55">
        <f t="shared" ref="M520" si="118">L520-I520</f>
        <v>-181.68967504427897</v>
      </c>
      <c r="N520" s="56"/>
      <c r="O520" s="55">
        <f>('EM INCUMB'!$D$24-'EM INCUMB'!$D$25)/'EM INCUMB'!$D$23</f>
        <v>0.185286255195591</v>
      </c>
      <c r="P520" s="55">
        <f>('EM INCUMB'!$E$24-'EM INCUMB'!$E$25)/'EM INCUMB'!$E$23</f>
        <v>0.16849123644045699</v>
      </c>
      <c r="Q520" s="55">
        <f>('EM INCUMB'!$F$24-'EM INCUMB'!$F$25)/'EM INCUMB'!$F$23</f>
        <v>0.16090666310821622</v>
      </c>
      <c r="R520" s="55">
        <f>('EM INCUMB'!$G$24-'EM INCUMB'!$G$25)/'EM INCUMB'!$G$23</f>
        <v>0.15491630837414963</v>
      </c>
      <c r="S520" s="55">
        <f t="shared" ref="S520" si="119">R520-O520</f>
        <v>-3.0369946821441368E-2</v>
      </c>
      <c r="T520" s="46"/>
      <c r="U520" s="57"/>
      <c r="V520" s="58" t="str">
        <f>V458</f>
        <v>Agg. Emerging Incumbent</v>
      </c>
      <c r="Z520" s="49"/>
    </row>
    <row r="521" spans="1:29">
      <c r="C521" s="43"/>
      <c r="D521" s="44"/>
      <c r="E521" s="44"/>
      <c r="F521" s="45"/>
      <c r="G521" s="44"/>
      <c r="H521" s="46"/>
      <c r="I521" s="47"/>
      <c r="J521" s="47"/>
      <c r="K521" s="47"/>
      <c r="L521" s="47"/>
      <c r="M521" s="45"/>
      <c r="N521" s="56"/>
      <c r="O521" s="45"/>
      <c r="P521" s="45"/>
      <c r="Q521" s="45"/>
      <c r="R521" s="45"/>
      <c r="S521" s="45"/>
      <c r="T521" s="46"/>
      <c r="U521" s="48"/>
      <c r="V521" s="50"/>
      <c r="Z521" s="49"/>
      <c r="AC521" s="63"/>
    </row>
    <row r="522" spans="1:29">
      <c r="A522" s="41" t="s">
        <v>507</v>
      </c>
      <c r="C522" s="48" t="str">
        <f t="shared" ref="C522:G528" si="120">C460</f>
        <v>Airtel Africa</v>
      </c>
      <c r="D522" s="44" t="str">
        <f t="shared" si="120"/>
        <v>USD 1.21</v>
      </c>
      <c r="E522" s="44" t="str">
        <f t="shared" si="120"/>
        <v>USD 1.50</v>
      </c>
      <c r="F522" s="45">
        <f t="shared" si="120"/>
        <v>0.2396694214876034</v>
      </c>
      <c r="G522" s="44" t="str">
        <f t="shared" si="120"/>
        <v>Buy</v>
      </c>
      <c r="H522" s="46"/>
      <c r="I522" s="47">
        <f>AAF!$D$25/AAF!$D$33</f>
        <v>-0.77676780344072849</v>
      </c>
      <c r="J522" s="47">
        <f>AAF!$E$25/AAF!$E$33</f>
        <v>-1.5162415779092702</v>
      </c>
      <c r="K522" s="47">
        <f>AAF!$F$25/AAF!$F$33</f>
        <v>-2.6947234743333857</v>
      </c>
      <c r="L522" s="47">
        <f>AAF!$G$25/AAF!$G$33</f>
        <v>-2.6333055106153842</v>
      </c>
      <c r="M522" s="45">
        <f t="shared" ref="M522" si="121">L522-I522</f>
        <v>-1.8565377071746556</v>
      </c>
      <c r="N522" s="56"/>
      <c r="O522" s="169">
        <f>(AAF!$D$24-AAF!$D$25)/AAF!$D$23</f>
        <v>0.16215742910689945</v>
      </c>
      <c r="P522" s="169">
        <f>(AAF!$E$24-AAF!$E$25)/AAF!$E$23</f>
        <v>0.1736947407498628</v>
      </c>
      <c r="Q522" s="169">
        <f>(AAF!$F$24-AAF!$F$25)/AAF!$F$23</f>
        <v>0.16791948897240302</v>
      </c>
      <c r="R522" s="169">
        <f>(AAF!$G$24-AAF!$G$25)/AAF!$G$23</f>
        <v>0.16425340362449944</v>
      </c>
      <c r="S522" s="169">
        <f t="shared" ref="S522" si="122">R522-O522</f>
        <v>2.0959745175999911E-3</v>
      </c>
      <c r="T522" s="46"/>
      <c r="U522" s="48" t="str">
        <f t="shared" ref="U522:V528" si="123">U460</f>
        <v>USD 1.21</v>
      </c>
      <c r="V522" s="44" t="str">
        <f t="shared" si="123"/>
        <v>Airtel Africa</v>
      </c>
      <c r="Z522" s="46"/>
      <c r="AC522" s="63"/>
    </row>
    <row r="523" spans="1:29">
      <c r="A523" s="41"/>
      <c r="C523" s="48" t="str">
        <f t="shared" si="120"/>
        <v>MobileTeleSystems</v>
      </c>
      <c r="D523" s="44" t="str">
        <f t="shared" si="120"/>
        <v>USD 10.00</v>
      </c>
      <c r="E523" s="44" t="str">
        <f t="shared" si="120"/>
        <v>USD 10.10</v>
      </c>
      <c r="F523" s="45">
        <f t="shared" si="120"/>
        <v>1.0000000000000009E-2</v>
      </c>
      <c r="G523" s="44" t="str">
        <f t="shared" si="120"/>
        <v>Buy</v>
      </c>
      <c r="H523" s="46"/>
      <c r="I523" s="47">
        <f>MTS!$D$25/MTS!$D$33</f>
        <v>-3.0988911002603241</v>
      </c>
      <c r="J523" s="47">
        <f>MTS!$E$25/MTS!$E$33</f>
        <v>-3.2584355347482377</v>
      </c>
      <c r="K523" s="47">
        <f>MTS!$F$25/MTS!$F$33</f>
        <v>-3.236711609057104</v>
      </c>
      <c r="L523" s="47">
        <f>MTS!$G$25/MTS!$G$33</f>
        <v>-3.1820978732036909</v>
      </c>
      <c r="M523" s="45">
        <f t="shared" ref="M523:M529" si="124">L523-I523</f>
        <v>-8.3206772943366758E-2</v>
      </c>
      <c r="N523" s="56"/>
      <c r="O523" s="169">
        <f>(MTS!$D$24-MTS!$D$25)/MTS!$D$23</f>
        <v>0.17618018297989393</v>
      </c>
      <c r="P523" s="169">
        <f>(MTS!$E$24-MTS!$E$25)/MTS!$E$23</f>
        <v>0.16138213738428772</v>
      </c>
      <c r="Q523" s="169">
        <f>(MTS!$F$24-MTS!$F$25)/MTS!$F$23</f>
        <v>0.16138390874760475</v>
      </c>
      <c r="R523" s="169">
        <f>(MTS!$G$24-MTS!$G$25)/MTS!$G$23</f>
        <v>0.16138560683105999</v>
      </c>
      <c r="S523" s="169">
        <f t="shared" ref="S523:S529" si="125">R523-O523</f>
        <v>-1.4794576148833949E-2</v>
      </c>
      <c r="T523" s="46"/>
      <c r="U523" s="48" t="str">
        <f t="shared" si="123"/>
        <v>USD 10.00</v>
      </c>
      <c r="V523" s="44" t="str">
        <f t="shared" si="123"/>
        <v>MobileTeleSystems</v>
      </c>
      <c r="Z523" s="46"/>
      <c r="AC523" s="63"/>
    </row>
    <row r="524" spans="1:29">
      <c r="C524" s="48" t="str">
        <f t="shared" si="120"/>
        <v>MTN</v>
      </c>
      <c r="D524" s="44" t="str">
        <f t="shared" si="120"/>
        <v>ZAR 86.08</v>
      </c>
      <c r="E524" s="44" t="str">
        <f t="shared" si="120"/>
        <v>ZAR 130.00</v>
      </c>
      <c r="F524" s="45">
        <f t="shared" si="120"/>
        <v>0.5102230483271375</v>
      </c>
      <c r="G524" s="44" t="str">
        <f t="shared" si="120"/>
        <v>Buy</v>
      </c>
      <c r="H524" s="46"/>
      <c r="I524" s="47">
        <f>MTN!$D$25/MTN!$D$33</f>
        <v>-0.74110992426194089</v>
      </c>
      <c r="J524" s="47">
        <f>MTN!$E$25/MTN!$E$33</f>
        <v>-0.77271682443754564</v>
      </c>
      <c r="K524" s="47">
        <f>MTN!$F$25/MTN!$F$33</f>
        <v>-1.3584765562759398</v>
      </c>
      <c r="L524" s="47">
        <f>MTN!$G$25/MTN!$G$33</f>
        <v>-1.5519113157805893</v>
      </c>
      <c r="M524" s="45">
        <f t="shared" si="124"/>
        <v>-0.81080139151864838</v>
      </c>
      <c r="N524" s="56"/>
      <c r="O524" s="169">
        <f>(MTN!$D$24-MTN!$D$25)/MTN!$D$23</f>
        <v>0.25939979659135642</v>
      </c>
      <c r="P524" s="169">
        <f>(MTN!$E$24-MTN!$E$25)/MTN!$E$23</f>
        <v>0.22959174198833324</v>
      </c>
      <c r="Q524" s="169">
        <f>(MTN!$F$24-MTN!$F$25)/MTN!$F$23</f>
        <v>0.21647405948007575</v>
      </c>
      <c r="R524" s="169">
        <f>(MTN!$G$24-MTN!$G$25)/MTN!$G$23</f>
        <v>0.20610932811413935</v>
      </c>
      <c r="S524" s="169">
        <f t="shared" si="125"/>
        <v>-5.3290468477217079E-2</v>
      </c>
      <c r="T524" s="46"/>
      <c r="U524" s="48" t="str">
        <f t="shared" si="123"/>
        <v>ZAR 86.08</v>
      </c>
      <c r="V524" s="44" t="str">
        <f t="shared" si="123"/>
        <v>MTN</v>
      </c>
      <c r="Z524" s="46"/>
      <c r="AC524" s="63"/>
    </row>
    <row r="525" spans="1:29">
      <c r="C525" s="48" t="str">
        <f t="shared" si="120"/>
        <v>Safaricom</v>
      </c>
      <c r="D525" s="44" t="str">
        <f t="shared" si="120"/>
        <v>KES 17.75</v>
      </c>
      <c r="E525" s="44" t="str">
        <f t="shared" si="120"/>
        <v>KES 17.0</v>
      </c>
      <c r="F525" s="45">
        <f t="shared" si="120"/>
        <v>-4.2253521126760618E-2</v>
      </c>
      <c r="G525" s="44" t="str">
        <f t="shared" si="120"/>
        <v>Neutral</v>
      </c>
      <c r="H525" s="46"/>
      <c r="I525" s="47">
        <f>SAF!$D$25/SAF!$D$33</f>
        <v>5.8511612535553281</v>
      </c>
      <c r="J525" s="47">
        <f>SAF!$E$25/SAF!$E$33</f>
        <v>4.5958213663662031</v>
      </c>
      <c r="K525" s="47">
        <f>SAF!$F$25/SAF!$F$33</f>
        <v>6.7462612440484735</v>
      </c>
      <c r="L525" s="47">
        <f>SAF!$G$25/SAF!$G$33</f>
        <v>8.7909991236729219</v>
      </c>
      <c r="M525" s="45">
        <f>L525-I525</f>
        <v>2.9398378701175938</v>
      </c>
      <c r="N525" s="56"/>
      <c r="O525" s="169">
        <f>(SAF!$D$24-SAF!$D$25)/SAF!$D$23</f>
        <v>0.27088480962515687</v>
      </c>
      <c r="P525" s="169">
        <f>(SAF!$E$24-SAF!$E$25)/SAF!$E$23</f>
        <v>0.31388053060611526</v>
      </c>
      <c r="Q525" s="169">
        <f>(SAF!$F$24-SAF!$F$25)/SAF!$F$23</f>
        <v>0.24103382463936557</v>
      </c>
      <c r="R525" s="169">
        <f>(SAF!$G$24-SAF!$G$25)/SAF!$G$23</f>
        <v>0.18325944473656666</v>
      </c>
      <c r="S525" s="169">
        <f>R525-O525</f>
        <v>-8.7625364888590213E-2</v>
      </c>
      <c r="T525" s="46"/>
      <c r="U525" s="48" t="str">
        <f t="shared" si="123"/>
        <v>KES 17.75</v>
      </c>
      <c r="V525" s="44" t="str">
        <f t="shared" si="123"/>
        <v>Safaricom</v>
      </c>
      <c r="Z525" s="46"/>
    </row>
    <row r="526" spans="1:29">
      <c r="C526" s="48" t="str">
        <f t="shared" si="120"/>
        <v>Turkcell</v>
      </c>
      <c r="D526" s="44" t="str">
        <f t="shared" si="120"/>
        <v>USD 91.80</v>
      </c>
      <c r="E526" s="44" t="str">
        <f t="shared" si="120"/>
        <v>USD 16.90</v>
      </c>
      <c r="F526" s="45">
        <f t="shared" si="120"/>
        <v>-0.81590413943355122</v>
      </c>
      <c r="G526" s="44" t="str">
        <f t="shared" si="120"/>
        <v>Buy</v>
      </c>
      <c r="H526" s="46"/>
      <c r="I526" s="47">
        <f>TKC!$D$25/TKC!$D$33</f>
        <v>-70.175523662310439</v>
      </c>
      <c r="J526" s="47">
        <f>TKC!$E$25/TKC!$E$33</f>
        <v>-92.3865231487259</v>
      </c>
      <c r="K526" s="47">
        <f>TKC!$F$25/TKC!$F$33</f>
        <v>-162.63707100167176</v>
      </c>
      <c r="L526" s="47">
        <f>TKC!$G$25/TKC!$G$33</f>
        <v>-486.1599290946844</v>
      </c>
      <c r="M526" s="45">
        <f t="shared" si="124"/>
        <v>-415.98440543237393</v>
      </c>
      <c r="N526" s="56"/>
      <c r="O526" s="169">
        <f>(TKC!$D$24-TKC!$D$25)/TKC!$D$23</f>
        <v>0.15701744899469086</v>
      </c>
      <c r="P526" s="169">
        <f>(TKC!$E$24-TKC!$E$25)/TKC!$E$23</f>
        <v>0.14794724054634042</v>
      </c>
      <c r="Q526" s="169">
        <f>(TKC!$F$24-TKC!$F$25)/TKC!$F$23</f>
        <v>0.13941887574912259</v>
      </c>
      <c r="R526" s="169">
        <f>(TKC!$G$24-TKC!$G$25)/TKC!$G$23</f>
        <v>0.13958719863923599</v>
      </c>
      <c r="S526" s="169">
        <f t="shared" si="125"/>
        <v>-1.7430250355454868E-2</v>
      </c>
      <c r="T526" s="46"/>
      <c r="U526" s="48" t="str">
        <f t="shared" si="123"/>
        <v>USD 91.80</v>
      </c>
      <c r="V526" s="44" t="str">
        <f t="shared" si="123"/>
        <v>Turkcell</v>
      </c>
      <c r="Z526" s="49"/>
    </row>
    <row r="527" spans="1:29">
      <c r="C527" s="48" t="str">
        <f t="shared" si="120"/>
        <v>VEON</v>
      </c>
      <c r="D527" s="44" t="str">
        <f t="shared" si="120"/>
        <v>USD 25.5</v>
      </c>
      <c r="E527" s="44" t="str">
        <f t="shared" si="120"/>
        <v>USD 40.0</v>
      </c>
      <c r="F527" s="45">
        <f t="shared" si="120"/>
        <v>0.56678417547982751</v>
      </c>
      <c r="G527" s="44" t="str">
        <f t="shared" si="120"/>
        <v>Buy</v>
      </c>
      <c r="H527" s="46"/>
      <c r="I527" s="47">
        <f>VIMP!$D$25/VIMP!$D$33</f>
        <v>-1.6535977924517133</v>
      </c>
      <c r="J527" s="47">
        <f>VIMP!$E$25/VIMP!$E$33</f>
        <v>-3.1926701552473387</v>
      </c>
      <c r="K527" s="47">
        <f>VIMP!$F$25/VIMP!$F$33</f>
        <v>-3.573852459414133</v>
      </c>
      <c r="L527" s="47">
        <f>VIMP!$G$25/VIMP!$G$33</f>
        <v>-4.0795400933773154</v>
      </c>
      <c r="M527" s="45">
        <f t="shared" si="124"/>
        <v>-2.4259423009256018</v>
      </c>
      <c r="N527" s="56"/>
      <c r="O527" s="45">
        <f>(VIMP!$D$24-VIMP!$D$25)/VIMP!$D$23</f>
        <v>0.21956639649249421</v>
      </c>
      <c r="P527" s="45">
        <f>(VIMP!$E$24-VIMP!$E$25)/VIMP!$E$23</f>
        <v>0.2148034072298694</v>
      </c>
      <c r="Q527" s="45">
        <f>(VIMP!$F$24-VIMP!$F$25)/VIMP!$F$23</f>
        <v>0.22299174695483945</v>
      </c>
      <c r="R527" s="45">
        <f>(VIMP!$G$24-VIMP!$G$25)/VIMP!$G$23</f>
        <v>0.22056277078625086</v>
      </c>
      <c r="S527" s="45">
        <f t="shared" si="125"/>
        <v>9.9637429375665221E-4</v>
      </c>
      <c r="T527" s="46"/>
      <c r="U527" s="48" t="str">
        <f t="shared" si="123"/>
        <v>USD 25.5</v>
      </c>
      <c r="V527" s="44" t="str">
        <f t="shared" si="123"/>
        <v>Vimpel Com</v>
      </c>
      <c r="Z527" s="49"/>
    </row>
    <row r="528" spans="1:29">
      <c r="C528" s="48" t="str">
        <f t="shared" si="120"/>
        <v>Vodacom</v>
      </c>
      <c r="D528" s="44" t="str">
        <f t="shared" si="120"/>
        <v>ZAR 95.8</v>
      </c>
      <c r="E528" s="44" t="str">
        <f t="shared" si="120"/>
        <v>ZAR 130.0</v>
      </c>
      <c r="F528" s="45">
        <f t="shared" si="120"/>
        <v>0.35685210312075988</v>
      </c>
      <c r="G528" s="44" t="str">
        <f t="shared" si="120"/>
        <v>Neutral</v>
      </c>
      <c r="H528" s="46"/>
      <c r="I528" s="47">
        <f>VODA!$D$25/VODA!$D$33</f>
        <v>-6.1042110331348782</v>
      </c>
      <c r="J528" s="47">
        <f>VODA!$E$25/VODA!$E$33</f>
        <v>-6.169100440314458</v>
      </c>
      <c r="K528" s="47">
        <f>VODA!$F$25/VODA!$F$33</f>
        <v>-6.017149502797845</v>
      </c>
      <c r="L528" s="47">
        <f>VODA!$G$25/VODA!$G$33</f>
        <v>-6.6178900387231359</v>
      </c>
      <c r="M528" s="45">
        <f t="shared" si="124"/>
        <v>-0.51367900558825763</v>
      </c>
      <c r="N528" s="56"/>
      <c r="O528" s="45">
        <f>(VODA!$D$24-VODA!$D$25)/VODA!$D$23</f>
        <v>0.13698202223741013</v>
      </c>
      <c r="P528" s="45">
        <f>(VODA!$E$24-VODA!$E$25)/VODA!$E$23</f>
        <v>0.14948669597424305</v>
      </c>
      <c r="Q528" s="45">
        <f>(VODA!$F$24-VODA!$F$25)/VODA!$F$23</f>
        <v>0.14638391222940381</v>
      </c>
      <c r="R528" s="45">
        <f>(VODA!$G$24-VODA!$G$25)/VODA!$G$23</f>
        <v>0.14581646892410019</v>
      </c>
      <c r="S528" s="45">
        <f t="shared" si="125"/>
        <v>8.8344466866900617E-3</v>
      </c>
      <c r="T528" s="46"/>
      <c r="U528" s="48" t="str">
        <f t="shared" si="123"/>
        <v>ZAR 95.8</v>
      </c>
      <c r="V528" s="44" t="str">
        <f t="shared" si="123"/>
        <v>Vodacom</v>
      </c>
      <c r="Z528" s="46"/>
    </row>
    <row r="529" spans="1:26">
      <c r="C529" s="51" t="str">
        <f>C467</f>
        <v>Agg. EMEA Cellular</v>
      </c>
      <c r="D529" s="52"/>
      <c r="E529" s="52"/>
      <c r="F529" s="53"/>
      <c r="G529" s="52"/>
      <c r="H529" s="46"/>
      <c r="I529" s="54">
        <f>'EMEA CELLULAR'!$D$25/'EMEA CELLULAR'!$D$33</f>
        <v>-1.4799753331638443</v>
      </c>
      <c r="J529" s="54">
        <f>'EMEA CELLULAR'!$E$25/'EMEA CELLULAR'!$E$33</f>
        <v>-1.9257177021045757</v>
      </c>
      <c r="K529" s="54">
        <f>'EMEA CELLULAR'!$F$25/'EMEA CELLULAR'!$F$33</f>
        <v>-2.893377821852809</v>
      </c>
      <c r="L529" s="54">
        <f>'EMEA CELLULAR'!$G$25/'EMEA CELLULAR'!$G$33</f>
        <v>-3.097599527334129</v>
      </c>
      <c r="M529" s="55">
        <f t="shared" si="124"/>
        <v>-1.6176241941702847</v>
      </c>
      <c r="N529" s="56"/>
      <c r="O529" s="55">
        <f>('EMEA CELLULAR'!$D$24-'EMEA CELLULAR'!$D$25)/'EMEA CELLULAR'!$D$23</f>
        <v>0.20247190104103749</v>
      </c>
      <c r="P529" s="55">
        <f>('EMEA CELLULAR'!$E$24-'EMEA CELLULAR'!$E$25)/'EMEA CELLULAR'!$E$23</f>
        <v>0.19748330309363218</v>
      </c>
      <c r="Q529" s="55">
        <f>('EMEA CELLULAR'!$F$24-'EMEA CELLULAR'!$F$25)/'EMEA CELLULAR'!$F$23</f>
        <v>0.18768169889832906</v>
      </c>
      <c r="R529" s="55">
        <f>('EMEA CELLULAR'!$G$24-'EMEA CELLULAR'!$G$25)/'EMEA CELLULAR'!$G$23</f>
        <v>0.17962218113478545</v>
      </c>
      <c r="S529" s="55">
        <f t="shared" si="125"/>
        <v>-2.2849719906252036E-2</v>
      </c>
      <c r="T529" s="46"/>
      <c r="U529" s="57"/>
      <c r="V529" s="58" t="str">
        <f>V467</f>
        <v>Agg. EMEA Cellular</v>
      </c>
      <c r="Z529" s="49"/>
    </row>
    <row r="530" spans="1:26">
      <c r="A530" s="5"/>
      <c r="C530" s="43"/>
      <c r="D530" s="44"/>
      <c r="E530" s="44"/>
      <c r="F530" s="45"/>
      <c r="G530" s="44"/>
      <c r="H530" s="46"/>
      <c r="I530" s="47"/>
      <c r="J530" s="47"/>
      <c r="K530" s="47"/>
      <c r="L530" s="47"/>
      <c r="M530" s="45"/>
      <c r="N530" s="56"/>
      <c r="O530" s="45"/>
      <c r="P530" s="45"/>
      <c r="Q530" s="45"/>
      <c r="R530" s="45"/>
      <c r="S530" s="45"/>
      <c r="T530" s="46"/>
      <c r="U530" s="48"/>
      <c r="V530" s="50"/>
      <c r="Z530" s="46"/>
    </row>
    <row r="531" spans="1:26">
      <c r="A531" s="5"/>
      <c r="C531" s="48" t="str">
        <f t="shared" ref="C531:G533" si="126">C469</f>
        <v>Entel</v>
      </c>
      <c r="D531" s="44" t="str">
        <f t="shared" si="126"/>
        <v>CLP 3,022</v>
      </c>
      <c r="E531" s="44" t="str">
        <f t="shared" si="126"/>
        <v>CLP 3,150</v>
      </c>
      <c r="F531" s="45">
        <f t="shared" si="126"/>
        <v>4.2356055592323028E-2</v>
      </c>
      <c r="G531" s="44" t="str">
        <f t="shared" si="126"/>
        <v>Neutral</v>
      </c>
      <c r="H531" s="46"/>
      <c r="I531" s="47">
        <f>ENTEL!$D$25/ENTEL!$D$33</f>
        <v>2.8182261707404357</v>
      </c>
      <c r="J531" s="47">
        <f>ENTEL!$E$25/ENTEL!$E$33</f>
        <v>3.5135479464563724</v>
      </c>
      <c r="K531" s="47">
        <f>ENTEL!$F$25/ENTEL!$F$33</f>
        <v>4.5277231199177486</v>
      </c>
      <c r="L531" s="47">
        <f>ENTEL!$G$25/ENTEL!$G$33</f>
        <v>5.3854157236933835</v>
      </c>
      <c r="M531" s="45">
        <f>L531-I531</f>
        <v>2.5671895529529478</v>
      </c>
      <c r="N531" s="56"/>
      <c r="O531" s="169">
        <f>(ENTEL!$D$24-ENTEL!$D$25)/ENTEL!$D$23</f>
        <v>0.18098559390243235</v>
      </c>
      <c r="P531" s="169">
        <f>(ENTEL!$E$24-ENTEL!$E$25)/ENTEL!$E$23</f>
        <v>0.17609124340441584</v>
      </c>
      <c r="Q531" s="169">
        <f>(ENTEL!$F$24-ENTEL!$F$25)/ENTEL!$F$23</f>
        <v>0.16920926074149062</v>
      </c>
      <c r="R531" s="169">
        <f>(ENTEL!$G$24-ENTEL!$G$25)/ENTEL!$G$23</f>
        <v>0.16654852907137446</v>
      </c>
      <c r="S531" s="169">
        <f>R531-O531</f>
        <v>-1.4437064831057889E-2</v>
      </c>
      <c r="T531" s="46"/>
      <c r="U531" s="48" t="str">
        <f t="shared" ref="U531:V533" si="127">U469</f>
        <v>CLP 3,022</v>
      </c>
      <c r="V531" s="44" t="str">
        <f t="shared" si="127"/>
        <v>Entel</v>
      </c>
      <c r="Z531" s="49"/>
    </row>
    <row r="532" spans="1:26">
      <c r="A532" s="5"/>
      <c r="C532" s="48" t="str">
        <f t="shared" si="126"/>
        <v>Millicom</v>
      </c>
      <c r="D532" s="44" t="str">
        <f t="shared" si="126"/>
        <v>USD  24.1</v>
      </c>
      <c r="E532" s="44" t="str">
        <f t="shared" si="126"/>
        <v>USD 18.0</v>
      </c>
      <c r="F532" s="45">
        <f t="shared" si="126"/>
        <v>-0.25280199252801994</v>
      </c>
      <c r="G532" s="44" t="str">
        <f t="shared" si="126"/>
        <v>Neutral</v>
      </c>
      <c r="H532" s="46"/>
      <c r="I532" s="47">
        <f>MILLI!$D$25/MILLI!$D$33</f>
        <v>1.9695303756978884</v>
      </c>
      <c r="J532" s="47">
        <f>MILLI!$E$25/MILLI!$E$33</f>
        <v>2.1096519780587539</v>
      </c>
      <c r="K532" s="47">
        <f>MILLI!$F$25/MILLI!$F$33</f>
        <v>2.3766035085412507</v>
      </c>
      <c r="L532" s="47">
        <f>MILLI!$G$25/MILLI!$G$33</f>
        <v>2.5403583415384534</v>
      </c>
      <c r="M532" s="45">
        <f>L532-I532</f>
        <v>0.57082796584056505</v>
      </c>
      <c r="N532" s="56"/>
      <c r="O532" s="169">
        <f>(MILLI!$D$24-MILLI!$D$25)/MILLI!$D$23</f>
        <v>0.15056120724692132</v>
      </c>
      <c r="P532" s="169">
        <f>(MILLI!$E$24-MILLI!$E$25)/MILLI!$E$23</f>
        <v>0.14702585911302446</v>
      </c>
      <c r="Q532" s="169">
        <f>(MILLI!$F$24-MILLI!$F$25)/MILLI!$F$23</f>
        <v>0.14442095058609331</v>
      </c>
      <c r="R532" s="169">
        <f>(MILLI!$G$24-MILLI!$G$25)/MILLI!$G$23</f>
        <v>0.14349770372216616</v>
      </c>
      <c r="S532" s="169">
        <f>R532-O532</f>
        <v>-7.0635035247551547E-3</v>
      </c>
      <c r="T532" s="46"/>
      <c r="U532" s="48" t="str">
        <f t="shared" si="127"/>
        <v>USD  24.1</v>
      </c>
      <c r="V532" s="44" t="str">
        <f t="shared" si="127"/>
        <v>Millicom</v>
      </c>
      <c r="Z532" s="46"/>
    </row>
    <row r="533" spans="1:26">
      <c r="A533" s="5"/>
      <c r="C533" s="48" t="str">
        <f t="shared" si="126"/>
        <v>TIM Participacoes</v>
      </c>
      <c r="D533" s="44" t="str">
        <f t="shared" si="126"/>
        <v>BRL 16.42</v>
      </c>
      <c r="E533" s="44" t="str">
        <f t="shared" si="126"/>
        <v>BRL 23.00</v>
      </c>
      <c r="F533" s="45">
        <f t="shared" si="126"/>
        <v>0.40073081607795347</v>
      </c>
      <c r="G533" s="44" t="str">
        <f t="shared" si="126"/>
        <v>Buy</v>
      </c>
      <c r="H533" s="46"/>
      <c r="I533" s="47">
        <f>TIMP!$D$25/TIMP!$D$33</f>
        <v>4.8309909473527428</v>
      </c>
      <c r="J533" s="47">
        <f>TIMP!$E$25/TIMP!$E$33</f>
        <v>6.1719028238028466</v>
      </c>
      <c r="K533" s="47">
        <f>TIMP!$F$25/TIMP!$F$33</f>
        <v>8.1921743699907879</v>
      </c>
      <c r="L533" s="47">
        <f>TIMP!$G$25/TIMP!$G$33</f>
        <v>12.397247659231923</v>
      </c>
      <c r="M533" s="45">
        <f>L533-I533</f>
        <v>7.5662567118791797</v>
      </c>
      <c r="N533" s="56"/>
      <c r="O533" s="45">
        <f>(TIMP!$D$24-TIMP!$D$25)/TIMP!$D$23</f>
        <v>0.1898967723487994</v>
      </c>
      <c r="P533" s="45">
        <f>(TIMP!$E$24-TIMP!$E$25)/TIMP!$E$23</f>
        <v>0.17490602010107301</v>
      </c>
      <c r="Q533" s="45">
        <f>(TIMP!$F$24-TIMP!$F$25)/TIMP!$F$23</f>
        <v>0.16318552611571829</v>
      </c>
      <c r="R533" s="45">
        <f>(TIMP!$G$24-TIMP!$G$25)/TIMP!$G$23</f>
        <v>0.16256628699301914</v>
      </c>
      <c r="S533" s="45">
        <f>R533-O533</f>
        <v>-2.7330485355780254E-2</v>
      </c>
      <c r="T533" s="46"/>
      <c r="U533" s="48" t="str">
        <f t="shared" si="127"/>
        <v>BRL 16.42</v>
      </c>
      <c r="V533" s="44" t="str">
        <f t="shared" si="127"/>
        <v>TIM Participacoes</v>
      </c>
      <c r="Z533" s="49"/>
    </row>
    <row r="534" spans="1:26">
      <c r="A534" s="5"/>
      <c r="C534" s="51" t="str">
        <f>C472</f>
        <v>Agg. LatAm Cellular</v>
      </c>
      <c r="D534" s="52"/>
      <c r="E534" s="52"/>
      <c r="F534" s="53"/>
      <c r="G534" s="52"/>
      <c r="H534" s="46"/>
      <c r="I534" s="54">
        <f>'LATAM CELLULAR'!$D$25/'LATAM CELLULAR'!$D$33</f>
        <v>2.8451131211384086</v>
      </c>
      <c r="J534" s="54">
        <f>'LATAM CELLULAR'!$E$25/'LATAM CELLULAR'!$E$33</f>
        <v>3.3328693031175383</v>
      </c>
      <c r="K534" s="54">
        <f>'LATAM CELLULAR'!$F$25/'LATAM CELLULAR'!$F$33</f>
        <v>4.0393393058861067</v>
      </c>
      <c r="L534" s="54">
        <f>'LATAM CELLULAR'!$G$25/'LATAM CELLULAR'!$G$33</f>
        <v>4.7046243992807035</v>
      </c>
      <c r="M534" s="55">
        <f>L534-I534</f>
        <v>1.8595112781422949</v>
      </c>
      <c r="N534" s="56"/>
      <c r="O534" s="55">
        <f>('LATAM CELLULAR'!$D$24-'LATAM CELLULAR'!$D$25)/'LATAM CELLULAR'!$D$23</f>
        <v>0.17066400279638141</v>
      </c>
      <c r="P534" s="55">
        <f>('LATAM CELLULAR'!$E$24-'LATAM CELLULAR'!$E$25)/'LATAM CELLULAR'!$E$23</f>
        <v>0.16304899253395619</v>
      </c>
      <c r="Q534" s="55">
        <f>('LATAM CELLULAR'!$F$24-'LATAM CELLULAR'!$F$25)/'LATAM CELLULAR'!$F$23</f>
        <v>0.15635235653547558</v>
      </c>
      <c r="R534" s="55">
        <f>('LATAM CELLULAR'!$G$24-'LATAM CELLULAR'!$G$25)/'LATAM CELLULAR'!$G$23</f>
        <v>0.15528014491863362</v>
      </c>
      <c r="S534" s="55">
        <f>R534-O534</f>
        <v>-1.5383857877747792E-2</v>
      </c>
      <c r="T534" s="46"/>
      <c r="U534" s="57"/>
      <c r="V534" s="58" t="str">
        <f>V472</f>
        <v>Agg. LatAm Cellular</v>
      </c>
      <c r="Z534" s="49"/>
    </row>
    <row r="535" spans="1:26">
      <c r="C535" s="43"/>
      <c r="D535" s="44"/>
      <c r="E535" s="44"/>
      <c r="F535" s="45"/>
      <c r="G535" s="44"/>
      <c r="H535" s="46"/>
      <c r="I535" s="47"/>
      <c r="J535" s="47"/>
      <c r="K535" s="47"/>
      <c r="L535" s="47"/>
      <c r="M535" s="45"/>
      <c r="N535" s="46"/>
      <c r="O535" s="45"/>
      <c r="P535" s="45"/>
      <c r="Q535" s="45"/>
      <c r="R535" s="45"/>
      <c r="S535" s="45"/>
      <c r="T535" s="46"/>
      <c r="U535" s="48"/>
      <c r="V535" s="50"/>
      <c r="Z535" s="49"/>
    </row>
    <row r="536" spans="1:26">
      <c r="A536" s="5"/>
      <c r="C536" s="48" t="str">
        <f t="shared" ref="C536:G549" si="128">C474</f>
        <v>AIS</v>
      </c>
      <c r="D536" s="44" t="str">
        <f t="shared" si="128"/>
        <v>THB 207.0</v>
      </c>
      <c r="E536" s="44" t="str">
        <f t="shared" si="128"/>
        <v>THB 300.0</v>
      </c>
      <c r="F536" s="45">
        <f t="shared" si="128"/>
        <v>0.44927536231884058</v>
      </c>
      <c r="G536" s="44" t="str">
        <f t="shared" si="128"/>
        <v>Buy</v>
      </c>
      <c r="H536" s="46"/>
      <c r="I536" s="47">
        <f>ADVANCED!$D$25/ADVANCED!$D$33</f>
        <v>9.1591537835638732</v>
      </c>
      <c r="J536" s="47">
        <f>ADVANCED!$E$25/ADVANCED!$E$33</f>
        <v>13.142646104729463</v>
      </c>
      <c r="K536" s="47">
        <f>ADVANCED!$F$25/ADVANCED!$F$33</f>
        <v>16.32928464649541</v>
      </c>
      <c r="L536" s="47">
        <f>ADVANCED!$G$25/ADVANCED!$G$33</f>
        <v>18.314479729762123</v>
      </c>
      <c r="M536" s="45">
        <f t="shared" ref="M536:M550" si="129">L536-I536</f>
        <v>9.1553259461982499</v>
      </c>
      <c r="N536" s="46"/>
      <c r="O536" s="45">
        <f>(ADVANCED!$D$24-ADVANCED!$D$25)/ADVANCED!$D$23</f>
        <v>0.19636475303510825</v>
      </c>
      <c r="P536" s="45">
        <f>(ADVANCED!$E$24-ADVANCED!$E$25)/ADVANCED!$E$23</f>
        <v>0.12307464724287485</v>
      </c>
      <c r="Q536" s="45">
        <f>(ADVANCED!$F$24-ADVANCED!$F$25)/ADVANCED!$F$23</f>
        <v>0.1168198435737681</v>
      </c>
      <c r="R536" s="45">
        <f>(ADVANCED!$G$24-ADVANCED!$G$25)/ADVANCED!$G$23</f>
        <v>0.12999999999999998</v>
      </c>
      <c r="S536" s="45">
        <f t="shared" ref="S536:S550" si="130">R536-O536</f>
        <v>-6.6364753035108276E-2</v>
      </c>
      <c r="T536" s="46"/>
      <c r="U536" s="48" t="str">
        <f t="shared" ref="U536:V549" si="131">U474</f>
        <v>THB 207.0</v>
      </c>
      <c r="V536" s="44" t="str">
        <f t="shared" si="131"/>
        <v>AIS</v>
      </c>
      <c r="Z536" s="49"/>
    </row>
    <row r="537" spans="1:26">
      <c r="C537" s="48" t="str">
        <f t="shared" si="128"/>
        <v>Axiata</v>
      </c>
      <c r="D537" s="44" t="str">
        <f t="shared" si="128"/>
        <v>MYR 2.87</v>
      </c>
      <c r="E537" s="44" t="str">
        <f t="shared" si="128"/>
        <v>MYR 4.50</v>
      </c>
      <c r="F537" s="45">
        <f t="shared" si="128"/>
        <v>0.56794425087108014</v>
      </c>
      <c r="G537" s="44" t="str">
        <f t="shared" si="128"/>
        <v>Buy</v>
      </c>
      <c r="H537" s="46"/>
      <c r="I537" s="47">
        <f>AXI!$D$25/AXI!$D$33</f>
        <v>-2.7572470076921189</v>
      </c>
      <c r="J537" s="47">
        <f>AXI!$E$25/AXI!$E$33</f>
        <v>-2.9789583788486653</v>
      </c>
      <c r="K537" s="47">
        <f>AXI!$F$25/AXI!$F$33</f>
        <v>-2.9631998646625686</v>
      </c>
      <c r="L537" s="47">
        <f>AXI!$G$25/AXI!$G$33</f>
        <v>-3.101483334609628</v>
      </c>
      <c r="M537" s="45">
        <f t="shared" si="129"/>
        <v>-0.34423632691750905</v>
      </c>
      <c r="N537" s="46"/>
      <c r="O537" s="45">
        <f>(AXI!$D$24-AXI!$D$25)/AXI!$D$23</f>
        <v>0.26817886401819285</v>
      </c>
      <c r="P537" s="45">
        <f>(AXI!$E$24-AXI!$E$25)/AXI!$E$23</f>
        <v>0.2728265552004977</v>
      </c>
      <c r="Q537" s="45">
        <f>(AXI!$F$24-AXI!$F$25)/AXI!$F$23</f>
        <v>0.28469963450890412</v>
      </c>
      <c r="R537" s="45">
        <f>(AXI!$G$24-AXI!$G$25)/AXI!$G$23</f>
        <v>0.28435685783413239</v>
      </c>
      <c r="S537" s="45">
        <f t="shared" si="130"/>
        <v>1.617799381593954E-2</v>
      </c>
      <c r="T537" s="46"/>
      <c r="U537" s="48" t="str">
        <f t="shared" si="131"/>
        <v>MYR 2.87</v>
      </c>
      <c r="V537" s="44" t="str">
        <f t="shared" si="131"/>
        <v>Axiata</v>
      </c>
      <c r="Z537" s="49"/>
    </row>
    <row r="538" spans="1:26">
      <c r="C538" s="48" t="str">
        <f t="shared" si="128"/>
        <v>Bharti Airtel</v>
      </c>
      <c r="D538" s="44" t="str">
        <f t="shared" si="128"/>
        <v>INR 1389</v>
      </c>
      <c r="E538" s="44" t="str">
        <f t="shared" si="128"/>
        <v>INR 1500</v>
      </c>
      <c r="F538" s="45">
        <f t="shared" si="128"/>
        <v>8.0224686734840844E-2</v>
      </c>
      <c r="G538" s="44" t="str">
        <f t="shared" si="128"/>
        <v>Buy</v>
      </c>
      <c r="H538" s="46"/>
      <c r="I538" s="47">
        <f>BHART!$D$25/BHART!$D$33</f>
        <v>1.7984819662642983</v>
      </c>
      <c r="J538" s="47">
        <f>BHART!$E$25/BHART!$E$33</f>
        <v>2.4598765433267067</v>
      </c>
      <c r="K538" s="47">
        <f>BHART!$F$25/BHART!$F$33</f>
        <v>3.3106112755159351</v>
      </c>
      <c r="L538" s="47">
        <f>BHART!$G$25/BHART!$G$33</f>
        <v>4.4357458150057454</v>
      </c>
      <c r="M538" s="45">
        <f t="shared" si="129"/>
        <v>2.6372638487414468</v>
      </c>
      <c r="N538" s="46"/>
      <c r="O538" s="45">
        <f>(BHART!$D$24-BHART!$D$25)/BHART!$D$23</f>
        <v>0.26074951570608751</v>
      </c>
      <c r="P538" s="45">
        <f>(BHART!$E$24-BHART!$E$25)/BHART!$E$23</f>
        <v>0.22015962794240343</v>
      </c>
      <c r="Q538" s="45">
        <f>(BHART!$F$24-BHART!$F$25)/BHART!$F$23</f>
        <v>0.19427844491113763</v>
      </c>
      <c r="R538" s="45">
        <f>(BHART!$G$24-BHART!$G$25)/BHART!$G$23</f>
        <v>0.1682375073940573</v>
      </c>
      <c r="S538" s="45">
        <f t="shared" si="130"/>
        <v>-9.2512008312030214E-2</v>
      </c>
      <c r="T538" s="46"/>
      <c r="U538" s="48" t="str">
        <f t="shared" si="131"/>
        <v>INR 1389</v>
      </c>
      <c r="V538" s="44" t="str">
        <f t="shared" si="131"/>
        <v>Bharti Airtel</v>
      </c>
      <c r="Z538" s="49"/>
    </row>
    <row r="539" spans="1:26">
      <c r="A539" s="5"/>
      <c r="C539" s="48" t="str">
        <f t="shared" si="128"/>
        <v>China Mobile</v>
      </c>
      <c r="D539" s="44" t="str">
        <f t="shared" si="128"/>
        <v>HKD 73.2</v>
      </c>
      <c r="E539" s="44" t="str">
        <f t="shared" si="128"/>
        <v>HKD 115.0</v>
      </c>
      <c r="F539" s="45">
        <f t="shared" si="128"/>
        <v>0.57103825136612008</v>
      </c>
      <c r="G539" s="44" t="str">
        <f t="shared" si="128"/>
        <v>Buy</v>
      </c>
      <c r="H539" s="46"/>
      <c r="I539" s="47">
        <f>_CM!$D$25/_CM!$D$33</f>
        <v>9.8253849689726511</v>
      </c>
      <c r="J539" s="47">
        <f>_CM!$E$25/_CM!$E$33</f>
        <v>16.126046511457904</v>
      </c>
      <c r="K539" s="47">
        <f>_CM!$F$25/_CM!$F$33</f>
        <v>19.095182376214417</v>
      </c>
      <c r="L539" s="47">
        <f>_CM!$G$25/_CM!$G$33</f>
        <v>19.414304482044312</v>
      </c>
      <c r="M539" s="45">
        <f t="shared" si="129"/>
        <v>9.5889195130716605</v>
      </c>
      <c r="N539" s="46"/>
      <c r="O539" s="45">
        <f>(_CM!$D$24-_CM!$D$25)/_CM!$D$23</f>
        <v>0.16890466645992458</v>
      </c>
      <c r="P539" s="45">
        <f>(_CM!$E$24-_CM!$E$25)/_CM!$E$23</f>
        <v>0.15820160617932333</v>
      </c>
      <c r="Q539" s="45">
        <f>(_CM!$F$24-_CM!$F$25)/_CM!$F$23</f>
        <v>0.14810678610959185</v>
      </c>
      <c r="R539" s="45">
        <f>(_CM!$G$24-_CM!$G$25)/_CM!$G$23</f>
        <v>0.14489342222654539</v>
      </c>
      <c r="S539" s="45">
        <f t="shared" si="130"/>
        <v>-2.4011244233379192E-2</v>
      </c>
      <c r="T539" s="46"/>
      <c r="U539" s="48" t="str">
        <f t="shared" si="131"/>
        <v>HKD 73.2</v>
      </c>
      <c r="V539" s="44" t="str">
        <f t="shared" si="131"/>
        <v>China Mobile</v>
      </c>
      <c r="Z539" s="49"/>
    </row>
    <row r="540" spans="1:26">
      <c r="A540" s="5"/>
      <c r="C540" s="48" t="str">
        <f t="shared" si="128"/>
        <v>CelcomDigi</v>
      </c>
      <c r="D540" s="44" t="str">
        <f t="shared" si="128"/>
        <v>MYR 4.1</v>
      </c>
      <c r="E540" s="44" t="str">
        <f t="shared" si="128"/>
        <v>MYR 6.0</v>
      </c>
      <c r="F540" s="45">
        <f t="shared" si="128"/>
        <v>0.48148148148148162</v>
      </c>
      <c r="G540" s="44" t="str">
        <f t="shared" si="128"/>
        <v>Buy</v>
      </c>
      <c r="H540" s="46"/>
      <c r="I540" s="47">
        <f>DIGI!$D$25/DIGI!$D$33</f>
        <v>13.45564377655807</v>
      </c>
      <c r="J540" s="47">
        <f>DIGI!$E$25/DIGI!$E$33</f>
        <v>13.445009375530681</v>
      </c>
      <c r="K540" s="47">
        <f>DIGI!$F$25/DIGI!$F$33</f>
        <v>15.924966787882793</v>
      </c>
      <c r="L540" s="47">
        <f>DIGI!$G$25/DIGI!$G$33</f>
        <v>18.857283777176082</v>
      </c>
      <c r="M540" s="45">
        <f t="shared" si="129"/>
        <v>5.4016400006180127</v>
      </c>
      <c r="N540" s="46"/>
      <c r="O540" s="45">
        <f>(DIGI!$D$24-DIGI!$D$25)/DIGI!$D$23</f>
        <v>0.13839943231096741</v>
      </c>
      <c r="P540" s="45">
        <f>(DIGI!$E$24-DIGI!$E$25)/DIGI!$E$23</f>
        <v>0.15999999999999998</v>
      </c>
      <c r="Q540" s="45">
        <f>(DIGI!$F$24-DIGI!$F$25)/DIGI!$F$23</f>
        <v>0.14999999999999997</v>
      </c>
      <c r="R540" s="45">
        <f>(DIGI!$G$24-DIGI!$G$25)/DIGI!$G$23</f>
        <v>0.14000000000000001</v>
      </c>
      <c r="S540" s="45">
        <f t="shared" si="130"/>
        <v>1.6005676890326059E-3</v>
      </c>
      <c r="T540" s="46"/>
      <c r="U540" s="48" t="str">
        <f t="shared" si="131"/>
        <v>MYR 4.1</v>
      </c>
      <c r="V540" s="44" t="str">
        <f t="shared" si="131"/>
        <v>CelcomDigi</v>
      </c>
      <c r="Z540" s="49"/>
    </row>
    <row r="541" spans="1:26">
      <c r="A541" s="5"/>
      <c r="C541" s="48" t="str">
        <f t="shared" si="128"/>
        <v>Far EasTone</v>
      </c>
      <c r="D541" s="44" t="str">
        <f t="shared" si="128"/>
        <v>TWD 84.0</v>
      </c>
      <c r="E541" s="44" t="str">
        <f t="shared" si="128"/>
        <v>TWD n/r</v>
      </c>
      <c r="F541" s="45" t="str">
        <f t="shared" si="128"/>
        <v>-</v>
      </c>
      <c r="G541" s="44" t="str">
        <f t="shared" si="128"/>
        <v>n/r</v>
      </c>
      <c r="H541" s="46"/>
      <c r="I541" s="47">
        <f>FAR!$D$25/FAR!$D$33</f>
        <v>-12.412159504490692</v>
      </c>
      <c r="J541" s="47">
        <f>FAR!$E$25/FAR!$E$33</f>
        <v>-13.269972092336992</v>
      </c>
      <c r="K541" s="47">
        <f>FAR!$F$25/FAR!$F$33</f>
        <v>-13.941106838324067</v>
      </c>
      <c r="L541" s="47">
        <f>FAR!$G$25/FAR!$G$33</f>
        <v>-14.65345416188736</v>
      </c>
      <c r="M541" s="45">
        <f t="shared" si="129"/>
        <v>-2.2412946573966686</v>
      </c>
      <c r="N541" s="46"/>
      <c r="O541" s="45">
        <f>(FAR!$D$24-FAR!$D$25)/FAR!$D$23</f>
        <v>0.10000000000000003</v>
      </c>
      <c r="P541" s="45">
        <f>(FAR!$E$24-FAR!$E$25)/FAR!$E$23</f>
        <v>9.4999999999999973E-2</v>
      </c>
      <c r="Q541" s="45">
        <f>(FAR!$F$24-FAR!$F$25)/FAR!$F$23</f>
        <v>9.5000000000000001E-2</v>
      </c>
      <c r="R541" s="45">
        <f>(FAR!$G$24-FAR!$G$25)/FAR!$G$23</f>
        <v>9.4999999999999987E-2</v>
      </c>
      <c r="S541" s="45">
        <f t="shared" si="130"/>
        <v>-5.0000000000000461E-3</v>
      </c>
      <c r="T541" s="46"/>
      <c r="U541" s="48" t="str">
        <f t="shared" si="131"/>
        <v>TWD 84.0</v>
      </c>
      <c r="V541" s="44" t="str">
        <f t="shared" si="131"/>
        <v>Far EasTone</v>
      </c>
      <c r="Z541" s="49"/>
    </row>
    <row r="542" spans="1:26">
      <c r="A542" s="5"/>
      <c r="C542" s="48" t="str">
        <f t="shared" si="128"/>
        <v>Vodafone IDEA</v>
      </c>
      <c r="D542" s="44" t="str">
        <f t="shared" si="128"/>
        <v>INR 15.1</v>
      </c>
      <c r="E542" s="44" t="str">
        <f t="shared" si="128"/>
        <v>INR 5.0</v>
      </c>
      <c r="F542" s="45">
        <f t="shared" si="128"/>
        <v>-0.66909331568497676</v>
      </c>
      <c r="G542" s="44" t="str">
        <f t="shared" si="128"/>
        <v>Reduce</v>
      </c>
      <c r="H542" s="46"/>
      <c r="I542" s="47">
        <f>IDEA!$D$25/IDEA!$D$33</f>
        <v>0.62158208584767416</v>
      </c>
      <c r="J542" s="47">
        <f>IDEA!$E$25/IDEA!$E$33</f>
        <v>5.2499508608400094E-2</v>
      </c>
      <c r="K542" s="47">
        <f>IDEA!$F$25/IDEA!$F$33</f>
        <v>8.2480720706779864E-2</v>
      </c>
      <c r="L542" s="47">
        <f>IDEA!$G$25/IDEA!$G$33</f>
        <v>0.47217370187864183</v>
      </c>
      <c r="M542" s="45">
        <f t="shared" si="129"/>
        <v>-0.14940838396903233</v>
      </c>
      <c r="N542" s="46"/>
      <c r="O542" s="45">
        <f>(IDEA!$D$24-IDEA!$D$25)/IDEA!$D$23</f>
        <v>4.3374589992895944E-2</v>
      </c>
      <c r="P542" s="45">
        <f>(IDEA!$E$24-IDEA!$E$25)/IDEA!$E$23</f>
        <v>0.38000000000000006</v>
      </c>
      <c r="Q542" s="45">
        <f>(IDEA!$F$24-IDEA!$F$25)/IDEA!$F$23</f>
        <v>0.38</v>
      </c>
      <c r="R542" s="45">
        <f>(IDEA!$G$24-IDEA!$G$25)/IDEA!$G$23</f>
        <v>0.2</v>
      </c>
      <c r="S542" s="45">
        <f t="shared" si="130"/>
        <v>0.15662541000710406</v>
      </c>
      <c r="T542" s="46"/>
      <c r="U542" s="48" t="str">
        <f t="shared" si="131"/>
        <v>INR 15.1</v>
      </c>
      <c r="V542" s="44" t="str">
        <f t="shared" si="131"/>
        <v>Vodafone IDEA</v>
      </c>
      <c r="Z542" s="49"/>
    </row>
    <row r="543" spans="1:26">
      <c r="A543" s="5"/>
      <c r="C543" s="48" t="str">
        <f t="shared" si="128"/>
        <v>Indosat</v>
      </c>
      <c r="D543" s="44" t="str">
        <f t="shared" si="128"/>
        <v>IDR 10,075</v>
      </c>
      <c r="E543" s="44" t="str">
        <f t="shared" si="128"/>
        <v>IDR 12,500</v>
      </c>
      <c r="F543" s="45">
        <f t="shared" si="128"/>
        <v>0.2406947890818858</v>
      </c>
      <c r="G543" s="44" t="str">
        <f t="shared" si="128"/>
        <v>Buy</v>
      </c>
      <c r="H543" s="46"/>
      <c r="I543" s="47">
        <f>INDO!$D$25/INDO!$D$33</f>
        <v>2.5388251092498182</v>
      </c>
      <c r="J543" s="47">
        <f>INDO!$E$25/INDO!$E$33</f>
        <v>4.4777064043984058</v>
      </c>
      <c r="K543" s="47">
        <f>INDO!$F$25/INDO!$F$33</f>
        <v>6.4368657588359763</v>
      </c>
      <c r="L543" s="47">
        <f>INDO!$G$25/INDO!$G$33</f>
        <v>9.4847489826881901</v>
      </c>
      <c r="M543" s="45">
        <f t="shared" si="129"/>
        <v>6.9459238734383719</v>
      </c>
      <c r="N543" s="46"/>
      <c r="O543" s="45">
        <f>(INDO!$D$24-INDO!$D$25)/INDO!$D$23</f>
        <v>0.24953541757761252</v>
      </c>
      <c r="P543" s="45">
        <f>(INDO!$E$24-INDO!$E$25)/INDO!$E$23</f>
        <v>0.21713022482353594</v>
      </c>
      <c r="Q543" s="45">
        <f>(INDO!$F$24-INDO!$F$25)/INDO!$F$23</f>
        <v>0.20035464838778994</v>
      </c>
      <c r="R543" s="45">
        <f>(INDO!$G$24-INDO!$G$25)/INDO!$G$23</f>
        <v>0.20036224591717355</v>
      </c>
      <c r="S543" s="45">
        <f t="shared" si="130"/>
        <v>-4.9173171660438969E-2</v>
      </c>
      <c r="T543" s="46"/>
      <c r="U543" s="48" t="str">
        <f t="shared" si="131"/>
        <v>IDR 10,075</v>
      </c>
      <c r="V543" s="44" t="str">
        <f t="shared" si="131"/>
        <v>Indosat</v>
      </c>
      <c r="Z543" s="49"/>
    </row>
    <row r="544" spans="1:26">
      <c r="A544" s="5"/>
      <c r="C544" s="48" t="str">
        <f t="shared" si="128"/>
        <v>LG Uplus</v>
      </c>
      <c r="D544" s="44" t="str">
        <f t="shared" si="128"/>
        <v>KRW 9,770</v>
      </c>
      <c r="E544" s="44" t="str">
        <f t="shared" si="128"/>
        <v>KRW 21,000</v>
      </c>
      <c r="F544" s="45">
        <f t="shared" si="128"/>
        <v>1.1494370522006143</v>
      </c>
      <c r="G544" s="44" t="str">
        <f t="shared" si="128"/>
        <v>Buy</v>
      </c>
      <c r="H544" s="46"/>
      <c r="I544" s="47">
        <f>_LG!$D$25/_LG!$D$33</f>
        <v>5.6996218260399782</v>
      </c>
      <c r="J544" s="47">
        <f>_LG!$E$25/_LG!$E$33</f>
        <v>7.5488613677873975</v>
      </c>
      <c r="K544" s="47">
        <f>_LG!$F$25/_LG!$F$33</f>
        <v>7.8637748801481573</v>
      </c>
      <c r="L544" s="47">
        <f>_LG!$G$25/_LG!$G$33</f>
        <v>8.1180059413729513</v>
      </c>
      <c r="M544" s="45">
        <f t="shared" si="129"/>
        <v>2.418384115332973</v>
      </c>
      <c r="N544" s="46"/>
      <c r="O544" s="45">
        <f>(_LG!$D$24-_LG!$D$25)/_LG!$D$23</f>
        <v>0.17493666781932046</v>
      </c>
      <c r="P544" s="45">
        <f>(_LG!$E$24-_LG!$E$25)/_LG!$E$23</f>
        <v>0.15466785236807798</v>
      </c>
      <c r="Q544" s="45">
        <f>(_LG!$F$24-_LG!$F$25)/_LG!$F$23</f>
        <v>0.15224839180559263</v>
      </c>
      <c r="R544" s="45">
        <f>(_LG!$G$24-_LG!$G$25)/_LG!$G$23</f>
        <v>0.14985380137047297</v>
      </c>
      <c r="S544" s="45">
        <f t="shared" si="130"/>
        <v>-2.5082866448847496E-2</v>
      </c>
      <c r="T544" s="46"/>
      <c r="U544" s="48" t="str">
        <f t="shared" si="131"/>
        <v>KRW 9,770</v>
      </c>
      <c r="V544" s="44" t="str">
        <f t="shared" si="131"/>
        <v>LG Uplus</v>
      </c>
      <c r="Z544" s="49"/>
    </row>
    <row r="545" spans="1:31">
      <c r="C545" s="48" t="str">
        <f t="shared" si="128"/>
        <v>Maxis</v>
      </c>
      <c r="D545" s="44" t="str">
        <f t="shared" si="128"/>
        <v>MYR 3.71</v>
      </c>
      <c r="E545" s="44" t="str">
        <f t="shared" si="128"/>
        <v>MYR 5.60</v>
      </c>
      <c r="F545" s="45">
        <f t="shared" si="128"/>
        <v>0.50943396226415083</v>
      </c>
      <c r="G545" s="44" t="str">
        <f t="shared" si="128"/>
        <v>Buy</v>
      </c>
      <c r="H545" s="46"/>
      <c r="I545" s="47">
        <f>MAXI!$D$25/MAXI!$D$33</f>
        <v>-8.8178267113451412</v>
      </c>
      <c r="J545" s="47">
        <f>MAXI!$E$25/MAXI!$E$33</f>
        <v>-9.1627427783641338</v>
      </c>
      <c r="K545" s="47">
        <f>MAXI!$F$25/MAXI!$F$33</f>
        <v>-10.022426300648318</v>
      </c>
      <c r="L545" s="47">
        <f>MAXI!$G$25/MAXI!$G$33</f>
        <v>-10.909374424404245</v>
      </c>
      <c r="M545" s="45">
        <f t="shared" si="129"/>
        <v>-2.0915477130591036</v>
      </c>
      <c r="N545" s="46"/>
      <c r="O545" s="45">
        <f>(MAXI!$D$24-MAXI!$D$25)/MAXI!$D$23</f>
        <v>7.9862475442043224E-2</v>
      </c>
      <c r="P545" s="45">
        <f>(MAXI!$E$24-MAXI!$E$25)/MAXI!$E$23</f>
        <v>0.11000000000000001</v>
      </c>
      <c r="Q545" s="45">
        <f>(MAXI!$F$24-MAXI!$F$25)/MAXI!$F$23</f>
        <v>0.11000000000000001</v>
      </c>
      <c r="R545" s="45">
        <f>(MAXI!$G$24-MAXI!$G$25)/MAXI!$G$23</f>
        <v>0.10999999999999999</v>
      </c>
      <c r="S545" s="45">
        <f t="shared" si="130"/>
        <v>3.0137524557956763E-2</v>
      </c>
      <c r="T545" s="46"/>
      <c r="U545" s="48" t="str">
        <f t="shared" si="131"/>
        <v>MYR 3.71</v>
      </c>
      <c r="V545" s="44" t="str">
        <f t="shared" si="131"/>
        <v>Maxis</v>
      </c>
      <c r="Z545" s="49"/>
    </row>
    <row r="546" spans="1:31">
      <c r="A546" s="5"/>
      <c r="C546" s="48" t="str">
        <f t="shared" si="128"/>
        <v>SK Telecom</v>
      </c>
      <c r="D546" s="44" t="str">
        <f t="shared" si="128"/>
        <v>KRW 51,800</v>
      </c>
      <c r="E546" s="44" t="str">
        <f t="shared" si="128"/>
        <v>KRW 116,000</v>
      </c>
      <c r="F546" s="45">
        <f t="shared" si="128"/>
        <v>1.2393822393822393</v>
      </c>
      <c r="G546" s="44" t="str">
        <f t="shared" si="128"/>
        <v>Buy</v>
      </c>
      <c r="H546" s="46"/>
      <c r="I546" s="47">
        <f>SKT!$D$25/SKT!$D$33</f>
        <v>5.2348098868071773</v>
      </c>
      <c r="J546" s="47">
        <f>SKT!$E$25/SKT!$E$33</f>
        <v>11.293509789353198</v>
      </c>
      <c r="K546" s="47">
        <f>SKT!$F$25/SKT!$F$33</f>
        <v>12.830816880601969</v>
      </c>
      <c r="L546" s="47">
        <f>SKT!$G$25/SKT!$G$33</f>
        <v>15.249387794118764</v>
      </c>
      <c r="M546" s="45">
        <f t="shared" si="129"/>
        <v>10.014577907311587</v>
      </c>
      <c r="N546" s="46"/>
      <c r="O546" s="45">
        <f>(SKT!$D$24-SKT!$D$25)/SKT!$D$23</f>
        <v>0.1557200079441545</v>
      </c>
      <c r="P546" s="45">
        <f>(SKT!$E$24-SKT!$E$25)/SKT!$E$23</f>
        <v>0.15339917127783881</v>
      </c>
      <c r="Q546" s="45">
        <f>(SKT!$F$24-SKT!$F$25)/SKT!$F$23</f>
        <v>0.1458310760953539</v>
      </c>
      <c r="R546" s="45">
        <f>(SKT!$G$24-SKT!$G$25)/SKT!$G$23</f>
        <v>0.14061597395491834</v>
      </c>
      <c r="S546" s="45">
        <f t="shared" si="130"/>
        <v>-1.5104033989236154E-2</v>
      </c>
      <c r="T546" s="46"/>
      <c r="U546" s="48" t="str">
        <f t="shared" si="131"/>
        <v>KRW 51,800</v>
      </c>
      <c r="V546" s="44" t="str">
        <f t="shared" si="131"/>
        <v>SK Telecom</v>
      </c>
      <c r="Z546" s="49"/>
    </row>
    <row r="547" spans="1:31">
      <c r="A547" s="5"/>
      <c r="C547" s="48" t="str">
        <f t="shared" si="128"/>
        <v>Taiwan Mobile</v>
      </c>
      <c r="D547" s="44" t="str">
        <f t="shared" si="128"/>
        <v>TWD 106.5</v>
      </c>
      <c r="E547" s="44" t="str">
        <f t="shared" si="128"/>
        <v>TWD n/r</v>
      </c>
      <c r="F547" s="45" t="str">
        <f t="shared" si="128"/>
        <v>-</v>
      </c>
      <c r="G547" s="44" t="str">
        <f t="shared" si="128"/>
        <v>n/r</v>
      </c>
      <c r="H547" s="46"/>
      <c r="I547" s="47">
        <f>TAIWAN!$D$25/TAIWAN!$D$33</f>
        <v>44.684466057850855</v>
      </c>
      <c r="J547" s="47">
        <f>TAIWAN!$E$25/TAIWAN!$E$33</f>
        <v>58.511407951366039</v>
      </c>
      <c r="K547" s="47">
        <f>TAIWAN!$F$25/TAIWAN!$F$33</f>
        <v>73.068709117344085</v>
      </c>
      <c r="L547" s="47">
        <f>TAIWAN!$G$25/TAIWAN!$G$33</f>
        <v>101.75726582830168</v>
      </c>
      <c r="M547" s="45">
        <f t="shared" si="129"/>
        <v>57.072799770450828</v>
      </c>
      <c r="N547" s="46"/>
      <c r="O547" s="45">
        <f>(TAIWAN!$D$24-TAIWAN!$D$25)/TAIWAN!$D$23</f>
        <v>7.0000000000000007E-2</v>
      </c>
      <c r="P547" s="45">
        <f>(TAIWAN!$E$24-TAIWAN!$E$25)/TAIWAN!$E$23</f>
        <v>0.06</v>
      </c>
      <c r="Q547" s="45">
        <f>(TAIWAN!$F$24-TAIWAN!$F$25)/TAIWAN!$F$23</f>
        <v>6.5000000000000002E-2</v>
      </c>
      <c r="R547" s="45">
        <f>(TAIWAN!$G$24-TAIWAN!$G$25)/TAIWAN!$G$23</f>
        <v>6.5000000000000002E-2</v>
      </c>
      <c r="S547" s="45">
        <f t="shared" si="130"/>
        <v>-5.0000000000000044E-3</v>
      </c>
      <c r="T547" s="46"/>
      <c r="U547" s="48" t="str">
        <f t="shared" si="131"/>
        <v>TWD 106.5</v>
      </c>
      <c r="V547" s="44" t="str">
        <f t="shared" si="131"/>
        <v>Taiwan Mobile</v>
      </c>
      <c r="Z547" s="49"/>
    </row>
    <row r="548" spans="1:31">
      <c r="A548" s="5"/>
      <c r="C548" s="48" t="str">
        <f t="shared" si="128"/>
        <v>True Corp</v>
      </c>
      <c r="D548" s="44" t="str">
        <f t="shared" si="128"/>
        <v>THB 8.0</v>
      </c>
      <c r="E548" s="44" t="str">
        <f t="shared" si="128"/>
        <v>THB 15.0</v>
      </c>
      <c r="F548" s="45">
        <f t="shared" si="128"/>
        <v>0.875</v>
      </c>
      <c r="G548" s="44" t="str">
        <f t="shared" si="128"/>
        <v>Buy</v>
      </c>
      <c r="H548" s="46"/>
      <c r="I548" s="47">
        <f>TRUECORP!$D$25/TRUECORP!$D$33</f>
        <v>2.0868240343347639</v>
      </c>
      <c r="J548" s="47">
        <f>TRUECORP!$E$25/TRUECORP!$E$33</f>
        <v>2.5913471763705909</v>
      </c>
      <c r="K548" s="47">
        <f>TRUECORP!$F$25/TRUECORP!$F$33</f>
        <v>3.2202522063599361</v>
      </c>
      <c r="L548" s="47">
        <f>TRUECORP!$G$25/TRUECORP!$G$33</f>
        <v>3.8313902811868639</v>
      </c>
      <c r="M548" s="45">
        <f>L548-I548</f>
        <v>1.7445662468520999</v>
      </c>
      <c r="N548" s="46"/>
      <c r="O548" s="45">
        <f>(TRUECORP!$D$24-TRUECORP!$D$25)/TRUECORP!$D$23</f>
        <v>0.18294750956343417</v>
      </c>
      <c r="P548" s="45">
        <f>(TRUECORP!$E$24-TRUECORP!$E$25)/TRUECORP!$E$23</f>
        <v>0.14000000000000001</v>
      </c>
      <c r="Q548" s="45">
        <f>(TRUECORP!$F$24-TRUECORP!$F$25)/TRUECORP!$F$23</f>
        <v>0.13</v>
      </c>
      <c r="R548" s="45">
        <f>(TRUECORP!$G$24-TRUECORP!$G$25)/TRUECORP!$G$23</f>
        <v>0.12999999999999998</v>
      </c>
      <c r="S548" s="45">
        <f>R548-O548</f>
        <v>-5.2947509563434192E-2</v>
      </c>
      <c r="T548" s="46"/>
      <c r="U548" s="48" t="str">
        <f t="shared" si="131"/>
        <v>THB 8.0</v>
      </c>
      <c r="V548" s="44" t="str">
        <f t="shared" si="131"/>
        <v>True Corp</v>
      </c>
      <c r="Z548" s="49"/>
    </row>
    <row r="549" spans="1:31">
      <c r="A549" s="5"/>
      <c r="C549" s="48" t="str">
        <f t="shared" si="128"/>
        <v>XL Axiata</v>
      </c>
      <c r="D549" s="44" t="str">
        <f t="shared" si="128"/>
        <v>IDR 2,470</v>
      </c>
      <c r="E549" s="44" t="str">
        <f t="shared" si="128"/>
        <v>IDR 5,000</v>
      </c>
      <c r="F549" s="45">
        <f t="shared" si="128"/>
        <v>1.0242914979757085</v>
      </c>
      <c r="G549" s="44" t="str">
        <f t="shared" si="128"/>
        <v>Buy</v>
      </c>
      <c r="H549" s="46"/>
      <c r="I549" s="47">
        <f>XLAX!$D$25/XLAX!$D$33</f>
        <v>-3.0730139234609317</v>
      </c>
      <c r="J549" s="47">
        <f>XLAX!$E$25/XLAX!$E$33</f>
        <v>-3.3363557751119819</v>
      </c>
      <c r="K549" s="47">
        <f>XLAX!$F$25/XLAX!$F$33</f>
        <v>-4.1101124946236833</v>
      </c>
      <c r="L549" s="47">
        <f>XLAX!$G$25/XLAX!$G$33</f>
        <v>-5.1547468024095018</v>
      </c>
      <c r="M549" s="45">
        <f t="shared" si="129"/>
        <v>-2.0817328789485701</v>
      </c>
      <c r="N549" s="56"/>
      <c r="O549" s="45">
        <f>(XLAX!$D$24-XLAX!$D$25)/XLAX!$D$23</f>
        <v>0.22145460779191653</v>
      </c>
      <c r="P549" s="45">
        <f>(XLAX!$E$24-XLAX!$E$25)/XLAX!$E$23</f>
        <v>0.23499999999999999</v>
      </c>
      <c r="Q549" s="45">
        <f>(XLAX!$F$24-XLAX!$F$25)/XLAX!$F$23</f>
        <v>0.22499999999999995</v>
      </c>
      <c r="R549" s="45">
        <f>(XLAX!$G$24-XLAX!$G$25)/XLAX!$G$23</f>
        <v>0.22499999999999998</v>
      </c>
      <c r="S549" s="45">
        <f t="shared" si="130"/>
        <v>3.5453922080834477E-3</v>
      </c>
      <c r="T549" s="46"/>
      <c r="U549" s="48" t="str">
        <f t="shared" si="131"/>
        <v>IDR 2,470</v>
      </c>
      <c r="V549" s="44" t="str">
        <f t="shared" si="131"/>
        <v>XL Axiata</v>
      </c>
      <c r="Z549" s="49"/>
    </row>
    <row r="550" spans="1:31">
      <c r="A550" s="5"/>
      <c r="C550" s="51" t="str">
        <f>C488</f>
        <v>Agg. Emerging Asia Cellular</v>
      </c>
      <c r="D550" s="52"/>
      <c r="E550" s="52"/>
      <c r="F550" s="53"/>
      <c r="G550" s="52"/>
      <c r="H550" s="46"/>
      <c r="I550" s="54">
        <f>'EM ASIA CELLULAR'!$D$25/'EM ASIA CELLULAR'!$D$33</f>
        <v>4.5191517093118208</v>
      </c>
      <c r="J550" s="54">
        <f>'EM ASIA CELLULAR'!$E$25/'EM ASIA CELLULAR'!$E$33</f>
        <v>5.5418599168488472</v>
      </c>
      <c r="K550" s="54">
        <f>'EM ASIA CELLULAR'!$F$25/'EM ASIA CELLULAR'!$F$33</f>
        <v>6.3834716332805082</v>
      </c>
      <c r="L550" s="54">
        <f>'EM ASIA CELLULAR'!$G$25/'EM ASIA CELLULAR'!$G$33</f>
        <v>7.1738392599230174</v>
      </c>
      <c r="M550" s="55">
        <f t="shared" si="129"/>
        <v>2.6546875506111967</v>
      </c>
      <c r="N550" s="56"/>
      <c r="O550" s="55">
        <f>('EM ASIA CELLULAR'!$D$24-'EM ASIA CELLULAR'!$D$25)/'EM ASIA CELLULAR'!$D$23</f>
        <v>0.17376644349635664</v>
      </c>
      <c r="P550" s="55">
        <f>('EM ASIA CELLULAR'!$E$24-'EM ASIA CELLULAR'!$E$25)/'EM ASIA CELLULAR'!$E$23</f>
        <v>0.16813569116876959</v>
      </c>
      <c r="Q550" s="55">
        <f>('EM ASIA CELLULAR'!$F$24-'EM ASIA CELLULAR'!$F$25)/'EM ASIA CELLULAR'!$F$23</f>
        <v>0.15935300038657385</v>
      </c>
      <c r="R550" s="55">
        <f>('EM ASIA CELLULAR'!$G$24-'EM ASIA CELLULAR'!$G$25)/'EM ASIA CELLULAR'!$G$23</f>
        <v>0.15027592347121196</v>
      </c>
      <c r="S550" s="55">
        <f t="shared" si="130"/>
        <v>-2.3490520025144679E-2</v>
      </c>
      <c r="T550" s="46"/>
      <c r="U550" s="57"/>
      <c r="V550" s="58" t="str">
        <f>V488</f>
        <v>Agg. Emerging Asia Cellular</v>
      </c>
      <c r="Z550" s="49"/>
    </row>
    <row r="551" spans="1:31">
      <c r="A551" s="5"/>
      <c r="C551" s="43"/>
      <c r="D551" s="44"/>
      <c r="E551" s="44"/>
      <c r="F551" s="68"/>
      <c r="G551" s="44"/>
      <c r="H551" s="46"/>
      <c r="I551" s="62"/>
      <c r="J551" s="62"/>
      <c r="K551" s="62"/>
      <c r="L551" s="62"/>
      <c r="M551" s="61"/>
      <c r="N551" s="46"/>
      <c r="O551" s="61"/>
      <c r="P551" s="61"/>
      <c r="Q551" s="61"/>
      <c r="R551" s="61"/>
      <c r="S551" s="61"/>
      <c r="T551" s="46"/>
      <c r="U551" s="48"/>
      <c r="V551" s="50"/>
      <c r="Z551" s="49"/>
    </row>
    <row r="552" spans="1:31">
      <c r="A552" s="5"/>
      <c r="C552" s="51" t="str">
        <f>C490</f>
        <v>Agg. Emerging  Cellular</v>
      </c>
      <c r="D552" s="52"/>
      <c r="E552" s="52"/>
      <c r="F552" s="53"/>
      <c r="G552" s="52"/>
      <c r="H552" s="46"/>
      <c r="I552" s="54">
        <f>'EM CELLULAR'!$D$25/'EM CELLULAR'!$D$33</f>
        <v>10.843669880249488</v>
      </c>
      <c r="J552" s="54">
        <f>'EM CELLULAR'!$E$25/'EM CELLULAR'!$E$33</f>
        <v>10.909249055521236</v>
      </c>
      <c r="K552" s="54">
        <f>'EM CELLULAR'!$F$25/'EM CELLULAR'!$F$33</f>
        <v>10.933158163059652</v>
      </c>
      <c r="L552" s="54">
        <f>'EM CELLULAR'!$G$25/'EM CELLULAR'!$G$33</f>
        <v>12.736672631295974</v>
      </c>
      <c r="M552" s="55">
        <f t="shared" ref="M552" si="132">L552-I552</f>
        <v>1.8930027510464864</v>
      </c>
      <c r="N552" s="46"/>
      <c r="O552" s="55">
        <f>('EM CELLULAR'!$D$24-'EM CELLULAR'!$D$25)/'EM CELLULAR'!$D$23</f>
        <v>0.17749187193212984</v>
      </c>
      <c r="P552" s="55">
        <f>('EM CELLULAR'!$E$24-'EM CELLULAR'!$E$25)/'EM CELLULAR'!$E$23</f>
        <v>0.17163001298702033</v>
      </c>
      <c r="Q552" s="55">
        <f>('EM CELLULAR'!$F$24-'EM CELLULAR'!$F$25)/'EM CELLULAR'!$F$23</f>
        <v>0.16289797769237874</v>
      </c>
      <c r="R552" s="55">
        <f>('EM CELLULAR'!$G$24-'EM CELLULAR'!$G$25)/'EM CELLULAR'!$G$23</f>
        <v>0.15438167355122254</v>
      </c>
      <c r="S552" s="55">
        <f t="shared" ref="S552" si="133">R552-O552</f>
        <v>-2.3110198380907304E-2</v>
      </c>
      <c r="T552" s="46"/>
      <c r="U552" s="57"/>
      <c r="V552" s="58" t="str">
        <f>V490</f>
        <v>Agg. Emerging  Cellular</v>
      </c>
      <c r="Z552" s="49"/>
    </row>
    <row r="553" spans="1:31">
      <c r="C553" s="43"/>
      <c r="D553" s="44"/>
      <c r="E553" s="44"/>
      <c r="F553" s="45"/>
      <c r="G553" s="44"/>
      <c r="H553" s="46"/>
      <c r="I553" s="47"/>
      <c r="J553" s="47"/>
      <c r="K553" s="47"/>
      <c r="L553" s="47"/>
      <c r="M553" s="45"/>
      <c r="N553" s="46"/>
      <c r="O553" s="45"/>
      <c r="P553" s="45"/>
      <c r="Q553" s="45"/>
      <c r="R553" s="45"/>
      <c r="S553" s="45"/>
      <c r="T553" s="46"/>
      <c r="U553" s="48"/>
      <c r="V553" s="50"/>
      <c r="Z553" s="49"/>
    </row>
    <row r="554" spans="1:31">
      <c r="A554" s="41" t="s">
        <v>508</v>
      </c>
      <c r="B554" s="42" t="s">
        <v>582</v>
      </c>
      <c r="C554" s="48" t="s">
        <v>819</v>
      </c>
      <c r="D554" s="44" t="str">
        <f>'EM Multiples'!B554&amp;TEXT(Prices!C$135,"0.00")</f>
        <v>MXN52.16</v>
      </c>
      <c r="E554" s="44" t="str">
        <f>'EM Multiples'!B554&amp;TEXT(Prices!E$135,"0.00")</f>
        <v>MXN55.00</v>
      </c>
      <c r="F554" s="45">
        <f>Prices!F$135</f>
        <v>5.444785276073616E-2</v>
      </c>
      <c r="G554" s="44" t="str">
        <f>Prices!D$48</f>
        <v>Buy</v>
      </c>
      <c r="H554" s="46"/>
      <c r="I554" s="47">
        <f>MEGA!$D$25/MEGA!$D$33</f>
        <v>-0.52112551943581131</v>
      </c>
      <c r="J554" s="47">
        <f>MEGA!$E$25/MEGA!$E$33</f>
        <v>-0.74417328290179496</v>
      </c>
      <c r="K554" s="47">
        <f>MEGA!$F$25/MEGA!$F$33</f>
        <v>-2.5724722221096661</v>
      </c>
      <c r="L554" s="47">
        <f>MEGA!$G$25/MEGA!$G$33</f>
        <v>-5.3852747347961731</v>
      </c>
      <c r="M554" s="45">
        <f>L554-I554</f>
        <v>-4.8641492153603618</v>
      </c>
      <c r="N554" s="46"/>
      <c r="O554" s="45">
        <f>(MEGA!$D$24-MEGA!$D$25)/MEGA!$D$23</f>
        <v>0.41</v>
      </c>
      <c r="P554" s="45">
        <f>(MEGA!$E$24-MEGA!$E$25)/MEGA!$E$23</f>
        <v>0.39</v>
      </c>
      <c r="Q554" s="45">
        <f>(MEGA!$F$24-MEGA!$F$25)/MEGA!$F$23</f>
        <v>0.31</v>
      </c>
      <c r="R554" s="45">
        <f>(MEGA!$G$24-MEGA!$G$25)/MEGA!$G$23</f>
        <v>0.25</v>
      </c>
      <c r="S554" s="45">
        <f>R554-O554</f>
        <v>-0.15999999999999998</v>
      </c>
      <c r="T554" s="46"/>
      <c r="U554" s="48" t="str">
        <f>D554</f>
        <v>MXN52.16</v>
      </c>
      <c r="V554" s="44" t="str">
        <f>C554</f>
        <v>Megacable</v>
      </c>
      <c r="Z554" s="46"/>
      <c r="AE554" s="41"/>
    </row>
    <row r="555" spans="1:31">
      <c r="A555" s="5"/>
      <c r="B555" s="42" t="s">
        <v>411</v>
      </c>
      <c r="C555" s="48" t="s">
        <v>804</v>
      </c>
      <c r="D555" s="44" t="str">
        <f>'EM Multiples'!B555&amp;TEXT(Prices!C$138,"0.00")</f>
        <v>USD8.55</v>
      </c>
      <c r="E555" s="44" t="str">
        <f>'EM Multiples'!B555&amp;TEXT(Prices!E$138,"0.00")</f>
        <v>USD14.00</v>
      </c>
      <c r="F555" s="45">
        <f>Prices!F$138</f>
        <v>0.63742690058479523</v>
      </c>
      <c r="G555" s="44" t="str">
        <f>Prices!D$138</f>
        <v>Buy</v>
      </c>
      <c r="H555" s="46"/>
      <c r="I555" s="47">
        <f>LiLAC!$D$25/LiLAC!$D$33</f>
        <v>2.1078629166549558</v>
      </c>
      <c r="J555" s="47">
        <f>LiLAC!$E$25/LiLAC!$E$33</f>
        <v>2.4665911656428778</v>
      </c>
      <c r="K555" s="47">
        <f>LiLAC!$F$25/LiLAC!$F$33</f>
        <v>2.6863862471704354</v>
      </c>
      <c r="L555" s="47">
        <f>LiLAC!$G$25/LiLAC!$G$33</f>
        <v>2.6141345228230883</v>
      </c>
      <c r="M555" s="45">
        <f>L555-I555</f>
        <v>0.50627160616813249</v>
      </c>
      <c r="N555" s="46"/>
      <c r="O555" s="45">
        <f>(LiLAC!$D$24-LiLAC!$D$25)/LiLAC!$D$23</f>
        <v>0.1653019718581196</v>
      </c>
      <c r="P555" s="45">
        <f>(LiLAC!$E$24-LiLAC!$E$25)/LiLAC!$E$23</f>
        <v>0.15868478896453453</v>
      </c>
      <c r="Q555" s="45">
        <f>(LiLAC!$F$24-LiLAC!$F$25)/LiLAC!$F$23</f>
        <v>0.15369084252204696</v>
      </c>
      <c r="R555" s="45">
        <f>(LiLAC!$G$24-LiLAC!$G$25)/LiLAC!$G$23</f>
        <v>0.16590657235874168</v>
      </c>
      <c r="S555" s="45">
        <f>R555-O555</f>
        <v>6.0460050062208226E-4</v>
      </c>
      <c r="T555" s="46"/>
      <c r="U555" s="48" t="str">
        <f>D555</f>
        <v>USD8.55</v>
      </c>
      <c r="V555" s="44" t="str">
        <f>C555</f>
        <v>LiLAC</v>
      </c>
      <c r="Z555" s="46"/>
      <c r="AE555" s="41"/>
    </row>
    <row r="556" spans="1:31">
      <c r="A556" s="5"/>
      <c r="C556" s="67" t="s">
        <v>822</v>
      </c>
      <c r="D556" s="52"/>
      <c r="E556" s="52"/>
      <c r="F556" s="53"/>
      <c r="G556" s="52"/>
      <c r="H556" s="46"/>
      <c r="I556" s="54">
        <f>'LATAM ALTNET &amp; CABLE'!$D$25/'LATAM ALTNET &amp; CABLE'!$D$33</f>
        <v>3.0962037896621055</v>
      </c>
      <c r="J556" s="54">
        <f>'LATAM ALTNET &amp; CABLE'!$E$25/'LATAM ALTNET &amp; CABLE'!$E$33</f>
        <v>3.8067605448609307</v>
      </c>
      <c r="K556" s="54">
        <f>'LATAM ALTNET &amp; CABLE'!$F$25/'LATAM ALTNET &amp; CABLE'!$F$33</f>
        <v>4.5977193042648556</v>
      </c>
      <c r="L556" s="54">
        <f>'LATAM ALTNET &amp; CABLE'!$G$25/'LATAM ALTNET &amp; CABLE'!$G$33</f>
        <v>4.6372500596640762</v>
      </c>
      <c r="M556" s="55">
        <f>L556-I556</f>
        <v>1.5410462700019707</v>
      </c>
      <c r="N556" s="46"/>
      <c r="O556" s="55">
        <f>('LATAM ALTNET &amp; CABLE'!$D$24-'LATAM ALTNET &amp; CABLE'!$D$25)/'LATAM ALTNET &amp; CABLE'!$D$23</f>
        <v>0.23361753465253401</v>
      </c>
      <c r="P556" s="55">
        <f>('LATAM ALTNET &amp; CABLE'!$E$24-'LATAM ALTNET &amp; CABLE'!$E$25)/'LATAM ALTNET &amp; CABLE'!$E$23</f>
        <v>0.22720646399028674</v>
      </c>
      <c r="Q556" s="55">
        <f>('LATAM ALTNET &amp; CABLE'!$F$24-'LATAM ALTNET &amp; CABLE'!$F$25)/'LATAM ALTNET &amp; CABLE'!$F$23</f>
        <v>0.20192487764373843</v>
      </c>
      <c r="R556" s="55">
        <f>('LATAM ALTNET &amp; CABLE'!$G$24-'LATAM ALTNET &amp; CABLE'!$G$25)/'LATAM ALTNET &amp; CABLE'!$G$23</f>
        <v>0.19344984169864712</v>
      </c>
      <c r="S556" s="55">
        <f>R556-O556</f>
        <v>-4.0167692953886891E-2</v>
      </c>
      <c r="T556" s="46"/>
      <c r="U556" s="57"/>
      <c r="V556" s="58" t="str">
        <f>C556</f>
        <v>Agg. Emerging LatAm Altnets &amp; Cable</v>
      </c>
      <c r="Z556" s="46"/>
      <c r="AE556" s="41"/>
    </row>
    <row r="557" spans="1:31" s="5" customFormat="1">
      <c r="A557" s="39"/>
      <c r="B557" s="42"/>
      <c r="C557" s="43"/>
      <c r="D557" s="44"/>
      <c r="E557" s="44"/>
      <c r="F557" s="45"/>
      <c r="G557" s="44"/>
      <c r="H557" s="46"/>
      <c r="I557" s="47"/>
      <c r="J557" s="47"/>
      <c r="K557" s="47"/>
      <c r="L557" s="47"/>
      <c r="M557" s="45"/>
      <c r="N557" s="46"/>
      <c r="O557" s="45"/>
      <c r="P557" s="45"/>
      <c r="Q557" s="45"/>
      <c r="R557" s="45"/>
      <c r="S557" s="45"/>
      <c r="T557" s="46"/>
      <c r="U557" s="48"/>
      <c r="V557" s="50"/>
      <c r="Z557" s="49"/>
    </row>
    <row r="558" spans="1:31" s="5" customFormat="1">
      <c r="A558" s="39"/>
      <c r="B558" s="42"/>
      <c r="C558" s="67" t="str">
        <f>C496</f>
        <v>Agg. EMEA sector</v>
      </c>
      <c r="D558" s="52"/>
      <c r="E558" s="52"/>
      <c r="F558" s="53"/>
      <c r="G558" s="52"/>
      <c r="H558" s="46"/>
      <c r="I558" s="54">
        <f>'EMEA AGG'!$D$25/'EMEA AGG'!$D$33</f>
        <v>-1.5557462191193843</v>
      </c>
      <c r="J558" s="54">
        <f>'EMEA AGG'!$E$25/'EMEA AGG'!$E$33</f>
        <v>-2.0317421816431196</v>
      </c>
      <c r="K558" s="54">
        <f>'EMEA AGG'!$F$25/'EMEA AGG'!$F$33</f>
        <v>-3.0436076545799193</v>
      </c>
      <c r="L558" s="54">
        <f>'EMEA AGG'!$G$25/'EMEA AGG'!$G$33</f>
        <v>-3.2484789882388045</v>
      </c>
      <c r="M558" s="55">
        <f>L558-I558</f>
        <v>-1.6927327691194203</v>
      </c>
      <c r="N558" s="56"/>
      <c r="O558" s="55">
        <f>('EMEA AGG'!$D$24-'EMEA AGG'!$D$25)/'EMEA AGG'!$D$23</f>
        <v>0.19869114365225873</v>
      </c>
      <c r="P558" s="55">
        <f>('EMEA AGG'!$E$24-'EMEA AGG'!$E$25)/'EMEA AGG'!$E$23</f>
        <v>0.19354058723471687</v>
      </c>
      <c r="Q558" s="55">
        <f>('EMEA AGG'!$F$24-'EMEA AGG'!$F$25)/'EMEA AGG'!$F$23</f>
        <v>0.18462143438494655</v>
      </c>
      <c r="R558" s="55">
        <f>('EMEA AGG'!$G$24-'EMEA AGG'!$G$25)/'EMEA AGG'!$G$23</f>
        <v>0.17720461004695795</v>
      </c>
      <c r="S558" s="55">
        <f>R558-O558</f>
        <v>-2.1486533605300784E-2</v>
      </c>
      <c r="T558" s="46"/>
      <c r="U558" s="57"/>
      <c r="V558" s="58" t="str">
        <f>V496</f>
        <v>Agg. EMEA sector</v>
      </c>
      <c r="Z558" s="49"/>
    </row>
    <row r="559" spans="1:31" s="5" customFormat="1">
      <c r="A559" s="39"/>
      <c r="B559" s="42"/>
      <c r="C559" s="41" t="str">
        <f>C497</f>
        <v>Agg. LatAm sector</v>
      </c>
      <c r="D559" s="44"/>
      <c r="E559" s="44"/>
      <c r="F559" s="45"/>
      <c r="G559" s="44"/>
      <c r="H559" s="46"/>
      <c r="I559" s="60">
        <f>'LATAM AGG'!$D$25/'LATAM AGG'!$D$33</f>
        <v>29.676122617373853</v>
      </c>
      <c r="J559" s="60">
        <f>'LATAM AGG'!$E$25/'LATAM AGG'!$E$33</f>
        <v>35.345543398066177</v>
      </c>
      <c r="K559" s="60">
        <f>'LATAM AGG'!$F$25/'LATAM AGG'!$F$33</f>
        <v>27.112644324954221</v>
      </c>
      <c r="L559" s="60">
        <f>'LATAM AGG'!$G$25/'LATAM AGG'!$G$33</f>
        <v>21.919012423111056</v>
      </c>
      <c r="M559" s="59">
        <f>L559-I559</f>
        <v>-7.7571101942627969</v>
      </c>
      <c r="N559" s="56"/>
      <c r="O559" s="59">
        <f>('LATAM AGG'!$D$24-'LATAM AGG'!$D$25)/'LATAM AGG'!$D$23</f>
        <v>0.18780992462471133</v>
      </c>
      <c r="P559" s="59">
        <f>('LATAM AGG'!$E$24-'LATAM AGG'!$E$25)/'LATAM AGG'!$E$23</f>
        <v>0.17207606122961558</v>
      </c>
      <c r="Q559" s="59">
        <f>('LATAM AGG'!$F$24-'LATAM AGG'!$F$25)/'LATAM AGG'!$F$23</f>
        <v>0.16076518608498028</v>
      </c>
      <c r="R559" s="59">
        <f>('LATAM AGG'!$G$24-'LATAM AGG'!$G$25)/'LATAM AGG'!$G$23</f>
        <v>0.15207114573141486</v>
      </c>
      <c r="S559" s="59">
        <f>R559-O559</f>
        <v>-3.5738778893296463E-2</v>
      </c>
      <c r="T559" s="46"/>
      <c r="U559" s="48"/>
      <c r="V559" s="50" t="str">
        <f>V497</f>
        <v>Agg. LatAm sector</v>
      </c>
      <c r="Z559" s="49"/>
    </row>
    <row r="560" spans="1:31" s="5" customFormat="1">
      <c r="A560" s="39"/>
      <c r="B560" s="42"/>
      <c r="C560" s="67" t="str">
        <f>C498</f>
        <v>Agg. Emerging Asia sector</v>
      </c>
      <c r="D560" s="52"/>
      <c r="E560" s="52"/>
      <c r="F560" s="53"/>
      <c r="G560" s="52"/>
      <c r="H560" s="46"/>
      <c r="I560" s="54">
        <f>'AGG EM ASIA'!$D$25/'AGG EM ASIA'!$D$33</f>
        <v>6.2453626689269708</v>
      </c>
      <c r="J560" s="54">
        <f>'AGG EM ASIA'!$E$25/'AGG EM ASIA'!$E$33</f>
        <v>7.9360830093202228</v>
      </c>
      <c r="K560" s="54">
        <f>'AGG EM ASIA'!$F$25/'AGG EM ASIA'!$F$33</f>
        <v>9.056394408181017</v>
      </c>
      <c r="L560" s="54">
        <f>'AGG EM ASIA'!$G$25/'AGG EM ASIA'!$G$33</f>
        <v>10.063417637586745</v>
      </c>
      <c r="M560" s="55">
        <f>L560-I560</f>
        <v>3.8180549686597747</v>
      </c>
      <c r="N560" s="56"/>
      <c r="O560" s="55">
        <f>('AGG EM ASIA'!$D$24-'AGG EM ASIA'!$D$25)/'AGG EM ASIA'!$D$23</f>
        <v>0.17860356019042412</v>
      </c>
      <c r="P560" s="55">
        <f>('AGG EM ASIA'!$E$24-'AGG EM ASIA'!$E$25)/'AGG EM ASIA'!$E$23</f>
        <v>0.16847606838079859</v>
      </c>
      <c r="Q560" s="55">
        <f>('AGG EM ASIA'!$F$24-'AGG EM ASIA'!$F$25)/'AGG EM ASIA'!$F$23</f>
        <v>0.16068128741121934</v>
      </c>
      <c r="R560" s="55">
        <f>('AGG EM ASIA'!$G$24-'AGG EM ASIA'!$G$25)/'AGG EM ASIA'!$G$23</f>
        <v>0.1535101430960697</v>
      </c>
      <c r="S560" s="55">
        <f>R560-O560</f>
        <v>-2.509341709435442E-2</v>
      </c>
      <c r="T560" s="46"/>
      <c r="U560" s="57"/>
      <c r="V560" s="58" t="str">
        <f>V498</f>
        <v>Agg. Emerging Asia sector</v>
      </c>
      <c r="Z560" s="49"/>
    </row>
    <row r="561" spans="1:69" s="5" customFormat="1">
      <c r="A561" s="39"/>
      <c r="B561" s="42"/>
      <c r="C561" s="41"/>
      <c r="D561" s="44"/>
      <c r="E561" s="44"/>
      <c r="F561" s="45"/>
      <c r="G561" s="44"/>
      <c r="H561" s="46"/>
      <c r="I561" s="60"/>
      <c r="J561" s="60"/>
      <c r="K561" s="60"/>
      <c r="L561" s="60"/>
      <c r="M561" s="59"/>
      <c r="N561" s="56"/>
      <c r="O561" s="59"/>
      <c r="P561" s="59"/>
      <c r="Q561" s="59"/>
      <c r="R561" s="59"/>
      <c r="S561" s="59"/>
      <c r="T561" s="46"/>
      <c r="U561" s="48"/>
      <c r="V561" s="50"/>
      <c r="Z561" s="49"/>
    </row>
    <row r="562" spans="1:69">
      <c r="C562" s="67" t="str">
        <f>C500</f>
        <v>Agg. Global EM sector (ex-consensus)</v>
      </c>
      <c r="D562" s="52"/>
      <c r="E562" s="52"/>
      <c r="F562" s="53"/>
      <c r="G562" s="52"/>
      <c r="H562" s="46"/>
      <c r="I562" s="54">
        <f>'AGG EM'!$D$25/'AGG EM'!$D$33</f>
        <v>19.153924396386806</v>
      </c>
      <c r="J562" s="54">
        <f>'AGG EM'!$E$25/'AGG EM'!$E$33</f>
        <v>19.93030689176835</v>
      </c>
      <c r="K562" s="54">
        <f>'AGG EM'!$F$25/'AGG EM'!$F$33</f>
        <v>18.257506884552932</v>
      </c>
      <c r="L562" s="54">
        <f>'AGG EM'!$G$25/'AGG EM'!$G$33</f>
        <v>19.669582233758266</v>
      </c>
      <c r="M562" s="55">
        <f>L562-I562</f>
        <v>0.5156578373714602</v>
      </c>
      <c r="N562" s="56"/>
      <c r="O562" s="55">
        <f>('AGG EM'!$D$24-'AGG EM'!$D$25)/'AGG EM'!$D$23</f>
        <v>0.1817164431541782</v>
      </c>
      <c r="P562" s="55">
        <f>('AGG EM'!$E$24-'AGG EM'!$E$25)/'AGG EM'!$E$23</f>
        <v>0.17092389453518264</v>
      </c>
      <c r="Q562" s="55">
        <f>('AGG EM'!$F$24-'AGG EM'!$F$25)/'AGG EM'!$F$23</f>
        <v>0.16249796849338083</v>
      </c>
      <c r="R562" s="55">
        <f>('AGG EM'!$G$24-'AGG EM'!$G$25)/'AGG EM'!$G$23</f>
        <v>0.15509590675681531</v>
      </c>
      <c r="S562" s="55">
        <f>R562-O562</f>
        <v>-2.6620536397362893E-2</v>
      </c>
      <c r="T562" s="46"/>
      <c r="U562" s="57"/>
      <c r="V562" s="58" t="str">
        <f>V500</f>
        <v>Agg. Global EM sector (ex-consensus)</v>
      </c>
    </row>
    <row r="563" spans="1:69">
      <c r="C563" s="43"/>
      <c r="D563" s="44"/>
      <c r="E563" s="44"/>
      <c r="F563" s="45"/>
      <c r="G563" s="44"/>
      <c r="H563" s="134"/>
      <c r="I563" s="47"/>
      <c r="J563" s="47"/>
      <c r="K563" s="47"/>
      <c r="L563" s="47"/>
      <c r="M563" s="47"/>
      <c r="N563" s="46"/>
      <c r="O563" s="47"/>
      <c r="P563" s="47"/>
      <c r="Q563" s="47"/>
      <c r="R563" s="47"/>
      <c r="S563" s="47"/>
      <c r="T563" s="46"/>
      <c r="U563" s="48"/>
      <c r="V563" s="50"/>
      <c r="X563" s="1"/>
    </row>
    <row r="564" spans="1:69">
      <c r="C564" s="43"/>
      <c r="D564" s="44"/>
      <c r="E564" s="44"/>
      <c r="F564" s="45"/>
      <c r="G564" s="44"/>
      <c r="H564" s="134"/>
      <c r="I564" s="47"/>
      <c r="J564" s="47"/>
      <c r="K564" s="47"/>
      <c r="L564" s="47"/>
      <c r="M564" s="47"/>
      <c r="N564" s="46"/>
      <c r="O564" s="47"/>
      <c r="P564" s="47"/>
      <c r="Q564" s="47"/>
      <c r="R564" s="47"/>
      <c r="S564" s="47"/>
      <c r="T564" s="46"/>
      <c r="U564" s="48"/>
      <c r="V564" s="50"/>
      <c r="X564" s="1"/>
    </row>
    <row r="565" spans="1:69" s="41" customFormat="1">
      <c r="B565" s="147"/>
      <c r="C565" s="164"/>
      <c r="D565" s="165" t="s">
        <v>464</v>
      </c>
      <c r="E565" s="165" t="s">
        <v>57</v>
      </c>
      <c r="F565" s="165" t="s">
        <v>59</v>
      </c>
      <c r="G565" s="165" t="s">
        <v>56</v>
      </c>
      <c r="H565" s="134"/>
      <c r="I565" s="166" t="s">
        <v>633</v>
      </c>
      <c r="J565" s="166"/>
      <c r="K565" s="166"/>
      <c r="L565" s="166"/>
      <c r="M565" s="166"/>
      <c r="N565" s="46"/>
      <c r="O565" s="166" t="s">
        <v>625</v>
      </c>
      <c r="P565" s="166"/>
      <c r="Q565" s="166"/>
      <c r="R565" s="166"/>
      <c r="S565" s="166"/>
      <c r="T565" s="46"/>
      <c r="U565" s="167" t="s">
        <v>464</v>
      </c>
      <c r="V565" s="165"/>
      <c r="Z565" s="49"/>
      <c r="AC565" s="135"/>
      <c r="AD565" s="136"/>
      <c r="AE565" s="136"/>
      <c r="AF565" s="136"/>
      <c r="AG565" s="136"/>
      <c r="AH565" s="136"/>
      <c r="AI565" s="136"/>
      <c r="AJ565" s="136"/>
      <c r="AK565" s="136"/>
      <c r="AL565" s="136"/>
      <c r="AM565" s="136"/>
      <c r="AN565" s="136"/>
      <c r="AO565" s="136"/>
      <c r="AP565" s="136"/>
      <c r="AQ565" s="136"/>
      <c r="AR565" s="136"/>
      <c r="AS565" s="136"/>
      <c r="AT565" s="136"/>
      <c r="AU565" s="136"/>
      <c r="AV565" s="136"/>
      <c r="AW565" s="136"/>
      <c r="BC565" s="137"/>
      <c r="BD565" s="137"/>
      <c r="BE565" s="137"/>
      <c r="BG565" s="137"/>
      <c r="BH565" s="137"/>
      <c r="BI565" s="137"/>
      <c r="BK565" s="137"/>
      <c r="BL565" s="137"/>
      <c r="BM565" s="137"/>
      <c r="BO565" s="137"/>
      <c r="BP565" s="137"/>
      <c r="BQ565" s="137"/>
    </row>
    <row r="566" spans="1:69">
      <c r="A566" s="41" t="s">
        <v>506</v>
      </c>
      <c r="C566" s="48" t="str">
        <f>C504</f>
        <v>Telkom SA</v>
      </c>
      <c r="D566" s="44" t="str">
        <f>D504</f>
        <v>ZAR 25.3</v>
      </c>
      <c r="E566" s="44" t="str">
        <f>E504</f>
        <v>ZAR 56.0</v>
      </c>
      <c r="F566" s="45">
        <f>F504</f>
        <v>1.21606648199446</v>
      </c>
      <c r="G566" s="44" t="str">
        <f>G504</f>
        <v>Neutral</v>
      </c>
      <c r="H566" s="134"/>
      <c r="I566" s="45">
        <f>TKG!$D$31/TKG!$D$29</f>
        <v>0.73079891859509527</v>
      </c>
      <c r="J566" s="45">
        <f>TKG!$E$31/TKG!$E$29</f>
        <v>0.73079891859509472</v>
      </c>
      <c r="K566" s="45">
        <f>TKG!$F$31/TKG!$F$29</f>
        <v>0.7307989185951036</v>
      </c>
      <c r="L566" s="45">
        <f>TKG!$G$31/TKG!$G$29</f>
        <v>0.72093773039550924</v>
      </c>
      <c r="M566" s="45">
        <f t="shared" ref="M566" si="134">L566-I566</f>
        <v>-9.8611881995860351E-3</v>
      </c>
      <c r="N566" s="46"/>
      <c r="O566" s="45">
        <f>TKG!$D$31/TKG!$D$30</f>
        <v>0.5771586784675139</v>
      </c>
      <c r="P566" s="45">
        <f>TKG!$E$31/TKG!$E$30</f>
        <v>0.60236855491718322</v>
      </c>
      <c r="Q566" s="45">
        <f>TKG!$F$31/TKG!$F$30</f>
        <v>0.59299298987278259</v>
      </c>
      <c r="R566" s="45">
        <f>TKG!$G$31/TKG!$G$30</f>
        <v>0.58499131482184397</v>
      </c>
      <c r="S566" s="45">
        <f t="shared" ref="S566" si="135">R566-O566</f>
        <v>7.8326363543300692E-3</v>
      </c>
      <c r="T566" s="46"/>
      <c r="U566" s="48" t="str">
        <f>U504</f>
        <v>ZAR 25.3</v>
      </c>
      <c r="V566" s="44" t="str">
        <f>V504</f>
        <v>Telkom SA</v>
      </c>
    </row>
    <row r="567" spans="1:69">
      <c r="A567" s="41"/>
      <c r="C567" s="51" t="str">
        <f>C505</f>
        <v>Agg. EMEA Incumbent</v>
      </c>
      <c r="D567" s="58"/>
      <c r="E567" s="58"/>
      <c r="F567" s="55"/>
      <c r="G567" s="58"/>
      <c r="H567" s="134"/>
      <c r="I567" s="55"/>
      <c r="J567" s="55"/>
      <c r="K567" s="55"/>
      <c r="L567" s="55"/>
      <c r="M567" s="55"/>
      <c r="N567" s="56"/>
      <c r="O567" s="55"/>
      <c r="P567" s="55"/>
      <c r="Q567" s="55"/>
      <c r="R567" s="55"/>
      <c r="S567" s="55"/>
      <c r="T567" s="56"/>
      <c r="U567" s="51"/>
      <c r="V567" s="58" t="str">
        <f>V505</f>
        <v>Agg. EMEA Incumbent</v>
      </c>
    </row>
    <row r="568" spans="1:69">
      <c r="A568" s="5"/>
      <c r="C568" s="48"/>
      <c r="D568" s="44"/>
      <c r="E568" s="44"/>
      <c r="F568" s="68"/>
      <c r="G568" s="44"/>
      <c r="H568" s="134"/>
      <c r="I568" s="61"/>
      <c r="J568" s="61"/>
      <c r="K568" s="61"/>
      <c r="L568" s="61"/>
      <c r="M568" s="61"/>
      <c r="N568" s="46"/>
      <c r="O568" s="61"/>
      <c r="P568" s="61"/>
      <c r="Q568" s="61"/>
      <c r="R568" s="61"/>
      <c r="S568" s="61"/>
      <c r="T568" s="46"/>
      <c r="U568" s="48"/>
      <c r="V568" s="44"/>
    </row>
    <row r="569" spans="1:69">
      <c r="A569" s="5"/>
      <c r="C569" s="48" t="str">
        <f t="shared" ref="C569:G572" si="136">C507</f>
        <v>America Movil</v>
      </c>
      <c r="D569" s="44" t="str">
        <f t="shared" si="136"/>
        <v>USD 16.2</v>
      </c>
      <c r="E569" s="44" t="str">
        <f t="shared" si="136"/>
        <v>USD 24.0</v>
      </c>
      <c r="F569" s="45">
        <f t="shared" si="136"/>
        <v>0.47965474722564738</v>
      </c>
      <c r="G569" s="44" t="str">
        <f t="shared" si="136"/>
        <v>Buy</v>
      </c>
      <c r="H569" s="46"/>
      <c r="I569" s="45">
        <f>AMX!$D$31/AMX!$D$29</f>
        <v>0.59437148702994269</v>
      </c>
      <c r="J569" s="45">
        <f>AMX!$E$31/AMX!$E$29</f>
        <v>0.37943595147959008</v>
      </c>
      <c r="K569" s="45">
        <f>AMX!$F$31/AMX!$F$29</f>
        <v>0.31416685824615992</v>
      </c>
      <c r="L569" s="45">
        <f>AMX!$G$31/AMX!$G$29</f>
        <v>0.26147197134569944</v>
      </c>
      <c r="M569" s="45">
        <f t="shared" ref="M569:M573" si="137">L569-I569</f>
        <v>-0.33289951568424325</v>
      </c>
      <c r="N569" s="46"/>
      <c r="O569" s="45">
        <f>AMX!$D$31/AMX!$D$30</f>
        <v>0.38660235359790501</v>
      </c>
      <c r="P569" s="45">
        <f>AMX!$E$31/AMX!$E$30</f>
        <v>0.32166130100983958</v>
      </c>
      <c r="Q569" s="45">
        <f>AMX!$F$31/AMX!$F$30</f>
        <v>0.26556735026543432</v>
      </c>
      <c r="R569" s="45">
        <f>AMX!$G$31/AMX!$G$30</f>
        <v>0.22505948934276751</v>
      </c>
      <c r="S569" s="45">
        <f t="shared" ref="S569:S573" si="138">R569-O569</f>
        <v>-0.1615428642551375</v>
      </c>
      <c r="T569" s="46"/>
      <c r="U569" s="48" t="str">
        <f t="shared" ref="U569:V571" si="139">U507</f>
        <v>USD 16.2</v>
      </c>
      <c r="V569" s="44" t="str">
        <f t="shared" si="139"/>
        <v>America Movil</v>
      </c>
    </row>
    <row r="570" spans="1:69">
      <c r="A570" s="5"/>
      <c r="C570" s="48" t="str">
        <f t="shared" si="136"/>
        <v>Oi</v>
      </c>
      <c r="D570" s="44" t="str">
        <f t="shared" si="136"/>
        <v>BRL 1.78</v>
      </c>
      <c r="E570" s="44" t="str">
        <f t="shared" si="136"/>
        <v>BRL 0.90</v>
      </c>
      <c r="F570" s="45">
        <f t="shared" si="136"/>
        <v>-0.4943820224719101</v>
      </c>
      <c r="G570" s="44" t="str">
        <f t="shared" si="136"/>
        <v>Neutral</v>
      </c>
      <c r="H570" s="46"/>
      <c r="I570" s="45">
        <f>OIBR!$D$31/OIBR!$D$29</f>
        <v>0</v>
      </c>
      <c r="J570" s="45">
        <f>OIBR!$E$31/OIBR!$E$29</f>
        <v>0</v>
      </c>
      <c r="K570" s="45">
        <f>OIBR!$F$31/OIBR!$F$29</f>
        <v>0</v>
      </c>
      <c r="L570" s="45">
        <f>OIBR!$G$31/OIBR!$G$29</f>
        <v>0</v>
      </c>
      <c r="M570" s="45">
        <f>L570-I570</f>
        <v>0</v>
      </c>
      <c r="N570" s="46"/>
      <c r="O570" s="45">
        <f>OIBR!$D$31/OIBR!$D$30</f>
        <v>0</v>
      </c>
      <c r="P570" s="45">
        <f>OIBR!$E$31/OIBR!$E$30</f>
        <v>0</v>
      </c>
      <c r="Q570" s="45">
        <f>OIBR!$F$31/OIBR!$F$30</f>
        <v>0</v>
      </c>
      <c r="R570" s="45">
        <f>OIBR!$G$31/OIBR!$G$30</f>
        <v>0</v>
      </c>
      <c r="S570" s="45">
        <f>R570-O570</f>
        <v>0</v>
      </c>
      <c r="T570" s="46"/>
      <c r="U570" s="48" t="str">
        <f t="shared" si="139"/>
        <v>BRL 1.78</v>
      </c>
      <c r="V570" s="44" t="str">
        <f t="shared" si="139"/>
        <v>Oi</v>
      </c>
      <c r="Z570" s="49"/>
    </row>
    <row r="571" spans="1:69">
      <c r="A571" s="5"/>
      <c r="C571" s="48" t="str">
        <f t="shared" si="136"/>
        <v>Telefonica Brasil</v>
      </c>
      <c r="D571" s="44" t="str">
        <f t="shared" si="136"/>
        <v>BRL 45.90</v>
      </c>
      <c r="E571" s="44" t="str">
        <f t="shared" si="136"/>
        <v>BRL 61.00</v>
      </c>
      <c r="F571" s="45">
        <f t="shared" si="136"/>
        <v>0.32897603485838789</v>
      </c>
      <c r="G571" s="44" t="str">
        <f t="shared" si="136"/>
        <v>Buy</v>
      </c>
      <c r="H571" s="46"/>
      <c r="I571" s="45">
        <f>VIVO!$D$31/VIVO!$D$29</f>
        <v>0.55468528588956767</v>
      </c>
      <c r="J571" s="45">
        <f>VIVO!$E$31/VIVO!$E$29</f>
        <v>0.5410296797392482</v>
      </c>
      <c r="K571" s="45">
        <f>VIVO!$F$31/VIVO!$F$29</f>
        <v>0.66400157240836022</v>
      </c>
      <c r="L571" s="45">
        <f>VIVO!$G$31/VIVO!$G$29</f>
        <v>0.74252235760675078</v>
      </c>
      <c r="M571" s="45">
        <f>L571-I571</f>
        <v>0.18783707171718311</v>
      </c>
      <c r="N571" s="46"/>
      <c r="O571" s="45">
        <f>VIVO!$D$31/VIVO!$D$30</f>
        <v>0.72482065590931977</v>
      </c>
      <c r="P571" s="45">
        <f>VIVO!$E$31/VIVO!$E$30</f>
        <v>0.69404583796675201</v>
      </c>
      <c r="Q571" s="45">
        <f>VIVO!$F$31/VIVO!$F$30</f>
        <v>0.74724507251306782</v>
      </c>
      <c r="R571" s="45">
        <f>VIVO!$G$31/VIVO!$G$30</f>
        <v>0.78829495801071348</v>
      </c>
      <c r="S571" s="45">
        <f>R571-O571</f>
        <v>6.3474302101393709E-2</v>
      </c>
      <c r="T571" s="46"/>
      <c r="U571" s="48" t="str">
        <f t="shared" si="139"/>
        <v>BRL 45.90</v>
      </c>
      <c r="V571" s="44" t="str">
        <f t="shared" si="139"/>
        <v>Telefonica Brasil</v>
      </c>
      <c r="X571" s="45"/>
      <c r="Y571" s="45"/>
      <c r="Z571" s="49"/>
    </row>
    <row r="572" spans="1:69">
      <c r="A572" s="5"/>
      <c r="C572" s="48" t="str">
        <f t="shared" si="136"/>
        <v>Televisa</v>
      </c>
      <c r="D572" s="44" t="str">
        <f t="shared" si="136"/>
        <v>USD 3.1</v>
      </c>
      <c r="E572" s="44" t="str">
        <f t="shared" si="136"/>
        <v>USD 3.7</v>
      </c>
      <c r="F572" s="45">
        <f t="shared" si="136"/>
        <v>0.17834394904458595</v>
      </c>
      <c r="G572" s="44" t="str">
        <f t="shared" si="136"/>
        <v>Neutral</v>
      </c>
      <c r="H572" s="46"/>
      <c r="I572" s="45">
        <f>TVIS!$D$31/TVIS!$D$29</f>
        <v>-0.19522484250962951</v>
      </c>
      <c r="J572" s="45">
        <f>TVIS!$E$31/TVIS!$E$29</f>
        <v>0.36244872528847905</v>
      </c>
      <c r="K572" s="45">
        <f>TVIS!$F$31/TVIS!$F$29</f>
        <v>0.27566622436565313</v>
      </c>
      <c r="L572" s="45">
        <f>TVIS!$G$31/TVIS!$G$29</f>
        <v>0.21058398166124082</v>
      </c>
      <c r="M572" s="45">
        <f>L572-I572</f>
        <v>0.40580882417087033</v>
      </c>
      <c r="N572" s="46"/>
      <c r="O572" s="45">
        <f>TVIS!$D$31/TVIS!$D$30</f>
        <v>-0.77034577222104061</v>
      </c>
      <c r="P572" s="45">
        <f>TVIS!$E$31/TVIS!$E$30</f>
        <v>1.7820148945275733</v>
      </c>
      <c r="Q572" s="45">
        <f>TVIS!$F$31/TVIS!$F$30</f>
        <v>0.52483398137291137</v>
      </c>
      <c r="R572" s="45">
        <f>TVIS!$G$31/TVIS!$G$30</f>
        <v>0.28139674776494683</v>
      </c>
      <c r="S572" s="45">
        <f>R572-O572</f>
        <v>1.0517425199859876</v>
      </c>
      <c r="T572" s="46"/>
      <c r="U572" s="48" t="str">
        <f>U510</f>
        <v>USD 3.1</v>
      </c>
      <c r="V572" s="44" t="s">
        <v>673</v>
      </c>
      <c r="Z572" s="49"/>
    </row>
    <row r="573" spans="1:69">
      <c r="A573" s="5"/>
      <c r="C573" s="51" t="str">
        <f>C511</f>
        <v>Agg. LatAm Incumbent</v>
      </c>
      <c r="D573" s="52"/>
      <c r="E573" s="52"/>
      <c r="F573" s="53"/>
      <c r="G573" s="52"/>
      <c r="H573" s="46"/>
      <c r="I573" s="55">
        <f>'LATAM INCUMB'!$D$31/'LATAM INCUMB'!$D$29</f>
        <v>0.89089234361336911</v>
      </c>
      <c r="J573" s="55">
        <f>'LATAM INCUMB'!$E$31/'LATAM INCUMB'!$E$29</f>
        <v>0.49796671924446828</v>
      </c>
      <c r="K573" s="55">
        <f>'LATAM INCUMB'!$F$31/'LATAM INCUMB'!$F$29</f>
        <v>0.43114661193935117</v>
      </c>
      <c r="L573" s="55">
        <f>'LATAM INCUMB'!$G$31/'LATAM INCUMB'!$G$29</f>
        <v>0.38036170164883265</v>
      </c>
      <c r="M573" s="55">
        <f t="shared" si="137"/>
        <v>-0.51053064196453646</v>
      </c>
      <c r="N573" s="56"/>
      <c r="O573" s="55">
        <f>'LATAM INCUMB'!$D$31/'LATAM INCUMB'!$D$30</f>
        <v>0.54572768207621503</v>
      </c>
      <c r="P573" s="55">
        <f>'LATAM INCUMB'!$E$31/'LATAM INCUMB'!$E$30</f>
        <v>0.43986707841271733</v>
      </c>
      <c r="Q573" s="55">
        <f>'LATAM INCUMB'!$F$31/'LATAM INCUMB'!$F$30</f>
        <v>0.38231012243364187</v>
      </c>
      <c r="R573" s="55">
        <f>'LATAM INCUMB'!$G$31/'LATAM INCUMB'!$G$30</f>
        <v>0.34151704705853075</v>
      </c>
      <c r="S573" s="55">
        <f t="shared" si="138"/>
        <v>-0.20421063501768427</v>
      </c>
      <c r="T573" s="46"/>
      <c r="U573" s="57"/>
      <c r="V573" s="58" t="str">
        <f>V511</f>
        <v>Agg. LatAm Incumbent</v>
      </c>
      <c r="W573" s="68"/>
      <c r="Z573" s="49"/>
    </row>
    <row r="574" spans="1:69">
      <c r="C574" s="48"/>
      <c r="D574" s="44"/>
      <c r="E574" s="44"/>
      <c r="F574" s="45"/>
      <c r="G574" s="44"/>
      <c r="H574" s="46"/>
      <c r="I574" s="45"/>
      <c r="J574" s="45"/>
      <c r="K574" s="45"/>
      <c r="L574" s="45"/>
      <c r="M574" s="45"/>
      <c r="N574" s="56"/>
      <c r="O574" s="45"/>
      <c r="P574" s="45"/>
      <c r="Q574" s="45"/>
      <c r="R574" s="45"/>
      <c r="S574" s="45"/>
      <c r="T574" s="46"/>
      <c r="U574" s="48"/>
      <c r="V574" s="50"/>
      <c r="Z574" s="49"/>
    </row>
    <row r="575" spans="1:69">
      <c r="A575" s="5"/>
      <c r="C575" s="48" t="str">
        <f t="shared" ref="C575:G579" si="140">C513</f>
        <v>China Telecom</v>
      </c>
      <c r="D575" s="44" t="str">
        <f t="shared" si="140"/>
        <v>HKD 4.44</v>
      </c>
      <c r="E575" s="44" t="str">
        <f t="shared" si="140"/>
        <v>HKD 8.75</v>
      </c>
      <c r="F575" s="45">
        <f t="shared" si="140"/>
        <v>0.97072072072072046</v>
      </c>
      <c r="G575" s="44" t="str">
        <f t="shared" si="140"/>
        <v>Buy</v>
      </c>
      <c r="H575" s="46"/>
      <c r="I575" s="45">
        <f>_CT!$D$31/_CT!$D$29</f>
        <v>0.73485424429215873</v>
      </c>
      <c r="J575" s="45">
        <f>_CT!$E$31/_CT!$E$29</f>
        <v>0.63649709782057051</v>
      </c>
      <c r="K575" s="45">
        <f>_CT!$F$31/_CT!$F$29</f>
        <v>0.65300476904868221</v>
      </c>
      <c r="L575" s="45">
        <f>_CT!$G$31/_CT!$G$29</f>
        <v>0.68340141731635895</v>
      </c>
      <c r="M575" s="45">
        <f t="shared" ref="M575:M580" si="141">L575-I575</f>
        <v>-5.1452826975799781E-2</v>
      </c>
      <c r="N575" s="56"/>
      <c r="O575" s="169">
        <f>_CT!$D$31/_CT!$D$30</f>
        <v>0.7569053452984783</v>
      </c>
      <c r="P575" s="169">
        <f>_CT!$E$31/_CT!$E$30</f>
        <v>0.75943417411047232</v>
      </c>
      <c r="Q575" s="169">
        <f>_CT!$F$31/_CT!$F$30</f>
        <v>0.79199961230534965</v>
      </c>
      <c r="R575" s="169">
        <f>_CT!$G$31/_CT!$G$30</f>
        <v>0.84249129258572752</v>
      </c>
      <c r="S575" s="169">
        <f t="shared" ref="S575:S580" si="142">R575-O575</f>
        <v>8.558594728724922E-2</v>
      </c>
      <c r="T575" s="46"/>
      <c r="U575" s="48" t="str">
        <f t="shared" ref="U575:V579" si="143">U513</f>
        <v>HKD 4.44</v>
      </c>
      <c r="V575" s="44" t="str">
        <f t="shared" si="143"/>
        <v>China Telecom</v>
      </c>
      <c r="Z575" s="49"/>
    </row>
    <row r="576" spans="1:69">
      <c r="A576" s="5"/>
      <c r="C576" s="48" t="str">
        <f t="shared" si="140"/>
        <v>China Unicom</v>
      </c>
      <c r="D576" s="44" t="str">
        <f t="shared" si="140"/>
        <v>HKD 6.20</v>
      </c>
      <c r="E576" s="44" t="str">
        <f t="shared" si="140"/>
        <v>HKD 13.20</v>
      </c>
      <c r="F576" s="45">
        <f t="shared" si="140"/>
        <v>1.129032258064516</v>
      </c>
      <c r="G576" s="44" t="str">
        <f t="shared" si="140"/>
        <v>Buy</v>
      </c>
      <c r="H576" s="46"/>
      <c r="I576" s="45">
        <f>_CU!$D$31/_CU!$D$29</f>
        <v>0.36287935108683222</v>
      </c>
      <c r="J576" s="45">
        <f>_CU!$E$31/_CU!$E$29</f>
        <v>0.34683125352717109</v>
      </c>
      <c r="K576" s="45">
        <f>_CU!$F$31/_CU!$F$29</f>
        <v>0.41798798186481895</v>
      </c>
      <c r="L576" s="45">
        <f>_CU!$G$31/_CU!$G$29</f>
        <v>0.491500352273397</v>
      </c>
      <c r="M576" s="45">
        <f t="shared" si="141"/>
        <v>0.12862100118656478</v>
      </c>
      <c r="N576" s="56"/>
      <c r="O576" s="169">
        <f>_CU!$D$31/_CU!$D$30</f>
        <v>0.59743677814114549</v>
      </c>
      <c r="P576" s="169">
        <f>_CU!$E$31/_CU!$E$30</f>
        <v>0.67014271654843516</v>
      </c>
      <c r="Q576" s="169">
        <f>_CU!$F$31/_CU!$F$30</f>
        <v>0.95966528277456231</v>
      </c>
      <c r="R576" s="169">
        <f>_CU!$G$31/_CU!$G$30</f>
        <v>1.0383409915694295</v>
      </c>
      <c r="S576" s="169">
        <f t="shared" si="142"/>
        <v>0.44090421342828401</v>
      </c>
      <c r="T576" s="46"/>
      <c r="U576" s="48" t="str">
        <f t="shared" si="143"/>
        <v>HKD 6.20</v>
      </c>
      <c r="V576" s="44" t="str">
        <f t="shared" si="143"/>
        <v>China Unicom</v>
      </c>
      <c r="Z576" s="49"/>
    </row>
    <row r="577" spans="1:29">
      <c r="C577" s="48" t="str">
        <f t="shared" si="140"/>
        <v>Chunghwa Telecom</v>
      </c>
      <c r="D577" s="44" t="str">
        <f t="shared" si="140"/>
        <v>TWD 127.00</v>
      </c>
      <c r="E577" s="44" t="str">
        <f t="shared" si="140"/>
        <v>TWD n/r</v>
      </c>
      <c r="F577" s="45" t="str">
        <f t="shared" si="140"/>
        <v>-</v>
      </c>
      <c r="G577" s="44" t="str">
        <f t="shared" si="140"/>
        <v>n/r</v>
      </c>
      <c r="H577" s="46"/>
      <c r="I577" s="45">
        <f>CHUNG!$D$31/CHUNG!$D$29</f>
        <v>0.84465385215624533</v>
      </c>
      <c r="J577" s="45">
        <f>CHUNG!$E$31/CHUNG!$E$29</f>
        <v>0.79628830853752219</v>
      </c>
      <c r="K577" s="45">
        <f>CHUNG!$F$31/CHUNG!$F$29</f>
        <v>0.79463810742574048</v>
      </c>
      <c r="L577" s="45">
        <f>CHUNG!$G$31/CHUNG!$G$29</f>
        <v>0.82845718368406351</v>
      </c>
      <c r="M577" s="45">
        <f t="shared" si="141"/>
        <v>-1.6196668472181819E-2</v>
      </c>
      <c r="N577" s="56"/>
      <c r="O577" s="45">
        <f>CHUNG!$D$31/CHUNG!$D$30</f>
        <v>1.0319311379732297</v>
      </c>
      <c r="P577" s="45">
        <f>CHUNG!$E$31/CHUNG!$E$30</f>
        <v>1.0315433933448428</v>
      </c>
      <c r="Q577" s="45">
        <f>CHUNG!$F$31/CHUNG!$F$30</f>
        <v>1.0309610845851627</v>
      </c>
      <c r="R577" s="45">
        <f>CHUNG!$G$31/CHUNG!$G$30</f>
        <v>1.0303855316312986</v>
      </c>
      <c r="S577" s="45">
        <f t="shared" si="142"/>
        <v>-1.5456063419310162E-3</v>
      </c>
      <c r="T577" s="46"/>
      <c r="U577" s="48" t="str">
        <f t="shared" si="143"/>
        <v>TWD 127.00</v>
      </c>
      <c r="V577" s="44" t="str">
        <f t="shared" si="143"/>
        <v>Chunghwa Telecom</v>
      </c>
      <c r="Z577" s="49"/>
    </row>
    <row r="578" spans="1:29">
      <c r="C578" s="48" t="str">
        <f t="shared" si="140"/>
        <v>KT Corp</v>
      </c>
      <c r="D578" s="44" t="str">
        <f t="shared" si="140"/>
        <v>KRW 36,350</v>
      </c>
      <c r="E578" s="44" t="str">
        <f t="shared" si="140"/>
        <v>KRW 70,000</v>
      </c>
      <c r="F578" s="45">
        <f t="shared" si="140"/>
        <v>0.92572214580467671</v>
      </c>
      <c r="G578" s="44" t="str">
        <f t="shared" si="140"/>
        <v>Buy</v>
      </c>
      <c r="H578" s="46"/>
      <c r="I578" s="45">
        <f>_KT!$D$31/_KT!$D$29</f>
        <v>0.42230807859763764</v>
      </c>
      <c r="J578" s="45">
        <f>_KT!$E$31/_KT!$E$29</f>
        <v>0.5511961868584252</v>
      </c>
      <c r="K578" s="45">
        <f>_KT!$F$31/_KT!$F$29</f>
        <v>0.39993574616510036</v>
      </c>
      <c r="L578" s="45">
        <f>_KT!$G$31/_KT!$G$29</f>
        <v>0.35653512558490014</v>
      </c>
      <c r="M578" s="45">
        <f t="shared" si="141"/>
        <v>-6.5772953012737501E-2</v>
      </c>
      <c r="N578" s="56"/>
      <c r="O578" s="45">
        <f>_KT!$D$31/_KT!$D$30</f>
        <v>0.4003784417765916</v>
      </c>
      <c r="P578" s="45">
        <f>_KT!$E$31/_KT!$E$30</f>
        <v>0.36431854248359563</v>
      </c>
      <c r="Q578" s="45">
        <f>_KT!$F$31/_KT!$F$30</f>
        <v>0.33987551260293836</v>
      </c>
      <c r="R578" s="45">
        <f>_KT!$G$31/_KT!$G$30</f>
        <v>0.35418729612146532</v>
      </c>
      <c r="S578" s="45">
        <f t="shared" si="142"/>
        <v>-4.6191145655126276E-2</v>
      </c>
      <c r="T578" s="46"/>
      <c r="U578" s="48" t="str">
        <f t="shared" si="143"/>
        <v>KRW 36,350</v>
      </c>
      <c r="V578" s="44" t="str">
        <f t="shared" si="143"/>
        <v>KT Corp</v>
      </c>
      <c r="Z578" s="49"/>
      <c r="AC578" s="63"/>
    </row>
    <row r="579" spans="1:29">
      <c r="C579" s="48" t="str">
        <f t="shared" si="140"/>
        <v>PT Telkom</v>
      </c>
      <c r="D579" s="44" t="str">
        <f t="shared" si="140"/>
        <v>IDR 2,940</v>
      </c>
      <c r="E579" s="44" t="str">
        <f t="shared" si="140"/>
        <v>IDR 5,000</v>
      </c>
      <c r="F579" s="45">
        <f t="shared" si="140"/>
        <v>0.70068027210884343</v>
      </c>
      <c r="G579" s="44" t="str">
        <f t="shared" si="140"/>
        <v>Buy</v>
      </c>
      <c r="H579" s="46"/>
      <c r="I579" s="45">
        <f>PTT!$D$31/PTT!$D$29</f>
        <v>0.63447647842451993</v>
      </c>
      <c r="J579" s="45">
        <f>PTT!$E$31/PTT!$E$29</f>
        <v>0.66651552259616698</v>
      </c>
      <c r="K579" s="45">
        <f>PTT!$F$31/PTT!$F$29</f>
        <v>0.71351265570075617</v>
      </c>
      <c r="L579" s="45">
        <f>PTT!$G$31/PTT!$G$29</f>
        <v>0.74278641248554789</v>
      </c>
      <c r="M579" s="45">
        <f t="shared" si="141"/>
        <v>0.10830993406102796</v>
      </c>
      <c r="N579" s="56"/>
      <c r="O579" s="169">
        <f>PTT!$D$31/PTT!$D$30</f>
        <v>0.7047108904471544</v>
      </c>
      <c r="P579" s="169">
        <f>PTT!$E$31/PTT!$E$30</f>
        <v>0.80000000000000016</v>
      </c>
      <c r="Q579" s="169">
        <f>PTT!$F$31/PTT!$F$30</f>
        <v>0.80000000000000016</v>
      </c>
      <c r="R579" s="169">
        <f>PTT!$G$31/PTT!$G$30</f>
        <v>0.79999999999999993</v>
      </c>
      <c r="S579" s="169">
        <f t="shared" si="142"/>
        <v>9.528910955284553E-2</v>
      </c>
      <c r="T579" s="46"/>
      <c r="U579" s="48" t="str">
        <f t="shared" si="143"/>
        <v>IDR 2,940</v>
      </c>
      <c r="V579" s="44" t="str">
        <f t="shared" si="143"/>
        <v>PT Telkom</v>
      </c>
      <c r="Z579" s="49"/>
    </row>
    <row r="580" spans="1:29">
      <c r="C580" s="51" t="str">
        <f>C518</f>
        <v>Agg. Emerging Asia Incumbent</v>
      </c>
      <c r="D580" s="52"/>
      <c r="E580" s="52"/>
      <c r="F580" s="53"/>
      <c r="G580" s="52"/>
      <c r="H580" s="46"/>
      <c r="I580" s="55">
        <f>'EM ASIA INCUMB'!$D$31/'EM ASIA INCUMB'!$D$29</f>
        <v>0.58656078048422344</v>
      </c>
      <c r="J580" s="55">
        <f>'EM ASIA INCUMB'!$E$31/'EM ASIA INCUMB'!$E$29</f>
        <v>0.54790407335242231</v>
      </c>
      <c r="K580" s="55">
        <f>'EM ASIA INCUMB'!$F$31/'EM ASIA INCUMB'!$F$29</f>
        <v>0.57500031553954101</v>
      </c>
      <c r="L580" s="55">
        <f>'EM ASIA INCUMB'!$G$31/'EM ASIA INCUMB'!$G$29</f>
        <v>0.6133666044112841</v>
      </c>
      <c r="M580" s="55">
        <f t="shared" si="141"/>
        <v>2.6805823927060657E-2</v>
      </c>
      <c r="N580" s="56"/>
      <c r="O580" s="55">
        <f>'EM ASIA INCUMB'!$D$31/'EM ASIA INCUMB'!$D$30</f>
        <v>0.70757383267250773</v>
      </c>
      <c r="P580" s="55">
        <f>'EM ASIA INCUMB'!$E$31/'EM ASIA INCUMB'!$E$30</f>
        <v>0.73314914946327703</v>
      </c>
      <c r="Q580" s="55">
        <f>'EM ASIA INCUMB'!$F$31/'EM ASIA INCUMB'!$F$30</f>
        <v>0.80229405596931613</v>
      </c>
      <c r="R580" s="55">
        <f>'EM ASIA INCUMB'!$G$31/'EM ASIA INCUMB'!$G$30</f>
        <v>0.84315818926464647</v>
      </c>
      <c r="S580" s="55">
        <f t="shared" si="142"/>
        <v>0.13558435659213874</v>
      </c>
      <c r="T580" s="46"/>
      <c r="U580" s="57"/>
      <c r="V580" s="58" t="str">
        <f>V518</f>
        <v>Agg. Emerging Asia Incumbent</v>
      </c>
      <c r="Z580" s="49"/>
    </row>
    <row r="581" spans="1:29">
      <c r="C581" s="43"/>
      <c r="D581" s="44"/>
      <c r="E581" s="44"/>
      <c r="F581" s="68"/>
      <c r="G581" s="44"/>
      <c r="H581" s="46"/>
      <c r="I581" s="61"/>
      <c r="J581" s="61"/>
      <c r="K581" s="61"/>
      <c r="L581" s="61"/>
      <c r="M581" s="61"/>
      <c r="N581" s="56"/>
      <c r="O581" s="61"/>
      <c r="P581" s="61"/>
      <c r="Q581" s="61"/>
      <c r="R581" s="61"/>
      <c r="S581" s="61"/>
      <c r="T581" s="46"/>
      <c r="U581" s="48"/>
      <c r="V581" s="50"/>
      <c r="Z581" s="49"/>
    </row>
    <row r="582" spans="1:29">
      <c r="C582" s="51" t="str">
        <f>C520</f>
        <v>Agg. Emerging Incumbent</v>
      </c>
      <c r="D582" s="52"/>
      <c r="E582" s="52"/>
      <c r="F582" s="53"/>
      <c r="G582" s="52"/>
      <c r="H582" s="46"/>
      <c r="I582" s="55">
        <f>'EM INCUMB'!$D$31/'EM INCUMB'!$D$29</f>
        <v>0.64455315794230339</v>
      </c>
      <c r="J582" s="55">
        <f>'EM INCUMB'!$E$31/'EM INCUMB'!$E$29</f>
        <v>0.5360729455694393</v>
      </c>
      <c r="K582" s="55">
        <f>'EM INCUMB'!$F$31/'EM INCUMB'!$F$29</f>
        <v>0.53346452793261268</v>
      </c>
      <c r="L582" s="55">
        <f>'EM INCUMB'!$G$31/'EM INCUMB'!$G$29</f>
        <v>0.54024992115500903</v>
      </c>
      <c r="M582" s="55">
        <f t="shared" ref="M582" si="144">L582-I582</f>
        <v>-0.10430323678729436</v>
      </c>
      <c r="N582" s="56"/>
      <c r="O582" s="55">
        <f>'EM INCUMB'!$D$31/'EM INCUMB'!$D$30</f>
        <v>0.6558970779685227</v>
      </c>
      <c r="P582" s="55">
        <f>'EM INCUMB'!$E$31/'EM INCUMB'!$E$30</f>
        <v>0.62788978066288126</v>
      </c>
      <c r="Q582" s="55">
        <f>'EM INCUMB'!$F$31/'EM INCUMB'!$F$30</f>
        <v>0.6335414012552254</v>
      </c>
      <c r="R582" s="55">
        <f>'EM INCUMB'!$G$31/'EM INCUMB'!$G$30</f>
        <v>0.6334356615093466</v>
      </c>
      <c r="S582" s="55">
        <f t="shared" ref="S582" si="145">R582-O582</f>
        <v>-2.2461416459176098E-2</v>
      </c>
      <c r="T582" s="46"/>
      <c r="U582" s="57"/>
      <c r="V582" s="58" t="str">
        <f>V520</f>
        <v>Agg. Emerging Incumbent</v>
      </c>
      <c r="Z582" s="49"/>
    </row>
    <row r="583" spans="1:29">
      <c r="C583" s="43"/>
      <c r="D583" s="44"/>
      <c r="E583" s="44"/>
      <c r="F583" s="45"/>
      <c r="G583" s="44"/>
      <c r="H583" s="46"/>
      <c r="I583" s="45"/>
      <c r="J583" s="45"/>
      <c r="K583" s="45"/>
      <c r="L583" s="45"/>
      <c r="M583" s="45"/>
      <c r="N583" s="56"/>
      <c r="O583" s="45"/>
      <c r="P583" s="45"/>
      <c r="Q583" s="45"/>
      <c r="R583" s="45"/>
      <c r="S583" s="45"/>
      <c r="T583" s="46"/>
      <c r="U583" s="48"/>
      <c r="V583" s="50"/>
      <c r="Z583" s="49"/>
    </row>
    <row r="584" spans="1:29">
      <c r="A584" s="41" t="s">
        <v>507</v>
      </c>
      <c r="C584" s="48" t="str">
        <f t="shared" ref="C584:G590" si="146">C522</f>
        <v>Airtel Africa</v>
      </c>
      <c r="D584" s="44" t="str">
        <f t="shared" si="146"/>
        <v>USD 1.21</v>
      </c>
      <c r="E584" s="44" t="str">
        <f t="shared" si="146"/>
        <v>USD 1.50</v>
      </c>
      <c r="F584" s="45">
        <f t="shared" si="146"/>
        <v>0.2396694214876034</v>
      </c>
      <c r="G584" s="44" t="str">
        <f t="shared" si="146"/>
        <v>Buy</v>
      </c>
      <c r="H584" s="46"/>
      <c r="I584" s="45">
        <f>AAF!$D$31/AAF!$D$29</f>
        <v>-0.21120898775131511</v>
      </c>
      <c r="J584" s="45">
        <f>AAF!$E$31/AAF!$E$29</f>
        <v>-0.46435883759278701</v>
      </c>
      <c r="K584" s="45">
        <f>AAF!$F$31/AAF!$F$29</f>
        <v>-0.51202990387000846</v>
      </c>
      <c r="L584" s="45">
        <f>AAF!$G$31/AAF!$G$29</f>
        <v>-0.53604642730424545</v>
      </c>
      <c r="M584" s="45">
        <f t="shared" ref="M584" si="147">L584-I584</f>
        <v>-0.32483743955293032</v>
      </c>
      <c r="N584" s="56"/>
      <c r="O584" s="169">
        <f>AAF!$D$31/AAF!$D$30</f>
        <v>0.43938585813591424</v>
      </c>
      <c r="P584" s="169">
        <f>AAF!$E$31/AAF!$E$30</f>
        <v>-1.8018571190963326</v>
      </c>
      <c r="Q584" s="169">
        <f>AAF!$F$31/AAF!$F$30</f>
        <v>-0.34155897441287869</v>
      </c>
      <c r="R584" s="169">
        <f>AAF!$G$31/AAF!$G$30</f>
        <v>-0.34448813975198622</v>
      </c>
      <c r="S584" s="169">
        <f t="shared" ref="S584" si="148">R584-O584</f>
        <v>-0.78387399788790046</v>
      </c>
      <c r="T584" s="46"/>
      <c r="U584" s="48" t="str">
        <f t="shared" ref="U584:V590" si="149">U522</f>
        <v>USD 1.21</v>
      </c>
      <c r="V584" s="44" t="str">
        <f t="shared" si="149"/>
        <v>Airtel Africa</v>
      </c>
      <c r="Z584" s="49"/>
    </row>
    <row r="585" spans="1:29">
      <c r="A585" s="41"/>
      <c r="C585" s="48" t="str">
        <f t="shared" si="146"/>
        <v>MobileTeleSystems</v>
      </c>
      <c r="D585" s="44" t="str">
        <f t="shared" si="146"/>
        <v>USD 10.00</v>
      </c>
      <c r="E585" s="44" t="str">
        <f t="shared" si="146"/>
        <v>USD 10.10</v>
      </c>
      <c r="F585" s="45">
        <f t="shared" si="146"/>
        <v>1.0000000000000009E-2</v>
      </c>
      <c r="G585" s="44" t="str">
        <f t="shared" si="146"/>
        <v>Buy</v>
      </c>
      <c r="H585" s="46"/>
      <c r="I585" s="45">
        <f>MTS!$D$31/MTS!$D$29</f>
        <v>1.2434890525553088</v>
      </c>
      <c r="J585" s="45">
        <f>MTS!$E$31/MTS!$E$29</f>
        <v>1.1311166676273645</v>
      </c>
      <c r="K585" s="45">
        <f>MTS!$F$31/MTS!$F$29</f>
        <v>1.1962958441078932</v>
      </c>
      <c r="L585" s="45">
        <f>MTS!$G$31/MTS!$G$29</f>
        <v>1.2613749130091283</v>
      </c>
      <c r="M585" s="45">
        <f t="shared" ref="M585:M591" si="150">L585-I585</f>
        <v>1.7885860453819458E-2</v>
      </c>
      <c r="N585" s="56"/>
      <c r="O585" s="169">
        <f>MTS!$D$31/MTS!$D$30</f>
        <v>0.98986949950665648</v>
      </c>
      <c r="P585" s="169">
        <f>MTS!$E$31/MTS!$E$30</f>
        <v>1.0167570738835341</v>
      </c>
      <c r="Q585" s="169">
        <f>MTS!$F$31/MTS!$F$30</f>
        <v>1.0098924181427213</v>
      </c>
      <c r="R585" s="169">
        <f>MTS!$G$31/MTS!$G$30</f>
        <v>1.0151847754701082</v>
      </c>
      <c r="S585" s="169">
        <f t="shared" ref="S585:S591" si="151">R585-O585</f>
        <v>2.5315275963451733E-2</v>
      </c>
      <c r="T585" s="46"/>
      <c r="U585" s="48" t="str">
        <f t="shared" si="149"/>
        <v>USD 10.00</v>
      </c>
      <c r="V585" s="44" t="str">
        <f t="shared" si="149"/>
        <v>MobileTeleSystems</v>
      </c>
      <c r="Z585" s="49"/>
    </row>
    <row r="586" spans="1:29">
      <c r="C586" s="48" t="str">
        <f t="shared" si="146"/>
        <v>MTN</v>
      </c>
      <c r="D586" s="44" t="str">
        <f t="shared" si="146"/>
        <v>ZAR 86.08</v>
      </c>
      <c r="E586" s="44" t="str">
        <f t="shared" si="146"/>
        <v>ZAR 130.00</v>
      </c>
      <c r="F586" s="45">
        <f t="shared" si="146"/>
        <v>0.5102230483271375</v>
      </c>
      <c r="G586" s="44" t="str">
        <f t="shared" si="146"/>
        <v>Buy</v>
      </c>
      <c r="H586" s="46"/>
      <c r="I586" s="45">
        <f>MTN!$D$31/MTN!$D$29</f>
        <v>-1.8838670744002488</v>
      </c>
      <c r="J586" s="45">
        <f>MTN!$E$31/MTN!$E$29</f>
        <v>-0.77232012244170889</v>
      </c>
      <c r="K586" s="45">
        <f>MTN!$F$31/MTN!$F$29</f>
        <v>8.7398841795174498</v>
      </c>
      <c r="L586" s="45">
        <f>MTN!$G$31/MTN!$G$29</f>
        <v>3.9553381406924948</v>
      </c>
      <c r="M586" s="45">
        <f t="shared" si="150"/>
        <v>5.8392052150927434</v>
      </c>
      <c r="N586" s="56"/>
      <c r="O586" s="169">
        <f>MTN!$D$31/MTN!$D$30</f>
        <v>0.24952532343117961</v>
      </c>
      <c r="P586" s="169">
        <f>MTN!$E$31/MTN!$E$30</f>
        <v>0.68110795337669117</v>
      </c>
      <c r="Q586" s="169">
        <f>MTN!$F$31/MTN!$F$30</f>
        <v>0.58179169635867622</v>
      </c>
      <c r="R586" s="169">
        <f>MTN!$G$31/MTN!$G$30</f>
        <v>0.45029213665633588</v>
      </c>
      <c r="S586" s="169">
        <f t="shared" si="151"/>
        <v>0.20076681322515627</v>
      </c>
      <c r="T586" s="46"/>
      <c r="U586" s="48" t="str">
        <f t="shared" si="149"/>
        <v>ZAR 86.08</v>
      </c>
      <c r="V586" s="44" t="str">
        <f t="shared" si="149"/>
        <v>MTN</v>
      </c>
      <c r="Z586" s="49"/>
    </row>
    <row r="587" spans="1:29">
      <c r="C587" s="48" t="str">
        <f t="shared" si="146"/>
        <v>Safaricom</v>
      </c>
      <c r="D587" s="44" t="str">
        <f t="shared" si="146"/>
        <v>KES 17.75</v>
      </c>
      <c r="E587" s="44" t="str">
        <f t="shared" si="146"/>
        <v>KES 17.0</v>
      </c>
      <c r="F587" s="45">
        <f t="shared" si="146"/>
        <v>-4.2253521126760618E-2</v>
      </c>
      <c r="G587" s="44" t="str">
        <f t="shared" si="146"/>
        <v>Neutral</v>
      </c>
      <c r="H587" s="46"/>
      <c r="I587" s="45">
        <f>SAF!$D$31/SAF!$D$29</f>
        <v>0.7392102439908228</v>
      </c>
      <c r="J587" s="45">
        <f>SAF!$E$31/SAF!$E$29</f>
        <v>1.2440241051705829</v>
      </c>
      <c r="K587" s="45">
        <f>SAF!$F$31/SAF!$F$29</f>
        <v>0.86305688411016201</v>
      </c>
      <c r="L587" s="45">
        <f>SAF!$G$31/SAF!$G$29</f>
        <v>0.74619763325927113</v>
      </c>
      <c r="M587" s="45">
        <f t="shared" si="150"/>
        <v>6.9873892684483296E-3</v>
      </c>
      <c r="N587" s="56"/>
      <c r="O587" s="169">
        <f>SAF!$D$31/SAF!$D$30</f>
        <v>0.61</v>
      </c>
      <c r="P587" s="169">
        <f>SAF!$E$31/SAF!$E$30</f>
        <v>0.8</v>
      </c>
      <c r="Q587" s="169">
        <f>SAF!$F$31/SAF!$F$30</f>
        <v>0.89999999999999991</v>
      </c>
      <c r="R587" s="169">
        <f>SAF!$G$31/SAF!$G$30</f>
        <v>0.95000000000000007</v>
      </c>
      <c r="S587" s="169">
        <f t="shared" si="151"/>
        <v>0.34000000000000008</v>
      </c>
      <c r="T587" s="46"/>
      <c r="U587" s="48" t="str">
        <f t="shared" si="149"/>
        <v>KES 17.75</v>
      </c>
      <c r="V587" s="44" t="str">
        <f t="shared" si="149"/>
        <v>Safaricom</v>
      </c>
      <c r="Z587" s="49"/>
    </row>
    <row r="588" spans="1:29">
      <c r="C588" s="48" t="str">
        <f t="shared" si="146"/>
        <v>Turkcell</v>
      </c>
      <c r="D588" s="44" t="str">
        <f t="shared" si="146"/>
        <v>USD 91.80</v>
      </c>
      <c r="E588" s="44" t="str">
        <f t="shared" si="146"/>
        <v>USD 16.90</v>
      </c>
      <c r="F588" s="45">
        <f t="shared" si="146"/>
        <v>-0.81590413943355122</v>
      </c>
      <c r="G588" s="44" t="str">
        <f t="shared" si="146"/>
        <v>Buy</v>
      </c>
      <c r="H588" s="46"/>
      <c r="I588" s="45">
        <f>TKC!$D$31/TKC!$D$29</f>
        <v>0.66095370743185822</v>
      </c>
      <c r="J588" s="45">
        <f>TKC!$E$31/TKC!$E$29</f>
        <v>0.6345007796789921</v>
      </c>
      <c r="K588" s="45">
        <f>TKC!$F$31/TKC!$F$29</f>
        <v>0.62163331188591697</v>
      </c>
      <c r="L588" s="45">
        <f>TKC!$G$31/TKC!$G$29</f>
        <v>0.64588613579448972</v>
      </c>
      <c r="M588" s="45">
        <f t="shared" si="150"/>
        <v>-1.5067571637368493E-2</v>
      </c>
      <c r="N588" s="56"/>
      <c r="O588" s="169">
        <f>TKC!$D$31/TKC!$D$30</f>
        <v>0.66978977405741491</v>
      </c>
      <c r="P588" s="169">
        <f>TKC!$E$31/TKC!$E$30</f>
        <v>0.67128742582389522</v>
      </c>
      <c r="Q588" s="169">
        <f>TKC!$F$31/TKC!$F$30</f>
        <v>0.67427297666966823</v>
      </c>
      <c r="R588" s="169">
        <f>TKC!$G$31/TKC!$G$30</f>
        <v>0.67810558396462528</v>
      </c>
      <c r="S588" s="169">
        <f t="shared" si="151"/>
        <v>8.3158099072103697E-3</v>
      </c>
      <c r="T588" s="46"/>
      <c r="U588" s="48" t="str">
        <f t="shared" si="149"/>
        <v>USD 91.80</v>
      </c>
      <c r="V588" s="44" t="str">
        <f t="shared" si="149"/>
        <v>Turkcell</v>
      </c>
      <c r="Z588" s="49"/>
    </row>
    <row r="589" spans="1:29">
      <c r="C589" s="48" t="str">
        <f t="shared" si="146"/>
        <v>VEON</v>
      </c>
      <c r="D589" s="44" t="str">
        <f t="shared" si="146"/>
        <v>USD 25.5</v>
      </c>
      <c r="E589" s="44" t="str">
        <f t="shared" si="146"/>
        <v>USD 40.0</v>
      </c>
      <c r="F589" s="45">
        <f t="shared" si="146"/>
        <v>0.56678417547982751</v>
      </c>
      <c r="G589" s="44" t="str">
        <f t="shared" si="146"/>
        <v>Buy</v>
      </c>
      <c r="H589" s="46"/>
      <c r="I589" s="45">
        <f>VIMP!$D$31/VIMP!$D$29</f>
        <v>0</v>
      </c>
      <c r="J589" s="45">
        <f>VIMP!$E$31/VIMP!$E$29</f>
        <v>0.17238923500939776</v>
      </c>
      <c r="K589" s="45">
        <f>VIMP!$F$31/VIMP!$F$29</f>
        <v>0.46671702550849836</v>
      </c>
      <c r="L589" s="45">
        <f>VIMP!$G$31/VIMP!$G$29</f>
        <v>0.45151919893192921</v>
      </c>
      <c r="M589" s="45">
        <f t="shared" si="150"/>
        <v>0.45151919893192921</v>
      </c>
      <c r="N589" s="56"/>
      <c r="O589" s="45">
        <f>VIMP!$D$31/VIMP!$D$30</f>
        <v>0</v>
      </c>
      <c r="P589" s="45">
        <f>VIMP!$E$31/VIMP!$E$30</f>
        <v>0.13207254782140768</v>
      </c>
      <c r="Q589" s="45">
        <f>VIMP!$F$31/VIMP!$F$30</f>
        <v>0.34106341658993844</v>
      </c>
      <c r="R589" s="45">
        <f>VIMP!$G$31/VIMP!$G$30</f>
        <v>0.34088337947800135</v>
      </c>
      <c r="S589" s="45">
        <f t="shared" si="151"/>
        <v>0.34088337947800135</v>
      </c>
      <c r="T589" s="46"/>
      <c r="U589" s="48" t="str">
        <f t="shared" si="149"/>
        <v>USD 25.5</v>
      </c>
      <c r="V589" s="44" t="str">
        <f t="shared" si="149"/>
        <v>Vimpel Com</v>
      </c>
      <c r="Z589" s="49"/>
    </row>
    <row r="590" spans="1:29">
      <c r="C590" s="48" t="str">
        <f t="shared" si="146"/>
        <v>Vodacom</v>
      </c>
      <c r="D590" s="44" t="str">
        <f t="shared" si="146"/>
        <v>ZAR 95.8</v>
      </c>
      <c r="E590" s="44" t="str">
        <f t="shared" si="146"/>
        <v>ZAR 130.0</v>
      </c>
      <c r="F590" s="45">
        <f t="shared" si="146"/>
        <v>0.35685210312075988</v>
      </c>
      <c r="G590" s="44" t="str">
        <f t="shared" si="146"/>
        <v>Neutral</v>
      </c>
      <c r="H590" s="46"/>
      <c r="I590" s="45">
        <f>VODA!$D$31/VODA!$D$29</f>
        <v>0.9829716093885239</v>
      </c>
      <c r="J590" s="45">
        <f>VODA!$E$31/VODA!$E$29</f>
        <v>1.095542168430766</v>
      </c>
      <c r="K590" s="45">
        <f>VODA!$F$31/VODA!$F$29</f>
        <v>1.1498230546796238</v>
      </c>
      <c r="L590" s="45">
        <f>VODA!$G$31/VODA!$G$29</f>
        <v>1.2064323118040643</v>
      </c>
      <c r="M590" s="45">
        <f t="shared" si="150"/>
        <v>0.22346070241554039</v>
      </c>
      <c r="N590" s="56"/>
      <c r="O590" s="45">
        <f>VODA!$D$31/VODA!$D$30</f>
        <v>0.75557191833040105</v>
      </c>
      <c r="P590" s="45">
        <f>VODA!$E$31/VODA!$E$30</f>
        <v>0.74887514498740793</v>
      </c>
      <c r="Q590" s="45">
        <f>VODA!$F$31/VODA!$F$30</f>
        <v>0.77584693715706399</v>
      </c>
      <c r="R590" s="45">
        <f>VODA!$G$31/VODA!$G$30</f>
        <v>0.79645756584863003</v>
      </c>
      <c r="S590" s="45">
        <f t="shared" si="151"/>
        <v>4.0885647518228985E-2</v>
      </c>
      <c r="T590" s="46"/>
      <c r="U590" s="48" t="str">
        <f t="shared" si="149"/>
        <v>ZAR 95.8</v>
      </c>
      <c r="V590" s="44" t="str">
        <f t="shared" si="149"/>
        <v>Vodacom</v>
      </c>
      <c r="Z590" s="49"/>
    </row>
    <row r="591" spans="1:29">
      <c r="C591" s="51" t="str">
        <f>C529</f>
        <v>Agg. EMEA Cellular</v>
      </c>
      <c r="D591" s="52"/>
      <c r="E591" s="52"/>
      <c r="F591" s="53"/>
      <c r="G591" s="52"/>
      <c r="H591" s="46"/>
      <c r="I591" s="55">
        <f>'EMEA CELLULAR'!$D$31/'EMEA CELLULAR'!$D$29</f>
        <v>0.66646495357608038</v>
      </c>
      <c r="J591" s="55">
        <f>'EMEA CELLULAR'!$E$31/'EMEA CELLULAR'!$E$29</f>
        <v>0.98055252685916661</v>
      </c>
      <c r="K591" s="55">
        <f>'EMEA CELLULAR'!$F$31/'EMEA CELLULAR'!$F$29</f>
        <v>0.8225795047533091</v>
      </c>
      <c r="L591" s="55">
        <f>'EMEA CELLULAR'!$G$31/'EMEA CELLULAR'!$G$29</f>
        <v>0.80076262408893306</v>
      </c>
      <c r="M591" s="55">
        <f t="shared" si="150"/>
        <v>0.13429767051285268</v>
      </c>
      <c r="N591" s="56"/>
      <c r="O591" s="55">
        <f>'EMEA CELLULAR'!$D$31/'EMEA CELLULAR'!$D$30</f>
        <v>0.55344104120473225</v>
      </c>
      <c r="P591" s="55">
        <f>'EMEA CELLULAR'!$E$31/'EMEA CELLULAR'!$E$30</f>
        <v>0.60252700294112871</v>
      </c>
      <c r="Q591" s="55">
        <f>'EMEA CELLULAR'!$F$31/'EMEA CELLULAR'!$F$30</f>
        <v>0.55002208448056</v>
      </c>
      <c r="R591" s="55">
        <f>'EMEA CELLULAR'!$G$31/'EMEA CELLULAR'!$G$30</f>
        <v>0.53132178123131035</v>
      </c>
      <c r="S591" s="55">
        <f t="shared" si="151"/>
        <v>-2.2119259973421901E-2</v>
      </c>
      <c r="T591" s="46"/>
      <c r="U591" s="57"/>
      <c r="V591" s="58" t="str">
        <f>V529</f>
        <v>Agg. EMEA Cellular</v>
      </c>
      <c r="Z591" s="49"/>
    </row>
    <row r="592" spans="1:29">
      <c r="A592" s="5"/>
      <c r="C592" s="43"/>
      <c r="D592" s="44"/>
      <c r="E592" s="44"/>
      <c r="F592" s="45"/>
      <c r="G592" s="44"/>
      <c r="H592" s="46"/>
      <c r="I592" s="45"/>
      <c r="J592" s="45"/>
      <c r="K592" s="45"/>
      <c r="L592" s="45"/>
      <c r="M592" s="45"/>
      <c r="N592" s="56"/>
      <c r="O592" s="45"/>
      <c r="P592" s="45"/>
      <c r="Q592" s="45"/>
      <c r="R592" s="45"/>
      <c r="S592" s="45"/>
      <c r="T592" s="46"/>
      <c r="U592" s="48"/>
      <c r="V592" s="50"/>
      <c r="Z592" s="49"/>
    </row>
    <row r="593" spans="1:26">
      <c r="A593" s="5"/>
      <c r="C593" s="48" t="str">
        <f t="shared" ref="C593:G595" si="152">C531</f>
        <v>Entel</v>
      </c>
      <c r="D593" s="44" t="str">
        <f t="shared" si="152"/>
        <v>CLP 3,022</v>
      </c>
      <c r="E593" s="44" t="str">
        <f t="shared" si="152"/>
        <v>CLP 3,150</v>
      </c>
      <c r="F593" s="45">
        <f t="shared" si="152"/>
        <v>4.2356055592323028E-2</v>
      </c>
      <c r="G593" s="44" t="str">
        <f t="shared" si="152"/>
        <v>Neutral</v>
      </c>
      <c r="H593" s="46"/>
      <c r="I593" s="45">
        <f>ENTEL!$D$31/ENTEL!$D$29</f>
        <v>0.22058081733723028</v>
      </c>
      <c r="J593" s="45">
        <f>ENTEL!$E$31/ENTEL!$E$29</f>
        <v>0.18058211086869144</v>
      </c>
      <c r="K593" s="45">
        <f>ENTEL!$F$31/ENTEL!$F$29</f>
        <v>0.15209447634099585</v>
      </c>
      <c r="L593" s="45">
        <f>ENTEL!$G$31/ENTEL!$G$29</f>
        <v>0.14227746838000557</v>
      </c>
      <c r="M593" s="45">
        <f>L593-I593</f>
        <v>-7.8303348957224711E-2</v>
      </c>
      <c r="N593" s="56"/>
      <c r="O593" s="169">
        <f>ENTEL!$D$31/ENTEL!$D$30</f>
        <v>0.1566505638495283</v>
      </c>
      <c r="P593" s="169">
        <f>ENTEL!$E$31/ENTEL!$E$30</f>
        <v>0.14573439124846355</v>
      </c>
      <c r="Q593" s="169">
        <f>ENTEL!$F$31/ENTEL!$F$30</f>
        <v>0.1372988943236895</v>
      </c>
      <c r="R593" s="169">
        <f>ENTEL!$G$31/ENTEL!$G$30</f>
        <v>0.13332904150416061</v>
      </c>
      <c r="S593" s="169">
        <f>R593-O593</f>
        <v>-2.332152234536769E-2</v>
      </c>
      <c r="T593" s="46"/>
      <c r="U593" s="48" t="str">
        <f t="shared" ref="U593:V595" si="153">U531</f>
        <v>CLP 3,022</v>
      </c>
      <c r="V593" s="44" t="str">
        <f t="shared" si="153"/>
        <v>Entel</v>
      </c>
      <c r="Z593" s="49"/>
    </row>
    <row r="594" spans="1:26">
      <c r="A594" s="5"/>
      <c r="C594" s="48" t="str">
        <f t="shared" si="152"/>
        <v>Millicom</v>
      </c>
      <c r="D594" s="44" t="str">
        <f t="shared" si="152"/>
        <v>USD  24.1</v>
      </c>
      <c r="E594" s="44" t="str">
        <f t="shared" si="152"/>
        <v>USD 18.0</v>
      </c>
      <c r="F594" s="45">
        <f t="shared" si="152"/>
        <v>-0.25280199252801994</v>
      </c>
      <c r="G594" s="44" t="str">
        <f t="shared" si="152"/>
        <v>Neutral</v>
      </c>
      <c r="H594" s="46"/>
      <c r="I594" s="45">
        <f>MILLI!$D$31/MILLI!$D$29</f>
        <v>0</v>
      </c>
      <c r="J594" s="45">
        <f>MILLI!$E$31/MILLI!$E$29</f>
        <v>0</v>
      </c>
      <c r="K594" s="45">
        <f>MILLI!$F$31/MILLI!$F$29</f>
        <v>0</v>
      </c>
      <c r="L594" s="45">
        <f>MILLI!$G$31/MILLI!$G$29</f>
        <v>0</v>
      </c>
      <c r="M594" s="45">
        <f>L594-I594</f>
        <v>0</v>
      </c>
      <c r="N594" s="56"/>
      <c r="O594" s="169">
        <f>MILLI!$D$31/MILLI!$D$30</f>
        <v>0</v>
      </c>
      <c r="P594" s="169">
        <f>MILLI!$E$31/MILLI!$E$30</f>
        <v>0</v>
      </c>
      <c r="Q594" s="169">
        <f>MILLI!$F$31/MILLI!$F$30</f>
        <v>0</v>
      </c>
      <c r="R594" s="169">
        <f>MILLI!$G$31/MILLI!$G$30</f>
        <v>0</v>
      </c>
      <c r="S594" s="169">
        <f>R594-O594</f>
        <v>0</v>
      </c>
      <c r="T594" s="46"/>
      <c r="U594" s="48" t="str">
        <f t="shared" si="153"/>
        <v>USD  24.1</v>
      </c>
      <c r="V594" s="44" t="str">
        <f t="shared" si="153"/>
        <v>Millicom</v>
      </c>
      <c r="Z594" s="49"/>
    </row>
    <row r="595" spans="1:26">
      <c r="A595" s="5"/>
      <c r="C595" s="48" t="str">
        <f t="shared" si="152"/>
        <v>TIM Participacoes</v>
      </c>
      <c r="D595" s="44" t="str">
        <f t="shared" si="152"/>
        <v>BRL 16.42</v>
      </c>
      <c r="E595" s="44" t="str">
        <f t="shared" si="152"/>
        <v>BRL 23.00</v>
      </c>
      <c r="F595" s="45">
        <f t="shared" si="152"/>
        <v>0.40073081607795347</v>
      </c>
      <c r="G595" s="44" t="str">
        <f t="shared" si="152"/>
        <v>Buy</v>
      </c>
      <c r="H595" s="46"/>
      <c r="I595" s="45">
        <f>TIMP!$D$31/TIMP!$D$29</f>
        <v>0.56614684447095953</v>
      </c>
      <c r="J595" s="45">
        <f>TIMP!$E$31/TIMP!$E$29</f>
        <v>0.60719791399986289</v>
      </c>
      <c r="K595" s="45">
        <f>TIMP!$F$31/TIMP!$F$29</f>
        <v>0.57370694509493292</v>
      </c>
      <c r="L595" s="45">
        <f>TIMP!$G$31/TIMP!$G$29</f>
        <v>0.56023490696130662</v>
      </c>
      <c r="M595" s="45">
        <f>L595-I595</f>
        <v>-5.9119375096529092E-3</v>
      </c>
      <c r="N595" s="56"/>
      <c r="O595" s="45">
        <f>TIMP!$D$31/TIMP!$D$30</f>
        <v>0.79200981603984411</v>
      </c>
      <c r="P595" s="45">
        <f>TIMP!$E$31/TIMP!$E$30</f>
        <v>0.7652637691944193</v>
      </c>
      <c r="Q595" s="45">
        <f>TIMP!$F$31/TIMP!$F$30</f>
        <v>0.65432533796367509</v>
      </c>
      <c r="R595" s="45">
        <f>TIMP!$G$31/TIMP!$G$30</f>
        <v>0.5765218369047922</v>
      </c>
      <c r="S595" s="45">
        <f>R595-O595</f>
        <v>-0.21548797913505191</v>
      </c>
      <c r="T595" s="46"/>
      <c r="U595" s="48" t="str">
        <f t="shared" si="153"/>
        <v>BRL 16.42</v>
      </c>
      <c r="V595" s="44" t="str">
        <f t="shared" si="153"/>
        <v>TIM Participacoes</v>
      </c>
      <c r="Z595" s="49"/>
    </row>
    <row r="596" spans="1:26">
      <c r="A596" s="5"/>
      <c r="C596" s="51" t="str">
        <f>C534</f>
        <v>Agg. LatAm Cellular</v>
      </c>
      <c r="D596" s="52"/>
      <c r="E596" s="52"/>
      <c r="F596" s="53"/>
      <c r="G596" s="52"/>
      <c r="H596" s="46"/>
      <c r="I596" s="55">
        <f>'LATAM CELLULAR'!$D$31/'LATAM CELLULAR'!$D$29</f>
        <v>0.35102265274711397</v>
      </c>
      <c r="J596" s="55">
        <f>'LATAM CELLULAR'!$E$31/'LATAM CELLULAR'!$E$29</f>
        <v>0.3806830741352234</v>
      </c>
      <c r="K596" s="55">
        <f>'LATAM CELLULAR'!$F$31/'LATAM CELLULAR'!$F$29</f>
        <v>0.35990941341841803</v>
      </c>
      <c r="L596" s="55">
        <f>'LATAM CELLULAR'!$G$31/'LATAM CELLULAR'!$G$29</f>
        <v>0.34646329449020286</v>
      </c>
      <c r="M596" s="55">
        <f>L596-I596</f>
        <v>-4.5593582569111168E-3</v>
      </c>
      <c r="N596" s="56"/>
      <c r="O596" s="55">
        <f>'LATAM CELLULAR'!$D$31/'LATAM CELLULAR'!$D$30</f>
        <v>0.42507126928494982</v>
      </c>
      <c r="P596" s="55">
        <f>'LATAM CELLULAR'!$E$31/'LATAM CELLULAR'!$E$30</f>
        <v>0.45797441896967389</v>
      </c>
      <c r="Q596" s="55">
        <f>'LATAM CELLULAR'!$F$31/'LATAM CELLULAR'!$F$30</f>
        <v>0.40161342350389634</v>
      </c>
      <c r="R596" s="55">
        <f>'LATAM CELLULAR'!$G$31/'LATAM CELLULAR'!$G$30</f>
        <v>0.36516303524738125</v>
      </c>
      <c r="S596" s="55">
        <f>R596-O596</f>
        <v>-5.9908234037568564E-2</v>
      </c>
      <c r="T596" s="46"/>
      <c r="U596" s="57"/>
      <c r="V596" s="58" t="str">
        <f>V534</f>
        <v>Agg. LatAm Cellular</v>
      </c>
      <c r="Z596" s="49"/>
    </row>
    <row r="597" spans="1:26">
      <c r="C597" s="43"/>
      <c r="D597" s="44"/>
      <c r="E597" s="44"/>
      <c r="F597" s="45"/>
      <c r="G597" s="44"/>
      <c r="H597" s="46"/>
      <c r="I597" s="45"/>
      <c r="J597" s="45"/>
      <c r="K597" s="45"/>
      <c r="L597" s="45"/>
      <c r="M597" s="45"/>
      <c r="N597" s="46"/>
      <c r="O597" s="45"/>
      <c r="P597" s="45"/>
      <c r="Q597" s="45"/>
      <c r="R597" s="45"/>
      <c r="S597" s="45"/>
      <c r="T597" s="46"/>
      <c r="U597" s="48"/>
      <c r="V597" s="50"/>
      <c r="Z597" s="49"/>
    </row>
    <row r="598" spans="1:26">
      <c r="A598" s="5"/>
      <c r="C598" s="48" t="str">
        <f t="shared" ref="C598:G611" si="154">C536</f>
        <v>AIS</v>
      </c>
      <c r="D598" s="44" t="str">
        <f t="shared" si="154"/>
        <v>THB 207.0</v>
      </c>
      <c r="E598" s="44" t="str">
        <f t="shared" si="154"/>
        <v>THB 300.0</v>
      </c>
      <c r="F598" s="45">
        <f t="shared" si="154"/>
        <v>0.44927536231884058</v>
      </c>
      <c r="G598" s="44" t="str">
        <f t="shared" si="154"/>
        <v>Buy</v>
      </c>
      <c r="H598" s="46"/>
      <c r="I598" s="45">
        <f>ADVANCED!$D$31/ADVANCED!$D$29</f>
        <v>0.59233708852853406</v>
      </c>
      <c r="J598" s="45">
        <f>ADVANCED!$E$31/ADVANCED!$E$29</f>
        <v>0.4492906674716447</v>
      </c>
      <c r="K598" s="45">
        <f>ADVANCED!$F$31/ADVANCED!$F$29</f>
        <v>0.57405988886021908</v>
      </c>
      <c r="L598" s="45">
        <f>ADVANCED!$G$31/ADVANCED!$G$29</f>
        <v>0.68674916309676992</v>
      </c>
      <c r="M598" s="45">
        <f t="shared" ref="M598:M612" si="155">L598-I598</f>
        <v>9.441207456823586E-2</v>
      </c>
      <c r="N598" s="46"/>
      <c r="O598" s="45">
        <f>ADVANCED!$D$31/ADVANCED!$D$30</f>
        <v>0.88560149741438698</v>
      </c>
      <c r="P598" s="45">
        <f>ADVANCED!$E$31/ADVANCED!$E$30</f>
        <v>0.92170883788171032</v>
      </c>
      <c r="Q598" s="45">
        <f>ADVANCED!$F$31/ADVANCED!$F$30</f>
        <v>0.91017453858230513</v>
      </c>
      <c r="R598" s="45">
        <f>ADVANCED!$G$31/ADVANCED!$G$30</f>
        <v>0.90559602573257902</v>
      </c>
      <c r="S598" s="45">
        <f t="shared" ref="S598:S612" si="156">R598-O598</f>
        <v>1.999452831819204E-2</v>
      </c>
      <c r="T598" s="46"/>
      <c r="U598" s="48" t="str">
        <f t="shared" ref="U598:V611" si="157">U536</f>
        <v>THB 207.0</v>
      </c>
      <c r="V598" s="44" t="str">
        <f t="shared" si="157"/>
        <v>AIS</v>
      </c>
      <c r="Z598" s="49"/>
    </row>
    <row r="599" spans="1:26">
      <c r="C599" s="48" t="str">
        <f t="shared" si="154"/>
        <v>Axiata</v>
      </c>
      <c r="D599" s="44" t="str">
        <f t="shared" si="154"/>
        <v>MYR 2.87</v>
      </c>
      <c r="E599" s="44" t="str">
        <f t="shared" si="154"/>
        <v>MYR 4.50</v>
      </c>
      <c r="F599" s="45">
        <f t="shared" si="154"/>
        <v>0.56794425087108014</v>
      </c>
      <c r="G599" s="44" t="str">
        <f t="shared" si="154"/>
        <v>Buy</v>
      </c>
      <c r="H599" s="46"/>
      <c r="I599" s="45">
        <f>AXI!$D$31/AXI!$D$29</f>
        <v>0.24372591998673007</v>
      </c>
      <c r="J599" s="45">
        <f>AXI!$E$31/AXI!$E$29</f>
        <v>0.22496023013640637</v>
      </c>
      <c r="K599" s="45">
        <f>AXI!$F$31/AXI!$F$29</f>
        <v>0.23051260030965898</v>
      </c>
      <c r="L599" s="45">
        <f>AXI!$G$31/AXI!$G$29</f>
        <v>0.22499228733974169</v>
      </c>
      <c r="M599" s="45">
        <f t="shared" si="155"/>
        <v>-1.873363264698838E-2</v>
      </c>
      <c r="N599" s="46"/>
      <c r="O599" s="45">
        <f>AXI!$D$31/AXI!$D$30</f>
        <v>0.44769155280845302</v>
      </c>
      <c r="P599" s="45">
        <f>AXI!$E$31/AXI!$E$30</f>
        <v>0.29057967829749715</v>
      </c>
      <c r="Q599" s="45">
        <f>AXI!$F$31/AXI!$F$30</f>
        <v>0.27607292700867697</v>
      </c>
      <c r="R599" s="45">
        <f>AXI!$G$31/AXI!$G$30</f>
        <v>0.2702344275584701</v>
      </c>
      <c r="S599" s="45">
        <f t="shared" si="156"/>
        <v>-0.17745712524998292</v>
      </c>
      <c r="T599" s="46"/>
      <c r="U599" s="48" t="str">
        <f t="shared" si="157"/>
        <v>MYR 2.87</v>
      </c>
      <c r="V599" s="44" t="str">
        <f t="shared" si="157"/>
        <v>Axiata</v>
      </c>
      <c r="Z599" s="49"/>
    </row>
    <row r="600" spans="1:26">
      <c r="C600" s="48" t="str">
        <f t="shared" si="154"/>
        <v>Bharti Airtel</v>
      </c>
      <c r="D600" s="44" t="str">
        <f t="shared" si="154"/>
        <v>INR 1389</v>
      </c>
      <c r="E600" s="44" t="str">
        <f t="shared" si="154"/>
        <v>INR 1500</v>
      </c>
      <c r="F600" s="45">
        <f t="shared" si="154"/>
        <v>8.0224686734840844E-2</v>
      </c>
      <c r="G600" s="44" t="str">
        <f t="shared" si="154"/>
        <v>Buy</v>
      </c>
      <c r="H600" s="46"/>
      <c r="I600" s="45">
        <f>BHART!$D$31/BHART!$D$29</f>
        <v>0.32048160789465363</v>
      </c>
      <c r="J600" s="45">
        <f>BHART!$E$31/BHART!$E$29</f>
        <v>0.48328815277900877</v>
      </c>
      <c r="K600" s="45">
        <f>BHART!$F$31/BHART!$F$29</f>
        <v>0.49251917721159383</v>
      </c>
      <c r="L600" s="45">
        <f>BHART!$G$31/BHART!$G$29</f>
        <v>0.51361362384112297</v>
      </c>
      <c r="M600" s="45">
        <f t="shared" si="155"/>
        <v>0.19313201594646934</v>
      </c>
      <c r="N600" s="46"/>
      <c r="O600" s="45">
        <f>BHART!$D$31/BHART!$D$30</f>
        <v>0.32166390722972477</v>
      </c>
      <c r="P600" s="45">
        <f>BHART!$E$31/BHART!$E$30</f>
        <v>0.60575741688030116</v>
      </c>
      <c r="Q600" s="45">
        <f>BHART!$F$31/BHART!$F$30</f>
        <v>0.59793633837642968</v>
      </c>
      <c r="R600" s="45">
        <f>BHART!$G$31/BHART!$G$30</f>
        <v>0.62793633837642981</v>
      </c>
      <c r="S600" s="45">
        <f t="shared" si="156"/>
        <v>0.30627243114670505</v>
      </c>
      <c r="T600" s="46"/>
      <c r="U600" s="48" t="str">
        <f t="shared" si="157"/>
        <v>INR 1389</v>
      </c>
      <c r="V600" s="44" t="str">
        <f t="shared" si="157"/>
        <v>Bharti Airtel</v>
      </c>
      <c r="Z600" s="49"/>
    </row>
    <row r="601" spans="1:26">
      <c r="A601" s="5"/>
      <c r="C601" s="48" t="str">
        <f t="shared" si="154"/>
        <v>China Mobile</v>
      </c>
      <c r="D601" s="44" t="str">
        <f t="shared" si="154"/>
        <v>HKD 73.2</v>
      </c>
      <c r="E601" s="44" t="str">
        <f t="shared" si="154"/>
        <v>HKD 115.0</v>
      </c>
      <c r="F601" s="45">
        <f t="shared" si="154"/>
        <v>0.57103825136612008</v>
      </c>
      <c r="G601" s="44" t="str">
        <f t="shared" si="154"/>
        <v>Buy</v>
      </c>
      <c r="H601" s="46"/>
      <c r="I601" s="45">
        <f>_CM!$D$31/_CM!$D$29</f>
        <v>1.2330453223651197</v>
      </c>
      <c r="J601" s="45">
        <f>_CM!$E$31/_CM!$E$29</f>
        <v>1.1049331271797176</v>
      </c>
      <c r="K601" s="45">
        <f>_CM!$F$31/_CM!$F$29</f>
        <v>1.0454818448148129</v>
      </c>
      <c r="L601" s="45">
        <f>_CM!$G$31/_CM!$G$29</f>
        <v>1.059046010117983</v>
      </c>
      <c r="M601" s="45">
        <f t="shared" si="155"/>
        <v>-0.17399931224713661</v>
      </c>
      <c r="N601" s="46"/>
      <c r="O601" s="45">
        <f>_CM!$D$31/_CM!$D$30</f>
        <v>0.71900922301520975</v>
      </c>
      <c r="P601" s="45">
        <f>_CM!$E$31/_CM!$E$30</f>
        <v>0.69883527454242911</v>
      </c>
      <c r="Q601" s="45">
        <f>_CM!$F$31/_CM!$F$30</f>
        <v>0.72878535773710473</v>
      </c>
      <c r="R601" s="45">
        <f>_CM!$G$31/_CM!$G$30</f>
        <v>0.74875207986688852</v>
      </c>
      <c r="S601" s="45">
        <f t="shared" si="156"/>
        <v>2.9742856851678767E-2</v>
      </c>
      <c r="T601" s="46"/>
      <c r="U601" s="48" t="str">
        <f t="shared" si="157"/>
        <v>HKD 73.2</v>
      </c>
      <c r="V601" s="44" t="str">
        <f t="shared" si="157"/>
        <v>China Mobile</v>
      </c>
      <c r="Z601" s="49"/>
    </row>
    <row r="602" spans="1:26">
      <c r="A602" s="5"/>
      <c r="C602" s="48" t="str">
        <f t="shared" si="154"/>
        <v>CelcomDigi</v>
      </c>
      <c r="D602" s="44" t="str">
        <f t="shared" si="154"/>
        <v>MYR 4.1</v>
      </c>
      <c r="E602" s="44" t="str">
        <f t="shared" si="154"/>
        <v>MYR 6.0</v>
      </c>
      <c r="F602" s="45">
        <f t="shared" si="154"/>
        <v>0.48148148148148162</v>
      </c>
      <c r="G602" s="44" t="str">
        <f t="shared" si="154"/>
        <v>Buy</v>
      </c>
      <c r="H602" s="46"/>
      <c r="I602" s="45">
        <f>DIGI!$D$31/DIGI!$D$29</f>
        <v>0.54719799809759373</v>
      </c>
      <c r="J602" s="45">
        <f>DIGI!$E$31/DIGI!$E$29</f>
        <v>0.84728005408788321</v>
      </c>
      <c r="K602" s="45">
        <f>DIGI!$F$31/DIGI!$F$29</f>
        <v>0.87896744493640566</v>
      </c>
      <c r="L602" s="45">
        <f>DIGI!$G$31/DIGI!$G$29</f>
        <v>0.89755798025785116</v>
      </c>
      <c r="M602" s="45">
        <f t="shared" si="155"/>
        <v>0.35035998216025743</v>
      </c>
      <c r="N602" s="46"/>
      <c r="O602" s="45">
        <f>DIGI!$D$31/DIGI!$D$30</f>
        <v>0.72029072298418606</v>
      </c>
      <c r="P602" s="45">
        <f>DIGI!$E$31/DIGI!$E$30</f>
        <v>0.98813012072793849</v>
      </c>
      <c r="Q602" s="45">
        <f>DIGI!$F$31/DIGI!$F$30</f>
        <v>0.98813012072793849</v>
      </c>
      <c r="R602" s="45">
        <f>DIGI!$G$31/DIGI!$G$30</f>
        <v>0.98813012072793849</v>
      </c>
      <c r="S602" s="45">
        <f t="shared" si="156"/>
        <v>0.26783939774375243</v>
      </c>
      <c r="T602" s="46"/>
      <c r="U602" s="48" t="str">
        <f t="shared" si="157"/>
        <v>MYR 4.1</v>
      </c>
      <c r="V602" s="44" t="str">
        <f t="shared" si="157"/>
        <v>CelcomDigi</v>
      </c>
      <c r="Z602" s="49"/>
    </row>
    <row r="603" spans="1:26">
      <c r="A603" s="5"/>
      <c r="C603" s="48" t="str">
        <f t="shared" si="154"/>
        <v>Far EasTone</v>
      </c>
      <c r="D603" s="44" t="str">
        <f t="shared" si="154"/>
        <v>TWD 84.0</v>
      </c>
      <c r="E603" s="44" t="str">
        <f t="shared" si="154"/>
        <v>TWD n/r</v>
      </c>
      <c r="F603" s="45" t="str">
        <f t="shared" si="154"/>
        <v>-</v>
      </c>
      <c r="G603" s="44" t="str">
        <f t="shared" si="154"/>
        <v>n/r</v>
      </c>
      <c r="H603" s="46"/>
      <c r="I603" s="45">
        <f>FAR!$D$31/FAR!$D$29</f>
        <v>0.67859642028828659</v>
      </c>
      <c r="J603" s="45">
        <f>FAR!$E$31/FAR!$E$29</f>
        <v>0.66835739563559959</v>
      </c>
      <c r="K603" s="45">
        <f>FAR!$F$31/FAR!$F$29</f>
        <v>0.67608480915630909</v>
      </c>
      <c r="L603" s="45">
        <f>FAR!$G$31/FAR!$G$29</f>
        <v>0.68318929848414467</v>
      </c>
      <c r="M603" s="45">
        <f t="shared" si="155"/>
        <v>4.5928781958580744E-3</v>
      </c>
      <c r="N603" s="46"/>
      <c r="O603" s="45">
        <f>FAR!$D$31/FAR!$D$30</f>
        <v>0.85048078563585794</v>
      </c>
      <c r="P603" s="45">
        <f>FAR!$E$31/FAR!$E$30</f>
        <v>0.8314633002080678</v>
      </c>
      <c r="Q603" s="45">
        <f>FAR!$F$31/FAR!$F$30</f>
        <v>0.81272075281697986</v>
      </c>
      <c r="R603" s="45">
        <f>FAR!$G$31/FAR!$G$30</f>
        <v>0.79987738938380548</v>
      </c>
      <c r="S603" s="45">
        <f t="shared" si="156"/>
        <v>-5.0603396252052457E-2</v>
      </c>
      <c r="T603" s="46"/>
      <c r="U603" s="48" t="str">
        <f t="shared" si="157"/>
        <v>TWD 84.0</v>
      </c>
      <c r="V603" s="44" t="str">
        <f t="shared" si="157"/>
        <v>Far EasTone</v>
      </c>
      <c r="Z603" s="49"/>
    </row>
    <row r="604" spans="1:26">
      <c r="A604" s="5"/>
      <c r="C604" s="48" t="str">
        <f t="shared" si="154"/>
        <v>Vodafone IDEA</v>
      </c>
      <c r="D604" s="44" t="str">
        <f t="shared" si="154"/>
        <v>INR 15.1</v>
      </c>
      <c r="E604" s="44" t="str">
        <f t="shared" si="154"/>
        <v>INR 5.0</v>
      </c>
      <c r="F604" s="45">
        <f t="shared" si="154"/>
        <v>-0.66909331568497676</v>
      </c>
      <c r="G604" s="44" t="str">
        <f t="shared" si="154"/>
        <v>Reduce</v>
      </c>
      <c r="H604" s="46"/>
      <c r="I604" s="45">
        <f>IDEA!$D$31/IDEA!$D$29</f>
        <v>0</v>
      </c>
      <c r="J604" s="45">
        <f>IDEA!$E$31/IDEA!$E$29</f>
        <v>0</v>
      </c>
      <c r="K604" s="45">
        <f>IDEA!$F$31/IDEA!$F$29</f>
        <v>0</v>
      </c>
      <c r="L604" s="45">
        <f>IDEA!$G$31/IDEA!$G$29</f>
        <v>0</v>
      </c>
      <c r="M604" s="45">
        <f t="shared" si="155"/>
        <v>0</v>
      </c>
      <c r="N604" s="46"/>
      <c r="O604" s="45">
        <f>IDEA!$D$31/IDEA!$D$30</f>
        <v>0</v>
      </c>
      <c r="P604" s="45">
        <f>IDEA!$E$31/IDEA!$E$30</f>
        <v>0</v>
      </c>
      <c r="Q604" s="45">
        <f>IDEA!$F$31/IDEA!$F$30</f>
        <v>0</v>
      </c>
      <c r="R604" s="45">
        <f>IDEA!$G$31/IDEA!$G$30</f>
        <v>0</v>
      </c>
      <c r="S604" s="45">
        <f t="shared" si="156"/>
        <v>0</v>
      </c>
      <c r="T604" s="46"/>
      <c r="U604" s="48" t="str">
        <f t="shared" si="157"/>
        <v>INR 15.1</v>
      </c>
      <c r="V604" s="44" t="str">
        <f t="shared" si="157"/>
        <v>Vodafone IDEA</v>
      </c>
      <c r="Z604" s="49"/>
    </row>
    <row r="605" spans="1:26">
      <c r="A605" s="5"/>
      <c r="C605" s="48" t="str">
        <f t="shared" si="154"/>
        <v>Indosat</v>
      </c>
      <c r="D605" s="44" t="str">
        <f t="shared" si="154"/>
        <v>IDR 10,075</v>
      </c>
      <c r="E605" s="44" t="str">
        <f t="shared" si="154"/>
        <v>IDR 12,500</v>
      </c>
      <c r="F605" s="45">
        <f t="shared" si="154"/>
        <v>0.2406947890818858</v>
      </c>
      <c r="G605" s="44" t="str">
        <f t="shared" si="154"/>
        <v>Buy</v>
      </c>
      <c r="H605" s="46"/>
      <c r="I605" s="45">
        <f>INDO!$D$31/INDO!$D$29</f>
        <v>0.3411036767003216</v>
      </c>
      <c r="J605" s="45">
        <f>INDO!$E$31/INDO!$E$29</f>
        <v>0.24258598788993169</v>
      </c>
      <c r="K605" s="45">
        <f>INDO!$F$31/INDO!$F$29</f>
        <v>0.2622645401245316</v>
      </c>
      <c r="L605" s="45">
        <f>INDO!$G$31/INDO!$G$29</f>
        <v>0.30359202596947088</v>
      </c>
      <c r="M605" s="45">
        <f t="shared" si="155"/>
        <v>-3.7511650730850721E-2</v>
      </c>
      <c r="N605" s="46"/>
      <c r="O605" s="45">
        <f>INDO!$D$31/INDO!$D$30</f>
        <v>0.48021313014653449</v>
      </c>
      <c r="P605" s="45">
        <f>INDO!$E$31/INDO!$E$30</f>
        <v>0.39999999999999991</v>
      </c>
      <c r="Q605" s="45">
        <f>INDO!$F$31/INDO!$F$30</f>
        <v>0.45</v>
      </c>
      <c r="R605" s="45">
        <f>INDO!$G$31/INDO!$G$30</f>
        <v>0.5</v>
      </c>
      <c r="S605" s="45">
        <f t="shared" si="156"/>
        <v>1.9786869853465505E-2</v>
      </c>
      <c r="T605" s="46"/>
      <c r="U605" s="48" t="str">
        <f t="shared" si="157"/>
        <v>IDR 10,075</v>
      </c>
      <c r="V605" s="44" t="str">
        <f t="shared" si="157"/>
        <v>Indosat</v>
      </c>
      <c r="Z605" s="49"/>
    </row>
    <row r="606" spans="1:26">
      <c r="A606" s="5"/>
      <c r="C606" s="48" t="str">
        <f t="shared" si="154"/>
        <v>LG Uplus</v>
      </c>
      <c r="D606" s="44" t="str">
        <f t="shared" si="154"/>
        <v>KRW 9,770</v>
      </c>
      <c r="E606" s="44" t="str">
        <f t="shared" si="154"/>
        <v>KRW 21,000</v>
      </c>
      <c r="F606" s="45">
        <f t="shared" si="154"/>
        <v>1.1494370522006143</v>
      </c>
      <c r="G606" s="44" t="str">
        <f t="shared" si="154"/>
        <v>Buy</v>
      </c>
      <c r="H606" s="46"/>
      <c r="I606" s="45">
        <f>_LG!$D$31/_LG!$D$29</f>
        <v>2.9943010639761813</v>
      </c>
      <c r="J606" s="45">
        <f>_LG!$E$31/_LG!$E$29</f>
        <v>0.78463687362736467</v>
      </c>
      <c r="K606" s="45">
        <f>_LG!$F$31/_LG!$F$29</f>
        <v>0.77624414018570409</v>
      </c>
      <c r="L606" s="45">
        <f>_LG!$G$31/_LG!$G$29</f>
        <v>0.77158704504427111</v>
      </c>
      <c r="M606" s="45">
        <f t="shared" si="155"/>
        <v>-2.2227140189319101</v>
      </c>
      <c r="N606" s="46"/>
      <c r="O606" s="45">
        <f>_LG!$D$31/_LG!$D$30</f>
        <v>0.38576081873503115</v>
      </c>
      <c r="P606" s="45">
        <f>_LG!$E$31/_LG!$E$30</f>
        <v>0.34931755050798524</v>
      </c>
      <c r="Q606" s="45">
        <f>_LG!$F$31/_LG!$F$30</f>
        <v>0.35724687926098619</v>
      </c>
      <c r="R606" s="45">
        <f>_LG!$G$31/_LG!$G$30</f>
        <v>0.36249018226838869</v>
      </c>
      <c r="S606" s="45">
        <f t="shared" si="156"/>
        <v>-2.3270636466642458E-2</v>
      </c>
      <c r="T606" s="46"/>
      <c r="U606" s="48" t="str">
        <f t="shared" si="157"/>
        <v>KRW 9,770</v>
      </c>
      <c r="V606" s="44" t="str">
        <f t="shared" si="157"/>
        <v>LG Uplus</v>
      </c>
      <c r="Z606" s="49"/>
    </row>
    <row r="607" spans="1:26">
      <c r="C607" s="48" t="str">
        <f t="shared" si="154"/>
        <v>Maxis</v>
      </c>
      <c r="D607" s="44" t="str">
        <f t="shared" si="154"/>
        <v>MYR 3.71</v>
      </c>
      <c r="E607" s="44" t="str">
        <f t="shared" si="154"/>
        <v>MYR 5.60</v>
      </c>
      <c r="F607" s="45">
        <f t="shared" si="154"/>
        <v>0.50943396226415083</v>
      </c>
      <c r="G607" s="44" t="str">
        <f t="shared" si="154"/>
        <v>Buy</v>
      </c>
      <c r="H607" s="46"/>
      <c r="I607" s="45">
        <f>MAXI!$D$31/MAXI!$D$29</f>
        <v>0.91484752575305817</v>
      </c>
      <c r="J607" s="45">
        <f>MAXI!$E$31/MAXI!$E$29</f>
        <v>0.97692149976915454</v>
      </c>
      <c r="K607" s="45">
        <f>MAXI!$F$31/MAXI!$F$29</f>
        <v>0.9943734890294964</v>
      </c>
      <c r="L607" s="45">
        <f>MAXI!$G$31/MAXI!$G$29</f>
        <v>1.0083259938576619</v>
      </c>
      <c r="M607" s="45">
        <f t="shared" si="155"/>
        <v>9.3478468104603696E-2</v>
      </c>
      <c r="N607" s="46"/>
      <c r="O607" s="45">
        <f>MAXI!$D$31/MAXI!$D$30</f>
        <v>1.2612903225806453</v>
      </c>
      <c r="P607" s="45">
        <f>MAXI!$E$31/MAXI!$E$30</f>
        <v>0.98000000000000009</v>
      </c>
      <c r="Q607" s="45">
        <f>MAXI!$F$31/MAXI!$F$30</f>
        <v>0.98</v>
      </c>
      <c r="R607" s="45">
        <f>MAXI!$G$31/MAXI!$G$30</f>
        <v>0.98000000000000009</v>
      </c>
      <c r="S607" s="45">
        <f t="shared" si="156"/>
        <v>-0.28129032258064524</v>
      </c>
      <c r="T607" s="46"/>
      <c r="U607" s="48" t="str">
        <f t="shared" si="157"/>
        <v>MYR 3.71</v>
      </c>
      <c r="V607" s="44" t="str">
        <f t="shared" si="157"/>
        <v>Maxis</v>
      </c>
      <c r="Z607" s="49"/>
    </row>
    <row r="608" spans="1:26">
      <c r="A608" s="5"/>
      <c r="C608" s="48" t="str">
        <f t="shared" si="154"/>
        <v>SK Telecom</v>
      </c>
      <c r="D608" s="44" t="str">
        <f t="shared" si="154"/>
        <v>KRW 51,800</v>
      </c>
      <c r="E608" s="44" t="str">
        <f t="shared" si="154"/>
        <v>KRW 116,000</v>
      </c>
      <c r="F608" s="45">
        <f t="shared" si="154"/>
        <v>1.2393822393822393</v>
      </c>
      <c r="G608" s="44" t="str">
        <f t="shared" si="154"/>
        <v>Buy</v>
      </c>
      <c r="H608" s="46"/>
      <c r="I608" s="45">
        <f>SKT!$D$31/SKT!$D$29</f>
        <v>0.72525406948107951</v>
      </c>
      <c r="J608" s="45">
        <f>SKT!$E$31/SKT!$E$29</f>
        <v>0.52931941534303872</v>
      </c>
      <c r="K608" s="45">
        <f>SKT!$F$31/SKT!$F$29</f>
        <v>0.64236895080700429</v>
      </c>
      <c r="L608" s="45">
        <f>SKT!$G$31/SKT!$G$29</f>
        <v>0.58290250343408134</v>
      </c>
      <c r="M608" s="45">
        <f t="shared" si="155"/>
        <v>-0.14235156604699817</v>
      </c>
      <c r="N608" s="46"/>
      <c r="O608" s="45">
        <f>SKT!$D$31/SKT!$D$30</f>
        <v>0.81449766518200373</v>
      </c>
      <c r="P608" s="45">
        <f>SKT!$E$31/SKT!$E$30</f>
        <v>0.75063072513363516</v>
      </c>
      <c r="Q608" s="45">
        <f>SKT!$F$31/SKT!$F$30</f>
        <v>0.7552237351843456</v>
      </c>
      <c r="R608" s="45">
        <f>SKT!$G$31/SKT!$G$30</f>
        <v>0.75835009988937285</v>
      </c>
      <c r="S608" s="45">
        <f t="shared" si="156"/>
        <v>-5.6147565292630874E-2</v>
      </c>
      <c r="T608" s="46"/>
      <c r="U608" s="48" t="str">
        <f t="shared" si="157"/>
        <v>KRW 51,800</v>
      </c>
      <c r="V608" s="44" t="str">
        <f t="shared" si="157"/>
        <v>SK Telecom</v>
      </c>
      <c r="Z608" s="49"/>
    </row>
    <row r="609" spans="1:31">
      <c r="A609" s="5"/>
      <c r="C609" s="48" t="str">
        <f t="shared" si="154"/>
        <v>Taiwan Mobile</v>
      </c>
      <c r="D609" s="44" t="str">
        <f t="shared" si="154"/>
        <v>TWD 106.5</v>
      </c>
      <c r="E609" s="44" t="str">
        <f t="shared" si="154"/>
        <v>TWD n/r</v>
      </c>
      <c r="F609" s="45" t="str">
        <f t="shared" si="154"/>
        <v>-</v>
      </c>
      <c r="G609" s="44" t="str">
        <f t="shared" si="154"/>
        <v>n/r</v>
      </c>
      <c r="H609" s="46"/>
      <c r="I609" s="45">
        <f>TAIWAN!$D$31/TAIWAN!$D$29</f>
        <v>0.73145767140418971</v>
      </c>
      <c r="J609" s="45">
        <f>TAIWAN!$E$31/TAIWAN!$E$29</f>
        <v>0.652375382084324</v>
      </c>
      <c r="K609" s="45">
        <f>TAIWAN!$F$31/TAIWAN!$F$29</f>
        <v>0.64187544486587955</v>
      </c>
      <c r="L609" s="45">
        <f>TAIWAN!$G$31/TAIWAN!$G$29</f>
        <v>0.58568463751154931</v>
      </c>
      <c r="M609" s="45">
        <f t="shared" si="155"/>
        <v>-0.1457730338926404</v>
      </c>
      <c r="N609" s="46"/>
      <c r="O609" s="45">
        <f>TAIWAN!$D$31/TAIWAN!$D$30</f>
        <v>1.1920242965645695</v>
      </c>
      <c r="P609" s="45">
        <f>TAIWAN!$E$31/TAIWAN!$E$30</f>
        <v>1.0137120944700098</v>
      </c>
      <c r="Q609" s="45">
        <f>TAIWAN!$F$31/TAIWAN!$F$30</f>
        <v>0.895372114070348</v>
      </c>
      <c r="R609" s="45">
        <f>TAIWAN!$G$31/TAIWAN!$G$30</f>
        <v>0.79049244091423654</v>
      </c>
      <c r="S609" s="45">
        <f t="shared" si="156"/>
        <v>-0.401531855650333</v>
      </c>
      <c r="T609" s="46"/>
      <c r="U609" s="48" t="str">
        <f t="shared" si="157"/>
        <v>TWD 106.5</v>
      </c>
      <c r="V609" s="44" t="str">
        <f t="shared" si="157"/>
        <v>Taiwan Mobile</v>
      </c>
      <c r="Z609" s="49"/>
    </row>
    <row r="610" spans="1:31">
      <c r="A610" s="5"/>
      <c r="C610" s="48" t="str">
        <f t="shared" si="154"/>
        <v>True Corp</v>
      </c>
      <c r="D610" s="44" t="str">
        <f t="shared" si="154"/>
        <v>THB 8.0</v>
      </c>
      <c r="E610" s="44" t="str">
        <f t="shared" si="154"/>
        <v>THB 15.0</v>
      </c>
      <c r="F610" s="45">
        <f t="shared" si="154"/>
        <v>0.875</v>
      </c>
      <c r="G610" s="44" t="str">
        <f t="shared" si="154"/>
        <v>Buy</v>
      </c>
      <c r="H610" s="46"/>
      <c r="I610" s="45">
        <f>TRUECORP!$D$31/TRUECORP!$D$29</f>
        <v>0</v>
      </c>
      <c r="J610" s="45">
        <f>TRUECORP!$E$31/TRUECORP!$E$29</f>
        <v>1.709732105414128E-2</v>
      </c>
      <c r="K610" s="45">
        <f>TRUECORP!$F$31/TRUECORP!$F$29</f>
        <v>8.4762903547079202E-2</v>
      </c>
      <c r="L610" s="45">
        <f>TRUECORP!$G$31/TRUECORP!$G$29</f>
        <v>0.25424989152129523</v>
      </c>
      <c r="M610" s="45">
        <f t="shared" si="155"/>
        <v>0.25424989152129523</v>
      </c>
      <c r="N610" s="46"/>
      <c r="O610" s="45">
        <f>TRUECORP!$D$31/TRUECORP!$D$30</f>
        <v>0</v>
      </c>
      <c r="P610" s="45">
        <f>TRUECORP!$E$31/TRUECORP!$E$30</f>
        <v>0.25</v>
      </c>
      <c r="Q610" s="45">
        <f>TRUECORP!$F$31/TRUECORP!$F$30</f>
        <v>0.25</v>
      </c>
      <c r="R610" s="45">
        <f>TRUECORP!$G$31/TRUECORP!$G$30</f>
        <v>0.5</v>
      </c>
      <c r="S610" s="45">
        <f t="shared" si="156"/>
        <v>0.5</v>
      </c>
      <c r="T610" s="46"/>
      <c r="U610" s="48" t="str">
        <f t="shared" si="157"/>
        <v>THB 8.0</v>
      </c>
      <c r="V610" s="44" t="str">
        <f t="shared" si="157"/>
        <v>True Corp</v>
      </c>
      <c r="Z610" s="49"/>
    </row>
    <row r="611" spans="1:31">
      <c r="A611" s="5"/>
      <c r="C611" s="48" t="str">
        <f t="shared" si="154"/>
        <v>XL Axiata</v>
      </c>
      <c r="D611" s="44" t="str">
        <f t="shared" si="154"/>
        <v>IDR 2,470</v>
      </c>
      <c r="E611" s="44" t="str">
        <f t="shared" si="154"/>
        <v>IDR 5,000</v>
      </c>
      <c r="F611" s="45">
        <f t="shared" si="154"/>
        <v>1.0242914979757085</v>
      </c>
      <c r="G611" s="44" t="str">
        <f t="shared" si="154"/>
        <v>Buy</v>
      </c>
      <c r="H611" s="46"/>
      <c r="I611" s="45">
        <f>XLAX!$D$31/XLAX!$D$29</f>
        <v>0.11655420536220229</v>
      </c>
      <c r="J611" s="45">
        <f>XLAX!$E$31/XLAX!$E$29</f>
        <v>0.13784021868126595</v>
      </c>
      <c r="K611" s="45">
        <f>XLAX!$F$31/XLAX!$F$29</f>
        <v>0.1520943847827271</v>
      </c>
      <c r="L611" s="45">
        <f>XLAX!$G$31/XLAX!$G$29</f>
        <v>0.17228325636391073</v>
      </c>
      <c r="M611" s="45">
        <f t="shared" si="155"/>
        <v>5.5729051001708441E-2</v>
      </c>
      <c r="N611" s="56"/>
      <c r="O611" s="45">
        <f>XLAX!$D$31/XLAX!$D$30</f>
        <v>0.49674391670118206</v>
      </c>
      <c r="P611" s="45">
        <f>XLAX!$E$31/XLAX!$E$30</f>
        <v>0.5</v>
      </c>
      <c r="Q611" s="45">
        <f>XLAX!$F$31/XLAX!$F$30</f>
        <v>0.49999999999999989</v>
      </c>
      <c r="R611" s="45">
        <f>XLAX!$G$31/XLAX!$G$30</f>
        <v>0.5</v>
      </c>
      <c r="S611" s="45">
        <f t="shared" si="156"/>
        <v>3.2560832988179356E-3</v>
      </c>
      <c r="T611" s="46"/>
      <c r="U611" s="48" t="str">
        <f t="shared" si="157"/>
        <v>IDR 2,470</v>
      </c>
      <c r="V611" s="44" t="str">
        <f t="shared" si="157"/>
        <v>XL Axiata</v>
      </c>
      <c r="Z611" s="49"/>
    </row>
    <row r="612" spans="1:31">
      <c r="A612" s="5"/>
      <c r="C612" s="51" t="str">
        <f>C550</f>
        <v>Agg. Emerging Asia Cellular</v>
      </c>
      <c r="D612" s="52"/>
      <c r="E612" s="52"/>
      <c r="F612" s="53"/>
      <c r="G612" s="52"/>
      <c r="H612" s="46"/>
      <c r="I612" s="55">
        <f>'EM ASIA CELLULAR'!$D$31/'EM ASIA CELLULAR'!$D$29</f>
        <v>0.95716826276690958</v>
      </c>
      <c r="J612" s="55">
        <f>'EM ASIA CELLULAR'!$E$31/'EM ASIA CELLULAR'!$E$29</f>
        <v>0.89088259935861003</v>
      </c>
      <c r="K612" s="55">
        <f>'EM ASIA CELLULAR'!$F$31/'EM ASIA CELLULAR'!$F$29</f>
        <v>0.85791177156253662</v>
      </c>
      <c r="L612" s="55">
        <f>'EM ASIA CELLULAR'!$G$31/'EM ASIA CELLULAR'!$G$29</f>
        <v>0.82656108784576909</v>
      </c>
      <c r="M612" s="55">
        <f t="shared" si="155"/>
        <v>-0.13060717492114049</v>
      </c>
      <c r="N612" s="56"/>
      <c r="O612" s="55">
        <f>'EM ASIA CELLULAR'!$D$31/'EM ASIA CELLULAR'!$D$30</f>
        <v>0.84120987683281701</v>
      </c>
      <c r="P612" s="55">
        <f>'EM ASIA CELLULAR'!$E$31/'EM ASIA CELLULAR'!$E$30</f>
        <v>0.78073086733736707</v>
      </c>
      <c r="Q612" s="55">
        <f>'EM ASIA CELLULAR'!$F$31/'EM ASIA CELLULAR'!$F$30</f>
        <v>0.77230496510735736</v>
      </c>
      <c r="R612" s="55">
        <f>'EM ASIA CELLULAR'!$G$31/'EM ASIA CELLULAR'!$G$30</f>
        <v>0.78310431683940718</v>
      </c>
      <c r="S612" s="55">
        <f t="shared" si="156"/>
        <v>-5.8105559993409828E-2</v>
      </c>
      <c r="T612" s="46"/>
      <c r="U612" s="57"/>
      <c r="V612" s="58" t="str">
        <f>V550</f>
        <v>Agg. Emerging Asia Cellular</v>
      </c>
      <c r="Z612" s="49"/>
    </row>
    <row r="613" spans="1:31">
      <c r="A613" s="5"/>
      <c r="C613" s="43"/>
      <c r="D613" s="44"/>
      <c r="E613" s="44"/>
      <c r="F613" s="68"/>
      <c r="G613" s="44"/>
      <c r="H613" s="46"/>
      <c r="I613" s="61"/>
      <c r="J613" s="61"/>
      <c r="K613" s="61"/>
      <c r="L613" s="61"/>
      <c r="M613" s="61"/>
      <c r="N613" s="46"/>
      <c r="O613" s="61"/>
      <c r="P613" s="61"/>
      <c r="Q613" s="61"/>
      <c r="R613" s="61"/>
      <c r="S613" s="61"/>
      <c r="T613" s="46"/>
      <c r="U613" s="48"/>
      <c r="V613" s="50"/>
      <c r="Z613" s="49"/>
    </row>
    <row r="614" spans="1:31">
      <c r="A614" s="5"/>
      <c r="C614" s="51" t="str">
        <f>C552</f>
        <v>Agg. Emerging  Cellular</v>
      </c>
      <c r="D614" s="52"/>
      <c r="E614" s="52"/>
      <c r="F614" s="53"/>
      <c r="G614" s="52"/>
      <c r="H614" s="46"/>
      <c r="I614" s="55">
        <f>'EM CELLULAR'!$D$31/'EM CELLULAR'!$D$29</f>
        <v>0.88668294064217501</v>
      </c>
      <c r="J614" s="55">
        <f>'EM CELLULAR'!$E$31/'EM CELLULAR'!$E$29</f>
        <v>0.86591383416109602</v>
      </c>
      <c r="K614" s="55">
        <f>'EM CELLULAR'!$F$31/'EM CELLULAR'!$F$29</f>
        <v>0.82267670747127919</v>
      </c>
      <c r="L614" s="55">
        <f>'EM CELLULAR'!$G$31/'EM CELLULAR'!$G$29</f>
        <v>0.79585980881552554</v>
      </c>
      <c r="M614" s="55">
        <f t="shared" ref="M614" si="158">L614-I614</f>
        <v>-9.0823131826649472E-2</v>
      </c>
      <c r="N614" s="46"/>
      <c r="O614" s="55">
        <f>'EM CELLULAR'!$D$31/'EM CELLULAR'!$D$30</f>
        <v>0.78527271626046791</v>
      </c>
      <c r="P614" s="55">
        <f>'EM CELLULAR'!$E$31/'EM CELLULAR'!$E$30</f>
        <v>0.74425649487038237</v>
      </c>
      <c r="Q614" s="55">
        <f>'EM CELLULAR'!$F$31/'EM CELLULAR'!$F$30</f>
        <v>0.72451429783188515</v>
      </c>
      <c r="R614" s="55">
        <f>'EM CELLULAR'!$G$31/'EM CELLULAR'!$G$30</f>
        <v>0.72883978747430456</v>
      </c>
      <c r="S614" s="55">
        <f t="shared" ref="S614" si="159">R614-O614</f>
        <v>-5.643292878616335E-2</v>
      </c>
      <c r="T614" s="46"/>
      <c r="U614" s="57"/>
      <c r="V614" s="58" t="str">
        <f>V552</f>
        <v>Agg. Emerging  Cellular</v>
      </c>
      <c r="Z614" s="49"/>
    </row>
    <row r="615" spans="1:31">
      <c r="C615" s="43"/>
      <c r="D615" s="44"/>
      <c r="E615" s="44"/>
      <c r="F615" s="45"/>
      <c r="G615" s="44"/>
      <c r="H615" s="46"/>
      <c r="I615" s="45"/>
      <c r="J615" s="45"/>
      <c r="K615" s="45"/>
      <c r="L615" s="45"/>
      <c r="M615" s="45"/>
      <c r="N615" s="46"/>
      <c r="O615" s="45"/>
      <c r="P615" s="45"/>
      <c r="Q615" s="45"/>
      <c r="R615" s="45"/>
      <c r="S615" s="45"/>
      <c r="T615" s="46"/>
      <c r="U615" s="48"/>
      <c r="V615" s="50"/>
      <c r="Z615" s="49"/>
    </row>
    <row r="616" spans="1:31">
      <c r="A616" s="41" t="s">
        <v>508</v>
      </c>
      <c r="B616" s="42" t="s">
        <v>582</v>
      </c>
      <c r="C616" s="48" t="s">
        <v>819</v>
      </c>
      <c r="D616" s="44" t="str">
        <f>'EM Multiples'!B616&amp;TEXT(Prices!C$135,"0.00")</f>
        <v>MXN52.16</v>
      </c>
      <c r="E616" s="44" t="str">
        <f>'EM Multiples'!B616&amp;TEXT(Prices!E$135,"0.00")</f>
        <v>MXN55.00</v>
      </c>
      <c r="F616" s="45">
        <f>Prices!F$135</f>
        <v>5.444785276073616E-2</v>
      </c>
      <c r="G616" s="44" t="str">
        <f>Prices!D$48</f>
        <v>Buy</v>
      </c>
      <c r="H616" s="46"/>
      <c r="I616" s="45">
        <f>MEGA!$D$31/MEGA!$D$29</f>
        <v>1.7861512972537561</v>
      </c>
      <c r="J616" s="45">
        <f>MEGA!$E$31/MEGA!$E$29</f>
        <v>1.3845692119517286</v>
      </c>
      <c r="K616" s="45">
        <f>MEGA!$F$31/MEGA!$F$29</f>
        <v>0.61959563048356947</v>
      </c>
      <c r="L616" s="45">
        <f>MEGA!$G$31/MEGA!$G$29</f>
        <v>0.47860872013955469</v>
      </c>
      <c r="M616" s="45">
        <f>L616-I616</f>
        <v>-1.3075425771142015</v>
      </c>
      <c r="N616" s="46"/>
      <c r="O616" s="45">
        <f>MEGA!$D$31/MEGA!$D$30</f>
        <v>0.40262739355823024</v>
      </c>
      <c r="P616" s="45">
        <f>MEGA!$E$31/MEGA!$E$30</f>
        <v>0.39230950108628937</v>
      </c>
      <c r="Q616" s="45">
        <f>MEGA!$F$31/MEGA!$F$30</f>
        <v>0.4091581348953271</v>
      </c>
      <c r="R616" s="45">
        <f>MEGA!$G$31/MEGA!$G$30</f>
        <v>0.43507678526590865</v>
      </c>
      <c r="S616" s="45">
        <f>R616-O616</f>
        <v>3.244939170767841E-2</v>
      </c>
      <c r="T616" s="46"/>
      <c r="U616" s="48" t="str">
        <f>D616</f>
        <v>MXN52.16</v>
      </c>
      <c r="V616" s="44" t="str">
        <f>C616</f>
        <v>Megacable</v>
      </c>
      <c r="Z616" s="46"/>
      <c r="AE616" s="41"/>
    </row>
    <row r="617" spans="1:31">
      <c r="A617" s="5"/>
      <c r="B617" s="42" t="s">
        <v>411</v>
      </c>
      <c r="C617" s="48" t="s">
        <v>804</v>
      </c>
      <c r="D617" s="44" t="str">
        <f>'EM Multiples'!B617&amp;TEXT(Prices!C$138,"0.00")</f>
        <v>USD8.55</v>
      </c>
      <c r="E617" s="44" t="str">
        <f>'EM Multiples'!B617&amp;TEXT(Prices!E$138,"0.00")</f>
        <v>USD14.00</v>
      </c>
      <c r="F617" s="45">
        <f>Prices!F$138</f>
        <v>0.63742690058479523</v>
      </c>
      <c r="G617" s="44" t="str">
        <f>Prices!D$138</f>
        <v>Buy</v>
      </c>
      <c r="H617" s="46"/>
      <c r="I617" s="45">
        <f>LiLAC!$D$31/LiLAC!$D$28</f>
        <v>0</v>
      </c>
      <c r="J617" s="45">
        <f>LiLAC!$E$31/LiLAC!$E$29</f>
        <v>0</v>
      </c>
      <c r="K617" s="45">
        <f>LiLAC!$F$31/LiLAC!$F$29</f>
        <v>0</v>
      </c>
      <c r="L617" s="45">
        <f>LiLAC!$G$31/LiLAC!$G$29</f>
        <v>0</v>
      </c>
      <c r="M617" s="45">
        <f>L617-I617</f>
        <v>0</v>
      </c>
      <c r="N617" s="46"/>
      <c r="O617" s="45">
        <f>LiLAC!$D$31/LiLAC!$D$30</f>
        <v>0</v>
      </c>
      <c r="P617" s="45">
        <f>LiLAC!$E$31/LiLAC!$E$30</f>
        <v>0</v>
      </c>
      <c r="Q617" s="45">
        <f>LiLAC!$F$31/LiLAC!$F$30</f>
        <v>0</v>
      </c>
      <c r="R617" s="45">
        <f>LiLAC!$G$31/LiLAC!$G$30</f>
        <v>0</v>
      </c>
      <c r="S617" s="45">
        <f>R617-O617</f>
        <v>0</v>
      </c>
      <c r="T617" s="46"/>
      <c r="U617" s="48" t="str">
        <f>D617</f>
        <v>USD8.55</v>
      </c>
      <c r="V617" s="44" t="str">
        <f>C617</f>
        <v>LiLAC</v>
      </c>
      <c r="Z617" s="46"/>
      <c r="AE617" s="41"/>
    </row>
    <row r="618" spans="1:31">
      <c r="A618" s="5"/>
      <c r="C618" s="67" t="s">
        <v>822</v>
      </c>
      <c r="D618" s="52"/>
      <c r="E618" s="52"/>
      <c r="F618" s="53"/>
      <c r="G618" s="52"/>
      <c r="H618" s="46"/>
      <c r="I618" s="55">
        <f>'LATAM ALTNET &amp; CABLE'!$D$31/'LATAM ALTNET &amp; CABLE'!$D$29</f>
        <v>0.45784431877334641</v>
      </c>
      <c r="J618" s="55">
        <f>'LATAM ALTNET &amp; CABLE'!$E$31/'LATAM ALTNET &amp; CABLE'!$E$29</f>
        <v>0.31887107765882267</v>
      </c>
      <c r="K618" s="55">
        <f>'LATAM ALTNET &amp; CABLE'!$F$31/'LATAM ALTNET &amp; CABLE'!$F$29</f>
        <v>0.24235052189109718</v>
      </c>
      <c r="L618" s="55">
        <f>'LATAM ALTNET &amp; CABLE'!$G$31/'LATAM ALTNET &amp; CABLE'!$G$29</f>
        <v>0.23697038496719178</v>
      </c>
      <c r="M618" s="55">
        <f>L618-I618</f>
        <v>-0.22087393380615464</v>
      </c>
      <c r="N618" s="46"/>
      <c r="O618" s="55">
        <f>'LATAM ALTNET &amp; CABLE'!$D$31/'LATAM ALTNET &amp; CABLE'!$D$30</f>
        <v>0.30030134324223151</v>
      </c>
      <c r="P618" s="55">
        <f>'LATAM ALTNET &amp; CABLE'!$E$31/'LATAM ALTNET &amp; CABLE'!$E$30</f>
        <v>0.18751934377248691</v>
      </c>
      <c r="Q618" s="55">
        <f>'LATAM ALTNET &amp; CABLE'!$F$31/'LATAM ALTNET &amp; CABLE'!$F$30</f>
        <v>0.19376444827844438</v>
      </c>
      <c r="R618" s="55">
        <f>'LATAM ALTNET &amp; CABLE'!$G$31/'LATAM ALTNET &amp; CABLE'!$G$30</f>
        <v>0.20704180965582733</v>
      </c>
      <c r="S618" s="55">
        <f>R618-O618</f>
        <v>-9.3259533586404181E-2</v>
      </c>
      <c r="T618" s="46"/>
      <c r="U618" s="57"/>
      <c r="V618" s="58" t="str">
        <f>C618</f>
        <v>Agg. Emerging LatAm Altnets &amp; Cable</v>
      </c>
      <c r="Z618" s="46"/>
      <c r="AE618" s="41"/>
    </row>
    <row r="619" spans="1:31">
      <c r="C619" s="43"/>
      <c r="D619" s="44"/>
      <c r="E619" s="44"/>
      <c r="F619" s="45"/>
      <c r="G619" s="44"/>
      <c r="H619" s="46"/>
      <c r="I619" s="45"/>
      <c r="J619" s="45"/>
      <c r="K619" s="45"/>
      <c r="L619" s="45"/>
      <c r="M619" s="45"/>
      <c r="N619" s="46"/>
      <c r="O619" s="45"/>
      <c r="P619" s="45"/>
      <c r="Q619" s="45"/>
      <c r="R619" s="45"/>
      <c r="S619" s="45"/>
      <c r="T619" s="46"/>
      <c r="U619" s="48"/>
      <c r="V619" s="50"/>
      <c r="Z619" s="49"/>
    </row>
    <row r="620" spans="1:31">
      <c r="C620" s="67" t="str">
        <f>C558</f>
        <v>Agg. EMEA sector</v>
      </c>
      <c r="D620" s="52"/>
      <c r="E620" s="52"/>
      <c r="F620" s="53"/>
      <c r="G620" s="52"/>
      <c r="H620" s="46"/>
      <c r="I620" s="55">
        <f>'EMEA AGG'!$D$31/'EMEA AGG'!$D$29</f>
        <v>0.67000497543986581</v>
      </c>
      <c r="J620" s="55">
        <f>'EMEA AGG'!$E$31/'EMEA AGG'!$E$29</f>
        <v>0.96286906937656169</v>
      </c>
      <c r="K620" s="55">
        <f>'EMEA AGG'!$F$31/'EMEA AGG'!$F$29</f>
        <v>0.81788058237810757</v>
      </c>
      <c r="L620" s="55">
        <f>'EMEA AGG'!$G$31/'EMEA AGG'!$G$29</f>
        <v>0.79703348250403072</v>
      </c>
      <c r="M620" s="55">
        <f>L620-I620</f>
        <v>0.12702850706416491</v>
      </c>
      <c r="N620" s="56"/>
      <c r="O620" s="55">
        <f>'EMEA AGG'!$D$31/'EMEA AGG'!$D$30</f>
        <v>0.55480941740039658</v>
      </c>
      <c r="P620" s="55">
        <f>'EMEA AGG'!$E$31/'EMEA AGG'!$E$30</f>
        <v>0.60251848605222413</v>
      </c>
      <c r="Q620" s="55">
        <f>'EMEA AGG'!$F$31/'EMEA AGG'!$F$30</f>
        <v>0.55185145881622666</v>
      </c>
      <c r="R620" s="55">
        <f>'EMEA AGG'!$G$31/'EMEA AGG'!$G$30</f>
        <v>0.53338961044988453</v>
      </c>
      <c r="S620" s="55">
        <f>R620-O620</f>
        <v>-2.1419806950512044E-2</v>
      </c>
      <c r="T620" s="46"/>
      <c r="U620" s="57"/>
      <c r="V620" s="58" t="str">
        <f>V558</f>
        <v>Agg. EMEA sector</v>
      </c>
      <c r="Z620" s="49"/>
    </row>
    <row r="621" spans="1:31">
      <c r="C621" s="41" t="str">
        <f>C559</f>
        <v>Agg. LatAm sector</v>
      </c>
      <c r="D621" s="44"/>
      <c r="E621" s="44"/>
      <c r="F621" s="45"/>
      <c r="G621" s="44"/>
      <c r="H621" s="46"/>
      <c r="I621" s="59">
        <f>'LATAM AGG'!$D$31/'LATAM AGG'!$D$29</f>
        <v>0.70491894916352393</v>
      </c>
      <c r="J621" s="59">
        <f>'LATAM AGG'!$E$31/'LATAM AGG'!$E$29</f>
        <v>0.4602997016804713</v>
      </c>
      <c r="K621" s="59">
        <f>'LATAM AGG'!$F$31/'LATAM AGG'!$F$29</f>
        <v>0.40181756953743764</v>
      </c>
      <c r="L621" s="59">
        <f>'LATAM AGG'!$G$31/'LATAM AGG'!$G$29</f>
        <v>0.36332295895965083</v>
      </c>
      <c r="M621" s="59">
        <f>L621-I621</f>
        <v>-0.3415959902038731</v>
      </c>
      <c r="N621" s="56"/>
      <c r="O621" s="59">
        <f>'LATAM AGG'!$D$31/'LATAM AGG'!$D$30</f>
        <v>0.50398882252023736</v>
      </c>
      <c r="P621" s="59">
        <f>'LATAM AGG'!$E$31/'LATAM AGG'!$E$30</f>
        <v>0.41514160567286928</v>
      </c>
      <c r="Q621" s="59">
        <f>'LATAM AGG'!$F$31/'LATAM AGG'!$F$30</f>
        <v>0.36818325737761687</v>
      </c>
      <c r="R621" s="59">
        <f>'LATAM AGG'!$G$31/'LATAM AGG'!$G$30</f>
        <v>0.33459490574664635</v>
      </c>
      <c r="S621" s="59">
        <f>R621-O621</f>
        <v>-0.169393916773591</v>
      </c>
      <c r="T621" s="46"/>
      <c r="U621" s="48"/>
      <c r="V621" s="50" t="str">
        <f>V559</f>
        <v>Agg. LatAm sector</v>
      </c>
      <c r="Z621" s="49"/>
    </row>
    <row r="622" spans="1:31">
      <c r="C622" s="67" t="str">
        <f>C560</f>
        <v>Agg. Emerging Asia sector</v>
      </c>
      <c r="D622" s="52"/>
      <c r="E622" s="52"/>
      <c r="F622" s="53"/>
      <c r="G622" s="52"/>
      <c r="H622" s="46"/>
      <c r="I622" s="55">
        <f>'AGG EM ASIA'!$D$31/'AGG EM ASIA'!$D$29</f>
        <v>0.80854695351595063</v>
      </c>
      <c r="J622" s="55">
        <f>'AGG EM ASIA'!$E$31/'AGG EM ASIA'!$E$29</f>
        <v>0.75036133360792934</v>
      </c>
      <c r="K622" s="55">
        <f>'AGG EM ASIA'!$F$31/'AGG EM ASIA'!$F$29</f>
        <v>0.74687408739414551</v>
      </c>
      <c r="L622" s="55">
        <f>'AGG EM ASIA'!$G$31/'AGG EM ASIA'!$G$29</f>
        <v>0.74644962589125985</v>
      </c>
      <c r="M622" s="55">
        <f>L622-I622</f>
        <v>-6.2097327624690779E-2</v>
      </c>
      <c r="N622" s="56"/>
      <c r="O622" s="55">
        <f>'AGG EM ASIA'!$D$31/'AGG EM ASIA'!$D$30</f>
        <v>0.79739706213383088</v>
      </c>
      <c r="P622" s="55">
        <f>'AGG EM ASIA'!$E$31/'AGG EM ASIA'!$E$30</f>
        <v>0.76586100506769728</v>
      </c>
      <c r="Q622" s="55">
        <f>'AGG EM ASIA'!$F$31/'AGG EM ASIA'!$F$30</f>
        <v>0.78112747577718045</v>
      </c>
      <c r="R622" s="55">
        <f>'AGG EM ASIA'!$G$31/'AGG EM ASIA'!$G$30</f>
        <v>0.80071384040998173</v>
      </c>
      <c r="S622" s="55">
        <f>R622-O622</f>
        <v>3.3167782761508446E-3</v>
      </c>
      <c r="T622" s="46"/>
      <c r="U622" s="57"/>
      <c r="V622" s="58" t="str">
        <f>V560</f>
        <v>Agg. Emerging Asia sector</v>
      </c>
      <c r="Z622" s="49"/>
    </row>
    <row r="623" spans="1:31">
      <c r="C623" s="41"/>
      <c r="D623" s="44"/>
      <c r="E623" s="44"/>
      <c r="F623" s="45"/>
      <c r="G623" s="44"/>
      <c r="H623" s="46"/>
      <c r="I623" s="59"/>
      <c r="J623" s="59"/>
      <c r="K623" s="59"/>
      <c r="L623" s="59"/>
      <c r="M623" s="59"/>
      <c r="N623" s="56"/>
      <c r="O623" s="59"/>
      <c r="P623" s="59"/>
      <c r="Q623" s="59"/>
      <c r="R623" s="59"/>
      <c r="S623" s="59"/>
      <c r="T623" s="46"/>
      <c r="U623" s="48"/>
      <c r="V623" s="50"/>
      <c r="Z623" s="49"/>
    </row>
    <row r="624" spans="1:31">
      <c r="C624" s="67" t="str">
        <f>C562</f>
        <v>Agg. Global EM sector (ex-consensus)</v>
      </c>
      <c r="D624" s="52"/>
      <c r="E624" s="52"/>
      <c r="F624" s="53"/>
      <c r="G624" s="52"/>
      <c r="H624" s="46"/>
      <c r="I624" s="55">
        <f>'AGG EM'!$D$31/'AGG EM'!$D$29</f>
        <v>0.78546224095974659</v>
      </c>
      <c r="J624" s="55">
        <f>'AGG EM'!$E$31/'AGG EM'!$E$29</f>
        <v>0.71334963498575799</v>
      </c>
      <c r="K624" s="55">
        <f>'AGG EM'!$F$31/'AGG EM'!$F$29</f>
        <v>0.68989991347231316</v>
      </c>
      <c r="L624" s="55">
        <f>'AGG EM'!$G$31/'AGG EM'!$G$29</f>
        <v>0.67997079786563763</v>
      </c>
      <c r="M624" s="55">
        <f>L624-I624</f>
        <v>-0.10549144309410896</v>
      </c>
      <c r="N624" s="56"/>
      <c r="O624" s="55">
        <f>'AGG EM'!$D$31/'AGG EM'!$D$30</f>
        <v>0.73123979706271947</v>
      </c>
      <c r="P624" s="55">
        <f>'AGG EM'!$E$31/'AGG EM'!$E$30</f>
        <v>0.69084196916198526</v>
      </c>
      <c r="Q624" s="55">
        <f>'AGG EM'!$F$31/'AGG EM'!$F$30</f>
        <v>0.68256720865938691</v>
      </c>
      <c r="R624" s="55">
        <f>'AGG EM'!$G$31/'AGG EM'!$G$30</f>
        <v>0.68585081114997282</v>
      </c>
      <c r="S624" s="55">
        <f>R624-O624</f>
        <v>-4.5388985912746649E-2</v>
      </c>
      <c r="T624" s="46"/>
      <c r="U624" s="57"/>
      <c r="V624" s="58" t="str">
        <f>V562</f>
        <v>Agg. Global EM sector (ex-consensus)</v>
      </c>
    </row>
    <row r="625" spans="1:69">
      <c r="C625" s="43"/>
      <c r="D625" s="44"/>
      <c r="E625" s="44"/>
      <c r="F625" s="45"/>
      <c r="G625" s="44"/>
      <c r="H625" s="134"/>
      <c r="I625" s="59"/>
      <c r="J625" s="59"/>
      <c r="K625" s="59"/>
      <c r="L625" s="59"/>
      <c r="M625" s="59"/>
      <c r="N625" s="56"/>
      <c r="O625" s="59"/>
      <c r="P625" s="59"/>
      <c r="Q625" s="59"/>
      <c r="R625" s="59"/>
      <c r="S625" s="59"/>
      <c r="T625" s="56"/>
      <c r="U625" s="48"/>
      <c r="V625" s="50"/>
    </row>
    <row r="626" spans="1:69">
      <c r="C626" s="43"/>
      <c r="D626" s="44"/>
      <c r="E626" s="44"/>
      <c r="F626" s="45"/>
      <c r="G626" s="44"/>
      <c r="H626" s="134"/>
      <c r="I626" s="59"/>
      <c r="J626" s="59"/>
      <c r="K626" s="59"/>
      <c r="L626" s="59"/>
      <c r="M626" s="59"/>
      <c r="N626" s="56"/>
      <c r="O626" s="59"/>
      <c r="P626" s="59"/>
      <c r="Q626" s="59"/>
      <c r="R626" s="59"/>
      <c r="S626" s="59"/>
      <c r="T626" s="56"/>
      <c r="U626" s="48"/>
      <c r="V626" s="50"/>
      <c r="X626" s="1"/>
    </row>
    <row r="627" spans="1:69" s="41" customFormat="1">
      <c r="B627" s="147"/>
      <c r="C627" s="164"/>
      <c r="D627" s="165" t="s">
        <v>464</v>
      </c>
      <c r="E627" s="165" t="s">
        <v>57</v>
      </c>
      <c r="F627" s="165" t="s">
        <v>59</v>
      </c>
      <c r="G627" s="165" t="s">
        <v>56</v>
      </c>
      <c r="H627" s="134"/>
      <c r="I627" s="166" t="s">
        <v>626</v>
      </c>
      <c r="J627" s="166"/>
      <c r="K627" s="166"/>
      <c r="L627" s="166"/>
      <c r="M627" s="166"/>
      <c r="N627" s="46"/>
      <c r="O627" s="166" t="s">
        <v>628</v>
      </c>
      <c r="P627" s="166"/>
      <c r="Q627" s="166"/>
      <c r="R627" s="166"/>
      <c r="S627" s="166"/>
      <c r="T627" s="46"/>
      <c r="U627" s="167" t="s">
        <v>464</v>
      </c>
      <c r="V627" s="165"/>
      <c r="Z627" s="49"/>
      <c r="AC627" s="135"/>
      <c r="AD627" s="136"/>
      <c r="AE627" s="136"/>
      <c r="AF627" s="136"/>
      <c r="AG627" s="136"/>
      <c r="AH627" s="136"/>
      <c r="AI627" s="136"/>
      <c r="AJ627" s="136"/>
      <c r="AK627" s="136"/>
      <c r="AL627" s="136"/>
      <c r="AM627" s="136"/>
      <c r="AN627" s="136"/>
      <c r="AO627" s="136"/>
      <c r="AP627" s="136"/>
      <c r="AQ627" s="136"/>
      <c r="AR627" s="136"/>
      <c r="AS627" s="136"/>
      <c r="AT627" s="136"/>
      <c r="AU627" s="136"/>
      <c r="AV627" s="136"/>
      <c r="AW627" s="136"/>
      <c r="BC627" s="137"/>
      <c r="BD627" s="137"/>
      <c r="BE627" s="137"/>
      <c r="BG627" s="137"/>
      <c r="BH627" s="137"/>
      <c r="BI627" s="137"/>
      <c r="BK627" s="137"/>
      <c r="BL627" s="137"/>
      <c r="BM627" s="137"/>
      <c r="BO627" s="137"/>
      <c r="BP627" s="137"/>
      <c r="BQ627" s="137"/>
    </row>
    <row r="628" spans="1:69">
      <c r="A628" s="41" t="s">
        <v>506</v>
      </c>
      <c r="C628" s="48" t="str">
        <f>C566</f>
        <v>Telkom SA</v>
      </c>
      <c r="D628" s="44" t="str">
        <f>D566</f>
        <v>ZAR 25.3</v>
      </c>
      <c r="E628" s="44" t="str">
        <f>E566</f>
        <v>ZAR 56.0</v>
      </c>
      <c r="F628" s="45">
        <f>F566</f>
        <v>1.21606648199446</v>
      </c>
      <c r="G628" s="44" t="str">
        <f>G566</f>
        <v>Neutral</v>
      </c>
      <c r="H628" s="134"/>
      <c r="I628" s="45">
        <f>TKG!$D$32/TKG!$D$11</f>
        <v>0</v>
      </c>
      <c r="J628" s="45">
        <f>TKG!$E$32/TKG!$E$11</f>
        <v>0</v>
      </c>
      <c r="K628" s="45">
        <f>TKG!$F$32/TKG!$F$11</f>
        <v>0</v>
      </c>
      <c r="L628" s="45">
        <f>TKG!$G$32/TKG!$G$11</f>
        <v>0</v>
      </c>
      <c r="M628" s="45" t="str">
        <f>TKG!$H$32</f>
        <v>nm</v>
      </c>
      <c r="N628" s="46"/>
      <c r="O628" s="45">
        <f>(TKG!$D$31+TKG!$D$32)/TKG!$D$11</f>
        <v>0.17269022263382081</v>
      </c>
      <c r="P628" s="45">
        <f>(TKG!$E$31+TKG!$E$32)/TKG!$E$11</f>
        <v>0.17344681057539141</v>
      </c>
      <c r="Q628" s="45">
        <f>(TKG!$F$31+TKG!$F$32)/TKG!$F$11</f>
        <v>0.1722121002083328</v>
      </c>
      <c r="R628" s="45">
        <f>(TKG!$G$31+TKG!$G$32)/TKG!$G$11</f>
        <v>0.17344681057539177</v>
      </c>
      <c r="S628" s="45">
        <f>TKG!$H$46</f>
        <v>1.4582676697889596E-3</v>
      </c>
      <c r="T628" s="46"/>
      <c r="U628" s="48" t="str">
        <f>U566</f>
        <v>ZAR 25.3</v>
      </c>
      <c r="V628" s="44" t="str">
        <f>V566</f>
        <v>Telkom SA</v>
      </c>
    </row>
    <row r="629" spans="1:69">
      <c r="A629" s="5"/>
      <c r="C629" s="51" t="str">
        <f>C567</f>
        <v>Agg. EMEA Incumbent</v>
      </c>
      <c r="D629" s="58"/>
      <c r="E629" s="58"/>
      <c r="F629" s="55"/>
      <c r="G629" s="58"/>
      <c r="H629" s="134"/>
      <c r="I629" s="55"/>
      <c r="J629" s="55"/>
      <c r="K629" s="55"/>
      <c r="L629" s="55"/>
      <c r="M629" s="55"/>
      <c r="N629" s="56"/>
      <c r="O629" s="55"/>
      <c r="P629" s="55"/>
      <c r="Q629" s="55"/>
      <c r="R629" s="55"/>
      <c r="S629" s="55"/>
      <c r="T629" s="56"/>
      <c r="U629" s="51"/>
      <c r="V629" s="58" t="str">
        <f>V567</f>
        <v>Agg. EMEA Incumbent</v>
      </c>
    </row>
    <row r="630" spans="1:69">
      <c r="A630" s="5"/>
      <c r="C630" s="48"/>
      <c r="D630" s="44"/>
      <c r="E630" s="44"/>
      <c r="F630" s="68"/>
      <c r="G630" s="44"/>
      <c r="H630" s="134"/>
      <c r="I630" s="61"/>
      <c r="J630" s="61"/>
      <c r="K630" s="61"/>
      <c r="L630" s="61"/>
      <c r="M630" s="61"/>
      <c r="N630" s="46"/>
      <c r="O630" s="61"/>
      <c r="P630" s="61"/>
      <c r="Q630" s="61"/>
      <c r="R630" s="61"/>
      <c r="S630" s="61"/>
      <c r="T630" s="46"/>
      <c r="U630" s="48"/>
      <c r="V630" s="44"/>
    </row>
    <row r="631" spans="1:69">
      <c r="A631" s="5"/>
      <c r="C631" s="48" t="str">
        <f t="shared" ref="C631:G634" si="160">C569</f>
        <v>America Movil</v>
      </c>
      <c r="D631" s="44" t="str">
        <f t="shared" si="160"/>
        <v>USD 16.2</v>
      </c>
      <c r="E631" s="44" t="str">
        <f t="shared" si="160"/>
        <v>USD 24.0</v>
      </c>
      <c r="F631" s="45">
        <f t="shared" si="160"/>
        <v>0.47965474722564738</v>
      </c>
      <c r="G631" s="44" t="str">
        <f t="shared" si="160"/>
        <v>Buy</v>
      </c>
      <c r="H631" s="46"/>
      <c r="I631" s="45">
        <f>AMX!$D$32/AMX!$D$11</f>
        <v>5.254803215348486E-4</v>
      </c>
      <c r="J631" s="45">
        <f>AMX!$E$32/AMX!$E$11</f>
        <v>3.9838934352645156E-4</v>
      </c>
      <c r="K631" s="45">
        <f>AMX!$F$32/AMX!$F$11</f>
        <v>-1.1949473416842653E-2</v>
      </c>
      <c r="L631" s="45">
        <f>AMX!$G$32/AMX!$G$11</f>
        <v>4.0340971869439433E-2</v>
      </c>
      <c r="M631" s="45">
        <f>AMX!$H$32</f>
        <v>3.0846814798953694</v>
      </c>
      <c r="N631" s="46"/>
      <c r="O631" s="45">
        <f>(AMX!$D$31+AMX!$D$32)/AMX!$D$11</f>
        <v>3.2337089207485396E-2</v>
      </c>
      <c r="P631" s="45">
        <f>(AMX!$E$31+AMX!$E$32)/AMX!$E$11</f>
        <v>3.4725940086511961E-2</v>
      </c>
      <c r="Q631" s="45">
        <f>(AMX!$F$31+AMX!$F$32)/AMX!$F$11</f>
        <v>2.4397345016906706E-2</v>
      </c>
      <c r="R631" s="45">
        <f>(AMX!$G$31+AMX!$G$32)/AMX!$G$11</f>
        <v>7.861467319764319E-2</v>
      </c>
      <c r="S631" s="45">
        <f>AMX!$H$46</f>
        <v>0.29229736627918079</v>
      </c>
      <c r="T631" s="46"/>
      <c r="U631" s="48" t="str">
        <f t="shared" ref="U631:V633" si="161">U569</f>
        <v>USD 16.2</v>
      </c>
      <c r="V631" s="44" t="str">
        <f t="shared" si="161"/>
        <v>America Movil</v>
      </c>
    </row>
    <row r="632" spans="1:69">
      <c r="A632" s="5"/>
      <c r="C632" s="48" t="str">
        <f t="shared" si="160"/>
        <v>Oi</v>
      </c>
      <c r="D632" s="44" t="str">
        <f t="shared" si="160"/>
        <v>BRL 1.78</v>
      </c>
      <c r="E632" s="44" t="str">
        <f t="shared" si="160"/>
        <v>BRL 0.90</v>
      </c>
      <c r="F632" s="45">
        <f t="shared" si="160"/>
        <v>-0.4943820224719101</v>
      </c>
      <c r="G632" s="44" t="str">
        <f t="shared" si="160"/>
        <v>Neutral</v>
      </c>
      <c r="H632" s="46"/>
      <c r="I632" s="45">
        <f>OIBR!$D$32/OIBR!$D$11</f>
        <v>0</v>
      </c>
      <c r="J632" s="45">
        <f>OIBR!$E$32/OIBR!$E$11</f>
        <v>0</v>
      </c>
      <c r="K632" s="45">
        <f>OIBR!$F$32/OIBR!$F$11</f>
        <v>0</v>
      </c>
      <c r="L632" s="45">
        <f>OIBR!$G$32/OIBR!$G$11</f>
        <v>0</v>
      </c>
      <c r="M632" s="45" t="str">
        <f>OIBR!$H$32</f>
        <v>nm</v>
      </c>
      <c r="N632" s="46"/>
      <c r="O632" s="45">
        <f>(OIBR!$D$31+OIBR!$D$32)/OIBR!$D$11</f>
        <v>0</v>
      </c>
      <c r="P632" s="45">
        <f>(OIBR!$E$31+OIBR!$E$32)/OIBR!$E$11</f>
        <v>0</v>
      </c>
      <c r="Q632" s="45">
        <f>(OIBR!$F$31+OIBR!$F$32)/OIBR!$F$11</f>
        <v>0</v>
      </c>
      <c r="R632" s="45">
        <f>(OIBR!$G$31+OIBR!$G$32)/OIBR!$G$11</f>
        <v>0</v>
      </c>
      <c r="S632" s="45" t="str">
        <f>IFERROR(OIBR!$H$46,"na")</f>
        <v>na</v>
      </c>
      <c r="T632" s="46"/>
      <c r="U632" s="48" t="str">
        <f t="shared" si="161"/>
        <v>BRL 1.78</v>
      </c>
      <c r="V632" s="44" t="str">
        <f t="shared" si="161"/>
        <v>Oi</v>
      </c>
      <c r="Z632" s="49"/>
    </row>
    <row r="633" spans="1:69">
      <c r="A633" s="5"/>
      <c r="C633" s="48" t="str">
        <f t="shared" si="160"/>
        <v>Telefonica Brasil</v>
      </c>
      <c r="D633" s="44" t="str">
        <f t="shared" si="160"/>
        <v>BRL 45.90</v>
      </c>
      <c r="E633" s="44" t="str">
        <f t="shared" si="160"/>
        <v>BRL 61.00</v>
      </c>
      <c r="F633" s="45">
        <f t="shared" si="160"/>
        <v>0.32897603485838789</v>
      </c>
      <c r="G633" s="44" t="str">
        <f t="shared" si="160"/>
        <v>Buy</v>
      </c>
      <c r="H633" s="46"/>
      <c r="I633" s="45">
        <f>VIVO!$D$32/VIVO!$D$11</f>
        <v>0</v>
      </c>
      <c r="J633" s="45">
        <f>VIVO!$E$32/VIVO!$E$11</f>
        <v>0</v>
      </c>
      <c r="K633" s="45">
        <f>VIVO!$F$32/VIVO!$F$11</f>
        <v>0</v>
      </c>
      <c r="L633" s="45">
        <f>VIVO!$G$32/VIVO!$G$11</f>
        <v>0</v>
      </c>
      <c r="M633" s="45" t="str">
        <f>VIVO!$H$32</f>
        <v>nm</v>
      </c>
      <c r="N633" s="46"/>
      <c r="O633" s="45">
        <f>(VIVO!$D$31+VIVO!$D$32)/VIVO!$D$11</f>
        <v>5.1242151333636236E-2</v>
      </c>
      <c r="P633" s="45">
        <f>(VIVO!$E$31+VIVO!$E$32)/VIVO!$E$11</f>
        <v>6.027694284929852E-2</v>
      </c>
      <c r="Q633" s="45">
        <f>(VIVO!$F$31+VIVO!$F$32)/VIVO!$F$11</f>
        <v>8.1202177954654287E-2</v>
      </c>
      <c r="R633" s="45">
        <f>(VIVO!$G$31+VIVO!$G$32)/VIVO!$G$11</f>
        <v>9.784837611594735E-2</v>
      </c>
      <c r="S633" s="45">
        <f>VIVO!$H$46</f>
        <v>0.2313174684450654</v>
      </c>
      <c r="T633" s="46"/>
      <c r="U633" s="48" t="str">
        <f t="shared" si="161"/>
        <v>BRL 45.90</v>
      </c>
      <c r="V633" s="44" t="str">
        <f t="shared" si="161"/>
        <v>Telefonica Brasil</v>
      </c>
      <c r="X633" s="45"/>
      <c r="Y633" s="45"/>
      <c r="Z633" s="49"/>
    </row>
    <row r="634" spans="1:69">
      <c r="A634" s="5"/>
      <c r="C634" s="48" t="str">
        <f t="shared" si="160"/>
        <v>Televisa</v>
      </c>
      <c r="D634" s="44" t="str">
        <f t="shared" si="160"/>
        <v>USD 3.1</v>
      </c>
      <c r="E634" s="44" t="str">
        <f t="shared" si="160"/>
        <v>USD 3.7</v>
      </c>
      <c r="F634" s="45">
        <f t="shared" si="160"/>
        <v>0.17834394904458595</v>
      </c>
      <c r="G634" s="44" t="str">
        <f t="shared" si="160"/>
        <v>Neutral</v>
      </c>
      <c r="H634" s="46"/>
      <c r="I634" s="45">
        <f>TVIS!$D$32/TVIS!$D$11</f>
        <v>0</v>
      </c>
      <c r="J634" s="45">
        <f>TVIS!$E$32/TVIS!$E$11</f>
        <v>0</v>
      </c>
      <c r="K634" s="45">
        <f>TVIS!$F$32/TVIS!$F$11</f>
        <v>0</v>
      </c>
      <c r="L634" s="45">
        <f>TVIS!$G$32/TVIS!$G$11</f>
        <v>0</v>
      </c>
      <c r="M634" s="45" t="str">
        <f>TVIS!$H$32</f>
        <v>nm</v>
      </c>
      <c r="N634" s="46"/>
      <c r="O634" s="45">
        <f>(TVIS!$D$31+TVIS!$D$32)/TVIS!$D$11</f>
        <v>3.389647525651035E-2</v>
      </c>
      <c r="P634" s="45">
        <f>(TVIS!$E$31+TVIS!$E$32)/TVIS!$E$11</f>
        <v>3.389647525651035E-2</v>
      </c>
      <c r="Q634" s="45">
        <f>(TVIS!$F$31+TVIS!$F$32)/TVIS!$F$11</f>
        <v>3.389647525651035E-2</v>
      </c>
      <c r="R634" s="45">
        <f>(TVIS!$G$31+TVIS!$G$32)/TVIS!$G$11</f>
        <v>3.389647525651035E-2</v>
      </c>
      <c r="S634" s="45">
        <f>TVIS!$H$46</f>
        <v>0</v>
      </c>
      <c r="T634" s="46"/>
      <c r="U634" s="48" t="str">
        <f>U572</f>
        <v>USD 3.1</v>
      </c>
      <c r="V634" s="44" t="s">
        <v>673</v>
      </c>
      <c r="Z634" s="49"/>
    </row>
    <row r="635" spans="1:69">
      <c r="A635" s="5"/>
      <c r="C635" s="51" t="str">
        <f>C573</f>
        <v>Agg. LatAm Incumbent</v>
      </c>
      <c r="D635" s="52"/>
      <c r="E635" s="52"/>
      <c r="F635" s="53"/>
      <c r="G635" s="52"/>
      <c r="H635" s="46"/>
      <c r="I635" s="55">
        <f>'LATAM INCUMB'!$D$32/'LATAM INCUMB'!$D$11</f>
        <v>3.9194225197645988E-4</v>
      </c>
      <c r="J635" s="55">
        <f>'LATAM INCUMB'!$E$32/'LATAM INCUMB'!$E$11</f>
        <v>2.9506419618642127E-4</v>
      </c>
      <c r="K635" s="55">
        <f>'LATAM INCUMB'!$F$32/'LATAM INCUMB'!$F$11</f>
        <v>-8.7668343837557314E-3</v>
      </c>
      <c r="L635" s="55">
        <f>'LATAM INCUMB'!$G$32/'LATAM INCUMB'!$G$11</f>
        <v>2.9307971543057223E-2</v>
      </c>
      <c r="M635" s="55">
        <f>'LATAM INCUMB'!$H$32</f>
        <v>3.0846814798953694</v>
      </c>
      <c r="N635" s="56"/>
      <c r="O635" s="55">
        <f>('LATAM INCUMB'!$D$31+'LATAM INCUMB'!$D$32)/'LATAM INCUMB'!$D$11</f>
        <v>3.6168407328364835E-2</v>
      </c>
      <c r="P635" s="55">
        <f>('LATAM INCUMB'!$E$31+'LATAM INCUMB'!$E$32)/'LATAM INCUMB'!$E$11</f>
        <v>4.0015836588525255E-2</v>
      </c>
      <c r="Q635" s="55">
        <f>('LATAM INCUMB'!$F$31+'LATAM INCUMB'!$F$32)/'LATAM INCUMB'!$F$11</f>
        <v>3.7334375846412596E-2</v>
      </c>
      <c r="R635" s="55">
        <f>('LATAM INCUMB'!$G$31+'LATAM INCUMB'!$G$32)/'LATAM INCUMB'!$G$11</f>
        <v>8.0938216079071201E-2</v>
      </c>
      <c r="S635" s="55">
        <f>'LATAM INCUMB'!$H$46</f>
        <v>0.26817265579733318</v>
      </c>
      <c r="T635" s="46"/>
      <c r="U635" s="57"/>
      <c r="V635" s="58" t="str">
        <f>V573</f>
        <v>Agg. LatAm Incumbent</v>
      </c>
      <c r="W635" s="68"/>
      <c r="Z635" s="49"/>
    </row>
    <row r="636" spans="1:69">
      <c r="C636" s="48"/>
      <c r="D636" s="44"/>
      <c r="E636" s="44"/>
      <c r="F636" s="45"/>
      <c r="G636" s="44"/>
      <c r="H636" s="46"/>
      <c r="I636" s="45"/>
      <c r="J636" s="45"/>
      <c r="K636" s="45"/>
      <c r="L636" s="45"/>
      <c r="M636" s="45"/>
      <c r="N636" s="56"/>
      <c r="O636" s="45"/>
      <c r="P636" s="45"/>
      <c r="Q636" s="45"/>
      <c r="R636" s="45"/>
      <c r="S636" s="45"/>
      <c r="T636" s="46"/>
      <c r="U636" s="48"/>
      <c r="V636" s="50"/>
      <c r="Z636" s="49"/>
    </row>
    <row r="637" spans="1:69">
      <c r="A637" s="5"/>
      <c r="C637" s="48" t="str">
        <f t="shared" ref="C637:G641" si="162">C575</f>
        <v>China Telecom</v>
      </c>
      <c r="D637" s="44" t="str">
        <f t="shared" si="162"/>
        <v>HKD 4.44</v>
      </c>
      <c r="E637" s="44" t="str">
        <f t="shared" si="162"/>
        <v>HKD 8.75</v>
      </c>
      <c r="F637" s="45">
        <f t="shared" si="162"/>
        <v>0.97072072072072046</v>
      </c>
      <c r="G637" s="44" t="str">
        <f t="shared" si="162"/>
        <v>Buy</v>
      </c>
      <c r="H637" s="46"/>
      <c r="I637" s="45">
        <f>_CT!$D$32/_CT!$D$11</f>
        <v>0</v>
      </c>
      <c r="J637" s="45">
        <f>_CT!$E$32/_CT!$E$11</f>
        <v>0</v>
      </c>
      <c r="K637" s="45">
        <f>_CT!$F$32/_CT!$F$11</f>
        <v>0</v>
      </c>
      <c r="L637" s="45">
        <f>_CT!$G$32/_CT!$G$11</f>
        <v>0</v>
      </c>
      <c r="M637" s="45" t="str">
        <f>_CT!$H$32</f>
        <v>nm</v>
      </c>
      <c r="N637" s="56"/>
      <c r="O637" s="169">
        <f>(_CT!$D$31+_CT!$D$32)/_CT!$D$11</f>
        <v>5.6645418745821789E-2</v>
      </c>
      <c r="P637" s="169">
        <f>(_CT!$E$31+_CT!$E$32)/_CT!$E$11</f>
        <v>6.2628579533314604E-2</v>
      </c>
      <c r="Q637" s="169">
        <f>(_CT!$F$31+_CT!$F$32)/_CT!$F$11</f>
        <v>7.2259878137824335E-2</v>
      </c>
      <c r="R637" s="169">
        <f>(_CT!$G$31+_CT!$G$32)/_CT!$G$11</f>
        <v>8.7699197999149672E-2</v>
      </c>
      <c r="S637" s="169">
        <f>_CT!$H$46</f>
        <v>0.15684971358067301</v>
      </c>
      <c r="T637" s="46"/>
      <c r="U637" s="48" t="str">
        <f t="shared" ref="U637:V641" si="163">U575</f>
        <v>HKD 4.44</v>
      </c>
      <c r="V637" s="44" t="str">
        <f t="shared" si="163"/>
        <v>China Telecom</v>
      </c>
      <c r="Z637" s="49"/>
    </row>
    <row r="638" spans="1:69">
      <c r="A638" s="5"/>
      <c r="C638" s="48" t="str">
        <f t="shared" si="162"/>
        <v>China Unicom</v>
      </c>
      <c r="D638" s="44" t="str">
        <f t="shared" si="162"/>
        <v>HKD 6.20</v>
      </c>
      <c r="E638" s="44" t="str">
        <f t="shared" si="162"/>
        <v>HKD 13.20</v>
      </c>
      <c r="F638" s="45">
        <f t="shared" si="162"/>
        <v>1.129032258064516</v>
      </c>
      <c r="G638" s="44" t="str">
        <f t="shared" si="162"/>
        <v>Buy</v>
      </c>
      <c r="H638" s="46"/>
      <c r="I638" s="45">
        <f>_CU!$D$32/_CU!$D$11</f>
        <v>0</v>
      </c>
      <c r="J638" s="45">
        <f>_CU!$E$32/_CU!$E$11</f>
        <v>0</v>
      </c>
      <c r="K638" s="45">
        <f>_CU!$F$32/_CU!$F$11</f>
        <v>0</v>
      </c>
      <c r="L638" s="45">
        <f>_CU!$G$32/_CU!$G$11</f>
        <v>0</v>
      </c>
      <c r="M638" s="45" t="str">
        <f>_CU!$H$32</f>
        <v>nm</v>
      </c>
      <c r="N638" s="56"/>
      <c r="O638" s="169">
        <f>(_CU!$D$31+_CU!$D$32)/_CU!$D$11</f>
        <v>5.8551987009147391E-2</v>
      </c>
      <c r="P638" s="169">
        <f>(_CU!$E$31+_CU!$E$32)/_CU!$E$11</f>
        <v>7.3917836762294284E-2</v>
      </c>
      <c r="Q638" s="169">
        <f>(_CU!$F$31+_CU!$F$32)/_CU!$F$11</f>
        <v>9.6568384341391797E-2</v>
      </c>
      <c r="R638" s="169">
        <f>(_CU!$G$31+_CU!$G$32)/_CU!$G$11</f>
        <v>0.12191376007111471</v>
      </c>
      <c r="S638" s="169">
        <f>_CU!$H$46</f>
        <v>0.27693962168686048</v>
      </c>
      <c r="T638" s="46"/>
      <c r="U638" s="48" t="str">
        <f t="shared" si="163"/>
        <v>HKD 6.20</v>
      </c>
      <c r="V638" s="44" t="str">
        <f t="shared" si="163"/>
        <v>China Unicom</v>
      </c>
      <c r="Z638" s="49"/>
    </row>
    <row r="639" spans="1:69">
      <c r="C639" s="48" t="str">
        <f t="shared" si="162"/>
        <v>Chunghwa Telecom</v>
      </c>
      <c r="D639" s="44" t="str">
        <f t="shared" si="162"/>
        <v>TWD 127.00</v>
      </c>
      <c r="E639" s="44" t="str">
        <f t="shared" si="162"/>
        <v>TWD n/r</v>
      </c>
      <c r="F639" s="45" t="str">
        <f t="shared" si="162"/>
        <v>-</v>
      </c>
      <c r="G639" s="44" t="str">
        <f t="shared" si="162"/>
        <v>n/r</v>
      </c>
      <c r="H639" s="46"/>
      <c r="I639" s="45">
        <f>CHUNG!$D$32/CHUNG!$D$11</f>
        <v>0</v>
      </c>
      <c r="J639" s="45">
        <f>CHUNG!$E$32/CHUNG!$E$11</f>
        <v>0</v>
      </c>
      <c r="K639" s="45">
        <f>CHUNG!$F$32/CHUNG!$F$11</f>
        <v>0</v>
      </c>
      <c r="L639" s="45">
        <f>CHUNG!$G$32/CHUNG!$G$11</f>
        <v>0</v>
      </c>
      <c r="M639" s="45" t="str">
        <f>CHUNG!$H$32</f>
        <v>nm</v>
      </c>
      <c r="N639" s="56"/>
      <c r="O639" s="45">
        <f>(CHUNG!$D$31+CHUNG!$D$32)/CHUNG!$D$11</f>
        <v>3.5968116729568914E-2</v>
      </c>
      <c r="P639" s="45">
        <f>(CHUNG!$E$31+CHUNG!$E$32)/CHUNG!$E$11</f>
        <v>3.7682673984351364E-2</v>
      </c>
      <c r="Q639" s="45">
        <f>(CHUNG!$F$31+CHUNG!$F$32)/CHUNG!$F$11</f>
        <v>3.9733889402213528E-2</v>
      </c>
      <c r="R639" s="45">
        <f>(CHUNG!$G$31+CHUNG!$G$32)/CHUNG!$G$11</f>
        <v>4.1911308728350402E-2</v>
      </c>
      <c r="S639" s="45">
        <f>CHUNG!$H$46</f>
        <v>5.2295809971018903E-2</v>
      </c>
      <c r="T639" s="46"/>
      <c r="U639" s="48" t="str">
        <f t="shared" si="163"/>
        <v>TWD 127.00</v>
      </c>
      <c r="V639" s="44" t="str">
        <f t="shared" si="163"/>
        <v>Chunghwa Telecom</v>
      </c>
      <c r="Z639" s="49"/>
    </row>
    <row r="640" spans="1:69">
      <c r="C640" s="48" t="str">
        <f t="shared" si="162"/>
        <v>KT Corp</v>
      </c>
      <c r="D640" s="44" t="str">
        <f t="shared" si="162"/>
        <v>KRW 36,350</v>
      </c>
      <c r="E640" s="44" t="str">
        <f t="shared" si="162"/>
        <v>KRW 70,000</v>
      </c>
      <c r="F640" s="45">
        <f t="shared" si="162"/>
        <v>0.92572214580467671</v>
      </c>
      <c r="G640" s="44" t="str">
        <f t="shared" si="162"/>
        <v>Buy</v>
      </c>
      <c r="H640" s="46"/>
      <c r="I640" s="45">
        <f>_KT!$D$32/_KT!$D$11</f>
        <v>0</v>
      </c>
      <c r="J640" s="45">
        <f>_KT!$E$32/_KT!$E$11</f>
        <v>0</v>
      </c>
      <c r="K640" s="45">
        <f>_KT!$F$32/_KT!$F$11</f>
        <v>1.2541766274504639E-2</v>
      </c>
      <c r="L640" s="45">
        <f>_KT!$G$32/_KT!$G$11</f>
        <v>2.1174995741890558E-2</v>
      </c>
      <c r="M640" s="45" t="str">
        <f>_KT!$H$32</f>
        <v>nm</v>
      </c>
      <c r="N640" s="56"/>
      <c r="O640" s="45">
        <f>(_KT!$D$31+_KT!$D$32)/_KT!$D$11</f>
        <v>5.3920220082530952E-2</v>
      </c>
      <c r="P640" s="45">
        <f>(_KT!$E$31+_KT!$E$32)/_KT!$E$11</f>
        <v>5.6649388422948761E-2</v>
      </c>
      <c r="Q640" s="45">
        <f>(_KT!$F$31+_KT!$F$32)/_KT!$F$11</f>
        <v>7.8637955752969765E-2</v>
      </c>
      <c r="R640" s="45">
        <f>(_KT!$G$31+_KT!$G$32)/_KT!$G$11</f>
        <v>9.6418416922213576E-2</v>
      </c>
      <c r="S640" s="45">
        <f>IFERROR(_KT!$H$46,"na")</f>
        <v>0.22215597630260597</v>
      </c>
      <c r="T640" s="46"/>
      <c r="U640" s="48" t="str">
        <f t="shared" si="163"/>
        <v>KRW 36,350</v>
      </c>
      <c r="V640" s="44" t="str">
        <f t="shared" si="163"/>
        <v>KT Corp</v>
      </c>
      <c r="Z640" s="49"/>
      <c r="AC640" s="63"/>
    </row>
    <row r="641" spans="1:26">
      <c r="C641" s="48" t="str">
        <f t="shared" si="162"/>
        <v>PT Telkom</v>
      </c>
      <c r="D641" s="44" t="str">
        <f t="shared" si="162"/>
        <v>IDR 2,940</v>
      </c>
      <c r="E641" s="44" t="str">
        <f t="shared" si="162"/>
        <v>IDR 5,000</v>
      </c>
      <c r="F641" s="45">
        <f t="shared" si="162"/>
        <v>0.70068027210884343</v>
      </c>
      <c r="G641" s="44" t="str">
        <f t="shared" si="162"/>
        <v>Buy</v>
      </c>
      <c r="H641" s="46"/>
      <c r="I641" s="45">
        <f>PTT!$D$32/PTT!$D$11</f>
        <v>0</v>
      </c>
      <c r="J641" s="45">
        <f>PTT!$E$32/PTT!$E$11</f>
        <v>0</v>
      </c>
      <c r="K641" s="45">
        <f>PTT!$F$32/PTT!$F$11</f>
        <v>0</v>
      </c>
      <c r="L641" s="45">
        <f>PTT!$G$32/PTT!$G$11</f>
        <v>0</v>
      </c>
      <c r="M641" s="45" t="str">
        <f>PTT!$H$32</f>
        <v>nm</v>
      </c>
      <c r="N641" s="56"/>
      <c r="O641" s="169">
        <f>(PTT!$D$31+PTT!$D$32)/PTT!$D$11</f>
        <v>6.0714285714285714E-2</v>
      </c>
      <c r="P641" s="169">
        <f>(PTT!$E$31+PTT!$E$32)/PTT!$E$11</f>
        <v>6.974719062972741E-2</v>
      </c>
      <c r="Q641" s="169">
        <f>(PTT!$F$31+PTT!$F$32)/PTT!$F$11</f>
        <v>8.1962104006899045E-2</v>
      </c>
      <c r="R641" s="169">
        <f>(PTT!$G$31+PTT!$G$32)/PTT!$G$11</f>
        <v>9.3371189721306536E-2</v>
      </c>
      <c r="S641" s="169">
        <f>PTT!$H$46</f>
        <v>0.15426980299800741</v>
      </c>
      <c r="T641" s="46"/>
      <c r="U641" s="48" t="str">
        <f t="shared" si="163"/>
        <v>IDR 2,940</v>
      </c>
      <c r="V641" s="44" t="str">
        <f t="shared" si="163"/>
        <v>PT Telkom</v>
      </c>
      <c r="Z641" s="49"/>
    </row>
    <row r="642" spans="1:26">
      <c r="C642" s="51" t="str">
        <f>C580</f>
        <v>Agg. Emerging Asia Incumbent</v>
      </c>
      <c r="D642" s="52"/>
      <c r="E642" s="52"/>
      <c r="F642" s="53"/>
      <c r="G642" s="52"/>
      <c r="H642" s="46"/>
      <c r="I642" s="55">
        <f>'EM ASIA INCUMB'!$D$32/'EM ASIA INCUMB'!$D$11</f>
        <v>0</v>
      </c>
      <c r="J642" s="55">
        <f>'EM ASIA INCUMB'!$E$32/'EM ASIA INCUMB'!$E$11</f>
        <v>0</v>
      </c>
      <c r="K642" s="55">
        <f>'EM ASIA INCUMB'!$F$32/'EM ASIA INCUMB'!$F$11</f>
        <v>9.0343950194213058E-6</v>
      </c>
      <c r="L642" s="55">
        <f>'EM ASIA INCUMB'!$G$32/'EM ASIA INCUMB'!$G$11</f>
        <v>1.5253296216792983E-5</v>
      </c>
      <c r="M642" s="55" t="str">
        <f>'EM ASIA INCUMB'!$H$32</f>
        <v>nm</v>
      </c>
      <c r="N642" s="56"/>
      <c r="O642" s="55">
        <f>('EM ASIA INCUMB'!$D$31+'EM ASIA INCUMB'!$D$32)/'EM ASIA INCUMB'!$D$11</f>
        <v>7.6233092692546691E-4</v>
      </c>
      <c r="P642" s="55">
        <f>('EM ASIA INCUMB'!$E$31+'EM ASIA INCUMB'!$E$32)/'EM ASIA INCUMB'!$E$11</f>
        <v>8.4692353742656752E-4</v>
      </c>
      <c r="Q642" s="55">
        <f>('EM ASIA INCUMB'!$F$31+'EM ASIA INCUMB'!$F$32)/'EM ASIA INCUMB'!$F$11</f>
        <v>1.006879531652376E-3</v>
      </c>
      <c r="R642" s="55">
        <f>('EM ASIA INCUMB'!$G$31+'EM ASIA INCUMB'!$G$32)/'EM ASIA INCUMB'!$G$11</f>
        <v>1.2022778539476277E-3</v>
      </c>
      <c r="S642" s="55">
        <f>'EM ASIA INCUMB'!$H$46</f>
        <v>0.17193504695804629</v>
      </c>
      <c r="T642" s="46"/>
      <c r="U642" s="57"/>
      <c r="V642" s="58" t="str">
        <f>V580</f>
        <v>Agg. Emerging Asia Incumbent</v>
      </c>
      <c r="Z642" s="49"/>
    </row>
    <row r="643" spans="1:26">
      <c r="C643" s="43"/>
      <c r="D643" s="44"/>
      <c r="E643" s="44"/>
      <c r="F643" s="68"/>
      <c r="G643" s="44"/>
      <c r="H643" s="46"/>
      <c r="I643" s="61"/>
      <c r="J643" s="61"/>
      <c r="K643" s="61"/>
      <c r="L643" s="61"/>
      <c r="M643" s="61"/>
      <c r="N643" s="56"/>
      <c r="O643" s="61"/>
      <c r="P643" s="61"/>
      <c r="Q643" s="61"/>
      <c r="R643" s="61"/>
      <c r="S643" s="61"/>
      <c r="T643" s="46"/>
      <c r="U643" s="48"/>
      <c r="V643" s="50"/>
      <c r="Z643" s="49"/>
    </row>
    <row r="644" spans="1:26">
      <c r="C644" s="51" t="str">
        <f>C582</f>
        <v>Agg. Emerging Incumbent</v>
      </c>
      <c r="D644" s="52"/>
      <c r="E644" s="52"/>
      <c r="F644" s="53"/>
      <c r="G644" s="52"/>
      <c r="H644" s="46"/>
      <c r="I644" s="55">
        <f>'EM INCUMB'!$D$32/'EM INCUMB'!$D$11</f>
        <v>2.9039612386419301E-6</v>
      </c>
      <c r="J644" s="55">
        <f>'EM INCUMB'!$E$32/'EM INCUMB'!$E$11</f>
        <v>2.0887171905456229E-6</v>
      </c>
      <c r="K644" s="55">
        <f>'EM INCUMB'!$F$32/'EM INCUMB'!$F$11</f>
        <v>-5.1096738773387328E-5</v>
      </c>
      <c r="L644" s="55">
        <f>'EM INCUMB'!$G$32/'EM INCUMB'!$G$11</f>
        <v>2.0922238920200359E-4</v>
      </c>
      <c r="M644" s="55">
        <f>'EM INCUMB'!$H$32</f>
        <v>3.1883266654149489</v>
      </c>
      <c r="N644" s="56"/>
      <c r="O644" s="55">
        <f>('EM INCUMB'!$D$31+'EM INCUMB'!$D$32)/'EM INCUMB'!$D$11</f>
        <v>1.0374108915053846E-3</v>
      </c>
      <c r="P644" s="55">
        <f>('EM INCUMB'!$E$31+'EM INCUMB'!$E$32)/'EM INCUMB'!$E$11</f>
        <v>1.1367413289027294E-3</v>
      </c>
      <c r="Q644" s="55">
        <f>('EM INCUMB'!$F$31+'EM INCUMB'!$F$32)/'EM INCUMB'!$F$11</f>
        <v>1.2682363145756529E-3</v>
      </c>
      <c r="R644" s="55">
        <f>('EM INCUMB'!$G$31+'EM INCUMB'!$G$32)/'EM INCUMB'!$G$11</f>
        <v>1.7427990175788118E-3</v>
      </c>
      <c r="S644" s="55">
        <f>'EM INCUMB'!$H$46</f>
        <v>0.19655757517991312</v>
      </c>
      <c r="T644" s="46"/>
      <c r="U644" s="57"/>
      <c r="V644" s="58" t="str">
        <f>V582</f>
        <v>Agg. Emerging Incumbent</v>
      </c>
      <c r="Z644" s="49"/>
    </row>
    <row r="645" spans="1:26">
      <c r="C645" s="43"/>
      <c r="D645" s="44"/>
      <c r="E645" s="44"/>
      <c r="F645" s="45"/>
      <c r="G645" s="44"/>
      <c r="H645" s="46"/>
      <c r="I645" s="45"/>
      <c r="J645" s="45"/>
      <c r="K645" s="45"/>
      <c r="L645" s="45"/>
      <c r="M645" s="45"/>
      <c r="N645" s="56"/>
      <c r="O645" s="45"/>
      <c r="P645" s="45"/>
      <c r="Q645" s="45"/>
      <c r="R645" s="45"/>
      <c r="S645" s="45"/>
      <c r="T645" s="46"/>
      <c r="U645" s="48"/>
      <c r="V645" s="50"/>
      <c r="Z645" s="49"/>
    </row>
    <row r="646" spans="1:26">
      <c r="A646" s="41" t="s">
        <v>507</v>
      </c>
      <c r="C646" s="48" t="str">
        <f t="shared" ref="C646:G652" si="164">C584</f>
        <v>Airtel Africa</v>
      </c>
      <c r="D646" s="44" t="str">
        <f t="shared" si="164"/>
        <v>USD 1.21</v>
      </c>
      <c r="E646" s="44" t="str">
        <f t="shared" si="164"/>
        <v>USD 1.50</v>
      </c>
      <c r="F646" s="45">
        <f t="shared" si="164"/>
        <v>0.2396694214876034</v>
      </c>
      <c r="G646" s="44" t="str">
        <f t="shared" si="164"/>
        <v>Buy</v>
      </c>
      <c r="H646" s="46"/>
      <c r="I646" s="45">
        <f>AAF!$D$32/AAF!$D$11</f>
        <v>0</v>
      </c>
      <c r="J646" s="45">
        <f>AAF!$E$32/AAF!$E$11</f>
        <v>0</v>
      </c>
      <c r="K646" s="45">
        <f>AAF!$F$32/AAF!$F$11</f>
        <v>0</v>
      </c>
      <c r="L646" s="45">
        <f>AAF!$G$32/AAF!$G$11</f>
        <v>0</v>
      </c>
      <c r="M646" s="45" t="str">
        <f>AAF!$H$32</f>
        <v>nm</v>
      </c>
      <c r="N646" s="56"/>
      <c r="O646" s="169">
        <f>(AAF!$D$31+AAF!$D$32)/AAF!$D$11</f>
        <v>-3.6655976611570253E-2</v>
      </c>
      <c r="P646" s="169">
        <f>(AAF!$E$31+AAF!$E$32)/AAF!$E$11</f>
        <v>-3.9803137861811173E-2</v>
      </c>
      <c r="Q646" s="169">
        <f>(AAF!$F$31+AAF!$F$32)/AAF!$F$11</f>
        <v>-4.3205394025619848E-2</v>
      </c>
      <c r="R646" s="169">
        <f>(AAF!$G$31+AAF!$G$32)/AAF!$G$11</f>
        <v>-4.833329591056449E-2</v>
      </c>
      <c r="S646" s="169">
        <f>AAF!$H$46</f>
        <v>8.8911655055702976E-2</v>
      </c>
      <c r="T646" s="46"/>
      <c r="U646" s="48" t="str">
        <f t="shared" ref="U646:V652" si="165">U584</f>
        <v>USD 1.21</v>
      </c>
      <c r="V646" s="44" t="str">
        <f t="shared" si="165"/>
        <v>Airtel Africa</v>
      </c>
      <c r="Z646" s="49"/>
    </row>
    <row r="647" spans="1:26">
      <c r="A647" s="41"/>
      <c r="C647" s="48" t="str">
        <f t="shared" si="164"/>
        <v>MobileTeleSystems</v>
      </c>
      <c r="D647" s="44" t="str">
        <f t="shared" si="164"/>
        <v>USD 10.00</v>
      </c>
      <c r="E647" s="44" t="str">
        <f t="shared" si="164"/>
        <v>USD 10.10</v>
      </c>
      <c r="F647" s="45">
        <f t="shared" si="164"/>
        <v>1.0000000000000009E-2</v>
      </c>
      <c r="G647" s="44" t="str">
        <f t="shared" si="164"/>
        <v>Buy</v>
      </c>
      <c r="H647" s="46"/>
      <c r="I647" s="45">
        <f>MTS!$D$32/MTS!$D$11</f>
        <v>1.9165598706802664E-2</v>
      </c>
      <c r="J647" s="45">
        <f>MTS!$E$32/MTS!$E$11</f>
        <v>1.3469638605593116E-2</v>
      </c>
      <c r="K647" s="45">
        <f>MTS!$F$32/MTS!$F$11</f>
        <v>3.5108026763730329E-2</v>
      </c>
      <c r="L647" s="45">
        <f>MTS!$G$32/MTS!$G$11</f>
        <v>0</v>
      </c>
      <c r="M647" s="45" t="str">
        <f>MTS!$H$32</f>
        <v>nm</v>
      </c>
      <c r="N647" s="56"/>
      <c r="O647" s="169">
        <f>(MTS!$D$31+MTS!$D$32)/MTS!$D$11</f>
        <v>6.9358569390442756E-2</v>
      </c>
      <c r="P647" s="169">
        <f>(MTS!$E$31+MTS!$E$32)/MTS!$E$11</f>
        <v>6.4708400222844062E-2</v>
      </c>
      <c r="Q647" s="169">
        <f>(MTS!$F$31+MTS!$F$32)/MTS!$F$11</f>
        <v>8.7414368793515732E-2</v>
      </c>
      <c r="R647" s="169">
        <f>(MTS!$G$31+MTS!$G$32)/MTS!$G$11</f>
        <v>5.339616591388812E-2</v>
      </c>
      <c r="S647" s="169">
        <f>MTS!$H$46</f>
        <v>-8.3491179338755828E-2</v>
      </c>
      <c r="T647" s="46"/>
      <c r="U647" s="48" t="str">
        <f t="shared" si="165"/>
        <v>USD 10.00</v>
      </c>
      <c r="V647" s="44" t="str">
        <f t="shared" si="165"/>
        <v>MobileTeleSystems</v>
      </c>
      <c r="Z647" s="49"/>
    </row>
    <row r="648" spans="1:26">
      <c r="C648" s="48" t="str">
        <f t="shared" si="164"/>
        <v>MTN</v>
      </c>
      <c r="D648" s="44" t="str">
        <f t="shared" si="164"/>
        <v>ZAR 86.08</v>
      </c>
      <c r="E648" s="44" t="str">
        <f t="shared" si="164"/>
        <v>ZAR 130.00</v>
      </c>
      <c r="F648" s="45">
        <f t="shared" si="164"/>
        <v>0.5102230483271375</v>
      </c>
      <c r="G648" s="44" t="str">
        <f t="shared" si="164"/>
        <v>Buy</v>
      </c>
      <c r="H648" s="46"/>
      <c r="I648" s="45">
        <f>MTN!$D$32/MTN!$D$11</f>
        <v>0</v>
      </c>
      <c r="J648" s="45">
        <f>MTN!$E$32/MTN!$E$11</f>
        <v>0</v>
      </c>
      <c r="K648" s="45">
        <f>MTN!$F$32/MTN!$F$11</f>
        <v>0</v>
      </c>
      <c r="L648" s="45">
        <f>MTN!$G$32/MTN!$G$11</f>
        <v>0</v>
      </c>
      <c r="M648" s="45" t="str">
        <f>MTN!$H$32</f>
        <v>nm</v>
      </c>
      <c r="N648" s="56"/>
      <c r="O648" s="169">
        <f>(MTN!$D$31+MTN!$D$32)/MTN!$D$11</f>
        <v>3.8336431226765798E-2</v>
      </c>
      <c r="P648" s="169">
        <f>(MTN!$E$31+MTN!$E$32)/MTN!$E$11</f>
        <v>4.217007434944238E-2</v>
      </c>
      <c r="Q648" s="169">
        <f>(MTN!$F$31+MTN!$F$32)/MTN!$F$11</f>
        <v>4.6387081784386622E-2</v>
      </c>
      <c r="R648" s="169">
        <f>(MTN!$G$31+MTN!$G$32)/MTN!$G$11</f>
        <v>5.1025789962825287E-2</v>
      </c>
      <c r="S648" s="169">
        <f>MTN!$H$46</f>
        <v>0.10000000000000009</v>
      </c>
      <c r="T648" s="46"/>
      <c r="U648" s="48" t="str">
        <f t="shared" si="165"/>
        <v>ZAR 86.08</v>
      </c>
      <c r="V648" s="44" t="str">
        <f t="shared" si="165"/>
        <v>MTN</v>
      </c>
      <c r="Z648" s="49"/>
    </row>
    <row r="649" spans="1:26">
      <c r="C649" s="48" t="str">
        <f t="shared" si="164"/>
        <v>Safaricom</v>
      </c>
      <c r="D649" s="44" t="str">
        <f t="shared" si="164"/>
        <v>KES 17.75</v>
      </c>
      <c r="E649" s="44" t="str">
        <f t="shared" si="164"/>
        <v>KES 17.0</v>
      </c>
      <c r="F649" s="45">
        <f t="shared" si="164"/>
        <v>-4.2253521126760618E-2</v>
      </c>
      <c r="G649" s="44" t="str">
        <f t="shared" si="164"/>
        <v>Neutral</v>
      </c>
      <c r="H649" s="46"/>
      <c r="I649" s="45">
        <f>SAF!$D$32/SAF!$D$11</f>
        <v>0</v>
      </c>
      <c r="J649" s="45">
        <f>SAF!$E$32/SAF!$E$11</f>
        <v>0</v>
      </c>
      <c r="K649" s="45">
        <f>SAF!$F$32/SAF!$F$11</f>
        <v>0</v>
      </c>
      <c r="L649" s="45">
        <f>SAF!$G$32/SAF!$G$11</f>
        <v>0</v>
      </c>
      <c r="M649" s="45" t="str">
        <f>SAF!$H$32</f>
        <v>nm</v>
      </c>
      <c r="N649" s="56"/>
      <c r="O649" s="169">
        <f>(SAF!$D$31+SAF!$D$32)/SAF!$D$11</f>
        <v>5.6210406939611296E-2</v>
      </c>
      <c r="P649" s="169">
        <f>(SAF!$E$31+SAF!$E$32)/SAF!$E$11</f>
        <v>7.3105123268065023E-2</v>
      </c>
      <c r="Q649" s="169">
        <f>(SAF!$F$31+SAF!$F$32)/SAF!$F$11</f>
        <v>8.8759272834446026E-2</v>
      </c>
      <c r="R649" s="169">
        <f>(SAF!$G$31+SAF!$G$32)/SAF!$G$11</f>
        <v>0.10065081668786048</v>
      </c>
      <c r="S649" s="169">
        <f>SAF!$H$46</f>
        <v>0.21432105304348426</v>
      </c>
      <c r="T649" s="46"/>
      <c r="U649" s="48" t="str">
        <f t="shared" si="165"/>
        <v>KES 17.75</v>
      </c>
      <c r="V649" s="44" t="str">
        <f t="shared" si="165"/>
        <v>Safaricom</v>
      </c>
      <c r="Z649" s="49"/>
    </row>
    <row r="650" spans="1:26">
      <c r="C650" s="48" t="str">
        <f t="shared" si="164"/>
        <v>Turkcell</v>
      </c>
      <c r="D650" s="44" t="str">
        <f t="shared" si="164"/>
        <v>USD 91.80</v>
      </c>
      <c r="E650" s="44" t="str">
        <f t="shared" si="164"/>
        <v>USD 16.90</v>
      </c>
      <c r="F650" s="45">
        <f t="shared" si="164"/>
        <v>-0.81590413943355122</v>
      </c>
      <c r="G650" s="44" t="str">
        <f t="shared" si="164"/>
        <v>Buy</v>
      </c>
      <c r="H650" s="46"/>
      <c r="I650" s="45">
        <f>TKC!$D$32/TKC!$D$11</f>
        <v>-9.9029510794216674E-6</v>
      </c>
      <c r="J650" s="45">
        <f>TKC!$E$32/TKC!$E$11</f>
        <v>-1.4854426619132501E-5</v>
      </c>
      <c r="K650" s="45">
        <f>TKC!$F$32/TKC!$F$11</f>
        <v>-1.9805902158843335E-5</v>
      </c>
      <c r="L650" s="45">
        <f>TKC!$G$32/TKC!$G$11</f>
        <v>-2.4757377698554168E-5</v>
      </c>
      <c r="M650" s="45">
        <f>TKC!$H$32</f>
        <v>0.35720880829745338</v>
      </c>
      <c r="N650" s="56"/>
      <c r="O650" s="169">
        <f>(TKC!$D$31+TKC!$D$32)/TKC!$D$11</f>
        <v>1.9803780871901003E-2</v>
      </c>
      <c r="P650" s="169">
        <f>(TKC!$E$31+TKC!$E$32)/TKC!$E$11</f>
        <v>2.1078645393452312E-2</v>
      </c>
      <c r="Q650" s="169">
        <f>(TKC!$F$31+TKC!$F$32)/TKC!$F$11</f>
        <v>2.275514909032059E-2</v>
      </c>
      <c r="R650" s="169">
        <f>(TKC!$G$31+TKC!$G$32)/TKC!$G$11</f>
        <v>2.4781041318568637E-2</v>
      </c>
      <c r="S650" s="169">
        <f>TKC!$H$46</f>
        <v>7.7598917702047521E-2</v>
      </c>
      <c r="T650" s="46"/>
      <c r="U650" s="48" t="str">
        <f t="shared" si="165"/>
        <v>USD 91.80</v>
      </c>
      <c r="V650" s="44" t="str">
        <f t="shared" si="165"/>
        <v>Turkcell</v>
      </c>
      <c r="Z650" s="49"/>
    </row>
    <row r="651" spans="1:26">
      <c r="C651" s="48" t="str">
        <f t="shared" si="164"/>
        <v>VEON</v>
      </c>
      <c r="D651" s="44" t="str">
        <f t="shared" si="164"/>
        <v>USD 25.5</v>
      </c>
      <c r="E651" s="44" t="str">
        <f t="shared" si="164"/>
        <v>USD 40.0</v>
      </c>
      <c r="F651" s="45">
        <f t="shared" si="164"/>
        <v>0.56678417547982751</v>
      </c>
      <c r="G651" s="44" t="str">
        <f t="shared" si="164"/>
        <v>Buy</v>
      </c>
      <c r="H651" s="46"/>
      <c r="I651" s="45">
        <f>VIMP!$D$32/VIMP!$D$11</f>
        <v>0</v>
      </c>
      <c r="J651" s="45">
        <f>VIMP!$E$32/VIMP!$E$11</f>
        <v>0</v>
      </c>
      <c r="K651" s="45">
        <f>VIMP!$F$32/VIMP!$F$11</f>
        <v>0</v>
      </c>
      <c r="L651" s="45">
        <f>VIMP!$G$32/VIMP!$G$11</f>
        <v>0</v>
      </c>
      <c r="M651" s="45" t="str">
        <f>VIMP!$H$32</f>
        <v>nm</v>
      </c>
      <c r="N651" s="56"/>
      <c r="O651" s="45">
        <f>(VIMP!$D$31+VIMP!$D$32)/VIMP!$D$11</f>
        <v>0</v>
      </c>
      <c r="P651" s="45">
        <f>(VIMP!$E$31+VIMP!$E$32)/VIMP!$E$11</f>
        <v>1.3976886752523525E-3</v>
      </c>
      <c r="Q651" s="45">
        <f>(VIMP!$F$31+VIMP!$F$32)/VIMP!$F$11</f>
        <v>4.053430711872346E-3</v>
      </c>
      <c r="R651" s="45">
        <f>(VIMP!$G$31+VIMP!$G$32)/VIMP!$G$11</f>
        <v>4.3420174014271251E-3</v>
      </c>
      <c r="S651" s="45" t="e">
        <f>VIMP!$H$46</f>
        <v>#DIV/0!</v>
      </c>
      <c r="T651" s="46"/>
      <c r="U651" s="48" t="str">
        <f t="shared" si="165"/>
        <v>USD 25.5</v>
      </c>
      <c r="V651" s="44" t="str">
        <f t="shared" si="165"/>
        <v>Vimpel Com</v>
      </c>
      <c r="Z651" s="49"/>
    </row>
    <row r="652" spans="1:26">
      <c r="C652" s="48" t="str">
        <f t="shared" si="164"/>
        <v>Vodacom</v>
      </c>
      <c r="D652" s="44" t="str">
        <f t="shared" si="164"/>
        <v>ZAR 95.8</v>
      </c>
      <c r="E652" s="44" t="str">
        <f t="shared" si="164"/>
        <v>ZAR 130.0</v>
      </c>
      <c r="F652" s="45">
        <f t="shared" si="164"/>
        <v>0.35685210312075988</v>
      </c>
      <c r="G652" s="44" t="str">
        <f t="shared" si="164"/>
        <v>Neutral</v>
      </c>
      <c r="H652" s="46"/>
      <c r="I652" s="45">
        <f>VODA!$D$32/VODA!$D$11</f>
        <v>-8.4217503037300034E-3</v>
      </c>
      <c r="J652" s="45">
        <f>VODA!$E$32/VODA!$E$11</f>
        <v>-5.7017867705075921E-2</v>
      </c>
      <c r="K652" s="45">
        <f>VODA!$F$32/VODA!$F$11</f>
        <v>1.5028786748904645E-2</v>
      </c>
      <c r="L652" s="45">
        <f>VODA!$G$32/VODA!$G$11</f>
        <v>-2.9823365087110142E-3</v>
      </c>
      <c r="M652" s="45">
        <f>VODA!$H$32</f>
        <v>-0.29251360183580055</v>
      </c>
      <c r="N652" s="56"/>
      <c r="O652" s="45">
        <f>(VODA!$D$31+VODA!$D$32)/VODA!$D$11</f>
        <v>6.4785270729094915E-2</v>
      </c>
      <c r="P652" s="45">
        <f>(VODA!$E$31+VODA!$E$32)/VODA!$E$11</f>
        <v>2.0458430711362219E-2</v>
      </c>
      <c r="Q652" s="45">
        <f>(VODA!$F$31+VODA!$F$32)/VODA!$F$11</f>
        <v>0.10400138507992361</v>
      </c>
      <c r="R652" s="45">
        <f>(VODA!$G$31+VODA!$G$32)/VODA!$G$11</f>
        <v>9.6984442222841902E-2</v>
      </c>
      <c r="S652" s="45">
        <f>VODA!$H$46</f>
        <v>0.14395409729328756</v>
      </c>
      <c r="T652" s="46"/>
      <c r="U652" s="48" t="str">
        <f t="shared" si="165"/>
        <v>ZAR 95.8</v>
      </c>
      <c r="V652" s="44" t="str">
        <f t="shared" si="165"/>
        <v>Vodacom</v>
      </c>
      <c r="Z652" s="49"/>
    </row>
    <row r="653" spans="1:26">
      <c r="C653" s="51" t="str">
        <f>C591</f>
        <v>Agg. EMEA Cellular</v>
      </c>
      <c r="D653" s="52"/>
      <c r="E653" s="52"/>
      <c r="F653" s="53"/>
      <c r="G653" s="52"/>
      <c r="H653" s="46"/>
      <c r="I653" s="55">
        <f>'EMEA CELLULAR'!$D$32/'EMEA CELLULAR'!$D$11</f>
        <v>1.0898862831924322E-3</v>
      </c>
      <c r="J653" s="55">
        <f>'EMEA CELLULAR'!$E$32/'EMEA CELLULAR'!$E$11</f>
        <v>-5.2705864331212193E-3</v>
      </c>
      <c r="K653" s="55">
        <f>'EMEA CELLULAR'!$F$32/'EMEA CELLULAR'!$F$11</f>
        <v>5.5971702192599178E-3</v>
      </c>
      <c r="L653" s="55">
        <f>'EMEA CELLULAR'!$G$32/'EMEA CELLULAR'!$G$11</f>
        <v>-3.5404119433572414E-4</v>
      </c>
      <c r="M653" s="55">
        <f>'EMEA CELLULAR'!$H$32</f>
        <v>-1.6871222846500684</v>
      </c>
      <c r="N653" s="56"/>
      <c r="O653" s="55">
        <f>('EMEA CELLULAR'!$D$31+'EMEA CELLULAR'!$D$32)/'EMEA CELLULAR'!$D$11</f>
        <v>2.1131796481131483E-2</v>
      </c>
      <c r="P653" s="55">
        <f>('EMEA CELLULAR'!$E$31+'EMEA CELLULAR'!$E$32)/'EMEA CELLULAR'!$E$11</f>
        <v>1.7391477966924081E-2</v>
      </c>
      <c r="Q653" s="55">
        <f>('EMEA CELLULAR'!$F$31+'EMEA CELLULAR'!$F$32)/'EMEA CELLULAR'!$F$11</f>
        <v>3.2252261934863267E-2</v>
      </c>
      <c r="R653" s="55">
        <f>('EMEA CELLULAR'!$G$31+'EMEA CELLULAR'!$G$32)/'EMEA CELLULAR'!$G$11</f>
        <v>2.8815660020290752E-2</v>
      </c>
      <c r="S653" s="55">
        <f>'EMEA CELLULAR'!$H$46</f>
        <v>0.10842730164220327</v>
      </c>
      <c r="T653" s="46"/>
      <c r="U653" s="57"/>
      <c r="V653" s="58" t="str">
        <f>V591</f>
        <v>Agg. EMEA Cellular</v>
      </c>
      <c r="Z653" s="49"/>
    </row>
    <row r="654" spans="1:26">
      <c r="A654" s="5"/>
      <c r="C654" s="43"/>
      <c r="D654" s="44"/>
      <c r="E654" s="44"/>
      <c r="F654" s="45"/>
      <c r="G654" s="44"/>
      <c r="H654" s="46"/>
      <c r="I654" s="45"/>
      <c r="J654" s="45"/>
      <c r="K654" s="45"/>
      <c r="L654" s="45"/>
      <c r="M654" s="45"/>
      <c r="N654" s="56"/>
      <c r="O654" s="45"/>
      <c r="P654" s="45"/>
      <c r="Q654" s="45"/>
      <c r="R654" s="45"/>
      <c r="S654" s="45"/>
      <c r="T654" s="46"/>
      <c r="U654" s="48"/>
      <c r="V654" s="50"/>
      <c r="Z654" s="49"/>
    </row>
    <row r="655" spans="1:26">
      <c r="A655" s="5"/>
      <c r="C655" s="48" t="str">
        <f t="shared" ref="C655:G657" si="166">C593</f>
        <v>Entel</v>
      </c>
      <c r="D655" s="44" t="str">
        <f t="shared" si="166"/>
        <v>CLP 3,022</v>
      </c>
      <c r="E655" s="44" t="str">
        <f t="shared" si="166"/>
        <v>CLP 3,150</v>
      </c>
      <c r="F655" s="45">
        <f t="shared" si="166"/>
        <v>4.2356055592323028E-2</v>
      </c>
      <c r="G655" s="44" t="str">
        <f t="shared" si="166"/>
        <v>Neutral</v>
      </c>
      <c r="H655" s="46"/>
      <c r="I655" s="45">
        <f>ENTEL!$D$32/ENTEL!$D$11</f>
        <v>0</v>
      </c>
      <c r="J655" s="45">
        <f>ENTEL!$E$32/ENTEL!$E$11</f>
        <v>0</v>
      </c>
      <c r="K655" s="45">
        <f>ENTEL!$F$32/ENTEL!$F$11</f>
        <v>0</v>
      </c>
      <c r="L655" s="45">
        <f>ENTEL!$G$32/ENTEL!$G$11</f>
        <v>0</v>
      </c>
      <c r="M655" s="45" t="str">
        <f>ENTEL!$H$32</f>
        <v>nm</v>
      </c>
      <c r="N655" s="56"/>
      <c r="O655" s="169">
        <f>(ENTEL!$D$31+ENTEL!$D$32)/ENTEL!$D$11</f>
        <v>2.8445565850430177E-2</v>
      </c>
      <c r="P655" s="169">
        <f>(ENTEL!$E$31+ENTEL!$E$32)/ENTEL!$E$11</f>
        <v>3.1290122435473196E-2</v>
      </c>
      <c r="Q655" s="169">
        <f>(ENTEL!$F$31+ENTEL!$F$32)/ENTEL!$F$11</f>
        <v>3.4419134679020517E-2</v>
      </c>
      <c r="R655" s="169">
        <f>(ENTEL!$G$31+ENTEL!$G$32)/ENTEL!$G$11</f>
        <v>3.786104814692258E-2</v>
      </c>
      <c r="S655" s="169">
        <f>ENTEL!$H$46</f>
        <v>0.10000000000000009</v>
      </c>
      <c r="T655" s="46"/>
      <c r="U655" s="48" t="str">
        <f t="shared" ref="U655:V657" si="167">U593</f>
        <v>CLP 3,022</v>
      </c>
      <c r="V655" s="44" t="str">
        <f t="shared" si="167"/>
        <v>Entel</v>
      </c>
      <c r="Z655" s="49"/>
    </row>
    <row r="656" spans="1:26">
      <c r="A656" s="5"/>
      <c r="C656" s="48" t="str">
        <f t="shared" si="166"/>
        <v>Millicom</v>
      </c>
      <c r="D656" s="44" t="str">
        <f t="shared" si="166"/>
        <v>USD  24.1</v>
      </c>
      <c r="E656" s="44" t="str">
        <f t="shared" si="166"/>
        <v>USD 18.0</v>
      </c>
      <c r="F656" s="45">
        <f t="shared" si="166"/>
        <v>-0.25280199252801994</v>
      </c>
      <c r="G656" s="44" t="str">
        <f t="shared" si="166"/>
        <v>Neutral</v>
      </c>
      <c r="H656" s="46"/>
      <c r="I656" s="45">
        <f>MILLI!$D$32/MILLI!$D$11</f>
        <v>0</v>
      </c>
      <c r="J656" s="45">
        <f>MILLI!$E$32/MILLI!$E$11</f>
        <v>0</v>
      </c>
      <c r="K656" s="45">
        <f>MILLI!$F$32/MILLI!$F$11</f>
        <v>1.3850927667447377E-3</v>
      </c>
      <c r="L656" s="45">
        <f>MILLI!$G$32/MILLI!$G$11</f>
        <v>4.3472852207016395E-3</v>
      </c>
      <c r="M656" s="45" t="str">
        <f>MILLI!$H$32</f>
        <v>nm</v>
      </c>
      <c r="N656" s="56"/>
      <c r="O656" s="169">
        <f>(MILLI!$D$31+MILLI!$D$32)/MILLI!$D$11</f>
        <v>0</v>
      </c>
      <c r="P656" s="169">
        <f>(MILLI!$E$31+MILLI!$E$32)/MILLI!$E$11</f>
        <v>0</v>
      </c>
      <c r="Q656" s="169">
        <f>(MILLI!$F$31+MILLI!$F$32)/MILLI!$F$11</f>
        <v>1.3850927667447377E-3</v>
      </c>
      <c r="R656" s="169">
        <f>(MILLI!$G$31+MILLI!$G$32)/MILLI!$G$11</f>
        <v>4.3472852207016395E-3</v>
      </c>
      <c r="S656" s="169" t="e">
        <f>MILLI!$H$46</f>
        <v>#DIV/0!</v>
      </c>
      <c r="T656" s="46"/>
      <c r="U656" s="48" t="str">
        <f t="shared" si="167"/>
        <v>USD  24.1</v>
      </c>
      <c r="V656" s="44" t="str">
        <f t="shared" si="167"/>
        <v>Millicom</v>
      </c>
      <c r="Z656" s="49"/>
    </row>
    <row r="657" spans="1:26">
      <c r="A657" s="5"/>
      <c r="C657" s="48" t="str">
        <f t="shared" si="166"/>
        <v>TIM Participacoes</v>
      </c>
      <c r="D657" s="44" t="str">
        <f t="shared" si="166"/>
        <v>BRL 16.42</v>
      </c>
      <c r="E657" s="44" t="str">
        <f t="shared" si="166"/>
        <v>BRL 23.00</v>
      </c>
      <c r="F657" s="45">
        <f t="shared" si="166"/>
        <v>0.40073081607795347</v>
      </c>
      <c r="G657" s="44" t="str">
        <f t="shared" si="166"/>
        <v>Buy</v>
      </c>
      <c r="H657" s="46"/>
      <c r="I657" s="45">
        <f>TIMP!$D$32/TIMP!$D$11</f>
        <v>0</v>
      </c>
      <c r="J657" s="45">
        <f>TIMP!$E$32/TIMP!$E$11</f>
        <v>0</v>
      </c>
      <c r="K657" s="45">
        <f>TIMP!$F$32/TIMP!$F$11</f>
        <v>0</v>
      </c>
      <c r="L657" s="45">
        <f>TIMP!$G$32/TIMP!$G$11</f>
        <v>0</v>
      </c>
      <c r="M657" s="45" t="str">
        <f>TIMP!$H$32</f>
        <v>nm</v>
      </c>
      <c r="N657" s="56"/>
      <c r="O657" s="45">
        <f>(TIMP!$D$31+TIMP!$D$32)/TIMP!$D$11</f>
        <v>6.1524331667359058E-2</v>
      </c>
      <c r="P657" s="45">
        <f>(TIMP!$E$31+TIMP!$E$32)/TIMP!$E$11</f>
        <v>8.9210280917670637E-2</v>
      </c>
      <c r="Q657" s="45">
        <f>(TIMP!$F$31+TIMP!$F$32)/TIMP!$F$11</f>
        <v>0.10259182305532122</v>
      </c>
      <c r="R657" s="45">
        <f>(TIMP!$G$31+TIMP!$G$32)/TIMP!$G$11</f>
        <v>0.10772141420808727</v>
      </c>
      <c r="S657" s="45">
        <f>TIMP!$H$46</f>
        <v>0.20527194381139346</v>
      </c>
      <c r="T657" s="46"/>
      <c r="U657" s="48" t="str">
        <f t="shared" si="167"/>
        <v>BRL 16.42</v>
      </c>
      <c r="V657" s="44" t="str">
        <f t="shared" si="167"/>
        <v>TIM Participacoes</v>
      </c>
      <c r="Z657" s="49"/>
    </row>
    <row r="658" spans="1:26">
      <c r="A658" s="5"/>
      <c r="C658" s="51" t="str">
        <f>C596</f>
        <v>Agg. LatAm Cellular</v>
      </c>
      <c r="D658" s="52"/>
      <c r="E658" s="52"/>
      <c r="F658" s="53"/>
      <c r="G658" s="52"/>
      <c r="H658" s="46"/>
      <c r="I658" s="55">
        <f>'LATAM CELLULAR'!$D$32/'LATAM CELLULAR'!$D$11</f>
        <v>0</v>
      </c>
      <c r="J658" s="55">
        <f>'LATAM CELLULAR'!$E$32/'LATAM CELLULAR'!$E$11</f>
        <v>0</v>
      </c>
      <c r="K658" s="55">
        <f>'LATAM CELLULAR'!$F$32/'LATAM CELLULAR'!$F$11</f>
        <v>4.7579457867828669E-4</v>
      </c>
      <c r="L658" s="55">
        <f>'LATAM CELLULAR'!$G$32/'LATAM CELLULAR'!$G$11</f>
        <v>1.4303045593260983E-3</v>
      </c>
      <c r="M658" s="55" t="str">
        <f>'LATAM CELLULAR'!$H$32</f>
        <v>nm</v>
      </c>
      <c r="N658" s="56"/>
      <c r="O658" s="55">
        <f>('LATAM CELLULAR'!$D$31+'LATAM CELLULAR'!$D$32)/'LATAM CELLULAR'!$D$11</f>
        <v>3.6607801523391964E-2</v>
      </c>
      <c r="P658" s="55">
        <f>('LATAM CELLULAR'!$E$31+'LATAM CELLULAR'!$E$32)/'LATAM CELLULAR'!$E$11</f>
        <v>5.220008637227537E-2</v>
      </c>
      <c r="Q658" s="55">
        <f>('LATAM CELLULAR'!$F$31+'LATAM CELLULAR'!$F$32)/'LATAM CELLULAR'!$F$11</f>
        <v>6.1661667551027928E-2</v>
      </c>
      <c r="R658" s="55">
        <f>('LATAM CELLULAR'!$G$31+'LATAM CELLULAR'!$G$32)/'LATAM CELLULAR'!$G$11</f>
        <v>6.7253522322466938E-2</v>
      </c>
      <c r="S658" s="55">
        <f>'LATAM CELLULAR'!$H$46</f>
        <v>0.20722841094750266</v>
      </c>
      <c r="T658" s="46"/>
      <c r="U658" s="57"/>
      <c r="V658" s="58" t="str">
        <f>V596</f>
        <v>Agg. LatAm Cellular</v>
      </c>
      <c r="Z658" s="49"/>
    </row>
    <row r="659" spans="1:26">
      <c r="C659" s="43"/>
      <c r="D659" s="44"/>
      <c r="E659" s="44"/>
      <c r="F659" s="45"/>
      <c r="G659" s="44"/>
      <c r="H659" s="46"/>
      <c r="I659" s="45"/>
      <c r="J659" s="45"/>
      <c r="K659" s="45"/>
      <c r="L659" s="45"/>
      <c r="M659" s="45"/>
      <c r="N659" s="46"/>
      <c r="O659" s="45"/>
      <c r="P659" s="45"/>
      <c r="Q659" s="45"/>
      <c r="R659" s="45"/>
      <c r="S659" s="45"/>
      <c r="T659" s="46"/>
      <c r="U659" s="48"/>
      <c r="V659" s="50"/>
      <c r="Z659" s="49"/>
    </row>
    <row r="660" spans="1:26">
      <c r="A660" s="5"/>
      <c r="C660" s="48" t="str">
        <f t="shared" ref="C660:G673" si="168">C598</f>
        <v>AIS</v>
      </c>
      <c r="D660" s="44" t="str">
        <f t="shared" si="168"/>
        <v>THB 207.0</v>
      </c>
      <c r="E660" s="44" t="str">
        <f t="shared" si="168"/>
        <v>THB 300.0</v>
      </c>
      <c r="F660" s="45">
        <f t="shared" si="168"/>
        <v>0.44927536231884058</v>
      </c>
      <c r="G660" s="44" t="str">
        <f t="shared" si="168"/>
        <v>Buy</v>
      </c>
      <c r="H660" s="46"/>
      <c r="I660" s="45">
        <f>ADVANCED!$D$32/ADVANCED!$D$11</f>
        <v>0</v>
      </c>
      <c r="J660" s="45">
        <f>ADVANCED!$E$32/ADVANCED!$E$11</f>
        <v>0</v>
      </c>
      <c r="K660" s="45">
        <f>ADVANCED!$F$32/ADVANCED!$F$11</f>
        <v>0</v>
      </c>
      <c r="L660" s="45">
        <f>ADVANCED!$G$32/ADVANCED!$G$11</f>
        <v>0</v>
      </c>
      <c r="M660" s="45" t="str">
        <f>ADVANCED!$H$32</f>
        <v>nm</v>
      </c>
      <c r="N660" s="46"/>
      <c r="O660" s="45">
        <f>(ADVANCED!$D$31+ADVANCED!$D$32)/ADVANCED!$D$11</f>
        <v>4.1594202898550724E-2</v>
      </c>
      <c r="P660" s="45">
        <f>(ADVANCED!$E$31+ADVANCED!$E$32)/ADVANCED!$E$11</f>
        <v>4.9698808110919909E-2</v>
      </c>
      <c r="Q660" s="45">
        <f>(ADVANCED!$F$31+ADVANCED!$F$32)/ADVANCED!$F$11</f>
        <v>6.8032133888629026E-2</v>
      </c>
      <c r="R660" s="45">
        <f>(ADVANCED!$G$31+ADVANCED!$G$32)/ADVANCED!$G$11</f>
        <v>7.994702424481899E-2</v>
      </c>
      <c r="S660" s="45">
        <f>ADVANCED!$H$46</f>
        <v>0.24333979009018925</v>
      </c>
      <c r="T660" s="46"/>
      <c r="U660" s="48" t="str">
        <f t="shared" ref="U660:V673" si="169">U598</f>
        <v>THB 207.0</v>
      </c>
      <c r="V660" s="44" t="str">
        <f t="shared" si="169"/>
        <v>AIS</v>
      </c>
      <c r="Z660" s="49"/>
    </row>
    <row r="661" spans="1:26">
      <c r="C661" s="48" t="str">
        <f t="shared" si="168"/>
        <v>Axiata</v>
      </c>
      <c r="D661" s="44" t="str">
        <f t="shared" si="168"/>
        <v>MYR 2.87</v>
      </c>
      <c r="E661" s="44" t="str">
        <f t="shared" si="168"/>
        <v>MYR 4.50</v>
      </c>
      <c r="F661" s="45">
        <f t="shared" si="168"/>
        <v>0.56794425087108014</v>
      </c>
      <c r="G661" s="44" t="str">
        <f t="shared" si="168"/>
        <v>Buy</v>
      </c>
      <c r="H661" s="46"/>
      <c r="I661" s="45">
        <f>AXI!$D$32/AXI!$D$11</f>
        <v>0</v>
      </c>
      <c r="J661" s="45">
        <f>AXI!$E$32/AXI!$E$11</f>
        <v>0</v>
      </c>
      <c r="K661" s="45">
        <f>AXI!$F$32/AXI!$F$11</f>
        <v>0</v>
      </c>
      <c r="L661" s="45">
        <f>AXI!$G$32/AXI!$G$11</f>
        <v>0</v>
      </c>
      <c r="M661" s="45" t="str">
        <f>AXI!$H$32</f>
        <v>nm</v>
      </c>
      <c r="N661" s="46"/>
      <c r="O661" s="45">
        <f>(AXI!$D$31+AXI!$D$32)/AXI!$D$11</f>
        <v>3.484320557491289E-2</v>
      </c>
      <c r="P661" s="45">
        <f>(AXI!$E$31+AXI!$E$32)/AXI!$E$11</f>
        <v>3.8327526132404179E-2</v>
      </c>
      <c r="Q661" s="45">
        <f>(AXI!$F$31+AXI!$F$32)/AXI!$F$11</f>
        <v>4.1811846689895467E-2</v>
      </c>
      <c r="R661" s="45">
        <f>(AXI!$G$31+AXI!$G$32)/AXI!$G$11</f>
        <v>4.5296167247386755E-2</v>
      </c>
      <c r="S661" s="45">
        <f>AXI!$H$46</f>
        <v>9.1392883061105934E-2</v>
      </c>
      <c r="T661" s="46"/>
      <c r="U661" s="48" t="str">
        <f t="shared" si="169"/>
        <v>MYR 2.87</v>
      </c>
      <c r="V661" s="44" t="str">
        <f t="shared" si="169"/>
        <v>Axiata</v>
      </c>
      <c r="Z661" s="49"/>
    </row>
    <row r="662" spans="1:26">
      <c r="C662" s="48" t="str">
        <f t="shared" si="168"/>
        <v>Bharti Airtel</v>
      </c>
      <c r="D662" s="44" t="str">
        <f t="shared" si="168"/>
        <v>INR 1389</v>
      </c>
      <c r="E662" s="44" t="str">
        <f t="shared" si="168"/>
        <v>INR 1500</v>
      </c>
      <c r="F662" s="45">
        <f t="shared" si="168"/>
        <v>8.0224686734840844E-2</v>
      </c>
      <c r="G662" s="44" t="str">
        <f t="shared" si="168"/>
        <v>Buy</v>
      </c>
      <c r="H662" s="46"/>
      <c r="I662" s="45">
        <f>BHART!$D$32/BHART!$D$11</f>
        <v>0</v>
      </c>
      <c r="J662" s="45">
        <f>BHART!$E$32/BHART!$E$11</f>
        <v>-4.4930252059351104E-2</v>
      </c>
      <c r="K662" s="45">
        <f>BHART!$F$32/BHART!$F$11</f>
        <v>0</v>
      </c>
      <c r="L662" s="45">
        <f>BHART!$G$32/BHART!$G$11</f>
        <v>-7.5154246272078574E-3</v>
      </c>
      <c r="M662" s="45" t="str">
        <f>BHART!$H$32</f>
        <v>nm</v>
      </c>
      <c r="N662" s="46"/>
      <c r="O662" s="45">
        <f>(BHART!$D$31+BHART!$D$32)/BHART!$D$11</f>
        <v>5.761198329252485E-3</v>
      </c>
      <c r="P662" s="45">
        <f>(BHART!$E$31+BHART!$E$32)/BHART!$E$11</f>
        <v>-3.052725623621989E-2</v>
      </c>
      <c r="Q662" s="45">
        <f>(BHART!$F$31+BHART!$F$32)/BHART!$F$11</f>
        <v>2.160449373469682E-2</v>
      </c>
      <c r="R662" s="45">
        <f>(BHART!$G$31+BHART!$G$32)/BHART!$G$11</f>
        <v>2.3329347676076823E-2</v>
      </c>
      <c r="S662" s="45">
        <f>BHART!$H$46</f>
        <v>0.59390802219171013</v>
      </c>
      <c r="T662" s="46"/>
      <c r="U662" s="48" t="str">
        <f t="shared" si="169"/>
        <v>INR 1389</v>
      </c>
      <c r="V662" s="44" t="str">
        <f t="shared" si="169"/>
        <v>Bharti Airtel</v>
      </c>
      <c r="Z662" s="49"/>
    </row>
    <row r="663" spans="1:26">
      <c r="A663" s="5"/>
      <c r="C663" s="48" t="str">
        <f t="shared" si="168"/>
        <v>China Mobile</v>
      </c>
      <c r="D663" s="44" t="str">
        <f t="shared" si="168"/>
        <v>HKD 73.2</v>
      </c>
      <c r="E663" s="44" t="str">
        <f t="shared" si="168"/>
        <v>HKD 115.0</v>
      </c>
      <c r="F663" s="45">
        <f t="shared" si="168"/>
        <v>0.57103825136612008</v>
      </c>
      <c r="G663" s="44" t="str">
        <f t="shared" si="168"/>
        <v>Buy</v>
      </c>
      <c r="H663" s="46"/>
      <c r="I663" s="45">
        <f>_CM!$D$32/_CM!$D$11</f>
        <v>0</v>
      </c>
      <c r="J663" s="45">
        <f>_CM!$E$32/_CM!$E$11</f>
        <v>0</v>
      </c>
      <c r="K663" s="45">
        <f>_CM!$F$32/_CM!$F$11</f>
        <v>0</v>
      </c>
      <c r="L663" s="45">
        <f>_CM!$G$32/_CM!$G$11</f>
        <v>0</v>
      </c>
      <c r="M663" s="45" t="str">
        <f>_CM!$H$32</f>
        <v>nm</v>
      </c>
      <c r="N663" s="46"/>
      <c r="O663" s="45">
        <f>(_CM!$D$31+_CM!$D$32)/_CM!$D$11</f>
        <v>6.5200849281138104E-2</v>
      </c>
      <c r="P663" s="45">
        <f>(_CM!$E$31+_CM!$E$32)/_CM!$E$11</f>
        <v>6.6289463501488094E-2</v>
      </c>
      <c r="Q663" s="45">
        <f>(_CM!$F$31+_CM!$F$32)/_CM!$F$11</f>
        <v>7.3462354400556096E-2</v>
      </c>
      <c r="R663" s="45">
        <f>(_CM!$G$31+_CM!$G$32)/_CM!$G$11</f>
        <v>8.064184108948258E-2</v>
      </c>
      <c r="S663" s="45">
        <f>_CM!$H$46</f>
        <v>7.3418461965862436E-2</v>
      </c>
      <c r="T663" s="46"/>
      <c r="U663" s="48" t="str">
        <f t="shared" si="169"/>
        <v>HKD 73.2</v>
      </c>
      <c r="V663" s="44" t="str">
        <f t="shared" si="169"/>
        <v>China Mobile</v>
      </c>
      <c r="Z663" s="49"/>
    </row>
    <row r="664" spans="1:26">
      <c r="A664" s="5"/>
      <c r="C664" s="48" t="str">
        <f t="shared" si="168"/>
        <v>CelcomDigi</v>
      </c>
      <c r="D664" s="44" t="str">
        <f t="shared" si="168"/>
        <v>MYR 4.1</v>
      </c>
      <c r="E664" s="44" t="str">
        <f t="shared" si="168"/>
        <v>MYR 6.0</v>
      </c>
      <c r="F664" s="45">
        <f t="shared" si="168"/>
        <v>0.48148148148148162</v>
      </c>
      <c r="G664" s="44" t="str">
        <f t="shared" si="168"/>
        <v>Buy</v>
      </c>
      <c r="H664" s="46"/>
      <c r="I664" s="45">
        <f>DIGI!$D$32/DIGI!$D$11</f>
        <v>0</v>
      </c>
      <c r="J664" s="45">
        <f>DIGI!$E$32/DIGI!$E$11</f>
        <v>0</v>
      </c>
      <c r="K664" s="45">
        <f>DIGI!$F$32/DIGI!$F$11</f>
        <v>0</v>
      </c>
      <c r="L664" s="45">
        <f>DIGI!$G$32/DIGI!$G$11</f>
        <v>0</v>
      </c>
      <c r="M664" s="45" t="str">
        <f>DIGI!$H$32</f>
        <v>nm</v>
      </c>
      <c r="N664" s="46"/>
      <c r="O664" s="45">
        <f>(DIGI!$D$31+DIGI!$D$32)/DIGI!$D$11</f>
        <v>3.2592592592592597E-2</v>
      </c>
      <c r="P664" s="45">
        <f>(DIGI!$E$31+DIGI!$E$32)/DIGI!$E$11</f>
        <v>3.981266022997685E-2</v>
      </c>
      <c r="Q664" s="45">
        <f>(DIGI!$F$31+DIGI!$F$32)/DIGI!$F$11</f>
        <v>4.7952335968656647E-2</v>
      </c>
      <c r="R664" s="45">
        <f>(DIGI!$G$31+DIGI!$G$32)/DIGI!$G$11</f>
        <v>5.5890352074306697E-2</v>
      </c>
      <c r="S664" s="45">
        <f>DIGI!$H$46</f>
        <v>0.19694073060847783</v>
      </c>
      <c r="T664" s="46"/>
      <c r="U664" s="48" t="str">
        <f t="shared" si="169"/>
        <v>MYR 4.1</v>
      </c>
      <c r="V664" s="44" t="str">
        <f t="shared" si="169"/>
        <v>CelcomDigi</v>
      </c>
      <c r="Z664" s="49"/>
    </row>
    <row r="665" spans="1:26">
      <c r="A665" s="5"/>
      <c r="C665" s="48" t="str">
        <f t="shared" si="168"/>
        <v>Far EasTone</v>
      </c>
      <c r="D665" s="44" t="str">
        <f t="shared" si="168"/>
        <v>TWD 84.0</v>
      </c>
      <c r="E665" s="44" t="str">
        <f t="shared" si="168"/>
        <v>TWD n/r</v>
      </c>
      <c r="F665" s="45" t="str">
        <f t="shared" si="168"/>
        <v>-</v>
      </c>
      <c r="G665" s="44" t="str">
        <f t="shared" si="168"/>
        <v>n/r</v>
      </c>
      <c r="H665" s="46"/>
      <c r="I665" s="45">
        <f>FAR!$D$32/FAR!$D$11</f>
        <v>0</v>
      </c>
      <c r="J665" s="45">
        <f>FAR!$E$32/FAR!$E$11</f>
        <v>0</v>
      </c>
      <c r="K665" s="45">
        <f>FAR!$F$32/FAR!$F$11</f>
        <v>0</v>
      </c>
      <c r="L665" s="45">
        <f>FAR!$G$32/FAR!$G$11</f>
        <v>0</v>
      </c>
      <c r="M665" s="45" t="str">
        <f>FAR!$H$32</f>
        <v>nm</v>
      </c>
      <c r="N665" s="46"/>
      <c r="O665" s="45">
        <f>(FAR!$D$31+FAR!$D$32)/FAR!$D$11</f>
        <v>3.9742392113095229E-2</v>
      </c>
      <c r="P665" s="45">
        <f>(FAR!$E$31+FAR!$E$32)/FAR!$E$11</f>
        <v>4.0735951915922608E-2</v>
      </c>
      <c r="Q665" s="45">
        <f>(FAR!$F$31+FAR!$F$32)/FAR!$F$11</f>
        <v>4.1754350713820672E-2</v>
      </c>
      <c r="R665" s="45">
        <f>(FAR!$G$31+FAR!$G$32)/FAR!$G$11</f>
        <v>4.2798209481666183E-2</v>
      </c>
      <c r="S665" s="45">
        <f>FAR!$H$46</f>
        <v>2.4999999999999911E-2</v>
      </c>
      <c r="T665" s="46"/>
      <c r="U665" s="48" t="str">
        <f t="shared" si="169"/>
        <v>TWD 84.0</v>
      </c>
      <c r="V665" s="44" t="str">
        <f t="shared" si="169"/>
        <v>Far EasTone</v>
      </c>
      <c r="Z665" s="49"/>
    </row>
    <row r="666" spans="1:26">
      <c r="A666" s="5"/>
      <c r="C666" s="48" t="str">
        <f t="shared" si="168"/>
        <v>Vodafone IDEA</v>
      </c>
      <c r="D666" s="44" t="str">
        <f t="shared" si="168"/>
        <v>INR 15.1</v>
      </c>
      <c r="E666" s="44" t="str">
        <f t="shared" si="168"/>
        <v>INR 5.0</v>
      </c>
      <c r="F666" s="45">
        <f t="shared" si="168"/>
        <v>-0.66909331568497676</v>
      </c>
      <c r="G666" s="44" t="str">
        <f t="shared" si="168"/>
        <v>Reduce</v>
      </c>
      <c r="H666" s="46"/>
      <c r="I666" s="45">
        <f>IDEA!$D$32/IDEA!$D$11</f>
        <v>0</v>
      </c>
      <c r="J666" s="45">
        <f>IDEA!$E$32/IDEA!$E$11</f>
        <v>0</v>
      </c>
      <c r="K666" s="45">
        <f>IDEA!$F$32/IDEA!$F$11</f>
        <v>0</v>
      </c>
      <c r="L666" s="45">
        <f>IDEA!$G$32/IDEA!$G$11</f>
        <v>0</v>
      </c>
      <c r="M666" s="45" t="str">
        <f>IDEA!$H$32</f>
        <v>nm</v>
      </c>
      <c r="N666" s="46"/>
      <c r="O666" s="45">
        <f>(IDEA!$D$31+IDEA!$D$32)/IDEA!$D$11</f>
        <v>0</v>
      </c>
      <c r="P666" s="45">
        <f>(IDEA!$E$31+IDEA!$E$32)/IDEA!$E$11</f>
        <v>0</v>
      </c>
      <c r="Q666" s="45">
        <f>(IDEA!$F$31+IDEA!$F$32)/IDEA!$F$11</f>
        <v>0</v>
      </c>
      <c r="R666" s="45">
        <f>(IDEA!$G$31+IDEA!$G$32)/IDEA!$G$11</f>
        <v>0</v>
      </c>
      <c r="S666" s="45" t="str">
        <f>IFERROR(IDEA!$H$46,"na")</f>
        <v>na</v>
      </c>
      <c r="T666" s="46"/>
      <c r="U666" s="48" t="str">
        <f t="shared" si="169"/>
        <v>INR 15.1</v>
      </c>
      <c r="V666" s="44" t="str">
        <f t="shared" si="169"/>
        <v>Vodafone IDEA</v>
      </c>
      <c r="Z666" s="49"/>
    </row>
    <row r="667" spans="1:26">
      <c r="A667" s="5"/>
      <c r="C667" s="48" t="str">
        <f t="shared" si="168"/>
        <v>Indosat</v>
      </c>
      <c r="D667" s="44" t="str">
        <f t="shared" si="168"/>
        <v>IDR 10,075</v>
      </c>
      <c r="E667" s="44" t="str">
        <f t="shared" si="168"/>
        <v>IDR 12,500</v>
      </c>
      <c r="F667" s="45">
        <f t="shared" si="168"/>
        <v>0.2406947890818858</v>
      </c>
      <c r="G667" s="44" t="str">
        <f t="shared" si="168"/>
        <v>Buy</v>
      </c>
      <c r="H667" s="46"/>
      <c r="I667" s="45">
        <f>INDO!$D$32/INDO!$D$11</f>
        <v>0</v>
      </c>
      <c r="J667" s="45">
        <f>INDO!$E$32/INDO!$E$11</f>
        <v>0</v>
      </c>
      <c r="K667" s="45">
        <f>INDO!$F$32/INDO!$F$11</f>
        <v>0</v>
      </c>
      <c r="L667" s="45">
        <f>INDO!$G$32/INDO!$G$11</f>
        <v>0</v>
      </c>
      <c r="M667" s="45" t="str">
        <f>INDO!$H$32</f>
        <v>nm</v>
      </c>
      <c r="N667" s="46"/>
      <c r="O667" s="45">
        <f>(INDO!$D$31+INDO!$D$32)/INDO!$D$11</f>
        <v>2.6640198511166252E-2</v>
      </c>
      <c r="P667" s="45">
        <f>(INDO!$E$31+INDO!$E$32)/INDO!$E$11</f>
        <v>2.9168287959136754E-2</v>
      </c>
      <c r="Q667" s="45">
        <f>(INDO!$F$31+INDO!$F$32)/INDO!$F$11</f>
        <v>4.059546273499446E-2</v>
      </c>
      <c r="R667" s="45">
        <f>(INDO!$G$31+INDO!$G$32)/INDO!$G$11</f>
        <v>5.4560535184423629E-2</v>
      </c>
      <c r="S667" s="45">
        <f>INDO!$H$46</f>
        <v>0.26993177062119189</v>
      </c>
      <c r="T667" s="46"/>
      <c r="U667" s="48" t="str">
        <f t="shared" si="169"/>
        <v>IDR 10,075</v>
      </c>
      <c r="V667" s="44" t="str">
        <f t="shared" si="169"/>
        <v>Indosat</v>
      </c>
      <c r="Z667" s="49"/>
    </row>
    <row r="668" spans="1:26">
      <c r="A668" s="5"/>
      <c r="C668" s="48" t="str">
        <f t="shared" si="168"/>
        <v>LG Uplus</v>
      </c>
      <c r="D668" s="44" t="str">
        <f t="shared" si="168"/>
        <v>KRW 9,770</v>
      </c>
      <c r="E668" s="44" t="str">
        <f t="shared" si="168"/>
        <v>KRW 21,000</v>
      </c>
      <c r="F668" s="45">
        <f t="shared" si="168"/>
        <v>1.1494370522006143</v>
      </c>
      <c r="G668" s="44" t="str">
        <f t="shared" si="168"/>
        <v>Buy</v>
      </c>
      <c r="H668" s="46"/>
      <c r="I668" s="45">
        <f>_LG!$D$32/_LG!$D$11</f>
        <v>0</v>
      </c>
      <c r="J668" s="45">
        <f>_LG!$E$32/_LG!$E$11</f>
        <v>0</v>
      </c>
      <c r="K668" s="45">
        <f>_LG!$F$32/_LG!$F$11</f>
        <v>0</v>
      </c>
      <c r="L668" s="45">
        <f>_LG!$G$32/_LG!$G$11</f>
        <v>2.3443459767037649E-2</v>
      </c>
      <c r="M668" s="45" t="str">
        <f>_LG!$H$32</f>
        <v>nm</v>
      </c>
      <c r="N668" s="46"/>
      <c r="O668" s="45">
        <f>(_LG!$D$31+_LG!$D$32)/_LG!$D$11</f>
        <v>6.6530194472876156E-2</v>
      </c>
      <c r="P668" s="45">
        <f>(_LG!$E$31+_LG!$E$32)/_LG!$E$11</f>
        <v>6.6681105123433115E-2</v>
      </c>
      <c r="Q668" s="45">
        <f>(_LG!$F$31+_LG!$F$32)/_LG!$F$11</f>
        <v>7.7688640040445386E-2</v>
      </c>
      <c r="R668" s="45">
        <f>(_LG!$G$31+_LG!$G$32)/_LG!$G$11</f>
        <v>0.11093226118533586</v>
      </c>
      <c r="S668" s="45">
        <f>_LG!$H$46</f>
        <v>0.18580430909759871</v>
      </c>
      <c r="T668" s="46"/>
      <c r="U668" s="48" t="str">
        <f t="shared" si="169"/>
        <v>KRW 9,770</v>
      </c>
      <c r="V668" s="44" t="str">
        <f t="shared" si="169"/>
        <v>LG Uplus</v>
      </c>
      <c r="Z668" s="49"/>
    </row>
    <row r="669" spans="1:26">
      <c r="C669" s="48" t="str">
        <f t="shared" si="168"/>
        <v>Maxis</v>
      </c>
      <c r="D669" s="44" t="str">
        <f t="shared" si="168"/>
        <v>MYR 3.71</v>
      </c>
      <c r="E669" s="44" t="str">
        <f t="shared" si="168"/>
        <v>MYR 5.60</v>
      </c>
      <c r="F669" s="45">
        <f t="shared" si="168"/>
        <v>0.50943396226415083</v>
      </c>
      <c r="G669" s="44" t="str">
        <f t="shared" si="168"/>
        <v>Buy</v>
      </c>
      <c r="H669" s="46"/>
      <c r="I669" s="45">
        <f>MAXI!$D$32/MAXI!$D$11</f>
        <v>0</v>
      </c>
      <c r="J669" s="45">
        <f>MAXI!$E$32/MAXI!$E$11</f>
        <v>0</v>
      </c>
      <c r="K669" s="45">
        <f>MAXI!$F$32/MAXI!$F$11</f>
        <v>0</v>
      </c>
      <c r="L669" s="45">
        <f>MAXI!$G$32/MAXI!$G$11</f>
        <v>0</v>
      </c>
      <c r="M669" s="45" t="str">
        <f>MAXI!$H$32</f>
        <v>nm</v>
      </c>
      <c r="N669" s="46"/>
      <c r="O669" s="45">
        <f>(MAXI!$D$31+MAXI!$D$32)/MAXI!$D$11</f>
        <v>4.3126684636118601E-2</v>
      </c>
      <c r="P669" s="45">
        <f>(MAXI!$E$31+MAXI!$E$32)/MAXI!$E$11</f>
        <v>5.6453198072164645E-2</v>
      </c>
      <c r="Q669" s="45">
        <f>(MAXI!$F$31+MAXI!$F$32)/MAXI!$F$11</f>
        <v>6.0989280647301476E-2</v>
      </c>
      <c r="R669" s="45">
        <f>(MAXI!$G$31+MAXI!$G$32)/MAXI!$G$11</f>
        <v>6.5135499631091567E-2</v>
      </c>
      <c r="S669" s="45">
        <f>MAXI!$H$46</f>
        <v>0.14733583599232314</v>
      </c>
      <c r="T669" s="46"/>
      <c r="U669" s="48" t="str">
        <f t="shared" si="169"/>
        <v>MYR 3.71</v>
      </c>
      <c r="V669" s="44" t="str">
        <f t="shared" si="169"/>
        <v>Maxis</v>
      </c>
      <c r="Z669" s="49"/>
    </row>
    <row r="670" spans="1:26">
      <c r="A670" s="5"/>
      <c r="C670" s="48" t="str">
        <f t="shared" si="168"/>
        <v>SK Telecom</v>
      </c>
      <c r="D670" s="44" t="str">
        <f t="shared" si="168"/>
        <v>KRW 51,800</v>
      </c>
      <c r="E670" s="44" t="str">
        <f t="shared" si="168"/>
        <v>KRW 116,000</v>
      </c>
      <c r="F670" s="45">
        <f t="shared" si="168"/>
        <v>1.2393822393822393</v>
      </c>
      <c r="G670" s="44" t="str">
        <f t="shared" si="168"/>
        <v>Buy</v>
      </c>
      <c r="H670" s="46"/>
      <c r="I670" s="45">
        <f>SKT!$D$32/SKT!$D$11</f>
        <v>0</v>
      </c>
      <c r="J670" s="45">
        <f>SKT!$E$32/SKT!$E$11</f>
        <v>0</v>
      </c>
      <c r="K670" s="45">
        <f>SKT!$F$32/SKT!$F$11</f>
        <v>3.8724810589824236E-2</v>
      </c>
      <c r="L670" s="45">
        <f>SKT!$G$32/SKT!$G$11</f>
        <v>6.9079745626584683E-3</v>
      </c>
      <c r="M670" s="45" t="str">
        <f>SKT!$H$32</f>
        <v>nm</v>
      </c>
      <c r="N670" s="46"/>
      <c r="O670" s="45">
        <f>(SKT!$D$31+SKT!$D$32)/SKT!$D$11</f>
        <v>6.8339768339768348E-2</v>
      </c>
      <c r="P670" s="45">
        <f>(SKT!$E$31+SKT!$E$32)/SKT!$E$11</f>
        <v>7.6222912022771233E-2</v>
      </c>
      <c r="Q670" s="45">
        <f>(SKT!$F$31+SKT!$F$32)/SKT!$F$11</f>
        <v>0.13221360186054903</v>
      </c>
      <c r="R670" s="45">
        <f>(SKT!$G$31+SKT!$G$32)/SKT!$G$11</f>
        <v>0.11586876466446591</v>
      </c>
      <c r="S670" s="45">
        <f>SKT!$H$46</f>
        <v>0.18748362612180114</v>
      </c>
      <c r="T670" s="46"/>
      <c r="U670" s="48" t="str">
        <f t="shared" si="169"/>
        <v>KRW 51,800</v>
      </c>
      <c r="V670" s="44" t="str">
        <f t="shared" si="169"/>
        <v>SK Telecom</v>
      </c>
      <c r="Z670" s="49"/>
    </row>
    <row r="671" spans="1:26">
      <c r="A671" s="5"/>
      <c r="C671" s="48" t="str">
        <f t="shared" si="168"/>
        <v>Taiwan Mobile</v>
      </c>
      <c r="D671" s="44" t="str">
        <f t="shared" si="168"/>
        <v>TWD 106.5</v>
      </c>
      <c r="E671" s="44" t="str">
        <f t="shared" si="168"/>
        <v>TWD n/r</v>
      </c>
      <c r="F671" s="45" t="str">
        <f t="shared" si="168"/>
        <v>-</v>
      </c>
      <c r="G671" s="44" t="str">
        <f t="shared" si="168"/>
        <v>n/r</v>
      </c>
      <c r="H671" s="46"/>
      <c r="I671" s="45">
        <f>TAIWAN!$D$32/TAIWAN!$D$11</f>
        <v>0</v>
      </c>
      <c r="J671" s="45">
        <f>TAIWAN!$E$32/TAIWAN!$E$11</f>
        <v>0</v>
      </c>
      <c r="K671" s="45">
        <f>TAIWAN!$F$32/TAIWAN!$F$11</f>
        <v>0</v>
      </c>
      <c r="L671" s="45">
        <f>TAIWAN!$G$32/TAIWAN!$G$11</f>
        <v>0</v>
      </c>
      <c r="M671" s="45" t="str">
        <f>TAIWAN!$H$32</f>
        <v>nm</v>
      </c>
      <c r="N671" s="46"/>
      <c r="O671" s="45">
        <f>(TAIWAN!$D$31+TAIWAN!$D$32)/TAIWAN!$D$11</f>
        <v>5.0704225352112678E-2</v>
      </c>
      <c r="P671" s="45">
        <f>(TAIWAN!$E$31+TAIWAN!$E$32)/TAIWAN!$E$11</f>
        <v>5.0704225352112678E-2</v>
      </c>
      <c r="Q671" s="45">
        <f>(TAIWAN!$F$31+TAIWAN!$F$32)/TAIWAN!$F$11</f>
        <v>5.0704225352112678E-2</v>
      </c>
      <c r="R671" s="45">
        <f>(TAIWAN!$G$31+TAIWAN!$G$32)/TAIWAN!$G$11</f>
        <v>5.0704225352112678E-2</v>
      </c>
      <c r="S671" s="45">
        <f>TAIWAN!$H$46</f>
        <v>0</v>
      </c>
      <c r="T671" s="46"/>
      <c r="U671" s="48" t="str">
        <f t="shared" si="169"/>
        <v>TWD 106.5</v>
      </c>
      <c r="V671" s="44" t="str">
        <f t="shared" si="169"/>
        <v>Taiwan Mobile</v>
      </c>
      <c r="Z671" s="49"/>
    </row>
    <row r="672" spans="1:26">
      <c r="A672" s="5"/>
      <c r="C672" s="48" t="str">
        <f t="shared" si="168"/>
        <v>True Corp</v>
      </c>
      <c r="D672" s="44" t="str">
        <f t="shared" si="168"/>
        <v>THB 8.0</v>
      </c>
      <c r="E672" s="44" t="str">
        <f t="shared" si="168"/>
        <v>THB 15.0</v>
      </c>
      <c r="F672" s="45">
        <f t="shared" si="168"/>
        <v>0.875</v>
      </c>
      <c r="G672" s="44" t="str">
        <f t="shared" si="168"/>
        <v>Buy</v>
      </c>
      <c r="H672" s="46"/>
      <c r="I672" s="45" t="e">
        <f>TRUECORP!$D$32/TRUECORP!$D$11</f>
        <v>#VALUE!</v>
      </c>
      <c r="J672" s="45" t="e">
        <f>TRUECORP!$E$32/TRUECORP!$E$11</f>
        <v>#VALUE!</v>
      </c>
      <c r="K672" s="45" t="e">
        <f>TRUECORP!$F$32/TRUECORP!$F$11</f>
        <v>#VALUE!</v>
      </c>
      <c r="L672" s="45" t="e">
        <f>TRUECORP!$G$32/TRUECORP!$G$11</f>
        <v>#VALUE!</v>
      </c>
      <c r="M672" s="45" t="e">
        <f>TRUECORP!$H$32</f>
        <v>#VALUE!</v>
      </c>
      <c r="N672" s="46"/>
      <c r="O672" s="45" t="e">
        <f>(TRUECORP!$D$31+TRUECORP!$D$32)/TRUECORP!$D$11</f>
        <v>#VALUE!</v>
      </c>
      <c r="P672" s="45" t="e">
        <f>(TRUECORP!$E$31+TRUECORP!$E$32)/TRUECORP!$E$11</f>
        <v>#VALUE!</v>
      </c>
      <c r="Q672" s="45" t="e">
        <f>(TRUECORP!$F$31+TRUECORP!$F$32)/TRUECORP!$F$11</f>
        <v>#VALUE!</v>
      </c>
      <c r="R672" s="45" t="e">
        <f>(TRUECORP!$G$31+TRUECORP!$G$32)/TRUECORP!$G$11</f>
        <v>#VALUE!</v>
      </c>
      <c r="S672" s="45" t="str">
        <f>IFERROR(TRUECORP!$H$46,"na")</f>
        <v>na</v>
      </c>
      <c r="T672" s="46"/>
      <c r="U672" s="48" t="str">
        <f t="shared" si="169"/>
        <v>THB 8.0</v>
      </c>
      <c r="V672" s="44" t="str">
        <f t="shared" si="169"/>
        <v>True Corp</v>
      </c>
      <c r="Z672" s="49"/>
    </row>
    <row r="673" spans="1:31">
      <c r="A673" s="5"/>
      <c r="C673" s="48" t="str">
        <f t="shared" si="168"/>
        <v>XL Axiata</v>
      </c>
      <c r="D673" s="44" t="str">
        <f t="shared" si="168"/>
        <v>IDR 2,470</v>
      </c>
      <c r="E673" s="44" t="str">
        <f t="shared" si="168"/>
        <v>IDR 5,000</v>
      </c>
      <c r="F673" s="45">
        <f t="shared" si="168"/>
        <v>1.0242914979757085</v>
      </c>
      <c r="G673" s="44" t="str">
        <f t="shared" si="168"/>
        <v>Buy</v>
      </c>
      <c r="H673" s="46"/>
      <c r="I673" s="45">
        <f>XLAX!$D$32/XLAX!$D$11</f>
        <v>0</v>
      </c>
      <c r="J673" s="45">
        <f>XLAX!$E$32/XLAX!$E$11</f>
        <v>0</v>
      </c>
      <c r="K673" s="45">
        <f>XLAX!$F$32/XLAX!$F$11</f>
        <v>0</v>
      </c>
      <c r="L673" s="45">
        <f>XLAX!$G$32/XLAX!$G$11</f>
        <v>0</v>
      </c>
      <c r="M673" s="45" t="str">
        <f>XLAX!$H$32</f>
        <v>nm</v>
      </c>
      <c r="N673" s="56"/>
      <c r="O673" s="45">
        <f>(XLAX!$D$31+XLAX!$D$32)/XLAX!$D$11</f>
        <v>1.9676113360323887E-2</v>
      </c>
      <c r="P673" s="45">
        <f>(XLAX!$E$31+XLAX!$E$32)/XLAX!$E$11</f>
        <v>2.5425405975271247E-2</v>
      </c>
      <c r="Q673" s="45">
        <f>(XLAX!$F$31+XLAX!$F$32)/XLAX!$F$11</f>
        <v>3.2676362610073693E-2</v>
      </c>
      <c r="R673" s="45">
        <f>(XLAX!$G$31+XLAX!$G$32)/XLAX!$G$11</f>
        <v>4.0786424466896162E-2</v>
      </c>
      <c r="S673" s="45">
        <f>IFERROR(XLAX!$H$46,"na")</f>
        <v>0.27504478570969981</v>
      </c>
      <c r="T673" s="46"/>
      <c r="U673" s="48" t="str">
        <f t="shared" si="169"/>
        <v>IDR 2,470</v>
      </c>
      <c r="V673" s="44" t="str">
        <f t="shared" si="169"/>
        <v>XL Axiata</v>
      </c>
      <c r="Z673" s="49"/>
    </row>
    <row r="674" spans="1:31">
      <c r="A674" s="5"/>
      <c r="C674" s="51" t="str">
        <f>C612</f>
        <v>Agg. Emerging Asia Cellular</v>
      </c>
      <c r="D674" s="52"/>
      <c r="E674" s="52"/>
      <c r="F674" s="53"/>
      <c r="G674" s="52"/>
      <c r="H674" s="46"/>
      <c r="I674" s="55" t="e">
        <f>'EM ASIA CELLULAR'!$D$32/'EM ASIA CELLULAR'!$D$11</f>
        <v>#VALUE!</v>
      </c>
      <c r="J674" s="55" t="e">
        <f>'EM ASIA CELLULAR'!$E$32/'EM ASIA CELLULAR'!$E$11</f>
        <v>#VALUE!</v>
      </c>
      <c r="K674" s="55" t="e">
        <f>'EM ASIA CELLULAR'!$F$32/'EM ASIA CELLULAR'!$F$11</f>
        <v>#VALUE!</v>
      </c>
      <c r="L674" s="55" t="e">
        <f>'EM ASIA CELLULAR'!$G$32/'EM ASIA CELLULAR'!$G$11</f>
        <v>#VALUE!</v>
      </c>
      <c r="M674" s="55" t="e">
        <f>'EM ASIA CELLULAR'!$H$32</f>
        <v>#VALUE!</v>
      </c>
      <c r="N674" s="56"/>
      <c r="O674" s="55" t="e">
        <f>('EM ASIA CELLULAR'!$D$31+'EM ASIA CELLULAR'!$D$32)/'EM ASIA CELLULAR'!$D$11</f>
        <v>#VALUE!</v>
      </c>
      <c r="P674" s="55" t="e">
        <f>('EM ASIA CELLULAR'!$E$31+'EM ASIA CELLULAR'!$E$32)/'EM ASIA CELLULAR'!$E$11</f>
        <v>#VALUE!</v>
      </c>
      <c r="Q674" s="55" t="e">
        <f>('EM ASIA CELLULAR'!$F$31+'EM ASIA CELLULAR'!$F$32)/'EM ASIA CELLULAR'!$F$11</f>
        <v>#VALUE!</v>
      </c>
      <c r="R674" s="55" t="e">
        <f>('EM ASIA CELLULAR'!$G$31+'EM ASIA CELLULAR'!$G$32)/'EM ASIA CELLULAR'!$G$11</f>
        <v>#VALUE!</v>
      </c>
      <c r="S674" s="55" t="e">
        <f>'EM ASIA CELLULAR'!$H$46</f>
        <v>#VALUE!</v>
      </c>
      <c r="T674" s="46"/>
      <c r="U674" s="57"/>
      <c r="V674" s="58" t="str">
        <f>V612</f>
        <v>Agg. Emerging Asia Cellular</v>
      </c>
      <c r="Z674" s="49"/>
    </row>
    <row r="675" spans="1:31">
      <c r="A675" s="5"/>
      <c r="C675" s="43"/>
      <c r="D675" s="44"/>
      <c r="E675" s="44"/>
      <c r="F675" s="68"/>
      <c r="G675" s="44"/>
      <c r="H675" s="46"/>
      <c r="I675" s="61"/>
      <c r="J675" s="61"/>
      <c r="K675" s="61"/>
      <c r="L675" s="61"/>
      <c r="M675" s="61"/>
      <c r="N675" s="46"/>
      <c r="O675" s="61"/>
      <c r="P675" s="61"/>
      <c r="Q675" s="61"/>
      <c r="R675" s="61"/>
      <c r="S675" s="61"/>
      <c r="T675" s="46"/>
      <c r="U675" s="48"/>
      <c r="V675" s="50"/>
      <c r="Z675" s="49"/>
    </row>
    <row r="676" spans="1:31">
      <c r="A676" s="5"/>
      <c r="C676" s="51" t="str">
        <f>C614</f>
        <v>Agg. Emerging  Cellular</v>
      </c>
      <c r="D676" s="52"/>
      <c r="E676" s="52"/>
      <c r="F676" s="53"/>
      <c r="G676" s="52"/>
      <c r="H676" s="46"/>
      <c r="I676" s="55" t="e">
        <f>'EM CELLULAR'!$D$32/'EM CELLULAR'!$D$11</f>
        <v>#VALUE!</v>
      </c>
      <c r="J676" s="55" t="e">
        <f>'EM CELLULAR'!$E$32/'EM CELLULAR'!$E$11</f>
        <v>#VALUE!</v>
      </c>
      <c r="K676" s="55" t="e">
        <f>'EM CELLULAR'!$F$32/'EM CELLULAR'!$F$11</f>
        <v>#VALUE!</v>
      </c>
      <c r="L676" s="55" t="e">
        <f>'EM CELLULAR'!$G$32/'EM CELLULAR'!$G$11</f>
        <v>#VALUE!</v>
      </c>
      <c r="M676" s="55" t="e">
        <f>'EM CELLULAR'!$H$32</f>
        <v>#VALUE!</v>
      </c>
      <c r="N676" s="46"/>
      <c r="O676" s="55" t="e">
        <f>('EM CELLULAR'!$D$31+'EM CELLULAR'!$D$32)/'EM CELLULAR'!$D$11</f>
        <v>#VALUE!</v>
      </c>
      <c r="P676" s="55" t="e">
        <f>('EM CELLULAR'!$E$31+'EM CELLULAR'!$E$32)/'EM CELLULAR'!$E$11</f>
        <v>#VALUE!</v>
      </c>
      <c r="Q676" s="55" t="e">
        <f>('EM CELLULAR'!$F$31+'EM CELLULAR'!$F$32)/'EM CELLULAR'!$F$11</f>
        <v>#VALUE!</v>
      </c>
      <c r="R676" s="55" t="e">
        <f>('EM CELLULAR'!$G$31+'EM CELLULAR'!$G$32)/'EM CELLULAR'!$G$11</f>
        <v>#VALUE!</v>
      </c>
      <c r="S676" s="55" t="e">
        <f>'EM CELLULAR'!$H$46</f>
        <v>#VALUE!</v>
      </c>
      <c r="T676" s="46"/>
      <c r="U676" s="57"/>
      <c r="V676" s="58" t="str">
        <f>V614</f>
        <v>Agg. Emerging  Cellular</v>
      </c>
      <c r="Z676" s="49"/>
    </row>
    <row r="677" spans="1:31">
      <c r="C677" s="43"/>
      <c r="D677" s="44"/>
      <c r="E677" s="44"/>
      <c r="F677" s="45"/>
      <c r="G677" s="44"/>
      <c r="H677" s="46"/>
      <c r="I677" s="45"/>
      <c r="J677" s="45"/>
      <c r="K677" s="45"/>
      <c r="L677" s="45"/>
      <c r="M677" s="45"/>
      <c r="N677" s="46"/>
      <c r="O677" s="45"/>
      <c r="P677" s="45"/>
      <c r="Q677" s="45"/>
      <c r="R677" s="45"/>
      <c r="S677" s="45"/>
      <c r="T677" s="46"/>
      <c r="U677" s="48"/>
      <c r="V677" s="50"/>
      <c r="Z677" s="49"/>
    </row>
    <row r="678" spans="1:31">
      <c r="A678" s="41" t="s">
        <v>508</v>
      </c>
      <c r="B678" s="42" t="s">
        <v>582</v>
      </c>
      <c r="C678" s="48" t="s">
        <v>819</v>
      </c>
      <c r="D678" s="44" t="str">
        <f>'EM Multiples'!B678&amp;TEXT(Prices!C$135,"0.00")</f>
        <v>MXN52.16</v>
      </c>
      <c r="E678" s="44" t="str">
        <f>'EM Multiples'!B678&amp;TEXT(Prices!E$135,"0.00")</f>
        <v>MXN55.00</v>
      </c>
      <c r="F678" s="45">
        <f>Prices!F$135</f>
        <v>5.444785276073616E-2</v>
      </c>
      <c r="G678" s="44" t="str">
        <f>Prices!D$48</f>
        <v>Buy</v>
      </c>
      <c r="H678" s="46"/>
      <c r="I678" s="45">
        <f>MEGA!$D$32/MEGA!$D$11</f>
        <v>0</v>
      </c>
      <c r="J678" s="45">
        <f>MEGA!$E$32/MEGA!$E$11</f>
        <v>0</v>
      </c>
      <c r="K678" s="45">
        <f>MEGA!$F$32/MEGA!$F$11</f>
        <v>0</v>
      </c>
      <c r="L678" s="45">
        <f>MEGA!$G$32/MEGA!$G$11</f>
        <v>0</v>
      </c>
      <c r="M678" s="45" t="str">
        <f>MEGA!$H$32</f>
        <v>nm</v>
      </c>
      <c r="N678" s="46"/>
      <c r="O678" s="45">
        <f>(MEGA!$D$31+MEGA!$D$32)/MEGA!$D$11</f>
        <v>5.9585889570552157E-2</v>
      </c>
      <c r="P678" s="45">
        <f>(MEGA!$E$31+MEGA!$E$32)/MEGA!$E$11</f>
        <v>6.2565184049079764E-2</v>
      </c>
      <c r="Q678" s="45">
        <f>(MEGA!$F$31+MEGA!$F$32)/MEGA!$F$11</f>
        <v>6.8821702453987749E-2</v>
      </c>
      <c r="R678" s="45">
        <f>(MEGA!$G$31+MEGA!$G$32)/MEGA!$G$11</f>
        <v>7.5703872699386526E-2</v>
      </c>
      <c r="S678" s="45">
        <f>MEGA!$H$46</f>
        <v>8.3074231263342124E-2</v>
      </c>
      <c r="T678" s="46"/>
      <c r="U678" s="48" t="str">
        <f>D678</f>
        <v>MXN52.16</v>
      </c>
      <c r="V678" s="44" t="str">
        <f>C678</f>
        <v>Megacable</v>
      </c>
      <c r="Z678" s="46"/>
      <c r="AE678" s="41"/>
    </row>
    <row r="679" spans="1:31">
      <c r="A679" s="5"/>
      <c r="B679" s="42" t="s">
        <v>411</v>
      </c>
      <c r="C679" s="48" t="s">
        <v>804</v>
      </c>
      <c r="D679" s="44" t="str">
        <f>'EM Multiples'!B679&amp;TEXT(Prices!C$138,"0.00")</f>
        <v>USD8.55</v>
      </c>
      <c r="E679" s="44" t="str">
        <f>'EM Multiples'!B679&amp;TEXT(Prices!E$138,"0.00")</f>
        <v>USD14.00</v>
      </c>
      <c r="F679" s="45">
        <f>Prices!F$138</f>
        <v>0.63742690058479523</v>
      </c>
      <c r="G679" s="44" t="str">
        <f>Prices!D$138</f>
        <v>Buy</v>
      </c>
      <c r="H679" s="46"/>
      <c r="I679" s="45">
        <f>LiLAC!$D$32/LiLAC!$D$11</f>
        <v>0.16013910776344112</v>
      </c>
      <c r="J679" s="45">
        <f>LiLAC!$E$32/LiLAC!$E$11</f>
        <v>-0.10048537715961602</v>
      </c>
      <c r="K679" s="45">
        <f>LiLAC!$F$32/LiLAC!$F$11</f>
        <v>0.91517203991316909</v>
      </c>
      <c r="L679" s="45">
        <f>LiLAC!$G$32/LiLAC!$G$11</f>
        <v>0.15115634091686064</v>
      </c>
      <c r="M679" s="45">
        <f>LiLAC!$H$32</f>
        <v>0</v>
      </c>
      <c r="N679" s="46"/>
      <c r="O679" s="45">
        <f>(LiLAC!$D$31+LiLAC!$D$32)/LiLAC!$D$11</f>
        <v>0.16013910776344112</v>
      </c>
      <c r="P679" s="45">
        <f>(LiLAC!$E$31+LiLAC!$E$32)/LiLAC!$E$11</f>
        <v>-0.10048537715961602</v>
      </c>
      <c r="Q679" s="45">
        <f>(LiLAC!$F$31+LiLAC!$F$32)/LiLAC!$F$11</f>
        <v>0.91517203991316909</v>
      </c>
      <c r="R679" s="45">
        <f>(LiLAC!$G$31+LiLAC!$G$32)/LiLAC!$G$11</f>
        <v>0.15115634091686064</v>
      </c>
      <c r="S679" s="45">
        <f>LiLAC!$H$46</f>
        <v>6.2110327747262106E-2</v>
      </c>
      <c r="T679" s="46"/>
      <c r="U679" s="48" t="str">
        <f>D679</f>
        <v>USD8.55</v>
      </c>
      <c r="V679" s="44" t="str">
        <f>C679</f>
        <v>LiLAC</v>
      </c>
      <c r="Z679" s="46"/>
      <c r="AE679" s="41"/>
    </row>
    <row r="680" spans="1:31">
      <c r="A680" s="5"/>
      <c r="C680" s="67" t="s">
        <v>822</v>
      </c>
      <c r="D680" s="52"/>
      <c r="E680" s="52"/>
      <c r="F680" s="53"/>
      <c r="G680" s="52"/>
      <c r="H680" s="46"/>
      <c r="I680" s="55">
        <f>'LATAM ALTNET &amp; CABLE'!$D$32/'LATAM ALTNET &amp; CABLE'!$D$11</f>
        <v>5.8686405009525683E-2</v>
      </c>
      <c r="J680" s="55">
        <f>'LATAM ALTNET &amp; CABLE'!$E$32/'LATAM ALTNET &amp; CABLE'!$E$11</f>
        <v>-3.6946087471953784E-2</v>
      </c>
      <c r="K680" s="55">
        <f>'LATAM ALTNET &amp; CABLE'!$F$32/'LATAM ALTNET &amp; CABLE'!$F$11</f>
        <v>0.38969971605680659</v>
      </c>
      <c r="L680" s="55">
        <f>'LATAM ALTNET &amp; CABLE'!$G$32/'LATAM ALTNET &amp; CABLE'!$G$11</f>
        <v>6.3997691347441613E-2</v>
      </c>
      <c r="M680" s="55" t="str">
        <f>'LATAM ALTNET &amp; CABLE'!$H$32</f>
        <v>nm</v>
      </c>
      <c r="N680" s="46"/>
      <c r="O680" s="55">
        <f>('LATAM ALTNET &amp; CABLE'!$D$31+'LATAM ALTNET &amp; CABLE'!$D$32)/'LATAM ALTNET &amp; CABLE'!$D$11</f>
        <v>9.6435769467449375E-2</v>
      </c>
      <c r="P680" s="55">
        <f>('LATAM ALTNET &amp; CABLE'!$E$31+'LATAM ALTNET &amp; CABLE'!$E$32)/'LATAM ALTNET &amp; CABLE'!$E$11</f>
        <v>2.6153638160454815E-3</v>
      </c>
      <c r="Q680" s="55">
        <f>('LATAM ALTNET &amp; CABLE'!$F$31+'LATAM ALTNET &amp; CABLE'!$F$32)/'LATAM ALTNET &amp; CABLE'!$F$11</f>
        <v>0.42921567408769146</v>
      </c>
      <c r="R680" s="55">
        <f>('LATAM ALTNET &amp; CABLE'!$G$31+'LATAM ALTNET &amp; CABLE'!$G$32)/'LATAM ALTNET &amp; CABLE'!$G$11</f>
        <v>0.10764949762715911</v>
      </c>
      <c r="S680" s="55">
        <f>'LATAM ALTNET &amp; CABLE'!$H$46</f>
        <v>7.0414501132136209E-2</v>
      </c>
      <c r="T680" s="46"/>
      <c r="U680" s="57"/>
      <c r="V680" s="58" t="str">
        <f>C680</f>
        <v>Agg. Emerging LatAm Altnets &amp; Cable</v>
      </c>
      <c r="Z680" s="46"/>
      <c r="AE680" s="41"/>
    </row>
    <row r="681" spans="1:31">
      <c r="C681" s="43"/>
      <c r="D681" s="44"/>
      <c r="E681" s="44"/>
      <c r="F681" s="45"/>
      <c r="G681" s="44"/>
      <c r="H681" s="46"/>
      <c r="I681" s="45"/>
      <c r="J681" s="45"/>
      <c r="K681" s="45"/>
      <c r="L681" s="45"/>
      <c r="M681" s="45"/>
      <c r="N681" s="46"/>
      <c r="O681" s="45"/>
      <c r="P681" s="45"/>
      <c r="Q681" s="45"/>
      <c r="R681" s="45"/>
      <c r="S681" s="45"/>
      <c r="T681" s="46"/>
      <c r="U681" s="48"/>
      <c r="V681" s="50"/>
      <c r="Z681" s="49"/>
    </row>
    <row r="682" spans="1:31">
      <c r="C682" s="67" t="str">
        <f>C620</f>
        <v>Agg. EMEA sector</v>
      </c>
      <c r="D682" s="52"/>
      <c r="E682" s="52"/>
      <c r="F682" s="53"/>
      <c r="G682" s="52"/>
      <c r="H682" s="46"/>
      <c r="I682" s="55">
        <f>'EMEA AGG'!$D$32/'EMEA AGG'!$D$11</f>
        <v>1.0818692744020439E-3</v>
      </c>
      <c r="J682" s="55">
        <f>'EMEA AGG'!$E$32/'EMEA AGG'!$E$11</f>
        <v>-5.2317663534280929E-3</v>
      </c>
      <c r="K682" s="55">
        <f>'EMEA AGG'!$F$32/'EMEA AGG'!$F$11</f>
        <v>5.5559447130046329E-3</v>
      </c>
      <c r="L682" s="55">
        <f>'EMEA AGG'!$G$32/'EMEA AGG'!$G$11</f>
        <v>-3.5143353244588334E-4</v>
      </c>
      <c r="M682" s="55">
        <f>'EMEA AGG'!$H$32</f>
        <v>-1.6871222846500684</v>
      </c>
      <c r="N682" s="56"/>
      <c r="O682" s="55">
        <f>('EMEA AGG'!$D$31+'EMEA AGG'!$D$32)/'EMEA AGG'!$D$11</f>
        <v>2.2246633187915671E-2</v>
      </c>
      <c r="P682" s="55">
        <f>('EMEA AGG'!$E$31+'EMEA AGG'!$E$32)/'EMEA AGG'!$E$11</f>
        <v>1.8540890945018516E-2</v>
      </c>
      <c r="Q682" s="55">
        <f>('EMEA AGG'!$F$31+'EMEA AGG'!$F$32)/'EMEA AGG'!$F$11</f>
        <v>3.3283124846335443E-2</v>
      </c>
      <c r="R682" s="55">
        <f>('EMEA AGG'!$G$31+'EMEA AGG'!$G$32)/'EMEA AGG'!$G$11</f>
        <v>2.9880929105980055E-2</v>
      </c>
      <c r="S682" s="55">
        <f>'EMEA AGG'!$H$46</f>
        <v>0.10286197819529552</v>
      </c>
      <c r="T682" s="46"/>
      <c r="U682" s="57"/>
      <c r="V682" s="58" t="str">
        <f>V620</f>
        <v>Agg. EMEA sector</v>
      </c>
      <c r="Z682" s="49"/>
    </row>
    <row r="683" spans="1:31">
      <c r="C683" s="41" t="str">
        <f>C621</f>
        <v>Agg. LatAm sector</v>
      </c>
      <c r="D683" s="44"/>
      <c r="E683" s="44"/>
      <c r="F683" s="45"/>
      <c r="G683" s="44"/>
      <c r="H683" s="46"/>
      <c r="I683" s="59">
        <f>'LATAM AGG'!$D$32/'LATAM AGG'!$D$11</f>
        <v>3.2894731513048395E-3</v>
      </c>
      <c r="J683" s="59">
        <f>'LATAM AGG'!$E$32/'LATAM AGG'!$E$11</f>
        <v>-1.6742880649194361E-3</v>
      </c>
      <c r="K683" s="59">
        <f>'LATAM AGG'!$F$32/'LATAM AGG'!$F$11</f>
        <v>1.5800127567327123E-2</v>
      </c>
      <c r="L683" s="59">
        <f>'LATAM AGG'!$G$32/'LATAM AGG'!$G$11</f>
        <v>2.7457365853516099E-2</v>
      </c>
      <c r="M683" s="59">
        <f>'LATAM AGG'!$H$32</f>
        <v>0.97804557133531156</v>
      </c>
      <c r="N683" s="56"/>
      <c r="O683" s="59">
        <f>('LATAM AGG'!$D$31+'LATAM AGG'!$D$32)/'LATAM AGG'!$D$11</f>
        <v>3.9279321630320982E-2</v>
      </c>
      <c r="P683" s="59">
        <f>('LATAM AGG'!$E$31+'LATAM AGG'!$E$32)/'LATAM AGG'!$E$11</f>
        <v>3.9777653021945893E-2</v>
      </c>
      <c r="Q683" s="59">
        <f>('LATAM AGG'!$F$31+'LATAM AGG'!$F$32)/'LATAM AGG'!$F$11</f>
        <v>6.3625005706628102E-2</v>
      </c>
      <c r="R683" s="59">
        <f>('LATAM AGG'!$G$31+'LATAM AGG'!$G$32)/'LATAM AGG'!$G$11</f>
        <v>8.0610613990796817E-2</v>
      </c>
      <c r="S683" s="59">
        <f>'LATAM AGG'!$H$46</f>
        <v>0.23918134897651844</v>
      </c>
      <c r="T683" s="46"/>
      <c r="U683" s="48"/>
      <c r="V683" s="50" t="str">
        <f>V621</f>
        <v>Agg. LatAm sector</v>
      </c>
      <c r="Z683" s="49"/>
    </row>
    <row r="684" spans="1:31">
      <c r="C684" s="67" t="str">
        <f>C622</f>
        <v>Agg. Emerging Asia sector</v>
      </c>
      <c r="D684" s="52"/>
      <c r="E684" s="52"/>
      <c r="F684" s="53"/>
      <c r="G684" s="52"/>
      <c r="H684" s="46"/>
      <c r="I684" s="55" t="e">
        <f>'AGG EM ASIA'!$D$32/'AGG EM ASIA'!$D$11</f>
        <v>#VALUE!</v>
      </c>
      <c r="J684" s="55" t="e">
        <f>'AGG EM ASIA'!$E$32/'AGG EM ASIA'!$E$11</f>
        <v>#VALUE!</v>
      </c>
      <c r="K684" s="55" t="e">
        <f>'AGG EM ASIA'!$F$32/'AGG EM ASIA'!$F$11</f>
        <v>#VALUE!</v>
      </c>
      <c r="L684" s="55" t="e">
        <f>'AGG EM ASIA'!$G$32/'AGG EM ASIA'!$G$11</f>
        <v>#VALUE!</v>
      </c>
      <c r="M684" s="55" t="e">
        <f>'AGG EM ASIA'!$H$32</f>
        <v>#VALUE!</v>
      </c>
      <c r="N684" s="56"/>
      <c r="O684" s="55" t="e">
        <f>('AGG EM ASIA'!$D$31+'AGG EM ASIA'!$D$32)/'AGG EM ASIA'!$D$11</f>
        <v>#VALUE!</v>
      </c>
      <c r="P684" s="55" t="e">
        <f>('AGG EM ASIA'!$E$31+'AGG EM ASIA'!$E$32)/'AGG EM ASIA'!$E$11</f>
        <v>#VALUE!</v>
      </c>
      <c r="Q684" s="55" t="e">
        <f>('AGG EM ASIA'!$F$31+'AGG EM ASIA'!$F$32)/'AGG EM ASIA'!$F$11</f>
        <v>#VALUE!</v>
      </c>
      <c r="R684" s="55" t="e">
        <f>('AGG EM ASIA'!$G$31+'AGG EM ASIA'!$G$32)/'AGG EM ASIA'!$G$11</f>
        <v>#VALUE!</v>
      </c>
      <c r="S684" s="55" t="e">
        <f>'AGG EM ASIA'!$H$46</f>
        <v>#VALUE!</v>
      </c>
      <c r="T684" s="46"/>
      <c r="U684" s="57"/>
      <c r="V684" s="58" t="str">
        <f>V622</f>
        <v>Agg. Emerging Asia sector</v>
      </c>
      <c r="Z684" s="49"/>
    </row>
    <row r="685" spans="1:31">
      <c r="C685" s="41"/>
      <c r="D685" s="44"/>
      <c r="E685" s="44"/>
      <c r="F685" s="45"/>
      <c r="G685" s="44"/>
      <c r="H685" s="46"/>
      <c r="I685" s="59"/>
      <c r="J685" s="59"/>
      <c r="K685" s="59"/>
      <c r="L685" s="59"/>
      <c r="M685" s="59"/>
      <c r="N685" s="56"/>
      <c r="O685" s="59"/>
      <c r="P685" s="59"/>
      <c r="Q685" s="59"/>
      <c r="R685" s="59"/>
      <c r="S685" s="59"/>
      <c r="T685" s="46"/>
      <c r="U685" s="48"/>
      <c r="V685" s="50"/>
      <c r="X685" s="59"/>
      <c r="Y685" s="59"/>
      <c r="Z685" s="49"/>
    </row>
    <row r="686" spans="1:31" s="5" customFormat="1">
      <c r="A686" s="39"/>
      <c r="B686" s="42"/>
      <c r="C686" s="67" t="str">
        <f>C624</f>
        <v>Agg. Global EM sector (ex-consensus)</v>
      </c>
      <c r="D686" s="52"/>
      <c r="E686" s="52"/>
      <c r="F686" s="53"/>
      <c r="G686" s="52"/>
      <c r="H686" s="46"/>
      <c r="I686" s="55" t="e">
        <f>'AGG EM'!$D$32/'AGG EM'!$D$11</f>
        <v>#VALUE!</v>
      </c>
      <c r="J686" s="55" t="e">
        <f>'AGG EM'!$E$32/'AGG EM'!$E$11</f>
        <v>#VALUE!</v>
      </c>
      <c r="K686" s="55" t="e">
        <f>'AGG EM'!$F$32/'AGG EM'!$F$11</f>
        <v>#VALUE!</v>
      </c>
      <c r="L686" s="55" t="e">
        <f>'AGG EM'!$G$32/'AGG EM'!$G$11</f>
        <v>#VALUE!</v>
      </c>
      <c r="M686" s="55" t="e">
        <f>'AGG EM'!$H$32</f>
        <v>#VALUE!</v>
      </c>
      <c r="N686" s="56"/>
      <c r="O686" s="55" t="e">
        <f>('AGG EM'!$D$31+'AGG EM'!$D$32)/'AGG EM'!$D$11</f>
        <v>#VALUE!</v>
      </c>
      <c r="P686" s="55" t="e">
        <f>('AGG EM'!$E$31+'AGG EM'!$E$32)/'AGG EM'!$E$11</f>
        <v>#VALUE!</v>
      </c>
      <c r="Q686" s="55" t="e">
        <f>('AGG EM'!$F$31+'AGG EM'!$F$32)/'AGG EM'!$F$11</f>
        <v>#VALUE!</v>
      </c>
      <c r="R686" s="55" t="e">
        <f>('AGG EM'!$G$31+'AGG EM'!$G$32)/'AGG EM'!$G$11</f>
        <v>#VALUE!</v>
      </c>
      <c r="S686" s="55" t="e">
        <f>'AGG EM'!$H$46</f>
        <v>#VALUE!</v>
      </c>
      <c r="T686" s="46"/>
      <c r="U686" s="57"/>
      <c r="V686" s="58" t="str">
        <f>V624</f>
        <v>Agg. Global EM sector (ex-consensus)</v>
      </c>
      <c r="Z686" s="49"/>
    </row>
    <row r="687" spans="1:31">
      <c r="W687" s="61"/>
      <c r="Z687" s="49"/>
    </row>
    <row r="688" spans="1:31">
      <c r="W688" s="61"/>
      <c r="Z688" s="49"/>
    </row>
    <row r="689" spans="1:69" s="41" customFormat="1">
      <c r="B689" s="147"/>
      <c r="C689" s="164"/>
      <c r="D689" s="165" t="s">
        <v>464</v>
      </c>
      <c r="E689" s="165" t="s">
        <v>57</v>
      </c>
      <c r="F689" s="165" t="s">
        <v>59</v>
      </c>
      <c r="G689" s="165" t="s">
        <v>56</v>
      </c>
      <c r="H689" s="134"/>
      <c r="I689" s="166" t="s">
        <v>17</v>
      </c>
      <c r="J689" s="166"/>
      <c r="K689" s="166"/>
      <c r="L689" s="166"/>
      <c r="M689" s="166"/>
      <c r="N689" s="46"/>
      <c r="O689" s="166" t="s">
        <v>19</v>
      </c>
      <c r="P689" s="166"/>
      <c r="Q689" s="166"/>
      <c r="R689" s="166"/>
      <c r="S689" s="166"/>
      <c r="T689" s="46"/>
      <c r="U689" s="167" t="s">
        <v>464</v>
      </c>
      <c r="V689" s="165"/>
      <c r="Z689" s="49"/>
      <c r="AC689" s="135"/>
      <c r="AD689" s="136"/>
      <c r="AE689" s="136"/>
      <c r="AF689" s="136"/>
      <c r="AG689" s="136"/>
      <c r="AH689" s="136"/>
      <c r="AI689" s="136"/>
      <c r="AJ689" s="136"/>
      <c r="AK689" s="136"/>
      <c r="AL689" s="136"/>
      <c r="AM689" s="136"/>
      <c r="AN689" s="136"/>
      <c r="AO689" s="136"/>
      <c r="AP689" s="136"/>
      <c r="AQ689" s="136"/>
      <c r="AR689" s="136"/>
      <c r="AS689" s="136"/>
      <c r="AT689" s="136"/>
      <c r="AU689" s="136"/>
      <c r="AV689" s="136"/>
      <c r="AW689" s="136"/>
      <c r="BC689" s="137"/>
      <c r="BD689" s="137"/>
      <c r="BE689" s="137"/>
      <c r="BG689" s="137"/>
      <c r="BH689" s="137"/>
      <c r="BI689" s="137"/>
      <c r="BK689" s="137"/>
      <c r="BL689" s="137"/>
      <c r="BM689" s="137"/>
      <c r="BO689" s="137"/>
      <c r="BP689" s="137"/>
      <c r="BQ689" s="137"/>
    </row>
    <row r="690" spans="1:69" s="5" customFormat="1">
      <c r="A690" s="41" t="s">
        <v>506</v>
      </c>
      <c r="B690" s="42"/>
      <c r="C690" s="48" t="str">
        <f>C628</f>
        <v>Telkom SA</v>
      </c>
      <c r="D690" s="44" t="str">
        <f>D628</f>
        <v>ZAR 25.3</v>
      </c>
      <c r="E690" s="44" t="str">
        <f>E628</f>
        <v>ZAR 56.0</v>
      </c>
      <c r="F690" s="45">
        <f>F628</f>
        <v>1.21606648199446</v>
      </c>
      <c r="G690" s="44" t="str">
        <f>G628</f>
        <v>Neutral</v>
      </c>
      <c r="H690" s="134"/>
      <c r="I690" s="47">
        <f>TKG!D$11/1000/Prices!$C$170</f>
        <v>0.67864518097564286</v>
      </c>
      <c r="J690" s="47">
        <f>TKG!E$11/1000/Prices!$C$170</f>
        <v>0.67864518097564286</v>
      </c>
      <c r="K690" s="47">
        <f>TKG!F$11/1000/Prices!$C$170</f>
        <v>0.67864518097564286</v>
      </c>
      <c r="L690" s="47">
        <f>TKG!G$11/1000/Prices!$C$170</f>
        <v>0.67864518097564286</v>
      </c>
      <c r="M690" s="45">
        <f t="shared" ref="M690" si="170">(L690/I690)^(1/3)-1</f>
        <v>0</v>
      </c>
      <c r="N690" s="46"/>
      <c r="O690" s="47">
        <f>TKG!D$12/1000/Prices!$C$170</f>
        <v>0.66794535453938375</v>
      </c>
      <c r="P690" s="47">
        <f>TKG!E$12/1000/Prices!$C$170</f>
        <v>0.6271512306703223</v>
      </c>
      <c r="Q690" s="47">
        <f>TKG!F$12/1000/Prices!$C$170</f>
        <v>0.58803064692260409</v>
      </c>
      <c r="R690" s="47">
        <f>TKG!G$12/1000/Prices!$C$170</f>
        <v>0.54809064120810946</v>
      </c>
      <c r="S690" s="45">
        <f t="shared" ref="S690" si="171">(R690/O690)^(1/3)-1</f>
        <v>-6.3796017498287116E-2</v>
      </c>
      <c r="T690" s="46"/>
      <c r="U690" s="48" t="str">
        <f>U628</f>
        <v>ZAR 25.3</v>
      </c>
      <c r="V690" s="44" t="str">
        <f>V628</f>
        <v>Telkom SA</v>
      </c>
      <c r="Z690" s="49"/>
    </row>
    <row r="691" spans="1:69">
      <c r="A691" s="5"/>
      <c r="C691" s="51" t="str">
        <f>C629</f>
        <v>Agg. EMEA Incumbent</v>
      </c>
      <c r="D691" s="58"/>
      <c r="E691" s="58"/>
      <c r="F691" s="55"/>
      <c r="G691" s="58"/>
      <c r="H691" s="134"/>
      <c r="I691" s="54"/>
      <c r="J691" s="54"/>
      <c r="K691" s="54"/>
      <c r="L691" s="54"/>
      <c r="M691" s="55"/>
      <c r="N691" s="56"/>
      <c r="O691" s="54"/>
      <c r="P691" s="54"/>
      <c r="Q691" s="54"/>
      <c r="R691" s="54"/>
      <c r="S691" s="55"/>
      <c r="T691" s="56"/>
      <c r="U691" s="51"/>
      <c r="V691" s="58" t="str">
        <f>V629</f>
        <v>Agg. EMEA Incumbent</v>
      </c>
    </row>
    <row r="692" spans="1:69" s="5" customFormat="1">
      <c r="B692" s="42"/>
      <c r="C692" s="48"/>
      <c r="D692" s="44"/>
      <c r="E692" s="44"/>
      <c r="F692" s="68"/>
      <c r="G692" s="44"/>
      <c r="H692" s="134"/>
      <c r="I692" s="62"/>
      <c r="J692" s="62"/>
      <c r="K692" s="62"/>
      <c r="L692" s="62"/>
      <c r="M692" s="61"/>
      <c r="N692" s="46"/>
      <c r="O692" s="62"/>
      <c r="P692" s="62"/>
      <c r="Q692" s="62"/>
      <c r="R692" s="62"/>
      <c r="S692" s="61"/>
      <c r="T692" s="46"/>
      <c r="U692" s="48"/>
      <c r="V692" s="44"/>
      <c r="Z692" s="46"/>
    </row>
    <row r="693" spans="1:69" s="5" customFormat="1">
      <c r="B693" s="42"/>
      <c r="C693" s="48" t="str">
        <f t="shared" ref="C693:G696" si="172">C631</f>
        <v>America Movil</v>
      </c>
      <c r="D693" s="44" t="str">
        <f t="shared" si="172"/>
        <v>USD 16.2</v>
      </c>
      <c r="E693" s="44" t="str">
        <f t="shared" si="172"/>
        <v>USD 24.0</v>
      </c>
      <c r="F693" s="45">
        <f t="shared" si="172"/>
        <v>0.47965474722564738</v>
      </c>
      <c r="G693" s="44" t="str">
        <f t="shared" si="172"/>
        <v>Buy</v>
      </c>
      <c r="H693" s="46"/>
      <c r="I693" s="47">
        <f>AMX!D$11/1000</f>
        <v>50.569092378000001</v>
      </c>
      <c r="J693" s="47">
        <f>AMX!E$11/1000</f>
        <v>48.947092378000001</v>
      </c>
      <c r="K693" s="47">
        <f>AMX!F$11/1000</f>
        <v>46.919592378000004</v>
      </c>
      <c r="L693" s="47">
        <f>AMX!G$11/1000</f>
        <v>44.892092378000001</v>
      </c>
      <c r="M693" s="45">
        <f t="shared" ref="M693:M697" si="173">(L693/I693)^(1/3)-1</f>
        <v>-3.891552250541741E-2</v>
      </c>
      <c r="N693" s="46"/>
      <c r="O693" s="47">
        <f>AMX!D$12/1000</f>
        <v>28.013412580953826</v>
      </c>
      <c r="P693" s="47">
        <f>AMX!E$12/1000</f>
        <v>27.344065161451127</v>
      </c>
      <c r="Q693" s="47">
        <f>AMX!F$12/1000</f>
        <v>25.545358322966752</v>
      </c>
      <c r="R693" s="47">
        <f>AMX!G$12/1000</f>
        <v>24.365718080729671</v>
      </c>
      <c r="S693" s="45">
        <f t="shared" ref="S693:S697" si="174">(R693/O693)^(1/3)-1</f>
        <v>-4.5437434008195554E-2</v>
      </c>
      <c r="T693" s="46"/>
      <c r="U693" s="48" t="str">
        <f t="shared" ref="U693:V695" si="175">U631</f>
        <v>USD 16.2</v>
      </c>
      <c r="V693" s="44" t="str">
        <f t="shared" si="175"/>
        <v>America Movil</v>
      </c>
      <c r="Z693" s="46"/>
    </row>
    <row r="694" spans="1:69">
      <c r="A694" s="5"/>
      <c r="C694" s="48" t="str">
        <f t="shared" si="172"/>
        <v>Oi</v>
      </c>
      <c r="D694" s="44" t="str">
        <f t="shared" si="172"/>
        <v>BRL 1.78</v>
      </c>
      <c r="E694" s="44" t="str">
        <f t="shared" si="172"/>
        <v>BRL 0.90</v>
      </c>
      <c r="F694" s="45">
        <f t="shared" si="172"/>
        <v>-0.4943820224719101</v>
      </c>
      <c r="G694" s="44" t="str">
        <f t="shared" si="172"/>
        <v>Neutral</v>
      </c>
      <c r="H694" s="46"/>
      <c r="I694" s="47">
        <f>OIBR!D$11/Prices!$C$160/1000</f>
        <v>0.67785105508880905</v>
      </c>
      <c r="J694" s="47">
        <f>OIBR!E$11/Prices!$C$160/1000</f>
        <v>0.67785105508880905</v>
      </c>
      <c r="K694" s="47">
        <f>OIBR!F$11/Prices!$C$160/1000</f>
        <v>0.67785105508880905</v>
      </c>
      <c r="L694" s="47">
        <f>OIBR!G$11/Prices!$C$160/1000</f>
        <v>0.67785105508880905</v>
      </c>
      <c r="M694" s="45">
        <f>(L694/I694)^(1/3)-1</f>
        <v>0</v>
      </c>
      <c r="N694" s="46"/>
      <c r="O694" s="47">
        <f>OIBR!D$12/Prices!$C$160/1000</f>
        <v>4.0499286616827597</v>
      </c>
      <c r="P694" s="47">
        <f>OIBR!E$12/Prices!$C$160/1000</f>
        <v>4.8700509754071595</v>
      </c>
      <c r="Q694" s="47">
        <f>OIBR!F$12/Prices!$C$160/1000</f>
        <v>5.260138390831921</v>
      </c>
      <c r="R694" s="47">
        <f>OIBR!G$12/Prices!$C$160/1000</f>
        <v>5.7415471583519997</v>
      </c>
      <c r="S694" s="45">
        <f>(R694/O694)^(1/3)-1</f>
        <v>0.12338129325482328</v>
      </c>
      <c r="T694" s="46"/>
      <c r="U694" s="48" t="str">
        <f t="shared" si="175"/>
        <v>BRL 1.78</v>
      </c>
      <c r="V694" s="44" t="str">
        <f t="shared" si="175"/>
        <v>Oi</v>
      </c>
      <c r="Z694" s="46"/>
    </row>
    <row r="695" spans="1:69" s="5" customFormat="1">
      <c r="B695" s="42"/>
      <c r="C695" s="48" t="str">
        <f t="shared" si="172"/>
        <v>Telefonica Brasil</v>
      </c>
      <c r="D695" s="44" t="str">
        <f t="shared" si="172"/>
        <v>BRL 45.90</v>
      </c>
      <c r="E695" s="44" t="str">
        <f t="shared" si="172"/>
        <v>BRL 61.00</v>
      </c>
      <c r="F695" s="45">
        <f t="shared" si="172"/>
        <v>0.32897603485838789</v>
      </c>
      <c r="G695" s="44" t="str">
        <f t="shared" si="172"/>
        <v>Buy</v>
      </c>
      <c r="H695" s="46"/>
      <c r="I695" s="47">
        <f>VIVO!D$11/Prices!$C$160/1000</f>
        <v>14.751047345433365</v>
      </c>
      <c r="J695" s="47">
        <f>VIVO!E$11/Prices!$C$160/1000</f>
        <v>14.661947083373772</v>
      </c>
      <c r="K695" s="47">
        <f>VIVO!F$11/Prices!$C$160/1000</f>
        <v>14.555026768902263</v>
      </c>
      <c r="L695" s="47">
        <f>VIVO!G$11/Prices!$C$160/1000</f>
        <v>14.421376375812869</v>
      </c>
      <c r="M695" s="45">
        <f t="shared" si="173"/>
        <v>-7.505859400106063E-3</v>
      </c>
      <c r="N695" s="46"/>
      <c r="O695" s="47">
        <f>VIVO!D$12/Prices!$C$160/1000</f>
        <v>2.9044898495646403</v>
      </c>
      <c r="P695" s="47">
        <f>VIVO!E$12/Prices!$C$160/1000</f>
        <v>2.8763344768749435</v>
      </c>
      <c r="Q695" s="47">
        <f>VIVO!F$12/Prices!$C$160/1000</f>
        <v>2.9924723354770055</v>
      </c>
      <c r="R695" s="47">
        <f>VIVO!G$12/Prices!$C$160/1000</f>
        <v>3.3348927380570244</v>
      </c>
      <c r="S695" s="45">
        <f t="shared" si="174"/>
        <v>4.713819810117359E-2</v>
      </c>
      <c r="T695" s="46"/>
      <c r="U695" s="48" t="str">
        <f t="shared" si="175"/>
        <v>BRL 45.90</v>
      </c>
      <c r="V695" s="44" t="str">
        <f t="shared" si="175"/>
        <v>Telefonica Brasil</v>
      </c>
      <c r="Z695" s="46"/>
    </row>
    <row r="696" spans="1:69" s="5" customFormat="1">
      <c r="B696" s="42"/>
      <c r="C696" s="48" t="str">
        <f t="shared" si="172"/>
        <v>Televisa</v>
      </c>
      <c r="D696" s="44" t="str">
        <f t="shared" si="172"/>
        <v>USD 3.1</v>
      </c>
      <c r="E696" s="44" t="str">
        <f t="shared" si="172"/>
        <v>USD 3.7</v>
      </c>
      <c r="F696" s="45">
        <f t="shared" si="172"/>
        <v>0.17834394904458595</v>
      </c>
      <c r="G696" s="44" t="str">
        <f t="shared" si="172"/>
        <v>Neutral</v>
      </c>
      <c r="H696" s="46"/>
      <c r="I696" s="47">
        <f>TVIS!D$11/1000</f>
        <v>1.8004228615384616</v>
      </c>
      <c r="J696" s="47">
        <f>TVIS!E$11/1000</f>
        <v>1.8004228615384616</v>
      </c>
      <c r="K696" s="47">
        <f>TVIS!F$11/1000</f>
        <v>1.8004228615384616</v>
      </c>
      <c r="L696" s="47">
        <f>TVIS!G$11/1000</f>
        <v>1.8004228615384616</v>
      </c>
      <c r="M696" s="45">
        <f>(L696/I696)^(1/3)-1</f>
        <v>0</v>
      </c>
      <c r="N696" s="46"/>
      <c r="O696" s="47">
        <f>TVIS!D$12/1000</f>
        <v>3.790189676641424</v>
      </c>
      <c r="P696" s="47">
        <f>TVIS!E$12/1000</f>
        <v>3.6181358930888274</v>
      </c>
      <c r="Q696" s="47">
        <f>TVIS!F$12/1000</f>
        <v>3.5298594220389452</v>
      </c>
      <c r="R696" s="47">
        <f>TVIS!G$12/1000</f>
        <v>3.3676245819194586</v>
      </c>
      <c r="S696" s="45">
        <f>(R696/O696)^(1/3)-1</f>
        <v>-3.863661899369486E-2</v>
      </c>
      <c r="T696" s="46"/>
      <c r="U696" s="48" t="str">
        <f>U634</f>
        <v>USD 3.1</v>
      </c>
      <c r="V696" s="44" t="s">
        <v>673</v>
      </c>
      <c r="Z696" s="46"/>
    </row>
    <row r="697" spans="1:69" s="5" customFormat="1">
      <c r="B697" s="42"/>
      <c r="C697" s="51" t="str">
        <f>C635</f>
        <v>Agg. LatAm Incumbent</v>
      </c>
      <c r="D697" s="52"/>
      <c r="E697" s="52"/>
      <c r="F697" s="53"/>
      <c r="G697" s="52"/>
      <c r="H697" s="46"/>
      <c r="I697" s="54">
        <f>'LATAM INCUMB'!D$11/1000</f>
        <v>67.79841364006063</v>
      </c>
      <c r="J697" s="54">
        <f>'LATAM INCUMB'!$E$11/1000</f>
        <v>66.087313378001042</v>
      </c>
      <c r="K697" s="54">
        <f>'LATAM INCUMB'!$F$11/1000</f>
        <v>63.952893063529537</v>
      </c>
      <c r="L697" s="54">
        <f>'LATAM INCUMB'!$G$11/1000</f>
        <v>61.791742670440144</v>
      </c>
      <c r="M697" s="55">
        <f t="shared" si="173"/>
        <v>-3.0449792284638288E-2</v>
      </c>
      <c r="N697" s="56"/>
      <c r="O697" s="54">
        <f>'LATAM INCUMB'!D$12/1000</f>
        <v>38.758020768842648</v>
      </c>
      <c r="P697" s="54">
        <f>'LATAM INCUMB'!$E$12/1000</f>
        <v>38.708586506822058</v>
      </c>
      <c r="Q697" s="54">
        <f>'LATAM INCUMB'!$F$12/1000</f>
        <v>37.327828471314618</v>
      </c>
      <c r="R697" s="54">
        <f>'LATAM INCUMB'!$G$12/1000</f>
        <v>36.809782559058156</v>
      </c>
      <c r="S697" s="55">
        <f t="shared" si="174"/>
        <v>-1.7044432300002854E-2</v>
      </c>
      <c r="T697" s="46"/>
      <c r="U697" s="57"/>
      <c r="V697" s="58" t="str">
        <f>V635</f>
        <v>Agg. LatAm Incumbent</v>
      </c>
      <c r="Z697" s="46"/>
    </row>
    <row r="698" spans="1:69" s="5" customFormat="1">
      <c r="A698" s="39"/>
      <c r="B698" s="42"/>
      <c r="C698" s="48"/>
      <c r="D698" s="44"/>
      <c r="E698" s="44"/>
      <c r="F698" s="45"/>
      <c r="G698" s="44"/>
      <c r="H698" s="46"/>
      <c r="I698" s="47"/>
      <c r="J698" s="47"/>
      <c r="K698" s="47"/>
      <c r="L698" s="47"/>
      <c r="M698" s="45"/>
      <c r="N698" s="56"/>
      <c r="O698" s="47"/>
      <c r="P698" s="47"/>
      <c r="Q698" s="47"/>
      <c r="R698" s="47"/>
      <c r="S698" s="45"/>
      <c r="T698" s="46"/>
      <c r="U698" s="48"/>
      <c r="V698" s="50"/>
      <c r="Z698" s="46"/>
    </row>
    <row r="699" spans="1:69" s="5" customFormat="1">
      <c r="B699" s="42"/>
      <c r="C699" s="48" t="str">
        <f t="shared" ref="C699:G703" si="176">C637</f>
        <v>China Telecom</v>
      </c>
      <c r="D699" s="44" t="str">
        <f t="shared" si="176"/>
        <v>HKD 4.44</v>
      </c>
      <c r="E699" s="44" t="str">
        <f t="shared" si="176"/>
        <v>HKD 8.75</v>
      </c>
      <c r="F699" s="45">
        <f t="shared" si="176"/>
        <v>0.97072072072072046</v>
      </c>
      <c r="G699" s="44" t="str">
        <f t="shared" si="176"/>
        <v>Buy</v>
      </c>
      <c r="H699" s="46"/>
      <c r="I699" s="47">
        <f>(_CT!D$11/Prices!$C$175)/1000</f>
        <v>51.998602418890385</v>
      </c>
      <c r="J699" s="47">
        <f>(_CT!E$11/Prices!$C$175)/1000</f>
        <v>51.998602418890385</v>
      </c>
      <c r="K699" s="47">
        <f>(_CT!F$11/Prices!$C$175)/1000</f>
        <v>51.998602418890385</v>
      </c>
      <c r="L699" s="47">
        <f>(_CT!G$11/Prices!$C$175)/1000</f>
        <v>51.998602418890385</v>
      </c>
      <c r="M699" s="45">
        <f t="shared" ref="M699:M704" si="177">(L699/I699)^(1/3)-1</f>
        <v>0</v>
      </c>
      <c r="N699" s="56"/>
      <c r="O699" s="47">
        <f>_CT!D$12/1000/Prices!$C$175</f>
        <v>-5.5293451855123674</v>
      </c>
      <c r="P699" s="47">
        <f>_CT!E$12/1000/Prices!$C$175</f>
        <v>-7.8975911133996162</v>
      </c>
      <c r="Q699" s="47">
        <f>_CT!F$12/1000/Prices!$C$175</f>
        <v>-10.329509136191035</v>
      </c>
      <c r="R699" s="47">
        <f>_CT!G$12/1000/Prices!$C$175</f>
        <v>-13.032846366567028</v>
      </c>
      <c r="S699" s="169">
        <f t="shared" ref="S699:S704" si="178">(R699/O699)^(1/3)-1</f>
        <v>0.33082777929216012</v>
      </c>
      <c r="T699" s="46"/>
      <c r="U699" s="48" t="str">
        <f t="shared" ref="U699:V703" si="179">U637</f>
        <v>HKD 4.44</v>
      </c>
      <c r="V699" s="44" t="str">
        <f t="shared" si="179"/>
        <v>China Telecom</v>
      </c>
      <c r="Z699" s="46"/>
    </row>
    <row r="700" spans="1:69" s="5" customFormat="1">
      <c r="B700" s="42"/>
      <c r="C700" s="48" t="str">
        <f t="shared" si="176"/>
        <v>China Unicom</v>
      </c>
      <c r="D700" s="44" t="str">
        <f t="shared" si="176"/>
        <v>HKD 6.20</v>
      </c>
      <c r="E700" s="44" t="str">
        <f t="shared" si="176"/>
        <v>HKD 13.20</v>
      </c>
      <c r="F700" s="45">
        <f t="shared" si="176"/>
        <v>1.129032258064516</v>
      </c>
      <c r="G700" s="44" t="str">
        <f t="shared" si="176"/>
        <v>Buy</v>
      </c>
      <c r="H700" s="46"/>
      <c r="I700" s="47">
        <f>(_CU!D$11/Prices!$C$175)/1000</f>
        <v>24.279465028476352</v>
      </c>
      <c r="J700" s="47">
        <f>(_CU!E$11/Prices!$C$175)/1000</f>
        <v>24.279465028476352</v>
      </c>
      <c r="K700" s="47">
        <f>(_CU!F$11/Prices!$C$175)/1000</f>
        <v>24.279465028476352</v>
      </c>
      <c r="L700" s="47">
        <f>(_CU!G$11/Prices!$C$175)/1000</f>
        <v>24.279465028476352</v>
      </c>
      <c r="M700" s="45">
        <f t="shared" si="177"/>
        <v>0</v>
      </c>
      <c r="N700" s="56"/>
      <c r="O700" s="47">
        <f>_CU!D$12/1000/Prices!$C$175</f>
        <v>-0.30214774734982336</v>
      </c>
      <c r="P700" s="47">
        <f>_CU!E$12/1000/Prices!$C$175</f>
        <v>-2.4795209786688481</v>
      </c>
      <c r="Q700" s="47">
        <f>_CU!F$12/1000/Prices!$C$175</f>
        <v>-4.1851440047508737</v>
      </c>
      <c r="R700" s="47">
        <f>_CU!G$12/1000/Prices!$C$175</f>
        <v>-5.3877996968030333</v>
      </c>
      <c r="S700" s="169">
        <f t="shared" si="178"/>
        <v>1.6125464870580486</v>
      </c>
      <c r="T700" s="46"/>
      <c r="U700" s="48" t="str">
        <f t="shared" si="179"/>
        <v>HKD 6.20</v>
      </c>
      <c r="V700" s="44" t="str">
        <f t="shared" si="179"/>
        <v>China Unicom</v>
      </c>
      <c r="Z700" s="46"/>
    </row>
    <row r="701" spans="1:69" s="5" customFormat="1">
      <c r="A701" s="39"/>
      <c r="B701" s="42"/>
      <c r="C701" s="48" t="str">
        <f t="shared" si="176"/>
        <v>Chunghwa Telecom</v>
      </c>
      <c r="D701" s="44" t="str">
        <f t="shared" si="176"/>
        <v>TWD 127.00</v>
      </c>
      <c r="E701" s="44" t="str">
        <f t="shared" si="176"/>
        <v>TWD n/r</v>
      </c>
      <c r="F701" s="45" t="str">
        <f t="shared" si="176"/>
        <v>-</v>
      </c>
      <c r="G701" s="44" t="str">
        <f t="shared" si="176"/>
        <v>n/r</v>
      </c>
      <c r="H701" s="46"/>
      <c r="I701" s="47">
        <f>(CHUNG!D$11/Prices!$C$181)/1000</f>
        <v>30.531665086153463</v>
      </c>
      <c r="J701" s="47">
        <f>(CHUNG!E$11/Prices!$C$181)/1000</f>
        <v>30.531665086153463</v>
      </c>
      <c r="K701" s="47">
        <f>(CHUNG!F$11/Prices!$C$181)/1000</f>
        <v>30.531665086153463</v>
      </c>
      <c r="L701" s="47">
        <f>(CHUNG!G$11/Prices!$C$181)/1000</f>
        <v>30.531665086153463</v>
      </c>
      <c r="M701" s="45">
        <f t="shared" si="177"/>
        <v>0</v>
      </c>
      <c r="N701" s="56"/>
      <c r="O701" s="47">
        <f>CHUNG!D$12/1000/Prices!$C$181</f>
        <v>-0.37289572287575823</v>
      </c>
      <c r="P701" s="47">
        <f>CHUNG!E$12/1000/Prices!$C$181</f>
        <v>-0.77848475514467896</v>
      </c>
      <c r="Q701" s="47">
        <f>CHUNG!F$12/1000/Prices!$C$181</f>
        <v>-1.2133861954332967</v>
      </c>
      <c r="R701" s="47">
        <f>CHUNG!G$12/1000/Prices!$C$181</f>
        <v>-1.6035226818128809</v>
      </c>
      <c r="S701" s="45">
        <f t="shared" si="178"/>
        <v>0.62615735759783253</v>
      </c>
      <c r="T701" s="46"/>
      <c r="U701" s="48" t="str">
        <f t="shared" si="179"/>
        <v>TWD 127.00</v>
      </c>
      <c r="V701" s="44" t="str">
        <f t="shared" si="179"/>
        <v>Chunghwa Telecom</v>
      </c>
      <c r="Z701" s="46"/>
    </row>
    <row r="702" spans="1:69" s="5" customFormat="1">
      <c r="A702" s="39"/>
      <c r="B702" s="42"/>
      <c r="C702" s="48" t="str">
        <f t="shared" si="176"/>
        <v>KT Corp</v>
      </c>
      <c r="D702" s="44" t="str">
        <f t="shared" si="176"/>
        <v>KRW 36,350</v>
      </c>
      <c r="E702" s="44" t="str">
        <f t="shared" si="176"/>
        <v>KRW 70,000</v>
      </c>
      <c r="F702" s="45">
        <f t="shared" si="176"/>
        <v>0.92572214580467671</v>
      </c>
      <c r="G702" s="44" t="str">
        <f t="shared" si="176"/>
        <v>Buy</v>
      </c>
      <c r="H702" s="46"/>
      <c r="I702" s="47">
        <f>_KT!D$11</f>
        <v>8957.1278897000011</v>
      </c>
      <c r="J702" s="47">
        <f>_KT!E$11</f>
        <v>9144.0868447000012</v>
      </c>
      <c r="K702" s="47">
        <f>_KT!F$11</f>
        <v>9144.0868447000012</v>
      </c>
      <c r="L702" s="47">
        <f>_KT!G$11</f>
        <v>9144.0868447000012</v>
      </c>
      <c r="M702" s="45">
        <f t="shared" si="177"/>
        <v>6.9096946494353606E-3</v>
      </c>
      <c r="N702" s="56"/>
      <c r="O702" s="47">
        <f>_KT!D$12</f>
        <v>7338.6</v>
      </c>
      <c r="P702" s="47">
        <f>_KT!E$12</f>
        <v>6881.6058516786024</v>
      </c>
      <c r="Q702" s="47">
        <f>_KT!F$12</f>
        <v>5767.0782115587263</v>
      </c>
      <c r="R702" s="47">
        <f>_KT!G$12</f>
        <v>4658.430462378029</v>
      </c>
      <c r="S702" s="45">
        <f t="shared" si="178"/>
        <v>-0.14057338255463259</v>
      </c>
      <c r="T702" s="46"/>
      <c r="U702" s="48" t="str">
        <f t="shared" si="179"/>
        <v>KRW 36,350</v>
      </c>
      <c r="V702" s="44" t="str">
        <f t="shared" si="179"/>
        <v>KT Corp</v>
      </c>
      <c r="Z702" s="46"/>
    </row>
    <row r="703" spans="1:69" s="5" customFormat="1">
      <c r="A703" s="39"/>
      <c r="B703" s="42"/>
      <c r="C703" s="48" t="str">
        <f t="shared" si="176"/>
        <v>PT Telkom</v>
      </c>
      <c r="D703" s="44" t="str">
        <f t="shared" si="176"/>
        <v>IDR 2,940</v>
      </c>
      <c r="E703" s="44" t="str">
        <f t="shared" si="176"/>
        <v>IDR 5,000</v>
      </c>
      <c r="F703" s="45">
        <f t="shared" si="176"/>
        <v>0.70068027210884343</v>
      </c>
      <c r="G703" s="44" t="str">
        <f t="shared" si="176"/>
        <v>Buy</v>
      </c>
      <c r="H703" s="46"/>
      <c r="I703" s="47">
        <f>PTT!D$11/Prices!$C$172</f>
        <v>18.21121880906675</v>
      </c>
      <c r="J703" s="47">
        <f>PTT!E$11/Prices!$C$172</f>
        <v>18.21121880906675</v>
      </c>
      <c r="K703" s="47">
        <f>PTT!F$11/Prices!$C$172</f>
        <v>18.21121880906675</v>
      </c>
      <c r="L703" s="47">
        <f>PTT!G$11/Prices!$C$172</f>
        <v>18.21121880906675</v>
      </c>
      <c r="M703" s="45">
        <f t="shared" si="177"/>
        <v>0</v>
      </c>
      <c r="N703" s="56"/>
      <c r="O703" s="47">
        <f>PTT!D$12/Prices!$C$172</f>
        <v>2.4459590433015475</v>
      </c>
      <c r="P703" s="47">
        <f>PTT!E$12/Prices!$C$172</f>
        <v>1.8062538592871491</v>
      </c>
      <c r="Q703" s="47">
        <f>PTT!F$12/Prices!$C$172</f>
        <v>1.1918190483239124</v>
      </c>
      <c r="R703" s="47">
        <f>PTT!G$12/Prices!$C$172</f>
        <v>0.62722900174170537</v>
      </c>
      <c r="S703" s="169">
        <f t="shared" si="178"/>
        <v>-0.36468030785796812</v>
      </c>
      <c r="T703" s="46"/>
      <c r="U703" s="48" t="str">
        <f t="shared" si="179"/>
        <v>IDR 2,940</v>
      </c>
      <c r="V703" s="44" t="str">
        <f t="shared" si="179"/>
        <v>PT Telkom</v>
      </c>
      <c r="Z703" s="46"/>
    </row>
    <row r="704" spans="1:69" s="5" customFormat="1">
      <c r="A704" s="39"/>
      <c r="B704" s="42"/>
      <c r="C704" s="51" t="str">
        <f>C642</f>
        <v>Agg. Emerging Asia Incumbent</v>
      </c>
      <c r="D704" s="52"/>
      <c r="E704" s="52"/>
      <c r="F704" s="53"/>
      <c r="G704" s="52"/>
      <c r="H704" s="46"/>
      <c r="I704" s="54">
        <f>'EM ASIA INCUMB'!$D$11/1000</f>
        <v>9082.14884104259</v>
      </c>
      <c r="J704" s="54">
        <f>'EM ASIA INCUMB'!$E$11/1000</f>
        <v>9269.1077960425901</v>
      </c>
      <c r="K704" s="54">
        <f>'EM ASIA INCUMB'!$F$11/1000</f>
        <v>9269.1077960425901</v>
      </c>
      <c r="L704" s="54">
        <f>'EM ASIA INCUMB'!$G$11/1000</f>
        <v>9269.1077960425901</v>
      </c>
      <c r="M704" s="55">
        <f t="shared" si="177"/>
        <v>6.8152211222267667E-3</v>
      </c>
      <c r="N704" s="56"/>
      <c r="O704" s="54">
        <f>'EM ASIA INCUMB'!$D$12/1000</f>
        <v>7334.8415703875635</v>
      </c>
      <c r="P704" s="54">
        <f>'EM ASIA INCUMB'!$E$12/1000</f>
        <v>6872.256508690677</v>
      </c>
      <c r="Q704" s="54">
        <f>'EM ASIA INCUMB'!$F$12/1000</f>
        <v>5752.5419912706757</v>
      </c>
      <c r="R704" s="54">
        <f>'EM ASIA INCUMB'!$G$12/1000</f>
        <v>4639.0335226345869</v>
      </c>
      <c r="S704" s="55">
        <f t="shared" si="178"/>
        <v>-0.14162131587578231</v>
      </c>
      <c r="T704" s="46"/>
      <c r="U704" s="57"/>
      <c r="V704" s="58" t="str">
        <f>V642</f>
        <v>Agg. Emerging Asia Incumbent</v>
      </c>
      <c r="Z704" s="46"/>
    </row>
    <row r="705" spans="1:26" s="5" customFormat="1">
      <c r="A705" s="39"/>
      <c r="B705" s="42"/>
      <c r="C705" s="43"/>
      <c r="D705" s="44"/>
      <c r="E705" s="44"/>
      <c r="F705" s="68"/>
      <c r="G705" s="44"/>
      <c r="H705" s="46"/>
      <c r="I705" s="62"/>
      <c r="J705" s="62"/>
      <c r="K705" s="62"/>
      <c r="L705" s="62"/>
      <c r="M705" s="61"/>
      <c r="N705" s="56"/>
      <c r="O705" s="62"/>
      <c r="P705" s="62"/>
      <c r="Q705" s="62"/>
      <c r="R705" s="62"/>
      <c r="S705" s="61"/>
      <c r="T705" s="46"/>
      <c r="U705" s="48"/>
      <c r="V705" s="50"/>
      <c r="Z705" s="46"/>
    </row>
    <row r="706" spans="1:26" s="5" customFormat="1">
      <c r="A706" s="39"/>
      <c r="B706" s="42"/>
      <c r="C706" s="51" t="str">
        <f>C644</f>
        <v>Agg. Emerging Incumbent</v>
      </c>
      <c r="D706" s="52"/>
      <c r="E706" s="52"/>
      <c r="F706" s="53"/>
      <c r="G706" s="52"/>
      <c r="H706" s="46"/>
      <c r="I706" s="54">
        <f>'EM INCUMB'!$D$11/1000</f>
        <v>9150.6258998636258</v>
      </c>
      <c r="J706" s="54">
        <f>'EM INCUMB'!$E$11/1000</f>
        <v>9335.8737546015655</v>
      </c>
      <c r="K706" s="54">
        <f>'EM INCUMB'!$F$11/1000</f>
        <v>9333.7393342870946</v>
      </c>
      <c r="L706" s="54">
        <f>'EM INCUMB'!$G$11/1000</f>
        <v>9331.5781838940038</v>
      </c>
      <c r="M706" s="55">
        <f t="shared" ref="M706" si="180">(L706/I706)^(1/3)-1</f>
        <v>6.5486394488845079E-3</v>
      </c>
      <c r="N706" s="56"/>
      <c r="O706" s="54">
        <f>'EM INCUMB'!$D$12/1000</f>
        <v>7374.2675365109453</v>
      </c>
      <c r="P706" s="54">
        <f>'EM INCUMB'!$E$12/1000</f>
        <v>6911.5922464281693</v>
      </c>
      <c r="Q706" s="54">
        <f>'EM INCUMB'!$F$12/1000</f>
        <v>5790.4578503889124</v>
      </c>
      <c r="R706" s="54">
        <f>'EM INCUMB'!$G$12/1000</f>
        <v>4676.3913958348539</v>
      </c>
      <c r="S706" s="55">
        <f t="shared" ref="S706" si="181">(R706/O706)^(1/3)-1</f>
        <v>-0.14085990456934705</v>
      </c>
      <c r="T706" s="46"/>
      <c r="U706" s="57"/>
      <c r="V706" s="58" t="str">
        <f>V644</f>
        <v>Agg. Emerging Incumbent</v>
      </c>
      <c r="Z706" s="46"/>
    </row>
    <row r="707" spans="1:26" s="5" customFormat="1">
      <c r="A707" s="39"/>
      <c r="B707" s="42"/>
      <c r="C707" s="43"/>
      <c r="D707" s="44"/>
      <c r="E707" s="44"/>
      <c r="F707" s="45"/>
      <c r="G707" s="44"/>
      <c r="H707" s="46"/>
      <c r="I707" s="47"/>
      <c r="J707" s="47"/>
      <c r="K707" s="47"/>
      <c r="L707" s="47"/>
      <c r="M707" s="45"/>
      <c r="N707" s="56"/>
      <c r="O707" s="47"/>
      <c r="P707" s="47"/>
      <c r="Q707" s="47"/>
      <c r="R707" s="47"/>
      <c r="S707" s="45"/>
      <c r="T707" s="46"/>
      <c r="U707" s="48"/>
      <c r="V707" s="50"/>
      <c r="Z707" s="46"/>
    </row>
    <row r="708" spans="1:26" s="5" customFormat="1">
      <c r="A708" s="41" t="s">
        <v>507</v>
      </c>
      <c r="B708" s="42"/>
      <c r="C708" s="48" t="str">
        <f t="shared" ref="C708:G714" si="182">C646</f>
        <v>Airtel Africa</v>
      </c>
      <c r="D708" s="44" t="str">
        <f t="shared" si="182"/>
        <v>USD 1.21</v>
      </c>
      <c r="E708" s="44" t="str">
        <f t="shared" si="182"/>
        <v>USD 1.50</v>
      </c>
      <c r="F708" s="45">
        <f t="shared" si="182"/>
        <v>0.2396694214876034</v>
      </c>
      <c r="G708" s="44" t="str">
        <f t="shared" si="182"/>
        <v>Buy</v>
      </c>
      <c r="H708" s="46"/>
      <c r="I708" s="47">
        <f>AAF!D$11/1000</f>
        <v>5.7831769767412826</v>
      </c>
      <c r="J708" s="47">
        <f>AAF!E$11/1000</f>
        <v>5.6629510161373853</v>
      </c>
      <c r="K708" s="47">
        <f>AAF!F$11/1000</f>
        <v>5.6629510161373853</v>
      </c>
      <c r="L708" s="47">
        <f>AAF!G$11/1000</f>
        <v>5.6629510161373853</v>
      </c>
      <c r="M708" s="45">
        <f t="shared" ref="M708" si="183">(L708/I708)^(1/3)-1</f>
        <v>-6.9782198089330949E-3</v>
      </c>
      <c r="N708" s="56"/>
      <c r="O708" s="47">
        <f>AAF!D$12/1000</f>
        <v>3.1033849178236945</v>
      </c>
      <c r="P708" s="47">
        <f>AAF!E$12/1000</f>
        <v>3.1962806876845522</v>
      </c>
      <c r="Q708" s="47">
        <f>AAF!F$12/1000</f>
        <v>3.2299598838367269</v>
      </c>
      <c r="R708" s="47">
        <f>AAF!G$12/1000</f>
        <v>3.2724647988180604</v>
      </c>
      <c r="S708" s="169">
        <f t="shared" ref="S708" si="184">(R708/O708)^(1/3)-1</f>
        <v>1.7840621817636348E-2</v>
      </c>
      <c r="T708" s="46"/>
      <c r="U708" s="48" t="str">
        <f t="shared" ref="U708:V714" si="185">U646</f>
        <v>USD 1.21</v>
      </c>
      <c r="V708" s="44" t="str">
        <f t="shared" si="185"/>
        <v>Airtel Africa</v>
      </c>
      <c r="Z708" s="46"/>
    </row>
    <row r="709" spans="1:26" s="5" customFormat="1">
      <c r="A709" s="41"/>
      <c r="B709" s="42"/>
      <c r="C709" s="48" t="str">
        <f t="shared" si="182"/>
        <v>MobileTeleSystems</v>
      </c>
      <c r="D709" s="44" t="str">
        <f t="shared" si="182"/>
        <v>USD 10.00</v>
      </c>
      <c r="E709" s="44" t="str">
        <f t="shared" si="182"/>
        <v>USD 10.10</v>
      </c>
      <c r="F709" s="45">
        <f t="shared" si="182"/>
        <v>1.0000000000000009E-2</v>
      </c>
      <c r="G709" s="44" t="str">
        <f t="shared" si="182"/>
        <v>Buy</v>
      </c>
      <c r="H709" s="46"/>
      <c r="I709" s="47">
        <f>MTS!D$11/1000</f>
        <v>9.9593128649999993</v>
      </c>
      <c r="J709" s="47">
        <f>MTS!E$11/1000</f>
        <v>9.9593128649999993</v>
      </c>
      <c r="K709" s="47">
        <f>MTS!F$11/1000</f>
        <v>9.9593128649999993</v>
      </c>
      <c r="L709" s="47">
        <f>MTS!G$11/1000</f>
        <v>9.9593128649999993</v>
      </c>
      <c r="M709" s="45">
        <f t="shared" ref="M709:M715" si="186">(L709/I709)^(1/3)-1</f>
        <v>0</v>
      </c>
      <c r="N709" s="56"/>
      <c r="O709" s="47">
        <f>MTS!D$12/1000</f>
        <v>5.0044780127577528</v>
      </c>
      <c r="P709" s="47">
        <f>MTS!E$12/1000</f>
        <v>5.0475138088160216</v>
      </c>
      <c r="Q709" s="47">
        <f>MTS!F$12/1000</f>
        <v>5.1177776179407592</v>
      </c>
      <c r="R709" s="47">
        <f>MTS!G$12/1000</f>
        <v>5.216854223729773</v>
      </c>
      <c r="S709" s="169">
        <f t="shared" ref="S709:S715" si="187">(R709/O709)^(1/3)-1</f>
        <v>1.3950231202184193E-2</v>
      </c>
      <c r="T709" s="46"/>
      <c r="U709" s="48" t="str">
        <f t="shared" si="185"/>
        <v>USD 10.00</v>
      </c>
      <c r="V709" s="44" t="str">
        <f t="shared" si="185"/>
        <v>MobileTeleSystems</v>
      </c>
      <c r="Z709" s="46"/>
    </row>
    <row r="710" spans="1:26" s="5" customFormat="1">
      <c r="A710" s="39"/>
      <c r="B710" s="42"/>
      <c r="C710" s="48" t="str">
        <f t="shared" si="182"/>
        <v>MTN</v>
      </c>
      <c r="D710" s="44" t="str">
        <f t="shared" si="182"/>
        <v>ZAR 86.08</v>
      </c>
      <c r="E710" s="44" t="str">
        <f t="shared" si="182"/>
        <v>ZAR 130.00</v>
      </c>
      <c r="F710" s="45">
        <f t="shared" si="182"/>
        <v>0.5102230483271375</v>
      </c>
      <c r="G710" s="44" t="str">
        <f t="shared" si="182"/>
        <v>Buy</v>
      </c>
      <c r="H710" s="46"/>
      <c r="I710" s="47">
        <f>MTN!D$11/1000/Prices!$C$170</f>
        <v>8.653371008321324</v>
      </c>
      <c r="J710" s="47">
        <f>MTN!E$11/1000/Prices!$C$170</f>
        <v>8.653371008321324</v>
      </c>
      <c r="K710" s="47">
        <f>MTN!F$11/1000/Prices!$C$170</f>
        <v>8.653371008321324</v>
      </c>
      <c r="L710" s="47">
        <f>MTN!G$11/1000/Prices!$C$170</f>
        <v>8.653371008321324</v>
      </c>
      <c r="M710" s="45">
        <f t="shared" si="186"/>
        <v>0</v>
      </c>
      <c r="N710" s="56"/>
      <c r="O710" s="47">
        <f>MTN!D$12/1000/Prices!$C$170</f>
        <v>6.1144575820758158</v>
      </c>
      <c r="P710" s="47">
        <f>MTN!E$12/1000/Prices!$C$170</f>
        <v>7.9129845532300216</v>
      </c>
      <c r="Q710" s="47">
        <f>MTN!F$12/1000/Prices!$C$170</f>
        <v>8.8105055802223529</v>
      </c>
      <c r="R710" s="47">
        <f>MTN!G$12/1000/Prices!$C$170</f>
        <v>9.7487575653218759</v>
      </c>
      <c r="S710" s="169">
        <f t="shared" si="187"/>
        <v>0.16823562186781427</v>
      </c>
      <c r="T710" s="46"/>
      <c r="U710" s="48" t="str">
        <f t="shared" si="185"/>
        <v>ZAR 86.08</v>
      </c>
      <c r="V710" s="44" t="str">
        <f t="shared" si="185"/>
        <v>MTN</v>
      </c>
      <c r="Z710" s="46"/>
    </row>
    <row r="711" spans="1:26">
      <c r="C711" s="48" t="str">
        <f t="shared" si="182"/>
        <v>Safaricom</v>
      </c>
      <c r="D711" s="44" t="str">
        <f t="shared" si="182"/>
        <v>KES 17.75</v>
      </c>
      <c r="E711" s="44" t="str">
        <f t="shared" si="182"/>
        <v>KES 17.0</v>
      </c>
      <c r="F711" s="45">
        <f t="shared" si="182"/>
        <v>-4.2253521126760618E-2</v>
      </c>
      <c r="G711" s="44" t="str">
        <f t="shared" si="182"/>
        <v>Neutral</v>
      </c>
      <c r="H711" s="46"/>
      <c r="I711" s="47">
        <f>SAF!D$11/1000/Prices!$C$179</f>
        <v>5.3470740601503755</v>
      </c>
      <c r="J711" s="47">
        <f>SAF!E$11/1000/Prices!$C$179</f>
        <v>5.3470740601503755</v>
      </c>
      <c r="K711" s="47">
        <f>SAF!F$11/1000/Prices!$C$179</f>
        <v>5.3470740601503755</v>
      </c>
      <c r="L711" s="47">
        <f>SAF!G$11/1000/Prices!$C$179</f>
        <v>5.3470740601503755</v>
      </c>
      <c r="M711" s="45">
        <f>(L711/I711)^(1/3)-1</f>
        <v>0</v>
      </c>
      <c r="N711" s="56"/>
      <c r="O711" s="47">
        <f>SAF!D$12/1000/Prices!$C$179</f>
        <v>0.86922793238216445</v>
      </c>
      <c r="P711" s="47">
        <f>SAF!E$12/1000/Prices!$C$179</f>
        <v>1.009091636938567</v>
      </c>
      <c r="Q711" s="47">
        <f>SAF!F$12/1000/Prices!$C$179</f>
        <v>1.0156958357963457</v>
      </c>
      <c r="R711" s="47">
        <f>SAF!G$12/1000/Prices!$C$179</f>
        <v>0.91134963990211115</v>
      </c>
      <c r="S711" s="169">
        <f>(R711/O711)^(1/3)-1</f>
        <v>1.5898808213379523E-2</v>
      </c>
      <c r="T711" s="46"/>
      <c r="U711" s="48" t="str">
        <f t="shared" si="185"/>
        <v>KES 17.75</v>
      </c>
      <c r="V711" s="44" t="str">
        <f t="shared" si="185"/>
        <v>Safaricom</v>
      </c>
      <c r="Z711" s="46"/>
    </row>
    <row r="712" spans="1:26" s="5" customFormat="1">
      <c r="A712" s="39"/>
      <c r="B712" s="42"/>
      <c r="C712" s="48" t="str">
        <f t="shared" si="182"/>
        <v>Turkcell</v>
      </c>
      <c r="D712" s="44" t="str">
        <f t="shared" si="182"/>
        <v>USD 91.80</v>
      </c>
      <c r="E712" s="44" t="str">
        <f t="shared" si="182"/>
        <v>USD 16.90</v>
      </c>
      <c r="F712" s="45">
        <f t="shared" si="182"/>
        <v>-0.81590413943355122</v>
      </c>
      <c r="G712" s="44" t="str">
        <f t="shared" si="182"/>
        <v>Buy</v>
      </c>
      <c r="H712" s="46"/>
      <c r="I712" s="47">
        <f>TKC!D$11/1000/Prices!$C$150</f>
        <v>6.2693238964425406</v>
      </c>
      <c r="J712" s="47">
        <f>TKC!E$11/1000/Prices!$C$150</f>
        <v>6.2693238964425406</v>
      </c>
      <c r="K712" s="47">
        <f>TKC!F$11/1000/Prices!$C$150</f>
        <v>6.2693238964425406</v>
      </c>
      <c r="L712" s="47">
        <f>TKC!G$11/1000/Prices!$C$150</f>
        <v>6.2693238964425406</v>
      </c>
      <c r="M712" s="45">
        <f t="shared" si="186"/>
        <v>0</v>
      </c>
      <c r="N712" s="56"/>
      <c r="O712" s="47">
        <f>TKC!D$12/1000/Prices!$C$150</f>
        <v>0.4036401045900902</v>
      </c>
      <c r="P712" s="47">
        <f>TKC!E$12/1000/Prices!$C$150</f>
        <v>0.38649359286466328</v>
      </c>
      <c r="Q712" s="47">
        <f>TKC!F$12/1000/Prices!$C$150</f>
        <v>0.35976880921303162</v>
      </c>
      <c r="R712" s="47">
        <f>TKC!G$12/1000/Prices!$C$150</f>
        <v>0.33637104780214833</v>
      </c>
      <c r="S712" s="169">
        <f t="shared" si="187"/>
        <v>-5.8959966789478346E-2</v>
      </c>
      <c r="T712" s="46"/>
      <c r="U712" s="48" t="str">
        <f t="shared" si="185"/>
        <v>USD 91.80</v>
      </c>
      <c r="V712" s="44" t="str">
        <f t="shared" si="185"/>
        <v>Turkcell</v>
      </c>
      <c r="Z712" s="46"/>
    </row>
    <row r="713" spans="1:26" s="5" customFormat="1">
      <c r="A713" s="39"/>
      <c r="B713" s="42"/>
      <c r="C713" s="48" t="str">
        <f t="shared" si="182"/>
        <v>VEON</v>
      </c>
      <c r="D713" s="44" t="str">
        <f t="shared" si="182"/>
        <v>USD 25.5</v>
      </c>
      <c r="E713" s="44" t="str">
        <f t="shared" si="182"/>
        <v>USD 40.0</v>
      </c>
      <c r="F713" s="45">
        <f t="shared" si="182"/>
        <v>0.56678417547982751</v>
      </c>
      <c r="G713" s="44" t="str">
        <f t="shared" si="182"/>
        <v>Buy</v>
      </c>
      <c r="H713" s="46"/>
      <c r="I713" s="47">
        <f>VIMP!D$11/1000</f>
        <v>44.763195938280006</v>
      </c>
      <c r="J713" s="47">
        <f>VIMP!E$11/1000</f>
        <v>44.763195938280006</v>
      </c>
      <c r="K713" s="47">
        <f>VIMP!F$11/1000</f>
        <v>44.763195938280006</v>
      </c>
      <c r="L713" s="47">
        <f>VIMP!G$11/1000</f>
        <v>44.763195938280006</v>
      </c>
      <c r="M713" s="45">
        <f t="shared" si="186"/>
        <v>0</v>
      </c>
      <c r="N713" s="56"/>
      <c r="O713" s="47">
        <f>VIMP!D$12/1000</f>
        <v>2.6088562736690459</v>
      </c>
      <c r="P713" s="47">
        <f>VIMP!E$12/1000</f>
        <v>2.2459275094244262</v>
      </c>
      <c r="Q713" s="47">
        <f>VIMP!F$12/1000</f>
        <v>1.9197316541204605</v>
      </c>
      <c r="R713" s="47">
        <f>VIMP!G$12/1000</f>
        <v>1.6707324453981964</v>
      </c>
      <c r="S713" s="45">
        <f t="shared" si="187"/>
        <v>-0.13804303303462884</v>
      </c>
      <c r="T713" s="46"/>
      <c r="U713" s="48" t="str">
        <f t="shared" si="185"/>
        <v>USD 25.5</v>
      </c>
      <c r="V713" s="44" t="str">
        <f t="shared" si="185"/>
        <v>Vimpel Com</v>
      </c>
      <c r="Z713" s="46"/>
    </row>
    <row r="714" spans="1:26" s="5" customFormat="1">
      <c r="A714" s="39"/>
      <c r="B714" s="42"/>
      <c r="C714" s="48" t="str">
        <f t="shared" si="182"/>
        <v>Vodacom</v>
      </c>
      <c r="D714" s="44" t="str">
        <f t="shared" si="182"/>
        <v>ZAR 95.8</v>
      </c>
      <c r="E714" s="44" t="str">
        <f t="shared" si="182"/>
        <v>ZAR 130.0</v>
      </c>
      <c r="F714" s="45">
        <f t="shared" si="182"/>
        <v>0.35685210312075988</v>
      </c>
      <c r="G714" s="44" t="str">
        <f t="shared" si="182"/>
        <v>Neutral</v>
      </c>
      <c r="H714" s="46"/>
      <c r="I714" s="47">
        <f>VODA!D$11/1000/Prices!$C$170</f>
        <v>10.805506273695638</v>
      </c>
      <c r="J714" s="47">
        <f>VODA!E$11/1000/Prices!$C$170</f>
        <v>10.805506273695638</v>
      </c>
      <c r="K714" s="47">
        <f>VODA!F$11/1000/Prices!$C$170</f>
        <v>10.805506273695638</v>
      </c>
      <c r="L714" s="47">
        <f>VODA!G$11/1000/Prices!$C$170</f>
        <v>10.805506273695638</v>
      </c>
      <c r="M714" s="45">
        <f t="shared" si="186"/>
        <v>0</v>
      </c>
      <c r="N714" s="56"/>
      <c r="O714" s="47">
        <f>VODA!D$12/1000/Prices!$C$170</f>
        <v>2.3332610976038062</v>
      </c>
      <c r="P714" s="47">
        <f>VODA!E$12/1000/Prices!$C$170</f>
        <v>2.8025763616474713</v>
      </c>
      <c r="Q714" s="47">
        <f>VODA!F$12/1000/Prices!$C$170</f>
        <v>2.6289023453063725</v>
      </c>
      <c r="R714" s="47">
        <f>VODA!G$12/1000/Prices!$C$170</f>
        <v>2.5151513645833563</v>
      </c>
      <c r="S714" s="45">
        <f t="shared" si="187"/>
        <v>2.5337706663299597E-2</v>
      </c>
      <c r="T714" s="46"/>
      <c r="U714" s="48" t="str">
        <f t="shared" si="185"/>
        <v>ZAR 95.8</v>
      </c>
      <c r="V714" s="44" t="str">
        <f t="shared" si="185"/>
        <v>Vodacom</v>
      </c>
      <c r="Z714" s="46"/>
    </row>
    <row r="715" spans="1:26">
      <c r="C715" s="51" t="str">
        <f>C653</f>
        <v>Agg. EMEA Cellular</v>
      </c>
      <c r="D715" s="52"/>
      <c r="E715" s="52"/>
      <c r="F715" s="53"/>
      <c r="G715" s="52"/>
      <c r="H715" s="46"/>
      <c r="I715" s="54">
        <f>'EMEA CELLULAR'!D$11/1000</f>
        <v>91.580961018631157</v>
      </c>
      <c r="J715" s="54">
        <f>'EMEA CELLULAR'!$E$11/1000</f>
        <v>91.460735058027282</v>
      </c>
      <c r="K715" s="54">
        <f>'EMEA CELLULAR'!$F$11/1000</f>
        <v>91.460735058027282</v>
      </c>
      <c r="L715" s="54">
        <f>'EMEA CELLULAR'!$G$11/1000</f>
        <v>91.460735058027282</v>
      </c>
      <c r="M715" s="55">
        <f t="shared" si="186"/>
        <v>-4.3778607795974533E-4</v>
      </c>
      <c r="N715" s="56"/>
      <c r="O715" s="54">
        <f>'EMEA CELLULAR'!D$12/1000</f>
        <v>20.437305920902372</v>
      </c>
      <c r="P715" s="54">
        <f>'EMEA CELLULAR'!$E$12/1000</f>
        <v>22.600868150605724</v>
      </c>
      <c r="Q715" s="54">
        <f>'EMEA CELLULAR'!$F$12/1000</f>
        <v>23.082341726436049</v>
      </c>
      <c r="R715" s="54">
        <f>'EMEA CELLULAR'!$G$12/1000</f>
        <v>23.671681085555516</v>
      </c>
      <c r="S715" s="55">
        <f t="shared" si="187"/>
        <v>5.0191466716009714E-2</v>
      </c>
      <c r="T715" s="46"/>
      <c r="U715" s="57"/>
      <c r="V715" s="58" t="str">
        <f>V653</f>
        <v>Agg. EMEA Cellular</v>
      </c>
      <c r="Z715" s="46"/>
    </row>
    <row r="716" spans="1:26">
      <c r="A716" s="5"/>
      <c r="C716" s="43"/>
      <c r="D716" s="44"/>
      <c r="E716" s="44"/>
      <c r="F716" s="45"/>
      <c r="G716" s="44"/>
      <c r="H716" s="46"/>
      <c r="I716" s="47"/>
      <c r="J716" s="47"/>
      <c r="K716" s="47"/>
      <c r="L716" s="47"/>
      <c r="M716" s="45"/>
      <c r="N716" s="56"/>
      <c r="O716" s="47"/>
      <c r="P716" s="47"/>
      <c r="Q716" s="47"/>
      <c r="R716" s="47"/>
      <c r="S716" s="45"/>
      <c r="T716" s="46"/>
      <c r="U716" s="48"/>
      <c r="V716" s="50"/>
      <c r="Z716" s="46"/>
    </row>
    <row r="717" spans="1:26">
      <c r="A717" s="5"/>
      <c r="C717" s="48" t="str">
        <f t="shared" ref="C717:G719" si="188">C655</f>
        <v>Entel</v>
      </c>
      <c r="D717" s="44" t="str">
        <f t="shared" si="188"/>
        <v>CLP 3,022</v>
      </c>
      <c r="E717" s="44" t="str">
        <f t="shared" si="188"/>
        <v>CLP 3,150</v>
      </c>
      <c r="F717" s="45">
        <f t="shared" si="188"/>
        <v>4.2356055592323028E-2</v>
      </c>
      <c r="G717" s="44" t="str">
        <f t="shared" si="188"/>
        <v>Neutral</v>
      </c>
      <c r="H717" s="46"/>
      <c r="I717" s="47">
        <f>ENTEL!D$11/Prices!$C$165/1000</f>
        <v>1.008030608156915</v>
      </c>
      <c r="J717" s="47">
        <f>ENTEL!E$11/Prices!$C$165/1000</f>
        <v>1.008030608156915</v>
      </c>
      <c r="K717" s="47">
        <f>ENTEL!F$11/Prices!$C$165/1000</f>
        <v>1.008030608156915</v>
      </c>
      <c r="L717" s="47">
        <f>ENTEL!G$11/Prices!$C$165/1000</f>
        <v>1.008030608156915</v>
      </c>
      <c r="M717" s="45">
        <f>(L717/I717)^(1/3)-1</f>
        <v>0</v>
      </c>
      <c r="N717" s="56"/>
      <c r="O717" s="47">
        <f>ENTEL!D$12/Prices!$C$165/1000</f>
        <v>1.7469704973554345</v>
      </c>
      <c r="P717" s="47">
        <f>ENTEL!E$12/Prices!$C$165/1000</f>
        <v>1.6038467503543947</v>
      </c>
      <c r="Q717" s="47">
        <f>ENTEL!F$12/Prices!$C$165/1000</f>
        <v>1.4104239398043956</v>
      </c>
      <c r="R717" s="47">
        <f>ENTEL!G$12/Prices!$C$165/1000</f>
        <v>1.1803449075493313</v>
      </c>
      <c r="S717" s="169">
        <f>(R717/O717)^(1/3)-1</f>
        <v>-0.12251213345305423</v>
      </c>
      <c r="T717" s="46"/>
      <c r="U717" s="48" t="str">
        <f t="shared" ref="U717:V719" si="189">U655</f>
        <v>CLP 3,022</v>
      </c>
      <c r="V717" s="44" t="str">
        <f t="shared" si="189"/>
        <v>Entel</v>
      </c>
      <c r="Z717" s="46"/>
    </row>
    <row r="718" spans="1:26">
      <c r="A718" s="5"/>
      <c r="C718" s="48" t="str">
        <f t="shared" si="188"/>
        <v>Millicom</v>
      </c>
      <c r="D718" s="44" t="str">
        <f t="shared" si="188"/>
        <v>USD  24.1</v>
      </c>
      <c r="E718" s="44" t="str">
        <f t="shared" si="188"/>
        <v>USD 18.0</v>
      </c>
      <c r="F718" s="45">
        <f t="shared" si="188"/>
        <v>-0.25280199252801994</v>
      </c>
      <c r="G718" s="44" t="str">
        <f t="shared" si="188"/>
        <v>Neutral</v>
      </c>
      <c r="H718" s="46"/>
      <c r="I718" s="47">
        <f>MILLI!D$11/1000</f>
        <v>4.0702463999999994</v>
      </c>
      <c r="J718" s="47">
        <f>MILLI!E$11/1000</f>
        <v>4.0702463999999994</v>
      </c>
      <c r="K718" s="47">
        <f>MILLI!F$11/1000</f>
        <v>3.8293463999999995</v>
      </c>
      <c r="L718" s="47">
        <f>MILLI!G$11/1000</f>
        <v>3.5884463999999991</v>
      </c>
      <c r="M718" s="45">
        <f>(L718/I718)^(1/3)-1</f>
        <v>-4.1125165208110492E-2</v>
      </c>
      <c r="N718" s="56"/>
      <c r="O718" s="47">
        <f>MILLI!D$12/1000</f>
        <v>6.9814578161957224</v>
      </c>
      <c r="P718" s="47">
        <f>MILLI!E$12/1000</f>
        <v>6.8998364147993572</v>
      </c>
      <c r="Q718" s="47">
        <f>MILLI!F$12/1000</f>
        <v>6.7769124816293109</v>
      </c>
      <c r="R718" s="47">
        <f>MILLI!G$12/1000</f>
        <v>6.5277576651955336</v>
      </c>
      <c r="S718" s="169">
        <f>(R718/O718)^(1/3)-1</f>
        <v>-2.2149110716094711E-2</v>
      </c>
      <c r="T718" s="46"/>
      <c r="U718" s="48" t="str">
        <f t="shared" si="189"/>
        <v>USD  24.1</v>
      </c>
      <c r="V718" s="44" t="str">
        <f t="shared" si="189"/>
        <v>Millicom</v>
      </c>
      <c r="Z718" s="46"/>
    </row>
    <row r="719" spans="1:26">
      <c r="A719" s="5"/>
      <c r="C719" s="48" t="str">
        <f t="shared" si="188"/>
        <v>TIM Participacoes</v>
      </c>
      <c r="D719" s="44" t="str">
        <f t="shared" si="188"/>
        <v>BRL 16.42</v>
      </c>
      <c r="E719" s="44" t="str">
        <f t="shared" si="188"/>
        <v>BRL 23.00</v>
      </c>
      <c r="F719" s="45">
        <f t="shared" si="188"/>
        <v>0.40073081607795347</v>
      </c>
      <c r="G719" s="44" t="str">
        <f t="shared" si="188"/>
        <v>Buy</v>
      </c>
      <c r="H719" s="46"/>
      <c r="I719" s="47">
        <f>TIMP!D$11/Prices!$C$160/1000</f>
        <v>6.310290993302921</v>
      </c>
      <c r="J719" s="47">
        <f>TIMP!E$11/Prices!$C$160/1000</f>
        <v>6.310290993302921</v>
      </c>
      <c r="K719" s="47">
        <f>TIMP!F$11/Prices!$C$160/1000</f>
        <v>6.310290993302921</v>
      </c>
      <c r="L719" s="47">
        <f>TIMP!G$11/Prices!$C$160/1000</f>
        <v>6.310290993302921</v>
      </c>
      <c r="M719" s="45">
        <f>(L719/I719)^(1/3)-1</f>
        <v>0</v>
      </c>
      <c r="N719" s="56"/>
      <c r="O719" s="47">
        <f>TIMP!D$12/Prices!$C$160/1000</f>
        <v>2.8583048127004576</v>
      </c>
      <c r="P719" s="47">
        <f>TIMP!E$12/Prices!$C$160/1000</f>
        <v>2.5716830012042111</v>
      </c>
      <c r="Q719" s="47">
        <f>TIMP!F$12/Prices!$C$160/1000</f>
        <v>2.10802290605971</v>
      </c>
      <c r="R719" s="47">
        <f>TIMP!G$12/Prices!$C$160/1000</f>
        <v>1.4340158326397503</v>
      </c>
      <c r="S719" s="45">
        <f>(R719/O719)^(1/3)-1</f>
        <v>-0.20540016857604204</v>
      </c>
      <c r="T719" s="46"/>
      <c r="U719" s="48" t="str">
        <f t="shared" si="189"/>
        <v>BRL 16.42</v>
      </c>
      <c r="V719" s="44" t="str">
        <f t="shared" si="189"/>
        <v>TIM Participacoes</v>
      </c>
      <c r="Z719" s="46"/>
    </row>
    <row r="720" spans="1:26">
      <c r="A720" s="5"/>
      <c r="C720" s="51" t="str">
        <f>C658</f>
        <v>Agg. LatAm Cellular</v>
      </c>
      <c r="D720" s="52"/>
      <c r="E720" s="52"/>
      <c r="F720" s="53"/>
      <c r="G720" s="52"/>
      <c r="H720" s="46"/>
      <c r="I720" s="54">
        <f>'LATAM CELLULAR'!D$11/1000</f>
        <v>11.388568001459834</v>
      </c>
      <c r="J720" s="54">
        <f>'LATAM CELLULAR'!$E$11/1000</f>
        <v>11.388568001459834</v>
      </c>
      <c r="K720" s="54">
        <f>'LATAM CELLULAR'!$F$11/1000</f>
        <v>11.147668001459834</v>
      </c>
      <c r="L720" s="54">
        <f>'LATAM CELLULAR'!$G$11/1000</f>
        <v>10.906768001459836</v>
      </c>
      <c r="M720" s="55">
        <f>(L720/I720)^(1/3)-1</f>
        <v>-1.4305533152551453E-2</v>
      </c>
      <c r="N720" s="56"/>
      <c r="O720" s="54">
        <f>'LATAM CELLULAR'!D$12/1000</f>
        <v>11.586733126251614</v>
      </c>
      <c r="P720" s="54">
        <f>'LATAM CELLULAR'!$E$12/1000</f>
        <v>11.075366166357963</v>
      </c>
      <c r="Q720" s="54">
        <f>'LATAM CELLULAR'!$F$12/1000</f>
        <v>10.295359327493415</v>
      </c>
      <c r="R720" s="54">
        <f>'LATAM CELLULAR'!$G$12/1000</f>
        <v>9.1421184053846147</v>
      </c>
      <c r="S720" s="55">
        <f>(R720/O720)^(1/3)-1</f>
        <v>-7.5950408799684732E-2</v>
      </c>
      <c r="T720" s="46"/>
      <c r="U720" s="57"/>
      <c r="V720" s="58" t="str">
        <f>V658</f>
        <v>Agg. LatAm Cellular</v>
      </c>
      <c r="Z720" s="46"/>
    </row>
    <row r="721" spans="1:26">
      <c r="C721" s="43"/>
      <c r="D721" s="44"/>
      <c r="E721" s="44"/>
      <c r="F721" s="45"/>
      <c r="G721" s="44"/>
      <c r="H721" s="46"/>
      <c r="I721" s="47"/>
      <c r="J721" s="47"/>
      <c r="K721" s="47"/>
      <c r="L721" s="47"/>
      <c r="M721" s="45"/>
      <c r="N721" s="46"/>
      <c r="O721" s="47"/>
      <c r="P721" s="47"/>
      <c r="Q721" s="47"/>
      <c r="R721" s="47"/>
      <c r="S721" s="45"/>
      <c r="T721" s="46"/>
      <c r="U721" s="48"/>
      <c r="V721" s="50"/>
      <c r="Z721" s="46"/>
    </row>
    <row r="722" spans="1:26">
      <c r="A722" s="5"/>
      <c r="C722" s="48" t="str">
        <f t="shared" ref="C722:G735" si="190">C660</f>
        <v>AIS</v>
      </c>
      <c r="D722" s="44" t="str">
        <f t="shared" si="190"/>
        <v>THB 207.0</v>
      </c>
      <c r="E722" s="44" t="str">
        <f t="shared" si="190"/>
        <v>THB 300.0</v>
      </c>
      <c r="F722" s="45">
        <f t="shared" si="190"/>
        <v>0.44927536231884058</v>
      </c>
      <c r="G722" s="44" t="str">
        <f t="shared" si="190"/>
        <v>Buy</v>
      </c>
      <c r="H722" s="46"/>
      <c r="I722" s="47">
        <f>ADVANCED!D$11/1000/Prices!$C$163</f>
        <v>16.781191222570534</v>
      </c>
      <c r="J722" s="47">
        <f>ADVANCED!E$11/1000/Prices!$C$163</f>
        <v>16.781191222570534</v>
      </c>
      <c r="K722" s="47">
        <f>ADVANCED!F$11/1000/Prices!$C$163</f>
        <v>16.781191222570534</v>
      </c>
      <c r="L722" s="47">
        <f>ADVANCED!G$11/1000/Prices!$C$163</f>
        <v>16.781191222570534</v>
      </c>
      <c r="M722" s="45">
        <f t="shared" ref="M722:M736" si="191">(L722/I722)^(1/3)-1</f>
        <v>0</v>
      </c>
      <c r="N722" s="46"/>
      <c r="O722" s="47">
        <f>ADVANCED!D$12/1000/Prices!$C$163</f>
        <v>5.0458430021262091</v>
      </c>
      <c r="P722" s="47">
        <f>ADVANCED!E$12/1000/Prices!$C$163</f>
        <v>3.9227177653988843</v>
      </c>
      <c r="Q722" s="47">
        <f>ADVANCED!F$12/1000/Prices!$C$163</f>
        <v>2.9927880302493732</v>
      </c>
      <c r="R722" s="47">
        <f>ADVANCED!G$12/1000/Prices!$C$163</f>
        <v>2.3054283669975195</v>
      </c>
      <c r="S722" s="45">
        <f t="shared" ref="S722:S736" si="192">(R722/O722)^(1/3)-1</f>
        <v>-0.22979565141324187</v>
      </c>
      <c r="T722" s="46"/>
      <c r="U722" s="48" t="str">
        <f t="shared" ref="U722:V735" si="193">U660</f>
        <v>THB 207.0</v>
      </c>
      <c r="V722" s="44" t="str">
        <f t="shared" si="193"/>
        <v>AIS</v>
      </c>
      <c r="Z722" s="46"/>
    </row>
    <row r="723" spans="1:26">
      <c r="C723" s="48" t="str">
        <f t="shared" si="190"/>
        <v>Axiata</v>
      </c>
      <c r="D723" s="44" t="str">
        <f t="shared" si="190"/>
        <v>MYR 2.87</v>
      </c>
      <c r="E723" s="44" t="str">
        <f t="shared" si="190"/>
        <v>MYR 4.50</v>
      </c>
      <c r="F723" s="45">
        <f t="shared" si="190"/>
        <v>0.56794425087108014</v>
      </c>
      <c r="G723" s="44" t="str">
        <f t="shared" si="190"/>
        <v>Buy</v>
      </c>
      <c r="H723" s="46"/>
      <c r="I723" s="47">
        <f>AXI!D$11/Prices!$C$159/1000</f>
        <v>5.5942790470126296</v>
      </c>
      <c r="J723" s="47">
        <f>AXI!E$11/Prices!$C$159/1000</f>
        <v>5.5942790470126296</v>
      </c>
      <c r="K723" s="47">
        <f>AXI!F$11/Prices!$C$159/1000</f>
        <v>5.5942790470126296</v>
      </c>
      <c r="L723" s="47">
        <f>AXI!G$11/Prices!$C$159/1000</f>
        <v>5.5942790470126296</v>
      </c>
      <c r="M723" s="45">
        <f t="shared" si="191"/>
        <v>0</v>
      </c>
      <c r="N723" s="46"/>
      <c r="O723" s="47">
        <f>AXI!D$12/Prices!$C$159/1000</f>
        <v>4.8892735778003624</v>
      </c>
      <c r="P723" s="47">
        <f>AXI!E$12/Prices!$C$159/1000</f>
        <v>4.7687775875388807</v>
      </c>
      <c r="Q723" s="47">
        <f>AXI!F$12/Prices!$C$159/1000</f>
        <v>4.6741804428598916</v>
      </c>
      <c r="R723" s="47">
        <f>AXI!G$12/Prices!$C$159/1000</f>
        <v>4.5696738927768692</v>
      </c>
      <c r="S723" s="45">
        <f t="shared" si="192"/>
        <v>-2.2281971807636136E-2</v>
      </c>
      <c r="T723" s="46"/>
      <c r="U723" s="48" t="str">
        <f t="shared" si="193"/>
        <v>MYR 2.87</v>
      </c>
      <c r="V723" s="44" t="str">
        <f t="shared" si="193"/>
        <v>Axiata</v>
      </c>
      <c r="Z723" s="46"/>
    </row>
    <row r="724" spans="1:26">
      <c r="C724" s="48" t="str">
        <f t="shared" si="190"/>
        <v>Bharti Airtel</v>
      </c>
      <c r="D724" s="44" t="str">
        <f t="shared" si="190"/>
        <v>INR 1389</v>
      </c>
      <c r="E724" s="44" t="str">
        <f t="shared" si="190"/>
        <v>INR 1500</v>
      </c>
      <c r="F724" s="45">
        <f t="shared" si="190"/>
        <v>8.0224686734840844E-2</v>
      </c>
      <c r="G724" s="44" t="str">
        <f t="shared" si="190"/>
        <v>Buy</v>
      </c>
      <c r="H724" s="46"/>
      <c r="I724" s="47">
        <f>BHART!D$11/1000/Prices!$C$152</f>
        <v>101.04833719425976</v>
      </c>
      <c r="J724" s="47">
        <f>BHART!E$11/1000/Prices!$C$152</f>
        <v>101.04833719425976</v>
      </c>
      <c r="K724" s="47">
        <f>BHART!F$11/1000/Prices!$C$152</f>
        <v>101.04833719425976</v>
      </c>
      <c r="L724" s="47">
        <f>BHART!G$11/1000/Prices!$C$152</f>
        <v>101.04833719425976</v>
      </c>
      <c r="M724" s="45">
        <f t="shared" si="191"/>
        <v>0</v>
      </c>
      <c r="N724" s="46"/>
      <c r="O724" s="47">
        <f>BHART!D$12/1000/Prices!$C$152</f>
        <v>24.627227052558741</v>
      </c>
      <c r="P724" s="47">
        <f>BHART!E$12/1000/Prices!$C$152</f>
        <v>21.608272745495302</v>
      </c>
      <c r="Q724" s="47">
        <f>BHART!F$12/1000/Prices!$C$152</f>
        <v>17.891345273862896</v>
      </c>
      <c r="R724" s="47">
        <f>BHART!G$12/1000/Prices!$C$152</f>
        <v>13.293923209188408</v>
      </c>
      <c r="S724" s="45">
        <f t="shared" si="192"/>
        <v>-0.18577227972546095</v>
      </c>
      <c r="T724" s="46"/>
      <c r="U724" s="48" t="str">
        <f t="shared" si="193"/>
        <v>INR 1389</v>
      </c>
      <c r="V724" s="44" t="str">
        <f t="shared" si="193"/>
        <v>Bharti Airtel</v>
      </c>
      <c r="Z724" s="46"/>
    </row>
    <row r="725" spans="1:26">
      <c r="A725" s="5"/>
      <c r="C725" s="48" t="str">
        <f t="shared" si="190"/>
        <v>China Mobile</v>
      </c>
      <c r="D725" s="44" t="str">
        <f t="shared" si="190"/>
        <v>HKD 73.2</v>
      </c>
      <c r="E725" s="44" t="str">
        <f t="shared" si="190"/>
        <v>HKD 115.0</v>
      </c>
      <c r="F725" s="45">
        <f t="shared" si="190"/>
        <v>0.57103825136612008</v>
      </c>
      <c r="G725" s="44" t="str">
        <f t="shared" si="190"/>
        <v>Buy</v>
      </c>
      <c r="H725" s="46"/>
      <c r="I725" s="47">
        <f>_CM!D$11/Prices!$C$175</f>
        <v>200.56639570819732</v>
      </c>
      <c r="J725" s="47">
        <f>_CM!E$11/Prices!$C$175</f>
        <v>200.56639570819732</v>
      </c>
      <c r="K725" s="47">
        <f>_CM!F$11/Prices!$C$175</f>
        <v>200.56639570819732</v>
      </c>
      <c r="L725" s="47">
        <f>_CM!G$11/Prices!$C$175</f>
        <v>200.56639570819732</v>
      </c>
      <c r="M725" s="45">
        <f t="shared" si="191"/>
        <v>0</v>
      </c>
      <c r="N725" s="46"/>
      <c r="O725" s="47">
        <f>_CM!D$12/Prices!$C$175</f>
        <v>-10.467921819787986</v>
      </c>
      <c r="P725" s="47">
        <f>_CM!E$12/Prices!$C$175</f>
        <v>-16.878057466173072</v>
      </c>
      <c r="Q725" s="47">
        <f>_CM!F$12/Prices!$C$175</f>
        <v>-25.171060724276948</v>
      </c>
      <c r="R725" s="47">
        <f>_CM!G$12/Prices!$C$175</f>
        <v>-33.238476174548993</v>
      </c>
      <c r="S725" s="45">
        <f t="shared" si="192"/>
        <v>0.46980666229016399</v>
      </c>
      <c r="T725" s="46"/>
      <c r="U725" s="48" t="str">
        <f t="shared" si="193"/>
        <v>HKD 73.2</v>
      </c>
      <c r="V725" s="44" t="str">
        <f t="shared" si="193"/>
        <v>China Mobile</v>
      </c>
      <c r="Z725" s="46"/>
    </row>
    <row r="726" spans="1:26">
      <c r="A726" s="5"/>
      <c r="C726" s="48" t="str">
        <f t="shared" si="190"/>
        <v>CelcomDigi</v>
      </c>
      <c r="D726" s="44" t="str">
        <f t="shared" si="190"/>
        <v>MYR 4.1</v>
      </c>
      <c r="E726" s="44" t="str">
        <f t="shared" si="190"/>
        <v>MYR 6.0</v>
      </c>
      <c r="F726" s="45">
        <f t="shared" si="190"/>
        <v>0.48148148148148162</v>
      </c>
      <c r="G726" s="44" t="str">
        <f t="shared" si="190"/>
        <v>Buy</v>
      </c>
      <c r="H726" s="46"/>
      <c r="I726" s="47">
        <f>DIGI!D$11/1000/Prices!$C$159</f>
        <v>10.084820620057306</v>
      </c>
      <c r="J726" s="47">
        <f>DIGI!E$11/1000/Prices!$C$159</f>
        <v>10.084820620057306</v>
      </c>
      <c r="K726" s="47">
        <f>DIGI!F$11/1000/Prices!$C$159</f>
        <v>10.084820620057306</v>
      </c>
      <c r="L726" s="47">
        <f>DIGI!G$11/1000/Prices!$C$159</f>
        <v>10.084820620057306</v>
      </c>
      <c r="M726" s="45">
        <f t="shared" si="191"/>
        <v>0</v>
      </c>
      <c r="N726" s="46"/>
      <c r="O726" s="47">
        <f>DIGI!D$12/1000/Prices!$C$159</f>
        <v>3.2218872031142198</v>
      </c>
      <c r="P726" s="47">
        <f>DIGI!E$12/1000/Prices!$C$159</f>
        <v>2.9019904759482591</v>
      </c>
      <c r="Q726" s="47">
        <f>DIGI!F$12/1000/Prices!$C$159</f>
        <v>2.6184030585717766</v>
      </c>
      <c r="R726" s="47">
        <f>DIGI!G$12/1000/Prices!$C$159</f>
        <v>2.3635793860616237</v>
      </c>
      <c r="S726" s="45">
        <f t="shared" si="192"/>
        <v>-9.8110590447631707E-2</v>
      </c>
      <c r="T726" s="46"/>
      <c r="U726" s="48" t="str">
        <f t="shared" si="193"/>
        <v>MYR 4.1</v>
      </c>
      <c r="V726" s="44" t="str">
        <f t="shared" si="193"/>
        <v>CelcomDigi</v>
      </c>
      <c r="Z726" s="46"/>
    </row>
    <row r="727" spans="1:26">
      <c r="A727" s="5"/>
      <c r="C727" s="48" t="str">
        <f t="shared" si="190"/>
        <v>Far EasTone</v>
      </c>
      <c r="D727" s="44" t="str">
        <f t="shared" si="190"/>
        <v>TWD 84.0</v>
      </c>
      <c r="E727" s="44" t="str">
        <f t="shared" si="190"/>
        <v>TWD n/r</v>
      </c>
      <c r="F727" s="45" t="str">
        <f t="shared" si="190"/>
        <v>-</v>
      </c>
      <c r="G727" s="44" t="str">
        <f t="shared" si="190"/>
        <v>n/r</v>
      </c>
      <c r="H727" s="46"/>
      <c r="I727" s="47">
        <f>(FAR!D$11/Prices!$C$181)/1000</f>
        <v>8.4812197843064325</v>
      </c>
      <c r="J727" s="47">
        <f>(FAR!E$11/Prices!$C$181)/1000</f>
        <v>8.4812197843064325</v>
      </c>
      <c r="K727" s="47">
        <f>(FAR!F$11/Prices!$C$181)/1000</f>
        <v>8.4812197843064325</v>
      </c>
      <c r="L727" s="47">
        <f>(FAR!G$11/Prices!$C$181)/1000</f>
        <v>8.4812197843064325</v>
      </c>
      <c r="M727" s="45">
        <f t="shared" si="191"/>
        <v>0</v>
      </c>
      <c r="N727" s="46"/>
      <c r="O727" s="47">
        <f>FAR!D$12/1000/Prices!$C$181</f>
        <v>2.2584074660227453</v>
      </c>
      <c r="P727" s="47">
        <f>FAR!E$12/1000/Prices!$C$181</f>
        <v>2.1816874019252799</v>
      </c>
      <c r="Q727" s="47">
        <f>FAR!F$12/1000/Prices!$C$181</f>
        <v>2.1069663284405671</v>
      </c>
      <c r="R727" s="47">
        <f>FAR!G$12/1000/Prices!$C$181</f>
        <v>2.0337789826333981</v>
      </c>
      <c r="S727" s="45">
        <f t="shared" si="192"/>
        <v>-3.4318707851948016E-2</v>
      </c>
      <c r="T727" s="46"/>
      <c r="U727" s="48" t="str">
        <f t="shared" si="193"/>
        <v>TWD 84.0</v>
      </c>
      <c r="V727" s="44" t="str">
        <f t="shared" si="193"/>
        <v>Far EasTone</v>
      </c>
      <c r="Z727" s="46"/>
    </row>
    <row r="728" spans="1:26">
      <c r="A728" s="5"/>
      <c r="C728" s="48" t="str">
        <f t="shared" si="190"/>
        <v>Vodafone IDEA</v>
      </c>
      <c r="D728" s="44" t="str">
        <f t="shared" si="190"/>
        <v>INR 15.1</v>
      </c>
      <c r="E728" s="44" t="str">
        <f t="shared" si="190"/>
        <v>INR 5.0</v>
      </c>
      <c r="F728" s="45">
        <f t="shared" si="190"/>
        <v>-0.66909331568497676</v>
      </c>
      <c r="G728" s="44" t="str">
        <f t="shared" si="190"/>
        <v>Reduce</v>
      </c>
      <c r="H728" s="46"/>
      <c r="I728" s="47">
        <f>IDEA!D$11/1000/Prices!$C$152</f>
        <v>9.1135133788621818</v>
      </c>
      <c r="J728" s="47">
        <f>IDEA!E$11/1000/Prices!$C$152</f>
        <v>12.577029414958616</v>
      </c>
      <c r="K728" s="47">
        <f>IDEA!F$11/1000/Prices!$C$152</f>
        <v>12.577029414958616</v>
      </c>
      <c r="L728" s="47">
        <f>IDEA!G$11/1000/Prices!$C$152</f>
        <v>12.577029414958616</v>
      </c>
      <c r="M728" s="45">
        <f t="shared" si="191"/>
        <v>0.11334752255350278</v>
      </c>
      <c r="N728" s="46"/>
      <c r="O728" s="47">
        <f>IDEA!D$12/1000/Prices!$C$152</f>
        <v>24.96611811426337</v>
      </c>
      <c r="P728" s="47">
        <f>IDEA!E$12/1000/Prices!$C$152</f>
        <v>25.660216668840036</v>
      </c>
      <c r="Q728" s="47">
        <f>IDEA!F$12/1000/Prices!$C$152</f>
        <v>28.420771576668496</v>
      </c>
      <c r="R728" s="47">
        <f>IDEA!G$12/1000/Prices!$C$152</f>
        <v>30.048950238740627</v>
      </c>
      <c r="S728" s="45">
        <f t="shared" si="192"/>
        <v>6.3716986539366971E-2</v>
      </c>
      <c r="T728" s="46"/>
      <c r="U728" s="48" t="str">
        <f t="shared" si="193"/>
        <v>INR 15.1</v>
      </c>
      <c r="V728" s="44" t="str">
        <f t="shared" si="193"/>
        <v>Vodafone IDEA</v>
      </c>
      <c r="Z728" s="46"/>
    </row>
    <row r="729" spans="1:26">
      <c r="A729" s="5"/>
      <c r="C729" s="48" t="str">
        <f t="shared" si="190"/>
        <v>Indosat</v>
      </c>
      <c r="D729" s="44" t="str">
        <f t="shared" si="190"/>
        <v>IDR 10,075</v>
      </c>
      <c r="E729" s="44" t="str">
        <f t="shared" si="190"/>
        <v>IDR 12,500</v>
      </c>
      <c r="F729" s="45">
        <f t="shared" si="190"/>
        <v>0.2406947890818858</v>
      </c>
      <c r="G729" s="44" t="str">
        <f t="shared" si="190"/>
        <v>Buy</v>
      </c>
      <c r="H729" s="46"/>
      <c r="I729" s="47">
        <f>INDO!D$11/Prices!$C$172</f>
        <v>5.0793509168672815</v>
      </c>
      <c r="J729" s="47">
        <f>INDO!E$11/Prices!$C$172</f>
        <v>5.0793509168672815</v>
      </c>
      <c r="K729" s="47">
        <f>INDO!F$11/Prices!$C$172</f>
        <v>5.0793509168672815</v>
      </c>
      <c r="L729" s="47">
        <f>INDO!G$11/Prices!$C$172</f>
        <v>5.0793509168672815</v>
      </c>
      <c r="M729" s="45">
        <f t="shared" si="191"/>
        <v>0</v>
      </c>
      <c r="N729" s="46"/>
      <c r="O729" s="47">
        <f>INDO!D$12/Prices!$C$172</f>
        <v>3.0429445677661402</v>
      </c>
      <c r="P729" s="47">
        <f>INDO!E$12/Prices!$C$172</f>
        <v>2.5311382902909236</v>
      </c>
      <c r="Q729" s="47">
        <f>INDO!F$12/Prices!$C$172</f>
        <v>1.857000018153951</v>
      </c>
      <c r="R729" s="47">
        <f>INDO!G$12/Prices!$C$172</f>
        <v>1.1136080949671909</v>
      </c>
      <c r="S729" s="45">
        <f t="shared" si="192"/>
        <v>-0.28471445918451621</v>
      </c>
      <c r="T729" s="46"/>
      <c r="U729" s="48" t="str">
        <f t="shared" si="193"/>
        <v>IDR 10,075</v>
      </c>
      <c r="V729" s="44" t="str">
        <f t="shared" si="193"/>
        <v>Indosat</v>
      </c>
      <c r="Z729" s="46"/>
    </row>
    <row r="730" spans="1:26">
      <c r="A730" s="5"/>
      <c r="C730" s="48" t="str">
        <f t="shared" si="190"/>
        <v>LG Uplus</v>
      </c>
      <c r="D730" s="44" t="str">
        <f t="shared" si="190"/>
        <v>KRW 9,770</v>
      </c>
      <c r="E730" s="44" t="str">
        <f t="shared" si="190"/>
        <v>KRW 21,000</v>
      </c>
      <c r="F730" s="45">
        <f t="shared" si="190"/>
        <v>1.1494370522006143</v>
      </c>
      <c r="G730" s="44" t="str">
        <f t="shared" si="190"/>
        <v>Buy</v>
      </c>
      <c r="H730" s="46"/>
      <c r="I730" s="47">
        <f>_LG!D$11/Prices!$C$173</f>
        <v>3.1147002555677257</v>
      </c>
      <c r="J730" s="47">
        <f>_LG!E$11/Prices!$C$173</f>
        <v>3.1147002555677257</v>
      </c>
      <c r="K730" s="47">
        <f>_LG!F$11/Prices!$C$173</f>
        <v>3.1147002555677257</v>
      </c>
      <c r="L730" s="47">
        <f>_LG!G$11/Prices!$C$173</f>
        <v>3.1147002555677257</v>
      </c>
      <c r="M730" s="45">
        <f t="shared" si="191"/>
        <v>0</v>
      </c>
      <c r="N730" s="46"/>
      <c r="O730" s="47">
        <f>_LG!D$12/Prices!$C$173</f>
        <v>4.1780941949616652</v>
      </c>
      <c r="P730" s="47">
        <f>_LG!E$12/Prices!$C$173</f>
        <v>4.1292167400326356</v>
      </c>
      <c r="Q730" s="47">
        <f>_LG!F$12/Prices!$C$173</f>
        <v>4.0715291751547449</v>
      </c>
      <c r="R730" s="47">
        <f>_LG!G$12/Prices!$C$173</f>
        <v>4.0025371370426956</v>
      </c>
      <c r="S730" s="45">
        <f t="shared" si="192"/>
        <v>-1.4207035270485724E-2</v>
      </c>
      <c r="T730" s="46"/>
      <c r="U730" s="48" t="str">
        <f t="shared" si="193"/>
        <v>KRW 9,770</v>
      </c>
      <c r="V730" s="44" t="str">
        <f t="shared" si="193"/>
        <v>LG Uplus</v>
      </c>
      <c r="Z730" s="46"/>
    </row>
    <row r="731" spans="1:26">
      <c r="C731" s="48" t="str">
        <f t="shared" si="190"/>
        <v>Maxis</v>
      </c>
      <c r="D731" s="44" t="str">
        <f t="shared" si="190"/>
        <v>MYR 3.71</v>
      </c>
      <c r="E731" s="44" t="str">
        <f t="shared" si="190"/>
        <v>MYR 5.60</v>
      </c>
      <c r="F731" s="45">
        <f t="shared" si="190"/>
        <v>0.50943396226415083</v>
      </c>
      <c r="G731" s="44" t="str">
        <f t="shared" si="190"/>
        <v>Buy</v>
      </c>
      <c r="H731" s="46"/>
      <c r="I731" s="47">
        <f>MAXI!D$11/1000/Prices!$C$159</f>
        <v>6.164041175846334</v>
      </c>
      <c r="J731" s="47">
        <f>MAXI!E$11/1000/Prices!$C$159</f>
        <v>6.164041175846334</v>
      </c>
      <c r="K731" s="47">
        <f>MAXI!F$11/1000/Prices!$C$159</f>
        <v>6.164041175846334</v>
      </c>
      <c r="L731" s="47">
        <f>MAXI!G$11/1000/Prices!$C$159</f>
        <v>6.164041175846334</v>
      </c>
      <c r="M731" s="45">
        <f t="shared" si="191"/>
        <v>0</v>
      </c>
      <c r="N731" s="46"/>
      <c r="O731" s="47">
        <f>MAXI!D$12/1000/Prices!$C$159</f>
        <v>1.8302779336245136</v>
      </c>
      <c r="P731" s="47">
        <f>MAXI!E$12/1000/Prices!$C$159</f>
        <v>1.7526269048226224</v>
      </c>
      <c r="Q731" s="47">
        <f>MAXI!F$12/1000/Prices!$C$159</f>
        <v>1.6859643570903931</v>
      </c>
      <c r="R731" s="47">
        <f>MAXI!G$12/1000/Prices!$C$159</f>
        <v>1.6226277013371979</v>
      </c>
      <c r="S731" s="45">
        <f t="shared" si="192"/>
        <v>-3.934536891338658E-2</v>
      </c>
      <c r="T731" s="46"/>
      <c r="U731" s="48" t="str">
        <f t="shared" si="193"/>
        <v>MYR 3.71</v>
      </c>
      <c r="V731" s="44" t="str">
        <f t="shared" si="193"/>
        <v>Maxis</v>
      </c>
      <c r="Z731" s="46"/>
    </row>
    <row r="732" spans="1:26">
      <c r="A732" s="5"/>
      <c r="C732" s="48" t="str">
        <f t="shared" si="190"/>
        <v>SK Telecom</v>
      </c>
      <c r="D732" s="44" t="str">
        <f t="shared" si="190"/>
        <v>KRW 51,800</v>
      </c>
      <c r="E732" s="44" t="str">
        <f t="shared" si="190"/>
        <v>KRW 116,000</v>
      </c>
      <c r="F732" s="45">
        <f t="shared" si="190"/>
        <v>1.2393822393822393</v>
      </c>
      <c r="G732" s="44" t="str">
        <f t="shared" si="190"/>
        <v>Buy</v>
      </c>
      <c r="H732" s="46"/>
      <c r="I732" s="47">
        <f>SKT!D$11/Prices!$C$173</f>
        <v>8.1460045123767806</v>
      </c>
      <c r="J732" s="47">
        <f>SKT!E$11/Prices!$C$173</f>
        <v>8.045159557502739</v>
      </c>
      <c r="K732" s="47">
        <f>SKT!F$11/Prices!$C$173</f>
        <v>8.045159557502739</v>
      </c>
      <c r="L732" s="47">
        <f>SKT!G$11/Prices!$C$173</f>
        <v>8.045159557502739</v>
      </c>
      <c r="M732" s="45">
        <f t="shared" si="191"/>
        <v>-4.143707649794881E-3</v>
      </c>
      <c r="N732" s="46"/>
      <c r="O732" s="47">
        <f>SKT!D$12/Prices!$C$173</f>
        <v>6.7329826906841914</v>
      </c>
      <c r="P732" s="47">
        <f>SKT!E$12/Prices!$C$173</f>
        <v>6.2460162268964829</v>
      </c>
      <c r="Q732" s="47">
        <f>SKT!F$12/Prices!$C$173</f>
        <v>5.8013192442638299</v>
      </c>
      <c r="R732" s="47">
        <f>SKT!G$12/Prices!$C$173</f>
        <v>5.0695967571383003</v>
      </c>
      <c r="S732" s="45">
        <f t="shared" si="192"/>
        <v>-9.0250191627807674E-2</v>
      </c>
      <c r="T732" s="46"/>
      <c r="U732" s="48" t="str">
        <f t="shared" si="193"/>
        <v>KRW 51,800</v>
      </c>
      <c r="V732" s="44" t="str">
        <f t="shared" si="193"/>
        <v>SK Telecom</v>
      </c>
      <c r="Z732" s="46"/>
    </row>
    <row r="733" spans="1:26">
      <c r="A733" s="5"/>
      <c r="C733" s="48" t="str">
        <f t="shared" si="190"/>
        <v>Taiwan Mobile</v>
      </c>
      <c r="D733" s="44" t="str">
        <f t="shared" si="190"/>
        <v>TWD 106.5</v>
      </c>
      <c r="E733" s="44" t="str">
        <f t="shared" si="190"/>
        <v>TWD n/r</v>
      </c>
      <c r="F733" s="45" t="str">
        <f t="shared" si="190"/>
        <v>-</v>
      </c>
      <c r="G733" s="44" t="str">
        <f t="shared" si="190"/>
        <v>n/r</v>
      </c>
      <c r="H733" s="46"/>
      <c r="I733" s="47">
        <f>(TAIWAN!D$11/Prices!$C$181)/1000</f>
        <v>8.9229230197099287</v>
      </c>
      <c r="J733" s="47">
        <f>(TAIWAN!E$11/Prices!$C$181)/1000</f>
        <v>8.9229230197099287</v>
      </c>
      <c r="K733" s="47">
        <f>(TAIWAN!F$11/Prices!$C$181)/1000</f>
        <v>8.9229230197099287</v>
      </c>
      <c r="L733" s="47">
        <f>(TAIWAN!G$11/Prices!$C$181)/1000</f>
        <v>8.9229230197099287</v>
      </c>
      <c r="M733" s="45">
        <f t="shared" si="191"/>
        <v>0</v>
      </c>
      <c r="N733" s="46"/>
      <c r="O733" s="47">
        <f>TAIWAN!D$12/1000/Prices!$C$181</f>
        <v>2.2275906324540413</v>
      </c>
      <c r="P733" s="47">
        <f>TAIWAN!E$12/1000/Prices!$C$181</f>
        <v>2.0883183625403565</v>
      </c>
      <c r="Q733" s="47">
        <f>TAIWAN!F$12/1000/Prices!$C$181</f>
        <v>1.9362623469941318</v>
      </c>
      <c r="R733" s="47">
        <f>TAIWAN!G$12/1000/Prices!$C$181</f>
        <v>1.7183576972150556</v>
      </c>
      <c r="S733" s="45">
        <f t="shared" si="192"/>
        <v>-8.2880213588475748E-2</v>
      </c>
      <c r="T733" s="46"/>
      <c r="U733" s="48" t="str">
        <f t="shared" si="193"/>
        <v>TWD 106.5</v>
      </c>
      <c r="V733" s="44" t="str">
        <f t="shared" si="193"/>
        <v>Taiwan Mobile</v>
      </c>
      <c r="Z733" s="46"/>
    </row>
    <row r="734" spans="1:26">
      <c r="A734" s="5"/>
      <c r="C734" s="48" t="str">
        <f t="shared" si="190"/>
        <v>True Corp</v>
      </c>
      <c r="D734" s="44" t="str">
        <f t="shared" si="190"/>
        <v>THB 8.0</v>
      </c>
      <c r="E734" s="44" t="str">
        <f t="shared" si="190"/>
        <v>THB 15.0</v>
      </c>
      <c r="F734" s="45">
        <f t="shared" si="190"/>
        <v>0.875</v>
      </c>
      <c r="G734" s="44" t="str">
        <f t="shared" si="190"/>
        <v>Buy</v>
      </c>
      <c r="H734" s="46"/>
      <c r="I734" s="47">
        <f>TRUECORP!D$11/1000/Prices!$C$163</f>
        <v>7.5348727383944389</v>
      </c>
      <c r="J734" s="47">
        <f>TRUECORP!E$11/1000/Prices!$C$163</f>
        <v>7.5348727383944389</v>
      </c>
      <c r="K734" s="47">
        <f>TRUECORP!F$11/1000/Prices!$C$163</f>
        <v>7.5348727383944389</v>
      </c>
      <c r="L734" s="47">
        <f>TRUECORP!G$11/1000/Prices!$C$163</f>
        <v>7.5348727383944389</v>
      </c>
      <c r="M734" s="45">
        <f>(L734/I734)^(1/3)-1</f>
        <v>0</v>
      </c>
      <c r="N734" s="46"/>
      <c r="O734" s="47">
        <f>TRUECORP!D$12/1000/Prices!$C$163</f>
        <v>13.482704102494207</v>
      </c>
      <c r="P734" s="47">
        <f>TRUECORP!E$12/1000/Prices!$C$163</f>
        <v>12.487990844439324</v>
      </c>
      <c r="Q734" s="47">
        <f>TRUECORP!F$12/1000/Prices!$C$163</f>
        <v>11.579192709264582</v>
      </c>
      <c r="R734" s="47">
        <f>TRUECORP!G$12/1000/Prices!$C$163</f>
        <v>10.566777008998184</v>
      </c>
      <c r="S734" s="45">
        <f>(R734/O734)^(1/3)-1</f>
        <v>-7.8019265146239358E-2</v>
      </c>
      <c r="T734" s="46"/>
      <c r="U734" s="48" t="str">
        <f t="shared" si="193"/>
        <v>THB 8.0</v>
      </c>
      <c r="V734" s="44" t="str">
        <f t="shared" si="193"/>
        <v>True Corp</v>
      </c>
      <c r="Z734" s="46"/>
    </row>
    <row r="735" spans="1:26">
      <c r="A735" s="5"/>
      <c r="C735" s="48" t="str">
        <f t="shared" si="190"/>
        <v>XL Axiata</v>
      </c>
      <c r="D735" s="44" t="str">
        <f t="shared" si="190"/>
        <v>IDR 2,470</v>
      </c>
      <c r="E735" s="44" t="str">
        <f t="shared" si="190"/>
        <v>IDR 5,000</v>
      </c>
      <c r="F735" s="45">
        <f t="shared" si="190"/>
        <v>1.0242914979757085</v>
      </c>
      <c r="G735" s="44" t="str">
        <f t="shared" si="190"/>
        <v>Buy</v>
      </c>
      <c r="H735" s="46"/>
      <c r="I735" s="47">
        <f>XLAX!D$11/Prices!$C$172</f>
        <v>2.0276519457589495</v>
      </c>
      <c r="J735" s="47">
        <f>XLAX!E$11/Prices!$C$172</f>
        <v>2.0276519457589495</v>
      </c>
      <c r="K735" s="47">
        <f>XLAX!F$11/Prices!$C$172</f>
        <v>2.0276519457589495</v>
      </c>
      <c r="L735" s="47">
        <f>XLAX!G$11/Prices!$C$172</f>
        <v>2.0276519457589495</v>
      </c>
      <c r="M735" s="45">
        <f t="shared" si="191"/>
        <v>0</v>
      </c>
      <c r="N735" s="56"/>
      <c r="O735" s="47">
        <f>XLAX!D$12/Prices!$C$172</f>
        <v>2.8108180084414567</v>
      </c>
      <c r="P735" s="47">
        <f>XLAX!E$12/Prices!$C$172</f>
        <v>2.4700902697507789</v>
      </c>
      <c r="Q735" s="47">
        <f>XLAX!F$12/Prices!$C$172</f>
        <v>2.088387186528855</v>
      </c>
      <c r="R735" s="47">
        <f>XLAX!G$12/Prices!$C$172</f>
        <v>1.6784468790942819</v>
      </c>
      <c r="S735" s="45">
        <f t="shared" si="192"/>
        <v>-0.15791042436363212</v>
      </c>
      <c r="T735" s="46"/>
      <c r="U735" s="48" t="str">
        <f t="shared" si="193"/>
        <v>IDR 2,470</v>
      </c>
      <c r="V735" s="44" t="str">
        <f t="shared" si="193"/>
        <v>XL Axiata</v>
      </c>
      <c r="Z735" s="46"/>
    </row>
    <row r="736" spans="1:26">
      <c r="A736" s="5"/>
      <c r="C736" s="51" t="str">
        <f>C674</f>
        <v>Agg. Emerging Asia Cellular</v>
      </c>
      <c r="D736" s="52"/>
      <c r="E736" s="52"/>
      <c r="F736" s="53"/>
      <c r="G736" s="52"/>
      <c r="H736" s="46"/>
      <c r="I736" s="54">
        <f>'EM ASIA CELLULAR'!$D$11/1000</f>
        <v>392.65930151978756</v>
      </c>
      <c r="J736" s="54">
        <f>'EM ASIA CELLULAR'!$E$11/1000</f>
        <v>396.02197260100996</v>
      </c>
      <c r="K736" s="54">
        <f>'EM ASIA CELLULAR'!$F$11/1000</f>
        <v>396.02197260100996</v>
      </c>
      <c r="L736" s="54">
        <f>'EM ASIA CELLULAR'!$G$11/1000</f>
        <v>396.02197260100996</v>
      </c>
      <c r="M736" s="55">
        <f t="shared" si="191"/>
        <v>2.8465027689195121E-3</v>
      </c>
      <c r="N736" s="56"/>
      <c r="O736" s="54">
        <f>'EM ASIA CELLULAR'!$D$12/1000</f>
        <v>88.846246726523887</v>
      </c>
      <c r="P736" s="54">
        <f>'EM ASIA CELLULAR'!$E$12/1000</f>
        <v>75.8710028177467</v>
      </c>
      <c r="Q736" s="54">
        <f>'EM ASIA CELLULAR'!$F$12/1000</f>
        <v>62.553049023826532</v>
      </c>
      <c r="R736" s="54">
        <f>'EM ASIA CELLULAR'!$G$12/1000</f>
        <v>47.148809177642356</v>
      </c>
      <c r="S736" s="55">
        <f t="shared" si="192"/>
        <v>-0.19038748263304095</v>
      </c>
      <c r="T736" s="46"/>
      <c r="U736" s="57"/>
      <c r="V736" s="58" t="str">
        <f>V674</f>
        <v>Agg. Emerging Asia Cellular</v>
      </c>
      <c r="Z736" s="46"/>
    </row>
    <row r="737" spans="1:69">
      <c r="A737" s="5"/>
      <c r="C737" s="43"/>
      <c r="D737" s="44"/>
      <c r="E737" s="44"/>
      <c r="F737" s="68"/>
      <c r="G737" s="44"/>
      <c r="H737" s="46"/>
      <c r="I737" s="62"/>
      <c r="J737" s="62"/>
      <c r="K737" s="62"/>
      <c r="L737" s="62"/>
      <c r="M737" s="61"/>
      <c r="N737" s="46"/>
      <c r="O737" s="62"/>
      <c r="P737" s="62"/>
      <c r="Q737" s="62"/>
      <c r="R737" s="62"/>
      <c r="S737" s="61"/>
      <c r="T737" s="46"/>
      <c r="U737" s="48"/>
      <c r="V737" s="50"/>
      <c r="Z737" s="46"/>
    </row>
    <row r="738" spans="1:69">
      <c r="A738" s="5"/>
      <c r="C738" s="51" t="str">
        <f>C676</f>
        <v>Agg. Emerging  Cellular</v>
      </c>
      <c r="D738" s="52"/>
      <c r="E738" s="52"/>
      <c r="F738" s="53"/>
      <c r="G738" s="52"/>
      <c r="H738" s="46"/>
      <c r="I738" s="54">
        <f>'EM CELLULAR'!$D$11/1000</f>
        <v>495.62883053987855</v>
      </c>
      <c r="J738" s="54">
        <f>'EM CELLULAR'!$E$11/1000</f>
        <v>498.87127566049702</v>
      </c>
      <c r="K738" s="54">
        <f>'EM CELLULAR'!$F$11/1000</f>
        <v>498.63037566049707</v>
      </c>
      <c r="L738" s="54">
        <f>'EM CELLULAR'!$G$11/1000</f>
        <v>498.38947566049706</v>
      </c>
      <c r="M738" s="55">
        <f t="shared" ref="M738" si="194">(L738/I738)^(1/3)-1</f>
        <v>1.853225080980403E-3</v>
      </c>
      <c r="N738" s="46"/>
      <c r="O738" s="54">
        <f>'EM CELLULAR'!$D$12/1000</f>
        <v>120.87028577367786</v>
      </c>
      <c r="P738" s="54">
        <f>'EM CELLULAR'!$E$12/1000</f>
        <v>109.54723713471037</v>
      </c>
      <c r="Q738" s="54">
        <f>'EM CELLULAR'!$F$12/1000</f>
        <v>95.930750077755988</v>
      </c>
      <c r="R738" s="54">
        <f>'EM CELLULAR'!$G$12/1000</f>
        <v>79.96260866858249</v>
      </c>
      <c r="S738" s="55">
        <f t="shared" ref="S738" si="195">(R738/O738)^(1/3)-1</f>
        <v>-0.12865702327883011</v>
      </c>
      <c r="T738" s="46"/>
      <c r="U738" s="57"/>
      <c r="V738" s="58" t="str">
        <f>V676</f>
        <v>Agg. Emerging  Cellular</v>
      </c>
      <c r="Z738" s="46"/>
    </row>
    <row r="739" spans="1:69">
      <c r="C739" s="43"/>
      <c r="D739" s="44"/>
      <c r="E739" s="44"/>
      <c r="F739" s="45"/>
      <c r="G739" s="44"/>
      <c r="H739" s="46"/>
      <c r="I739" s="47"/>
      <c r="J739" s="47"/>
      <c r="K739" s="47"/>
      <c r="L739" s="47"/>
      <c r="M739" s="45"/>
      <c r="N739" s="46"/>
      <c r="O739" s="47"/>
      <c r="P739" s="47"/>
      <c r="Q739" s="47"/>
      <c r="R739" s="47"/>
      <c r="S739" s="45"/>
      <c r="T739" s="46"/>
      <c r="U739" s="48"/>
      <c r="V739" s="50"/>
      <c r="Z739" s="46"/>
    </row>
    <row r="740" spans="1:69">
      <c r="A740" s="41" t="s">
        <v>508</v>
      </c>
      <c r="B740" s="42" t="s">
        <v>582</v>
      </c>
      <c r="C740" s="48" t="s">
        <v>819</v>
      </c>
      <c r="D740" s="44" t="str">
        <f>'EM Multiples'!B740&amp;TEXT(Prices!C$135,"0.00")</f>
        <v>MXN52.16</v>
      </c>
      <c r="E740" s="44" t="str">
        <f>'EM Multiples'!B740&amp;TEXT(Prices!E$135,"0.00")</f>
        <v>MXN55.00</v>
      </c>
      <c r="F740" s="45">
        <f>Prices!F$135</f>
        <v>5.444785276073616E-2</v>
      </c>
      <c r="G740" s="44" t="str">
        <f>Prices!D$48</f>
        <v>Buy</v>
      </c>
      <c r="H740" s="46"/>
      <c r="I740" s="47">
        <f>MEGA!D$11/1000/Prices!$C$180</f>
        <v>2.6750383495290775</v>
      </c>
      <c r="J740" s="47">
        <f>MEGA!E$11/1000/Prices!$C$180</f>
        <v>2.6750383495290775</v>
      </c>
      <c r="K740" s="47">
        <f>MEGA!F$11/1000/Prices!$C$180</f>
        <v>2.6750383495290775</v>
      </c>
      <c r="L740" s="47">
        <f>MEGA!G$11/1000/Prices!$C$180</f>
        <v>2.6750383495290775</v>
      </c>
      <c r="M740" s="45">
        <f>(L740/I740)^(1/3)-1</f>
        <v>0</v>
      </c>
      <c r="N740" s="46"/>
      <c r="O740" s="47">
        <f>MEGA!D$12/1000/Prices!$C$180</f>
        <v>1.1427643924638082</v>
      </c>
      <c r="P740" s="47">
        <f>MEGA!E$12/1000/Prices!$C$180</f>
        <v>1.415727995153129</v>
      </c>
      <c r="Q740" s="47">
        <f>MEGA!F$12/1000/Prices!$C$180</f>
        <v>1.5065757237015807</v>
      </c>
      <c r="R740" s="47">
        <f>MEGA!G$12/1000/Prices!$C$180</f>
        <v>1.4420350806853341</v>
      </c>
      <c r="S740" s="45">
        <f>(R740/O740)^(1/3)-1</f>
        <v>8.0620101632364438E-2</v>
      </c>
      <c r="T740" s="46"/>
      <c r="U740" s="48" t="str">
        <f>D740</f>
        <v>MXN52.16</v>
      </c>
      <c r="V740" s="44" t="str">
        <f>C740</f>
        <v>Megacable</v>
      </c>
      <c r="Z740" s="46"/>
      <c r="AE740" s="41"/>
    </row>
    <row r="741" spans="1:69">
      <c r="A741" s="5"/>
      <c r="B741" s="42" t="s">
        <v>411</v>
      </c>
      <c r="C741" s="48" t="s">
        <v>804</v>
      </c>
      <c r="D741" s="44" t="str">
        <f>'EM Multiples'!B741&amp;TEXT(Prices!C$138,"0.00")</f>
        <v>USD8.55</v>
      </c>
      <c r="E741" s="44" t="str">
        <f>'EM Multiples'!B741&amp;TEXT(Prices!E$138,"0.00")</f>
        <v>USD14.00</v>
      </c>
      <c r="F741" s="45">
        <f>Prices!F$138</f>
        <v>0.63742690058479523</v>
      </c>
      <c r="G741" s="44" t="str">
        <f>Prices!D$138</f>
        <v>Buy</v>
      </c>
      <c r="H741" s="46"/>
      <c r="I741" s="47">
        <f>LiLAC!D$11/1000</f>
        <v>1.5474046500000003</v>
      </c>
      <c r="J741" s="47">
        <f>LiLAC!E$11/1000</f>
        <v>1.5554502000000001</v>
      </c>
      <c r="K741" s="47">
        <f>LiLAC!F$11/1000</f>
        <v>1.9838565000000001</v>
      </c>
      <c r="L741" s="47">
        <f>LiLAC!G$11/1000</f>
        <v>1.9641915000000003</v>
      </c>
      <c r="M741" s="45">
        <f>(L741/I741)^(1/3)-1</f>
        <v>8.2746137752245152E-2</v>
      </c>
      <c r="N741" s="46"/>
      <c r="O741" s="47">
        <f>LiLAC!D$12/1000</f>
        <v>7.1070122227357784</v>
      </c>
      <c r="P741" s="47">
        <f>LiLAC!E$12/1000</f>
        <v>6.8172828302392325</v>
      </c>
      <c r="Q741" s="47">
        <f>LiLAC!F$12/1000</f>
        <v>6.5533547023544871</v>
      </c>
      <c r="R741" s="47">
        <f>LiLAC!G$12/1000</f>
        <v>6.2866492311254047</v>
      </c>
      <c r="S741" s="45">
        <f>(R741/O741)^(1/3)-1</f>
        <v>-4.0060073314429734E-2</v>
      </c>
      <c r="T741" s="46"/>
      <c r="U741" s="48" t="str">
        <f>D741</f>
        <v>USD8.55</v>
      </c>
      <c r="V741" s="44" t="str">
        <f>C741</f>
        <v>LiLAC</v>
      </c>
      <c r="Z741" s="46"/>
      <c r="AE741" s="41"/>
    </row>
    <row r="742" spans="1:69">
      <c r="A742" s="5"/>
      <c r="C742" s="67" t="s">
        <v>822</v>
      </c>
      <c r="D742" s="52"/>
      <c r="E742" s="52"/>
      <c r="F742" s="53"/>
      <c r="G742" s="52"/>
      <c r="H742" s="46"/>
      <c r="I742" s="54">
        <f>'LATAM ALTNET &amp; CABLE'!$D$11/1000</f>
        <v>4.2224429995290773</v>
      </c>
      <c r="J742" s="54">
        <f>'LATAM ALTNET &amp; CABLE'!$E$11/1000</f>
        <v>4.2304885495290776</v>
      </c>
      <c r="K742" s="54">
        <f>'LATAM ALTNET &amp; CABLE'!$F$11/1000</f>
        <v>4.6588948495290774</v>
      </c>
      <c r="L742" s="54">
        <f>'LATAM ALTNET &amp; CABLE'!$G$11/1000</f>
        <v>4.6392298495290776</v>
      </c>
      <c r="M742" s="55">
        <f>(L742/I742)^(1/3)-1</f>
        <v>3.1875651558708862E-2</v>
      </c>
      <c r="N742" s="46"/>
      <c r="O742" s="54">
        <f>'LATAM ALTNET &amp; CABLE'!$D$12/1000</f>
        <v>8.2497766151995879</v>
      </c>
      <c r="P742" s="54">
        <f>'LATAM ALTNET &amp; CABLE'!$E$12/1000</f>
        <v>8.2330108253923608</v>
      </c>
      <c r="Q742" s="54">
        <f>'LATAM ALTNET &amp; CABLE'!$F$12/1000</f>
        <v>8.0599304260560682</v>
      </c>
      <c r="R742" s="54">
        <f>'LATAM ALTNET &amp; CABLE'!$G$12/1000</f>
        <v>7.7286843118107393</v>
      </c>
      <c r="S742" s="55">
        <f>(R742/O742)^(1/3)-1</f>
        <v>-2.151435251369116E-2</v>
      </c>
      <c r="T742" s="46"/>
      <c r="U742" s="57"/>
      <c r="V742" s="58" t="str">
        <f>C742</f>
        <v>Agg. Emerging LatAm Altnets &amp; Cable</v>
      </c>
      <c r="Z742" s="46"/>
      <c r="AE742" s="41"/>
    </row>
    <row r="743" spans="1:69">
      <c r="C743" s="43"/>
      <c r="D743" s="44"/>
      <c r="E743" s="44"/>
      <c r="F743" s="45"/>
      <c r="G743" s="44"/>
      <c r="H743" s="46"/>
      <c r="I743" s="47"/>
      <c r="J743" s="47"/>
      <c r="K743" s="47"/>
      <c r="L743" s="47"/>
      <c r="M743" s="45"/>
      <c r="N743" s="46"/>
      <c r="O743" s="47"/>
      <c r="P743" s="47"/>
      <c r="Q743" s="47"/>
      <c r="R743" s="47"/>
      <c r="S743" s="45"/>
      <c r="T743" s="46"/>
      <c r="U743" s="48"/>
      <c r="V743" s="50"/>
      <c r="Z743" s="46"/>
    </row>
    <row r="744" spans="1:69">
      <c r="C744" s="67" t="str">
        <f>C682</f>
        <v>Agg. EMEA sector</v>
      </c>
      <c r="D744" s="52"/>
      <c r="E744" s="52"/>
      <c r="F744" s="53"/>
      <c r="G744" s="52"/>
      <c r="H744" s="46"/>
      <c r="I744" s="54">
        <f>'EMEA AGG'!$D$11/1000</f>
        <v>92.259606199606807</v>
      </c>
      <c r="J744" s="54">
        <f>'EMEA AGG'!$E$11/1000</f>
        <v>92.139380239002918</v>
      </c>
      <c r="K744" s="54">
        <f>'EMEA AGG'!$F$11/1000</f>
        <v>92.139380239002918</v>
      </c>
      <c r="L744" s="54">
        <f>'EMEA AGG'!$G$11/1000</f>
        <v>92.139380239002918</v>
      </c>
      <c r="M744" s="55">
        <f>(L744/I744)^(1/3)-1</f>
        <v>-4.3456440154943099E-4</v>
      </c>
      <c r="N744" s="56"/>
      <c r="O744" s="54">
        <f>'EMEA AGG'!$D$12/1000</f>
        <v>21.105251275441756</v>
      </c>
      <c r="P744" s="54">
        <f>'EMEA AGG'!$E$12/1000</f>
        <v>23.228019381276045</v>
      </c>
      <c r="Q744" s="54">
        <f>'EMEA AGG'!$F$12/1000</f>
        <v>23.670372373358653</v>
      </c>
      <c r="R744" s="54">
        <f>'EMEA AGG'!$G$12/1000</f>
        <v>24.219771726763625</v>
      </c>
      <c r="S744" s="55">
        <f>(R744/O744)^(1/3)-1</f>
        <v>4.6951361800813052E-2</v>
      </c>
      <c r="T744" s="46"/>
      <c r="U744" s="57"/>
      <c r="V744" s="58" t="str">
        <f>V682</f>
        <v>Agg. EMEA sector</v>
      </c>
      <c r="Z744" s="49"/>
    </row>
    <row r="745" spans="1:69">
      <c r="C745" s="41" t="str">
        <f>C683</f>
        <v>Agg. LatAm sector</v>
      </c>
      <c r="D745" s="44"/>
      <c r="E745" s="44"/>
      <c r="F745" s="45"/>
      <c r="G745" s="44"/>
      <c r="H745" s="46"/>
      <c r="I745" s="60">
        <f>'LATAM AGG'!$D$11/1000</f>
        <v>83.409424641049554</v>
      </c>
      <c r="J745" s="60">
        <f>'LATAM AGG'!$E$11/1000</f>
        <v>81.706369928989957</v>
      </c>
      <c r="K745" s="60">
        <f>'LATAM AGG'!$F$11/1000</f>
        <v>79.759455914518455</v>
      </c>
      <c r="L745" s="60">
        <f>'LATAM AGG'!$G$11/1000</f>
        <v>77.337740521429055</v>
      </c>
      <c r="M745" s="59">
        <f>(L745/I745)^(1/3)-1</f>
        <v>-2.4878381783500991E-2</v>
      </c>
      <c r="N745" s="56"/>
      <c r="O745" s="60">
        <f>'LATAM AGG'!$D$12/1000</f>
        <v>58.594530510293851</v>
      </c>
      <c r="P745" s="60">
        <f>'LATAM AGG'!$E$12/1000</f>
        <v>58.01696349857238</v>
      </c>
      <c r="Q745" s="60">
        <f>'LATAM AGG'!$F$12/1000</f>
        <v>55.683118224864103</v>
      </c>
      <c r="R745" s="60">
        <f>'LATAM AGG'!$G$12/1000</f>
        <v>53.68058527625351</v>
      </c>
      <c r="S745" s="59">
        <f>(R745/O745)^(1/3)-1</f>
        <v>-2.8774549218543499E-2</v>
      </c>
      <c r="T745" s="46"/>
      <c r="U745" s="48"/>
      <c r="V745" s="50" t="str">
        <f>V683</f>
        <v>Agg. LatAm sector</v>
      </c>
      <c r="Z745" s="46"/>
    </row>
    <row r="746" spans="1:69">
      <c r="C746" s="67" t="str">
        <f>C684</f>
        <v>Agg. Emerging Asia sector</v>
      </c>
      <c r="D746" s="52"/>
      <c r="E746" s="52"/>
      <c r="F746" s="53"/>
      <c r="G746" s="52"/>
      <c r="H746" s="46"/>
      <c r="I746" s="54">
        <f>'AGG EM ASIA'!$D$11/1000</f>
        <v>9474.8081425623768</v>
      </c>
      <c r="J746" s="54">
        <f>'AGG EM ASIA'!$E$11/1000</f>
        <v>9665.1297686435992</v>
      </c>
      <c r="K746" s="54">
        <f>'AGG EM ASIA'!$F$11/1000</f>
        <v>9665.1297686435992</v>
      </c>
      <c r="L746" s="54">
        <f>'AGG EM ASIA'!$G$11/1000</f>
        <v>9665.1297686435992</v>
      </c>
      <c r="M746" s="55">
        <f>(L746/I746)^(1/3)-1</f>
        <v>6.6513685078750662E-3</v>
      </c>
      <c r="N746" s="56"/>
      <c r="O746" s="54">
        <f>'AGG EM ASIA'!$D$12/1000</f>
        <v>7423.6878171140879</v>
      </c>
      <c r="P746" s="54">
        <f>'AGG EM ASIA'!$E$12/1000</f>
        <v>6948.1275115084227</v>
      </c>
      <c r="Q746" s="54">
        <f>'AGG EM ASIA'!$F$12/1000</f>
        <v>5815.0950402945018</v>
      </c>
      <c r="R746" s="54">
        <f>'AGG EM ASIA'!$G$12/1000</f>
        <v>4686.1823318122297</v>
      </c>
      <c r="S746" s="55">
        <f>(R746/O746)^(1/3)-1</f>
        <v>-0.14217277132947093</v>
      </c>
      <c r="T746" s="46"/>
      <c r="U746" s="57"/>
      <c r="V746" s="58" t="str">
        <f>V684</f>
        <v>Agg. Emerging Asia sector</v>
      </c>
      <c r="Z746" s="49"/>
    </row>
    <row r="747" spans="1:69">
      <c r="C747" s="41"/>
      <c r="D747" s="44"/>
      <c r="E747" s="44"/>
      <c r="F747" s="45"/>
      <c r="G747" s="44"/>
      <c r="H747" s="46"/>
      <c r="I747" s="60"/>
      <c r="J747" s="60"/>
      <c r="K747" s="60"/>
      <c r="L747" s="60"/>
      <c r="M747" s="59"/>
      <c r="N747" s="56"/>
      <c r="O747" s="60"/>
      <c r="P747" s="60"/>
      <c r="Q747" s="60"/>
      <c r="R747" s="60"/>
      <c r="S747" s="59"/>
      <c r="T747" s="46"/>
      <c r="U747" s="48"/>
      <c r="V747" s="50"/>
      <c r="Z747" s="46"/>
    </row>
    <row r="748" spans="1:69">
      <c r="C748" s="67" t="str">
        <f>C686</f>
        <v>Agg. Global EM sector (ex-consensus)</v>
      </c>
      <c r="D748" s="52"/>
      <c r="E748" s="52"/>
      <c r="F748" s="53"/>
      <c r="G748" s="52"/>
      <c r="H748" s="46"/>
      <c r="I748" s="54">
        <f>'AGG EM'!$D$11/1000</f>
        <v>9650.4771734030328</v>
      </c>
      <c r="J748" s="54">
        <f>'AGG EM'!$E$11/1000</f>
        <v>9838.9755188115905</v>
      </c>
      <c r="K748" s="54">
        <f>'AGG EM'!$F$11/1000</f>
        <v>9837.0286047971204</v>
      </c>
      <c r="L748" s="54">
        <f>'AGG EM'!$G$11/1000</f>
        <v>9834.6068894040309</v>
      </c>
      <c r="M748" s="55">
        <f>(L748/I748)^(1/3)-1</f>
        <v>6.3199264290370039E-3</v>
      </c>
      <c r="N748" s="56"/>
      <c r="O748" s="54">
        <f>'AGG EM'!$D$12/1000</f>
        <v>7503.3875988998225</v>
      </c>
      <c r="P748" s="54">
        <f>'AGG EM'!$E$12/1000</f>
        <v>7029.3724943882717</v>
      </c>
      <c r="Q748" s="54">
        <f>'AGG EM'!$F$12/1000</f>
        <v>5894.4485308927251</v>
      </c>
      <c r="R748" s="54">
        <f>'AGG EM'!$G$12/1000</f>
        <v>4764.0826888152469</v>
      </c>
      <c r="S748" s="55">
        <f>(R748/O748)^(1/3)-1</f>
        <v>-0.14051037914034736</v>
      </c>
      <c r="T748" s="46"/>
      <c r="U748" s="57"/>
      <c r="V748" s="58" t="str">
        <f>V686</f>
        <v>Agg. Global EM sector (ex-consensus)</v>
      </c>
      <c r="Z748" s="49"/>
    </row>
    <row r="749" spans="1:69">
      <c r="C749" s="43"/>
      <c r="D749" s="44"/>
      <c r="E749" s="44"/>
      <c r="F749" s="45"/>
      <c r="G749" s="44"/>
      <c r="H749" s="134"/>
      <c r="I749" s="47"/>
      <c r="J749" s="47"/>
      <c r="K749" s="47"/>
      <c r="L749" s="47"/>
      <c r="M749" s="45"/>
      <c r="N749" s="46"/>
      <c r="O749" s="47"/>
      <c r="P749" s="47"/>
      <c r="Q749" s="47"/>
      <c r="R749" s="47"/>
      <c r="S749" s="45"/>
      <c r="T749" s="46"/>
      <c r="U749" s="48"/>
      <c r="V749" s="50"/>
      <c r="X749" s="1"/>
      <c r="Z749" s="49"/>
    </row>
    <row r="750" spans="1:69">
      <c r="C750" s="43"/>
      <c r="D750" s="44"/>
      <c r="E750" s="44"/>
      <c r="F750" s="45"/>
      <c r="G750" s="44"/>
      <c r="H750" s="134"/>
      <c r="I750" s="47"/>
      <c r="J750" s="47"/>
      <c r="K750" s="47"/>
      <c r="L750" s="47"/>
      <c r="M750" s="45"/>
      <c r="N750" s="46"/>
      <c r="O750" s="47"/>
      <c r="P750" s="47"/>
      <c r="Q750" s="47"/>
      <c r="R750" s="47"/>
      <c r="S750" s="45"/>
      <c r="T750" s="46"/>
      <c r="U750" s="48"/>
      <c r="V750" s="50"/>
      <c r="X750" s="1"/>
      <c r="Z750" s="49"/>
    </row>
    <row r="751" spans="1:69" s="41" customFormat="1">
      <c r="B751" s="147"/>
      <c r="C751" s="164"/>
      <c r="D751" s="165" t="s">
        <v>464</v>
      </c>
      <c r="E751" s="165" t="s">
        <v>57</v>
      </c>
      <c r="F751" s="165" t="s">
        <v>59</v>
      </c>
      <c r="G751" s="165" t="s">
        <v>56</v>
      </c>
      <c r="H751" s="134"/>
      <c r="I751" s="166" t="s">
        <v>18</v>
      </c>
      <c r="J751" s="166"/>
      <c r="K751" s="166"/>
      <c r="L751" s="166"/>
      <c r="M751" s="166"/>
      <c r="N751" s="46"/>
      <c r="O751" s="166"/>
      <c r="P751" s="166"/>
      <c r="Q751" s="166"/>
      <c r="R751" s="166"/>
      <c r="S751" s="166"/>
      <c r="T751" s="46"/>
      <c r="U751" s="167"/>
      <c r="V751" s="165"/>
      <c r="Z751" s="49"/>
      <c r="AC751" s="135"/>
      <c r="AD751" s="136"/>
      <c r="AE751" s="136"/>
      <c r="AF751" s="136"/>
      <c r="AG751" s="136"/>
      <c r="AH751" s="136"/>
      <c r="AI751" s="136"/>
      <c r="AJ751" s="136"/>
      <c r="AK751" s="136"/>
      <c r="AL751" s="136"/>
      <c r="AM751" s="136"/>
      <c r="AN751" s="136"/>
      <c r="AO751" s="136"/>
      <c r="AP751" s="136"/>
      <c r="AQ751" s="136"/>
      <c r="AR751" s="136"/>
      <c r="AS751" s="136"/>
      <c r="AT751" s="136"/>
      <c r="AU751" s="136"/>
      <c r="AV751" s="136"/>
      <c r="AW751" s="136"/>
      <c r="BC751" s="137"/>
      <c r="BD751" s="137"/>
      <c r="BE751" s="137"/>
      <c r="BG751" s="137"/>
      <c r="BH751" s="137"/>
      <c r="BI751" s="137"/>
      <c r="BK751" s="137"/>
      <c r="BL751" s="137"/>
      <c r="BM751" s="137"/>
      <c r="BO751" s="137"/>
      <c r="BP751" s="137"/>
      <c r="BQ751" s="137"/>
    </row>
    <row r="752" spans="1:69">
      <c r="A752" s="41" t="s">
        <v>506</v>
      </c>
      <c r="C752" s="48" t="str">
        <f>C690</f>
        <v>Telkom SA</v>
      </c>
      <c r="D752" s="44" t="str">
        <f>D690</f>
        <v>ZAR 25.3</v>
      </c>
      <c r="E752" s="44" t="str">
        <f>E690</f>
        <v>ZAR 56.0</v>
      </c>
      <c r="F752" s="45">
        <f>F690</f>
        <v>1.21606648199446</v>
      </c>
      <c r="G752" s="44" t="str">
        <f>G690</f>
        <v>Neutral</v>
      </c>
      <c r="H752" s="134"/>
      <c r="I752" s="47">
        <f>TKG!D$18/1000/Prices!$C$170</f>
        <v>1.0872108428125404</v>
      </c>
      <c r="J752" s="47">
        <f>TKG!E$18/1000/Prices!$C$170</f>
        <v>0.92614212861839429</v>
      </c>
      <c r="K752" s="47">
        <f>TKG!F$18/1000/Prices!$C$170</f>
        <v>0.76622000922506606</v>
      </c>
      <c r="L752" s="47">
        <f>TKG!G$18/1000/Prices!$C$170</f>
        <v>0.60547846786496151</v>
      </c>
      <c r="M752" s="45">
        <f t="shared" ref="M752" si="196">(L752/I752)^(1/3)-1</f>
        <v>-0.17726183682472607</v>
      </c>
      <c r="N752" s="46"/>
      <c r="O752" s="47"/>
      <c r="P752" s="47"/>
      <c r="Q752" s="47"/>
      <c r="R752" s="47"/>
      <c r="S752" s="45"/>
      <c r="T752" s="46"/>
      <c r="U752" s="48"/>
      <c r="V752" s="44"/>
      <c r="Z752" s="46"/>
    </row>
    <row r="753" spans="1:26">
      <c r="A753" s="5"/>
      <c r="C753" s="51" t="str">
        <f>C691</f>
        <v>Agg. EMEA Incumbent</v>
      </c>
      <c r="D753" s="58"/>
      <c r="E753" s="58"/>
      <c r="F753" s="55"/>
      <c r="G753" s="58"/>
      <c r="H753" s="134"/>
      <c r="I753" s="54"/>
      <c r="J753" s="54"/>
      <c r="K753" s="54"/>
      <c r="L753" s="54"/>
      <c r="M753" s="55"/>
      <c r="N753" s="56"/>
      <c r="O753" s="54"/>
      <c r="P753" s="54"/>
      <c r="Q753" s="54"/>
      <c r="R753" s="54"/>
      <c r="S753" s="55"/>
      <c r="T753" s="56"/>
      <c r="U753" s="51"/>
      <c r="V753" s="58"/>
    </row>
    <row r="754" spans="1:26">
      <c r="A754" s="5"/>
      <c r="C754" s="48"/>
      <c r="D754" s="44"/>
      <c r="E754" s="44"/>
      <c r="F754" s="68"/>
      <c r="G754" s="44"/>
      <c r="H754" s="134"/>
      <c r="I754" s="62"/>
      <c r="J754" s="62"/>
      <c r="K754" s="62"/>
      <c r="L754" s="62"/>
      <c r="M754" s="61"/>
      <c r="N754" s="46"/>
      <c r="O754" s="62"/>
      <c r="P754" s="62"/>
      <c r="Q754" s="62"/>
      <c r="R754" s="62"/>
      <c r="S754" s="61"/>
      <c r="T754" s="46"/>
      <c r="U754" s="48"/>
      <c r="V754" s="44"/>
      <c r="X754" s="56"/>
      <c r="Y754" s="56"/>
      <c r="Z754" s="56"/>
    </row>
    <row r="755" spans="1:26">
      <c r="A755" s="5"/>
      <c r="C755" s="48" t="str">
        <f t="shared" ref="C755:G758" si="197">C693</f>
        <v>America Movil</v>
      </c>
      <c r="D755" s="44" t="str">
        <f t="shared" si="197"/>
        <v>USD 16.2</v>
      </c>
      <c r="E755" s="44" t="str">
        <f t="shared" si="197"/>
        <v>USD 24.0</v>
      </c>
      <c r="F755" s="45">
        <f t="shared" si="197"/>
        <v>0.47965474722564738</v>
      </c>
      <c r="G755" s="44" t="str">
        <f t="shared" si="197"/>
        <v>Buy</v>
      </c>
      <c r="H755" s="46"/>
      <c r="I755" s="47">
        <f>AMX!D$18/1000</f>
        <v>87.402122335770997</v>
      </c>
      <c r="J755" s="47">
        <f>AMX!E$18/1000</f>
        <v>83.374861831635783</v>
      </c>
      <c r="K755" s="47">
        <f>AMX!F$18/1000</f>
        <v>77.769583913628281</v>
      </c>
      <c r="L755" s="47">
        <f>AMX!G$18/1000</f>
        <v>72.766657206274573</v>
      </c>
      <c r="M755" s="45">
        <f t="shared" ref="M755:M759" si="198">(L755/I755)^(1/3)-1</f>
        <v>-5.9258834222246093E-2</v>
      </c>
      <c r="N755" s="46"/>
      <c r="O755" s="47"/>
      <c r="P755" s="47"/>
      <c r="Q755" s="47"/>
      <c r="R755" s="47"/>
      <c r="S755" s="45"/>
      <c r="T755" s="46"/>
      <c r="U755" s="48"/>
      <c r="V755" s="44"/>
      <c r="Z755" s="49"/>
    </row>
    <row r="756" spans="1:26">
      <c r="A756" s="5"/>
      <c r="C756" s="48" t="str">
        <f t="shared" si="197"/>
        <v>Oi</v>
      </c>
      <c r="D756" s="44" t="str">
        <f t="shared" si="197"/>
        <v>BRL 1.78</v>
      </c>
      <c r="E756" s="44" t="str">
        <f t="shared" si="197"/>
        <v>BRL 0.90</v>
      </c>
      <c r="F756" s="45">
        <f t="shared" si="197"/>
        <v>-0.4943820224719101</v>
      </c>
      <c r="G756" s="44" t="str">
        <f t="shared" si="197"/>
        <v>Neutral</v>
      </c>
      <c r="H756" s="46"/>
      <c r="I756" s="47">
        <f>OIBR!D$18/Prices!$C$160/1000</f>
        <v>4.3630315851594172</v>
      </c>
      <c r="J756" s="47">
        <f>OIBR!E$18/Prices!$C$160/1000</f>
        <v>5.0890589750752158</v>
      </c>
      <c r="K756" s="47">
        <f>OIBR!F$18/Prices!$C$160/1000</f>
        <v>5.6546694711560992</v>
      </c>
      <c r="L756" s="47">
        <f>OIBR!G$18/Prices!$C$160/1000</f>
        <v>6.319499857961822</v>
      </c>
      <c r="M756" s="45">
        <f>(L756/I756)^(1/3)-1</f>
        <v>0.13143979709580744</v>
      </c>
      <c r="N756" s="46"/>
      <c r="O756" s="47"/>
      <c r="P756" s="47"/>
      <c r="Q756" s="47"/>
      <c r="R756" s="47"/>
      <c r="S756" s="45"/>
      <c r="T756" s="46"/>
      <c r="U756" s="48"/>
      <c r="V756" s="44"/>
      <c r="W756" s="56"/>
      <c r="Z756" s="49"/>
    </row>
    <row r="757" spans="1:26">
      <c r="A757" s="5"/>
      <c r="C757" s="48" t="str">
        <f t="shared" si="197"/>
        <v>Telefonica Brasil</v>
      </c>
      <c r="D757" s="44" t="str">
        <f t="shared" si="197"/>
        <v>BRL 45.90</v>
      </c>
      <c r="E757" s="44" t="str">
        <f t="shared" si="197"/>
        <v>BRL 61.00</v>
      </c>
      <c r="F757" s="45">
        <f t="shared" si="197"/>
        <v>0.32897603485838789</v>
      </c>
      <c r="G757" s="44" t="str">
        <f t="shared" si="197"/>
        <v>Buy</v>
      </c>
      <c r="H757" s="46"/>
      <c r="I757" s="47">
        <f>VIVO!D$18/Prices!$C$160/1000</f>
        <v>16.010336983977531</v>
      </c>
      <c r="J757" s="47">
        <f>VIVO!E$18/Prices!$C$160/1000</f>
        <v>14.972457518239519</v>
      </c>
      <c r="K757" s="47">
        <f>VIVO!F$18/Prices!$C$160/1000</f>
        <v>13.753065131623783</v>
      </c>
      <c r="L757" s="47">
        <f>VIVO!G$18/Prices!$C$160/1000</f>
        <v>12.428222891982422</v>
      </c>
      <c r="M757" s="45">
        <f t="shared" si="198"/>
        <v>-8.0956248192624924E-2</v>
      </c>
      <c r="N757" s="46"/>
      <c r="O757" s="47"/>
      <c r="P757" s="47"/>
      <c r="Q757" s="47"/>
      <c r="R757" s="47"/>
      <c r="S757" s="45"/>
      <c r="T757" s="46"/>
      <c r="U757" s="48"/>
      <c r="V757" s="44"/>
      <c r="X757" s="144"/>
      <c r="Y757" s="138"/>
      <c r="Z757" s="46"/>
    </row>
    <row r="758" spans="1:26">
      <c r="A758" s="5"/>
      <c r="C758" s="48" t="str">
        <f t="shared" si="197"/>
        <v>Televisa</v>
      </c>
      <c r="D758" s="44" t="str">
        <f t="shared" si="197"/>
        <v>USD 3.1</v>
      </c>
      <c r="E758" s="44" t="str">
        <f t="shared" si="197"/>
        <v>USD 3.7</v>
      </c>
      <c r="F758" s="45">
        <f t="shared" si="197"/>
        <v>0.17834394904458595</v>
      </c>
      <c r="G758" s="44" t="str">
        <f t="shared" si="197"/>
        <v>Neutral</v>
      </c>
      <c r="H758" s="46"/>
      <c r="I758" s="47">
        <f>TVIS!D$18/1000</f>
        <v>0.73470680285225443</v>
      </c>
      <c r="J758" s="47">
        <f>TVIS!E$18/1000</f>
        <v>0.49764450940608451</v>
      </c>
      <c r="K758" s="47">
        <f>TVIS!F$18/1000</f>
        <v>0.34305935826475742</v>
      </c>
      <c r="L758" s="47">
        <f>TVIS!G$18/1000</f>
        <v>0.11318966445199687</v>
      </c>
      <c r="M758" s="45">
        <f>(L758/I758)^(1/3)-1</f>
        <v>-0.46391839672871649</v>
      </c>
      <c r="N758" s="46"/>
      <c r="O758" s="47"/>
      <c r="P758" s="47"/>
      <c r="Q758" s="47"/>
      <c r="R758" s="47"/>
      <c r="S758" s="45"/>
      <c r="T758" s="46"/>
      <c r="U758" s="48"/>
      <c r="V758" s="44"/>
      <c r="Z758" s="49"/>
    </row>
    <row r="759" spans="1:26">
      <c r="A759" s="5"/>
      <c r="C759" s="51" t="str">
        <f>C697</f>
        <v>Agg. LatAm Incumbent</v>
      </c>
      <c r="D759" s="52"/>
      <c r="E759" s="52"/>
      <c r="F759" s="53"/>
      <c r="G759" s="52"/>
      <c r="H759" s="46"/>
      <c r="I759" s="54">
        <f>'LATAM INCUMB'!D$18/1000</f>
        <v>108.51019770776018</v>
      </c>
      <c r="J759" s="54">
        <f>'LATAM INCUMB'!$E$18/1000</f>
        <v>103.93402283435661</v>
      </c>
      <c r="K759" s="54">
        <f>'LATAM INCUMB'!$F$18/1000</f>
        <v>97.520377874672917</v>
      </c>
      <c r="L759" s="54">
        <f>'LATAM INCUMB'!$G$18/1000</f>
        <v>91.627569620670826</v>
      </c>
      <c r="M759" s="55">
        <f t="shared" si="198"/>
        <v>-5.4811263836839874E-2</v>
      </c>
      <c r="N759" s="56"/>
      <c r="O759" s="54"/>
      <c r="P759" s="54"/>
      <c r="Q759" s="54"/>
      <c r="R759" s="54"/>
      <c r="S759" s="55"/>
      <c r="T759" s="46"/>
      <c r="U759" s="57"/>
      <c r="V759" s="58"/>
      <c r="W759" s="176"/>
      <c r="Z759" s="49"/>
    </row>
    <row r="760" spans="1:26">
      <c r="C760" s="48"/>
      <c r="D760" s="44"/>
      <c r="E760" s="44"/>
      <c r="F760" s="45"/>
      <c r="G760" s="44"/>
      <c r="H760" s="46"/>
      <c r="I760" s="47"/>
      <c r="J760" s="47"/>
      <c r="K760" s="47"/>
      <c r="L760" s="47"/>
      <c r="M760" s="45"/>
      <c r="N760" s="56"/>
      <c r="O760" s="47"/>
      <c r="P760" s="47"/>
      <c r="Q760" s="47"/>
      <c r="R760" s="47"/>
      <c r="S760" s="45"/>
      <c r="T760" s="46"/>
      <c r="U760" s="48"/>
      <c r="V760" s="50"/>
      <c r="Z760" s="49"/>
    </row>
    <row r="761" spans="1:26">
      <c r="A761" s="5"/>
      <c r="C761" s="48" t="str">
        <f t="shared" ref="C761:G765" si="199">C699</f>
        <v>China Telecom</v>
      </c>
      <c r="D761" s="44" t="str">
        <f t="shared" si="199"/>
        <v>HKD 4.44</v>
      </c>
      <c r="E761" s="44" t="str">
        <f t="shared" si="199"/>
        <v>HKD 8.75</v>
      </c>
      <c r="F761" s="45">
        <f t="shared" si="199"/>
        <v>0.97072072072072046</v>
      </c>
      <c r="G761" s="44" t="str">
        <f t="shared" si="199"/>
        <v>Buy</v>
      </c>
      <c r="H761" s="46"/>
      <c r="I761" s="47">
        <f>_CT!D$18/1000/Prices!$C$175</f>
        <v>30.413690043575368</v>
      </c>
      <c r="J761" s="47">
        <f>_CT!E$18/1000/Prices!$C$175</f>
        <v>28.045444115688117</v>
      </c>
      <c r="K761" s="47">
        <f>_CT!F$18/1000/Prices!$C$175</f>
        <v>25.613526092896702</v>
      </c>
      <c r="L761" s="47">
        <f>_CT!G$18/1000/Prices!$C$175</f>
        <v>22.910188862520705</v>
      </c>
      <c r="M761" s="45">
        <f t="shared" ref="M761:M765" si="200">(L761/I761)^(1/3)-1</f>
        <v>-9.0114973938203558E-2</v>
      </c>
      <c r="N761" s="56"/>
      <c r="O761" s="47"/>
      <c r="P761" s="47"/>
      <c r="Q761" s="47"/>
      <c r="R761" s="47"/>
      <c r="S761" s="169"/>
      <c r="T761" s="46"/>
      <c r="U761" s="48"/>
      <c r="V761" s="44"/>
      <c r="Z761" s="49"/>
    </row>
    <row r="762" spans="1:26">
      <c r="A762" s="5"/>
      <c r="C762" s="48" t="str">
        <f t="shared" si="199"/>
        <v>China Unicom</v>
      </c>
      <c r="D762" s="44" t="str">
        <f t="shared" si="199"/>
        <v>HKD 6.20</v>
      </c>
      <c r="E762" s="44" t="str">
        <f t="shared" si="199"/>
        <v>HKD 13.20</v>
      </c>
      <c r="F762" s="45">
        <f t="shared" si="199"/>
        <v>1.129032258064516</v>
      </c>
      <c r="G762" s="44" t="str">
        <f t="shared" si="199"/>
        <v>Buy</v>
      </c>
      <c r="H762" s="46"/>
      <c r="I762" s="47">
        <f>_CU!D$18/1000/Prices!$C$175</f>
        <v>12.017717094537931</v>
      </c>
      <c r="J762" s="47">
        <f>_CU!E$18/1000/Prices!$C$175</f>
        <v>9.8403438632189086</v>
      </c>
      <c r="K762" s="47">
        <f>_CU!F$18/1000/Prices!$C$175</f>
        <v>8.1347208371368804</v>
      </c>
      <c r="L762" s="47">
        <f>_CU!G$18/1000/Prices!$C$175</f>
        <v>6.9320651450847217</v>
      </c>
      <c r="M762" s="45">
        <f t="shared" si="200"/>
        <v>-0.16757160428721452</v>
      </c>
      <c r="N762" s="56"/>
      <c r="O762" s="47"/>
      <c r="P762" s="47"/>
      <c r="Q762" s="47"/>
      <c r="R762" s="47"/>
      <c r="S762" s="169"/>
      <c r="T762" s="46"/>
      <c r="U762" s="48"/>
      <c r="V762" s="44"/>
      <c r="Z762" s="49"/>
    </row>
    <row r="763" spans="1:26">
      <c r="C763" s="48" t="str">
        <f t="shared" si="199"/>
        <v>Chunghwa Telecom</v>
      </c>
      <c r="D763" s="44" t="str">
        <f t="shared" si="199"/>
        <v>TWD 127.00</v>
      </c>
      <c r="E763" s="44" t="str">
        <f t="shared" si="199"/>
        <v>TWD n/r</v>
      </c>
      <c r="F763" s="45" t="str">
        <f t="shared" si="199"/>
        <v>-</v>
      </c>
      <c r="G763" s="44" t="str">
        <f t="shared" si="199"/>
        <v>n/r</v>
      </c>
      <c r="H763" s="46"/>
      <c r="I763" s="47">
        <f>CHUNG!D$18/1000/Prices!$C$181</f>
        <v>26.075274510959197</v>
      </c>
      <c r="J763" s="47">
        <f>CHUNG!E$18/1000/Prices!$C$181</f>
        <v>24.571518984923404</v>
      </c>
      <c r="K763" s="47">
        <f>CHUNG!F$18/1000/Prices!$C$181</f>
        <v>22.986102762993859</v>
      </c>
      <c r="L763" s="47">
        <f>CHUNG!G$18/1000/Prices!$C$181</f>
        <v>21.382824472815631</v>
      </c>
      <c r="M763" s="45">
        <f t="shared" si="200"/>
        <v>-6.3993796176159634E-2</v>
      </c>
      <c r="N763" s="56"/>
      <c r="O763" s="47"/>
      <c r="P763" s="47"/>
      <c r="Q763" s="47"/>
      <c r="R763" s="47"/>
      <c r="S763" s="45"/>
      <c r="T763" s="46"/>
      <c r="U763" s="48"/>
      <c r="V763" s="44"/>
      <c r="Z763" s="49"/>
    </row>
    <row r="764" spans="1:26">
      <c r="C764" s="48" t="str">
        <f t="shared" si="199"/>
        <v>KT Corp</v>
      </c>
      <c r="D764" s="44" t="str">
        <f t="shared" si="199"/>
        <v>KRW 36,350</v>
      </c>
      <c r="E764" s="44" t="str">
        <f t="shared" si="199"/>
        <v>KRW 70,000</v>
      </c>
      <c r="F764" s="45">
        <f t="shared" si="199"/>
        <v>0.92572214580467671</v>
      </c>
      <c r="G764" s="44" t="str">
        <f t="shared" si="199"/>
        <v>Buy</v>
      </c>
      <c r="H764" s="46"/>
      <c r="I764" s="47">
        <f>_KT!D$18</f>
        <v>17188.303543127247</v>
      </c>
      <c r="J764" s="47">
        <f>_KT!E$18</f>
        <v>16833.121837291521</v>
      </c>
      <c r="K764" s="47">
        <f>_KT!F$18</f>
        <v>15108.20330365502</v>
      </c>
      <c r="L764" s="47">
        <f>_KT!G$18</f>
        <v>13294.929654584816</v>
      </c>
      <c r="M764" s="45">
        <f t="shared" si="200"/>
        <v>-8.2052853028059536E-2</v>
      </c>
      <c r="N764" s="56"/>
      <c r="O764" s="47"/>
      <c r="P764" s="47"/>
      <c r="Q764" s="47"/>
      <c r="R764" s="47"/>
      <c r="S764" s="45"/>
      <c r="T764" s="46"/>
      <c r="U764" s="48"/>
      <c r="V764" s="44"/>
      <c r="Z764" s="49"/>
    </row>
    <row r="765" spans="1:26">
      <c r="C765" s="48" t="str">
        <f t="shared" si="199"/>
        <v>PT Telkom</v>
      </c>
      <c r="D765" s="44" t="str">
        <f t="shared" si="199"/>
        <v>IDR 2,940</v>
      </c>
      <c r="E765" s="44" t="str">
        <f t="shared" si="199"/>
        <v>IDR 5,000</v>
      </c>
      <c r="F765" s="45">
        <f t="shared" si="199"/>
        <v>0.70068027210884343</v>
      </c>
      <c r="G765" s="44" t="str">
        <f t="shared" si="199"/>
        <v>Buy</v>
      </c>
      <c r="H765" s="46"/>
      <c r="I765" s="47">
        <f>PTT!D$18/Prices!$C$172</f>
        <v>32.06320231094864</v>
      </c>
      <c r="J765" s="47">
        <f>PTT!E$18/Prices!$C$172</f>
        <v>31.423497126934244</v>
      </c>
      <c r="K765" s="47">
        <f>PTT!F$18/Prices!$C$172</f>
        <v>29.316432505849878</v>
      </c>
      <c r="L765" s="47">
        <f>PTT!G$18/Prices!$C$172</f>
        <v>27.051439292790072</v>
      </c>
      <c r="M765" s="45">
        <f t="shared" si="200"/>
        <v>-5.5081190968076177E-2</v>
      </c>
      <c r="N765" s="56"/>
      <c r="O765" s="47"/>
      <c r="P765" s="47"/>
      <c r="Q765" s="47"/>
      <c r="R765" s="47"/>
      <c r="S765" s="169"/>
      <c r="T765" s="46"/>
      <c r="U765" s="48"/>
      <c r="V765" s="44"/>
      <c r="Z765" s="49"/>
    </row>
    <row r="766" spans="1:26">
      <c r="C766" s="51" t="str">
        <f>C704</f>
        <v>Agg. Emerging Asia Incumbent</v>
      </c>
      <c r="D766" s="52"/>
      <c r="E766" s="52"/>
      <c r="F766" s="53"/>
      <c r="G766" s="52"/>
      <c r="H766" s="46"/>
      <c r="I766" s="54">
        <f>'EM ASIA INCUMB'!D$18/1000</f>
        <v>17288.87342708727</v>
      </c>
      <c r="J766" s="54">
        <f>'EM ASIA INCUMB'!$E$18/1000</f>
        <v>16927.002641382289</v>
      </c>
      <c r="K766" s="54">
        <f>'EM ASIA INCUMB'!$F$18/1000</f>
        <v>15194.254085853898</v>
      </c>
      <c r="L766" s="54">
        <f>'EM ASIA INCUMB'!$G$18/1000</f>
        <v>13373.206172358026</v>
      </c>
      <c r="M766" s="55">
        <f>(L759/I759)^(1/3)-1</f>
        <v>-5.4811263836839874E-2</v>
      </c>
      <c r="N766" s="56"/>
      <c r="O766" s="54"/>
      <c r="P766" s="54"/>
      <c r="Q766" s="54"/>
      <c r="R766" s="54"/>
      <c r="S766" s="55"/>
      <c r="T766" s="46"/>
      <c r="U766" s="57"/>
      <c r="V766" s="58"/>
      <c r="Z766" s="49"/>
    </row>
    <row r="767" spans="1:26">
      <c r="C767" s="43"/>
      <c r="D767" s="44"/>
      <c r="E767" s="44"/>
      <c r="F767" s="68"/>
      <c r="G767" s="44"/>
      <c r="H767" s="46"/>
      <c r="I767" s="62"/>
      <c r="J767" s="62"/>
      <c r="K767" s="62"/>
      <c r="L767" s="62"/>
      <c r="M767" s="61"/>
      <c r="N767" s="56"/>
      <c r="O767" s="62"/>
      <c r="P767" s="62"/>
      <c r="Q767" s="62"/>
      <c r="R767" s="62"/>
      <c r="S767" s="61"/>
      <c r="T767" s="46"/>
      <c r="U767" s="48"/>
      <c r="V767" s="50"/>
      <c r="Z767" s="49"/>
    </row>
    <row r="768" spans="1:26">
      <c r="C768" s="51" t="str">
        <f>C706</f>
        <v>Agg. Emerging Incumbent</v>
      </c>
      <c r="D768" s="52"/>
      <c r="E768" s="52"/>
      <c r="F768" s="53"/>
      <c r="G768" s="52"/>
      <c r="H768" s="46"/>
      <c r="I768" s="54">
        <f>'EM INCUMB'!D$18/1000</f>
        <v>17398.47083563784</v>
      </c>
      <c r="J768" s="54">
        <f>'EM INCUMB'!$E$18/1000</f>
        <v>17031.862806345263</v>
      </c>
      <c r="K768" s="54">
        <f>'EM INCUMB'!$F$18/1000</f>
        <v>15292.540683737796</v>
      </c>
      <c r="L768" s="54">
        <f>'EM INCUMB'!$G$18/1000</f>
        <v>13465.439220446562</v>
      </c>
      <c r="M768" s="55">
        <f>(L761/I761)^(1/3)-1</f>
        <v>-9.0114973938203558E-2</v>
      </c>
      <c r="N768" s="56"/>
      <c r="O768" s="54"/>
      <c r="P768" s="54"/>
      <c r="Q768" s="54"/>
      <c r="R768" s="54"/>
      <c r="S768" s="55"/>
      <c r="T768" s="46"/>
      <c r="U768" s="57"/>
      <c r="V768" s="58"/>
      <c r="Z768" s="49"/>
    </row>
    <row r="769" spans="1:26">
      <c r="C769" s="43"/>
      <c r="D769" s="44"/>
      <c r="E769" s="44"/>
      <c r="F769" s="45"/>
      <c r="G769" s="44"/>
      <c r="H769" s="46"/>
      <c r="I769" s="47"/>
      <c r="J769" s="47"/>
      <c r="K769" s="47"/>
      <c r="L769" s="47"/>
      <c r="M769" s="45"/>
      <c r="N769" s="56"/>
      <c r="O769" s="47"/>
      <c r="P769" s="47"/>
      <c r="Q769" s="47"/>
      <c r="R769" s="47"/>
      <c r="S769" s="45"/>
      <c r="T769" s="46"/>
      <c r="U769" s="48"/>
      <c r="V769" s="50"/>
      <c r="Z769" s="49"/>
    </row>
    <row r="770" spans="1:26">
      <c r="A770" s="41" t="s">
        <v>507</v>
      </c>
      <c r="C770" s="48" t="str">
        <f t="shared" ref="C770:G776" si="201">C708</f>
        <v>Airtel Africa</v>
      </c>
      <c r="D770" s="44" t="str">
        <f t="shared" si="201"/>
        <v>USD 1.21</v>
      </c>
      <c r="E770" s="44" t="str">
        <f t="shared" si="201"/>
        <v>USD 1.50</v>
      </c>
      <c r="F770" s="45">
        <f t="shared" si="201"/>
        <v>0.2396694214876034</v>
      </c>
      <c r="G770" s="44" t="str">
        <f t="shared" si="201"/>
        <v>Buy</v>
      </c>
      <c r="H770" s="46"/>
      <c r="I770" s="47">
        <f>AAF!D$18/1000</f>
        <v>11.266555956027501</v>
      </c>
      <c r="J770" s="47">
        <f>AAF!E$18/1000</f>
        <v>10.994555735284463</v>
      </c>
      <c r="K770" s="47">
        <f>AAF!F$18/1000</f>
        <v>10.754525844246638</v>
      </c>
      <c r="L770" s="47">
        <f>AAF!G$18/1000</f>
        <v>10.482747328574471</v>
      </c>
      <c r="M770" s="45">
        <f t="shared" ref="M770" si="202">(L770/I770)^(1/3)-1</f>
        <v>-2.3749401131931247E-2</v>
      </c>
      <c r="N770" s="56"/>
      <c r="O770" s="47"/>
      <c r="P770" s="47"/>
      <c r="Q770" s="47"/>
      <c r="R770" s="47"/>
      <c r="S770" s="169"/>
      <c r="T770" s="46"/>
      <c r="U770" s="48"/>
      <c r="V770" s="44"/>
      <c r="Z770" s="49"/>
    </row>
    <row r="771" spans="1:26">
      <c r="A771" s="41"/>
      <c r="C771" s="48" t="str">
        <f t="shared" si="201"/>
        <v>MobileTeleSystems</v>
      </c>
      <c r="D771" s="44" t="str">
        <f t="shared" si="201"/>
        <v>USD 10.00</v>
      </c>
      <c r="E771" s="44" t="str">
        <f t="shared" si="201"/>
        <v>USD 10.10</v>
      </c>
      <c r="F771" s="45">
        <f t="shared" si="201"/>
        <v>1.0000000000000009E-2</v>
      </c>
      <c r="G771" s="44" t="str">
        <f t="shared" si="201"/>
        <v>Buy</v>
      </c>
      <c r="H771" s="46"/>
      <c r="I771" s="47">
        <f>MTS!D$18/1000</f>
        <v>12.607617693801306</v>
      </c>
      <c r="J771" s="47">
        <f>MTS!E$18/1000</f>
        <v>12.150765991197428</v>
      </c>
      <c r="K771" s="47">
        <f>MTS!F$18/1000</f>
        <v>11.710726942560811</v>
      </c>
      <c r="L771" s="47">
        <f>MTS!G$18/1000</f>
        <v>11.288868323251492</v>
      </c>
      <c r="M771" s="45">
        <f t="shared" ref="M771:M777" si="203">(L771/I771)^(1/3)-1</f>
        <v>-3.6158121906753493E-2</v>
      </c>
      <c r="N771" s="56"/>
      <c r="O771" s="47"/>
      <c r="P771" s="47"/>
      <c r="Q771" s="47"/>
      <c r="R771" s="47"/>
      <c r="S771" s="169"/>
      <c r="T771" s="46"/>
      <c r="U771" s="48"/>
      <c r="V771" s="44"/>
      <c r="Z771" s="49"/>
    </row>
    <row r="772" spans="1:26">
      <c r="C772" s="48" t="str">
        <f t="shared" si="201"/>
        <v>MTN</v>
      </c>
      <c r="D772" s="44" t="str">
        <f t="shared" si="201"/>
        <v>ZAR 86.08</v>
      </c>
      <c r="E772" s="44" t="str">
        <f t="shared" si="201"/>
        <v>ZAR 130.00</v>
      </c>
      <c r="F772" s="45">
        <f t="shared" si="201"/>
        <v>0.5102230483271375</v>
      </c>
      <c r="G772" s="44" t="str">
        <f t="shared" si="201"/>
        <v>Buy</v>
      </c>
      <c r="H772" s="46"/>
      <c r="I772" s="47">
        <f>MTN!D$18/1000/Prices!$C$170</f>
        <v>17.311815758376877</v>
      </c>
      <c r="J772" s="47">
        <f>MTN!E$18/1000/Prices!$C$170</f>
        <v>18.778603366990886</v>
      </c>
      <c r="K772" s="47">
        <f>MTN!F$18/1000/Prices!$C$170</f>
        <v>19.311211095188998</v>
      </c>
      <c r="L772" s="47">
        <f>MTN!G$18/1000/Prices!$C$170</f>
        <v>19.848058451614875</v>
      </c>
      <c r="M772" s="45">
        <f t="shared" si="203"/>
        <v>4.6626683858955964E-2</v>
      </c>
      <c r="N772" s="56"/>
      <c r="O772" s="47"/>
      <c r="P772" s="47"/>
      <c r="Q772" s="47"/>
      <c r="R772" s="47"/>
      <c r="S772" s="169"/>
      <c r="T772" s="46"/>
      <c r="U772" s="48"/>
      <c r="V772" s="44"/>
      <c r="Z772" s="49"/>
    </row>
    <row r="773" spans="1:26">
      <c r="C773" s="48" t="str">
        <f t="shared" si="201"/>
        <v>Safaricom</v>
      </c>
      <c r="D773" s="44" t="str">
        <f t="shared" si="201"/>
        <v>KES 17.75</v>
      </c>
      <c r="E773" s="44" t="str">
        <f t="shared" si="201"/>
        <v>KES 17.0</v>
      </c>
      <c r="F773" s="45">
        <f t="shared" si="201"/>
        <v>-4.2253521126760618E-2</v>
      </c>
      <c r="G773" s="44" t="str">
        <f t="shared" si="201"/>
        <v>Neutral</v>
      </c>
      <c r="H773" s="46"/>
      <c r="I773" s="47">
        <f>SAF!D$18/1000/Prices!$C$179</f>
        <v>5.2938200376453217</v>
      </c>
      <c r="J773" s="47">
        <f>SAF!E$18/1000/Prices!$C$179</f>
        <v>5.096290900096462</v>
      </c>
      <c r="K773" s="47">
        <f>SAF!F$18/1000/Prices!$C$179</f>
        <v>4.794802799871384</v>
      </c>
      <c r="L773" s="47">
        <f>SAF!G$18/1000/Prices!$C$179</f>
        <v>4.2769648250096921</v>
      </c>
      <c r="M773" s="45">
        <f>(L773/I773)^(1/3)-1</f>
        <v>-6.8630164232526658E-2</v>
      </c>
      <c r="N773" s="56"/>
      <c r="O773" s="47"/>
      <c r="P773" s="47"/>
      <c r="Q773" s="47"/>
      <c r="R773" s="47"/>
      <c r="S773" s="169"/>
      <c r="T773" s="46"/>
      <c r="U773" s="48"/>
      <c r="V773" s="44"/>
      <c r="Z773" s="49"/>
    </row>
    <row r="774" spans="1:26">
      <c r="C774" s="48" t="str">
        <f t="shared" si="201"/>
        <v>Turkcell</v>
      </c>
      <c r="D774" s="44" t="str">
        <f t="shared" si="201"/>
        <v>USD 91.80</v>
      </c>
      <c r="E774" s="44" t="str">
        <f t="shared" si="201"/>
        <v>USD 16.90</v>
      </c>
      <c r="F774" s="45">
        <f t="shared" si="201"/>
        <v>-0.81590413943355122</v>
      </c>
      <c r="G774" s="44" t="str">
        <f t="shared" si="201"/>
        <v>Buy</v>
      </c>
      <c r="H774" s="46"/>
      <c r="I774" s="47">
        <f>TKC!D$18/1000/Prices!$C$150</f>
        <v>6.1123091870706903</v>
      </c>
      <c r="J774" s="47">
        <f>TKC!E$18/1000/Prices!$C$150</f>
        <v>5.9709442738772953</v>
      </c>
      <c r="K774" s="47">
        <f>TKC!F$18/1000/Prices!$C$150</f>
        <v>5.8119775077440838</v>
      </c>
      <c r="L774" s="47">
        <f>TKC!G$18/1000/Prices!$C$150</f>
        <v>5.6457961767584468</v>
      </c>
      <c r="M774" s="45">
        <f t="shared" si="203"/>
        <v>-2.6117354327143016E-2</v>
      </c>
      <c r="N774" s="56"/>
      <c r="O774" s="47"/>
      <c r="P774" s="47"/>
      <c r="Q774" s="47"/>
      <c r="R774" s="47"/>
      <c r="S774" s="169"/>
      <c r="T774" s="46"/>
      <c r="U774" s="48"/>
      <c r="V774" s="44"/>
      <c r="Z774" s="49"/>
    </row>
    <row r="775" spans="1:26">
      <c r="C775" s="48" t="str">
        <f t="shared" si="201"/>
        <v>VEON</v>
      </c>
      <c r="D775" s="44" t="str">
        <f t="shared" si="201"/>
        <v>USD 25.5</v>
      </c>
      <c r="E775" s="44" t="str">
        <f t="shared" si="201"/>
        <v>USD 40.0</v>
      </c>
      <c r="F775" s="45">
        <f t="shared" si="201"/>
        <v>0.56678417547982751</v>
      </c>
      <c r="G775" s="44" t="str">
        <f t="shared" si="201"/>
        <v>Buy</v>
      </c>
      <c r="H775" s="46"/>
      <c r="I775" s="47">
        <f>VIMP!D$18/1000</f>
        <v>46.941381551714898</v>
      </c>
      <c r="J775" s="47">
        <f>VIMP!E$18/1000</f>
        <v>46.578452787470283</v>
      </c>
      <c r="K775" s="47">
        <f>VIMP!F$18/1000</f>
        <v>46.189685069000845</v>
      </c>
      <c r="L775" s="47">
        <f>VIMP!G$18/1000</f>
        <v>45.759221478156256</v>
      </c>
      <c r="M775" s="45">
        <f t="shared" si="203"/>
        <v>-8.4660555614636257E-3</v>
      </c>
      <c r="N775" s="56"/>
      <c r="O775" s="47"/>
      <c r="P775" s="47"/>
      <c r="Q775" s="47"/>
      <c r="R775" s="47"/>
      <c r="S775" s="45"/>
      <c r="T775" s="46"/>
      <c r="U775" s="48"/>
      <c r="V775" s="44"/>
      <c r="Z775" s="49"/>
    </row>
    <row r="776" spans="1:26">
      <c r="C776" s="48" t="str">
        <f t="shared" si="201"/>
        <v>Vodacom</v>
      </c>
      <c r="D776" s="44" t="str">
        <f t="shared" si="201"/>
        <v>ZAR 95.8</v>
      </c>
      <c r="E776" s="44" t="str">
        <f t="shared" si="201"/>
        <v>ZAR 130.0</v>
      </c>
      <c r="F776" s="45">
        <f t="shared" si="201"/>
        <v>0.35685210312075988</v>
      </c>
      <c r="G776" s="44" t="str">
        <f t="shared" si="201"/>
        <v>Neutral</v>
      </c>
      <c r="H776" s="46"/>
      <c r="I776" s="47">
        <f>VODA!D$18/1000/Prices!$C$170</f>
        <v>10.43551305603005</v>
      </c>
      <c r="J776" s="47">
        <f>VODA!E$18/1000/Prices!$C$170</f>
        <v>10.113789395024959</v>
      </c>
      <c r="K776" s="47">
        <f>VODA!F$18/1000/Prices!$C$170</f>
        <v>9.1029447500823206</v>
      </c>
      <c r="L776" s="47">
        <f>VODA!G$18/1000/Prices!$C$170</f>
        <v>8.0277997999064787</v>
      </c>
      <c r="M776" s="45">
        <f t="shared" si="203"/>
        <v>-8.3721331899656248E-2</v>
      </c>
      <c r="N776" s="56"/>
      <c r="O776" s="47"/>
      <c r="P776" s="47"/>
      <c r="Q776" s="47"/>
      <c r="R776" s="47"/>
      <c r="S776" s="45"/>
      <c r="T776" s="46"/>
      <c r="U776" s="48"/>
      <c r="V776" s="44"/>
      <c r="Z776" s="49"/>
    </row>
    <row r="777" spans="1:26">
      <c r="C777" s="51" t="str">
        <f>C715</f>
        <v>Agg. EMEA Cellular</v>
      </c>
      <c r="D777" s="52"/>
      <c r="E777" s="52"/>
      <c r="F777" s="53"/>
      <c r="G777" s="52"/>
      <c r="H777" s="46"/>
      <c r="I777" s="54">
        <f>'EMEA CELLULAR'!D$18/1000</f>
        <v>109.96901324066663</v>
      </c>
      <c r="J777" s="54">
        <f>'EMEA CELLULAR'!$E$18/1000</f>
        <v>109.68340244994175</v>
      </c>
      <c r="K777" s="54">
        <f>'EMEA CELLULAR'!$F$18/1000</f>
        <v>107.67587400869508</v>
      </c>
      <c r="L777" s="54">
        <f>'EMEA CELLULAR'!$G$18/1000</f>
        <v>105.32945638327172</v>
      </c>
      <c r="M777" s="55">
        <f t="shared" si="203"/>
        <v>-1.4265769202258638E-2</v>
      </c>
      <c r="N777" s="56"/>
      <c r="O777" s="54"/>
      <c r="P777" s="54"/>
      <c r="Q777" s="54"/>
      <c r="R777" s="54"/>
      <c r="S777" s="55"/>
      <c r="T777" s="46"/>
      <c r="U777" s="57"/>
      <c r="V777" s="58"/>
      <c r="Z777" s="49"/>
    </row>
    <row r="778" spans="1:26">
      <c r="A778" s="5"/>
      <c r="C778" s="43"/>
      <c r="D778" s="44"/>
      <c r="E778" s="44"/>
      <c r="F778" s="45"/>
      <c r="G778" s="44"/>
      <c r="H778" s="46"/>
      <c r="I778" s="47"/>
      <c r="J778" s="47"/>
      <c r="K778" s="47"/>
      <c r="L778" s="47"/>
      <c r="M778" s="45"/>
      <c r="N778" s="56"/>
      <c r="O778" s="47"/>
      <c r="P778" s="47"/>
      <c r="Q778" s="47"/>
      <c r="R778" s="47"/>
      <c r="S778" s="45"/>
      <c r="T778" s="46"/>
      <c r="U778" s="48"/>
      <c r="V778" s="50"/>
      <c r="Z778" s="49"/>
    </row>
    <row r="779" spans="1:26">
      <c r="A779" s="5"/>
      <c r="C779" s="48" t="str">
        <f t="shared" ref="C779:G781" si="204">C717</f>
        <v>Entel</v>
      </c>
      <c r="D779" s="44" t="str">
        <f t="shared" si="204"/>
        <v>CLP 3,022</v>
      </c>
      <c r="E779" s="44" t="str">
        <f t="shared" si="204"/>
        <v>CLP 3,150</v>
      </c>
      <c r="F779" s="45">
        <f t="shared" si="204"/>
        <v>4.2356055592323028E-2</v>
      </c>
      <c r="G779" s="44" t="str">
        <f t="shared" si="204"/>
        <v>Neutral</v>
      </c>
      <c r="H779" s="46"/>
      <c r="I779" s="47">
        <f>ENTEL!D$18/Prices!$C$165/1000</f>
        <v>2.7199043465762331</v>
      </c>
      <c r="J779" s="47">
        <f>ENTEL!E$18/Prices!$C$165/1000</f>
        <v>2.5416838406390787</v>
      </c>
      <c r="K779" s="47">
        <f>ENTEL!F$18/Prices!$C$165/1000</f>
        <v>2.2698965554893062</v>
      </c>
      <c r="L779" s="47">
        <f>ENTEL!G$18/Prices!$C$165/1000</f>
        <v>1.9126011906746117</v>
      </c>
      <c r="M779" s="45">
        <f>(L779/I779)^(1/3)-1</f>
        <v>-0.11075056706072839</v>
      </c>
      <c r="N779" s="56"/>
      <c r="O779" s="47"/>
      <c r="P779" s="47"/>
      <c r="Q779" s="47"/>
      <c r="R779" s="47"/>
      <c r="S779" s="169"/>
      <c r="T779" s="46"/>
      <c r="U779" s="48"/>
      <c r="V779" s="44"/>
      <c r="Z779" s="49"/>
    </row>
    <row r="780" spans="1:26">
      <c r="A780" s="5"/>
      <c r="C780" s="48" t="str">
        <f t="shared" si="204"/>
        <v>Millicom</v>
      </c>
      <c r="D780" s="44" t="str">
        <f t="shared" si="204"/>
        <v>USD  24.1</v>
      </c>
      <c r="E780" s="44" t="str">
        <f t="shared" si="204"/>
        <v>USD 18.0</v>
      </c>
      <c r="F780" s="45">
        <f t="shared" si="204"/>
        <v>-0.25280199252801994</v>
      </c>
      <c r="G780" s="44" t="str">
        <f t="shared" si="204"/>
        <v>Neutral</v>
      </c>
      <c r="H780" s="46"/>
      <c r="I780" s="47">
        <f>MILLI!D$18/1000</f>
        <v>16.278481960376912</v>
      </c>
      <c r="J780" s="47">
        <f>MILLI!E$18/1000</f>
        <v>16.196860558980546</v>
      </c>
      <c r="K780" s="47">
        <f>MILLI!F$18/1000</f>
        <v>15.833036625810498</v>
      </c>
      <c r="L780" s="47">
        <f>MILLI!G$18/1000</f>
        <v>15.34298180937672</v>
      </c>
      <c r="M780" s="45">
        <f>(L780/I780)^(1/3)-1</f>
        <v>-1.9535314407614468E-2</v>
      </c>
      <c r="N780" s="56"/>
      <c r="O780" s="47"/>
      <c r="P780" s="47"/>
      <c r="Q780" s="47"/>
      <c r="R780" s="47"/>
      <c r="S780" s="169"/>
      <c r="T780" s="46"/>
      <c r="U780" s="48"/>
      <c r="V780" s="44"/>
      <c r="Z780" s="49"/>
    </row>
    <row r="781" spans="1:26">
      <c r="A781" s="5"/>
      <c r="C781" s="48" t="str">
        <f t="shared" si="204"/>
        <v>TIM Participacoes</v>
      </c>
      <c r="D781" s="44" t="str">
        <f t="shared" si="204"/>
        <v>BRL 16.42</v>
      </c>
      <c r="E781" s="44" t="str">
        <f t="shared" si="204"/>
        <v>BRL 23.00</v>
      </c>
      <c r="F781" s="45">
        <f t="shared" si="204"/>
        <v>0.40073081607795347</v>
      </c>
      <c r="G781" s="44" t="str">
        <f t="shared" si="204"/>
        <v>Buy</v>
      </c>
      <c r="H781" s="46"/>
      <c r="I781" s="47">
        <f>TIMP!D$18/Prices!$C$160/1000</f>
        <v>9.0856241157521254</v>
      </c>
      <c r="J781" s="47">
        <f>TIMP!E$18/Prices!$C$160/1000</f>
        <v>8.1516180472433586</v>
      </c>
      <c r="K781" s="47">
        <f>TIMP!F$18/Prices!$C$160/1000</f>
        <v>7.008204482235711</v>
      </c>
      <c r="L781" s="47">
        <f>TIMP!G$18/Prices!$C$160/1000</f>
        <v>5.6204562654594472</v>
      </c>
      <c r="M781" s="45">
        <f>(L781/I781)^(1/3)-1</f>
        <v>-0.1479358970224679</v>
      </c>
      <c r="N781" s="56"/>
      <c r="O781" s="47"/>
      <c r="P781" s="47"/>
      <c r="Q781" s="47"/>
      <c r="R781" s="47"/>
      <c r="S781" s="45"/>
      <c r="T781" s="46"/>
      <c r="U781" s="48"/>
      <c r="V781" s="44"/>
      <c r="Z781" s="49"/>
    </row>
    <row r="782" spans="1:26">
      <c r="A782" s="5"/>
      <c r="C782" s="51" t="str">
        <f>C720</f>
        <v>Agg. LatAm Cellular</v>
      </c>
      <c r="D782" s="52"/>
      <c r="E782" s="52"/>
      <c r="F782" s="53"/>
      <c r="G782" s="52"/>
      <c r="H782" s="46"/>
      <c r="I782" s="54">
        <f>'LATAM CELLULAR'!D$18/1000</f>
        <v>28.084010422705269</v>
      </c>
      <c r="J782" s="54">
        <f>'LATAM CELLULAR'!$E$18/1000</f>
        <v>26.890162446862981</v>
      </c>
      <c r="K782" s="54">
        <f>'LATAM CELLULAR'!$F$18/1000</f>
        <v>25.111137663535519</v>
      </c>
      <c r="L782" s="54">
        <f>'LATAM CELLULAR'!$G$18/1000</f>
        <v>22.87603926551078</v>
      </c>
      <c r="M782" s="55">
        <f>(L782/I782)^(1/3)-1</f>
        <v>-6.6085247121212998E-2</v>
      </c>
      <c r="N782" s="56"/>
      <c r="O782" s="54"/>
      <c r="P782" s="54"/>
      <c r="Q782" s="54"/>
      <c r="R782" s="54"/>
      <c r="S782" s="55"/>
      <c r="T782" s="46"/>
      <c r="U782" s="57"/>
      <c r="V782" s="58"/>
      <c r="Z782" s="49"/>
    </row>
    <row r="783" spans="1:26">
      <c r="C783" s="43"/>
      <c r="D783" s="44"/>
      <c r="E783" s="44"/>
      <c r="F783" s="45"/>
      <c r="G783" s="44"/>
      <c r="H783" s="46"/>
      <c r="I783" s="47"/>
      <c r="J783" s="47"/>
      <c r="K783" s="47"/>
      <c r="L783" s="47"/>
      <c r="M783" s="45"/>
      <c r="N783" s="46"/>
      <c r="O783" s="47"/>
      <c r="P783" s="47"/>
      <c r="Q783" s="47"/>
      <c r="R783" s="47"/>
      <c r="S783" s="45"/>
      <c r="T783" s="46"/>
      <c r="U783" s="48"/>
      <c r="V783" s="50"/>
      <c r="Z783" s="49"/>
    </row>
    <row r="784" spans="1:26">
      <c r="A784" s="5"/>
      <c r="C784" s="48" t="str">
        <f t="shared" ref="C784:G795" si="205">C722</f>
        <v>AIS</v>
      </c>
      <c r="D784" s="44" t="str">
        <f t="shared" si="205"/>
        <v>THB 207.0</v>
      </c>
      <c r="E784" s="44" t="str">
        <f t="shared" si="205"/>
        <v>THB 300.0</v>
      </c>
      <c r="F784" s="45">
        <f t="shared" si="205"/>
        <v>0.44927536231884058</v>
      </c>
      <c r="G784" s="44" t="str">
        <f t="shared" si="205"/>
        <v>Buy</v>
      </c>
      <c r="H784" s="46"/>
      <c r="I784" s="47">
        <f>ADVANCED!D$18/1000/Prices!$C$163</f>
        <v>23.577312014283766</v>
      </c>
      <c r="J784" s="47">
        <f>ADVANCED!E$18/1000/Prices!$C$163</f>
        <v>22.454186777556444</v>
      </c>
      <c r="K784" s="47">
        <f>ADVANCED!F$18/1000/Prices!$C$163</f>
        <v>20.382596794342323</v>
      </c>
      <c r="L784" s="47">
        <f>ADVANCED!G$18/1000/Prices!$C$163</f>
        <v>18.353630829562682</v>
      </c>
      <c r="M784" s="45">
        <f t="shared" ref="M784:M797" si="206">(L784/I784)^(1/3)-1</f>
        <v>-8.0095873475742319E-2</v>
      </c>
      <c r="N784" s="46"/>
      <c r="O784" s="47"/>
      <c r="P784" s="47"/>
      <c r="Q784" s="47"/>
      <c r="R784" s="47"/>
      <c r="S784" s="45"/>
      <c r="T784" s="46"/>
      <c r="U784" s="48"/>
      <c r="V784" s="44"/>
      <c r="Z784" s="49"/>
    </row>
    <row r="785" spans="1:29">
      <c r="C785" s="48" t="str">
        <f t="shared" si="205"/>
        <v>Axiata</v>
      </c>
      <c r="D785" s="44" t="str">
        <f t="shared" si="205"/>
        <v>MYR 2.87</v>
      </c>
      <c r="E785" s="44" t="str">
        <f t="shared" si="205"/>
        <v>MYR 4.50</v>
      </c>
      <c r="F785" s="45">
        <f t="shared" si="205"/>
        <v>0.56794425087108014</v>
      </c>
      <c r="G785" s="44" t="str">
        <f t="shared" si="205"/>
        <v>Buy</v>
      </c>
      <c r="H785" s="46"/>
      <c r="I785" s="47">
        <f>AXI!D$18/Prices!$C$159/1000</f>
        <v>10.013850831328964</v>
      </c>
      <c r="J785" s="47">
        <f>AXI!E$18/Prices!$C$159/1000</f>
        <v>11.524349641025033</v>
      </c>
      <c r="K785" s="47">
        <f>AXI!F$18/Prices!$C$159/1000</f>
        <v>11.214284640912824</v>
      </c>
      <c r="L785" s="47">
        <f>AXI!G$18/Prices!$C$159/1000</f>
        <v>10.895029634552953</v>
      </c>
      <c r="M785" s="45">
        <f t="shared" si="206"/>
        <v>2.8511375372388903E-2</v>
      </c>
      <c r="N785" s="46"/>
      <c r="O785" s="47"/>
      <c r="P785" s="47"/>
      <c r="Q785" s="47"/>
      <c r="R785" s="47"/>
      <c r="S785" s="45"/>
      <c r="T785" s="46"/>
      <c r="U785" s="48"/>
      <c r="V785" s="44"/>
      <c r="Z785" s="49"/>
    </row>
    <row r="786" spans="1:29">
      <c r="C786" s="48" t="str">
        <f t="shared" si="205"/>
        <v>Bharti Airtel</v>
      </c>
      <c r="D786" s="44" t="str">
        <f t="shared" si="205"/>
        <v>INR 1389</v>
      </c>
      <c r="E786" s="44" t="str">
        <f t="shared" si="205"/>
        <v>INR 1500</v>
      </c>
      <c r="F786" s="45">
        <f t="shared" si="205"/>
        <v>8.0224686734840844E-2</v>
      </c>
      <c r="G786" s="44" t="str">
        <f t="shared" si="205"/>
        <v>Buy</v>
      </c>
      <c r="H786" s="46"/>
      <c r="I786" s="47">
        <f>BHART!D$18/1000/Prices!$C$152</f>
        <v>136.44487788891504</v>
      </c>
      <c r="J786" s="47">
        <f>BHART!E$18/1000/Prices!$C$152</f>
        <v>133.42592358185161</v>
      </c>
      <c r="K786" s="47">
        <f>BHART!F$18/1000/Prices!$C$152</f>
        <v>128.25359733167591</v>
      </c>
      <c r="L786" s="47">
        <f>BHART!G$18/1000/Prices!$C$152</f>
        <v>122.16439151899459</v>
      </c>
      <c r="M786" s="45">
        <f t="shared" si="206"/>
        <v>-3.6180297983097298E-2</v>
      </c>
      <c r="N786" s="46"/>
      <c r="O786" s="47"/>
      <c r="P786" s="47"/>
      <c r="Q786" s="47"/>
      <c r="R786" s="47"/>
      <c r="S786" s="45"/>
      <c r="T786" s="46"/>
      <c r="U786" s="48"/>
      <c r="V786" s="44"/>
      <c r="Z786" s="49"/>
    </row>
    <row r="787" spans="1:29">
      <c r="A787" s="5"/>
      <c r="C787" s="48" t="str">
        <f t="shared" si="205"/>
        <v>China Mobile</v>
      </c>
      <c r="D787" s="44" t="str">
        <f t="shared" si="205"/>
        <v>HKD 73.2</v>
      </c>
      <c r="E787" s="44" t="str">
        <f t="shared" si="205"/>
        <v>HKD 115.0</v>
      </c>
      <c r="F787" s="45">
        <f t="shared" si="205"/>
        <v>0.57103825136612008</v>
      </c>
      <c r="G787" s="44" t="str">
        <f t="shared" si="205"/>
        <v>Buy</v>
      </c>
      <c r="H787" s="46"/>
      <c r="I787" s="47">
        <f>_CM!D$18/Prices!$C$175</f>
        <v>175.71054431587953</v>
      </c>
      <c r="J787" s="47">
        <f>_CM!E$18/Prices!$C$175</f>
        <v>169.30040866949443</v>
      </c>
      <c r="K787" s="47">
        <f>_CM!F$18/Prices!$C$175</f>
        <v>147.50721172999027</v>
      </c>
      <c r="L787" s="47">
        <f>_CM!G$18/Prices!$C$175</f>
        <v>124.49466867055671</v>
      </c>
      <c r="M787" s="45">
        <f t="shared" si="206"/>
        <v>-0.10850760400842352</v>
      </c>
      <c r="N787" s="46"/>
      <c r="O787" s="47"/>
      <c r="P787" s="47"/>
      <c r="Q787" s="47"/>
      <c r="R787" s="47"/>
      <c r="S787" s="45"/>
      <c r="T787" s="46"/>
      <c r="U787" s="48"/>
      <c r="V787" s="44"/>
      <c r="Z787" s="49"/>
    </row>
    <row r="788" spans="1:29">
      <c r="A788" s="5"/>
      <c r="C788" s="48" t="str">
        <f t="shared" si="205"/>
        <v>CelcomDigi</v>
      </c>
      <c r="D788" s="44" t="str">
        <f t="shared" si="205"/>
        <v>MYR 4.1</v>
      </c>
      <c r="E788" s="44" t="str">
        <f t="shared" si="205"/>
        <v>MYR 6.0</v>
      </c>
      <c r="F788" s="45">
        <f t="shared" si="205"/>
        <v>0.48148148148148162</v>
      </c>
      <c r="G788" s="44" t="str">
        <f t="shared" si="205"/>
        <v>Buy</v>
      </c>
      <c r="H788" s="46"/>
      <c r="I788" s="47">
        <f>DIGI!D$18/1000/Prices!$C$159</f>
        <v>13.306707823171525</v>
      </c>
      <c r="J788" s="47">
        <f>DIGI!E$18/1000/Prices!$C$159</f>
        <v>12.986811096005566</v>
      </c>
      <c r="K788" s="47">
        <f>DIGI!F$18/1000/Prices!$C$159</f>
        <v>12.219632972072459</v>
      </c>
      <c r="L788" s="47">
        <f>DIGI!G$18/1000/Prices!$C$159</f>
        <v>11.401165124501073</v>
      </c>
      <c r="M788" s="45">
        <f t="shared" si="206"/>
        <v>-5.0213035285878282E-2</v>
      </c>
      <c r="N788" s="46"/>
      <c r="O788" s="47"/>
      <c r="P788" s="47"/>
      <c r="Q788" s="47"/>
      <c r="R788" s="47"/>
      <c r="S788" s="45"/>
      <c r="T788" s="46"/>
      <c r="U788" s="48"/>
      <c r="V788" s="44"/>
      <c r="Z788" s="49"/>
    </row>
    <row r="789" spans="1:29">
      <c r="A789" s="5"/>
      <c r="C789" s="48" t="str">
        <f t="shared" si="205"/>
        <v>Far EasTone</v>
      </c>
      <c r="D789" s="44" t="str">
        <f t="shared" si="205"/>
        <v>TWD 84.0</v>
      </c>
      <c r="E789" s="44" t="str">
        <f t="shared" si="205"/>
        <v>TWD n/r</v>
      </c>
      <c r="F789" s="45" t="str">
        <f t="shared" si="205"/>
        <v>-</v>
      </c>
      <c r="G789" s="44" t="str">
        <f t="shared" si="205"/>
        <v>n/r</v>
      </c>
      <c r="H789" s="46"/>
      <c r="I789" s="47">
        <f>FAR!D$18/1000/Prices!$C$181</f>
        <v>9.4488221996597854</v>
      </c>
      <c r="J789" s="47">
        <f>FAR!E$18/1000/Prices!$C$181</f>
        <v>9.035038173297071</v>
      </c>
      <c r="K789" s="47">
        <f>FAR!F$18/1000/Prices!$C$181</f>
        <v>8.6148265384904814</v>
      </c>
      <c r="L789" s="47">
        <f>FAR!G$18/1000/Prices!$C$181</f>
        <v>8.187511367328387</v>
      </c>
      <c r="M789" s="45">
        <f t="shared" si="206"/>
        <v>-4.6637468141415117E-2</v>
      </c>
      <c r="N789" s="46"/>
      <c r="O789" s="47"/>
      <c r="P789" s="47"/>
      <c r="Q789" s="47"/>
      <c r="R789" s="47"/>
      <c r="S789" s="45"/>
      <c r="T789" s="46"/>
      <c r="U789" s="48"/>
      <c r="V789" s="44"/>
      <c r="Z789" s="49"/>
    </row>
    <row r="790" spans="1:29">
      <c r="A790" s="5"/>
      <c r="C790" s="48" t="str">
        <f t="shared" si="205"/>
        <v>Vodafone IDEA</v>
      </c>
      <c r="D790" s="44" t="str">
        <f t="shared" si="205"/>
        <v>INR 15.1</v>
      </c>
      <c r="E790" s="44" t="str">
        <f t="shared" si="205"/>
        <v>INR 5.0</v>
      </c>
      <c r="F790" s="45">
        <f t="shared" si="205"/>
        <v>-0.66909331568497676</v>
      </c>
      <c r="G790" s="44" t="str">
        <f t="shared" si="205"/>
        <v>Reduce</v>
      </c>
      <c r="H790" s="46"/>
      <c r="I790" s="47">
        <f>IDEA!D$18/1000/Prices!$C$152</f>
        <v>34.079631493125554</v>
      </c>
      <c r="J790" s="47">
        <f>IDEA!E$18/1000/Prices!$C$152</f>
        <v>38.237246083798652</v>
      </c>
      <c r="K790" s="47">
        <f>IDEA!F$18/1000/Prices!$C$152</f>
        <v>40.997800991627109</v>
      </c>
      <c r="L790" s="47">
        <f>IDEA!G$18/1000/Prices!$C$152</f>
        <v>42.625979653699247</v>
      </c>
      <c r="M790" s="45">
        <f t="shared" si="206"/>
        <v>7.7440164682526236E-2</v>
      </c>
      <c r="N790" s="46"/>
      <c r="O790" s="47"/>
      <c r="P790" s="47"/>
      <c r="Q790" s="47"/>
      <c r="R790" s="47"/>
      <c r="S790" s="45"/>
      <c r="T790" s="46"/>
      <c r="U790" s="48"/>
      <c r="V790" s="44"/>
      <c r="Z790" s="49"/>
      <c r="AC790" s="63"/>
    </row>
    <row r="791" spans="1:29">
      <c r="A791" s="5"/>
      <c r="C791" s="48" t="str">
        <f t="shared" si="205"/>
        <v>Indosat</v>
      </c>
      <c r="D791" s="44" t="str">
        <f t="shared" si="205"/>
        <v>IDR 10,075</v>
      </c>
      <c r="E791" s="44" t="str">
        <f t="shared" si="205"/>
        <v>IDR 12,500</v>
      </c>
      <c r="F791" s="45">
        <f t="shared" si="205"/>
        <v>0.2406947890818858</v>
      </c>
      <c r="G791" s="44" t="str">
        <f t="shared" si="205"/>
        <v>Buy</v>
      </c>
      <c r="H791" s="46"/>
      <c r="I791" s="47">
        <f>INDO!D$18/Prices!$C$172</f>
        <v>8.1222954846334208</v>
      </c>
      <c r="J791" s="47">
        <f>INDO!E$18/Prices!$C$172</f>
        <v>7.6104892071582038</v>
      </c>
      <c r="K791" s="47">
        <f>INDO!F$18/Prices!$C$172</f>
        <v>6.3992425755142035</v>
      </c>
      <c r="L791" s="47">
        <f>INDO!G$18/Prices!$C$172</f>
        <v>4.9125436919567704</v>
      </c>
      <c r="M791" s="45">
        <f t="shared" si="206"/>
        <v>-0.1543138585414966</v>
      </c>
      <c r="N791" s="46"/>
      <c r="O791" s="47"/>
      <c r="P791" s="47"/>
      <c r="Q791" s="47"/>
      <c r="R791" s="47"/>
      <c r="S791" s="45"/>
      <c r="T791" s="46"/>
      <c r="U791" s="48"/>
      <c r="V791" s="44"/>
      <c r="Z791" s="49"/>
      <c r="AC791" s="63"/>
    </row>
    <row r="792" spans="1:29">
      <c r="A792" s="5"/>
      <c r="C792" s="48" t="str">
        <f t="shared" si="205"/>
        <v>LG Uplus</v>
      </c>
      <c r="D792" s="44" t="str">
        <f t="shared" si="205"/>
        <v>KRW 9,770</v>
      </c>
      <c r="E792" s="44" t="str">
        <f t="shared" si="205"/>
        <v>KRW 21,000</v>
      </c>
      <c r="F792" s="45">
        <f t="shared" si="205"/>
        <v>1.1494370522006143</v>
      </c>
      <c r="G792" s="44" t="str">
        <f t="shared" si="205"/>
        <v>Buy</v>
      </c>
      <c r="H792" s="46"/>
      <c r="I792" s="47">
        <f>_LG!D$18/Prices!$C$173</f>
        <v>8.8005494581438697</v>
      </c>
      <c r="J792" s="47">
        <f>_LG!E$18/Prices!$C$173</f>
        <v>8.7146428859170655</v>
      </c>
      <c r="K792" s="47">
        <f>_LG!F$18/Prices!$C$173</f>
        <v>8.3748019017824049</v>
      </c>
      <c r="L792" s="47">
        <f>_LG!G$18/Prices!$C$173</f>
        <v>7.9897168689225966</v>
      </c>
      <c r="M792" s="45">
        <f t="shared" si="206"/>
        <v>-3.1706089747171706E-2</v>
      </c>
      <c r="N792" s="46"/>
      <c r="O792" s="47"/>
      <c r="P792" s="47"/>
      <c r="Q792" s="47"/>
      <c r="R792" s="47"/>
      <c r="S792" s="45"/>
      <c r="T792" s="46"/>
      <c r="U792" s="48"/>
      <c r="V792" s="44"/>
      <c r="Z792" s="49"/>
      <c r="AC792" s="63"/>
    </row>
    <row r="793" spans="1:29">
      <c r="C793" s="48" t="str">
        <f t="shared" si="205"/>
        <v>Maxis</v>
      </c>
      <c r="D793" s="44" t="str">
        <f t="shared" si="205"/>
        <v>MYR 3.71</v>
      </c>
      <c r="E793" s="44" t="str">
        <f t="shared" si="205"/>
        <v>MYR 5.60</v>
      </c>
      <c r="F793" s="45">
        <f t="shared" si="205"/>
        <v>0.50943396226415083</v>
      </c>
      <c r="G793" s="44" t="str">
        <f t="shared" si="205"/>
        <v>Buy</v>
      </c>
      <c r="H793" s="46"/>
      <c r="I793" s="47">
        <f>MAXI!D$18/1000/Prices!$C$159</f>
        <v>7.9943191094708475</v>
      </c>
      <c r="J793" s="47">
        <f>MAXI!E$18/1000/Prices!$C$159</f>
        <v>7.9166680806689547</v>
      </c>
      <c r="K793" s="47">
        <f>MAXI!F$18/1000/Prices!$C$159</f>
        <v>7.4740650957415111</v>
      </c>
      <c r="L793" s="47">
        <f>MAXI!G$18/1000/Prices!$C$159</f>
        <v>7.009230538252945</v>
      </c>
      <c r="M793" s="45">
        <f t="shared" si="206"/>
        <v>-4.2887573587073846E-2</v>
      </c>
      <c r="N793" s="46"/>
      <c r="O793" s="47"/>
      <c r="P793" s="47"/>
      <c r="Q793" s="47"/>
      <c r="R793" s="47"/>
      <c r="S793" s="45"/>
      <c r="T793" s="46"/>
      <c r="U793" s="48"/>
      <c r="V793" s="44"/>
      <c r="Z793" s="49"/>
    </row>
    <row r="794" spans="1:29">
      <c r="A794" s="5"/>
      <c r="C794" s="48" t="str">
        <f t="shared" si="205"/>
        <v>SK Telecom</v>
      </c>
      <c r="D794" s="44" t="str">
        <f t="shared" si="205"/>
        <v>KRW 51,800</v>
      </c>
      <c r="E794" s="44" t="str">
        <f t="shared" si="205"/>
        <v>KRW 116,000</v>
      </c>
      <c r="F794" s="45">
        <f t="shared" si="205"/>
        <v>1.2393822393822393</v>
      </c>
      <c r="G794" s="44" t="str">
        <f t="shared" si="205"/>
        <v>Buy</v>
      </c>
      <c r="H794" s="46"/>
      <c r="I794" s="47">
        <f>SKT!D$18/Prices!$C$173</f>
        <v>16.980679425808727</v>
      </c>
      <c r="J794" s="47">
        <f>SKT!E$18/Prices!$C$173</f>
        <v>16.071200960892934</v>
      </c>
      <c r="K794" s="47">
        <f>SKT!F$18/Prices!$C$173</f>
        <v>15.284221618730689</v>
      </c>
      <c r="L794" s="47">
        <f>SKT!G$18/Prices!$C$173</f>
        <v>14.18785534176558</v>
      </c>
      <c r="M794" s="45">
        <f t="shared" si="206"/>
        <v>-5.8138099359934525E-2</v>
      </c>
      <c r="N794" s="46"/>
      <c r="O794" s="47"/>
      <c r="P794" s="47"/>
      <c r="Q794" s="47"/>
      <c r="R794" s="47"/>
      <c r="S794" s="45"/>
      <c r="T794" s="46"/>
      <c r="U794" s="48"/>
      <c r="V794" s="44"/>
      <c r="Z794" s="49"/>
    </row>
    <row r="795" spans="1:29">
      <c r="A795" s="5"/>
      <c r="C795" s="48" t="str">
        <f t="shared" si="205"/>
        <v>Taiwan Mobile</v>
      </c>
      <c r="D795" s="44" t="str">
        <f t="shared" si="205"/>
        <v>TWD 106.5</v>
      </c>
      <c r="E795" s="44" t="str">
        <f t="shared" si="205"/>
        <v>TWD n/r</v>
      </c>
      <c r="F795" s="45" t="str">
        <f t="shared" si="205"/>
        <v>-</v>
      </c>
      <c r="G795" s="44" t="str">
        <f t="shared" si="205"/>
        <v>n/r</v>
      </c>
      <c r="H795" s="46"/>
      <c r="I795" s="47">
        <f>TAIWAN!D$18/1000/Prices!$C$181</f>
        <v>9.3324157223263597</v>
      </c>
      <c r="J795" s="47">
        <f>TAIWAN!E$18/1000/Prices!$C$181</f>
        <v>8.7407135528217488</v>
      </c>
      <c r="K795" s="47">
        <f>TAIWAN!F$18/1000/Prices!$C$181</f>
        <v>8.1362276376846001</v>
      </c>
      <c r="L795" s="47">
        <f>TAIWAN!G$18/1000/Prices!$C$181</f>
        <v>7.4658930883145977</v>
      </c>
      <c r="M795" s="45">
        <f t="shared" si="206"/>
        <v>-7.1683869996941207E-2</v>
      </c>
      <c r="N795" s="46"/>
      <c r="O795" s="47"/>
      <c r="P795" s="47"/>
      <c r="Q795" s="47"/>
      <c r="R795" s="47"/>
      <c r="S795" s="45"/>
      <c r="T795" s="46"/>
      <c r="U795" s="48"/>
      <c r="V795" s="44"/>
      <c r="Z795" s="49"/>
    </row>
    <row r="796" spans="1:29">
      <c r="A796" s="5"/>
      <c r="C796" s="48" t="str">
        <f t="shared" ref="C796:G796" si="207">C734</f>
        <v>True Corp</v>
      </c>
      <c r="D796" s="44" t="str">
        <f t="shared" si="207"/>
        <v>THB 8.0</v>
      </c>
      <c r="E796" s="44" t="str">
        <f t="shared" si="207"/>
        <v>THB 15.0</v>
      </c>
      <c r="F796" s="45">
        <f t="shared" si="207"/>
        <v>0.875</v>
      </c>
      <c r="G796" s="44" t="str">
        <f t="shared" si="207"/>
        <v>Buy</v>
      </c>
      <c r="H796" s="46"/>
      <c r="I796" s="47">
        <f>TRUECORP!D$18/1000/Prices!$C$163</f>
        <v>21.017576840888644</v>
      </c>
      <c r="J796" s="47">
        <f>TRUECORP!E$18/1000/Prices!$C$163</f>
        <v>20.022863582833761</v>
      </c>
      <c r="K796" s="47">
        <f>TRUECORP!F$18/1000/Prices!$C$163</f>
        <v>18.978795269514045</v>
      </c>
      <c r="L796" s="47">
        <f>TRUECORP!G$18/1000/Prices!$C$163</f>
        <v>17.51082550575839</v>
      </c>
      <c r="M796" s="45">
        <f>(L796/I796)^(1/3)-1</f>
        <v>-5.9032423751077201E-2</v>
      </c>
      <c r="N796" s="46"/>
      <c r="O796" s="47"/>
      <c r="P796" s="47"/>
      <c r="Q796" s="47"/>
      <c r="R796" s="47"/>
      <c r="S796" s="45"/>
      <c r="T796" s="46"/>
      <c r="U796" s="48"/>
      <c r="V796" s="44"/>
      <c r="Z796" s="49"/>
    </row>
    <row r="797" spans="1:29">
      <c r="A797" s="5"/>
      <c r="C797" s="48" t="str">
        <f t="shared" ref="C797:G797" si="208">C735</f>
        <v>XL Axiata</v>
      </c>
      <c r="D797" s="44" t="str">
        <f t="shared" si="208"/>
        <v>IDR 2,470</v>
      </c>
      <c r="E797" s="44" t="str">
        <f t="shared" si="208"/>
        <v>IDR 5,000</v>
      </c>
      <c r="F797" s="45">
        <f t="shared" si="208"/>
        <v>1.0242914979757085</v>
      </c>
      <c r="G797" s="44" t="str">
        <f t="shared" si="208"/>
        <v>Buy</v>
      </c>
      <c r="H797" s="46"/>
      <c r="I797" s="47">
        <f>XLAX!D$18/Prices!$C$172</f>
        <v>4.8384699542004057</v>
      </c>
      <c r="J797" s="47">
        <f>XLAX!E$18/Prices!$C$172</f>
        <v>4.4977422155097289</v>
      </c>
      <c r="K797" s="47">
        <f>XLAX!F$18/Prices!$C$172</f>
        <v>4.0497828420611635</v>
      </c>
      <c r="L797" s="47">
        <f>XLAX!G$18/Prices!$C$172</f>
        <v>3.557141861695738</v>
      </c>
      <c r="M797" s="45">
        <f t="shared" si="206"/>
        <v>-9.7464321872129389E-2</v>
      </c>
      <c r="N797" s="56"/>
      <c r="O797" s="47"/>
      <c r="P797" s="47"/>
      <c r="Q797" s="47"/>
      <c r="R797" s="47"/>
      <c r="S797" s="45"/>
      <c r="T797" s="46"/>
      <c r="U797" s="48"/>
      <c r="V797" s="44"/>
      <c r="Z797" s="49"/>
    </row>
    <row r="798" spans="1:29">
      <c r="A798" s="5"/>
      <c r="C798" s="51" t="str">
        <f>C736</f>
        <v>Agg. Emerging Asia Cellular</v>
      </c>
      <c r="D798" s="52"/>
      <c r="E798" s="52"/>
      <c r="F798" s="53"/>
      <c r="G798" s="52"/>
      <c r="H798" s="46"/>
      <c r="I798" s="54">
        <f>'EM ASIA CELLULAR'!D$18/1000</f>
        <v>479.66805256183648</v>
      </c>
      <c r="J798" s="54">
        <f>'EM ASIA CELLULAR'!$E$18/1000</f>
        <v>470.53828450883123</v>
      </c>
      <c r="K798" s="54">
        <f>'EM ASIA CELLULAR'!$F$18/1000</f>
        <v>437.88708794013996</v>
      </c>
      <c r="L798" s="54">
        <f>'EM ASIA CELLULAR'!$G$18/1000</f>
        <v>400.75558369586236</v>
      </c>
      <c r="M798" s="55">
        <f>(L759/I759)^(1/3)-1</f>
        <v>-5.4811263836839874E-2</v>
      </c>
      <c r="N798" s="56"/>
      <c r="O798" s="54"/>
      <c r="P798" s="54"/>
      <c r="Q798" s="54"/>
      <c r="R798" s="54"/>
      <c r="S798" s="55"/>
      <c r="T798" s="46"/>
      <c r="U798" s="57"/>
      <c r="V798" s="58"/>
      <c r="Z798" s="49"/>
    </row>
    <row r="799" spans="1:29">
      <c r="A799" s="5"/>
      <c r="C799" s="43"/>
      <c r="D799" s="44"/>
      <c r="E799" s="44"/>
      <c r="F799" s="68"/>
      <c r="G799" s="44"/>
      <c r="H799" s="46"/>
      <c r="I799" s="62"/>
      <c r="J799" s="62"/>
      <c r="K799" s="62"/>
      <c r="L799" s="62"/>
      <c r="M799" s="61"/>
      <c r="N799" s="46"/>
      <c r="O799" s="62"/>
      <c r="P799" s="62"/>
      <c r="Q799" s="62"/>
      <c r="R799" s="62"/>
      <c r="S799" s="61"/>
      <c r="T799" s="46"/>
      <c r="U799" s="48"/>
      <c r="V799" s="50"/>
      <c r="Z799" s="49"/>
    </row>
    <row r="800" spans="1:29">
      <c r="A800" s="5"/>
      <c r="C800" s="51" t="str">
        <f>C738</f>
        <v>Agg. Emerging  Cellular</v>
      </c>
      <c r="D800" s="52"/>
      <c r="E800" s="52"/>
      <c r="F800" s="53"/>
      <c r="G800" s="52"/>
      <c r="H800" s="46"/>
      <c r="I800" s="54">
        <f>'EM CELLULAR'!D$18/1000</f>
        <v>617.72107622520832</v>
      </c>
      <c r="J800" s="54">
        <f>'EM CELLULAR'!$E$18/1000</f>
        <v>607.11184940563601</v>
      </c>
      <c r="K800" s="54">
        <f>'EM CELLULAR'!$F$18/1000</f>
        <v>570.67409961237058</v>
      </c>
      <c r="L800" s="54">
        <f>'EM CELLULAR'!$G$18/1000</f>
        <v>528.96107934464487</v>
      </c>
      <c r="M800" s="55">
        <f>(L761/I761)^(1/3)-1</f>
        <v>-9.0114973938203558E-2</v>
      </c>
      <c r="N800" s="46"/>
      <c r="O800" s="54"/>
      <c r="P800" s="54"/>
      <c r="Q800" s="54"/>
      <c r="R800" s="54"/>
      <c r="S800" s="55"/>
      <c r="T800" s="46"/>
      <c r="U800" s="57"/>
      <c r="V800" s="58"/>
      <c r="Z800" s="49"/>
    </row>
    <row r="801" spans="1:31">
      <c r="C801" s="43"/>
      <c r="D801" s="44"/>
      <c r="E801" s="44"/>
      <c r="F801" s="45"/>
      <c r="G801" s="44"/>
      <c r="H801" s="46"/>
      <c r="I801" s="47"/>
      <c r="J801" s="47"/>
      <c r="K801" s="47"/>
      <c r="L801" s="47"/>
      <c r="M801" s="45"/>
      <c r="N801" s="46"/>
      <c r="O801" s="47"/>
      <c r="P801" s="47"/>
      <c r="Q801" s="47"/>
      <c r="R801" s="47"/>
      <c r="S801" s="45"/>
      <c r="T801" s="46"/>
      <c r="U801" s="48"/>
      <c r="V801" s="50"/>
      <c r="Z801" s="49"/>
    </row>
    <row r="802" spans="1:31">
      <c r="A802" s="41" t="s">
        <v>508</v>
      </c>
      <c r="B802" s="42" t="s">
        <v>582</v>
      </c>
      <c r="C802" s="48" t="s">
        <v>819</v>
      </c>
      <c r="D802" s="44" t="str">
        <f>'EM Multiples'!B802&amp;TEXT(Prices!C$135,"0.00")</f>
        <v>MXN52.16</v>
      </c>
      <c r="E802" s="44" t="str">
        <f>'EM Multiples'!B802&amp;TEXT(Prices!E$135,"0.00")</f>
        <v>MXN55.00</v>
      </c>
      <c r="F802" s="45">
        <f>Prices!F$135</f>
        <v>5.444785276073616E-2</v>
      </c>
      <c r="G802" s="44" t="str">
        <f>Prices!D$48</f>
        <v>Buy</v>
      </c>
      <c r="H802" s="46"/>
      <c r="I802" s="47">
        <f>MEGA!D$18/1000/Prices!$C$180</f>
        <v>4.0752257436966079</v>
      </c>
      <c r="J802" s="47">
        <f>MEGA!E$18/1000/Prices!$C$180</f>
        <v>4.1887948066938963</v>
      </c>
      <c r="K802" s="47">
        <f>MEGA!F$18/1000/Prices!$C$180</f>
        <v>4.1122782685657144</v>
      </c>
      <c r="L802" s="47">
        <f>MEGA!G$18/1000/Prices!$C$180</f>
        <v>3.8636369322051713</v>
      </c>
      <c r="M802" s="45">
        <f>(L802/I802)^(1/3)-1</f>
        <v>-1.7615399760941508E-2</v>
      </c>
      <c r="N802" s="46"/>
      <c r="O802" s="47"/>
      <c r="P802" s="47"/>
      <c r="Q802" s="47"/>
      <c r="R802" s="47"/>
      <c r="S802" s="45"/>
      <c r="T802" s="46"/>
      <c r="U802" s="48"/>
      <c r="V802" s="44"/>
      <c r="Z802" s="46"/>
      <c r="AE802" s="41"/>
    </row>
    <row r="803" spans="1:31">
      <c r="A803" s="5"/>
      <c r="B803" s="42" t="s">
        <v>411</v>
      </c>
      <c r="C803" s="48" t="s">
        <v>804</v>
      </c>
      <c r="D803" s="44" t="str">
        <f>'EM Multiples'!B803&amp;TEXT(Prices!C$138,"0.00")</f>
        <v>USD8.55</v>
      </c>
      <c r="E803" s="44" t="str">
        <f>'EM Multiples'!B803&amp;TEXT(Prices!E$138,"0.00")</f>
        <v>USD14.00</v>
      </c>
      <c r="F803" s="45">
        <f>Prices!F$138</f>
        <v>0.63742690058479523</v>
      </c>
      <c r="G803" s="44" t="str">
        <f>Prices!D$138</f>
        <v>Buy</v>
      </c>
      <c r="H803" s="46"/>
      <c r="I803" s="47">
        <f>LiLAC!D$18/1000</f>
        <v>8.65441687273578</v>
      </c>
      <c r="J803" s="47">
        <f>LiLAC!E$18/1000</f>
        <v>8.3727330302392335</v>
      </c>
      <c r="K803" s="47">
        <f>LiLAC!F$18/1000</f>
        <v>9.7205247656886247</v>
      </c>
      <c r="L803" s="47">
        <f>LiLAC!G$18/1000</f>
        <v>9.4341542944595425</v>
      </c>
      <c r="M803" s="45">
        <f>(L803/I803)^(1/3)-1</f>
        <v>2.9173009190273325E-2</v>
      </c>
      <c r="N803" s="46"/>
      <c r="O803" s="47"/>
      <c r="P803" s="47"/>
      <c r="Q803" s="47"/>
      <c r="R803" s="47"/>
      <c r="S803" s="45"/>
      <c r="T803" s="46"/>
      <c r="U803" s="48"/>
      <c r="V803" s="44"/>
      <c r="Z803" s="46"/>
      <c r="AE803" s="41"/>
    </row>
    <row r="804" spans="1:31">
      <c r="A804" s="5"/>
      <c r="C804" s="67" t="s">
        <v>822</v>
      </c>
      <c r="D804" s="52"/>
      <c r="E804" s="52"/>
      <c r="F804" s="53"/>
      <c r="G804" s="52"/>
      <c r="H804" s="46"/>
      <c r="I804" s="54">
        <f>'LATAM ALTNET &amp; CABLE'!$D$18/1000</f>
        <v>12.729642616432386</v>
      </c>
      <c r="J804" s="54">
        <f>'LATAM ALTNET &amp; CABLE'!$E$18/1000</f>
        <v>12.561527836933129</v>
      </c>
      <c r="K804" s="54">
        <f>'LATAM ALTNET &amp; CABLE'!$F$18/1000</f>
        <v>13.832803034254338</v>
      </c>
      <c r="L804" s="54">
        <f>'LATAM ALTNET &amp; CABLE'!$G$18/1000</f>
        <v>13.297791226664714</v>
      </c>
      <c r="M804" s="55">
        <f>(L804/I804)^(1/3)-1</f>
        <v>1.4661307957358094E-2</v>
      </c>
      <c r="N804" s="46"/>
      <c r="O804" s="54"/>
      <c r="P804" s="54"/>
      <c r="Q804" s="54"/>
      <c r="R804" s="54"/>
      <c r="S804" s="55"/>
      <c r="T804" s="46"/>
      <c r="U804" s="57"/>
      <c r="V804" s="58"/>
      <c r="Z804" s="46"/>
      <c r="AE804" s="41"/>
    </row>
    <row r="805" spans="1:31">
      <c r="C805" s="43"/>
      <c r="D805" s="44"/>
      <c r="E805" s="44"/>
      <c r="F805" s="45"/>
      <c r="G805" s="44"/>
      <c r="H805" s="46"/>
      <c r="I805" s="47"/>
      <c r="J805" s="47"/>
      <c r="K805" s="47"/>
      <c r="L805" s="47"/>
      <c r="M805" s="45"/>
      <c r="N805" s="46"/>
      <c r="O805" s="47"/>
      <c r="P805" s="47"/>
      <c r="Q805" s="47"/>
      <c r="R805" s="47"/>
      <c r="S805" s="45"/>
      <c r="T805" s="46"/>
      <c r="U805" s="48"/>
      <c r="V805" s="50"/>
      <c r="Z805" s="49"/>
    </row>
    <row r="806" spans="1:31">
      <c r="C806" s="67" t="str">
        <f>C744</f>
        <v>Agg. EMEA sector</v>
      </c>
      <c r="D806" s="52"/>
      <c r="E806" s="52"/>
      <c r="F806" s="53"/>
      <c r="G806" s="52"/>
      <c r="H806" s="46"/>
      <c r="I806" s="54">
        <f>'EMEA AGG'!$D$18/1000</f>
        <v>111.05622408347917</v>
      </c>
      <c r="J806" s="54">
        <f>'EMEA AGG'!$E$18/1000</f>
        <v>110.60954457856015</v>
      </c>
      <c r="K806" s="54">
        <f>'EMEA AGG'!$F$18/1000</f>
        <v>108.44209401792014</v>
      </c>
      <c r="L806" s="54">
        <f>'EMEA AGG'!$G$18/1000</f>
        <v>105.93493485113669</v>
      </c>
      <c r="M806" s="55">
        <f>(L806/I806)^(1/3)-1</f>
        <v>-1.5613988705180937E-2</v>
      </c>
      <c r="N806" s="56"/>
      <c r="O806" s="54"/>
      <c r="P806" s="54"/>
      <c r="Q806" s="54"/>
      <c r="R806" s="54"/>
      <c r="S806" s="55"/>
      <c r="T806" s="46"/>
      <c r="U806" s="57"/>
      <c r="V806" s="58"/>
      <c r="Z806" s="49"/>
    </row>
    <row r="807" spans="1:31">
      <c r="C807" s="41" t="str">
        <f>C745</f>
        <v>Agg. LatAm sector</v>
      </c>
      <c r="D807" s="44"/>
      <c r="E807" s="44"/>
      <c r="F807" s="45"/>
      <c r="G807" s="44"/>
      <c r="H807" s="46"/>
      <c r="I807" s="60">
        <f>'LATAM AGG'!$D$18/1000</f>
        <v>149.32385074689788</v>
      </c>
      <c r="J807" s="60">
        <f>'LATAM AGG'!$E$18/1000</f>
        <v>143.38571311815272</v>
      </c>
      <c r="K807" s="60">
        <f>'LATAM AGG'!$F$18/1000</f>
        <v>136.46431857246279</v>
      </c>
      <c r="L807" s="60">
        <f>'LATAM AGG'!$G$18/1000</f>
        <v>127.80140011284632</v>
      </c>
      <c r="M807" s="59">
        <f>(L807/I807)^(1/3)-1</f>
        <v>-5.0557189414788151E-2</v>
      </c>
      <c r="N807" s="56"/>
      <c r="O807" s="60"/>
      <c r="P807" s="60"/>
      <c r="Q807" s="60"/>
      <c r="R807" s="60"/>
      <c r="S807" s="59"/>
      <c r="T807" s="46"/>
      <c r="U807" s="48"/>
      <c r="V807" s="50"/>
      <c r="Z807" s="49"/>
    </row>
    <row r="808" spans="1:31">
      <c r="C808" s="67" t="str">
        <f>C746</f>
        <v>Agg. Emerging Asia sector</v>
      </c>
      <c r="D808" s="52"/>
      <c r="E808" s="52"/>
      <c r="F808" s="53"/>
      <c r="G808" s="52"/>
      <c r="H808" s="46"/>
      <c r="I808" s="54">
        <f>'AGG EM ASIA'!$D$18/1000</f>
        <v>17768.54147964911</v>
      </c>
      <c r="J808" s="54">
        <f>'AGG EM ASIA'!$E$18/1000</f>
        <v>17397.54092589112</v>
      </c>
      <c r="K808" s="54">
        <f>'AGG EM ASIA'!$F$18/1000</f>
        <v>15632.141173794036</v>
      </c>
      <c r="L808" s="54">
        <f>'AGG EM ASIA'!$G$18/1000</f>
        <v>13773.96175605389</v>
      </c>
      <c r="M808" s="55">
        <f>(L808/I808)^(1/3)-1</f>
        <v>-8.1380421137036363E-2</v>
      </c>
      <c r="N808" s="56"/>
      <c r="O808" s="54"/>
      <c r="P808" s="54"/>
      <c r="Q808" s="54"/>
      <c r="R808" s="54"/>
      <c r="S808" s="55"/>
      <c r="T808" s="46"/>
      <c r="U808" s="57"/>
      <c r="V808" s="58"/>
      <c r="Z808" s="49"/>
    </row>
    <row r="809" spans="1:31">
      <c r="C809" s="41"/>
      <c r="D809" s="44"/>
      <c r="E809" s="44"/>
      <c r="F809" s="45"/>
      <c r="G809" s="44"/>
      <c r="H809" s="46"/>
      <c r="I809" s="60"/>
      <c r="J809" s="60"/>
      <c r="K809" s="60"/>
      <c r="L809" s="60"/>
      <c r="M809" s="59"/>
      <c r="N809" s="56"/>
      <c r="O809" s="60"/>
      <c r="P809" s="60"/>
      <c r="Q809" s="60"/>
      <c r="R809" s="60"/>
      <c r="S809" s="59"/>
      <c r="T809" s="46"/>
      <c r="U809" s="48"/>
      <c r="V809" s="50"/>
      <c r="Z809" s="49"/>
    </row>
    <row r="810" spans="1:31">
      <c r="C810" s="67" t="str">
        <f>C748</f>
        <v>Agg. Global EM sector (ex-consensus)</v>
      </c>
      <c r="D810" s="52"/>
      <c r="E810" s="52"/>
      <c r="F810" s="53"/>
      <c r="G810" s="52"/>
      <c r="H810" s="46"/>
      <c r="I810" s="54">
        <f>'AGG EM'!$D$18/1000</f>
        <v>18028.921554479482</v>
      </c>
      <c r="J810" s="54">
        <f>'AGG EM'!$E$18/1000</f>
        <v>17651.536183587832</v>
      </c>
      <c r="K810" s="54">
        <f>'AGG EM'!$F$18/1000</f>
        <v>15877.047586384419</v>
      </c>
      <c r="L810" s="54">
        <f>'AGG EM'!$G$18/1000</f>
        <v>14007.698091017872</v>
      </c>
      <c r="M810" s="55">
        <f>(L810/I810)^(1/3)-1</f>
        <v>-8.0682188389684328E-2</v>
      </c>
      <c r="N810" s="56"/>
      <c r="O810" s="54"/>
      <c r="P810" s="54"/>
      <c r="Q810" s="54"/>
      <c r="R810" s="54"/>
      <c r="S810" s="55"/>
      <c r="T810" s="46"/>
      <c r="U810" s="57"/>
      <c r="V810" s="58"/>
      <c r="Z810" s="49"/>
    </row>
    <row r="811" spans="1:31">
      <c r="U811" s="5"/>
      <c r="V811" s="63"/>
      <c r="X811" s="1"/>
      <c r="Z811" s="49"/>
    </row>
    <row r="812" spans="1:31">
      <c r="U812" s="5"/>
      <c r="V812" s="63"/>
      <c r="X812" s="1"/>
      <c r="Z812" s="49"/>
    </row>
  </sheetData>
  <mergeCells count="1">
    <mergeCell ref="I6:M6"/>
  </mergeCells>
  <phoneticPr fontId="7" type="noConversion"/>
  <conditionalFormatting sqref="C8:G66 I8:M66 O8:S66 U8:V66 C70:G128 I70:M128 O70:S128 U70:V128 C132:G190 I132:M190 O132:S190 U132:V190 C194:G252 I194:M252 O194:S252 U194:V252 C256:G314 I256:M314 O256:S314 U256:V314 C318:G376 I318:M376 O318:S376 U318:V376 C380:G438 I380:M438 O380:S438 U380:V438 C442:G500 I442:M500 O442:S500 U442:V500 C504:G562 I504:M562 O504:S562 U504:V562 C566:G624 I566:M624 O566:S624 U566:V624 C628:G686 I628:M686 O628:S686 U628:V686 C690:G748 I690:M748 O690:S748 U690:V748 C752:G810 I752:M810 O752:S810 U752:V810">
    <cfRule type="expression" dxfId="2" priority="52">
      <formula>EVEN(ROW())=ROW()</formula>
    </cfRule>
  </conditionalFormatting>
  <hyperlinks>
    <hyperlink ref="Y1" location="Prices!A1" display="Jump to Prices" xr:uid="{83B29D5B-D30E-4ECA-AAEB-9ED957BF6088}"/>
  </hyperlinks>
  <printOptions horizontalCentered="1" verticalCentered="1"/>
  <pageMargins left="0.31496062992125984" right="0" top="0" bottom="0" header="0" footer="0"/>
  <pageSetup paperSize="9" scale="59" orientation="landscape" copies="3" r:id="rId1"/>
  <headerFooter alignWithMargins="0">
    <oddFooter>&amp;L&amp;"Trebuchet MS,Bold"&amp;8Note: EV's are calculated using rolling net debt and are adjusted for dividends paid. March/June year end companies are aligned with previous calendar year.</oddFooter>
  </headerFooter>
  <rowBreaks count="12" manualBreakCount="12">
    <brk id="67" max="22" man="1"/>
    <brk id="129" max="22" man="1"/>
    <brk id="191" max="22" man="1"/>
    <brk id="253" max="22" man="1"/>
    <brk id="315" max="22" man="1"/>
    <brk id="377" max="22" man="1"/>
    <brk id="439" max="22" man="1"/>
    <brk id="501" max="22" man="1"/>
    <brk id="563" max="22" man="1"/>
    <brk id="625" max="22" man="1"/>
    <brk id="687" max="22" man="1"/>
    <brk id="749" max="22" man="1"/>
  </rowBreaks>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104">
    <pageSetUpPr fitToPage="1"/>
  </sheetPr>
  <dimension ref="B1:AR165"/>
  <sheetViews>
    <sheetView showGridLines="0" zoomScale="80" zoomScaleNormal="80" workbookViewId="0"/>
  </sheetViews>
  <sheetFormatPr defaultColWidth="9.109375" defaultRowHeight="12"/>
  <cols>
    <col min="1" max="1" width="2.33203125" style="39" customWidth="1"/>
    <col min="2" max="2" width="26.5546875" style="39" customWidth="1"/>
    <col min="3" max="9" width="10" style="39" customWidth="1"/>
    <col min="10" max="10" width="26.6640625" style="39" customWidth="1"/>
    <col min="11" max="16" width="10" style="39" customWidth="1"/>
    <col min="17" max="19" width="8.6640625" style="39" customWidth="1"/>
    <col min="20" max="28" width="8.6640625" style="5" customWidth="1"/>
    <col min="29" max="44" width="9.109375" style="5"/>
    <col min="45" max="16384" width="9.109375" style="39"/>
  </cols>
  <sheetData>
    <row r="1" spans="2:44" s="312" customFormat="1">
      <c r="T1" s="149"/>
      <c r="U1" s="149"/>
      <c r="V1" s="149"/>
      <c r="W1" s="149"/>
      <c r="X1" s="149"/>
      <c r="Y1" s="149"/>
      <c r="Z1" s="149"/>
      <c r="AA1" s="149"/>
      <c r="AB1" s="149"/>
      <c r="AC1" s="149"/>
      <c r="AD1" s="149"/>
      <c r="AE1" s="149"/>
      <c r="AF1" s="149"/>
      <c r="AG1" s="149"/>
      <c r="AH1" s="149"/>
      <c r="AI1" s="149"/>
      <c r="AJ1" s="149"/>
      <c r="AK1" s="149"/>
      <c r="AL1" s="149"/>
      <c r="AM1" s="149"/>
      <c r="AN1" s="149"/>
      <c r="AO1" s="149"/>
      <c r="AP1" s="149"/>
      <c r="AQ1" s="149"/>
      <c r="AR1" s="149"/>
    </row>
    <row r="2" spans="2:44" s="149" customFormat="1"/>
    <row r="3" spans="2:44" s="149" customFormat="1">
      <c r="H3" s="153"/>
      <c r="P3" s="153"/>
    </row>
    <row r="4" spans="2:44" s="156" customFormat="1" ht="21">
      <c r="B4" s="129" t="s">
        <v>1053</v>
      </c>
      <c r="H4" s="222"/>
      <c r="P4" s="222"/>
    </row>
    <row r="5" spans="2:44" s="149" customFormat="1">
      <c r="C5" s="153"/>
      <c r="D5" s="153" t="str" cm="1">
        <f t="array" ref="D5:H5">headings</f>
        <v>2023E</v>
      </c>
      <c r="E5" s="153" t="str">
        <v>2024E</v>
      </c>
      <c r="F5" s="153" t="str">
        <v>2025E</v>
      </c>
      <c r="G5" s="153" t="str">
        <v>2026E</v>
      </c>
      <c r="H5" s="153" t="str">
        <v>23E-26E</v>
      </c>
      <c r="I5" s="153"/>
      <c r="J5" s="153"/>
      <c r="K5" s="153"/>
      <c r="L5" s="153" t="str" cm="1">
        <f t="array" ref="L5:P5">headings</f>
        <v>2023E</v>
      </c>
      <c r="M5" s="153" t="str">
        <v>2024E</v>
      </c>
      <c r="N5" s="153" t="str">
        <v>2025E</v>
      </c>
      <c r="O5" s="153" t="str">
        <v>2026E</v>
      </c>
      <c r="P5" s="153" t="str">
        <v>23E-26E</v>
      </c>
      <c r="Q5" s="162"/>
      <c r="R5" s="162"/>
      <c r="S5" s="162"/>
      <c r="T5" s="162"/>
      <c r="U5" s="162"/>
      <c r="V5" s="162"/>
      <c r="W5" s="162"/>
      <c r="X5" s="162"/>
      <c r="Y5" s="162"/>
    </row>
    <row r="6" spans="2:44">
      <c r="I6" s="5"/>
      <c r="J6" s="5"/>
      <c r="K6" s="5"/>
      <c r="L6" s="5"/>
      <c r="M6" s="5"/>
      <c r="N6" s="5"/>
      <c r="O6" s="49"/>
    </row>
    <row r="7" spans="2:44" ht="12.6" thickBot="1">
      <c r="B7" s="306" t="s">
        <v>271</v>
      </c>
      <c r="C7" s="265"/>
      <c r="D7" s="265" t="str">
        <f>D5</f>
        <v>2023E</v>
      </c>
      <c r="E7" s="265" t="str">
        <f t="shared" ref="E7:H7" si="0">E5</f>
        <v>2024E</v>
      </c>
      <c r="F7" s="265" t="str">
        <f t="shared" si="0"/>
        <v>2025E</v>
      </c>
      <c r="G7" s="265" t="str">
        <f t="shared" si="0"/>
        <v>2026E</v>
      </c>
      <c r="H7" s="265" t="str">
        <f t="shared" si="0"/>
        <v>23E-26E</v>
      </c>
      <c r="I7" s="49"/>
      <c r="J7" s="306" t="s">
        <v>380</v>
      </c>
      <c r="K7" s="306"/>
      <c r="L7" s="265" t="str">
        <f>L5</f>
        <v>2023E</v>
      </c>
      <c r="M7" s="265" t="str">
        <f t="shared" ref="M7:P7" si="1">M5</f>
        <v>2024E</v>
      </c>
      <c r="N7" s="265" t="str">
        <f t="shared" si="1"/>
        <v>2025E</v>
      </c>
      <c r="O7" s="265" t="str">
        <f t="shared" si="1"/>
        <v>2026E</v>
      </c>
      <c r="P7" s="265" t="str">
        <f t="shared" si="1"/>
        <v>23E-26E</v>
      </c>
    </row>
    <row r="8" spans="2:44" ht="12.6" thickTop="1">
      <c r="B8" s="5"/>
      <c r="C8" s="5"/>
      <c r="D8" s="5"/>
      <c r="E8" s="5"/>
      <c r="F8" s="5"/>
      <c r="G8" s="5"/>
      <c r="H8" s="5"/>
      <c r="I8" s="5"/>
      <c r="J8" s="5"/>
      <c r="K8" s="5"/>
      <c r="L8" s="5"/>
      <c r="M8" s="5"/>
      <c r="N8" s="5"/>
      <c r="S8" s="88"/>
      <c r="T8" s="42"/>
      <c r="U8" s="42"/>
      <c r="V8" s="42"/>
      <c r="W8" s="42"/>
      <c r="X8" s="42"/>
      <c r="Y8" s="42"/>
      <c r="Z8" s="42"/>
      <c r="AA8" s="42"/>
    </row>
    <row r="9" spans="2:44">
      <c r="B9" s="41" t="s">
        <v>333</v>
      </c>
      <c r="C9" s="287">
        <f>Prices!C117</f>
        <v>115.5</v>
      </c>
      <c r="D9" s="535">
        <v>0</v>
      </c>
      <c r="E9" s="536">
        <v>0</v>
      </c>
      <c r="F9" s="536">
        <v>0</v>
      </c>
      <c r="G9" s="536">
        <v>0</v>
      </c>
      <c r="H9" s="249"/>
      <c r="I9" s="249"/>
      <c r="J9" s="5" t="s">
        <v>273</v>
      </c>
      <c r="L9" s="529">
        <f>'EMEA CELLULAR'!D37</f>
        <v>3.0372013947638039</v>
      </c>
      <c r="M9" s="529">
        <f>'EMEA CELLULAR'!E37</f>
        <v>3.0765788213213532</v>
      </c>
      <c r="N9" s="529">
        <f>'EMEA CELLULAR'!F37</f>
        <v>2.7986180316483407</v>
      </c>
      <c r="O9" s="529">
        <f>'EMEA CELLULAR'!G37</f>
        <v>2.565989431468322</v>
      </c>
      <c r="P9" s="286">
        <f>'EMEA CELLULAR'!H37</f>
        <v>4.2716103268778172E-2</v>
      </c>
      <c r="S9" s="88"/>
      <c r="T9" s="42"/>
      <c r="U9" s="42"/>
      <c r="V9" s="42"/>
      <c r="W9" s="42"/>
      <c r="X9" s="42"/>
      <c r="Y9" s="42"/>
      <c r="Z9" s="42"/>
      <c r="AA9" s="42"/>
    </row>
    <row r="10" spans="2:44">
      <c r="B10" s="5" t="s">
        <v>274</v>
      </c>
      <c r="C10" s="5"/>
      <c r="D10" s="531">
        <v>439</v>
      </c>
      <c r="E10" s="531">
        <v>439</v>
      </c>
      <c r="F10" s="531">
        <v>439</v>
      </c>
      <c r="G10" s="531">
        <v>439</v>
      </c>
      <c r="H10" s="247"/>
      <c r="I10" s="247"/>
      <c r="J10" s="5" t="s">
        <v>184</v>
      </c>
      <c r="L10" s="529">
        <f>'EMEA CELLULAR'!D38</f>
        <v>7.2238222733245729</v>
      </c>
      <c r="M10" s="529">
        <f>'EMEA CELLULAR'!E38</f>
        <v>7.4237558505709842</v>
      </c>
      <c r="N10" s="529">
        <f>'EMEA CELLULAR'!F38</f>
        <v>6.674196011969129</v>
      </c>
      <c r="O10" s="529">
        <f>'EMEA CELLULAR'!G38</f>
        <v>6.0998043636708204</v>
      </c>
      <c r="P10" s="286">
        <f>'EMEA CELLULAR'!H38</f>
        <v>4.2902128020809061E-2</v>
      </c>
      <c r="S10" s="88"/>
      <c r="T10" s="42"/>
      <c r="U10" s="42"/>
      <c r="V10" s="42"/>
      <c r="W10" s="288"/>
      <c r="X10" s="288"/>
      <c r="Y10" s="288"/>
      <c r="Z10" s="288"/>
      <c r="AA10" s="42"/>
    </row>
    <row r="11" spans="2:44">
      <c r="B11" s="41" t="s">
        <v>275</v>
      </c>
      <c r="C11" s="5"/>
      <c r="D11" s="532">
        <f>$C$9*D10</f>
        <v>50704.5</v>
      </c>
      <c r="E11" s="532">
        <f>$C$9*E10</f>
        <v>50704.5</v>
      </c>
      <c r="F11" s="532">
        <f>$C$9*F10</f>
        <v>50704.5</v>
      </c>
      <c r="G11" s="532">
        <f>$C$9*G10</f>
        <v>50704.5</v>
      </c>
      <c r="H11" s="249"/>
      <c r="I11" s="249"/>
      <c r="J11" s="5" t="s">
        <v>185</v>
      </c>
      <c r="L11" s="529">
        <f>'EMEA CELLULAR'!D39</f>
        <v>13.934000165140167</v>
      </c>
      <c r="M11" s="529">
        <f>'EMEA CELLULAR'!E39</f>
        <v>14.181691463921256</v>
      </c>
      <c r="N11" s="529">
        <f>'EMEA CELLULAR'!F39</f>
        <v>12.081890560836975</v>
      </c>
      <c r="O11" s="529">
        <f>'EMEA CELLULAR'!G39</f>
        <v>10.645257413209695</v>
      </c>
      <c r="P11" s="286">
        <f>'EMEA CELLULAR'!H39</f>
        <v>7.8283731285485381E-2</v>
      </c>
      <c r="S11" s="88"/>
      <c r="T11" s="42"/>
      <c r="U11" s="42"/>
      <c r="V11" s="42"/>
      <c r="W11" s="288"/>
      <c r="X11" s="288"/>
      <c r="Y11" s="288"/>
      <c r="Z11" s="288"/>
      <c r="AA11" s="42"/>
    </row>
    <row r="12" spans="2:44">
      <c r="B12" s="5" t="s">
        <v>24</v>
      </c>
      <c r="C12" s="249"/>
      <c r="D12" s="533">
        <v>-2908.2580118265978</v>
      </c>
      <c r="E12" s="533">
        <v>-7980.1327838470133</v>
      </c>
      <c r="F12" s="533">
        <v>-13249.823456503033</v>
      </c>
      <c r="G12" s="533">
        <v>-18398.589360301306</v>
      </c>
      <c r="H12" s="247"/>
      <c r="I12" s="247"/>
      <c r="J12" s="5" t="s">
        <v>466</v>
      </c>
      <c r="L12" s="529">
        <f>'EMEA CELLULAR'!D40</f>
        <v>20.693503485744461</v>
      </c>
      <c r="M12" s="529">
        <f>'EMEA CELLULAR'!E40</f>
        <v>20.954826177285547</v>
      </c>
      <c r="N12" s="529">
        <f>'EMEA CELLULAR'!F40</f>
        <v>17.986415749594904</v>
      </c>
      <c r="O12" s="529">
        <f>'EMEA CELLULAR'!G40</f>
        <v>15.937236715818882</v>
      </c>
      <c r="P12" s="286">
        <f>'EMEA CELLULAR'!H40</f>
        <v>7.539209226558885E-2</v>
      </c>
      <c r="S12" s="88"/>
      <c r="T12" s="42"/>
      <c r="U12" s="42"/>
      <c r="V12" s="42"/>
      <c r="W12" s="288"/>
      <c r="X12" s="288"/>
      <c r="Y12" s="288"/>
      <c r="Z12" s="288"/>
      <c r="AA12" s="42"/>
    </row>
    <row r="13" spans="2:44">
      <c r="B13" s="5" t="s">
        <v>529</v>
      </c>
      <c r="C13" s="257"/>
      <c r="D13" s="533">
        <v>0</v>
      </c>
      <c r="E13" s="533">
        <v>0</v>
      </c>
      <c r="F13" s="533">
        <v>0</v>
      </c>
      <c r="G13" s="533">
        <v>0</v>
      </c>
      <c r="H13" s="247"/>
      <c r="I13" s="247"/>
      <c r="J13" s="5" t="s">
        <v>530</v>
      </c>
      <c r="L13" s="529">
        <f>'EMEA CELLULAR'!D41</f>
        <v>2.9063718801101484</v>
      </c>
      <c r="M13" s="529">
        <f>'EMEA CELLULAR'!E41</f>
        <v>2.8096465424917763</v>
      </c>
      <c r="N13" s="529">
        <f>'EMEA CELLULAR'!F41</f>
        <v>2.6770412504562215</v>
      </c>
      <c r="O13" s="529">
        <f>'EMEA CELLULAR'!G41</f>
        <v>2.5396311085256196</v>
      </c>
      <c r="P13" s="286">
        <f>'EMEA CELLULAR'!H41</f>
        <v>3.1066523451782402E-2</v>
      </c>
      <c r="S13" s="88"/>
      <c r="T13" s="42"/>
      <c r="U13" s="42"/>
      <c r="V13" s="42"/>
      <c r="W13" s="42"/>
      <c r="X13" s="42"/>
      <c r="Y13" s="42"/>
      <c r="Z13" s="42"/>
      <c r="AA13" s="42"/>
    </row>
    <row r="14" spans="2:44">
      <c r="B14" s="5" t="s">
        <v>532</v>
      </c>
      <c r="C14" s="257"/>
      <c r="D14" s="533">
        <v>0</v>
      </c>
      <c r="E14" s="533">
        <v>0</v>
      </c>
      <c r="F14" s="533">
        <v>0</v>
      </c>
      <c r="G14" s="533">
        <v>0</v>
      </c>
      <c r="H14" s="247"/>
      <c r="I14" s="247"/>
      <c r="J14" s="5" t="s">
        <v>593</v>
      </c>
      <c r="L14" s="529">
        <f>'EMEA CELLULAR'!D42</f>
        <v>4.1985652011209735</v>
      </c>
      <c r="M14" s="529">
        <f>'EMEA CELLULAR'!E42</f>
        <v>4.0862699766964772</v>
      </c>
      <c r="N14" s="529">
        <f>'EMEA CELLULAR'!F42</f>
        <v>3.913769934902958</v>
      </c>
      <c r="O14" s="529">
        <f>'EMEA CELLULAR'!G42</f>
        <v>3.7199710824883767</v>
      </c>
      <c r="P14" s="286">
        <f>'EMEA CELLULAR'!H42</f>
        <v>2.6314073359182233E-2</v>
      </c>
      <c r="S14" s="88"/>
      <c r="T14" s="42"/>
      <c r="U14" s="42"/>
      <c r="V14" s="42"/>
      <c r="W14" s="42"/>
      <c r="X14" s="42"/>
      <c r="Y14" s="42"/>
      <c r="Z14" s="42"/>
      <c r="AA14" s="42"/>
    </row>
    <row r="15" spans="2:44">
      <c r="B15" s="5" t="s">
        <v>531</v>
      </c>
      <c r="C15" s="274"/>
      <c r="D15" s="533">
        <v>23213.426278986153</v>
      </c>
      <c r="E15" s="533">
        <v>23213.426278986153</v>
      </c>
      <c r="F15" s="533">
        <v>23213.426278986153</v>
      </c>
      <c r="G15" s="533">
        <v>23213.426278986153</v>
      </c>
      <c r="H15" s="247"/>
      <c r="I15" s="247"/>
      <c r="J15" s="5" t="s">
        <v>475</v>
      </c>
      <c r="L15" s="529">
        <f>'EMEA CELLULAR'!D43</f>
        <v>31.153660262051059</v>
      </c>
      <c r="M15" s="529">
        <f>'EMEA CELLULAR'!E43</f>
        <v>40.589413647062131</v>
      </c>
      <c r="N15" s="529">
        <f>'EMEA CELLULAR'!F43</f>
        <v>28.94936800421025</v>
      </c>
      <c r="O15" s="529">
        <f>'EMEA CELLULAR'!G43</f>
        <v>25.752132437276039</v>
      </c>
      <c r="P15" s="286">
        <f>'EMEA CELLULAR'!H43</f>
        <v>6.5529048867266182E-2</v>
      </c>
      <c r="S15" s="88"/>
      <c r="T15" s="42"/>
      <c r="U15" s="42"/>
      <c r="V15" s="42"/>
      <c r="W15" s="42"/>
      <c r="X15" s="42"/>
      <c r="Y15" s="42"/>
      <c r="Z15" s="42"/>
      <c r="AA15" s="42"/>
    </row>
    <row r="16" spans="2:44">
      <c r="B16" s="5" t="s">
        <v>534</v>
      </c>
      <c r="C16" s="257"/>
      <c r="D16" s="533">
        <v>15466.681162572979</v>
      </c>
      <c r="E16" s="533">
        <v>21483.503487923535</v>
      </c>
      <c r="F16" s="533">
        <v>28136.54655106974</v>
      </c>
      <c r="G16" s="533">
        <v>0</v>
      </c>
      <c r="H16" s="247"/>
      <c r="I16" s="247"/>
      <c r="J16" s="5" t="s">
        <v>533</v>
      </c>
      <c r="L16" s="529">
        <f>'EMEA CELLULAR'!D44</f>
        <v>27.614186259633261</v>
      </c>
      <c r="M16" s="529">
        <f>'EMEA CELLULAR'!E44</f>
        <v>26.587472010710737</v>
      </c>
      <c r="N16" s="529">
        <f>'EMEA CELLULAR'!F44</f>
        <v>20.63478491648139</v>
      </c>
      <c r="O16" s="529">
        <f>'EMEA CELLULAR'!G44</f>
        <v>18.214851681953164</v>
      </c>
      <c r="P16" s="286">
        <f>'EMEA CELLULAR'!H44</f>
        <v>0.14827356589829632</v>
      </c>
      <c r="S16" s="88"/>
      <c r="T16" s="42"/>
      <c r="U16" s="42"/>
      <c r="V16" s="42"/>
      <c r="W16" s="42"/>
      <c r="X16" s="42"/>
      <c r="Y16" s="42"/>
      <c r="Z16" s="42"/>
      <c r="AA16" s="42"/>
    </row>
    <row r="17" spans="2:27">
      <c r="B17" s="5" t="s">
        <v>6</v>
      </c>
      <c r="C17" s="257"/>
      <c r="D17" s="533">
        <v>0</v>
      </c>
      <c r="E17" s="533">
        <v>0</v>
      </c>
      <c r="F17" s="533">
        <v>0</v>
      </c>
      <c r="G17" s="533">
        <v>0</v>
      </c>
      <c r="H17" s="247"/>
      <c r="I17" s="247"/>
      <c r="J17" s="5" t="s">
        <v>580</v>
      </c>
      <c r="L17" s="248">
        <f>'EMEA CELLULAR'!D45</f>
        <v>2.0041910197939054E-2</v>
      </c>
      <c r="M17" s="248">
        <f>'EMEA CELLULAR'!E45</f>
        <v>2.2662064400045302E-2</v>
      </c>
      <c r="N17" s="248">
        <f>'EMEA CELLULAR'!F45</f>
        <v>2.6655091715603346E-2</v>
      </c>
      <c r="O17" s="248">
        <f>'EMEA CELLULAR'!G45</f>
        <v>2.9169701214626476E-2</v>
      </c>
      <c r="P17" s="286">
        <f>'EMEA CELLULAR'!H45</f>
        <v>0.13276751641400475</v>
      </c>
      <c r="S17" s="88"/>
      <c r="T17" s="42"/>
      <c r="U17" s="42"/>
      <c r="V17" s="42"/>
      <c r="W17" s="42"/>
      <c r="X17" s="42"/>
      <c r="Y17" s="42"/>
      <c r="Z17" s="42"/>
      <c r="AA17" s="42"/>
    </row>
    <row r="18" spans="2:27" ht="12.6" thickBot="1">
      <c r="B18" s="41" t="s">
        <v>583</v>
      </c>
      <c r="C18" s="249"/>
      <c r="D18" s="534">
        <f>D11+D12+D13-D14+D15-D16-D17</f>
        <v>55542.987104586573</v>
      </c>
      <c r="E18" s="534">
        <f>E11+E12+E13-E14+E15-E16-E17</f>
        <v>44454.290007215604</v>
      </c>
      <c r="F18" s="534">
        <f>F11+F12+F13-F14+F15-F16-F17</f>
        <v>32531.556271413385</v>
      </c>
      <c r="G18" s="534">
        <f>G11+G12+G13-G14+G15-G16-G17</f>
        <v>55519.336918684843</v>
      </c>
      <c r="H18" s="276">
        <f>IF(D18=0,"nm",IF(G18=0,"nm",(G18/D18)^(1/3)-1))</f>
        <v>-1.4195337507161288E-4</v>
      </c>
      <c r="I18" s="254"/>
      <c r="J18" s="5" t="s">
        <v>36</v>
      </c>
      <c r="L18" s="248">
        <f>'EMEA CELLULAR'!D46</f>
        <v>2.1131796481131483E-2</v>
      </c>
      <c r="M18" s="248">
        <f>'EMEA CELLULAR'!E46</f>
        <v>1.7391477966924081E-2</v>
      </c>
      <c r="N18" s="248">
        <f>'EMEA CELLULAR'!F46</f>
        <v>3.2252261934863267E-2</v>
      </c>
      <c r="O18" s="248">
        <f>'EMEA CELLULAR'!G46</f>
        <v>2.8815660020290752E-2</v>
      </c>
      <c r="P18" s="286">
        <f>'EMEA CELLULAR'!H46</f>
        <v>0.10842730164220327</v>
      </c>
      <c r="S18" s="88"/>
      <c r="T18" s="42"/>
      <c r="U18" s="42"/>
      <c r="V18" s="42"/>
      <c r="W18" s="42"/>
      <c r="X18" s="42"/>
      <c r="Y18" s="42"/>
      <c r="Z18" s="42"/>
      <c r="AA18" s="42"/>
    </row>
    <row r="19" spans="2:27" ht="12.6" thickTop="1">
      <c r="B19" s="41"/>
      <c r="C19" s="249"/>
      <c r="D19" s="229"/>
      <c r="E19" s="229"/>
      <c r="F19" s="229"/>
      <c r="G19" s="229"/>
      <c r="H19" s="276"/>
      <c r="I19" s="254"/>
      <c r="J19" s="5" t="s">
        <v>581</v>
      </c>
      <c r="L19" s="248">
        <f>'EMEA CELLULAR'!D47</f>
        <v>3.2098956963272834E-2</v>
      </c>
      <c r="M19" s="248">
        <f>'EMEA CELLULAR'!E47</f>
        <v>2.4636965901880678E-2</v>
      </c>
      <c r="N19" s="248">
        <f>'EMEA CELLULAR'!F47</f>
        <v>3.4543068430874381E-2</v>
      </c>
      <c r="O19" s="248">
        <f>'EMEA CELLULAR'!G47</f>
        <v>3.8831735679974472E-2</v>
      </c>
      <c r="P19" s="286">
        <f>'EMEA CELLULAR'!H47</f>
        <v>6.5529048867266182E-2</v>
      </c>
      <c r="S19" s="88"/>
      <c r="T19" s="42"/>
      <c r="U19" s="42"/>
      <c r="V19" s="42"/>
      <c r="W19" s="42"/>
      <c r="X19" s="42"/>
      <c r="Y19" s="42"/>
      <c r="Z19" s="42"/>
      <c r="AA19" s="42"/>
    </row>
    <row r="20" spans="2:27">
      <c r="H20" s="277"/>
      <c r="I20" s="17"/>
      <c r="J20" s="5" t="s">
        <v>604</v>
      </c>
      <c r="L20" s="305">
        <f>'EMEA CELLULAR'!D48</f>
        <v>0.66646495357608038</v>
      </c>
      <c r="M20" s="305">
        <f>'EMEA CELLULAR'!E48</f>
        <v>0.98055252685916661</v>
      </c>
      <c r="N20" s="305">
        <f>'EMEA CELLULAR'!F48</f>
        <v>0.8225795047533091</v>
      </c>
      <c r="O20" s="305">
        <f>'EMEA CELLULAR'!G48</f>
        <v>0.80076262408893306</v>
      </c>
      <c r="P20" s="286" t="str">
        <f>'EMEA CELLULAR'!H48</f>
        <v>nm</v>
      </c>
      <c r="S20" s="88"/>
      <c r="T20" s="42"/>
      <c r="U20" s="42"/>
      <c r="V20" s="42"/>
      <c r="W20" s="42"/>
      <c r="X20" s="42"/>
      <c r="Y20" s="42"/>
      <c r="Z20" s="42"/>
      <c r="AA20" s="42"/>
    </row>
    <row r="21" spans="2:27" ht="12.6" thickBot="1">
      <c r="B21" s="306" t="s">
        <v>945</v>
      </c>
      <c r="C21" s="265"/>
      <c r="D21" s="265" t="str">
        <f>D5</f>
        <v>2023E</v>
      </c>
      <c r="E21" s="265" t="str">
        <f t="shared" ref="E21:H21" si="2">E5</f>
        <v>2024E</v>
      </c>
      <c r="F21" s="265" t="str">
        <f t="shared" si="2"/>
        <v>2025E</v>
      </c>
      <c r="G21" s="265" t="str">
        <f t="shared" si="2"/>
        <v>2026E</v>
      </c>
      <c r="H21" s="265" t="str">
        <f t="shared" si="2"/>
        <v>23E-26E</v>
      </c>
      <c r="I21" s="49"/>
      <c r="J21" s="41"/>
      <c r="L21" s="250"/>
      <c r="M21" s="250"/>
      <c r="N21" s="250"/>
      <c r="O21" s="250"/>
      <c r="P21" s="286"/>
      <c r="S21" s="88"/>
      <c r="T21" s="42"/>
      <c r="U21" s="42"/>
      <c r="V21" s="42"/>
      <c r="W21" s="42"/>
      <c r="X21" s="42"/>
      <c r="Y21" s="42"/>
      <c r="Z21" s="42"/>
      <c r="AA21" s="42"/>
    </row>
    <row r="22" spans="2:27" ht="12.6" thickTop="1">
      <c r="B22" s="5"/>
      <c r="C22" s="257"/>
      <c r="D22" s="17"/>
      <c r="E22" s="17"/>
      <c r="F22" s="17"/>
      <c r="G22" s="17"/>
      <c r="H22" s="17"/>
      <c r="I22" s="17"/>
      <c r="P22" s="277"/>
      <c r="S22" s="88"/>
      <c r="T22" s="42"/>
      <c r="U22" s="42"/>
      <c r="V22" s="42"/>
      <c r="W22" s="42"/>
      <c r="X22" s="42"/>
      <c r="Y22" s="42"/>
      <c r="Z22" s="42"/>
      <c r="AA22" s="42"/>
    </row>
    <row r="23" spans="2:27" ht="12.6" thickBot="1">
      <c r="B23" s="5" t="s">
        <v>584</v>
      </c>
      <c r="C23" s="548">
        <v>54459.869894730713</v>
      </c>
      <c r="D23" s="540">
        <v>56540.367057582778</v>
      </c>
      <c r="E23" s="540">
        <v>58394.256821951625</v>
      </c>
      <c r="F23" s="540">
        <v>60092.629031063276</v>
      </c>
      <c r="G23" s="540">
        <v>61765.714555583792</v>
      </c>
      <c r="H23" s="279">
        <f t="shared" ref="H23:H32" si="3">IF(D23=0,"nm",IF(G23=0,"nm",(G23/D23)^(1/3)-1))</f>
        <v>2.990290266409712E-2</v>
      </c>
      <c r="I23" s="247"/>
      <c r="J23" s="306" t="s">
        <v>9</v>
      </c>
      <c r="K23" s="306"/>
      <c r="L23" s="265" t="str">
        <f>D21</f>
        <v>2023E</v>
      </c>
      <c r="M23" s="265" t="str">
        <f t="shared" ref="M23:P23" si="4">E21</f>
        <v>2024E</v>
      </c>
      <c r="N23" s="265" t="str">
        <f t="shared" si="4"/>
        <v>2025E</v>
      </c>
      <c r="O23" s="265" t="str">
        <f t="shared" si="4"/>
        <v>2026E</v>
      </c>
      <c r="P23" s="265" t="str">
        <f t="shared" si="4"/>
        <v>23E-26E</v>
      </c>
      <c r="S23" s="88"/>
      <c r="T23" s="42"/>
      <c r="U23" s="42"/>
      <c r="V23" s="42"/>
      <c r="W23" s="42"/>
      <c r="X23" s="42"/>
      <c r="Y23" s="42"/>
      <c r="Z23" s="42"/>
      <c r="AA23" s="42"/>
    </row>
    <row r="24" spans="2:27" ht="12.6" thickTop="1">
      <c r="B24" s="5" t="s">
        <v>483</v>
      </c>
      <c r="C24" s="549">
        <v>14601.989122508645</v>
      </c>
      <c r="D24" s="540">
        <v>15244.096513110087</v>
      </c>
      <c r="E24" s="540">
        <v>15581.78219025806</v>
      </c>
      <c r="F24" s="540">
        <v>15483.951656880565</v>
      </c>
      <c r="G24" s="540">
        <v>15226.250485236525</v>
      </c>
      <c r="H24" s="279">
        <f t="shared" si="3"/>
        <v>-3.9038055188322929E-4</v>
      </c>
      <c r="I24" s="249"/>
      <c r="J24" s="17"/>
      <c r="K24" s="17"/>
      <c r="L24" s="17"/>
      <c r="M24" s="17"/>
      <c r="N24" s="17"/>
      <c r="O24" s="248"/>
      <c r="S24" s="88"/>
      <c r="T24" s="42"/>
      <c r="U24" s="42"/>
      <c r="V24" s="42"/>
      <c r="W24" s="42" t="s">
        <v>1060</v>
      </c>
      <c r="X24" s="42" t="s">
        <v>513</v>
      </c>
      <c r="Y24" s="42"/>
      <c r="Z24" s="42"/>
      <c r="AA24" s="42"/>
    </row>
    <row r="25" spans="2:27">
      <c r="B25" s="5" t="s">
        <v>183</v>
      </c>
      <c r="C25" s="548">
        <v>12968.193025666724</v>
      </c>
      <c r="D25" s="540">
        <v>13547.885501382603</v>
      </c>
      <c r="E25" s="540">
        <v>14121.925769709269</v>
      </c>
      <c r="F25" s="540">
        <v>14282.099076259299</v>
      </c>
      <c r="G25" s="540">
        <v>13990.93619412485</v>
      </c>
      <c r="H25" s="279">
        <f t="shared" si="3"/>
        <v>1.0784141366780631E-2</v>
      </c>
      <c r="I25" s="248"/>
      <c r="J25" s="247" t="s">
        <v>10</v>
      </c>
      <c r="K25" s="247"/>
      <c r="L25" s="321">
        <v>0</v>
      </c>
      <c r="M25" s="321">
        <v>0</v>
      </c>
      <c r="N25" s="321">
        <v>0</v>
      </c>
      <c r="O25" s="321">
        <v>0</v>
      </c>
      <c r="P25" s="279" t="str">
        <f>IF(L25=0,"nm",IF(O25=0,"nm",(O25/L25)^(1/3)-1))</f>
        <v>nm</v>
      </c>
      <c r="S25" s="88"/>
      <c r="T25" s="42"/>
      <c r="U25" s="42"/>
      <c r="V25" s="147" t="s">
        <v>273</v>
      </c>
      <c r="W25" s="288">
        <f>D37/L9</f>
        <v>0.3234424501311477</v>
      </c>
      <c r="X25" s="288">
        <v>1</v>
      </c>
      <c r="Y25" s="42"/>
      <c r="Z25" s="42"/>
      <c r="AA25" s="42"/>
    </row>
    <row r="26" spans="2:27">
      <c r="B26" s="5" t="s">
        <v>586</v>
      </c>
      <c r="C26" s="548">
        <v>8818.3712574533711</v>
      </c>
      <c r="D26" s="540">
        <v>9212.5621409401701</v>
      </c>
      <c r="E26" s="540">
        <v>9602.9095234023025</v>
      </c>
      <c r="F26" s="540">
        <v>9711.8273718563232</v>
      </c>
      <c r="G26" s="540">
        <v>9513.8366120048977</v>
      </c>
      <c r="H26" s="279">
        <f t="shared" si="3"/>
        <v>1.0784141366780631E-2</v>
      </c>
      <c r="I26" s="249"/>
      <c r="J26" s="249" t="s">
        <v>11</v>
      </c>
      <c r="K26" s="249"/>
      <c r="L26" s="281">
        <f>D11+L25</f>
        <v>50704.5</v>
      </c>
      <c r="M26" s="281">
        <f>E11+M25</f>
        <v>50704.5</v>
      </c>
      <c r="N26" s="281">
        <f>F11+N25</f>
        <v>50704.5</v>
      </c>
      <c r="O26" s="281">
        <f>G11+O25</f>
        <v>50704.5</v>
      </c>
      <c r="P26" s="279">
        <f>IF(L26=0,"nm",IF(O26=0,"nm",(O26/L26)^(1/3)-1))</f>
        <v>0</v>
      </c>
      <c r="Q26" s="5"/>
      <c r="S26" s="88"/>
      <c r="T26" s="42"/>
      <c r="U26" s="42"/>
      <c r="V26" s="147" t="s">
        <v>184</v>
      </c>
      <c r="W26" s="288">
        <f t="shared" ref="W26:W33" si="5">D38/L10</f>
        <v>0.50438305773842551</v>
      </c>
      <c r="X26" s="288">
        <v>1</v>
      </c>
      <c r="Y26" s="42"/>
      <c r="Z26" s="42"/>
      <c r="AA26" s="42"/>
    </row>
    <row r="27" spans="2:27">
      <c r="B27" s="5" t="s">
        <v>587</v>
      </c>
      <c r="C27" s="549">
        <v>-757.15848315195171</v>
      </c>
      <c r="D27" s="540">
        <v>-2576.380937023815</v>
      </c>
      <c r="E27" s="540">
        <v>-4527.9118765029089</v>
      </c>
      <c r="F27" s="540">
        <v>-6675.3629245971933</v>
      </c>
      <c r="G27" s="540">
        <v>-8573.9144702931644</v>
      </c>
      <c r="H27" s="279">
        <f t="shared" si="3"/>
        <v>0.49298813586950785</v>
      </c>
      <c r="I27" s="249"/>
      <c r="J27" s="248"/>
      <c r="K27" s="248"/>
      <c r="L27" s="248"/>
      <c r="M27" s="248"/>
      <c r="N27" s="248"/>
      <c r="O27" s="248"/>
      <c r="Q27" s="41"/>
      <c r="S27" s="88"/>
      <c r="T27" s="42"/>
      <c r="U27" s="42"/>
      <c r="V27" s="147" t="s">
        <v>185</v>
      </c>
      <c r="W27" s="288">
        <f t="shared" si="5"/>
        <v>0.29422657985807543</v>
      </c>
      <c r="X27" s="288">
        <v>1</v>
      </c>
      <c r="Y27" s="42"/>
      <c r="Z27" s="42"/>
      <c r="AA27" s="42"/>
    </row>
    <row r="28" spans="2:27" ht="12.6" thickBot="1">
      <c r="B28" s="5" t="s">
        <v>592</v>
      </c>
      <c r="C28" s="548">
        <v>13373.255058020839</v>
      </c>
      <c r="D28" s="540">
        <v>12271.008372001981</v>
      </c>
      <c r="E28" s="540">
        <v>10937.371763793957</v>
      </c>
      <c r="F28" s="540">
        <v>9360.5485887486975</v>
      </c>
      <c r="G28" s="540">
        <v>7821.312530297886</v>
      </c>
      <c r="H28" s="279">
        <f t="shared" si="3"/>
        <v>-0.13940306324233542</v>
      </c>
      <c r="I28" s="248"/>
      <c r="J28" s="306" t="s">
        <v>1362</v>
      </c>
      <c r="K28" s="306"/>
      <c r="L28" s="306"/>
      <c r="M28" s="306"/>
      <c r="N28" s="266"/>
      <c r="O28" s="266"/>
      <c r="P28" s="266"/>
      <c r="Q28" s="5"/>
      <c r="S28" s="88"/>
      <c r="T28" s="42"/>
      <c r="U28" s="42"/>
      <c r="V28" s="147" t="s">
        <v>466</v>
      </c>
      <c r="W28" s="288">
        <f t="shared" si="5"/>
        <v>0.29134983574998097</v>
      </c>
      <c r="X28" s="288">
        <v>1</v>
      </c>
      <c r="Y28" s="42"/>
      <c r="Z28" s="42"/>
      <c r="AA28" s="42"/>
    </row>
    <row r="29" spans="2:27" ht="12.6" thickTop="1">
      <c r="B29" s="5" t="s">
        <v>588</v>
      </c>
      <c r="C29" s="548">
        <v>7592.8836431884974</v>
      </c>
      <c r="D29" s="540">
        <v>8320.7434315102873</v>
      </c>
      <c r="E29" s="540">
        <v>9129.0128218837272</v>
      </c>
      <c r="F29" s="540">
        <v>9650.3747944580718</v>
      </c>
      <c r="G29" s="540">
        <v>9787.1350560652991</v>
      </c>
      <c r="H29" s="279">
        <f t="shared" si="3"/>
        <v>5.5596196804605924E-2</v>
      </c>
      <c r="I29" s="252"/>
      <c r="J29" s="249"/>
      <c r="K29" s="249"/>
      <c r="L29" s="249"/>
      <c r="M29" s="249"/>
      <c r="N29" s="249"/>
      <c r="O29" s="251"/>
      <c r="Q29" s="5"/>
      <c r="S29" s="88"/>
      <c r="T29" s="42"/>
      <c r="U29" s="42"/>
      <c r="V29" s="147" t="s">
        <v>530</v>
      </c>
      <c r="W29" s="288">
        <f t="shared" si="5"/>
        <v>-7.417677924864388</v>
      </c>
      <c r="X29" s="288">
        <v>1</v>
      </c>
      <c r="Y29" s="42"/>
      <c r="Z29" s="42"/>
      <c r="AA29" s="42"/>
    </row>
    <row r="30" spans="2:27">
      <c r="B30" s="5" t="s">
        <v>589</v>
      </c>
      <c r="C30" s="549">
        <v>6461.2174491618543</v>
      </c>
      <c r="D30" s="540">
        <v>7218.4967454914304</v>
      </c>
      <c r="E30" s="540">
        <v>7795.3762136757032</v>
      </c>
      <c r="F30" s="540">
        <v>8073.551619412814</v>
      </c>
      <c r="G30" s="540">
        <v>8247.8989976144894</v>
      </c>
      <c r="H30" s="279">
        <f t="shared" si="3"/>
        <v>4.5439382645185544E-2</v>
      </c>
      <c r="I30" s="254"/>
      <c r="J30" s="248"/>
      <c r="K30" s="248"/>
      <c r="L30" s="248"/>
      <c r="M30" s="248"/>
      <c r="N30" s="248"/>
      <c r="O30" s="5"/>
      <c r="Q30" s="5"/>
      <c r="S30" s="88"/>
      <c r="T30" s="42"/>
      <c r="U30" s="42"/>
      <c r="V30" s="147" t="s">
        <v>593</v>
      </c>
      <c r="W30" s="288">
        <f t="shared" si="5"/>
        <v>1.07807277337497</v>
      </c>
      <c r="X30" s="288">
        <v>1</v>
      </c>
      <c r="Y30" s="42"/>
      <c r="Z30" s="42"/>
      <c r="AA30" s="42"/>
    </row>
    <row r="31" spans="2:27">
      <c r="B31" s="5" t="s">
        <v>590</v>
      </c>
      <c r="C31" s="549">
        <v>-4283.7980020270088</v>
      </c>
      <c r="D31" s="540">
        <v>-5244.4399913160732</v>
      </c>
      <c r="E31" s="540">
        <v>-6016.8223253505566</v>
      </c>
      <c r="F31" s="540">
        <v>-6653.0430631462032</v>
      </c>
      <c r="G31" s="540">
        <v>-7051.6176397778099</v>
      </c>
      <c r="H31" s="279">
        <f t="shared" si="3"/>
        <v>0.10373092663087147</v>
      </c>
      <c r="I31" s="254"/>
      <c r="J31" s="252"/>
      <c r="K31" s="252"/>
      <c r="L31" s="252"/>
      <c r="M31" s="252"/>
      <c r="N31" s="252"/>
      <c r="O31" s="5"/>
      <c r="Q31" s="5"/>
      <c r="S31" s="88"/>
      <c r="T31" s="42"/>
      <c r="U31" s="42"/>
      <c r="V31" s="147" t="s">
        <v>475</v>
      </c>
      <c r="W31" s="288">
        <f t="shared" si="5"/>
        <v>0.19560290216145396</v>
      </c>
      <c r="X31" s="288">
        <v>1</v>
      </c>
      <c r="Y31" s="42"/>
      <c r="Z31" s="42"/>
      <c r="AA31" s="42"/>
    </row>
    <row r="32" spans="2:27">
      <c r="B32" s="5" t="s">
        <v>606</v>
      </c>
      <c r="C32" s="550">
        <v>0</v>
      </c>
      <c r="D32" s="540">
        <v>0</v>
      </c>
      <c r="E32" s="540">
        <v>0</v>
      </c>
      <c r="F32" s="540">
        <v>0</v>
      </c>
      <c r="G32" s="540">
        <v>0</v>
      </c>
      <c r="H32" s="279" t="str">
        <f t="shared" si="3"/>
        <v>nm</v>
      </c>
      <c r="I32" s="254"/>
      <c r="J32" s="254"/>
      <c r="K32" s="254"/>
      <c r="L32" s="254"/>
      <c r="M32" s="254"/>
      <c r="N32" s="254"/>
      <c r="O32" s="251"/>
      <c r="Q32" s="5"/>
      <c r="S32" s="88"/>
      <c r="T32" s="42"/>
      <c r="U32" s="42"/>
      <c r="V32" s="147" t="s">
        <v>533</v>
      </c>
      <c r="W32" s="288">
        <f t="shared" si="5"/>
        <v>0.25437093690615692</v>
      </c>
      <c r="X32" s="288">
        <v>1</v>
      </c>
      <c r="Y32" s="42"/>
      <c r="Z32" s="42"/>
      <c r="AA32" s="42"/>
    </row>
    <row r="33" spans="2:27">
      <c r="B33" s="5" t="s">
        <v>5</v>
      </c>
      <c r="C33" s="549">
        <v>-1493.5444656559182</v>
      </c>
      <c r="D33" s="540">
        <v>-982.2760482807937</v>
      </c>
      <c r="E33" s="540">
        <v>-435.18733235442676</v>
      </c>
      <c r="F33" s="540">
        <v>144.48942895890536</v>
      </c>
      <c r="G33" s="540">
        <v>754.74349177645888</v>
      </c>
      <c r="H33" s="279">
        <f>IF(D33=0,"nm",IF(G33=0,"nm",(G33/D33)^(1/3)-1))</f>
        <v>-1.9159152163304678</v>
      </c>
      <c r="I33" s="5"/>
      <c r="J33" s="254"/>
      <c r="K33" s="254"/>
      <c r="L33" s="254"/>
      <c r="M33" s="254"/>
      <c r="N33" s="254"/>
      <c r="O33" s="251"/>
      <c r="Q33" s="5"/>
      <c r="S33" s="88"/>
      <c r="T33" s="42"/>
      <c r="U33" s="42"/>
      <c r="V33" s="147" t="s">
        <v>580</v>
      </c>
      <c r="W33" s="288">
        <f t="shared" si="5"/>
        <v>-5.160758114602749</v>
      </c>
      <c r="X33" s="288">
        <v>1</v>
      </c>
      <c r="Y33" s="42"/>
      <c r="Z33" s="42"/>
      <c r="AA33" s="42"/>
    </row>
    <row r="34" spans="2:27">
      <c r="H34" s="277"/>
      <c r="I34" s="49"/>
      <c r="J34" s="254"/>
      <c r="K34" s="254"/>
      <c r="L34" s="254"/>
      <c r="M34" s="254"/>
      <c r="N34" s="254"/>
      <c r="O34" s="251"/>
      <c r="Q34" s="5"/>
      <c r="S34" s="88"/>
      <c r="T34" s="42"/>
      <c r="U34" s="42"/>
      <c r="V34" s="147" t="s">
        <v>581</v>
      </c>
      <c r="W34" s="288">
        <f>D47/L19</f>
        <v>5.1123985838133574</v>
      </c>
      <c r="X34" s="288">
        <v>1</v>
      </c>
      <c r="Y34" s="288"/>
      <c r="Z34" s="288"/>
      <c r="AA34" s="42"/>
    </row>
    <row r="35" spans="2:27" ht="12.6" thickBot="1">
      <c r="B35" s="306" t="s">
        <v>568</v>
      </c>
      <c r="C35" s="265"/>
      <c r="D35" s="265" t="str">
        <f>D5</f>
        <v>2023E</v>
      </c>
      <c r="E35" s="265" t="str">
        <f t="shared" ref="E35:H35" si="6">E5</f>
        <v>2024E</v>
      </c>
      <c r="F35" s="265" t="str">
        <f t="shared" si="6"/>
        <v>2025E</v>
      </c>
      <c r="G35" s="265" t="str">
        <f t="shared" si="6"/>
        <v>2026E</v>
      </c>
      <c r="H35" s="265" t="str">
        <f t="shared" si="6"/>
        <v>23E-26E</v>
      </c>
      <c r="I35" s="254"/>
      <c r="J35" s="5"/>
      <c r="K35" s="5"/>
      <c r="L35" s="5"/>
      <c r="M35" s="5"/>
      <c r="N35" s="5"/>
      <c r="O35" s="5"/>
      <c r="Q35" s="5"/>
      <c r="S35" s="88"/>
      <c r="T35" s="42"/>
      <c r="U35" s="42"/>
      <c r="V35" s="42"/>
      <c r="W35" s="42"/>
      <c r="X35" s="42"/>
      <c r="Y35" s="288"/>
      <c r="Z35" s="288"/>
      <c r="AA35" s="42"/>
    </row>
    <row r="36" spans="2:27" ht="12.6" thickTop="1">
      <c r="B36" s="41"/>
      <c r="C36" s="249"/>
      <c r="D36" s="254"/>
      <c r="E36" s="254"/>
      <c r="F36" s="254"/>
      <c r="G36" s="254"/>
      <c r="H36" s="254"/>
      <c r="I36" s="17"/>
      <c r="J36" s="49"/>
      <c r="K36" s="49"/>
      <c r="L36" s="49"/>
      <c r="M36" s="49"/>
      <c r="N36" s="49"/>
      <c r="O36" s="49"/>
      <c r="Q36" s="5"/>
      <c r="S36" s="88"/>
      <c r="T36" s="42"/>
      <c r="U36" s="42"/>
      <c r="V36" s="42"/>
      <c r="W36" s="42"/>
      <c r="X36" s="42"/>
      <c r="Y36" s="288"/>
      <c r="Z36" s="288"/>
      <c r="AA36" s="42"/>
    </row>
    <row r="37" spans="2:27">
      <c r="B37" s="5" t="s">
        <v>273</v>
      </c>
      <c r="C37" s="247"/>
      <c r="D37" s="529">
        <f>D$18/D23</f>
        <v>0.98235986066414394</v>
      </c>
      <c r="E37" s="529">
        <f t="shared" ref="E37:G41" si="7">E$18/E23</f>
        <v>0.76127846172886482</v>
      </c>
      <c r="F37" s="529">
        <f t="shared" si="7"/>
        <v>0.54135684851792831</v>
      </c>
      <c r="G37" s="529">
        <f t="shared" si="7"/>
        <v>0.89886982313986263</v>
      </c>
      <c r="H37" s="17">
        <f t="shared" ref="H37:H45" si="8">H23</f>
        <v>2.990290266409712E-2</v>
      </c>
      <c r="I37" s="5"/>
      <c r="J37" s="259"/>
      <c r="K37" s="259"/>
      <c r="L37" s="259"/>
      <c r="M37" s="259"/>
      <c r="N37" s="259"/>
      <c r="O37" s="18"/>
      <c r="Q37" s="5"/>
      <c r="R37" s="5"/>
      <c r="S37" s="42"/>
      <c r="T37" s="42"/>
      <c r="U37" s="42"/>
      <c r="V37" s="42"/>
      <c r="W37" s="42"/>
      <c r="X37" s="42"/>
      <c r="Y37" s="42"/>
      <c r="Z37" s="42"/>
      <c r="AA37" s="42"/>
    </row>
    <row r="38" spans="2:27">
      <c r="B38" s="5" t="s">
        <v>184</v>
      </c>
      <c r="C38" s="247"/>
      <c r="D38" s="529">
        <f>D$18/D24</f>
        <v>3.6435735667783922</v>
      </c>
      <c r="E38" s="529">
        <f t="shared" si="7"/>
        <v>2.8529656918840147</v>
      </c>
      <c r="F38" s="529">
        <f t="shared" si="7"/>
        <v>2.100985393929296</v>
      </c>
      <c r="G38" s="529">
        <f t="shared" si="7"/>
        <v>3.6462907905342004</v>
      </c>
      <c r="H38" s="17">
        <f t="shared" si="8"/>
        <v>-3.9038055188322929E-4</v>
      </c>
      <c r="I38" s="259"/>
      <c r="J38" s="17"/>
      <c r="K38" s="17"/>
      <c r="L38" s="17"/>
      <c r="M38" s="17"/>
      <c r="N38" s="17"/>
      <c r="O38" s="5"/>
      <c r="Q38" s="5"/>
      <c r="R38" s="5"/>
      <c r="S38" s="42"/>
      <c r="T38" s="42"/>
      <c r="U38" s="42"/>
      <c r="V38" s="42"/>
      <c r="W38" s="42"/>
      <c r="X38" s="42"/>
      <c r="Y38" s="42"/>
      <c r="Z38" s="42"/>
      <c r="AA38" s="42"/>
    </row>
    <row r="39" spans="2:27">
      <c r="B39" s="5" t="s">
        <v>185</v>
      </c>
      <c r="C39" s="247"/>
      <c r="D39" s="529">
        <f>D$18/D25</f>
        <v>4.0997532123310494</v>
      </c>
      <c r="E39" s="529">
        <f t="shared" si="7"/>
        <v>3.1478914938476406</v>
      </c>
      <c r="F39" s="529">
        <f t="shared" si="7"/>
        <v>2.2777853659823442</v>
      </c>
      <c r="G39" s="529">
        <f t="shared" si="7"/>
        <v>3.9682360171150539</v>
      </c>
      <c r="H39" s="17">
        <f t="shared" si="8"/>
        <v>1.0784141366780631E-2</v>
      </c>
      <c r="I39" s="17"/>
      <c r="J39" s="5"/>
      <c r="K39" s="5"/>
      <c r="L39" s="5"/>
      <c r="M39" s="5"/>
      <c r="N39" s="5"/>
      <c r="O39" s="5"/>
      <c r="Q39" s="5"/>
      <c r="R39" s="5"/>
      <c r="S39" s="42"/>
      <c r="T39" s="42"/>
      <c r="U39" s="42"/>
      <c r="V39" s="42"/>
      <c r="W39" s="42"/>
      <c r="X39" s="42"/>
      <c r="Y39" s="42"/>
      <c r="Z39" s="42"/>
      <c r="AA39" s="42"/>
    </row>
    <row r="40" spans="2:27">
      <c r="B40" s="5" t="s">
        <v>466</v>
      </c>
      <c r="C40" s="247"/>
      <c r="D40" s="529">
        <f>D$18/D26</f>
        <v>6.0290488416633075</v>
      </c>
      <c r="E40" s="529">
        <f t="shared" si="7"/>
        <v>4.6292521968347664</v>
      </c>
      <c r="F40" s="529">
        <f t="shared" si="7"/>
        <v>3.3496843617387411</v>
      </c>
      <c r="G40" s="529">
        <f t="shared" si="7"/>
        <v>5.8356412016397847</v>
      </c>
      <c r="H40" s="17">
        <f t="shared" si="8"/>
        <v>1.0784141366780631E-2</v>
      </c>
      <c r="I40" s="5"/>
      <c r="J40" s="259"/>
      <c r="K40" s="259"/>
      <c r="L40" s="259"/>
      <c r="M40" s="259"/>
      <c r="N40" s="259"/>
      <c r="O40" s="18"/>
      <c r="Q40" s="5"/>
      <c r="R40" s="5"/>
      <c r="S40" s="42"/>
      <c r="T40" s="42"/>
      <c r="U40" s="42"/>
      <c r="V40" s="42"/>
      <c r="W40" s="288"/>
      <c r="X40" s="288"/>
      <c r="Y40" s="42"/>
      <c r="Z40" s="42"/>
      <c r="AA40" s="42"/>
    </row>
    <row r="41" spans="2:27">
      <c r="B41" s="5" t="s">
        <v>530</v>
      </c>
      <c r="C41" s="247"/>
      <c r="D41" s="529">
        <f>D$18/D27</f>
        <v>-21.558530536539656</v>
      </c>
      <c r="E41" s="529">
        <f t="shared" si="7"/>
        <v>-9.8178346265761398</v>
      </c>
      <c r="F41" s="529">
        <f t="shared" si="7"/>
        <v>-4.8733764199609286</v>
      </c>
      <c r="G41" s="529">
        <f t="shared" si="7"/>
        <v>-6.4753779747917743</v>
      </c>
      <c r="H41" s="17">
        <f t="shared" si="8"/>
        <v>0.49298813586950785</v>
      </c>
      <c r="I41" s="247"/>
      <c r="J41" s="17"/>
      <c r="K41" s="17"/>
      <c r="L41" s="17"/>
      <c r="M41" s="17"/>
      <c r="N41" s="17"/>
      <c r="O41" s="5"/>
      <c r="Q41" s="5"/>
      <c r="R41" s="5"/>
      <c r="S41" s="42"/>
      <c r="T41" s="42"/>
      <c r="U41" s="42"/>
      <c r="V41" s="42"/>
      <c r="W41" s="288"/>
      <c r="X41" s="288"/>
      <c r="Y41" s="288"/>
      <c r="Z41" s="288"/>
      <c r="AA41" s="42"/>
    </row>
    <row r="42" spans="2:27">
      <c r="B42" s="5" t="s">
        <v>593</v>
      </c>
      <c r="C42" s="247"/>
      <c r="D42" s="529">
        <f>D18/D28</f>
        <v>4.5263588305681264</v>
      </c>
      <c r="E42" s="529">
        <f>E18/E28</f>
        <v>4.0644398825660195</v>
      </c>
      <c r="F42" s="529">
        <f>F18/F28</f>
        <v>3.4753899264532473</v>
      </c>
      <c r="G42" s="529">
        <f>G18/G28</f>
        <v>7.0984680261294084</v>
      </c>
      <c r="H42" s="17">
        <f t="shared" si="8"/>
        <v>-0.13940306324233542</v>
      </c>
      <c r="I42" s="248"/>
      <c r="J42" s="5"/>
      <c r="K42" s="5"/>
      <c r="L42" s="5"/>
      <c r="M42" s="5"/>
      <c r="N42" s="5"/>
      <c r="O42" s="5"/>
      <c r="Q42" s="5"/>
      <c r="R42" s="5"/>
      <c r="S42" s="42"/>
      <c r="T42" s="42"/>
      <c r="U42" s="42"/>
      <c r="V42" s="42"/>
      <c r="W42" s="288"/>
      <c r="X42" s="288"/>
      <c r="Y42" s="288"/>
      <c r="Z42" s="288"/>
      <c r="AA42" s="42"/>
    </row>
    <row r="43" spans="2:27">
      <c r="B43" s="5" t="s">
        <v>475</v>
      </c>
      <c r="C43" s="247"/>
      <c r="D43" s="529">
        <f>L26/D29</f>
        <v>6.0937463602091491</v>
      </c>
      <c r="E43" s="529">
        <f>M26/E29</f>
        <v>5.5542150054223907</v>
      </c>
      <c r="F43" s="529">
        <f>N26/F29</f>
        <v>5.2541482667717849</v>
      </c>
      <c r="G43" s="529">
        <f>O26/G29</f>
        <v>5.180729570966462</v>
      </c>
      <c r="H43" s="17">
        <f t="shared" si="8"/>
        <v>5.5596196804605924E-2</v>
      </c>
      <c r="I43" s="247"/>
      <c r="J43" s="247"/>
      <c r="K43" s="247"/>
      <c r="L43" s="247"/>
      <c r="M43" s="247"/>
      <c r="N43" s="247"/>
      <c r="O43" s="18"/>
      <c r="Q43" s="5"/>
      <c r="R43" s="5"/>
      <c r="S43" s="42"/>
      <c r="T43" s="42"/>
      <c r="U43" s="42"/>
      <c r="V43" s="42"/>
      <c r="W43" s="288"/>
      <c r="X43" s="288"/>
      <c r="Y43" s="288"/>
      <c r="Z43" s="288"/>
      <c r="AA43" s="42"/>
    </row>
    <row r="44" spans="2:27">
      <c r="B44" s="5" t="s">
        <v>533</v>
      </c>
      <c r="C44" s="69"/>
      <c r="D44" s="529">
        <f>D11/D30</f>
        <v>7.0242464307640375</v>
      </c>
      <c r="E44" s="529">
        <f>E11/E30</f>
        <v>6.5044327060247982</v>
      </c>
      <c r="F44" s="529">
        <f>F11/F30</f>
        <v>6.280321522696565</v>
      </c>
      <c r="G44" s="529">
        <f>G11/G30</f>
        <v>6.1475655818124206</v>
      </c>
      <c r="H44" s="17">
        <f t="shared" si="8"/>
        <v>4.5439382645185544E-2</v>
      </c>
      <c r="I44" s="247"/>
      <c r="J44" s="248"/>
      <c r="K44" s="248"/>
      <c r="L44" s="248"/>
      <c r="M44" s="248"/>
      <c r="N44" s="248"/>
      <c r="O44" s="248"/>
      <c r="Q44" s="5"/>
      <c r="R44" s="5"/>
      <c r="S44" s="42"/>
      <c r="T44" s="42"/>
      <c r="U44" s="42"/>
      <c r="V44" s="42"/>
      <c r="W44" s="325"/>
      <c r="X44" s="325"/>
      <c r="Y44" s="288"/>
      <c r="Z44" s="288"/>
      <c r="AA44" s="42"/>
    </row>
    <row r="45" spans="2:27">
      <c r="B45" s="5" t="s">
        <v>580</v>
      </c>
      <c r="C45" s="247"/>
      <c r="D45" s="248">
        <f>D31/D11</f>
        <v>-0.10343145068615356</v>
      </c>
      <c r="E45" s="248">
        <f>E31/E11</f>
        <v>-0.11866446420634374</v>
      </c>
      <c r="F45" s="248">
        <f>F31/F11</f>
        <v>-0.13121208301326712</v>
      </c>
      <c r="G45" s="248">
        <f>G31/G11</f>
        <v>-0.1390728168067491</v>
      </c>
      <c r="H45" s="17">
        <f t="shared" si="8"/>
        <v>0.10373092663087147</v>
      </c>
      <c r="I45" s="248"/>
      <c r="J45" s="247"/>
      <c r="K45" s="247"/>
      <c r="L45" s="247"/>
      <c r="M45" s="247"/>
      <c r="N45" s="247"/>
      <c r="O45" s="248"/>
      <c r="Q45" s="5"/>
      <c r="R45" s="5"/>
      <c r="S45" s="42"/>
      <c r="T45" s="42"/>
      <c r="U45" s="42"/>
      <c r="V45" s="42"/>
      <c r="W45" s="42"/>
      <c r="X45" s="42"/>
      <c r="Y45" s="325"/>
      <c r="Z45" s="325"/>
      <c r="AA45" s="42"/>
    </row>
    <row r="46" spans="2:27">
      <c r="B46" s="5" t="s">
        <v>605</v>
      </c>
      <c r="C46" s="247"/>
      <c r="D46" s="248">
        <f>(D31+D32)/D11</f>
        <v>-0.10343145068615356</v>
      </c>
      <c r="E46" s="248">
        <f>(E31+E32)/E11</f>
        <v>-0.11866446420634374</v>
      </c>
      <c r="F46" s="248">
        <f>(F31+F32)/F11</f>
        <v>-0.13121208301326712</v>
      </c>
      <c r="G46" s="248">
        <f>(G31+G32)/G11</f>
        <v>-0.1390728168067491</v>
      </c>
      <c r="H46" s="279">
        <f>((G31+G32)/(D31+D32))^(1/3)-1</f>
        <v>0.10373092663087147</v>
      </c>
      <c r="I46" s="247"/>
      <c r="J46" s="247"/>
      <c r="K46" s="247"/>
      <c r="L46" s="247"/>
      <c r="M46" s="247"/>
      <c r="N46" s="247"/>
      <c r="O46" s="18"/>
      <c r="Q46" s="5"/>
      <c r="R46" s="5"/>
      <c r="S46" s="42"/>
      <c r="T46" s="42"/>
      <c r="U46" s="42"/>
      <c r="V46" s="42"/>
      <c r="W46" s="42"/>
      <c r="X46" s="42"/>
      <c r="Y46" s="42"/>
      <c r="Z46" s="42"/>
      <c r="AA46" s="326"/>
    </row>
    <row r="47" spans="2:27">
      <c r="B47" s="5" t="s">
        <v>581</v>
      </c>
      <c r="C47" s="5"/>
      <c r="D47" s="248">
        <f>1/D43</f>
        <v>0.16410266212092195</v>
      </c>
      <c r="E47" s="248">
        <f>1/E43</f>
        <v>0.1800434443073835</v>
      </c>
      <c r="F47" s="248">
        <f>1/F43</f>
        <v>0.19032580529258886</v>
      </c>
      <c r="G47" s="248">
        <f>1/G43</f>
        <v>0.19302300695333352</v>
      </c>
      <c r="H47" s="17">
        <f>H29</f>
        <v>5.5596196804605924E-2</v>
      </c>
      <c r="I47" s="17"/>
      <c r="J47" s="248"/>
      <c r="K47" s="248"/>
      <c r="L47" s="248"/>
      <c r="M47" s="248"/>
      <c r="N47" s="248"/>
      <c r="O47" s="248"/>
      <c r="Q47" s="5"/>
      <c r="R47" s="5"/>
      <c r="S47" s="42"/>
      <c r="T47" s="42"/>
      <c r="U47" s="42"/>
      <c r="V47" s="42"/>
      <c r="W47" s="42"/>
      <c r="X47" s="42"/>
      <c r="Y47" s="42"/>
      <c r="Z47" s="42"/>
      <c r="AA47" s="326"/>
    </row>
    <row r="48" spans="2:27">
      <c r="B48" s="5" t="s">
        <v>618</v>
      </c>
      <c r="C48" s="5"/>
      <c r="D48" s="305">
        <f>D31/D29</f>
        <v>-0.63028502614990034</v>
      </c>
      <c r="E48" s="305">
        <f>E31/E29</f>
        <v>-0.65908794770528267</v>
      </c>
      <c r="F48" s="305">
        <f>F31/F29</f>
        <v>-0.6894077385436731</v>
      </c>
      <c r="G48" s="305">
        <f>G31/G29</f>
        <v>-0.72049865454832673</v>
      </c>
      <c r="H48" s="279" t="s">
        <v>607</v>
      </c>
      <c r="I48" s="247"/>
      <c r="J48" s="247"/>
      <c r="K48" s="247"/>
      <c r="L48" s="247"/>
      <c r="M48" s="247"/>
      <c r="N48" s="247"/>
      <c r="O48" s="248"/>
      <c r="Q48" s="5"/>
      <c r="R48" s="5"/>
      <c r="S48" s="42"/>
      <c r="T48" s="42"/>
      <c r="U48" s="42"/>
      <c r="V48" s="42"/>
      <c r="W48" s="42"/>
      <c r="X48" s="42"/>
      <c r="Y48" s="42"/>
      <c r="Z48" s="42"/>
      <c r="AA48" s="326"/>
    </row>
    <row r="49" spans="2:27">
      <c r="B49" s="41"/>
      <c r="C49" s="17"/>
      <c r="D49" s="17"/>
      <c r="E49" s="17"/>
      <c r="F49" s="17"/>
      <c r="G49" s="17"/>
      <c r="H49" s="17"/>
      <c r="I49" s="254"/>
      <c r="J49" s="17"/>
      <c r="K49" s="17"/>
      <c r="L49" s="17"/>
      <c r="M49" s="17"/>
      <c r="N49" s="17"/>
      <c r="O49" s="248"/>
      <c r="Q49" s="5"/>
      <c r="R49" s="5"/>
      <c r="S49" s="42"/>
      <c r="T49" s="42"/>
      <c r="U49" s="42"/>
      <c r="V49" s="42"/>
      <c r="W49" s="42"/>
      <c r="X49" s="42"/>
      <c r="Y49" s="42"/>
      <c r="Z49" s="42"/>
      <c r="AA49" s="326"/>
    </row>
    <row r="50" spans="2:27">
      <c r="B50" s="5"/>
      <c r="C50" s="257"/>
      <c r="D50" s="257"/>
      <c r="E50" s="257"/>
      <c r="F50" s="5"/>
      <c r="G50" s="41"/>
      <c r="H50" s="249"/>
      <c r="I50" s="17"/>
      <c r="J50" s="249"/>
      <c r="K50" s="249"/>
      <c r="L50" s="249"/>
      <c r="M50" s="249"/>
      <c r="N50" s="249"/>
      <c r="O50" s="250"/>
      <c r="Q50" s="5"/>
      <c r="R50" s="5"/>
      <c r="S50" s="42"/>
      <c r="T50" s="42"/>
      <c r="U50" s="42"/>
      <c r="V50" s="42"/>
      <c r="W50" s="288"/>
      <c r="X50" s="288"/>
      <c r="Y50" s="42"/>
      <c r="Z50" s="42"/>
      <c r="AA50" s="326"/>
    </row>
    <row r="51" spans="2:27">
      <c r="B51" s="41"/>
      <c r="C51" s="249"/>
      <c r="D51" s="254"/>
      <c r="E51" s="254"/>
      <c r="F51" s="254"/>
      <c r="G51" s="254"/>
      <c r="H51" s="254"/>
      <c r="I51" s="259"/>
      <c r="J51" s="254"/>
      <c r="K51" s="254"/>
      <c r="L51" s="254"/>
      <c r="M51" s="254"/>
      <c r="N51" s="254"/>
      <c r="O51" s="251"/>
      <c r="Q51" s="5"/>
      <c r="R51" s="5"/>
      <c r="S51" s="42"/>
      <c r="T51" s="42"/>
      <c r="U51" s="42"/>
      <c r="V51" s="42"/>
      <c r="W51" s="288"/>
      <c r="X51" s="288"/>
      <c r="Y51" s="288"/>
      <c r="Z51" s="288"/>
      <c r="AA51" s="42"/>
    </row>
    <row r="52" spans="2:27">
      <c r="B52" s="5"/>
      <c r="C52" s="257"/>
      <c r="D52" s="17"/>
      <c r="E52" s="17"/>
      <c r="F52" s="17"/>
      <c r="G52" s="17"/>
      <c r="H52" s="17"/>
      <c r="I52" s="254"/>
      <c r="J52" s="17"/>
      <c r="K52" s="17"/>
      <c r="L52" s="17"/>
      <c r="M52" s="17"/>
      <c r="N52" s="17"/>
      <c r="O52" s="248"/>
      <c r="Q52" s="5"/>
      <c r="R52" s="5"/>
      <c r="S52" s="5"/>
      <c r="Y52" s="10"/>
      <c r="Z52" s="10"/>
    </row>
    <row r="53" spans="2:27">
      <c r="B53" s="5"/>
      <c r="C53" s="257"/>
      <c r="D53" s="257"/>
      <c r="E53" s="257"/>
      <c r="F53" s="5"/>
      <c r="G53" s="5"/>
      <c r="H53" s="259"/>
      <c r="I53" s="17"/>
      <c r="J53" s="259"/>
      <c r="K53" s="259"/>
      <c r="L53" s="259"/>
      <c r="M53" s="259"/>
      <c r="N53" s="259"/>
      <c r="O53" s="18"/>
      <c r="Q53" s="5"/>
      <c r="R53" s="5"/>
      <c r="S53" s="5"/>
    </row>
    <row r="54" spans="2:27">
      <c r="B54" s="41"/>
      <c r="C54" s="249"/>
      <c r="D54" s="254"/>
      <c r="E54" s="254"/>
      <c r="F54" s="254"/>
      <c r="G54" s="254"/>
      <c r="H54" s="254"/>
      <c r="I54" s="259"/>
      <c r="J54" s="254"/>
      <c r="K54" s="254"/>
      <c r="L54" s="254"/>
      <c r="M54" s="254"/>
      <c r="N54" s="254"/>
      <c r="O54" s="251"/>
      <c r="Q54" s="5"/>
      <c r="R54" s="5"/>
      <c r="S54" s="5"/>
    </row>
    <row r="55" spans="2:27">
      <c r="B55" s="5"/>
      <c r="C55" s="257"/>
      <c r="D55" s="17"/>
      <c r="E55" s="17"/>
      <c r="F55" s="17"/>
      <c r="G55" s="17"/>
      <c r="H55" s="17"/>
      <c r="I55" s="249"/>
      <c r="J55" s="17"/>
      <c r="K55" s="17"/>
      <c r="L55" s="17"/>
      <c r="M55" s="17"/>
      <c r="N55" s="17"/>
      <c r="O55" s="18"/>
      <c r="Q55" s="5"/>
      <c r="R55" s="5"/>
      <c r="S55" s="5"/>
    </row>
    <row r="56" spans="2:27">
      <c r="B56" s="5"/>
      <c r="C56" s="248"/>
      <c r="D56" s="248"/>
      <c r="E56" s="248"/>
      <c r="F56" s="5"/>
      <c r="G56" s="5"/>
      <c r="H56" s="259"/>
      <c r="I56" s="248"/>
      <c r="J56" s="259"/>
      <c r="K56" s="259"/>
      <c r="L56" s="259"/>
      <c r="M56" s="259"/>
      <c r="N56" s="259"/>
      <c r="O56" s="18"/>
      <c r="Q56" s="5"/>
      <c r="R56" s="5"/>
      <c r="S56" s="5"/>
    </row>
    <row r="57" spans="2:27">
      <c r="B57" s="41"/>
      <c r="C57" s="249"/>
      <c r="D57" s="249"/>
      <c r="E57" s="249"/>
      <c r="F57" s="249"/>
      <c r="G57" s="249"/>
      <c r="H57" s="249"/>
      <c r="I57" s="5"/>
      <c r="J57" s="249"/>
      <c r="K57" s="249"/>
      <c r="L57" s="249"/>
      <c r="M57" s="249"/>
      <c r="N57" s="249"/>
      <c r="O57" s="251"/>
      <c r="Q57" s="5"/>
      <c r="R57" s="5"/>
      <c r="S57" s="5"/>
    </row>
    <row r="58" spans="2:27">
      <c r="B58" s="5"/>
      <c r="C58" s="5"/>
      <c r="D58" s="248"/>
      <c r="E58" s="248"/>
      <c r="F58" s="248"/>
      <c r="G58" s="248"/>
      <c r="H58" s="248"/>
      <c r="I58" s="17"/>
      <c r="J58" s="248"/>
      <c r="K58" s="248"/>
      <c r="L58" s="248"/>
      <c r="M58" s="248"/>
      <c r="N58" s="248"/>
      <c r="O58" s="18"/>
      <c r="Q58" s="5"/>
      <c r="R58" s="5"/>
      <c r="S58" s="5"/>
    </row>
    <row r="59" spans="2:27">
      <c r="B59" s="5"/>
      <c r="C59" s="5"/>
      <c r="D59" s="5"/>
      <c r="E59" s="5"/>
      <c r="F59" s="5"/>
      <c r="G59" s="5"/>
      <c r="H59" s="5"/>
      <c r="I59" s="5"/>
      <c r="J59" s="5"/>
      <c r="K59" s="5"/>
      <c r="L59" s="5"/>
      <c r="M59" s="5"/>
      <c r="N59" s="5"/>
      <c r="O59" s="5"/>
      <c r="Q59" s="5"/>
      <c r="R59" s="5"/>
      <c r="S59" s="5"/>
    </row>
    <row r="60" spans="2:27">
      <c r="B60" s="41"/>
      <c r="C60" s="17"/>
      <c r="D60" s="17"/>
      <c r="E60" s="17"/>
      <c r="F60" s="17"/>
      <c r="G60" s="17"/>
      <c r="H60" s="17"/>
      <c r="I60" s="249"/>
      <c r="J60" s="17"/>
      <c r="K60" s="17"/>
      <c r="L60" s="17"/>
      <c r="M60" s="17"/>
      <c r="N60" s="17"/>
      <c r="O60" s="251"/>
      <c r="Q60" s="5"/>
      <c r="R60" s="5"/>
      <c r="S60" s="5"/>
    </row>
    <row r="61" spans="2:27">
      <c r="B61" s="5"/>
      <c r="C61" s="5"/>
      <c r="D61" s="5"/>
      <c r="E61" s="5"/>
      <c r="F61" s="5"/>
      <c r="G61" s="5"/>
      <c r="H61" s="5"/>
      <c r="I61" s="5"/>
      <c r="J61" s="5"/>
      <c r="K61" s="5"/>
      <c r="L61" s="5"/>
      <c r="M61" s="5"/>
      <c r="N61" s="5"/>
      <c r="O61" s="5"/>
      <c r="Q61" s="41"/>
      <c r="R61" s="5"/>
      <c r="S61" s="5"/>
    </row>
    <row r="62" spans="2:27">
      <c r="B62" s="41"/>
      <c r="C62" s="249"/>
      <c r="D62" s="249"/>
      <c r="E62" s="249"/>
      <c r="F62" s="249"/>
      <c r="G62" s="249"/>
      <c r="H62" s="249"/>
      <c r="I62" s="5"/>
      <c r="J62" s="249"/>
      <c r="K62" s="249"/>
      <c r="L62" s="249"/>
      <c r="M62" s="249"/>
      <c r="N62" s="249"/>
      <c r="O62" s="251"/>
      <c r="Q62" s="5"/>
      <c r="R62" s="5"/>
      <c r="S62" s="5"/>
    </row>
    <row r="63" spans="2:27">
      <c r="B63" s="5"/>
      <c r="C63" s="5"/>
      <c r="D63" s="5"/>
      <c r="E63" s="5"/>
      <c r="F63" s="5"/>
      <c r="G63" s="5"/>
      <c r="H63" s="5"/>
      <c r="I63" s="254"/>
      <c r="J63" s="5"/>
      <c r="K63" s="5"/>
      <c r="L63" s="5"/>
      <c r="M63" s="5"/>
      <c r="N63" s="5"/>
      <c r="O63" s="5"/>
      <c r="Q63" s="5"/>
      <c r="R63" s="5"/>
      <c r="S63" s="5"/>
    </row>
    <row r="64" spans="2:27">
      <c r="B64" s="5"/>
      <c r="C64" s="5"/>
      <c r="D64" s="5"/>
      <c r="E64" s="5"/>
      <c r="F64" s="5"/>
      <c r="G64" s="5"/>
      <c r="H64" s="5"/>
      <c r="I64" s="17"/>
      <c r="J64" s="5"/>
      <c r="K64" s="5"/>
      <c r="L64" s="5"/>
      <c r="M64" s="5"/>
      <c r="N64" s="5"/>
      <c r="O64" s="5"/>
      <c r="Q64" s="5"/>
      <c r="R64" s="5"/>
      <c r="S64" s="5"/>
    </row>
    <row r="65" spans="2:26">
      <c r="B65" s="41"/>
      <c r="C65" s="249"/>
      <c r="D65" s="254"/>
      <c r="E65" s="254"/>
      <c r="F65" s="254"/>
      <c r="G65" s="254"/>
      <c r="H65" s="254"/>
      <c r="I65" s="254"/>
      <c r="J65" s="254"/>
      <c r="K65" s="254"/>
      <c r="L65" s="254"/>
      <c r="M65" s="254"/>
      <c r="N65" s="254"/>
      <c r="O65" s="251"/>
      <c r="Q65" s="5"/>
      <c r="R65" s="5"/>
      <c r="S65" s="5"/>
    </row>
    <row r="66" spans="2:26">
      <c r="B66" s="5"/>
      <c r="C66" s="5"/>
      <c r="D66" s="17"/>
      <c r="E66" s="17"/>
      <c r="F66" s="17"/>
      <c r="G66" s="17"/>
      <c r="H66" s="17"/>
      <c r="I66" s="248"/>
      <c r="J66" s="17"/>
      <c r="K66" s="17"/>
      <c r="L66" s="17"/>
      <c r="M66" s="17"/>
      <c r="N66" s="17"/>
      <c r="O66" s="5"/>
      <c r="Q66" s="5"/>
      <c r="R66" s="5"/>
      <c r="S66" s="5"/>
    </row>
    <row r="67" spans="2:26">
      <c r="B67" s="41"/>
      <c r="C67" s="249"/>
      <c r="D67" s="254"/>
      <c r="E67" s="254"/>
      <c r="F67" s="254"/>
      <c r="G67" s="254"/>
      <c r="H67" s="254"/>
      <c r="I67" s="5"/>
      <c r="J67" s="254"/>
      <c r="K67" s="254"/>
      <c r="L67" s="254"/>
      <c r="M67" s="254"/>
      <c r="N67" s="254"/>
      <c r="O67" s="251"/>
      <c r="Q67" s="41"/>
      <c r="R67" s="5"/>
      <c r="S67" s="5"/>
    </row>
    <row r="68" spans="2:26">
      <c r="B68" s="5"/>
      <c r="C68" s="5"/>
      <c r="D68" s="248"/>
      <c r="E68" s="248"/>
      <c r="F68" s="248"/>
      <c r="G68" s="248"/>
      <c r="H68" s="248"/>
      <c r="I68" s="245"/>
      <c r="J68" s="248"/>
      <c r="K68" s="248"/>
      <c r="L68" s="248"/>
      <c r="M68" s="248"/>
      <c r="N68" s="248"/>
      <c r="O68" s="5"/>
      <c r="Q68" s="5"/>
      <c r="R68" s="5"/>
      <c r="S68" s="5"/>
    </row>
    <row r="69" spans="2:26">
      <c r="B69" s="41"/>
      <c r="C69" s="5"/>
      <c r="D69" s="5"/>
      <c r="E69" s="5"/>
      <c r="F69" s="5"/>
      <c r="G69" s="5"/>
      <c r="H69" s="5"/>
      <c r="I69" s="248"/>
      <c r="J69" s="5"/>
      <c r="K69" s="5"/>
      <c r="L69" s="5"/>
      <c r="M69" s="5"/>
      <c r="N69" s="5"/>
      <c r="O69" s="5"/>
      <c r="Q69" s="5"/>
      <c r="R69" s="5"/>
      <c r="S69" s="5"/>
    </row>
    <row r="70" spans="2:26">
      <c r="B70" s="41"/>
      <c r="C70" s="245"/>
      <c r="D70" s="245"/>
      <c r="E70" s="245"/>
      <c r="F70" s="245"/>
      <c r="G70" s="245"/>
      <c r="H70" s="245"/>
      <c r="I70" s="5"/>
      <c r="J70" s="245"/>
      <c r="K70" s="245"/>
      <c r="L70" s="245"/>
      <c r="M70" s="245"/>
      <c r="N70" s="245"/>
      <c r="O70" s="251"/>
      <c r="Q70" s="5"/>
      <c r="R70" s="5"/>
      <c r="S70" s="5"/>
      <c r="W70" s="76"/>
      <c r="X70" s="76"/>
    </row>
    <row r="71" spans="2:26">
      <c r="B71" s="5"/>
      <c r="C71" s="5"/>
      <c r="D71" s="248"/>
      <c r="E71" s="248"/>
      <c r="F71" s="248"/>
      <c r="G71" s="248"/>
      <c r="H71" s="248"/>
      <c r="I71" s="245"/>
      <c r="J71" s="248"/>
      <c r="K71" s="248"/>
      <c r="L71" s="248"/>
      <c r="M71" s="248"/>
      <c r="N71" s="248"/>
      <c r="O71" s="5"/>
      <c r="Q71" s="5"/>
      <c r="R71" s="5"/>
      <c r="S71" s="5"/>
      <c r="W71" s="76"/>
      <c r="X71" s="76"/>
      <c r="Y71" s="76"/>
      <c r="Z71" s="76"/>
    </row>
    <row r="72" spans="2:26">
      <c r="B72" s="41"/>
      <c r="C72" s="5"/>
      <c r="D72" s="5"/>
      <c r="E72" s="5"/>
      <c r="F72" s="5"/>
      <c r="G72" s="5"/>
      <c r="H72" s="5"/>
      <c r="I72" s="18"/>
      <c r="J72" s="5"/>
      <c r="K72" s="5"/>
      <c r="L72" s="5"/>
      <c r="M72" s="5"/>
      <c r="N72" s="5"/>
      <c r="O72" s="5"/>
      <c r="Q72" s="5"/>
      <c r="R72" s="5"/>
      <c r="S72" s="5"/>
      <c r="Y72" s="76"/>
      <c r="Z72" s="76"/>
    </row>
    <row r="73" spans="2:26">
      <c r="B73" s="41"/>
      <c r="C73" s="245"/>
      <c r="D73" s="245"/>
      <c r="E73" s="245"/>
      <c r="F73" s="245"/>
      <c r="G73" s="245"/>
      <c r="H73" s="245"/>
      <c r="I73" s="5"/>
      <c r="J73" s="245"/>
      <c r="K73" s="245"/>
      <c r="L73" s="245"/>
      <c r="M73" s="245"/>
      <c r="N73" s="245"/>
      <c r="O73" s="251"/>
      <c r="Q73" s="5"/>
      <c r="R73" s="5"/>
      <c r="S73" s="5"/>
    </row>
    <row r="74" spans="2:26">
      <c r="B74" s="5"/>
      <c r="C74" s="5"/>
      <c r="D74" s="18"/>
      <c r="E74" s="18"/>
      <c r="F74" s="18"/>
      <c r="G74" s="18"/>
      <c r="H74" s="18"/>
      <c r="I74" s="249"/>
      <c r="J74" s="18"/>
      <c r="K74" s="18"/>
      <c r="L74" s="18"/>
      <c r="M74" s="18"/>
      <c r="N74" s="18"/>
      <c r="O74" s="5"/>
      <c r="Q74" s="5"/>
      <c r="R74" s="5"/>
      <c r="S74" s="5"/>
    </row>
    <row r="75" spans="2:26">
      <c r="B75" s="41"/>
      <c r="C75" s="5"/>
      <c r="D75" s="5"/>
      <c r="E75" s="5"/>
      <c r="F75" s="5"/>
      <c r="G75" s="5"/>
      <c r="H75" s="5"/>
      <c r="I75" s="248"/>
      <c r="J75" s="5"/>
      <c r="K75" s="5"/>
      <c r="L75" s="5"/>
      <c r="M75" s="5"/>
      <c r="N75" s="5"/>
      <c r="O75" s="5"/>
      <c r="Q75" s="5"/>
      <c r="R75" s="5"/>
      <c r="S75" s="5"/>
    </row>
    <row r="76" spans="2:26">
      <c r="B76" s="41"/>
      <c r="C76" s="249"/>
      <c r="D76" s="249"/>
      <c r="E76" s="249"/>
      <c r="F76" s="249"/>
      <c r="G76" s="249"/>
      <c r="H76" s="249"/>
      <c r="I76" s="5"/>
      <c r="J76" s="249"/>
      <c r="K76" s="249"/>
      <c r="L76" s="249"/>
      <c r="M76" s="249"/>
      <c r="N76" s="249"/>
      <c r="O76" s="251"/>
      <c r="Q76" s="5"/>
      <c r="R76" s="5"/>
      <c r="S76" s="5"/>
    </row>
    <row r="77" spans="2:26">
      <c r="B77" s="5"/>
      <c r="C77" s="5"/>
      <c r="D77" s="248"/>
      <c r="E77" s="248"/>
      <c r="F77" s="248"/>
      <c r="G77" s="248"/>
      <c r="H77" s="248"/>
      <c r="I77" s="245"/>
      <c r="J77" s="248"/>
      <c r="K77" s="248"/>
      <c r="L77" s="248"/>
      <c r="M77" s="248"/>
      <c r="N77" s="248"/>
      <c r="O77" s="5"/>
      <c r="Q77" s="5"/>
      <c r="R77" s="5"/>
      <c r="S77" s="5"/>
    </row>
    <row r="78" spans="2:26">
      <c r="B78" s="41"/>
      <c r="C78" s="5"/>
      <c r="D78" s="5"/>
      <c r="E78" s="5"/>
      <c r="F78" s="5"/>
      <c r="G78" s="5"/>
      <c r="H78" s="5"/>
      <c r="I78" s="248"/>
      <c r="J78" s="5"/>
      <c r="K78" s="5"/>
      <c r="L78" s="5"/>
      <c r="M78" s="5"/>
      <c r="N78" s="5"/>
      <c r="O78" s="5"/>
      <c r="Q78" s="5"/>
      <c r="R78" s="5"/>
      <c r="S78" s="5"/>
    </row>
    <row r="79" spans="2:26">
      <c r="B79" s="41"/>
      <c r="C79" s="245"/>
      <c r="D79" s="245"/>
      <c r="E79" s="245"/>
      <c r="F79" s="245"/>
      <c r="G79" s="245"/>
      <c r="H79" s="245"/>
      <c r="I79" s="5"/>
      <c r="J79" s="245"/>
      <c r="K79" s="245"/>
      <c r="L79" s="245"/>
      <c r="M79" s="245"/>
      <c r="N79" s="245"/>
      <c r="O79" s="251"/>
      <c r="Q79" s="5"/>
      <c r="R79" s="5"/>
      <c r="S79" s="5"/>
    </row>
    <row r="80" spans="2:26">
      <c r="B80" s="5"/>
      <c r="C80" s="5"/>
      <c r="D80" s="248"/>
      <c r="E80" s="248"/>
      <c r="F80" s="248"/>
      <c r="G80" s="248"/>
      <c r="H80" s="248"/>
      <c r="I80" s="249"/>
      <c r="J80" s="248"/>
      <c r="K80" s="248"/>
      <c r="L80" s="248"/>
      <c r="M80" s="248"/>
      <c r="N80" s="248"/>
      <c r="O80" s="5"/>
      <c r="Q80" s="5"/>
      <c r="R80" s="5"/>
      <c r="S80" s="5"/>
    </row>
    <row r="81" spans="2:26">
      <c r="B81" s="41"/>
      <c r="C81" s="5"/>
      <c r="D81" s="5"/>
      <c r="E81" s="5"/>
      <c r="F81" s="5"/>
      <c r="G81" s="5"/>
      <c r="H81" s="5"/>
      <c r="I81" s="248"/>
      <c r="J81" s="5"/>
      <c r="K81" s="5"/>
      <c r="L81" s="5"/>
      <c r="M81" s="5"/>
      <c r="N81" s="5"/>
      <c r="O81" s="5"/>
      <c r="Q81" s="5"/>
      <c r="R81" s="5"/>
      <c r="S81" s="5"/>
    </row>
    <row r="82" spans="2:26">
      <c r="B82" s="41"/>
      <c r="C82" s="249"/>
      <c r="D82" s="249"/>
      <c r="E82" s="249"/>
      <c r="F82" s="249"/>
      <c r="G82" s="249"/>
      <c r="H82" s="249"/>
      <c r="I82" s="259"/>
      <c r="J82" s="249"/>
      <c r="K82" s="249"/>
      <c r="L82" s="249"/>
      <c r="M82" s="249"/>
      <c r="N82" s="249"/>
      <c r="O82" s="251"/>
      <c r="Q82" s="5"/>
      <c r="R82" s="5"/>
      <c r="S82" s="5"/>
    </row>
    <row r="83" spans="2:26">
      <c r="B83" s="5"/>
      <c r="C83" s="5"/>
      <c r="D83" s="248"/>
      <c r="E83" s="248"/>
      <c r="F83" s="248"/>
      <c r="G83" s="248"/>
      <c r="H83" s="248"/>
      <c r="I83" s="5"/>
      <c r="J83" s="248"/>
      <c r="K83" s="248"/>
      <c r="L83" s="248"/>
      <c r="M83" s="248"/>
      <c r="N83" s="248"/>
      <c r="O83" s="5"/>
      <c r="Q83" s="5"/>
      <c r="R83" s="5"/>
      <c r="S83" s="5"/>
    </row>
    <row r="84" spans="2:26">
      <c r="B84" s="5"/>
      <c r="C84" s="259"/>
      <c r="D84" s="259"/>
      <c r="E84" s="259"/>
      <c r="F84" s="259"/>
      <c r="G84" s="259"/>
      <c r="H84" s="259"/>
      <c r="I84" s="245"/>
      <c r="J84" s="259"/>
      <c r="K84" s="259"/>
      <c r="L84" s="259"/>
      <c r="M84" s="259"/>
      <c r="N84" s="259"/>
      <c r="O84" s="251"/>
      <c r="Q84" s="5"/>
      <c r="R84" s="5"/>
      <c r="S84" s="5"/>
    </row>
    <row r="85" spans="2:26">
      <c r="B85" s="41"/>
      <c r="C85" s="5"/>
      <c r="D85" s="5"/>
      <c r="E85" s="5"/>
      <c r="F85" s="5"/>
      <c r="G85" s="5"/>
      <c r="H85" s="5"/>
      <c r="I85" s="248"/>
      <c r="J85" s="5"/>
      <c r="K85" s="5"/>
      <c r="L85" s="5"/>
      <c r="M85" s="5"/>
      <c r="N85" s="5"/>
      <c r="O85" s="5"/>
      <c r="Q85" s="5"/>
      <c r="R85" s="5"/>
      <c r="S85" s="5"/>
    </row>
    <row r="86" spans="2:26">
      <c r="B86" s="41"/>
      <c r="C86" s="245"/>
      <c r="D86" s="245"/>
      <c r="E86" s="245"/>
      <c r="F86" s="245"/>
      <c r="G86" s="245"/>
      <c r="H86" s="245"/>
      <c r="I86" s="5"/>
      <c r="J86" s="245"/>
      <c r="K86" s="245"/>
      <c r="L86" s="245"/>
      <c r="M86" s="245"/>
      <c r="N86" s="245"/>
      <c r="O86" s="251"/>
      <c r="Q86" s="5"/>
      <c r="R86" s="5"/>
      <c r="S86" s="5"/>
    </row>
    <row r="87" spans="2:26">
      <c r="B87" s="5"/>
      <c r="C87" s="5"/>
      <c r="D87" s="248"/>
      <c r="E87" s="248"/>
      <c r="F87" s="248"/>
      <c r="G87" s="248"/>
      <c r="H87" s="248"/>
      <c r="I87" s="5"/>
      <c r="J87" s="248"/>
      <c r="K87" s="248"/>
      <c r="L87" s="248"/>
      <c r="M87" s="248"/>
      <c r="N87" s="248"/>
      <c r="O87" s="5"/>
      <c r="Q87" s="5"/>
      <c r="R87" s="5"/>
      <c r="S87" s="5"/>
    </row>
    <row r="88" spans="2:26">
      <c r="B88" s="41"/>
      <c r="C88" s="5"/>
      <c r="D88" s="5"/>
      <c r="E88" s="5"/>
      <c r="F88" s="5"/>
      <c r="G88" s="5"/>
      <c r="H88" s="5"/>
      <c r="I88" s="5"/>
      <c r="J88" s="5"/>
      <c r="K88" s="5"/>
      <c r="L88" s="5"/>
      <c r="M88" s="5"/>
      <c r="N88" s="5"/>
      <c r="O88" s="5"/>
      <c r="Q88" s="5"/>
      <c r="R88" s="5"/>
      <c r="S88" s="5"/>
    </row>
    <row r="89" spans="2:26">
      <c r="B89" s="41"/>
      <c r="C89" s="5"/>
      <c r="D89" s="5"/>
      <c r="E89" s="5"/>
      <c r="F89" s="5"/>
      <c r="G89" s="5"/>
      <c r="H89" s="5"/>
      <c r="I89" s="5"/>
      <c r="J89" s="5"/>
      <c r="K89" s="5"/>
      <c r="L89" s="5"/>
      <c r="M89" s="5"/>
      <c r="N89" s="5"/>
      <c r="O89" s="5"/>
      <c r="Q89" s="5"/>
      <c r="R89" s="5"/>
      <c r="S89" s="5"/>
    </row>
    <row r="90" spans="2:26">
      <c r="B90" s="41"/>
      <c r="C90" s="5"/>
      <c r="D90" s="5"/>
      <c r="E90" s="5"/>
      <c r="F90" s="5"/>
      <c r="G90" s="5"/>
      <c r="H90" s="5"/>
      <c r="I90" s="49"/>
      <c r="J90" s="5"/>
      <c r="K90" s="5"/>
      <c r="L90" s="5"/>
      <c r="M90" s="5"/>
      <c r="N90" s="5"/>
      <c r="O90" s="5"/>
      <c r="Q90" s="41"/>
      <c r="R90" s="5"/>
      <c r="S90" s="5"/>
    </row>
    <row r="91" spans="2:26">
      <c r="B91" s="5"/>
      <c r="C91" s="5"/>
      <c r="D91" s="5"/>
      <c r="E91" s="5"/>
      <c r="F91" s="5"/>
      <c r="G91" s="5"/>
      <c r="H91" s="5"/>
      <c r="I91" s="5"/>
      <c r="J91" s="5"/>
      <c r="K91" s="5"/>
      <c r="L91" s="5"/>
      <c r="M91" s="5"/>
      <c r="N91" s="5"/>
      <c r="O91" s="5"/>
      <c r="Q91" s="5"/>
      <c r="R91" s="5"/>
      <c r="S91" s="5"/>
    </row>
    <row r="92" spans="2:26">
      <c r="B92" s="41"/>
      <c r="C92" s="49"/>
      <c r="D92" s="49"/>
      <c r="E92" s="49"/>
      <c r="F92" s="49"/>
      <c r="G92" s="49"/>
      <c r="H92" s="49"/>
      <c r="I92" s="247"/>
      <c r="J92" s="49"/>
      <c r="K92" s="49"/>
      <c r="L92" s="49"/>
      <c r="M92" s="49"/>
      <c r="N92" s="49"/>
      <c r="O92" s="49"/>
      <c r="Q92" s="5"/>
      <c r="R92" s="5"/>
      <c r="S92" s="5"/>
      <c r="W92" s="21"/>
      <c r="X92" s="21"/>
    </row>
    <row r="93" spans="2:26">
      <c r="B93" s="5"/>
      <c r="C93" s="5"/>
      <c r="D93" s="5"/>
      <c r="E93" s="5"/>
      <c r="F93" s="5"/>
      <c r="G93" s="5"/>
      <c r="H93" s="5"/>
      <c r="I93" s="247"/>
      <c r="J93" s="5"/>
      <c r="K93" s="5"/>
      <c r="L93" s="5"/>
      <c r="M93" s="5"/>
      <c r="N93" s="5"/>
      <c r="O93" s="5"/>
      <c r="Q93" s="5"/>
      <c r="R93" s="5"/>
      <c r="S93" s="5"/>
      <c r="W93" s="21"/>
      <c r="X93" s="21"/>
      <c r="Y93" s="21"/>
      <c r="Z93" s="21"/>
    </row>
    <row r="94" spans="2:26">
      <c r="B94" s="5"/>
      <c r="C94" s="259"/>
      <c r="D94" s="247"/>
      <c r="E94" s="247"/>
      <c r="F94" s="247"/>
      <c r="G94" s="247"/>
      <c r="H94" s="247"/>
      <c r="I94" s="247"/>
      <c r="J94" s="247"/>
      <c r="K94" s="247"/>
      <c r="L94" s="247"/>
      <c r="M94" s="247"/>
      <c r="N94" s="247"/>
      <c r="O94" s="248"/>
      <c r="Q94" s="5"/>
      <c r="R94" s="5"/>
      <c r="S94" s="5"/>
      <c r="Y94" s="21"/>
      <c r="Z94" s="21"/>
    </row>
    <row r="95" spans="2:26">
      <c r="B95" s="5"/>
      <c r="C95" s="259"/>
      <c r="D95" s="247"/>
      <c r="E95" s="247"/>
      <c r="F95" s="247"/>
      <c r="G95" s="247"/>
      <c r="H95" s="247"/>
      <c r="I95" s="248"/>
      <c r="J95" s="247"/>
      <c r="K95" s="247"/>
      <c r="L95" s="247"/>
      <c r="M95" s="247"/>
      <c r="N95" s="247"/>
      <c r="O95" s="248"/>
      <c r="Q95" s="5"/>
      <c r="R95" s="5"/>
      <c r="S95" s="5"/>
    </row>
    <row r="96" spans="2:26">
      <c r="B96" s="5"/>
      <c r="C96" s="259"/>
      <c r="D96" s="247"/>
      <c r="E96" s="247"/>
      <c r="F96" s="247"/>
      <c r="G96" s="247"/>
      <c r="H96" s="247"/>
      <c r="I96" s="247"/>
      <c r="J96" s="247"/>
      <c r="K96" s="247"/>
      <c r="L96" s="247"/>
      <c r="M96" s="247"/>
      <c r="N96" s="247"/>
      <c r="O96" s="248"/>
      <c r="Q96" s="5"/>
      <c r="R96" s="5"/>
      <c r="S96" s="5"/>
    </row>
    <row r="97" spans="2:19">
      <c r="B97" s="5"/>
      <c r="C97" s="259"/>
      <c r="D97" s="248"/>
      <c r="E97" s="248"/>
      <c r="F97" s="248"/>
      <c r="G97" s="248"/>
      <c r="H97" s="248"/>
      <c r="I97" s="249"/>
      <c r="J97" s="248"/>
      <c r="K97" s="248"/>
      <c r="L97" s="248"/>
      <c r="M97" s="248"/>
      <c r="N97" s="248"/>
      <c r="O97" s="248"/>
      <c r="Q97" s="5"/>
      <c r="R97" s="5"/>
      <c r="S97" s="5"/>
    </row>
    <row r="98" spans="2:19">
      <c r="B98" s="5"/>
      <c r="C98" s="259"/>
      <c r="D98" s="247"/>
      <c r="E98" s="247"/>
      <c r="F98" s="247"/>
      <c r="G98" s="247"/>
      <c r="H98" s="247"/>
      <c r="I98" s="248"/>
      <c r="J98" s="247"/>
      <c r="K98" s="247"/>
      <c r="L98" s="247"/>
      <c r="M98" s="247"/>
      <c r="N98" s="247"/>
      <c r="O98" s="248"/>
      <c r="Q98" s="5"/>
      <c r="R98" s="5"/>
      <c r="S98" s="5"/>
    </row>
    <row r="99" spans="2:19">
      <c r="B99" s="41"/>
      <c r="C99" s="249"/>
      <c r="D99" s="249"/>
      <c r="E99" s="249"/>
      <c r="F99" s="249"/>
      <c r="G99" s="249"/>
      <c r="H99" s="249"/>
      <c r="I99" s="5"/>
      <c r="J99" s="249"/>
      <c r="K99" s="249"/>
      <c r="L99" s="249"/>
      <c r="M99" s="249"/>
      <c r="N99" s="249"/>
      <c r="O99" s="248"/>
      <c r="Q99" s="5"/>
      <c r="R99" s="5"/>
      <c r="S99" s="5"/>
    </row>
    <row r="100" spans="2:19">
      <c r="B100" s="41"/>
      <c r="C100" s="257"/>
      <c r="D100" s="248"/>
      <c r="E100" s="248"/>
      <c r="F100" s="248"/>
      <c r="G100" s="248"/>
      <c r="H100" s="248"/>
      <c r="I100" s="259"/>
      <c r="J100" s="248"/>
      <c r="K100" s="248"/>
      <c r="L100" s="248"/>
      <c r="M100" s="248"/>
      <c r="N100" s="248"/>
      <c r="O100" s="248"/>
      <c r="Q100" s="5"/>
      <c r="R100" s="5"/>
      <c r="S100" s="5"/>
    </row>
    <row r="101" spans="2:19" s="5" customFormat="1">
      <c r="B101" s="41"/>
      <c r="I101" s="259"/>
      <c r="O101" s="248"/>
      <c r="P101" s="39"/>
    </row>
    <row r="102" spans="2:19">
      <c r="B102" s="5"/>
      <c r="C102" s="259"/>
      <c r="D102" s="259"/>
      <c r="E102" s="259"/>
      <c r="F102" s="259"/>
      <c r="G102" s="259"/>
      <c r="H102" s="259"/>
      <c r="I102" s="247"/>
      <c r="J102" s="259"/>
      <c r="K102" s="259"/>
      <c r="L102" s="259"/>
      <c r="M102" s="259"/>
      <c r="N102" s="259"/>
      <c r="O102" s="5"/>
      <c r="Q102" s="5"/>
      <c r="R102" s="5"/>
      <c r="S102" s="5"/>
    </row>
    <row r="103" spans="2:19">
      <c r="B103" s="5"/>
      <c r="C103" s="259"/>
      <c r="D103" s="259"/>
      <c r="E103" s="259"/>
      <c r="F103" s="259"/>
      <c r="G103" s="259"/>
      <c r="H103" s="259"/>
      <c r="I103" s="5"/>
      <c r="J103" s="259"/>
      <c r="K103" s="259"/>
      <c r="L103" s="259"/>
      <c r="M103" s="259"/>
      <c r="N103" s="259"/>
      <c r="O103" s="5"/>
      <c r="P103" s="5"/>
      <c r="Q103" s="5"/>
      <c r="R103" s="5"/>
      <c r="S103" s="5"/>
    </row>
    <row r="104" spans="2:19">
      <c r="B104" s="5"/>
      <c r="C104" s="247"/>
      <c r="D104" s="247"/>
      <c r="E104" s="247"/>
      <c r="F104" s="247"/>
      <c r="G104" s="247"/>
      <c r="H104" s="247"/>
      <c r="I104" s="247"/>
      <c r="J104" s="247"/>
      <c r="K104" s="247"/>
      <c r="L104" s="247"/>
      <c r="M104" s="247"/>
      <c r="N104" s="247"/>
      <c r="O104" s="5"/>
      <c r="Q104" s="5"/>
      <c r="R104" s="5"/>
      <c r="S104" s="5"/>
    </row>
    <row r="105" spans="2:19" s="5" customFormat="1">
      <c r="P105" s="39"/>
    </row>
    <row r="106" spans="2:19" s="5" customFormat="1">
      <c r="C106" s="259"/>
      <c r="D106" s="247"/>
      <c r="E106" s="247"/>
      <c r="F106" s="247"/>
      <c r="G106" s="247"/>
      <c r="H106" s="247"/>
      <c r="I106" s="259"/>
      <c r="J106" s="247"/>
      <c r="K106" s="247"/>
      <c r="L106" s="247"/>
      <c r="M106" s="247"/>
      <c r="N106" s="247"/>
      <c r="P106" s="39"/>
    </row>
    <row r="107" spans="2:19">
      <c r="B107" s="5"/>
      <c r="C107" s="259"/>
      <c r="D107" s="5"/>
      <c r="E107" s="5"/>
      <c r="F107" s="5"/>
      <c r="G107" s="5"/>
      <c r="H107" s="5"/>
      <c r="I107" s="247"/>
      <c r="J107" s="5"/>
      <c r="K107" s="5"/>
      <c r="L107" s="5"/>
      <c r="M107" s="5"/>
      <c r="N107" s="5"/>
      <c r="O107" s="5"/>
      <c r="P107" s="5"/>
      <c r="Q107" s="5"/>
      <c r="R107" s="5"/>
      <c r="S107" s="5"/>
    </row>
    <row r="108" spans="2:19">
      <c r="B108" s="5"/>
      <c r="C108" s="259"/>
      <c r="D108" s="259"/>
      <c r="E108" s="259"/>
      <c r="F108" s="259"/>
      <c r="G108" s="259"/>
      <c r="H108" s="259"/>
      <c r="I108" s="249"/>
      <c r="J108" s="259"/>
      <c r="K108" s="259"/>
      <c r="L108" s="259"/>
      <c r="M108" s="259"/>
      <c r="N108" s="259"/>
      <c r="O108" s="5"/>
      <c r="P108" s="5"/>
      <c r="Q108" s="5"/>
      <c r="R108" s="5"/>
      <c r="S108" s="5"/>
    </row>
    <row r="109" spans="2:19">
      <c r="B109" s="5"/>
      <c r="C109" s="247"/>
      <c r="D109" s="247"/>
      <c r="E109" s="247"/>
      <c r="F109" s="247"/>
      <c r="G109" s="247"/>
      <c r="H109" s="247"/>
      <c r="I109" s="249"/>
      <c r="J109" s="247"/>
      <c r="K109" s="247"/>
      <c r="L109" s="247"/>
      <c r="M109" s="247"/>
      <c r="N109" s="247"/>
      <c r="O109" s="5"/>
      <c r="Q109" s="5"/>
      <c r="R109" s="5"/>
      <c r="S109" s="5"/>
    </row>
    <row r="110" spans="2:19">
      <c r="B110" s="41"/>
      <c r="C110" s="249"/>
      <c r="D110" s="249"/>
      <c r="E110" s="249"/>
      <c r="F110" s="249"/>
      <c r="G110" s="249"/>
      <c r="H110" s="249"/>
      <c r="I110" s="247"/>
      <c r="J110" s="249"/>
      <c r="K110" s="249"/>
      <c r="L110" s="249"/>
      <c r="M110" s="249"/>
      <c r="N110" s="249"/>
      <c r="O110" s="5"/>
      <c r="Q110" s="5"/>
      <c r="R110" s="5"/>
      <c r="S110" s="5"/>
    </row>
    <row r="111" spans="2:19">
      <c r="B111" s="5"/>
      <c r="C111" s="249"/>
      <c r="D111" s="249"/>
      <c r="E111" s="249"/>
      <c r="F111" s="249"/>
      <c r="G111" s="249"/>
      <c r="H111" s="249"/>
      <c r="I111" s="5"/>
      <c r="J111" s="249"/>
      <c r="K111" s="249"/>
      <c r="L111" s="249"/>
      <c r="M111" s="249"/>
      <c r="N111" s="249"/>
      <c r="O111" s="5"/>
      <c r="Q111" s="5"/>
      <c r="R111" s="5"/>
      <c r="S111" s="5"/>
    </row>
    <row r="112" spans="2:19">
      <c r="B112" s="5"/>
      <c r="C112" s="247"/>
      <c r="D112" s="247"/>
      <c r="E112" s="247"/>
      <c r="F112" s="247"/>
      <c r="G112" s="247"/>
      <c r="H112" s="247"/>
      <c r="I112" s="5"/>
      <c r="J112" s="247"/>
      <c r="K112" s="247"/>
      <c r="L112" s="247"/>
      <c r="M112" s="247"/>
      <c r="N112" s="247"/>
      <c r="O112" s="5"/>
      <c r="Q112" s="5"/>
      <c r="R112" s="5"/>
      <c r="S112" s="5"/>
    </row>
    <row r="113" spans="2:19">
      <c r="B113" s="5"/>
      <c r="C113" s="5"/>
      <c r="D113" s="5"/>
      <c r="E113" s="5"/>
      <c r="F113" s="5"/>
      <c r="G113" s="5"/>
      <c r="H113" s="5"/>
      <c r="I113" s="5"/>
      <c r="J113" s="5"/>
      <c r="K113" s="5"/>
      <c r="L113" s="5"/>
      <c r="M113" s="5"/>
      <c r="N113" s="5"/>
      <c r="O113" s="5"/>
      <c r="Q113" s="5"/>
      <c r="R113" s="5"/>
      <c r="S113" s="5"/>
    </row>
    <row r="114" spans="2:19">
      <c r="B114" s="5"/>
      <c r="C114" s="5"/>
      <c r="D114" s="5"/>
      <c r="E114" s="5"/>
      <c r="F114" s="5"/>
      <c r="G114" s="5"/>
      <c r="H114" s="5"/>
      <c r="I114" s="5"/>
      <c r="J114" s="5"/>
      <c r="K114" s="5"/>
      <c r="L114" s="5"/>
      <c r="M114" s="5"/>
      <c r="N114" s="5"/>
      <c r="O114" s="5"/>
      <c r="Q114" s="5"/>
      <c r="R114" s="5"/>
      <c r="S114" s="5"/>
    </row>
    <row r="115" spans="2:19">
      <c r="B115" s="5"/>
      <c r="C115" s="5"/>
      <c r="D115" s="5"/>
      <c r="E115" s="5"/>
      <c r="F115" s="5"/>
      <c r="G115" s="5"/>
      <c r="H115" s="5"/>
      <c r="I115" s="49"/>
      <c r="J115" s="5"/>
      <c r="K115" s="5"/>
      <c r="L115" s="5"/>
      <c r="M115" s="5"/>
      <c r="N115" s="5"/>
      <c r="O115" s="5"/>
      <c r="Q115" s="41"/>
      <c r="R115" s="5"/>
      <c r="S115" s="5"/>
    </row>
    <row r="116" spans="2:19">
      <c r="B116" s="5"/>
      <c r="C116" s="5"/>
      <c r="D116" s="5"/>
      <c r="E116" s="5"/>
      <c r="F116" s="5"/>
      <c r="G116" s="5"/>
      <c r="H116" s="5"/>
      <c r="I116" s="5"/>
      <c r="J116" s="5"/>
      <c r="K116" s="5"/>
      <c r="L116" s="5"/>
      <c r="M116" s="5"/>
      <c r="N116" s="5"/>
      <c r="O116" s="5"/>
      <c r="Q116" s="5"/>
      <c r="R116" s="5"/>
      <c r="S116" s="5"/>
    </row>
    <row r="117" spans="2:19">
      <c r="B117" s="41"/>
      <c r="C117" s="49"/>
      <c r="D117" s="49"/>
      <c r="E117" s="49"/>
      <c r="F117" s="49"/>
      <c r="G117" s="49"/>
      <c r="H117" s="49"/>
      <c r="I117" s="254"/>
      <c r="J117" s="49"/>
      <c r="K117" s="49"/>
      <c r="L117" s="49"/>
      <c r="M117" s="49"/>
      <c r="N117" s="49"/>
      <c r="O117" s="49"/>
      <c r="Q117" s="5"/>
      <c r="R117" s="5"/>
      <c r="S117" s="5"/>
    </row>
    <row r="118" spans="2:19">
      <c r="B118" s="5"/>
      <c r="C118" s="5"/>
      <c r="D118" s="5"/>
      <c r="E118" s="5"/>
      <c r="F118" s="5"/>
      <c r="G118" s="5"/>
      <c r="H118" s="5"/>
      <c r="I118" s="249"/>
      <c r="J118" s="5"/>
      <c r="K118" s="5"/>
      <c r="L118" s="5"/>
      <c r="M118" s="5"/>
      <c r="N118" s="5"/>
      <c r="O118" s="5"/>
      <c r="Q118" s="5"/>
      <c r="R118" s="5"/>
      <c r="S118" s="5"/>
    </row>
    <row r="119" spans="2:19">
      <c r="B119" s="41"/>
      <c r="C119" s="254"/>
      <c r="D119" s="254"/>
      <c r="E119" s="254"/>
      <c r="F119" s="254"/>
      <c r="G119" s="254"/>
      <c r="H119" s="254"/>
      <c r="I119" s="254"/>
      <c r="J119" s="254"/>
      <c r="K119" s="254"/>
      <c r="L119" s="254"/>
      <c r="M119" s="254"/>
      <c r="N119" s="254"/>
      <c r="O119" s="248"/>
      <c r="Q119" s="5"/>
      <c r="R119" s="5"/>
      <c r="S119" s="5"/>
    </row>
    <row r="120" spans="2:19">
      <c r="B120" s="41"/>
      <c r="C120" s="254"/>
      <c r="D120" s="249"/>
      <c r="E120" s="249"/>
      <c r="F120" s="249"/>
      <c r="G120" s="249"/>
      <c r="H120" s="249"/>
      <c r="I120" s="254"/>
      <c r="J120" s="249"/>
      <c r="K120" s="249"/>
      <c r="L120" s="249"/>
      <c r="M120" s="249"/>
      <c r="N120" s="249"/>
      <c r="O120" s="248"/>
      <c r="Q120" s="5"/>
      <c r="R120" s="5"/>
      <c r="S120" s="5"/>
    </row>
    <row r="121" spans="2:19">
      <c r="B121" s="41"/>
      <c r="C121" s="254"/>
      <c r="D121" s="254"/>
      <c r="E121" s="254"/>
      <c r="F121" s="254"/>
      <c r="G121" s="254"/>
      <c r="H121" s="254"/>
      <c r="I121" s="254"/>
      <c r="J121" s="254"/>
      <c r="K121" s="254"/>
      <c r="L121" s="254"/>
      <c r="M121" s="254"/>
      <c r="N121" s="254"/>
      <c r="O121" s="248"/>
      <c r="Q121" s="5"/>
      <c r="R121" s="5"/>
      <c r="S121" s="5"/>
    </row>
    <row r="122" spans="2:19">
      <c r="B122" s="41"/>
      <c r="C122" s="254"/>
      <c r="D122" s="254"/>
      <c r="E122" s="254"/>
      <c r="F122" s="254"/>
      <c r="G122" s="254"/>
      <c r="H122" s="254"/>
      <c r="I122" s="254"/>
      <c r="J122" s="254"/>
      <c r="K122" s="254"/>
      <c r="L122" s="254"/>
      <c r="M122" s="254"/>
      <c r="N122" s="254"/>
      <c r="O122" s="248"/>
      <c r="Q122" s="5"/>
      <c r="R122" s="5"/>
      <c r="S122" s="5"/>
    </row>
    <row r="123" spans="2:19">
      <c r="B123" s="41"/>
      <c r="C123" s="254"/>
      <c r="D123" s="254"/>
      <c r="E123" s="254"/>
      <c r="F123" s="254"/>
      <c r="G123" s="254"/>
      <c r="H123" s="254"/>
      <c r="I123" s="254"/>
      <c r="J123" s="254"/>
      <c r="K123" s="254"/>
      <c r="L123" s="254"/>
      <c r="M123" s="254"/>
      <c r="N123" s="254"/>
      <c r="O123" s="248"/>
      <c r="Q123" s="5"/>
      <c r="R123" s="5"/>
      <c r="S123" s="5"/>
    </row>
    <row r="124" spans="2:19">
      <c r="B124" s="41"/>
      <c r="C124" s="254"/>
      <c r="D124" s="254"/>
      <c r="E124" s="254"/>
      <c r="F124" s="254"/>
      <c r="G124" s="254"/>
      <c r="H124" s="254"/>
      <c r="I124" s="254"/>
      <c r="J124" s="254"/>
      <c r="K124" s="254"/>
      <c r="L124" s="254"/>
      <c r="M124" s="254"/>
      <c r="N124" s="254"/>
      <c r="O124" s="248"/>
      <c r="Q124" s="5"/>
      <c r="R124" s="5"/>
      <c r="S124" s="5"/>
    </row>
    <row r="125" spans="2:19">
      <c r="B125" s="41"/>
      <c r="C125" s="254"/>
      <c r="D125" s="254"/>
      <c r="E125" s="254"/>
      <c r="F125" s="254"/>
      <c r="G125" s="254"/>
      <c r="H125" s="254"/>
      <c r="I125" s="254"/>
      <c r="J125" s="254"/>
      <c r="K125" s="254"/>
      <c r="L125" s="254"/>
      <c r="M125" s="254"/>
      <c r="N125" s="254"/>
      <c r="O125" s="5"/>
      <c r="Q125" s="5"/>
      <c r="R125" s="5"/>
      <c r="S125" s="5"/>
    </row>
    <row r="126" spans="2:19">
      <c r="B126" s="41"/>
      <c r="C126" s="254"/>
      <c r="D126" s="254"/>
      <c r="E126" s="254"/>
      <c r="F126" s="254"/>
      <c r="G126" s="254"/>
      <c r="H126" s="254"/>
      <c r="I126" s="254"/>
      <c r="J126" s="254"/>
      <c r="K126" s="254"/>
      <c r="L126" s="254"/>
      <c r="M126" s="254"/>
      <c r="N126" s="254"/>
      <c r="O126" s="5"/>
      <c r="Q126" s="5"/>
      <c r="R126" s="5"/>
      <c r="S126" s="5"/>
    </row>
    <row r="127" spans="2:19">
      <c r="B127" s="41"/>
      <c r="C127" s="254"/>
      <c r="D127" s="254"/>
      <c r="E127" s="254"/>
      <c r="F127" s="254"/>
      <c r="G127" s="254"/>
      <c r="H127" s="254"/>
      <c r="I127" s="18"/>
      <c r="J127" s="254"/>
      <c r="K127" s="254"/>
      <c r="L127" s="254"/>
      <c r="M127" s="254"/>
      <c r="N127" s="254"/>
      <c r="O127" s="5"/>
      <c r="Q127" s="5"/>
      <c r="R127" s="5"/>
      <c r="S127" s="5"/>
    </row>
    <row r="128" spans="2:19">
      <c r="B128" s="41"/>
      <c r="C128" s="254"/>
      <c r="D128" s="254"/>
      <c r="E128" s="254"/>
      <c r="F128" s="254"/>
      <c r="G128" s="254"/>
      <c r="H128" s="254"/>
      <c r="I128" s="5"/>
      <c r="J128" s="254"/>
      <c r="K128" s="254"/>
      <c r="L128" s="254"/>
      <c r="M128" s="254"/>
      <c r="N128" s="254"/>
      <c r="O128" s="5"/>
      <c r="Q128" s="5"/>
      <c r="R128" s="5"/>
      <c r="S128" s="5"/>
    </row>
    <row r="129" spans="2:27">
      <c r="B129" s="5"/>
      <c r="C129" s="5"/>
      <c r="D129" s="18"/>
      <c r="E129" s="18"/>
      <c r="F129" s="18"/>
      <c r="G129" s="18"/>
      <c r="H129" s="18"/>
      <c r="I129" s="254"/>
      <c r="J129" s="18"/>
      <c r="K129" s="18"/>
      <c r="L129" s="18"/>
      <c r="M129" s="18"/>
      <c r="N129" s="18"/>
      <c r="O129" s="5"/>
      <c r="Q129" s="5"/>
      <c r="R129" s="5"/>
      <c r="S129" s="5"/>
    </row>
    <row r="130" spans="2:27">
      <c r="B130" s="5"/>
      <c r="C130" s="5"/>
      <c r="D130" s="5"/>
      <c r="E130" s="5"/>
      <c r="F130" s="5"/>
      <c r="G130" s="5"/>
      <c r="H130" s="5"/>
      <c r="I130" s="18"/>
      <c r="J130" s="5"/>
      <c r="K130" s="5"/>
      <c r="L130" s="5"/>
      <c r="M130" s="5"/>
      <c r="N130" s="5"/>
      <c r="O130" s="5"/>
      <c r="Q130" s="5"/>
      <c r="R130" s="5"/>
      <c r="S130" s="5"/>
    </row>
    <row r="131" spans="2:27">
      <c r="B131" s="41"/>
      <c r="C131" s="254"/>
      <c r="D131" s="254"/>
      <c r="E131" s="254"/>
      <c r="F131" s="254"/>
      <c r="G131" s="254"/>
      <c r="H131" s="254"/>
      <c r="I131" s="5"/>
      <c r="J131" s="254"/>
      <c r="K131" s="254"/>
      <c r="L131" s="254"/>
      <c r="M131" s="254"/>
      <c r="N131" s="254"/>
      <c r="O131" s="5"/>
      <c r="Q131" s="5"/>
      <c r="R131" s="5"/>
      <c r="S131" s="5"/>
    </row>
    <row r="132" spans="2:27">
      <c r="B132" s="5"/>
      <c r="C132" s="259"/>
      <c r="D132" s="18"/>
      <c r="E132" s="18"/>
      <c r="F132" s="18"/>
      <c r="G132" s="18"/>
      <c r="H132" s="18"/>
      <c r="I132" s="5"/>
      <c r="J132" s="18"/>
      <c r="K132" s="18"/>
      <c r="L132" s="18"/>
      <c r="M132" s="18"/>
      <c r="N132" s="18"/>
      <c r="O132" s="5"/>
      <c r="Q132" s="5"/>
      <c r="R132" s="5"/>
      <c r="S132" s="5"/>
    </row>
    <row r="133" spans="2:27">
      <c r="B133" s="5"/>
      <c r="C133" s="5"/>
      <c r="D133" s="5"/>
      <c r="E133" s="5"/>
      <c r="F133" s="5"/>
      <c r="G133" s="5"/>
      <c r="H133" s="5"/>
      <c r="I133" s="17"/>
      <c r="J133" s="5"/>
      <c r="K133" s="5"/>
      <c r="L133" s="5"/>
      <c r="M133" s="5"/>
      <c r="N133" s="5"/>
      <c r="O133" s="5"/>
      <c r="Q133" s="5"/>
      <c r="R133" s="5"/>
      <c r="S133" s="5"/>
    </row>
    <row r="134" spans="2:27">
      <c r="B134" s="41"/>
      <c r="C134" s="5"/>
      <c r="D134" s="5"/>
      <c r="E134" s="5"/>
      <c r="F134" s="5"/>
      <c r="G134" s="5"/>
      <c r="H134" s="5"/>
      <c r="I134" s="17"/>
      <c r="J134" s="5"/>
      <c r="K134" s="5"/>
      <c r="L134" s="5"/>
      <c r="M134" s="5"/>
      <c r="N134" s="5"/>
      <c r="O134" s="5"/>
      <c r="Q134" s="5"/>
      <c r="R134" s="5"/>
      <c r="S134" s="5"/>
    </row>
    <row r="135" spans="2:27">
      <c r="B135" s="5"/>
      <c r="C135" s="17"/>
      <c r="D135" s="17"/>
      <c r="E135" s="17"/>
      <c r="F135" s="17"/>
      <c r="G135" s="17"/>
      <c r="H135" s="17"/>
      <c r="I135" s="17"/>
      <c r="J135" s="17"/>
      <c r="K135" s="17"/>
      <c r="L135" s="17"/>
      <c r="M135" s="17"/>
      <c r="N135" s="17"/>
      <c r="O135" s="5"/>
      <c r="Q135" s="41"/>
      <c r="R135" s="5"/>
      <c r="S135" s="5"/>
    </row>
    <row r="136" spans="2:27">
      <c r="B136" s="5"/>
      <c r="C136" s="17"/>
      <c r="D136" s="17"/>
      <c r="E136" s="17"/>
      <c r="F136" s="17"/>
      <c r="G136" s="17"/>
      <c r="H136" s="17"/>
      <c r="I136" s="17"/>
      <c r="J136" s="17"/>
      <c r="K136" s="17"/>
      <c r="L136" s="17"/>
      <c r="M136" s="17"/>
      <c r="N136" s="17"/>
      <c r="O136" s="5"/>
      <c r="Q136" s="5"/>
      <c r="R136" s="5"/>
      <c r="S136" s="5"/>
      <c r="X136" s="304"/>
    </row>
    <row r="137" spans="2:27">
      <c r="B137" s="5"/>
      <c r="C137" s="5"/>
      <c r="D137" s="17"/>
      <c r="E137" s="17"/>
      <c r="F137" s="17"/>
      <c r="G137" s="17"/>
      <c r="H137" s="17"/>
      <c r="I137" s="17"/>
      <c r="J137" s="17"/>
      <c r="K137" s="17"/>
      <c r="L137" s="17"/>
      <c r="M137" s="17"/>
      <c r="N137" s="17"/>
      <c r="O137" s="5"/>
      <c r="Q137" s="5"/>
      <c r="R137" s="5"/>
      <c r="S137" s="5"/>
      <c r="X137" s="10"/>
      <c r="Y137" s="304"/>
      <c r="Z137" s="304"/>
      <c r="AA137" s="304"/>
    </row>
    <row r="138" spans="2:27">
      <c r="B138" s="5"/>
      <c r="C138" s="5"/>
      <c r="D138" s="17"/>
      <c r="E138" s="17"/>
      <c r="F138" s="17"/>
      <c r="G138" s="17"/>
      <c r="H138" s="17"/>
      <c r="I138" s="17"/>
      <c r="J138" s="17"/>
      <c r="K138" s="17"/>
      <c r="L138" s="17"/>
      <c r="M138" s="17"/>
      <c r="N138" s="17"/>
      <c r="O138" s="5"/>
      <c r="Q138" s="5"/>
      <c r="R138" s="5"/>
      <c r="S138" s="5"/>
      <c r="Y138" s="10"/>
      <c r="Z138" s="10"/>
      <c r="AA138" s="10"/>
    </row>
    <row r="139" spans="2:27">
      <c r="B139" s="5"/>
      <c r="C139" s="5"/>
      <c r="D139" s="17"/>
      <c r="E139" s="17"/>
      <c r="F139" s="17"/>
      <c r="G139" s="17"/>
      <c r="H139" s="17"/>
      <c r="I139" s="5"/>
      <c r="J139" s="17"/>
      <c r="K139" s="17"/>
      <c r="L139" s="17"/>
      <c r="M139" s="17"/>
      <c r="N139" s="17"/>
      <c r="O139" s="5"/>
      <c r="Q139" s="5"/>
      <c r="R139" s="5"/>
      <c r="S139" s="5"/>
    </row>
    <row r="140" spans="2:27">
      <c r="B140" s="5"/>
      <c r="C140" s="17"/>
      <c r="D140" s="17"/>
      <c r="E140" s="17"/>
      <c r="F140" s="17"/>
      <c r="G140" s="17"/>
      <c r="H140" s="17"/>
      <c r="I140" s="5"/>
      <c r="J140" s="17"/>
      <c r="K140" s="17"/>
      <c r="L140" s="17"/>
      <c r="M140" s="17"/>
      <c r="N140" s="17"/>
      <c r="O140" s="5"/>
      <c r="Q140" s="5"/>
      <c r="R140" s="5"/>
      <c r="S140" s="5"/>
    </row>
    <row r="141" spans="2:27">
      <c r="B141" s="5"/>
      <c r="C141" s="5"/>
      <c r="D141" s="5"/>
      <c r="E141" s="5"/>
      <c r="F141" s="5"/>
      <c r="G141" s="5"/>
      <c r="H141" s="5"/>
      <c r="I141" s="5"/>
      <c r="J141" s="5"/>
      <c r="K141" s="5"/>
      <c r="L141" s="5"/>
      <c r="M141" s="5"/>
      <c r="N141" s="5"/>
      <c r="O141" s="5"/>
      <c r="Q141" s="5"/>
      <c r="R141" s="5"/>
      <c r="S141" s="5"/>
    </row>
    <row r="142" spans="2:27">
      <c r="B142" s="5"/>
      <c r="C142" s="5"/>
      <c r="D142" s="5"/>
      <c r="E142" s="5"/>
      <c r="F142" s="5"/>
      <c r="G142" s="5"/>
      <c r="H142" s="5"/>
      <c r="I142" s="5"/>
      <c r="J142" s="5"/>
      <c r="K142" s="5"/>
      <c r="L142" s="5"/>
      <c r="M142" s="5"/>
      <c r="N142" s="5"/>
      <c r="O142" s="5"/>
      <c r="Q142" s="5"/>
      <c r="R142" s="5"/>
      <c r="S142" s="5"/>
    </row>
    <row r="143" spans="2:27">
      <c r="B143" s="5"/>
      <c r="C143" s="5"/>
      <c r="D143" s="5"/>
      <c r="E143" s="5"/>
      <c r="F143" s="5"/>
      <c r="G143" s="5"/>
      <c r="H143" s="5"/>
      <c r="I143" s="5"/>
      <c r="J143" s="5"/>
      <c r="K143" s="5"/>
      <c r="L143" s="5"/>
      <c r="M143" s="5"/>
      <c r="N143" s="5"/>
      <c r="O143" s="5"/>
      <c r="Q143" s="5"/>
      <c r="R143" s="5"/>
      <c r="S143" s="5"/>
    </row>
    <row r="144" spans="2:27">
      <c r="B144" s="5"/>
      <c r="C144" s="5"/>
      <c r="D144" s="5"/>
      <c r="E144" s="5"/>
      <c r="F144" s="5"/>
      <c r="G144" s="5"/>
      <c r="H144" s="5"/>
      <c r="I144" s="5"/>
      <c r="J144" s="5"/>
      <c r="K144" s="5"/>
      <c r="L144" s="5"/>
      <c r="M144" s="5"/>
      <c r="N144" s="5"/>
      <c r="O144" s="5"/>
      <c r="Q144" s="5"/>
      <c r="R144" s="5"/>
      <c r="S144" s="5"/>
    </row>
    <row r="145" spans="2:19">
      <c r="B145" s="5"/>
      <c r="C145" s="5"/>
      <c r="D145" s="5"/>
      <c r="E145" s="5"/>
      <c r="F145" s="5"/>
      <c r="G145" s="5"/>
      <c r="H145" s="5"/>
      <c r="I145" s="5"/>
      <c r="J145" s="5"/>
      <c r="K145" s="5"/>
      <c r="L145" s="5"/>
      <c r="M145" s="5"/>
      <c r="N145" s="5"/>
      <c r="O145" s="5"/>
      <c r="Q145" s="5"/>
      <c r="R145" s="5"/>
      <c r="S145" s="5"/>
    </row>
    <row r="146" spans="2:19">
      <c r="B146" s="5"/>
      <c r="C146" s="5"/>
      <c r="D146" s="5"/>
      <c r="E146" s="5"/>
      <c r="F146" s="5"/>
      <c r="G146" s="5"/>
      <c r="H146" s="5"/>
      <c r="I146" s="5"/>
      <c r="J146" s="5"/>
      <c r="K146" s="5"/>
      <c r="L146" s="5"/>
      <c r="M146" s="5"/>
      <c r="N146" s="5"/>
      <c r="O146" s="5"/>
      <c r="Q146" s="5"/>
      <c r="R146" s="5"/>
      <c r="S146" s="5"/>
    </row>
    <row r="147" spans="2:19">
      <c r="B147" s="5"/>
      <c r="C147" s="5"/>
      <c r="D147" s="5"/>
      <c r="E147" s="5"/>
      <c r="F147" s="5"/>
      <c r="G147" s="5"/>
      <c r="H147" s="5"/>
      <c r="I147" s="5"/>
      <c r="J147" s="5"/>
      <c r="K147" s="5"/>
      <c r="L147" s="5"/>
      <c r="M147" s="5"/>
      <c r="N147" s="5"/>
      <c r="O147" s="5"/>
      <c r="Q147" s="5"/>
      <c r="R147" s="5"/>
      <c r="S147" s="5"/>
    </row>
    <row r="148" spans="2:19">
      <c r="B148" s="5"/>
      <c r="C148" s="5"/>
      <c r="D148" s="5"/>
      <c r="E148" s="5"/>
      <c r="F148" s="5"/>
      <c r="G148" s="5"/>
      <c r="H148" s="5"/>
      <c r="I148" s="5"/>
      <c r="J148" s="5"/>
      <c r="K148" s="5"/>
      <c r="L148" s="5"/>
      <c r="M148" s="5"/>
      <c r="N148" s="5"/>
      <c r="O148" s="5"/>
      <c r="Q148" s="5"/>
      <c r="R148" s="5"/>
      <c r="S148" s="5"/>
    </row>
    <row r="149" spans="2:19">
      <c r="B149" s="5"/>
      <c r="C149" s="5"/>
      <c r="D149" s="5"/>
      <c r="E149" s="5"/>
      <c r="F149" s="5"/>
      <c r="G149" s="5"/>
      <c r="H149" s="5"/>
      <c r="J149" s="5"/>
      <c r="K149" s="5"/>
      <c r="L149" s="5"/>
      <c r="M149" s="5"/>
      <c r="N149" s="5"/>
      <c r="O149" s="5"/>
      <c r="Q149" s="5"/>
      <c r="R149" s="5"/>
      <c r="S149" s="5"/>
    </row>
    <row r="150" spans="2:19">
      <c r="B150" s="5"/>
      <c r="C150" s="5"/>
      <c r="D150" s="5"/>
      <c r="E150" s="5"/>
      <c r="F150" s="5"/>
      <c r="G150" s="5"/>
      <c r="H150" s="5"/>
      <c r="J150" s="5"/>
      <c r="K150" s="5"/>
      <c r="L150" s="5"/>
      <c r="M150" s="5"/>
      <c r="N150" s="5"/>
      <c r="O150" s="5"/>
      <c r="Q150" s="5"/>
      <c r="R150" s="5"/>
      <c r="S150" s="5"/>
    </row>
    <row r="151" spans="2:19">
      <c r="Q151" s="5"/>
      <c r="R151" s="5"/>
      <c r="S151" s="5"/>
    </row>
    <row r="152" spans="2:19">
      <c r="Q152" s="5"/>
      <c r="R152" s="5"/>
      <c r="S152" s="5"/>
    </row>
    <row r="153" spans="2:19">
      <c r="C153" s="263"/>
      <c r="Q153" s="5"/>
      <c r="R153" s="5"/>
      <c r="S153" s="5"/>
    </row>
    <row r="154" spans="2:19">
      <c r="Q154" s="5"/>
      <c r="R154" s="5"/>
      <c r="S154" s="5"/>
    </row>
    <row r="155" spans="2:19">
      <c r="Q155" s="5"/>
      <c r="R155" s="5"/>
      <c r="S155" s="5"/>
    </row>
    <row r="156" spans="2:19">
      <c r="Q156" s="5"/>
      <c r="R156" s="5"/>
      <c r="S156" s="5"/>
    </row>
    <row r="157" spans="2:19">
      <c r="Q157" s="5"/>
      <c r="R157" s="5"/>
      <c r="S157" s="5"/>
    </row>
    <row r="158" spans="2:19">
      <c r="Q158" s="5"/>
      <c r="R158" s="5"/>
      <c r="S158" s="5"/>
    </row>
    <row r="159" spans="2:19">
      <c r="Q159" s="5"/>
      <c r="R159" s="5"/>
      <c r="S159" s="5"/>
    </row>
    <row r="160" spans="2:19">
      <c r="Q160" s="5"/>
      <c r="R160" s="5"/>
      <c r="S160" s="5"/>
    </row>
    <row r="161" spans="17:19">
      <c r="Q161" s="5"/>
      <c r="R161" s="5"/>
      <c r="S161" s="5"/>
    </row>
    <row r="162" spans="17:19">
      <c r="Q162" s="5"/>
      <c r="R162" s="5"/>
      <c r="S162" s="5"/>
    </row>
    <row r="163" spans="17:19">
      <c r="Q163" s="5"/>
      <c r="R163" s="5"/>
      <c r="S163" s="5"/>
    </row>
    <row r="164" spans="17:19">
      <c r="Q164" s="5"/>
      <c r="R164" s="5"/>
      <c r="S164" s="5"/>
    </row>
    <row r="165" spans="17:19">
      <c r="Q165" s="5"/>
      <c r="R165" s="5"/>
      <c r="S165" s="5"/>
    </row>
  </sheetData>
  <hyperlinks>
    <hyperlink ref="C2" location="MTNSOP!A1" display="Jump to MTN SOP" xr:uid="{00000000-0004-0000-3C00-000001000000}"/>
  </hyperlinks>
  <pageMargins left="0.75" right="0.75" top="1" bottom="1" header="0.5" footer="0.5"/>
  <pageSetup scale="29" orientation="landscape" r:id="rId1"/>
  <headerFooter alignWithMargins="0"/>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81">
    <pageSetUpPr fitToPage="1"/>
  </sheetPr>
  <dimension ref="B1:AR165"/>
  <sheetViews>
    <sheetView showGridLines="0" zoomScale="80" zoomScaleNormal="80" workbookViewId="0"/>
  </sheetViews>
  <sheetFormatPr defaultColWidth="9.109375" defaultRowHeight="12"/>
  <cols>
    <col min="1" max="1" width="2.33203125" style="39" customWidth="1"/>
    <col min="2" max="2" width="26.5546875" style="39" customWidth="1"/>
    <col min="3" max="9" width="10" style="39" customWidth="1"/>
    <col min="10" max="10" width="26.6640625" style="39" customWidth="1"/>
    <col min="11" max="16" width="10" style="39" customWidth="1"/>
    <col min="17" max="19" width="8.6640625" style="39" customWidth="1"/>
    <col min="20" max="28" width="8.6640625" style="5" customWidth="1"/>
    <col min="29" max="44" width="9.109375" style="5"/>
    <col min="45" max="16384" width="9.109375" style="39"/>
  </cols>
  <sheetData>
    <row r="1" spans="2:44" s="312" customFormat="1">
      <c r="T1" s="149"/>
      <c r="U1" s="149"/>
      <c r="V1" s="149"/>
      <c r="W1" s="149"/>
      <c r="X1" s="149"/>
      <c r="Y1" s="149"/>
      <c r="Z1" s="149"/>
      <c r="AA1" s="149"/>
      <c r="AB1" s="149"/>
      <c r="AC1" s="149"/>
      <c r="AD1" s="149"/>
      <c r="AE1" s="149"/>
      <c r="AF1" s="149"/>
      <c r="AG1" s="149"/>
      <c r="AH1" s="149"/>
      <c r="AI1" s="149"/>
      <c r="AJ1" s="149"/>
      <c r="AK1" s="149"/>
      <c r="AL1" s="149"/>
      <c r="AM1" s="149"/>
      <c r="AN1" s="149"/>
      <c r="AO1" s="149"/>
      <c r="AP1" s="149"/>
      <c r="AQ1" s="149"/>
      <c r="AR1" s="149"/>
    </row>
    <row r="2" spans="2:44" s="149" customFormat="1"/>
    <row r="3" spans="2:44" s="149" customFormat="1">
      <c r="H3" s="153"/>
      <c r="P3" s="153"/>
    </row>
    <row r="4" spans="2:44" s="156" customFormat="1" ht="21">
      <c r="B4" s="129" t="s">
        <v>424</v>
      </c>
      <c r="H4" s="222"/>
      <c r="P4" s="222"/>
    </row>
    <row r="5" spans="2:44" s="149" customFormat="1">
      <c r="C5" s="153"/>
      <c r="D5" s="153" t="str" cm="1">
        <f t="array" ref="D5:H5">headings</f>
        <v>2023E</v>
      </c>
      <c r="E5" s="153" t="str">
        <v>2024E</v>
      </c>
      <c r="F5" s="153" t="str">
        <v>2025E</v>
      </c>
      <c r="G5" s="153" t="str">
        <v>2026E</v>
      </c>
      <c r="H5" s="153" t="str">
        <v>23E-26E</v>
      </c>
      <c r="I5" s="153"/>
      <c r="J5" s="153"/>
      <c r="K5" s="153"/>
      <c r="L5" s="153" t="str" cm="1">
        <f t="array" ref="L5:P5">headings</f>
        <v>2023E</v>
      </c>
      <c r="M5" s="153" t="str">
        <v>2024E</v>
      </c>
      <c r="N5" s="153" t="str">
        <v>2025E</v>
      </c>
      <c r="O5" s="153" t="str">
        <v>2026E</v>
      </c>
      <c r="P5" s="153" t="str">
        <v>23E-26E</v>
      </c>
      <c r="Q5" s="162"/>
      <c r="R5" s="162"/>
      <c r="S5" s="162"/>
      <c r="T5" s="162"/>
      <c r="U5" s="162"/>
      <c r="V5" s="162"/>
      <c r="W5" s="162"/>
      <c r="X5" s="162"/>
      <c r="Y5" s="162"/>
    </row>
    <row r="6" spans="2:44">
      <c r="I6" s="5"/>
      <c r="J6" s="5"/>
      <c r="K6" s="5"/>
      <c r="L6" s="5"/>
      <c r="M6" s="5"/>
      <c r="N6" s="5"/>
      <c r="O6" s="49"/>
    </row>
    <row r="7" spans="2:44" ht="12.6" thickBot="1">
      <c r="B7" s="306" t="s">
        <v>271</v>
      </c>
      <c r="C7" s="265"/>
      <c r="D7" s="265" t="str">
        <f>D5</f>
        <v>2023E</v>
      </c>
      <c r="E7" s="265" t="str">
        <f t="shared" ref="E7:H7" si="0">E5</f>
        <v>2024E</v>
      </c>
      <c r="F7" s="265" t="str">
        <f t="shared" si="0"/>
        <v>2025E</v>
      </c>
      <c r="G7" s="265" t="str">
        <f t="shared" si="0"/>
        <v>2026E</v>
      </c>
      <c r="H7" s="265" t="str">
        <f t="shared" si="0"/>
        <v>23E-26E</v>
      </c>
      <c r="I7" s="49"/>
      <c r="J7" s="306" t="s">
        <v>445</v>
      </c>
      <c r="K7" s="306"/>
      <c r="L7" s="265" t="str">
        <f>L5</f>
        <v>2023E</v>
      </c>
      <c r="M7" s="265" t="str">
        <f t="shared" ref="M7:P7" si="1">M5</f>
        <v>2024E</v>
      </c>
      <c r="N7" s="265" t="str">
        <f t="shared" si="1"/>
        <v>2025E</v>
      </c>
      <c r="O7" s="265" t="str">
        <f t="shared" si="1"/>
        <v>2026E</v>
      </c>
      <c r="P7" s="265" t="str">
        <f t="shared" si="1"/>
        <v>23E-26E</v>
      </c>
    </row>
    <row r="8" spans="2:44" ht="12.6" thickTop="1">
      <c r="B8" s="5"/>
      <c r="C8" s="5"/>
      <c r="D8" s="5"/>
      <c r="E8" s="5"/>
      <c r="F8" s="5"/>
      <c r="G8" s="5"/>
      <c r="H8" s="5"/>
      <c r="I8" s="5"/>
      <c r="J8" s="5"/>
      <c r="K8" s="5"/>
      <c r="L8" s="5"/>
      <c r="M8" s="5"/>
      <c r="N8" s="5"/>
      <c r="S8" s="88"/>
      <c r="T8" s="42"/>
      <c r="U8" s="42"/>
      <c r="V8" s="42"/>
      <c r="W8" s="42"/>
      <c r="X8" s="42"/>
      <c r="Y8" s="42"/>
      <c r="Z8" s="42"/>
      <c r="AA8" s="42"/>
    </row>
    <row r="9" spans="2:44">
      <c r="B9" s="41" t="s">
        <v>15</v>
      </c>
      <c r="C9" s="287">
        <f>Prices!C131</f>
        <v>24.09</v>
      </c>
      <c r="D9" s="535">
        <v>0</v>
      </c>
      <c r="E9" s="536">
        <v>0</v>
      </c>
      <c r="F9" s="536">
        <v>0</v>
      </c>
      <c r="G9" s="536">
        <v>0</v>
      </c>
      <c r="H9" s="249"/>
      <c r="I9" s="249"/>
      <c r="J9" s="5" t="s">
        <v>273</v>
      </c>
      <c r="L9" s="529">
        <f>'LATAM CELLULAR'!D37</f>
        <v>2.1756139095100253</v>
      </c>
      <c r="M9" s="529">
        <f>'LATAM CELLULAR'!E37</f>
        <v>2.008321324080522</v>
      </c>
      <c r="N9" s="529">
        <f>'LATAM CELLULAR'!F37</f>
        <v>1.8102479294249028</v>
      </c>
      <c r="O9" s="529">
        <f>'LATAM CELLULAR'!G37</f>
        <v>1.5971586695816715</v>
      </c>
      <c r="P9" s="286">
        <f>'LATAM CELLULAR'!H37</f>
        <v>3.5265696156160375E-2</v>
      </c>
      <c r="S9" s="88"/>
      <c r="T9" s="42"/>
      <c r="U9" s="42"/>
      <c r="V9" s="42"/>
      <c r="W9" s="42"/>
      <c r="X9" s="42"/>
      <c r="Y9" s="42"/>
      <c r="Z9" s="42"/>
      <c r="AA9" s="42"/>
    </row>
    <row r="10" spans="2:44">
      <c r="B10" s="5" t="s">
        <v>274</v>
      </c>
      <c r="C10" s="5"/>
      <c r="D10" s="531">
        <v>168.95999999999998</v>
      </c>
      <c r="E10" s="531">
        <v>168.95999999999998</v>
      </c>
      <c r="F10" s="531">
        <v>158.95999999999998</v>
      </c>
      <c r="G10" s="531">
        <v>148.95999999999998</v>
      </c>
      <c r="H10" s="247"/>
      <c r="I10" s="247"/>
      <c r="J10" s="5" t="s">
        <v>184</v>
      </c>
      <c r="L10" s="529">
        <f>'LATAM CELLULAR'!D38</f>
        <v>5.410957038933323</v>
      </c>
      <c r="M10" s="529">
        <f>'LATAM CELLULAR'!E38</f>
        <v>4.895893420940304</v>
      </c>
      <c r="N10" s="529">
        <f>'LATAM CELLULAR'!F38</f>
        <v>4.3252495010822969</v>
      </c>
      <c r="O10" s="529">
        <f>'LATAM CELLULAR'!G38</f>
        <v>3.7846351492189108</v>
      </c>
      <c r="P10" s="286">
        <f>'LATAM CELLULAR'!H38</f>
        <v>5.2100575988367481E-2</v>
      </c>
      <c r="S10" s="88"/>
      <c r="T10" s="42"/>
      <c r="U10" s="42"/>
      <c r="V10" s="42"/>
      <c r="W10" s="288"/>
      <c r="X10" s="288"/>
      <c r="Y10" s="288"/>
      <c r="Z10" s="288"/>
      <c r="AA10" s="42"/>
    </row>
    <row r="11" spans="2:44">
      <c r="B11" s="41" t="s">
        <v>442</v>
      </c>
      <c r="C11" s="5"/>
      <c r="D11" s="532">
        <f>($C$9*D10)</f>
        <v>4070.2463999999995</v>
      </c>
      <c r="E11" s="532">
        <f t="shared" ref="E11:G11" si="2">($C$9*E10)</f>
        <v>4070.2463999999995</v>
      </c>
      <c r="F11" s="532">
        <f t="shared" si="2"/>
        <v>3829.3463999999994</v>
      </c>
      <c r="G11" s="532">
        <f t="shared" si="2"/>
        <v>3588.4463999999994</v>
      </c>
      <c r="H11" s="249"/>
      <c r="I11" s="249"/>
      <c r="J11" s="5" t="s">
        <v>185</v>
      </c>
      <c r="L11" s="529">
        <f>'LATAM CELLULAR'!D39</f>
        <v>9.4014895625729391</v>
      </c>
      <c r="M11" s="529">
        <f>'LATAM CELLULAR'!E39</f>
        <v>8.1257141265924719</v>
      </c>
      <c r="N11" s="529">
        <f>'LATAM CELLULAR'!F39</f>
        <v>6.9046540387491486</v>
      </c>
      <c r="O11" s="529">
        <f>'LATAM CELLULAR'!G39</f>
        <v>5.9878977182280968</v>
      </c>
      <c r="P11" s="286">
        <f>'LATAM CELLULAR'!H39</f>
        <v>8.5462108298754558E-2</v>
      </c>
      <c r="S11" s="88"/>
      <c r="T11" s="42"/>
      <c r="U11" s="42"/>
      <c r="V11" s="42"/>
      <c r="W11" s="288"/>
      <c r="X11" s="288"/>
      <c r="Y11" s="288"/>
      <c r="Z11" s="288"/>
      <c r="AA11" s="42"/>
    </row>
    <row r="12" spans="2:44">
      <c r="B12" s="5" t="s">
        <v>24</v>
      </c>
      <c r="C12" s="249"/>
      <c r="D12" s="533">
        <v>6981.4578161957224</v>
      </c>
      <c r="E12" s="533">
        <v>6899.836414799357</v>
      </c>
      <c r="F12" s="533">
        <v>6776.9124816293106</v>
      </c>
      <c r="G12" s="533">
        <v>6527.7576651955333</v>
      </c>
      <c r="H12" s="247"/>
      <c r="I12" s="247"/>
      <c r="J12" s="5" t="s">
        <v>466</v>
      </c>
      <c r="L12" s="529">
        <f>'LATAM CELLULAR'!D40</f>
        <v>11.750204897305654</v>
      </c>
      <c r="M12" s="529">
        <f>'LATAM CELLULAR'!E40</f>
        <v>10.233905229978822</v>
      </c>
      <c r="N12" s="529">
        <f>'LATAM CELLULAR'!F40</f>
        <v>8.9634490411779844</v>
      </c>
      <c r="O12" s="529">
        <f>'LATAM CELLULAR'!G40</f>
        <v>7.9316802112853138</v>
      </c>
      <c r="P12" s="286">
        <f>'LATAM CELLULAR'!H40</f>
        <v>6.4634781721076617E-2</v>
      </c>
      <c r="S12" s="88"/>
      <c r="T12" s="42"/>
      <c r="U12" s="42"/>
      <c r="V12" s="42"/>
      <c r="W12" s="288"/>
      <c r="X12" s="288"/>
      <c r="Y12" s="288"/>
      <c r="Z12" s="288"/>
      <c r="AA12" s="42"/>
    </row>
    <row r="13" spans="2:44">
      <c r="B13" s="5" t="s">
        <v>529</v>
      </c>
      <c r="C13" s="257"/>
      <c r="D13" s="533">
        <v>2550.7777441811886</v>
      </c>
      <c r="E13" s="533">
        <v>2550.7777441811886</v>
      </c>
      <c r="F13" s="533">
        <v>2550.7777441811886</v>
      </c>
      <c r="G13" s="533">
        <v>2550.7777441811886</v>
      </c>
      <c r="H13" s="247"/>
      <c r="I13" s="247"/>
      <c r="J13" s="5" t="s">
        <v>530</v>
      </c>
      <c r="L13" s="529">
        <f>'LATAM CELLULAR'!D41</f>
        <v>1.8452675851036058</v>
      </c>
      <c r="M13" s="529">
        <f>'LATAM CELLULAR'!E41</f>
        <v>1.7730353181200462</v>
      </c>
      <c r="N13" s="529">
        <f>'LATAM CELLULAR'!F41</f>
        <v>1.6572553203995799</v>
      </c>
      <c r="O13" s="529">
        <f>'LATAM CELLULAR'!G41</f>
        <v>1.5038178651110559</v>
      </c>
      <c r="P13" s="286">
        <f>'LATAM CELLULAR'!H41</f>
        <v>-1.6437518757150826E-4</v>
      </c>
      <c r="S13" s="88"/>
      <c r="T13" s="42"/>
      <c r="U13" s="42"/>
      <c r="V13" s="42"/>
      <c r="W13" s="42"/>
      <c r="X13" s="42"/>
      <c r="Y13" s="42"/>
      <c r="Z13" s="42"/>
      <c r="AA13" s="42"/>
    </row>
    <row r="14" spans="2:44">
      <c r="B14" s="5" t="s">
        <v>532</v>
      </c>
      <c r="C14" s="257"/>
      <c r="D14" s="533">
        <v>681</v>
      </c>
      <c r="E14" s="533">
        <f t="shared" ref="E14:G14" si="3">D14</f>
        <v>681</v>
      </c>
      <c r="F14" s="533">
        <f t="shared" si="3"/>
        <v>681</v>
      </c>
      <c r="G14" s="533">
        <f t="shared" si="3"/>
        <v>681</v>
      </c>
      <c r="H14" s="247"/>
      <c r="I14" s="247"/>
      <c r="J14" s="5" t="s">
        <v>593</v>
      </c>
      <c r="L14" s="529">
        <f>'LATAM CELLULAR'!D42</f>
        <v>1.4224453262374004</v>
      </c>
      <c r="M14" s="529">
        <f>'LATAM CELLULAR'!E42</f>
        <v>1.3526818761660755</v>
      </c>
      <c r="N14" s="529">
        <f>'LATAM CELLULAR'!F42</f>
        <v>1.2556841877250959</v>
      </c>
      <c r="O14" s="529">
        <f>'LATAM CELLULAR'!G42</f>
        <v>1.1313245250649355</v>
      </c>
      <c r="P14" s="286">
        <f>'LATAM CELLULAR'!H42</f>
        <v>7.9910967777558906E-3</v>
      </c>
      <c r="S14" s="88"/>
      <c r="T14" s="42"/>
      <c r="U14" s="42"/>
      <c r="V14" s="42"/>
      <c r="W14" s="42"/>
      <c r="X14" s="42"/>
      <c r="Y14" s="42"/>
      <c r="Z14" s="42"/>
      <c r="AA14" s="42"/>
    </row>
    <row r="15" spans="2:44">
      <c r="B15" s="5" t="s">
        <v>531</v>
      </c>
      <c r="C15" s="274"/>
      <c r="D15" s="533">
        <v>3357</v>
      </c>
      <c r="E15" s="533">
        <f>D15</f>
        <v>3357</v>
      </c>
      <c r="F15" s="533">
        <f>E15</f>
        <v>3357</v>
      </c>
      <c r="G15" s="533">
        <f>F15</f>
        <v>3357</v>
      </c>
      <c r="H15" s="247"/>
      <c r="I15" s="247"/>
      <c r="J15" s="5" t="s">
        <v>475</v>
      </c>
      <c r="L15" s="529">
        <f>'LATAM CELLULAR'!D43</f>
        <v>12.198175825942503</v>
      </c>
      <c r="M15" s="529">
        <f>'LATAM CELLULAR'!E43</f>
        <v>9.3458936264556165</v>
      </c>
      <c r="N15" s="529">
        <f>'LATAM CELLULAR'!F43</f>
        <v>7.6258135361355679</v>
      </c>
      <c r="O15" s="529">
        <f>'LATAM CELLULAR'!G43</f>
        <v>6.2032208195897276</v>
      </c>
      <c r="P15" s="286">
        <f>'LATAM CELLULAR'!H43</f>
        <v>0.20384371568002635</v>
      </c>
      <c r="S15" s="88"/>
      <c r="T15" s="42"/>
      <c r="U15" s="42"/>
      <c r="V15" s="42"/>
      <c r="W15" s="42"/>
      <c r="X15" s="42"/>
      <c r="Y15" s="42"/>
      <c r="Z15" s="42"/>
      <c r="AA15" s="42"/>
    </row>
    <row r="16" spans="2:44">
      <c r="B16" s="5" t="s">
        <v>534</v>
      </c>
      <c r="C16" s="257"/>
      <c r="D16" s="533">
        <v>0</v>
      </c>
      <c r="E16" s="533">
        <v>0</v>
      </c>
      <c r="F16" s="533">
        <v>0</v>
      </c>
      <c r="G16" s="533">
        <v>0</v>
      </c>
      <c r="H16" s="247"/>
      <c r="I16" s="247"/>
      <c r="J16" s="5" t="s">
        <v>533</v>
      </c>
      <c r="L16" s="529">
        <f>'LATAM CELLULAR'!D44</f>
        <v>11.611494042146568</v>
      </c>
      <c r="M16" s="529">
        <f>'LATAM CELLULAR'!E44</f>
        <v>8.7734417852019941</v>
      </c>
      <c r="N16" s="529">
        <f>'LATAM CELLULAR'!F44</f>
        <v>6.5638259943661907</v>
      </c>
      <c r="O16" s="529">
        <f>'LATAM CELLULAR'!G44</f>
        <v>5.5476326994737466</v>
      </c>
      <c r="P16" s="286">
        <f>'LATAM CELLULAR'!H44</f>
        <v>0.26086654067969706</v>
      </c>
      <c r="S16" s="88"/>
      <c r="T16" s="42"/>
      <c r="U16" s="42"/>
      <c r="V16" s="42"/>
      <c r="W16" s="42"/>
      <c r="X16" s="42"/>
      <c r="Y16" s="42"/>
      <c r="Z16" s="42"/>
      <c r="AA16" s="42"/>
    </row>
    <row r="17" spans="2:27">
      <c r="B17" s="5" t="s">
        <v>6</v>
      </c>
      <c r="C17" s="257"/>
      <c r="D17" s="533">
        <v>0</v>
      </c>
      <c r="E17" s="533">
        <v>0</v>
      </c>
      <c r="F17" s="533">
        <v>0</v>
      </c>
      <c r="G17" s="533">
        <v>0</v>
      </c>
      <c r="H17" s="247"/>
      <c r="I17" s="247"/>
      <c r="J17" s="5" t="s">
        <v>580</v>
      </c>
      <c r="L17" s="248">
        <f>'LATAM CELLULAR'!D45</f>
        <v>3.6607801523391964E-2</v>
      </c>
      <c r="M17" s="248">
        <f>'LATAM CELLULAR'!E45</f>
        <v>5.220008637227537E-2</v>
      </c>
      <c r="N17" s="248">
        <f>'LATAM CELLULAR'!F45</f>
        <v>6.1185872972349648E-2</v>
      </c>
      <c r="O17" s="248">
        <f>'LATAM CELLULAR'!G45</f>
        <v>6.5823217763140832E-2</v>
      </c>
      <c r="P17" s="286">
        <f>'LATAM CELLULAR'!H45</f>
        <v>0.19860882859561735</v>
      </c>
      <c r="S17" s="88"/>
      <c r="T17" s="42"/>
      <c r="U17" s="42"/>
      <c r="V17" s="42"/>
      <c r="W17" s="42"/>
      <c r="X17" s="42"/>
      <c r="Y17" s="42"/>
      <c r="Z17" s="42"/>
      <c r="AA17" s="42"/>
    </row>
    <row r="18" spans="2:27" ht="12.6" thickBot="1">
      <c r="B18" s="41" t="s">
        <v>122</v>
      </c>
      <c r="C18" s="249"/>
      <c r="D18" s="534">
        <f>D11+D12+D13-D14+D15-D16-D17</f>
        <v>16278.48196037691</v>
      </c>
      <c r="E18" s="534">
        <f>E11+E12+E13-E14+E15-E16-E17</f>
        <v>16196.860558980545</v>
      </c>
      <c r="F18" s="534">
        <f>F11+F12+F13-F14+F15-F16-F17</f>
        <v>15833.036625810499</v>
      </c>
      <c r="G18" s="534">
        <f>G11+G12+G13-G14+G15-G16-G17</f>
        <v>15342.981809376721</v>
      </c>
      <c r="H18" s="276">
        <f>IF(D18=0,"nm",IF(G18=0,"nm",(G18/D18)^(1/3)-1))</f>
        <v>-1.9535314407614357E-2</v>
      </c>
      <c r="I18" s="254"/>
      <c r="J18" s="5" t="s">
        <v>36</v>
      </c>
      <c r="L18" s="248">
        <f>'LATAM CELLULAR'!D46</f>
        <v>3.6607801523391964E-2</v>
      </c>
      <c r="M18" s="248">
        <f>'LATAM CELLULAR'!E46</f>
        <v>5.220008637227537E-2</v>
      </c>
      <c r="N18" s="248">
        <f>'LATAM CELLULAR'!F46</f>
        <v>6.1661667551027928E-2</v>
      </c>
      <c r="O18" s="248">
        <f>'LATAM CELLULAR'!G46</f>
        <v>6.7253522322466938E-2</v>
      </c>
      <c r="P18" s="286">
        <f>'LATAM CELLULAR'!H46</f>
        <v>0.20722841094750266</v>
      </c>
      <c r="S18" s="88"/>
      <c r="T18" s="42"/>
      <c r="U18" s="42"/>
      <c r="V18" s="42"/>
      <c r="W18" s="42"/>
      <c r="X18" s="42"/>
      <c r="Y18" s="42"/>
      <c r="Z18" s="42"/>
      <c r="AA18" s="42"/>
    </row>
    <row r="19" spans="2:27" ht="12.6" thickTop="1">
      <c r="B19" s="41"/>
      <c r="C19" s="249"/>
      <c r="D19" s="229"/>
      <c r="E19" s="229"/>
      <c r="F19" s="229"/>
      <c r="G19" s="229"/>
      <c r="H19" s="276"/>
      <c r="I19" s="254"/>
      <c r="J19" s="5" t="s">
        <v>581</v>
      </c>
      <c r="L19" s="248">
        <f>'LATAM CELLULAR'!D47</f>
        <v>8.1979470887216382E-2</v>
      </c>
      <c r="M19" s="248">
        <f>'LATAM CELLULAR'!E47</f>
        <v>0.10699886388277298</v>
      </c>
      <c r="N19" s="248">
        <f>'LATAM CELLULAR'!F47</f>
        <v>0.13113354991718781</v>
      </c>
      <c r="O19" s="248">
        <f>'LATAM CELLULAR'!G47</f>
        <v>0.16120657785420231</v>
      </c>
      <c r="P19" s="286">
        <f>'LATAM CELLULAR'!H47</f>
        <v>0.20384371568002635</v>
      </c>
      <c r="S19" s="88"/>
      <c r="T19" s="42"/>
      <c r="U19" s="42"/>
      <c r="V19" s="42"/>
      <c r="W19" s="42"/>
      <c r="X19" s="42"/>
      <c r="Y19" s="42"/>
      <c r="Z19" s="42"/>
      <c r="AA19" s="42"/>
    </row>
    <row r="20" spans="2:27">
      <c r="H20" s="277"/>
      <c r="I20" s="17"/>
      <c r="J20" s="5" t="s">
        <v>604</v>
      </c>
      <c r="L20" s="305">
        <f>'LATAM CELLULAR'!D48</f>
        <v>0.35102265274711397</v>
      </c>
      <c r="M20" s="305">
        <f>'LATAM CELLULAR'!E48</f>
        <v>0.3806830741352234</v>
      </c>
      <c r="N20" s="305">
        <f>'LATAM CELLULAR'!F48</f>
        <v>0.35990941341841803</v>
      </c>
      <c r="O20" s="305">
        <f>'LATAM CELLULAR'!G48</f>
        <v>0.34646329449020286</v>
      </c>
      <c r="P20" s="286" t="str">
        <f>'LATAM CELLULAR'!H48</f>
        <v>nm</v>
      </c>
      <c r="S20" s="88"/>
      <c r="T20" s="42"/>
      <c r="U20" s="42"/>
      <c r="V20" s="42"/>
      <c r="W20" s="42"/>
      <c r="X20" s="42"/>
      <c r="Y20" s="42"/>
      <c r="Z20" s="42"/>
      <c r="AA20" s="42"/>
    </row>
    <row r="21" spans="2:27" ht="12.6" thickBot="1">
      <c r="B21" s="306" t="s">
        <v>925</v>
      </c>
      <c r="C21" s="265"/>
      <c r="D21" s="265" t="str">
        <f>D5</f>
        <v>2023E</v>
      </c>
      <c r="E21" s="265" t="str">
        <f t="shared" ref="E21:H21" si="4">E5</f>
        <v>2024E</v>
      </c>
      <c r="F21" s="265" t="str">
        <f t="shared" si="4"/>
        <v>2025E</v>
      </c>
      <c r="G21" s="265" t="str">
        <f t="shared" si="4"/>
        <v>2026E</v>
      </c>
      <c r="H21" s="265" t="str">
        <f t="shared" si="4"/>
        <v>23E-26E</v>
      </c>
      <c r="I21" s="49"/>
      <c r="J21" s="41"/>
      <c r="L21" s="250"/>
      <c r="M21" s="250"/>
      <c r="N21" s="250"/>
      <c r="O21" s="250"/>
      <c r="P21" s="286"/>
      <c r="S21" s="88"/>
      <c r="T21" s="42"/>
      <c r="U21" s="42"/>
      <c r="V21" s="42"/>
      <c r="W21" s="42"/>
      <c r="X21" s="42"/>
      <c r="Y21" s="42"/>
      <c r="Z21" s="42"/>
      <c r="AA21" s="42"/>
    </row>
    <row r="22" spans="2:27" ht="12.6" thickTop="1">
      <c r="B22" s="5"/>
      <c r="C22" s="257"/>
      <c r="D22" s="17"/>
      <c r="E22" s="17"/>
      <c r="F22" s="17"/>
      <c r="G22" s="17"/>
      <c r="H22" s="17"/>
      <c r="I22" s="17"/>
      <c r="P22" s="277"/>
      <c r="S22" s="88"/>
      <c r="T22" s="42"/>
      <c r="U22" s="42"/>
      <c r="V22" s="42"/>
      <c r="W22" s="42"/>
      <c r="X22" s="42"/>
      <c r="Y22" s="42"/>
      <c r="Z22" s="42"/>
      <c r="AA22" s="42"/>
    </row>
    <row r="23" spans="2:27" ht="12.6" thickBot="1">
      <c r="B23" s="5" t="s">
        <v>584</v>
      </c>
      <c r="C23" s="548">
        <v>5624.5300000000007</v>
      </c>
      <c r="D23" s="540">
        <v>5738.8215158358817</v>
      </c>
      <c r="E23" s="540">
        <v>5804.6459271373315</v>
      </c>
      <c r="F23" s="540">
        <v>5908.2951713156444</v>
      </c>
      <c r="G23" s="540">
        <v>6046.9700166661642</v>
      </c>
      <c r="H23" s="279">
        <f t="shared" ref="H23:H32" si="5">IF(D23=0,"nm",IF(G23=0,"nm",(G23/D23)^(1/3)-1))</f>
        <v>1.7587349161343635E-2</v>
      </c>
      <c r="I23" s="247"/>
      <c r="J23" s="306" t="s">
        <v>9</v>
      </c>
      <c r="K23" s="306"/>
      <c r="L23" s="265" t="str">
        <f>D21</f>
        <v>2023E</v>
      </c>
      <c r="M23" s="265" t="str">
        <f t="shared" ref="M23:P23" si="6">E21</f>
        <v>2024E</v>
      </c>
      <c r="N23" s="265" t="str">
        <f t="shared" si="6"/>
        <v>2025E</v>
      </c>
      <c r="O23" s="265" t="str">
        <f t="shared" si="6"/>
        <v>2026E</v>
      </c>
      <c r="P23" s="265" t="str">
        <f t="shared" si="6"/>
        <v>23E-26E</v>
      </c>
      <c r="S23" s="88"/>
      <c r="T23" s="42"/>
      <c r="U23" s="42"/>
      <c r="V23" s="42"/>
      <c r="W23" s="42"/>
      <c r="X23" s="42"/>
      <c r="Y23" s="42"/>
      <c r="Z23" s="42"/>
      <c r="AA23" s="42"/>
    </row>
    <row r="24" spans="2:27" ht="12.6" thickTop="1">
      <c r="B24" s="5" t="s">
        <v>483</v>
      </c>
      <c r="C24" s="549">
        <v>2228.09</v>
      </c>
      <c r="D24" s="540">
        <v>2148.5398851628979</v>
      </c>
      <c r="E24" s="540">
        <v>2177.4875802601055</v>
      </c>
      <c r="F24" s="540">
        <v>2244.7686882868011</v>
      </c>
      <c r="G24" s="540">
        <v>2323.5075351366095</v>
      </c>
      <c r="H24" s="279">
        <f t="shared" si="5"/>
        <v>2.6439969252693762E-2</v>
      </c>
      <c r="I24" s="249"/>
      <c r="J24" s="17"/>
      <c r="K24" s="17"/>
      <c r="L24" s="17"/>
      <c r="M24" s="17"/>
      <c r="N24" s="17"/>
      <c r="O24" s="248"/>
      <c r="S24" s="88"/>
      <c r="T24" s="42"/>
      <c r="U24" s="42"/>
      <c r="V24" s="42"/>
      <c r="W24" s="42" t="s">
        <v>403</v>
      </c>
      <c r="X24" s="42" t="s">
        <v>514</v>
      </c>
      <c r="Y24" s="42"/>
      <c r="Z24" s="42"/>
      <c r="AA24" s="42"/>
    </row>
    <row r="25" spans="2:27">
      <c r="B25" s="5" t="s">
        <v>183</v>
      </c>
      <c r="C25" s="548">
        <v>1255.0900000000001</v>
      </c>
      <c r="D25" s="540">
        <v>1284.4959895640407</v>
      </c>
      <c r="E25" s="540">
        <v>1324.054525975821</v>
      </c>
      <c r="F25" s="540">
        <v>1391.4870833021707</v>
      </c>
      <c r="G25" s="540">
        <v>1455.7812232682261</v>
      </c>
      <c r="H25" s="279">
        <f t="shared" si="5"/>
        <v>4.2608161608423067E-2</v>
      </c>
      <c r="I25" s="248"/>
      <c r="J25" s="247" t="s">
        <v>10</v>
      </c>
      <c r="K25" s="247"/>
      <c r="L25" s="321">
        <v>2901.5554883623772</v>
      </c>
      <c r="M25" s="321">
        <v>2901.5554883623772</v>
      </c>
      <c r="N25" s="321">
        <v>2901.5554883623772</v>
      </c>
      <c r="O25" s="321">
        <v>1450.7777441811886</v>
      </c>
      <c r="P25" s="279">
        <f>IF(L25=0,"nm",IF(O25=0,"nm",(O25/L25)^(1/3)-1))</f>
        <v>-0.20629947401590021</v>
      </c>
      <c r="S25" s="88"/>
      <c r="T25" s="42"/>
      <c r="U25" s="42"/>
      <c r="V25" s="147" t="s">
        <v>273</v>
      </c>
      <c r="W25" s="288">
        <f>D37/L9</f>
        <v>1.3037951403024617</v>
      </c>
      <c r="X25" s="288">
        <v>1</v>
      </c>
      <c r="Y25" s="42"/>
      <c r="Z25" s="42"/>
      <c r="AA25" s="42"/>
    </row>
    <row r="26" spans="2:27">
      <c r="B26" s="5" t="s">
        <v>586</v>
      </c>
      <c r="C26" s="548">
        <v>916.21570000000008</v>
      </c>
      <c r="D26" s="540">
        <v>937.68207238174966</v>
      </c>
      <c r="E26" s="540">
        <v>966.55980396234929</v>
      </c>
      <c r="F26" s="540">
        <v>1015.7855708105847</v>
      </c>
      <c r="G26" s="540">
        <v>1062.7202929858049</v>
      </c>
      <c r="H26" s="279">
        <f t="shared" si="5"/>
        <v>4.2608161608423067E-2</v>
      </c>
      <c r="I26" s="249"/>
      <c r="J26" s="249" t="s">
        <v>11</v>
      </c>
      <c r="K26" s="249"/>
      <c r="L26" s="281">
        <f>D11+L25</f>
        <v>6971.8018883623772</v>
      </c>
      <c r="M26" s="281">
        <f>E11+M25</f>
        <v>6971.8018883623772</v>
      </c>
      <c r="N26" s="281">
        <f>F11+N25</f>
        <v>6730.9018883623767</v>
      </c>
      <c r="O26" s="281">
        <f>G11+O25</f>
        <v>5039.2241441811875</v>
      </c>
      <c r="P26" s="279">
        <f>IF(L26=0,"nm",IF(O26=0,"nm",(O26/L26)^(1/3)-1))</f>
        <v>-0.10255836715942668</v>
      </c>
      <c r="Q26" s="5"/>
      <c r="S26" s="88"/>
      <c r="T26" s="42"/>
      <c r="U26" s="42"/>
      <c r="V26" s="147" t="s">
        <v>184</v>
      </c>
      <c r="W26" s="288">
        <f t="shared" ref="W26:W33" si="7">D38/L10</f>
        <v>1.4002203866243383</v>
      </c>
      <c r="X26" s="288">
        <v>1</v>
      </c>
      <c r="Y26" s="42"/>
      <c r="Z26" s="42"/>
      <c r="AA26" s="42"/>
    </row>
    <row r="27" spans="2:27">
      <c r="B27" s="5" t="s">
        <v>587</v>
      </c>
      <c r="C27" s="549">
        <v>3634</v>
      </c>
      <c r="D27" s="540">
        <v>3646.122621783983</v>
      </c>
      <c r="E27" s="540">
        <v>3681.4980103043458</v>
      </c>
      <c r="F27" s="540">
        <v>3738.7718902002866</v>
      </c>
      <c r="G27" s="540">
        <v>3940.6581436219954</v>
      </c>
      <c r="H27" s="279">
        <f t="shared" si="5"/>
        <v>2.6232655829803386E-2</v>
      </c>
      <c r="I27" s="249"/>
      <c r="J27" s="248"/>
      <c r="K27" s="248"/>
      <c r="L27" s="248"/>
      <c r="M27" s="248"/>
      <c r="N27" s="248"/>
      <c r="O27" s="248"/>
      <c r="Q27" s="41"/>
      <c r="S27" s="88"/>
      <c r="T27" s="42"/>
      <c r="U27" s="42"/>
      <c r="V27" s="147" t="s">
        <v>185</v>
      </c>
      <c r="W27" s="288">
        <f t="shared" si="7"/>
        <v>1.3479832065156414</v>
      </c>
      <c r="X27" s="288">
        <v>1</v>
      </c>
      <c r="Y27" s="42"/>
      <c r="Z27" s="42"/>
      <c r="AA27" s="42"/>
    </row>
    <row r="28" spans="2:27" ht="12.6" thickBot="1">
      <c r="B28" s="5" t="s">
        <v>592</v>
      </c>
      <c r="C28" s="548">
        <v>12133</v>
      </c>
      <c r="D28" s="540">
        <v>12529.710602739251</v>
      </c>
      <c r="E28" s="540">
        <v>12412.764115905044</v>
      </c>
      <c r="F28" s="540">
        <v>12312.251866842842</v>
      </c>
      <c r="G28" s="540">
        <v>12265.767243885246</v>
      </c>
      <c r="H28" s="279">
        <f t="shared" si="5"/>
        <v>-7.0716907447597732E-3</v>
      </c>
      <c r="I28" s="248"/>
      <c r="J28" s="306" t="s">
        <v>1362</v>
      </c>
      <c r="K28" s="306"/>
      <c r="L28" s="306"/>
      <c r="M28" s="306"/>
      <c r="N28" s="266"/>
      <c r="O28" s="266"/>
      <c r="P28" s="266"/>
      <c r="Q28" s="5"/>
      <c r="S28" s="88"/>
      <c r="T28" s="42"/>
      <c r="U28" s="42"/>
      <c r="V28" s="147" t="s">
        <v>466</v>
      </c>
      <c r="W28" s="288">
        <f t="shared" si="7"/>
        <v>1.4774501960849178</v>
      </c>
      <c r="X28" s="288">
        <v>1</v>
      </c>
      <c r="Y28" s="42"/>
      <c r="Z28" s="42"/>
      <c r="AA28" s="42"/>
    </row>
    <row r="29" spans="2:27" ht="12.6" thickTop="1">
      <c r="B29" s="5" t="s">
        <v>588</v>
      </c>
      <c r="C29" s="548">
        <v>351.09000000000015</v>
      </c>
      <c r="D29" s="540">
        <v>371.95700946689254</v>
      </c>
      <c r="E29" s="540">
        <v>459.84403829992635</v>
      </c>
      <c r="F29" s="540">
        <v>538.6013756043227</v>
      </c>
      <c r="G29" s="540">
        <v>590.55391389512965</v>
      </c>
      <c r="H29" s="279">
        <f t="shared" si="5"/>
        <v>0.16660079559050223</v>
      </c>
      <c r="I29" s="252"/>
      <c r="J29" s="249"/>
      <c r="K29" s="249"/>
      <c r="L29" s="249"/>
      <c r="M29" s="249"/>
      <c r="N29" s="249"/>
      <c r="O29" s="251"/>
      <c r="Q29" s="5"/>
      <c r="S29" s="88"/>
      <c r="T29" s="42"/>
      <c r="U29" s="42"/>
      <c r="V29" s="147" t="s">
        <v>530</v>
      </c>
      <c r="W29" s="288">
        <f t="shared" si="7"/>
        <v>2.4194869255135703</v>
      </c>
      <c r="X29" s="288">
        <v>1</v>
      </c>
      <c r="Y29" s="42"/>
      <c r="Z29" s="42"/>
      <c r="AA29" s="42"/>
    </row>
    <row r="30" spans="2:27">
      <c r="B30" s="5" t="s">
        <v>589</v>
      </c>
      <c r="C30" s="549">
        <v>339.09000000000015</v>
      </c>
      <c r="D30" s="540">
        <v>307.56546388690185</v>
      </c>
      <c r="E30" s="540">
        <v>346.0229341626129</v>
      </c>
      <c r="F30" s="540">
        <v>456.25629533453542</v>
      </c>
      <c r="G30" s="540">
        <v>500.71521945886212</v>
      </c>
      <c r="H30" s="279">
        <f t="shared" si="5"/>
        <v>0.17638932495014359</v>
      </c>
      <c r="I30" s="254"/>
      <c r="J30" s="248"/>
      <c r="K30" s="248"/>
      <c r="L30" s="248"/>
      <c r="M30" s="248"/>
      <c r="N30" s="248"/>
      <c r="O30" s="5"/>
      <c r="Q30" s="5"/>
      <c r="S30" s="88"/>
      <c r="T30" s="42"/>
      <c r="U30" s="42"/>
      <c r="V30" s="147" t="s">
        <v>593</v>
      </c>
      <c r="W30" s="288">
        <f t="shared" si="7"/>
        <v>0.91335009792962429</v>
      </c>
      <c r="X30" s="288">
        <v>1</v>
      </c>
      <c r="Y30" s="42"/>
      <c r="Z30" s="42"/>
      <c r="AA30" s="42"/>
    </row>
    <row r="31" spans="2:27">
      <c r="B31" s="5" t="s">
        <v>590</v>
      </c>
      <c r="C31" s="549">
        <v>0</v>
      </c>
      <c r="D31" s="540">
        <v>0</v>
      </c>
      <c r="E31" s="540">
        <v>0</v>
      </c>
      <c r="F31" s="540">
        <v>0</v>
      </c>
      <c r="G31" s="540">
        <v>0</v>
      </c>
      <c r="H31" s="279" t="str">
        <f t="shared" si="5"/>
        <v>nm</v>
      </c>
      <c r="I31" s="254"/>
      <c r="J31" s="252"/>
      <c r="K31" s="252"/>
      <c r="L31" s="252"/>
      <c r="M31" s="252"/>
      <c r="N31" s="252"/>
      <c r="O31" s="5"/>
      <c r="Q31" s="5"/>
      <c r="S31" s="88"/>
      <c r="T31" s="42"/>
      <c r="U31" s="42"/>
      <c r="V31" s="147" t="s">
        <v>475</v>
      </c>
      <c r="W31" s="288">
        <f t="shared" si="7"/>
        <v>1.5365878727695172</v>
      </c>
      <c r="X31" s="288">
        <v>1</v>
      </c>
      <c r="Y31" s="42"/>
      <c r="Z31" s="42"/>
      <c r="AA31" s="42"/>
    </row>
    <row r="32" spans="2:27">
      <c r="B32" s="5" t="s">
        <v>606</v>
      </c>
      <c r="C32" s="550">
        <v>0</v>
      </c>
      <c r="D32" s="540">
        <v>0</v>
      </c>
      <c r="E32" s="540">
        <v>0</v>
      </c>
      <c r="F32" s="540">
        <v>5.3040000000000003</v>
      </c>
      <c r="G32" s="540">
        <v>15.6</v>
      </c>
      <c r="H32" s="279" t="str">
        <f t="shared" si="5"/>
        <v>nm</v>
      </c>
      <c r="I32" s="254"/>
      <c r="J32" s="254"/>
      <c r="K32" s="254"/>
      <c r="L32" s="254"/>
      <c r="M32" s="254"/>
      <c r="N32" s="254"/>
      <c r="O32" s="251"/>
      <c r="Q32" s="5"/>
      <c r="S32" s="88"/>
      <c r="T32" s="42"/>
      <c r="U32" s="42"/>
      <c r="V32" s="147" t="s">
        <v>533</v>
      </c>
      <c r="W32" s="288">
        <f t="shared" si="7"/>
        <v>1.1397117603471354</v>
      </c>
      <c r="X32" s="288">
        <v>1</v>
      </c>
      <c r="Y32" s="42"/>
      <c r="Z32" s="42"/>
      <c r="AA32" s="42"/>
    </row>
    <row r="33" spans="2:27">
      <c r="B33" s="5" t="s">
        <v>5</v>
      </c>
      <c r="C33" s="549">
        <v>599</v>
      </c>
      <c r="D33" s="540">
        <v>652.18389389343088</v>
      </c>
      <c r="E33" s="540">
        <v>627.617512152019</v>
      </c>
      <c r="F33" s="540">
        <v>585.49399523366844</v>
      </c>
      <c r="G33" s="540">
        <v>573.06136676237486</v>
      </c>
      <c r="H33" s="279">
        <f>IF(D33=0,"nm",IF(G33=0,"nm",(G33/D33)^(1/3)-1))</f>
        <v>-4.219517474800405E-2</v>
      </c>
      <c r="I33" s="5"/>
      <c r="J33" s="254"/>
      <c r="K33" s="254"/>
      <c r="L33" s="254"/>
      <c r="M33" s="254"/>
      <c r="N33" s="254"/>
      <c r="O33" s="251"/>
      <c r="Q33" s="5"/>
      <c r="S33" s="88"/>
      <c r="T33" s="42"/>
      <c r="U33" s="42"/>
      <c r="V33" s="147" t="s">
        <v>580</v>
      </c>
      <c r="W33" s="288">
        <f t="shared" si="7"/>
        <v>0</v>
      </c>
      <c r="X33" s="288">
        <v>1</v>
      </c>
      <c r="Y33" s="42"/>
      <c r="Z33" s="42"/>
      <c r="AA33" s="42"/>
    </row>
    <row r="34" spans="2:27">
      <c r="D34" s="5"/>
      <c r="E34" s="5"/>
      <c r="F34" s="5"/>
      <c r="G34" s="5"/>
      <c r="I34" s="49"/>
      <c r="J34" s="254"/>
      <c r="K34" s="254"/>
      <c r="L34" s="254"/>
      <c r="M34" s="254"/>
      <c r="N34" s="254"/>
      <c r="O34" s="251"/>
      <c r="Q34" s="5"/>
      <c r="S34" s="88"/>
      <c r="T34" s="42"/>
      <c r="U34" s="42"/>
      <c r="V34" s="147" t="s">
        <v>581</v>
      </c>
      <c r="W34" s="288">
        <f>D47/L19</f>
        <v>0.6507925890353532</v>
      </c>
      <c r="X34" s="288">
        <v>1</v>
      </c>
      <c r="Y34" s="288"/>
      <c r="Z34" s="288"/>
      <c r="AA34" s="42"/>
    </row>
    <row r="35" spans="2:27" ht="12.6" thickBot="1">
      <c r="B35" s="306" t="s">
        <v>425</v>
      </c>
      <c r="C35" s="265"/>
      <c r="D35" s="265" t="str">
        <f>D5</f>
        <v>2023E</v>
      </c>
      <c r="E35" s="265" t="str">
        <f t="shared" ref="E35:H35" si="8">E5</f>
        <v>2024E</v>
      </c>
      <c r="F35" s="265" t="str">
        <f t="shared" si="8"/>
        <v>2025E</v>
      </c>
      <c r="G35" s="265" t="str">
        <f t="shared" si="8"/>
        <v>2026E</v>
      </c>
      <c r="H35" s="265" t="str">
        <f t="shared" si="8"/>
        <v>23E-26E</v>
      </c>
      <c r="I35" s="254"/>
      <c r="J35" s="5"/>
      <c r="K35" s="5"/>
      <c r="L35" s="5"/>
      <c r="M35" s="5"/>
      <c r="N35" s="5"/>
      <c r="O35" s="5"/>
      <c r="Q35" s="5"/>
      <c r="S35" s="88"/>
      <c r="T35" s="42"/>
      <c r="U35" s="42"/>
      <c r="V35" s="42"/>
      <c r="W35" s="42"/>
      <c r="X35" s="42"/>
      <c r="Y35" s="288"/>
      <c r="Z35" s="288"/>
      <c r="AA35" s="42"/>
    </row>
    <row r="36" spans="2:27" ht="12.6" thickTop="1">
      <c r="B36" s="41"/>
      <c r="C36" s="249"/>
      <c r="D36" s="254"/>
      <c r="E36" s="254"/>
      <c r="F36" s="254"/>
      <c r="G36" s="254"/>
      <c r="H36" s="254"/>
      <c r="I36" s="17"/>
      <c r="J36" s="49"/>
      <c r="K36" s="49"/>
      <c r="L36" s="49"/>
      <c r="M36" s="49"/>
      <c r="N36" s="49"/>
      <c r="O36" s="49"/>
      <c r="Q36" s="5"/>
      <c r="S36" s="88"/>
      <c r="T36" s="42"/>
      <c r="U36" s="42"/>
      <c r="V36" s="42"/>
      <c r="W36" s="42"/>
      <c r="X36" s="42"/>
      <c r="Y36" s="288"/>
      <c r="Z36" s="288"/>
      <c r="AA36" s="42"/>
    </row>
    <row r="37" spans="2:27">
      <c r="B37" s="5" t="s">
        <v>273</v>
      </c>
      <c r="C37" s="247"/>
      <c r="D37" s="529">
        <f>D$18/D23</f>
        <v>2.8365548423936104</v>
      </c>
      <c r="E37" s="529">
        <f t="shared" ref="E37:G41" si="9">E$18/E23</f>
        <v>2.790327052208045</v>
      </c>
      <c r="F37" s="529">
        <f t="shared" si="9"/>
        <v>2.6797978379074174</v>
      </c>
      <c r="G37" s="529">
        <f t="shared" si="9"/>
        <v>2.537300791485595</v>
      </c>
      <c r="H37" s="17">
        <f t="shared" ref="H37:H45" si="10">H23</f>
        <v>1.7587349161343635E-2</v>
      </c>
      <c r="I37" s="5"/>
      <c r="J37" s="259"/>
      <c r="K37" s="259"/>
      <c r="L37" s="259"/>
      <c r="M37" s="259"/>
      <c r="N37" s="259"/>
      <c r="O37" s="18"/>
      <c r="Q37" s="5"/>
      <c r="R37" s="5"/>
      <c r="S37" s="42"/>
      <c r="T37" s="42"/>
      <c r="U37" s="42"/>
      <c r="V37" s="42"/>
      <c r="W37" s="42"/>
      <c r="X37" s="42"/>
      <c r="Y37" s="42"/>
      <c r="Z37" s="42"/>
      <c r="AA37" s="42"/>
    </row>
    <row r="38" spans="2:27">
      <c r="B38" s="5" t="s">
        <v>184</v>
      </c>
      <c r="C38" s="247"/>
      <c r="D38" s="529">
        <f>D$18/D24</f>
        <v>7.5765323570629031</v>
      </c>
      <c r="E38" s="529">
        <f t="shared" si="9"/>
        <v>7.4383251164379987</v>
      </c>
      <c r="F38" s="529">
        <f t="shared" si="9"/>
        <v>7.0533042929666898</v>
      </c>
      <c r="G38" s="529">
        <f t="shared" si="9"/>
        <v>6.6033707992578723</v>
      </c>
      <c r="H38" s="17">
        <f t="shared" si="10"/>
        <v>2.6439969252693762E-2</v>
      </c>
      <c r="I38" s="259"/>
      <c r="J38" s="17"/>
      <c r="K38" s="17"/>
      <c r="L38" s="17"/>
      <c r="M38" s="17"/>
      <c r="N38" s="17"/>
      <c r="O38" s="5"/>
      <c r="Q38" s="5"/>
      <c r="R38" s="5"/>
      <c r="S38" s="42"/>
      <c r="T38" s="42"/>
      <c r="U38" s="42"/>
      <c r="V38" s="42"/>
      <c r="W38" s="42"/>
      <c r="X38" s="42"/>
      <c r="Y38" s="42"/>
      <c r="Z38" s="42"/>
      <c r="AA38" s="42"/>
    </row>
    <row r="39" spans="2:27">
      <c r="B39" s="5" t="s">
        <v>185</v>
      </c>
      <c r="C39" s="247"/>
      <c r="D39" s="529">
        <f>D$18/D25</f>
        <v>12.673050046580405</v>
      </c>
      <c r="E39" s="529">
        <f t="shared" si="9"/>
        <v>12.232774588375465</v>
      </c>
      <c r="F39" s="529">
        <f t="shared" si="9"/>
        <v>11.378500609748203</v>
      </c>
      <c r="G39" s="529">
        <f t="shared" si="9"/>
        <v>10.539345860590066</v>
      </c>
      <c r="H39" s="17">
        <f t="shared" si="10"/>
        <v>4.2608161608423067E-2</v>
      </c>
      <c r="I39" s="17"/>
      <c r="J39" s="5"/>
      <c r="K39" s="5"/>
      <c r="L39" s="5"/>
      <c r="M39" s="5"/>
      <c r="N39" s="5"/>
      <c r="O39" s="5"/>
      <c r="Q39" s="5"/>
      <c r="R39" s="5"/>
      <c r="S39" s="42"/>
      <c r="T39" s="42"/>
      <c r="U39" s="42"/>
      <c r="V39" s="42"/>
      <c r="W39" s="42"/>
      <c r="X39" s="42"/>
      <c r="Y39" s="42"/>
      <c r="Z39" s="42"/>
      <c r="AA39" s="42"/>
    </row>
    <row r="40" spans="2:27">
      <c r="B40" s="5" t="s">
        <v>466</v>
      </c>
      <c r="C40" s="247"/>
      <c r="D40" s="529">
        <f>D$18/D26</f>
        <v>17.3603425295622</v>
      </c>
      <c r="E40" s="529">
        <f t="shared" si="9"/>
        <v>16.757225463528034</v>
      </c>
      <c r="F40" s="529">
        <f t="shared" si="9"/>
        <v>15.586987136641374</v>
      </c>
      <c r="G40" s="529">
        <f t="shared" si="9"/>
        <v>14.437460083000092</v>
      </c>
      <c r="H40" s="17">
        <f t="shared" si="10"/>
        <v>4.2608161608423067E-2</v>
      </c>
      <c r="I40" s="5"/>
      <c r="J40" s="259"/>
      <c r="K40" s="259"/>
      <c r="L40" s="259"/>
      <c r="M40" s="259"/>
      <c r="N40" s="259"/>
      <c r="O40" s="18"/>
      <c r="Q40" s="5"/>
      <c r="R40" s="5"/>
      <c r="S40" s="42"/>
      <c r="T40" s="42"/>
      <c r="U40" s="42"/>
      <c r="V40" s="42"/>
      <c r="W40" s="288"/>
      <c r="X40" s="288"/>
      <c r="Y40" s="42"/>
      <c r="Z40" s="42"/>
      <c r="AA40" s="42"/>
    </row>
    <row r="41" spans="2:27">
      <c r="B41" s="5" t="s">
        <v>530</v>
      </c>
      <c r="C41" s="247"/>
      <c r="D41" s="529">
        <f>D$18/D27</f>
        <v>4.4646007962321734</v>
      </c>
      <c r="E41" s="529">
        <f t="shared" si="9"/>
        <v>4.3995298961581035</v>
      </c>
      <c r="F41" s="529">
        <f t="shared" si="9"/>
        <v>4.2348228484627661</v>
      </c>
      <c r="G41" s="529">
        <f t="shared" si="9"/>
        <v>3.8935074422046809</v>
      </c>
      <c r="H41" s="17">
        <f t="shared" si="10"/>
        <v>2.6232655829803386E-2</v>
      </c>
      <c r="I41" s="247"/>
      <c r="J41" s="17"/>
      <c r="K41" s="17"/>
      <c r="L41" s="17"/>
      <c r="M41" s="17"/>
      <c r="N41" s="17"/>
      <c r="O41" s="5"/>
      <c r="Q41" s="5"/>
      <c r="R41" s="5"/>
      <c r="S41" s="42"/>
      <c r="T41" s="42"/>
      <c r="U41" s="42"/>
      <c r="V41" s="42"/>
      <c r="W41" s="288"/>
      <c r="X41" s="288"/>
      <c r="Y41" s="288"/>
      <c r="Z41" s="288"/>
      <c r="AA41" s="42"/>
    </row>
    <row r="42" spans="2:27">
      <c r="B42" s="5" t="s">
        <v>593</v>
      </c>
      <c r="C42" s="247"/>
      <c r="D42" s="529">
        <f>D18/D28</f>
        <v>1.299190578018466</v>
      </c>
      <c r="E42" s="529">
        <f>E18/E28</f>
        <v>1.3048552609025064</v>
      </c>
      <c r="F42" s="529">
        <f>F18/F28</f>
        <v>1.2859578245348606</v>
      </c>
      <c r="G42" s="529">
        <f>G18/G28</f>
        <v>1.2508782780812617</v>
      </c>
      <c r="H42" s="17">
        <f t="shared" si="10"/>
        <v>-7.0716907447597732E-3</v>
      </c>
      <c r="I42" s="248"/>
      <c r="J42" s="5"/>
      <c r="K42" s="5"/>
      <c r="L42" s="5"/>
      <c r="M42" s="5"/>
      <c r="N42" s="5"/>
      <c r="O42" s="5"/>
      <c r="Q42" s="5"/>
      <c r="R42" s="5"/>
      <c r="S42" s="42"/>
      <c r="T42" s="42"/>
      <c r="U42" s="42"/>
      <c r="V42" s="42"/>
      <c r="W42" s="288"/>
      <c r="X42" s="288"/>
      <c r="Y42" s="288"/>
      <c r="Z42" s="288"/>
      <c r="AA42" s="42"/>
    </row>
    <row r="43" spans="2:27">
      <c r="B43" s="5" t="s">
        <v>475</v>
      </c>
      <c r="C43" s="247"/>
      <c r="D43" s="529">
        <f>L26/D29</f>
        <v>18.74356904405354</v>
      </c>
      <c r="E43" s="529">
        <f>M26/E29</f>
        <v>15.16123143433062</v>
      </c>
      <c r="F43" s="529">
        <f>N26/F29</f>
        <v>12.497000923568299</v>
      </c>
      <c r="G43" s="529">
        <f>O26/G29</f>
        <v>8.5330467305582047</v>
      </c>
      <c r="H43" s="17">
        <f t="shared" si="10"/>
        <v>0.16660079559050223</v>
      </c>
      <c r="I43" s="247"/>
      <c r="J43" s="247"/>
      <c r="K43" s="247"/>
      <c r="L43" s="247"/>
      <c r="M43" s="247"/>
      <c r="N43" s="247"/>
      <c r="O43" s="18"/>
      <c r="Q43" s="5"/>
      <c r="R43" s="5"/>
      <c r="S43" s="42"/>
      <c r="T43" s="42"/>
      <c r="U43" s="42"/>
      <c r="V43" s="42"/>
      <c r="W43" s="288"/>
      <c r="X43" s="288"/>
      <c r="Y43" s="288"/>
      <c r="Z43" s="288"/>
      <c r="AA43" s="42"/>
    </row>
    <row r="44" spans="2:27">
      <c r="B44" s="5" t="s">
        <v>533</v>
      </c>
      <c r="C44" s="69"/>
      <c r="D44" s="529">
        <f>D11/D30</f>
        <v>13.233756315035139</v>
      </c>
      <c r="E44" s="529">
        <f>E11/E30</f>
        <v>11.762938227924494</v>
      </c>
      <c r="F44" s="529">
        <f>F11/F30</f>
        <v>8.3929721938242032</v>
      </c>
      <c r="G44" s="529">
        <f>G11/G30</f>
        <v>7.1666413572931544</v>
      </c>
      <c r="H44" s="17">
        <f t="shared" si="10"/>
        <v>0.17638932495014359</v>
      </c>
      <c r="I44" s="247"/>
      <c r="J44" s="248"/>
      <c r="K44" s="248"/>
      <c r="L44" s="248"/>
      <c r="M44" s="248"/>
      <c r="N44" s="248"/>
      <c r="O44" s="248"/>
      <c r="Q44" s="5"/>
      <c r="R44" s="5"/>
      <c r="S44" s="42"/>
      <c r="T44" s="42"/>
      <c r="U44" s="42"/>
      <c r="V44" s="42"/>
      <c r="W44" s="325"/>
      <c r="X44" s="325"/>
      <c r="Y44" s="288"/>
      <c r="Z44" s="288"/>
      <c r="AA44" s="42"/>
    </row>
    <row r="45" spans="2:27">
      <c r="B45" s="5" t="s">
        <v>580</v>
      </c>
      <c r="C45" s="247"/>
      <c r="D45" s="248">
        <f>D31/D11</f>
        <v>0</v>
      </c>
      <c r="E45" s="248">
        <f>E31/E11</f>
        <v>0</v>
      </c>
      <c r="F45" s="248">
        <f>F31/F11</f>
        <v>0</v>
      </c>
      <c r="G45" s="248">
        <f>G31/G11</f>
        <v>0</v>
      </c>
      <c r="H45" s="17" t="str">
        <f t="shared" si="10"/>
        <v>nm</v>
      </c>
      <c r="I45" s="248"/>
      <c r="J45" s="247"/>
      <c r="K45" s="247"/>
      <c r="L45" s="247"/>
      <c r="M45" s="247"/>
      <c r="N45" s="247"/>
      <c r="O45" s="248"/>
      <c r="Q45" s="5"/>
      <c r="R45" s="5"/>
      <c r="S45" s="42"/>
      <c r="T45" s="42"/>
      <c r="U45" s="42"/>
      <c r="V45" s="42"/>
      <c r="W45" s="42"/>
      <c r="X45" s="42"/>
      <c r="Y45" s="325"/>
      <c r="Z45" s="325"/>
      <c r="AA45" s="42"/>
    </row>
    <row r="46" spans="2:27">
      <c r="B46" s="5" t="s">
        <v>605</v>
      </c>
      <c r="C46" s="247"/>
      <c r="D46" s="248">
        <f>(D31+D32)/D11</f>
        <v>0</v>
      </c>
      <c r="E46" s="248">
        <f>(E31+E32)/E11</f>
        <v>0</v>
      </c>
      <c r="F46" s="248">
        <f>(F31+F32)/F11</f>
        <v>1.3850927667447377E-3</v>
      </c>
      <c r="G46" s="248">
        <f>(G31+G32)/G11</f>
        <v>4.3472852207016395E-3</v>
      </c>
      <c r="H46" s="279" t="e">
        <f>((G31+G32)/(D31+D32))^(1/3)-1</f>
        <v>#DIV/0!</v>
      </c>
      <c r="I46" s="247"/>
      <c r="J46" s="247"/>
      <c r="K46" s="247"/>
      <c r="L46" s="247"/>
      <c r="M46" s="247"/>
      <c r="N46" s="247"/>
      <c r="O46" s="18"/>
      <c r="Q46" s="5"/>
      <c r="R46" s="5"/>
      <c r="S46" s="42"/>
      <c r="T46" s="42"/>
      <c r="U46" s="42"/>
      <c r="V46" s="42"/>
      <c r="W46" s="42"/>
      <c r="X46" s="42"/>
      <c r="Y46" s="42"/>
      <c r="Z46" s="42"/>
      <c r="AA46" s="326"/>
    </row>
    <row r="47" spans="2:27">
      <c r="B47" s="5" t="s">
        <v>581</v>
      </c>
      <c r="C47" s="5"/>
      <c r="D47" s="248">
        <f>1/D43</f>
        <v>5.3351632106439908E-2</v>
      </c>
      <c r="E47" s="248">
        <f>1/E43</f>
        <v>6.5957702996052886E-2</v>
      </c>
      <c r="F47" s="248">
        <f>1/F43</f>
        <v>8.0019198695431282E-2</v>
      </c>
      <c r="G47" s="248">
        <f>1/G43</f>
        <v>0.11719143602235765</v>
      </c>
      <c r="H47" s="17">
        <f>H29</f>
        <v>0.16660079559050223</v>
      </c>
      <c r="I47" s="17"/>
      <c r="J47" s="248"/>
      <c r="K47" s="248"/>
      <c r="L47" s="248"/>
      <c r="M47" s="248"/>
      <c r="N47" s="248"/>
      <c r="O47" s="248"/>
      <c r="Q47" s="5"/>
      <c r="R47" s="5"/>
      <c r="S47" s="42"/>
      <c r="T47" s="42"/>
      <c r="U47" s="42"/>
      <c r="V47" s="42"/>
      <c r="W47" s="42"/>
      <c r="X47" s="42"/>
      <c r="Y47" s="42"/>
      <c r="Z47" s="42"/>
      <c r="AA47" s="326"/>
    </row>
    <row r="48" spans="2:27">
      <c r="B48" s="5" t="s">
        <v>618</v>
      </c>
      <c r="C48" s="5"/>
      <c r="D48" s="305">
        <f>D31/D29</f>
        <v>0</v>
      </c>
      <c r="E48" s="305">
        <f>E31/E29</f>
        <v>0</v>
      </c>
      <c r="F48" s="305">
        <f>F31/F29</f>
        <v>0</v>
      </c>
      <c r="G48" s="305">
        <f>G31/G29</f>
        <v>0</v>
      </c>
      <c r="H48" s="279" t="s">
        <v>607</v>
      </c>
      <c r="I48" s="247"/>
      <c r="J48" s="247"/>
      <c r="K48" s="247"/>
      <c r="L48" s="247"/>
      <c r="M48" s="247"/>
      <c r="N48" s="247"/>
      <c r="O48" s="248"/>
      <c r="Q48" s="5"/>
      <c r="R48" s="5"/>
      <c r="S48" s="42"/>
      <c r="T48" s="42"/>
      <c r="U48" s="42"/>
      <c r="V48" s="42"/>
      <c r="W48" s="42"/>
      <c r="X48" s="42"/>
      <c r="Y48" s="42"/>
      <c r="Z48" s="42"/>
      <c r="AA48" s="326"/>
    </row>
    <row r="49" spans="2:27">
      <c r="B49" s="41"/>
      <c r="C49" s="17"/>
      <c r="D49" s="17"/>
      <c r="E49" s="17"/>
      <c r="F49" s="17"/>
      <c r="G49" s="17"/>
      <c r="H49" s="17"/>
      <c r="I49" s="254"/>
      <c r="J49" s="17"/>
      <c r="K49" s="17"/>
      <c r="L49" s="17"/>
      <c r="M49" s="17"/>
      <c r="N49" s="17"/>
      <c r="O49" s="248"/>
      <c r="Q49" s="5"/>
      <c r="R49" s="5"/>
      <c r="S49" s="42"/>
      <c r="T49" s="42"/>
      <c r="U49" s="42"/>
      <c r="V49" s="42"/>
      <c r="W49" s="42"/>
      <c r="X49" s="42"/>
      <c r="Y49" s="42"/>
      <c r="Z49" s="42"/>
      <c r="AA49" s="326"/>
    </row>
    <row r="50" spans="2:27">
      <c r="B50" s="5"/>
      <c r="C50" s="257"/>
      <c r="D50" s="257"/>
      <c r="E50" s="257"/>
      <c r="F50" s="5"/>
      <c r="G50" s="41"/>
      <c r="H50" s="249"/>
      <c r="I50" s="17"/>
      <c r="J50" s="249"/>
      <c r="K50" s="249"/>
      <c r="L50" s="249"/>
      <c r="M50" s="249"/>
      <c r="N50" s="249"/>
      <c r="O50" s="250"/>
      <c r="Q50" s="5"/>
      <c r="R50" s="5"/>
      <c r="S50" s="42"/>
      <c r="T50" s="42"/>
      <c r="U50" s="42"/>
      <c r="V50" s="42"/>
      <c r="W50" s="288"/>
      <c r="X50" s="288"/>
      <c r="Y50" s="42"/>
      <c r="Z50" s="42"/>
      <c r="AA50" s="326"/>
    </row>
    <row r="51" spans="2:27">
      <c r="B51" s="41"/>
      <c r="C51" s="249"/>
      <c r="D51" s="254"/>
      <c r="E51" s="254"/>
      <c r="F51" s="254"/>
      <c r="G51" s="254"/>
      <c r="H51" s="254"/>
      <c r="I51" s="259"/>
      <c r="J51" s="254"/>
      <c r="K51" s="254"/>
      <c r="L51" s="254"/>
      <c r="M51" s="254"/>
      <c r="N51" s="254"/>
      <c r="O51" s="251"/>
      <c r="Q51" s="5"/>
      <c r="R51" s="5"/>
      <c r="S51" s="42"/>
      <c r="T51" s="42"/>
      <c r="U51" s="42"/>
      <c r="V51" s="42"/>
      <c r="W51" s="288"/>
      <c r="X51" s="288"/>
      <c r="Y51" s="288"/>
      <c r="Z51" s="288"/>
      <c r="AA51" s="42"/>
    </row>
    <row r="52" spans="2:27">
      <c r="B52" s="5"/>
      <c r="C52" s="257"/>
      <c r="D52" s="17"/>
      <c r="E52" s="17"/>
      <c r="F52" s="17"/>
      <c r="G52" s="17"/>
      <c r="H52" s="17"/>
      <c r="I52" s="254"/>
      <c r="J52" s="17"/>
      <c r="K52" s="17"/>
      <c r="L52" s="17"/>
      <c r="M52" s="17"/>
      <c r="N52" s="17"/>
      <c r="O52" s="248"/>
      <c r="Q52" s="5"/>
      <c r="R52" s="5"/>
      <c r="S52" s="5"/>
      <c r="Y52" s="10"/>
      <c r="Z52" s="10"/>
    </row>
    <row r="53" spans="2:27">
      <c r="B53" s="5"/>
      <c r="C53" s="257"/>
      <c r="D53" s="257"/>
      <c r="E53" s="257"/>
      <c r="F53" s="5"/>
      <c r="G53" s="5"/>
      <c r="H53" s="259"/>
      <c r="I53" s="17"/>
      <c r="J53" s="259"/>
      <c r="K53" s="259"/>
      <c r="L53" s="259"/>
      <c r="M53" s="259"/>
      <c r="N53" s="259"/>
      <c r="O53" s="18"/>
      <c r="Q53" s="5"/>
      <c r="R53" s="5"/>
      <c r="S53" s="5"/>
    </row>
    <row r="54" spans="2:27">
      <c r="B54" s="41"/>
      <c r="C54" s="249"/>
      <c r="D54" s="254"/>
      <c r="E54" s="254"/>
      <c r="F54" s="254"/>
      <c r="G54" s="254"/>
      <c r="H54" s="254"/>
      <c r="I54" s="259"/>
      <c r="J54" s="254"/>
      <c r="K54" s="254"/>
      <c r="L54" s="254"/>
      <c r="M54" s="254"/>
      <c r="N54" s="254"/>
      <c r="O54" s="251"/>
      <c r="Q54" s="5"/>
      <c r="R54" s="5"/>
      <c r="S54" s="5"/>
    </row>
    <row r="55" spans="2:27">
      <c r="B55" s="5"/>
      <c r="C55" s="257"/>
      <c r="D55" s="17"/>
      <c r="E55" s="17"/>
      <c r="F55" s="17"/>
      <c r="G55" s="17"/>
      <c r="H55" s="17"/>
      <c r="I55" s="249"/>
      <c r="J55" s="17"/>
      <c r="K55" s="17"/>
      <c r="L55" s="17"/>
      <c r="M55" s="17"/>
      <c r="N55" s="17"/>
      <c r="O55" s="18"/>
      <c r="Q55" s="5"/>
      <c r="R55" s="5"/>
      <c r="S55" s="5"/>
    </row>
    <row r="56" spans="2:27">
      <c r="B56" s="5"/>
      <c r="C56" s="248"/>
      <c r="D56" s="248"/>
      <c r="E56" s="248"/>
      <c r="F56" s="5"/>
      <c r="G56" s="5"/>
      <c r="H56" s="259"/>
      <c r="I56" s="248"/>
      <c r="J56" s="259"/>
      <c r="K56" s="259"/>
      <c r="L56" s="259"/>
      <c r="M56" s="259"/>
      <c r="N56" s="259"/>
      <c r="O56" s="18"/>
      <c r="Q56" s="5"/>
      <c r="R56" s="5"/>
      <c r="S56" s="5"/>
    </row>
    <row r="57" spans="2:27">
      <c r="B57" s="41"/>
      <c r="C57" s="249"/>
      <c r="D57" s="249"/>
      <c r="E57" s="249"/>
      <c r="F57" s="249"/>
      <c r="G57" s="249"/>
      <c r="H57" s="249"/>
      <c r="I57" s="5"/>
      <c r="J57" s="249"/>
      <c r="K57" s="249"/>
      <c r="L57" s="249"/>
      <c r="M57" s="249"/>
      <c r="N57" s="249"/>
      <c r="O57" s="251"/>
      <c r="Q57" s="5"/>
      <c r="R57" s="5"/>
      <c r="S57" s="5"/>
    </row>
    <row r="58" spans="2:27">
      <c r="B58" s="5"/>
      <c r="C58" s="5"/>
      <c r="D58" s="248"/>
      <c r="E58" s="248"/>
      <c r="F58" s="248"/>
      <c r="G58" s="248"/>
      <c r="H58" s="248"/>
      <c r="I58" s="17"/>
      <c r="J58" s="248"/>
      <c r="K58" s="248"/>
      <c r="L58" s="248"/>
      <c r="M58" s="248"/>
      <c r="N58" s="248"/>
      <c r="O58" s="18"/>
      <c r="Q58" s="5"/>
      <c r="R58" s="5"/>
      <c r="S58" s="5"/>
    </row>
    <row r="59" spans="2:27">
      <c r="B59" s="5"/>
      <c r="C59" s="5"/>
      <c r="D59" s="5"/>
      <c r="E59" s="5"/>
      <c r="F59" s="5"/>
      <c r="G59" s="5"/>
      <c r="H59" s="5"/>
      <c r="I59" s="5"/>
      <c r="J59" s="5"/>
      <c r="K59" s="5"/>
      <c r="L59" s="5"/>
      <c r="M59" s="5"/>
      <c r="N59" s="5"/>
      <c r="O59" s="5"/>
      <c r="Q59" s="5"/>
      <c r="R59" s="5"/>
      <c r="S59" s="5"/>
    </row>
    <row r="60" spans="2:27">
      <c r="B60" s="41"/>
      <c r="C60" s="17"/>
      <c r="D60" s="17"/>
      <c r="E60" s="17"/>
      <c r="F60" s="17"/>
      <c r="G60" s="17"/>
      <c r="H60" s="17"/>
      <c r="I60" s="249"/>
      <c r="J60" s="17"/>
      <c r="K60" s="17"/>
      <c r="L60" s="17"/>
      <c r="M60" s="17"/>
      <c r="N60" s="17"/>
      <c r="O60" s="251"/>
      <c r="Q60" s="5"/>
      <c r="R60" s="5"/>
      <c r="S60" s="5"/>
    </row>
    <row r="61" spans="2:27">
      <c r="B61" s="5"/>
      <c r="C61" s="5"/>
      <c r="D61" s="5"/>
      <c r="E61" s="5"/>
      <c r="F61" s="5"/>
      <c r="G61" s="5"/>
      <c r="H61" s="5"/>
      <c r="I61" s="5"/>
      <c r="J61" s="5"/>
      <c r="K61" s="5"/>
      <c r="L61" s="5"/>
      <c r="M61" s="5"/>
      <c r="N61" s="5"/>
      <c r="O61" s="5"/>
      <c r="Q61" s="41"/>
      <c r="R61" s="5"/>
      <c r="S61" s="5"/>
    </row>
    <row r="62" spans="2:27">
      <c r="B62" s="41"/>
      <c r="C62" s="249"/>
      <c r="D62" s="249"/>
      <c r="E62" s="249"/>
      <c r="F62" s="249"/>
      <c r="G62" s="249"/>
      <c r="H62" s="249"/>
      <c r="I62" s="5"/>
      <c r="J62" s="249"/>
      <c r="K62" s="249"/>
      <c r="L62" s="249"/>
      <c r="M62" s="249"/>
      <c r="N62" s="249"/>
      <c r="O62" s="251"/>
      <c r="Q62" s="5"/>
      <c r="R62" s="5"/>
      <c r="S62" s="5"/>
    </row>
    <row r="63" spans="2:27">
      <c r="B63" s="5"/>
      <c r="C63" s="5"/>
      <c r="D63" s="5"/>
      <c r="E63" s="5"/>
      <c r="F63" s="5"/>
      <c r="G63" s="5"/>
      <c r="H63" s="5"/>
      <c r="I63" s="254"/>
      <c r="J63" s="5"/>
      <c r="K63" s="5"/>
      <c r="L63" s="5"/>
      <c r="M63" s="5"/>
      <c r="N63" s="5"/>
      <c r="O63" s="5"/>
      <c r="Q63" s="5"/>
      <c r="R63" s="5"/>
      <c r="S63" s="5"/>
    </row>
    <row r="64" spans="2:27">
      <c r="B64" s="5"/>
      <c r="C64" s="5"/>
      <c r="D64" s="5"/>
      <c r="E64" s="5"/>
      <c r="F64" s="5"/>
      <c r="G64" s="5"/>
      <c r="H64" s="5"/>
      <c r="I64" s="17"/>
      <c r="J64" s="5"/>
      <c r="K64" s="5"/>
      <c r="L64" s="5"/>
      <c r="M64" s="5"/>
      <c r="N64" s="5"/>
      <c r="O64" s="5"/>
      <c r="Q64" s="5"/>
      <c r="R64" s="5"/>
      <c r="S64" s="5"/>
    </row>
    <row r="65" spans="2:26">
      <c r="B65" s="41"/>
      <c r="C65" s="249"/>
      <c r="D65" s="254"/>
      <c r="E65" s="254"/>
      <c r="F65" s="254"/>
      <c r="G65" s="254"/>
      <c r="H65" s="254"/>
      <c r="I65" s="254"/>
      <c r="J65" s="254"/>
      <c r="K65" s="254"/>
      <c r="L65" s="254"/>
      <c r="M65" s="254"/>
      <c r="N65" s="254"/>
      <c r="O65" s="251"/>
      <c r="Q65" s="5"/>
      <c r="R65" s="5"/>
      <c r="S65" s="5"/>
    </row>
    <row r="66" spans="2:26">
      <c r="B66" s="5"/>
      <c r="C66" s="5"/>
      <c r="D66" s="17"/>
      <c r="E66" s="17"/>
      <c r="F66" s="17"/>
      <c r="G66" s="17"/>
      <c r="H66" s="17"/>
      <c r="I66" s="248"/>
      <c r="J66" s="17"/>
      <c r="K66" s="17"/>
      <c r="L66" s="17"/>
      <c r="M66" s="17"/>
      <c r="N66" s="17"/>
      <c r="O66" s="5"/>
      <c r="Q66" s="5"/>
      <c r="R66" s="5"/>
      <c r="S66" s="5"/>
    </row>
    <row r="67" spans="2:26">
      <c r="B67" s="41"/>
      <c r="C67" s="249"/>
      <c r="D67" s="254"/>
      <c r="E67" s="254"/>
      <c r="F67" s="254"/>
      <c r="G67" s="254"/>
      <c r="H67" s="254"/>
      <c r="I67" s="5"/>
      <c r="J67" s="254"/>
      <c r="K67" s="254"/>
      <c r="L67" s="254"/>
      <c r="M67" s="254"/>
      <c r="N67" s="254"/>
      <c r="O67" s="251"/>
      <c r="Q67" s="41"/>
      <c r="R67" s="5"/>
      <c r="S67" s="5"/>
    </row>
    <row r="68" spans="2:26">
      <c r="B68" s="5"/>
      <c r="C68" s="5"/>
      <c r="D68" s="248"/>
      <c r="E68" s="248"/>
      <c r="F68" s="248"/>
      <c r="G68" s="248"/>
      <c r="H68" s="248"/>
      <c r="I68" s="245"/>
      <c r="J68" s="248"/>
      <c r="K68" s="248"/>
      <c r="L68" s="248"/>
      <c r="M68" s="248"/>
      <c r="N68" s="248"/>
      <c r="O68" s="5"/>
      <c r="Q68" s="5"/>
      <c r="R68" s="5"/>
      <c r="S68" s="5"/>
    </row>
    <row r="69" spans="2:26">
      <c r="B69" s="41"/>
      <c r="C69" s="5"/>
      <c r="D69" s="5"/>
      <c r="E69" s="5"/>
      <c r="F69" s="5"/>
      <c r="G69" s="5"/>
      <c r="H69" s="5"/>
      <c r="I69" s="248"/>
      <c r="J69" s="5"/>
      <c r="K69" s="5"/>
      <c r="L69" s="5"/>
      <c r="M69" s="5"/>
      <c r="N69" s="5"/>
      <c r="O69" s="5"/>
      <c r="Q69" s="5"/>
      <c r="R69" s="5"/>
      <c r="S69" s="5"/>
    </row>
    <row r="70" spans="2:26">
      <c r="B70" s="41"/>
      <c r="C70" s="245"/>
      <c r="D70" s="245"/>
      <c r="E70" s="245"/>
      <c r="F70" s="245"/>
      <c r="G70" s="245"/>
      <c r="H70" s="245"/>
      <c r="I70" s="5"/>
      <c r="J70" s="245"/>
      <c r="K70" s="245"/>
      <c r="L70" s="245"/>
      <c r="M70" s="245"/>
      <c r="N70" s="245"/>
      <c r="O70" s="251"/>
      <c r="Q70" s="5"/>
      <c r="R70" s="5"/>
      <c r="S70" s="5"/>
      <c r="W70" s="76"/>
      <c r="X70" s="76"/>
    </row>
    <row r="71" spans="2:26">
      <c r="B71" s="5"/>
      <c r="C71" s="5"/>
      <c r="D71" s="248"/>
      <c r="E71" s="248"/>
      <c r="F71" s="248"/>
      <c r="G71" s="248"/>
      <c r="H71" s="248"/>
      <c r="I71" s="245"/>
      <c r="J71" s="248"/>
      <c r="K71" s="248"/>
      <c r="L71" s="248"/>
      <c r="M71" s="248"/>
      <c r="N71" s="248"/>
      <c r="O71" s="5"/>
      <c r="Q71" s="5"/>
      <c r="R71" s="5"/>
      <c r="S71" s="5"/>
      <c r="W71" s="76"/>
      <c r="X71" s="76"/>
      <c r="Y71" s="76"/>
      <c r="Z71" s="76"/>
    </row>
    <row r="72" spans="2:26">
      <c r="B72" s="41"/>
      <c r="C72" s="5"/>
      <c r="D72" s="5"/>
      <c r="E72" s="5"/>
      <c r="F72" s="5"/>
      <c r="G72" s="5"/>
      <c r="H72" s="5"/>
      <c r="I72" s="18"/>
      <c r="J72" s="5"/>
      <c r="K72" s="5"/>
      <c r="L72" s="5"/>
      <c r="M72" s="5"/>
      <c r="N72" s="5"/>
      <c r="O72" s="5"/>
      <c r="Q72" s="5"/>
      <c r="R72" s="5"/>
      <c r="S72" s="5"/>
      <c r="Y72" s="76"/>
      <c r="Z72" s="76"/>
    </row>
    <row r="73" spans="2:26">
      <c r="B73" s="41"/>
      <c r="C73" s="245"/>
      <c r="D73" s="245"/>
      <c r="E73" s="245"/>
      <c r="F73" s="245"/>
      <c r="G73" s="245"/>
      <c r="H73" s="245"/>
      <c r="I73" s="5"/>
      <c r="J73" s="245"/>
      <c r="K73" s="245"/>
      <c r="L73" s="245"/>
      <c r="M73" s="245"/>
      <c r="N73" s="245"/>
      <c r="O73" s="251"/>
      <c r="Q73" s="5"/>
      <c r="R73" s="5"/>
      <c r="S73" s="5"/>
    </row>
    <row r="74" spans="2:26">
      <c r="B74" s="5"/>
      <c r="C74" s="5"/>
      <c r="D74" s="18"/>
      <c r="E74" s="18"/>
      <c r="F74" s="18"/>
      <c r="G74" s="18"/>
      <c r="H74" s="18"/>
      <c r="I74" s="249"/>
      <c r="J74" s="18"/>
      <c r="K74" s="18"/>
      <c r="L74" s="18"/>
      <c r="M74" s="18"/>
      <c r="N74" s="18"/>
      <c r="O74" s="5"/>
      <c r="Q74" s="5"/>
      <c r="R74" s="5"/>
      <c r="S74" s="5"/>
    </row>
    <row r="75" spans="2:26">
      <c r="B75" s="41"/>
      <c r="C75" s="5"/>
      <c r="D75" s="5"/>
      <c r="E75" s="5"/>
      <c r="F75" s="5"/>
      <c r="G75" s="5"/>
      <c r="H75" s="5"/>
      <c r="I75" s="248"/>
      <c r="J75" s="5"/>
      <c r="K75" s="5"/>
      <c r="L75" s="5"/>
      <c r="M75" s="5"/>
      <c r="N75" s="5"/>
      <c r="O75" s="5"/>
      <c r="Q75" s="5"/>
      <c r="R75" s="5"/>
      <c r="S75" s="5"/>
    </row>
    <row r="76" spans="2:26">
      <c r="B76" s="41"/>
      <c r="C76" s="249"/>
      <c r="D76" s="249"/>
      <c r="E76" s="249"/>
      <c r="F76" s="249"/>
      <c r="G76" s="249"/>
      <c r="H76" s="249"/>
      <c r="I76" s="5"/>
      <c r="J76" s="249"/>
      <c r="K76" s="249"/>
      <c r="L76" s="249"/>
      <c r="M76" s="249"/>
      <c r="N76" s="249"/>
      <c r="O76" s="251"/>
      <c r="Q76" s="5"/>
      <c r="R76" s="5"/>
      <c r="S76" s="5"/>
    </row>
    <row r="77" spans="2:26">
      <c r="B77" s="5"/>
      <c r="C77" s="5"/>
      <c r="D77" s="248"/>
      <c r="E77" s="248"/>
      <c r="F77" s="248"/>
      <c r="G77" s="248"/>
      <c r="H77" s="248"/>
      <c r="I77" s="245"/>
      <c r="J77" s="248"/>
      <c r="K77" s="248"/>
      <c r="L77" s="248"/>
      <c r="M77" s="248"/>
      <c r="N77" s="248"/>
      <c r="O77" s="5"/>
      <c r="Q77" s="5"/>
      <c r="R77" s="5"/>
      <c r="S77" s="5"/>
    </row>
    <row r="78" spans="2:26">
      <c r="B78" s="41"/>
      <c r="C78" s="5"/>
      <c r="D78" s="5"/>
      <c r="E78" s="5"/>
      <c r="F78" s="5"/>
      <c r="G78" s="5"/>
      <c r="H78" s="5"/>
      <c r="I78" s="248"/>
      <c r="J78" s="5"/>
      <c r="K78" s="5"/>
      <c r="L78" s="5"/>
      <c r="M78" s="5"/>
      <c r="N78" s="5"/>
      <c r="O78" s="5"/>
      <c r="Q78" s="5"/>
      <c r="R78" s="5"/>
      <c r="S78" s="5"/>
    </row>
    <row r="79" spans="2:26">
      <c r="B79" s="41"/>
      <c r="C79" s="245"/>
      <c r="D79" s="245"/>
      <c r="E79" s="245"/>
      <c r="F79" s="245"/>
      <c r="G79" s="245"/>
      <c r="H79" s="245"/>
      <c r="I79" s="5"/>
      <c r="J79" s="245"/>
      <c r="K79" s="245"/>
      <c r="L79" s="245"/>
      <c r="M79" s="245"/>
      <c r="N79" s="245"/>
      <c r="O79" s="251"/>
      <c r="Q79" s="5"/>
      <c r="R79" s="5"/>
      <c r="S79" s="5"/>
    </row>
    <row r="80" spans="2:26">
      <c r="B80" s="5"/>
      <c r="C80" s="5"/>
      <c r="D80" s="248"/>
      <c r="E80" s="248"/>
      <c r="F80" s="248"/>
      <c r="G80" s="248"/>
      <c r="H80" s="248"/>
      <c r="I80" s="249"/>
      <c r="J80" s="248"/>
      <c r="K80" s="248"/>
      <c r="L80" s="248"/>
      <c r="M80" s="248"/>
      <c r="N80" s="248"/>
      <c r="O80" s="5"/>
      <c r="Q80" s="5"/>
      <c r="R80" s="5"/>
      <c r="S80" s="5"/>
    </row>
    <row r="81" spans="2:26">
      <c r="B81" s="41"/>
      <c r="C81" s="5"/>
      <c r="D81" s="5"/>
      <c r="E81" s="5"/>
      <c r="F81" s="5"/>
      <c r="G81" s="5"/>
      <c r="H81" s="5"/>
      <c r="I81" s="248"/>
      <c r="J81" s="5"/>
      <c r="K81" s="5"/>
      <c r="L81" s="5"/>
      <c r="M81" s="5"/>
      <c r="N81" s="5"/>
      <c r="O81" s="5"/>
      <c r="Q81" s="5"/>
      <c r="R81" s="5"/>
      <c r="S81" s="5"/>
    </row>
    <row r="82" spans="2:26">
      <c r="B82" s="41"/>
      <c r="C82" s="249"/>
      <c r="D82" s="249"/>
      <c r="E82" s="249"/>
      <c r="F82" s="249"/>
      <c r="G82" s="249"/>
      <c r="H82" s="249"/>
      <c r="I82" s="259"/>
      <c r="J82" s="249"/>
      <c r="K82" s="249"/>
      <c r="L82" s="249"/>
      <c r="M82" s="249"/>
      <c r="N82" s="249"/>
      <c r="O82" s="251"/>
      <c r="Q82" s="5"/>
      <c r="R82" s="5"/>
      <c r="S82" s="5"/>
    </row>
    <row r="83" spans="2:26">
      <c r="B83" s="5"/>
      <c r="C83" s="5"/>
      <c r="D83" s="248"/>
      <c r="E83" s="248"/>
      <c r="F83" s="248"/>
      <c r="G83" s="248"/>
      <c r="H83" s="248"/>
      <c r="I83" s="5"/>
      <c r="J83" s="248"/>
      <c r="K83" s="248"/>
      <c r="L83" s="248"/>
      <c r="M83" s="248"/>
      <c r="N83" s="248"/>
      <c r="O83" s="5"/>
      <c r="Q83" s="5"/>
      <c r="R83" s="5"/>
      <c r="S83" s="5"/>
    </row>
    <row r="84" spans="2:26">
      <c r="B84" s="5"/>
      <c r="C84" s="259"/>
      <c r="D84" s="259"/>
      <c r="E84" s="259"/>
      <c r="F84" s="259"/>
      <c r="G84" s="259"/>
      <c r="H84" s="259"/>
      <c r="I84" s="245"/>
      <c r="J84" s="259"/>
      <c r="K84" s="259"/>
      <c r="L84" s="259"/>
      <c r="M84" s="259"/>
      <c r="N84" s="259"/>
      <c r="O84" s="251"/>
      <c r="Q84" s="5"/>
      <c r="R84" s="5"/>
      <c r="S84" s="5"/>
    </row>
    <row r="85" spans="2:26">
      <c r="B85" s="41"/>
      <c r="C85" s="5"/>
      <c r="D85" s="5"/>
      <c r="E85" s="5"/>
      <c r="F85" s="5"/>
      <c r="G85" s="5"/>
      <c r="H85" s="5"/>
      <c r="I85" s="248"/>
      <c r="J85" s="5"/>
      <c r="K85" s="5"/>
      <c r="L85" s="5"/>
      <c r="M85" s="5"/>
      <c r="N85" s="5"/>
      <c r="O85" s="5"/>
      <c r="Q85" s="5"/>
      <c r="R85" s="5"/>
      <c r="S85" s="5"/>
    </row>
    <row r="86" spans="2:26">
      <c r="B86" s="41"/>
      <c r="C86" s="245"/>
      <c r="D86" s="245"/>
      <c r="E86" s="245"/>
      <c r="F86" s="245"/>
      <c r="G86" s="245"/>
      <c r="H86" s="245"/>
      <c r="I86" s="5"/>
      <c r="J86" s="245"/>
      <c r="K86" s="245"/>
      <c r="L86" s="245"/>
      <c r="M86" s="245"/>
      <c r="N86" s="245"/>
      <c r="O86" s="251"/>
      <c r="Q86" s="5"/>
      <c r="R86" s="5"/>
      <c r="S86" s="5"/>
    </row>
    <row r="87" spans="2:26">
      <c r="B87" s="5"/>
      <c r="C87" s="5"/>
      <c r="D87" s="248"/>
      <c r="E87" s="248"/>
      <c r="F87" s="248"/>
      <c r="G87" s="248"/>
      <c r="H87" s="248"/>
      <c r="I87" s="5"/>
      <c r="J87" s="248"/>
      <c r="K87" s="248"/>
      <c r="L87" s="248"/>
      <c r="M87" s="248"/>
      <c r="N87" s="248"/>
      <c r="O87" s="5"/>
      <c r="Q87" s="5"/>
      <c r="R87" s="5"/>
      <c r="S87" s="5"/>
    </row>
    <row r="88" spans="2:26">
      <c r="B88" s="41"/>
      <c r="C88" s="5"/>
      <c r="D88" s="5"/>
      <c r="E88" s="5"/>
      <c r="F88" s="5"/>
      <c r="G88" s="5"/>
      <c r="H88" s="5"/>
      <c r="I88" s="5"/>
      <c r="J88" s="5"/>
      <c r="K88" s="5"/>
      <c r="L88" s="5"/>
      <c r="M88" s="5"/>
      <c r="N88" s="5"/>
      <c r="O88" s="5"/>
      <c r="Q88" s="5"/>
      <c r="R88" s="5"/>
      <c r="S88" s="5"/>
    </row>
    <row r="89" spans="2:26">
      <c r="B89" s="41"/>
      <c r="C89" s="5"/>
      <c r="D89" s="5"/>
      <c r="E89" s="5"/>
      <c r="F89" s="5"/>
      <c r="G89" s="5"/>
      <c r="H89" s="5"/>
      <c r="I89" s="5"/>
      <c r="J89" s="5"/>
      <c r="K89" s="5"/>
      <c r="L89" s="5"/>
      <c r="M89" s="5"/>
      <c r="N89" s="5"/>
      <c r="O89" s="5"/>
      <c r="Q89" s="5"/>
      <c r="R89" s="5"/>
      <c r="S89" s="5"/>
    </row>
    <row r="90" spans="2:26">
      <c r="B90" s="41"/>
      <c r="C90" s="5"/>
      <c r="D90" s="5"/>
      <c r="E90" s="5"/>
      <c r="F90" s="5"/>
      <c r="G90" s="5"/>
      <c r="H90" s="5"/>
      <c r="I90" s="49"/>
      <c r="J90" s="5"/>
      <c r="K90" s="5"/>
      <c r="L90" s="5"/>
      <c r="M90" s="5"/>
      <c r="N90" s="5"/>
      <c r="O90" s="5"/>
      <c r="Q90" s="41"/>
      <c r="R90" s="5"/>
      <c r="S90" s="5"/>
    </row>
    <row r="91" spans="2:26">
      <c r="B91" s="5"/>
      <c r="C91" s="5"/>
      <c r="D91" s="5"/>
      <c r="E91" s="5"/>
      <c r="F91" s="5"/>
      <c r="G91" s="5"/>
      <c r="H91" s="5"/>
      <c r="I91" s="5"/>
      <c r="J91" s="5"/>
      <c r="K91" s="5"/>
      <c r="L91" s="5"/>
      <c r="M91" s="5"/>
      <c r="N91" s="5"/>
      <c r="O91" s="5"/>
      <c r="Q91" s="5"/>
      <c r="R91" s="5"/>
      <c r="S91" s="5"/>
    </row>
    <row r="92" spans="2:26">
      <c r="B92" s="41"/>
      <c r="C92" s="49"/>
      <c r="D92" s="49"/>
      <c r="E92" s="49"/>
      <c r="F92" s="49"/>
      <c r="G92" s="49"/>
      <c r="H92" s="49"/>
      <c r="I92" s="247"/>
      <c r="J92" s="49"/>
      <c r="K92" s="49"/>
      <c r="L92" s="49"/>
      <c r="M92" s="49"/>
      <c r="N92" s="49"/>
      <c r="O92" s="49"/>
      <c r="Q92" s="5"/>
      <c r="R92" s="5"/>
      <c r="S92" s="5"/>
      <c r="W92" s="21"/>
      <c r="X92" s="21"/>
    </row>
    <row r="93" spans="2:26">
      <c r="B93" s="5"/>
      <c r="C93" s="5"/>
      <c r="D93" s="5"/>
      <c r="E93" s="5"/>
      <c r="F93" s="5"/>
      <c r="G93" s="5"/>
      <c r="H93" s="5"/>
      <c r="I93" s="247"/>
      <c r="J93" s="5"/>
      <c r="K93" s="5"/>
      <c r="L93" s="5"/>
      <c r="M93" s="5"/>
      <c r="N93" s="5"/>
      <c r="O93" s="5"/>
      <c r="Q93" s="5"/>
      <c r="R93" s="5"/>
      <c r="S93" s="5"/>
      <c r="W93" s="21"/>
      <c r="X93" s="21"/>
      <c r="Y93" s="21"/>
      <c r="Z93" s="21"/>
    </row>
    <row r="94" spans="2:26">
      <c r="B94" s="5"/>
      <c r="C94" s="259"/>
      <c r="D94" s="247"/>
      <c r="E94" s="247"/>
      <c r="F94" s="247"/>
      <c r="G94" s="247"/>
      <c r="H94" s="247"/>
      <c r="I94" s="247"/>
      <c r="J94" s="247"/>
      <c r="K94" s="247"/>
      <c r="L94" s="247"/>
      <c r="M94" s="247"/>
      <c r="N94" s="247"/>
      <c r="O94" s="248"/>
      <c r="Q94" s="5"/>
      <c r="R94" s="5"/>
      <c r="S94" s="5"/>
      <c r="Y94" s="21"/>
      <c r="Z94" s="21"/>
    </row>
    <row r="95" spans="2:26">
      <c r="B95" s="5"/>
      <c r="C95" s="259"/>
      <c r="D95" s="247"/>
      <c r="E95" s="247"/>
      <c r="F95" s="247"/>
      <c r="G95" s="247"/>
      <c r="H95" s="247"/>
      <c r="I95" s="248"/>
      <c r="J95" s="247"/>
      <c r="K95" s="247"/>
      <c r="L95" s="247"/>
      <c r="M95" s="247"/>
      <c r="N95" s="247"/>
      <c r="O95" s="248"/>
      <c r="Q95" s="5"/>
      <c r="R95" s="5"/>
      <c r="S95" s="5"/>
    </row>
    <row r="96" spans="2:26">
      <c r="B96" s="5"/>
      <c r="C96" s="259"/>
      <c r="D96" s="247"/>
      <c r="E96" s="247"/>
      <c r="F96" s="247"/>
      <c r="G96" s="247"/>
      <c r="H96" s="247"/>
      <c r="I96" s="247"/>
      <c r="J96" s="247"/>
      <c r="K96" s="247"/>
      <c r="L96" s="247"/>
      <c r="M96" s="247"/>
      <c r="N96" s="247"/>
      <c r="O96" s="248"/>
      <c r="Q96" s="5"/>
      <c r="R96" s="5"/>
      <c r="S96" s="5"/>
    </row>
    <row r="97" spans="2:19">
      <c r="B97" s="5"/>
      <c r="C97" s="259"/>
      <c r="D97" s="248"/>
      <c r="E97" s="248"/>
      <c r="F97" s="248"/>
      <c r="G97" s="248"/>
      <c r="H97" s="248"/>
      <c r="I97" s="249"/>
      <c r="J97" s="248"/>
      <c r="K97" s="248"/>
      <c r="L97" s="248"/>
      <c r="M97" s="248"/>
      <c r="N97" s="248"/>
      <c r="O97" s="248"/>
      <c r="Q97" s="5"/>
      <c r="R97" s="5"/>
      <c r="S97" s="5"/>
    </row>
    <row r="98" spans="2:19">
      <c r="B98" s="5"/>
      <c r="C98" s="259"/>
      <c r="D98" s="247"/>
      <c r="E98" s="247"/>
      <c r="F98" s="247"/>
      <c r="G98" s="247"/>
      <c r="H98" s="247"/>
      <c r="I98" s="248"/>
      <c r="J98" s="247"/>
      <c r="K98" s="247"/>
      <c r="L98" s="247"/>
      <c r="M98" s="247"/>
      <c r="N98" s="247"/>
      <c r="O98" s="248"/>
      <c r="Q98" s="5"/>
      <c r="R98" s="5"/>
      <c r="S98" s="5"/>
    </row>
    <row r="99" spans="2:19">
      <c r="B99" s="41"/>
      <c r="C99" s="249"/>
      <c r="D99" s="249"/>
      <c r="E99" s="249"/>
      <c r="F99" s="249"/>
      <c r="G99" s="249"/>
      <c r="H99" s="249"/>
      <c r="I99" s="5"/>
      <c r="J99" s="249"/>
      <c r="K99" s="249"/>
      <c r="L99" s="249"/>
      <c r="M99" s="249"/>
      <c r="N99" s="249"/>
      <c r="O99" s="248"/>
      <c r="Q99" s="5"/>
      <c r="R99" s="5"/>
      <c r="S99" s="5"/>
    </row>
    <row r="100" spans="2:19">
      <c r="B100" s="41"/>
      <c r="C100" s="257"/>
      <c r="D100" s="248"/>
      <c r="E100" s="248"/>
      <c r="F100" s="248"/>
      <c r="G100" s="248"/>
      <c r="H100" s="248"/>
      <c r="I100" s="259"/>
      <c r="J100" s="248"/>
      <c r="K100" s="248"/>
      <c r="L100" s="248"/>
      <c r="M100" s="248"/>
      <c r="N100" s="248"/>
      <c r="O100" s="248"/>
      <c r="Q100" s="5"/>
      <c r="R100" s="5"/>
      <c r="S100" s="5"/>
    </row>
    <row r="101" spans="2:19" s="5" customFormat="1">
      <c r="B101" s="41"/>
      <c r="I101" s="259"/>
      <c r="O101" s="248"/>
      <c r="P101" s="39"/>
    </row>
    <row r="102" spans="2:19">
      <c r="B102" s="5"/>
      <c r="C102" s="259"/>
      <c r="D102" s="259"/>
      <c r="E102" s="259"/>
      <c r="F102" s="259"/>
      <c r="G102" s="259"/>
      <c r="H102" s="259"/>
      <c r="I102" s="247"/>
      <c r="J102" s="259"/>
      <c r="K102" s="259"/>
      <c r="L102" s="259"/>
      <c r="M102" s="259"/>
      <c r="N102" s="259"/>
      <c r="O102" s="5"/>
      <c r="Q102" s="5"/>
      <c r="R102" s="5"/>
      <c r="S102" s="5"/>
    </row>
    <row r="103" spans="2:19">
      <c r="B103" s="5"/>
      <c r="C103" s="259"/>
      <c r="D103" s="259"/>
      <c r="E103" s="259"/>
      <c r="F103" s="259"/>
      <c r="G103" s="259"/>
      <c r="H103" s="259"/>
      <c r="I103" s="5"/>
      <c r="J103" s="259"/>
      <c r="K103" s="259"/>
      <c r="L103" s="259"/>
      <c r="M103" s="259"/>
      <c r="N103" s="259"/>
      <c r="O103" s="5"/>
      <c r="P103" s="5"/>
      <c r="Q103" s="5"/>
      <c r="R103" s="5"/>
      <c r="S103" s="5"/>
    </row>
    <row r="104" spans="2:19">
      <c r="B104" s="5"/>
      <c r="C104" s="247"/>
      <c r="D104" s="247"/>
      <c r="E104" s="247"/>
      <c r="F104" s="247"/>
      <c r="G104" s="247"/>
      <c r="H104" s="247"/>
      <c r="I104" s="247"/>
      <c r="J104" s="247"/>
      <c r="K104" s="247"/>
      <c r="L104" s="247"/>
      <c r="M104" s="247"/>
      <c r="N104" s="247"/>
      <c r="O104" s="5"/>
      <c r="Q104" s="5"/>
      <c r="R104" s="5"/>
      <c r="S104" s="5"/>
    </row>
    <row r="105" spans="2:19" s="5" customFormat="1">
      <c r="P105" s="39"/>
    </row>
    <row r="106" spans="2:19" s="5" customFormat="1">
      <c r="C106" s="259"/>
      <c r="D106" s="247"/>
      <c r="E106" s="247"/>
      <c r="F106" s="247"/>
      <c r="G106" s="247"/>
      <c r="H106" s="247"/>
      <c r="I106" s="259"/>
      <c r="J106" s="247"/>
      <c r="K106" s="247"/>
      <c r="L106" s="247"/>
      <c r="M106" s="247"/>
      <c r="N106" s="247"/>
      <c r="P106" s="39"/>
    </row>
    <row r="107" spans="2:19">
      <c r="B107" s="5"/>
      <c r="C107" s="259"/>
      <c r="D107" s="5"/>
      <c r="E107" s="5"/>
      <c r="F107" s="5"/>
      <c r="G107" s="5"/>
      <c r="H107" s="5"/>
      <c r="I107" s="247"/>
      <c r="J107" s="5"/>
      <c r="K107" s="5"/>
      <c r="L107" s="5"/>
      <c r="M107" s="5"/>
      <c r="N107" s="5"/>
      <c r="O107" s="5"/>
      <c r="P107" s="5"/>
      <c r="Q107" s="5"/>
      <c r="R107" s="5"/>
      <c r="S107" s="5"/>
    </row>
    <row r="108" spans="2:19">
      <c r="B108" s="5"/>
      <c r="C108" s="259"/>
      <c r="D108" s="259"/>
      <c r="E108" s="259"/>
      <c r="F108" s="259"/>
      <c r="G108" s="259"/>
      <c r="H108" s="259"/>
      <c r="I108" s="249"/>
      <c r="J108" s="259"/>
      <c r="K108" s="259"/>
      <c r="L108" s="259"/>
      <c r="M108" s="259"/>
      <c r="N108" s="259"/>
      <c r="O108" s="5"/>
      <c r="P108" s="5"/>
      <c r="Q108" s="5"/>
      <c r="R108" s="5"/>
      <c r="S108" s="5"/>
    </row>
    <row r="109" spans="2:19">
      <c r="B109" s="5"/>
      <c r="C109" s="247"/>
      <c r="D109" s="247"/>
      <c r="E109" s="247"/>
      <c r="F109" s="247"/>
      <c r="G109" s="247"/>
      <c r="H109" s="247"/>
      <c r="I109" s="249"/>
      <c r="J109" s="247"/>
      <c r="K109" s="247"/>
      <c r="L109" s="247"/>
      <c r="M109" s="247"/>
      <c r="N109" s="247"/>
      <c r="O109" s="5"/>
      <c r="Q109" s="5"/>
      <c r="R109" s="5"/>
      <c r="S109" s="5"/>
    </row>
    <row r="110" spans="2:19">
      <c r="B110" s="41"/>
      <c r="C110" s="249"/>
      <c r="D110" s="249"/>
      <c r="E110" s="249"/>
      <c r="F110" s="249"/>
      <c r="G110" s="249"/>
      <c r="H110" s="249"/>
      <c r="I110" s="247"/>
      <c r="J110" s="249"/>
      <c r="K110" s="249"/>
      <c r="L110" s="249"/>
      <c r="M110" s="249"/>
      <c r="N110" s="249"/>
      <c r="O110" s="5"/>
      <c r="Q110" s="5"/>
      <c r="R110" s="5"/>
      <c r="S110" s="5"/>
    </row>
    <row r="111" spans="2:19">
      <c r="B111" s="5"/>
      <c r="C111" s="249"/>
      <c r="D111" s="249"/>
      <c r="E111" s="249"/>
      <c r="F111" s="249"/>
      <c r="G111" s="249"/>
      <c r="H111" s="249"/>
      <c r="I111" s="5"/>
      <c r="J111" s="249"/>
      <c r="K111" s="249"/>
      <c r="L111" s="249"/>
      <c r="M111" s="249"/>
      <c r="N111" s="249"/>
      <c r="O111" s="5"/>
      <c r="Q111" s="5"/>
      <c r="R111" s="5"/>
      <c r="S111" s="5"/>
    </row>
    <row r="112" spans="2:19">
      <c r="B112" s="5"/>
      <c r="C112" s="247"/>
      <c r="D112" s="247"/>
      <c r="E112" s="247"/>
      <c r="F112" s="247"/>
      <c r="G112" s="247"/>
      <c r="H112" s="247"/>
      <c r="I112" s="5"/>
      <c r="J112" s="247"/>
      <c r="K112" s="247"/>
      <c r="L112" s="247"/>
      <c r="M112" s="247"/>
      <c r="N112" s="247"/>
      <c r="O112" s="5"/>
      <c r="Q112" s="5"/>
      <c r="R112" s="5"/>
      <c r="S112" s="5"/>
    </row>
    <row r="113" spans="2:19">
      <c r="B113" s="5"/>
      <c r="C113" s="5"/>
      <c r="D113" s="5"/>
      <c r="E113" s="5"/>
      <c r="F113" s="5"/>
      <c r="G113" s="5"/>
      <c r="H113" s="5"/>
      <c r="I113" s="5"/>
      <c r="J113" s="5"/>
      <c r="K113" s="5"/>
      <c r="L113" s="5"/>
      <c r="M113" s="5"/>
      <c r="N113" s="5"/>
      <c r="O113" s="5"/>
      <c r="Q113" s="5"/>
      <c r="R113" s="5"/>
      <c r="S113" s="5"/>
    </row>
    <row r="114" spans="2:19">
      <c r="B114" s="5"/>
      <c r="C114" s="5"/>
      <c r="D114" s="5"/>
      <c r="E114" s="5"/>
      <c r="F114" s="5"/>
      <c r="G114" s="5"/>
      <c r="H114" s="5"/>
      <c r="I114" s="5"/>
      <c r="J114" s="5"/>
      <c r="K114" s="5"/>
      <c r="L114" s="5"/>
      <c r="M114" s="5"/>
      <c r="N114" s="5"/>
      <c r="O114" s="5"/>
      <c r="Q114" s="5"/>
      <c r="R114" s="5"/>
      <c r="S114" s="5"/>
    </row>
    <row r="115" spans="2:19">
      <c r="B115" s="5"/>
      <c r="C115" s="5"/>
      <c r="D115" s="5"/>
      <c r="E115" s="5"/>
      <c r="F115" s="5"/>
      <c r="G115" s="5"/>
      <c r="H115" s="5"/>
      <c r="I115" s="49"/>
      <c r="J115" s="5"/>
      <c r="K115" s="5"/>
      <c r="L115" s="5"/>
      <c r="M115" s="5"/>
      <c r="N115" s="5"/>
      <c r="O115" s="5"/>
      <c r="Q115" s="41"/>
      <c r="R115" s="5"/>
      <c r="S115" s="5"/>
    </row>
    <row r="116" spans="2:19">
      <c r="B116" s="5"/>
      <c r="C116" s="5"/>
      <c r="D116" s="5"/>
      <c r="E116" s="5"/>
      <c r="F116" s="5"/>
      <c r="G116" s="5"/>
      <c r="H116" s="5"/>
      <c r="I116" s="5"/>
      <c r="J116" s="5"/>
      <c r="K116" s="5"/>
      <c r="L116" s="5"/>
      <c r="M116" s="5"/>
      <c r="N116" s="5"/>
      <c r="O116" s="5"/>
      <c r="Q116" s="5"/>
      <c r="R116" s="5"/>
      <c r="S116" s="5"/>
    </row>
    <row r="117" spans="2:19">
      <c r="B117" s="41"/>
      <c r="C117" s="49"/>
      <c r="D117" s="49"/>
      <c r="E117" s="49"/>
      <c r="F117" s="49"/>
      <c r="G117" s="49"/>
      <c r="H117" s="49"/>
      <c r="I117" s="254"/>
      <c r="J117" s="49"/>
      <c r="K117" s="49"/>
      <c r="L117" s="49"/>
      <c r="M117" s="49"/>
      <c r="N117" s="49"/>
      <c r="O117" s="49"/>
      <c r="Q117" s="5"/>
      <c r="R117" s="5"/>
      <c r="S117" s="5"/>
    </row>
    <row r="118" spans="2:19">
      <c r="B118" s="5"/>
      <c r="C118" s="5"/>
      <c r="D118" s="5"/>
      <c r="E118" s="5"/>
      <c r="F118" s="5"/>
      <c r="G118" s="5"/>
      <c r="H118" s="5"/>
      <c r="I118" s="249"/>
      <c r="J118" s="5"/>
      <c r="K118" s="5"/>
      <c r="L118" s="5"/>
      <c r="M118" s="5"/>
      <c r="N118" s="5"/>
      <c r="O118" s="5"/>
      <c r="Q118" s="5"/>
      <c r="R118" s="5"/>
      <c r="S118" s="5"/>
    </row>
    <row r="119" spans="2:19">
      <c r="B119" s="41"/>
      <c r="C119" s="254"/>
      <c r="D119" s="254"/>
      <c r="E119" s="254"/>
      <c r="F119" s="254"/>
      <c r="G119" s="254"/>
      <c r="H119" s="254"/>
      <c r="I119" s="254"/>
      <c r="J119" s="254"/>
      <c r="K119" s="254"/>
      <c r="L119" s="254"/>
      <c r="M119" s="254"/>
      <c r="N119" s="254"/>
      <c r="O119" s="248"/>
      <c r="Q119" s="5"/>
      <c r="R119" s="5"/>
      <c r="S119" s="5"/>
    </row>
    <row r="120" spans="2:19">
      <c r="B120" s="41"/>
      <c r="C120" s="254"/>
      <c r="D120" s="249"/>
      <c r="E120" s="249"/>
      <c r="F120" s="249"/>
      <c r="G120" s="249"/>
      <c r="H120" s="249"/>
      <c r="I120" s="254"/>
      <c r="J120" s="249"/>
      <c r="K120" s="249"/>
      <c r="L120" s="249"/>
      <c r="M120" s="249"/>
      <c r="N120" s="249"/>
      <c r="O120" s="248"/>
      <c r="Q120" s="5"/>
      <c r="R120" s="5"/>
      <c r="S120" s="5"/>
    </row>
    <row r="121" spans="2:19">
      <c r="B121" s="41"/>
      <c r="C121" s="254"/>
      <c r="D121" s="254"/>
      <c r="E121" s="254"/>
      <c r="F121" s="254"/>
      <c r="G121" s="254"/>
      <c r="H121" s="254"/>
      <c r="I121" s="254"/>
      <c r="J121" s="254"/>
      <c r="K121" s="254"/>
      <c r="L121" s="254"/>
      <c r="M121" s="254"/>
      <c r="N121" s="254"/>
      <c r="O121" s="248"/>
      <c r="Q121" s="5"/>
      <c r="R121" s="5"/>
      <c r="S121" s="5"/>
    </row>
    <row r="122" spans="2:19">
      <c r="B122" s="41"/>
      <c r="C122" s="254"/>
      <c r="D122" s="254"/>
      <c r="E122" s="254"/>
      <c r="F122" s="254"/>
      <c r="G122" s="254"/>
      <c r="H122" s="254"/>
      <c r="I122" s="254"/>
      <c r="J122" s="254"/>
      <c r="K122" s="254"/>
      <c r="L122" s="254"/>
      <c r="M122" s="254"/>
      <c r="N122" s="254"/>
      <c r="O122" s="248"/>
      <c r="Q122" s="5"/>
      <c r="R122" s="5"/>
      <c r="S122" s="5"/>
    </row>
    <row r="123" spans="2:19">
      <c r="B123" s="41"/>
      <c r="C123" s="254"/>
      <c r="D123" s="254"/>
      <c r="E123" s="254"/>
      <c r="F123" s="254"/>
      <c r="G123" s="254"/>
      <c r="H123" s="254"/>
      <c r="I123" s="254"/>
      <c r="J123" s="254"/>
      <c r="K123" s="254"/>
      <c r="L123" s="254"/>
      <c r="M123" s="254"/>
      <c r="N123" s="254"/>
      <c r="O123" s="248"/>
      <c r="Q123" s="5"/>
      <c r="R123" s="5"/>
      <c r="S123" s="5"/>
    </row>
    <row r="124" spans="2:19">
      <c r="B124" s="41"/>
      <c r="C124" s="254"/>
      <c r="D124" s="254"/>
      <c r="E124" s="254"/>
      <c r="F124" s="254"/>
      <c r="G124" s="254"/>
      <c r="H124" s="254"/>
      <c r="I124" s="254"/>
      <c r="J124" s="254"/>
      <c r="K124" s="254"/>
      <c r="L124" s="254"/>
      <c r="M124" s="254"/>
      <c r="N124" s="254"/>
      <c r="O124" s="248"/>
      <c r="Q124" s="5"/>
      <c r="R124" s="5"/>
      <c r="S124" s="5"/>
    </row>
    <row r="125" spans="2:19">
      <c r="B125" s="41"/>
      <c r="C125" s="254"/>
      <c r="D125" s="254"/>
      <c r="E125" s="254"/>
      <c r="F125" s="254"/>
      <c r="G125" s="254"/>
      <c r="H125" s="254"/>
      <c r="I125" s="254"/>
      <c r="J125" s="254"/>
      <c r="K125" s="254"/>
      <c r="L125" s="254"/>
      <c r="M125" s="254"/>
      <c r="N125" s="254"/>
      <c r="O125" s="5"/>
      <c r="Q125" s="5"/>
      <c r="R125" s="5"/>
      <c r="S125" s="5"/>
    </row>
    <row r="126" spans="2:19">
      <c r="B126" s="41"/>
      <c r="C126" s="254"/>
      <c r="D126" s="254"/>
      <c r="E126" s="254"/>
      <c r="F126" s="254"/>
      <c r="G126" s="254"/>
      <c r="H126" s="254"/>
      <c r="I126" s="254"/>
      <c r="J126" s="254"/>
      <c r="K126" s="254"/>
      <c r="L126" s="254"/>
      <c r="M126" s="254"/>
      <c r="N126" s="254"/>
      <c r="O126" s="5"/>
      <c r="Q126" s="5"/>
      <c r="R126" s="5"/>
      <c r="S126" s="5"/>
    </row>
    <row r="127" spans="2:19">
      <c r="B127" s="41"/>
      <c r="C127" s="254"/>
      <c r="D127" s="254"/>
      <c r="E127" s="254"/>
      <c r="F127" s="254"/>
      <c r="G127" s="254"/>
      <c r="H127" s="254"/>
      <c r="I127" s="18"/>
      <c r="J127" s="254"/>
      <c r="K127" s="254"/>
      <c r="L127" s="254"/>
      <c r="M127" s="254"/>
      <c r="N127" s="254"/>
      <c r="O127" s="5"/>
      <c r="Q127" s="5"/>
      <c r="R127" s="5"/>
      <c r="S127" s="5"/>
    </row>
    <row r="128" spans="2:19">
      <c r="B128" s="41"/>
      <c r="C128" s="254"/>
      <c r="D128" s="254"/>
      <c r="E128" s="254"/>
      <c r="F128" s="254"/>
      <c r="G128" s="254"/>
      <c r="H128" s="254"/>
      <c r="I128" s="5"/>
      <c r="J128" s="254"/>
      <c r="K128" s="254"/>
      <c r="L128" s="254"/>
      <c r="M128" s="254"/>
      <c r="N128" s="254"/>
      <c r="O128" s="5"/>
      <c r="Q128" s="5"/>
      <c r="R128" s="5"/>
      <c r="S128" s="5"/>
    </row>
    <row r="129" spans="2:27">
      <c r="B129" s="5"/>
      <c r="C129" s="5"/>
      <c r="D129" s="18"/>
      <c r="E129" s="18"/>
      <c r="F129" s="18"/>
      <c r="G129" s="18"/>
      <c r="H129" s="18"/>
      <c r="I129" s="254"/>
      <c r="J129" s="18"/>
      <c r="K129" s="18"/>
      <c r="L129" s="18"/>
      <c r="M129" s="18"/>
      <c r="N129" s="18"/>
      <c r="O129" s="5"/>
      <c r="Q129" s="5"/>
      <c r="R129" s="5"/>
      <c r="S129" s="5"/>
    </row>
    <row r="130" spans="2:27">
      <c r="B130" s="5"/>
      <c r="C130" s="5"/>
      <c r="D130" s="5"/>
      <c r="E130" s="5"/>
      <c r="F130" s="5"/>
      <c r="G130" s="5"/>
      <c r="H130" s="5"/>
      <c r="I130" s="18"/>
      <c r="J130" s="5"/>
      <c r="K130" s="5"/>
      <c r="L130" s="5"/>
      <c r="M130" s="5"/>
      <c r="N130" s="5"/>
      <c r="O130" s="5"/>
      <c r="Q130" s="5"/>
      <c r="R130" s="5"/>
      <c r="S130" s="5"/>
    </row>
    <row r="131" spans="2:27">
      <c r="B131" s="41"/>
      <c r="C131" s="254"/>
      <c r="D131" s="254"/>
      <c r="E131" s="254"/>
      <c r="F131" s="254"/>
      <c r="G131" s="254"/>
      <c r="H131" s="254"/>
      <c r="I131" s="5"/>
      <c r="J131" s="254"/>
      <c r="K131" s="254"/>
      <c r="L131" s="254"/>
      <c r="M131" s="254"/>
      <c r="N131" s="254"/>
      <c r="O131" s="5"/>
      <c r="Q131" s="5"/>
      <c r="R131" s="5"/>
      <c r="S131" s="5"/>
    </row>
    <row r="132" spans="2:27">
      <c r="B132" s="5"/>
      <c r="C132" s="259"/>
      <c r="D132" s="18"/>
      <c r="E132" s="18"/>
      <c r="F132" s="18"/>
      <c r="G132" s="18"/>
      <c r="H132" s="18"/>
      <c r="I132" s="5"/>
      <c r="J132" s="18"/>
      <c r="K132" s="18"/>
      <c r="L132" s="18"/>
      <c r="M132" s="18"/>
      <c r="N132" s="18"/>
      <c r="O132" s="5"/>
      <c r="Q132" s="5"/>
      <c r="R132" s="5"/>
      <c r="S132" s="5"/>
    </row>
    <row r="133" spans="2:27">
      <c r="B133" s="5"/>
      <c r="C133" s="5"/>
      <c r="D133" s="5"/>
      <c r="E133" s="5"/>
      <c r="F133" s="5"/>
      <c r="G133" s="5"/>
      <c r="H133" s="5"/>
      <c r="I133" s="17"/>
      <c r="J133" s="5"/>
      <c r="K133" s="5"/>
      <c r="L133" s="5"/>
      <c r="M133" s="5"/>
      <c r="N133" s="5"/>
      <c r="O133" s="5"/>
      <c r="Q133" s="5"/>
      <c r="R133" s="5"/>
      <c r="S133" s="5"/>
    </row>
    <row r="134" spans="2:27">
      <c r="B134" s="41"/>
      <c r="C134" s="5"/>
      <c r="D134" s="5"/>
      <c r="E134" s="5"/>
      <c r="F134" s="5"/>
      <c r="G134" s="5"/>
      <c r="H134" s="5"/>
      <c r="I134" s="17"/>
      <c r="J134" s="5"/>
      <c r="K134" s="5"/>
      <c r="L134" s="5"/>
      <c r="M134" s="5"/>
      <c r="N134" s="5"/>
      <c r="O134" s="5"/>
      <c r="Q134" s="5"/>
      <c r="R134" s="5"/>
      <c r="S134" s="5"/>
    </row>
    <row r="135" spans="2:27">
      <c r="B135" s="5"/>
      <c r="C135" s="17"/>
      <c r="D135" s="17"/>
      <c r="E135" s="17"/>
      <c r="F135" s="17"/>
      <c r="G135" s="17"/>
      <c r="H135" s="17"/>
      <c r="I135" s="17"/>
      <c r="J135" s="17"/>
      <c r="K135" s="17"/>
      <c r="L135" s="17"/>
      <c r="M135" s="17"/>
      <c r="N135" s="17"/>
      <c r="O135" s="5"/>
      <c r="Q135" s="41"/>
      <c r="R135" s="5"/>
      <c r="S135" s="5"/>
    </row>
    <row r="136" spans="2:27">
      <c r="B136" s="5"/>
      <c r="C136" s="17"/>
      <c r="D136" s="17"/>
      <c r="E136" s="17"/>
      <c r="F136" s="17"/>
      <c r="G136" s="17"/>
      <c r="H136" s="17"/>
      <c r="I136" s="17"/>
      <c r="J136" s="17"/>
      <c r="K136" s="17"/>
      <c r="L136" s="17"/>
      <c r="M136" s="17"/>
      <c r="N136" s="17"/>
      <c r="O136" s="5"/>
      <c r="Q136" s="5"/>
      <c r="R136" s="5"/>
      <c r="S136" s="5"/>
      <c r="X136" s="304"/>
    </row>
    <row r="137" spans="2:27">
      <c r="B137" s="5"/>
      <c r="C137" s="5"/>
      <c r="D137" s="17"/>
      <c r="E137" s="17"/>
      <c r="F137" s="17"/>
      <c r="G137" s="17"/>
      <c r="H137" s="17"/>
      <c r="I137" s="17"/>
      <c r="J137" s="17"/>
      <c r="K137" s="17"/>
      <c r="L137" s="17"/>
      <c r="M137" s="17"/>
      <c r="N137" s="17"/>
      <c r="O137" s="5"/>
      <c r="Q137" s="5"/>
      <c r="R137" s="5"/>
      <c r="S137" s="5"/>
      <c r="X137" s="10"/>
      <c r="Y137" s="304"/>
      <c r="Z137" s="304"/>
      <c r="AA137" s="304"/>
    </row>
    <row r="138" spans="2:27">
      <c r="B138" s="5"/>
      <c r="C138" s="5"/>
      <c r="D138" s="17"/>
      <c r="E138" s="17"/>
      <c r="F138" s="17"/>
      <c r="G138" s="17"/>
      <c r="H138" s="17"/>
      <c r="I138" s="17"/>
      <c r="J138" s="17"/>
      <c r="K138" s="17"/>
      <c r="L138" s="17"/>
      <c r="M138" s="17"/>
      <c r="N138" s="17"/>
      <c r="O138" s="5"/>
      <c r="Q138" s="5"/>
      <c r="R138" s="5"/>
      <c r="S138" s="5"/>
      <c r="Y138" s="10"/>
      <c r="Z138" s="10"/>
      <c r="AA138" s="10"/>
    </row>
    <row r="139" spans="2:27">
      <c r="B139" s="5"/>
      <c r="C139" s="5"/>
      <c r="D139" s="17"/>
      <c r="E139" s="17"/>
      <c r="F139" s="17"/>
      <c r="G139" s="17"/>
      <c r="H139" s="17"/>
      <c r="I139" s="5"/>
      <c r="J139" s="17"/>
      <c r="K139" s="17"/>
      <c r="L139" s="17"/>
      <c r="M139" s="17"/>
      <c r="N139" s="17"/>
      <c r="O139" s="5"/>
      <c r="Q139" s="5"/>
      <c r="R139" s="5"/>
      <c r="S139" s="5"/>
    </row>
    <row r="140" spans="2:27">
      <c r="B140" s="5"/>
      <c r="C140" s="17"/>
      <c r="D140" s="17"/>
      <c r="E140" s="17"/>
      <c r="F140" s="17"/>
      <c r="G140" s="17"/>
      <c r="H140" s="17"/>
      <c r="I140" s="5"/>
      <c r="J140" s="17"/>
      <c r="K140" s="17"/>
      <c r="L140" s="17"/>
      <c r="M140" s="17"/>
      <c r="N140" s="17"/>
      <c r="O140" s="5"/>
      <c r="Q140" s="5"/>
      <c r="R140" s="5"/>
      <c r="S140" s="5"/>
    </row>
    <row r="141" spans="2:27">
      <c r="B141" s="5"/>
      <c r="C141" s="5"/>
      <c r="D141" s="5"/>
      <c r="E141" s="5"/>
      <c r="F141" s="5"/>
      <c r="G141" s="5"/>
      <c r="H141" s="5"/>
      <c r="I141" s="5"/>
      <c r="J141" s="5"/>
      <c r="K141" s="5"/>
      <c r="L141" s="5"/>
      <c r="M141" s="5"/>
      <c r="N141" s="5"/>
      <c r="O141" s="5"/>
      <c r="Q141" s="5"/>
      <c r="R141" s="5"/>
      <c r="S141" s="5"/>
    </row>
    <row r="142" spans="2:27">
      <c r="B142" s="5"/>
      <c r="C142" s="5"/>
      <c r="D142" s="5"/>
      <c r="E142" s="5"/>
      <c r="F142" s="5"/>
      <c r="G142" s="5"/>
      <c r="H142" s="5"/>
      <c r="I142" s="5"/>
      <c r="J142" s="5"/>
      <c r="K142" s="5"/>
      <c r="L142" s="5"/>
      <c r="M142" s="5"/>
      <c r="N142" s="5"/>
      <c r="O142" s="5"/>
      <c r="Q142" s="5"/>
      <c r="R142" s="5"/>
      <c r="S142" s="5"/>
    </row>
    <row r="143" spans="2:27">
      <c r="B143" s="5"/>
      <c r="C143" s="5"/>
      <c r="D143" s="5"/>
      <c r="E143" s="5"/>
      <c r="F143" s="5"/>
      <c r="G143" s="5"/>
      <c r="H143" s="5"/>
      <c r="I143" s="5"/>
      <c r="J143" s="5"/>
      <c r="K143" s="5"/>
      <c r="L143" s="5"/>
      <c r="M143" s="5"/>
      <c r="N143" s="5"/>
      <c r="O143" s="5"/>
      <c r="Q143" s="5"/>
      <c r="R143" s="5"/>
      <c r="S143" s="5"/>
    </row>
    <row r="144" spans="2:27">
      <c r="B144" s="5"/>
      <c r="C144" s="5"/>
      <c r="D144" s="5"/>
      <c r="E144" s="5"/>
      <c r="F144" s="5"/>
      <c r="G144" s="5"/>
      <c r="H144" s="5"/>
      <c r="I144" s="5"/>
      <c r="J144" s="5"/>
      <c r="K144" s="5"/>
      <c r="L144" s="5"/>
      <c r="M144" s="5"/>
      <c r="N144" s="5"/>
      <c r="O144" s="5"/>
      <c r="Q144" s="5"/>
      <c r="R144" s="5"/>
      <c r="S144" s="5"/>
    </row>
    <row r="145" spans="2:19">
      <c r="B145" s="5"/>
      <c r="C145" s="5"/>
      <c r="D145" s="5"/>
      <c r="E145" s="5"/>
      <c r="F145" s="5"/>
      <c r="G145" s="5"/>
      <c r="H145" s="5"/>
      <c r="I145" s="5"/>
      <c r="J145" s="5"/>
      <c r="K145" s="5"/>
      <c r="L145" s="5"/>
      <c r="M145" s="5"/>
      <c r="N145" s="5"/>
      <c r="O145" s="5"/>
      <c r="Q145" s="5"/>
      <c r="R145" s="5"/>
      <c r="S145" s="5"/>
    </row>
    <row r="146" spans="2:19">
      <c r="B146" s="5"/>
      <c r="C146" s="5"/>
      <c r="D146" s="5"/>
      <c r="E146" s="5"/>
      <c r="F146" s="5"/>
      <c r="G146" s="5"/>
      <c r="H146" s="5"/>
      <c r="I146" s="5"/>
      <c r="J146" s="5"/>
      <c r="K146" s="5"/>
      <c r="L146" s="5"/>
      <c r="M146" s="5"/>
      <c r="N146" s="5"/>
      <c r="O146" s="5"/>
      <c r="Q146" s="5"/>
      <c r="R146" s="5"/>
      <c r="S146" s="5"/>
    </row>
    <row r="147" spans="2:19">
      <c r="B147" s="5"/>
      <c r="C147" s="5"/>
      <c r="D147" s="5"/>
      <c r="E147" s="5"/>
      <c r="F147" s="5"/>
      <c r="G147" s="5"/>
      <c r="H147" s="5"/>
      <c r="I147" s="5"/>
      <c r="J147" s="5"/>
      <c r="K147" s="5"/>
      <c r="L147" s="5"/>
      <c r="M147" s="5"/>
      <c r="N147" s="5"/>
      <c r="O147" s="5"/>
      <c r="Q147" s="5"/>
      <c r="R147" s="5"/>
      <c r="S147" s="5"/>
    </row>
    <row r="148" spans="2:19">
      <c r="B148" s="5"/>
      <c r="C148" s="5"/>
      <c r="D148" s="5"/>
      <c r="E148" s="5"/>
      <c r="F148" s="5"/>
      <c r="G148" s="5"/>
      <c r="H148" s="5"/>
      <c r="I148" s="5"/>
      <c r="J148" s="5"/>
      <c r="K148" s="5"/>
      <c r="L148" s="5"/>
      <c r="M148" s="5"/>
      <c r="N148" s="5"/>
      <c r="O148" s="5"/>
      <c r="Q148" s="5"/>
      <c r="R148" s="5"/>
      <c r="S148" s="5"/>
    </row>
    <row r="149" spans="2:19">
      <c r="B149" s="5"/>
      <c r="C149" s="5"/>
      <c r="D149" s="5"/>
      <c r="E149" s="5"/>
      <c r="F149" s="5"/>
      <c r="G149" s="5"/>
      <c r="H149" s="5"/>
      <c r="J149" s="5"/>
      <c r="K149" s="5"/>
      <c r="L149" s="5"/>
      <c r="M149" s="5"/>
      <c r="N149" s="5"/>
      <c r="O149" s="5"/>
      <c r="Q149" s="5"/>
      <c r="R149" s="5"/>
      <c r="S149" s="5"/>
    </row>
    <row r="150" spans="2:19">
      <c r="B150" s="5"/>
      <c r="C150" s="5"/>
      <c r="D150" s="5"/>
      <c r="E150" s="5"/>
      <c r="F150" s="5"/>
      <c r="G150" s="5"/>
      <c r="H150" s="5"/>
      <c r="J150" s="5"/>
      <c r="K150" s="5"/>
      <c r="L150" s="5"/>
      <c r="M150" s="5"/>
      <c r="N150" s="5"/>
      <c r="O150" s="5"/>
      <c r="Q150" s="5"/>
      <c r="R150" s="5"/>
      <c r="S150" s="5"/>
    </row>
    <row r="151" spans="2:19">
      <c r="Q151" s="5"/>
      <c r="R151" s="5"/>
      <c r="S151" s="5"/>
    </row>
    <row r="152" spans="2:19">
      <c r="Q152" s="5"/>
      <c r="R152" s="5"/>
      <c r="S152" s="5"/>
    </row>
    <row r="153" spans="2:19">
      <c r="C153" s="263"/>
      <c r="Q153" s="5"/>
      <c r="R153" s="5"/>
      <c r="S153" s="5"/>
    </row>
    <row r="154" spans="2:19">
      <c r="Q154" s="5"/>
      <c r="R154" s="5"/>
      <c r="S154" s="5"/>
    </row>
    <row r="155" spans="2:19">
      <c r="Q155" s="5"/>
      <c r="R155" s="5"/>
      <c r="S155" s="5"/>
    </row>
    <row r="156" spans="2:19">
      <c r="Q156" s="5"/>
      <c r="R156" s="5"/>
      <c r="S156" s="5"/>
    </row>
    <row r="157" spans="2:19">
      <c r="Q157" s="5"/>
      <c r="R157" s="5"/>
      <c r="S157" s="5"/>
    </row>
    <row r="158" spans="2:19">
      <c r="Q158" s="5"/>
      <c r="R158" s="5"/>
      <c r="S158" s="5"/>
    </row>
    <row r="159" spans="2:19">
      <c r="Q159" s="5"/>
      <c r="R159" s="5"/>
      <c r="S159" s="5"/>
    </row>
    <row r="160" spans="2:19">
      <c r="Q160" s="5"/>
      <c r="R160" s="5"/>
      <c r="S160" s="5"/>
    </row>
    <row r="161" spans="17:19">
      <c r="Q161" s="5"/>
      <c r="R161" s="5"/>
      <c r="S161" s="5"/>
    </row>
    <row r="162" spans="17:19">
      <c r="Q162" s="5"/>
      <c r="R162" s="5"/>
      <c r="S162" s="5"/>
    </row>
    <row r="163" spans="17:19">
      <c r="Q163" s="5"/>
      <c r="R163" s="5"/>
      <c r="S163" s="5"/>
    </row>
    <row r="164" spans="17:19">
      <c r="Q164" s="5"/>
      <c r="R164" s="5"/>
      <c r="S164" s="5"/>
    </row>
    <row r="165" spans="17:19">
      <c r="Q165" s="5"/>
      <c r="R165" s="5"/>
      <c r="S165" s="5"/>
    </row>
  </sheetData>
  <phoneticPr fontId="7" type="noConversion"/>
  <hyperlinks>
    <hyperlink ref="C2" location="MILLISOP!A1" display="Jump to Milli SOP" xr:uid="{00000000-0004-0000-3D00-000001000000}"/>
  </hyperlinks>
  <pageMargins left="0.75" right="0.75" top="1" bottom="1" header="0.5" footer="0.5"/>
  <pageSetup scale="71" orientation="landscape" r:id="rId1"/>
  <headerFooter alignWithMargins="0"/>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90E05D-F92A-4C64-8A4C-7F796C37C695}">
  <sheetPr codeName="Sheet159">
    <pageSetUpPr fitToPage="1"/>
  </sheetPr>
  <dimension ref="B1:AA165"/>
  <sheetViews>
    <sheetView showGridLines="0" zoomScale="80" zoomScaleNormal="80" zoomScaleSheetLayoutView="80" workbookViewId="0"/>
  </sheetViews>
  <sheetFormatPr defaultColWidth="9.109375" defaultRowHeight="12"/>
  <cols>
    <col min="1" max="1" width="2.33203125" style="39" customWidth="1"/>
    <col min="2" max="2" width="26.5546875" style="39" customWidth="1"/>
    <col min="3" max="9" width="10" style="39" customWidth="1"/>
    <col min="10" max="10" width="26.6640625" style="39" customWidth="1"/>
    <col min="11" max="16" width="10" style="39" customWidth="1"/>
    <col min="17" max="19" width="8.6640625" style="39" customWidth="1"/>
    <col min="20" max="27" width="8.6640625" style="5" customWidth="1"/>
    <col min="28" max="28" width="8.6640625" style="39" customWidth="1"/>
    <col min="29" max="16384" width="9.109375" style="39"/>
  </cols>
  <sheetData>
    <row r="1" spans="2:27" s="312" customFormat="1">
      <c r="T1" s="149"/>
      <c r="U1" s="149"/>
      <c r="V1" s="149"/>
      <c r="W1" s="149"/>
      <c r="X1" s="149"/>
      <c r="Y1" s="149"/>
      <c r="Z1" s="149"/>
      <c r="AA1" s="149"/>
    </row>
    <row r="2" spans="2:27" s="149" customFormat="1"/>
    <row r="3" spans="2:27" s="149" customFormat="1">
      <c r="H3" s="153"/>
      <c r="P3" s="153"/>
    </row>
    <row r="4" spans="2:27" s="156" customFormat="1" ht="21">
      <c r="B4" s="129" t="s">
        <v>1409</v>
      </c>
      <c r="H4" s="222"/>
      <c r="P4" s="222"/>
    </row>
    <row r="5" spans="2:27" s="149" customFormat="1">
      <c r="C5" s="153"/>
      <c r="D5" s="153" t="str" cm="1">
        <f t="array" ref="D5:H5">headings</f>
        <v>2023E</v>
      </c>
      <c r="E5" s="153" t="str">
        <v>2024E</v>
      </c>
      <c r="F5" s="153" t="str">
        <v>2025E</v>
      </c>
      <c r="G5" s="153" t="str">
        <v>2026E</v>
      </c>
      <c r="H5" s="153" t="str">
        <v>23E-26E</v>
      </c>
      <c r="I5" s="153"/>
      <c r="J5" s="153"/>
      <c r="K5" s="153"/>
      <c r="L5" s="153" t="str" cm="1">
        <f t="array" ref="L5:P5">headings</f>
        <v>2023E</v>
      </c>
      <c r="M5" s="153" t="str">
        <v>2024E</v>
      </c>
      <c r="N5" s="153" t="str">
        <v>2025E</v>
      </c>
      <c r="O5" s="153" t="str">
        <v>2026E</v>
      </c>
      <c r="P5" s="153" t="str">
        <v>23E-26E</v>
      </c>
      <c r="Q5" s="162"/>
      <c r="R5" s="162"/>
      <c r="S5" s="162"/>
      <c r="T5" s="162"/>
      <c r="U5" s="162"/>
      <c r="V5" s="162"/>
      <c r="W5" s="162"/>
      <c r="X5" s="162"/>
      <c r="Y5" s="162"/>
    </row>
    <row r="6" spans="2:27">
      <c r="I6" s="5"/>
      <c r="J6" s="5"/>
      <c r="K6" s="5"/>
      <c r="L6" s="5"/>
      <c r="M6" s="5"/>
      <c r="N6" s="5"/>
      <c r="O6" s="49"/>
    </row>
    <row r="7" spans="2:27" ht="12.6" thickBot="1">
      <c r="B7" s="306" t="s">
        <v>271</v>
      </c>
      <c r="C7" s="265"/>
      <c r="D7" s="265" t="str">
        <f>D5</f>
        <v>2023E</v>
      </c>
      <c r="E7" s="265" t="str">
        <f t="shared" ref="E7:H7" si="0">E5</f>
        <v>2024E</v>
      </c>
      <c r="F7" s="265" t="str">
        <f t="shared" si="0"/>
        <v>2025E</v>
      </c>
      <c r="G7" s="265" t="str">
        <f t="shared" si="0"/>
        <v>2026E</v>
      </c>
      <c r="H7" s="265" t="str">
        <f t="shared" si="0"/>
        <v>23E-26E</v>
      </c>
      <c r="I7" s="49"/>
      <c r="J7" s="306" t="s">
        <v>74</v>
      </c>
      <c r="K7" s="306"/>
      <c r="L7" s="265" t="str">
        <f>L5</f>
        <v>2023E</v>
      </c>
      <c r="M7" s="265" t="str">
        <f t="shared" ref="M7:P7" si="1">M5</f>
        <v>2024E</v>
      </c>
      <c r="N7" s="265" t="str">
        <f t="shared" si="1"/>
        <v>2025E</v>
      </c>
      <c r="O7" s="265" t="str">
        <f t="shared" si="1"/>
        <v>2026E</v>
      </c>
      <c r="P7" s="265" t="str">
        <f t="shared" si="1"/>
        <v>23E-26E</v>
      </c>
    </row>
    <row r="8" spans="2:27" ht="12.6" thickTop="1">
      <c r="B8" s="5"/>
      <c r="C8" s="5"/>
      <c r="D8" s="5"/>
      <c r="E8" s="5"/>
      <c r="F8" s="5"/>
      <c r="G8" s="5"/>
      <c r="H8" s="5"/>
      <c r="I8" s="5"/>
      <c r="J8" s="5"/>
      <c r="K8" s="5"/>
      <c r="L8" s="5"/>
      <c r="M8" s="5"/>
      <c r="N8" s="5"/>
      <c r="S8" s="88"/>
      <c r="T8" s="42"/>
      <c r="U8" s="42"/>
      <c r="V8" s="42"/>
      <c r="W8" s="42"/>
      <c r="X8" s="42"/>
      <c r="Y8" s="42"/>
      <c r="Z8" s="42"/>
      <c r="AA8" s="42"/>
    </row>
    <row r="9" spans="2:27">
      <c r="B9" s="41" t="s">
        <v>147</v>
      </c>
      <c r="C9" s="285">
        <f>Prices!C101</f>
        <v>605</v>
      </c>
      <c r="D9" s="535"/>
      <c r="E9" s="536"/>
      <c r="F9" s="536"/>
      <c r="G9" s="536"/>
      <c r="H9" s="249"/>
      <c r="I9" s="249"/>
      <c r="J9" s="5" t="s">
        <v>273</v>
      </c>
      <c r="L9" s="529">
        <f>'AGG ASIA CELLULAR'!D37</f>
        <v>2.0832818906884643</v>
      </c>
      <c r="M9" s="529">
        <f>'AGG ASIA CELLULAR'!E37</f>
        <v>1.9180381131180324</v>
      </c>
      <c r="N9" s="529">
        <f>'AGG ASIA CELLULAR'!F37</f>
        <v>1.6973984727138696</v>
      </c>
      <c r="O9" s="529">
        <f>'AGG ASIA CELLULAR'!G37</f>
        <v>1.4849146547081604</v>
      </c>
      <c r="P9" s="286">
        <f>'AGG ASIA CELLULAR'!H37</f>
        <v>5.2823672985303771E-2</v>
      </c>
      <c r="S9" s="88"/>
      <c r="T9" s="42"/>
      <c r="U9" s="42"/>
      <c r="V9" s="42"/>
      <c r="W9" s="42"/>
      <c r="X9" s="42"/>
      <c r="Y9" s="42"/>
      <c r="Z9" s="42"/>
      <c r="AA9" s="42"/>
    </row>
    <row r="10" spans="2:27">
      <c r="B10" s="5" t="s">
        <v>274</v>
      </c>
      <c r="C10" s="5"/>
      <c r="D10" s="531">
        <v>83.539294343999998</v>
      </c>
      <c r="E10" s="531">
        <v>83.539294343999998</v>
      </c>
      <c r="F10" s="531">
        <v>83.539294343999998</v>
      </c>
      <c r="G10" s="531">
        <v>83.539294343999998</v>
      </c>
      <c r="H10" s="247"/>
      <c r="I10" s="247"/>
      <c r="J10" s="5" t="s">
        <v>184</v>
      </c>
      <c r="L10" s="529">
        <f>'AGG ASIA CELLULAR'!D38</f>
        <v>6.3578764048835863</v>
      </c>
      <c r="M10" s="529">
        <f>'AGG ASIA CELLULAR'!E38</f>
        <v>5.8349432944863064</v>
      </c>
      <c r="N10" s="529">
        <f>'AGG ASIA CELLULAR'!F38</f>
        <v>5.103853656504258</v>
      </c>
      <c r="O10" s="529">
        <f>'AGG ASIA CELLULAR'!G38</f>
        <v>4.4165179955724438</v>
      </c>
      <c r="P10" s="286">
        <f>'AGG ASIA CELLULAR'!H38</f>
        <v>6.1901299000113985E-2</v>
      </c>
      <c r="S10" s="88"/>
      <c r="T10" s="42"/>
      <c r="U10" s="42"/>
      <c r="V10" s="42"/>
      <c r="W10" s="288"/>
      <c r="X10" s="288"/>
      <c r="Y10" s="288"/>
      <c r="Z10" s="288"/>
      <c r="AA10" s="42"/>
    </row>
    <row r="11" spans="2:27">
      <c r="B11" s="41" t="s">
        <v>275</v>
      </c>
      <c r="C11" s="5"/>
      <c r="D11" s="532">
        <f>$C$9*D10</f>
        <v>50541.273078120001</v>
      </c>
      <c r="E11" s="532">
        <f t="shared" ref="E11:G11" si="2">$C$9*E10</f>
        <v>50541.273078120001</v>
      </c>
      <c r="F11" s="532">
        <f t="shared" si="2"/>
        <v>50541.273078120001</v>
      </c>
      <c r="G11" s="532">
        <f t="shared" si="2"/>
        <v>50541.273078120001</v>
      </c>
      <c r="H11" s="249"/>
      <c r="I11" s="249"/>
      <c r="J11" s="5" t="s">
        <v>185</v>
      </c>
      <c r="L11" s="529">
        <f>'AGG ASIA CELLULAR'!D39</f>
        <v>12.256315794878686</v>
      </c>
      <c r="M11" s="529">
        <f>'AGG ASIA CELLULAR'!E39</f>
        <v>10.532349001792122</v>
      </c>
      <c r="N11" s="529">
        <f>'AGG ASIA CELLULAR'!F39</f>
        <v>8.8097379743624202</v>
      </c>
      <c r="O11" s="529">
        <f>'AGG ASIA CELLULAR'!G39</f>
        <v>7.3400525025099741</v>
      </c>
      <c r="P11" s="286">
        <f>'AGG ASIA CELLULAR'!H39</f>
        <v>0.11573327430771596</v>
      </c>
      <c r="S11" s="88"/>
      <c r="T11" s="42"/>
      <c r="U11" s="42"/>
      <c r="V11" s="42"/>
      <c r="W11" s="288"/>
      <c r="X11" s="288"/>
      <c r="Y11" s="288"/>
      <c r="Z11" s="288"/>
      <c r="AA11" s="42"/>
    </row>
    <row r="12" spans="2:27">
      <c r="B12" s="5" t="s">
        <v>24</v>
      </c>
      <c r="C12" s="249"/>
      <c r="D12" s="533">
        <v>12737.476903027447</v>
      </c>
      <c r="E12" s="533">
        <v>11178.708816864166</v>
      </c>
      <c r="F12" s="533">
        <v>9589.3952391855146</v>
      </c>
      <c r="G12" s="533">
        <v>7941.797463481922</v>
      </c>
      <c r="H12" s="247"/>
      <c r="I12" s="247"/>
      <c r="J12" s="5" t="s">
        <v>466</v>
      </c>
      <c r="L12" s="529">
        <f>'AGG ASIA CELLULAR'!D40</f>
        <v>15.951300793811486</v>
      </c>
      <c r="M12" s="529">
        <f>'AGG ASIA CELLULAR'!E40</f>
        <v>13.847183646795452</v>
      </c>
      <c r="N12" s="529">
        <f>'AGG ASIA CELLULAR'!F40</f>
        <v>11.626709680654198</v>
      </c>
      <c r="O12" s="529">
        <f>'AGG ASIA CELLULAR'!G40</f>
        <v>9.7078389032116537</v>
      </c>
      <c r="P12" s="286">
        <f>'AGG ASIA CELLULAR'!H40</f>
        <v>0.10976572550111241</v>
      </c>
      <c r="S12" s="88"/>
      <c r="T12" s="42"/>
      <c r="U12" s="42"/>
      <c r="V12" s="42"/>
      <c r="W12" s="288"/>
      <c r="X12" s="288"/>
      <c r="Y12" s="288"/>
      <c r="Z12" s="288"/>
      <c r="AA12" s="42"/>
    </row>
    <row r="13" spans="2:27">
      <c r="B13" s="5" t="s">
        <v>529</v>
      </c>
      <c r="C13" s="257"/>
      <c r="D13" s="533">
        <v>0</v>
      </c>
      <c r="E13" s="533">
        <v>0</v>
      </c>
      <c r="F13" s="533">
        <v>0</v>
      </c>
      <c r="G13" s="533">
        <v>0</v>
      </c>
      <c r="H13" s="247"/>
      <c r="I13" s="247"/>
      <c r="J13" s="5" t="s">
        <v>530</v>
      </c>
      <c r="L13" s="529">
        <f>'AGG ASIA CELLULAR'!D41</f>
        <v>1.4274445412547272</v>
      </c>
      <c r="M13" s="529">
        <f>'AGG ASIA CELLULAR'!E41</f>
        <v>1.4179696737537477</v>
      </c>
      <c r="N13" s="529">
        <f>'AGG ASIA CELLULAR'!F41</f>
        <v>1.3450707920768976</v>
      </c>
      <c r="O13" s="529">
        <f>'AGG ASIA CELLULAR'!G41</f>
        <v>1.2618986136137988</v>
      </c>
      <c r="P13" s="286">
        <f>'AGG ASIA CELLULAR'!H41</f>
        <v>-2.0092563683029918E-2</v>
      </c>
      <c r="S13" s="88"/>
      <c r="T13" s="42"/>
      <c r="U13" s="42"/>
      <c r="V13" s="42"/>
      <c r="W13" s="42"/>
      <c r="X13" s="42"/>
      <c r="Y13" s="42"/>
      <c r="Z13" s="42"/>
      <c r="AA13" s="42"/>
    </row>
    <row r="14" spans="2:27">
      <c r="B14" s="5" t="s">
        <v>532</v>
      </c>
      <c r="C14" s="257"/>
      <c r="D14" s="533"/>
      <c r="E14" s="533"/>
      <c r="F14" s="533"/>
      <c r="G14" s="533"/>
      <c r="H14" s="247"/>
      <c r="I14" s="247"/>
      <c r="J14" s="5" t="s">
        <v>593</v>
      </c>
      <c r="L14" s="529">
        <f>'AGG ASIA CELLULAR'!D42</f>
        <v>2.9130695199933734</v>
      </c>
      <c r="M14" s="529">
        <f>'AGG ASIA CELLULAR'!E42</f>
        <v>2.8146219035099969</v>
      </c>
      <c r="N14" s="529">
        <f>'AGG ASIA CELLULAR'!F42</f>
        <v>2.5888583636405476</v>
      </c>
      <c r="O14" s="529">
        <f>'AGG ASIA CELLULAR'!G42</f>
        <v>2.3605815546209548</v>
      </c>
      <c r="P14" s="286">
        <f>'AGG ASIA CELLULAR'!H42</f>
        <v>8.7512202951403051E-3</v>
      </c>
      <c r="S14" s="88"/>
      <c r="T14" s="42"/>
      <c r="U14" s="42"/>
      <c r="V14" s="42"/>
      <c r="W14" s="42"/>
      <c r="X14" s="42"/>
      <c r="Y14" s="42"/>
      <c r="Z14" s="42"/>
      <c r="AA14" s="42"/>
    </row>
    <row r="15" spans="2:27">
      <c r="B15" s="5" t="s">
        <v>531</v>
      </c>
      <c r="C15" s="274"/>
      <c r="D15" s="533"/>
      <c r="E15" s="533"/>
      <c r="F15" s="533"/>
      <c r="G15" s="533"/>
      <c r="H15" s="247"/>
      <c r="I15" s="247"/>
      <c r="J15" s="5" t="s">
        <v>475</v>
      </c>
      <c r="L15" s="529">
        <f>'AGG ASIA CELLULAR'!D43</f>
        <v>19.278364274513134</v>
      </c>
      <c r="M15" s="529">
        <f>'AGG ASIA CELLULAR'!E43</f>
        <v>15.523038202411636</v>
      </c>
      <c r="N15" s="529">
        <f>'AGG ASIA CELLULAR'!F43</f>
        <v>13.257386088679914</v>
      </c>
      <c r="O15" s="529">
        <f>'AGG ASIA CELLULAR'!G43</f>
        <v>11.466142328229227</v>
      </c>
      <c r="P15" s="286">
        <f>'AGG ASIA CELLULAR'!H43</f>
        <v>0.18831027118838706</v>
      </c>
      <c r="S15" s="88"/>
      <c r="T15" s="42"/>
      <c r="U15" s="42"/>
      <c r="V15" s="42"/>
      <c r="W15" s="42"/>
      <c r="X15" s="42"/>
      <c r="Y15" s="42"/>
      <c r="Z15" s="42"/>
      <c r="AA15" s="42"/>
    </row>
    <row r="16" spans="2:27">
      <c r="B16" s="5" t="s">
        <v>534</v>
      </c>
      <c r="C16" s="257"/>
      <c r="D16" s="533">
        <v>0</v>
      </c>
      <c r="E16" s="533">
        <v>1996.7896716484393</v>
      </c>
      <c r="F16" s="533">
        <v>4353.5888758735773</v>
      </c>
      <c r="G16" s="533">
        <v>7072.5226419997207</v>
      </c>
      <c r="H16" s="247"/>
      <c r="I16" s="247"/>
      <c r="J16" s="5" t="s">
        <v>533</v>
      </c>
      <c r="L16" s="529">
        <f>'AGG ASIA CELLULAR'!D44</f>
        <v>20.50009040888548</v>
      </c>
      <c r="M16" s="529">
        <f>'AGG ASIA CELLULAR'!E44</f>
        <v>17.31807909095523</v>
      </c>
      <c r="N16" s="529">
        <f>'AGG ASIA CELLULAR'!F44</f>
        <v>14.883294016253318</v>
      </c>
      <c r="O16" s="529">
        <f>'AGG ASIA CELLULAR'!G44</f>
        <v>13.16548576425039</v>
      </c>
      <c r="P16" s="286">
        <f>'AGG ASIA CELLULAR'!H44</f>
        <v>0.15839482711139796</v>
      </c>
      <c r="S16" s="88"/>
      <c r="T16" s="42"/>
      <c r="U16" s="42"/>
      <c r="V16" s="42"/>
      <c r="W16" s="42"/>
      <c r="X16" s="42"/>
      <c r="Y16" s="42"/>
      <c r="Z16" s="42"/>
      <c r="AA16" s="42"/>
    </row>
    <row r="17" spans="2:27">
      <c r="B17" s="5" t="s">
        <v>6</v>
      </c>
      <c r="C17" s="257"/>
      <c r="D17" s="533">
        <v>0</v>
      </c>
      <c r="E17" s="533">
        <v>0</v>
      </c>
      <c r="F17" s="533">
        <v>0</v>
      </c>
      <c r="G17" s="533">
        <v>0</v>
      </c>
      <c r="H17" s="247"/>
      <c r="I17" s="247"/>
      <c r="J17" s="5" t="s">
        <v>580</v>
      </c>
      <c r="L17" s="248">
        <f>'AGG ASIA CELLULAR'!D45</f>
        <v>4.174038595528512E-2</v>
      </c>
      <c r="M17" s="248">
        <f>'AGG ASIA CELLULAR'!E45</f>
        <v>4.4792872771489058E-2</v>
      </c>
      <c r="N17" s="248">
        <f>'AGG ASIA CELLULAR'!F45</f>
        <v>5.1203391440393167E-2</v>
      </c>
      <c r="O17" s="248">
        <f>'AGG ASIA CELLULAR'!G45</f>
        <v>5.7913719466381006E-2</v>
      </c>
      <c r="P17" s="286">
        <f>'AGG ASIA CELLULAR'!H45</f>
        <v>0.11470165475568339</v>
      </c>
      <c r="S17" s="88"/>
      <c r="T17" s="42"/>
      <c r="U17" s="42"/>
      <c r="V17" s="42"/>
      <c r="W17" s="42"/>
      <c r="X17" s="42"/>
      <c r="Y17" s="42"/>
      <c r="Z17" s="42"/>
      <c r="AA17" s="42"/>
    </row>
    <row r="18" spans="2:27" ht="12.6" thickBot="1">
      <c r="B18" s="41" t="s">
        <v>583</v>
      </c>
      <c r="C18" s="249"/>
      <c r="D18" s="534">
        <f>D11+D12+D13-D14+D15-D16-D17</f>
        <v>63278.749981147448</v>
      </c>
      <c r="E18" s="534">
        <f>E11+E12+E13-E14+E15-E16-E17</f>
        <v>59723.192223335725</v>
      </c>
      <c r="F18" s="534">
        <f>F11+F12+F13-F14+F15-F16-F17</f>
        <v>55777.079441431939</v>
      </c>
      <c r="G18" s="534">
        <f>G11+G12+G13-G14+G15-G16-G17</f>
        <v>51410.547899602199</v>
      </c>
      <c r="H18" s="276">
        <f>IF(D18=0,"nm",IF(G18=0,"nm",(G18/D18)^(1/3)-1))</f>
        <v>-6.6893001039711186E-2</v>
      </c>
      <c r="I18" s="254"/>
      <c r="J18" s="5" t="s">
        <v>36</v>
      </c>
      <c r="L18" s="248" t="e">
        <f>'AGG ASIA CELLULAR'!D46</f>
        <v>#VALUE!</v>
      </c>
      <c r="M18" s="248" t="e">
        <f>'AGG ASIA CELLULAR'!E46</f>
        <v>#VALUE!</v>
      </c>
      <c r="N18" s="248" t="e">
        <f>'AGG ASIA CELLULAR'!F46</f>
        <v>#VALUE!</v>
      </c>
      <c r="O18" s="248" t="e">
        <f>'AGG ASIA CELLULAR'!G46</f>
        <v>#VALUE!</v>
      </c>
      <c r="P18" s="286" t="e">
        <f>'AGG ASIA CELLULAR'!H46</f>
        <v>#VALUE!</v>
      </c>
      <c r="S18" s="88"/>
      <c r="T18" s="42"/>
      <c r="U18" s="42"/>
      <c r="V18" s="42"/>
      <c r="W18" s="42"/>
      <c r="X18" s="42"/>
      <c r="Y18" s="42"/>
      <c r="Z18" s="42"/>
      <c r="AA18" s="42"/>
    </row>
    <row r="19" spans="2:27" ht="12.6" thickTop="1">
      <c r="B19" s="41"/>
      <c r="C19" s="249"/>
      <c r="D19" s="229"/>
      <c r="E19" s="229"/>
      <c r="F19" s="229"/>
      <c r="G19" s="229"/>
      <c r="H19" s="276"/>
      <c r="I19" s="254"/>
      <c r="J19" s="5" t="s">
        <v>581</v>
      </c>
      <c r="L19" s="248">
        <f>'AGG ASIA CELLULAR'!D47</f>
        <v>5.1871620732991598E-2</v>
      </c>
      <c r="M19" s="248">
        <f>'AGG ASIA CELLULAR'!E47</f>
        <v>6.4420378727447922E-2</v>
      </c>
      <c r="N19" s="248">
        <f>'AGG ASIA CELLULAR'!F47</f>
        <v>7.5429650559386677E-2</v>
      </c>
      <c r="O19" s="248">
        <f>'AGG ASIA CELLULAR'!G47</f>
        <v>8.7213290344219457E-2</v>
      </c>
      <c r="P19" s="286">
        <f>'AGG ASIA CELLULAR'!H47</f>
        <v>0.18831027118838706</v>
      </c>
      <c r="S19" s="88"/>
      <c r="T19" s="42"/>
      <c r="U19" s="42"/>
      <c r="V19" s="42"/>
      <c r="W19" s="42"/>
      <c r="X19" s="42"/>
      <c r="Y19" s="42"/>
      <c r="Z19" s="42"/>
      <c r="AA19" s="42"/>
    </row>
    <row r="20" spans="2:27">
      <c r="H20" s="277"/>
      <c r="I20" s="17"/>
      <c r="J20" s="5" t="s">
        <v>604</v>
      </c>
      <c r="L20" s="305">
        <f>'AGG ASIA CELLULAR'!D48</f>
        <v>0.92045377326476352</v>
      </c>
      <c r="M20" s="305">
        <f>'AGG ASIA CELLULAR'!E48</f>
        <v>0.79490390762892493</v>
      </c>
      <c r="N20" s="305">
        <f>'AGG ASIA CELLULAR'!F48</f>
        <v>0.7763724496707467</v>
      </c>
      <c r="O20" s="305">
        <f>'AGG ASIA CELLULAR'!G48</f>
        <v>0.75978089170129071</v>
      </c>
      <c r="P20" s="286" t="str">
        <f>'AGG ASIA CELLULAR'!H48</f>
        <v>nm</v>
      </c>
      <c r="S20" s="88"/>
      <c r="T20" s="42"/>
      <c r="U20" s="42"/>
      <c r="V20" s="42"/>
      <c r="W20" s="42"/>
      <c r="X20" s="42"/>
      <c r="Y20" s="42"/>
      <c r="Z20" s="42"/>
      <c r="AA20" s="42"/>
    </row>
    <row r="21" spans="2:27" ht="12.6" thickBot="1">
      <c r="B21" s="306" t="s">
        <v>941</v>
      </c>
      <c r="C21" s="265"/>
      <c r="D21" s="265" t="str">
        <f>D5</f>
        <v>2023E</v>
      </c>
      <c r="E21" s="265" t="str">
        <f t="shared" ref="E21:H21" si="3">E5</f>
        <v>2024E</v>
      </c>
      <c r="F21" s="265" t="str">
        <f t="shared" si="3"/>
        <v>2025E</v>
      </c>
      <c r="G21" s="265" t="str">
        <f t="shared" si="3"/>
        <v>2026E</v>
      </c>
      <c r="H21" s="265" t="str">
        <f t="shared" si="3"/>
        <v>23E-26E</v>
      </c>
      <c r="I21" s="49"/>
      <c r="J21" s="41"/>
      <c r="L21" s="250"/>
      <c r="M21" s="250"/>
      <c r="N21" s="250"/>
      <c r="O21" s="250"/>
      <c r="P21" s="286"/>
      <c r="S21" s="88"/>
      <c r="T21" s="42"/>
      <c r="U21" s="42"/>
      <c r="V21" s="42"/>
      <c r="W21" s="42"/>
      <c r="X21" s="42"/>
      <c r="Y21" s="42"/>
      <c r="Z21" s="42"/>
      <c r="AA21" s="42"/>
    </row>
    <row r="22" spans="2:27" ht="12.6" thickTop="1">
      <c r="B22" s="5"/>
      <c r="C22" s="257"/>
      <c r="D22" s="17"/>
      <c r="E22" s="17"/>
      <c r="F22" s="17"/>
      <c r="G22" s="17"/>
      <c r="H22" s="17"/>
      <c r="I22" s="17"/>
      <c r="P22" s="277"/>
      <c r="S22" s="88"/>
      <c r="T22" s="42"/>
      <c r="U22" s="42"/>
      <c r="V22" s="42"/>
      <c r="W22" s="42"/>
      <c r="X22" s="42"/>
      <c r="Y22" s="42"/>
      <c r="Z22" s="42"/>
      <c r="AA22" s="42"/>
    </row>
    <row r="23" spans="2:27" ht="12.6" thickBot="1">
      <c r="B23" s="5" t="s">
        <v>584</v>
      </c>
      <c r="C23" s="548">
        <v>7729</v>
      </c>
      <c r="D23" s="540">
        <v>8916.321540183917</v>
      </c>
      <c r="E23" s="540">
        <v>9638.1928556333314</v>
      </c>
      <c r="F23" s="540">
        <v>10297.198440986736</v>
      </c>
      <c r="G23" s="540">
        <v>11152.675797611639</v>
      </c>
      <c r="H23" s="279">
        <f t="shared" ref="H23:H32" si="4">IF(D23=0,"nm",IF(G23=0,"nm",(G23/D23)^(1/3)-1))</f>
        <v>7.7451637075996116E-2</v>
      </c>
      <c r="I23" s="247"/>
      <c r="J23" s="306" t="s">
        <v>9</v>
      </c>
      <c r="K23" s="306"/>
      <c r="L23" s="265" t="str">
        <f>D21</f>
        <v>2023E</v>
      </c>
      <c r="M23" s="265" t="str">
        <f t="shared" ref="M23:P23" si="5">E21</f>
        <v>2024E</v>
      </c>
      <c r="N23" s="265" t="str">
        <f t="shared" si="5"/>
        <v>2025E</v>
      </c>
      <c r="O23" s="265" t="str">
        <f t="shared" si="5"/>
        <v>2026E</v>
      </c>
      <c r="P23" s="265" t="str">
        <f t="shared" si="5"/>
        <v>23E-26E</v>
      </c>
      <c r="S23" s="88"/>
      <c r="T23" s="42"/>
      <c r="U23" s="42"/>
      <c r="V23" s="42"/>
      <c r="W23" s="42"/>
      <c r="X23" s="42"/>
      <c r="Y23" s="42"/>
      <c r="Z23" s="42"/>
      <c r="AA23" s="42"/>
    </row>
    <row r="24" spans="2:27" ht="12.6" thickTop="1">
      <c r="B24" s="5" t="s">
        <v>483</v>
      </c>
      <c r="C24" s="549">
        <v>6142</v>
      </c>
      <c r="D24" s="540">
        <v>7035.5227673879963</v>
      </c>
      <c r="E24" s="540">
        <v>7709.6588252939819</v>
      </c>
      <c r="F24" s="540">
        <v>8344.7463560125398</v>
      </c>
      <c r="G24" s="540">
        <v>9049.0950066816786</v>
      </c>
      <c r="H24" s="279">
        <f t="shared" si="4"/>
        <v>8.7517510411422528E-2</v>
      </c>
      <c r="I24" s="249"/>
      <c r="J24" s="17"/>
      <c r="K24" s="17"/>
      <c r="L24" s="17"/>
      <c r="M24" s="17"/>
      <c r="N24" s="17"/>
      <c r="O24" s="248"/>
      <c r="S24" s="88"/>
      <c r="T24" s="42"/>
      <c r="U24" s="42"/>
      <c r="V24" s="42"/>
      <c r="W24" s="42" t="s">
        <v>1408</v>
      </c>
      <c r="X24" s="42" t="s">
        <v>257</v>
      </c>
      <c r="Y24" s="42"/>
      <c r="Z24" s="42"/>
      <c r="AA24" s="42"/>
    </row>
    <row r="25" spans="2:27">
      <c r="B25" s="5" t="s">
        <v>183</v>
      </c>
      <c r="C25" s="548">
        <v>4872.4498175520002</v>
      </c>
      <c r="D25" s="540">
        <v>-2848</v>
      </c>
      <c r="E25" s="540">
        <v>35.522767387996282</v>
      </c>
      <c r="F25" s="540">
        <v>5300.1106113856495</v>
      </c>
      <c r="G25" s="540">
        <v>5821.9327379707893</v>
      </c>
      <c r="H25" s="279">
        <f t="shared" si="4"/>
        <v>-2.2691386383907437</v>
      </c>
      <c r="I25" s="248"/>
      <c r="J25" s="247" t="s">
        <v>10</v>
      </c>
      <c r="K25" s="247"/>
      <c r="L25" s="321"/>
      <c r="M25" s="321"/>
      <c r="N25" s="321"/>
      <c r="O25" s="321"/>
      <c r="P25" s="279" t="str">
        <f>IF(L25=0,"nm",IF(O25=0,"nm",(O25/L25)^(1/3)-1))</f>
        <v>nm</v>
      </c>
      <c r="S25" s="88"/>
      <c r="T25" s="42"/>
      <c r="U25" s="42"/>
      <c r="V25" s="147" t="s">
        <v>273</v>
      </c>
      <c r="W25" s="288">
        <f>D37/L9</f>
        <v>3.4066234463068898</v>
      </c>
      <c r="X25" s="288">
        <v>1</v>
      </c>
      <c r="Y25" s="42"/>
      <c r="Z25" s="42"/>
      <c r="AA25" s="42"/>
    </row>
    <row r="26" spans="2:27">
      <c r="B26" s="5" t="s">
        <v>586</v>
      </c>
      <c r="C26" s="548">
        <v>3654.3373631640002</v>
      </c>
      <c r="D26" s="540">
        <v>-2136</v>
      </c>
      <c r="E26" s="540">
        <v>26.642075540997212</v>
      </c>
      <c r="F26" s="540">
        <v>3975.0829585392371</v>
      </c>
      <c r="G26" s="540">
        <v>4366.4495534780917</v>
      </c>
      <c r="H26" s="279">
        <f t="shared" si="4"/>
        <v>-2.2691386383907437</v>
      </c>
      <c r="I26" s="249"/>
      <c r="J26" s="249" t="s">
        <v>11</v>
      </c>
      <c r="K26" s="249"/>
      <c r="L26" s="281">
        <f>D11+L25</f>
        <v>50541.273078120001</v>
      </c>
      <c r="M26" s="281">
        <f>E11+M25</f>
        <v>50541.273078120001</v>
      </c>
      <c r="N26" s="281">
        <f>F11+N25</f>
        <v>50541.273078120001</v>
      </c>
      <c r="O26" s="281">
        <f>G11+O25</f>
        <v>50541.273078120001</v>
      </c>
      <c r="P26" s="279">
        <f>IF(L26=0,"nm",IF(O26=0,"nm",(O26/L26)^(1/3)-1))</f>
        <v>0</v>
      </c>
      <c r="Q26" s="5"/>
      <c r="S26" s="88"/>
      <c r="T26" s="42"/>
      <c r="U26" s="42"/>
      <c r="V26" s="147" t="s">
        <v>184</v>
      </c>
      <c r="W26" s="288">
        <f t="shared" ref="W26:W33" si="6">D38/L10</f>
        <v>1.4146514125403191</v>
      </c>
      <c r="X26" s="288">
        <v>1</v>
      </c>
      <c r="Y26" s="42"/>
      <c r="Z26" s="42"/>
      <c r="AA26" s="42"/>
    </row>
    <row r="27" spans="2:27">
      <c r="B27" s="5" t="s">
        <v>587</v>
      </c>
      <c r="C27" s="549">
        <v>41555.076530999999</v>
      </c>
      <c r="D27" s="540">
        <v>45001.211903027448</v>
      </c>
      <c r="E27" s="540">
        <v>43442.443816864165</v>
      </c>
      <c r="F27" s="540">
        <v>41853.130239185513</v>
      </c>
      <c r="G27" s="540">
        <v>40205.532463481926</v>
      </c>
      <c r="H27" s="279">
        <f t="shared" si="4"/>
        <v>-3.6864916746755405E-2</v>
      </c>
      <c r="I27" s="249"/>
      <c r="J27" s="248"/>
      <c r="K27" s="248"/>
      <c r="L27" s="248"/>
      <c r="M27" s="248"/>
      <c r="N27" s="248"/>
      <c r="O27" s="248"/>
      <c r="Q27" s="41"/>
      <c r="S27" s="88"/>
      <c r="T27" s="42"/>
      <c r="U27" s="42"/>
      <c r="V27" s="147" t="s">
        <v>185</v>
      </c>
      <c r="W27" s="288">
        <f t="shared" si="6"/>
        <v>-1.8128336919782728</v>
      </c>
      <c r="X27" s="288">
        <v>1</v>
      </c>
      <c r="Y27" s="42"/>
      <c r="Z27" s="42"/>
      <c r="AA27" s="42"/>
    </row>
    <row r="28" spans="2:27">
      <c r="B28" s="5" t="s">
        <v>592</v>
      </c>
      <c r="C28" s="548">
        <v>29568.385999999999</v>
      </c>
      <c r="D28" s="540">
        <v>29568.385999999999</v>
      </c>
      <c r="E28" s="540">
        <v>29568.385999999999</v>
      </c>
      <c r="F28" s="540">
        <v>29568.385999999999</v>
      </c>
      <c r="G28" s="540">
        <v>29568.385999999999</v>
      </c>
      <c r="H28" s="279">
        <f t="shared" si="4"/>
        <v>0</v>
      </c>
      <c r="I28" s="248"/>
      <c r="Q28" s="5"/>
      <c r="S28" s="88"/>
      <c r="T28" s="42"/>
      <c r="U28" s="42"/>
      <c r="V28" s="147" t="s">
        <v>466</v>
      </c>
      <c r="W28" s="288">
        <f t="shared" si="6"/>
        <v>-1.8572079689870029</v>
      </c>
      <c r="X28" s="288">
        <v>1</v>
      </c>
      <c r="Y28" s="42"/>
      <c r="Z28" s="42"/>
      <c r="AA28" s="42"/>
    </row>
    <row r="29" spans="2:27" ht="12.6" thickBot="1">
      <c r="B29" s="5" t="s">
        <v>588</v>
      </c>
      <c r="C29" s="548">
        <v>-4215.566823000001</v>
      </c>
      <c r="D29" s="540">
        <v>-848.03122850984528</v>
      </c>
      <c r="E29" s="540">
        <v>3611.6307158936202</v>
      </c>
      <c r="F29" s="540">
        <v>4027.6335535783055</v>
      </c>
      <c r="G29" s="540">
        <v>4454.2054356208173</v>
      </c>
      <c r="H29" s="279">
        <f t="shared" si="4"/>
        <v>-2.7382789301813459</v>
      </c>
      <c r="I29" s="252"/>
      <c r="J29" s="306" t="s">
        <v>1363</v>
      </c>
      <c r="K29" s="306"/>
      <c r="L29" s="265" t="str">
        <f>L$5</f>
        <v>2023E</v>
      </c>
      <c r="M29" s="265" t="str">
        <f t="shared" ref="M29:P29" si="7">M$5</f>
        <v>2024E</v>
      </c>
      <c r="N29" s="265" t="str">
        <f t="shared" si="7"/>
        <v>2025E</v>
      </c>
      <c r="O29" s="265" t="str">
        <f t="shared" si="7"/>
        <v>2026E</v>
      </c>
      <c r="P29" s="265" t="str">
        <f t="shared" si="7"/>
        <v>23E-26E</v>
      </c>
      <c r="Q29" s="5"/>
      <c r="S29" s="88"/>
      <c r="T29" s="42"/>
      <c r="U29" s="42"/>
      <c r="V29" s="147" t="s">
        <v>530</v>
      </c>
      <c r="W29" s="288">
        <f t="shared" si="6"/>
        <v>0.98508665936396589</v>
      </c>
      <c r="X29" s="288">
        <v>1</v>
      </c>
      <c r="Y29" s="42"/>
      <c r="Z29" s="42"/>
      <c r="AA29" s="42"/>
    </row>
    <row r="30" spans="2:27" ht="12.6" thickTop="1">
      <c r="B30" s="5" t="s">
        <v>589</v>
      </c>
      <c r="C30" s="549">
        <v>0</v>
      </c>
      <c r="D30" s="540">
        <v>0</v>
      </c>
      <c r="E30" s="540">
        <v>0</v>
      </c>
      <c r="F30" s="540">
        <v>0</v>
      </c>
      <c r="G30" s="540">
        <v>0</v>
      </c>
      <c r="H30" s="279" t="str">
        <f t="shared" si="4"/>
        <v>nm</v>
      </c>
      <c r="I30" s="254"/>
      <c r="J30" s="248"/>
      <c r="K30" s="248"/>
      <c r="L30" s="248"/>
      <c r="M30" s="248"/>
      <c r="N30" s="248"/>
      <c r="O30" s="5"/>
      <c r="Q30" s="5"/>
      <c r="S30" s="88"/>
      <c r="T30" s="42"/>
      <c r="U30" s="42"/>
      <c r="V30" s="147" t="s">
        <v>593</v>
      </c>
      <c r="W30" s="288">
        <f t="shared" si="6"/>
        <v>0.73464820745700965</v>
      </c>
      <c r="X30" s="288">
        <v>1</v>
      </c>
      <c r="Y30" s="42"/>
      <c r="Z30" s="42"/>
      <c r="AA30" s="42"/>
    </row>
    <row r="31" spans="2:27">
      <c r="B31" s="5" t="s">
        <v>590</v>
      </c>
      <c r="C31" s="549">
        <v>1780</v>
      </c>
      <c r="D31" s="540">
        <v>2015.4638925863287</v>
      </c>
      <c r="E31" s="540">
        <v>1996.7896716484393</v>
      </c>
      <c r="F31" s="540">
        <v>2356.7992042251381</v>
      </c>
      <c r="G31" s="540">
        <v>2718.9337661261434</v>
      </c>
      <c r="H31" s="279">
        <f t="shared" si="4"/>
        <v>0.10494637648058691</v>
      </c>
      <c r="I31" s="254"/>
      <c r="J31" s="5" t="s">
        <v>737</v>
      </c>
      <c r="K31" s="247"/>
      <c r="L31" s="322">
        <v>36168</v>
      </c>
      <c r="M31" s="322">
        <v>36868</v>
      </c>
      <c r="N31" s="322">
        <v>37568</v>
      </c>
      <c r="O31" s="322">
        <v>38268</v>
      </c>
      <c r="Q31" s="5"/>
      <c r="S31" s="88"/>
      <c r="T31" s="42"/>
      <c r="U31" s="42"/>
      <c r="V31" s="147" t="s">
        <v>475</v>
      </c>
      <c r="W31" s="288">
        <f t="shared" si="6"/>
        <v>-3.0914636871068519</v>
      </c>
      <c r="X31" s="288">
        <v>1</v>
      </c>
      <c r="Y31" s="42"/>
      <c r="Z31" s="42"/>
      <c r="AA31" s="42"/>
    </row>
    <row r="32" spans="2:27">
      <c r="B32" s="5" t="s">
        <v>606</v>
      </c>
      <c r="C32" s="550">
        <v>0</v>
      </c>
      <c r="D32" s="540">
        <v>0</v>
      </c>
      <c r="E32" s="540">
        <v>0</v>
      </c>
      <c r="F32" s="540">
        <v>0</v>
      </c>
      <c r="G32" s="540">
        <v>0</v>
      </c>
      <c r="H32" s="279" t="str">
        <f t="shared" si="4"/>
        <v>nm</v>
      </c>
      <c r="I32" s="254"/>
      <c r="J32" s="5" t="s">
        <v>1361</v>
      </c>
      <c r="K32" s="254"/>
      <c r="L32" s="322">
        <v>56724.062070133834</v>
      </c>
      <c r="M32" s="322">
        <v>60587.006668925402</v>
      </c>
      <c r="N32" s="322">
        <v>64367.11126771698</v>
      </c>
      <c r="O32" s="322">
        <v>67479.855866508558</v>
      </c>
      <c r="Q32" s="5"/>
      <c r="S32" s="88"/>
      <c r="T32" s="42"/>
      <c r="U32" s="42"/>
      <c r="V32" s="147" t="s">
        <v>533</v>
      </c>
      <c r="W32" s="288" t="e">
        <f t="shared" si="6"/>
        <v>#DIV/0!</v>
      </c>
      <c r="X32" s="288">
        <v>1</v>
      </c>
      <c r="Y32" s="42"/>
      <c r="Z32" s="42"/>
      <c r="AA32" s="42"/>
    </row>
    <row r="33" spans="2:27">
      <c r="B33" s="5" t="s">
        <v>5</v>
      </c>
      <c r="C33" s="549">
        <v>-837.6</v>
      </c>
      <c r="D33" s="540">
        <v>-724.81952700000011</v>
      </c>
      <c r="E33" s="540">
        <v>135.76828425127565</v>
      </c>
      <c r="F33" s="540">
        <v>-745.92730102557573</v>
      </c>
      <c r="G33" s="540">
        <v>-681.80985408409629</v>
      </c>
      <c r="H33" s="279">
        <f>IF(D33=0,"nm",IF(G33=0,"nm",(G33/D33)^(1/3)-1))</f>
        <v>-2.0184144622892308E-2</v>
      </c>
      <c r="I33" s="5"/>
      <c r="Q33" s="5"/>
      <c r="S33" s="88"/>
      <c r="T33" s="42"/>
      <c r="U33" s="42"/>
      <c r="V33" s="147" t="s">
        <v>580</v>
      </c>
      <c r="W33" s="288">
        <f t="shared" si="6"/>
        <v>0.95537172644350332</v>
      </c>
      <c r="X33" s="288">
        <v>1</v>
      </c>
      <c r="Y33" s="42"/>
      <c r="Z33" s="42"/>
      <c r="AA33" s="42"/>
    </row>
    <row r="34" spans="2:27">
      <c r="H34" s="277"/>
      <c r="I34" s="49"/>
      <c r="Q34" s="5"/>
      <c r="S34" s="88"/>
      <c r="T34" s="42"/>
      <c r="U34" s="42"/>
      <c r="V34" s="147" t="s">
        <v>581</v>
      </c>
      <c r="W34" s="288">
        <f>D47/L19</f>
        <v>-0.32347137188463976</v>
      </c>
      <c r="X34" s="288">
        <v>1</v>
      </c>
      <c r="Y34" s="288"/>
      <c r="Z34" s="288"/>
      <c r="AA34" s="42"/>
    </row>
    <row r="35" spans="2:27" ht="12.6" thickBot="1">
      <c r="B35" s="306" t="s">
        <v>765</v>
      </c>
      <c r="C35" s="265"/>
      <c r="D35" s="265" t="str">
        <f>D5</f>
        <v>2023E</v>
      </c>
      <c r="E35" s="265" t="str">
        <f t="shared" ref="E35:H35" si="8">E5</f>
        <v>2024E</v>
      </c>
      <c r="F35" s="265" t="str">
        <f t="shared" si="8"/>
        <v>2025E</v>
      </c>
      <c r="G35" s="265" t="str">
        <f t="shared" si="8"/>
        <v>2026E</v>
      </c>
      <c r="H35" s="265" t="str">
        <f t="shared" si="8"/>
        <v>23E-26E</v>
      </c>
      <c r="I35" s="254"/>
      <c r="J35" s="306" t="s">
        <v>1362</v>
      </c>
      <c r="K35" s="306"/>
      <c r="L35" s="306"/>
      <c r="M35" s="306"/>
      <c r="N35" s="266"/>
      <c r="O35" s="266"/>
      <c r="P35" s="266"/>
      <c r="Q35" s="5"/>
      <c r="S35" s="88"/>
      <c r="T35" s="42"/>
      <c r="U35" s="42"/>
      <c r="V35" s="42"/>
      <c r="W35" s="288"/>
      <c r="X35" s="42"/>
      <c r="Y35" s="288"/>
      <c r="Z35" s="288"/>
      <c r="AA35" s="42"/>
    </row>
    <row r="36" spans="2:27" ht="12.6" thickTop="1">
      <c r="B36" s="41"/>
      <c r="C36" s="249"/>
      <c r="D36" s="254"/>
      <c r="E36" s="254"/>
      <c r="F36" s="254"/>
      <c r="G36" s="254"/>
      <c r="H36" s="254"/>
      <c r="I36" s="17"/>
      <c r="J36" s="249"/>
      <c r="K36" s="249"/>
      <c r="L36" s="249"/>
      <c r="M36" s="249"/>
      <c r="N36" s="249"/>
      <c r="O36" s="251"/>
      <c r="Q36" s="5"/>
      <c r="S36" s="88"/>
      <c r="T36" s="42"/>
      <c r="U36" s="42"/>
      <c r="V36" s="42"/>
      <c r="W36" s="42"/>
      <c r="X36" s="42"/>
      <c r="Y36" s="288"/>
      <c r="Z36" s="288"/>
      <c r="AA36" s="42"/>
    </row>
    <row r="37" spans="2:27">
      <c r="B37" s="5" t="s">
        <v>273</v>
      </c>
      <c r="C37" s="247"/>
      <c r="D37" s="529">
        <f>D$18/D23</f>
        <v>7.0969569340858696</v>
      </c>
      <c r="E37" s="529">
        <f t="shared" ref="E37:G41" si="9">E$18/E23</f>
        <v>6.1965135080720772</v>
      </c>
      <c r="F37" s="529">
        <f t="shared" si="9"/>
        <v>5.4167237585145598</v>
      </c>
      <c r="G37" s="529">
        <f t="shared" si="9"/>
        <v>4.6097052252349915</v>
      </c>
      <c r="H37" s="17">
        <f t="shared" ref="H37:H45" si="10">H23</f>
        <v>7.7451637075996116E-2</v>
      </c>
      <c r="I37" s="5"/>
      <c r="J37" s="248"/>
      <c r="K37" s="248"/>
      <c r="L37" s="248"/>
      <c r="M37" s="248"/>
      <c r="N37" s="248"/>
      <c r="O37" s="5"/>
      <c r="Q37" s="5"/>
      <c r="R37" s="5"/>
      <c r="S37" s="42"/>
      <c r="T37" s="42"/>
      <c r="U37" s="42"/>
      <c r="V37" s="42"/>
      <c r="W37" s="42"/>
      <c r="X37" s="42"/>
      <c r="Y37" s="42"/>
      <c r="Z37" s="42"/>
      <c r="AA37" s="42"/>
    </row>
    <row r="38" spans="2:27">
      <c r="B38" s="5" t="s">
        <v>184</v>
      </c>
      <c r="C38" s="247"/>
      <c r="D38" s="529">
        <f>D$18/D24</f>
        <v>8.9941788369253306</v>
      </c>
      <c r="E38" s="529">
        <f>E$18/E24</f>
        <v>7.7465415236527519</v>
      </c>
      <c r="F38" s="529">
        <f t="shared" si="9"/>
        <v>6.6840952452968869</v>
      </c>
      <c r="G38" s="529">
        <f t="shared" si="9"/>
        <v>5.6812916497883643</v>
      </c>
      <c r="H38" s="17">
        <f t="shared" si="10"/>
        <v>8.7517510411422528E-2</v>
      </c>
      <c r="I38" s="259"/>
      <c r="J38" s="252"/>
      <c r="K38" s="252"/>
      <c r="L38" s="252"/>
      <c r="M38" s="252"/>
      <c r="N38" s="252"/>
      <c r="O38" s="5"/>
      <c r="Q38" s="5"/>
      <c r="R38" s="5"/>
      <c r="S38" s="42"/>
      <c r="T38" s="42"/>
      <c r="U38" s="42"/>
      <c r="V38" s="42"/>
      <c r="W38" s="42"/>
      <c r="X38" s="42"/>
      <c r="Y38" s="42"/>
      <c r="Z38" s="42"/>
      <c r="AA38" s="42"/>
    </row>
    <row r="39" spans="2:27">
      <c r="B39" s="5" t="s">
        <v>185</v>
      </c>
      <c r="C39" s="247"/>
      <c r="D39" s="529">
        <f>D$18/D25</f>
        <v>-22.218662212481547</v>
      </c>
      <c r="E39" s="529">
        <f t="shared" si="9"/>
        <v>1681.2651889142273</v>
      </c>
      <c r="F39" s="529">
        <f t="shared" si="9"/>
        <v>10.523757621513054</v>
      </c>
      <c r="G39" s="529">
        <f t="shared" si="9"/>
        <v>8.8304949942656208</v>
      </c>
      <c r="H39" s="17">
        <f t="shared" si="10"/>
        <v>-2.2691386383907437</v>
      </c>
      <c r="I39" s="17"/>
      <c r="J39" s="259"/>
      <c r="K39" s="259"/>
      <c r="L39" s="259"/>
      <c r="M39" s="259"/>
      <c r="N39" s="259"/>
      <c r="O39" s="18"/>
      <c r="Q39" s="5"/>
      <c r="R39" s="5"/>
      <c r="S39" s="42"/>
      <c r="T39" s="42"/>
      <c r="U39" s="42"/>
      <c r="V39" s="42"/>
      <c r="W39" s="42"/>
      <c r="X39" s="42"/>
      <c r="Y39" s="42"/>
      <c r="Z39" s="42"/>
      <c r="AA39" s="42"/>
    </row>
    <row r="40" spans="2:27">
      <c r="B40" s="5" t="s">
        <v>466</v>
      </c>
      <c r="C40" s="247"/>
      <c r="D40" s="529">
        <f>D$18/D26</f>
        <v>-29.624882949975397</v>
      </c>
      <c r="E40" s="529">
        <f t="shared" si="9"/>
        <v>2241.6869185523033</v>
      </c>
      <c r="F40" s="529">
        <f t="shared" si="9"/>
        <v>14.031676828684072</v>
      </c>
      <c r="G40" s="529">
        <f t="shared" si="9"/>
        <v>11.773993325687496</v>
      </c>
      <c r="H40" s="17">
        <f t="shared" si="10"/>
        <v>-2.2691386383907437</v>
      </c>
      <c r="I40" s="5"/>
      <c r="J40" s="259"/>
      <c r="K40" s="259"/>
      <c r="L40" s="259"/>
      <c r="M40" s="259"/>
      <c r="N40" s="259"/>
      <c r="O40" s="18"/>
      <c r="Q40" s="5"/>
      <c r="R40" s="5"/>
      <c r="S40" s="42"/>
      <c r="T40" s="42"/>
      <c r="U40" s="42"/>
      <c r="V40" s="42"/>
      <c r="W40" s="288"/>
      <c r="X40" s="288"/>
      <c r="Y40" s="42"/>
      <c r="Z40" s="42"/>
      <c r="AA40" s="42"/>
    </row>
    <row r="41" spans="2:27">
      <c r="B41" s="5" t="s">
        <v>530</v>
      </c>
      <c r="C41" s="247"/>
      <c r="D41" s="529">
        <f>D$18/D27</f>
        <v>1.406156574571948</v>
      </c>
      <c r="E41" s="529">
        <f t="shared" si="9"/>
        <v>1.3747659426137404</v>
      </c>
      <c r="F41" s="529">
        <f t="shared" si="9"/>
        <v>1.3326859693091715</v>
      </c>
      <c r="G41" s="529">
        <f t="shared" si="9"/>
        <v>1.2786933725177652</v>
      </c>
      <c r="H41" s="17">
        <f t="shared" si="10"/>
        <v>-3.6864916746755405E-2</v>
      </c>
      <c r="I41" s="247"/>
      <c r="J41" s="259"/>
      <c r="K41" s="259"/>
      <c r="L41" s="259"/>
      <c r="M41" s="259"/>
      <c r="N41" s="259"/>
      <c r="O41" s="18"/>
      <c r="Q41" s="5"/>
      <c r="R41" s="5"/>
      <c r="S41" s="42"/>
      <c r="T41" s="42"/>
      <c r="U41" s="42"/>
      <c r="V41" s="42"/>
      <c r="W41" s="288"/>
      <c r="X41" s="288"/>
      <c r="Y41" s="288"/>
      <c r="Z41" s="288"/>
      <c r="AA41" s="42"/>
    </row>
    <row r="42" spans="2:27">
      <c r="B42" s="5" t="s">
        <v>593</v>
      </c>
      <c r="C42" s="247"/>
      <c r="D42" s="529">
        <f>D18/D28</f>
        <v>2.1400813010607833</v>
      </c>
      <c r="E42" s="529">
        <f>E18/E28</f>
        <v>2.0198326761337508</v>
      </c>
      <c r="F42" s="529">
        <f>F18/F28</f>
        <v>1.8863755174676069</v>
      </c>
      <c r="G42" s="529">
        <f>G18/G28</f>
        <v>1.7386998363590831</v>
      </c>
      <c r="H42" s="17">
        <f t="shared" si="10"/>
        <v>0</v>
      </c>
      <c r="I42" s="248"/>
      <c r="J42" s="5"/>
      <c r="K42" s="5"/>
      <c r="L42" s="5"/>
      <c r="M42" s="5"/>
      <c r="N42" s="5"/>
      <c r="O42" s="5"/>
      <c r="Q42" s="5"/>
      <c r="R42" s="5"/>
      <c r="S42" s="42"/>
      <c r="T42" s="42"/>
      <c r="U42" s="42"/>
      <c r="V42" s="42"/>
      <c r="W42" s="288"/>
      <c r="X42" s="288"/>
      <c r="Y42" s="288"/>
      <c r="Z42" s="288"/>
      <c r="AA42" s="42"/>
    </row>
    <row r="43" spans="2:27">
      <c r="B43" s="5" t="s">
        <v>475</v>
      </c>
      <c r="C43" s="247"/>
      <c r="D43" s="529">
        <f>L26/D29</f>
        <v>-59.598363101475385</v>
      </c>
      <c r="E43" s="529">
        <f>M26/E29</f>
        <v>13.994031243477963</v>
      </c>
      <c r="F43" s="529">
        <f>N26/F29</f>
        <v>12.548627477099345</v>
      </c>
      <c r="G43" s="529">
        <f>O26/G29</f>
        <v>11.346866193897425</v>
      </c>
      <c r="H43" s="17">
        <f t="shared" si="10"/>
        <v>-2.7382789301813459</v>
      </c>
      <c r="I43" s="247"/>
      <c r="J43" s="69"/>
      <c r="K43" s="69"/>
      <c r="L43" s="69"/>
      <c r="M43" s="69"/>
      <c r="N43" s="69"/>
      <c r="O43" s="69"/>
      <c r="Q43" s="5"/>
      <c r="R43" s="5"/>
      <c r="S43" s="42"/>
      <c r="T43" s="42"/>
      <c r="U43" s="42"/>
      <c r="V43" s="42"/>
      <c r="W43" s="288"/>
      <c r="X43" s="288"/>
      <c r="Y43" s="288"/>
      <c r="Z43" s="288"/>
      <c r="AA43" s="42"/>
    </row>
    <row r="44" spans="2:27">
      <c r="B44" s="5" t="s">
        <v>533</v>
      </c>
      <c r="C44" s="69"/>
      <c r="D44" s="529" t="e">
        <f>D11/D30</f>
        <v>#DIV/0!</v>
      </c>
      <c r="E44" s="529" t="e">
        <f>E11/E30</f>
        <v>#DIV/0!</v>
      </c>
      <c r="F44" s="529" t="e">
        <f>F11/F30</f>
        <v>#DIV/0!</v>
      </c>
      <c r="G44" s="529" t="e">
        <f>G11/G30</f>
        <v>#DIV/0!</v>
      </c>
      <c r="H44" s="17" t="str">
        <f t="shared" si="10"/>
        <v>nm</v>
      </c>
      <c r="I44" s="247"/>
      <c r="J44" s="259"/>
      <c r="K44" s="259"/>
      <c r="L44" s="259"/>
      <c r="M44" s="259"/>
      <c r="N44" s="259"/>
      <c r="O44" s="18"/>
      <c r="Q44" s="5"/>
      <c r="R44" s="5"/>
      <c r="S44" s="42"/>
      <c r="T44" s="42"/>
      <c r="U44" s="42"/>
      <c r="V44" s="42"/>
      <c r="W44" s="325"/>
      <c r="X44" s="325"/>
      <c r="Y44" s="288"/>
      <c r="Z44" s="288"/>
      <c r="AA44" s="42"/>
    </row>
    <row r="45" spans="2:27">
      <c r="B45" s="5" t="s">
        <v>580</v>
      </c>
      <c r="C45" s="247"/>
      <c r="D45" s="248">
        <f>D31/D11</f>
        <v>3.9877584592518903E-2</v>
      </c>
      <c r="E45" s="248">
        <f>E31/E11</f>
        <v>3.9508100014854525E-2</v>
      </c>
      <c r="F45" s="248">
        <f>F31/F11</f>
        <v>4.6631180037398551E-2</v>
      </c>
      <c r="G45" s="248">
        <f>G31/G11</f>
        <v>5.3796305485292704E-2</v>
      </c>
      <c r="H45" s="17">
        <f t="shared" si="10"/>
        <v>0.10494637648058691</v>
      </c>
      <c r="I45" s="248"/>
      <c r="J45" s="17"/>
      <c r="K45" s="17"/>
      <c r="L45" s="17"/>
      <c r="M45" s="17"/>
      <c r="N45" s="17"/>
      <c r="O45" s="5"/>
      <c r="Q45" s="5"/>
      <c r="R45" s="5"/>
      <c r="S45" s="42"/>
      <c r="T45" s="42"/>
      <c r="U45" s="42"/>
      <c r="V45" s="42"/>
      <c r="W45" s="42"/>
      <c r="X45" s="42"/>
      <c r="Y45" s="325"/>
      <c r="Z45" s="325"/>
      <c r="AA45" s="42"/>
    </row>
    <row r="46" spans="2:27">
      <c r="B46" s="5" t="s">
        <v>605</v>
      </c>
      <c r="C46" s="247"/>
      <c r="D46" s="248">
        <f>(D31+D32)/D11</f>
        <v>3.9877584592518903E-2</v>
      </c>
      <c r="E46" s="248">
        <f>(E31+E32)/E11</f>
        <v>3.9508100014854525E-2</v>
      </c>
      <c r="F46" s="248">
        <f>(F31+F32)/F11</f>
        <v>4.6631180037398551E-2</v>
      </c>
      <c r="G46" s="248">
        <f>(G31+G32)/G11</f>
        <v>5.3796305485292704E-2</v>
      </c>
      <c r="H46" s="279">
        <f>((G31+G32)/(D31+D32))^(1/3)-1</f>
        <v>0.10494637648058691</v>
      </c>
      <c r="I46" s="247"/>
      <c r="J46" s="5"/>
      <c r="K46" s="5"/>
      <c r="L46" s="5"/>
      <c r="M46" s="5"/>
      <c r="N46" s="5"/>
      <c r="O46" s="5"/>
      <c r="Q46" s="5"/>
      <c r="R46" s="5"/>
      <c r="S46" s="42"/>
      <c r="T46" s="42"/>
      <c r="U46" s="42"/>
      <c r="V46" s="42"/>
      <c r="W46" s="42"/>
      <c r="X46" s="42"/>
      <c r="Y46" s="42"/>
      <c r="Z46" s="42"/>
      <c r="AA46" s="326"/>
    </row>
    <row r="47" spans="2:27">
      <c r="B47" s="5" t="s">
        <v>581</v>
      </c>
      <c r="C47" s="5"/>
      <c r="D47" s="248">
        <f>1/D43</f>
        <v>-1.6778984320380514E-2</v>
      </c>
      <c r="E47" s="248">
        <f>1/E43</f>
        <v>7.1459037256763197E-2</v>
      </c>
      <c r="F47" s="248">
        <f>1/F43</f>
        <v>7.9689990146328993E-2</v>
      </c>
      <c r="G47" s="248">
        <f>1/G43</f>
        <v>8.8130060133944324E-2</v>
      </c>
      <c r="H47" s="17">
        <f>H29</f>
        <v>-2.7382789301813459</v>
      </c>
      <c r="I47" s="17"/>
      <c r="J47" s="259"/>
      <c r="K47" s="259"/>
      <c r="L47" s="259"/>
      <c r="M47" s="259"/>
      <c r="N47" s="259"/>
      <c r="O47" s="18"/>
      <c r="Q47" s="5"/>
      <c r="R47" s="5"/>
      <c r="S47" s="42"/>
      <c r="T47" s="42"/>
      <c r="U47" s="42"/>
      <c r="V47" s="42"/>
      <c r="W47" s="42"/>
      <c r="X47" s="42"/>
      <c r="Y47" s="42"/>
      <c r="Z47" s="42"/>
      <c r="AA47" s="326"/>
    </row>
    <row r="48" spans="2:27">
      <c r="B48" s="5" t="s">
        <v>618</v>
      </c>
      <c r="C48" s="5"/>
      <c r="D48" s="305">
        <f>D31/D29</f>
        <v>-2.3766387661547421</v>
      </c>
      <c r="E48" s="305">
        <f>E31/E29</f>
        <v>0.55287758597832637</v>
      </c>
      <c r="F48" s="305">
        <f>F31/F29</f>
        <v>0.58515730710686586</v>
      </c>
      <c r="G48" s="305">
        <f>G31/G29</f>
        <v>0.61041948006764635</v>
      </c>
      <c r="H48" s="279" t="s">
        <v>607</v>
      </c>
      <c r="I48" s="247"/>
      <c r="J48" s="17"/>
      <c r="K48" s="17"/>
      <c r="L48" s="17"/>
      <c r="M48" s="17"/>
      <c r="N48" s="17"/>
      <c r="O48" s="5"/>
      <c r="Q48" s="5"/>
      <c r="R48" s="5"/>
      <c r="S48" s="42"/>
      <c r="T48" s="42"/>
      <c r="U48" s="42"/>
      <c r="V48" s="42"/>
      <c r="W48" s="42"/>
      <c r="X48" s="42"/>
      <c r="Y48" s="42"/>
      <c r="Z48" s="42"/>
      <c r="AA48" s="326"/>
    </row>
    <row r="49" spans="2:27">
      <c r="B49" s="41"/>
      <c r="C49" s="17"/>
      <c r="D49" s="17"/>
      <c r="E49" s="17"/>
      <c r="F49" s="17"/>
      <c r="G49" s="17"/>
      <c r="H49" s="17"/>
      <c r="I49" s="254"/>
      <c r="J49" s="5"/>
      <c r="K49" s="5"/>
      <c r="L49" s="5"/>
      <c r="M49" s="5"/>
      <c r="N49" s="5"/>
      <c r="O49" s="5"/>
      <c r="Q49" s="5"/>
      <c r="R49" s="5"/>
      <c r="S49" s="42"/>
      <c r="T49" s="42"/>
      <c r="U49" s="42"/>
      <c r="V49" s="42"/>
      <c r="W49" s="42"/>
      <c r="X49" s="42"/>
      <c r="Y49" s="42"/>
      <c r="Z49" s="42"/>
      <c r="AA49" s="326"/>
    </row>
    <row r="50" spans="2:27">
      <c r="B50" s="5"/>
      <c r="C50" s="257"/>
      <c r="D50" s="257"/>
      <c r="E50" s="257"/>
      <c r="F50" s="5"/>
      <c r="G50" s="41"/>
      <c r="H50" s="249"/>
      <c r="I50" s="17"/>
      <c r="J50" s="249"/>
      <c r="K50" s="249"/>
      <c r="L50" s="249"/>
      <c r="M50" s="249"/>
      <c r="N50" s="249"/>
      <c r="O50" s="251"/>
      <c r="Q50" s="5"/>
      <c r="R50" s="5"/>
      <c r="S50" s="42"/>
      <c r="T50" s="42"/>
      <c r="U50" s="42"/>
      <c r="V50" s="42"/>
      <c r="W50" s="288"/>
      <c r="X50" s="288"/>
      <c r="Y50" s="42"/>
      <c r="Z50" s="42"/>
      <c r="AA50" s="326"/>
    </row>
    <row r="51" spans="2:27">
      <c r="B51" s="41"/>
      <c r="C51" s="249"/>
      <c r="D51" s="254"/>
      <c r="E51" s="254"/>
      <c r="F51" s="254"/>
      <c r="G51" s="254"/>
      <c r="H51" s="254"/>
      <c r="I51" s="259"/>
      <c r="J51" s="248"/>
      <c r="K51" s="248"/>
      <c r="L51" s="248"/>
      <c r="M51" s="248"/>
      <c r="N51" s="248"/>
      <c r="O51" s="248"/>
      <c r="Q51" s="5"/>
      <c r="R51" s="5"/>
      <c r="S51" s="42"/>
      <c r="T51" s="42"/>
      <c r="U51" s="42"/>
      <c r="V51" s="42"/>
      <c r="W51" s="288"/>
      <c r="X51" s="288"/>
      <c r="Y51" s="288"/>
      <c r="Z51" s="288"/>
      <c r="AA51" s="42"/>
    </row>
    <row r="52" spans="2:27">
      <c r="B52" s="5"/>
      <c r="C52" s="257"/>
      <c r="D52" s="17"/>
      <c r="E52" s="17"/>
      <c r="F52" s="17"/>
      <c r="G52" s="17"/>
      <c r="H52" s="17"/>
      <c r="I52" s="254"/>
      <c r="J52" s="247"/>
      <c r="K52" s="247"/>
      <c r="L52" s="247"/>
      <c r="M52" s="247"/>
      <c r="N52" s="247"/>
      <c r="O52" s="248"/>
      <c r="Q52" s="5"/>
      <c r="R52" s="5"/>
      <c r="S52" s="5"/>
      <c r="Y52" s="10"/>
      <c r="Z52" s="10"/>
    </row>
    <row r="53" spans="2:27">
      <c r="B53" s="5"/>
      <c r="C53" s="257"/>
      <c r="D53" s="257"/>
      <c r="E53" s="257"/>
      <c r="F53" s="5"/>
      <c r="G53" s="5"/>
      <c r="H53" s="259"/>
      <c r="I53" s="17"/>
      <c r="J53" s="249"/>
      <c r="K53" s="249"/>
      <c r="L53" s="249"/>
      <c r="M53" s="249"/>
      <c r="N53" s="249"/>
      <c r="O53" s="251"/>
      <c r="Q53" s="5"/>
      <c r="R53" s="5"/>
      <c r="S53" s="5"/>
    </row>
    <row r="54" spans="2:27">
      <c r="B54" s="41"/>
      <c r="C54" s="249"/>
      <c r="D54" s="254"/>
      <c r="E54" s="254"/>
      <c r="F54" s="254"/>
      <c r="G54" s="254"/>
      <c r="H54" s="254"/>
      <c r="I54" s="259"/>
      <c r="J54" s="248"/>
      <c r="K54" s="248"/>
      <c r="L54" s="248"/>
      <c r="M54" s="248"/>
      <c r="N54" s="248"/>
      <c r="O54" s="248"/>
      <c r="Q54" s="5"/>
      <c r="R54" s="5"/>
      <c r="S54" s="5"/>
    </row>
    <row r="55" spans="2:27">
      <c r="B55" s="5"/>
      <c r="C55" s="257"/>
      <c r="D55" s="17"/>
      <c r="E55" s="17"/>
      <c r="F55" s="17"/>
      <c r="G55" s="17"/>
      <c r="H55" s="17"/>
      <c r="I55" s="249"/>
      <c r="J55" s="247"/>
      <c r="K55" s="247"/>
      <c r="L55" s="247"/>
      <c r="M55" s="247"/>
      <c r="N55" s="247"/>
      <c r="O55" s="248"/>
      <c r="Q55" s="5"/>
      <c r="R55" s="5"/>
      <c r="S55" s="5"/>
    </row>
    <row r="56" spans="2:27">
      <c r="B56" s="5"/>
      <c r="C56" s="248"/>
      <c r="D56" s="248"/>
      <c r="E56" s="248"/>
      <c r="F56" s="5"/>
      <c r="G56" s="5"/>
      <c r="H56" s="259"/>
      <c r="I56" s="248"/>
      <c r="J56" s="17"/>
      <c r="K56" s="17"/>
      <c r="L56" s="17"/>
      <c r="M56" s="17"/>
      <c r="N56" s="17"/>
      <c r="O56" s="248"/>
      <c r="Q56" s="5"/>
      <c r="R56" s="5"/>
      <c r="S56" s="5"/>
    </row>
    <row r="57" spans="2:27">
      <c r="B57" s="41"/>
      <c r="C57" s="249"/>
      <c r="D57" s="249"/>
      <c r="E57" s="249"/>
      <c r="F57" s="249"/>
      <c r="G57" s="249"/>
      <c r="H57" s="249"/>
      <c r="I57" s="5"/>
      <c r="J57" s="249"/>
      <c r="K57" s="249"/>
      <c r="L57" s="249"/>
      <c r="M57" s="249"/>
      <c r="N57" s="249"/>
      <c r="O57" s="250"/>
      <c r="Q57" s="5"/>
      <c r="R57" s="5"/>
      <c r="S57" s="5"/>
    </row>
    <row r="58" spans="2:27">
      <c r="B58" s="5"/>
      <c r="C58" s="5"/>
      <c r="D58" s="248"/>
      <c r="E58" s="248"/>
      <c r="F58" s="248"/>
      <c r="G58" s="248"/>
      <c r="H58" s="248"/>
      <c r="I58" s="17"/>
      <c r="J58" s="254"/>
      <c r="K58" s="254"/>
      <c r="L58" s="254"/>
      <c r="M58" s="254"/>
      <c r="N58" s="254"/>
      <c r="O58" s="251"/>
      <c r="Q58" s="5"/>
      <c r="R58" s="5"/>
      <c r="S58" s="5"/>
    </row>
    <row r="59" spans="2:27">
      <c r="B59" s="5"/>
      <c r="C59" s="5"/>
      <c r="D59" s="5"/>
      <c r="E59" s="5"/>
      <c r="F59" s="5"/>
      <c r="G59" s="5"/>
      <c r="H59" s="5"/>
      <c r="I59" s="5"/>
      <c r="J59" s="17"/>
      <c r="K59" s="17"/>
      <c r="L59" s="17"/>
      <c r="M59" s="17"/>
      <c r="N59" s="17"/>
      <c r="O59" s="248"/>
      <c r="Q59" s="5"/>
      <c r="R59" s="5"/>
      <c r="S59" s="5"/>
    </row>
    <row r="60" spans="2:27">
      <c r="B60" s="41"/>
      <c r="C60" s="17"/>
      <c r="D60" s="17"/>
      <c r="E60" s="17"/>
      <c r="F60" s="17"/>
      <c r="G60" s="17"/>
      <c r="H60" s="17"/>
      <c r="I60" s="249"/>
      <c r="J60" s="17"/>
      <c r="K60" s="17"/>
      <c r="L60" s="17"/>
      <c r="M60" s="17"/>
      <c r="N60" s="17"/>
      <c r="O60" s="251"/>
      <c r="Q60" s="5"/>
      <c r="R60" s="5"/>
      <c r="S60" s="5"/>
    </row>
    <row r="61" spans="2:27">
      <c r="B61" s="5"/>
      <c r="C61" s="5"/>
      <c r="D61" s="5"/>
      <c r="E61" s="5"/>
      <c r="F61" s="5"/>
      <c r="G61" s="5"/>
      <c r="H61" s="5"/>
      <c r="I61" s="5"/>
      <c r="J61" s="5"/>
      <c r="K61" s="5"/>
      <c r="L61" s="5"/>
      <c r="M61" s="5"/>
      <c r="N61" s="5"/>
      <c r="O61" s="5"/>
      <c r="Q61" s="41"/>
      <c r="R61" s="5"/>
      <c r="S61" s="5"/>
    </row>
    <row r="62" spans="2:27">
      <c r="B62" s="41"/>
      <c r="C62" s="249"/>
      <c r="D62" s="249"/>
      <c r="E62" s="249"/>
      <c r="F62" s="249"/>
      <c r="G62" s="249"/>
      <c r="H62" s="249"/>
      <c r="I62" s="5"/>
      <c r="J62" s="249"/>
      <c r="K62" s="249"/>
      <c r="L62" s="249"/>
      <c r="M62" s="249"/>
      <c r="N62" s="249"/>
      <c r="O62" s="251"/>
      <c r="Q62" s="5"/>
      <c r="R62" s="5"/>
      <c r="S62" s="5"/>
    </row>
    <row r="63" spans="2:27">
      <c r="B63" s="5"/>
      <c r="C63" s="5"/>
      <c r="D63" s="5"/>
      <c r="E63" s="5"/>
      <c r="F63" s="5"/>
      <c r="G63" s="5"/>
      <c r="H63" s="5"/>
      <c r="I63" s="254"/>
      <c r="J63" s="5"/>
      <c r="K63" s="5"/>
      <c r="L63" s="5"/>
      <c r="M63" s="5"/>
      <c r="N63" s="5"/>
      <c r="O63" s="5"/>
      <c r="Q63" s="5"/>
      <c r="R63" s="5"/>
      <c r="S63" s="5"/>
    </row>
    <row r="64" spans="2:27">
      <c r="B64" s="5"/>
      <c r="C64" s="5"/>
      <c r="D64" s="5"/>
      <c r="E64" s="5"/>
      <c r="F64" s="5"/>
      <c r="G64" s="5"/>
      <c r="H64" s="5"/>
      <c r="I64" s="17"/>
      <c r="J64" s="5"/>
      <c r="K64" s="5"/>
      <c r="L64" s="5"/>
      <c r="M64" s="5"/>
      <c r="N64" s="5"/>
      <c r="O64" s="5"/>
      <c r="Q64" s="5"/>
      <c r="R64" s="5"/>
      <c r="S64" s="5"/>
    </row>
    <row r="65" spans="2:26">
      <c r="B65" s="41"/>
      <c r="C65" s="249"/>
      <c r="D65" s="254"/>
      <c r="E65" s="254"/>
      <c r="F65" s="254"/>
      <c r="G65" s="254"/>
      <c r="H65" s="254"/>
      <c r="I65" s="254"/>
      <c r="J65" s="254"/>
      <c r="K65" s="254"/>
      <c r="L65" s="254"/>
      <c r="M65" s="254"/>
      <c r="N65" s="254"/>
      <c r="O65" s="251"/>
      <c r="Q65" s="5"/>
      <c r="R65" s="5"/>
      <c r="S65" s="5"/>
    </row>
    <row r="66" spans="2:26">
      <c r="B66" s="5"/>
      <c r="C66" s="5"/>
      <c r="D66" s="17"/>
      <c r="E66" s="17"/>
      <c r="F66" s="17"/>
      <c r="G66" s="17"/>
      <c r="H66" s="17"/>
      <c r="I66" s="248"/>
      <c r="J66" s="17"/>
      <c r="K66" s="17"/>
      <c r="L66" s="17"/>
      <c r="M66" s="17"/>
      <c r="N66" s="17"/>
      <c r="O66" s="5"/>
      <c r="Q66" s="5"/>
      <c r="R66" s="5"/>
      <c r="S66" s="5"/>
    </row>
    <row r="67" spans="2:26">
      <c r="B67" s="41"/>
      <c r="C67" s="249"/>
      <c r="D67" s="254"/>
      <c r="E67" s="254"/>
      <c r="F67" s="254"/>
      <c r="G67" s="254"/>
      <c r="H67" s="254"/>
      <c r="I67" s="5"/>
      <c r="J67" s="254"/>
      <c r="K67" s="254"/>
      <c r="L67" s="254"/>
      <c r="M67" s="254"/>
      <c r="N67" s="254"/>
      <c r="O67" s="251"/>
      <c r="Q67" s="41"/>
      <c r="R67" s="5"/>
      <c r="S67" s="5"/>
    </row>
    <row r="68" spans="2:26">
      <c r="B68" s="5"/>
      <c r="C68" s="5"/>
      <c r="D68" s="248"/>
      <c r="E68" s="248"/>
      <c r="F68" s="248"/>
      <c r="G68" s="248"/>
      <c r="H68" s="248"/>
      <c r="I68" s="245"/>
      <c r="J68" s="248"/>
      <c r="K68" s="248"/>
      <c r="L68" s="248"/>
      <c r="M68" s="248"/>
      <c r="N68" s="248"/>
      <c r="O68" s="5"/>
      <c r="Q68" s="5"/>
      <c r="R68" s="5"/>
      <c r="S68" s="5"/>
    </row>
    <row r="69" spans="2:26">
      <c r="B69" s="41"/>
      <c r="C69" s="5"/>
      <c r="D69" s="5"/>
      <c r="E69" s="5"/>
      <c r="F69" s="5"/>
      <c r="G69" s="5"/>
      <c r="H69" s="5"/>
      <c r="I69" s="248"/>
      <c r="J69" s="5"/>
      <c r="K69" s="5"/>
      <c r="L69" s="5"/>
      <c r="M69" s="5"/>
      <c r="N69" s="5"/>
      <c r="O69" s="5"/>
      <c r="Q69" s="5"/>
      <c r="R69" s="5"/>
      <c r="S69" s="5"/>
    </row>
    <row r="70" spans="2:26">
      <c r="B70" s="41"/>
      <c r="C70" s="245"/>
      <c r="D70" s="245"/>
      <c r="E70" s="245"/>
      <c r="F70" s="245"/>
      <c r="G70" s="245"/>
      <c r="H70" s="245"/>
      <c r="I70" s="5"/>
      <c r="J70" s="245"/>
      <c r="K70" s="245"/>
      <c r="L70" s="245"/>
      <c r="M70" s="245"/>
      <c r="N70" s="245"/>
      <c r="O70" s="251"/>
      <c r="Q70" s="5"/>
      <c r="R70" s="5"/>
      <c r="S70" s="5"/>
      <c r="W70" s="76"/>
      <c r="X70" s="76"/>
    </row>
    <row r="71" spans="2:26">
      <c r="B71" s="5"/>
      <c r="C71" s="5"/>
      <c r="D71" s="248"/>
      <c r="E71" s="248"/>
      <c r="F71" s="248"/>
      <c r="G71" s="248"/>
      <c r="H71" s="248"/>
      <c r="I71" s="245"/>
      <c r="J71" s="248"/>
      <c r="K71" s="248"/>
      <c r="L71" s="248"/>
      <c r="M71" s="248"/>
      <c r="N71" s="248"/>
      <c r="O71" s="5"/>
      <c r="Q71" s="5"/>
      <c r="R71" s="5"/>
      <c r="S71" s="5"/>
      <c r="W71" s="76"/>
      <c r="X71" s="76"/>
      <c r="Y71" s="76"/>
      <c r="Z71" s="76"/>
    </row>
    <row r="72" spans="2:26">
      <c r="B72" s="41"/>
      <c r="C72" s="5"/>
      <c r="D72" s="5"/>
      <c r="E72" s="5"/>
      <c r="F72" s="5"/>
      <c r="G72" s="5"/>
      <c r="H72" s="5"/>
      <c r="I72" s="18"/>
      <c r="J72" s="5"/>
      <c r="K72" s="5"/>
      <c r="L72" s="5"/>
      <c r="M72" s="5"/>
      <c r="N72" s="5"/>
      <c r="O72" s="5"/>
      <c r="Q72" s="5"/>
      <c r="R72" s="5"/>
      <c r="S72" s="5"/>
      <c r="Y72" s="76"/>
      <c r="Z72" s="76"/>
    </row>
    <row r="73" spans="2:26">
      <c r="B73" s="41"/>
      <c r="C73" s="245"/>
      <c r="D73" s="245"/>
      <c r="E73" s="245"/>
      <c r="F73" s="245"/>
      <c r="G73" s="245"/>
      <c r="H73" s="245"/>
      <c r="I73" s="5"/>
      <c r="J73" s="245"/>
      <c r="K73" s="245"/>
      <c r="L73" s="245"/>
      <c r="M73" s="245"/>
      <c r="N73" s="245"/>
      <c r="O73" s="251"/>
      <c r="Q73" s="5"/>
      <c r="R73" s="5"/>
      <c r="S73" s="5"/>
    </row>
    <row r="74" spans="2:26">
      <c r="B74" s="5"/>
      <c r="C74" s="5"/>
      <c r="D74" s="18"/>
      <c r="E74" s="18"/>
      <c r="F74" s="18"/>
      <c r="G74" s="18"/>
      <c r="H74" s="18"/>
      <c r="I74" s="249"/>
      <c r="J74" s="18"/>
      <c r="K74" s="18"/>
      <c r="L74" s="18"/>
      <c r="M74" s="18"/>
      <c r="N74" s="18"/>
      <c r="O74" s="5"/>
      <c r="Q74" s="5"/>
      <c r="R74" s="5"/>
      <c r="S74" s="5"/>
    </row>
    <row r="75" spans="2:26">
      <c r="B75" s="41"/>
      <c r="C75" s="5"/>
      <c r="D75" s="5"/>
      <c r="E75" s="5"/>
      <c r="F75" s="5"/>
      <c r="G75" s="5"/>
      <c r="H75" s="5"/>
      <c r="I75" s="248"/>
      <c r="J75" s="5"/>
      <c r="K75" s="5"/>
      <c r="L75" s="5"/>
      <c r="M75" s="5"/>
      <c r="N75" s="5"/>
      <c r="O75" s="5"/>
      <c r="Q75" s="5"/>
      <c r="R75" s="5"/>
      <c r="S75" s="5"/>
    </row>
    <row r="76" spans="2:26">
      <c r="B76" s="41"/>
      <c r="C76" s="249"/>
      <c r="D76" s="249"/>
      <c r="E76" s="249"/>
      <c r="F76" s="249"/>
      <c r="G76" s="249"/>
      <c r="H76" s="249"/>
      <c r="I76" s="5"/>
      <c r="J76" s="249"/>
      <c r="K76" s="249"/>
      <c r="L76" s="249"/>
      <c r="M76" s="249"/>
      <c r="N76" s="249"/>
      <c r="O76" s="251"/>
      <c r="Q76" s="5"/>
      <c r="R76" s="5"/>
      <c r="S76" s="5"/>
    </row>
    <row r="77" spans="2:26">
      <c r="B77" s="5"/>
      <c r="C77" s="5"/>
      <c r="D77" s="248"/>
      <c r="E77" s="248"/>
      <c r="F77" s="248"/>
      <c r="G77" s="248"/>
      <c r="H77" s="248"/>
      <c r="I77" s="245"/>
      <c r="J77" s="248"/>
      <c r="K77" s="248"/>
      <c r="L77" s="248"/>
      <c r="M77" s="248"/>
      <c r="N77" s="248"/>
      <c r="O77" s="5"/>
      <c r="Q77" s="5"/>
      <c r="R77" s="5"/>
      <c r="S77" s="5"/>
    </row>
    <row r="78" spans="2:26">
      <c r="B78" s="41"/>
      <c r="C78" s="5"/>
      <c r="D78" s="5"/>
      <c r="E78" s="5"/>
      <c r="F78" s="5"/>
      <c r="G78" s="5"/>
      <c r="H78" s="5"/>
      <c r="I78" s="248"/>
      <c r="J78" s="5"/>
      <c r="K78" s="5"/>
      <c r="L78" s="5"/>
      <c r="M78" s="5"/>
      <c r="N78" s="5"/>
      <c r="O78" s="5"/>
      <c r="Q78" s="5"/>
      <c r="R78" s="5"/>
      <c r="S78" s="5"/>
    </row>
    <row r="79" spans="2:26">
      <c r="B79" s="41"/>
      <c r="C79" s="245"/>
      <c r="D79" s="245"/>
      <c r="E79" s="245"/>
      <c r="F79" s="245"/>
      <c r="G79" s="245"/>
      <c r="H79" s="245"/>
      <c r="I79" s="5"/>
      <c r="J79" s="245"/>
      <c r="K79" s="245"/>
      <c r="L79" s="245"/>
      <c r="M79" s="245"/>
      <c r="N79" s="245"/>
      <c r="O79" s="251"/>
      <c r="Q79" s="5"/>
      <c r="R79" s="5"/>
      <c r="S79" s="5"/>
    </row>
    <row r="80" spans="2:26">
      <c r="B80" s="5"/>
      <c r="C80" s="5"/>
      <c r="D80" s="248"/>
      <c r="E80" s="248"/>
      <c r="F80" s="248"/>
      <c r="G80" s="248"/>
      <c r="H80" s="248"/>
      <c r="I80" s="249"/>
      <c r="J80" s="248"/>
      <c r="K80" s="248"/>
      <c r="L80" s="248"/>
      <c r="M80" s="248"/>
      <c r="N80" s="248"/>
      <c r="O80" s="5"/>
      <c r="Q80" s="5"/>
      <c r="R80" s="5"/>
      <c r="S80" s="5"/>
    </row>
    <row r="81" spans="2:26">
      <c r="B81" s="41"/>
      <c r="C81" s="5"/>
      <c r="D81" s="5"/>
      <c r="E81" s="5"/>
      <c r="F81" s="5"/>
      <c r="G81" s="5"/>
      <c r="H81" s="5"/>
      <c r="I81" s="248"/>
      <c r="J81" s="5"/>
      <c r="K81" s="5"/>
      <c r="L81" s="5"/>
      <c r="M81" s="5"/>
      <c r="N81" s="5"/>
      <c r="O81" s="5"/>
      <c r="Q81" s="5"/>
      <c r="R81" s="5"/>
      <c r="S81" s="5"/>
    </row>
    <row r="82" spans="2:26">
      <c r="B82" s="41"/>
      <c r="C82" s="249"/>
      <c r="D82" s="249"/>
      <c r="E82" s="249"/>
      <c r="F82" s="249"/>
      <c r="G82" s="249"/>
      <c r="H82" s="249"/>
      <c r="I82" s="259"/>
      <c r="J82" s="249"/>
      <c r="K82" s="249"/>
      <c r="L82" s="249"/>
      <c r="M82" s="249"/>
      <c r="N82" s="249"/>
      <c r="O82" s="251"/>
      <c r="Q82" s="5"/>
      <c r="R82" s="5"/>
      <c r="S82" s="5"/>
    </row>
    <row r="83" spans="2:26">
      <c r="B83" s="5"/>
      <c r="C83" s="5"/>
      <c r="D83" s="248"/>
      <c r="E83" s="248"/>
      <c r="F83" s="248"/>
      <c r="G83" s="248"/>
      <c r="H83" s="248"/>
      <c r="I83" s="5"/>
      <c r="J83" s="248"/>
      <c r="K83" s="248"/>
      <c r="L83" s="248"/>
      <c r="M83" s="248"/>
      <c r="N83" s="248"/>
      <c r="O83" s="5"/>
      <c r="Q83" s="5"/>
      <c r="R83" s="5"/>
      <c r="S83" s="5"/>
    </row>
    <row r="84" spans="2:26">
      <c r="B84" s="5"/>
      <c r="C84" s="259"/>
      <c r="D84" s="259"/>
      <c r="E84" s="259"/>
      <c r="F84" s="259"/>
      <c r="G84" s="259"/>
      <c r="H84" s="259"/>
      <c r="I84" s="245"/>
      <c r="J84" s="259"/>
      <c r="K84" s="259"/>
      <c r="L84" s="259"/>
      <c r="M84" s="259"/>
      <c r="N84" s="259"/>
      <c r="O84" s="251"/>
      <c r="Q84" s="5"/>
      <c r="R84" s="5"/>
      <c r="S84" s="5"/>
    </row>
    <row r="85" spans="2:26">
      <c r="B85" s="41"/>
      <c r="C85" s="5"/>
      <c r="D85" s="5"/>
      <c r="E85" s="5"/>
      <c r="F85" s="5"/>
      <c r="G85" s="5"/>
      <c r="H85" s="5"/>
      <c r="I85" s="248"/>
      <c r="J85" s="5"/>
      <c r="K85" s="5"/>
      <c r="L85" s="5"/>
      <c r="M85" s="5"/>
      <c r="N85" s="5"/>
      <c r="O85" s="5"/>
      <c r="Q85" s="5"/>
      <c r="R85" s="5"/>
      <c r="S85" s="5"/>
    </row>
    <row r="86" spans="2:26">
      <c r="B86" s="41"/>
      <c r="C86" s="245"/>
      <c r="D86" s="245"/>
      <c r="E86" s="245"/>
      <c r="F86" s="245"/>
      <c r="G86" s="245"/>
      <c r="H86" s="245"/>
      <c r="I86" s="5"/>
      <c r="J86" s="245"/>
      <c r="K86" s="245"/>
      <c r="L86" s="245"/>
      <c r="M86" s="245"/>
      <c r="N86" s="245"/>
      <c r="O86" s="251"/>
      <c r="Q86" s="5"/>
      <c r="R86" s="5"/>
      <c r="S86" s="5"/>
    </row>
    <row r="87" spans="2:26">
      <c r="B87" s="5"/>
      <c r="C87" s="5"/>
      <c r="D87" s="248"/>
      <c r="E87" s="248"/>
      <c r="F87" s="248"/>
      <c r="G87" s="248"/>
      <c r="H87" s="248"/>
      <c r="I87" s="5"/>
      <c r="J87" s="248"/>
      <c r="K87" s="248"/>
      <c r="L87" s="248"/>
      <c r="M87" s="248"/>
      <c r="N87" s="248"/>
      <c r="O87" s="5"/>
      <c r="Q87" s="5"/>
      <c r="R87" s="5"/>
      <c r="S87" s="5"/>
    </row>
    <row r="88" spans="2:26">
      <c r="B88" s="41"/>
      <c r="C88" s="5"/>
      <c r="D88" s="5"/>
      <c r="E88" s="5"/>
      <c r="F88" s="5"/>
      <c r="G88" s="5"/>
      <c r="H88" s="5"/>
      <c r="I88" s="5"/>
      <c r="J88" s="5"/>
      <c r="K88" s="5"/>
      <c r="L88" s="5"/>
      <c r="M88" s="5"/>
      <c r="N88" s="5"/>
      <c r="O88" s="5"/>
      <c r="Q88" s="5"/>
      <c r="R88" s="5"/>
      <c r="S88" s="5"/>
    </row>
    <row r="89" spans="2:26">
      <c r="B89" s="41"/>
      <c r="C89" s="5"/>
      <c r="D89" s="5"/>
      <c r="E89" s="5"/>
      <c r="F89" s="5"/>
      <c r="G89" s="5"/>
      <c r="H89" s="5"/>
      <c r="I89" s="5"/>
      <c r="J89" s="5"/>
      <c r="K89" s="5"/>
      <c r="L89" s="5"/>
      <c r="M89" s="5"/>
      <c r="N89" s="5"/>
      <c r="O89" s="5"/>
      <c r="Q89" s="5"/>
      <c r="R89" s="5"/>
      <c r="S89" s="5"/>
    </row>
    <row r="90" spans="2:26">
      <c r="B90" s="41"/>
      <c r="C90" s="5"/>
      <c r="D90" s="5"/>
      <c r="E90" s="5"/>
      <c r="F90" s="5"/>
      <c r="G90" s="5"/>
      <c r="H90" s="5"/>
      <c r="I90" s="49"/>
      <c r="J90" s="5"/>
      <c r="K90" s="5"/>
      <c r="L90" s="5"/>
      <c r="M90" s="5"/>
      <c r="N90" s="5"/>
      <c r="O90" s="5"/>
      <c r="Q90" s="41"/>
      <c r="R90" s="5"/>
      <c r="S90" s="5"/>
    </row>
    <row r="91" spans="2:26">
      <c r="B91" s="5"/>
      <c r="C91" s="5"/>
      <c r="D91" s="5"/>
      <c r="E91" s="5"/>
      <c r="F91" s="5"/>
      <c r="G91" s="5"/>
      <c r="H91" s="5"/>
      <c r="I91" s="5"/>
      <c r="J91" s="5"/>
      <c r="K91" s="5"/>
      <c r="L91" s="5"/>
      <c r="M91" s="5"/>
      <c r="N91" s="5"/>
      <c r="O91" s="5"/>
      <c r="Q91" s="5"/>
      <c r="R91" s="5"/>
      <c r="S91" s="5"/>
    </row>
    <row r="92" spans="2:26">
      <c r="B92" s="41"/>
      <c r="C92" s="49"/>
      <c r="D92" s="49"/>
      <c r="E92" s="49"/>
      <c r="F92" s="49"/>
      <c r="G92" s="49"/>
      <c r="H92" s="49"/>
      <c r="I92" s="247"/>
      <c r="J92" s="49"/>
      <c r="K92" s="49"/>
      <c r="L92" s="49"/>
      <c r="M92" s="49"/>
      <c r="N92" s="49"/>
      <c r="O92" s="49"/>
      <c r="Q92" s="5"/>
      <c r="R92" s="5"/>
      <c r="S92" s="5"/>
      <c r="W92" s="21"/>
      <c r="X92" s="21"/>
    </row>
    <row r="93" spans="2:26">
      <c r="B93" s="5"/>
      <c r="C93" s="5"/>
      <c r="D93" s="5"/>
      <c r="E93" s="5"/>
      <c r="F93" s="5"/>
      <c r="G93" s="5"/>
      <c r="H93" s="5"/>
      <c r="I93" s="247"/>
      <c r="J93" s="5"/>
      <c r="K93" s="5"/>
      <c r="L93" s="5"/>
      <c r="M93" s="5"/>
      <c r="N93" s="5"/>
      <c r="O93" s="5"/>
      <c r="Q93" s="5"/>
      <c r="R93" s="5"/>
      <c r="S93" s="5"/>
      <c r="W93" s="21"/>
      <c r="X93" s="21"/>
      <c r="Y93" s="21"/>
      <c r="Z93" s="21"/>
    </row>
    <row r="94" spans="2:26">
      <c r="B94" s="5"/>
      <c r="C94" s="259"/>
      <c r="D94" s="247"/>
      <c r="E94" s="247"/>
      <c r="F94" s="247"/>
      <c r="G94" s="247"/>
      <c r="H94" s="247"/>
      <c r="I94" s="247"/>
      <c r="J94" s="247"/>
      <c r="K94" s="247"/>
      <c r="L94" s="247"/>
      <c r="M94" s="247"/>
      <c r="N94" s="247"/>
      <c r="O94" s="248"/>
      <c r="Q94" s="5"/>
      <c r="R94" s="5"/>
      <c r="S94" s="5"/>
      <c r="Y94" s="21"/>
      <c r="Z94" s="21"/>
    </row>
    <row r="95" spans="2:26">
      <c r="B95" s="5"/>
      <c r="C95" s="259"/>
      <c r="D95" s="247"/>
      <c r="E95" s="247"/>
      <c r="F95" s="247"/>
      <c r="G95" s="247"/>
      <c r="H95" s="247"/>
      <c r="I95" s="248"/>
      <c r="J95" s="247"/>
      <c r="K95" s="247"/>
      <c r="L95" s="247"/>
      <c r="M95" s="247"/>
      <c r="N95" s="247"/>
      <c r="O95" s="248"/>
      <c r="Q95" s="5"/>
      <c r="R95" s="5"/>
      <c r="S95" s="5"/>
    </row>
    <row r="96" spans="2:26">
      <c r="B96" s="5"/>
      <c r="C96" s="259"/>
      <c r="D96" s="247"/>
      <c r="E96" s="247"/>
      <c r="F96" s="247"/>
      <c r="G96" s="247"/>
      <c r="H96" s="247"/>
      <c r="I96" s="247"/>
      <c r="J96" s="247"/>
      <c r="K96" s="247"/>
      <c r="L96" s="247"/>
      <c r="M96" s="247"/>
      <c r="N96" s="247"/>
      <c r="O96" s="248"/>
      <c r="Q96" s="5"/>
      <c r="R96" s="5"/>
      <c r="S96" s="5"/>
    </row>
    <row r="97" spans="2:19">
      <c r="B97" s="5"/>
      <c r="C97" s="259"/>
      <c r="D97" s="248"/>
      <c r="E97" s="248"/>
      <c r="F97" s="248"/>
      <c r="G97" s="248"/>
      <c r="H97" s="248"/>
      <c r="I97" s="249"/>
      <c r="J97" s="248"/>
      <c r="K97" s="248"/>
      <c r="L97" s="248"/>
      <c r="M97" s="248"/>
      <c r="N97" s="248"/>
      <c r="O97" s="248"/>
      <c r="Q97" s="5"/>
      <c r="R97" s="5"/>
      <c r="S97" s="5"/>
    </row>
    <row r="98" spans="2:19">
      <c r="B98" s="5"/>
      <c r="C98" s="259"/>
      <c r="D98" s="247"/>
      <c r="E98" s="247"/>
      <c r="F98" s="247"/>
      <c r="G98" s="247"/>
      <c r="H98" s="247"/>
      <c r="I98" s="248"/>
      <c r="J98" s="247"/>
      <c r="K98" s="247"/>
      <c r="L98" s="247"/>
      <c r="M98" s="247"/>
      <c r="N98" s="247"/>
      <c r="O98" s="248"/>
      <c r="Q98" s="5"/>
      <c r="R98" s="5"/>
      <c r="S98" s="5"/>
    </row>
    <row r="99" spans="2:19">
      <c r="B99" s="41"/>
      <c r="C99" s="249"/>
      <c r="D99" s="249"/>
      <c r="E99" s="249"/>
      <c r="F99" s="249"/>
      <c r="G99" s="249"/>
      <c r="H99" s="249"/>
      <c r="I99" s="5"/>
      <c r="J99" s="249"/>
      <c r="K99" s="249"/>
      <c r="L99" s="249"/>
      <c r="M99" s="249"/>
      <c r="N99" s="249"/>
      <c r="O99" s="248"/>
      <c r="Q99" s="5"/>
      <c r="R99" s="5"/>
      <c r="S99" s="5"/>
    </row>
    <row r="100" spans="2:19">
      <c r="B100" s="41"/>
      <c r="C100" s="257"/>
      <c r="D100" s="248"/>
      <c r="E100" s="248"/>
      <c r="F100" s="248"/>
      <c r="G100" s="248"/>
      <c r="H100" s="248"/>
      <c r="I100" s="259"/>
      <c r="J100" s="248"/>
      <c r="K100" s="248"/>
      <c r="L100" s="248"/>
      <c r="M100" s="248"/>
      <c r="N100" s="248"/>
      <c r="O100" s="248"/>
      <c r="Q100" s="5"/>
      <c r="R100" s="5"/>
      <c r="S100" s="5"/>
    </row>
    <row r="101" spans="2:19" s="5" customFormat="1">
      <c r="B101" s="41"/>
      <c r="I101" s="259"/>
      <c r="O101" s="248"/>
      <c r="P101" s="39"/>
    </row>
    <row r="102" spans="2:19">
      <c r="B102" s="5"/>
      <c r="C102" s="259"/>
      <c r="D102" s="259"/>
      <c r="E102" s="259"/>
      <c r="F102" s="259"/>
      <c r="G102" s="259"/>
      <c r="H102" s="259"/>
      <c r="I102" s="247"/>
      <c r="J102" s="259"/>
      <c r="K102" s="259"/>
      <c r="L102" s="259"/>
      <c r="M102" s="259"/>
      <c r="N102" s="259"/>
      <c r="O102" s="5"/>
      <c r="Q102" s="5"/>
      <c r="R102" s="5"/>
      <c r="S102" s="5"/>
    </row>
    <row r="103" spans="2:19">
      <c r="B103" s="5"/>
      <c r="C103" s="259"/>
      <c r="D103" s="259"/>
      <c r="E103" s="259"/>
      <c r="F103" s="259"/>
      <c r="G103" s="259"/>
      <c r="H103" s="259"/>
      <c r="I103" s="5"/>
      <c r="J103" s="259"/>
      <c r="K103" s="259"/>
      <c r="L103" s="259"/>
      <c r="M103" s="259"/>
      <c r="N103" s="259"/>
      <c r="O103" s="5"/>
      <c r="P103" s="5"/>
      <c r="Q103" s="5"/>
      <c r="R103" s="5"/>
      <c r="S103" s="5"/>
    </row>
    <row r="104" spans="2:19">
      <c r="B104" s="5"/>
      <c r="C104" s="247"/>
      <c r="D104" s="247"/>
      <c r="E104" s="247"/>
      <c r="F104" s="247"/>
      <c r="G104" s="247"/>
      <c r="H104" s="247"/>
      <c r="I104" s="247"/>
      <c r="J104" s="247"/>
      <c r="K104" s="247"/>
      <c r="L104" s="247"/>
      <c r="M104" s="247"/>
      <c r="N104" s="247"/>
      <c r="O104" s="5"/>
      <c r="Q104" s="5"/>
      <c r="R104" s="5"/>
      <c r="S104" s="5"/>
    </row>
    <row r="105" spans="2:19" s="5" customFormat="1">
      <c r="P105" s="39"/>
    </row>
    <row r="106" spans="2:19" s="5" customFormat="1">
      <c r="C106" s="259"/>
      <c r="D106" s="247"/>
      <c r="E106" s="247"/>
      <c r="F106" s="247"/>
      <c r="G106" s="247"/>
      <c r="H106" s="247"/>
      <c r="I106" s="259"/>
      <c r="J106" s="247"/>
      <c r="K106" s="247"/>
      <c r="L106" s="247"/>
      <c r="M106" s="247"/>
      <c r="N106" s="247"/>
      <c r="P106" s="39"/>
    </row>
    <row r="107" spans="2:19">
      <c r="B107" s="5"/>
      <c r="C107" s="259"/>
      <c r="D107" s="5"/>
      <c r="E107" s="5"/>
      <c r="F107" s="5"/>
      <c r="G107" s="5"/>
      <c r="H107" s="5"/>
      <c r="I107" s="247"/>
      <c r="J107" s="5"/>
      <c r="K107" s="5"/>
      <c r="L107" s="5"/>
      <c r="M107" s="5"/>
      <c r="N107" s="5"/>
      <c r="O107" s="5"/>
      <c r="P107" s="5"/>
      <c r="Q107" s="5"/>
      <c r="R107" s="5"/>
      <c r="S107" s="5"/>
    </row>
    <row r="108" spans="2:19">
      <c r="B108" s="5"/>
      <c r="C108" s="259"/>
      <c r="D108" s="259"/>
      <c r="E108" s="259"/>
      <c r="F108" s="259"/>
      <c r="G108" s="259"/>
      <c r="H108" s="259"/>
      <c r="I108" s="249"/>
      <c r="J108" s="259"/>
      <c r="K108" s="259"/>
      <c r="L108" s="259"/>
      <c r="M108" s="259"/>
      <c r="N108" s="259"/>
      <c r="O108" s="5"/>
      <c r="P108" s="5"/>
      <c r="Q108" s="5"/>
      <c r="R108" s="5"/>
      <c r="S108" s="5"/>
    </row>
    <row r="109" spans="2:19">
      <c r="B109" s="5"/>
      <c r="C109" s="247"/>
      <c r="D109" s="247"/>
      <c r="E109" s="247"/>
      <c r="F109" s="247"/>
      <c r="G109" s="247"/>
      <c r="H109" s="247"/>
      <c r="I109" s="249"/>
      <c r="J109" s="247"/>
      <c r="K109" s="247"/>
      <c r="L109" s="247"/>
      <c r="M109" s="247"/>
      <c r="N109" s="247"/>
      <c r="O109" s="5"/>
      <c r="Q109" s="5"/>
      <c r="R109" s="5"/>
      <c r="S109" s="5"/>
    </row>
    <row r="110" spans="2:19">
      <c r="B110" s="41"/>
      <c r="C110" s="249"/>
      <c r="D110" s="249"/>
      <c r="E110" s="249"/>
      <c r="F110" s="249"/>
      <c r="G110" s="249"/>
      <c r="H110" s="249"/>
      <c r="I110" s="247"/>
      <c r="J110" s="249"/>
      <c r="K110" s="249"/>
      <c r="L110" s="249"/>
      <c r="M110" s="249"/>
      <c r="N110" s="249"/>
      <c r="O110" s="5"/>
      <c r="Q110" s="5"/>
      <c r="R110" s="5"/>
      <c r="S110" s="5"/>
    </row>
    <row r="111" spans="2:19">
      <c r="B111" s="5"/>
      <c r="C111" s="249"/>
      <c r="D111" s="249"/>
      <c r="E111" s="249"/>
      <c r="F111" s="249"/>
      <c r="G111" s="249"/>
      <c r="H111" s="249"/>
      <c r="I111" s="5"/>
      <c r="J111" s="249"/>
      <c r="K111" s="249"/>
      <c r="L111" s="249"/>
      <c r="M111" s="249"/>
      <c r="N111" s="249"/>
      <c r="O111" s="5"/>
      <c r="Q111" s="5"/>
      <c r="R111" s="5"/>
      <c r="S111" s="5"/>
    </row>
    <row r="112" spans="2:19">
      <c r="B112" s="5"/>
      <c r="C112" s="247"/>
      <c r="D112" s="247"/>
      <c r="E112" s="247"/>
      <c r="F112" s="247"/>
      <c r="G112" s="247"/>
      <c r="H112" s="247"/>
      <c r="I112" s="5"/>
      <c r="J112" s="247"/>
      <c r="K112" s="247"/>
      <c r="L112" s="247"/>
      <c r="M112" s="247"/>
      <c r="N112" s="247"/>
      <c r="O112" s="5"/>
      <c r="Q112" s="5"/>
      <c r="R112" s="5"/>
      <c r="S112" s="5"/>
    </row>
    <row r="113" spans="2:19">
      <c r="B113" s="5"/>
      <c r="C113" s="5"/>
      <c r="D113" s="5"/>
      <c r="E113" s="5"/>
      <c r="F113" s="5"/>
      <c r="G113" s="5"/>
      <c r="H113" s="5"/>
      <c r="I113" s="5"/>
      <c r="J113" s="5"/>
      <c r="K113" s="5"/>
      <c r="L113" s="5"/>
      <c r="M113" s="5"/>
      <c r="N113" s="5"/>
      <c r="O113" s="5"/>
      <c r="Q113" s="5"/>
      <c r="R113" s="5"/>
      <c r="S113" s="5"/>
    </row>
    <row r="114" spans="2:19">
      <c r="B114" s="5"/>
      <c r="C114" s="5"/>
      <c r="D114" s="5"/>
      <c r="E114" s="5"/>
      <c r="F114" s="5"/>
      <c r="G114" s="5"/>
      <c r="H114" s="5"/>
      <c r="I114" s="5"/>
      <c r="J114" s="5"/>
      <c r="K114" s="5"/>
      <c r="L114" s="5"/>
      <c r="M114" s="5"/>
      <c r="N114" s="5"/>
      <c r="O114" s="5"/>
      <c r="Q114" s="5"/>
      <c r="R114" s="5"/>
      <c r="S114" s="5"/>
    </row>
    <row r="115" spans="2:19">
      <c r="B115" s="5"/>
      <c r="C115" s="5"/>
      <c r="D115" s="5"/>
      <c r="E115" s="5"/>
      <c r="F115" s="5"/>
      <c r="G115" s="5"/>
      <c r="H115" s="5"/>
      <c r="I115" s="49"/>
      <c r="J115" s="5"/>
      <c r="K115" s="5"/>
      <c r="L115" s="5"/>
      <c r="M115" s="5"/>
      <c r="N115" s="5"/>
      <c r="O115" s="5"/>
      <c r="Q115" s="41"/>
      <c r="R115" s="5"/>
      <c r="S115" s="5"/>
    </row>
    <row r="116" spans="2:19">
      <c r="B116" s="5"/>
      <c r="C116" s="5"/>
      <c r="D116" s="5"/>
      <c r="E116" s="5"/>
      <c r="F116" s="5"/>
      <c r="G116" s="5"/>
      <c r="H116" s="5"/>
      <c r="I116" s="5"/>
      <c r="J116" s="5"/>
      <c r="K116" s="5"/>
      <c r="L116" s="5"/>
      <c r="M116" s="5"/>
      <c r="N116" s="5"/>
      <c r="O116" s="5"/>
      <c r="Q116" s="5"/>
      <c r="R116" s="5"/>
      <c r="S116" s="5"/>
    </row>
    <row r="117" spans="2:19">
      <c r="B117" s="41"/>
      <c r="C117" s="49"/>
      <c r="D117" s="49"/>
      <c r="E117" s="49"/>
      <c r="F117" s="49"/>
      <c r="G117" s="49"/>
      <c r="H117" s="49"/>
      <c r="I117" s="254"/>
      <c r="J117" s="49"/>
      <c r="K117" s="49"/>
      <c r="L117" s="49"/>
      <c r="M117" s="49"/>
      <c r="N117" s="49"/>
      <c r="O117" s="49"/>
      <c r="Q117" s="5"/>
      <c r="R117" s="5"/>
      <c r="S117" s="5"/>
    </row>
    <row r="118" spans="2:19">
      <c r="B118" s="5"/>
      <c r="C118" s="5"/>
      <c r="D118" s="5"/>
      <c r="E118" s="5"/>
      <c r="F118" s="5"/>
      <c r="G118" s="5"/>
      <c r="H118" s="5"/>
      <c r="I118" s="249"/>
      <c r="J118" s="5"/>
      <c r="K118" s="5"/>
      <c r="L118" s="5"/>
      <c r="M118" s="5"/>
      <c r="N118" s="5"/>
      <c r="O118" s="5"/>
      <c r="Q118" s="5"/>
      <c r="R118" s="5"/>
      <c r="S118" s="5"/>
    </row>
    <row r="119" spans="2:19">
      <c r="B119" s="41"/>
      <c r="C119" s="254"/>
      <c r="D119" s="254"/>
      <c r="E119" s="254"/>
      <c r="F119" s="254"/>
      <c r="G119" s="254"/>
      <c r="H119" s="254"/>
      <c r="I119" s="254"/>
      <c r="J119" s="254"/>
      <c r="K119" s="254"/>
      <c r="L119" s="254"/>
      <c r="M119" s="254"/>
      <c r="N119" s="254"/>
      <c r="O119" s="248"/>
      <c r="Q119" s="5"/>
      <c r="R119" s="5"/>
      <c r="S119" s="5"/>
    </row>
    <row r="120" spans="2:19">
      <c r="B120" s="41"/>
      <c r="C120" s="254"/>
      <c r="D120" s="249"/>
      <c r="E120" s="249"/>
      <c r="F120" s="249"/>
      <c r="G120" s="249"/>
      <c r="H120" s="249"/>
      <c r="I120" s="254"/>
      <c r="J120" s="249"/>
      <c r="K120" s="249"/>
      <c r="L120" s="249"/>
      <c r="M120" s="249"/>
      <c r="N120" s="249"/>
      <c r="O120" s="248"/>
      <c r="Q120" s="5"/>
      <c r="R120" s="5"/>
      <c r="S120" s="5"/>
    </row>
    <row r="121" spans="2:19">
      <c r="B121" s="41"/>
      <c r="C121" s="254"/>
      <c r="D121" s="254"/>
      <c r="E121" s="254"/>
      <c r="F121" s="254"/>
      <c r="G121" s="254"/>
      <c r="H121" s="254"/>
      <c r="I121" s="254"/>
      <c r="J121" s="254"/>
      <c r="K121" s="254"/>
      <c r="L121" s="254"/>
      <c r="M121" s="254"/>
      <c r="N121" s="254"/>
      <c r="O121" s="248"/>
      <c r="Q121" s="5"/>
      <c r="R121" s="5"/>
      <c r="S121" s="5"/>
    </row>
    <row r="122" spans="2:19">
      <c r="B122" s="41"/>
      <c r="C122" s="254"/>
      <c r="D122" s="254"/>
      <c r="E122" s="254"/>
      <c r="F122" s="254"/>
      <c r="G122" s="254"/>
      <c r="H122" s="254"/>
      <c r="I122" s="254"/>
      <c r="J122" s="254"/>
      <c r="K122" s="254"/>
      <c r="L122" s="254"/>
      <c r="M122" s="254"/>
      <c r="N122" s="254"/>
      <c r="O122" s="248"/>
      <c r="Q122" s="5"/>
      <c r="R122" s="5"/>
      <c r="S122" s="5"/>
    </row>
    <row r="123" spans="2:19">
      <c r="B123" s="41"/>
      <c r="C123" s="254"/>
      <c r="D123" s="254"/>
      <c r="E123" s="254"/>
      <c r="F123" s="254"/>
      <c r="G123" s="254"/>
      <c r="H123" s="254"/>
      <c r="I123" s="254"/>
      <c r="J123" s="254"/>
      <c r="K123" s="254"/>
      <c r="L123" s="254"/>
      <c r="M123" s="254"/>
      <c r="N123" s="254"/>
      <c r="O123" s="248"/>
      <c r="Q123" s="5"/>
      <c r="R123" s="5"/>
      <c r="S123" s="5"/>
    </row>
    <row r="124" spans="2:19">
      <c r="B124" s="41"/>
      <c r="C124" s="254"/>
      <c r="D124" s="254"/>
      <c r="E124" s="254"/>
      <c r="F124" s="254"/>
      <c r="G124" s="254"/>
      <c r="H124" s="254"/>
      <c r="I124" s="254"/>
      <c r="J124" s="254"/>
      <c r="K124" s="254"/>
      <c r="L124" s="254"/>
      <c r="M124" s="254"/>
      <c r="N124" s="254"/>
      <c r="O124" s="248"/>
      <c r="Q124" s="5"/>
      <c r="R124" s="5"/>
      <c r="S124" s="5"/>
    </row>
    <row r="125" spans="2:19">
      <c r="B125" s="41"/>
      <c r="C125" s="254"/>
      <c r="D125" s="254"/>
      <c r="E125" s="254"/>
      <c r="F125" s="254"/>
      <c r="G125" s="254"/>
      <c r="H125" s="254"/>
      <c r="I125" s="254"/>
      <c r="J125" s="254"/>
      <c r="K125" s="254"/>
      <c r="L125" s="254"/>
      <c r="M125" s="254"/>
      <c r="N125" s="254"/>
      <c r="O125" s="5"/>
      <c r="Q125" s="5"/>
      <c r="R125" s="5"/>
      <c r="S125" s="5"/>
    </row>
    <row r="126" spans="2:19">
      <c r="B126" s="41"/>
      <c r="C126" s="254"/>
      <c r="D126" s="254"/>
      <c r="E126" s="254"/>
      <c r="F126" s="254"/>
      <c r="G126" s="254"/>
      <c r="H126" s="254"/>
      <c r="I126" s="254"/>
      <c r="J126" s="254"/>
      <c r="K126" s="254"/>
      <c r="L126" s="254"/>
      <c r="M126" s="254"/>
      <c r="N126" s="254"/>
      <c r="O126" s="5"/>
      <c r="Q126" s="5"/>
      <c r="R126" s="5"/>
      <c r="S126" s="5"/>
    </row>
    <row r="127" spans="2:19">
      <c r="B127" s="41"/>
      <c r="C127" s="254"/>
      <c r="D127" s="254"/>
      <c r="E127" s="254"/>
      <c r="F127" s="254"/>
      <c r="G127" s="254"/>
      <c r="H127" s="254"/>
      <c r="I127" s="18"/>
      <c r="J127" s="254"/>
      <c r="K127" s="254"/>
      <c r="L127" s="254"/>
      <c r="M127" s="254"/>
      <c r="N127" s="254"/>
      <c r="O127" s="5"/>
      <c r="Q127" s="5"/>
      <c r="R127" s="5"/>
      <c r="S127" s="5"/>
    </row>
    <row r="128" spans="2:19">
      <c r="B128" s="41"/>
      <c r="C128" s="254"/>
      <c r="D128" s="254"/>
      <c r="E128" s="254"/>
      <c r="F128" s="254"/>
      <c r="G128" s="254"/>
      <c r="H128" s="254"/>
      <c r="I128" s="5"/>
      <c r="J128" s="254"/>
      <c r="K128" s="254"/>
      <c r="L128" s="254"/>
      <c r="M128" s="254"/>
      <c r="N128" s="254"/>
      <c r="O128" s="5"/>
      <c r="Q128" s="5"/>
      <c r="R128" s="5"/>
      <c r="S128" s="5"/>
    </row>
    <row r="129" spans="2:27">
      <c r="B129" s="5"/>
      <c r="C129" s="5"/>
      <c r="D129" s="18"/>
      <c r="E129" s="18"/>
      <c r="F129" s="18"/>
      <c r="G129" s="18"/>
      <c r="H129" s="18"/>
      <c r="I129" s="254"/>
      <c r="J129" s="18"/>
      <c r="K129" s="18"/>
      <c r="L129" s="18"/>
      <c r="M129" s="18"/>
      <c r="N129" s="18"/>
      <c r="O129" s="5"/>
      <c r="Q129" s="5"/>
      <c r="R129" s="5"/>
      <c r="S129" s="5"/>
    </row>
    <row r="130" spans="2:27">
      <c r="B130" s="5"/>
      <c r="C130" s="5"/>
      <c r="D130" s="5"/>
      <c r="E130" s="5"/>
      <c r="F130" s="5"/>
      <c r="G130" s="5"/>
      <c r="H130" s="5"/>
      <c r="I130" s="18"/>
      <c r="J130" s="5"/>
      <c r="K130" s="5"/>
      <c r="L130" s="5"/>
      <c r="M130" s="5"/>
      <c r="N130" s="5"/>
      <c r="O130" s="5"/>
      <c r="Q130" s="5"/>
      <c r="R130" s="5"/>
      <c r="S130" s="5"/>
    </row>
    <row r="131" spans="2:27">
      <c r="B131" s="41"/>
      <c r="C131" s="254"/>
      <c r="D131" s="254"/>
      <c r="E131" s="254"/>
      <c r="F131" s="254"/>
      <c r="G131" s="254"/>
      <c r="H131" s="254"/>
      <c r="I131" s="5"/>
      <c r="J131" s="254"/>
      <c r="K131" s="254"/>
      <c r="L131" s="254"/>
      <c r="M131" s="254"/>
      <c r="N131" s="254"/>
      <c r="O131" s="5"/>
      <c r="Q131" s="5"/>
      <c r="R131" s="5"/>
      <c r="S131" s="5"/>
    </row>
    <row r="132" spans="2:27">
      <c r="B132" s="5"/>
      <c r="C132" s="259"/>
      <c r="D132" s="18"/>
      <c r="E132" s="18"/>
      <c r="F132" s="18"/>
      <c r="G132" s="18"/>
      <c r="H132" s="18"/>
      <c r="I132" s="5"/>
      <c r="J132" s="18"/>
      <c r="K132" s="18"/>
      <c r="L132" s="18"/>
      <c r="M132" s="18"/>
      <c r="N132" s="18"/>
      <c r="O132" s="5"/>
      <c r="Q132" s="5"/>
      <c r="R132" s="5"/>
      <c r="S132" s="5"/>
    </row>
    <row r="133" spans="2:27">
      <c r="B133" s="5"/>
      <c r="C133" s="5"/>
      <c r="D133" s="5"/>
      <c r="E133" s="5"/>
      <c r="F133" s="5"/>
      <c r="G133" s="5"/>
      <c r="H133" s="5"/>
      <c r="I133" s="17"/>
      <c r="J133" s="5"/>
      <c r="K133" s="5"/>
      <c r="L133" s="5"/>
      <c r="M133" s="5"/>
      <c r="N133" s="5"/>
      <c r="O133" s="5"/>
      <c r="Q133" s="5"/>
      <c r="R133" s="5"/>
      <c r="S133" s="5"/>
    </row>
    <row r="134" spans="2:27">
      <c r="B134" s="41"/>
      <c r="C134" s="5"/>
      <c r="D134" s="5"/>
      <c r="E134" s="5"/>
      <c r="F134" s="5"/>
      <c r="G134" s="5"/>
      <c r="H134" s="5"/>
      <c r="I134" s="17"/>
      <c r="J134" s="5"/>
      <c r="K134" s="5"/>
      <c r="L134" s="5"/>
      <c r="M134" s="5"/>
      <c r="N134" s="5"/>
      <c r="O134" s="5"/>
      <c r="Q134" s="5"/>
      <c r="R134" s="5"/>
      <c r="S134" s="5"/>
    </row>
    <row r="135" spans="2:27">
      <c r="B135" s="5"/>
      <c r="C135" s="17"/>
      <c r="D135" s="17"/>
      <c r="E135" s="17"/>
      <c r="F135" s="17"/>
      <c r="G135" s="17"/>
      <c r="H135" s="17"/>
      <c r="I135" s="17"/>
      <c r="J135" s="17"/>
      <c r="K135" s="17"/>
      <c r="L135" s="17"/>
      <c r="M135" s="17"/>
      <c r="N135" s="17"/>
      <c r="O135" s="5"/>
      <c r="Q135" s="41"/>
      <c r="R135" s="5"/>
      <c r="S135" s="5"/>
    </row>
    <row r="136" spans="2:27">
      <c r="B136" s="5"/>
      <c r="C136" s="17"/>
      <c r="D136" s="17"/>
      <c r="E136" s="17"/>
      <c r="F136" s="17"/>
      <c r="G136" s="17"/>
      <c r="H136" s="17"/>
      <c r="I136" s="17"/>
      <c r="J136" s="17"/>
      <c r="K136" s="17"/>
      <c r="L136" s="17"/>
      <c r="M136" s="17"/>
      <c r="N136" s="17"/>
      <c r="O136" s="5"/>
      <c r="Q136" s="5"/>
      <c r="R136" s="5"/>
      <c r="S136" s="5"/>
      <c r="X136" s="304"/>
    </row>
    <row r="137" spans="2:27">
      <c r="B137" s="5"/>
      <c r="C137" s="5"/>
      <c r="D137" s="17"/>
      <c r="E137" s="17"/>
      <c r="F137" s="17"/>
      <c r="G137" s="17"/>
      <c r="H137" s="17"/>
      <c r="I137" s="17"/>
      <c r="J137" s="17"/>
      <c r="K137" s="17"/>
      <c r="L137" s="17"/>
      <c r="M137" s="17"/>
      <c r="N137" s="17"/>
      <c r="O137" s="5"/>
      <c r="Q137" s="5"/>
      <c r="R137" s="5"/>
      <c r="S137" s="5"/>
      <c r="X137" s="10"/>
      <c r="Y137" s="304"/>
      <c r="Z137" s="304"/>
      <c r="AA137" s="304"/>
    </row>
    <row r="138" spans="2:27">
      <c r="B138" s="5"/>
      <c r="C138" s="5"/>
      <c r="D138" s="17"/>
      <c r="E138" s="17"/>
      <c r="F138" s="17"/>
      <c r="G138" s="17"/>
      <c r="H138" s="17"/>
      <c r="I138" s="17"/>
      <c r="J138" s="17"/>
      <c r="K138" s="17"/>
      <c r="L138" s="17"/>
      <c r="M138" s="17"/>
      <c r="N138" s="17"/>
      <c r="O138" s="5"/>
      <c r="Q138" s="5"/>
      <c r="R138" s="5"/>
      <c r="S138" s="5"/>
      <c r="Y138" s="10"/>
      <c r="Z138" s="10"/>
      <c r="AA138" s="10"/>
    </row>
    <row r="139" spans="2:27">
      <c r="B139" s="5"/>
      <c r="C139" s="5"/>
      <c r="D139" s="17"/>
      <c r="E139" s="17"/>
      <c r="F139" s="17"/>
      <c r="G139" s="17"/>
      <c r="H139" s="17"/>
      <c r="I139" s="5"/>
      <c r="J139" s="17"/>
      <c r="K139" s="17"/>
      <c r="L139" s="17"/>
      <c r="M139" s="17"/>
      <c r="N139" s="17"/>
      <c r="O139" s="5"/>
      <c r="Q139" s="5"/>
      <c r="R139" s="5"/>
      <c r="S139" s="5"/>
    </row>
    <row r="140" spans="2:27">
      <c r="B140" s="5"/>
      <c r="C140" s="17"/>
      <c r="D140" s="17"/>
      <c r="E140" s="17"/>
      <c r="F140" s="17"/>
      <c r="G140" s="17"/>
      <c r="H140" s="17"/>
      <c r="I140" s="5"/>
      <c r="J140" s="17"/>
      <c r="K140" s="17"/>
      <c r="L140" s="17"/>
      <c r="M140" s="17"/>
      <c r="N140" s="17"/>
      <c r="O140" s="5"/>
      <c r="Q140" s="5"/>
      <c r="R140" s="5"/>
      <c r="S140" s="5"/>
    </row>
    <row r="141" spans="2:27">
      <c r="B141" s="5"/>
      <c r="C141" s="5"/>
      <c r="D141" s="5"/>
      <c r="E141" s="5"/>
      <c r="F141" s="5"/>
      <c r="G141" s="5"/>
      <c r="H141" s="5"/>
      <c r="I141" s="5"/>
      <c r="J141" s="5"/>
      <c r="K141" s="5"/>
      <c r="L141" s="5"/>
      <c r="M141" s="5"/>
      <c r="N141" s="5"/>
      <c r="O141" s="5"/>
      <c r="Q141" s="5"/>
      <c r="R141" s="5"/>
      <c r="S141" s="5"/>
    </row>
    <row r="142" spans="2:27">
      <c r="B142" s="5"/>
      <c r="C142" s="5"/>
      <c r="D142" s="5"/>
      <c r="E142" s="5"/>
      <c r="F142" s="5"/>
      <c r="G142" s="5"/>
      <c r="H142" s="5"/>
      <c r="I142" s="5"/>
      <c r="J142" s="5"/>
      <c r="K142" s="5"/>
      <c r="L142" s="5"/>
      <c r="M142" s="5"/>
      <c r="N142" s="5"/>
      <c r="O142" s="5"/>
      <c r="Q142" s="5"/>
      <c r="R142" s="5"/>
      <c r="S142" s="5"/>
    </row>
    <row r="143" spans="2:27">
      <c r="B143" s="5"/>
      <c r="C143" s="5"/>
      <c r="D143" s="5"/>
      <c r="E143" s="5"/>
      <c r="F143" s="5"/>
      <c r="G143" s="5"/>
      <c r="H143" s="5"/>
      <c r="I143" s="5"/>
      <c r="J143" s="5"/>
      <c r="K143" s="5"/>
      <c r="L143" s="5"/>
      <c r="M143" s="5"/>
      <c r="N143" s="5"/>
      <c r="O143" s="5"/>
      <c r="Q143" s="5"/>
      <c r="R143" s="5"/>
      <c r="S143" s="5"/>
    </row>
    <row r="144" spans="2:27">
      <c r="B144" s="5"/>
      <c r="C144" s="5"/>
      <c r="D144" s="5"/>
      <c r="E144" s="5"/>
      <c r="F144" s="5"/>
      <c r="G144" s="5"/>
      <c r="H144" s="5"/>
      <c r="I144" s="5"/>
      <c r="J144" s="5"/>
      <c r="K144" s="5"/>
      <c r="L144" s="5"/>
      <c r="M144" s="5"/>
      <c r="N144" s="5"/>
      <c r="O144" s="5"/>
      <c r="Q144" s="5"/>
      <c r="R144" s="5"/>
      <c r="S144" s="5"/>
    </row>
    <row r="145" spans="2:19">
      <c r="B145" s="5"/>
      <c r="C145" s="5"/>
      <c r="D145" s="5"/>
      <c r="E145" s="5"/>
      <c r="F145" s="5"/>
      <c r="G145" s="5"/>
      <c r="H145" s="5"/>
      <c r="I145" s="5"/>
      <c r="J145" s="5"/>
      <c r="K145" s="5"/>
      <c r="L145" s="5"/>
      <c r="M145" s="5"/>
      <c r="N145" s="5"/>
      <c r="O145" s="5"/>
      <c r="Q145" s="5"/>
      <c r="R145" s="5"/>
      <c r="S145" s="5"/>
    </row>
    <row r="146" spans="2:19">
      <c r="B146" s="5"/>
      <c r="C146" s="5"/>
      <c r="D146" s="5"/>
      <c r="E146" s="5"/>
      <c r="F146" s="5"/>
      <c r="G146" s="5"/>
      <c r="H146" s="5"/>
      <c r="I146" s="5"/>
      <c r="J146" s="5"/>
      <c r="K146" s="5"/>
      <c r="L146" s="5"/>
      <c r="M146" s="5"/>
      <c r="N146" s="5"/>
      <c r="O146" s="5"/>
      <c r="Q146" s="5"/>
      <c r="R146" s="5"/>
      <c r="S146" s="5"/>
    </row>
    <row r="147" spans="2:19">
      <c r="B147" s="5"/>
      <c r="C147" s="5"/>
      <c r="D147" s="5"/>
      <c r="E147" s="5"/>
      <c r="F147" s="5"/>
      <c r="G147" s="5"/>
      <c r="H147" s="5"/>
      <c r="I147" s="5"/>
      <c r="J147" s="5"/>
      <c r="K147" s="5"/>
      <c r="L147" s="5"/>
      <c r="M147" s="5"/>
      <c r="N147" s="5"/>
      <c r="O147" s="5"/>
      <c r="Q147" s="5"/>
      <c r="R147" s="5"/>
      <c r="S147" s="5"/>
    </row>
    <row r="148" spans="2:19">
      <c r="B148" s="5"/>
      <c r="C148" s="5"/>
      <c r="D148" s="5"/>
      <c r="E148" s="5"/>
      <c r="F148" s="5"/>
      <c r="G148" s="5"/>
      <c r="H148" s="5"/>
      <c r="I148" s="5"/>
      <c r="J148" s="5"/>
      <c r="K148" s="5"/>
      <c r="L148" s="5"/>
      <c r="M148" s="5"/>
      <c r="N148" s="5"/>
      <c r="O148" s="5"/>
      <c r="Q148" s="5"/>
      <c r="R148" s="5"/>
      <c r="S148" s="5"/>
    </row>
    <row r="149" spans="2:19">
      <c r="B149" s="5"/>
      <c r="C149" s="5"/>
      <c r="D149" s="5"/>
      <c r="E149" s="5"/>
      <c r="F149" s="5"/>
      <c r="G149" s="5"/>
      <c r="H149" s="5"/>
      <c r="J149" s="5"/>
      <c r="K149" s="5"/>
      <c r="L149" s="5"/>
      <c r="M149" s="5"/>
      <c r="N149" s="5"/>
      <c r="O149" s="5"/>
      <c r="Q149" s="5"/>
      <c r="R149" s="5"/>
      <c r="S149" s="5"/>
    </row>
    <row r="150" spans="2:19">
      <c r="B150" s="5"/>
      <c r="C150" s="5"/>
      <c r="D150" s="5"/>
      <c r="E150" s="5"/>
      <c r="F150" s="5"/>
      <c r="G150" s="5"/>
      <c r="H150" s="5"/>
      <c r="J150" s="5"/>
      <c r="K150" s="5"/>
      <c r="L150" s="5"/>
      <c r="M150" s="5"/>
      <c r="N150" s="5"/>
      <c r="O150" s="5"/>
      <c r="Q150" s="5"/>
      <c r="R150" s="5"/>
      <c r="S150" s="5"/>
    </row>
    <row r="151" spans="2:19">
      <c r="Q151" s="5"/>
      <c r="R151" s="5"/>
      <c r="S151" s="5"/>
    </row>
    <row r="152" spans="2:19">
      <c r="Q152" s="5"/>
      <c r="R152" s="5"/>
      <c r="S152" s="5"/>
    </row>
    <row r="153" spans="2:19">
      <c r="C153" s="263"/>
      <c r="Q153" s="5"/>
      <c r="R153" s="5"/>
      <c r="S153" s="5"/>
    </row>
    <row r="154" spans="2:19">
      <c r="Q154" s="5"/>
      <c r="R154" s="5"/>
      <c r="S154" s="5"/>
    </row>
    <row r="155" spans="2:19">
      <c r="Q155" s="5"/>
      <c r="R155" s="5"/>
      <c r="S155" s="5"/>
    </row>
    <row r="156" spans="2:19">
      <c r="Q156" s="5"/>
      <c r="R156" s="5"/>
      <c r="S156" s="5"/>
    </row>
    <row r="157" spans="2:19">
      <c r="Q157" s="5"/>
      <c r="R157" s="5"/>
      <c r="S157" s="5"/>
    </row>
    <row r="158" spans="2:19">
      <c r="Q158" s="5"/>
      <c r="R158" s="5"/>
      <c r="S158" s="5"/>
    </row>
    <row r="159" spans="2:19">
      <c r="Q159" s="5"/>
      <c r="R159" s="5"/>
      <c r="S159" s="5"/>
    </row>
    <row r="160" spans="2:19">
      <c r="Q160" s="5"/>
      <c r="R160" s="5"/>
      <c r="S160" s="5"/>
    </row>
    <row r="161" spans="17:19">
      <c r="Q161" s="5"/>
      <c r="R161" s="5"/>
      <c r="S161" s="5"/>
    </row>
    <row r="162" spans="17:19">
      <c r="Q162" s="5"/>
      <c r="R162" s="5"/>
      <c r="S162" s="5"/>
    </row>
    <row r="163" spans="17:19">
      <c r="Q163" s="5"/>
      <c r="R163" s="5"/>
      <c r="S163" s="5"/>
    </row>
    <row r="164" spans="17:19">
      <c r="Q164" s="5"/>
      <c r="R164" s="5"/>
      <c r="S164" s="5"/>
    </row>
    <row r="165" spans="17:19">
      <c r="Q165" s="5"/>
      <c r="R165" s="5"/>
      <c r="S165" s="5"/>
    </row>
  </sheetData>
  <pageMargins left="0.75" right="0.75" top="1" bottom="1" header="0.5" footer="0.5"/>
  <pageSetup scale="71" orientation="landscape" r:id="rId1"/>
  <headerFooter alignWithMargins="0"/>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85">
    <pageSetUpPr fitToPage="1"/>
  </sheetPr>
  <dimension ref="B1:AR165"/>
  <sheetViews>
    <sheetView showGridLines="0" zoomScale="80" zoomScaleNormal="80" workbookViewId="0"/>
  </sheetViews>
  <sheetFormatPr defaultColWidth="9.109375" defaultRowHeight="12"/>
  <cols>
    <col min="1" max="1" width="2.33203125" style="39" customWidth="1"/>
    <col min="2" max="2" width="26.5546875" style="39" customWidth="1"/>
    <col min="3" max="9" width="10" style="39" customWidth="1"/>
    <col min="10" max="10" width="26.6640625" style="39" customWidth="1"/>
    <col min="11" max="16" width="10" style="39" customWidth="1"/>
    <col min="17" max="19" width="8.6640625" style="39" customWidth="1"/>
    <col min="20" max="28" width="8.6640625" style="5" customWidth="1"/>
    <col min="29" max="44" width="9.109375" style="5"/>
    <col min="45" max="16384" width="9.109375" style="39"/>
  </cols>
  <sheetData>
    <row r="1" spans="2:44" s="312" customFormat="1">
      <c r="T1" s="149"/>
      <c r="U1" s="149"/>
      <c r="V1" s="149"/>
      <c r="W1" s="149"/>
      <c r="X1" s="149"/>
      <c r="Y1" s="149"/>
      <c r="Z1" s="149"/>
      <c r="AA1" s="149"/>
      <c r="AB1" s="149"/>
      <c r="AC1" s="149"/>
      <c r="AD1" s="149"/>
      <c r="AE1" s="149"/>
      <c r="AF1" s="149"/>
      <c r="AG1" s="149"/>
      <c r="AH1" s="149"/>
      <c r="AI1" s="149"/>
      <c r="AJ1" s="149"/>
      <c r="AK1" s="149"/>
      <c r="AL1" s="149"/>
      <c r="AM1" s="149"/>
      <c r="AN1" s="149"/>
      <c r="AO1" s="149"/>
      <c r="AP1" s="149"/>
      <c r="AQ1" s="149"/>
      <c r="AR1" s="149"/>
    </row>
    <row r="2" spans="2:44" s="149" customFormat="1"/>
    <row r="3" spans="2:44" s="149" customFormat="1">
      <c r="H3" s="153"/>
      <c r="P3" s="153"/>
    </row>
    <row r="4" spans="2:44" s="156" customFormat="1" ht="21">
      <c r="B4" s="129" t="s">
        <v>404</v>
      </c>
      <c r="H4" s="222"/>
      <c r="P4" s="222"/>
    </row>
    <row r="5" spans="2:44" s="149" customFormat="1">
      <c r="C5" s="153"/>
      <c r="D5" s="153" t="str" cm="1">
        <f t="array" ref="D5:H5">headings</f>
        <v>2023E</v>
      </c>
      <c r="E5" s="153" t="str">
        <v>2024E</v>
      </c>
      <c r="F5" s="153" t="str">
        <v>2025E</v>
      </c>
      <c r="G5" s="153" t="str">
        <v>2026E</v>
      </c>
      <c r="H5" s="153" t="str">
        <v>23E-26E</v>
      </c>
      <c r="I5" s="153"/>
      <c r="J5" s="153"/>
      <c r="K5" s="153"/>
      <c r="L5" s="153" t="str" cm="1">
        <f t="array" ref="L5:P5">headings</f>
        <v>2023E</v>
      </c>
      <c r="M5" s="153" t="str">
        <v>2024E</v>
      </c>
      <c r="N5" s="153" t="str">
        <v>2025E</v>
      </c>
      <c r="O5" s="153" t="str">
        <v>2026E</v>
      </c>
      <c r="P5" s="153" t="str">
        <v>23E-26E</v>
      </c>
      <c r="Q5" s="162"/>
      <c r="R5" s="162"/>
      <c r="S5" s="162"/>
      <c r="T5" s="162"/>
      <c r="U5" s="162"/>
      <c r="V5" s="162"/>
      <c r="W5" s="162"/>
      <c r="X5" s="162"/>
      <c r="Y5" s="162"/>
    </row>
    <row r="6" spans="2:44">
      <c r="I6" s="5"/>
      <c r="J6" s="5"/>
      <c r="K6" s="5"/>
      <c r="L6" s="5"/>
      <c r="M6" s="5"/>
      <c r="N6" s="5"/>
      <c r="O6" s="49"/>
    </row>
    <row r="7" spans="2:44" ht="12.6" thickBot="1">
      <c r="B7" s="306" t="s">
        <v>271</v>
      </c>
      <c r="C7" s="265"/>
      <c r="D7" s="265" t="str">
        <f>D5</f>
        <v>2023E</v>
      </c>
      <c r="E7" s="265" t="str">
        <f t="shared" ref="E7:H7" si="0">E5</f>
        <v>2024E</v>
      </c>
      <c r="F7" s="265" t="str">
        <f t="shared" si="0"/>
        <v>2025E</v>
      </c>
      <c r="G7" s="265" t="str">
        <f t="shared" si="0"/>
        <v>2026E</v>
      </c>
      <c r="H7" s="265" t="str">
        <f t="shared" si="0"/>
        <v>23E-26E</v>
      </c>
      <c r="I7" s="49"/>
      <c r="J7" s="306" t="s">
        <v>380</v>
      </c>
      <c r="K7" s="306"/>
      <c r="L7" s="265" t="str">
        <f>L5</f>
        <v>2023E</v>
      </c>
      <c r="M7" s="265" t="str">
        <f t="shared" ref="M7:P7" si="1">M5</f>
        <v>2024E</v>
      </c>
      <c r="N7" s="265" t="str">
        <f t="shared" si="1"/>
        <v>2025E</v>
      </c>
      <c r="O7" s="265" t="str">
        <f t="shared" si="1"/>
        <v>2026E</v>
      </c>
      <c r="P7" s="265" t="str">
        <f t="shared" si="1"/>
        <v>23E-26E</v>
      </c>
    </row>
    <row r="8" spans="2:44" ht="12.6" thickTop="1">
      <c r="B8" s="5"/>
      <c r="C8" s="5"/>
      <c r="D8" s="5"/>
      <c r="E8" s="5"/>
      <c r="F8" s="5"/>
      <c r="G8" s="5"/>
      <c r="H8" s="5"/>
      <c r="I8" s="5"/>
      <c r="J8" s="5"/>
      <c r="K8" s="5"/>
      <c r="L8" s="5"/>
      <c r="M8" s="5"/>
      <c r="N8" s="5"/>
      <c r="S8" s="88"/>
      <c r="T8" s="42"/>
      <c r="U8" s="42"/>
      <c r="V8" s="42"/>
      <c r="W8" s="42"/>
      <c r="X8" s="42"/>
      <c r="Y8" s="42"/>
      <c r="Z8" s="42"/>
      <c r="AA8" s="42"/>
    </row>
    <row r="9" spans="2:44">
      <c r="B9" s="41" t="s">
        <v>333</v>
      </c>
      <c r="C9" s="287">
        <f>Prices!C110/100</f>
        <v>86.08</v>
      </c>
      <c r="D9" s="535">
        <v>0</v>
      </c>
      <c r="E9" s="536">
        <v>0</v>
      </c>
      <c r="F9" s="536">
        <v>0</v>
      </c>
      <c r="G9" s="536">
        <v>0</v>
      </c>
      <c r="H9" s="249"/>
      <c r="I9" s="249"/>
      <c r="J9" s="5" t="s">
        <v>273</v>
      </c>
      <c r="L9" s="529">
        <f>'EMEA CELLULAR'!D37</f>
        <v>3.0372013947638039</v>
      </c>
      <c r="M9" s="529">
        <f>'EMEA CELLULAR'!E37</f>
        <v>3.0765788213213532</v>
      </c>
      <c r="N9" s="529">
        <f>'EMEA CELLULAR'!F37</f>
        <v>2.7986180316483407</v>
      </c>
      <c r="O9" s="529">
        <f>'EMEA CELLULAR'!G37</f>
        <v>2.565989431468322</v>
      </c>
      <c r="P9" s="286">
        <f>'EMEA CELLULAR'!H37</f>
        <v>4.2716103268778172E-2</v>
      </c>
      <c r="S9" s="88"/>
      <c r="T9" s="42"/>
      <c r="U9" s="42"/>
      <c r="V9" s="42"/>
      <c r="W9" s="42"/>
      <c r="X9" s="42"/>
      <c r="Y9" s="42"/>
      <c r="Z9" s="42"/>
      <c r="AA9" s="42"/>
    </row>
    <row r="10" spans="2:44">
      <c r="B10" s="5" t="s">
        <v>274</v>
      </c>
      <c r="C10" s="5"/>
      <c r="D10" s="531">
        <v>1852.0857820000001</v>
      </c>
      <c r="E10" s="531">
        <v>1852.0857820000001</v>
      </c>
      <c r="F10" s="531">
        <v>1852.0857820000001</v>
      </c>
      <c r="G10" s="531">
        <v>1852.0857820000001</v>
      </c>
      <c r="H10" s="247"/>
      <c r="I10" s="247"/>
      <c r="J10" s="5" t="s">
        <v>184</v>
      </c>
      <c r="L10" s="529">
        <f>'EMEA CELLULAR'!D38</f>
        <v>7.2238222733245729</v>
      </c>
      <c r="M10" s="529">
        <f>'EMEA CELLULAR'!E38</f>
        <v>7.4237558505709842</v>
      </c>
      <c r="N10" s="529">
        <f>'EMEA CELLULAR'!F38</f>
        <v>6.674196011969129</v>
      </c>
      <c r="O10" s="529">
        <f>'EMEA CELLULAR'!G38</f>
        <v>6.0998043636708204</v>
      </c>
      <c r="P10" s="286">
        <f>'EMEA CELLULAR'!H38</f>
        <v>4.2902128020809061E-2</v>
      </c>
      <c r="S10" s="88"/>
      <c r="T10" s="42"/>
      <c r="U10" s="42"/>
      <c r="V10" s="42"/>
      <c r="W10" s="288"/>
      <c r="X10" s="288"/>
      <c r="Y10" s="288"/>
      <c r="Z10" s="288"/>
      <c r="AA10" s="42"/>
    </row>
    <row r="11" spans="2:44">
      <c r="B11" s="41" t="s">
        <v>275</v>
      </c>
      <c r="C11" s="5"/>
      <c r="D11" s="532">
        <f>$C$9*D10</f>
        <v>159427.54411456001</v>
      </c>
      <c r="E11" s="532">
        <f>$C$9*E10</f>
        <v>159427.54411456001</v>
      </c>
      <c r="F11" s="532">
        <f>$C$9*F10</f>
        <v>159427.54411456001</v>
      </c>
      <c r="G11" s="532">
        <f>$C$9*G10</f>
        <v>159427.54411456001</v>
      </c>
      <c r="H11" s="249"/>
      <c r="I11" s="249"/>
      <c r="J11" s="5" t="s">
        <v>185</v>
      </c>
      <c r="L11" s="529">
        <f>'EMEA CELLULAR'!D39</f>
        <v>13.934000165140167</v>
      </c>
      <c r="M11" s="529">
        <f>'EMEA CELLULAR'!E39</f>
        <v>14.181691463921256</v>
      </c>
      <c r="N11" s="529">
        <f>'EMEA CELLULAR'!F39</f>
        <v>12.081890560836975</v>
      </c>
      <c r="O11" s="529">
        <f>'EMEA CELLULAR'!G39</f>
        <v>10.645257413209695</v>
      </c>
      <c r="P11" s="286">
        <f>'EMEA CELLULAR'!H39</f>
        <v>7.8283731285485381E-2</v>
      </c>
      <c r="S11" s="88"/>
      <c r="T11" s="42"/>
      <c r="U11" s="42"/>
      <c r="V11" s="42"/>
      <c r="W11" s="288"/>
      <c r="X11" s="288"/>
      <c r="Y11" s="288"/>
      <c r="Z11" s="288"/>
      <c r="AA11" s="42"/>
    </row>
    <row r="12" spans="2:44">
      <c r="B12" s="5" t="s">
        <v>24</v>
      </c>
      <c r="C12" s="249"/>
      <c r="D12" s="533">
        <v>112651.23787776931</v>
      </c>
      <c r="E12" s="533">
        <v>145786.8491625716</v>
      </c>
      <c r="F12" s="533">
        <v>162322.55218362156</v>
      </c>
      <c r="G12" s="533">
        <v>179608.67219409888</v>
      </c>
      <c r="H12" s="247"/>
      <c r="I12" s="247"/>
      <c r="J12" s="5" t="s">
        <v>466</v>
      </c>
      <c r="L12" s="529">
        <f>'EMEA CELLULAR'!D40</f>
        <v>20.693503485744461</v>
      </c>
      <c r="M12" s="529">
        <f>'EMEA CELLULAR'!E40</f>
        <v>20.954826177285547</v>
      </c>
      <c r="N12" s="529">
        <f>'EMEA CELLULAR'!F40</f>
        <v>17.986415749594904</v>
      </c>
      <c r="O12" s="529">
        <f>'EMEA CELLULAR'!G40</f>
        <v>15.937236715818882</v>
      </c>
      <c r="P12" s="286">
        <f>'EMEA CELLULAR'!H40</f>
        <v>7.539209226558885E-2</v>
      </c>
      <c r="S12" s="88"/>
      <c r="T12" s="42"/>
      <c r="U12" s="42"/>
      <c r="V12" s="42"/>
      <c r="W12" s="288"/>
      <c r="X12" s="288"/>
      <c r="Y12" s="288"/>
      <c r="Z12" s="288"/>
      <c r="AA12" s="42"/>
    </row>
    <row r="13" spans="2:44">
      <c r="B13" s="5" t="s">
        <v>529</v>
      </c>
      <c r="C13" s="257"/>
      <c r="D13" s="533">
        <v>15166.666666666664</v>
      </c>
      <c r="E13" s="533">
        <v>15166.666666666664</v>
      </c>
      <c r="F13" s="533">
        <v>15166.666666666664</v>
      </c>
      <c r="G13" s="533">
        <v>15166.666666666664</v>
      </c>
      <c r="H13" s="247"/>
      <c r="I13" s="247"/>
      <c r="J13" s="5" t="s">
        <v>530</v>
      </c>
      <c r="L13" s="529">
        <f>'EMEA CELLULAR'!D41</f>
        <v>2.9063718801101484</v>
      </c>
      <c r="M13" s="529">
        <f>'EMEA CELLULAR'!E41</f>
        <v>2.8096465424917763</v>
      </c>
      <c r="N13" s="529">
        <f>'EMEA CELLULAR'!F41</f>
        <v>2.6770412504562215</v>
      </c>
      <c r="O13" s="529">
        <f>'EMEA CELLULAR'!G41</f>
        <v>2.5396311085256196</v>
      </c>
      <c r="P13" s="286">
        <f>'EMEA CELLULAR'!H41</f>
        <v>3.1066523451782402E-2</v>
      </c>
      <c r="S13" s="88"/>
      <c r="T13" s="42"/>
      <c r="U13" s="42"/>
      <c r="V13" s="42"/>
      <c r="W13" s="42"/>
      <c r="X13" s="42"/>
      <c r="Y13" s="42"/>
      <c r="Z13" s="42"/>
      <c r="AA13" s="42"/>
    </row>
    <row r="14" spans="2:44">
      <c r="B14" s="5" t="s">
        <v>532</v>
      </c>
      <c r="C14" s="257"/>
      <c r="D14" s="533">
        <v>19646</v>
      </c>
      <c r="E14" s="533">
        <v>19646</v>
      </c>
      <c r="F14" s="533">
        <v>19646</v>
      </c>
      <c r="G14" s="533">
        <v>19646</v>
      </c>
      <c r="H14" s="247"/>
      <c r="I14" s="247"/>
      <c r="J14" s="5" t="s">
        <v>593</v>
      </c>
      <c r="L14" s="529">
        <f>'EMEA CELLULAR'!D42</f>
        <v>4.1985652011209735</v>
      </c>
      <c r="M14" s="529">
        <f>'EMEA CELLULAR'!E42</f>
        <v>4.0862699766964772</v>
      </c>
      <c r="N14" s="529">
        <f>'EMEA CELLULAR'!F42</f>
        <v>3.913769934902958</v>
      </c>
      <c r="O14" s="529">
        <f>'EMEA CELLULAR'!G42</f>
        <v>3.7199710824883767</v>
      </c>
      <c r="P14" s="286">
        <f>'EMEA CELLULAR'!H42</f>
        <v>2.6314073359182233E-2</v>
      </c>
      <c r="S14" s="88"/>
      <c r="T14" s="42"/>
      <c r="U14" s="42"/>
      <c r="V14" s="42"/>
      <c r="W14" s="42"/>
      <c r="X14" s="42"/>
      <c r="Y14" s="42"/>
      <c r="Z14" s="42"/>
      <c r="AA14" s="42"/>
    </row>
    <row r="15" spans="2:44">
      <c r="B15" s="5" t="s">
        <v>531</v>
      </c>
      <c r="C15" s="274"/>
      <c r="D15" s="533">
        <v>57461</v>
      </c>
      <c r="E15" s="533">
        <v>57461</v>
      </c>
      <c r="F15" s="533">
        <v>57461</v>
      </c>
      <c r="G15" s="533">
        <v>57461</v>
      </c>
      <c r="H15" s="247"/>
      <c r="I15" s="247"/>
      <c r="J15" s="5" t="s">
        <v>475</v>
      </c>
      <c r="L15" s="529">
        <f>'EMEA CELLULAR'!D43</f>
        <v>31.153660262051059</v>
      </c>
      <c r="M15" s="529">
        <f>'EMEA CELLULAR'!E43</f>
        <v>40.589413647062131</v>
      </c>
      <c r="N15" s="529">
        <f>'EMEA CELLULAR'!F43</f>
        <v>28.94936800421025</v>
      </c>
      <c r="O15" s="529">
        <f>'EMEA CELLULAR'!G43</f>
        <v>25.752132437276039</v>
      </c>
      <c r="P15" s="286">
        <f>'EMEA CELLULAR'!H43</f>
        <v>6.5529048867266182E-2</v>
      </c>
      <c r="S15" s="88"/>
      <c r="T15" s="42"/>
      <c r="U15" s="42"/>
      <c r="V15" s="42"/>
      <c r="W15" s="42"/>
      <c r="X15" s="42"/>
      <c r="Y15" s="42"/>
      <c r="Z15" s="42"/>
      <c r="AA15" s="42"/>
    </row>
    <row r="16" spans="2:44">
      <c r="B16" s="5" t="s">
        <v>534</v>
      </c>
      <c r="C16" s="257"/>
      <c r="D16" s="533">
        <v>6111.8830805999996</v>
      </c>
      <c r="E16" s="533">
        <v>12223.766161199999</v>
      </c>
      <c r="F16" s="533">
        <v>18946.83754986</v>
      </c>
      <c r="G16" s="533">
        <v>26342.216077386001</v>
      </c>
      <c r="H16" s="247"/>
      <c r="I16" s="247"/>
      <c r="J16" s="5" t="s">
        <v>533</v>
      </c>
      <c r="L16" s="529">
        <f>'EMEA CELLULAR'!D44</f>
        <v>27.614186259633261</v>
      </c>
      <c r="M16" s="529">
        <f>'EMEA CELLULAR'!E44</f>
        <v>26.587472010710737</v>
      </c>
      <c r="N16" s="529">
        <f>'EMEA CELLULAR'!F44</f>
        <v>20.63478491648139</v>
      </c>
      <c r="O16" s="529">
        <f>'EMEA CELLULAR'!G44</f>
        <v>18.214851681953164</v>
      </c>
      <c r="P16" s="286">
        <f>'EMEA CELLULAR'!H44</f>
        <v>0.14827356589829632</v>
      </c>
      <c r="S16" s="88"/>
      <c r="T16" s="42"/>
      <c r="U16" s="42"/>
      <c r="V16" s="42"/>
      <c r="W16" s="42"/>
      <c r="X16" s="42"/>
      <c r="Y16" s="42"/>
      <c r="Z16" s="42"/>
      <c r="AA16" s="42"/>
    </row>
    <row r="17" spans="2:27">
      <c r="B17" s="5" t="s">
        <v>6</v>
      </c>
      <c r="C17" s="257"/>
      <c r="D17" s="533">
        <v>0</v>
      </c>
      <c r="E17" s="533">
        <v>0</v>
      </c>
      <c r="F17" s="533">
        <v>0</v>
      </c>
      <c r="G17" s="533">
        <v>0</v>
      </c>
      <c r="H17" s="247"/>
      <c r="I17" s="247"/>
      <c r="J17" s="5" t="s">
        <v>580</v>
      </c>
      <c r="L17" s="248">
        <f>'EMEA CELLULAR'!D45</f>
        <v>2.0041910197939054E-2</v>
      </c>
      <c r="M17" s="248">
        <f>'EMEA CELLULAR'!E45</f>
        <v>2.2662064400045302E-2</v>
      </c>
      <c r="N17" s="248">
        <f>'EMEA CELLULAR'!F45</f>
        <v>2.6655091715603346E-2</v>
      </c>
      <c r="O17" s="248">
        <f>'EMEA CELLULAR'!G45</f>
        <v>2.9169701214626476E-2</v>
      </c>
      <c r="P17" s="286">
        <f>'EMEA CELLULAR'!H45</f>
        <v>0.13276751641400475</v>
      </c>
      <c r="S17" s="88"/>
      <c r="T17" s="42"/>
      <c r="U17" s="42"/>
      <c r="V17" s="42"/>
      <c r="W17" s="42"/>
      <c r="X17" s="42"/>
      <c r="Y17" s="42"/>
      <c r="Z17" s="42"/>
      <c r="AA17" s="42"/>
    </row>
    <row r="18" spans="2:27" ht="12.6" thickBot="1">
      <c r="B18" s="41" t="s">
        <v>583</v>
      </c>
      <c r="C18" s="249"/>
      <c r="D18" s="534">
        <f>D11+D12+D13-D14+D15-D16-D17</f>
        <v>318948.56557839597</v>
      </c>
      <c r="E18" s="534">
        <f>E11+E12+E13-E14+E15-E16-E17</f>
        <v>345972.29378259828</v>
      </c>
      <c r="F18" s="534">
        <f>F11+F12+F13-F14+F15-F16-F17</f>
        <v>355784.92541498825</v>
      </c>
      <c r="G18" s="534">
        <f>G11+G12+G13-G14+G15-G16-G17</f>
        <v>365675.66689793958</v>
      </c>
      <c r="H18" s="276">
        <f>IF(D18=0,"nm",IF(G18=0,"nm",(G18/D18)^(1/3)-1))</f>
        <v>4.6626683858955964E-2</v>
      </c>
      <c r="I18" s="254"/>
      <c r="J18" s="5" t="s">
        <v>36</v>
      </c>
      <c r="L18" s="248">
        <f>'EMEA CELLULAR'!D46</f>
        <v>2.1131796481131483E-2</v>
      </c>
      <c r="M18" s="248">
        <f>'EMEA CELLULAR'!E46</f>
        <v>1.7391477966924081E-2</v>
      </c>
      <c r="N18" s="248">
        <f>'EMEA CELLULAR'!F46</f>
        <v>3.2252261934863267E-2</v>
      </c>
      <c r="O18" s="248">
        <f>'EMEA CELLULAR'!G46</f>
        <v>2.8815660020290752E-2</v>
      </c>
      <c r="P18" s="286">
        <f>'EMEA CELLULAR'!H46</f>
        <v>0.10842730164220327</v>
      </c>
      <c r="S18" s="88"/>
      <c r="T18" s="42"/>
      <c r="U18" s="42"/>
      <c r="V18" s="42"/>
      <c r="W18" s="42"/>
      <c r="X18" s="42"/>
      <c r="Y18" s="42"/>
      <c r="Z18" s="42"/>
      <c r="AA18" s="42"/>
    </row>
    <row r="19" spans="2:27" ht="12.6" thickTop="1">
      <c r="B19" s="41"/>
      <c r="C19" s="249"/>
      <c r="D19" s="229"/>
      <c r="E19" s="229"/>
      <c r="F19" s="229"/>
      <c r="G19" s="229"/>
      <c r="H19" s="276"/>
      <c r="I19" s="254"/>
      <c r="J19" s="5" t="s">
        <v>581</v>
      </c>
      <c r="L19" s="248">
        <f>'EMEA CELLULAR'!D47</f>
        <v>3.2098956963272834E-2</v>
      </c>
      <c r="M19" s="248">
        <f>'EMEA CELLULAR'!E47</f>
        <v>2.4636965901880678E-2</v>
      </c>
      <c r="N19" s="248">
        <f>'EMEA CELLULAR'!F47</f>
        <v>3.4543068430874381E-2</v>
      </c>
      <c r="O19" s="248">
        <f>'EMEA CELLULAR'!G47</f>
        <v>3.8831735679974472E-2</v>
      </c>
      <c r="P19" s="286">
        <f>'EMEA CELLULAR'!H47</f>
        <v>6.5529048867266182E-2</v>
      </c>
      <c r="S19" s="88"/>
      <c r="T19" s="42"/>
      <c r="U19" s="42"/>
      <c r="V19" s="42"/>
      <c r="W19" s="42"/>
      <c r="X19" s="42"/>
      <c r="Y19" s="42"/>
      <c r="Z19" s="42"/>
      <c r="AA19" s="42"/>
    </row>
    <row r="20" spans="2:27">
      <c r="H20" s="277"/>
      <c r="I20" s="17"/>
      <c r="J20" s="5" t="s">
        <v>604</v>
      </c>
      <c r="L20" s="305">
        <f>'EMEA CELLULAR'!D48</f>
        <v>0.66646495357608038</v>
      </c>
      <c r="M20" s="305">
        <f>'EMEA CELLULAR'!E48</f>
        <v>0.98055252685916661</v>
      </c>
      <c r="N20" s="305">
        <f>'EMEA CELLULAR'!F48</f>
        <v>0.8225795047533091</v>
      </c>
      <c r="O20" s="305">
        <f>'EMEA CELLULAR'!G48</f>
        <v>0.80076262408893306</v>
      </c>
      <c r="P20" s="286" t="str">
        <f>'EMEA CELLULAR'!H48</f>
        <v>nm</v>
      </c>
      <c r="S20" s="88"/>
      <c r="T20" s="42"/>
      <c r="U20" s="42"/>
      <c r="V20" s="42"/>
      <c r="W20" s="42"/>
      <c r="X20" s="42"/>
      <c r="Y20" s="42"/>
      <c r="Z20" s="42"/>
      <c r="AA20" s="42"/>
    </row>
    <row r="21" spans="2:27" ht="12.6" thickBot="1">
      <c r="B21" s="306" t="s">
        <v>945</v>
      </c>
      <c r="C21" s="265"/>
      <c r="D21" s="265" t="str">
        <f>D5</f>
        <v>2023E</v>
      </c>
      <c r="E21" s="265" t="str">
        <f t="shared" ref="E21:H21" si="2">E5</f>
        <v>2024E</v>
      </c>
      <c r="F21" s="265" t="str">
        <f t="shared" si="2"/>
        <v>2025E</v>
      </c>
      <c r="G21" s="265" t="str">
        <f t="shared" si="2"/>
        <v>2026E</v>
      </c>
      <c r="H21" s="265" t="str">
        <f t="shared" si="2"/>
        <v>23E-26E</v>
      </c>
      <c r="I21" s="49"/>
      <c r="J21" s="41"/>
      <c r="L21" s="250"/>
      <c r="M21" s="250"/>
      <c r="N21" s="250"/>
      <c r="O21" s="250"/>
      <c r="P21" s="286"/>
      <c r="S21" s="88"/>
      <c r="T21" s="42"/>
      <c r="U21" s="42"/>
      <c r="V21" s="42"/>
      <c r="W21" s="42"/>
      <c r="X21" s="42"/>
      <c r="Y21" s="42"/>
      <c r="Z21" s="42"/>
      <c r="AA21" s="42"/>
    </row>
    <row r="22" spans="2:27" ht="12.6" thickTop="1">
      <c r="B22" s="5"/>
      <c r="C22" s="257"/>
      <c r="D22" s="17"/>
      <c r="E22" s="17"/>
      <c r="F22" s="17"/>
      <c r="G22" s="17"/>
      <c r="H22" s="17"/>
      <c r="I22" s="17"/>
      <c r="P22" s="277"/>
      <c r="S22" s="88"/>
      <c r="T22" s="42"/>
      <c r="U22" s="42"/>
      <c r="V22" s="42"/>
      <c r="W22" s="42"/>
      <c r="X22" s="42"/>
      <c r="Y22" s="42"/>
      <c r="Z22" s="42"/>
      <c r="AA22" s="42"/>
    </row>
    <row r="23" spans="2:27" ht="12.6" thickBot="1">
      <c r="B23" s="5" t="s">
        <v>584</v>
      </c>
      <c r="C23" s="548">
        <v>207003</v>
      </c>
      <c r="D23" s="540">
        <v>215139.12115961715</v>
      </c>
      <c r="E23" s="540">
        <v>197871.31462700665</v>
      </c>
      <c r="F23" s="540">
        <v>222287.64486163048</v>
      </c>
      <c r="G23" s="540">
        <v>245223.60019749586</v>
      </c>
      <c r="H23" s="279">
        <f t="shared" ref="H23:H32" si="3">IF(D23=0,"nm",IF(G23=0,"nm",(G23/D23)^(1/3)-1))</f>
        <v>4.4594234907070041E-2</v>
      </c>
      <c r="I23" s="247"/>
      <c r="J23" s="306" t="s">
        <v>9</v>
      </c>
      <c r="K23" s="306"/>
      <c r="L23" s="265" t="str">
        <f>D21</f>
        <v>2023E</v>
      </c>
      <c r="M23" s="265" t="str">
        <f t="shared" ref="M23:P23" si="4">E21</f>
        <v>2024E</v>
      </c>
      <c r="N23" s="265" t="str">
        <f t="shared" si="4"/>
        <v>2025E</v>
      </c>
      <c r="O23" s="265" t="str">
        <f t="shared" si="4"/>
        <v>2026E</v>
      </c>
      <c r="P23" s="265" t="str">
        <f t="shared" si="4"/>
        <v>23E-26E</v>
      </c>
      <c r="S23" s="88"/>
      <c r="T23" s="42"/>
      <c r="U23" s="42"/>
      <c r="V23" s="42"/>
      <c r="W23" s="42"/>
      <c r="X23" s="42"/>
      <c r="Y23" s="42"/>
      <c r="Z23" s="42"/>
      <c r="AA23" s="42"/>
    </row>
    <row r="24" spans="2:27" ht="12.6" thickTop="1">
      <c r="B24" s="5" t="s">
        <v>483</v>
      </c>
      <c r="C24" s="549">
        <v>89838</v>
      </c>
      <c r="D24" s="540">
        <v>90926.252323841763</v>
      </c>
      <c r="E24" s="540">
        <v>79909.87041541074</v>
      </c>
      <c r="F24" s="540">
        <v>91895.800361222573</v>
      </c>
      <c r="G24" s="540">
        <v>102844.56933775524</v>
      </c>
      <c r="H24" s="279">
        <f t="shared" si="3"/>
        <v>4.1911162523096346E-2</v>
      </c>
      <c r="I24" s="249"/>
      <c r="J24" s="17"/>
      <c r="K24" s="17"/>
      <c r="L24" s="17"/>
      <c r="M24" s="17"/>
      <c r="N24" s="17"/>
      <c r="O24" s="248"/>
      <c r="S24" s="88"/>
      <c r="T24" s="42"/>
      <c r="U24" s="42"/>
      <c r="V24" s="42"/>
      <c r="W24" s="42" t="s">
        <v>404</v>
      </c>
      <c r="X24" s="42" t="s">
        <v>513</v>
      </c>
      <c r="Y24" s="42"/>
      <c r="Z24" s="42"/>
      <c r="AA24" s="42"/>
    </row>
    <row r="25" spans="2:27">
      <c r="B25" s="5" t="s">
        <v>183</v>
      </c>
      <c r="C25" s="548">
        <v>35737</v>
      </c>
      <c r="D25" s="540">
        <v>35119.208056193893</v>
      </c>
      <c r="E25" s="540">
        <v>34480.250600674721</v>
      </c>
      <c r="F25" s="540">
        <v>43776.291505760018</v>
      </c>
      <c r="G25" s="540">
        <v>52301.697863319037</v>
      </c>
      <c r="H25" s="279">
        <f t="shared" si="3"/>
        <v>0.14197612556269124</v>
      </c>
      <c r="I25" s="248"/>
      <c r="J25" s="247" t="s">
        <v>10</v>
      </c>
      <c r="K25" s="247"/>
      <c r="L25" s="321">
        <v>0</v>
      </c>
      <c r="M25" s="321">
        <v>0</v>
      </c>
      <c r="N25" s="321">
        <v>0</v>
      </c>
      <c r="O25" s="321">
        <v>0</v>
      </c>
      <c r="P25" s="279" t="str">
        <f>IF(L25=0,"nm",IF(O25=0,"nm",(O25/L25)^(1/3)-1))</f>
        <v>nm</v>
      </c>
      <c r="S25" s="88"/>
      <c r="T25" s="42"/>
      <c r="U25" s="42"/>
      <c r="V25" s="147" t="s">
        <v>273</v>
      </c>
      <c r="W25" s="288">
        <f>D37/L9</f>
        <v>0.48812120246679269</v>
      </c>
      <c r="X25" s="288">
        <v>1</v>
      </c>
      <c r="Y25" s="42"/>
      <c r="Z25" s="42"/>
      <c r="AA25" s="42"/>
    </row>
    <row r="26" spans="2:27">
      <c r="B26" s="5" t="s">
        <v>586</v>
      </c>
      <c r="C26" s="548">
        <v>20893.088972431076</v>
      </c>
      <c r="D26" s="540">
        <v>20369.140672592461</v>
      </c>
      <c r="E26" s="540">
        <v>19998.545348391341</v>
      </c>
      <c r="F26" s="540">
        <v>25390.249073340812</v>
      </c>
      <c r="G26" s="540">
        <v>30334.984760725045</v>
      </c>
      <c r="H26" s="279">
        <f t="shared" si="3"/>
        <v>0.14197612556269124</v>
      </c>
      <c r="I26" s="249"/>
      <c r="J26" s="249" t="s">
        <v>11</v>
      </c>
      <c r="K26" s="249"/>
      <c r="L26" s="281">
        <f>D11+L25</f>
        <v>159427.54411456001</v>
      </c>
      <c r="M26" s="281">
        <f>E11+M25</f>
        <v>159427.54411456001</v>
      </c>
      <c r="N26" s="281">
        <f>F11+N25</f>
        <v>159427.54411456001</v>
      </c>
      <c r="O26" s="281">
        <f>G11+O25</f>
        <v>159427.54411456001</v>
      </c>
      <c r="P26" s="279">
        <f>IF(L26=0,"nm",IF(O26=0,"nm",(O26/L26)^(1/3)-1))</f>
        <v>0</v>
      </c>
      <c r="Q26" s="5"/>
      <c r="S26" s="88"/>
      <c r="T26" s="42"/>
      <c r="U26" s="42"/>
      <c r="V26" s="147" t="s">
        <v>184</v>
      </c>
      <c r="W26" s="288">
        <f t="shared" ref="W26:W33" si="5">D38/L10</f>
        <v>0.48558393423886381</v>
      </c>
      <c r="X26" s="288">
        <v>1</v>
      </c>
      <c r="Y26" s="42"/>
      <c r="Z26" s="42"/>
      <c r="AA26" s="42"/>
    </row>
    <row r="27" spans="2:27">
      <c r="B27" s="5" t="s">
        <v>587</v>
      </c>
      <c r="C27" s="549">
        <v>208092</v>
      </c>
      <c r="D27" s="540">
        <v>221542.6440400416</v>
      </c>
      <c r="E27" s="540">
        <v>230836.42901089802</v>
      </c>
      <c r="F27" s="540">
        <v>233040.28970773131</v>
      </c>
      <c r="G27" s="540">
        <v>237794.88303407293</v>
      </c>
      <c r="H27" s="279">
        <f t="shared" si="3"/>
        <v>2.3878421348017431E-2</v>
      </c>
      <c r="I27" s="249"/>
      <c r="J27" s="248"/>
      <c r="K27" s="248"/>
      <c r="L27" s="248"/>
      <c r="M27" s="248"/>
      <c r="N27" s="248"/>
      <c r="O27" s="248"/>
      <c r="Q27" s="41"/>
      <c r="S27" s="88"/>
      <c r="T27" s="42"/>
      <c r="U27" s="42"/>
      <c r="V27" s="147" t="s">
        <v>185</v>
      </c>
      <c r="W27" s="288">
        <f t="shared" si="5"/>
        <v>0.65177864647758998</v>
      </c>
      <c r="X27" s="288">
        <v>1</v>
      </c>
      <c r="Y27" s="42"/>
      <c r="Z27" s="42"/>
      <c r="AA27" s="42"/>
    </row>
    <row r="28" spans="2:27" ht="12.6" thickBot="1">
      <c r="B28" s="5" t="s">
        <v>592</v>
      </c>
      <c r="C28" s="548">
        <v>159401</v>
      </c>
      <c r="D28" s="540">
        <v>188379.35130195803</v>
      </c>
      <c r="E28" s="540">
        <v>191368.92034085566</v>
      </c>
      <c r="F28" s="540">
        <v>194151.72744019481</v>
      </c>
      <c r="G28" s="540">
        <v>198526.26685544243</v>
      </c>
      <c r="H28" s="279">
        <f t="shared" si="3"/>
        <v>1.7641695814025304E-2</v>
      </c>
      <c r="I28" s="248"/>
      <c r="J28" s="306" t="s">
        <v>1362</v>
      </c>
      <c r="K28" s="306"/>
      <c r="L28" s="306"/>
      <c r="M28" s="306"/>
      <c r="N28" s="266"/>
      <c r="O28" s="266"/>
      <c r="P28" s="266"/>
      <c r="Q28" s="5"/>
      <c r="S28" s="88"/>
      <c r="T28" s="42"/>
      <c r="U28" s="42"/>
      <c r="V28" s="147" t="s">
        <v>466</v>
      </c>
      <c r="W28" s="288">
        <f t="shared" si="5"/>
        <v>0.75668290291418305</v>
      </c>
      <c r="X28" s="288">
        <v>1</v>
      </c>
      <c r="Y28" s="42"/>
      <c r="Z28" s="42"/>
      <c r="AA28" s="42"/>
    </row>
    <row r="29" spans="2:27" ht="12.6" thickTop="1">
      <c r="B29" s="5" t="s">
        <v>588</v>
      </c>
      <c r="C29" s="548">
        <v>-1350.1383707454224</v>
      </c>
      <c r="D29" s="540">
        <v>-3244.3282032230377</v>
      </c>
      <c r="E29" s="540">
        <v>-8705.0320110847897</v>
      </c>
      <c r="F29" s="540">
        <v>846.16436277926937</v>
      </c>
      <c r="G29" s="540">
        <v>2056.6930287417481</v>
      </c>
      <c r="H29" s="279">
        <f t="shared" si="3"/>
        <v>-1.8590429895883656</v>
      </c>
      <c r="I29" s="252"/>
      <c r="J29" s="249"/>
      <c r="K29" s="249"/>
      <c r="L29" s="249"/>
      <c r="M29" s="249"/>
      <c r="N29" s="249"/>
      <c r="O29" s="251"/>
      <c r="Q29" s="5"/>
      <c r="S29" s="88"/>
      <c r="T29" s="42"/>
      <c r="U29" s="42"/>
      <c r="V29" s="147" t="s">
        <v>530</v>
      </c>
      <c r="W29" s="288">
        <f t="shared" si="5"/>
        <v>0.49534996401904013</v>
      </c>
      <c r="X29" s="288">
        <v>1</v>
      </c>
      <c r="Y29" s="42"/>
      <c r="Z29" s="42"/>
      <c r="AA29" s="42"/>
    </row>
    <row r="30" spans="2:27">
      <c r="B30" s="5" t="s">
        <v>589</v>
      </c>
      <c r="C30" s="549">
        <v>24218.542688527195</v>
      </c>
      <c r="D30" s="540">
        <v>24494.03930854212</v>
      </c>
      <c r="E30" s="540">
        <v>9870.7867898611403</v>
      </c>
      <c r="F30" s="540">
        <v>12711.385490395052</v>
      </c>
      <c r="G30" s="540">
        <v>18065.863731676021</v>
      </c>
      <c r="H30" s="279">
        <f t="shared" si="3"/>
        <v>-9.6490396249268251E-2</v>
      </c>
      <c r="I30" s="254"/>
      <c r="J30" s="248"/>
      <c r="K30" s="248"/>
      <c r="L30" s="248"/>
      <c r="M30" s="248"/>
      <c r="N30" s="248"/>
      <c r="O30" s="5"/>
      <c r="Q30" s="5"/>
      <c r="S30" s="88"/>
      <c r="T30" s="42"/>
      <c r="U30" s="42"/>
      <c r="V30" s="147" t="s">
        <v>593</v>
      </c>
      <c r="W30" s="288">
        <f t="shared" si="5"/>
        <v>0.40326121508649632</v>
      </c>
      <c r="X30" s="288">
        <v>1</v>
      </c>
      <c r="Y30" s="42"/>
      <c r="Z30" s="42"/>
      <c r="AA30" s="42"/>
    </row>
    <row r="31" spans="2:27">
      <c r="B31" s="5" t="s">
        <v>590</v>
      </c>
      <c r="C31" s="549">
        <v>6111.8830805999996</v>
      </c>
      <c r="D31" s="540">
        <v>6111.8830805999996</v>
      </c>
      <c r="E31" s="540">
        <v>6723.0713886600006</v>
      </c>
      <c r="F31" s="540">
        <v>7395.3785275260007</v>
      </c>
      <c r="G31" s="540">
        <v>8134.9163802786015</v>
      </c>
      <c r="H31" s="279">
        <f t="shared" si="3"/>
        <v>0.10000000000000009</v>
      </c>
      <c r="I31" s="254"/>
      <c r="J31" s="252"/>
      <c r="K31" s="252"/>
      <c r="L31" s="252"/>
      <c r="M31" s="252"/>
      <c r="N31" s="252"/>
      <c r="O31" s="5"/>
      <c r="Q31" s="5"/>
      <c r="S31" s="88"/>
      <c r="T31" s="42"/>
      <c r="U31" s="42"/>
      <c r="V31" s="147" t="s">
        <v>475</v>
      </c>
      <c r="W31" s="288">
        <f t="shared" si="5"/>
        <v>-1.5773551739339033</v>
      </c>
      <c r="X31" s="288">
        <v>1</v>
      </c>
      <c r="Y31" s="42"/>
      <c r="Z31" s="42"/>
      <c r="AA31" s="42"/>
    </row>
    <row r="32" spans="2:27">
      <c r="B32" s="5" t="s">
        <v>606</v>
      </c>
      <c r="C32" s="550">
        <v>0</v>
      </c>
      <c r="D32" s="540">
        <v>0</v>
      </c>
      <c r="E32" s="540">
        <v>0</v>
      </c>
      <c r="F32" s="540">
        <v>0</v>
      </c>
      <c r="G32" s="540">
        <v>0</v>
      </c>
      <c r="H32" s="279" t="str">
        <f t="shared" si="3"/>
        <v>nm</v>
      </c>
      <c r="I32" s="254"/>
      <c r="J32" s="254"/>
      <c r="K32" s="254"/>
      <c r="L32" s="254"/>
      <c r="M32" s="254"/>
      <c r="N32" s="254"/>
      <c r="O32" s="251"/>
      <c r="Q32" s="5"/>
      <c r="S32" s="88"/>
      <c r="T32" s="42"/>
      <c r="U32" s="42"/>
      <c r="V32" s="147" t="s">
        <v>533</v>
      </c>
      <c r="W32" s="288">
        <f t="shared" si="5"/>
        <v>0.23570603144478017</v>
      </c>
      <c r="X32" s="288">
        <v>1</v>
      </c>
      <c r="Y32" s="42"/>
      <c r="Z32" s="42"/>
      <c r="AA32" s="42"/>
    </row>
    <row r="33" spans="2:27">
      <c r="B33" s="5" t="s">
        <v>5</v>
      </c>
      <c r="C33" s="549">
        <v>-17686</v>
      </c>
      <c r="D33" s="540">
        <v>-47387.31314543997</v>
      </c>
      <c r="E33" s="540">
        <v>-44622.104126919483</v>
      </c>
      <c r="F33" s="540">
        <v>-32224.546904045346</v>
      </c>
      <c r="G33" s="540">
        <v>-33701.473358361349</v>
      </c>
      <c r="H33" s="279">
        <f>IF(D33=0,"nm",IF(G33=0,"nm",(G33/D33)^(1/3)-1))</f>
        <v>-0.10738893202440558</v>
      </c>
      <c r="I33" s="5"/>
      <c r="J33" s="254"/>
      <c r="K33" s="254"/>
      <c r="L33" s="254"/>
      <c r="M33" s="254"/>
      <c r="N33" s="254"/>
      <c r="O33" s="251"/>
      <c r="Q33" s="5"/>
      <c r="S33" s="88"/>
      <c r="T33" s="42"/>
      <c r="U33" s="42"/>
      <c r="V33" s="147" t="s">
        <v>580</v>
      </c>
      <c r="W33" s="288">
        <f t="shared" si="5"/>
        <v>1.9128132422581159</v>
      </c>
      <c r="X33" s="288">
        <v>1</v>
      </c>
      <c r="Y33" s="42"/>
      <c r="Z33" s="42"/>
      <c r="AA33" s="42"/>
    </row>
    <row r="34" spans="2:27">
      <c r="H34" s="277"/>
      <c r="I34" s="49"/>
      <c r="J34" s="254"/>
      <c r="K34" s="254"/>
      <c r="L34" s="254"/>
      <c r="M34" s="254"/>
      <c r="N34" s="254"/>
      <c r="O34" s="251"/>
      <c r="Q34" s="5"/>
      <c r="S34" s="88"/>
      <c r="T34" s="42"/>
      <c r="U34" s="42"/>
      <c r="V34" s="147" t="s">
        <v>581</v>
      </c>
      <c r="W34" s="288">
        <f>D47/L19</f>
        <v>-0.63397262488828876</v>
      </c>
      <c r="X34" s="288">
        <v>1</v>
      </c>
      <c r="Y34" s="288"/>
      <c r="Z34" s="288"/>
      <c r="AA34" s="42"/>
    </row>
    <row r="35" spans="2:27" ht="12.6" thickBot="1">
      <c r="B35" s="306" t="s">
        <v>568</v>
      </c>
      <c r="C35" s="265"/>
      <c r="D35" s="265" t="str">
        <f>D5</f>
        <v>2023E</v>
      </c>
      <c r="E35" s="265" t="str">
        <f t="shared" ref="E35:H35" si="6">E5</f>
        <v>2024E</v>
      </c>
      <c r="F35" s="265" t="str">
        <f t="shared" si="6"/>
        <v>2025E</v>
      </c>
      <c r="G35" s="265" t="str">
        <f t="shared" si="6"/>
        <v>2026E</v>
      </c>
      <c r="H35" s="265" t="str">
        <f t="shared" si="6"/>
        <v>23E-26E</v>
      </c>
      <c r="I35" s="254"/>
      <c r="J35" s="5"/>
      <c r="K35" s="5"/>
      <c r="L35" s="5"/>
      <c r="M35" s="5"/>
      <c r="N35" s="5"/>
      <c r="O35" s="5"/>
      <c r="Q35" s="5"/>
      <c r="S35" s="88"/>
      <c r="T35" s="42"/>
      <c r="U35" s="42"/>
      <c r="V35" s="42"/>
      <c r="W35" s="42"/>
      <c r="X35" s="42"/>
      <c r="Y35" s="288"/>
      <c r="Z35" s="288"/>
      <c r="AA35" s="42"/>
    </row>
    <row r="36" spans="2:27" ht="12.6" thickTop="1">
      <c r="B36" s="41"/>
      <c r="C36" s="249"/>
      <c r="D36" s="254"/>
      <c r="E36" s="254"/>
      <c r="F36" s="254"/>
      <c r="G36" s="254"/>
      <c r="H36" s="254"/>
      <c r="I36" s="17"/>
      <c r="J36" s="49"/>
      <c r="K36" s="49"/>
      <c r="L36" s="49"/>
      <c r="M36" s="49"/>
      <c r="N36" s="49"/>
      <c r="O36" s="49"/>
      <c r="Q36" s="5"/>
      <c r="S36" s="88"/>
      <c r="T36" s="42"/>
      <c r="U36" s="42"/>
      <c r="V36" s="42"/>
      <c r="W36" s="42"/>
      <c r="X36" s="42"/>
      <c r="Y36" s="288"/>
      <c r="Z36" s="288"/>
      <c r="AA36" s="42"/>
    </row>
    <row r="37" spans="2:27">
      <c r="B37" s="5" t="s">
        <v>273</v>
      </c>
      <c r="C37" s="247"/>
      <c r="D37" s="529">
        <f>D$18/D23</f>
        <v>1.4825223969459278</v>
      </c>
      <c r="E37" s="529">
        <f t="shared" ref="E37:G41" si="7">E$18/E23</f>
        <v>1.7484711941938953</v>
      </c>
      <c r="F37" s="529">
        <f t="shared" si="7"/>
        <v>1.6005609562171441</v>
      </c>
      <c r="G37" s="529">
        <f t="shared" si="7"/>
        <v>1.491192799565112</v>
      </c>
      <c r="H37" s="17">
        <f t="shared" ref="H37:H45" si="8">H23</f>
        <v>4.4594234907070041E-2</v>
      </c>
      <c r="I37" s="5"/>
      <c r="J37" s="259"/>
      <c r="K37" s="259"/>
      <c r="L37" s="259"/>
      <c r="M37" s="259"/>
      <c r="N37" s="259"/>
      <c r="O37" s="18"/>
      <c r="Q37" s="5"/>
      <c r="R37" s="5"/>
      <c r="S37" s="42"/>
      <c r="T37" s="42"/>
      <c r="U37" s="42"/>
      <c r="V37" s="42"/>
      <c r="W37" s="42"/>
      <c r="X37" s="42"/>
      <c r="Y37" s="42"/>
      <c r="Z37" s="42"/>
      <c r="AA37" s="42"/>
    </row>
    <row r="38" spans="2:27">
      <c r="B38" s="5" t="s">
        <v>184</v>
      </c>
      <c r="C38" s="247"/>
      <c r="D38" s="529">
        <f>D$18/D24</f>
        <v>3.507772039723279</v>
      </c>
      <c r="E38" s="529">
        <f t="shared" si="7"/>
        <v>4.3295314081234828</v>
      </c>
      <c r="F38" s="529">
        <f t="shared" si="7"/>
        <v>3.8716124568965551</v>
      </c>
      <c r="G38" s="529">
        <f t="shared" si="7"/>
        <v>3.5556147422525739</v>
      </c>
      <c r="H38" s="17">
        <f t="shared" si="8"/>
        <v>4.1911162523096346E-2</v>
      </c>
      <c r="I38" s="259"/>
      <c r="J38" s="17"/>
      <c r="K38" s="17"/>
      <c r="L38" s="17"/>
      <c r="M38" s="17"/>
      <c r="N38" s="17"/>
      <c r="O38" s="5"/>
      <c r="Q38" s="5"/>
      <c r="R38" s="5"/>
      <c r="S38" s="42"/>
      <c r="T38" s="42"/>
      <c r="U38" s="42"/>
      <c r="V38" s="42"/>
      <c r="W38" s="42"/>
      <c r="X38" s="42"/>
      <c r="Y38" s="42"/>
      <c r="Z38" s="42"/>
      <c r="AA38" s="42"/>
    </row>
    <row r="39" spans="2:27">
      <c r="B39" s="5" t="s">
        <v>185</v>
      </c>
      <c r="C39" s="247"/>
      <c r="D39" s="529">
        <f>D$18/D25</f>
        <v>9.081883767653574</v>
      </c>
      <c r="E39" s="529">
        <f t="shared" si="7"/>
        <v>10.033926313047974</v>
      </c>
      <c r="F39" s="529">
        <f t="shared" si="7"/>
        <v>8.1273427505428284</v>
      </c>
      <c r="G39" s="529">
        <f t="shared" si="7"/>
        <v>6.9916595796481857</v>
      </c>
      <c r="H39" s="17">
        <f t="shared" si="8"/>
        <v>0.14197612556269124</v>
      </c>
      <c r="I39" s="17"/>
      <c r="J39" s="5"/>
      <c r="K39" s="5"/>
      <c r="L39" s="5"/>
      <c r="M39" s="5"/>
      <c r="N39" s="5"/>
      <c r="O39" s="5"/>
      <c r="Q39" s="5"/>
      <c r="R39" s="5"/>
      <c r="S39" s="42"/>
      <c r="T39" s="42"/>
      <c r="U39" s="42"/>
      <c r="V39" s="42"/>
      <c r="W39" s="42"/>
      <c r="X39" s="42"/>
      <c r="Y39" s="42"/>
      <c r="Z39" s="42"/>
      <c r="AA39" s="42"/>
    </row>
    <row r="40" spans="2:27">
      <c r="B40" s="5" t="s">
        <v>466</v>
      </c>
      <c r="C40" s="247"/>
      <c r="D40" s="529">
        <f>D$18/D26</f>
        <v>15.658420289057885</v>
      </c>
      <c r="E40" s="529">
        <f t="shared" si="7"/>
        <v>17.299872953530986</v>
      </c>
      <c r="F40" s="529">
        <f t="shared" si="7"/>
        <v>14.012659914729012</v>
      </c>
      <c r="G40" s="529">
        <f t="shared" si="7"/>
        <v>12.054585482152042</v>
      </c>
      <c r="H40" s="17">
        <f t="shared" si="8"/>
        <v>0.14197612556269124</v>
      </c>
      <c r="I40" s="5"/>
      <c r="J40" s="259"/>
      <c r="K40" s="259"/>
      <c r="L40" s="259"/>
      <c r="M40" s="259"/>
      <c r="N40" s="259"/>
      <c r="O40" s="18"/>
      <c r="Q40" s="5"/>
      <c r="R40" s="5"/>
      <c r="S40" s="42"/>
      <c r="T40" s="42"/>
      <c r="U40" s="42"/>
      <c r="V40" s="42"/>
      <c r="W40" s="288"/>
      <c r="X40" s="288"/>
      <c r="Y40" s="42"/>
      <c r="Z40" s="42"/>
      <c r="AA40" s="42"/>
    </row>
    <row r="41" spans="2:27">
      <c r="B41" s="5" t="s">
        <v>530</v>
      </c>
      <c r="C41" s="247"/>
      <c r="D41" s="529">
        <f>D$18/D27</f>
        <v>1.439671206238512</v>
      </c>
      <c r="E41" s="529">
        <f t="shared" si="7"/>
        <v>1.4987768406617683</v>
      </c>
      <c r="F41" s="529">
        <f t="shared" si="7"/>
        <v>1.5267099344117609</v>
      </c>
      <c r="G41" s="529">
        <f t="shared" si="7"/>
        <v>1.5377776940874837</v>
      </c>
      <c r="H41" s="17">
        <f t="shared" si="8"/>
        <v>2.3878421348017431E-2</v>
      </c>
      <c r="I41" s="247"/>
      <c r="J41" s="17"/>
      <c r="K41" s="17"/>
      <c r="L41" s="17"/>
      <c r="M41" s="17"/>
      <c r="N41" s="17"/>
      <c r="O41" s="5"/>
      <c r="Q41" s="5"/>
      <c r="R41" s="5"/>
      <c r="S41" s="42"/>
      <c r="T41" s="42"/>
      <c r="U41" s="42"/>
      <c r="V41" s="42"/>
      <c r="W41" s="288"/>
      <c r="X41" s="288"/>
      <c r="Y41" s="288"/>
      <c r="Z41" s="288"/>
      <c r="AA41" s="42"/>
    </row>
    <row r="42" spans="2:27">
      <c r="B42" s="5" t="s">
        <v>593</v>
      </c>
      <c r="C42" s="247"/>
      <c r="D42" s="529">
        <f>D18/D28</f>
        <v>1.6931185046239237</v>
      </c>
      <c r="E42" s="529">
        <f>E18/E28</f>
        <v>1.8078813067784032</v>
      </c>
      <c r="F42" s="529">
        <f>F18/F28</f>
        <v>1.8325097082877198</v>
      </c>
      <c r="G42" s="529">
        <f>G18/G28</f>
        <v>1.8419510560998336</v>
      </c>
      <c r="H42" s="17">
        <f t="shared" si="8"/>
        <v>1.7641695814025304E-2</v>
      </c>
      <c r="I42" s="248"/>
      <c r="J42" s="5"/>
      <c r="K42" s="5"/>
      <c r="L42" s="5"/>
      <c r="M42" s="5"/>
      <c r="N42" s="5"/>
      <c r="O42" s="5"/>
      <c r="Q42" s="5"/>
      <c r="R42" s="5"/>
      <c r="S42" s="42"/>
      <c r="T42" s="42"/>
      <c r="U42" s="42"/>
      <c r="V42" s="42"/>
      <c r="W42" s="288"/>
      <c r="X42" s="288"/>
      <c r="Y42" s="288"/>
      <c r="Z42" s="288"/>
      <c r="AA42" s="42"/>
    </row>
    <row r="43" spans="2:27">
      <c r="B43" s="5" t="s">
        <v>475</v>
      </c>
      <c r="C43" s="247"/>
      <c r="D43" s="529">
        <f>L26/D29</f>
        <v>-49.140387201325282</v>
      </c>
      <c r="E43" s="529">
        <f>M26/E29</f>
        <v>-18.314412159719641</v>
      </c>
      <c r="F43" s="529">
        <f>N26/F29</f>
        <v>188.41202859325372</v>
      </c>
      <c r="G43" s="529">
        <f>O26/G29</f>
        <v>77.516450868749828</v>
      </c>
      <c r="H43" s="17">
        <f t="shared" si="8"/>
        <v>-1.8590429895883656</v>
      </c>
      <c r="I43" s="247"/>
      <c r="J43" s="247"/>
      <c r="K43" s="247"/>
      <c r="L43" s="247"/>
      <c r="M43" s="247"/>
      <c r="N43" s="247"/>
      <c r="O43" s="18"/>
      <c r="Q43" s="5"/>
      <c r="R43" s="5"/>
      <c r="S43" s="42"/>
      <c r="T43" s="42"/>
      <c r="U43" s="42"/>
      <c r="V43" s="42"/>
      <c r="W43" s="288"/>
      <c r="X43" s="288"/>
      <c r="Y43" s="288"/>
      <c r="Z43" s="288"/>
      <c r="AA43" s="42"/>
    </row>
    <row r="44" spans="2:27">
      <c r="B44" s="5" t="s">
        <v>533</v>
      </c>
      <c r="C44" s="69"/>
      <c r="D44" s="529">
        <f>D11/D30</f>
        <v>6.508830254835134</v>
      </c>
      <c r="E44" s="529">
        <f>E11/E30</f>
        <v>16.15145251423294</v>
      </c>
      <c r="F44" s="529">
        <f>F11/F30</f>
        <v>12.542105991123176</v>
      </c>
      <c r="G44" s="529">
        <f>G11/G30</f>
        <v>8.8247950102172865</v>
      </c>
      <c r="H44" s="17">
        <f t="shared" si="8"/>
        <v>-9.6490396249268251E-2</v>
      </c>
      <c r="I44" s="247"/>
      <c r="J44" s="248"/>
      <c r="K44" s="248"/>
      <c r="L44" s="248"/>
      <c r="M44" s="248"/>
      <c r="N44" s="248"/>
      <c r="O44" s="248"/>
      <c r="Q44" s="5"/>
      <c r="R44" s="5"/>
      <c r="S44" s="42"/>
      <c r="T44" s="42"/>
      <c r="U44" s="42"/>
      <c r="V44" s="42"/>
      <c r="W44" s="325"/>
      <c r="X44" s="325"/>
      <c r="Y44" s="288"/>
      <c r="Z44" s="288"/>
      <c r="AA44" s="42"/>
    </row>
    <row r="45" spans="2:27">
      <c r="B45" s="5" t="s">
        <v>580</v>
      </c>
      <c r="C45" s="247"/>
      <c r="D45" s="248">
        <f>D31/D11</f>
        <v>3.8336431226765798E-2</v>
      </c>
      <c r="E45" s="248">
        <f>E31/E11</f>
        <v>4.217007434944238E-2</v>
      </c>
      <c r="F45" s="248">
        <f>F31/F11</f>
        <v>4.6387081784386622E-2</v>
      </c>
      <c r="G45" s="248">
        <f>G31/G11</f>
        <v>5.1025789962825287E-2</v>
      </c>
      <c r="H45" s="17">
        <f t="shared" si="8"/>
        <v>0.10000000000000009</v>
      </c>
      <c r="I45" s="248"/>
      <c r="J45" s="247"/>
      <c r="K45" s="247"/>
      <c r="L45" s="247"/>
      <c r="M45" s="247"/>
      <c r="N45" s="247"/>
      <c r="O45" s="248"/>
      <c r="Q45" s="5"/>
      <c r="R45" s="5"/>
      <c r="S45" s="42"/>
      <c r="T45" s="42"/>
      <c r="U45" s="42"/>
      <c r="V45" s="42"/>
      <c r="W45" s="42"/>
      <c r="X45" s="42"/>
      <c r="Y45" s="325"/>
      <c r="Z45" s="325"/>
      <c r="AA45" s="42"/>
    </row>
    <row r="46" spans="2:27">
      <c r="B46" s="5" t="s">
        <v>605</v>
      </c>
      <c r="C46" s="247"/>
      <c r="D46" s="248">
        <f>(D31+D32)/D11</f>
        <v>3.8336431226765798E-2</v>
      </c>
      <c r="E46" s="248">
        <f>(E31+E32)/E11</f>
        <v>4.217007434944238E-2</v>
      </c>
      <c r="F46" s="248">
        <f>(F31+F32)/F11</f>
        <v>4.6387081784386622E-2</v>
      </c>
      <c r="G46" s="248">
        <f>(G31+G32)/G11</f>
        <v>5.1025789962825287E-2</v>
      </c>
      <c r="H46" s="279">
        <f>((G31+G32)/(D31+D32))^(1/3)-1</f>
        <v>0.10000000000000009</v>
      </c>
      <c r="I46" s="247"/>
      <c r="J46" s="247"/>
      <c r="K46" s="247"/>
      <c r="L46" s="247"/>
      <c r="M46" s="247"/>
      <c r="N46" s="247"/>
      <c r="O46" s="18"/>
      <c r="Q46" s="5"/>
      <c r="R46" s="5"/>
      <c r="S46" s="42"/>
      <c r="T46" s="42"/>
      <c r="U46" s="42"/>
      <c r="V46" s="42"/>
      <c r="W46" s="42"/>
      <c r="X46" s="42"/>
      <c r="Y46" s="42"/>
      <c r="Z46" s="42"/>
      <c r="AA46" s="326"/>
    </row>
    <row r="47" spans="2:27">
      <c r="B47" s="5" t="s">
        <v>581</v>
      </c>
      <c r="C47" s="5"/>
      <c r="D47" s="248">
        <f>1/D43</f>
        <v>-2.0349860002182293E-2</v>
      </c>
      <c r="E47" s="248">
        <f>1/E43</f>
        <v>-5.4601807105738309E-2</v>
      </c>
      <c r="F47" s="248">
        <f>1/F43</f>
        <v>5.3075167624186707E-3</v>
      </c>
      <c r="G47" s="248">
        <f>1/G43</f>
        <v>1.2900487429348271E-2</v>
      </c>
      <c r="H47" s="17">
        <f>H29</f>
        <v>-1.8590429895883656</v>
      </c>
      <c r="I47" s="17"/>
      <c r="J47" s="248"/>
      <c r="K47" s="248"/>
      <c r="L47" s="248"/>
      <c r="M47" s="248"/>
      <c r="N47" s="248"/>
      <c r="O47" s="248"/>
      <c r="Q47" s="5"/>
      <c r="R47" s="5"/>
      <c r="S47" s="42"/>
      <c r="T47" s="42"/>
      <c r="U47" s="42"/>
      <c r="V47" s="42"/>
      <c r="W47" s="42"/>
      <c r="X47" s="42"/>
      <c r="Y47" s="42"/>
      <c r="Z47" s="42"/>
      <c r="AA47" s="326"/>
    </row>
    <row r="48" spans="2:27">
      <c r="B48" s="5" t="s">
        <v>618</v>
      </c>
      <c r="C48" s="5"/>
      <c r="D48" s="305">
        <f>D31/D29</f>
        <v>-1.8838670744002488</v>
      </c>
      <c r="E48" s="305">
        <f>E31/E29</f>
        <v>-0.77232012244170889</v>
      </c>
      <c r="F48" s="305">
        <f>F31/F29</f>
        <v>8.7398841795174498</v>
      </c>
      <c r="G48" s="305">
        <f>G31/G29</f>
        <v>3.9553381406924948</v>
      </c>
      <c r="H48" s="279" t="s">
        <v>607</v>
      </c>
      <c r="I48" s="247"/>
      <c r="J48" s="247"/>
      <c r="K48" s="247"/>
      <c r="L48" s="247"/>
      <c r="M48" s="247"/>
      <c r="N48" s="247"/>
      <c r="O48" s="248"/>
      <c r="Q48" s="5"/>
      <c r="R48" s="5"/>
      <c r="S48" s="42"/>
      <c r="T48" s="42"/>
      <c r="U48" s="42"/>
      <c r="V48" s="42"/>
      <c r="W48" s="42"/>
      <c r="X48" s="42"/>
      <c r="Y48" s="42"/>
      <c r="Z48" s="42"/>
      <c r="AA48" s="326"/>
    </row>
    <row r="49" spans="2:27">
      <c r="B49" s="41"/>
      <c r="C49" s="17"/>
      <c r="D49" s="17"/>
      <c r="E49" s="17"/>
      <c r="F49" s="17"/>
      <c r="G49" s="17"/>
      <c r="H49" s="17"/>
      <c r="I49" s="254"/>
      <c r="J49" s="17"/>
      <c r="K49" s="17"/>
      <c r="L49" s="17"/>
      <c r="M49" s="17"/>
      <c r="N49" s="17"/>
      <c r="O49" s="248"/>
      <c r="Q49" s="5"/>
      <c r="R49" s="5"/>
      <c r="S49" s="42"/>
      <c r="T49" s="42"/>
      <c r="U49" s="42"/>
      <c r="V49" s="42"/>
      <c r="W49" s="42"/>
      <c r="X49" s="42"/>
      <c r="Y49" s="42"/>
      <c r="Z49" s="42"/>
      <c r="AA49" s="326"/>
    </row>
    <row r="50" spans="2:27">
      <c r="B50" s="5"/>
      <c r="C50" s="257"/>
      <c r="D50" s="257"/>
      <c r="E50" s="257"/>
      <c r="F50" s="5"/>
      <c r="G50" s="41"/>
      <c r="H50" s="249"/>
      <c r="I50" s="17"/>
      <c r="J50" s="249"/>
      <c r="K50" s="249"/>
      <c r="L50" s="249"/>
      <c r="M50" s="249"/>
      <c r="N50" s="249"/>
      <c r="O50" s="250"/>
      <c r="Q50" s="5"/>
      <c r="R50" s="5"/>
      <c r="S50" s="42"/>
      <c r="T50" s="42"/>
      <c r="U50" s="42"/>
      <c r="V50" s="42"/>
      <c r="W50" s="288"/>
      <c r="X50" s="288"/>
      <c r="Y50" s="42"/>
      <c r="Z50" s="42"/>
      <c r="AA50" s="326"/>
    </row>
    <row r="51" spans="2:27">
      <c r="B51" s="41"/>
      <c r="C51" s="249"/>
      <c r="D51" s="254"/>
      <c r="E51" s="254"/>
      <c r="F51" s="254"/>
      <c r="G51" s="254"/>
      <c r="H51" s="254"/>
      <c r="I51" s="259"/>
      <c r="J51" s="254"/>
      <c r="K51" s="254"/>
      <c r="L51" s="254"/>
      <c r="M51" s="254"/>
      <c r="N51" s="254"/>
      <c r="O51" s="251"/>
      <c r="Q51" s="5"/>
      <c r="R51" s="5"/>
      <c r="S51" s="42"/>
      <c r="T51" s="42"/>
      <c r="U51" s="42"/>
      <c r="V51" s="42"/>
      <c r="W51" s="288"/>
      <c r="X51" s="288"/>
      <c r="Y51" s="288"/>
      <c r="Z51" s="288"/>
      <c r="AA51" s="42"/>
    </row>
    <row r="52" spans="2:27">
      <c r="B52" s="5"/>
      <c r="C52" s="257"/>
      <c r="D52" s="17"/>
      <c r="E52" s="17"/>
      <c r="F52" s="17"/>
      <c r="G52" s="17"/>
      <c r="H52" s="17"/>
      <c r="I52" s="254"/>
      <c r="J52" s="17"/>
      <c r="K52" s="17"/>
      <c r="L52" s="17"/>
      <c r="M52" s="17"/>
      <c r="N52" s="17"/>
      <c r="O52" s="248"/>
      <c r="Q52" s="5"/>
      <c r="R52" s="5"/>
      <c r="S52" s="5"/>
      <c r="Y52" s="10"/>
      <c r="Z52" s="10"/>
    </row>
    <row r="53" spans="2:27">
      <c r="B53" s="5"/>
      <c r="C53" s="257"/>
      <c r="D53" s="257"/>
      <c r="E53" s="257"/>
      <c r="F53" s="5"/>
      <c r="G53" s="5"/>
      <c r="H53" s="259"/>
      <c r="I53" s="17"/>
      <c r="J53" s="259"/>
      <c r="K53" s="259"/>
      <c r="L53" s="259"/>
      <c r="M53" s="259"/>
      <c r="N53" s="259"/>
      <c r="O53" s="18"/>
      <c r="Q53" s="5"/>
      <c r="R53" s="5"/>
      <c r="S53" s="5"/>
    </row>
    <row r="54" spans="2:27">
      <c r="B54" s="41"/>
      <c r="C54" s="249"/>
      <c r="D54" s="254"/>
      <c r="E54" s="254"/>
      <c r="F54" s="254"/>
      <c r="G54" s="254"/>
      <c r="H54" s="254"/>
      <c r="I54" s="259"/>
      <c r="J54" s="254"/>
      <c r="K54" s="254"/>
      <c r="L54" s="254"/>
      <c r="M54" s="254"/>
      <c r="N54" s="254"/>
      <c r="O54" s="251"/>
      <c r="Q54" s="5"/>
      <c r="R54" s="5"/>
      <c r="S54" s="5"/>
    </row>
    <row r="55" spans="2:27">
      <c r="B55" s="5"/>
      <c r="C55" s="257"/>
      <c r="D55" s="17"/>
      <c r="E55" s="17"/>
      <c r="F55" s="17"/>
      <c r="G55" s="17"/>
      <c r="H55" s="17"/>
      <c r="I55" s="249"/>
      <c r="J55" s="17"/>
      <c r="K55" s="17"/>
      <c r="L55" s="17"/>
      <c r="M55" s="17"/>
      <c r="N55" s="17"/>
      <c r="O55" s="18"/>
      <c r="Q55" s="5"/>
      <c r="R55" s="5"/>
      <c r="S55" s="5"/>
    </row>
    <row r="56" spans="2:27">
      <c r="B56" s="5"/>
      <c r="C56" s="248"/>
      <c r="D56" s="248"/>
      <c r="E56" s="248"/>
      <c r="F56" s="5"/>
      <c r="G56" s="5"/>
      <c r="H56" s="259"/>
      <c r="I56" s="248"/>
      <c r="J56" s="259"/>
      <c r="K56" s="259"/>
      <c r="L56" s="259"/>
      <c r="M56" s="259"/>
      <c r="N56" s="259"/>
      <c r="O56" s="18"/>
      <c r="Q56" s="5"/>
      <c r="R56" s="5"/>
      <c r="S56" s="5"/>
    </row>
    <row r="57" spans="2:27">
      <c r="B57" s="41"/>
      <c r="C57" s="249"/>
      <c r="D57" s="249"/>
      <c r="E57" s="249"/>
      <c r="F57" s="249"/>
      <c r="G57" s="249"/>
      <c r="H57" s="249"/>
      <c r="I57" s="5"/>
      <c r="J57" s="249"/>
      <c r="K57" s="249"/>
      <c r="L57" s="249"/>
      <c r="M57" s="249"/>
      <c r="N57" s="249"/>
      <c r="O57" s="251"/>
      <c r="Q57" s="5"/>
      <c r="R57" s="5"/>
      <c r="S57" s="5"/>
    </row>
    <row r="58" spans="2:27">
      <c r="B58" s="5"/>
      <c r="C58" s="5"/>
      <c r="D58" s="248"/>
      <c r="E58" s="248"/>
      <c r="F58" s="248"/>
      <c r="G58" s="248"/>
      <c r="H58" s="248"/>
      <c r="I58" s="17"/>
      <c r="J58" s="248"/>
      <c r="K58" s="248"/>
      <c r="L58" s="248"/>
      <c r="M58" s="248"/>
      <c r="N58" s="248"/>
      <c r="O58" s="18"/>
      <c r="Q58" s="5"/>
      <c r="R58" s="5"/>
      <c r="S58" s="5"/>
    </row>
    <row r="59" spans="2:27">
      <c r="B59" s="5"/>
      <c r="C59" s="5"/>
      <c r="D59" s="5"/>
      <c r="E59" s="5"/>
      <c r="F59" s="5"/>
      <c r="G59" s="5"/>
      <c r="H59" s="5"/>
      <c r="I59" s="5"/>
      <c r="J59" s="5"/>
      <c r="K59" s="5"/>
      <c r="L59" s="5"/>
      <c r="M59" s="5"/>
      <c r="N59" s="5"/>
      <c r="O59" s="5"/>
      <c r="Q59" s="5"/>
      <c r="R59" s="5"/>
      <c r="S59" s="5"/>
    </row>
    <row r="60" spans="2:27">
      <c r="B60" s="41"/>
      <c r="C60" s="17"/>
      <c r="D60" s="17"/>
      <c r="E60" s="17"/>
      <c r="F60" s="17"/>
      <c r="G60" s="17"/>
      <c r="H60" s="17"/>
      <c r="I60" s="249"/>
      <c r="J60" s="17"/>
      <c r="K60" s="17"/>
      <c r="L60" s="17"/>
      <c r="M60" s="17"/>
      <c r="N60" s="17"/>
      <c r="O60" s="251"/>
      <c r="Q60" s="5"/>
      <c r="R60" s="5"/>
      <c r="S60" s="5"/>
    </row>
    <row r="61" spans="2:27">
      <c r="B61" s="5"/>
      <c r="C61" s="5"/>
      <c r="D61" s="5"/>
      <c r="E61" s="5"/>
      <c r="F61" s="5"/>
      <c r="G61" s="5"/>
      <c r="H61" s="5"/>
      <c r="I61" s="5"/>
      <c r="J61" s="5"/>
      <c r="K61" s="5"/>
      <c r="L61" s="5"/>
      <c r="M61" s="5"/>
      <c r="N61" s="5"/>
      <c r="O61" s="5"/>
      <c r="Q61" s="41"/>
      <c r="R61" s="5"/>
      <c r="S61" s="5"/>
    </row>
    <row r="62" spans="2:27">
      <c r="B62" s="41"/>
      <c r="C62" s="249"/>
      <c r="D62" s="249"/>
      <c r="E62" s="249"/>
      <c r="F62" s="249"/>
      <c r="G62" s="249"/>
      <c r="H62" s="249"/>
      <c r="I62" s="5"/>
      <c r="J62" s="249"/>
      <c r="K62" s="249"/>
      <c r="L62" s="249"/>
      <c r="M62" s="249"/>
      <c r="N62" s="249"/>
      <c r="O62" s="251"/>
      <c r="Q62" s="5"/>
      <c r="R62" s="5"/>
      <c r="S62" s="5"/>
    </row>
    <row r="63" spans="2:27">
      <c r="B63" s="5"/>
      <c r="C63" s="5"/>
      <c r="D63" s="5"/>
      <c r="E63" s="5"/>
      <c r="F63" s="5"/>
      <c r="G63" s="5"/>
      <c r="H63" s="5"/>
      <c r="I63" s="254"/>
      <c r="J63" s="5"/>
      <c r="K63" s="5"/>
      <c r="L63" s="5"/>
      <c r="M63" s="5"/>
      <c r="N63" s="5"/>
      <c r="O63" s="5"/>
      <c r="Q63" s="5"/>
      <c r="R63" s="5"/>
      <c r="S63" s="5"/>
    </row>
    <row r="64" spans="2:27">
      <c r="B64" s="5"/>
      <c r="C64" s="5"/>
      <c r="D64" s="5"/>
      <c r="E64" s="5"/>
      <c r="F64" s="5"/>
      <c r="G64" s="5"/>
      <c r="H64" s="5"/>
      <c r="I64" s="17"/>
      <c r="J64" s="5"/>
      <c r="K64" s="5"/>
      <c r="L64" s="5"/>
      <c r="M64" s="5"/>
      <c r="N64" s="5"/>
      <c r="O64" s="5"/>
      <c r="Q64" s="5"/>
      <c r="R64" s="5"/>
      <c r="S64" s="5"/>
    </row>
    <row r="65" spans="2:26">
      <c r="B65" s="41"/>
      <c r="C65" s="249"/>
      <c r="D65" s="254"/>
      <c r="E65" s="254"/>
      <c r="F65" s="254"/>
      <c r="G65" s="254"/>
      <c r="H65" s="254"/>
      <c r="I65" s="254"/>
      <c r="J65" s="254"/>
      <c r="K65" s="254"/>
      <c r="L65" s="254"/>
      <c r="M65" s="254"/>
      <c r="N65" s="254"/>
      <c r="O65" s="251"/>
      <c r="Q65" s="5"/>
      <c r="R65" s="5"/>
      <c r="S65" s="5"/>
    </row>
    <row r="66" spans="2:26">
      <c r="B66" s="5"/>
      <c r="C66" s="5"/>
      <c r="D66" s="17"/>
      <c r="E66" s="17"/>
      <c r="F66" s="17"/>
      <c r="G66" s="17"/>
      <c r="H66" s="17"/>
      <c r="I66" s="248"/>
      <c r="J66" s="17"/>
      <c r="K66" s="17"/>
      <c r="L66" s="17"/>
      <c r="M66" s="17"/>
      <c r="N66" s="17"/>
      <c r="O66" s="5"/>
      <c r="Q66" s="5"/>
      <c r="R66" s="5"/>
      <c r="S66" s="5"/>
    </row>
    <row r="67" spans="2:26">
      <c r="B67" s="41"/>
      <c r="C67" s="249"/>
      <c r="D67" s="254"/>
      <c r="E67" s="254"/>
      <c r="F67" s="254"/>
      <c r="G67" s="254"/>
      <c r="H67" s="254"/>
      <c r="I67" s="5"/>
      <c r="J67" s="254"/>
      <c r="K67" s="254"/>
      <c r="L67" s="254"/>
      <c r="M67" s="254"/>
      <c r="N67" s="254"/>
      <c r="O67" s="251"/>
      <c r="Q67" s="41"/>
      <c r="R67" s="5"/>
      <c r="S67" s="5"/>
    </row>
    <row r="68" spans="2:26">
      <c r="B68" s="5"/>
      <c r="C68" s="5"/>
      <c r="D68" s="248"/>
      <c r="E68" s="248"/>
      <c r="F68" s="248"/>
      <c r="G68" s="248"/>
      <c r="H68" s="248"/>
      <c r="I68" s="245"/>
      <c r="J68" s="248"/>
      <c r="K68" s="248"/>
      <c r="L68" s="248"/>
      <c r="M68" s="248"/>
      <c r="N68" s="248"/>
      <c r="O68" s="5"/>
      <c r="Q68" s="5"/>
      <c r="R68" s="5"/>
      <c r="S68" s="5"/>
    </row>
    <row r="69" spans="2:26">
      <c r="B69" s="41"/>
      <c r="C69" s="5"/>
      <c r="D69" s="5"/>
      <c r="E69" s="5"/>
      <c r="F69" s="5"/>
      <c r="G69" s="5"/>
      <c r="H69" s="5"/>
      <c r="I69" s="248"/>
      <c r="J69" s="5"/>
      <c r="K69" s="5"/>
      <c r="L69" s="5"/>
      <c r="M69" s="5"/>
      <c r="N69" s="5"/>
      <c r="O69" s="5"/>
      <c r="Q69" s="5"/>
      <c r="R69" s="5"/>
      <c r="S69" s="5"/>
    </row>
    <row r="70" spans="2:26">
      <c r="B70" s="41"/>
      <c r="C70" s="245"/>
      <c r="D70" s="245"/>
      <c r="E70" s="245"/>
      <c r="F70" s="245"/>
      <c r="G70" s="245"/>
      <c r="H70" s="245"/>
      <c r="I70" s="5"/>
      <c r="J70" s="245"/>
      <c r="K70" s="245"/>
      <c r="L70" s="245"/>
      <c r="M70" s="245"/>
      <c r="N70" s="245"/>
      <c r="O70" s="251"/>
      <c r="Q70" s="5"/>
      <c r="R70" s="5"/>
      <c r="S70" s="5"/>
      <c r="W70" s="76"/>
      <c r="X70" s="76"/>
    </row>
    <row r="71" spans="2:26">
      <c r="B71" s="5"/>
      <c r="C71" s="5"/>
      <c r="D71" s="248"/>
      <c r="E71" s="248"/>
      <c r="F71" s="248"/>
      <c r="G71" s="248"/>
      <c r="H71" s="248"/>
      <c r="I71" s="245"/>
      <c r="J71" s="248"/>
      <c r="K71" s="248"/>
      <c r="L71" s="248"/>
      <c r="M71" s="248"/>
      <c r="N71" s="248"/>
      <c r="O71" s="5"/>
      <c r="Q71" s="5"/>
      <c r="R71" s="5"/>
      <c r="S71" s="5"/>
      <c r="W71" s="76"/>
      <c r="X71" s="76"/>
      <c r="Y71" s="76"/>
      <c r="Z71" s="76"/>
    </row>
    <row r="72" spans="2:26">
      <c r="B72" s="41"/>
      <c r="C72" s="5"/>
      <c r="D72" s="5"/>
      <c r="E72" s="5"/>
      <c r="F72" s="5"/>
      <c r="G72" s="5"/>
      <c r="H72" s="5"/>
      <c r="I72" s="18"/>
      <c r="J72" s="5"/>
      <c r="K72" s="5"/>
      <c r="L72" s="5"/>
      <c r="M72" s="5"/>
      <c r="N72" s="5"/>
      <c r="O72" s="5"/>
      <c r="Q72" s="5"/>
      <c r="R72" s="5"/>
      <c r="S72" s="5"/>
      <c r="Y72" s="76"/>
      <c r="Z72" s="76"/>
    </row>
    <row r="73" spans="2:26">
      <c r="B73" s="41"/>
      <c r="C73" s="245"/>
      <c r="D73" s="245"/>
      <c r="E73" s="245"/>
      <c r="F73" s="245"/>
      <c r="G73" s="245"/>
      <c r="H73" s="245"/>
      <c r="I73" s="5"/>
      <c r="J73" s="245"/>
      <c r="K73" s="245"/>
      <c r="L73" s="245"/>
      <c r="M73" s="245"/>
      <c r="N73" s="245"/>
      <c r="O73" s="251"/>
      <c r="Q73" s="5"/>
      <c r="R73" s="5"/>
      <c r="S73" s="5"/>
    </row>
    <row r="74" spans="2:26">
      <c r="B74" s="5"/>
      <c r="C74" s="5"/>
      <c r="D74" s="18"/>
      <c r="E74" s="18"/>
      <c r="F74" s="18"/>
      <c r="G74" s="18"/>
      <c r="H74" s="18"/>
      <c r="I74" s="249"/>
      <c r="J74" s="18"/>
      <c r="K74" s="18"/>
      <c r="L74" s="18"/>
      <c r="M74" s="18"/>
      <c r="N74" s="18"/>
      <c r="O74" s="5"/>
      <c r="Q74" s="5"/>
      <c r="R74" s="5"/>
      <c r="S74" s="5"/>
    </row>
    <row r="75" spans="2:26">
      <c r="B75" s="41"/>
      <c r="C75" s="5"/>
      <c r="D75" s="5"/>
      <c r="E75" s="5"/>
      <c r="F75" s="5"/>
      <c r="G75" s="5"/>
      <c r="H75" s="5"/>
      <c r="I75" s="248"/>
      <c r="J75" s="5"/>
      <c r="K75" s="5"/>
      <c r="L75" s="5"/>
      <c r="M75" s="5"/>
      <c r="N75" s="5"/>
      <c r="O75" s="5"/>
      <c r="Q75" s="5"/>
      <c r="R75" s="5"/>
      <c r="S75" s="5"/>
    </row>
    <row r="76" spans="2:26">
      <c r="B76" s="41"/>
      <c r="C76" s="249"/>
      <c r="D76" s="249"/>
      <c r="E76" s="249"/>
      <c r="F76" s="249"/>
      <c r="G76" s="249"/>
      <c r="H76" s="249"/>
      <c r="I76" s="5"/>
      <c r="J76" s="249"/>
      <c r="K76" s="249"/>
      <c r="L76" s="249"/>
      <c r="M76" s="249"/>
      <c r="N76" s="249"/>
      <c r="O76" s="251"/>
      <c r="Q76" s="5"/>
      <c r="R76" s="5"/>
      <c r="S76" s="5"/>
    </row>
    <row r="77" spans="2:26">
      <c r="B77" s="5"/>
      <c r="C77" s="5"/>
      <c r="D77" s="248"/>
      <c r="E77" s="248"/>
      <c r="F77" s="248"/>
      <c r="G77" s="248"/>
      <c r="H77" s="248"/>
      <c r="I77" s="245"/>
      <c r="J77" s="248"/>
      <c r="K77" s="248"/>
      <c r="L77" s="248"/>
      <c r="M77" s="248"/>
      <c r="N77" s="248"/>
      <c r="O77" s="5"/>
      <c r="Q77" s="5"/>
      <c r="R77" s="5"/>
      <c r="S77" s="5"/>
    </row>
    <row r="78" spans="2:26">
      <c r="B78" s="41"/>
      <c r="C78" s="5"/>
      <c r="D78" s="5"/>
      <c r="E78" s="5"/>
      <c r="F78" s="5"/>
      <c r="G78" s="5"/>
      <c r="H78" s="5"/>
      <c r="I78" s="248"/>
      <c r="J78" s="5"/>
      <c r="K78" s="5"/>
      <c r="L78" s="5"/>
      <c r="M78" s="5"/>
      <c r="N78" s="5"/>
      <c r="O78" s="5"/>
      <c r="Q78" s="5"/>
      <c r="R78" s="5"/>
      <c r="S78" s="5"/>
    </row>
    <row r="79" spans="2:26">
      <c r="B79" s="41"/>
      <c r="C79" s="245"/>
      <c r="D79" s="245"/>
      <c r="E79" s="245"/>
      <c r="F79" s="245"/>
      <c r="G79" s="245"/>
      <c r="H79" s="245"/>
      <c r="I79" s="5"/>
      <c r="J79" s="245"/>
      <c r="K79" s="245"/>
      <c r="L79" s="245"/>
      <c r="M79" s="245"/>
      <c r="N79" s="245"/>
      <c r="O79" s="251"/>
      <c r="Q79" s="5"/>
      <c r="R79" s="5"/>
      <c r="S79" s="5"/>
    </row>
    <row r="80" spans="2:26">
      <c r="B80" s="5"/>
      <c r="C80" s="5"/>
      <c r="D80" s="248"/>
      <c r="E80" s="248"/>
      <c r="F80" s="248"/>
      <c r="G80" s="248"/>
      <c r="H80" s="248"/>
      <c r="I80" s="249"/>
      <c r="J80" s="248"/>
      <c r="K80" s="248"/>
      <c r="L80" s="248"/>
      <c r="M80" s="248"/>
      <c r="N80" s="248"/>
      <c r="O80" s="5"/>
      <c r="Q80" s="5"/>
      <c r="R80" s="5"/>
      <c r="S80" s="5"/>
    </row>
    <row r="81" spans="2:26">
      <c r="B81" s="41"/>
      <c r="C81" s="5"/>
      <c r="D81" s="5"/>
      <c r="E81" s="5"/>
      <c r="F81" s="5"/>
      <c r="G81" s="5"/>
      <c r="H81" s="5"/>
      <c r="I81" s="248"/>
      <c r="J81" s="5"/>
      <c r="K81" s="5"/>
      <c r="L81" s="5"/>
      <c r="M81" s="5"/>
      <c r="N81" s="5"/>
      <c r="O81" s="5"/>
      <c r="Q81" s="5"/>
      <c r="R81" s="5"/>
      <c r="S81" s="5"/>
    </row>
    <row r="82" spans="2:26">
      <c r="B82" s="41"/>
      <c r="C82" s="249"/>
      <c r="D82" s="249"/>
      <c r="E82" s="249"/>
      <c r="F82" s="249"/>
      <c r="G82" s="249"/>
      <c r="H82" s="249"/>
      <c r="I82" s="259"/>
      <c r="J82" s="249"/>
      <c r="K82" s="249"/>
      <c r="L82" s="249"/>
      <c r="M82" s="249"/>
      <c r="N82" s="249"/>
      <c r="O82" s="251"/>
      <c r="Q82" s="5"/>
      <c r="R82" s="5"/>
      <c r="S82" s="5"/>
    </row>
    <row r="83" spans="2:26">
      <c r="B83" s="5"/>
      <c r="C83" s="5"/>
      <c r="D83" s="248"/>
      <c r="E83" s="248"/>
      <c r="F83" s="248"/>
      <c r="G83" s="248"/>
      <c r="H83" s="248"/>
      <c r="I83" s="5"/>
      <c r="J83" s="248"/>
      <c r="K83" s="248"/>
      <c r="L83" s="248"/>
      <c r="M83" s="248"/>
      <c r="N83" s="248"/>
      <c r="O83" s="5"/>
      <c r="Q83" s="5"/>
      <c r="R83" s="5"/>
      <c r="S83" s="5"/>
    </row>
    <row r="84" spans="2:26">
      <c r="B84" s="5"/>
      <c r="C84" s="259"/>
      <c r="D84" s="259"/>
      <c r="E84" s="259"/>
      <c r="F84" s="259"/>
      <c r="G84" s="259"/>
      <c r="H84" s="259"/>
      <c r="I84" s="245"/>
      <c r="J84" s="259"/>
      <c r="K84" s="259"/>
      <c r="L84" s="259"/>
      <c r="M84" s="259"/>
      <c r="N84" s="259"/>
      <c r="O84" s="251"/>
      <c r="Q84" s="5"/>
      <c r="R84" s="5"/>
      <c r="S84" s="5"/>
    </row>
    <row r="85" spans="2:26">
      <c r="B85" s="41"/>
      <c r="C85" s="5"/>
      <c r="D85" s="5"/>
      <c r="E85" s="5"/>
      <c r="F85" s="5"/>
      <c r="G85" s="5"/>
      <c r="H85" s="5"/>
      <c r="I85" s="248"/>
      <c r="J85" s="5"/>
      <c r="K85" s="5"/>
      <c r="L85" s="5"/>
      <c r="M85" s="5"/>
      <c r="N85" s="5"/>
      <c r="O85" s="5"/>
      <c r="Q85" s="5"/>
      <c r="R85" s="5"/>
      <c r="S85" s="5"/>
    </row>
    <row r="86" spans="2:26">
      <c r="B86" s="41"/>
      <c r="C86" s="245"/>
      <c r="D86" s="245"/>
      <c r="E86" s="245"/>
      <c r="F86" s="245"/>
      <c r="G86" s="245"/>
      <c r="H86" s="245"/>
      <c r="I86" s="5"/>
      <c r="J86" s="245"/>
      <c r="K86" s="245"/>
      <c r="L86" s="245"/>
      <c r="M86" s="245"/>
      <c r="N86" s="245"/>
      <c r="O86" s="251"/>
      <c r="Q86" s="5"/>
      <c r="R86" s="5"/>
      <c r="S86" s="5"/>
    </row>
    <row r="87" spans="2:26">
      <c r="B87" s="5"/>
      <c r="C87" s="5"/>
      <c r="D87" s="248"/>
      <c r="E87" s="248"/>
      <c r="F87" s="248"/>
      <c r="G87" s="248"/>
      <c r="H87" s="248"/>
      <c r="I87" s="5"/>
      <c r="J87" s="248"/>
      <c r="K87" s="248"/>
      <c r="L87" s="248"/>
      <c r="M87" s="248"/>
      <c r="N87" s="248"/>
      <c r="O87" s="5"/>
      <c r="Q87" s="5"/>
      <c r="R87" s="5"/>
      <c r="S87" s="5"/>
    </row>
    <row r="88" spans="2:26">
      <c r="B88" s="41"/>
      <c r="C88" s="5"/>
      <c r="D88" s="5"/>
      <c r="E88" s="5"/>
      <c r="F88" s="5"/>
      <c r="G88" s="5"/>
      <c r="H88" s="5"/>
      <c r="I88" s="5"/>
      <c r="J88" s="5"/>
      <c r="K88" s="5"/>
      <c r="L88" s="5"/>
      <c r="M88" s="5"/>
      <c r="N88" s="5"/>
      <c r="O88" s="5"/>
      <c r="Q88" s="5"/>
      <c r="R88" s="5"/>
      <c r="S88" s="5"/>
    </row>
    <row r="89" spans="2:26">
      <c r="B89" s="41"/>
      <c r="C89" s="5"/>
      <c r="D89" s="5"/>
      <c r="E89" s="5"/>
      <c r="F89" s="5"/>
      <c r="G89" s="5"/>
      <c r="H89" s="5"/>
      <c r="I89" s="5"/>
      <c r="J89" s="5"/>
      <c r="K89" s="5"/>
      <c r="L89" s="5"/>
      <c r="M89" s="5"/>
      <c r="N89" s="5"/>
      <c r="O89" s="5"/>
      <c r="Q89" s="5"/>
      <c r="R89" s="5"/>
      <c r="S89" s="5"/>
    </row>
    <row r="90" spans="2:26">
      <c r="B90" s="41"/>
      <c r="C90" s="5"/>
      <c r="D90" s="5"/>
      <c r="E90" s="5"/>
      <c r="F90" s="5"/>
      <c r="G90" s="5"/>
      <c r="H90" s="5"/>
      <c r="I90" s="49"/>
      <c r="J90" s="5"/>
      <c r="K90" s="5"/>
      <c r="L90" s="5"/>
      <c r="M90" s="5"/>
      <c r="N90" s="5"/>
      <c r="O90" s="5"/>
      <c r="Q90" s="41"/>
      <c r="R90" s="5"/>
      <c r="S90" s="5"/>
    </row>
    <row r="91" spans="2:26">
      <c r="B91" s="5"/>
      <c r="C91" s="5"/>
      <c r="D91" s="5"/>
      <c r="E91" s="5"/>
      <c r="F91" s="5"/>
      <c r="G91" s="5"/>
      <c r="H91" s="5"/>
      <c r="I91" s="5"/>
      <c r="J91" s="5"/>
      <c r="K91" s="5"/>
      <c r="L91" s="5"/>
      <c r="M91" s="5"/>
      <c r="N91" s="5"/>
      <c r="O91" s="5"/>
      <c r="Q91" s="5"/>
      <c r="R91" s="5"/>
      <c r="S91" s="5"/>
    </row>
    <row r="92" spans="2:26">
      <c r="B92" s="41"/>
      <c r="C92" s="49"/>
      <c r="D92" s="49"/>
      <c r="E92" s="49"/>
      <c r="F92" s="49"/>
      <c r="G92" s="49"/>
      <c r="H92" s="49"/>
      <c r="I92" s="247"/>
      <c r="J92" s="49"/>
      <c r="K92" s="49"/>
      <c r="L92" s="49"/>
      <c r="M92" s="49"/>
      <c r="N92" s="49"/>
      <c r="O92" s="49"/>
      <c r="Q92" s="5"/>
      <c r="R92" s="5"/>
      <c r="S92" s="5"/>
      <c r="W92" s="21"/>
      <c r="X92" s="21"/>
    </row>
    <row r="93" spans="2:26">
      <c r="B93" s="5"/>
      <c r="C93" s="5"/>
      <c r="D93" s="5"/>
      <c r="E93" s="5"/>
      <c r="F93" s="5"/>
      <c r="G93" s="5"/>
      <c r="H93" s="5"/>
      <c r="I93" s="247"/>
      <c r="J93" s="5"/>
      <c r="K93" s="5"/>
      <c r="L93" s="5"/>
      <c r="M93" s="5"/>
      <c r="N93" s="5"/>
      <c r="O93" s="5"/>
      <c r="Q93" s="5"/>
      <c r="R93" s="5"/>
      <c r="S93" s="5"/>
      <c r="W93" s="21"/>
      <c r="X93" s="21"/>
      <c r="Y93" s="21"/>
      <c r="Z93" s="21"/>
    </row>
    <row r="94" spans="2:26">
      <c r="B94" s="5"/>
      <c r="C94" s="259"/>
      <c r="D94" s="247"/>
      <c r="E94" s="247"/>
      <c r="F94" s="247"/>
      <c r="G94" s="247"/>
      <c r="H94" s="247"/>
      <c r="I94" s="247"/>
      <c r="J94" s="247"/>
      <c r="K94" s="247"/>
      <c r="L94" s="247"/>
      <c r="M94" s="247"/>
      <c r="N94" s="247"/>
      <c r="O94" s="248"/>
      <c r="Q94" s="5"/>
      <c r="R94" s="5"/>
      <c r="S94" s="5"/>
      <c r="Y94" s="21"/>
      <c r="Z94" s="21"/>
    </row>
    <row r="95" spans="2:26">
      <c r="B95" s="5"/>
      <c r="C95" s="259"/>
      <c r="D95" s="247"/>
      <c r="E95" s="247"/>
      <c r="F95" s="247"/>
      <c r="G95" s="247"/>
      <c r="H95" s="247"/>
      <c r="I95" s="248"/>
      <c r="J95" s="247"/>
      <c r="K95" s="247"/>
      <c r="L95" s="247"/>
      <c r="M95" s="247"/>
      <c r="N95" s="247"/>
      <c r="O95" s="248"/>
      <c r="Q95" s="5"/>
      <c r="R95" s="5"/>
      <c r="S95" s="5"/>
    </row>
    <row r="96" spans="2:26">
      <c r="B96" s="5"/>
      <c r="C96" s="259"/>
      <c r="D96" s="247"/>
      <c r="E96" s="247"/>
      <c r="F96" s="247"/>
      <c r="G96" s="247"/>
      <c r="H96" s="247"/>
      <c r="I96" s="247"/>
      <c r="J96" s="247"/>
      <c r="K96" s="247"/>
      <c r="L96" s="247"/>
      <c r="M96" s="247"/>
      <c r="N96" s="247"/>
      <c r="O96" s="248"/>
      <c r="Q96" s="5"/>
      <c r="R96" s="5"/>
      <c r="S96" s="5"/>
    </row>
    <row r="97" spans="2:19">
      <c r="B97" s="5"/>
      <c r="C97" s="259"/>
      <c r="D97" s="248"/>
      <c r="E97" s="248"/>
      <c r="F97" s="248"/>
      <c r="G97" s="248"/>
      <c r="H97" s="248"/>
      <c r="I97" s="249"/>
      <c r="J97" s="248"/>
      <c r="K97" s="248"/>
      <c r="L97" s="248"/>
      <c r="M97" s="248"/>
      <c r="N97" s="248"/>
      <c r="O97" s="248"/>
      <c r="Q97" s="5"/>
      <c r="R97" s="5"/>
      <c r="S97" s="5"/>
    </row>
    <row r="98" spans="2:19">
      <c r="B98" s="5"/>
      <c r="C98" s="259"/>
      <c r="D98" s="247"/>
      <c r="E98" s="247"/>
      <c r="F98" s="247"/>
      <c r="G98" s="247"/>
      <c r="H98" s="247"/>
      <c r="I98" s="248"/>
      <c r="J98" s="247"/>
      <c r="K98" s="247"/>
      <c r="L98" s="247"/>
      <c r="M98" s="247"/>
      <c r="N98" s="247"/>
      <c r="O98" s="248"/>
      <c r="Q98" s="5"/>
      <c r="R98" s="5"/>
      <c r="S98" s="5"/>
    </row>
    <row r="99" spans="2:19">
      <c r="B99" s="41"/>
      <c r="C99" s="249"/>
      <c r="D99" s="249"/>
      <c r="E99" s="249"/>
      <c r="F99" s="249"/>
      <c r="G99" s="249"/>
      <c r="H99" s="249"/>
      <c r="I99" s="5"/>
      <c r="J99" s="249"/>
      <c r="K99" s="249"/>
      <c r="L99" s="249"/>
      <c r="M99" s="249"/>
      <c r="N99" s="249"/>
      <c r="O99" s="248"/>
      <c r="Q99" s="5"/>
      <c r="R99" s="5"/>
      <c r="S99" s="5"/>
    </row>
    <row r="100" spans="2:19">
      <c r="B100" s="41"/>
      <c r="C100" s="257"/>
      <c r="D100" s="248"/>
      <c r="E100" s="248"/>
      <c r="F100" s="248"/>
      <c r="G100" s="248"/>
      <c r="H100" s="248"/>
      <c r="I100" s="259"/>
      <c r="J100" s="248"/>
      <c r="K100" s="248"/>
      <c r="L100" s="248"/>
      <c r="M100" s="248"/>
      <c r="N100" s="248"/>
      <c r="O100" s="248"/>
      <c r="Q100" s="5"/>
      <c r="R100" s="5"/>
      <c r="S100" s="5"/>
    </row>
    <row r="101" spans="2:19" s="5" customFormat="1">
      <c r="B101" s="41"/>
      <c r="I101" s="259"/>
      <c r="O101" s="248"/>
      <c r="P101" s="39"/>
    </row>
    <row r="102" spans="2:19">
      <c r="B102" s="5"/>
      <c r="C102" s="259"/>
      <c r="D102" s="259"/>
      <c r="E102" s="259"/>
      <c r="F102" s="259"/>
      <c r="G102" s="259"/>
      <c r="H102" s="259"/>
      <c r="I102" s="247"/>
      <c r="J102" s="259"/>
      <c r="K102" s="259"/>
      <c r="L102" s="259"/>
      <c r="M102" s="259"/>
      <c r="N102" s="259"/>
      <c r="O102" s="5"/>
      <c r="Q102" s="5"/>
      <c r="R102" s="5"/>
      <c r="S102" s="5"/>
    </row>
    <row r="103" spans="2:19">
      <c r="B103" s="5"/>
      <c r="C103" s="259"/>
      <c r="D103" s="259"/>
      <c r="E103" s="259"/>
      <c r="F103" s="259"/>
      <c r="G103" s="259"/>
      <c r="H103" s="259"/>
      <c r="I103" s="5"/>
      <c r="J103" s="259"/>
      <c r="K103" s="259"/>
      <c r="L103" s="259"/>
      <c r="M103" s="259"/>
      <c r="N103" s="259"/>
      <c r="O103" s="5"/>
      <c r="P103" s="5"/>
      <c r="Q103" s="5"/>
      <c r="R103" s="5"/>
      <c r="S103" s="5"/>
    </row>
    <row r="104" spans="2:19">
      <c r="B104" s="5"/>
      <c r="C104" s="247"/>
      <c r="D104" s="247"/>
      <c r="E104" s="247"/>
      <c r="F104" s="247"/>
      <c r="G104" s="247"/>
      <c r="H104" s="247"/>
      <c r="I104" s="247"/>
      <c r="J104" s="247"/>
      <c r="K104" s="247"/>
      <c r="L104" s="247"/>
      <c r="M104" s="247"/>
      <c r="N104" s="247"/>
      <c r="O104" s="5"/>
      <c r="Q104" s="5"/>
      <c r="R104" s="5"/>
      <c r="S104" s="5"/>
    </row>
    <row r="105" spans="2:19" s="5" customFormat="1">
      <c r="P105" s="39"/>
    </row>
    <row r="106" spans="2:19" s="5" customFormat="1">
      <c r="C106" s="259"/>
      <c r="D106" s="247"/>
      <c r="E106" s="247"/>
      <c r="F106" s="247"/>
      <c r="G106" s="247"/>
      <c r="H106" s="247"/>
      <c r="I106" s="259"/>
      <c r="J106" s="247"/>
      <c r="K106" s="247"/>
      <c r="L106" s="247"/>
      <c r="M106" s="247"/>
      <c r="N106" s="247"/>
      <c r="P106" s="39"/>
    </row>
    <row r="107" spans="2:19">
      <c r="B107" s="5"/>
      <c r="C107" s="259"/>
      <c r="D107" s="5"/>
      <c r="E107" s="5"/>
      <c r="F107" s="5"/>
      <c r="G107" s="5"/>
      <c r="H107" s="5"/>
      <c r="I107" s="247"/>
      <c r="J107" s="5"/>
      <c r="K107" s="5"/>
      <c r="L107" s="5"/>
      <c r="M107" s="5"/>
      <c r="N107" s="5"/>
      <c r="O107" s="5"/>
      <c r="P107" s="5"/>
      <c r="Q107" s="5"/>
      <c r="R107" s="5"/>
      <c r="S107" s="5"/>
    </row>
    <row r="108" spans="2:19">
      <c r="B108" s="5"/>
      <c r="C108" s="259"/>
      <c r="D108" s="259"/>
      <c r="E108" s="259"/>
      <c r="F108" s="259"/>
      <c r="G108" s="259"/>
      <c r="H108" s="259"/>
      <c r="I108" s="249"/>
      <c r="J108" s="259"/>
      <c r="K108" s="259"/>
      <c r="L108" s="259"/>
      <c r="M108" s="259"/>
      <c r="N108" s="259"/>
      <c r="O108" s="5"/>
      <c r="P108" s="5"/>
      <c r="Q108" s="5"/>
      <c r="R108" s="5"/>
      <c r="S108" s="5"/>
    </row>
    <row r="109" spans="2:19">
      <c r="B109" s="5"/>
      <c r="C109" s="247"/>
      <c r="D109" s="247"/>
      <c r="E109" s="247"/>
      <c r="F109" s="247"/>
      <c r="G109" s="247"/>
      <c r="H109" s="247"/>
      <c r="I109" s="249"/>
      <c r="J109" s="247"/>
      <c r="K109" s="247"/>
      <c r="L109" s="247"/>
      <c r="M109" s="247"/>
      <c r="N109" s="247"/>
      <c r="O109" s="5"/>
      <c r="Q109" s="5"/>
      <c r="R109" s="5"/>
      <c r="S109" s="5"/>
    </row>
    <row r="110" spans="2:19">
      <c r="B110" s="41"/>
      <c r="C110" s="249"/>
      <c r="D110" s="249"/>
      <c r="E110" s="249"/>
      <c r="F110" s="249"/>
      <c r="G110" s="249"/>
      <c r="H110" s="249"/>
      <c r="I110" s="247"/>
      <c r="J110" s="249"/>
      <c r="K110" s="249"/>
      <c r="L110" s="249"/>
      <c r="M110" s="249"/>
      <c r="N110" s="249"/>
      <c r="O110" s="5"/>
      <c r="Q110" s="5"/>
      <c r="R110" s="5"/>
      <c r="S110" s="5"/>
    </row>
    <row r="111" spans="2:19">
      <c r="B111" s="5"/>
      <c r="C111" s="249"/>
      <c r="D111" s="249"/>
      <c r="E111" s="249"/>
      <c r="F111" s="249"/>
      <c r="G111" s="249"/>
      <c r="H111" s="249"/>
      <c r="I111" s="5"/>
      <c r="J111" s="249"/>
      <c r="K111" s="249"/>
      <c r="L111" s="249"/>
      <c r="M111" s="249"/>
      <c r="N111" s="249"/>
      <c r="O111" s="5"/>
      <c r="Q111" s="5"/>
      <c r="R111" s="5"/>
      <c r="S111" s="5"/>
    </row>
    <row r="112" spans="2:19">
      <c r="B112" s="5"/>
      <c r="C112" s="247"/>
      <c r="D112" s="247"/>
      <c r="E112" s="247"/>
      <c r="F112" s="247"/>
      <c r="G112" s="247"/>
      <c r="H112" s="247"/>
      <c r="I112" s="5"/>
      <c r="J112" s="247"/>
      <c r="K112" s="247"/>
      <c r="L112" s="247"/>
      <c r="M112" s="247"/>
      <c r="N112" s="247"/>
      <c r="O112" s="5"/>
      <c r="Q112" s="5"/>
      <c r="R112" s="5"/>
      <c r="S112" s="5"/>
    </row>
    <row r="113" spans="2:19">
      <c r="B113" s="5"/>
      <c r="C113" s="5"/>
      <c r="D113" s="5"/>
      <c r="E113" s="5"/>
      <c r="F113" s="5"/>
      <c r="G113" s="5"/>
      <c r="H113" s="5"/>
      <c r="I113" s="5"/>
      <c r="J113" s="5"/>
      <c r="K113" s="5"/>
      <c r="L113" s="5"/>
      <c r="M113" s="5"/>
      <c r="N113" s="5"/>
      <c r="O113" s="5"/>
      <c r="Q113" s="5"/>
      <c r="R113" s="5"/>
      <c r="S113" s="5"/>
    </row>
    <row r="114" spans="2:19">
      <c r="B114" s="5"/>
      <c r="C114" s="5"/>
      <c r="D114" s="5"/>
      <c r="E114" s="5"/>
      <c r="F114" s="5"/>
      <c r="G114" s="5"/>
      <c r="H114" s="5"/>
      <c r="I114" s="5"/>
      <c r="J114" s="5"/>
      <c r="K114" s="5"/>
      <c r="L114" s="5"/>
      <c r="M114" s="5"/>
      <c r="N114" s="5"/>
      <c r="O114" s="5"/>
      <c r="Q114" s="5"/>
      <c r="R114" s="5"/>
      <c r="S114" s="5"/>
    </row>
    <row r="115" spans="2:19">
      <c r="B115" s="5"/>
      <c r="C115" s="5"/>
      <c r="D115" s="5"/>
      <c r="E115" s="5"/>
      <c r="F115" s="5"/>
      <c r="G115" s="5"/>
      <c r="H115" s="5"/>
      <c r="I115" s="49"/>
      <c r="J115" s="5"/>
      <c r="K115" s="5"/>
      <c r="L115" s="5"/>
      <c r="M115" s="5"/>
      <c r="N115" s="5"/>
      <c r="O115" s="5"/>
      <c r="Q115" s="41"/>
      <c r="R115" s="5"/>
      <c r="S115" s="5"/>
    </row>
    <row r="116" spans="2:19">
      <c r="B116" s="5"/>
      <c r="C116" s="5"/>
      <c r="D116" s="5"/>
      <c r="E116" s="5"/>
      <c r="F116" s="5"/>
      <c r="G116" s="5"/>
      <c r="H116" s="5"/>
      <c r="I116" s="5"/>
      <c r="J116" s="5"/>
      <c r="K116" s="5"/>
      <c r="L116" s="5"/>
      <c r="M116" s="5"/>
      <c r="N116" s="5"/>
      <c r="O116" s="5"/>
      <c r="Q116" s="5"/>
      <c r="R116" s="5"/>
      <c r="S116" s="5"/>
    </row>
    <row r="117" spans="2:19">
      <c r="B117" s="41"/>
      <c r="C117" s="49"/>
      <c r="D117" s="49"/>
      <c r="E117" s="49"/>
      <c r="F117" s="49"/>
      <c r="G117" s="49"/>
      <c r="H117" s="49"/>
      <c r="I117" s="254"/>
      <c r="J117" s="49"/>
      <c r="K117" s="49"/>
      <c r="L117" s="49"/>
      <c r="M117" s="49"/>
      <c r="N117" s="49"/>
      <c r="O117" s="49"/>
      <c r="Q117" s="5"/>
      <c r="R117" s="5"/>
      <c r="S117" s="5"/>
    </row>
    <row r="118" spans="2:19">
      <c r="B118" s="5"/>
      <c r="C118" s="5"/>
      <c r="D118" s="5"/>
      <c r="E118" s="5"/>
      <c r="F118" s="5"/>
      <c r="G118" s="5"/>
      <c r="H118" s="5"/>
      <c r="I118" s="249"/>
      <c r="J118" s="5"/>
      <c r="K118" s="5"/>
      <c r="L118" s="5"/>
      <c r="M118" s="5"/>
      <c r="N118" s="5"/>
      <c r="O118" s="5"/>
      <c r="Q118" s="5"/>
      <c r="R118" s="5"/>
      <c r="S118" s="5"/>
    </row>
    <row r="119" spans="2:19">
      <c r="B119" s="41"/>
      <c r="C119" s="254"/>
      <c r="D119" s="254"/>
      <c r="E119" s="254"/>
      <c r="F119" s="254"/>
      <c r="G119" s="254"/>
      <c r="H119" s="254"/>
      <c r="I119" s="254"/>
      <c r="J119" s="254"/>
      <c r="K119" s="254"/>
      <c r="L119" s="254"/>
      <c r="M119" s="254"/>
      <c r="N119" s="254"/>
      <c r="O119" s="248"/>
      <c r="Q119" s="5"/>
      <c r="R119" s="5"/>
      <c r="S119" s="5"/>
    </row>
    <row r="120" spans="2:19">
      <c r="B120" s="41"/>
      <c r="C120" s="254"/>
      <c r="D120" s="249"/>
      <c r="E120" s="249"/>
      <c r="F120" s="249"/>
      <c r="G120" s="249"/>
      <c r="H120" s="249"/>
      <c r="I120" s="254"/>
      <c r="J120" s="249"/>
      <c r="K120" s="249"/>
      <c r="L120" s="249"/>
      <c r="M120" s="249"/>
      <c r="N120" s="249"/>
      <c r="O120" s="248"/>
      <c r="Q120" s="5"/>
      <c r="R120" s="5"/>
      <c r="S120" s="5"/>
    </row>
    <row r="121" spans="2:19">
      <c r="B121" s="41"/>
      <c r="C121" s="254"/>
      <c r="D121" s="254"/>
      <c r="E121" s="254"/>
      <c r="F121" s="254"/>
      <c r="G121" s="254"/>
      <c r="H121" s="254"/>
      <c r="I121" s="254"/>
      <c r="J121" s="254"/>
      <c r="K121" s="254"/>
      <c r="L121" s="254"/>
      <c r="M121" s="254"/>
      <c r="N121" s="254"/>
      <c r="O121" s="248"/>
      <c r="Q121" s="5"/>
      <c r="R121" s="5"/>
      <c r="S121" s="5"/>
    </row>
    <row r="122" spans="2:19">
      <c r="B122" s="41"/>
      <c r="C122" s="254"/>
      <c r="D122" s="254"/>
      <c r="E122" s="254"/>
      <c r="F122" s="254"/>
      <c r="G122" s="254"/>
      <c r="H122" s="254"/>
      <c r="I122" s="254"/>
      <c r="J122" s="254"/>
      <c r="K122" s="254"/>
      <c r="L122" s="254"/>
      <c r="M122" s="254"/>
      <c r="N122" s="254"/>
      <c r="O122" s="248"/>
      <c r="Q122" s="5"/>
      <c r="R122" s="5"/>
      <c r="S122" s="5"/>
    </row>
    <row r="123" spans="2:19">
      <c r="B123" s="41"/>
      <c r="C123" s="254"/>
      <c r="D123" s="254"/>
      <c r="E123" s="254"/>
      <c r="F123" s="254"/>
      <c r="G123" s="254"/>
      <c r="H123" s="254"/>
      <c r="I123" s="254"/>
      <c r="J123" s="254"/>
      <c r="K123" s="254"/>
      <c r="L123" s="254"/>
      <c r="M123" s="254"/>
      <c r="N123" s="254"/>
      <c r="O123" s="248"/>
      <c r="Q123" s="5"/>
      <c r="R123" s="5"/>
      <c r="S123" s="5"/>
    </row>
    <row r="124" spans="2:19">
      <c r="B124" s="41"/>
      <c r="C124" s="254"/>
      <c r="D124" s="254"/>
      <c r="E124" s="254"/>
      <c r="F124" s="254"/>
      <c r="G124" s="254"/>
      <c r="H124" s="254"/>
      <c r="I124" s="254"/>
      <c r="J124" s="254"/>
      <c r="K124" s="254"/>
      <c r="L124" s="254"/>
      <c r="M124" s="254"/>
      <c r="N124" s="254"/>
      <c r="O124" s="248"/>
      <c r="Q124" s="5"/>
      <c r="R124" s="5"/>
      <c r="S124" s="5"/>
    </row>
    <row r="125" spans="2:19">
      <c r="B125" s="41"/>
      <c r="C125" s="254"/>
      <c r="D125" s="254"/>
      <c r="E125" s="254"/>
      <c r="F125" s="254"/>
      <c r="G125" s="254"/>
      <c r="H125" s="254"/>
      <c r="I125" s="254"/>
      <c r="J125" s="254"/>
      <c r="K125" s="254"/>
      <c r="L125" s="254"/>
      <c r="M125" s="254"/>
      <c r="N125" s="254"/>
      <c r="O125" s="5"/>
      <c r="Q125" s="5"/>
      <c r="R125" s="5"/>
      <c r="S125" s="5"/>
    </row>
    <row r="126" spans="2:19">
      <c r="B126" s="41"/>
      <c r="C126" s="254"/>
      <c r="D126" s="254"/>
      <c r="E126" s="254"/>
      <c r="F126" s="254"/>
      <c r="G126" s="254"/>
      <c r="H126" s="254"/>
      <c r="I126" s="254"/>
      <c r="J126" s="254"/>
      <c r="K126" s="254"/>
      <c r="L126" s="254"/>
      <c r="M126" s="254"/>
      <c r="N126" s="254"/>
      <c r="O126" s="5"/>
      <c r="Q126" s="5"/>
      <c r="R126" s="5"/>
      <c r="S126" s="5"/>
    </row>
    <row r="127" spans="2:19">
      <c r="B127" s="41"/>
      <c r="C127" s="254"/>
      <c r="D127" s="254"/>
      <c r="E127" s="254"/>
      <c r="F127" s="254"/>
      <c r="G127" s="254"/>
      <c r="H127" s="254"/>
      <c r="I127" s="18"/>
      <c r="J127" s="254"/>
      <c r="K127" s="254"/>
      <c r="L127" s="254"/>
      <c r="M127" s="254"/>
      <c r="N127" s="254"/>
      <c r="O127" s="5"/>
      <c r="Q127" s="5"/>
      <c r="R127" s="5"/>
      <c r="S127" s="5"/>
    </row>
    <row r="128" spans="2:19">
      <c r="B128" s="41"/>
      <c r="C128" s="254"/>
      <c r="D128" s="254"/>
      <c r="E128" s="254"/>
      <c r="F128" s="254"/>
      <c r="G128" s="254"/>
      <c r="H128" s="254"/>
      <c r="I128" s="5"/>
      <c r="J128" s="254"/>
      <c r="K128" s="254"/>
      <c r="L128" s="254"/>
      <c r="M128" s="254"/>
      <c r="N128" s="254"/>
      <c r="O128" s="5"/>
      <c r="Q128" s="5"/>
      <c r="R128" s="5"/>
      <c r="S128" s="5"/>
    </row>
    <row r="129" spans="2:27">
      <c r="B129" s="5"/>
      <c r="C129" s="5"/>
      <c r="D129" s="18"/>
      <c r="E129" s="18"/>
      <c r="F129" s="18"/>
      <c r="G129" s="18"/>
      <c r="H129" s="18"/>
      <c r="I129" s="254"/>
      <c r="J129" s="18"/>
      <c r="K129" s="18"/>
      <c r="L129" s="18"/>
      <c r="M129" s="18"/>
      <c r="N129" s="18"/>
      <c r="O129" s="5"/>
      <c r="Q129" s="5"/>
      <c r="R129" s="5"/>
      <c r="S129" s="5"/>
    </row>
    <row r="130" spans="2:27">
      <c r="B130" s="5"/>
      <c r="C130" s="5"/>
      <c r="D130" s="5"/>
      <c r="E130" s="5"/>
      <c r="F130" s="5"/>
      <c r="G130" s="5"/>
      <c r="H130" s="5"/>
      <c r="I130" s="18"/>
      <c r="J130" s="5"/>
      <c r="K130" s="5"/>
      <c r="L130" s="5"/>
      <c r="M130" s="5"/>
      <c r="N130" s="5"/>
      <c r="O130" s="5"/>
      <c r="Q130" s="5"/>
      <c r="R130" s="5"/>
      <c r="S130" s="5"/>
    </row>
    <row r="131" spans="2:27">
      <c r="B131" s="41"/>
      <c r="C131" s="254"/>
      <c r="D131" s="254"/>
      <c r="E131" s="254"/>
      <c r="F131" s="254"/>
      <c r="G131" s="254"/>
      <c r="H131" s="254"/>
      <c r="I131" s="5"/>
      <c r="J131" s="254"/>
      <c r="K131" s="254"/>
      <c r="L131" s="254"/>
      <c r="M131" s="254"/>
      <c r="N131" s="254"/>
      <c r="O131" s="5"/>
      <c r="Q131" s="5"/>
      <c r="R131" s="5"/>
      <c r="S131" s="5"/>
    </row>
    <row r="132" spans="2:27">
      <c r="B132" s="5"/>
      <c r="C132" s="259"/>
      <c r="D132" s="18"/>
      <c r="E132" s="18"/>
      <c r="F132" s="18"/>
      <c r="G132" s="18"/>
      <c r="H132" s="18"/>
      <c r="I132" s="5"/>
      <c r="J132" s="18"/>
      <c r="K132" s="18"/>
      <c r="L132" s="18"/>
      <c r="M132" s="18"/>
      <c r="N132" s="18"/>
      <c r="O132" s="5"/>
      <c r="Q132" s="5"/>
      <c r="R132" s="5"/>
      <c r="S132" s="5"/>
    </row>
    <row r="133" spans="2:27">
      <c r="B133" s="5"/>
      <c r="C133" s="5"/>
      <c r="D133" s="5"/>
      <c r="E133" s="5"/>
      <c r="F133" s="5"/>
      <c r="G133" s="5"/>
      <c r="H133" s="5"/>
      <c r="I133" s="17"/>
      <c r="J133" s="5"/>
      <c r="K133" s="5"/>
      <c r="L133" s="5"/>
      <c r="M133" s="5"/>
      <c r="N133" s="5"/>
      <c r="O133" s="5"/>
      <c r="Q133" s="5"/>
      <c r="R133" s="5"/>
      <c r="S133" s="5"/>
    </row>
    <row r="134" spans="2:27">
      <c r="B134" s="41"/>
      <c r="C134" s="5"/>
      <c r="D134" s="5"/>
      <c r="E134" s="5"/>
      <c r="F134" s="5"/>
      <c r="G134" s="5"/>
      <c r="H134" s="5"/>
      <c r="I134" s="17"/>
      <c r="J134" s="5"/>
      <c r="K134" s="5"/>
      <c r="L134" s="5"/>
      <c r="M134" s="5"/>
      <c r="N134" s="5"/>
      <c r="O134" s="5"/>
      <c r="Q134" s="5"/>
      <c r="R134" s="5"/>
      <c r="S134" s="5"/>
    </row>
    <row r="135" spans="2:27">
      <c r="B135" s="5"/>
      <c r="C135" s="17"/>
      <c r="D135" s="17"/>
      <c r="E135" s="17"/>
      <c r="F135" s="17"/>
      <c r="G135" s="17"/>
      <c r="H135" s="17"/>
      <c r="I135" s="17"/>
      <c r="J135" s="17"/>
      <c r="K135" s="17"/>
      <c r="L135" s="17"/>
      <c r="M135" s="17"/>
      <c r="N135" s="17"/>
      <c r="O135" s="5"/>
      <c r="Q135" s="41"/>
      <c r="R135" s="5"/>
      <c r="S135" s="5"/>
    </row>
    <row r="136" spans="2:27">
      <c r="B136" s="5"/>
      <c r="C136" s="17"/>
      <c r="D136" s="17"/>
      <c r="E136" s="17"/>
      <c r="F136" s="17"/>
      <c r="G136" s="17"/>
      <c r="H136" s="17"/>
      <c r="I136" s="17"/>
      <c r="J136" s="17"/>
      <c r="K136" s="17"/>
      <c r="L136" s="17"/>
      <c r="M136" s="17"/>
      <c r="N136" s="17"/>
      <c r="O136" s="5"/>
      <c r="Q136" s="5"/>
      <c r="R136" s="5"/>
      <c r="S136" s="5"/>
      <c r="X136" s="304"/>
    </row>
    <row r="137" spans="2:27">
      <c r="B137" s="5"/>
      <c r="C137" s="5"/>
      <c r="D137" s="17"/>
      <c r="E137" s="17"/>
      <c r="F137" s="17"/>
      <c r="G137" s="17"/>
      <c r="H137" s="17"/>
      <c r="I137" s="17"/>
      <c r="J137" s="17"/>
      <c r="K137" s="17"/>
      <c r="L137" s="17"/>
      <c r="M137" s="17"/>
      <c r="N137" s="17"/>
      <c r="O137" s="5"/>
      <c r="Q137" s="5"/>
      <c r="R137" s="5"/>
      <c r="S137" s="5"/>
      <c r="X137" s="10"/>
      <c r="Y137" s="304"/>
      <c r="Z137" s="304"/>
      <c r="AA137" s="304"/>
    </row>
    <row r="138" spans="2:27">
      <c r="B138" s="5"/>
      <c r="C138" s="5"/>
      <c r="D138" s="17"/>
      <c r="E138" s="17"/>
      <c r="F138" s="17"/>
      <c r="G138" s="17"/>
      <c r="H138" s="17"/>
      <c r="I138" s="17"/>
      <c r="J138" s="17"/>
      <c r="K138" s="17"/>
      <c r="L138" s="17"/>
      <c r="M138" s="17"/>
      <c r="N138" s="17"/>
      <c r="O138" s="5"/>
      <c r="Q138" s="5"/>
      <c r="R138" s="5"/>
      <c r="S138" s="5"/>
      <c r="Y138" s="10"/>
      <c r="Z138" s="10"/>
      <c r="AA138" s="10"/>
    </row>
    <row r="139" spans="2:27">
      <c r="B139" s="5"/>
      <c r="C139" s="5"/>
      <c r="D139" s="17"/>
      <c r="E139" s="17"/>
      <c r="F139" s="17"/>
      <c r="G139" s="17"/>
      <c r="H139" s="17"/>
      <c r="I139" s="5"/>
      <c r="J139" s="17"/>
      <c r="K139" s="17"/>
      <c r="L139" s="17"/>
      <c r="M139" s="17"/>
      <c r="N139" s="17"/>
      <c r="O139" s="5"/>
      <c r="Q139" s="5"/>
      <c r="R139" s="5"/>
      <c r="S139" s="5"/>
    </row>
    <row r="140" spans="2:27">
      <c r="B140" s="5"/>
      <c r="C140" s="17"/>
      <c r="D140" s="17"/>
      <c r="E140" s="17"/>
      <c r="F140" s="17"/>
      <c r="G140" s="17"/>
      <c r="H140" s="17"/>
      <c r="I140" s="5"/>
      <c r="J140" s="17"/>
      <c r="K140" s="17"/>
      <c r="L140" s="17"/>
      <c r="M140" s="17"/>
      <c r="N140" s="17"/>
      <c r="O140" s="5"/>
      <c r="Q140" s="5"/>
      <c r="R140" s="5"/>
      <c r="S140" s="5"/>
    </row>
    <row r="141" spans="2:27">
      <c r="B141" s="5"/>
      <c r="C141" s="5"/>
      <c r="D141" s="5"/>
      <c r="E141" s="5"/>
      <c r="F141" s="5"/>
      <c r="G141" s="5"/>
      <c r="H141" s="5"/>
      <c r="I141" s="5"/>
      <c r="J141" s="5"/>
      <c r="K141" s="5"/>
      <c r="L141" s="5"/>
      <c r="M141" s="5"/>
      <c r="N141" s="5"/>
      <c r="O141" s="5"/>
      <c r="Q141" s="5"/>
      <c r="R141" s="5"/>
      <c r="S141" s="5"/>
    </row>
    <row r="142" spans="2:27">
      <c r="B142" s="5"/>
      <c r="C142" s="5"/>
      <c r="D142" s="5"/>
      <c r="E142" s="5"/>
      <c r="F142" s="5"/>
      <c r="G142" s="5"/>
      <c r="H142" s="5"/>
      <c r="I142" s="5"/>
      <c r="J142" s="5"/>
      <c r="K142" s="5"/>
      <c r="L142" s="5"/>
      <c r="M142" s="5"/>
      <c r="N142" s="5"/>
      <c r="O142" s="5"/>
      <c r="Q142" s="5"/>
      <c r="R142" s="5"/>
      <c r="S142" s="5"/>
    </row>
    <row r="143" spans="2:27">
      <c r="B143" s="5"/>
      <c r="C143" s="5"/>
      <c r="D143" s="5"/>
      <c r="E143" s="5"/>
      <c r="F143" s="5"/>
      <c r="G143" s="5"/>
      <c r="H143" s="5"/>
      <c r="I143" s="5"/>
      <c r="J143" s="5"/>
      <c r="K143" s="5"/>
      <c r="L143" s="5"/>
      <c r="M143" s="5"/>
      <c r="N143" s="5"/>
      <c r="O143" s="5"/>
      <c r="Q143" s="5"/>
      <c r="R143" s="5"/>
      <c r="S143" s="5"/>
    </row>
    <row r="144" spans="2:27">
      <c r="B144" s="5"/>
      <c r="C144" s="5"/>
      <c r="D144" s="5"/>
      <c r="E144" s="5"/>
      <c r="F144" s="5"/>
      <c r="G144" s="5"/>
      <c r="H144" s="5"/>
      <c r="I144" s="5"/>
      <c r="J144" s="5"/>
      <c r="K144" s="5"/>
      <c r="L144" s="5"/>
      <c r="M144" s="5"/>
      <c r="N144" s="5"/>
      <c r="O144" s="5"/>
      <c r="Q144" s="5"/>
      <c r="R144" s="5"/>
      <c r="S144" s="5"/>
    </row>
    <row r="145" spans="2:19">
      <c r="B145" s="5"/>
      <c r="C145" s="5"/>
      <c r="D145" s="5"/>
      <c r="E145" s="5"/>
      <c r="F145" s="5"/>
      <c r="G145" s="5"/>
      <c r="H145" s="5"/>
      <c r="I145" s="5"/>
      <c r="J145" s="5"/>
      <c r="K145" s="5"/>
      <c r="L145" s="5"/>
      <c r="M145" s="5"/>
      <c r="N145" s="5"/>
      <c r="O145" s="5"/>
      <c r="Q145" s="5"/>
      <c r="R145" s="5"/>
      <c r="S145" s="5"/>
    </row>
    <row r="146" spans="2:19">
      <c r="B146" s="5"/>
      <c r="C146" s="5"/>
      <c r="D146" s="5"/>
      <c r="E146" s="5"/>
      <c r="F146" s="5"/>
      <c r="G146" s="5"/>
      <c r="H146" s="5"/>
      <c r="I146" s="5"/>
      <c r="J146" s="5"/>
      <c r="K146" s="5"/>
      <c r="L146" s="5"/>
      <c r="M146" s="5"/>
      <c r="N146" s="5"/>
      <c r="O146" s="5"/>
      <c r="Q146" s="5"/>
      <c r="R146" s="5"/>
      <c r="S146" s="5"/>
    </row>
    <row r="147" spans="2:19">
      <c r="B147" s="5"/>
      <c r="C147" s="5"/>
      <c r="D147" s="5"/>
      <c r="E147" s="5"/>
      <c r="F147" s="5"/>
      <c r="G147" s="5"/>
      <c r="H147" s="5"/>
      <c r="I147" s="5"/>
      <c r="J147" s="5"/>
      <c r="K147" s="5"/>
      <c r="L147" s="5"/>
      <c r="M147" s="5"/>
      <c r="N147" s="5"/>
      <c r="O147" s="5"/>
      <c r="Q147" s="5"/>
      <c r="R147" s="5"/>
      <c r="S147" s="5"/>
    </row>
    <row r="148" spans="2:19">
      <c r="B148" s="5"/>
      <c r="C148" s="5"/>
      <c r="D148" s="5"/>
      <c r="E148" s="5"/>
      <c r="F148" s="5"/>
      <c r="G148" s="5"/>
      <c r="H148" s="5"/>
      <c r="I148" s="5"/>
      <c r="J148" s="5"/>
      <c r="K148" s="5"/>
      <c r="L148" s="5"/>
      <c r="M148" s="5"/>
      <c r="N148" s="5"/>
      <c r="O148" s="5"/>
      <c r="Q148" s="5"/>
      <c r="R148" s="5"/>
      <c r="S148" s="5"/>
    </row>
    <row r="149" spans="2:19">
      <c r="B149" s="5"/>
      <c r="C149" s="5"/>
      <c r="D149" s="5"/>
      <c r="E149" s="5"/>
      <c r="F149" s="5"/>
      <c r="G149" s="5"/>
      <c r="H149" s="5"/>
      <c r="J149" s="5"/>
      <c r="K149" s="5"/>
      <c r="L149" s="5"/>
      <c r="M149" s="5"/>
      <c r="N149" s="5"/>
      <c r="O149" s="5"/>
      <c r="Q149" s="5"/>
      <c r="R149" s="5"/>
      <c r="S149" s="5"/>
    </row>
    <row r="150" spans="2:19">
      <c r="B150" s="5"/>
      <c r="C150" s="5"/>
      <c r="D150" s="5"/>
      <c r="E150" s="5"/>
      <c r="F150" s="5"/>
      <c r="G150" s="5"/>
      <c r="H150" s="5"/>
      <c r="J150" s="5"/>
      <c r="K150" s="5"/>
      <c r="L150" s="5"/>
      <c r="M150" s="5"/>
      <c r="N150" s="5"/>
      <c r="O150" s="5"/>
      <c r="Q150" s="5"/>
      <c r="R150" s="5"/>
      <c r="S150" s="5"/>
    </row>
    <row r="151" spans="2:19">
      <c r="Q151" s="5"/>
      <c r="R151" s="5"/>
      <c r="S151" s="5"/>
    </row>
    <row r="152" spans="2:19">
      <c r="Q152" s="5"/>
      <c r="R152" s="5"/>
      <c r="S152" s="5"/>
    </row>
    <row r="153" spans="2:19">
      <c r="C153" s="263"/>
      <c r="Q153" s="5"/>
      <c r="R153" s="5"/>
      <c r="S153" s="5"/>
    </row>
    <row r="154" spans="2:19">
      <c r="Q154" s="5"/>
      <c r="R154" s="5"/>
      <c r="S154" s="5"/>
    </row>
    <row r="155" spans="2:19">
      <c r="Q155" s="5"/>
      <c r="R155" s="5"/>
      <c r="S155" s="5"/>
    </row>
    <row r="156" spans="2:19">
      <c r="Q156" s="5"/>
      <c r="R156" s="5"/>
      <c r="S156" s="5"/>
    </row>
    <row r="157" spans="2:19">
      <c r="Q157" s="5"/>
      <c r="R157" s="5"/>
      <c r="S157" s="5"/>
    </row>
    <row r="158" spans="2:19">
      <c r="Q158" s="5"/>
      <c r="R158" s="5"/>
      <c r="S158" s="5"/>
    </row>
    <row r="159" spans="2:19">
      <c r="Q159" s="5"/>
      <c r="R159" s="5"/>
      <c r="S159" s="5"/>
    </row>
    <row r="160" spans="2:19">
      <c r="Q160" s="5"/>
      <c r="R160" s="5"/>
      <c r="S160" s="5"/>
    </row>
    <row r="161" spans="17:19">
      <c r="Q161" s="5"/>
      <c r="R161" s="5"/>
      <c r="S161" s="5"/>
    </row>
    <row r="162" spans="17:19">
      <c r="Q162" s="5"/>
      <c r="R162" s="5"/>
      <c r="S162" s="5"/>
    </row>
    <row r="163" spans="17:19">
      <c r="Q163" s="5"/>
      <c r="R163" s="5"/>
      <c r="S163" s="5"/>
    </row>
    <row r="164" spans="17:19">
      <c r="Q164" s="5"/>
      <c r="R164" s="5"/>
      <c r="S164" s="5"/>
    </row>
    <row r="165" spans="17:19">
      <c r="Q165" s="5"/>
      <c r="R165" s="5"/>
      <c r="S165" s="5"/>
    </row>
  </sheetData>
  <phoneticPr fontId="7" type="noConversion"/>
  <hyperlinks>
    <hyperlink ref="C2" location="MTNSOP!A1" display="Jump to MTN SOP" xr:uid="{00000000-0004-0000-3E00-000001000000}"/>
  </hyperlinks>
  <pageMargins left="0.75" right="0.75" top="1" bottom="1" header="0.5" footer="0.5"/>
  <pageSetup scale="71" orientation="landscape" r:id="rId1"/>
  <headerFooter alignWithMargins="0"/>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Sheet33">
    <pageSetUpPr fitToPage="1"/>
  </sheetPr>
  <dimension ref="B1:AR165"/>
  <sheetViews>
    <sheetView showGridLines="0" zoomScale="80" zoomScaleNormal="80" zoomScaleSheetLayoutView="80" workbookViewId="0"/>
  </sheetViews>
  <sheetFormatPr defaultColWidth="9.109375" defaultRowHeight="12"/>
  <cols>
    <col min="1" max="1" width="2.33203125" style="39" customWidth="1"/>
    <col min="2" max="2" width="26.5546875" style="39" customWidth="1"/>
    <col min="3" max="9" width="10" style="39" customWidth="1"/>
    <col min="10" max="10" width="26.6640625" style="39" customWidth="1"/>
    <col min="11" max="16" width="10" style="39" customWidth="1"/>
    <col min="17" max="19" width="8.6640625" style="39" customWidth="1"/>
    <col min="20" max="28" width="8.6640625" style="5" customWidth="1"/>
    <col min="29" max="44" width="9.109375" style="5"/>
    <col min="45" max="16384" width="9.109375" style="39"/>
  </cols>
  <sheetData>
    <row r="1" spans="2:44" s="312" customFormat="1">
      <c r="T1" s="149"/>
      <c r="U1" s="149"/>
      <c r="V1" s="149"/>
      <c r="W1" s="149"/>
      <c r="X1" s="149"/>
      <c r="Y1" s="149"/>
      <c r="Z1" s="149"/>
      <c r="AA1" s="149"/>
      <c r="AB1" s="149"/>
      <c r="AC1" s="149"/>
      <c r="AD1" s="149"/>
      <c r="AE1" s="149"/>
      <c r="AF1" s="149"/>
      <c r="AG1" s="149"/>
      <c r="AH1" s="149"/>
      <c r="AI1" s="149"/>
      <c r="AJ1" s="149"/>
      <c r="AK1" s="149"/>
      <c r="AL1" s="149"/>
      <c r="AM1" s="149"/>
      <c r="AN1" s="149"/>
      <c r="AO1" s="149"/>
      <c r="AP1" s="149"/>
      <c r="AQ1" s="149"/>
      <c r="AR1" s="149"/>
    </row>
    <row r="2" spans="2:44" s="149" customFormat="1"/>
    <row r="3" spans="2:44" s="149" customFormat="1">
      <c r="H3" s="153"/>
      <c r="P3" s="153"/>
    </row>
    <row r="4" spans="2:44" s="156" customFormat="1" ht="21">
      <c r="B4" s="129" t="s">
        <v>916</v>
      </c>
      <c r="H4" s="222"/>
      <c r="P4" s="222"/>
    </row>
    <row r="5" spans="2:44" s="149" customFormat="1">
      <c r="C5" s="153"/>
      <c r="D5" s="153" t="str" cm="1">
        <f t="array" ref="D5:H5">headings</f>
        <v>2023E</v>
      </c>
      <c r="E5" s="153" t="str">
        <v>2024E</v>
      </c>
      <c r="F5" s="153" t="str">
        <v>2025E</v>
      </c>
      <c r="G5" s="153" t="str">
        <v>2026E</v>
      </c>
      <c r="H5" s="153" t="str">
        <v>23E-26E</v>
      </c>
      <c r="I5" s="153"/>
      <c r="J5" s="153"/>
      <c r="K5" s="153"/>
      <c r="L5" s="153" t="str" cm="1">
        <f t="array" ref="L5:P5">headings</f>
        <v>2023E</v>
      </c>
      <c r="M5" s="153" t="str">
        <v>2024E</v>
      </c>
      <c r="N5" s="153" t="str">
        <v>2025E</v>
      </c>
      <c r="O5" s="153" t="str">
        <v>2026E</v>
      </c>
      <c r="P5" s="153" t="str">
        <v>23E-26E</v>
      </c>
      <c r="Q5" s="162"/>
      <c r="R5" s="162"/>
      <c r="S5" s="162"/>
      <c r="T5" s="162"/>
      <c r="U5" s="162"/>
      <c r="V5" s="162"/>
      <c r="W5" s="162"/>
      <c r="X5" s="162"/>
      <c r="Y5" s="162"/>
    </row>
    <row r="6" spans="2:44">
      <c r="I6" s="5"/>
      <c r="J6" s="5"/>
      <c r="K6" s="5"/>
      <c r="L6" s="5"/>
      <c r="M6" s="5"/>
      <c r="N6" s="5"/>
      <c r="O6" s="49"/>
    </row>
    <row r="7" spans="2:44" ht="12.6" thickBot="1">
      <c r="B7" s="306" t="s">
        <v>271</v>
      </c>
      <c r="C7" s="265"/>
      <c r="D7" s="265" t="str">
        <f>D5</f>
        <v>2023E</v>
      </c>
      <c r="E7" s="265" t="str">
        <f t="shared" ref="E7:H7" si="0">E5</f>
        <v>2024E</v>
      </c>
      <c r="F7" s="265" t="str">
        <f t="shared" si="0"/>
        <v>2025E</v>
      </c>
      <c r="G7" s="265" t="str">
        <f t="shared" si="0"/>
        <v>2026E</v>
      </c>
      <c r="H7" s="265" t="str">
        <f t="shared" si="0"/>
        <v>23E-26E</v>
      </c>
      <c r="I7" s="49"/>
      <c r="J7" s="306" t="s">
        <v>492</v>
      </c>
      <c r="K7" s="306"/>
      <c r="L7" s="265" t="str">
        <f>L5</f>
        <v>2023E</v>
      </c>
      <c r="M7" s="265" t="str">
        <f t="shared" ref="M7:P7" si="1">M5</f>
        <v>2024E</v>
      </c>
      <c r="N7" s="265" t="str">
        <f t="shared" si="1"/>
        <v>2025E</v>
      </c>
      <c r="O7" s="265" t="str">
        <f t="shared" si="1"/>
        <v>2026E</v>
      </c>
      <c r="P7" s="265" t="str">
        <f t="shared" si="1"/>
        <v>23E-26E</v>
      </c>
    </row>
    <row r="8" spans="2:44" ht="12.6" thickTop="1">
      <c r="B8" s="5"/>
      <c r="C8" s="5"/>
      <c r="D8" s="5"/>
      <c r="E8" s="5"/>
      <c r="F8" s="5"/>
      <c r="G8" s="5"/>
      <c r="H8" s="5"/>
      <c r="I8" s="5"/>
      <c r="J8" s="5"/>
      <c r="K8" s="5"/>
      <c r="L8" s="5"/>
      <c r="M8" s="5"/>
      <c r="N8" s="5"/>
      <c r="S8" s="88"/>
      <c r="T8" s="42"/>
      <c r="U8" s="42"/>
      <c r="V8" s="42"/>
      <c r="W8" s="42"/>
      <c r="X8" s="42"/>
      <c r="Y8" s="42"/>
      <c r="Z8" s="42"/>
      <c r="AA8" s="42"/>
    </row>
    <row r="9" spans="2:44">
      <c r="B9" s="41" t="s">
        <v>272</v>
      </c>
      <c r="C9" s="267">
        <f>Prices!C28</f>
        <v>14.92</v>
      </c>
      <c r="D9" s="535">
        <v>0</v>
      </c>
      <c r="E9" s="536">
        <v>0</v>
      </c>
      <c r="F9" s="536">
        <v>0</v>
      </c>
      <c r="G9" s="536">
        <v>0</v>
      </c>
      <c r="H9" s="249"/>
      <c r="I9" s="249"/>
      <c r="J9" s="5" t="s">
        <v>273</v>
      </c>
      <c r="L9" s="529">
        <f>'W.EUR OTHER'!D37</f>
        <v>1.625740200561925</v>
      </c>
      <c r="M9" s="529">
        <f>'W.EUR OTHER'!E37</f>
        <v>1.4744355877361912</v>
      </c>
      <c r="N9" s="529">
        <f>'W.EUR OTHER'!F37</f>
        <v>1.3838130671688169</v>
      </c>
      <c r="O9" s="529">
        <f>'W.EUR OTHER'!G37</f>
        <v>1.2773151297065752</v>
      </c>
      <c r="P9" s="279">
        <f>'W.EUR OTHER'!H37</f>
        <v>1.5716493135688125E-2</v>
      </c>
      <c r="S9" s="88"/>
      <c r="T9" s="42"/>
      <c r="U9" s="42"/>
      <c r="V9" s="42"/>
      <c r="W9" s="42"/>
      <c r="X9" s="42"/>
      <c r="Y9" s="42"/>
      <c r="Z9" s="42"/>
      <c r="AA9" s="42"/>
    </row>
    <row r="10" spans="2:44">
      <c r="B10" s="5" t="s">
        <v>274</v>
      </c>
      <c r="C10" s="5"/>
      <c r="D10" s="531">
        <v>60.014414000000002</v>
      </c>
      <c r="E10" s="531">
        <v>60.014414000000002</v>
      </c>
      <c r="F10" s="531">
        <v>60.014414000000002</v>
      </c>
      <c r="G10" s="531">
        <v>60.014414000000002</v>
      </c>
      <c r="H10" s="247"/>
      <c r="I10" s="247"/>
      <c r="J10" s="5" t="s">
        <v>184</v>
      </c>
      <c r="L10" s="529">
        <f>'W.EUR OTHER'!D38</f>
        <v>5.2795254299348739</v>
      </c>
      <c r="M10" s="529">
        <f>'W.EUR OTHER'!E38</f>
        <v>4.974469712304483</v>
      </c>
      <c r="N10" s="529">
        <f>'W.EUR OTHER'!F38</f>
        <v>4.5174816735135677</v>
      </c>
      <c r="O10" s="529">
        <f>'W.EUR OTHER'!G38</f>
        <v>4.0920709682728358</v>
      </c>
      <c r="P10" s="279">
        <f>'W.EUR OTHER'!H38</f>
        <v>2.0325446875936182E-2</v>
      </c>
      <c r="S10" s="88"/>
      <c r="T10" s="42"/>
      <c r="U10" s="42"/>
      <c r="V10" s="42"/>
      <c r="W10" s="288"/>
      <c r="X10" s="288"/>
      <c r="Y10" s="288"/>
      <c r="Z10" s="288"/>
      <c r="AA10" s="42"/>
    </row>
    <row r="11" spans="2:44">
      <c r="B11" s="41" t="s">
        <v>275</v>
      </c>
      <c r="C11" s="5"/>
      <c r="D11" s="532">
        <f>$C$9*D10</f>
        <v>895.41505688000007</v>
      </c>
      <c r="E11" s="532">
        <f>$C$9*E10</f>
        <v>895.41505688000007</v>
      </c>
      <c r="F11" s="532">
        <f>$C$9*F10</f>
        <v>895.41505688000007</v>
      </c>
      <c r="G11" s="532">
        <f>$C$9*G10</f>
        <v>895.41505688000007</v>
      </c>
      <c r="H11" s="249"/>
      <c r="I11" s="249"/>
      <c r="J11" s="5" t="s">
        <v>185</v>
      </c>
      <c r="L11" s="529">
        <f>'W.EUR OTHER'!D39</f>
        <v>12.736189476818824</v>
      </c>
      <c r="M11" s="529">
        <f>'W.EUR OTHER'!E39</f>
        <v>12.065966967777575</v>
      </c>
      <c r="N11" s="529">
        <f>'W.EUR OTHER'!F39</f>
        <v>9.9478093470125</v>
      </c>
      <c r="O11" s="529">
        <f>'W.EUR OTHER'!G39</f>
        <v>8.473000290176449</v>
      </c>
      <c r="P11" s="279">
        <f>'W.EUR OTHER'!H39</f>
        <v>7.3632307659955432E-2</v>
      </c>
      <c r="S11" s="88"/>
      <c r="T11" s="42"/>
      <c r="U11" s="42"/>
      <c r="V11" s="42"/>
      <c r="W11" s="288"/>
      <c r="X11" s="288"/>
      <c r="Y11" s="288"/>
      <c r="Z11" s="288"/>
      <c r="AA11" s="42"/>
    </row>
    <row r="12" spans="2:44">
      <c r="B12" s="5" t="s">
        <v>24</v>
      </c>
      <c r="C12" s="249"/>
      <c r="D12" s="533">
        <v>1486.097320940991</v>
      </c>
      <c r="E12" s="533">
        <v>1381.4202223512943</v>
      </c>
      <c r="F12" s="533">
        <v>1285.0622207905253</v>
      </c>
      <c r="G12" s="533">
        <v>1179.5598037392676</v>
      </c>
      <c r="H12" s="247"/>
      <c r="I12" s="247"/>
      <c r="J12" s="5" t="s">
        <v>466</v>
      </c>
      <c r="L12" s="529">
        <f>'W.EUR OTHER'!D40</f>
        <v>17.537055550367363</v>
      </c>
      <c r="M12" s="529">
        <f>'W.EUR OTHER'!E40</f>
        <v>16.571844500633869</v>
      </c>
      <c r="N12" s="529">
        <f>'W.EUR OTHER'!F40</f>
        <v>13.70048405868403</v>
      </c>
      <c r="O12" s="529">
        <f>'W.EUR OTHER'!G40</f>
        <v>11.681030567966248</v>
      </c>
      <c r="P12" s="279">
        <f>'W.EUR OTHER'!H40</f>
        <v>7.319831169942681E-2</v>
      </c>
      <c r="S12" s="88"/>
      <c r="T12" s="42"/>
      <c r="U12" s="42"/>
      <c r="V12" s="42"/>
      <c r="W12" s="288"/>
      <c r="X12" s="288"/>
      <c r="Y12" s="288"/>
      <c r="Z12" s="288"/>
      <c r="AA12" s="42"/>
    </row>
    <row r="13" spans="2:44">
      <c r="B13" s="5" t="s">
        <v>529</v>
      </c>
      <c r="C13" s="257"/>
      <c r="D13" s="533">
        <v>438.50714707584609</v>
      </c>
      <c r="E13" s="533">
        <v>438.50714707584609</v>
      </c>
      <c r="F13" s="533">
        <v>438.50714707584609</v>
      </c>
      <c r="G13" s="533">
        <v>438.50714707584609</v>
      </c>
      <c r="H13" s="247"/>
      <c r="I13" s="247"/>
      <c r="J13" s="5" t="s">
        <v>530</v>
      </c>
      <c r="L13" s="529">
        <f>'W.EUR OTHER'!D41</f>
        <v>0.73407860349270371</v>
      </c>
      <c r="M13" s="529">
        <f>'W.EUR OTHER'!E41</f>
        <v>0.70658465772315859</v>
      </c>
      <c r="N13" s="529">
        <f>'W.EUR OTHER'!F41</f>
        <v>0.66539496043406632</v>
      </c>
      <c r="O13" s="529">
        <f>'W.EUR OTHER'!G41</f>
        <v>0.63140864888435067</v>
      </c>
      <c r="P13" s="279">
        <f>'W.EUR OTHER'!H41</f>
        <v>-1.4479895812281707E-2</v>
      </c>
      <c r="S13" s="88"/>
      <c r="T13" s="42"/>
      <c r="U13" s="42"/>
      <c r="V13" s="42"/>
      <c r="W13" s="42"/>
      <c r="X13" s="42"/>
      <c r="Y13" s="42"/>
      <c r="Z13" s="42"/>
      <c r="AA13" s="42"/>
    </row>
    <row r="14" spans="2:44">
      <c r="B14" s="5" t="s">
        <v>532</v>
      </c>
      <c r="C14" s="257"/>
      <c r="D14" s="533">
        <f>OBELSOP!R17</f>
        <v>0</v>
      </c>
      <c r="E14" s="533">
        <f t="shared" ref="E14:G15" si="2">D14</f>
        <v>0</v>
      </c>
      <c r="F14" s="533">
        <f t="shared" si="2"/>
        <v>0</v>
      </c>
      <c r="G14" s="533">
        <f t="shared" si="2"/>
        <v>0</v>
      </c>
      <c r="H14" s="247"/>
      <c r="I14" s="247"/>
      <c r="J14" s="5" t="s">
        <v>593</v>
      </c>
      <c r="L14" s="529">
        <f>'W.EUR OTHER'!D42</f>
        <v>1.7744255045715212</v>
      </c>
      <c r="M14" s="529">
        <f>'W.EUR OTHER'!E42</f>
        <v>1.6143851746135043</v>
      </c>
      <c r="N14" s="529">
        <f>'W.EUR OTHER'!F42</f>
        <v>1.516251557360391</v>
      </c>
      <c r="O14" s="529">
        <f>'W.EUR OTHER'!G42</f>
        <v>1.4124281433920347</v>
      </c>
      <c r="P14" s="279">
        <f>'W.EUR OTHER'!H42</f>
        <v>1.1312273411797191E-2</v>
      </c>
      <c r="S14" s="88"/>
      <c r="T14" s="42"/>
      <c r="U14" s="42"/>
      <c r="V14" s="42"/>
      <c r="W14" s="42"/>
      <c r="X14" s="42"/>
      <c r="Y14" s="42"/>
      <c r="Z14" s="42"/>
      <c r="AA14" s="42"/>
    </row>
    <row r="15" spans="2:44">
      <c r="B15" s="5" t="s">
        <v>531</v>
      </c>
      <c r="C15" s="274"/>
      <c r="D15" s="533">
        <f>OBELSOP!T14</f>
        <v>199.25540795528309</v>
      </c>
      <c r="E15" s="533">
        <f t="shared" si="2"/>
        <v>199.25540795528309</v>
      </c>
      <c r="F15" s="533">
        <f t="shared" si="2"/>
        <v>199.25540795528309</v>
      </c>
      <c r="G15" s="533">
        <f t="shared" si="2"/>
        <v>199.25540795528309</v>
      </c>
      <c r="H15" s="247"/>
      <c r="I15" s="247"/>
      <c r="J15" s="5" t="s">
        <v>475</v>
      </c>
      <c r="L15" s="529">
        <f>'W.EUR OTHER'!D43</f>
        <v>16.766632642192913</v>
      </c>
      <c r="M15" s="529">
        <f>'W.EUR OTHER'!E43</f>
        <v>18.03434445713204</v>
      </c>
      <c r="N15" s="529">
        <f>'W.EUR OTHER'!F43</f>
        <v>10.571394482468753</v>
      </c>
      <c r="O15" s="529">
        <f>'W.EUR OTHER'!G43</f>
        <v>8.2021597370687243</v>
      </c>
      <c r="P15" s="279">
        <f>'W.EUR OTHER'!H43</f>
        <v>0.21960762754614027</v>
      </c>
      <c r="S15" s="88"/>
      <c r="T15" s="42"/>
      <c r="U15" s="42"/>
      <c r="V15" s="42"/>
      <c r="W15" s="42"/>
      <c r="X15" s="42"/>
      <c r="Y15" s="42"/>
      <c r="Z15" s="42"/>
      <c r="AA15" s="42"/>
    </row>
    <row r="16" spans="2:44">
      <c r="B16" s="5" t="s">
        <v>534</v>
      </c>
      <c r="C16" s="257"/>
      <c r="D16" s="533">
        <v>30.007207000000001</v>
      </c>
      <c r="E16" s="533">
        <v>30.007207000000001</v>
      </c>
      <c r="F16" s="533">
        <v>30.007207000000001</v>
      </c>
      <c r="G16" s="533">
        <v>30.007207000000001</v>
      </c>
      <c r="H16" s="247"/>
      <c r="I16" s="247"/>
      <c r="J16" s="5" t="s">
        <v>533</v>
      </c>
      <c r="L16" s="529">
        <f>'W.EUR OTHER'!D44</f>
        <v>14.93276596244098</v>
      </c>
      <c r="M16" s="529">
        <f>'W.EUR OTHER'!E44</f>
        <v>11.776896223765881</v>
      </c>
      <c r="N16" s="529">
        <f>'W.EUR OTHER'!F44</f>
        <v>9.7753259947195836</v>
      </c>
      <c r="O16" s="529">
        <f>'W.EUR OTHER'!G44</f>
        <v>8.6831119730060706</v>
      </c>
      <c r="P16" s="279">
        <f>'W.EUR OTHER'!H44</f>
        <v>0.16793708979658639</v>
      </c>
      <c r="S16" s="88"/>
      <c r="T16" s="42"/>
      <c r="U16" s="42"/>
      <c r="V16" s="42"/>
      <c r="W16" s="42"/>
      <c r="X16" s="42"/>
      <c r="Y16" s="42"/>
      <c r="Z16" s="42"/>
      <c r="AA16" s="42"/>
    </row>
    <row r="17" spans="2:27">
      <c r="B17" s="5" t="s">
        <v>6</v>
      </c>
      <c r="C17" s="257"/>
      <c r="D17" s="533">
        <v>14.418642954005875</v>
      </c>
      <c r="E17" s="533">
        <v>14.418642954005875</v>
      </c>
      <c r="F17" s="533">
        <v>14.418642954005875</v>
      </c>
      <c r="G17" s="533">
        <v>14.418642954005875</v>
      </c>
      <c r="H17" s="247"/>
      <c r="I17" s="247"/>
      <c r="J17" s="5" t="s">
        <v>580</v>
      </c>
      <c r="L17" s="248">
        <f>'W.EUR OTHER'!D45</f>
        <v>7.0241435315537989E-2</v>
      </c>
      <c r="M17" s="248">
        <f>'W.EUR OTHER'!E45</f>
        <v>4.5697904024259245E-2</v>
      </c>
      <c r="N17" s="248">
        <f>'W.EUR OTHER'!F45</f>
        <v>4.7170150494817063E-2</v>
      </c>
      <c r="O17" s="248">
        <f>'W.EUR OTHER'!G45</f>
        <v>4.8241300976334903E-2</v>
      </c>
      <c r="P17" s="279">
        <f>'W.EUR OTHER'!H45</f>
        <v>-0.13991829578276849</v>
      </c>
      <c r="S17" s="88"/>
      <c r="T17" s="42"/>
      <c r="U17" s="42"/>
      <c r="V17" s="42"/>
      <c r="W17" s="42"/>
      <c r="X17" s="42"/>
      <c r="Y17" s="42"/>
      <c r="Z17" s="42"/>
      <c r="AA17" s="42"/>
    </row>
    <row r="18" spans="2:27" ht="12.6" thickBot="1">
      <c r="B18" s="41" t="s">
        <v>583</v>
      </c>
      <c r="C18" s="249"/>
      <c r="D18" s="534">
        <f>D11+D12+D13-D14+D15-D16-D17</f>
        <v>2974.8490828981144</v>
      </c>
      <c r="E18" s="534">
        <f>E11+E12+E13-E14+E15-E16-E17</f>
        <v>2870.1719843084179</v>
      </c>
      <c r="F18" s="534">
        <f>F11+F12+F13-F14+F15-F16-F17</f>
        <v>2773.8139827476484</v>
      </c>
      <c r="G18" s="534">
        <f>G11+G12+G13-G14+G15-G16-G17</f>
        <v>2668.3115656963914</v>
      </c>
      <c r="H18" s="276">
        <f>IF(D18=0,"nm",IF(G18=0,"nm",(G18/D18)^(1/3)-1))</f>
        <v>-3.5600003621594212E-2</v>
      </c>
      <c r="I18" s="254"/>
      <c r="J18" s="5" t="s">
        <v>36</v>
      </c>
      <c r="L18" s="248">
        <f>'W.EUR OTHER'!D46</f>
        <v>7.0241435315537989E-2</v>
      </c>
      <c r="M18" s="248">
        <f>'W.EUR OTHER'!E46</f>
        <v>4.5697904024259245E-2</v>
      </c>
      <c r="N18" s="248">
        <f>'W.EUR OTHER'!F46</f>
        <v>4.7170150494817063E-2</v>
      </c>
      <c r="O18" s="248">
        <f>'W.EUR OTHER'!G46</f>
        <v>4.8241300976334903E-2</v>
      </c>
      <c r="P18" s="279">
        <f>'W.EUR OTHER'!H46</f>
        <v>-0.13991829578276849</v>
      </c>
      <c r="S18" s="88"/>
      <c r="T18" s="42"/>
      <c r="U18" s="42"/>
      <c r="V18" s="42"/>
      <c r="W18" s="42"/>
      <c r="X18" s="42"/>
      <c r="Y18" s="42"/>
      <c r="Z18" s="42"/>
      <c r="AA18" s="42"/>
    </row>
    <row r="19" spans="2:27" ht="12.6" thickTop="1">
      <c r="B19" s="41"/>
      <c r="C19" s="249"/>
      <c r="D19" s="229"/>
      <c r="E19" s="229"/>
      <c r="F19" s="229"/>
      <c r="G19" s="229"/>
      <c r="H19" s="276"/>
      <c r="I19" s="254"/>
      <c r="J19" s="5" t="s">
        <v>581</v>
      </c>
      <c r="L19" s="248">
        <f>'W.EUR OTHER'!D47</f>
        <v>5.9642268148913748E-2</v>
      </c>
      <c r="M19" s="248">
        <f>'W.EUR OTHER'!E47</f>
        <v>5.5449756012868556E-2</v>
      </c>
      <c r="N19" s="248">
        <f>'W.EUR OTHER'!F47</f>
        <v>9.4594899628271986E-2</v>
      </c>
      <c r="O19" s="248">
        <f>'W.EUR OTHER'!G47</f>
        <v>0.12191910814423843</v>
      </c>
      <c r="P19" s="279">
        <f>'W.EUR OTHER'!H47</f>
        <v>0.21960762754614027</v>
      </c>
      <c r="S19" s="88"/>
      <c r="T19" s="42"/>
      <c r="U19" s="42"/>
      <c r="V19" s="42"/>
      <c r="W19" s="42"/>
      <c r="X19" s="42"/>
      <c r="Y19" s="42"/>
      <c r="Z19" s="42"/>
      <c r="AA19" s="42"/>
    </row>
    <row r="20" spans="2:27">
      <c r="H20" s="277"/>
      <c r="I20" s="17"/>
      <c r="J20" s="5" t="s">
        <v>604</v>
      </c>
      <c r="L20" s="305">
        <f>'W.EUR OTHER'!D48</f>
        <v>1.1058218246883247</v>
      </c>
      <c r="M20" s="305">
        <f>'W.EUR OTHER'!E48</f>
        <v>0.7720587558994737</v>
      </c>
      <c r="N20" s="305">
        <f>'W.EUR OTHER'!F48</f>
        <v>0.47387935381738827</v>
      </c>
      <c r="O20" s="305">
        <f>'W.EUR OTHER'!G48</f>
        <v>0.38783222312893756</v>
      </c>
      <c r="P20" s="279" t="str">
        <f>'W.EUR OTHER'!H48</f>
        <v>nm</v>
      </c>
      <c r="S20" s="88"/>
      <c r="T20" s="42"/>
      <c r="U20" s="42"/>
      <c r="V20" s="42"/>
      <c r="W20" s="42"/>
      <c r="X20" s="42"/>
      <c r="Y20" s="42"/>
      <c r="Z20" s="42"/>
      <c r="AA20" s="42"/>
    </row>
    <row r="21" spans="2:27" ht="12.6" thickBot="1">
      <c r="B21" s="306" t="s">
        <v>926</v>
      </c>
      <c r="C21" s="265"/>
      <c r="D21" s="265" t="str">
        <f>D5</f>
        <v>2023E</v>
      </c>
      <c r="E21" s="265" t="str">
        <f t="shared" ref="E21:H21" si="3">E5</f>
        <v>2024E</v>
      </c>
      <c r="F21" s="265" t="str">
        <f t="shared" si="3"/>
        <v>2025E</v>
      </c>
      <c r="G21" s="265" t="str">
        <f t="shared" si="3"/>
        <v>2026E</v>
      </c>
      <c r="H21" s="265" t="str">
        <f t="shared" si="3"/>
        <v>23E-26E</v>
      </c>
      <c r="I21" s="49"/>
      <c r="J21" s="41"/>
      <c r="L21" s="250"/>
      <c r="M21" s="250"/>
      <c r="N21" s="250"/>
      <c r="O21" s="250"/>
      <c r="P21" s="279"/>
      <c r="S21" s="88"/>
      <c r="T21" s="42"/>
      <c r="U21" s="42"/>
      <c r="V21" s="42"/>
      <c r="W21" s="42"/>
      <c r="X21" s="42"/>
      <c r="Y21" s="42"/>
      <c r="Z21" s="42"/>
      <c r="AA21" s="42"/>
    </row>
    <row r="22" spans="2:27" ht="12.6" thickTop="1">
      <c r="B22" s="5"/>
      <c r="C22" s="257"/>
      <c r="D22" s="17"/>
      <c r="E22" s="17"/>
      <c r="F22" s="17"/>
      <c r="G22" s="17"/>
      <c r="H22" s="17"/>
      <c r="I22" s="17"/>
      <c r="P22" s="277"/>
      <c r="S22" s="88"/>
      <c r="T22" s="42"/>
      <c r="U22" s="42"/>
      <c r="V22" s="42"/>
      <c r="W22" s="42"/>
      <c r="X22" s="42"/>
      <c r="Y22" s="42"/>
      <c r="Z22" s="42"/>
      <c r="AA22" s="42"/>
    </row>
    <row r="23" spans="2:27" ht="12.6" thickBot="1">
      <c r="B23" s="5" t="s">
        <v>584</v>
      </c>
      <c r="C23" s="548">
        <v>1721.3142443521056</v>
      </c>
      <c r="D23" s="540">
        <v>1976.2654775459087</v>
      </c>
      <c r="E23" s="540">
        <v>2016.4766624590061</v>
      </c>
      <c r="F23" s="540">
        <v>2055.1462712426946</v>
      </c>
      <c r="G23" s="540">
        <v>2092.372920521851</v>
      </c>
      <c r="H23" s="279">
        <f t="shared" ref="H23:H32" si="4">IF(D23=0,"nm",IF(G23=0,"nm",(G23/D23)^(1/3)-1))</f>
        <v>1.921217333309988E-2</v>
      </c>
      <c r="I23" s="247"/>
      <c r="J23" s="306" t="s">
        <v>9</v>
      </c>
      <c r="K23" s="306"/>
      <c r="L23" s="265" t="str">
        <f>D21</f>
        <v>2023E</v>
      </c>
      <c r="M23" s="265" t="str">
        <f t="shared" ref="M23:P23" si="5">E21</f>
        <v>2024E</v>
      </c>
      <c r="N23" s="265" t="str">
        <f t="shared" si="5"/>
        <v>2025E</v>
      </c>
      <c r="O23" s="265" t="str">
        <f t="shared" si="5"/>
        <v>2026E</v>
      </c>
      <c r="P23" s="265" t="str">
        <f t="shared" si="5"/>
        <v>23E-26E</v>
      </c>
      <c r="S23" s="88"/>
      <c r="T23" s="42"/>
      <c r="U23" s="42"/>
      <c r="V23" s="42"/>
      <c r="W23" s="42"/>
      <c r="X23" s="42"/>
      <c r="Y23" s="42"/>
      <c r="Z23" s="42"/>
      <c r="AA23" s="42"/>
    </row>
    <row r="24" spans="2:27" ht="12.6" thickTop="1">
      <c r="B24" s="5" t="s">
        <v>483</v>
      </c>
      <c r="C24" s="548">
        <v>362.74799999999999</v>
      </c>
      <c r="D24" s="540">
        <v>441.85373979738876</v>
      </c>
      <c r="E24" s="540">
        <v>512.4179550360833</v>
      </c>
      <c r="F24" s="540">
        <v>522.6996048265114</v>
      </c>
      <c r="G24" s="540">
        <v>531.84112390251073</v>
      </c>
      <c r="H24" s="279">
        <f t="shared" si="4"/>
        <v>6.3737476496064982E-2</v>
      </c>
      <c r="I24" s="249"/>
      <c r="J24" s="17"/>
      <c r="K24" s="17"/>
      <c r="L24" s="17"/>
      <c r="M24" s="17"/>
      <c r="N24" s="17"/>
      <c r="O24" s="248"/>
      <c r="S24" s="88"/>
      <c r="T24" s="42"/>
      <c r="U24" s="42"/>
      <c r="V24" s="42"/>
      <c r="W24" s="42" t="s">
        <v>63</v>
      </c>
      <c r="X24" s="42" t="s">
        <v>258</v>
      </c>
      <c r="Y24" s="42"/>
      <c r="Z24" s="42"/>
      <c r="AA24" s="42"/>
    </row>
    <row r="25" spans="2:27">
      <c r="B25" s="5" t="s">
        <v>183</v>
      </c>
      <c r="C25" s="548">
        <v>142.74799999999999</v>
      </c>
      <c r="D25" s="540">
        <v>159.85533029738878</v>
      </c>
      <c r="E25" s="540">
        <v>179.73550125572615</v>
      </c>
      <c r="F25" s="540">
        <v>213.65324696358459</v>
      </c>
      <c r="G25" s="540">
        <v>220.62853884175399</v>
      </c>
      <c r="H25" s="279">
        <f t="shared" si="4"/>
        <v>0.11338369131939996</v>
      </c>
      <c r="I25" s="248"/>
      <c r="J25" s="247" t="s">
        <v>10</v>
      </c>
      <c r="K25" s="247"/>
      <c r="L25" s="321">
        <v>563.38021805018957</v>
      </c>
      <c r="M25" s="321">
        <v>556.15559602767553</v>
      </c>
      <c r="N25" s="321">
        <v>502.18041262681851</v>
      </c>
      <c r="O25" s="321">
        <v>0</v>
      </c>
      <c r="P25" s="279" t="str">
        <f>IF(L25=0,"nm",IF(O25=0,"nm",(O25/L25)^(1/3)-1))</f>
        <v>nm</v>
      </c>
      <c r="S25" s="88"/>
      <c r="T25" s="42"/>
      <c r="U25" s="42"/>
      <c r="V25" s="147" t="s">
        <v>273</v>
      </c>
      <c r="W25" s="288">
        <f>D37/L9</f>
        <v>0.92590943442066553</v>
      </c>
      <c r="X25" s="288">
        <v>1</v>
      </c>
      <c r="Y25" s="42"/>
      <c r="Z25" s="42"/>
      <c r="AA25" s="42"/>
    </row>
    <row r="26" spans="2:27">
      <c r="B26" s="5" t="s">
        <v>586</v>
      </c>
      <c r="C26" s="548">
        <v>107.06099999999999</v>
      </c>
      <c r="D26" s="540">
        <v>119.89149772304158</v>
      </c>
      <c r="E26" s="540">
        <v>134.80162594179461</v>
      </c>
      <c r="F26" s="540">
        <v>160.23993522268844</v>
      </c>
      <c r="G26" s="540">
        <v>165.4714041313155</v>
      </c>
      <c r="H26" s="279">
        <f t="shared" si="4"/>
        <v>0.11338369131939996</v>
      </c>
      <c r="I26" s="249"/>
      <c r="J26" s="249" t="s">
        <v>11</v>
      </c>
      <c r="K26" s="249"/>
      <c r="L26" s="281">
        <f>D11+L25</f>
        <v>1458.7952749301896</v>
      </c>
      <c r="M26" s="281">
        <f>E11+M25</f>
        <v>1451.5706529076756</v>
      </c>
      <c r="N26" s="281">
        <f>F11+N25</f>
        <v>1397.5954695068185</v>
      </c>
      <c r="O26" s="281">
        <f>G11+O25</f>
        <v>895.41505688000007</v>
      </c>
      <c r="P26" s="279">
        <f>IF(L26=0,"nm",IF(O26=0,"nm",(O26/L26)^(1/3)-1))</f>
        <v>-0.15014790694772717</v>
      </c>
      <c r="Q26" s="5"/>
      <c r="S26" s="88"/>
      <c r="T26" s="42"/>
      <c r="U26" s="42"/>
      <c r="V26" s="147" t="s">
        <v>184</v>
      </c>
      <c r="W26" s="288">
        <f t="shared" ref="W26:W33" si="6">D38/L10</f>
        <v>1.2752387977040096</v>
      </c>
      <c r="X26" s="288">
        <v>1</v>
      </c>
      <c r="Y26" s="42"/>
      <c r="Z26" s="42"/>
      <c r="AA26" s="42"/>
    </row>
    <row r="27" spans="2:27">
      <c r="B27" s="5" t="s">
        <v>587</v>
      </c>
      <c r="C27" s="548">
        <v>879.66420719999996</v>
      </c>
      <c r="D27" s="540">
        <v>859.04835803318997</v>
      </c>
      <c r="E27" s="540">
        <v>892.60673135647846</v>
      </c>
      <c r="F27" s="540">
        <v>922.78167658095481</v>
      </c>
      <c r="G27" s="540">
        <v>948.51816331084649</v>
      </c>
      <c r="H27" s="279">
        <f t="shared" si="4"/>
        <v>3.3576627272030146E-2</v>
      </c>
      <c r="I27" s="249"/>
      <c r="J27" s="248"/>
      <c r="K27" s="248"/>
      <c r="L27" s="248"/>
      <c r="M27" s="248"/>
      <c r="N27" s="248"/>
      <c r="O27" s="248"/>
      <c r="Q27" s="41"/>
      <c r="S27" s="88"/>
      <c r="T27" s="42"/>
      <c r="U27" s="42"/>
      <c r="V27" s="147" t="s">
        <v>185</v>
      </c>
      <c r="W27" s="288">
        <f t="shared" si="6"/>
        <v>1.4611617835329094</v>
      </c>
      <c r="X27" s="288">
        <v>1</v>
      </c>
      <c r="Y27" s="42"/>
      <c r="Z27" s="42"/>
      <c r="AA27" s="42"/>
    </row>
    <row r="28" spans="2:27" ht="12.6" thickBot="1">
      <c r="B28" s="5" t="s">
        <v>592</v>
      </c>
      <c r="C28" s="548">
        <v>644.6</v>
      </c>
      <c r="D28" s="540">
        <v>695.64358413758418</v>
      </c>
      <c r="E28" s="540">
        <v>773.67359687293447</v>
      </c>
      <c r="F28" s="540">
        <v>821.16595037944535</v>
      </c>
      <c r="G28" s="540">
        <v>863.32413875278826</v>
      </c>
      <c r="H28" s="279">
        <f t="shared" si="4"/>
        <v>7.4638428570584781E-2</v>
      </c>
      <c r="I28" s="248"/>
      <c r="J28" s="306" t="s">
        <v>1362</v>
      </c>
      <c r="K28" s="306"/>
      <c r="L28" s="306"/>
      <c r="M28" s="306"/>
      <c r="N28" s="266"/>
      <c r="O28" s="266"/>
      <c r="P28" s="266"/>
      <c r="Q28" s="5"/>
      <c r="S28" s="88"/>
      <c r="T28" s="42"/>
      <c r="U28" s="42"/>
      <c r="V28" s="147" t="s">
        <v>466</v>
      </c>
      <c r="W28" s="288">
        <f t="shared" si="6"/>
        <v>1.4148808715665941</v>
      </c>
      <c r="X28" s="288">
        <v>1</v>
      </c>
      <c r="Y28" s="42"/>
      <c r="Z28" s="42"/>
      <c r="AA28" s="42"/>
    </row>
    <row r="29" spans="2:27" ht="12.6" thickTop="1">
      <c r="B29" s="5" t="s">
        <v>588</v>
      </c>
      <c r="C29" s="548">
        <v>105.52324897959187</v>
      </c>
      <c r="D29" s="540">
        <v>95.513622034079106</v>
      </c>
      <c r="E29" s="540">
        <v>85.228482646541295</v>
      </c>
      <c r="F29" s="540">
        <v>125.80764534982069</v>
      </c>
      <c r="G29" s="540">
        <v>138.07728210617023</v>
      </c>
      <c r="H29" s="279">
        <f t="shared" si="4"/>
        <v>0.13071279106977518</v>
      </c>
      <c r="I29" s="252"/>
      <c r="J29" s="249"/>
      <c r="K29" s="249"/>
      <c r="L29" s="249"/>
      <c r="M29" s="249"/>
      <c r="N29" s="249"/>
      <c r="O29" s="251"/>
      <c r="Q29" s="5"/>
      <c r="S29" s="88"/>
      <c r="T29" s="42"/>
      <c r="U29" s="42"/>
      <c r="V29" s="147" t="s">
        <v>530</v>
      </c>
      <c r="W29" s="288">
        <f t="shared" si="6"/>
        <v>4.7174223540703029</v>
      </c>
      <c r="X29" s="288">
        <v>1</v>
      </c>
      <c r="Y29" s="42"/>
      <c r="Z29" s="42"/>
      <c r="AA29" s="42"/>
    </row>
    <row r="30" spans="2:27">
      <c r="B30" s="5" t="s">
        <v>589</v>
      </c>
      <c r="C30" s="548">
        <v>109.4649156462585</v>
      </c>
      <c r="D30" s="540">
        <v>171.59839568832987</v>
      </c>
      <c r="E30" s="540">
        <v>203.5048981826653</v>
      </c>
      <c r="F30" s="540">
        <v>206.45557288187641</v>
      </c>
      <c r="G30" s="540">
        <v>214.04091266440705</v>
      </c>
      <c r="H30" s="279">
        <f t="shared" si="4"/>
        <v>7.6451639712251218E-2</v>
      </c>
      <c r="I30" s="254"/>
      <c r="J30" s="248"/>
      <c r="K30" s="248"/>
      <c r="L30" s="248"/>
      <c r="M30" s="248"/>
      <c r="N30" s="248"/>
      <c r="O30" s="5"/>
      <c r="Q30" s="5"/>
      <c r="S30" s="88"/>
      <c r="T30" s="42"/>
      <c r="U30" s="42"/>
      <c r="V30" s="147" t="s">
        <v>593</v>
      </c>
      <c r="W30" s="288">
        <f t="shared" si="6"/>
        <v>2.4100185382647927</v>
      </c>
      <c r="X30" s="288">
        <v>1</v>
      </c>
      <c r="Y30" s="42"/>
      <c r="Z30" s="42"/>
      <c r="AA30" s="42"/>
    </row>
    <row r="31" spans="2:27">
      <c r="B31" s="5" t="s">
        <v>590</v>
      </c>
      <c r="C31" s="548">
        <v>0</v>
      </c>
      <c r="D31" s="540">
        <v>0</v>
      </c>
      <c r="E31" s="540">
        <v>0</v>
      </c>
      <c r="F31" s="540">
        <v>0</v>
      </c>
      <c r="G31" s="540">
        <v>0</v>
      </c>
      <c r="H31" s="279" t="str">
        <f t="shared" si="4"/>
        <v>nm</v>
      </c>
      <c r="I31" s="254"/>
      <c r="J31" s="252"/>
      <c r="K31" s="252"/>
      <c r="L31" s="252"/>
      <c r="M31" s="252"/>
      <c r="N31" s="252"/>
      <c r="O31" s="5"/>
      <c r="Q31" s="5"/>
      <c r="S31" s="88"/>
      <c r="T31" s="42"/>
      <c r="U31" s="42"/>
      <c r="V31" s="147" t="s">
        <v>475</v>
      </c>
      <c r="W31" s="288">
        <f t="shared" si="6"/>
        <v>0.91092618109185697</v>
      </c>
      <c r="X31" s="288">
        <v>1</v>
      </c>
      <c r="Y31" s="42"/>
      <c r="Z31" s="42"/>
      <c r="AA31" s="42"/>
    </row>
    <row r="32" spans="2:27">
      <c r="B32" s="5" t="s">
        <v>606</v>
      </c>
      <c r="C32" s="550">
        <v>0</v>
      </c>
      <c r="D32" s="540">
        <v>0</v>
      </c>
      <c r="E32" s="540">
        <v>0</v>
      </c>
      <c r="F32" s="540">
        <v>0</v>
      </c>
      <c r="G32" s="540">
        <v>0</v>
      </c>
      <c r="H32" s="279" t="str">
        <f t="shared" si="4"/>
        <v>nm</v>
      </c>
      <c r="I32" s="254"/>
      <c r="J32" s="254"/>
      <c r="K32" s="254"/>
      <c r="L32" s="254"/>
      <c r="M32" s="254"/>
      <c r="N32" s="254"/>
      <c r="O32" s="251"/>
      <c r="Q32" s="5"/>
      <c r="S32" s="88"/>
      <c r="T32" s="42"/>
      <c r="U32" s="42"/>
      <c r="V32" s="147" t="s">
        <v>533</v>
      </c>
      <c r="W32" s="288">
        <f t="shared" si="6"/>
        <v>0.34943862776097961</v>
      </c>
      <c r="X32" s="288">
        <v>1</v>
      </c>
      <c r="Y32" s="42"/>
      <c r="Z32" s="42"/>
      <c r="AA32" s="42"/>
    </row>
    <row r="33" spans="2:27">
      <c r="B33" s="5" t="s">
        <v>5</v>
      </c>
      <c r="C33" s="548">
        <v>14.1</v>
      </c>
      <c r="D33" s="540">
        <v>33.535586418819818</v>
      </c>
      <c r="E33" s="540">
        <v>57.350350865845705</v>
      </c>
      <c r="F33" s="540">
        <v>53.329648862836393</v>
      </c>
      <c r="G33" s="540">
        <v>49.292440490595858</v>
      </c>
      <c r="H33" s="279">
        <f>IF(D33=0,"nm",IF(G33=0,"nm",(G33/D33)^(1/3)-1))</f>
        <v>0.13699391021131513</v>
      </c>
      <c r="I33" s="5"/>
      <c r="J33" s="254"/>
      <c r="K33" s="254"/>
      <c r="L33" s="254"/>
      <c r="M33" s="254"/>
      <c r="N33" s="254"/>
      <c r="O33" s="251"/>
      <c r="Q33" s="5"/>
      <c r="S33" s="88"/>
      <c r="T33" s="42"/>
      <c r="U33" s="42"/>
      <c r="V33" s="147" t="s">
        <v>580</v>
      </c>
      <c r="W33" s="288">
        <f t="shared" si="6"/>
        <v>0</v>
      </c>
      <c r="X33" s="288">
        <v>1</v>
      </c>
      <c r="Y33" s="42"/>
      <c r="Z33" s="42"/>
      <c r="AA33" s="42"/>
    </row>
    <row r="34" spans="2:27">
      <c r="B34" s="5"/>
      <c r="C34" s="247"/>
      <c r="D34" s="17"/>
      <c r="E34" s="17"/>
      <c r="F34" s="17"/>
      <c r="G34" s="17"/>
      <c r="H34" s="277"/>
      <c r="I34" s="49"/>
      <c r="J34" s="254"/>
      <c r="K34" s="254"/>
      <c r="L34" s="254"/>
      <c r="M34" s="254"/>
      <c r="N34" s="254"/>
      <c r="O34" s="251"/>
      <c r="Q34" s="5"/>
      <c r="S34" s="88"/>
      <c r="T34" s="42"/>
      <c r="U34" s="42"/>
      <c r="V34" s="147" t="s">
        <v>581</v>
      </c>
      <c r="W34" s="288">
        <f>D47/L19</f>
        <v>1.0977837949518336</v>
      </c>
      <c r="X34" s="288">
        <v>1</v>
      </c>
      <c r="Y34" s="288"/>
      <c r="Z34" s="288"/>
      <c r="AA34" s="42"/>
    </row>
    <row r="35" spans="2:27" ht="12.6" thickBot="1">
      <c r="B35" s="306" t="s">
        <v>422</v>
      </c>
      <c r="C35" s="265"/>
      <c r="D35" s="265" t="str">
        <f>D5</f>
        <v>2023E</v>
      </c>
      <c r="E35" s="265" t="str">
        <f t="shared" ref="E35:H35" si="7">E5</f>
        <v>2024E</v>
      </c>
      <c r="F35" s="265" t="str">
        <f t="shared" si="7"/>
        <v>2025E</v>
      </c>
      <c r="G35" s="265" t="str">
        <f t="shared" si="7"/>
        <v>2026E</v>
      </c>
      <c r="H35" s="265" t="str">
        <f t="shared" si="7"/>
        <v>23E-26E</v>
      </c>
      <c r="I35" s="254"/>
      <c r="J35" s="5"/>
      <c r="K35" s="5"/>
      <c r="L35" s="5"/>
      <c r="M35" s="5"/>
      <c r="N35" s="5"/>
      <c r="O35" s="5"/>
      <c r="Q35" s="5"/>
      <c r="S35" s="88"/>
      <c r="T35" s="42"/>
      <c r="U35" s="42"/>
      <c r="V35" s="42"/>
      <c r="W35" s="42"/>
      <c r="X35" s="42"/>
      <c r="Y35" s="288"/>
      <c r="Z35" s="288"/>
      <c r="AA35" s="42"/>
    </row>
    <row r="36" spans="2:27" ht="12.6" thickTop="1">
      <c r="B36" s="41"/>
      <c r="C36" s="249"/>
      <c r="D36" s="254"/>
      <c r="E36" s="254"/>
      <c r="F36" s="254"/>
      <c r="G36" s="254"/>
      <c r="H36" s="254"/>
      <c r="I36" s="17"/>
      <c r="J36" s="49"/>
      <c r="K36" s="49"/>
      <c r="L36" s="49"/>
      <c r="M36" s="49"/>
      <c r="N36" s="49"/>
      <c r="O36" s="49"/>
      <c r="Q36" s="5"/>
      <c r="S36" s="88"/>
      <c r="T36" s="42"/>
      <c r="U36" s="42"/>
      <c r="V36" s="42"/>
      <c r="W36" s="42"/>
      <c r="X36" s="42"/>
      <c r="Y36" s="288"/>
      <c r="Z36" s="288"/>
      <c r="AA36" s="42"/>
    </row>
    <row r="37" spans="2:27">
      <c r="B37" s="5" t="s">
        <v>273</v>
      </c>
      <c r="C37" s="247"/>
      <c r="D37" s="529">
        <f>D$18/D23</f>
        <v>1.5052881896172314</v>
      </c>
      <c r="E37" s="529">
        <f t="shared" ref="E37:G41" si="8">E$18/E23</f>
        <v>1.4233598819876088</v>
      </c>
      <c r="F37" s="529">
        <f t="shared" si="8"/>
        <v>1.3496917574973355</v>
      </c>
      <c r="G37" s="529">
        <f t="shared" si="8"/>
        <v>1.2752562124685201</v>
      </c>
      <c r="H37" s="17">
        <f t="shared" ref="H37:H46" si="9">H23</f>
        <v>1.921217333309988E-2</v>
      </c>
      <c r="I37" s="5"/>
      <c r="J37" s="259"/>
      <c r="K37" s="259"/>
      <c r="L37" s="259"/>
      <c r="M37" s="259"/>
      <c r="N37" s="259"/>
      <c r="O37" s="18"/>
      <c r="Q37" s="5"/>
      <c r="R37" s="5"/>
      <c r="S37" s="42"/>
      <c r="T37" s="42"/>
      <c r="U37" s="42"/>
      <c r="V37" s="42"/>
      <c r="W37" s="42"/>
      <c r="X37" s="42"/>
      <c r="Y37" s="42"/>
      <c r="Z37" s="42"/>
      <c r="AA37" s="42"/>
    </row>
    <row r="38" spans="2:27">
      <c r="B38" s="5" t="s">
        <v>184</v>
      </c>
      <c r="C38" s="247"/>
      <c r="D38" s="529">
        <f>D$18/D24</f>
        <v>6.7326556617178932</v>
      </c>
      <c r="E38" s="529">
        <f t="shared" si="8"/>
        <v>5.6012322677223656</v>
      </c>
      <c r="F38" s="529">
        <f t="shared" si="8"/>
        <v>5.3067076330932021</v>
      </c>
      <c r="G38" s="529">
        <f t="shared" si="8"/>
        <v>5.0171215533635696</v>
      </c>
      <c r="H38" s="17">
        <f t="shared" si="9"/>
        <v>6.3737476496064982E-2</v>
      </c>
      <c r="I38" s="259"/>
      <c r="J38" s="17"/>
      <c r="K38" s="17"/>
      <c r="L38" s="17"/>
      <c r="M38" s="17"/>
      <c r="N38" s="17"/>
      <c r="O38" s="5"/>
      <c r="Q38" s="5"/>
      <c r="R38" s="5"/>
      <c r="S38" s="42"/>
      <c r="T38" s="42"/>
      <c r="U38" s="42"/>
      <c r="V38" s="42"/>
      <c r="W38" s="42"/>
      <c r="X38" s="42"/>
      <c r="Y38" s="42"/>
      <c r="Z38" s="42"/>
      <c r="AA38" s="42"/>
    </row>
    <row r="39" spans="2:27">
      <c r="B39" s="5" t="s">
        <v>185</v>
      </c>
      <c r="C39" s="247"/>
      <c r="D39" s="529">
        <f>D$18/D25</f>
        <v>18.609633331361664</v>
      </c>
      <c r="E39" s="529">
        <f t="shared" si="8"/>
        <v>15.968865161617467</v>
      </c>
      <c r="F39" s="529">
        <f t="shared" si="8"/>
        <v>12.982784124129983</v>
      </c>
      <c r="G39" s="529">
        <f t="shared" si="8"/>
        <v>12.094136051955818</v>
      </c>
      <c r="H39" s="17">
        <f t="shared" si="9"/>
        <v>0.11338369131939996</v>
      </c>
      <c r="I39" s="17"/>
      <c r="J39" s="5"/>
      <c r="K39" s="5"/>
      <c r="L39" s="5"/>
      <c r="M39" s="5"/>
      <c r="N39" s="5"/>
      <c r="O39" s="5"/>
      <c r="Q39" s="5"/>
      <c r="R39" s="5"/>
      <c r="S39" s="42"/>
      <c r="T39" s="42"/>
      <c r="U39" s="42"/>
      <c r="V39" s="42"/>
      <c r="W39" s="42"/>
      <c r="X39" s="42"/>
      <c r="Y39" s="42"/>
      <c r="Z39" s="42"/>
      <c r="AA39" s="42"/>
    </row>
    <row r="40" spans="2:27">
      <c r="B40" s="5" t="s">
        <v>466</v>
      </c>
      <c r="C40" s="247"/>
      <c r="D40" s="529">
        <f>D$18/D26</f>
        <v>24.812844441815553</v>
      </c>
      <c r="E40" s="529">
        <f t="shared" si="8"/>
        <v>21.291820215489956</v>
      </c>
      <c r="F40" s="529">
        <f t="shared" si="8"/>
        <v>17.31037883217331</v>
      </c>
      <c r="G40" s="529">
        <f t="shared" si="8"/>
        <v>16.125514735941092</v>
      </c>
      <c r="H40" s="17">
        <f t="shared" si="9"/>
        <v>0.11338369131939996</v>
      </c>
      <c r="I40" s="5"/>
      <c r="J40" s="259"/>
      <c r="K40" s="259"/>
      <c r="L40" s="259"/>
      <c r="M40" s="259"/>
      <c r="N40" s="259"/>
      <c r="O40" s="18"/>
      <c r="Q40" s="5"/>
      <c r="R40" s="5"/>
      <c r="S40" s="42"/>
      <c r="T40" s="42"/>
      <c r="U40" s="42"/>
      <c r="V40" s="42"/>
      <c r="W40" s="288"/>
      <c r="X40" s="288"/>
      <c r="Y40" s="42"/>
      <c r="Z40" s="42"/>
      <c r="AA40" s="42"/>
    </row>
    <row r="41" spans="2:27">
      <c r="B41" s="5" t="s">
        <v>530</v>
      </c>
      <c r="C41" s="247"/>
      <c r="D41" s="529">
        <f>D$18/D27</f>
        <v>3.4629588137611909</v>
      </c>
      <c r="E41" s="529">
        <f t="shared" si="8"/>
        <v>3.2154944428288919</v>
      </c>
      <c r="F41" s="529">
        <f t="shared" si="8"/>
        <v>3.0059265947120313</v>
      </c>
      <c r="G41" s="529">
        <f t="shared" si="8"/>
        <v>2.813137026688584</v>
      </c>
      <c r="H41" s="17">
        <f t="shared" si="9"/>
        <v>3.3576627272030146E-2</v>
      </c>
      <c r="I41" s="247"/>
      <c r="J41" s="17"/>
      <c r="K41" s="17"/>
      <c r="L41" s="17"/>
      <c r="M41" s="17"/>
      <c r="N41" s="17"/>
      <c r="O41" s="5"/>
      <c r="Q41" s="5"/>
      <c r="R41" s="5"/>
      <c r="S41" s="42"/>
      <c r="T41" s="42"/>
      <c r="U41" s="42"/>
      <c r="V41" s="42"/>
      <c r="W41" s="288"/>
      <c r="X41" s="288"/>
      <c r="Y41" s="288"/>
      <c r="Z41" s="288"/>
      <c r="AA41" s="42"/>
    </row>
    <row r="42" spans="2:27">
      <c r="B42" s="5" t="s">
        <v>593</v>
      </c>
      <c r="C42" s="247"/>
      <c r="D42" s="529">
        <f>D18/D28</f>
        <v>4.2763983607872245</v>
      </c>
      <c r="E42" s="529">
        <f>E18/E28</f>
        <v>3.7097969943774691</v>
      </c>
      <c r="F42" s="529">
        <f>F18/F28</f>
        <v>3.3778969786386308</v>
      </c>
      <c r="G42" s="529">
        <f>G18/G28</f>
        <v>3.09074129393764</v>
      </c>
      <c r="H42" s="17">
        <f t="shared" si="9"/>
        <v>7.4638428570584781E-2</v>
      </c>
      <c r="I42" s="248"/>
      <c r="J42" s="5"/>
      <c r="K42" s="5"/>
      <c r="L42" s="5"/>
      <c r="M42" s="5"/>
      <c r="N42" s="5"/>
      <c r="O42" s="5"/>
      <c r="Q42" s="5"/>
      <c r="R42" s="5"/>
      <c r="S42" s="42"/>
      <c r="T42" s="42"/>
      <c r="U42" s="42"/>
      <c r="V42" s="42"/>
      <c r="W42" s="288"/>
      <c r="X42" s="288"/>
      <c r="Y42" s="288"/>
      <c r="Z42" s="288"/>
      <c r="AA42" s="42"/>
    </row>
    <row r="43" spans="2:27">
      <c r="B43" s="5" t="s">
        <v>475</v>
      </c>
      <c r="C43" s="247"/>
      <c r="D43" s="529">
        <f>L26/D29</f>
        <v>15.273164642522863</v>
      </c>
      <c r="E43" s="529">
        <f>M26/E29</f>
        <v>17.031520541408849</v>
      </c>
      <c r="F43" s="529">
        <f>N26/F29</f>
        <v>11.108986783916551</v>
      </c>
      <c r="G43" s="529">
        <f>O26/G29</f>
        <v>6.484883271322639</v>
      </c>
      <c r="H43" s="17">
        <f t="shared" si="9"/>
        <v>0.13071279106977518</v>
      </c>
      <c r="I43" s="247"/>
      <c r="J43" s="247"/>
      <c r="K43" s="247"/>
      <c r="L43" s="247"/>
      <c r="M43" s="247"/>
      <c r="N43" s="247"/>
      <c r="O43" s="18"/>
      <c r="Q43" s="5"/>
      <c r="R43" s="5"/>
      <c r="S43" s="42"/>
      <c r="T43" s="42"/>
      <c r="U43" s="42"/>
      <c r="V43" s="42"/>
      <c r="W43" s="288"/>
      <c r="X43" s="288"/>
      <c r="Y43" s="288"/>
      <c r="Z43" s="288"/>
      <c r="AA43" s="42"/>
    </row>
    <row r="44" spans="2:27">
      <c r="B44" s="5" t="s">
        <v>533</v>
      </c>
      <c r="C44" s="69"/>
      <c r="D44" s="529">
        <f>D11/D30</f>
        <v>5.2180852465912402</v>
      </c>
      <c r="E44" s="529">
        <f>E11/E30</f>
        <v>4.3999680836983028</v>
      </c>
      <c r="F44" s="529">
        <f>F11/F30</f>
        <v>4.337083491528281</v>
      </c>
      <c r="G44" s="529">
        <f>G11/G30</f>
        <v>4.1833827268523835</v>
      </c>
      <c r="H44" s="17">
        <f t="shared" si="9"/>
        <v>7.6451639712251218E-2</v>
      </c>
      <c r="I44" s="247"/>
      <c r="J44" s="248"/>
      <c r="K44" s="248"/>
      <c r="L44" s="248"/>
      <c r="M44" s="248"/>
      <c r="N44" s="248"/>
      <c r="O44" s="248"/>
      <c r="Q44" s="5"/>
      <c r="R44" s="5"/>
      <c r="S44" s="42"/>
      <c r="T44" s="42"/>
      <c r="U44" s="42"/>
      <c r="V44" s="42"/>
      <c r="W44" s="325"/>
      <c r="X44" s="325"/>
      <c r="Y44" s="288"/>
      <c r="Z44" s="288"/>
      <c r="AA44" s="42"/>
    </row>
    <row r="45" spans="2:27">
      <c r="B45" s="5" t="s">
        <v>580</v>
      </c>
      <c r="C45" s="247"/>
      <c r="D45" s="248">
        <f>D31/D11</f>
        <v>0</v>
      </c>
      <c r="E45" s="248">
        <f>E31/E11</f>
        <v>0</v>
      </c>
      <c r="F45" s="248">
        <f>F31/F11</f>
        <v>0</v>
      </c>
      <c r="G45" s="248">
        <f>G31/G11</f>
        <v>0</v>
      </c>
      <c r="H45" s="17" t="str">
        <f t="shared" si="9"/>
        <v>nm</v>
      </c>
      <c r="I45" s="248"/>
      <c r="J45" s="247"/>
      <c r="K45" s="247"/>
      <c r="L45" s="247"/>
      <c r="M45" s="247"/>
      <c r="N45" s="247"/>
      <c r="O45" s="248"/>
      <c r="Q45" s="5"/>
      <c r="R45" s="5"/>
      <c r="S45" s="42"/>
      <c r="T45" s="42"/>
      <c r="U45" s="42"/>
      <c r="V45" s="42"/>
      <c r="W45" s="42"/>
      <c r="X45" s="42"/>
      <c r="Y45" s="325"/>
      <c r="Z45" s="325"/>
      <c r="AA45" s="42"/>
    </row>
    <row r="46" spans="2:27">
      <c r="B46" s="5" t="s">
        <v>605</v>
      </c>
      <c r="C46" s="247"/>
      <c r="D46" s="248">
        <f>(D31+D32)/D11</f>
        <v>0</v>
      </c>
      <c r="E46" s="248">
        <f>(E31+E32)/E11</f>
        <v>0</v>
      </c>
      <c r="F46" s="248">
        <f>(F31+F32)/F11</f>
        <v>0</v>
      </c>
      <c r="G46" s="248">
        <f>(G31+G32)/G11</f>
        <v>0</v>
      </c>
      <c r="H46" s="17" t="str">
        <f t="shared" si="9"/>
        <v>nm</v>
      </c>
      <c r="I46" s="247"/>
      <c r="J46" s="247"/>
      <c r="K46" s="247"/>
      <c r="L46" s="247"/>
      <c r="M46" s="247"/>
      <c r="N46" s="247"/>
      <c r="O46" s="18"/>
      <c r="Q46" s="5"/>
      <c r="R46" s="5"/>
      <c r="S46" s="42"/>
      <c r="T46" s="42"/>
      <c r="U46" s="42"/>
      <c r="V46" s="42"/>
      <c r="W46" s="42"/>
      <c r="X46" s="42"/>
      <c r="Y46" s="42"/>
      <c r="Z46" s="42"/>
      <c r="AA46" s="326"/>
    </row>
    <row r="47" spans="2:27">
      <c r="B47" s="5" t="s">
        <v>581</v>
      </c>
      <c r="C47" s="5"/>
      <c r="D47" s="248">
        <f>1/D43</f>
        <v>6.547431546804941E-2</v>
      </c>
      <c r="E47" s="248">
        <f>1/E43</f>
        <v>5.8714663647834224E-2</v>
      </c>
      <c r="F47" s="248">
        <f>1/F43</f>
        <v>9.0017210340711473E-2</v>
      </c>
      <c r="G47" s="248">
        <f>1/G43</f>
        <v>0.15420478028065457</v>
      </c>
      <c r="H47" s="17">
        <f>H29</f>
        <v>0.13071279106977518</v>
      </c>
      <c r="I47" s="17"/>
      <c r="J47" s="248"/>
      <c r="K47" s="248"/>
      <c r="L47" s="248"/>
      <c r="M47" s="248"/>
      <c r="N47" s="248"/>
      <c r="O47" s="248"/>
      <c r="Q47" s="5"/>
      <c r="R47" s="5"/>
      <c r="S47" s="42"/>
      <c r="T47" s="42"/>
      <c r="U47" s="42"/>
      <c r="V47" s="42"/>
      <c r="W47" s="42"/>
      <c r="X47" s="42"/>
      <c r="Y47" s="42"/>
      <c r="Z47" s="42"/>
      <c r="AA47" s="326"/>
    </row>
    <row r="48" spans="2:27">
      <c r="B48" s="5" t="s">
        <v>618</v>
      </c>
      <c r="C48" s="5"/>
      <c r="D48" s="305">
        <f>D31/D29</f>
        <v>0</v>
      </c>
      <c r="E48" s="305">
        <f>E31/E29</f>
        <v>0</v>
      </c>
      <c r="F48" s="305">
        <f>F31/F29</f>
        <v>0</v>
      </c>
      <c r="G48" s="305">
        <f>G31/G29</f>
        <v>0</v>
      </c>
      <c r="H48" s="279" t="s">
        <v>607</v>
      </c>
      <c r="I48" s="247"/>
      <c r="J48" s="247"/>
      <c r="K48" s="247"/>
      <c r="L48" s="247"/>
      <c r="M48" s="247"/>
      <c r="N48" s="247"/>
      <c r="O48" s="248"/>
      <c r="Q48" s="5"/>
      <c r="R48" s="5"/>
      <c r="S48" s="42"/>
      <c r="T48" s="42"/>
      <c r="U48" s="42"/>
      <c r="V48" s="42"/>
      <c r="W48" s="42"/>
      <c r="X48" s="42"/>
      <c r="Y48" s="42"/>
      <c r="Z48" s="42"/>
      <c r="AA48" s="326"/>
    </row>
    <row r="49" spans="2:27">
      <c r="B49" s="41"/>
      <c r="C49" s="17"/>
      <c r="D49" s="17"/>
      <c r="E49" s="17"/>
      <c r="F49" s="17"/>
      <c r="G49" s="17"/>
      <c r="H49" s="17"/>
      <c r="I49" s="254"/>
      <c r="J49" s="17"/>
      <c r="K49" s="17"/>
      <c r="L49" s="17"/>
      <c r="M49" s="17"/>
      <c r="N49" s="17"/>
      <c r="O49" s="248"/>
      <c r="Q49" s="5"/>
      <c r="R49" s="5"/>
      <c r="S49" s="42"/>
      <c r="T49" s="42"/>
      <c r="U49" s="42"/>
      <c r="V49" s="42"/>
      <c r="W49" s="42"/>
      <c r="X49" s="42"/>
      <c r="Y49" s="42"/>
      <c r="Z49" s="42"/>
      <c r="AA49" s="326"/>
    </row>
    <row r="50" spans="2:27">
      <c r="B50" s="5"/>
      <c r="C50" s="257"/>
      <c r="D50" s="257"/>
      <c r="E50" s="257"/>
      <c r="F50" s="5"/>
      <c r="G50" s="41"/>
      <c r="H50" s="249"/>
      <c r="I50" s="17"/>
      <c r="J50" s="249"/>
      <c r="K50" s="249"/>
      <c r="L50" s="249"/>
      <c r="M50" s="249"/>
      <c r="N50" s="249"/>
      <c r="O50" s="250"/>
      <c r="Q50" s="5"/>
      <c r="R50" s="5"/>
      <c r="S50" s="42"/>
      <c r="T50" s="42"/>
      <c r="U50" s="42"/>
      <c r="V50" s="42"/>
      <c r="W50" s="288"/>
      <c r="X50" s="288"/>
      <c r="Y50" s="42"/>
      <c r="Z50" s="42"/>
      <c r="AA50" s="326"/>
    </row>
    <row r="51" spans="2:27">
      <c r="B51" s="41"/>
      <c r="C51" s="249"/>
      <c r="D51" s="254"/>
      <c r="E51" s="254"/>
      <c r="F51" s="254"/>
      <c r="G51" s="254"/>
      <c r="H51" s="254"/>
      <c r="I51" s="259"/>
      <c r="J51" s="254"/>
      <c r="K51" s="254"/>
      <c r="L51" s="254"/>
      <c r="M51" s="254"/>
      <c r="N51" s="254"/>
      <c r="O51" s="251"/>
      <c r="Q51" s="5"/>
      <c r="R51" s="5"/>
      <c r="S51" s="42"/>
      <c r="T51" s="42"/>
      <c r="U51" s="42"/>
      <c r="V51" s="42"/>
      <c r="W51" s="288"/>
      <c r="X51" s="288"/>
      <c r="Y51" s="288"/>
      <c r="Z51" s="288"/>
      <c r="AA51" s="42"/>
    </row>
    <row r="52" spans="2:27">
      <c r="B52" s="5"/>
      <c r="C52" s="257"/>
      <c r="D52" s="17"/>
      <c r="E52" s="17"/>
      <c r="F52" s="17"/>
      <c r="G52" s="17"/>
      <c r="H52" s="17"/>
      <c r="I52" s="254"/>
      <c r="J52" s="17"/>
      <c r="K52" s="17"/>
      <c r="L52" s="17"/>
      <c r="M52" s="17"/>
      <c r="N52" s="17"/>
      <c r="O52" s="248"/>
      <c r="Q52" s="5"/>
      <c r="R52" s="5"/>
      <c r="S52" s="5"/>
      <c r="Y52" s="10"/>
      <c r="Z52" s="10"/>
    </row>
    <row r="53" spans="2:27">
      <c r="B53" s="5"/>
      <c r="C53" s="257"/>
      <c r="D53" s="257"/>
      <c r="E53" s="257"/>
      <c r="F53" s="5"/>
      <c r="G53" s="5"/>
      <c r="H53" s="259"/>
      <c r="I53" s="17"/>
      <c r="J53" s="259"/>
      <c r="K53" s="259"/>
      <c r="L53" s="259"/>
      <c r="M53" s="259"/>
      <c r="N53" s="259"/>
      <c r="O53" s="18"/>
      <c r="Q53" s="5"/>
      <c r="R53" s="5"/>
      <c r="S53" s="5"/>
    </row>
    <row r="54" spans="2:27">
      <c r="B54" s="41"/>
      <c r="C54" s="249"/>
      <c r="D54" s="254"/>
      <c r="E54" s="254"/>
      <c r="F54" s="254"/>
      <c r="G54" s="254"/>
      <c r="H54" s="254"/>
      <c r="I54" s="259"/>
      <c r="J54" s="254"/>
      <c r="K54" s="254"/>
      <c r="L54" s="254"/>
      <c r="M54" s="254"/>
      <c r="N54" s="254"/>
      <c r="O54" s="251"/>
      <c r="Q54" s="5"/>
      <c r="R54" s="5"/>
      <c r="S54" s="5"/>
    </row>
    <row r="55" spans="2:27">
      <c r="B55" s="5"/>
      <c r="C55" s="257"/>
      <c r="D55" s="17"/>
      <c r="E55" s="17"/>
      <c r="F55" s="17"/>
      <c r="G55" s="17"/>
      <c r="H55" s="17"/>
      <c r="I55" s="249"/>
      <c r="J55" s="17"/>
      <c r="K55" s="17"/>
      <c r="L55" s="17"/>
      <c r="M55" s="17"/>
      <c r="N55" s="17"/>
      <c r="O55" s="18"/>
      <c r="Q55" s="5"/>
      <c r="R55" s="5"/>
      <c r="S55" s="5"/>
    </row>
    <row r="56" spans="2:27">
      <c r="B56" s="5"/>
      <c r="C56" s="248"/>
      <c r="D56" s="248"/>
      <c r="E56" s="248"/>
      <c r="F56" s="5"/>
      <c r="G56" s="5"/>
      <c r="H56" s="259"/>
      <c r="I56" s="248"/>
      <c r="J56" s="259"/>
      <c r="K56" s="259"/>
      <c r="L56" s="259"/>
      <c r="M56" s="259"/>
      <c r="N56" s="259"/>
      <c r="O56" s="18"/>
      <c r="Q56" s="5"/>
      <c r="R56" s="5"/>
      <c r="S56" s="5"/>
    </row>
    <row r="57" spans="2:27">
      <c r="B57" s="41"/>
      <c r="C57" s="249"/>
      <c r="D57" s="249"/>
      <c r="E57" s="249"/>
      <c r="F57" s="249"/>
      <c r="G57" s="249"/>
      <c r="H57" s="249"/>
      <c r="I57" s="5"/>
      <c r="J57" s="249"/>
      <c r="K57" s="249"/>
      <c r="L57" s="249"/>
      <c r="M57" s="249"/>
      <c r="N57" s="249"/>
      <c r="O57" s="251"/>
      <c r="Q57" s="5"/>
      <c r="R57" s="5"/>
      <c r="S57" s="5"/>
    </row>
    <row r="58" spans="2:27">
      <c r="B58" s="5"/>
      <c r="C58" s="5"/>
      <c r="D58" s="248"/>
      <c r="E58" s="248"/>
      <c r="F58" s="248"/>
      <c r="G58" s="248"/>
      <c r="H58" s="248"/>
      <c r="I58" s="17"/>
      <c r="J58" s="248"/>
      <c r="K58" s="248"/>
      <c r="L58" s="248"/>
      <c r="M58" s="248"/>
      <c r="N58" s="248"/>
      <c r="O58" s="18"/>
      <c r="Q58" s="5"/>
      <c r="R58" s="5"/>
      <c r="S58" s="5"/>
    </row>
    <row r="59" spans="2:27">
      <c r="B59" s="5"/>
      <c r="C59" s="5"/>
      <c r="D59" s="5"/>
      <c r="E59" s="5"/>
      <c r="F59" s="5"/>
      <c r="G59" s="5"/>
      <c r="H59" s="5"/>
      <c r="I59" s="5"/>
      <c r="J59" s="5"/>
      <c r="K59" s="5"/>
      <c r="L59" s="5"/>
      <c r="M59" s="5"/>
      <c r="N59" s="5"/>
      <c r="O59" s="5"/>
      <c r="Q59" s="5"/>
      <c r="R59" s="5"/>
      <c r="S59" s="5"/>
    </row>
    <row r="60" spans="2:27">
      <c r="B60" s="41"/>
      <c r="C60" s="17"/>
      <c r="D60" s="17"/>
      <c r="E60" s="17"/>
      <c r="F60" s="17"/>
      <c r="G60" s="17"/>
      <c r="H60" s="17"/>
      <c r="I60" s="249"/>
      <c r="J60" s="17"/>
      <c r="K60" s="17"/>
      <c r="L60" s="17"/>
      <c r="M60" s="17"/>
      <c r="N60" s="17"/>
      <c r="O60" s="251"/>
      <c r="Q60" s="5"/>
      <c r="R60" s="5"/>
      <c r="S60" s="5"/>
    </row>
    <row r="61" spans="2:27">
      <c r="B61" s="5"/>
      <c r="C61" s="5"/>
      <c r="D61" s="5"/>
      <c r="E61" s="5"/>
      <c r="F61" s="5"/>
      <c r="G61" s="5"/>
      <c r="H61" s="5"/>
      <c r="I61" s="5"/>
      <c r="J61" s="5"/>
      <c r="K61" s="5"/>
      <c r="L61" s="5"/>
      <c r="M61" s="5"/>
      <c r="N61" s="5"/>
      <c r="O61" s="5"/>
      <c r="Q61" s="41"/>
      <c r="R61" s="5"/>
      <c r="S61" s="5"/>
    </row>
    <row r="62" spans="2:27">
      <c r="B62" s="41"/>
      <c r="C62" s="249"/>
      <c r="D62" s="249"/>
      <c r="E62" s="249"/>
      <c r="F62" s="249"/>
      <c r="G62" s="249"/>
      <c r="H62" s="249"/>
      <c r="I62" s="5"/>
      <c r="J62" s="249"/>
      <c r="K62" s="249"/>
      <c r="L62" s="249"/>
      <c r="M62" s="249"/>
      <c r="N62" s="249"/>
      <c r="O62" s="251"/>
      <c r="Q62" s="5"/>
      <c r="R62" s="5"/>
      <c r="S62" s="5"/>
    </row>
    <row r="63" spans="2:27">
      <c r="B63" s="5"/>
      <c r="C63" s="5"/>
      <c r="D63" s="5"/>
      <c r="E63" s="5"/>
      <c r="F63" s="5"/>
      <c r="G63" s="5"/>
      <c r="H63" s="5"/>
      <c r="I63" s="254"/>
      <c r="J63" s="5"/>
      <c r="K63" s="5"/>
      <c r="L63" s="5"/>
      <c r="M63" s="5"/>
      <c r="N63" s="5"/>
      <c r="O63" s="5"/>
      <c r="Q63" s="5"/>
      <c r="R63" s="5"/>
      <c r="S63" s="5"/>
    </row>
    <row r="64" spans="2:27">
      <c r="B64" s="5"/>
      <c r="C64" s="5"/>
      <c r="D64" s="5"/>
      <c r="E64" s="5"/>
      <c r="F64" s="5"/>
      <c r="G64" s="5"/>
      <c r="H64" s="5"/>
      <c r="I64" s="17"/>
      <c r="J64" s="5"/>
      <c r="K64" s="5"/>
      <c r="L64" s="5"/>
      <c r="M64" s="5"/>
      <c r="N64" s="5"/>
      <c r="O64" s="5"/>
      <c r="Q64" s="5"/>
      <c r="R64" s="5"/>
      <c r="S64" s="5"/>
    </row>
    <row r="65" spans="2:26">
      <c r="B65" s="41"/>
      <c r="C65" s="249"/>
      <c r="D65" s="254"/>
      <c r="E65" s="254"/>
      <c r="F65" s="254"/>
      <c r="G65" s="254"/>
      <c r="H65" s="254"/>
      <c r="I65" s="254"/>
      <c r="J65" s="254"/>
      <c r="K65" s="254"/>
      <c r="L65" s="254"/>
      <c r="M65" s="254"/>
      <c r="N65" s="254"/>
      <c r="O65" s="251"/>
      <c r="Q65" s="5"/>
      <c r="R65" s="5"/>
      <c r="S65" s="5"/>
    </row>
    <row r="66" spans="2:26">
      <c r="B66" s="5"/>
      <c r="C66" s="5"/>
      <c r="D66" s="17"/>
      <c r="E66" s="17"/>
      <c r="F66" s="17"/>
      <c r="G66" s="17"/>
      <c r="H66" s="17"/>
      <c r="I66" s="248"/>
      <c r="J66" s="17"/>
      <c r="K66" s="17"/>
      <c r="L66" s="17"/>
      <c r="M66" s="17"/>
      <c r="N66" s="17"/>
      <c r="O66" s="5"/>
      <c r="Q66" s="5"/>
      <c r="R66" s="5"/>
      <c r="S66" s="5"/>
    </row>
    <row r="67" spans="2:26">
      <c r="B67" s="41"/>
      <c r="C67" s="249"/>
      <c r="D67" s="254"/>
      <c r="E67" s="254"/>
      <c r="F67" s="254"/>
      <c r="G67" s="254"/>
      <c r="H67" s="254"/>
      <c r="I67" s="5"/>
      <c r="J67" s="254"/>
      <c r="K67" s="254"/>
      <c r="L67" s="254"/>
      <c r="M67" s="254"/>
      <c r="N67" s="254"/>
      <c r="O67" s="251"/>
      <c r="Q67" s="41"/>
      <c r="R67" s="5"/>
      <c r="S67" s="5"/>
    </row>
    <row r="68" spans="2:26">
      <c r="B68" s="5"/>
      <c r="C68" s="5"/>
      <c r="D68" s="248"/>
      <c r="E68" s="248"/>
      <c r="F68" s="248"/>
      <c r="G68" s="248"/>
      <c r="H68" s="248"/>
      <c r="I68" s="245"/>
      <c r="J68" s="248"/>
      <c r="K68" s="248"/>
      <c r="L68" s="248"/>
      <c r="M68" s="248"/>
      <c r="N68" s="248"/>
      <c r="O68" s="5"/>
      <c r="Q68" s="5"/>
      <c r="R68" s="5"/>
      <c r="S68" s="5"/>
    </row>
    <row r="69" spans="2:26">
      <c r="B69" s="41"/>
      <c r="C69" s="5"/>
      <c r="D69" s="5"/>
      <c r="E69" s="5"/>
      <c r="F69" s="5"/>
      <c r="G69" s="5"/>
      <c r="H69" s="5"/>
      <c r="I69" s="248"/>
      <c r="J69" s="5"/>
      <c r="K69" s="5"/>
      <c r="L69" s="5"/>
      <c r="M69" s="5"/>
      <c r="N69" s="5"/>
      <c r="O69" s="5"/>
      <c r="Q69" s="5"/>
      <c r="R69" s="5"/>
      <c r="S69" s="5"/>
    </row>
    <row r="70" spans="2:26">
      <c r="B70" s="41"/>
      <c r="C70" s="245"/>
      <c r="D70" s="245"/>
      <c r="E70" s="245"/>
      <c r="F70" s="245"/>
      <c r="G70" s="245"/>
      <c r="H70" s="245"/>
      <c r="I70" s="5"/>
      <c r="J70" s="245"/>
      <c r="K70" s="245"/>
      <c r="L70" s="245"/>
      <c r="M70" s="245"/>
      <c r="N70" s="245"/>
      <c r="O70" s="251"/>
      <c r="Q70" s="5"/>
      <c r="R70" s="5"/>
      <c r="S70" s="5"/>
      <c r="W70" s="76"/>
      <c r="X70" s="76"/>
    </row>
    <row r="71" spans="2:26">
      <c r="B71" s="5"/>
      <c r="C71" s="5"/>
      <c r="D71" s="248"/>
      <c r="E71" s="248"/>
      <c r="F71" s="248"/>
      <c r="G71" s="248"/>
      <c r="H71" s="248"/>
      <c r="I71" s="245"/>
      <c r="J71" s="248"/>
      <c r="K71" s="248"/>
      <c r="L71" s="248"/>
      <c r="M71" s="248"/>
      <c r="N71" s="248"/>
      <c r="O71" s="5"/>
      <c r="Q71" s="5"/>
      <c r="R71" s="5"/>
      <c r="S71" s="5"/>
      <c r="W71" s="76"/>
      <c r="X71" s="76"/>
      <c r="Y71" s="76"/>
      <c r="Z71" s="76"/>
    </row>
    <row r="72" spans="2:26">
      <c r="B72" s="41"/>
      <c r="C72" s="5"/>
      <c r="D72" s="5"/>
      <c r="E72" s="5"/>
      <c r="F72" s="5"/>
      <c r="G72" s="5"/>
      <c r="H72" s="5"/>
      <c r="I72" s="18"/>
      <c r="J72" s="5"/>
      <c r="K72" s="5"/>
      <c r="L72" s="5"/>
      <c r="M72" s="5"/>
      <c r="N72" s="5"/>
      <c r="O72" s="5"/>
      <c r="Q72" s="5"/>
      <c r="R72" s="5"/>
      <c r="S72" s="5"/>
      <c r="Y72" s="76"/>
      <c r="Z72" s="76"/>
    </row>
    <row r="73" spans="2:26">
      <c r="B73" s="41"/>
      <c r="C73" s="245"/>
      <c r="D73" s="245"/>
      <c r="E73" s="245"/>
      <c r="F73" s="245"/>
      <c r="G73" s="245"/>
      <c r="H73" s="245"/>
      <c r="I73" s="5"/>
      <c r="J73" s="245"/>
      <c r="K73" s="245"/>
      <c r="L73" s="245"/>
      <c r="M73" s="245"/>
      <c r="N73" s="245"/>
      <c r="O73" s="251"/>
      <c r="Q73" s="5"/>
      <c r="R73" s="5"/>
      <c r="S73" s="5"/>
    </row>
    <row r="74" spans="2:26">
      <c r="B74" s="5"/>
      <c r="C74" s="5"/>
      <c r="D74" s="18"/>
      <c r="E74" s="18"/>
      <c r="F74" s="18"/>
      <c r="G74" s="18"/>
      <c r="H74" s="18"/>
      <c r="I74" s="249"/>
      <c r="J74" s="18"/>
      <c r="K74" s="18"/>
      <c r="L74" s="18"/>
      <c r="M74" s="18"/>
      <c r="N74" s="18"/>
      <c r="O74" s="5"/>
      <c r="Q74" s="5"/>
      <c r="R74" s="5"/>
      <c r="S74" s="5"/>
    </row>
    <row r="75" spans="2:26">
      <c r="B75" s="41"/>
      <c r="C75" s="5"/>
      <c r="D75" s="5"/>
      <c r="E75" s="5"/>
      <c r="F75" s="5"/>
      <c r="G75" s="5"/>
      <c r="H75" s="5"/>
      <c r="I75" s="248"/>
      <c r="J75" s="5"/>
      <c r="K75" s="5"/>
      <c r="L75" s="5"/>
      <c r="M75" s="5"/>
      <c r="N75" s="5"/>
      <c r="O75" s="5"/>
      <c r="Q75" s="5"/>
      <c r="R75" s="5"/>
      <c r="S75" s="5"/>
    </row>
    <row r="76" spans="2:26">
      <c r="B76" s="41"/>
      <c r="C76" s="249"/>
      <c r="D76" s="249"/>
      <c r="E76" s="249"/>
      <c r="F76" s="249"/>
      <c r="G76" s="249"/>
      <c r="H76" s="249"/>
      <c r="I76" s="5"/>
      <c r="J76" s="249"/>
      <c r="K76" s="249"/>
      <c r="L76" s="249"/>
      <c r="M76" s="249"/>
      <c r="N76" s="249"/>
      <c r="O76" s="251"/>
      <c r="Q76" s="5"/>
      <c r="R76" s="5"/>
      <c r="S76" s="5"/>
    </row>
    <row r="77" spans="2:26">
      <c r="B77" s="5"/>
      <c r="C77" s="5"/>
      <c r="D77" s="248"/>
      <c r="E77" s="248"/>
      <c r="F77" s="248"/>
      <c r="G77" s="248"/>
      <c r="H77" s="248"/>
      <c r="I77" s="245"/>
      <c r="J77" s="248"/>
      <c r="K77" s="248"/>
      <c r="L77" s="248"/>
      <c r="M77" s="248"/>
      <c r="N77" s="248"/>
      <c r="O77" s="5"/>
      <c r="Q77" s="5"/>
      <c r="R77" s="5"/>
      <c r="S77" s="5"/>
    </row>
    <row r="78" spans="2:26">
      <c r="B78" s="41"/>
      <c r="C78" s="5"/>
      <c r="D78" s="5"/>
      <c r="E78" s="5"/>
      <c r="F78" s="5"/>
      <c r="G78" s="5"/>
      <c r="H78" s="5"/>
      <c r="I78" s="248"/>
      <c r="J78" s="5"/>
      <c r="K78" s="5"/>
      <c r="L78" s="5"/>
      <c r="M78" s="5"/>
      <c r="N78" s="5"/>
      <c r="O78" s="5"/>
      <c r="Q78" s="5"/>
      <c r="R78" s="5"/>
      <c r="S78" s="5"/>
    </row>
    <row r="79" spans="2:26">
      <c r="B79" s="41"/>
      <c r="C79" s="245"/>
      <c r="D79" s="245"/>
      <c r="E79" s="245"/>
      <c r="F79" s="245"/>
      <c r="G79" s="245"/>
      <c r="H79" s="245"/>
      <c r="I79" s="5"/>
      <c r="J79" s="245"/>
      <c r="K79" s="245"/>
      <c r="L79" s="245"/>
      <c r="M79" s="245"/>
      <c r="N79" s="245"/>
      <c r="O79" s="251"/>
      <c r="Q79" s="5"/>
      <c r="R79" s="5"/>
      <c r="S79" s="5"/>
    </row>
    <row r="80" spans="2:26">
      <c r="B80" s="5"/>
      <c r="C80" s="5"/>
      <c r="D80" s="248"/>
      <c r="E80" s="248"/>
      <c r="F80" s="248"/>
      <c r="G80" s="248"/>
      <c r="H80" s="248"/>
      <c r="I80" s="249"/>
      <c r="J80" s="248"/>
      <c r="K80" s="248"/>
      <c r="L80" s="248"/>
      <c r="M80" s="248"/>
      <c r="N80" s="248"/>
      <c r="O80" s="5"/>
      <c r="Q80" s="5"/>
      <c r="R80" s="5"/>
      <c r="S80" s="5"/>
    </row>
    <row r="81" spans="2:26">
      <c r="B81" s="41"/>
      <c r="C81" s="5"/>
      <c r="D81" s="5"/>
      <c r="E81" s="5"/>
      <c r="F81" s="5"/>
      <c r="G81" s="5"/>
      <c r="H81" s="5"/>
      <c r="I81" s="248"/>
      <c r="J81" s="5"/>
      <c r="K81" s="5"/>
      <c r="L81" s="5"/>
      <c r="M81" s="5"/>
      <c r="N81" s="5"/>
      <c r="O81" s="5"/>
      <c r="Q81" s="5"/>
      <c r="R81" s="5"/>
      <c r="S81" s="5"/>
    </row>
    <row r="82" spans="2:26">
      <c r="B82" s="41"/>
      <c r="C82" s="249"/>
      <c r="D82" s="249"/>
      <c r="E82" s="249"/>
      <c r="F82" s="249"/>
      <c r="G82" s="249"/>
      <c r="H82" s="249"/>
      <c r="I82" s="259"/>
      <c r="J82" s="249"/>
      <c r="K82" s="249"/>
      <c r="L82" s="249"/>
      <c r="M82" s="249"/>
      <c r="N82" s="249"/>
      <c r="O82" s="251"/>
      <c r="Q82" s="5"/>
      <c r="R82" s="5"/>
      <c r="S82" s="5"/>
    </row>
    <row r="83" spans="2:26">
      <c r="B83" s="5"/>
      <c r="C83" s="5"/>
      <c r="D83" s="248"/>
      <c r="E83" s="248"/>
      <c r="F83" s="248"/>
      <c r="G83" s="248"/>
      <c r="H83" s="248"/>
      <c r="I83" s="5"/>
      <c r="J83" s="248"/>
      <c r="K83" s="248"/>
      <c r="L83" s="248"/>
      <c r="M83" s="248"/>
      <c r="N83" s="248"/>
      <c r="O83" s="5"/>
      <c r="Q83" s="5"/>
      <c r="R83" s="5"/>
      <c r="S83" s="5"/>
    </row>
    <row r="84" spans="2:26">
      <c r="B84" s="5"/>
      <c r="C84" s="259"/>
      <c r="D84" s="259"/>
      <c r="E84" s="259"/>
      <c r="F84" s="259"/>
      <c r="G84" s="259"/>
      <c r="H84" s="259"/>
      <c r="I84" s="245"/>
      <c r="J84" s="259"/>
      <c r="K84" s="259"/>
      <c r="L84" s="259"/>
      <c r="M84" s="259"/>
      <c r="N84" s="259"/>
      <c r="O84" s="251"/>
      <c r="Q84" s="5"/>
      <c r="R84" s="5"/>
      <c r="S84" s="5"/>
    </row>
    <row r="85" spans="2:26">
      <c r="B85" s="41"/>
      <c r="C85" s="5"/>
      <c r="D85" s="5"/>
      <c r="E85" s="5"/>
      <c r="F85" s="5"/>
      <c r="G85" s="5"/>
      <c r="H85" s="5"/>
      <c r="I85" s="248"/>
      <c r="J85" s="5"/>
      <c r="K85" s="5"/>
      <c r="L85" s="5"/>
      <c r="M85" s="5"/>
      <c r="N85" s="5"/>
      <c r="O85" s="5"/>
      <c r="Q85" s="5"/>
      <c r="R85" s="5"/>
      <c r="S85" s="5"/>
    </row>
    <row r="86" spans="2:26">
      <c r="B86" s="41"/>
      <c r="C86" s="245"/>
      <c r="D86" s="245"/>
      <c r="E86" s="245"/>
      <c r="F86" s="245"/>
      <c r="G86" s="245"/>
      <c r="H86" s="245"/>
      <c r="I86" s="5"/>
      <c r="J86" s="245"/>
      <c r="K86" s="245"/>
      <c r="L86" s="245"/>
      <c r="M86" s="245"/>
      <c r="N86" s="245"/>
      <c r="O86" s="251"/>
      <c r="Q86" s="5"/>
      <c r="R86" s="5"/>
      <c r="S86" s="5"/>
    </row>
    <row r="87" spans="2:26">
      <c r="B87" s="5"/>
      <c r="C87" s="5"/>
      <c r="D87" s="248"/>
      <c r="E87" s="248"/>
      <c r="F87" s="248"/>
      <c r="G87" s="248"/>
      <c r="H87" s="248"/>
      <c r="I87" s="5"/>
      <c r="J87" s="248"/>
      <c r="K87" s="248"/>
      <c r="L87" s="248"/>
      <c r="M87" s="248"/>
      <c r="N87" s="248"/>
      <c r="O87" s="5"/>
      <c r="Q87" s="5"/>
      <c r="R87" s="5"/>
      <c r="S87" s="5"/>
    </row>
    <row r="88" spans="2:26">
      <c r="B88" s="41"/>
      <c r="C88" s="5"/>
      <c r="D88" s="5"/>
      <c r="E88" s="5"/>
      <c r="F88" s="5"/>
      <c r="G88" s="5"/>
      <c r="H88" s="5"/>
      <c r="I88" s="5"/>
      <c r="J88" s="5"/>
      <c r="K88" s="5"/>
      <c r="L88" s="5"/>
      <c r="M88" s="5"/>
      <c r="N88" s="5"/>
      <c r="O88" s="5"/>
      <c r="Q88" s="5"/>
      <c r="R88" s="5"/>
      <c r="S88" s="5"/>
    </row>
    <row r="89" spans="2:26">
      <c r="B89" s="41"/>
      <c r="C89" s="5"/>
      <c r="D89" s="5"/>
      <c r="E89" s="5"/>
      <c r="F89" s="5"/>
      <c r="G89" s="5"/>
      <c r="H89" s="5"/>
      <c r="I89" s="5"/>
      <c r="J89" s="5"/>
      <c r="K89" s="5"/>
      <c r="L89" s="5"/>
      <c r="M89" s="5"/>
      <c r="N89" s="5"/>
      <c r="O89" s="5"/>
      <c r="Q89" s="5"/>
      <c r="R89" s="5"/>
      <c r="S89" s="5"/>
    </row>
    <row r="90" spans="2:26">
      <c r="B90" s="41"/>
      <c r="C90" s="5"/>
      <c r="D90" s="5"/>
      <c r="E90" s="5"/>
      <c r="F90" s="5"/>
      <c r="G90" s="5"/>
      <c r="H90" s="5"/>
      <c r="I90" s="49"/>
      <c r="J90" s="5"/>
      <c r="K90" s="5"/>
      <c r="L90" s="5"/>
      <c r="M90" s="5"/>
      <c r="N90" s="5"/>
      <c r="O90" s="5"/>
      <c r="Q90" s="41"/>
      <c r="R90" s="5"/>
      <c r="S90" s="5"/>
    </row>
    <row r="91" spans="2:26">
      <c r="B91" s="5"/>
      <c r="C91" s="5"/>
      <c r="D91" s="5"/>
      <c r="E91" s="5"/>
      <c r="F91" s="5"/>
      <c r="G91" s="5"/>
      <c r="H91" s="5"/>
      <c r="I91" s="5"/>
      <c r="J91" s="5"/>
      <c r="K91" s="5"/>
      <c r="L91" s="5"/>
      <c r="M91" s="5"/>
      <c r="N91" s="5"/>
      <c r="O91" s="5"/>
      <c r="Q91" s="5"/>
      <c r="R91" s="5"/>
      <c r="S91" s="5"/>
    </row>
    <row r="92" spans="2:26">
      <c r="B92" s="41"/>
      <c r="C92" s="49"/>
      <c r="D92" s="49"/>
      <c r="E92" s="49"/>
      <c r="F92" s="49"/>
      <c r="G92" s="49"/>
      <c r="H92" s="49"/>
      <c r="I92" s="247"/>
      <c r="J92" s="49"/>
      <c r="K92" s="49"/>
      <c r="L92" s="49"/>
      <c r="M92" s="49"/>
      <c r="N92" s="49"/>
      <c r="O92" s="49"/>
      <c r="Q92" s="5"/>
      <c r="R92" s="5"/>
      <c r="S92" s="5"/>
      <c r="W92" s="21"/>
      <c r="X92" s="21"/>
    </row>
    <row r="93" spans="2:26">
      <c r="B93" s="5"/>
      <c r="C93" s="5"/>
      <c r="D93" s="5"/>
      <c r="E93" s="5"/>
      <c r="F93" s="5"/>
      <c r="G93" s="5"/>
      <c r="H93" s="5"/>
      <c r="I93" s="247"/>
      <c r="J93" s="5"/>
      <c r="K93" s="5"/>
      <c r="L93" s="5"/>
      <c r="M93" s="5"/>
      <c r="N93" s="5"/>
      <c r="O93" s="5"/>
      <c r="Q93" s="5"/>
      <c r="R93" s="5"/>
      <c r="S93" s="5"/>
      <c r="W93" s="21"/>
      <c r="X93" s="21"/>
      <c r="Y93" s="21"/>
      <c r="Z93" s="21"/>
    </row>
    <row r="94" spans="2:26">
      <c r="B94" s="5"/>
      <c r="C94" s="259"/>
      <c r="D94" s="247"/>
      <c r="E94" s="247"/>
      <c r="F94" s="247"/>
      <c r="G94" s="247"/>
      <c r="H94" s="247"/>
      <c r="I94" s="247"/>
      <c r="J94" s="247"/>
      <c r="K94" s="247"/>
      <c r="L94" s="247"/>
      <c r="M94" s="247"/>
      <c r="N94" s="247"/>
      <c r="O94" s="248"/>
      <c r="Q94" s="5"/>
      <c r="R94" s="5"/>
      <c r="S94" s="5"/>
      <c r="Y94" s="21"/>
      <c r="Z94" s="21"/>
    </row>
    <row r="95" spans="2:26">
      <c r="B95" s="5"/>
      <c r="C95" s="259"/>
      <c r="D95" s="247"/>
      <c r="E95" s="247"/>
      <c r="F95" s="247"/>
      <c r="G95" s="247"/>
      <c r="H95" s="247"/>
      <c r="I95" s="248"/>
      <c r="J95" s="247"/>
      <c r="K95" s="247"/>
      <c r="L95" s="247"/>
      <c r="M95" s="247"/>
      <c r="N95" s="247"/>
      <c r="O95" s="248"/>
      <c r="Q95" s="5"/>
      <c r="R95" s="5"/>
      <c r="S95" s="5"/>
    </row>
    <row r="96" spans="2:26">
      <c r="B96" s="5"/>
      <c r="C96" s="259"/>
      <c r="D96" s="247"/>
      <c r="E96" s="247"/>
      <c r="F96" s="247"/>
      <c r="G96" s="247"/>
      <c r="H96" s="247"/>
      <c r="I96" s="247"/>
      <c r="J96" s="247"/>
      <c r="K96" s="247"/>
      <c r="L96" s="247"/>
      <c r="M96" s="247"/>
      <c r="N96" s="247"/>
      <c r="O96" s="248"/>
      <c r="Q96" s="5"/>
      <c r="R96" s="5"/>
      <c r="S96" s="5"/>
    </row>
    <row r="97" spans="2:19">
      <c r="B97" s="5"/>
      <c r="C97" s="259"/>
      <c r="D97" s="248"/>
      <c r="E97" s="248"/>
      <c r="F97" s="248"/>
      <c r="G97" s="248"/>
      <c r="H97" s="248"/>
      <c r="I97" s="249"/>
      <c r="J97" s="248"/>
      <c r="K97" s="248"/>
      <c r="L97" s="248"/>
      <c r="M97" s="248"/>
      <c r="N97" s="248"/>
      <c r="O97" s="248"/>
      <c r="Q97" s="5"/>
      <c r="R97" s="5"/>
      <c r="S97" s="5"/>
    </row>
    <row r="98" spans="2:19">
      <c r="B98" s="5"/>
      <c r="C98" s="259"/>
      <c r="D98" s="247"/>
      <c r="E98" s="247"/>
      <c r="F98" s="247"/>
      <c r="G98" s="247"/>
      <c r="H98" s="247"/>
      <c r="I98" s="248"/>
      <c r="J98" s="247"/>
      <c r="K98" s="247"/>
      <c r="L98" s="247"/>
      <c r="M98" s="247"/>
      <c r="N98" s="247"/>
      <c r="O98" s="248"/>
      <c r="Q98" s="5"/>
      <c r="R98" s="5"/>
      <c r="S98" s="5"/>
    </row>
    <row r="99" spans="2:19">
      <c r="B99" s="41"/>
      <c r="C99" s="249"/>
      <c r="D99" s="249"/>
      <c r="E99" s="249"/>
      <c r="F99" s="249"/>
      <c r="G99" s="249"/>
      <c r="H99" s="249"/>
      <c r="I99" s="5"/>
      <c r="J99" s="249"/>
      <c r="K99" s="249"/>
      <c r="L99" s="249"/>
      <c r="M99" s="249"/>
      <c r="N99" s="249"/>
      <c r="O99" s="248"/>
      <c r="Q99" s="5"/>
      <c r="R99" s="5"/>
      <c r="S99" s="5"/>
    </row>
    <row r="100" spans="2:19">
      <c r="B100" s="41"/>
      <c r="C100" s="257"/>
      <c r="D100" s="248"/>
      <c r="E100" s="248"/>
      <c r="F100" s="248"/>
      <c r="G100" s="248"/>
      <c r="H100" s="248"/>
      <c r="I100" s="259"/>
      <c r="J100" s="248"/>
      <c r="K100" s="248"/>
      <c r="L100" s="248"/>
      <c r="M100" s="248"/>
      <c r="N100" s="248"/>
      <c r="O100" s="248"/>
      <c r="Q100" s="5"/>
      <c r="R100" s="5"/>
      <c r="S100" s="5"/>
    </row>
    <row r="101" spans="2:19" s="5" customFormat="1">
      <c r="B101" s="41"/>
      <c r="I101" s="259"/>
      <c r="O101" s="248"/>
      <c r="P101" s="39"/>
    </row>
    <row r="102" spans="2:19">
      <c r="B102" s="5"/>
      <c r="C102" s="259"/>
      <c r="D102" s="259"/>
      <c r="E102" s="259"/>
      <c r="F102" s="259"/>
      <c r="G102" s="259"/>
      <c r="H102" s="259"/>
      <c r="I102" s="247"/>
      <c r="J102" s="259"/>
      <c r="K102" s="259"/>
      <c r="L102" s="259"/>
      <c r="M102" s="259"/>
      <c r="N102" s="259"/>
      <c r="O102" s="5"/>
      <c r="Q102" s="5"/>
      <c r="R102" s="5"/>
      <c r="S102" s="5"/>
    </row>
    <row r="103" spans="2:19">
      <c r="B103" s="5"/>
      <c r="C103" s="259"/>
      <c r="D103" s="259"/>
      <c r="E103" s="259"/>
      <c r="F103" s="259"/>
      <c r="G103" s="259"/>
      <c r="H103" s="259"/>
      <c r="I103" s="5"/>
      <c r="J103" s="259"/>
      <c r="K103" s="259"/>
      <c r="L103" s="259"/>
      <c r="M103" s="259"/>
      <c r="N103" s="259"/>
      <c r="O103" s="5"/>
      <c r="P103" s="5"/>
      <c r="Q103" s="5"/>
      <c r="R103" s="5"/>
      <c r="S103" s="5"/>
    </row>
    <row r="104" spans="2:19">
      <c r="B104" s="5"/>
      <c r="C104" s="247"/>
      <c r="D104" s="247"/>
      <c r="E104" s="247"/>
      <c r="F104" s="247"/>
      <c r="G104" s="247"/>
      <c r="H104" s="247"/>
      <c r="I104" s="247"/>
      <c r="J104" s="247"/>
      <c r="K104" s="247"/>
      <c r="L104" s="247"/>
      <c r="M104" s="247"/>
      <c r="N104" s="247"/>
      <c r="O104" s="5"/>
      <c r="Q104" s="5"/>
      <c r="R104" s="5"/>
      <c r="S104" s="5"/>
    </row>
    <row r="105" spans="2:19" s="5" customFormat="1">
      <c r="P105" s="39"/>
    </row>
    <row r="106" spans="2:19" s="5" customFormat="1">
      <c r="C106" s="259"/>
      <c r="D106" s="247"/>
      <c r="E106" s="247"/>
      <c r="F106" s="247"/>
      <c r="G106" s="247"/>
      <c r="H106" s="247"/>
      <c r="I106" s="259"/>
      <c r="J106" s="247"/>
      <c r="K106" s="247"/>
      <c r="L106" s="247"/>
      <c r="M106" s="247"/>
      <c r="N106" s="247"/>
      <c r="P106" s="39"/>
    </row>
    <row r="107" spans="2:19">
      <c r="B107" s="5"/>
      <c r="C107" s="259"/>
      <c r="D107" s="5"/>
      <c r="E107" s="5"/>
      <c r="F107" s="5"/>
      <c r="G107" s="5"/>
      <c r="H107" s="5"/>
      <c r="I107" s="247"/>
      <c r="J107" s="5"/>
      <c r="K107" s="5"/>
      <c r="L107" s="5"/>
      <c r="M107" s="5"/>
      <c r="N107" s="5"/>
      <c r="O107" s="5"/>
      <c r="P107" s="5"/>
      <c r="Q107" s="5"/>
      <c r="R107" s="5"/>
      <c r="S107" s="5"/>
    </row>
    <row r="108" spans="2:19">
      <c r="B108" s="5"/>
      <c r="C108" s="259"/>
      <c r="D108" s="259"/>
      <c r="E108" s="259"/>
      <c r="F108" s="259"/>
      <c r="G108" s="259"/>
      <c r="H108" s="259"/>
      <c r="I108" s="249"/>
      <c r="J108" s="259"/>
      <c r="K108" s="259"/>
      <c r="L108" s="259"/>
      <c r="M108" s="259"/>
      <c r="N108" s="259"/>
      <c r="O108" s="5"/>
      <c r="P108" s="5"/>
      <c r="Q108" s="5"/>
      <c r="R108" s="5"/>
      <c r="S108" s="5"/>
    </row>
    <row r="109" spans="2:19">
      <c r="B109" s="5"/>
      <c r="C109" s="247"/>
      <c r="D109" s="247"/>
      <c r="E109" s="247"/>
      <c r="F109" s="247"/>
      <c r="G109" s="247"/>
      <c r="H109" s="247"/>
      <c r="I109" s="249"/>
      <c r="J109" s="247"/>
      <c r="K109" s="247"/>
      <c r="L109" s="247"/>
      <c r="M109" s="247"/>
      <c r="N109" s="247"/>
      <c r="O109" s="5"/>
      <c r="Q109" s="5"/>
      <c r="R109" s="5"/>
      <c r="S109" s="5"/>
    </row>
    <row r="110" spans="2:19">
      <c r="B110" s="41"/>
      <c r="C110" s="249"/>
      <c r="D110" s="249"/>
      <c r="E110" s="249"/>
      <c r="F110" s="249"/>
      <c r="G110" s="249"/>
      <c r="H110" s="249"/>
      <c r="I110" s="247"/>
      <c r="J110" s="249"/>
      <c r="K110" s="249"/>
      <c r="L110" s="249"/>
      <c r="M110" s="249"/>
      <c r="N110" s="249"/>
      <c r="O110" s="5"/>
      <c r="Q110" s="5"/>
      <c r="R110" s="5"/>
      <c r="S110" s="5"/>
    </row>
    <row r="111" spans="2:19">
      <c r="B111" s="5"/>
      <c r="C111" s="249"/>
      <c r="D111" s="249"/>
      <c r="E111" s="249"/>
      <c r="F111" s="249"/>
      <c r="G111" s="249"/>
      <c r="H111" s="249"/>
      <c r="I111" s="5"/>
      <c r="J111" s="249"/>
      <c r="K111" s="249"/>
      <c r="L111" s="249"/>
      <c r="M111" s="249"/>
      <c r="N111" s="249"/>
      <c r="O111" s="5"/>
      <c r="Q111" s="5"/>
      <c r="R111" s="5"/>
      <c r="S111" s="5"/>
    </row>
    <row r="112" spans="2:19">
      <c r="B112" s="5"/>
      <c r="C112" s="247"/>
      <c r="D112" s="247"/>
      <c r="E112" s="247"/>
      <c r="F112" s="247"/>
      <c r="G112" s="247"/>
      <c r="H112" s="247"/>
      <c r="I112" s="5"/>
      <c r="J112" s="247"/>
      <c r="K112" s="247"/>
      <c r="L112" s="247"/>
      <c r="M112" s="247"/>
      <c r="N112" s="247"/>
      <c r="O112" s="5"/>
      <c r="Q112" s="5"/>
      <c r="R112" s="5"/>
      <c r="S112" s="5"/>
    </row>
    <row r="113" spans="2:19">
      <c r="B113" s="5"/>
      <c r="C113" s="5"/>
      <c r="D113" s="5"/>
      <c r="E113" s="5"/>
      <c r="F113" s="5"/>
      <c r="G113" s="5"/>
      <c r="H113" s="5"/>
      <c r="I113" s="5"/>
      <c r="J113" s="5"/>
      <c r="K113" s="5"/>
      <c r="L113" s="5"/>
      <c r="M113" s="5"/>
      <c r="N113" s="5"/>
      <c r="O113" s="5"/>
      <c r="Q113" s="5"/>
      <c r="R113" s="5"/>
      <c r="S113" s="5"/>
    </row>
    <row r="114" spans="2:19">
      <c r="B114" s="5"/>
      <c r="C114" s="5"/>
      <c r="D114" s="5"/>
      <c r="E114" s="5"/>
      <c r="F114" s="5"/>
      <c r="G114" s="5"/>
      <c r="H114" s="5"/>
      <c r="I114" s="5"/>
      <c r="J114" s="5"/>
      <c r="K114" s="5"/>
      <c r="L114" s="5"/>
      <c r="M114" s="5"/>
      <c r="N114" s="5"/>
      <c r="O114" s="5"/>
      <c r="Q114" s="5"/>
      <c r="R114" s="5"/>
      <c r="S114" s="5"/>
    </row>
    <row r="115" spans="2:19">
      <c r="B115" s="5"/>
      <c r="C115" s="5"/>
      <c r="D115" s="5"/>
      <c r="E115" s="5"/>
      <c r="F115" s="5"/>
      <c r="G115" s="5"/>
      <c r="H115" s="5"/>
      <c r="I115" s="49"/>
      <c r="J115" s="5"/>
      <c r="K115" s="5"/>
      <c r="L115" s="5"/>
      <c r="M115" s="5"/>
      <c r="N115" s="5"/>
      <c r="O115" s="5"/>
      <c r="Q115" s="41"/>
      <c r="R115" s="5"/>
      <c r="S115" s="5"/>
    </row>
    <row r="116" spans="2:19">
      <c r="B116" s="5"/>
      <c r="C116" s="5"/>
      <c r="D116" s="5"/>
      <c r="E116" s="5"/>
      <c r="F116" s="5"/>
      <c r="G116" s="5"/>
      <c r="H116" s="5"/>
      <c r="I116" s="5"/>
      <c r="J116" s="5"/>
      <c r="K116" s="5"/>
      <c r="L116" s="5"/>
      <c r="M116" s="5"/>
      <c r="N116" s="5"/>
      <c r="O116" s="5"/>
      <c r="Q116" s="5"/>
      <c r="R116" s="5"/>
      <c r="S116" s="5"/>
    </row>
    <row r="117" spans="2:19">
      <c r="B117" s="41"/>
      <c r="C117" s="49"/>
      <c r="D117" s="49"/>
      <c r="E117" s="49"/>
      <c r="F117" s="49"/>
      <c r="G117" s="49"/>
      <c r="H117" s="49"/>
      <c r="I117" s="254"/>
      <c r="J117" s="49"/>
      <c r="K117" s="49"/>
      <c r="L117" s="49"/>
      <c r="M117" s="49"/>
      <c r="N117" s="49"/>
      <c r="O117" s="49"/>
      <c r="Q117" s="5"/>
      <c r="R117" s="5"/>
      <c r="S117" s="5"/>
    </row>
    <row r="118" spans="2:19">
      <c r="B118" s="5"/>
      <c r="C118" s="5"/>
      <c r="D118" s="5"/>
      <c r="E118" s="5"/>
      <c r="F118" s="5"/>
      <c r="G118" s="5"/>
      <c r="H118" s="5"/>
      <c r="I118" s="249"/>
      <c r="J118" s="5"/>
      <c r="K118" s="5"/>
      <c r="L118" s="5"/>
      <c r="M118" s="5"/>
      <c r="N118" s="5"/>
      <c r="O118" s="5"/>
      <c r="Q118" s="5"/>
      <c r="R118" s="5"/>
      <c r="S118" s="5"/>
    </row>
    <row r="119" spans="2:19">
      <c r="B119" s="41"/>
      <c r="C119" s="254"/>
      <c r="D119" s="254"/>
      <c r="E119" s="254"/>
      <c r="F119" s="254"/>
      <c r="G119" s="254"/>
      <c r="H119" s="254"/>
      <c r="I119" s="254"/>
      <c r="J119" s="254"/>
      <c r="K119" s="254"/>
      <c r="L119" s="254"/>
      <c r="M119" s="254"/>
      <c r="N119" s="254"/>
      <c r="O119" s="248"/>
      <c r="Q119" s="5"/>
      <c r="R119" s="5"/>
      <c r="S119" s="5"/>
    </row>
    <row r="120" spans="2:19">
      <c r="B120" s="41"/>
      <c r="C120" s="254"/>
      <c r="D120" s="249"/>
      <c r="E120" s="249"/>
      <c r="F120" s="249"/>
      <c r="G120" s="249"/>
      <c r="H120" s="249"/>
      <c r="I120" s="254"/>
      <c r="J120" s="249"/>
      <c r="K120" s="249"/>
      <c r="L120" s="249"/>
      <c r="M120" s="249"/>
      <c r="N120" s="249"/>
      <c r="O120" s="248"/>
      <c r="Q120" s="5"/>
      <c r="R120" s="5"/>
      <c r="S120" s="5"/>
    </row>
    <row r="121" spans="2:19">
      <c r="B121" s="41"/>
      <c r="C121" s="254"/>
      <c r="D121" s="254"/>
      <c r="E121" s="254"/>
      <c r="F121" s="254"/>
      <c r="G121" s="254"/>
      <c r="H121" s="254"/>
      <c r="I121" s="254"/>
      <c r="J121" s="254"/>
      <c r="K121" s="254"/>
      <c r="L121" s="254"/>
      <c r="M121" s="254"/>
      <c r="N121" s="254"/>
      <c r="O121" s="248"/>
      <c r="Q121" s="5"/>
      <c r="R121" s="5"/>
      <c r="S121" s="5"/>
    </row>
    <row r="122" spans="2:19">
      <c r="B122" s="41"/>
      <c r="C122" s="254"/>
      <c r="D122" s="254"/>
      <c r="E122" s="254"/>
      <c r="F122" s="254"/>
      <c r="G122" s="254"/>
      <c r="H122" s="254"/>
      <c r="I122" s="254"/>
      <c r="J122" s="254"/>
      <c r="K122" s="254"/>
      <c r="L122" s="254"/>
      <c r="M122" s="254"/>
      <c r="N122" s="254"/>
      <c r="O122" s="248"/>
      <c r="Q122" s="5"/>
      <c r="R122" s="5"/>
      <c r="S122" s="5"/>
    </row>
    <row r="123" spans="2:19">
      <c r="B123" s="41"/>
      <c r="C123" s="254"/>
      <c r="D123" s="254"/>
      <c r="E123" s="254"/>
      <c r="F123" s="254"/>
      <c r="G123" s="254"/>
      <c r="H123" s="254"/>
      <c r="I123" s="254"/>
      <c r="J123" s="254"/>
      <c r="K123" s="254"/>
      <c r="L123" s="254"/>
      <c r="M123" s="254"/>
      <c r="N123" s="254"/>
      <c r="O123" s="248"/>
      <c r="Q123" s="5"/>
      <c r="R123" s="5"/>
      <c r="S123" s="5"/>
    </row>
    <row r="124" spans="2:19">
      <c r="B124" s="41"/>
      <c r="C124" s="254"/>
      <c r="D124" s="254"/>
      <c r="E124" s="254"/>
      <c r="F124" s="254"/>
      <c r="G124" s="254"/>
      <c r="H124" s="254"/>
      <c r="I124" s="254"/>
      <c r="J124" s="254"/>
      <c r="K124" s="254"/>
      <c r="L124" s="254"/>
      <c r="M124" s="254"/>
      <c r="N124" s="254"/>
      <c r="O124" s="248"/>
      <c r="Q124" s="5"/>
      <c r="R124" s="5"/>
      <c r="S124" s="5"/>
    </row>
    <row r="125" spans="2:19">
      <c r="B125" s="41"/>
      <c r="C125" s="254"/>
      <c r="D125" s="254"/>
      <c r="E125" s="254"/>
      <c r="F125" s="254"/>
      <c r="G125" s="254"/>
      <c r="H125" s="254"/>
      <c r="I125" s="254"/>
      <c r="J125" s="254"/>
      <c r="K125" s="254"/>
      <c r="L125" s="254"/>
      <c r="M125" s="254"/>
      <c r="N125" s="254"/>
      <c r="O125" s="5"/>
      <c r="Q125" s="5"/>
      <c r="R125" s="5"/>
      <c r="S125" s="5"/>
    </row>
    <row r="126" spans="2:19">
      <c r="B126" s="41"/>
      <c r="C126" s="254"/>
      <c r="D126" s="254"/>
      <c r="E126" s="254"/>
      <c r="F126" s="254"/>
      <c r="G126" s="254"/>
      <c r="H126" s="254"/>
      <c r="I126" s="254"/>
      <c r="J126" s="254"/>
      <c r="K126" s="254"/>
      <c r="L126" s="254"/>
      <c r="M126" s="254"/>
      <c r="N126" s="254"/>
      <c r="O126" s="5"/>
      <c r="Q126" s="5"/>
      <c r="R126" s="5"/>
      <c r="S126" s="5"/>
    </row>
    <row r="127" spans="2:19">
      <c r="B127" s="41"/>
      <c r="C127" s="254"/>
      <c r="D127" s="254"/>
      <c r="E127" s="254"/>
      <c r="F127" s="254"/>
      <c r="G127" s="254"/>
      <c r="H127" s="254"/>
      <c r="I127" s="18"/>
      <c r="J127" s="254"/>
      <c r="K127" s="254"/>
      <c r="L127" s="254"/>
      <c r="M127" s="254"/>
      <c r="N127" s="254"/>
      <c r="O127" s="5"/>
      <c r="Q127" s="5"/>
      <c r="R127" s="5"/>
      <c r="S127" s="5"/>
    </row>
    <row r="128" spans="2:19">
      <c r="B128" s="41"/>
      <c r="C128" s="254"/>
      <c r="D128" s="254"/>
      <c r="E128" s="254"/>
      <c r="F128" s="254"/>
      <c r="G128" s="254"/>
      <c r="H128" s="254"/>
      <c r="I128" s="5"/>
      <c r="J128" s="254"/>
      <c r="K128" s="254"/>
      <c r="L128" s="254"/>
      <c r="M128" s="254"/>
      <c r="N128" s="254"/>
      <c r="O128" s="5"/>
      <c r="Q128" s="5"/>
      <c r="R128" s="5"/>
      <c r="S128" s="5"/>
    </row>
    <row r="129" spans="2:27">
      <c r="B129" s="5"/>
      <c r="C129" s="5"/>
      <c r="D129" s="18"/>
      <c r="E129" s="18"/>
      <c r="F129" s="18"/>
      <c r="G129" s="18"/>
      <c r="H129" s="18"/>
      <c r="I129" s="254"/>
      <c r="J129" s="18"/>
      <c r="K129" s="18"/>
      <c r="L129" s="18"/>
      <c r="M129" s="18"/>
      <c r="N129" s="18"/>
      <c r="O129" s="5"/>
      <c r="Q129" s="5"/>
      <c r="R129" s="5"/>
      <c r="S129" s="5"/>
    </row>
    <row r="130" spans="2:27">
      <c r="B130" s="5"/>
      <c r="C130" s="5"/>
      <c r="D130" s="5"/>
      <c r="E130" s="5"/>
      <c r="F130" s="5"/>
      <c r="G130" s="5"/>
      <c r="H130" s="5"/>
      <c r="I130" s="18"/>
      <c r="J130" s="5"/>
      <c r="K130" s="5"/>
      <c r="L130" s="5"/>
      <c r="M130" s="5"/>
      <c r="N130" s="5"/>
      <c r="O130" s="5"/>
      <c r="Q130" s="5"/>
      <c r="R130" s="5"/>
      <c r="S130" s="5"/>
    </row>
    <row r="131" spans="2:27">
      <c r="B131" s="41"/>
      <c r="C131" s="254"/>
      <c r="D131" s="254"/>
      <c r="E131" s="254"/>
      <c r="F131" s="254"/>
      <c r="G131" s="254"/>
      <c r="H131" s="254"/>
      <c r="I131" s="5"/>
      <c r="J131" s="254"/>
      <c r="K131" s="254"/>
      <c r="L131" s="254"/>
      <c r="M131" s="254"/>
      <c r="N131" s="254"/>
      <c r="O131" s="5"/>
      <c r="Q131" s="5"/>
      <c r="R131" s="5"/>
      <c r="S131" s="5"/>
    </row>
    <row r="132" spans="2:27">
      <c r="B132" s="5"/>
      <c r="C132" s="259"/>
      <c r="D132" s="18"/>
      <c r="E132" s="18"/>
      <c r="F132" s="18"/>
      <c r="G132" s="18"/>
      <c r="H132" s="18"/>
      <c r="I132" s="5"/>
      <c r="J132" s="18"/>
      <c r="K132" s="18"/>
      <c r="L132" s="18"/>
      <c r="M132" s="18"/>
      <c r="N132" s="18"/>
      <c r="O132" s="5"/>
      <c r="Q132" s="5"/>
      <c r="R132" s="5"/>
      <c r="S132" s="5"/>
    </row>
    <row r="133" spans="2:27">
      <c r="B133" s="5"/>
      <c r="C133" s="5"/>
      <c r="D133" s="5"/>
      <c r="E133" s="5"/>
      <c r="F133" s="5"/>
      <c r="G133" s="5"/>
      <c r="H133" s="5"/>
      <c r="I133" s="17"/>
      <c r="J133" s="5"/>
      <c r="K133" s="5"/>
      <c r="L133" s="5"/>
      <c r="M133" s="5"/>
      <c r="N133" s="5"/>
      <c r="O133" s="5"/>
      <c r="Q133" s="5"/>
      <c r="R133" s="5"/>
      <c r="S133" s="5"/>
    </row>
    <row r="134" spans="2:27">
      <c r="B134" s="41"/>
      <c r="C134" s="5"/>
      <c r="D134" s="5"/>
      <c r="E134" s="5"/>
      <c r="F134" s="5"/>
      <c r="G134" s="5"/>
      <c r="H134" s="5"/>
      <c r="I134" s="17"/>
      <c r="J134" s="5"/>
      <c r="K134" s="5"/>
      <c r="L134" s="5"/>
      <c r="M134" s="5"/>
      <c r="N134" s="5"/>
      <c r="O134" s="5"/>
      <c r="Q134" s="5"/>
      <c r="R134" s="5"/>
      <c r="S134" s="5"/>
    </row>
    <row r="135" spans="2:27">
      <c r="B135" s="5"/>
      <c r="C135" s="17"/>
      <c r="D135" s="17"/>
      <c r="E135" s="17"/>
      <c r="F135" s="17"/>
      <c r="G135" s="17"/>
      <c r="H135" s="17"/>
      <c r="I135" s="17"/>
      <c r="J135" s="17"/>
      <c r="K135" s="17"/>
      <c r="L135" s="17"/>
      <c r="M135" s="17"/>
      <c r="N135" s="17"/>
      <c r="O135" s="5"/>
      <c r="Q135" s="41"/>
      <c r="R135" s="5"/>
      <c r="S135" s="5"/>
    </row>
    <row r="136" spans="2:27">
      <c r="B136" s="5"/>
      <c r="C136" s="17"/>
      <c r="D136" s="17"/>
      <c r="E136" s="17"/>
      <c r="F136" s="17"/>
      <c r="G136" s="17"/>
      <c r="H136" s="17"/>
      <c r="I136" s="17"/>
      <c r="J136" s="17"/>
      <c r="K136" s="17"/>
      <c r="L136" s="17"/>
      <c r="M136" s="17"/>
      <c r="N136" s="17"/>
      <c r="O136" s="5"/>
      <c r="Q136" s="5"/>
      <c r="R136" s="5"/>
      <c r="S136" s="5"/>
      <c r="X136" s="304"/>
    </row>
    <row r="137" spans="2:27">
      <c r="B137" s="5"/>
      <c r="C137" s="5"/>
      <c r="D137" s="17"/>
      <c r="E137" s="17"/>
      <c r="F137" s="17"/>
      <c r="G137" s="17"/>
      <c r="H137" s="17"/>
      <c r="I137" s="17"/>
      <c r="J137" s="17"/>
      <c r="K137" s="17"/>
      <c r="L137" s="17"/>
      <c r="M137" s="17"/>
      <c r="N137" s="17"/>
      <c r="O137" s="5"/>
      <c r="Q137" s="5"/>
      <c r="R137" s="5"/>
      <c r="S137" s="5"/>
      <c r="X137" s="10"/>
      <c r="Y137" s="304"/>
      <c r="Z137" s="304"/>
      <c r="AA137" s="304"/>
    </row>
    <row r="138" spans="2:27">
      <c r="B138" s="5"/>
      <c r="C138" s="5"/>
      <c r="D138" s="17"/>
      <c r="E138" s="17"/>
      <c r="F138" s="17"/>
      <c r="G138" s="17"/>
      <c r="H138" s="17"/>
      <c r="I138" s="17"/>
      <c r="J138" s="17"/>
      <c r="K138" s="17"/>
      <c r="L138" s="17"/>
      <c r="M138" s="17"/>
      <c r="N138" s="17"/>
      <c r="O138" s="5"/>
      <c r="Q138" s="5"/>
      <c r="R138" s="5"/>
      <c r="S138" s="5"/>
      <c r="Y138" s="10"/>
      <c r="Z138" s="10"/>
      <c r="AA138" s="10"/>
    </row>
    <row r="139" spans="2:27">
      <c r="B139" s="5"/>
      <c r="C139" s="5"/>
      <c r="D139" s="17"/>
      <c r="E139" s="17"/>
      <c r="F139" s="17"/>
      <c r="G139" s="17"/>
      <c r="H139" s="17"/>
      <c r="I139" s="5"/>
      <c r="J139" s="17"/>
      <c r="K139" s="17"/>
      <c r="L139" s="17"/>
      <c r="M139" s="17"/>
      <c r="N139" s="17"/>
      <c r="O139" s="5"/>
      <c r="Q139" s="5"/>
      <c r="R139" s="5"/>
      <c r="S139" s="5"/>
    </row>
    <row r="140" spans="2:27">
      <c r="B140" s="5"/>
      <c r="C140" s="17"/>
      <c r="D140" s="17"/>
      <c r="E140" s="17"/>
      <c r="F140" s="17"/>
      <c r="G140" s="17"/>
      <c r="H140" s="17"/>
      <c r="I140" s="5"/>
      <c r="J140" s="17"/>
      <c r="K140" s="17"/>
      <c r="L140" s="17"/>
      <c r="M140" s="17"/>
      <c r="N140" s="17"/>
      <c r="O140" s="5"/>
      <c r="Q140" s="5"/>
      <c r="R140" s="5"/>
      <c r="S140" s="5"/>
    </row>
    <row r="141" spans="2:27">
      <c r="B141" s="5"/>
      <c r="C141" s="5"/>
      <c r="D141" s="5"/>
      <c r="E141" s="5"/>
      <c r="F141" s="5"/>
      <c r="G141" s="5"/>
      <c r="H141" s="5"/>
      <c r="I141" s="5"/>
      <c r="J141" s="5"/>
      <c r="K141" s="5"/>
      <c r="L141" s="5"/>
      <c r="M141" s="5"/>
      <c r="N141" s="5"/>
      <c r="O141" s="5"/>
      <c r="Q141" s="5"/>
      <c r="R141" s="5"/>
      <c r="S141" s="5"/>
    </row>
    <row r="142" spans="2:27">
      <c r="B142" s="5"/>
      <c r="C142" s="5"/>
      <c r="D142" s="5"/>
      <c r="E142" s="5"/>
      <c r="F142" s="5"/>
      <c r="G142" s="5"/>
      <c r="H142" s="5"/>
      <c r="I142" s="5"/>
      <c r="J142" s="5"/>
      <c r="K142" s="5"/>
      <c r="L142" s="5"/>
      <c r="M142" s="5"/>
      <c r="N142" s="5"/>
      <c r="O142" s="5"/>
      <c r="Q142" s="5"/>
      <c r="R142" s="5"/>
      <c r="S142" s="5"/>
    </row>
    <row r="143" spans="2:27">
      <c r="B143" s="5"/>
      <c r="C143" s="5"/>
      <c r="D143" s="5"/>
      <c r="E143" s="5"/>
      <c r="F143" s="5"/>
      <c r="G143" s="5"/>
      <c r="H143" s="5"/>
      <c r="I143" s="5"/>
      <c r="J143" s="5"/>
      <c r="K143" s="5"/>
      <c r="L143" s="5"/>
      <c r="M143" s="5"/>
      <c r="N143" s="5"/>
      <c r="O143" s="5"/>
      <c r="Q143" s="5"/>
      <c r="R143" s="5"/>
      <c r="S143" s="5"/>
    </row>
    <row r="144" spans="2:27">
      <c r="B144" s="5"/>
      <c r="C144" s="5"/>
      <c r="D144" s="5"/>
      <c r="E144" s="5"/>
      <c r="F144" s="5"/>
      <c r="G144" s="5"/>
      <c r="H144" s="5"/>
      <c r="I144" s="5"/>
      <c r="J144" s="5"/>
      <c r="K144" s="5"/>
      <c r="L144" s="5"/>
      <c r="M144" s="5"/>
      <c r="N144" s="5"/>
      <c r="O144" s="5"/>
      <c r="Q144" s="5"/>
      <c r="R144" s="5"/>
      <c r="S144" s="5"/>
    </row>
    <row r="145" spans="2:19">
      <c r="B145" s="5"/>
      <c r="C145" s="5"/>
      <c r="D145" s="5"/>
      <c r="E145" s="5"/>
      <c r="F145" s="5"/>
      <c r="G145" s="5"/>
      <c r="H145" s="5"/>
      <c r="I145" s="5"/>
      <c r="J145" s="5"/>
      <c r="K145" s="5"/>
      <c r="L145" s="5"/>
      <c r="M145" s="5"/>
      <c r="N145" s="5"/>
      <c r="O145" s="5"/>
      <c r="Q145" s="5"/>
      <c r="R145" s="5"/>
      <c r="S145" s="5"/>
    </row>
    <row r="146" spans="2:19">
      <c r="B146" s="5"/>
      <c r="C146" s="5"/>
      <c r="D146" s="5"/>
      <c r="E146" s="5"/>
      <c r="F146" s="5"/>
      <c r="G146" s="5"/>
      <c r="H146" s="5"/>
      <c r="I146" s="5"/>
      <c r="J146" s="5"/>
      <c r="K146" s="5"/>
      <c r="L146" s="5"/>
      <c r="M146" s="5"/>
      <c r="N146" s="5"/>
      <c r="O146" s="5"/>
      <c r="Q146" s="5"/>
      <c r="R146" s="5"/>
      <c r="S146" s="5"/>
    </row>
    <row r="147" spans="2:19">
      <c r="B147" s="5"/>
      <c r="C147" s="5"/>
      <c r="D147" s="5"/>
      <c r="E147" s="5"/>
      <c r="F147" s="5"/>
      <c r="G147" s="5"/>
      <c r="H147" s="5"/>
      <c r="I147" s="5"/>
      <c r="J147" s="5"/>
      <c r="K147" s="5"/>
      <c r="L147" s="5"/>
      <c r="M147" s="5"/>
      <c r="N147" s="5"/>
      <c r="O147" s="5"/>
      <c r="Q147" s="5"/>
      <c r="R147" s="5"/>
      <c r="S147" s="5"/>
    </row>
    <row r="148" spans="2:19">
      <c r="B148" s="5"/>
      <c r="C148" s="5"/>
      <c r="D148" s="5"/>
      <c r="E148" s="5"/>
      <c r="F148" s="5"/>
      <c r="G148" s="5"/>
      <c r="H148" s="5"/>
      <c r="I148" s="5"/>
      <c r="J148" s="5"/>
      <c r="K148" s="5"/>
      <c r="L148" s="5"/>
      <c r="M148" s="5"/>
      <c r="N148" s="5"/>
      <c r="O148" s="5"/>
      <c r="Q148" s="5"/>
      <c r="R148" s="5"/>
      <c r="S148" s="5"/>
    </row>
    <row r="149" spans="2:19">
      <c r="B149" s="5"/>
      <c r="C149" s="5"/>
      <c r="D149" s="5"/>
      <c r="E149" s="5"/>
      <c r="F149" s="5"/>
      <c r="G149" s="5"/>
      <c r="H149" s="5"/>
      <c r="J149" s="5"/>
      <c r="K149" s="5"/>
      <c r="L149" s="5"/>
      <c r="M149" s="5"/>
      <c r="N149" s="5"/>
      <c r="O149" s="5"/>
      <c r="Q149" s="5"/>
      <c r="R149" s="5"/>
      <c r="S149" s="5"/>
    </row>
    <row r="150" spans="2:19">
      <c r="B150" s="5"/>
      <c r="C150" s="5"/>
      <c r="D150" s="5"/>
      <c r="E150" s="5"/>
      <c r="F150" s="5"/>
      <c r="G150" s="5"/>
      <c r="H150" s="5"/>
      <c r="J150" s="5"/>
      <c r="K150" s="5"/>
      <c r="L150" s="5"/>
      <c r="M150" s="5"/>
      <c r="N150" s="5"/>
      <c r="O150" s="5"/>
      <c r="Q150" s="5"/>
      <c r="R150" s="5"/>
      <c r="S150" s="5"/>
    </row>
    <row r="151" spans="2:19">
      <c r="Q151" s="5"/>
      <c r="R151" s="5"/>
      <c r="S151" s="5"/>
    </row>
    <row r="152" spans="2:19">
      <c r="Q152" s="5"/>
      <c r="R152" s="5"/>
      <c r="S152" s="5"/>
    </row>
    <row r="153" spans="2:19">
      <c r="C153" s="263"/>
      <c r="Q153" s="5"/>
      <c r="R153" s="5"/>
      <c r="S153" s="5"/>
    </row>
    <row r="154" spans="2:19">
      <c r="Q154" s="5"/>
      <c r="R154" s="5"/>
      <c r="S154" s="5"/>
    </row>
    <row r="155" spans="2:19">
      <c r="Q155" s="5"/>
      <c r="R155" s="5"/>
      <c r="S155" s="5"/>
    </row>
    <row r="156" spans="2:19">
      <c r="Q156" s="5"/>
      <c r="R156" s="5"/>
      <c r="S156" s="5"/>
    </row>
    <row r="157" spans="2:19">
      <c r="Q157" s="5"/>
      <c r="R157" s="5"/>
      <c r="S157" s="5"/>
    </row>
    <row r="158" spans="2:19">
      <c r="Q158" s="5"/>
      <c r="R158" s="5"/>
      <c r="S158" s="5"/>
    </row>
    <row r="159" spans="2:19">
      <c r="Q159" s="5"/>
      <c r="R159" s="5"/>
      <c r="S159" s="5"/>
    </row>
    <row r="160" spans="2:19">
      <c r="Q160" s="5"/>
      <c r="R160" s="5"/>
      <c r="S160" s="5"/>
    </row>
    <row r="161" spans="17:19">
      <c r="Q161" s="5"/>
      <c r="R161" s="5"/>
      <c r="S161" s="5"/>
    </row>
    <row r="162" spans="17:19">
      <c r="Q162" s="5"/>
      <c r="R162" s="5"/>
      <c r="S162" s="5"/>
    </row>
    <row r="163" spans="17:19">
      <c r="Q163" s="5"/>
      <c r="R163" s="5"/>
      <c r="S163" s="5"/>
    </row>
    <row r="164" spans="17:19">
      <c r="Q164" s="5"/>
      <c r="R164" s="5"/>
      <c r="S164" s="5"/>
    </row>
    <row r="165" spans="17:19">
      <c r="Q165" s="5"/>
      <c r="R165" s="5"/>
      <c r="S165" s="5"/>
    </row>
  </sheetData>
  <phoneticPr fontId="7" type="noConversion"/>
  <hyperlinks>
    <hyperlink ref="C2" location="MOBBSOP!A1" display="Jump to Mobistar SOP" xr:uid="{00000000-0004-0000-3F00-000001000000}"/>
  </hyperlinks>
  <pageMargins left="0.75" right="0.75" top="1" bottom="1" header="0.5" footer="0.5"/>
  <pageSetup scale="71" orientation="landscape" r:id="rId1"/>
  <headerFooter alignWithMargins="0"/>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Sheet83">
    <pageSetUpPr fitToPage="1"/>
  </sheetPr>
  <dimension ref="B1:AR165"/>
  <sheetViews>
    <sheetView showGridLines="0" zoomScale="80" zoomScaleNormal="80" workbookViewId="0"/>
  </sheetViews>
  <sheetFormatPr defaultColWidth="9.109375" defaultRowHeight="12"/>
  <cols>
    <col min="1" max="1" width="2.33203125" style="39" customWidth="1"/>
    <col min="2" max="2" width="26.5546875" style="39" customWidth="1"/>
    <col min="3" max="9" width="10" style="39" customWidth="1"/>
    <col min="10" max="10" width="26.6640625" style="39" customWidth="1"/>
    <col min="11" max="16" width="10" style="39" customWidth="1"/>
    <col min="17" max="19" width="8.6640625" style="39" customWidth="1"/>
    <col min="20" max="28" width="8.6640625" style="5" customWidth="1"/>
    <col min="29" max="44" width="9.109375" style="5"/>
    <col min="45" max="16384" width="9.109375" style="39"/>
  </cols>
  <sheetData>
    <row r="1" spans="2:44" s="312" customFormat="1">
      <c r="T1" s="149"/>
      <c r="U1" s="149"/>
      <c r="V1" s="149"/>
      <c r="W1" s="149"/>
      <c r="X1" s="149"/>
      <c r="Y1" s="149"/>
      <c r="Z1" s="149"/>
      <c r="AA1" s="149"/>
      <c r="AB1" s="149"/>
      <c r="AC1" s="149"/>
      <c r="AD1" s="149"/>
      <c r="AE1" s="149"/>
      <c r="AF1" s="149"/>
      <c r="AG1" s="149"/>
      <c r="AH1" s="149"/>
      <c r="AI1" s="149"/>
      <c r="AJ1" s="149"/>
      <c r="AK1" s="149"/>
      <c r="AL1" s="149"/>
      <c r="AM1" s="149"/>
      <c r="AN1" s="149"/>
      <c r="AO1" s="149"/>
      <c r="AP1" s="149"/>
      <c r="AQ1" s="149"/>
      <c r="AR1" s="149"/>
    </row>
    <row r="2" spans="2:44" s="149" customFormat="1"/>
    <row r="3" spans="2:44" s="149" customFormat="1">
      <c r="H3" s="153"/>
      <c r="P3" s="153"/>
    </row>
    <row r="4" spans="2:44" s="156" customFormat="1" ht="21">
      <c r="B4" s="129" t="s">
        <v>427</v>
      </c>
      <c r="H4" s="222"/>
      <c r="P4" s="222"/>
    </row>
    <row r="5" spans="2:44" s="149" customFormat="1">
      <c r="C5" s="153"/>
      <c r="D5" s="153" t="str" cm="1">
        <f t="array" ref="D5:H5">headings</f>
        <v>2023E</v>
      </c>
      <c r="E5" s="153" t="str">
        <v>2024E</v>
      </c>
      <c r="F5" s="153" t="str">
        <v>2025E</v>
      </c>
      <c r="G5" s="153" t="str">
        <v>2026E</v>
      </c>
      <c r="H5" s="153" t="str">
        <v>23E-26E</v>
      </c>
      <c r="I5" s="153"/>
      <c r="J5" s="153"/>
      <c r="K5" s="153"/>
      <c r="L5" s="153" t="str" cm="1">
        <f t="array" ref="L5:P5">headings</f>
        <v>2023E</v>
      </c>
      <c r="M5" s="153" t="str">
        <v>2024E</v>
      </c>
      <c r="N5" s="153" t="str">
        <v>2025E</v>
      </c>
      <c r="O5" s="153" t="str">
        <v>2026E</v>
      </c>
      <c r="P5" s="153" t="str">
        <v>23E-26E</v>
      </c>
      <c r="Q5" s="162"/>
      <c r="R5" s="162"/>
      <c r="S5" s="162"/>
      <c r="T5" s="162"/>
      <c r="U5" s="162"/>
      <c r="V5" s="162"/>
      <c r="W5" s="162"/>
      <c r="X5" s="162"/>
      <c r="Y5" s="162"/>
    </row>
    <row r="6" spans="2:44">
      <c r="I6" s="5"/>
      <c r="J6" s="5"/>
      <c r="K6" s="5"/>
      <c r="L6" s="5"/>
      <c r="M6" s="5"/>
      <c r="N6" s="5"/>
      <c r="O6" s="49"/>
    </row>
    <row r="7" spans="2:44" ht="12.6" thickBot="1">
      <c r="B7" s="306" t="s">
        <v>271</v>
      </c>
      <c r="C7" s="265"/>
      <c r="D7" s="265" t="str">
        <f>D5</f>
        <v>2023E</v>
      </c>
      <c r="E7" s="265" t="str">
        <f t="shared" ref="E7:H7" si="0">E5</f>
        <v>2024E</v>
      </c>
      <c r="F7" s="265" t="str">
        <f t="shared" si="0"/>
        <v>2025E</v>
      </c>
      <c r="G7" s="265" t="str">
        <f t="shared" si="0"/>
        <v>2026E</v>
      </c>
      <c r="H7" s="265" t="str">
        <f t="shared" si="0"/>
        <v>23E-26E</v>
      </c>
      <c r="I7" s="49"/>
      <c r="J7" s="306" t="s">
        <v>380</v>
      </c>
      <c r="K7" s="306"/>
      <c r="L7" s="265" t="str">
        <f>L5</f>
        <v>2023E</v>
      </c>
      <c r="M7" s="265" t="str">
        <f t="shared" ref="M7:P7" si="1">M5</f>
        <v>2024E</v>
      </c>
      <c r="N7" s="265" t="str">
        <f t="shared" si="1"/>
        <v>2025E</v>
      </c>
      <c r="O7" s="265" t="str">
        <f t="shared" si="1"/>
        <v>2026E</v>
      </c>
      <c r="P7" s="265" t="str">
        <f t="shared" si="1"/>
        <v>23E-26E</v>
      </c>
    </row>
    <row r="8" spans="2:44" ht="12.6" thickTop="1">
      <c r="B8" s="5"/>
      <c r="C8" s="5"/>
      <c r="D8" s="5"/>
      <c r="E8" s="5"/>
      <c r="F8" s="5"/>
      <c r="G8" s="5"/>
      <c r="H8" s="5"/>
      <c r="I8" s="5"/>
      <c r="J8" s="5"/>
      <c r="K8" s="5"/>
      <c r="L8" s="5"/>
      <c r="M8" s="5"/>
      <c r="N8" s="5"/>
      <c r="S8" s="88"/>
      <c r="T8" s="42"/>
      <c r="U8" s="42"/>
      <c r="V8" s="42"/>
      <c r="W8" s="42"/>
      <c r="X8" s="42"/>
      <c r="Y8" s="42"/>
      <c r="Z8" s="42"/>
      <c r="AA8" s="42"/>
    </row>
    <row r="9" spans="2:44">
      <c r="B9" s="41" t="s">
        <v>15</v>
      </c>
      <c r="C9" s="287">
        <f>Prices!C109</f>
        <v>10</v>
      </c>
      <c r="D9" s="535">
        <v>0</v>
      </c>
      <c r="E9" s="536">
        <v>0</v>
      </c>
      <c r="F9" s="536">
        <v>0</v>
      </c>
      <c r="G9" s="536">
        <v>0</v>
      </c>
      <c r="H9" s="249"/>
      <c r="I9" s="249"/>
      <c r="J9" s="5" t="s">
        <v>273</v>
      </c>
      <c r="L9" s="529">
        <f>'EMEA CELLULAR'!D37</f>
        <v>3.0372013947638039</v>
      </c>
      <c r="M9" s="529">
        <f>'EMEA CELLULAR'!E37</f>
        <v>3.0765788213213532</v>
      </c>
      <c r="N9" s="529">
        <f>'EMEA CELLULAR'!F37</f>
        <v>2.7986180316483407</v>
      </c>
      <c r="O9" s="529">
        <f>'EMEA CELLULAR'!G37</f>
        <v>2.565989431468322</v>
      </c>
      <c r="P9" s="286">
        <f>'EMEA CELLULAR'!H37</f>
        <v>4.2716103268778172E-2</v>
      </c>
      <c r="S9" s="88"/>
      <c r="T9" s="42"/>
      <c r="U9" s="42"/>
      <c r="V9" s="42"/>
      <c r="W9" s="42"/>
      <c r="X9" s="42"/>
      <c r="Y9" s="42"/>
      <c r="Z9" s="42"/>
      <c r="AA9" s="42"/>
    </row>
    <row r="10" spans="2:44">
      <c r="B10" s="5" t="s">
        <v>274</v>
      </c>
      <c r="C10" s="5"/>
      <c r="D10" s="531">
        <v>995.93128649999994</v>
      </c>
      <c r="E10" s="531">
        <v>995.93128649999994</v>
      </c>
      <c r="F10" s="531">
        <v>995.93128649999994</v>
      </c>
      <c r="G10" s="531">
        <v>995.93128649999994</v>
      </c>
      <c r="H10" s="247"/>
      <c r="I10" s="247"/>
      <c r="J10" s="5" t="s">
        <v>184</v>
      </c>
      <c r="L10" s="529">
        <f>'EMEA CELLULAR'!D38</f>
        <v>7.2238222733245729</v>
      </c>
      <c r="M10" s="529">
        <f>'EMEA CELLULAR'!E38</f>
        <v>7.4237558505709842</v>
      </c>
      <c r="N10" s="529">
        <f>'EMEA CELLULAR'!F38</f>
        <v>6.674196011969129</v>
      </c>
      <c r="O10" s="529">
        <f>'EMEA CELLULAR'!G38</f>
        <v>6.0998043636708204</v>
      </c>
      <c r="P10" s="286">
        <f>'EMEA CELLULAR'!H38</f>
        <v>4.2902128020809061E-2</v>
      </c>
      <c r="S10" s="88"/>
      <c r="T10" s="42"/>
      <c r="U10" s="42"/>
      <c r="V10" s="42"/>
      <c r="W10" s="288"/>
      <c r="X10" s="288"/>
      <c r="Y10" s="288"/>
      <c r="Z10" s="288"/>
      <c r="AA10" s="42"/>
    </row>
    <row r="11" spans="2:44">
      <c r="B11" s="41" t="s">
        <v>275</v>
      </c>
      <c r="C11" s="5"/>
      <c r="D11" s="532">
        <f>$C$9*D10</f>
        <v>9959.3128649999999</v>
      </c>
      <c r="E11" s="532">
        <f>$C$9*E10</f>
        <v>9959.3128649999999</v>
      </c>
      <c r="F11" s="532">
        <f>$C$9*F10</f>
        <v>9959.3128649999999</v>
      </c>
      <c r="G11" s="532">
        <f>$C$9*G10</f>
        <v>9959.3128649999999</v>
      </c>
      <c r="H11" s="249"/>
      <c r="I11" s="249"/>
      <c r="J11" s="5" t="s">
        <v>185</v>
      </c>
      <c r="L11" s="529">
        <f>'EMEA CELLULAR'!D39</f>
        <v>13.934000165140167</v>
      </c>
      <c r="M11" s="529">
        <f>'EMEA CELLULAR'!E39</f>
        <v>14.181691463921256</v>
      </c>
      <c r="N11" s="529">
        <f>'EMEA CELLULAR'!F39</f>
        <v>12.081890560836975</v>
      </c>
      <c r="O11" s="529">
        <f>'EMEA CELLULAR'!G39</f>
        <v>10.645257413209695</v>
      </c>
      <c r="P11" s="286">
        <f>'EMEA CELLULAR'!H39</f>
        <v>7.8283731285485381E-2</v>
      </c>
      <c r="S11" s="88"/>
      <c r="T11" s="42"/>
      <c r="U11" s="42"/>
      <c r="V11" s="42"/>
      <c r="W11" s="288"/>
      <c r="X11" s="288"/>
      <c r="Y11" s="288"/>
      <c r="Z11" s="288"/>
      <c r="AA11" s="42"/>
    </row>
    <row r="12" spans="2:44">
      <c r="B12" s="5" t="s">
        <v>24</v>
      </c>
      <c r="C12" s="249"/>
      <c r="D12" s="533">
        <v>5004.4780127577533</v>
      </c>
      <c r="E12" s="533">
        <v>5047.513808816022</v>
      </c>
      <c r="F12" s="533">
        <v>5117.7776179407592</v>
      </c>
      <c r="G12" s="533">
        <v>5216.8542237297734</v>
      </c>
      <c r="H12" s="247"/>
      <c r="I12" s="247"/>
      <c r="J12" s="5" t="s">
        <v>466</v>
      </c>
      <c r="L12" s="529">
        <f>'EMEA CELLULAR'!D40</f>
        <v>20.693503485744461</v>
      </c>
      <c r="M12" s="529">
        <f>'EMEA CELLULAR'!E40</f>
        <v>20.954826177285547</v>
      </c>
      <c r="N12" s="529">
        <f>'EMEA CELLULAR'!F40</f>
        <v>17.986415749594904</v>
      </c>
      <c r="O12" s="529">
        <f>'EMEA CELLULAR'!G40</f>
        <v>15.937236715818882</v>
      </c>
      <c r="P12" s="286">
        <f>'EMEA CELLULAR'!H40</f>
        <v>7.539209226558885E-2</v>
      </c>
      <c r="S12" s="88"/>
      <c r="T12" s="42"/>
      <c r="U12" s="42"/>
      <c r="V12" s="42"/>
      <c r="W12" s="288"/>
      <c r="X12" s="288"/>
      <c r="Y12" s="288"/>
      <c r="Z12" s="288"/>
      <c r="AA12" s="42"/>
    </row>
    <row r="13" spans="2:44">
      <c r="B13" s="5" t="s">
        <v>529</v>
      </c>
      <c r="C13" s="257"/>
      <c r="D13" s="533">
        <v>0</v>
      </c>
      <c r="E13" s="533">
        <v>0</v>
      </c>
      <c r="F13" s="533">
        <v>0</v>
      </c>
      <c r="G13" s="533">
        <v>0</v>
      </c>
      <c r="H13" s="247"/>
      <c r="I13" s="247"/>
      <c r="J13" s="5" t="s">
        <v>530</v>
      </c>
      <c r="L13" s="529">
        <f>'EMEA CELLULAR'!D41</f>
        <v>2.9063718801101484</v>
      </c>
      <c r="M13" s="529">
        <f>'EMEA CELLULAR'!E41</f>
        <v>2.8096465424917763</v>
      </c>
      <c r="N13" s="529">
        <f>'EMEA CELLULAR'!F41</f>
        <v>2.6770412504562215</v>
      </c>
      <c r="O13" s="529">
        <f>'EMEA CELLULAR'!G41</f>
        <v>2.5396311085256196</v>
      </c>
      <c r="P13" s="286">
        <f>'EMEA CELLULAR'!H41</f>
        <v>3.1066523451782402E-2</v>
      </c>
      <c r="S13" s="88"/>
      <c r="T13" s="42"/>
      <c r="U13" s="42"/>
      <c r="V13" s="42"/>
      <c r="W13" s="42"/>
      <c r="X13" s="42"/>
      <c r="Y13" s="42"/>
      <c r="Z13" s="42"/>
      <c r="AA13" s="42"/>
    </row>
    <row r="14" spans="2:44">
      <c r="B14" s="5" t="s">
        <v>532</v>
      </c>
      <c r="C14" s="257"/>
      <c r="D14" s="533">
        <v>509.88470648787768</v>
      </c>
      <c r="E14" s="533">
        <v>509.88470648787768</v>
      </c>
      <c r="F14" s="533">
        <v>509.88470648787768</v>
      </c>
      <c r="G14" s="533">
        <v>509.88470648787768</v>
      </c>
      <c r="H14" s="247"/>
      <c r="I14" s="247"/>
      <c r="J14" s="5" t="s">
        <v>593</v>
      </c>
      <c r="L14" s="529">
        <f>'EMEA CELLULAR'!D42</f>
        <v>4.1985652011209735</v>
      </c>
      <c r="M14" s="529">
        <f>'EMEA CELLULAR'!E42</f>
        <v>4.0862699766964772</v>
      </c>
      <c r="N14" s="529">
        <f>'EMEA CELLULAR'!F42</f>
        <v>3.913769934902958</v>
      </c>
      <c r="O14" s="529">
        <f>'EMEA CELLULAR'!G42</f>
        <v>3.7199710824883767</v>
      </c>
      <c r="P14" s="286">
        <f>'EMEA CELLULAR'!H42</f>
        <v>2.6314073359182233E-2</v>
      </c>
      <c r="S14" s="88"/>
      <c r="T14" s="42"/>
      <c r="U14" s="42"/>
      <c r="V14" s="42"/>
      <c r="W14" s="42"/>
      <c r="X14" s="42"/>
      <c r="Y14" s="42"/>
      <c r="Z14" s="42"/>
      <c r="AA14" s="42"/>
    </row>
    <row r="15" spans="2:44">
      <c r="B15" s="5" t="s">
        <v>531</v>
      </c>
      <c r="C15" s="274"/>
      <c r="D15" s="533">
        <v>29.321419290680868</v>
      </c>
      <c r="E15" s="533">
        <v>29.321419290680868</v>
      </c>
      <c r="F15" s="533">
        <v>29.321419290680868</v>
      </c>
      <c r="G15" s="533">
        <v>29.321419290680868</v>
      </c>
      <c r="H15" s="247"/>
      <c r="I15" s="247"/>
      <c r="J15" s="5" t="s">
        <v>475</v>
      </c>
      <c r="L15" s="529">
        <f>'EMEA CELLULAR'!D43</f>
        <v>31.153660262051059</v>
      </c>
      <c r="M15" s="529">
        <f>'EMEA CELLULAR'!E43</f>
        <v>40.589413647062131</v>
      </c>
      <c r="N15" s="529">
        <f>'EMEA CELLULAR'!F43</f>
        <v>28.94936800421025</v>
      </c>
      <c r="O15" s="529">
        <f>'EMEA CELLULAR'!G43</f>
        <v>25.752132437276039</v>
      </c>
      <c r="P15" s="286">
        <f>'EMEA CELLULAR'!H43</f>
        <v>6.5529048867266182E-2</v>
      </c>
      <c r="S15" s="88"/>
      <c r="T15" s="42"/>
      <c r="U15" s="42"/>
      <c r="V15" s="42"/>
      <c r="W15" s="42"/>
      <c r="X15" s="42"/>
      <c r="Y15" s="42"/>
      <c r="Z15" s="42"/>
      <c r="AA15" s="42"/>
    </row>
    <row r="16" spans="2:44">
      <c r="B16" s="5" t="s">
        <v>534</v>
      </c>
      <c r="C16" s="257"/>
      <c r="D16" s="533">
        <v>1875.6098967592534</v>
      </c>
      <c r="E16" s="533">
        <v>2375.4973954213983</v>
      </c>
      <c r="F16" s="533">
        <v>2885.8002531827537</v>
      </c>
      <c r="G16" s="533">
        <v>3406.7354782810858</v>
      </c>
      <c r="H16" s="247"/>
      <c r="I16" s="247"/>
      <c r="J16" s="5" t="s">
        <v>533</v>
      </c>
      <c r="L16" s="529">
        <f>'EMEA CELLULAR'!D44</f>
        <v>27.614186259633261</v>
      </c>
      <c r="M16" s="529">
        <f>'EMEA CELLULAR'!E44</f>
        <v>26.587472010710737</v>
      </c>
      <c r="N16" s="529">
        <f>'EMEA CELLULAR'!F44</f>
        <v>20.63478491648139</v>
      </c>
      <c r="O16" s="529">
        <f>'EMEA CELLULAR'!G44</f>
        <v>18.214851681953164</v>
      </c>
      <c r="P16" s="286">
        <f>'EMEA CELLULAR'!H44</f>
        <v>0.14827356589829632</v>
      </c>
      <c r="S16" s="88"/>
      <c r="T16" s="42"/>
      <c r="U16" s="42"/>
      <c r="V16" s="42"/>
      <c r="W16" s="42"/>
      <c r="X16" s="42"/>
      <c r="Y16" s="42"/>
      <c r="Z16" s="42"/>
      <c r="AA16" s="42"/>
    </row>
    <row r="17" spans="2:27">
      <c r="B17" s="5" t="s">
        <v>6</v>
      </c>
      <c r="C17" s="257"/>
      <c r="D17" s="533">
        <v>0</v>
      </c>
      <c r="E17" s="533">
        <v>0</v>
      </c>
      <c r="F17" s="533">
        <v>0</v>
      </c>
      <c r="G17" s="533">
        <v>0</v>
      </c>
      <c r="H17" s="247"/>
      <c r="I17" s="247"/>
      <c r="J17" s="5" t="s">
        <v>580</v>
      </c>
      <c r="L17" s="248">
        <f>'EMEA CELLULAR'!D45</f>
        <v>2.0041910197939054E-2</v>
      </c>
      <c r="M17" s="248">
        <f>'EMEA CELLULAR'!E45</f>
        <v>2.2662064400045302E-2</v>
      </c>
      <c r="N17" s="248">
        <f>'EMEA CELLULAR'!F45</f>
        <v>2.6655091715603346E-2</v>
      </c>
      <c r="O17" s="248">
        <f>'EMEA CELLULAR'!G45</f>
        <v>2.9169701214626476E-2</v>
      </c>
      <c r="P17" s="286">
        <f>'EMEA CELLULAR'!H45</f>
        <v>0.13276751641400475</v>
      </c>
      <c r="S17" s="88"/>
      <c r="T17" s="42"/>
      <c r="U17" s="42"/>
      <c r="V17" s="42"/>
      <c r="W17" s="42"/>
      <c r="X17" s="42"/>
      <c r="Y17" s="42"/>
      <c r="Z17" s="42"/>
      <c r="AA17" s="42"/>
    </row>
    <row r="18" spans="2:27" ht="12.6" thickBot="1">
      <c r="B18" s="41" t="s">
        <v>583</v>
      </c>
      <c r="C18" s="249"/>
      <c r="D18" s="534">
        <f>D11+D12+D13-D14+D15-D16-D17</f>
        <v>12607.617693801305</v>
      </c>
      <c r="E18" s="534">
        <f>E11+E12+E13-E14+E15-E16-E17</f>
        <v>12150.765991197428</v>
      </c>
      <c r="F18" s="534">
        <f>F11+F12+F13-F14+F15-F16-F17</f>
        <v>11710.72694256081</v>
      </c>
      <c r="G18" s="534">
        <f>G11+G12+G13-G14+G15-G16-G17</f>
        <v>11288.868323251492</v>
      </c>
      <c r="H18" s="276">
        <f>IF(D18=0,"nm",IF(G18=0,"nm",(G18/D18)^(1/3)-1))</f>
        <v>-3.6158121906753493E-2</v>
      </c>
      <c r="I18" s="254"/>
      <c r="J18" s="5" t="s">
        <v>36</v>
      </c>
      <c r="L18" s="248">
        <f>'EMEA CELLULAR'!D46</f>
        <v>2.1131796481131483E-2</v>
      </c>
      <c r="M18" s="248">
        <f>'EMEA CELLULAR'!E46</f>
        <v>1.7391477966924081E-2</v>
      </c>
      <c r="N18" s="248">
        <f>'EMEA CELLULAR'!F46</f>
        <v>3.2252261934863267E-2</v>
      </c>
      <c r="O18" s="248">
        <f>'EMEA CELLULAR'!G46</f>
        <v>2.8815660020290752E-2</v>
      </c>
      <c r="P18" s="286">
        <f>'EMEA CELLULAR'!H46</f>
        <v>0.10842730164220327</v>
      </c>
      <c r="S18" s="88"/>
      <c r="T18" s="42"/>
      <c r="U18" s="42"/>
      <c r="V18" s="42"/>
      <c r="W18" s="42"/>
      <c r="X18" s="42"/>
      <c r="Y18" s="42"/>
      <c r="Z18" s="42"/>
      <c r="AA18" s="42"/>
    </row>
    <row r="19" spans="2:27" ht="12.6" thickTop="1">
      <c r="B19" s="41"/>
      <c r="C19" s="249"/>
      <c r="D19" s="229"/>
      <c r="E19" s="229"/>
      <c r="F19" s="229"/>
      <c r="G19" s="229"/>
      <c r="H19" s="276"/>
      <c r="I19" s="254"/>
      <c r="J19" s="5" t="s">
        <v>581</v>
      </c>
      <c r="L19" s="248">
        <f>'EMEA CELLULAR'!D47</f>
        <v>3.2098956963272834E-2</v>
      </c>
      <c r="M19" s="248">
        <f>'EMEA CELLULAR'!E47</f>
        <v>2.4636965901880678E-2</v>
      </c>
      <c r="N19" s="248">
        <f>'EMEA CELLULAR'!F47</f>
        <v>3.4543068430874381E-2</v>
      </c>
      <c r="O19" s="248">
        <f>'EMEA CELLULAR'!G47</f>
        <v>3.8831735679974472E-2</v>
      </c>
      <c r="P19" s="286">
        <f>'EMEA CELLULAR'!H47</f>
        <v>6.5529048867266182E-2</v>
      </c>
      <c r="S19" s="88"/>
      <c r="T19" s="42"/>
      <c r="U19" s="42"/>
      <c r="V19" s="42"/>
      <c r="W19" s="42"/>
      <c r="X19" s="42"/>
      <c r="Y19" s="42"/>
      <c r="Z19" s="42"/>
      <c r="AA19" s="42"/>
    </row>
    <row r="20" spans="2:27">
      <c r="H20" s="277"/>
      <c r="I20" s="17"/>
      <c r="J20" s="5" t="s">
        <v>604</v>
      </c>
      <c r="L20" s="305">
        <f>'EMEA CELLULAR'!D48</f>
        <v>0.66646495357608038</v>
      </c>
      <c r="M20" s="305">
        <f>'EMEA CELLULAR'!E48</f>
        <v>0.98055252685916661</v>
      </c>
      <c r="N20" s="305">
        <f>'EMEA CELLULAR'!F48</f>
        <v>0.8225795047533091</v>
      </c>
      <c r="O20" s="305">
        <f>'EMEA CELLULAR'!G48</f>
        <v>0.80076262408893306</v>
      </c>
      <c r="P20" s="286" t="str">
        <f>'EMEA CELLULAR'!H48</f>
        <v>nm</v>
      </c>
      <c r="S20" s="88"/>
      <c r="T20" s="42"/>
      <c r="U20" s="42"/>
      <c r="V20" s="42"/>
      <c r="W20" s="42"/>
      <c r="X20" s="42"/>
      <c r="Y20" s="42"/>
      <c r="Z20" s="42"/>
      <c r="AA20" s="42"/>
    </row>
    <row r="21" spans="2:27" ht="12.6" thickBot="1">
      <c r="B21" s="306" t="s">
        <v>925</v>
      </c>
      <c r="C21" s="265"/>
      <c r="D21" s="265" t="str">
        <f>D5</f>
        <v>2023E</v>
      </c>
      <c r="E21" s="265" t="str">
        <f t="shared" ref="E21:H21" si="2">E5</f>
        <v>2024E</v>
      </c>
      <c r="F21" s="265" t="str">
        <f t="shared" si="2"/>
        <v>2025E</v>
      </c>
      <c r="G21" s="265" t="str">
        <f t="shared" si="2"/>
        <v>2026E</v>
      </c>
      <c r="H21" s="265" t="str">
        <f t="shared" si="2"/>
        <v>23E-26E</v>
      </c>
      <c r="I21" s="49"/>
      <c r="J21" s="41"/>
      <c r="L21" s="250"/>
      <c r="M21" s="250"/>
      <c r="N21" s="250"/>
      <c r="O21" s="250"/>
      <c r="P21" s="286"/>
      <c r="S21" s="88"/>
      <c r="T21" s="42"/>
      <c r="U21" s="42"/>
      <c r="V21" s="42"/>
      <c r="W21" s="42"/>
      <c r="X21" s="42"/>
      <c r="Y21" s="42"/>
      <c r="Z21" s="42"/>
      <c r="AA21" s="42"/>
    </row>
    <row r="22" spans="2:27" ht="12.6" thickTop="1">
      <c r="B22" s="5"/>
      <c r="C22" s="257"/>
      <c r="D22" s="17"/>
      <c r="E22" s="17"/>
      <c r="F22" s="17"/>
      <c r="G22" s="17"/>
      <c r="H22" s="17"/>
      <c r="I22" s="17"/>
      <c r="P22" s="277"/>
      <c r="S22" s="88"/>
      <c r="T22" s="42"/>
      <c r="U22" s="42"/>
      <c r="V22" s="42"/>
      <c r="W22" s="42"/>
      <c r="X22" s="42"/>
      <c r="Y22" s="42"/>
      <c r="Z22" s="42"/>
      <c r="AA22" s="42"/>
    </row>
    <row r="23" spans="2:27" ht="12.6" thickBot="1">
      <c r="B23" s="5" t="s">
        <v>584</v>
      </c>
      <c r="C23" s="548">
        <v>4277.8708008360782</v>
      </c>
      <c r="D23" s="540">
        <v>4370.7139526141882</v>
      </c>
      <c r="E23" s="540">
        <v>4463.4737903598598</v>
      </c>
      <c r="F23" s="540">
        <v>4557.0285734396157</v>
      </c>
      <c r="G23" s="540">
        <v>4651.8746590520987</v>
      </c>
      <c r="H23" s="279">
        <f t="shared" ref="H23:H32" si="3">IF(D23=0,"nm",IF(G23=0,"nm",(G23/D23)^(1/3)-1))</f>
        <v>2.0998741327123316E-2</v>
      </c>
      <c r="I23" s="247"/>
      <c r="J23" s="306" t="s">
        <v>9</v>
      </c>
      <c r="K23" s="306"/>
      <c r="L23" s="265" t="str">
        <f>D21</f>
        <v>2023E</v>
      </c>
      <c r="M23" s="265" t="str">
        <f t="shared" ref="M23:P23" si="4">E21</f>
        <v>2024E</v>
      </c>
      <c r="N23" s="265" t="str">
        <f t="shared" si="4"/>
        <v>2025E</v>
      </c>
      <c r="O23" s="265" t="str">
        <f t="shared" si="4"/>
        <v>2026E</v>
      </c>
      <c r="P23" s="265" t="str">
        <f t="shared" si="4"/>
        <v>23E-26E</v>
      </c>
      <c r="S23" s="88"/>
      <c r="T23" s="42"/>
      <c r="U23" s="42"/>
      <c r="V23" s="42"/>
      <c r="W23" s="42"/>
      <c r="X23" s="42"/>
      <c r="Y23" s="42"/>
      <c r="Z23" s="42"/>
      <c r="AA23" s="42"/>
    </row>
    <row r="24" spans="2:27" ht="12.6" thickTop="1">
      <c r="B24" s="5" t="s">
        <v>483</v>
      </c>
      <c r="C24" s="549">
        <v>1839.7132796879309</v>
      </c>
      <c r="D24" s="540">
        <v>1841.6027485511452</v>
      </c>
      <c r="E24" s="540">
        <v>1841.8596347262699</v>
      </c>
      <c r="F24" s="540">
        <v>1847.3351687128634</v>
      </c>
      <c r="G24" s="540">
        <v>1851.9764656700286</v>
      </c>
      <c r="H24" s="279">
        <f t="shared" si="3"/>
        <v>1.8741464069604863E-3</v>
      </c>
      <c r="I24" s="249"/>
      <c r="J24" s="17"/>
      <c r="K24" s="17"/>
      <c r="L24" s="17"/>
      <c r="M24" s="17"/>
      <c r="N24" s="17"/>
      <c r="O24" s="248"/>
      <c r="S24" s="88"/>
      <c r="T24" s="42"/>
      <c r="U24" s="42"/>
      <c r="V24" s="42"/>
      <c r="W24" s="42" t="s">
        <v>240</v>
      </c>
      <c r="X24" s="42" t="s">
        <v>513</v>
      </c>
      <c r="Y24" s="42"/>
      <c r="Z24" s="42"/>
      <c r="AA24" s="42"/>
    </row>
    <row r="25" spans="2:27">
      <c r="B25" s="5" t="s">
        <v>183</v>
      </c>
      <c r="C25" s="548">
        <v>1064.8801182702778</v>
      </c>
      <c r="D25" s="540">
        <v>1071.569564626802</v>
      </c>
      <c r="E25" s="540">
        <v>1121.5346942792476</v>
      </c>
      <c r="F25" s="540">
        <v>1111.904085256657</v>
      </c>
      <c r="G25" s="540">
        <v>1101.2308509168754</v>
      </c>
      <c r="H25" s="279">
        <f t="shared" si="3"/>
        <v>9.1428942790983125E-3</v>
      </c>
      <c r="I25" s="248"/>
      <c r="J25" s="247" t="s">
        <v>10</v>
      </c>
      <c r="K25" s="247"/>
      <c r="L25" s="321">
        <v>0</v>
      </c>
      <c r="M25" s="321">
        <v>0</v>
      </c>
      <c r="N25" s="321">
        <v>0</v>
      </c>
      <c r="O25" s="321">
        <v>0</v>
      </c>
      <c r="P25" s="279" t="str">
        <f>IF(L25=0,"nm",IF(O25=0,"nm",(O25/L25)^(1/3)-1))</f>
        <v>nm</v>
      </c>
      <c r="S25" s="88"/>
      <c r="T25" s="42"/>
      <c r="U25" s="42"/>
      <c r="V25" s="147" t="s">
        <v>273</v>
      </c>
      <c r="W25" s="288">
        <f>D37/L9</f>
        <v>0.9497450877439777</v>
      </c>
      <c r="X25" s="288">
        <v>1</v>
      </c>
      <c r="Y25" s="42"/>
      <c r="Z25" s="42"/>
      <c r="AA25" s="42"/>
    </row>
    <row r="26" spans="2:27">
      <c r="B26" s="5" t="s">
        <v>586</v>
      </c>
      <c r="C26" s="548">
        <v>805.9232133224358</v>
      </c>
      <c r="D26" s="540">
        <v>810.98592414828454</v>
      </c>
      <c r="E26" s="540">
        <v>848.80056370506395</v>
      </c>
      <c r="F26" s="540">
        <v>841.51192037651208</v>
      </c>
      <c r="G26" s="540">
        <v>833.43419672661196</v>
      </c>
      <c r="H26" s="279">
        <f t="shared" si="3"/>
        <v>9.1428942790983125E-3</v>
      </c>
      <c r="I26" s="249"/>
      <c r="J26" s="249" t="s">
        <v>11</v>
      </c>
      <c r="K26" s="249"/>
      <c r="L26" s="281">
        <f>D11+L25</f>
        <v>9959.3128649999999</v>
      </c>
      <c r="M26" s="281">
        <f>E11+M25</f>
        <v>9959.3128649999999</v>
      </c>
      <c r="N26" s="281">
        <f>F11+N25</f>
        <v>9959.3128649999999</v>
      </c>
      <c r="O26" s="281">
        <f>G11+O25</f>
        <v>9959.3128649999999</v>
      </c>
      <c r="P26" s="279">
        <f>IF(L26=0,"nm",IF(O26=0,"nm",(O26/L26)^(1/3)-1))</f>
        <v>0</v>
      </c>
      <c r="Q26" s="5"/>
      <c r="S26" s="88"/>
      <c r="T26" s="42"/>
      <c r="U26" s="42"/>
      <c r="V26" s="147" t="s">
        <v>184</v>
      </c>
      <c r="W26" s="288">
        <f t="shared" ref="W26:W33" si="5">D38/L10</f>
        <v>0.94769813078577803</v>
      </c>
      <c r="X26" s="288">
        <v>1</v>
      </c>
      <c r="Y26" s="42"/>
      <c r="Z26" s="42"/>
      <c r="AA26" s="42"/>
    </row>
    <row r="27" spans="2:27">
      <c r="B27" s="5" t="s">
        <v>587</v>
      </c>
      <c r="C27" s="549">
        <v>4942.1968759427509</v>
      </c>
      <c r="D27" s="540">
        <v>4923.7254671007504</v>
      </c>
      <c r="E27" s="540">
        <v>4851.2794570648266</v>
      </c>
      <c r="F27" s="540">
        <v>4806.6835661723235</v>
      </c>
      <c r="G27" s="540">
        <v>4782.128651637513</v>
      </c>
      <c r="H27" s="279">
        <f t="shared" si="3"/>
        <v>-9.6794102526188697E-3</v>
      </c>
      <c r="I27" s="249"/>
      <c r="J27" s="248"/>
      <c r="K27" s="248"/>
      <c r="L27" s="248"/>
      <c r="M27" s="248"/>
      <c r="N27" s="248"/>
      <c r="O27" s="248"/>
      <c r="Q27" s="41"/>
      <c r="S27" s="88"/>
      <c r="T27" s="42"/>
      <c r="U27" s="42"/>
      <c r="V27" s="147" t="s">
        <v>185</v>
      </c>
      <c r="W27" s="288">
        <f t="shared" si="5"/>
        <v>0.84437788394542301</v>
      </c>
      <c r="X27" s="288">
        <v>1</v>
      </c>
      <c r="Y27" s="42"/>
      <c r="Z27" s="42"/>
      <c r="AA27" s="42"/>
    </row>
    <row r="28" spans="2:27" ht="12.6" thickBot="1">
      <c r="B28" s="5" t="s">
        <v>592</v>
      </c>
      <c r="C28" s="548">
        <v>2139.1140717402927</v>
      </c>
      <c r="D28" s="540">
        <v>2110.4552847979876</v>
      </c>
      <c r="E28" s="540">
        <v>2034.9416948246771</v>
      </c>
      <c r="F28" s="540">
        <v>1983.3436444525912</v>
      </c>
      <c r="G28" s="540">
        <v>1948.4614207580769</v>
      </c>
      <c r="H28" s="279">
        <f t="shared" si="3"/>
        <v>-2.6269996550228214E-2</v>
      </c>
      <c r="I28" s="248"/>
      <c r="J28" s="306" t="s">
        <v>1362</v>
      </c>
      <c r="K28" s="306"/>
      <c r="L28" s="306"/>
      <c r="M28" s="306"/>
      <c r="N28" s="266"/>
      <c r="O28" s="266"/>
      <c r="P28" s="266"/>
      <c r="Q28" s="5"/>
      <c r="S28" s="88"/>
      <c r="T28" s="42"/>
      <c r="U28" s="42"/>
      <c r="V28" s="147" t="s">
        <v>466</v>
      </c>
      <c r="W28" s="288">
        <f t="shared" si="5"/>
        <v>0.75125208451077896</v>
      </c>
      <c r="X28" s="288">
        <v>1</v>
      </c>
      <c r="Y28" s="42"/>
      <c r="Z28" s="42"/>
      <c r="AA28" s="42"/>
    </row>
    <row r="29" spans="2:27" ht="12.6" thickTop="1">
      <c r="B29" s="5" t="s">
        <v>588</v>
      </c>
      <c r="C29" s="548">
        <v>395.6111763303889</v>
      </c>
      <c r="D29" s="540">
        <v>402.00394015122231</v>
      </c>
      <c r="E29" s="540">
        <v>451.1496226395189</v>
      </c>
      <c r="F29" s="540">
        <v>435.45685430914949</v>
      </c>
      <c r="G29" s="540">
        <v>421.59481423269119</v>
      </c>
      <c r="H29" s="279">
        <f t="shared" si="3"/>
        <v>1.5987387973576794E-2</v>
      </c>
      <c r="I29" s="252"/>
      <c r="J29" s="249"/>
      <c r="K29" s="249"/>
      <c r="L29" s="249"/>
      <c r="M29" s="249"/>
      <c r="N29" s="249"/>
      <c r="O29" s="251"/>
      <c r="Q29" s="5"/>
      <c r="S29" s="88"/>
      <c r="T29" s="42"/>
      <c r="U29" s="42"/>
      <c r="V29" s="147" t="s">
        <v>530</v>
      </c>
      <c r="W29" s="288">
        <f t="shared" si="5"/>
        <v>0.88102456592564893</v>
      </c>
      <c r="X29" s="288">
        <v>1</v>
      </c>
      <c r="Y29" s="42"/>
      <c r="Z29" s="42"/>
      <c r="AA29" s="42"/>
    </row>
    <row r="30" spans="2:27">
      <c r="B30" s="5" t="s">
        <v>589</v>
      </c>
      <c r="C30" s="549">
        <v>510.28277935046913</v>
      </c>
      <c r="D30" s="540">
        <v>505.003436221931</v>
      </c>
      <c r="E30" s="540">
        <v>501.89260627638276</v>
      </c>
      <c r="F30" s="540">
        <v>515.83239535194889</v>
      </c>
      <c r="G30" s="540">
        <v>523.83480818218675</v>
      </c>
      <c r="H30" s="279">
        <f t="shared" si="3"/>
        <v>1.2278485660941918E-2</v>
      </c>
      <c r="I30" s="254"/>
      <c r="J30" s="248"/>
      <c r="K30" s="248"/>
      <c r="L30" s="248"/>
      <c r="M30" s="248"/>
      <c r="N30" s="248"/>
      <c r="O30" s="5"/>
      <c r="Q30" s="5"/>
      <c r="S30" s="88"/>
      <c r="T30" s="42"/>
      <c r="U30" s="42"/>
      <c r="V30" s="147" t="s">
        <v>593</v>
      </c>
      <c r="W30" s="288">
        <f t="shared" si="5"/>
        <v>1.4228396993954811</v>
      </c>
      <c r="X30" s="288">
        <v>1</v>
      </c>
      <c r="Y30" s="42"/>
      <c r="Z30" s="42"/>
      <c r="AA30" s="42"/>
    </row>
    <row r="31" spans="2:27">
      <c r="B31" s="5" t="s">
        <v>590</v>
      </c>
      <c r="C31" s="549">
        <v>489.68471862949286</v>
      </c>
      <c r="D31" s="540">
        <v>499.88749866214454</v>
      </c>
      <c r="E31" s="540">
        <v>510.3028577613556</v>
      </c>
      <c r="F31" s="540">
        <v>520.9352250983319</v>
      </c>
      <c r="G31" s="540">
        <v>531.78912212786042</v>
      </c>
      <c r="H31" s="279">
        <f t="shared" si="3"/>
        <v>2.083540622057134E-2</v>
      </c>
      <c r="I31" s="254"/>
      <c r="J31" s="252"/>
      <c r="K31" s="252"/>
      <c r="L31" s="252"/>
      <c r="M31" s="252"/>
      <c r="N31" s="252"/>
      <c r="O31" s="5"/>
      <c r="Q31" s="5"/>
      <c r="S31" s="88"/>
      <c r="T31" s="42"/>
      <c r="U31" s="42"/>
      <c r="V31" s="147" t="s">
        <v>475</v>
      </c>
      <c r="W31" s="288">
        <f t="shared" si="5"/>
        <v>0.79522492967891989</v>
      </c>
      <c r="X31" s="288">
        <v>1</v>
      </c>
      <c r="Y31" s="42"/>
      <c r="Z31" s="42"/>
      <c r="AA31" s="42"/>
    </row>
    <row r="32" spans="2:27">
      <c r="B32" s="5" t="s">
        <v>606</v>
      </c>
      <c r="C32" s="550">
        <v>184.48135681757864</v>
      </c>
      <c r="D32" s="540">
        <v>190.87619376608714</v>
      </c>
      <c r="E32" s="540">
        <v>134.14834505158419</v>
      </c>
      <c r="F32" s="540">
        <v>349.6518226127838</v>
      </c>
      <c r="G32" s="540">
        <v>0</v>
      </c>
      <c r="H32" s="279" t="str">
        <f t="shared" si="3"/>
        <v>nm</v>
      </c>
      <c r="I32" s="254"/>
      <c r="J32" s="254"/>
      <c r="K32" s="254"/>
      <c r="L32" s="254"/>
      <c r="M32" s="254"/>
      <c r="N32" s="254"/>
      <c r="O32" s="251"/>
      <c r="Q32" s="5"/>
      <c r="S32" s="88"/>
      <c r="T32" s="42"/>
      <c r="U32" s="42"/>
      <c r="V32" s="147" t="s">
        <v>533</v>
      </c>
      <c r="W32" s="288">
        <f t="shared" si="5"/>
        <v>0.71417195629019059</v>
      </c>
      <c r="X32" s="288">
        <v>1</v>
      </c>
      <c r="Y32" s="42"/>
      <c r="Z32" s="42"/>
      <c r="AA32" s="42"/>
    </row>
    <row r="33" spans="2:27">
      <c r="B33" s="5" t="s">
        <v>5</v>
      </c>
      <c r="C33" s="549">
        <v>-348.12299075214537</v>
      </c>
      <c r="D33" s="540">
        <v>-345.79129435583724</v>
      </c>
      <c r="E33" s="540">
        <v>-344.19422520995272</v>
      </c>
      <c r="F33" s="540">
        <v>-343.52893292849438</v>
      </c>
      <c r="G33" s="540">
        <v>-346.07070391840961</v>
      </c>
      <c r="H33" s="279">
        <f>IF(D33=0,"nm",IF(G33=0,"nm",(G33/D33)^(1/3)-1))</f>
        <v>2.6927064951376423E-4</v>
      </c>
      <c r="I33" s="5"/>
      <c r="J33" s="254"/>
      <c r="K33" s="254"/>
      <c r="L33" s="254"/>
      <c r="M33" s="254"/>
      <c r="N33" s="254"/>
      <c r="O33" s="251"/>
      <c r="Q33" s="5"/>
      <c r="S33" s="88"/>
      <c r="T33" s="42"/>
      <c r="U33" s="42"/>
      <c r="V33" s="147" t="s">
        <v>580</v>
      </c>
      <c r="W33" s="288">
        <f t="shared" si="5"/>
        <v>2.5044005380685479</v>
      </c>
      <c r="X33" s="288">
        <v>1</v>
      </c>
      <c r="Y33" s="42"/>
      <c r="Z33" s="42"/>
      <c r="AA33" s="42"/>
    </row>
    <row r="34" spans="2:27">
      <c r="H34" s="277"/>
      <c r="I34" s="49"/>
      <c r="J34" s="254"/>
      <c r="K34" s="254"/>
      <c r="L34" s="254"/>
      <c r="M34" s="254"/>
      <c r="N34" s="254"/>
      <c r="O34" s="251"/>
      <c r="Q34" s="5"/>
      <c r="S34" s="88"/>
      <c r="T34" s="42"/>
      <c r="U34" s="42"/>
      <c r="V34" s="147" t="s">
        <v>581</v>
      </c>
      <c r="W34" s="288">
        <f>D47/L19</f>
        <v>1.2575058485701149</v>
      </c>
      <c r="X34" s="288">
        <v>1</v>
      </c>
      <c r="Y34" s="288"/>
      <c r="Z34" s="288"/>
      <c r="AA34" s="42"/>
    </row>
    <row r="35" spans="2:27" ht="12.6" thickBot="1">
      <c r="B35" s="306" t="s">
        <v>318</v>
      </c>
      <c r="C35" s="265"/>
      <c r="D35" s="265" t="str">
        <f>D5</f>
        <v>2023E</v>
      </c>
      <c r="E35" s="265" t="str">
        <f t="shared" ref="E35:H35" si="6">E5</f>
        <v>2024E</v>
      </c>
      <c r="F35" s="265" t="str">
        <f t="shared" si="6"/>
        <v>2025E</v>
      </c>
      <c r="G35" s="265" t="str">
        <f t="shared" si="6"/>
        <v>2026E</v>
      </c>
      <c r="H35" s="265" t="str">
        <f t="shared" si="6"/>
        <v>23E-26E</v>
      </c>
      <c r="I35" s="254"/>
      <c r="J35" s="5"/>
      <c r="K35" s="5"/>
      <c r="L35" s="5"/>
      <c r="M35" s="5"/>
      <c r="N35" s="5"/>
      <c r="O35" s="5"/>
      <c r="Q35" s="5"/>
      <c r="S35" s="88"/>
      <c r="T35" s="42"/>
      <c r="U35" s="42"/>
      <c r="V35" s="42"/>
      <c r="W35" s="42"/>
      <c r="X35" s="42"/>
      <c r="Y35" s="288"/>
      <c r="Z35" s="288"/>
      <c r="AA35" s="42"/>
    </row>
    <row r="36" spans="2:27" ht="12.6" thickTop="1">
      <c r="B36" s="41"/>
      <c r="C36" s="249"/>
      <c r="D36" s="254"/>
      <c r="E36" s="254"/>
      <c r="F36" s="254"/>
      <c r="G36" s="254"/>
      <c r="H36" s="254"/>
      <c r="I36" s="17"/>
      <c r="J36" s="49"/>
      <c r="K36" s="49"/>
      <c r="L36" s="49"/>
      <c r="M36" s="49"/>
      <c r="N36" s="49"/>
      <c r="O36" s="49"/>
      <c r="Q36" s="5"/>
      <c r="S36" s="88"/>
      <c r="T36" s="42"/>
      <c r="U36" s="42"/>
      <c r="V36" s="42"/>
      <c r="W36" s="42"/>
      <c r="X36" s="42"/>
      <c r="Y36" s="288"/>
      <c r="Z36" s="288"/>
      <c r="AA36" s="42"/>
    </row>
    <row r="37" spans="2:27">
      <c r="B37" s="5" t="s">
        <v>273</v>
      </c>
      <c r="C37" s="247"/>
      <c r="D37" s="529">
        <f>D$18/D23</f>
        <v>2.8845671051660804</v>
      </c>
      <c r="E37" s="529">
        <f t="shared" ref="E37:G41" si="7">E$18/E23</f>
        <v>2.7222666832816316</v>
      </c>
      <c r="F37" s="529">
        <f t="shared" si="7"/>
        <v>2.5698164393385907</v>
      </c>
      <c r="G37" s="529">
        <f t="shared" si="7"/>
        <v>2.4267352735492227</v>
      </c>
      <c r="H37" s="17">
        <f t="shared" ref="H37:H45" si="8">H23</f>
        <v>2.0998741327123316E-2</v>
      </c>
      <c r="I37" s="5"/>
      <c r="J37" s="259"/>
      <c r="K37" s="259"/>
      <c r="L37" s="259"/>
      <c r="M37" s="259"/>
      <c r="N37" s="259"/>
      <c r="O37" s="18"/>
      <c r="Q37" s="5"/>
      <c r="R37" s="5"/>
      <c r="S37" s="42"/>
      <c r="T37" s="42"/>
      <c r="U37" s="42"/>
      <c r="V37" s="42"/>
      <c r="W37" s="42"/>
      <c r="X37" s="42"/>
      <c r="Y37" s="42"/>
      <c r="Z37" s="42"/>
      <c r="AA37" s="42"/>
    </row>
    <row r="38" spans="2:27">
      <c r="B38" s="5" t="s">
        <v>184</v>
      </c>
      <c r="C38" s="247"/>
      <c r="D38" s="529">
        <f>D$18/D24</f>
        <v>6.8460028655583676</v>
      </c>
      <c r="E38" s="529">
        <f>E$18/E24</f>
        <v>6.5970097623661905</v>
      </c>
      <c r="F38" s="529">
        <f t="shared" si="7"/>
        <v>6.3392540459890103</v>
      </c>
      <c r="G38" s="529">
        <f t="shared" si="7"/>
        <v>6.0955787141535192</v>
      </c>
      <c r="H38" s="17">
        <f t="shared" si="8"/>
        <v>1.8741464069604863E-3</v>
      </c>
      <c r="I38" s="259"/>
      <c r="J38" s="17"/>
      <c r="K38" s="17"/>
      <c r="L38" s="17"/>
      <c r="M38" s="17"/>
      <c r="N38" s="17"/>
      <c r="O38" s="5"/>
      <c r="Q38" s="5"/>
      <c r="R38" s="5"/>
      <c r="S38" s="42"/>
      <c r="T38" s="42"/>
      <c r="U38" s="42"/>
      <c r="V38" s="42"/>
      <c r="W38" s="42"/>
      <c r="X38" s="42"/>
      <c r="Y38" s="42"/>
      <c r="Z38" s="42"/>
      <c r="AA38" s="42"/>
    </row>
    <row r="39" spans="2:27">
      <c r="B39" s="5" t="s">
        <v>185</v>
      </c>
      <c r="C39" s="247"/>
      <c r="D39" s="529">
        <f>D$18/D25</f>
        <v>11.76556157433623</v>
      </c>
      <c r="E39" s="529">
        <f t="shared" si="7"/>
        <v>10.834052707576824</v>
      </c>
      <c r="F39" s="529">
        <f t="shared" si="7"/>
        <v>10.532137706695863</v>
      </c>
      <c r="G39" s="529">
        <f t="shared" si="7"/>
        <v>10.251137001703572</v>
      </c>
      <c r="H39" s="17">
        <f t="shared" si="8"/>
        <v>9.1428942790983125E-3</v>
      </c>
      <c r="I39" s="17"/>
      <c r="J39" s="5"/>
      <c r="K39" s="5"/>
      <c r="L39" s="5"/>
      <c r="M39" s="5"/>
      <c r="N39" s="5"/>
      <c r="O39" s="5"/>
      <c r="Q39" s="5"/>
      <c r="R39" s="5"/>
      <c r="S39" s="42"/>
      <c r="T39" s="42"/>
      <c r="U39" s="42"/>
      <c r="V39" s="42"/>
      <c r="W39" s="42"/>
      <c r="X39" s="42"/>
      <c r="Y39" s="42"/>
      <c r="Z39" s="42"/>
      <c r="AA39" s="42"/>
    </row>
    <row r="40" spans="2:27">
      <c r="B40" s="5" t="s">
        <v>466</v>
      </c>
      <c r="C40" s="247"/>
      <c r="D40" s="529">
        <f>D$18/D26</f>
        <v>15.546037629496597</v>
      </c>
      <c r="E40" s="529">
        <f t="shared" si="7"/>
        <v>14.315219040570174</v>
      </c>
      <c r="F40" s="529">
        <f t="shared" si="7"/>
        <v>13.916293588950181</v>
      </c>
      <c r="G40" s="529">
        <f t="shared" si="7"/>
        <v>13.545002553998314</v>
      </c>
      <c r="H40" s="17">
        <f t="shared" si="8"/>
        <v>9.1428942790983125E-3</v>
      </c>
      <c r="I40" s="5"/>
      <c r="J40" s="259"/>
      <c r="K40" s="259"/>
      <c r="L40" s="259"/>
      <c r="M40" s="259"/>
      <c r="N40" s="259"/>
      <c r="O40" s="18"/>
      <c r="Q40" s="5"/>
      <c r="R40" s="5"/>
      <c r="S40" s="42"/>
      <c r="T40" s="42"/>
      <c r="U40" s="42"/>
      <c r="V40" s="42"/>
      <c r="W40" s="288"/>
      <c r="X40" s="288"/>
      <c r="Y40" s="42"/>
      <c r="Z40" s="42"/>
      <c r="AA40" s="42"/>
    </row>
    <row r="41" spans="2:27">
      <c r="B41" s="5" t="s">
        <v>530</v>
      </c>
      <c r="C41" s="247"/>
      <c r="D41" s="529">
        <f>D$18/D27</f>
        <v>2.5605850240925556</v>
      </c>
      <c r="E41" s="529">
        <f t="shared" si="7"/>
        <v>2.5046518343738158</v>
      </c>
      <c r="F41" s="529">
        <f t="shared" si="7"/>
        <v>2.436342393116246</v>
      </c>
      <c r="G41" s="529">
        <f t="shared" si="7"/>
        <v>2.360636684123067</v>
      </c>
      <c r="H41" s="17">
        <f t="shared" si="8"/>
        <v>-9.6794102526188697E-3</v>
      </c>
      <c r="I41" s="247"/>
      <c r="J41" s="17"/>
      <c r="K41" s="17"/>
      <c r="L41" s="17"/>
      <c r="M41" s="17"/>
      <c r="N41" s="17"/>
      <c r="O41" s="5"/>
      <c r="Q41" s="5"/>
      <c r="R41" s="5"/>
      <c r="S41" s="42"/>
      <c r="T41" s="42"/>
      <c r="U41" s="42"/>
      <c r="V41" s="42"/>
      <c r="W41" s="288"/>
      <c r="X41" s="288"/>
      <c r="Y41" s="288"/>
      <c r="Z41" s="288"/>
      <c r="AA41" s="42"/>
    </row>
    <row r="42" spans="2:27">
      <c r="B42" s="5" t="s">
        <v>593</v>
      </c>
      <c r="C42" s="247"/>
      <c r="D42" s="529">
        <f>D18/D28</f>
        <v>5.9738852486552938</v>
      </c>
      <c r="E42" s="529">
        <f>E18/E28</f>
        <v>5.9710634570511818</v>
      </c>
      <c r="F42" s="529">
        <f>F18/F28</f>
        <v>5.9045375093296082</v>
      </c>
      <c r="G42" s="529">
        <f>G18/G28</f>
        <v>5.7937345861635769</v>
      </c>
      <c r="H42" s="17">
        <f t="shared" si="8"/>
        <v>-2.6269996550228214E-2</v>
      </c>
      <c r="I42" s="248"/>
      <c r="J42" s="5"/>
      <c r="K42" s="5"/>
      <c r="L42" s="5"/>
      <c r="M42" s="5"/>
      <c r="N42" s="5"/>
      <c r="O42" s="5"/>
      <c r="Q42" s="5"/>
      <c r="R42" s="5"/>
      <c r="S42" s="42"/>
      <c r="T42" s="42"/>
      <c r="U42" s="42"/>
      <c r="V42" s="42"/>
      <c r="W42" s="288"/>
      <c r="X42" s="288"/>
      <c r="Y42" s="288"/>
      <c r="Z42" s="288"/>
      <c r="AA42" s="42"/>
    </row>
    <row r="43" spans="2:27">
      <c r="B43" s="5" t="s">
        <v>475</v>
      </c>
      <c r="C43" s="247"/>
      <c r="D43" s="529">
        <f>L26/D29</f>
        <v>24.774167291130514</v>
      </c>
      <c r="E43" s="529">
        <f>M26/E29</f>
        <v>22.07540994211973</v>
      </c>
      <c r="F43" s="529">
        <f>N26/F29</f>
        <v>22.87095211947096</v>
      </c>
      <c r="G43" s="529">
        <f>O26/G29</f>
        <v>23.622949165364133</v>
      </c>
      <c r="H43" s="17">
        <f t="shared" si="8"/>
        <v>1.5987387973576794E-2</v>
      </c>
      <c r="I43" s="247"/>
      <c r="J43" s="247"/>
      <c r="K43" s="247"/>
      <c r="L43" s="247"/>
      <c r="M43" s="247"/>
      <c r="N43" s="247"/>
      <c r="O43" s="18"/>
      <c r="Q43" s="5"/>
      <c r="R43" s="5"/>
      <c r="S43" s="42"/>
      <c r="T43" s="42"/>
      <c r="U43" s="42"/>
      <c r="V43" s="42"/>
      <c r="W43" s="288"/>
      <c r="X43" s="288"/>
      <c r="Y43" s="288"/>
      <c r="Z43" s="288"/>
      <c r="AA43" s="42"/>
    </row>
    <row r="44" spans="2:27">
      <c r="B44" s="5" t="s">
        <v>533</v>
      </c>
      <c r="C44" s="69"/>
      <c r="D44" s="529">
        <f>D11/D30</f>
        <v>19.721277422403986</v>
      </c>
      <c r="E44" s="529">
        <f>E11/E30</f>
        <v>19.843513812426227</v>
      </c>
      <c r="F44" s="529">
        <f>F11/F30</f>
        <v>19.307265217813296</v>
      </c>
      <c r="G44" s="529">
        <f>G11/G30</f>
        <v>19.012315923718088</v>
      </c>
      <c r="H44" s="17">
        <f t="shared" si="8"/>
        <v>1.2278485660941918E-2</v>
      </c>
      <c r="I44" s="247"/>
      <c r="J44" s="248"/>
      <c r="K44" s="248"/>
      <c r="L44" s="248"/>
      <c r="M44" s="248"/>
      <c r="N44" s="248"/>
      <c r="O44" s="248"/>
      <c r="Q44" s="5"/>
      <c r="R44" s="5"/>
      <c r="S44" s="42"/>
      <c r="T44" s="42"/>
      <c r="U44" s="42"/>
      <c r="V44" s="42"/>
      <c r="W44" s="325"/>
      <c r="X44" s="325"/>
      <c r="Y44" s="288"/>
      <c r="Z44" s="288"/>
      <c r="AA44" s="42"/>
    </row>
    <row r="45" spans="2:27">
      <c r="B45" s="5" t="s">
        <v>580</v>
      </c>
      <c r="C45" s="247"/>
      <c r="D45" s="248">
        <f>D31/D11</f>
        <v>5.0192970683640085E-2</v>
      </c>
      <c r="E45" s="248">
        <f>E31/E11</f>
        <v>5.1238761617250952E-2</v>
      </c>
      <c r="F45" s="248">
        <f>F31/F11</f>
        <v>5.2306342029785395E-2</v>
      </c>
      <c r="G45" s="248">
        <f>G31/G11</f>
        <v>5.339616591388812E-2</v>
      </c>
      <c r="H45" s="17">
        <f t="shared" si="8"/>
        <v>2.083540622057134E-2</v>
      </c>
      <c r="I45" s="248"/>
      <c r="J45" s="247"/>
      <c r="K45" s="247"/>
      <c r="L45" s="247"/>
      <c r="M45" s="247"/>
      <c r="N45" s="247"/>
      <c r="O45" s="248"/>
      <c r="Q45" s="5"/>
      <c r="R45" s="5"/>
      <c r="S45" s="42"/>
      <c r="T45" s="42"/>
      <c r="U45" s="42"/>
      <c r="V45" s="42"/>
      <c r="W45" s="42"/>
      <c r="X45" s="42"/>
      <c r="Y45" s="325"/>
      <c r="Z45" s="325"/>
      <c r="AA45" s="42"/>
    </row>
    <row r="46" spans="2:27">
      <c r="B46" s="5" t="s">
        <v>605</v>
      </c>
      <c r="C46" s="247"/>
      <c r="D46" s="248">
        <f>(D31+D32)/D11</f>
        <v>6.9358569390442756E-2</v>
      </c>
      <c r="E46" s="248">
        <f>(E31+E32)/E11</f>
        <v>6.4708400222844062E-2</v>
      </c>
      <c r="F46" s="248">
        <f>(F31+F32)/F11</f>
        <v>8.7414368793515732E-2</v>
      </c>
      <c r="G46" s="248">
        <f>(G31+G32)/G11</f>
        <v>5.339616591388812E-2</v>
      </c>
      <c r="H46" s="279">
        <f>((G31+G32)/(D31+D32))^(1/3)-1</f>
        <v>-8.3491179338755828E-2</v>
      </c>
      <c r="I46" s="247"/>
      <c r="J46" s="247"/>
      <c r="K46" s="247"/>
      <c r="L46" s="247"/>
      <c r="M46" s="247"/>
      <c r="N46" s="247"/>
      <c r="O46" s="18"/>
      <c r="Q46" s="5"/>
      <c r="R46" s="5"/>
      <c r="S46" s="42"/>
      <c r="T46" s="42"/>
      <c r="U46" s="42"/>
      <c r="V46" s="42"/>
      <c r="W46" s="42"/>
      <c r="X46" s="42"/>
      <c r="Y46" s="42"/>
      <c r="Z46" s="42"/>
      <c r="AA46" s="326"/>
    </row>
    <row r="47" spans="2:27">
      <c r="B47" s="5" t="s">
        <v>581</v>
      </c>
      <c r="C47" s="5"/>
      <c r="D47" s="248">
        <f>1/D43</f>
        <v>4.0364626114316002E-2</v>
      </c>
      <c r="E47" s="248">
        <f>1/E43</f>
        <v>4.529927202357438E-2</v>
      </c>
      <c r="F47" s="248">
        <f>1/F43</f>
        <v>4.3723584168088039E-2</v>
      </c>
      <c r="G47" s="248">
        <f>1/G43</f>
        <v>4.2331717051916434E-2</v>
      </c>
      <c r="H47" s="17">
        <f>H29</f>
        <v>1.5987387973576794E-2</v>
      </c>
      <c r="I47" s="17"/>
      <c r="J47" s="248"/>
      <c r="K47" s="248"/>
      <c r="L47" s="248"/>
      <c r="M47" s="248"/>
      <c r="N47" s="248"/>
      <c r="O47" s="248"/>
      <c r="Q47" s="5"/>
      <c r="R47" s="5"/>
      <c r="S47" s="42"/>
      <c r="T47" s="42"/>
      <c r="U47" s="42"/>
      <c r="V47" s="42"/>
      <c r="W47" s="42"/>
      <c r="X47" s="42"/>
      <c r="Y47" s="42"/>
      <c r="Z47" s="42"/>
      <c r="AA47" s="326"/>
    </row>
    <row r="48" spans="2:27">
      <c r="B48" s="5" t="s">
        <v>618</v>
      </c>
      <c r="C48" s="5"/>
      <c r="D48" s="305">
        <f>D31/D29</f>
        <v>1.2434890525553088</v>
      </c>
      <c r="E48" s="305">
        <f>E31/E29</f>
        <v>1.1311166676273645</v>
      </c>
      <c r="F48" s="305">
        <f>F31/F29</f>
        <v>1.1962958441078932</v>
      </c>
      <c r="G48" s="305">
        <f>G31/G29</f>
        <v>1.2613749130091283</v>
      </c>
      <c r="H48" s="279" t="s">
        <v>607</v>
      </c>
      <c r="I48" s="247"/>
      <c r="J48" s="247"/>
      <c r="K48" s="247"/>
      <c r="L48" s="247"/>
      <c r="M48" s="247"/>
      <c r="N48" s="247"/>
      <c r="O48" s="248"/>
      <c r="Q48" s="5"/>
      <c r="R48" s="5"/>
      <c r="S48" s="42"/>
      <c r="T48" s="42"/>
      <c r="U48" s="42"/>
      <c r="V48" s="42"/>
      <c r="W48" s="42"/>
      <c r="X48" s="42"/>
      <c r="Y48" s="42"/>
      <c r="Z48" s="42"/>
      <c r="AA48" s="326"/>
    </row>
    <row r="49" spans="2:27">
      <c r="B49" s="41"/>
      <c r="C49" s="17"/>
      <c r="D49" s="17"/>
      <c r="E49" s="17"/>
      <c r="F49" s="17"/>
      <c r="G49" s="17"/>
      <c r="H49" s="17"/>
      <c r="I49" s="254"/>
      <c r="J49" s="17"/>
      <c r="K49" s="17"/>
      <c r="L49" s="17"/>
      <c r="M49" s="17"/>
      <c r="N49" s="17"/>
      <c r="O49" s="248"/>
      <c r="Q49" s="5"/>
      <c r="R49" s="5"/>
      <c r="S49" s="42"/>
      <c r="T49" s="42"/>
      <c r="U49" s="42"/>
      <c r="V49" s="42"/>
      <c r="W49" s="42"/>
      <c r="X49" s="42"/>
      <c r="Y49" s="42"/>
      <c r="Z49" s="42"/>
      <c r="AA49" s="326"/>
    </row>
    <row r="50" spans="2:27">
      <c r="B50" s="5"/>
      <c r="C50" s="257"/>
      <c r="D50" s="257"/>
      <c r="E50" s="257"/>
      <c r="F50" s="5"/>
      <c r="G50" s="41"/>
      <c r="H50" s="249"/>
      <c r="I50" s="17"/>
      <c r="J50" s="249"/>
      <c r="K50" s="249"/>
      <c r="L50" s="249"/>
      <c r="M50" s="249"/>
      <c r="N50" s="249"/>
      <c r="O50" s="250"/>
      <c r="Q50" s="5"/>
      <c r="R50" s="5"/>
      <c r="S50" s="42"/>
      <c r="T50" s="42"/>
      <c r="U50" s="42"/>
      <c r="V50" s="42"/>
      <c r="W50" s="288"/>
      <c r="X50" s="288"/>
      <c r="Y50" s="42"/>
      <c r="Z50" s="42"/>
      <c r="AA50" s="326"/>
    </row>
    <row r="51" spans="2:27">
      <c r="B51" s="41"/>
      <c r="C51" s="249"/>
      <c r="D51" s="254"/>
      <c r="E51" s="254"/>
      <c r="F51" s="254"/>
      <c r="G51" s="254"/>
      <c r="H51" s="254"/>
      <c r="I51" s="259"/>
      <c r="J51" s="254"/>
      <c r="K51" s="254"/>
      <c r="L51" s="254"/>
      <c r="M51" s="254"/>
      <c r="N51" s="254"/>
      <c r="O51" s="251"/>
      <c r="Q51" s="5"/>
      <c r="R51" s="5"/>
      <c r="S51" s="42"/>
      <c r="T51" s="42"/>
      <c r="U51" s="42"/>
      <c r="V51" s="42"/>
      <c r="W51" s="288"/>
      <c r="X51" s="288"/>
      <c r="Y51" s="288"/>
      <c r="Z51" s="288"/>
      <c r="AA51" s="42"/>
    </row>
    <row r="52" spans="2:27">
      <c r="B52" s="5"/>
      <c r="C52" s="257"/>
      <c r="D52" s="17"/>
      <c r="E52" s="17"/>
      <c r="F52" s="17"/>
      <c r="G52" s="17"/>
      <c r="H52" s="17"/>
      <c r="I52" s="254"/>
      <c r="J52" s="17"/>
      <c r="K52" s="17"/>
      <c r="L52" s="17"/>
      <c r="M52" s="17"/>
      <c r="N52" s="17"/>
      <c r="O52" s="248"/>
      <c r="Q52" s="5"/>
      <c r="R52" s="5"/>
      <c r="S52" s="5"/>
      <c r="Y52" s="10"/>
      <c r="Z52" s="10"/>
    </row>
    <row r="53" spans="2:27">
      <c r="B53" s="5"/>
      <c r="C53" s="257"/>
      <c r="D53" s="257"/>
      <c r="E53" s="257"/>
      <c r="F53" s="5"/>
      <c r="G53" s="5"/>
      <c r="H53" s="259"/>
      <c r="I53" s="17"/>
      <c r="J53" s="259"/>
      <c r="K53" s="259"/>
      <c r="L53" s="259"/>
      <c r="M53" s="259"/>
      <c r="N53" s="259"/>
      <c r="O53" s="18"/>
      <c r="Q53" s="5"/>
      <c r="R53" s="5"/>
      <c r="S53" s="5"/>
    </row>
    <row r="54" spans="2:27">
      <c r="B54" s="41"/>
      <c r="C54" s="249"/>
      <c r="D54" s="254"/>
      <c r="E54" s="254"/>
      <c r="F54" s="254"/>
      <c r="G54" s="254"/>
      <c r="H54" s="254"/>
      <c r="I54" s="259"/>
      <c r="J54" s="254"/>
      <c r="K54" s="254"/>
      <c r="L54" s="254"/>
      <c r="M54" s="254"/>
      <c r="N54" s="254"/>
      <c r="O54" s="251"/>
      <c r="Q54" s="5"/>
      <c r="R54" s="5"/>
      <c r="S54" s="5"/>
    </row>
    <row r="55" spans="2:27">
      <c r="B55" s="5"/>
      <c r="C55" s="257"/>
      <c r="D55" s="17"/>
      <c r="E55" s="17"/>
      <c r="F55" s="17"/>
      <c r="G55" s="17"/>
      <c r="H55" s="17"/>
      <c r="I55" s="249"/>
      <c r="J55" s="17"/>
      <c r="K55" s="17"/>
      <c r="L55" s="17"/>
      <c r="M55" s="17"/>
      <c r="N55" s="17"/>
      <c r="O55" s="18"/>
      <c r="Q55" s="5"/>
      <c r="R55" s="5"/>
      <c r="S55" s="5"/>
    </row>
    <row r="56" spans="2:27">
      <c r="B56" s="5"/>
      <c r="C56" s="248"/>
      <c r="D56" s="248"/>
      <c r="E56" s="248"/>
      <c r="F56" s="5"/>
      <c r="G56" s="5"/>
      <c r="H56" s="259"/>
      <c r="I56" s="248"/>
      <c r="J56" s="259"/>
      <c r="K56" s="259"/>
      <c r="L56" s="259"/>
      <c r="M56" s="259"/>
      <c r="N56" s="259"/>
      <c r="O56" s="18"/>
      <c r="Q56" s="5"/>
      <c r="R56" s="5"/>
      <c r="S56" s="5"/>
    </row>
    <row r="57" spans="2:27">
      <c r="B57" s="41"/>
      <c r="C57" s="249"/>
      <c r="D57" s="249"/>
      <c r="E57" s="249"/>
      <c r="F57" s="249"/>
      <c r="G57" s="249"/>
      <c r="H57" s="249"/>
      <c r="I57" s="5"/>
      <c r="J57" s="249"/>
      <c r="K57" s="249"/>
      <c r="L57" s="249"/>
      <c r="M57" s="249"/>
      <c r="N57" s="249"/>
      <c r="O57" s="251"/>
      <c r="Q57" s="5"/>
      <c r="R57" s="5"/>
      <c r="S57" s="5"/>
    </row>
    <row r="58" spans="2:27">
      <c r="B58" s="5"/>
      <c r="C58" s="5"/>
      <c r="D58" s="248"/>
      <c r="E58" s="248"/>
      <c r="F58" s="248"/>
      <c r="G58" s="248"/>
      <c r="H58" s="248"/>
      <c r="I58" s="17"/>
      <c r="J58" s="248"/>
      <c r="K58" s="248"/>
      <c r="L58" s="248"/>
      <c r="M58" s="248"/>
      <c r="N58" s="248"/>
      <c r="O58" s="18"/>
      <c r="Q58" s="5"/>
      <c r="R58" s="5"/>
      <c r="S58" s="5"/>
    </row>
    <row r="59" spans="2:27">
      <c r="B59" s="5"/>
      <c r="C59" s="5"/>
      <c r="D59" s="5"/>
      <c r="E59" s="5"/>
      <c r="F59" s="5"/>
      <c r="G59" s="5"/>
      <c r="H59" s="5"/>
      <c r="I59" s="5"/>
      <c r="J59" s="5"/>
      <c r="K59" s="5"/>
      <c r="L59" s="5"/>
      <c r="M59" s="5"/>
      <c r="N59" s="5"/>
      <c r="O59" s="5"/>
      <c r="Q59" s="5"/>
      <c r="R59" s="5"/>
      <c r="S59" s="5"/>
    </row>
    <row r="60" spans="2:27">
      <c r="B60" s="41"/>
      <c r="C60" s="17"/>
      <c r="D60" s="17"/>
      <c r="E60" s="17"/>
      <c r="F60" s="17"/>
      <c r="G60" s="17"/>
      <c r="H60" s="17"/>
      <c r="I60" s="249"/>
      <c r="J60" s="17"/>
      <c r="K60" s="17"/>
      <c r="L60" s="17"/>
      <c r="M60" s="17"/>
      <c r="N60" s="17"/>
      <c r="O60" s="251"/>
      <c r="Q60" s="5"/>
      <c r="R60" s="5"/>
      <c r="S60" s="5"/>
    </row>
    <row r="61" spans="2:27">
      <c r="B61" s="5"/>
      <c r="C61" s="5"/>
      <c r="D61" s="5"/>
      <c r="E61" s="5"/>
      <c r="F61" s="5"/>
      <c r="G61" s="5"/>
      <c r="H61" s="5"/>
      <c r="I61" s="5"/>
      <c r="J61" s="5"/>
      <c r="K61" s="5"/>
      <c r="L61" s="5"/>
      <c r="M61" s="5"/>
      <c r="N61" s="5"/>
      <c r="O61" s="5"/>
      <c r="Q61" s="41"/>
      <c r="R61" s="5"/>
      <c r="S61" s="5"/>
    </row>
    <row r="62" spans="2:27">
      <c r="B62" s="41"/>
      <c r="C62" s="249"/>
      <c r="D62" s="249"/>
      <c r="E62" s="249"/>
      <c r="F62" s="249"/>
      <c r="G62" s="249"/>
      <c r="H62" s="249"/>
      <c r="I62" s="5"/>
      <c r="J62" s="249"/>
      <c r="K62" s="249"/>
      <c r="L62" s="249"/>
      <c r="M62" s="249"/>
      <c r="N62" s="249"/>
      <c r="O62" s="251"/>
      <c r="Q62" s="5"/>
      <c r="R62" s="5"/>
      <c r="S62" s="5"/>
    </row>
    <row r="63" spans="2:27">
      <c r="B63" s="5"/>
      <c r="C63" s="5"/>
      <c r="D63" s="5"/>
      <c r="E63" s="5"/>
      <c r="F63" s="5"/>
      <c r="G63" s="5"/>
      <c r="H63" s="5"/>
      <c r="I63" s="254"/>
      <c r="J63" s="5"/>
      <c r="K63" s="5"/>
      <c r="L63" s="5"/>
      <c r="M63" s="5"/>
      <c r="N63" s="5"/>
      <c r="O63" s="5"/>
      <c r="Q63" s="5"/>
      <c r="R63" s="5"/>
      <c r="S63" s="5"/>
    </row>
    <row r="64" spans="2:27">
      <c r="B64" s="5"/>
      <c r="C64" s="5"/>
      <c r="D64" s="5"/>
      <c r="E64" s="5"/>
      <c r="F64" s="5"/>
      <c r="G64" s="5"/>
      <c r="H64" s="5"/>
      <c r="I64" s="17"/>
      <c r="J64" s="5"/>
      <c r="K64" s="5"/>
      <c r="L64" s="5"/>
      <c r="M64" s="5"/>
      <c r="N64" s="5"/>
      <c r="O64" s="5"/>
      <c r="Q64" s="5"/>
      <c r="R64" s="5"/>
      <c r="S64" s="5"/>
    </row>
    <row r="65" spans="2:26">
      <c r="B65" s="41"/>
      <c r="C65" s="249"/>
      <c r="D65" s="254"/>
      <c r="E65" s="254"/>
      <c r="F65" s="254"/>
      <c r="G65" s="254"/>
      <c r="H65" s="254"/>
      <c r="I65" s="254"/>
      <c r="J65" s="254"/>
      <c r="K65" s="254"/>
      <c r="L65" s="254"/>
      <c r="M65" s="254"/>
      <c r="N65" s="254"/>
      <c r="O65" s="251"/>
      <c r="Q65" s="5"/>
      <c r="R65" s="5"/>
      <c r="S65" s="5"/>
    </row>
    <row r="66" spans="2:26">
      <c r="B66" s="5"/>
      <c r="C66" s="5"/>
      <c r="D66" s="17"/>
      <c r="E66" s="17"/>
      <c r="F66" s="17"/>
      <c r="G66" s="17"/>
      <c r="H66" s="17"/>
      <c r="I66" s="248"/>
      <c r="J66" s="17"/>
      <c r="K66" s="17"/>
      <c r="L66" s="17"/>
      <c r="M66" s="17"/>
      <c r="N66" s="17"/>
      <c r="O66" s="5"/>
      <c r="Q66" s="5"/>
      <c r="R66" s="5"/>
      <c r="S66" s="5"/>
    </row>
    <row r="67" spans="2:26">
      <c r="B67" s="41"/>
      <c r="C67" s="249"/>
      <c r="D67" s="254"/>
      <c r="E67" s="254"/>
      <c r="F67" s="254"/>
      <c r="G67" s="254"/>
      <c r="H67" s="254"/>
      <c r="I67" s="5"/>
      <c r="J67" s="254"/>
      <c r="K67" s="254"/>
      <c r="L67" s="254"/>
      <c r="M67" s="254"/>
      <c r="N67" s="254"/>
      <c r="O67" s="251"/>
      <c r="Q67" s="41"/>
      <c r="R67" s="5"/>
      <c r="S67" s="5"/>
    </row>
    <row r="68" spans="2:26">
      <c r="B68" s="5"/>
      <c r="C68" s="5"/>
      <c r="D68" s="248"/>
      <c r="E68" s="248"/>
      <c r="F68" s="248"/>
      <c r="G68" s="248"/>
      <c r="H68" s="248"/>
      <c r="I68" s="245"/>
      <c r="J68" s="248"/>
      <c r="K68" s="248"/>
      <c r="L68" s="248"/>
      <c r="M68" s="248"/>
      <c r="N68" s="248"/>
      <c r="O68" s="5"/>
      <c r="Q68" s="5"/>
      <c r="R68" s="5"/>
      <c r="S68" s="5"/>
    </row>
    <row r="69" spans="2:26">
      <c r="B69" s="41"/>
      <c r="C69" s="5"/>
      <c r="D69" s="5"/>
      <c r="E69" s="5"/>
      <c r="F69" s="5"/>
      <c r="G69" s="5"/>
      <c r="H69" s="5"/>
      <c r="I69" s="248"/>
      <c r="J69" s="5"/>
      <c r="K69" s="5"/>
      <c r="L69" s="5"/>
      <c r="M69" s="5"/>
      <c r="N69" s="5"/>
      <c r="O69" s="5"/>
      <c r="Q69" s="5"/>
      <c r="R69" s="5"/>
      <c r="S69" s="5"/>
    </row>
    <row r="70" spans="2:26">
      <c r="B70" s="41"/>
      <c r="C70" s="245"/>
      <c r="D70" s="245"/>
      <c r="E70" s="245"/>
      <c r="F70" s="245"/>
      <c r="G70" s="245"/>
      <c r="H70" s="245"/>
      <c r="I70" s="5"/>
      <c r="J70" s="245"/>
      <c r="K70" s="245"/>
      <c r="L70" s="245"/>
      <c r="M70" s="245"/>
      <c r="N70" s="245"/>
      <c r="O70" s="251"/>
      <c r="Q70" s="5"/>
      <c r="R70" s="5"/>
      <c r="S70" s="5"/>
      <c r="W70" s="76"/>
      <c r="X70" s="76"/>
    </row>
    <row r="71" spans="2:26">
      <c r="B71" s="5"/>
      <c r="C71" s="5"/>
      <c r="D71" s="248"/>
      <c r="E71" s="248"/>
      <c r="F71" s="248"/>
      <c r="G71" s="248"/>
      <c r="H71" s="248"/>
      <c r="I71" s="245"/>
      <c r="J71" s="248"/>
      <c r="K71" s="248"/>
      <c r="L71" s="248"/>
      <c r="M71" s="248"/>
      <c r="N71" s="248"/>
      <c r="O71" s="5"/>
      <c r="Q71" s="5"/>
      <c r="R71" s="5"/>
      <c r="S71" s="5"/>
      <c r="W71" s="76"/>
      <c r="X71" s="76"/>
      <c r="Y71" s="76"/>
      <c r="Z71" s="76"/>
    </row>
    <row r="72" spans="2:26">
      <c r="B72" s="41"/>
      <c r="C72" s="5"/>
      <c r="D72" s="5"/>
      <c r="E72" s="5"/>
      <c r="F72" s="5"/>
      <c r="G72" s="5"/>
      <c r="H72" s="5"/>
      <c r="I72" s="18"/>
      <c r="J72" s="5"/>
      <c r="K72" s="5"/>
      <c r="L72" s="5"/>
      <c r="M72" s="5"/>
      <c r="N72" s="5"/>
      <c r="O72" s="5"/>
      <c r="Q72" s="5"/>
      <c r="R72" s="5"/>
      <c r="S72" s="5"/>
      <c r="Y72" s="76"/>
      <c r="Z72" s="76"/>
    </row>
    <row r="73" spans="2:26">
      <c r="B73" s="41"/>
      <c r="C73" s="245"/>
      <c r="D73" s="245"/>
      <c r="E73" s="245"/>
      <c r="F73" s="245"/>
      <c r="G73" s="245"/>
      <c r="H73" s="245"/>
      <c r="I73" s="5"/>
      <c r="J73" s="245"/>
      <c r="K73" s="245"/>
      <c r="L73" s="245"/>
      <c r="M73" s="245"/>
      <c r="N73" s="245"/>
      <c r="O73" s="251"/>
      <c r="Q73" s="5"/>
      <c r="R73" s="5"/>
      <c r="S73" s="5"/>
    </row>
    <row r="74" spans="2:26">
      <c r="B74" s="5"/>
      <c r="C74" s="5"/>
      <c r="D74" s="18"/>
      <c r="E74" s="18"/>
      <c r="F74" s="18"/>
      <c r="G74" s="18"/>
      <c r="H74" s="18"/>
      <c r="I74" s="249"/>
      <c r="J74" s="18"/>
      <c r="K74" s="18"/>
      <c r="L74" s="18"/>
      <c r="M74" s="18"/>
      <c r="N74" s="18"/>
      <c r="O74" s="5"/>
      <c r="Q74" s="5"/>
      <c r="R74" s="5"/>
      <c r="S74" s="5"/>
    </row>
    <row r="75" spans="2:26">
      <c r="B75" s="41"/>
      <c r="C75" s="5"/>
      <c r="D75" s="5"/>
      <c r="E75" s="5"/>
      <c r="F75" s="5"/>
      <c r="G75" s="5"/>
      <c r="H75" s="5"/>
      <c r="I75" s="248"/>
      <c r="J75" s="5"/>
      <c r="K75" s="5"/>
      <c r="L75" s="5"/>
      <c r="M75" s="5"/>
      <c r="N75" s="5"/>
      <c r="O75" s="5"/>
      <c r="Q75" s="5"/>
      <c r="R75" s="5"/>
      <c r="S75" s="5"/>
    </row>
    <row r="76" spans="2:26">
      <c r="B76" s="41"/>
      <c r="C76" s="249"/>
      <c r="D76" s="249"/>
      <c r="E76" s="249"/>
      <c r="F76" s="249"/>
      <c r="G76" s="249"/>
      <c r="H76" s="249"/>
      <c r="I76" s="5"/>
      <c r="J76" s="249"/>
      <c r="K76" s="249"/>
      <c r="L76" s="249"/>
      <c r="M76" s="249"/>
      <c r="N76" s="249"/>
      <c r="O76" s="251"/>
      <c r="Q76" s="5"/>
      <c r="R76" s="5"/>
      <c r="S76" s="5"/>
    </row>
    <row r="77" spans="2:26">
      <c r="B77" s="5"/>
      <c r="C77" s="5"/>
      <c r="D77" s="248"/>
      <c r="E77" s="248"/>
      <c r="F77" s="248"/>
      <c r="G77" s="248"/>
      <c r="H77" s="248"/>
      <c r="I77" s="245"/>
      <c r="J77" s="248"/>
      <c r="K77" s="248"/>
      <c r="L77" s="248"/>
      <c r="M77" s="248"/>
      <c r="N77" s="248"/>
      <c r="O77" s="5"/>
      <c r="Q77" s="5"/>
      <c r="R77" s="5"/>
      <c r="S77" s="5"/>
    </row>
    <row r="78" spans="2:26">
      <c r="B78" s="41"/>
      <c r="C78" s="5"/>
      <c r="D78" s="5"/>
      <c r="E78" s="5"/>
      <c r="F78" s="5"/>
      <c r="G78" s="5"/>
      <c r="H78" s="5"/>
      <c r="I78" s="248"/>
      <c r="J78" s="5"/>
      <c r="K78" s="5"/>
      <c r="L78" s="5"/>
      <c r="M78" s="5"/>
      <c r="N78" s="5"/>
      <c r="O78" s="5"/>
      <c r="Q78" s="5"/>
      <c r="R78" s="5"/>
      <c r="S78" s="5"/>
    </row>
    <row r="79" spans="2:26">
      <c r="B79" s="41"/>
      <c r="C79" s="245"/>
      <c r="D79" s="245"/>
      <c r="E79" s="245"/>
      <c r="F79" s="245"/>
      <c r="G79" s="245"/>
      <c r="H79" s="245"/>
      <c r="I79" s="5"/>
      <c r="J79" s="245"/>
      <c r="K79" s="245"/>
      <c r="L79" s="245"/>
      <c r="M79" s="245"/>
      <c r="N79" s="245"/>
      <c r="O79" s="251"/>
      <c r="Q79" s="5"/>
      <c r="R79" s="5"/>
      <c r="S79" s="5"/>
    </row>
    <row r="80" spans="2:26">
      <c r="B80" s="5"/>
      <c r="C80" s="5"/>
      <c r="D80" s="248"/>
      <c r="E80" s="248"/>
      <c r="F80" s="248"/>
      <c r="G80" s="248"/>
      <c r="H80" s="248"/>
      <c r="I80" s="249"/>
      <c r="J80" s="248"/>
      <c r="K80" s="248"/>
      <c r="L80" s="248"/>
      <c r="M80" s="248"/>
      <c r="N80" s="248"/>
      <c r="O80" s="5"/>
      <c r="Q80" s="5"/>
      <c r="R80" s="5"/>
      <c r="S80" s="5"/>
    </row>
    <row r="81" spans="2:26">
      <c r="B81" s="41"/>
      <c r="C81" s="5"/>
      <c r="D81" s="5"/>
      <c r="E81" s="5"/>
      <c r="F81" s="5"/>
      <c r="G81" s="5"/>
      <c r="H81" s="5"/>
      <c r="I81" s="248"/>
      <c r="J81" s="5"/>
      <c r="K81" s="5"/>
      <c r="L81" s="5"/>
      <c r="M81" s="5"/>
      <c r="N81" s="5"/>
      <c r="O81" s="5"/>
      <c r="Q81" s="5"/>
      <c r="R81" s="5"/>
      <c r="S81" s="5"/>
    </row>
    <row r="82" spans="2:26">
      <c r="B82" s="41"/>
      <c r="C82" s="249"/>
      <c r="D82" s="249"/>
      <c r="E82" s="249"/>
      <c r="F82" s="249"/>
      <c r="G82" s="249"/>
      <c r="H82" s="249"/>
      <c r="I82" s="259"/>
      <c r="J82" s="249"/>
      <c r="K82" s="249"/>
      <c r="L82" s="249"/>
      <c r="M82" s="249"/>
      <c r="N82" s="249"/>
      <c r="O82" s="251"/>
      <c r="Q82" s="5"/>
      <c r="R82" s="5"/>
      <c r="S82" s="5"/>
    </row>
    <row r="83" spans="2:26">
      <c r="B83" s="5"/>
      <c r="C83" s="5"/>
      <c r="D83" s="248"/>
      <c r="E83" s="248"/>
      <c r="F83" s="248"/>
      <c r="G83" s="248"/>
      <c r="H83" s="248"/>
      <c r="I83" s="5"/>
      <c r="J83" s="248"/>
      <c r="K83" s="248"/>
      <c r="L83" s="248"/>
      <c r="M83" s="248"/>
      <c r="N83" s="248"/>
      <c r="O83" s="5"/>
      <c r="Q83" s="5"/>
      <c r="R83" s="5"/>
      <c r="S83" s="5"/>
    </row>
    <row r="84" spans="2:26">
      <c r="B84" s="5"/>
      <c r="C84" s="259"/>
      <c r="D84" s="259"/>
      <c r="E84" s="259"/>
      <c r="F84" s="259"/>
      <c r="G84" s="259"/>
      <c r="H84" s="259"/>
      <c r="I84" s="245"/>
      <c r="J84" s="259"/>
      <c r="K84" s="259"/>
      <c r="L84" s="259"/>
      <c r="M84" s="259"/>
      <c r="N84" s="259"/>
      <c r="O84" s="251"/>
      <c r="Q84" s="5"/>
      <c r="R84" s="5"/>
      <c r="S84" s="5"/>
    </row>
    <row r="85" spans="2:26">
      <c r="B85" s="41"/>
      <c r="C85" s="5"/>
      <c r="D85" s="5"/>
      <c r="E85" s="5"/>
      <c r="F85" s="5"/>
      <c r="G85" s="5"/>
      <c r="H85" s="5"/>
      <c r="I85" s="248"/>
      <c r="J85" s="5"/>
      <c r="K85" s="5"/>
      <c r="L85" s="5"/>
      <c r="M85" s="5"/>
      <c r="N85" s="5"/>
      <c r="O85" s="5"/>
      <c r="Q85" s="5"/>
      <c r="R85" s="5"/>
      <c r="S85" s="5"/>
    </row>
    <row r="86" spans="2:26">
      <c r="B86" s="41"/>
      <c r="C86" s="245"/>
      <c r="D86" s="245"/>
      <c r="E86" s="245"/>
      <c r="F86" s="245"/>
      <c r="G86" s="245"/>
      <c r="H86" s="245"/>
      <c r="I86" s="5"/>
      <c r="J86" s="245"/>
      <c r="K86" s="245"/>
      <c r="L86" s="245"/>
      <c r="M86" s="245"/>
      <c r="N86" s="245"/>
      <c r="O86" s="251"/>
      <c r="Q86" s="5"/>
      <c r="R86" s="5"/>
      <c r="S86" s="5"/>
    </row>
    <row r="87" spans="2:26">
      <c r="B87" s="5"/>
      <c r="C87" s="5"/>
      <c r="D87" s="248"/>
      <c r="E87" s="248"/>
      <c r="F87" s="248"/>
      <c r="G87" s="248"/>
      <c r="H87" s="248"/>
      <c r="I87" s="5"/>
      <c r="J87" s="248"/>
      <c r="K87" s="248"/>
      <c r="L87" s="248"/>
      <c r="M87" s="248"/>
      <c r="N87" s="248"/>
      <c r="O87" s="5"/>
      <c r="Q87" s="5"/>
      <c r="R87" s="5"/>
      <c r="S87" s="5"/>
    </row>
    <row r="88" spans="2:26">
      <c r="B88" s="41"/>
      <c r="C88" s="5"/>
      <c r="D88" s="5"/>
      <c r="E88" s="5"/>
      <c r="F88" s="5"/>
      <c r="G88" s="5"/>
      <c r="H88" s="5"/>
      <c r="I88" s="5"/>
      <c r="J88" s="5"/>
      <c r="K88" s="5"/>
      <c r="L88" s="5"/>
      <c r="M88" s="5"/>
      <c r="N88" s="5"/>
      <c r="O88" s="5"/>
      <c r="Q88" s="5"/>
      <c r="R88" s="5"/>
      <c r="S88" s="5"/>
    </row>
    <row r="89" spans="2:26">
      <c r="B89" s="41"/>
      <c r="C89" s="5"/>
      <c r="D89" s="5"/>
      <c r="E89" s="5"/>
      <c r="F89" s="5"/>
      <c r="G89" s="5"/>
      <c r="H89" s="5"/>
      <c r="I89" s="5"/>
      <c r="J89" s="5"/>
      <c r="K89" s="5"/>
      <c r="L89" s="5"/>
      <c r="M89" s="5"/>
      <c r="N89" s="5"/>
      <c r="O89" s="5"/>
      <c r="Q89" s="5"/>
      <c r="R89" s="5"/>
      <c r="S89" s="5"/>
    </row>
    <row r="90" spans="2:26">
      <c r="B90" s="41"/>
      <c r="C90" s="5"/>
      <c r="D90" s="5"/>
      <c r="E90" s="5"/>
      <c r="F90" s="5"/>
      <c r="G90" s="5"/>
      <c r="H90" s="5"/>
      <c r="I90" s="49"/>
      <c r="J90" s="5"/>
      <c r="K90" s="5"/>
      <c r="L90" s="5"/>
      <c r="M90" s="5"/>
      <c r="N90" s="5"/>
      <c r="O90" s="5"/>
      <c r="Q90" s="41"/>
      <c r="R90" s="5"/>
      <c r="S90" s="5"/>
    </row>
    <row r="91" spans="2:26">
      <c r="B91" s="5"/>
      <c r="C91" s="5"/>
      <c r="D91" s="5"/>
      <c r="E91" s="5"/>
      <c r="F91" s="5"/>
      <c r="G91" s="5"/>
      <c r="H91" s="5"/>
      <c r="I91" s="5"/>
      <c r="J91" s="5"/>
      <c r="K91" s="5"/>
      <c r="L91" s="5"/>
      <c r="M91" s="5"/>
      <c r="N91" s="5"/>
      <c r="O91" s="5"/>
      <c r="Q91" s="5"/>
      <c r="R91" s="5"/>
      <c r="S91" s="5"/>
    </row>
    <row r="92" spans="2:26">
      <c r="B92" s="41"/>
      <c r="C92" s="49"/>
      <c r="D92" s="49"/>
      <c r="E92" s="49"/>
      <c r="F92" s="49"/>
      <c r="G92" s="49"/>
      <c r="H92" s="49"/>
      <c r="I92" s="247"/>
      <c r="J92" s="49"/>
      <c r="K92" s="49"/>
      <c r="L92" s="49"/>
      <c r="M92" s="49"/>
      <c r="N92" s="49"/>
      <c r="O92" s="49"/>
      <c r="Q92" s="5"/>
      <c r="R92" s="5"/>
      <c r="S92" s="5"/>
      <c r="W92" s="21"/>
      <c r="X92" s="21"/>
    </row>
    <row r="93" spans="2:26">
      <c r="B93" s="5"/>
      <c r="C93" s="5"/>
      <c r="D93" s="5"/>
      <c r="E93" s="5"/>
      <c r="F93" s="5"/>
      <c r="G93" s="5"/>
      <c r="H93" s="5"/>
      <c r="I93" s="247"/>
      <c r="J93" s="5"/>
      <c r="K93" s="5"/>
      <c r="L93" s="5"/>
      <c r="M93" s="5"/>
      <c r="N93" s="5"/>
      <c r="O93" s="5"/>
      <c r="Q93" s="5"/>
      <c r="R93" s="5"/>
      <c r="S93" s="5"/>
      <c r="W93" s="21"/>
      <c r="X93" s="21"/>
      <c r="Y93" s="21"/>
      <c r="Z93" s="21"/>
    </row>
    <row r="94" spans="2:26">
      <c r="B94" s="5"/>
      <c r="C94" s="259"/>
      <c r="D94" s="247"/>
      <c r="E94" s="247"/>
      <c r="F94" s="247"/>
      <c r="G94" s="247"/>
      <c r="H94" s="247"/>
      <c r="I94" s="247"/>
      <c r="J94" s="247"/>
      <c r="K94" s="247"/>
      <c r="L94" s="247"/>
      <c r="M94" s="247"/>
      <c r="N94" s="247"/>
      <c r="O94" s="248"/>
      <c r="Q94" s="5"/>
      <c r="R94" s="5"/>
      <c r="S94" s="5"/>
      <c r="Y94" s="21"/>
      <c r="Z94" s="21"/>
    </row>
    <row r="95" spans="2:26">
      <c r="B95" s="5"/>
      <c r="C95" s="259"/>
      <c r="D95" s="247"/>
      <c r="E95" s="247"/>
      <c r="F95" s="247"/>
      <c r="G95" s="247"/>
      <c r="H95" s="247"/>
      <c r="I95" s="248"/>
      <c r="J95" s="247"/>
      <c r="K95" s="247"/>
      <c r="L95" s="247"/>
      <c r="M95" s="247"/>
      <c r="N95" s="247"/>
      <c r="O95" s="248"/>
      <c r="Q95" s="5"/>
      <c r="R95" s="5"/>
      <c r="S95" s="5"/>
    </row>
    <row r="96" spans="2:26">
      <c r="B96" s="5"/>
      <c r="C96" s="259"/>
      <c r="D96" s="247"/>
      <c r="E96" s="247"/>
      <c r="F96" s="247"/>
      <c r="G96" s="247"/>
      <c r="H96" s="247"/>
      <c r="I96" s="247"/>
      <c r="J96" s="247"/>
      <c r="K96" s="247"/>
      <c r="L96" s="247"/>
      <c r="M96" s="247"/>
      <c r="N96" s="247"/>
      <c r="O96" s="248"/>
      <c r="Q96" s="5"/>
      <c r="R96" s="5"/>
      <c r="S96" s="5"/>
    </row>
    <row r="97" spans="2:19">
      <c r="B97" s="5"/>
      <c r="C97" s="259"/>
      <c r="D97" s="248"/>
      <c r="E97" s="248"/>
      <c r="F97" s="248"/>
      <c r="G97" s="248"/>
      <c r="H97" s="248"/>
      <c r="I97" s="249"/>
      <c r="J97" s="248"/>
      <c r="K97" s="248"/>
      <c r="L97" s="248"/>
      <c r="M97" s="248"/>
      <c r="N97" s="248"/>
      <c r="O97" s="248"/>
      <c r="Q97" s="5"/>
      <c r="R97" s="5"/>
      <c r="S97" s="5"/>
    </row>
    <row r="98" spans="2:19">
      <c r="B98" s="5"/>
      <c r="C98" s="259"/>
      <c r="D98" s="247"/>
      <c r="E98" s="247"/>
      <c r="F98" s="247"/>
      <c r="G98" s="247"/>
      <c r="H98" s="247"/>
      <c r="I98" s="248"/>
      <c r="J98" s="247"/>
      <c r="K98" s="247"/>
      <c r="L98" s="247"/>
      <c r="M98" s="247"/>
      <c r="N98" s="247"/>
      <c r="O98" s="248"/>
      <c r="Q98" s="5"/>
      <c r="R98" s="5"/>
      <c r="S98" s="5"/>
    </row>
    <row r="99" spans="2:19">
      <c r="B99" s="41"/>
      <c r="C99" s="249"/>
      <c r="D99" s="249"/>
      <c r="E99" s="249"/>
      <c r="F99" s="249"/>
      <c r="G99" s="249"/>
      <c r="H99" s="249"/>
      <c r="I99" s="5"/>
      <c r="J99" s="249"/>
      <c r="K99" s="249"/>
      <c r="L99" s="249"/>
      <c r="M99" s="249"/>
      <c r="N99" s="249"/>
      <c r="O99" s="248"/>
      <c r="Q99" s="5"/>
      <c r="R99" s="5"/>
      <c r="S99" s="5"/>
    </row>
    <row r="100" spans="2:19">
      <c r="B100" s="41"/>
      <c r="C100" s="257"/>
      <c r="D100" s="248"/>
      <c r="E100" s="248"/>
      <c r="F100" s="248"/>
      <c r="G100" s="248"/>
      <c r="H100" s="248"/>
      <c r="I100" s="259"/>
      <c r="J100" s="248"/>
      <c r="K100" s="248"/>
      <c r="L100" s="248"/>
      <c r="M100" s="248"/>
      <c r="N100" s="248"/>
      <c r="O100" s="248"/>
      <c r="Q100" s="5"/>
      <c r="R100" s="5"/>
      <c r="S100" s="5"/>
    </row>
    <row r="101" spans="2:19" s="5" customFormat="1">
      <c r="B101" s="41"/>
      <c r="I101" s="259"/>
      <c r="O101" s="248"/>
      <c r="P101" s="39"/>
    </row>
    <row r="102" spans="2:19">
      <c r="B102" s="5"/>
      <c r="C102" s="259"/>
      <c r="D102" s="259"/>
      <c r="E102" s="259"/>
      <c r="F102" s="259"/>
      <c r="G102" s="259"/>
      <c r="H102" s="259"/>
      <c r="I102" s="247"/>
      <c r="J102" s="259"/>
      <c r="K102" s="259"/>
      <c r="L102" s="259"/>
      <c r="M102" s="259"/>
      <c r="N102" s="259"/>
      <c r="O102" s="5"/>
      <c r="Q102" s="5"/>
      <c r="R102" s="5"/>
      <c r="S102" s="5"/>
    </row>
    <row r="103" spans="2:19">
      <c r="B103" s="5"/>
      <c r="C103" s="259"/>
      <c r="D103" s="259"/>
      <c r="E103" s="259"/>
      <c r="F103" s="259"/>
      <c r="G103" s="259"/>
      <c r="H103" s="259"/>
      <c r="I103" s="5"/>
      <c r="J103" s="259"/>
      <c r="K103" s="259"/>
      <c r="L103" s="259"/>
      <c r="M103" s="259"/>
      <c r="N103" s="259"/>
      <c r="O103" s="5"/>
      <c r="P103" s="5"/>
      <c r="Q103" s="5"/>
      <c r="R103" s="5"/>
      <c r="S103" s="5"/>
    </row>
    <row r="104" spans="2:19">
      <c r="B104" s="5"/>
      <c r="C104" s="247"/>
      <c r="D104" s="247"/>
      <c r="E104" s="247"/>
      <c r="F104" s="247"/>
      <c r="G104" s="247"/>
      <c r="H104" s="247"/>
      <c r="I104" s="247"/>
      <c r="J104" s="247"/>
      <c r="K104" s="247"/>
      <c r="L104" s="247"/>
      <c r="M104" s="247"/>
      <c r="N104" s="247"/>
      <c r="O104" s="5"/>
      <c r="Q104" s="5"/>
      <c r="R104" s="5"/>
      <c r="S104" s="5"/>
    </row>
    <row r="105" spans="2:19" s="5" customFormat="1">
      <c r="P105" s="39"/>
    </row>
    <row r="106" spans="2:19" s="5" customFormat="1">
      <c r="C106" s="259"/>
      <c r="D106" s="247"/>
      <c r="E106" s="247"/>
      <c r="F106" s="247"/>
      <c r="G106" s="247"/>
      <c r="H106" s="247"/>
      <c r="I106" s="259"/>
      <c r="J106" s="247"/>
      <c r="K106" s="247"/>
      <c r="L106" s="247"/>
      <c r="M106" s="247"/>
      <c r="N106" s="247"/>
      <c r="P106" s="39"/>
    </row>
    <row r="107" spans="2:19">
      <c r="B107" s="5"/>
      <c r="C107" s="259"/>
      <c r="D107" s="5"/>
      <c r="E107" s="5"/>
      <c r="F107" s="5"/>
      <c r="G107" s="5"/>
      <c r="H107" s="5"/>
      <c r="I107" s="247"/>
      <c r="J107" s="5"/>
      <c r="K107" s="5"/>
      <c r="L107" s="5"/>
      <c r="M107" s="5"/>
      <c r="N107" s="5"/>
      <c r="O107" s="5"/>
      <c r="P107" s="5"/>
      <c r="Q107" s="5"/>
      <c r="R107" s="5"/>
      <c r="S107" s="5"/>
    </row>
    <row r="108" spans="2:19">
      <c r="B108" s="5"/>
      <c r="C108" s="259"/>
      <c r="D108" s="259"/>
      <c r="E108" s="259"/>
      <c r="F108" s="259"/>
      <c r="G108" s="259"/>
      <c r="H108" s="259"/>
      <c r="I108" s="249"/>
      <c r="J108" s="259"/>
      <c r="K108" s="259"/>
      <c r="L108" s="259"/>
      <c r="M108" s="259"/>
      <c r="N108" s="259"/>
      <c r="O108" s="5"/>
      <c r="P108" s="5"/>
      <c r="Q108" s="5"/>
      <c r="R108" s="5"/>
      <c r="S108" s="5"/>
    </row>
    <row r="109" spans="2:19">
      <c r="B109" s="5"/>
      <c r="C109" s="247"/>
      <c r="D109" s="247"/>
      <c r="E109" s="247"/>
      <c r="F109" s="247"/>
      <c r="G109" s="247"/>
      <c r="H109" s="247"/>
      <c r="I109" s="249"/>
      <c r="J109" s="247"/>
      <c r="K109" s="247"/>
      <c r="L109" s="247"/>
      <c r="M109" s="247"/>
      <c r="N109" s="247"/>
      <c r="O109" s="5"/>
      <c r="Q109" s="5"/>
      <c r="R109" s="5"/>
      <c r="S109" s="5"/>
    </row>
    <row r="110" spans="2:19">
      <c r="B110" s="41"/>
      <c r="C110" s="249"/>
      <c r="D110" s="249"/>
      <c r="E110" s="249"/>
      <c r="F110" s="249"/>
      <c r="G110" s="249"/>
      <c r="H110" s="249"/>
      <c r="I110" s="247"/>
      <c r="J110" s="249"/>
      <c r="K110" s="249"/>
      <c r="L110" s="249"/>
      <c r="M110" s="249"/>
      <c r="N110" s="249"/>
      <c r="O110" s="5"/>
      <c r="Q110" s="5"/>
      <c r="R110" s="5"/>
      <c r="S110" s="5"/>
    </row>
    <row r="111" spans="2:19">
      <c r="B111" s="5"/>
      <c r="C111" s="249"/>
      <c r="D111" s="249"/>
      <c r="E111" s="249"/>
      <c r="F111" s="249"/>
      <c r="G111" s="249"/>
      <c r="H111" s="249"/>
      <c r="I111" s="5"/>
      <c r="J111" s="249"/>
      <c r="K111" s="249"/>
      <c r="L111" s="249"/>
      <c r="M111" s="249"/>
      <c r="N111" s="249"/>
      <c r="O111" s="5"/>
      <c r="Q111" s="5"/>
      <c r="R111" s="5"/>
      <c r="S111" s="5"/>
    </row>
    <row r="112" spans="2:19">
      <c r="B112" s="5"/>
      <c r="C112" s="247"/>
      <c r="D112" s="247"/>
      <c r="E112" s="247"/>
      <c r="F112" s="247"/>
      <c r="G112" s="247"/>
      <c r="H112" s="247"/>
      <c r="I112" s="5"/>
      <c r="J112" s="247"/>
      <c r="K112" s="247"/>
      <c r="L112" s="247"/>
      <c r="M112" s="247"/>
      <c r="N112" s="247"/>
      <c r="O112" s="5"/>
      <c r="Q112" s="5"/>
      <c r="R112" s="5"/>
      <c r="S112" s="5"/>
    </row>
    <row r="113" spans="2:19">
      <c r="B113" s="5"/>
      <c r="C113" s="5"/>
      <c r="D113" s="5"/>
      <c r="E113" s="5"/>
      <c r="F113" s="5"/>
      <c r="G113" s="5"/>
      <c r="H113" s="5"/>
      <c r="I113" s="5"/>
      <c r="J113" s="5"/>
      <c r="K113" s="5"/>
      <c r="L113" s="5"/>
      <c r="M113" s="5"/>
      <c r="N113" s="5"/>
      <c r="O113" s="5"/>
      <c r="Q113" s="5"/>
      <c r="R113" s="5"/>
      <c r="S113" s="5"/>
    </row>
    <row r="114" spans="2:19">
      <c r="B114" s="5"/>
      <c r="C114" s="5"/>
      <c r="D114" s="5"/>
      <c r="E114" s="5"/>
      <c r="F114" s="5"/>
      <c r="G114" s="5"/>
      <c r="H114" s="5"/>
      <c r="I114" s="5"/>
      <c r="J114" s="5"/>
      <c r="K114" s="5"/>
      <c r="L114" s="5"/>
      <c r="M114" s="5"/>
      <c r="N114" s="5"/>
      <c r="O114" s="5"/>
      <c r="Q114" s="5"/>
      <c r="R114" s="5"/>
      <c r="S114" s="5"/>
    </row>
    <row r="115" spans="2:19">
      <c r="B115" s="5"/>
      <c r="C115" s="5"/>
      <c r="D115" s="5"/>
      <c r="E115" s="5"/>
      <c r="F115" s="5"/>
      <c r="G115" s="5"/>
      <c r="H115" s="5"/>
      <c r="I115" s="49"/>
      <c r="J115" s="5"/>
      <c r="K115" s="5"/>
      <c r="L115" s="5"/>
      <c r="M115" s="5"/>
      <c r="N115" s="5"/>
      <c r="O115" s="5"/>
      <c r="Q115" s="41"/>
      <c r="R115" s="5"/>
      <c r="S115" s="5"/>
    </row>
    <row r="116" spans="2:19">
      <c r="B116" s="5"/>
      <c r="C116" s="5"/>
      <c r="D116" s="5"/>
      <c r="E116" s="5"/>
      <c r="F116" s="5"/>
      <c r="G116" s="5"/>
      <c r="H116" s="5"/>
      <c r="I116" s="5"/>
      <c r="J116" s="5"/>
      <c r="K116" s="5"/>
      <c r="L116" s="5"/>
      <c r="M116" s="5"/>
      <c r="N116" s="5"/>
      <c r="O116" s="5"/>
      <c r="Q116" s="5"/>
      <c r="R116" s="5"/>
      <c r="S116" s="5"/>
    </row>
    <row r="117" spans="2:19">
      <c r="B117" s="41"/>
      <c r="C117" s="49"/>
      <c r="D117" s="49"/>
      <c r="E117" s="49"/>
      <c r="F117" s="49"/>
      <c r="G117" s="49"/>
      <c r="H117" s="49"/>
      <c r="I117" s="254"/>
      <c r="J117" s="49"/>
      <c r="K117" s="49"/>
      <c r="L117" s="49"/>
      <c r="M117" s="49"/>
      <c r="N117" s="49"/>
      <c r="O117" s="49"/>
      <c r="Q117" s="5"/>
      <c r="R117" s="5"/>
      <c r="S117" s="5"/>
    </row>
    <row r="118" spans="2:19">
      <c r="B118" s="5"/>
      <c r="C118" s="5"/>
      <c r="D118" s="5"/>
      <c r="E118" s="5"/>
      <c r="F118" s="5"/>
      <c r="G118" s="5"/>
      <c r="H118" s="5"/>
      <c r="I118" s="249"/>
      <c r="J118" s="5"/>
      <c r="K118" s="5"/>
      <c r="L118" s="5"/>
      <c r="M118" s="5"/>
      <c r="N118" s="5"/>
      <c r="O118" s="5"/>
      <c r="Q118" s="5"/>
      <c r="R118" s="5"/>
      <c r="S118" s="5"/>
    </row>
    <row r="119" spans="2:19">
      <c r="B119" s="41"/>
      <c r="C119" s="254"/>
      <c r="D119" s="254"/>
      <c r="E119" s="254"/>
      <c r="F119" s="254"/>
      <c r="G119" s="254"/>
      <c r="H119" s="254"/>
      <c r="I119" s="254"/>
      <c r="J119" s="254"/>
      <c r="K119" s="254"/>
      <c r="L119" s="254"/>
      <c r="M119" s="254"/>
      <c r="N119" s="254"/>
      <c r="O119" s="248"/>
      <c r="Q119" s="5"/>
      <c r="R119" s="5"/>
      <c r="S119" s="5"/>
    </row>
    <row r="120" spans="2:19">
      <c r="B120" s="41"/>
      <c r="C120" s="254"/>
      <c r="D120" s="249"/>
      <c r="E120" s="249"/>
      <c r="F120" s="249"/>
      <c r="G120" s="249"/>
      <c r="H120" s="249"/>
      <c r="I120" s="254"/>
      <c r="J120" s="249"/>
      <c r="K120" s="249"/>
      <c r="L120" s="249"/>
      <c r="M120" s="249"/>
      <c r="N120" s="249"/>
      <c r="O120" s="248"/>
      <c r="Q120" s="5"/>
      <c r="R120" s="5"/>
      <c r="S120" s="5"/>
    </row>
    <row r="121" spans="2:19">
      <c r="B121" s="41"/>
      <c r="C121" s="254"/>
      <c r="D121" s="254"/>
      <c r="E121" s="254"/>
      <c r="F121" s="254"/>
      <c r="G121" s="254"/>
      <c r="H121" s="254"/>
      <c r="I121" s="254"/>
      <c r="J121" s="254"/>
      <c r="K121" s="254"/>
      <c r="L121" s="254"/>
      <c r="M121" s="254"/>
      <c r="N121" s="254"/>
      <c r="O121" s="248"/>
      <c r="Q121" s="5"/>
      <c r="R121" s="5"/>
      <c r="S121" s="5"/>
    </row>
    <row r="122" spans="2:19">
      <c r="B122" s="41"/>
      <c r="C122" s="254"/>
      <c r="D122" s="254"/>
      <c r="E122" s="254"/>
      <c r="F122" s="254"/>
      <c r="G122" s="254"/>
      <c r="H122" s="254"/>
      <c r="I122" s="254"/>
      <c r="J122" s="254"/>
      <c r="K122" s="254"/>
      <c r="L122" s="254"/>
      <c r="M122" s="254"/>
      <c r="N122" s="254"/>
      <c r="O122" s="248"/>
      <c r="Q122" s="5"/>
      <c r="R122" s="5"/>
      <c r="S122" s="5"/>
    </row>
    <row r="123" spans="2:19">
      <c r="B123" s="41"/>
      <c r="C123" s="254"/>
      <c r="D123" s="254"/>
      <c r="E123" s="254"/>
      <c r="F123" s="254"/>
      <c r="G123" s="254"/>
      <c r="H123" s="254"/>
      <c r="I123" s="254"/>
      <c r="J123" s="254"/>
      <c r="K123" s="254"/>
      <c r="L123" s="254"/>
      <c r="M123" s="254"/>
      <c r="N123" s="254"/>
      <c r="O123" s="248"/>
      <c r="Q123" s="5"/>
      <c r="R123" s="5"/>
      <c r="S123" s="5"/>
    </row>
    <row r="124" spans="2:19">
      <c r="B124" s="41"/>
      <c r="C124" s="254"/>
      <c r="D124" s="254"/>
      <c r="E124" s="254"/>
      <c r="F124" s="254"/>
      <c r="G124" s="254"/>
      <c r="H124" s="254"/>
      <c r="I124" s="254"/>
      <c r="J124" s="254"/>
      <c r="K124" s="254"/>
      <c r="L124" s="254"/>
      <c r="M124" s="254"/>
      <c r="N124" s="254"/>
      <c r="O124" s="248"/>
      <c r="Q124" s="5"/>
      <c r="R124" s="5"/>
      <c r="S124" s="5"/>
    </row>
    <row r="125" spans="2:19">
      <c r="B125" s="41"/>
      <c r="C125" s="254"/>
      <c r="D125" s="254"/>
      <c r="E125" s="254"/>
      <c r="F125" s="254"/>
      <c r="G125" s="254"/>
      <c r="H125" s="254"/>
      <c r="I125" s="254"/>
      <c r="J125" s="254"/>
      <c r="K125" s="254"/>
      <c r="L125" s="254"/>
      <c r="M125" s="254"/>
      <c r="N125" s="254"/>
      <c r="O125" s="5"/>
      <c r="Q125" s="5"/>
      <c r="R125" s="5"/>
      <c r="S125" s="5"/>
    </row>
    <row r="126" spans="2:19">
      <c r="B126" s="41"/>
      <c r="C126" s="254"/>
      <c r="D126" s="254"/>
      <c r="E126" s="254"/>
      <c r="F126" s="254"/>
      <c r="G126" s="254"/>
      <c r="H126" s="254"/>
      <c r="I126" s="254"/>
      <c r="J126" s="254"/>
      <c r="K126" s="254"/>
      <c r="L126" s="254"/>
      <c r="M126" s="254"/>
      <c r="N126" s="254"/>
      <c r="O126" s="5"/>
      <c r="Q126" s="5"/>
      <c r="R126" s="5"/>
      <c r="S126" s="5"/>
    </row>
    <row r="127" spans="2:19">
      <c r="B127" s="41"/>
      <c r="C127" s="254"/>
      <c r="D127" s="254"/>
      <c r="E127" s="254"/>
      <c r="F127" s="254"/>
      <c r="G127" s="254"/>
      <c r="H127" s="254"/>
      <c r="I127" s="18"/>
      <c r="J127" s="254"/>
      <c r="K127" s="254"/>
      <c r="L127" s="254"/>
      <c r="M127" s="254"/>
      <c r="N127" s="254"/>
      <c r="O127" s="5"/>
      <c r="Q127" s="5"/>
      <c r="R127" s="5"/>
      <c r="S127" s="5"/>
    </row>
    <row r="128" spans="2:19">
      <c r="B128" s="41"/>
      <c r="C128" s="254"/>
      <c r="D128" s="254"/>
      <c r="E128" s="254"/>
      <c r="F128" s="254"/>
      <c r="G128" s="254"/>
      <c r="H128" s="254"/>
      <c r="I128" s="5"/>
      <c r="J128" s="254"/>
      <c r="K128" s="254"/>
      <c r="L128" s="254"/>
      <c r="M128" s="254"/>
      <c r="N128" s="254"/>
      <c r="O128" s="5"/>
      <c r="Q128" s="5"/>
      <c r="R128" s="5"/>
      <c r="S128" s="5"/>
    </row>
    <row r="129" spans="2:27">
      <c r="B129" s="5"/>
      <c r="C129" s="5"/>
      <c r="D129" s="18"/>
      <c r="E129" s="18"/>
      <c r="F129" s="18"/>
      <c r="G129" s="18"/>
      <c r="H129" s="18"/>
      <c r="I129" s="254"/>
      <c r="J129" s="18"/>
      <c r="K129" s="18"/>
      <c r="L129" s="18"/>
      <c r="M129" s="18"/>
      <c r="N129" s="18"/>
      <c r="O129" s="5"/>
      <c r="Q129" s="5"/>
      <c r="R129" s="5"/>
      <c r="S129" s="5"/>
    </row>
    <row r="130" spans="2:27">
      <c r="B130" s="5"/>
      <c r="C130" s="5"/>
      <c r="D130" s="5"/>
      <c r="E130" s="5"/>
      <c r="F130" s="5"/>
      <c r="G130" s="5"/>
      <c r="H130" s="5"/>
      <c r="I130" s="18"/>
      <c r="J130" s="5"/>
      <c r="K130" s="5"/>
      <c r="L130" s="5"/>
      <c r="M130" s="5"/>
      <c r="N130" s="5"/>
      <c r="O130" s="5"/>
      <c r="Q130" s="5"/>
      <c r="R130" s="5"/>
      <c r="S130" s="5"/>
    </row>
    <row r="131" spans="2:27">
      <c r="B131" s="41"/>
      <c r="C131" s="254"/>
      <c r="D131" s="254"/>
      <c r="E131" s="254"/>
      <c r="F131" s="254"/>
      <c r="G131" s="254"/>
      <c r="H131" s="254"/>
      <c r="I131" s="5"/>
      <c r="J131" s="254"/>
      <c r="K131" s="254"/>
      <c r="L131" s="254"/>
      <c r="M131" s="254"/>
      <c r="N131" s="254"/>
      <c r="O131" s="5"/>
      <c r="Q131" s="5"/>
      <c r="R131" s="5"/>
      <c r="S131" s="5"/>
    </row>
    <row r="132" spans="2:27">
      <c r="B132" s="5"/>
      <c r="C132" s="259"/>
      <c r="D132" s="18"/>
      <c r="E132" s="18"/>
      <c r="F132" s="18"/>
      <c r="G132" s="18"/>
      <c r="H132" s="18"/>
      <c r="I132" s="5"/>
      <c r="J132" s="18"/>
      <c r="K132" s="18"/>
      <c r="L132" s="18"/>
      <c r="M132" s="18"/>
      <c r="N132" s="18"/>
      <c r="O132" s="5"/>
      <c r="Q132" s="5"/>
      <c r="R132" s="5"/>
      <c r="S132" s="5"/>
    </row>
    <row r="133" spans="2:27">
      <c r="B133" s="5"/>
      <c r="C133" s="5"/>
      <c r="D133" s="5"/>
      <c r="E133" s="5"/>
      <c r="F133" s="5"/>
      <c r="G133" s="5"/>
      <c r="H133" s="5"/>
      <c r="I133" s="17"/>
      <c r="J133" s="5"/>
      <c r="K133" s="5"/>
      <c r="L133" s="5"/>
      <c r="M133" s="5"/>
      <c r="N133" s="5"/>
      <c r="O133" s="5"/>
      <c r="Q133" s="5"/>
      <c r="R133" s="5"/>
      <c r="S133" s="5"/>
    </row>
    <row r="134" spans="2:27">
      <c r="B134" s="41"/>
      <c r="C134" s="5"/>
      <c r="D134" s="5"/>
      <c r="E134" s="5"/>
      <c r="F134" s="5"/>
      <c r="G134" s="5"/>
      <c r="H134" s="5"/>
      <c r="I134" s="17"/>
      <c r="J134" s="5"/>
      <c r="K134" s="5"/>
      <c r="L134" s="5"/>
      <c r="M134" s="5"/>
      <c r="N134" s="5"/>
      <c r="O134" s="5"/>
      <c r="Q134" s="5"/>
      <c r="R134" s="5"/>
      <c r="S134" s="5"/>
    </row>
    <row r="135" spans="2:27">
      <c r="B135" s="5"/>
      <c r="C135" s="17"/>
      <c r="D135" s="17"/>
      <c r="E135" s="17"/>
      <c r="F135" s="17"/>
      <c r="G135" s="17"/>
      <c r="H135" s="17"/>
      <c r="I135" s="17"/>
      <c r="J135" s="17"/>
      <c r="K135" s="17"/>
      <c r="L135" s="17"/>
      <c r="M135" s="17"/>
      <c r="N135" s="17"/>
      <c r="O135" s="5"/>
      <c r="Q135" s="41"/>
      <c r="R135" s="5"/>
      <c r="S135" s="5"/>
    </row>
    <row r="136" spans="2:27">
      <c r="B136" s="5"/>
      <c r="C136" s="17"/>
      <c r="D136" s="17"/>
      <c r="E136" s="17"/>
      <c r="F136" s="17"/>
      <c r="G136" s="17"/>
      <c r="H136" s="17"/>
      <c r="I136" s="17"/>
      <c r="J136" s="17"/>
      <c r="K136" s="17"/>
      <c r="L136" s="17"/>
      <c r="M136" s="17"/>
      <c r="N136" s="17"/>
      <c r="O136" s="5"/>
      <c r="Q136" s="5"/>
      <c r="R136" s="5"/>
      <c r="S136" s="5"/>
      <c r="X136" s="304"/>
    </row>
    <row r="137" spans="2:27">
      <c r="B137" s="5"/>
      <c r="C137" s="5"/>
      <c r="D137" s="17"/>
      <c r="E137" s="17"/>
      <c r="F137" s="17"/>
      <c r="G137" s="17"/>
      <c r="H137" s="17"/>
      <c r="I137" s="17"/>
      <c r="J137" s="17"/>
      <c r="K137" s="17"/>
      <c r="L137" s="17"/>
      <c r="M137" s="17"/>
      <c r="N137" s="17"/>
      <c r="O137" s="5"/>
      <c r="Q137" s="5"/>
      <c r="R137" s="5"/>
      <c r="S137" s="5"/>
      <c r="X137" s="10"/>
      <c r="Y137" s="304"/>
      <c r="Z137" s="304"/>
      <c r="AA137" s="304"/>
    </row>
    <row r="138" spans="2:27">
      <c r="B138" s="5"/>
      <c r="C138" s="5"/>
      <c r="D138" s="17"/>
      <c r="E138" s="17"/>
      <c r="F138" s="17"/>
      <c r="G138" s="17"/>
      <c r="H138" s="17"/>
      <c r="I138" s="17"/>
      <c r="J138" s="17"/>
      <c r="K138" s="17"/>
      <c r="L138" s="17"/>
      <c r="M138" s="17"/>
      <c r="N138" s="17"/>
      <c r="O138" s="5"/>
      <c r="Q138" s="5"/>
      <c r="R138" s="5"/>
      <c r="S138" s="5"/>
      <c r="Y138" s="10"/>
      <c r="Z138" s="10"/>
      <c r="AA138" s="10"/>
    </row>
    <row r="139" spans="2:27">
      <c r="B139" s="5"/>
      <c r="C139" s="5"/>
      <c r="D139" s="17"/>
      <c r="E139" s="17"/>
      <c r="F139" s="17"/>
      <c r="G139" s="17"/>
      <c r="H139" s="17"/>
      <c r="I139" s="5"/>
      <c r="J139" s="17"/>
      <c r="K139" s="17"/>
      <c r="L139" s="17"/>
      <c r="M139" s="17"/>
      <c r="N139" s="17"/>
      <c r="O139" s="5"/>
      <c r="Q139" s="5"/>
      <c r="R139" s="5"/>
      <c r="S139" s="5"/>
    </row>
    <row r="140" spans="2:27">
      <c r="B140" s="5"/>
      <c r="C140" s="17"/>
      <c r="D140" s="17"/>
      <c r="E140" s="17"/>
      <c r="F140" s="17"/>
      <c r="G140" s="17"/>
      <c r="H140" s="17"/>
      <c r="I140" s="5"/>
      <c r="J140" s="17"/>
      <c r="K140" s="17"/>
      <c r="L140" s="17"/>
      <c r="M140" s="17"/>
      <c r="N140" s="17"/>
      <c r="O140" s="5"/>
      <c r="Q140" s="5"/>
      <c r="R140" s="5"/>
      <c r="S140" s="5"/>
    </row>
    <row r="141" spans="2:27">
      <c r="B141" s="5"/>
      <c r="C141" s="5"/>
      <c r="D141" s="5"/>
      <c r="E141" s="5"/>
      <c r="F141" s="5"/>
      <c r="G141" s="5"/>
      <c r="H141" s="5"/>
      <c r="I141" s="5"/>
      <c r="J141" s="5"/>
      <c r="K141" s="5"/>
      <c r="L141" s="5"/>
      <c r="M141" s="5"/>
      <c r="N141" s="5"/>
      <c r="O141" s="5"/>
      <c r="Q141" s="5"/>
      <c r="R141" s="5"/>
      <c r="S141" s="5"/>
    </row>
    <row r="142" spans="2:27">
      <c r="B142" s="5"/>
      <c r="C142" s="5"/>
      <c r="D142" s="5"/>
      <c r="E142" s="5"/>
      <c r="F142" s="5"/>
      <c r="G142" s="5"/>
      <c r="H142" s="5"/>
      <c r="I142" s="5"/>
      <c r="J142" s="5"/>
      <c r="K142" s="5"/>
      <c r="L142" s="5"/>
      <c r="M142" s="5"/>
      <c r="N142" s="5"/>
      <c r="O142" s="5"/>
      <c r="Q142" s="5"/>
      <c r="R142" s="5"/>
      <c r="S142" s="5"/>
    </row>
    <row r="143" spans="2:27">
      <c r="B143" s="5"/>
      <c r="C143" s="5"/>
      <c r="D143" s="5"/>
      <c r="E143" s="5"/>
      <c r="F143" s="5"/>
      <c r="G143" s="5"/>
      <c r="H143" s="5"/>
      <c r="I143" s="5"/>
      <c r="J143" s="5"/>
      <c r="K143" s="5"/>
      <c r="L143" s="5"/>
      <c r="M143" s="5"/>
      <c r="N143" s="5"/>
      <c r="O143" s="5"/>
      <c r="Q143" s="5"/>
      <c r="R143" s="5"/>
      <c r="S143" s="5"/>
    </row>
    <row r="144" spans="2:27">
      <c r="B144" s="5"/>
      <c r="C144" s="5"/>
      <c r="D144" s="5"/>
      <c r="E144" s="5"/>
      <c r="F144" s="5"/>
      <c r="G144" s="5"/>
      <c r="H144" s="5"/>
      <c r="I144" s="5"/>
      <c r="J144" s="5"/>
      <c r="K144" s="5"/>
      <c r="L144" s="5"/>
      <c r="M144" s="5"/>
      <c r="N144" s="5"/>
      <c r="O144" s="5"/>
      <c r="Q144" s="5"/>
      <c r="R144" s="5"/>
      <c r="S144" s="5"/>
    </row>
    <row r="145" spans="2:19">
      <c r="B145" s="5"/>
      <c r="C145" s="5"/>
      <c r="D145" s="5"/>
      <c r="E145" s="5"/>
      <c r="F145" s="5"/>
      <c r="G145" s="5"/>
      <c r="H145" s="5"/>
      <c r="I145" s="5"/>
      <c r="J145" s="5"/>
      <c r="K145" s="5"/>
      <c r="L145" s="5"/>
      <c r="M145" s="5"/>
      <c r="N145" s="5"/>
      <c r="O145" s="5"/>
      <c r="Q145" s="5"/>
      <c r="R145" s="5"/>
      <c r="S145" s="5"/>
    </row>
    <row r="146" spans="2:19">
      <c r="B146" s="5"/>
      <c r="C146" s="5"/>
      <c r="D146" s="5"/>
      <c r="E146" s="5"/>
      <c r="F146" s="5"/>
      <c r="G146" s="5"/>
      <c r="H146" s="5"/>
      <c r="I146" s="5"/>
      <c r="J146" s="5"/>
      <c r="K146" s="5"/>
      <c r="L146" s="5"/>
      <c r="M146" s="5"/>
      <c r="N146" s="5"/>
      <c r="O146" s="5"/>
      <c r="Q146" s="5"/>
      <c r="R146" s="5"/>
      <c r="S146" s="5"/>
    </row>
    <row r="147" spans="2:19">
      <c r="B147" s="5"/>
      <c r="C147" s="5"/>
      <c r="D147" s="5"/>
      <c r="E147" s="5"/>
      <c r="F147" s="5"/>
      <c r="G147" s="5"/>
      <c r="H147" s="5"/>
      <c r="I147" s="5"/>
      <c r="J147" s="5"/>
      <c r="K147" s="5"/>
      <c r="L147" s="5"/>
      <c r="M147" s="5"/>
      <c r="N147" s="5"/>
      <c r="O147" s="5"/>
      <c r="Q147" s="5"/>
      <c r="R147" s="5"/>
      <c r="S147" s="5"/>
    </row>
    <row r="148" spans="2:19">
      <c r="B148" s="5"/>
      <c r="C148" s="5"/>
      <c r="D148" s="5"/>
      <c r="E148" s="5"/>
      <c r="F148" s="5"/>
      <c r="G148" s="5"/>
      <c r="H148" s="5"/>
      <c r="I148" s="5"/>
      <c r="J148" s="5"/>
      <c r="K148" s="5"/>
      <c r="L148" s="5"/>
      <c r="M148" s="5"/>
      <c r="N148" s="5"/>
      <c r="O148" s="5"/>
      <c r="Q148" s="5"/>
      <c r="R148" s="5"/>
      <c r="S148" s="5"/>
    </row>
    <row r="149" spans="2:19">
      <c r="B149" s="5"/>
      <c r="C149" s="5"/>
      <c r="D149" s="5"/>
      <c r="E149" s="5"/>
      <c r="F149" s="5"/>
      <c r="G149" s="5"/>
      <c r="H149" s="5"/>
      <c r="J149" s="5"/>
      <c r="K149" s="5"/>
      <c r="L149" s="5"/>
      <c r="M149" s="5"/>
      <c r="N149" s="5"/>
      <c r="O149" s="5"/>
      <c r="Q149" s="5"/>
      <c r="R149" s="5"/>
      <c r="S149" s="5"/>
    </row>
    <row r="150" spans="2:19">
      <c r="B150" s="5"/>
      <c r="C150" s="5"/>
      <c r="D150" s="5"/>
      <c r="E150" s="5"/>
      <c r="F150" s="5"/>
      <c r="G150" s="5"/>
      <c r="H150" s="5"/>
      <c r="J150" s="5"/>
      <c r="K150" s="5"/>
      <c r="L150" s="5"/>
      <c r="M150" s="5"/>
      <c r="N150" s="5"/>
      <c r="O150" s="5"/>
      <c r="Q150" s="5"/>
      <c r="R150" s="5"/>
      <c r="S150" s="5"/>
    </row>
    <row r="151" spans="2:19">
      <c r="Q151" s="5"/>
      <c r="R151" s="5"/>
      <c r="S151" s="5"/>
    </row>
    <row r="152" spans="2:19">
      <c r="Q152" s="5"/>
      <c r="R152" s="5"/>
      <c r="S152" s="5"/>
    </row>
    <row r="153" spans="2:19">
      <c r="C153" s="263"/>
      <c r="Q153" s="5"/>
      <c r="R153" s="5"/>
      <c r="S153" s="5"/>
    </row>
    <row r="154" spans="2:19">
      <c r="Q154" s="5"/>
      <c r="R154" s="5"/>
      <c r="S154" s="5"/>
    </row>
    <row r="155" spans="2:19">
      <c r="Q155" s="5"/>
      <c r="R155" s="5"/>
      <c r="S155" s="5"/>
    </row>
    <row r="156" spans="2:19">
      <c r="Q156" s="5"/>
      <c r="R156" s="5"/>
      <c r="S156" s="5"/>
    </row>
    <row r="157" spans="2:19">
      <c r="Q157" s="5"/>
      <c r="R157" s="5"/>
      <c r="S157" s="5"/>
    </row>
    <row r="158" spans="2:19">
      <c r="Q158" s="5"/>
      <c r="R158" s="5"/>
      <c r="S158" s="5"/>
    </row>
    <row r="159" spans="2:19">
      <c r="Q159" s="5"/>
      <c r="R159" s="5"/>
      <c r="S159" s="5"/>
    </row>
    <row r="160" spans="2:19">
      <c r="Q160" s="5"/>
      <c r="R160" s="5"/>
      <c r="S160" s="5"/>
    </row>
    <row r="161" spans="17:19">
      <c r="Q161" s="5"/>
      <c r="R161" s="5"/>
      <c r="S161" s="5"/>
    </row>
    <row r="162" spans="17:19">
      <c r="Q162" s="5"/>
      <c r="R162" s="5"/>
      <c r="S162" s="5"/>
    </row>
    <row r="163" spans="17:19">
      <c r="Q163" s="5"/>
      <c r="R163" s="5"/>
      <c r="S163" s="5"/>
    </row>
    <row r="164" spans="17:19">
      <c r="Q164" s="5"/>
      <c r="R164" s="5"/>
      <c r="S164" s="5"/>
    </row>
    <row r="165" spans="17:19">
      <c r="Q165" s="5"/>
      <c r="R165" s="5"/>
      <c r="S165" s="5"/>
    </row>
  </sheetData>
  <phoneticPr fontId="7" type="noConversion"/>
  <hyperlinks>
    <hyperlink ref="C2" location="MTSSOP!A1" display="Jump to MTS SOP" xr:uid="{00000000-0004-0000-4000-000001000000}"/>
  </hyperlinks>
  <pageMargins left="0.75" right="0.75" top="1" bottom="1" header="0.5" footer="0.5"/>
  <pageSetup scale="71" orientation="landscape" r:id="rId1"/>
  <headerFooter alignWithMargins="0"/>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Sheet58">
    <pageSetUpPr fitToPage="1"/>
  </sheetPr>
  <dimension ref="B1:AR168"/>
  <sheetViews>
    <sheetView showGridLines="0" zoomScale="80" zoomScaleNormal="80" workbookViewId="0">
      <selection activeCell="D16" sqref="D16:G17"/>
    </sheetView>
  </sheetViews>
  <sheetFormatPr defaultColWidth="9.109375" defaultRowHeight="12"/>
  <cols>
    <col min="1" max="1" width="2.33203125" style="39" customWidth="1"/>
    <col min="2" max="2" width="26.5546875" style="39" customWidth="1"/>
    <col min="3" max="9" width="10" style="39" customWidth="1"/>
    <col min="10" max="10" width="26.6640625" style="39" customWidth="1"/>
    <col min="11" max="16" width="10" style="39" customWidth="1"/>
    <col min="17" max="19" width="8.6640625" style="39" customWidth="1"/>
    <col min="20" max="28" width="8.6640625" style="5" customWidth="1"/>
    <col min="29" max="44" width="9.109375" style="5"/>
    <col min="45" max="16384" width="9.109375" style="39"/>
  </cols>
  <sheetData>
    <row r="1" spans="2:44" s="312" customFormat="1">
      <c r="T1" s="149"/>
      <c r="U1" s="149"/>
      <c r="V1" s="149"/>
      <c r="W1" s="149"/>
      <c r="X1" s="149"/>
      <c r="Y1" s="149"/>
      <c r="Z1" s="149"/>
      <c r="AA1" s="149"/>
      <c r="AB1" s="149"/>
      <c r="AC1" s="149"/>
      <c r="AD1" s="149"/>
      <c r="AE1" s="149"/>
      <c r="AF1" s="149"/>
      <c r="AG1" s="149"/>
      <c r="AH1" s="149"/>
      <c r="AI1" s="149"/>
      <c r="AJ1" s="149"/>
      <c r="AK1" s="149"/>
      <c r="AL1" s="149"/>
      <c r="AM1" s="149"/>
      <c r="AN1" s="149"/>
      <c r="AO1" s="149"/>
      <c r="AP1" s="149"/>
      <c r="AQ1" s="149"/>
      <c r="AR1" s="149"/>
    </row>
    <row r="2" spans="2:44" s="149" customFormat="1"/>
    <row r="3" spans="2:44" s="149" customFormat="1">
      <c r="H3" s="153"/>
      <c r="P3" s="153"/>
    </row>
    <row r="4" spans="2:44" s="156" customFormat="1" ht="21">
      <c r="B4" s="129" t="s">
        <v>769</v>
      </c>
      <c r="H4" s="222"/>
      <c r="P4" s="222"/>
    </row>
    <row r="5" spans="2:44" s="149" customFormat="1">
      <c r="C5" s="153"/>
      <c r="D5" s="153" t="str" cm="1">
        <f t="array" ref="D5:H5">headings</f>
        <v>2023E</v>
      </c>
      <c r="E5" s="153" t="str">
        <v>2024E</v>
      </c>
      <c r="F5" s="153" t="str">
        <v>2025E</v>
      </c>
      <c r="G5" s="153" t="str">
        <v>2026E</v>
      </c>
      <c r="H5" s="153" t="str">
        <v>23E-26E</v>
      </c>
      <c r="I5" s="153"/>
      <c r="J5" s="153"/>
      <c r="K5" s="153"/>
      <c r="L5" s="153" t="str" cm="1">
        <f t="array" ref="L5:P5">headings</f>
        <v>2023E</v>
      </c>
      <c r="M5" s="153" t="str">
        <v>2024E</v>
      </c>
      <c r="N5" s="153" t="str">
        <v>2025E</v>
      </c>
      <c r="O5" s="153" t="str">
        <v>2026E</v>
      </c>
      <c r="P5" s="153" t="str">
        <v>23E-26E</v>
      </c>
      <c r="Q5" s="162"/>
      <c r="R5" s="162"/>
      <c r="S5" s="162"/>
      <c r="T5" s="162"/>
      <c r="U5" s="162"/>
      <c r="V5" s="162"/>
      <c r="W5" s="162"/>
      <c r="X5" s="162"/>
      <c r="Y5" s="162"/>
    </row>
    <row r="6" spans="2:44">
      <c r="I6" s="5"/>
      <c r="J6" s="5"/>
      <c r="K6" s="5"/>
      <c r="L6" s="5"/>
      <c r="M6" s="5"/>
      <c r="N6" s="5"/>
      <c r="O6" s="49"/>
    </row>
    <row r="7" spans="2:44" ht="12.6" thickBot="1">
      <c r="B7" s="306" t="s">
        <v>271</v>
      </c>
      <c r="C7" s="265"/>
      <c r="D7" s="265" t="str">
        <f>D5</f>
        <v>2023E</v>
      </c>
      <c r="E7" s="265" t="str">
        <f t="shared" ref="E7:H7" si="0">E5</f>
        <v>2024E</v>
      </c>
      <c r="F7" s="265" t="str">
        <f t="shared" si="0"/>
        <v>2025E</v>
      </c>
      <c r="G7" s="265" t="str">
        <f t="shared" si="0"/>
        <v>2026E</v>
      </c>
      <c r="H7" s="265" t="str">
        <f t="shared" si="0"/>
        <v>23E-26E</v>
      </c>
      <c r="I7" s="49"/>
      <c r="J7" s="306" t="s">
        <v>1388</v>
      </c>
      <c r="K7" s="306"/>
      <c r="L7" s="265" t="str">
        <f>L5</f>
        <v>2023E</v>
      </c>
      <c r="M7" s="265" t="str">
        <f t="shared" ref="M7:P7" si="1">M5</f>
        <v>2024E</v>
      </c>
      <c r="N7" s="265" t="str">
        <f t="shared" si="1"/>
        <v>2025E</v>
      </c>
      <c r="O7" s="265" t="str">
        <f t="shared" si="1"/>
        <v>2026E</v>
      </c>
      <c r="P7" s="265" t="str">
        <f t="shared" si="1"/>
        <v>23E-26E</v>
      </c>
    </row>
    <row r="8" spans="2:44" ht="12.6" thickTop="1">
      <c r="B8" s="5"/>
      <c r="C8" s="5"/>
      <c r="D8" s="5"/>
      <c r="E8" s="5"/>
      <c r="F8" s="5"/>
      <c r="G8" s="5"/>
      <c r="H8" s="5"/>
      <c r="I8" s="5"/>
      <c r="J8" s="5"/>
      <c r="K8" s="5"/>
      <c r="L8" s="5"/>
      <c r="M8" s="5"/>
      <c r="N8" s="5"/>
      <c r="S8" s="88"/>
      <c r="T8" s="42"/>
      <c r="U8" s="42"/>
      <c r="V8" s="42"/>
      <c r="W8" s="42"/>
      <c r="X8" s="42"/>
      <c r="Y8" s="42"/>
      <c r="Z8" s="42"/>
      <c r="AA8" s="42"/>
    </row>
    <row r="9" spans="2:44">
      <c r="B9" s="41" t="s">
        <v>272</v>
      </c>
      <c r="C9" s="287">
        <f>Prices!C27</f>
        <v>3.3450000000000002</v>
      </c>
      <c r="D9" s="535">
        <v>0</v>
      </c>
      <c r="E9" s="536">
        <v>0</v>
      </c>
      <c r="F9" s="536">
        <v>0</v>
      </c>
      <c r="G9" s="536">
        <v>0</v>
      </c>
      <c r="H9" s="249"/>
      <c r="I9" s="249"/>
      <c r="J9" s="5" t="s">
        <v>273</v>
      </c>
      <c r="L9" s="529">
        <f>'W.EUR OTHER'!D37</f>
        <v>1.625740200561925</v>
      </c>
      <c r="M9" s="529">
        <f>'W.EUR OTHER'!E37</f>
        <v>1.4744355877361912</v>
      </c>
      <c r="N9" s="529">
        <f>'W.EUR OTHER'!F37</f>
        <v>1.3838130671688169</v>
      </c>
      <c r="O9" s="529">
        <f>'W.EUR OTHER'!G37</f>
        <v>1.2773151297065752</v>
      </c>
      <c r="P9" s="279">
        <f>'W.EUR OTHER'!H37</f>
        <v>1.5716493135688125E-2</v>
      </c>
      <c r="S9" s="88"/>
      <c r="T9" s="42"/>
      <c r="U9" s="42"/>
      <c r="V9" s="42"/>
      <c r="W9" s="42"/>
      <c r="X9" s="42"/>
      <c r="Y9" s="42"/>
      <c r="Z9" s="42"/>
      <c r="AA9" s="42"/>
    </row>
    <row r="10" spans="2:44">
      <c r="B10" s="5" t="s">
        <v>274</v>
      </c>
      <c r="C10" s="5"/>
      <c r="D10" s="531">
        <v>513.16314199999999</v>
      </c>
      <c r="E10" s="531">
        <v>513.16314199999999</v>
      </c>
      <c r="F10" s="531">
        <v>513.16314199999999</v>
      </c>
      <c r="G10" s="531">
        <v>513.16314199999999</v>
      </c>
      <c r="H10" s="247"/>
      <c r="I10" s="247"/>
      <c r="J10" s="5" t="s">
        <v>184</v>
      </c>
      <c r="L10" s="529">
        <f>'W.EUR OTHER'!D38</f>
        <v>5.2795254299348739</v>
      </c>
      <c r="M10" s="529">
        <f>'W.EUR OTHER'!E38</f>
        <v>4.974469712304483</v>
      </c>
      <c r="N10" s="529">
        <f>'W.EUR OTHER'!F38</f>
        <v>4.5174816735135677</v>
      </c>
      <c r="O10" s="529">
        <f>'W.EUR OTHER'!G38</f>
        <v>4.0920709682728358</v>
      </c>
      <c r="P10" s="279">
        <f>'W.EUR OTHER'!H38</f>
        <v>2.0325446875936182E-2</v>
      </c>
      <c r="S10" s="88"/>
      <c r="T10" s="42"/>
      <c r="U10" s="42"/>
      <c r="V10" s="42"/>
      <c r="W10" s="288"/>
      <c r="X10" s="288"/>
      <c r="Y10" s="288"/>
      <c r="Z10" s="288"/>
      <c r="AA10" s="42"/>
    </row>
    <row r="11" spans="2:44">
      <c r="B11" s="41" t="s">
        <v>275</v>
      </c>
      <c r="C11" s="5"/>
      <c r="D11" s="532">
        <f>$C$9*D10</f>
        <v>1716.5307099900001</v>
      </c>
      <c r="E11" s="532">
        <f>$C$9*E10</f>
        <v>1716.5307099900001</v>
      </c>
      <c r="F11" s="532">
        <f>$C$9*F10</f>
        <v>1716.5307099900001</v>
      </c>
      <c r="G11" s="532">
        <f>$C$9*G10</f>
        <v>1716.5307099900001</v>
      </c>
      <c r="H11" s="249"/>
      <c r="I11" s="249"/>
      <c r="J11" s="5" t="s">
        <v>185</v>
      </c>
      <c r="L11" s="529">
        <f>'W.EUR OTHER'!D39</f>
        <v>12.736189476818824</v>
      </c>
      <c r="M11" s="529">
        <f>'W.EUR OTHER'!E39</f>
        <v>12.065966967777575</v>
      </c>
      <c r="N11" s="529">
        <f>'W.EUR OTHER'!F39</f>
        <v>9.9478093470125</v>
      </c>
      <c r="O11" s="529">
        <f>'W.EUR OTHER'!G39</f>
        <v>8.473000290176449</v>
      </c>
      <c r="P11" s="279">
        <f>'W.EUR OTHER'!H39</f>
        <v>7.3632307659955432E-2</v>
      </c>
      <c r="S11" s="88"/>
      <c r="T11" s="42"/>
      <c r="U11" s="42"/>
      <c r="V11" s="42"/>
      <c r="W11" s="288"/>
      <c r="X11" s="288"/>
      <c r="Y11" s="288"/>
      <c r="Z11" s="288"/>
      <c r="AA11" s="42"/>
    </row>
    <row r="12" spans="2:44">
      <c r="B12" s="5" t="s">
        <v>24</v>
      </c>
      <c r="C12" s="249"/>
      <c r="D12" s="533">
        <v>976.64092278832004</v>
      </c>
      <c r="E12" s="533">
        <v>833.33035231127133</v>
      </c>
      <c r="F12" s="533">
        <v>748.84073429773321</v>
      </c>
      <c r="G12" s="533">
        <v>629.76935277773214</v>
      </c>
      <c r="H12" s="247"/>
      <c r="I12" s="247"/>
      <c r="J12" s="5" t="s">
        <v>466</v>
      </c>
      <c r="L12" s="529">
        <f>'W.EUR OTHER'!D40</f>
        <v>17.537055550367363</v>
      </c>
      <c r="M12" s="529">
        <f>'W.EUR OTHER'!E40</f>
        <v>16.571844500633869</v>
      </c>
      <c r="N12" s="529">
        <f>'W.EUR OTHER'!F40</f>
        <v>13.70048405868403</v>
      </c>
      <c r="O12" s="529">
        <f>'W.EUR OTHER'!G40</f>
        <v>11.681030567966248</v>
      </c>
      <c r="P12" s="279">
        <f>'W.EUR OTHER'!H40</f>
        <v>7.319831169942681E-2</v>
      </c>
      <c r="S12" s="88"/>
      <c r="T12" s="42"/>
      <c r="U12" s="42"/>
      <c r="V12" s="42"/>
      <c r="W12" s="288"/>
      <c r="X12" s="288"/>
      <c r="Y12" s="288"/>
      <c r="Z12" s="288"/>
      <c r="AA12" s="42"/>
    </row>
    <row r="13" spans="2:44">
      <c r="B13" s="5" t="s">
        <v>529</v>
      </c>
      <c r="C13" s="257"/>
      <c r="D13" s="533">
        <v>491.89615160519702</v>
      </c>
      <c r="E13" s="533">
        <v>388.45389778957349</v>
      </c>
      <c r="F13" s="533">
        <v>238.66157663977344</v>
      </c>
      <c r="G13" s="533">
        <v>128.87963943248337</v>
      </c>
      <c r="H13" s="247"/>
      <c r="I13" s="247"/>
      <c r="J13" s="5" t="s">
        <v>530</v>
      </c>
      <c r="L13" s="529">
        <f>'W.EUR OTHER'!D41</f>
        <v>0.73407860349270371</v>
      </c>
      <c r="M13" s="529">
        <f>'W.EUR OTHER'!E41</f>
        <v>0.70658465772315859</v>
      </c>
      <c r="N13" s="529">
        <f>'W.EUR OTHER'!F41</f>
        <v>0.66539496043406632</v>
      </c>
      <c r="O13" s="529">
        <f>'W.EUR OTHER'!G41</f>
        <v>0.63140864888435067</v>
      </c>
      <c r="P13" s="279">
        <f>'W.EUR OTHER'!H41</f>
        <v>-1.4479895812281707E-2</v>
      </c>
      <c r="S13" s="88"/>
      <c r="T13" s="42"/>
      <c r="U13" s="42"/>
      <c r="V13" s="42"/>
      <c r="W13" s="42"/>
      <c r="X13" s="42"/>
      <c r="Y13" s="42"/>
      <c r="Z13" s="42"/>
      <c r="AA13" s="42"/>
    </row>
    <row r="14" spans="2:44">
      <c r="B14" s="5" t="s">
        <v>532</v>
      </c>
      <c r="C14" s="257"/>
      <c r="D14" s="533">
        <v>0</v>
      </c>
      <c r="E14" s="533">
        <f t="shared" ref="E14:G15" si="2">D14</f>
        <v>0</v>
      </c>
      <c r="F14" s="533">
        <f t="shared" si="2"/>
        <v>0</v>
      </c>
      <c r="G14" s="533">
        <f t="shared" si="2"/>
        <v>0</v>
      </c>
      <c r="H14" s="247"/>
      <c r="I14" s="247"/>
      <c r="J14" s="5" t="s">
        <v>593</v>
      </c>
      <c r="L14" s="529">
        <f>'W.EUR OTHER'!D42</f>
        <v>1.7744255045715212</v>
      </c>
      <c r="M14" s="529">
        <f>'W.EUR OTHER'!E42</f>
        <v>1.6143851746135043</v>
      </c>
      <c r="N14" s="529">
        <f>'W.EUR OTHER'!F42</f>
        <v>1.516251557360391</v>
      </c>
      <c r="O14" s="529">
        <f>'W.EUR OTHER'!G42</f>
        <v>1.4124281433920347</v>
      </c>
      <c r="P14" s="279">
        <f>'W.EUR OTHER'!H42</f>
        <v>1.1312273411797191E-2</v>
      </c>
      <c r="S14" s="88"/>
      <c r="T14" s="42"/>
      <c r="U14" s="42"/>
      <c r="V14" s="42"/>
      <c r="W14" s="42"/>
      <c r="X14" s="42"/>
      <c r="Y14" s="42"/>
      <c r="Z14" s="42"/>
      <c r="AA14" s="42"/>
    </row>
    <row r="15" spans="2:44">
      <c r="B15" s="5" t="s">
        <v>531</v>
      </c>
      <c r="C15" s="274"/>
      <c r="D15" s="533">
        <v>0</v>
      </c>
      <c r="E15" s="533">
        <f t="shared" si="2"/>
        <v>0</v>
      </c>
      <c r="F15" s="533">
        <f t="shared" si="2"/>
        <v>0</v>
      </c>
      <c r="G15" s="533">
        <f t="shared" si="2"/>
        <v>0</v>
      </c>
      <c r="H15" s="247"/>
      <c r="I15" s="247"/>
      <c r="J15" s="5" t="s">
        <v>475</v>
      </c>
      <c r="L15" s="529">
        <f>'W.EUR OTHER'!D43</f>
        <v>16.766632642192913</v>
      </c>
      <c r="M15" s="529">
        <f>'W.EUR OTHER'!E43</f>
        <v>18.03434445713204</v>
      </c>
      <c r="N15" s="529">
        <f>'W.EUR OTHER'!F43</f>
        <v>10.571394482468753</v>
      </c>
      <c r="O15" s="529">
        <f>'W.EUR OTHER'!G43</f>
        <v>8.2021597370687243</v>
      </c>
      <c r="P15" s="279">
        <f>'W.EUR OTHER'!H43</f>
        <v>0.21960762754614027</v>
      </c>
      <c r="S15" s="88"/>
      <c r="T15" s="42"/>
      <c r="U15" s="42"/>
      <c r="V15" s="42"/>
      <c r="W15" s="42"/>
      <c r="X15" s="42"/>
      <c r="Y15" s="42"/>
      <c r="Z15" s="42"/>
      <c r="AA15" s="42"/>
      <c r="AB15" s="39"/>
      <c r="AC15" s="39"/>
      <c r="AD15" s="39"/>
      <c r="AE15" s="39"/>
      <c r="AF15" s="39"/>
      <c r="AG15" s="39"/>
      <c r="AH15" s="39"/>
      <c r="AI15" s="39"/>
      <c r="AJ15" s="39"/>
      <c r="AK15" s="39"/>
      <c r="AL15" s="39"/>
      <c r="AM15" s="39"/>
      <c r="AN15" s="39"/>
      <c r="AO15" s="39"/>
      <c r="AP15" s="39"/>
      <c r="AQ15" s="39"/>
      <c r="AR15" s="39"/>
    </row>
    <row r="16" spans="2:44">
      <c r="B16" s="5" t="s">
        <v>534</v>
      </c>
      <c r="C16" s="257"/>
      <c r="D16" s="533">
        <v>0</v>
      </c>
      <c r="E16" s="533">
        <v>142.65935347600001</v>
      </c>
      <c r="F16" s="533">
        <v>292.45167462580002</v>
      </c>
      <c r="G16" s="533">
        <v>449.73361183309009</v>
      </c>
      <c r="H16" s="247"/>
      <c r="I16" s="247"/>
      <c r="J16" s="5" t="s">
        <v>533</v>
      </c>
      <c r="L16" s="529">
        <f>'W.EUR OTHER'!D44</f>
        <v>14.93276596244098</v>
      </c>
      <c r="M16" s="529">
        <f>'W.EUR OTHER'!E44</f>
        <v>11.776896223765881</v>
      </c>
      <c r="N16" s="529">
        <f>'W.EUR OTHER'!F44</f>
        <v>9.7753259947195836</v>
      </c>
      <c r="O16" s="529">
        <f>'W.EUR OTHER'!G44</f>
        <v>8.6831119730060706</v>
      </c>
      <c r="P16" s="279">
        <f>'W.EUR OTHER'!H44</f>
        <v>0.16793708979658639</v>
      </c>
      <c r="S16" s="88"/>
      <c r="T16" s="42"/>
      <c r="U16" s="42"/>
      <c r="V16" s="42"/>
      <c r="W16" s="42"/>
      <c r="X16" s="42"/>
      <c r="Y16" s="42"/>
      <c r="Z16" s="42"/>
      <c r="AA16" s="42"/>
      <c r="AB16" s="39"/>
      <c r="AC16" s="39"/>
      <c r="AD16" s="39"/>
      <c r="AE16" s="39"/>
      <c r="AF16" s="39"/>
      <c r="AG16" s="39"/>
      <c r="AH16" s="39"/>
      <c r="AI16" s="39"/>
      <c r="AJ16" s="39"/>
      <c r="AK16" s="39"/>
      <c r="AL16" s="39"/>
      <c r="AM16" s="39"/>
      <c r="AN16" s="39"/>
      <c r="AO16" s="39"/>
      <c r="AP16" s="39"/>
      <c r="AQ16" s="39"/>
      <c r="AR16" s="39"/>
    </row>
    <row r="17" spans="2:44">
      <c r="B17" s="5" t="s">
        <v>6</v>
      </c>
      <c r="C17" s="257"/>
      <c r="D17" s="533">
        <v>0</v>
      </c>
      <c r="E17" s="533">
        <v>0</v>
      </c>
      <c r="F17" s="533">
        <v>0</v>
      </c>
      <c r="G17" s="533">
        <v>0</v>
      </c>
      <c r="H17" s="247"/>
      <c r="I17" s="247"/>
      <c r="J17" s="5" t="s">
        <v>580</v>
      </c>
      <c r="L17" s="248">
        <f>'W.EUR OTHER'!D45</f>
        <v>7.0241435315537989E-2</v>
      </c>
      <c r="M17" s="248">
        <f>'W.EUR OTHER'!E45</f>
        <v>4.5697904024259245E-2</v>
      </c>
      <c r="N17" s="248">
        <f>'W.EUR OTHER'!F45</f>
        <v>4.7170150494817063E-2</v>
      </c>
      <c r="O17" s="248">
        <f>'W.EUR OTHER'!G45</f>
        <v>4.8241300976334903E-2</v>
      </c>
      <c r="P17" s="279">
        <f>'W.EUR OTHER'!H45</f>
        <v>-0.13991829578276849</v>
      </c>
      <c r="S17" s="88"/>
      <c r="T17" s="42"/>
      <c r="U17" s="42"/>
      <c r="V17" s="42"/>
      <c r="W17" s="42"/>
      <c r="X17" s="42"/>
      <c r="Y17" s="42"/>
      <c r="Z17" s="42"/>
      <c r="AA17" s="42"/>
      <c r="AB17" s="39"/>
      <c r="AC17" s="39"/>
      <c r="AD17" s="39"/>
      <c r="AE17" s="39"/>
      <c r="AF17" s="39"/>
      <c r="AG17" s="39"/>
      <c r="AH17" s="39"/>
      <c r="AI17" s="39"/>
      <c r="AJ17" s="39"/>
      <c r="AK17" s="39"/>
      <c r="AL17" s="39"/>
      <c r="AM17" s="39"/>
      <c r="AN17" s="39"/>
      <c r="AO17" s="39"/>
      <c r="AP17" s="39"/>
      <c r="AQ17" s="39"/>
      <c r="AR17" s="39"/>
    </row>
    <row r="18" spans="2:44" ht="12.6" thickBot="1">
      <c r="B18" s="41" t="s">
        <v>583</v>
      </c>
      <c r="C18" s="249"/>
      <c r="D18" s="534">
        <f>D11+D12+D13-D14+D15-D16-D17</f>
        <v>3185.0677843835174</v>
      </c>
      <c r="E18" s="534">
        <f>E11+E12+E13-E14+E15-E16-E17</f>
        <v>2795.6556066148451</v>
      </c>
      <c r="F18" s="534">
        <f>F11+F12+F13-F14+F15-F16-F17</f>
        <v>2411.5813463017071</v>
      </c>
      <c r="G18" s="534">
        <f>G11+G12+G13-G14+G15-G16-G17</f>
        <v>2025.4460903671256</v>
      </c>
      <c r="H18" s="276">
        <f>IF(D18=0,"nm",IF(G18=0,"nm",(G18/D18)^(1/3)-1))</f>
        <v>-0.14006161224568914</v>
      </c>
      <c r="I18" s="254"/>
      <c r="J18" s="5" t="s">
        <v>36</v>
      </c>
      <c r="L18" s="248">
        <f>'W.EUR OTHER'!D46</f>
        <v>7.0241435315537989E-2</v>
      </c>
      <c r="M18" s="248">
        <f>'W.EUR OTHER'!E46</f>
        <v>4.5697904024259245E-2</v>
      </c>
      <c r="N18" s="248">
        <f>'W.EUR OTHER'!F46</f>
        <v>4.7170150494817063E-2</v>
      </c>
      <c r="O18" s="248">
        <f>'W.EUR OTHER'!G46</f>
        <v>4.8241300976334903E-2</v>
      </c>
      <c r="P18" s="279">
        <f>'W.EUR OTHER'!H46</f>
        <v>-0.13991829578276849</v>
      </c>
      <c r="S18" s="88"/>
      <c r="T18" s="42"/>
      <c r="U18" s="42"/>
      <c r="V18" s="42"/>
      <c r="W18" s="42"/>
      <c r="X18" s="42"/>
      <c r="Y18" s="42"/>
      <c r="Z18" s="42"/>
      <c r="AA18" s="42"/>
      <c r="AB18" s="39"/>
      <c r="AC18" s="39"/>
      <c r="AD18" s="39"/>
      <c r="AE18" s="39"/>
      <c r="AF18" s="39"/>
      <c r="AG18" s="39"/>
      <c r="AH18" s="39"/>
      <c r="AI18" s="39"/>
      <c r="AJ18" s="39"/>
      <c r="AK18" s="39"/>
      <c r="AL18" s="39"/>
      <c r="AM18" s="39"/>
      <c r="AN18" s="39"/>
      <c r="AO18" s="39"/>
      <c r="AP18" s="39"/>
      <c r="AQ18" s="39"/>
      <c r="AR18" s="39"/>
    </row>
    <row r="19" spans="2:44" ht="12.6" thickTop="1">
      <c r="B19" s="41"/>
      <c r="C19" s="249"/>
      <c r="D19" s="229"/>
      <c r="E19" s="229"/>
      <c r="F19" s="229"/>
      <c r="G19" s="229"/>
      <c r="H19" s="276"/>
      <c r="I19" s="254"/>
      <c r="J19" s="5" t="s">
        <v>581</v>
      </c>
      <c r="L19" s="248">
        <f>'W.EUR OTHER'!D47</f>
        <v>5.9642268148913748E-2</v>
      </c>
      <c r="M19" s="248">
        <f>'W.EUR OTHER'!E47</f>
        <v>5.5449756012868556E-2</v>
      </c>
      <c r="N19" s="248">
        <f>'W.EUR OTHER'!F47</f>
        <v>9.4594899628271986E-2</v>
      </c>
      <c r="O19" s="248">
        <f>'W.EUR OTHER'!G47</f>
        <v>0.12191910814423843</v>
      </c>
      <c r="P19" s="279">
        <f>'W.EUR OTHER'!H47</f>
        <v>0.21960762754614027</v>
      </c>
      <c r="S19" s="88"/>
      <c r="T19" s="42"/>
      <c r="U19" s="42"/>
      <c r="V19" s="42"/>
      <c r="W19" s="42"/>
      <c r="X19" s="42"/>
      <c r="Y19" s="42"/>
      <c r="Z19" s="42"/>
      <c r="AA19" s="42"/>
      <c r="AB19" s="39"/>
      <c r="AC19" s="39"/>
      <c r="AD19" s="39"/>
      <c r="AE19" s="39"/>
      <c r="AF19" s="39"/>
      <c r="AG19" s="39"/>
      <c r="AH19" s="39"/>
      <c r="AI19" s="39"/>
      <c r="AJ19" s="39"/>
      <c r="AK19" s="39"/>
      <c r="AL19" s="39"/>
      <c r="AM19" s="39"/>
      <c r="AN19" s="39"/>
      <c r="AO19" s="39"/>
      <c r="AP19" s="39"/>
      <c r="AQ19" s="39"/>
      <c r="AR19" s="39"/>
    </row>
    <row r="20" spans="2:44">
      <c r="H20" s="277"/>
      <c r="I20" s="17"/>
      <c r="J20" s="5" t="s">
        <v>604</v>
      </c>
      <c r="L20" s="305">
        <f>'W.EUR OTHER'!D48</f>
        <v>1.1058218246883247</v>
      </c>
      <c r="M20" s="305">
        <f>'W.EUR OTHER'!E48</f>
        <v>0.7720587558994737</v>
      </c>
      <c r="N20" s="305">
        <f>'W.EUR OTHER'!F48</f>
        <v>0.47387935381738827</v>
      </c>
      <c r="O20" s="305">
        <f>'W.EUR OTHER'!G48</f>
        <v>0.38783222312893756</v>
      </c>
      <c r="P20" s="279" t="str">
        <f>'W.EUR OTHER'!H48</f>
        <v>nm</v>
      </c>
      <c r="S20" s="88"/>
      <c r="T20" s="42"/>
      <c r="U20" s="42"/>
      <c r="V20" s="42"/>
      <c r="W20" s="42"/>
      <c r="X20" s="42"/>
      <c r="Y20" s="42"/>
      <c r="Z20" s="42"/>
      <c r="AA20" s="42"/>
      <c r="AB20" s="39"/>
      <c r="AC20" s="39"/>
      <c r="AD20" s="39"/>
      <c r="AE20" s="39"/>
      <c r="AF20" s="39"/>
      <c r="AG20" s="39"/>
      <c r="AH20" s="39"/>
      <c r="AI20" s="39"/>
      <c r="AJ20" s="39"/>
      <c r="AK20" s="39"/>
      <c r="AL20" s="39"/>
      <c r="AM20" s="39"/>
      <c r="AN20" s="39"/>
      <c r="AO20" s="39"/>
      <c r="AP20" s="39"/>
      <c r="AQ20" s="39"/>
      <c r="AR20" s="39"/>
    </row>
    <row r="21" spans="2:44" ht="12.6" thickBot="1">
      <c r="B21" s="306" t="s">
        <v>926</v>
      </c>
      <c r="C21" s="265"/>
      <c r="D21" s="265" t="str">
        <f>D5</f>
        <v>2023E</v>
      </c>
      <c r="E21" s="265" t="str">
        <f t="shared" ref="E21:H21" si="3">E5</f>
        <v>2024E</v>
      </c>
      <c r="F21" s="265" t="str">
        <f t="shared" si="3"/>
        <v>2025E</v>
      </c>
      <c r="G21" s="265" t="str">
        <f t="shared" si="3"/>
        <v>2026E</v>
      </c>
      <c r="H21" s="265" t="str">
        <f t="shared" si="3"/>
        <v>23E-26E</v>
      </c>
      <c r="I21" s="49"/>
      <c r="J21" s="41"/>
      <c r="L21" s="250"/>
      <c r="M21" s="250"/>
      <c r="N21" s="250"/>
      <c r="O21" s="250"/>
      <c r="P21" s="279"/>
      <c r="S21" s="88"/>
      <c r="T21" s="42"/>
      <c r="U21" s="42"/>
      <c r="V21" s="42"/>
      <c r="W21" s="42"/>
      <c r="X21" s="42"/>
      <c r="Y21" s="42"/>
      <c r="Z21" s="42"/>
      <c r="AA21" s="42"/>
      <c r="AB21" s="39"/>
      <c r="AC21" s="39"/>
      <c r="AD21" s="39"/>
      <c r="AE21" s="39"/>
      <c r="AF21" s="39"/>
      <c r="AG21" s="39"/>
      <c r="AH21" s="39"/>
      <c r="AI21" s="39"/>
      <c r="AJ21" s="39"/>
      <c r="AK21" s="39"/>
      <c r="AL21" s="39"/>
      <c r="AM21" s="39"/>
      <c r="AN21" s="39"/>
      <c r="AO21" s="39"/>
      <c r="AP21" s="39"/>
      <c r="AQ21" s="39"/>
      <c r="AR21" s="39"/>
    </row>
    <row r="22" spans="2:44" ht="12.6" thickTop="1">
      <c r="B22" s="5"/>
      <c r="C22" s="257"/>
      <c r="D22" s="17"/>
      <c r="E22" s="17"/>
      <c r="F22" s="17"/>
      <c r="G22" s="17"/>
      <c r="H22" s="17"/>
      <c r="I22" s="17"/>
      <c r="P22" s="277"/>
      <c r="S22" s="88"/>
      <c r="T22" s="42"/>
      <c r="U22" s="42"/>
      <c r="V22" s="42"/>
      <c r="W22" s="42"/>
      <c r="X22" s="42"/>
      <c r="Y22" s="42"/>
      <c r="Z22" s="42"/>
      <c r="AA22" s="42"/>
      <c r="AB22" s="39"/>
      <c r="AC22" s="39"/>
      <c r="AD22" s="39"/>
      <c r="AE22" s="39"/>
      <c r="AF22" s="39"/>
      <c r="AG22" s="39"/>
      <c r="AH22" s="39"/>
      <c r="AI22" s="39"/>
      <c r="AJ22" s="39"/>
      <c r="AK22" s="39"/>
      <c r="AL22" s="39"/>
      <c r="AM22" s="39"/>
      <c r="AN22" s="39"/>
      <c r="AO22" s="39"/>
      <c r="AP22" s="39"/>
      <c r="AQ22" s="39"/>
      <c r="AR22" s="39"/>
    </row>
    <row r="23" spans="2:44" ht="12.6" thickBot="1">
      <c r="B23" s="5" t="s">
        <v>584</v>
      </c>
      <c r="C23" s="548">
        <v>1599.5935227437631</v>
      </c>
      <c r="D23" s="540">
        <v>1616.2242473486231</v>
      </c>
      <c r="E23" s="540">
        <v>1602.0184119897617</v>
      </c>
      <c r="F23" s="540">
        <v>1597.4562813008822</v>
      </c>
      <c r="G23" s="540">
        <v>1600.4118571797596</v>
      </c>
      <c r="H23" s="279">
        <f t="shared" ref="H23:H33" si="4">IF(D23=0,"nm",IF(G23=0,"nm",(G23/D23)^(1/3)-1))</f>
        <v>-3.2718725664974135E-3</v>
      </c>
      <c r="I23" s="247"/>
      <c r="J23" s="306" t="s">
        <v>9</v>
      </c>
      <c r="K23" s="306"/>
      <c r="L23" s="265" t="str">
        <f>D21</f>
        <v>2023E</v>
      </c>
      <c r="M23" s="265" t="str">
        <f t="shared" ref="M23:P23" si="5">E21</f>
        <v>2024E</v>
      </c>
      <c r="N23" s="265" t="str">
        <f t="shared" si="5"/>
        <v>2025E</v>
      </c>
      <c r="O23" s="265" t="str">
        <f t="shared" si="5"/>
        <v>2026E</v>
      </c>
      <c r="P23" s="265" t="str">
        <f t="shared" si="5"/>
        <v>23E-26E</v>
      </c>
      <c r="S23" s="88"/>
      <c r="T23" s="42"/>
      <c r="U23" s="42"/>
      <c r="V23" s="42"/>
      <c r="W23" s="42"/>
      <c r="X23" s="42"/>
      <c r="Y23" s="42"/>
      <c r="Z23" s="42"/>
      <c r="AA23" s="42"/>
      <c r="AB23" s="39"/>
      <c r="AC23" s="39"/>
      <c r="AD23" s="39"/>
      <c r="AE23" s="39"/>
      <c r="AF23" s="39"/>
      <c r="AG23" s="39"/>
      <c r="AH23" s="39"/>
      <c r="AI23" s="39"/>
      <c r="AJ23" s="39"/>
      <c r="AK23" s="39"/>
      <c r="AL23" s="39"/>
      <c r="AM23" s="39"/>
      <c r="AN23" s="39"/>
      <c r="AO23" s="39"/>
      <c r="AP23" s="39"/>
      <c r="AQ23" s="39"/>
      <c r="AR23" s="39"/>
    </row>
    <row r="24" spans="2:44" ht="12.6" thickTop="1">
      <c r="B24" s="5" t="s">
        <v>486</v>
      </c>
      <c r="C24" s="548">
        <v>651.06085125151162</v>
      </c>
      <c r="D24" s="540">
        <v>710.88419211908752</v>
      </c>
      <c r="E24" s="540">
        <v>719.88531137484188</v>
      </c>
      <c r="F24" s="540">
        <v>706.72941214815228</v>
      </c>
      <c r="G24" s="540">
        <v>697.12688379457893</v>
      </c>
      <c r="H24" s="279">
        <f t="shared" si="4"/>
        <v>-6.4928627842167908E-3</v>
      </c>
      <c r="I24" s="249"/>
      <c r="J24" s="17"/>
      <c r="K24" s="17"/>
      <c r="L24" s="17"/>
      <c r="M24" s="17"/>
      <c r="N24" s="17"/>
      <c r="O24" s="248"/>
      <c r="S24" s="88"/>
      <c r="T24" s="42"/>
      <c r="U24" s="42"/>
      <c r="V24" s="42"/>
      <c r="W24" s="42" t="s">
        <v>767</v>
      </c>
      <c r="X24" s="42" t="s">
        <v>254</v>
      </c>
      <c r="Y24" s="42"/>
      <c r="Z24" s="42"/>
      <c r="AA24" s="42"/>
      <c r="AB24" s="39"/>
      <c r="AC24" s="39"/>
      <c r="AD24" s="39"/>
      <c r="AE24" s="39"/>
      <c r="AF24" s="39"/>
      <c r="AG24" s="39"/>
      <c r="AH24" s="39"/>
      <c r="AI24" s="39"/>
      <c r="AJ24" s="39"/>
      <c r="AK24" s="39"/>
      <c r="AL24" s="39"/>
      <c r="AM24" s="39"/>
      <c r="AN24" s="39"/>
      <c r="AO24" s="39"/>
      <c r="AP24" s="39"/>
      <c r="AQ24" s="39"/>
      <c r="AR24" s="39"/>
    </row>
    <row r="25" spans="2:44">
      <c r="B25" s="5" t="s">
        <v>415</v>
      </c>
      <c r="C25" s="548">
        <v>155.13017691151163</v>
      </c>
      <c r="D25" s="540">
        <v>319.70934856808753</v>
      </c>
      <c r="E25" s="540">
        <v>338.45871938833187</v>
      </c>
      <c r="F25" s="540">
        <v>336.5485542417772</v>
      </c>
      <c r="G25" s="540">
        <v>338.11421730914009</v>
      </c>
      <c r="H25" s="279">
        <f t="shared" si="4"/>
        <v>1.8832286194054415E-2</v>
      </c>
      <c r="I25" s="248"/>
      <c r="J25" s="247" t="s">
        <v>10</v>
      </c>
      <c r="K25" s="247"/>
      <c r="L25" s="321">
        <v>491.89615160519702</v>
      </c>
      <c r="M25" s="321">
        <v>388.45389778957349</v>
      </c>
      <c r="N25" s="321">
        <v>238.66157663977344</v>
      </c>
      <c r="O25" s="321">
        <v>0</v>
      </c>
      <c r="P25" s="279" t="str">
        <f>IF(L25=0,"nm",IF(O25=0,"nm",(O25/L25)^(1/3)-1))</f>
        <v>nm</v>
      </c>
      <c r="S25" s="88"/>
      <c r="T25" s="42"/>
      <c r="U25" s="42"/>
      <c r="V25" s="147" t="s">
        <v>273</v>
      </c>
      <c r="W25" s="288">
        <f>D37/L9</f>
        <v>1.2121766570600216</v>
      </c>
      <c r="X25" s="288">
        <v>1</v>
      </c>
      <c r="Y25" s="42"/>
      <c r="Z25" s="42"/>
      <c r="AA25" s="42"/>
      <c r="AB25" s="39"/>
      <c r="AC25" s="39"/>
      <c r="AD25" s="39"/>
      <c r="AE25" s="39"/>
      <c r="AF25" s="39"/>
      <c r="AG25" s="39"/>
      <c r="AH25" s="39"/>
      <c r="AI25" s="39"/>
      <c r="AJ25" s="39"/>
      <c r="AK25" s="39"/>
      <c r="AL25" s="39"/>
      <c r="AM25" s="39"/>
      <c r="AN25" s="39"/>
      <c r="AO25" s="39"/>
      <c r="AP25" s="39"/>
      <c r="AQ25" s="39"/>
      <c r="AR25" s="39"/>
    </row>
    <row r="26" spans="2:44">
      <c r="B26" s="5" t="s">
        <v>416</v>
      </c>
      <c r="C26" s="548">
        <v>109.3667747226157</v>
      </c>
      <c r="D26" s="540">
        <v>225.39509074050173</v>
      </c>
      <c r="E26" s="540">
        <v>238.61339716877399</v>
      </c>
      <c r="F26" s="540">
        <v>237.26673074045294</v>
      </c>
      <c r="G26" s="540">
        <v>238.37052320294379</v>
      </c>
      <c r="H26" s="279">
        <f t="shared" si="4"/>
        <v>1.8832286194054415E-2</v>
      </c>
      <c r="I26" s="249"/>
      <c r="J26" s="249" t="s">
        <v>11</v>
      </c>
      <c r="K26" s="249"/>
      <c r="L26" s="281">
        <f>D11+L25</f>
        <v>2208.4268615951969</v>
      </c>
      <c r="M26" s="281">
        <f>E11+M25</f>
        <v>2104.9846077795737</v>
      </c>
      <c r="N26" s="281">
        <f>F11+N25</f>
        <v>1955.1922866297737</v>
      </c>
      <c r="O26" s="281">
        <f>G11+O25</f>
        <v>1716.5307099900001</v>
      </c>
      <c r="P26" s="279">
        <f>IF(L26=0,"nm",IF(O26=0,"nm",(O26/L26)^(1/3)-1))</f>
        <v>-8.0561146282228213E-2</v>
      </c>
      <c r="Q26" s="5"/>
      <c r="S26" s="88"/>
      <c r="T26" s="42"/>
      <c r="U26" s="42"/>
      <c r="V26" s="147" t="s">
        <v>184</v>
      </c>
      <c r="W26" s="288">
        <f t="shared" ref="W26:W33" si="6">D38/L10</f>
        <v>0.84864281051942125</v>
      </c>
      <c r="X26" s="288">
        <v>1</v>
      </c>
      <c r="Y26" s="42"/>
      <c r="Z26" s="42"/>
      <c r="AA26" s="42"/>
      <c r="AB26" s="39"/>
      <c r="AC26" s="39"/>
      <c r="AD26" s="39"/>
      <c r="AE26" s="39"/>
      <c r="AF26" s="39"/>
      <c r="AG26" s="39"/>
      <c r="AH26" s="39"/>
      <c r="AI26" s="39"/>
      <c r="AJ26" s="39"/>
      <c r="AK26" s="39"/>
      <c r="AL26" s="39"/>
      <c r="AM26" s="39"/>
      <c r="AN26" s="39"/>
      <c r="AO26" s="39"/>
      <c r="AP26" s="39"/>
      <c r="AQ26" s="39"/>
      <c r="AR26" s="39"/>
    </row>
    <row r="27" spans="2:44">
      <c r="B27" s="5" t="s">
        <v>587</v>
      </c>
      <c r="C27" s="548">
        <v>2078.7618470547286</v>
      </c>
      <c r="D27" s="540">
        <v>2088.3639981803317</v>
      </c>
      <c r="E27" s="540">
        <v>2068.4976431135465</v>
      </c>
      <c r="F27" s="540">
        <v>2106.5177212958301</v>
      </c>
      <c r="G27" s="540">
        <v>2107.8469371421938</v>
      </c>
      <c r="H27" s="279">
        <f t="shared" si="4"/>
        <v>3.1001402333019623E-3</v>
      </c>
      <c r="I27" s="249"/>
      <c r="J27" s="248"/>
      <c r="K27" s="248"/>
      <c r="L27" s="248"/>
      <c r="M27" s="248"/>
      <c r="N27" s="248"/>
      <c r="O27" s="248"/>
      <c r="Q27" s="41"/>
      <c r="S27" s="88"/>
      <c r="T27" s="42"/>
      <c r="U27" s="42"/>
      <c r="V27" s="147" t="s">
        <v>185</v>
      </c>
      <c r="W27" s="288">
        <f t="shared" si="6"/>
        <v>0.78221084390130657</v>
      </c>
      <c r="X27" s="288">
        <v>1</v>
      </c>
      <c r="Y27" s="42"/>
      <c r="Z27" s="42"/>
      <c r="AA27" s="42"/>
      <c r="AB27" s="39"/>
      <c r="AC27" s="39"/>
      <c r="AD27" s="39"/>
      <c r="AE27" s="39"/>
      <c r="AF27" s="39"/>
      <c r="AG27" s="39"/>
      <c r="AH27" s="39"/>
      <c r="AI27" s="39"/>
      <c r="AJ27" s="39"/>
      <c r="AK27" s="39"/>
      <c r="AL27" s="39"/>
      <c r="AM27" s="39"/>
      <c r="AN27" s="39"/>
      <c r="AO27" s="39"/>
      <c r="AP27" s="39"/>
      <c r="AQ27" s="39"/>
      <c r="AR27" s="39"/>
    </row>
    <row r="28" spans="2:44" ht="12.6" thickBot="1">
      <c r="B28" s="5" t="s">
        <v>592</v>
      </c>
      <c r="C28" s="548">
        <v>1898.8789999999999</v>
      </c>
      <c r="D28" s="540">
        <v>1809.1667408139849</v>
      </c>
      <c r="E28" s="540">
        <v>1732.4256705333335</v>
      </c>
      <c r="F28" s="540">
        <v>1663.8733804034173</v>
      </c>
      <c r="G28" s="540">
        <v>1601.5136217772811</v>
      </c>
      <c r="H28" s="279">
        <f t="shared" si="4"/>
        <v>-3.9824366610328843E-2</v>
      </c>
      <c r="I28" s="248"/>
      <c r="J28" s="306" t="s">
        <v>1362</v>
      </c>
      <c r="K28" s="306"/>
      <c r="L28" s="306"/>
      <c r="M28" s="306"/>
      <c r="N28" s="266"/>
      <c r="O28" s="266"/>
      <c r="P28" s="266"/>
      <c r="Q28" s="5"/>
      <c r="S28" s="88"/>
      <c r="T28" s="42"/>
      <c r="U28" s="42"/>
      <c r="V28" s="147" t="s">
        <v>466</v>
      </c>
      <c r="W28" s="288">
        <f t="shared" si="6"/>
        <v>0.80578197682165731</v>
      </c>
      <c r="X28" s="288">
        <v>1</v>
      </c>
      <c r="Y28" s="42"/>
      <c r="Z28" s="42"/>
      <c r="AA28" s="42"/>
      <c r="AB28" s="39"/>
      <c r="AC28" s="39"/>
      <c r="AD28" s="39"/>
      <c r="AE28" s="39"/>
      <c r="AF28" s="39"/>
      <c r="AG28" s="39"/>
      <c r="AH28" s="39"/>
      <c r="AI28" s="39"/>
      <c r="AJ28" s="39"/>
      <c r="AK28" s="39"/>
      <c r="AL28" s="39"/>
      <c r="AM28" s="39"/>
      <c r="AN28" s="39"/>
      <c r="AO28" s="39"/>
      <c r="AP28" s="39"/>
      <c r="AQ28" s="39"/>
      <c r="AR28" s="39"/>
    </row>
    <row r="29" spans="2:44" ht="12.6" thickTop="1">
      <c r="B29" s="5" t="s">
        <v>588</v>
      </c>
      <c r="C29" s="548">
        <v>87.243014711520573</v>
      </c>
      <c r="D29" s="540">
        <v>213.38951514393284</v>
      </c>
      <c r="E29" s="540">
        <v>220.68746644691527</v>
      </c>
      <c r="F29" s="540">
        <v>218.69713475553806</v>
      </c>
      <c r="G29" s="540">
        <v>217.88512047979083</v>
      </c>
      <c r="H29" s="279">
        <f t="shared" si="4"/>
        <v>6.973787175970525E-3</v>
      </c>
      <c r="I29" s="252"/>
      <c r="J29" s="249"/>
      <c r="K29" s="249"/>
      <c r="L29" s="249"/>
      <c r="M29" s="249"/>
      <c r="N29" s="249"/>
      <c r="O29" s="251"/>
      <c r="Q29" s="5"/>
      <c r="S29" s="88"/>
      <c r="T29" s="42"/>
      <c r="U29" s="42"/>
      <c r="V29" s="147" t="s">
        <v>530</v>
      </c>
      <c r="W29" s="288">
        <f t="shared" si="6"/>
        <v>2.0776381725713828</v>
      </c>
      <c r="X29" s="288">
        <v>1</v>
      </c>
      <c r="Y29" s="42"/>
      <c r="Z29" s="42"/>
      <c r="AA29" s="42"/>
      <c r="AB29" s="39"/>
      <c r="AC29" s="39"/>
      <c r="AD29" s="39"/>
      <c r="AE29" s="39"/>
      <c r="AF29" s="39"/>
      <c r="AG29" s="39"/>
      <c r="AH29" s="39"/>
      <c r="AI29" s="39"/>
      <c r="AJ29" s="39"/>
      <c r="AK29" s="39"/>
      <c r="AL29" s="39"/>
      <c r="AM29" s="39"/>
      <c r="AN29" s="39"/>
      <c r="AO29" s="39"/>
      <c r="AP29" s="39"/>
      <c r="AQ29" s="39"/>
      <c r="AR29" s="39"/>
    </row>
    <row r="30" spans="2:44">
      <c r="B30" s="5" t="s">
        <v>589</v>
      </c>
      <c r="C30" s="548">
        <v>102.28658631450577</v>
      </c>
      <c r="D30" s="540">
        <v>123.67725595791794</v>
      </c>
      <c r="E30" s="540">
        <v>143.94639616626387</v>
      </c>
      <c r="F30" s="540">
        <v>150.14484462562166</v>
      </c>
      <c r="G30" s="540">
        <v>155.52536185365466</v>
      </c>
      <c r="H30" s="279">
        <f t="shared" si="4"/>
        <v>7.9370290098279117E-2</v>
      </c>
      <c r="I30" s="254"/>
      <c r="J30" s="248"/>
      <c r="K30" s="248"/>
      <c r="L30" s="248"/>
      <c r="M30" s="248"/>
      <c r="N30" s="248"/>
      <c r="O30" s="5"/>
      <c r="Q30" s="5"/>
      <c r="S30" s="88"/>
      <c r="T30" s="42"/>
      <c r="U30" s="42"/>
      <c r="V30" s="147" t="s">
        <v>593</v>
      </c>
      <c r="W30" s="288">
        <f t="shared" si="6"/>
        <v>0.99216136851774606</v>
      </c>
      <c r="X30" s="288">
        <v>1</v>
      </c>
      <c r="Y30" s="42"/>
      <c r="Z30" s="42"/>
      <c r="AA30" s="42"/>
      <c r="AB30" s="39"/>
      <c r="AC30" s="39"/>
      <c r="AD30" s="39"/>
      <c r="AE30" s="39"/>
      <c r="AF30" s="39"/>
      <c r="AG30" s="39"/>
      <c r="AH30" s="39"/>
      <c r="AI30" s="39"/>
      <c r="AJ30" s="39"/>
      <c r="AK30" s="39"/>
      <c r="AL30" s="39"/>
      <c r="AM30" s="39"/>
      <c r="AN30" s="39"/>
      <c r="AO30" s="39"/>
      <c r="AP30" s="39"/>
      <c r="AQ30" s="39"/>
      <c r="AR30" s="39"/>
    </row>
    <row r="31" spans="2:44">
      <c r="B31" s="5" t="s">
        <v>590</v>
      </c>
      <c r="C31" s="548">
        <v>142.65935347600001</v>
      </c>
      <c r="D31" s="540">
        <v>142.65935347600001</v>
      </c>
      <c r="E31" s="540">
        <v>149.79232114980002</v>
      </c>
      <c r="F31" s="540">
        <v>157.28193720729004</v>
      </c>
      <c r="G31" s="540">
        <v>165.14603406765454</v>
      </c>
      <c r="H31" s="279">
        <f t="shared" si="4"/>
        <v>5.0000000000000044E-2</v>
      </c>
      <c r="I31" s="254"/>
      <c r="J31" s="252"/>
      <c r="K31" s="252"/>
      <c r="L31" s="252"/>
      <c r="M31" s="252"/>
      <c r="N31" s="252"/>
      <c r="O31" s="5"/>
      <c r="Q31" s="5"/>
      <c r="S31" s="88"/>
      <c r="T31" s="42"/>
      <c r="U31" s="42"/>
      <c r="V31" s="147" t="s">
        <v>475</v>
      </c>
      <c r="W31" s="288">
        <f t="shared" si="6"/>
        <v>0.61725425908429288</v>
      </c>
      <c r="X31" s="288">
        <v>1</v>
      </c>
      <c r="Y31" s="42"/>
      <c r="Z31" s="42"/>
      <c r="AA31" s="42"/>
      <c r="AB31" s="39"/>
      <c r="AC31" s="39"/>
      <c r="AD31" s="39"/>
      <c r="AE31" s="39"/>
      <c r="AF31" s="39"/>
      <c r="AG31" s="39"/>
      <c r="AH31" s="39"/>
      <c r="AI31" s="39"/>
      <c r="AJ31" s="39"/>
      <c r="AK31" s="39"/>
      <c r="AL31" s="39"/>
      <c r="AM31" s="39"/>
      <c r="AN31" s="39"/>
      <c r="AO31" s="39"/>
      <c r="AP31" s="39"/>
      <c r="AQ31" s="39"/>
      <c r="AR31" s="39"/>
    </row>
    <row r="32" spans="2:44">
      <c r="B32" s="5" t="s">
        <v>606</v>
      </c>
      <c r="C32" s="550">
        <v>0</v>
      </c>
      <c r="D32" s="540">
        <v>0</v>
      </c>
      <c r="E32" s="540">
        <v>0</v>
      </c>
      <c r="F32" s="540">
        <v>0</v>
      </c>
      <c r="G32" s="540">
        <v>0</v>
      </c>
      <c r="H32" s="279" t="str">
        <f t="shared" si="4"/>
        <v>nm</v>
      </c>
      <c r="I32" s="254"/>
      <c r="J32" s="254"/>
      <c r="K32" s="254"/>
      <c r="L32" s="254"/>
      <c r="M32" s="254"/>
      <c r="N32" s="254"/>
      <c r="O32" s="251"/>
      <c r="Q32" s="5"/>
      <c r="S32" s="88"/>
      <c r="T32" s="42"/>
      <c r="U32" s="42"/>
      <c r="V32" s="147" t="s">
        <v>533</v>
      </c>
      <c r="W32" s="288">
        <f t="shared" si="6"/>
        <v>0.92944025477545145</v>
      </c>
      <c r="X32" s="288">
        <v>1</v>
      </c>
      <c r="Y32" s="42"/>
      <c r="Z32" s="42"/>
      <c r="AA32" s="42"/>
      <c r="AB32" s="39"/>
      <c r="AC32" s="39"/>
      <c r="AD32" s="39"/>
      <c r="AE32" s="39"/>
      <c r="AF32" s="39"/>
      <c r="AG32" s="39"/>
      <c r="AH32" s="39"/>
      <c r="AI32" s="39"/>
      <c r="AJ32" s="39"/>
      <c r="AK32" s="39"/>
      <c r="AL32" s="39"/>
      <c r="AM32" s="39"/>
      <c r="AN32" s="39"/>
      <c r="AO32" s="39"/>
      <c r="AP32" s="39"/>
      <c r="AQ32" s="39"/>
      <c r="AR32" s="39"/>
    </row>
    <row r="33" spans="2:44">
      <c r="B33" s="5" t="s">
        <v>5</v>
      </c>
      <c r="C33" s="548">
        <v>35.224014767974346</v>
      </c>
      <c r="D33" s="540">
        <v>36.729543809154649</v>
      </c>
      <c r="E33" s="540">
        <v>37.796832246570744</v>
      </c>
      <c r="F33" s="540">
        <v>32.250591591390467</v>
      </c>
      <c r="G33" s="540">
        <v>29.416656071022395</v>
      </c>
      <c r="H33" s="279">
        <f t="shared" si="4"/>
        <v>-7.1334618840520614E-2</v>
      </c>
      <c r="I33" s="5"/>
      <c r="J33" s="254"/>
      <c r="K33" s="254"/>
      <c r="L33" s="254"/>
      <c r="M33" s="254"/>
      <c r="N33" s="254"/>
      <c r="O33" s="251"/>
      <c r="Q33" s="5"/>
      <c r="S33" s="88"/>
      <c r="T33" s="42"/>
      <c r="U33" s="42"/>
      <c r="V33" s="147" t="s">
        <v>580</v>
      </c>
      <c r="W33" s="288">
        <f t="shared" si="6"/>
        <v>1.1831921957937572</v>
      </c>
      <c r="X33" s="288">
        <v>1</v>
      </c>
      <c r="Y33" s="42"/>
      <c r="Z33" s="42"/>
      <c r="AA33" s="42"/>
      <c r="AB33" s="39"/>
      <c r="AC33" s="39"/>
      <c r="AD33" s="39"/>
      <c r="AE33" s="39"/>
      <c r="AF33" s="39"/>
      <c r="AG33" s="39"/>
      <c r="AH33" s="39"/>
      <c r="AI33" s="39"/>
      <c r="AJ33" s="39"/>
      <c r="AK33" s="39"/>
      <c r="AL33" s="39"/>
      <c r="AM33" s="39"/>
      <c r="AN33" s="39"/>
      <c r="AO33" s="39"/>
      <c r="AP33" s="39"/>
      <c r="AQ33" s="39"/>
      <c r="AR33" s="39"/>
    </row>
    <row r="34" spans="2:44">
      <c r="B34" s="5"/>
      <c r="C34" s="247"/>
      <c r="D34" s="17"/>
      <c r="E34" s="17"/>
      <c r="F34" s="17"/>
      <c r="G34" s="17"/>
      <c r="H34" s="277"/>
      <c r="I34" s="49"/>
      <c r="J34" s="254"/>
      <c r="K34" s="254"/>
      <c r="L34" s="254"/>
      <c r="M34" s="254"/>
      <c r="N34" s="254"/>
      <c r="O34" s="251"/>
      <c r="Q34" s="5"/>
      <c r="S34" s="88"/>
      <c r="T34" s="42"/>
      <c r="U34" s="42"/>
      <c r="V34" s="147" t="s">
        <v>581</v>
      </c>
      <c r="W34" s="288">
        <f>D47/L19</f>
        <v>1.6200779262074545</v>
      </c>
      <c r="X34" s="288">
        <v>1</v>
      </c>
      <c r="Y34" s="288"/>
      <c r="Z34" s="288"/>
      <c r="AA34" s="42"/>
      <c r="AB34" s="39"/>
      <c r="AC34" s="39"/>
      <c r="AD34" s="39"/>
      <c r="AE34" s="39"/>
      <c r="AF34" s="39"/>
      <c r="AG34" s="39"/>
      <c r="AH34" s="39"/>
      <c r="AI34" s="39"/>
      <c r="AJ34" s="39"/>
      <c r="AK34" s="39"/>
      <c r="AL34" s="39"/>
      <c r="AM34" s="39"/>
      <c r="AN34" s="39"/>
      <c r="AO34" s="39"/>
      <c r="AP34" s="39"/>
      <c r="AQ34" s="39"/>
      <c r="AR34" s="39"/>
    </row>
    <row r="35" spans="2:44" ht="12.6" thickBot="1">
      <c r="B35" s="306" t="s">
        <v>768</v>
      </c>
      <c r="C35" s="265"/>
      <c r="D35" s="265" t="str">
        <f>D5</f>
        <v>2023E</v>
      </c>
      <c r="E35" s="265" t="str">
        <f t="shared" ref="E35:H35" si="7">E5</f>
        <v>2024E</v>
      </c>
      <c r="F35" s="265" t="str">
        <f t="shared" si="7"/>
        <v>2025E</v>
      </c>
      <c r="G35" s="265" t="str">
        <f t="shared" si="7"/>
        <v>2026E</v>
      </c>
      <c r="H35" s="265" t="str">
        <f t="shared" si="7"/>
        <v>23E-26E</v>
      </c>
      <c r="I35" s="254"/>
      <c r="J35" s="5"/>
      <c r="K35" s="5"/>
      <c r="L35" s="5"/>
      <c r="M35" s="5"/>
      <c r="N35" s="5"/>
      <c r="O35" s="5"/>
      <c r="Q35" s="5"/>
      <c r="S35" s="88"/>
      <c r="T35" s="42"/>
      <c r="U35" s="42"/>
      <c r="V35" s="42"/>
      <c r="W35" s="42"/>
      <c r="X35" s="42"/>
      <c r="Y35" s="288"/>
      <c r="Z35" s="288"/>
      <c r="AA35" s="42"/>
      <c r="AB35" s="39"/>
      <c r="AC35" s="39"/>
      <c r="AD35" s="39"/>
      <c r="AE35" s="39"/>
      <c r="AF35" s="39"/>
      <c r="AG35" s="39"/>
      <c r="AH35" s="39"/>
      <c r="AI35" s="39"/>
      <c r="AJ35" s="39"/>
      <c r="AK35" s="39"/>
      <c r="AL35" s="39"/>
      <c r="AM35" s="39"/>
      <c r="AN35" s="39"/>
      <c r="AO35" s="39"/>
      <c r="AP35" s="39"/>
      <c r="AQ35" s="39"/>
      <c r="AR35" s="39"/>
    </row>
    <row r="36" spans="2:44" ht="12.6" thickTop="1">
      <c r="B36" s="41"/>
      <c r="C36" s="249"/>
      <c r="D36" s="254"/>
      <c r="E36" s="254"/>
      <c r="F36" s="254"/>
      <c r="G36" s="254"/>
      <c r="H36" s="254"/>
      <c r="I36" s="17"/>
      <c r="J36" s="49"/>
      <c r="K36" s="49"/>
      <c r="L36" s="49"/>
      <c r="M36" s="49"/>
      <c r="N36" s="49"/>
      <c r="O36" s="49"/>
      <c r="Q36" s="5"/>
      <c r="S36" s="88"/>
      <c r="T36" s="42"/>
      <c r="U36" s="42"/>
      <c r="V36" s="42"/>
      <c r="W36" s="42"/>
      <c r="X36" s="42"/>
      <c r="Y36" s="288"/>
      <c r="Z36" s="288"/>
      <c r="AA36" s="42"/>
      <c r="AB36" s="39"/>
      <c r="AC36" s="39"/>
      <c r="AD36" s="39"/>
      <c r="AE36" s="39"/>
      <c r="AF36" s="39"/>
      <c r="AG36" s="39"/>
      <c r="AH36" s="39"/>
      <c r="AI36" s="39"/>
      <c r="AJ36" s="39"/>
      <c r="AK36" s="39"/>
      <c r="AL36" s="39"/>
      <c r="AM36" s="39"/>
      <c r="AN36" s="39"/>
      <c r="AO36" s="39"/>
      <c r="AP36" s="39"/>
      <c r="AQ36" s="39"/>
      <c r="AR36" s="39"/>
    </row>
    <row r="37" spans="2:44">
      <c r="B37" s="5" t="s">
        <v>273</v>
      </c>
      <c r="C37" s="247"/>
      <c r="D37" s="529">
        <f t="shared" ref="D37:G41" si="8">D$18/D23</f>
        <v>1.9706843215652434</v>
      </c>
      <c r="E37" s="529">
        <f t="shared" si="8"/>
        <v>1.7450833184510939</v>
      </c>
      <c r="F37" s="529">
        <f t="shared" si="8"/>
        <v>1.5096384010821537</v>
      </c>
      <c r="G37" s="529">
        <f t="shared" si="8"/>
        <v>1.2655780331047783</v>
      </c>
      <c r="H37" s="17">
        <f t="shared" ref="H37:H45" si="9">H23</f>
        <v>-3.2718725664974135E-3</v>
      </c>
      <c r="I37" s="5"/>
      <c r="J37" s="259"/>
      <c r="K37" s="259"/>
      <c r="L37" s="259"/>
      <c r="M37" s="259"/>
      <c r="N37" s="259"/>
      <c r="O37" s="18"/>
      <c r="Q37" s="5"/>
      <c r="R37" s="5"/>
      <c r="S37" s="42"/>
      <c r="T37" s="42"/>
      <c r="U37" s="42"/>
      <c r="V37" s="42"/>
      <c r="W37" s="42"/>
      <c r="X37" s="42"/>
      <c r="Y37" s="42"/>
      <c r="Z37" s="42"/>
      <c r="AA37" s="42"/>
      <c r="AB37" s="39"/>
      <c r="AC37" s="39"/>
      <c r="AD37" s="39"/>
      <c r="AE37" s="39"/>
      <c r="AF37" s="39"/>
      <c r="AG37" s="39"/>
      <c r="AH37" s="39"/>
      <c r="AI37" s="39"/>
      <c r="AJ37" s="39"/>
      <c r="AK37" s="39"/>
      <c r="AL37" s="39"/>
      <c r="AM37" s="39"/>
      <c r="AN37" s="39"/>
      <c r="AO37" s="39"/>
      <c r="AP37" s="39"/>
      <c r="AQ37" s="39"/>
      <c r="AR37" s="39"/>
    </row>
    <row r="38" spans="2:44">
      <c r="B38" s="5" t="s">
        <v>417</v>
      </c>
      <c r="C38" s="247"/>
      <c r="D38" s="529">
        <f t="shared" si="8"/>
        <v>4.4804312990686874</v>
      </c>
      <c r="E38" s="529">
        <f t="shared" si="8"/>
        <v>3.8834736067550577</v>
      </c>
      <c r="F38" s="529">
        <f t="shared" si="8"/>
        <v>3.4123121308501099</v>
      </c>
      <c r="G38" s="529">
        <f t="shared" si="8"/>
        <v>2.9054195691640547</v>
      </c>
      <c r="H38" s="17">
        <f t="shared" si="9"/>
        <v>-6.4928627842167908E-3</v>
      </c>
      <c r="I38" s="259"/>
      <c r="J38" s="17"/>
      <c r="K38" s="17"/>
      <c r="L38" s="17"/>
      <c r="M38" s="17"/>
      <c r="N38" s="17"/>
      <c r="O38" s="5"/>
      <c r="Q38" s="5"/>
      <c r="R38" s="5"/>
      <c r="S38" s="42"/>
      <c r="T38" s="42"/>
      <c r="U38" s="42"/>
      <c r="V38" s="42"/>
      <c r="W38" s="42"/>
      <c r="X38" s="42"/>
      <c r="Y38" s="42"/>
      <c r="Z38" s="42"/>
      <c r="AA38" s="42"/>
      <c r="AB38" s="39"/>
      <c r="AC38" s="39"/>
      <c r="AD38" s="39"/>
      <c r="AE38" s="39"/>
      <c r="AF38" s="39"/>
      <c r="AG38" s="39"/>
      <c r="AH38" s="39"/>
      <c r="AI38" s="39"/>
      <c r="AJ38" s="39"/>
      <c r="AK38" s="39"/>
      <c r="AL38" s="39"/>
      <c r="AM38" s="39"/>
      <c r="AN38" s="39"/>
      <c r="AO38" s="39"/>
      <c r="AP38" s="39"/>
      <c r="AQ38" s="39"/>
      <c r="AR38" s="39"/>
    </row>
    <row r="39" spans="2:44">
      <c r="B39" s="5" t="s">
        <v>418</v>
      </c>
      <c r="C39" s="247"/>
      <c r="D39" s="529">
        <f t="shared" si="8"/>
        <v>9.962385518749393</v>
      </c>
      <c r="E39" s="529">
        <f t="shared" si="8"/>
        <v>8.2599603628684743</v>
      </c>
      <c r="F39" s="529">
        <f t="shared" si="8"/>
        <v>7.1656268193896979</v>
      </c>
      <c r="G39" s="529">
        <f t="shared" si="8"/>
        <v>5.9904197655055915</v>
      </c>
      <c r="H39" s="17">
        <f t="shared" si="9"/>
        <v>1.8832286194054415E-2</v>
      </c>
      <c r="I39" s="17"/>
      <c r="J39" s="5"/>
      <c r="K39" s="5"/>
      <c r="L39" s="5"/>
      <c r="M39" s="5"/>
      <c r="N39" s="5"/>
      <c r="O39" s="5"/>
      <c r="Q39" s="5"/>
      <c r="R39" s="5"/>
      <c r="S39" s="42"/>
      <c r="T39" s="42"/>
      <c r="U39" s="42"/>
      <c r="V39" s="42"/>
      <c r="W39" s="42"/>
      <c r="X39" s="42"/>
      <c r="Y39" s="42"/>
      <c r="Z39" s="42"/>
      <c r="AA39" s="42"/>
      <c r="AB39" s="39"/>
      <c r="AC39" s="39"/>
      <c r="AD39" s="39"/>
      <c r="AE39" s="39"/>
      <c r="AF39" s="39"/>
      <c r="AG39" s="39"/>
      <c r="AH39" s="39"/>
      <c r="AI39" s="39"/>
      <c r="AJ39" s="39"/>
      <c r="AK39" s="39"/>
      <c r="AL39" s="39"/>
      <c r="AM39" s="39"/>
      <c r="AN39" s="39"/>
      <c r="AO39" s="39"/>
      <c r="AP39" s="39"/>
      <c r="AQ39" s="39"/>
      <c r="AR39" s="39"/>
    </row>
    <row r="40" spans="2:44">
      <c r="B40" s="5" t="s">
        <v>419</v>
      </c>
      <c r="C40" s="247"/>
      <c r="D40" s="529">
        <f t="shared" si="8"/>
        <v>14.131043289006231</v>
      </c>
      <c r="E40" s="529">
        <f t="shared" si="8"/>
        <v>11.716255833855993</v>
      </c>
      <c r="F40" s="529">
        <f t="shared" si="8"/>
        <v>10.164009672893187</v>
      </c>
      <c r="G40" s="529">
        <f t="shared" si="8"/>
        <v>8.4970493127738873</v>
      </c>
      <c r="H40" s="17">
        <f t="shared" si="9"/>
        <v>1.8832286194054415E-2</v>
      </c>
      <c r="I40" s="5"/>
      <c r="J40" s="259"/>
      <c r="K40" s="259"/>
      <c r="L40" s="259"/>
      <c r="M40" s="259"/>
      <c r="N40" s="259"/>
      <c r="O40" s="18"/>
      <c r="Q40" s="5"/>
      <c r="R40" s="5"/>
      <c r="S40" s="42"/>
      <c r="T40" s="42"/>
      <c r="U40" s="42"/>
      <c r="V40" s="42"/>
      <c r="W40" s="288"/>
      <c r="X40" s="288"/>
      <c r="Y40" s="42"/>
      <c r="Z40" s="42"/>
      <c r="AA40" s="42"/>
      <c r="AB40" s="39"/>
      <c r="AC40" s="39"/>
      <c r="AD40" s="39"/>
      <c r="AE40" s="39"/>
      <c r="AF40" s="39"/>
      <c r="AG40" s="39"/>
      <c r="AH40" s="39"/>
      <c r="AI40" s="39"/>
      <c r="AJ40" s="39"/>
      <c r="AK40" s="39"/>
      <c r="AL40" s="39"/>
      <c r="AM40" s="39"/>
      <c r="AN40" s="39"/>
      <c r="AO40" s="39"/>
      <c r="AP40" s="39"/>
      <c r="AQ40" s="39"/>
      <c r="AR40" s="39"/>
    </row>
    <row r="41" spans="2:44">
      <c r="B41" s="5" t="s">
        <v>530</v>
      </c>
      <c r="C41" s="247"/>
      <c r="D41" s="529">
        <f t="shared" si="8"/>
        <v>1.5251497282843336</v>
      </c>
      <c r="E41" s="529">
        <f t="shared" si="8"/>
        <v>1.3515391791342652</v>
      </c>
      <c r="F41" s="529">
        <f t="shared" si="8"/>
        <v>1.1448189217312714</v>
      </c>
      <c r="G41" s="529">
        <f t="shared" si="8"/>
        <v>0.96090757572426644</v>
      </c>
      <c r="H41" s="17">
        <f t="shared" si="9"/>
        <v>3.1001402333019623E-3</v>
      </c>
      <c r="I41" s="247"/>
      <c r="J41" s="17"/>
      <c r="K41" s="17"/>
      <c r="L41" s="17"/>
      <c r="M41" s="17"/>
      <c r="N41" s="17"/>
      <c r="O41" s="5"/>
      <c r="Q41" s="5"/>
      <c r="R41" s="5"/>
      <c r="S41" s="42"/>
      <c r="T41" s="42"/>
      <c r="U41" s="42"/>
      <c r="V41" s="42"/>
      <c r="W41" s="288"/>
      <c r="X41" s="288"/>
      <c r="Y41" s="288"/>
      <c r="Z41" s="288"/>
      <c r="AA41" s="42"/>
      <c r="AB41" s="39"/>
      <c r="AC41" s="39"/>
      <c r="AD41" s="39"/>
      <c r="AE41" s="39"/>
      <c r="AF41" s="39"/>
      <c r="AG41" s="39"/>
      <c r="AH41" s="39"/>
      <c r="AI41" s="39"/>
      <c r="AJ41" s="39"/>
      <c r="AK41" s="39"/>
      <c r="AL41" s="39"/>
      <c r="AM41" s="39"/>
      <c r="AN41" s="39"/>
      <c r="AO41" s="39"/>
      <c r="AP41" s="39"/>
      <c r="AQ41" s="39"/>
      <c r="AR41" s="39"/>
    </row>
    <row r="42" spans="2:44">
      <c r="B42" s="5" t="s">
        <v>593</v>
      </c>
      <c r="C42" s="247"/>
      <c r="D42" s="529">
        <f>D18/D28</f>
        <v>1.7605164369484725</v>
      </c>
      <c r="E42" s="529">
        <f>E18/E28</f>
        <v>1.6137232633791396</v>
      </c>
      <c r="F42" s="529">
        <f>F18/F28</f>
        <v>1.4493779242486606</v>
      </c>
      <c r="G42" s="529">
        <f>G18/G28</f>
        <v>1.2647073760879943</v>
      </c>
      <c r="H42" s="17">
        <f t="shared" si="9"/>
        <v>-3.9824366610328843E-2</v>
      </c>
      <c r="I42" s="248"/>
      <c r="J42" s="5"/>
      <c r="K42" s="5"/>
      <c r="L42" s="5"/>
      <c r="M42" s="5"/>
      <c r="N42" s="5"/>
      <c r="O42" s="5"/>
      <c r="Q42" s="5"/>
      <c r="R42" s="5"/>
      <c r="S42" s="42"/>
      <c r="T42" s="42"/>
      <c r="U42" s="42"/>
      <c r="V42" s="42"/>
      <c r="W42" s="288"/>
      <c r="X42" s="288"/>
      <c r="Y42" s="288"/>
      <c r="Z42" s="288"/>
      <c r="AA42" s="42"/>
      <c r="AB42" s="39"/>
      <c r="AC42" s="39"/>
      <c r="AD42" s="39"/>
      <c r="AE42" s="39"/>
      <c r="AF42" s="39"/>
      <c r="AG42" s="39"/>
      <c r="AH42" s="39"/>
      <c r="AI42" s="39"/>
      <c r="AJ42" s="39"/>
      <c r="AK42" s="39"/>
      <c r="AL42" s="39"/>
      <c r="AM42" s="39"/>
      <c r="AN42" s="39"/>
      <c r="AO42" s="39"/>
      <c r="AP42" s="39"/>
      <c r="AQ42" s="39"/>
      <c r="AR42" s="39"/>
    </row>
    <row r="43" spans="2:44">
      <c r="B43" s="5" t="s">
        <v>475</v>
      </c>
      <c r="C43" s="247"/>
      <c r="D43" s="529">
        <f>L26/D29</f>
        <v>10.349275408895307</v>
      </c>
      <c r="E43" s="529">
        <f>M26/E29</f>
        <v>9.5383061017011226</v>
      </c>
      <c r="F43" s="529">
        <f>N26/F29</f>
        <v>8.9401824528488127</v>
      </c>
      <c r="G43" s="529">
        <f>O26/G29</f>
        <v>7.8781456311020142</v>
      </c>
      <c r="H43" s="17">
        <f t="shared" si="9"/>
        <v>6.973787175970525E-3</v>
      </c>
      <c r="I43" s="247"/>
      <c r="J43" s="247"/>
      <c r="K43" s="247"/>
      <c r="L43" s="247"/>
      <c r="M43" s="247"/>
      <c r="N43" s="247"/>
      <c r="O43" s="18"/>
      <c r="Q43" s="5"/>
      <c r="R43" s="5"/>
      <c r="S43" s="42"/>
      <c r="T43" s="42"/>
      <c r="U43" s="42"/>
      <c r="V43" s="42"/>
      <c r="W43" s="288"/>
      <c r="X43" s="288"/>
      <c r="Y43" s="288"/>
      <c r="Z43" s="288"/>
      <c r="AA43" s="42"/>
      <c r="AB43" s="39"/>
      <c r="AC43" s="39"/>
      <c r="AD43" s="39"/>
      <c r="AE43" s="39"/>
      <c r="AF43" s="39"/>
      <c r="AG43" s="39"/>
      <c r="AH43" s="39"/>
      <c r="AI43" s="39"/>
      <c r="AJ43" s="39"/>
      <c r="AK43" s="39"/>
      <c r="AL43" s="39"/>
      <c r="AM43" s="39"/>
      <c r="AN43" s="39"/>
      <c r="AO43" s="39"/>
      <c r="AP43" s="39"/>
      <c r="AQ43" s="39"/>
      <c r="AR43" s="39"/>
    </row>
    <row r="44" spans="2:44">
      <c r="B44" s="5" t="s">
        <v>533</v>
      </c>
      <c r="C44" s="69"/>
      <c r="D44" s="529">
        <f>D11/D30</f>
        <v>13.879113800633334</v>
      </c>
      <c r="E44" s="529">
        <f>E11/E30</f>
        <v>11.924791142442624</v>
      </c>
      <c r="F44" s="529">
        <f>F11/F30</f>
        <v>11.432498493505255</v>
      </c>
      <c r="G44" s="529">
        <f>G11/G30</f>
        <v>11.036982582977117</v>
      </c>
      <c r="H44" s="17">
        <f t="shared" si="9"/>
        <v>7.9370290098279117E-2</v>
      </c>
      <c r="I44" s="247"/>
      <c r="J44" s="248"/>
      <c r="K44" s="248"/>
      <c r="L44" s="248"/>
      <c r="M44" s="248"/>
      <c r="N44" s="248"/>
      <c r="O44" s="248"/>
      <c r="Q44" s="5"/>
      <c r="R44" s="5"/>
      <c r="S44" s="42"/>
      <c r="T44" s="42"/>
      <c r="U44" s="42"/>
      <c r="V44" s="42"/>
      <c r="W44" s="325"/>
      <c r="X44" s="325"/>
      <c r="Y44" s="288"/>
      <c r="Z44" s="288"/>
      <c r="AA44" s="42"/>
      <c r="AB44" s="39"/>
      <c r="AC44" s="39"/>
      <c r="AD44" s="39"/>
      <c r="AE44" s="39"/>
      <c r="AF44" s="39"/>
      <c r="AG44" s="39"/>
      <c r="AH44" s="39"/>
      <c r="AI44" s="39"/>
      <c r="AJ44" s="39"/>
      <c r="AK44" s="39"/>
      <c r="AL44" s="39"/>
      <c r="AM44" s="39"/>
      <c r="AN44" s="39"/>
      <c r="AO44" s="39"/>
      <c r="AP44" s="39"/>
      <c r="AQ44" s="39"/>
      <c r="AR44" s="39"/>
    </row>
    <row r="45" spans="2:44">
      <c r="B45" s="5" t="s">
        <v>580</v>
      </c>
      <c r="C45" s="247"/>
      <c r="D45" s="248">
        <f>D31/D11</f>
        <v>8.3109118086696562E-2</v>
      </c>
      <c r="E45" s="248">
        <f>E31/E11</f>
        <v>8.7264573991031394E-2</v>
      </c>
      <c r="F45" s="248">
        <f>F31/F11</f>
        <v>9.1627802690582974E-2</v>
      </c>
      <c r="G45" s="248">
        <f>G31/G11</f>
        <v>9.620919282511213E-2</v>
      </c>
      <c r="H45" s="17">
        <f t="shared" si="9"/>
        <v>5.0000000000000044E-2</v>
      </c>
      <c r="I45" s="248"/>
      <c r="J45" s="247"/>
      <c r="K45" s="247"/>
      <c r="L45" s="247"/>
      <c r="M45" s="247"/>
      <c r="N45" s="247"/>
      <c r="O45" s="248"/>
      <c r="Q45" s="5"/>
      <c r="R45" s="5"/>
      <c r="S45" s="42"/>
      <c r="T45" s="42"/>
      <c r="U45" s="42"/>
      <c r="V45" s="42"/>
      <c r="W45" s="42"/>
      <c r="X45" s="42"/>
      <c r="Y45" s="325"/>
      <c r="Z45" s="325"/>
      <c r="AA45" s="42"/>
      <c r="AB45" s="39"/>
      <c r="AC45" s="39"/>
      <c r="AD45" s="39"/>
      <c r="AE45" s="39"/>
      <c r="AF45" s="39"/>
      <c r="AG45" s="39"/>
      <c r="AH45" s="39"/>
      <c r="AI45" s="39"/>
      <c r="AJ45" s="39"/>
      <c r="AK45" s="39"/>
      <c r="AL45" s="39"/>
      <c r="AM45" s="39"/>
      <c r="AN45" s="39"/>
      <c r="AO45" s="39"/>
      <c r="AP45" s="39"/>
      <c r="AQ45" s="39"/>
      <c r="AR45" s="39"/>
    </row>
    <row r="46" spans="2:44">
      <c r="B46" s="5" t="s">
        <v>605</v>
      </c>
      <c r="C46" s="247"/>
      <c r="D46" s="248">
        <f>(D31+D32)/D11</f>
        <v>8.3109118086696562E-2</v>
      </c>
      <c r="E46" s="248">
        <f>(E31+E32)/E11</f>
        <v>8.7264573991031394E-2</v>
      </c>
      <c r="F46" s="248">
        <f>(F31+F32)/F11</f>
        <v>9.1627802690582974E-2</v>
      </c>
      <c r="G46" s="248">
        <f>(G31+G32)/G11</f>
        <v>9.620919282511213E-2</v>
      </c>
      <c r="H46" s="279">
        <f>((G31+G32)/(D31+D32))^(1/3)-1</f>
        <v>5.0000000000000044E-2</v>
      </c>
      <c r="I46" s="247"/>
      <c r="J46" s="247"/>
      <c r="K46" s="247"/>
      <c r="L46" s="247"/>
      <c r="M46" s="247"/>
      <c r="N46" s="247"/>
      <c r="O46" s="18"/>
      <c r="Q46" s="5"/>
      <c r="R46" s="5"/>
      <c r="S46" s="42"/>
      <c r="T46" s="42"/>
      <c r="U46" s="42"/>
      <c r="V46" s="42"/>
      <c r="W46" s="42"/>
      <c r="X46" s="42"/>
      <c r="Y46" s="42"/>
      <c r="Z46" s="42"/>
      <c r="AA46" s="326"/>
      <c r="AB46" s="39"/>
      <c r="AC46" s="39"/>
      <c r="AD46" s="39"/>
      <c r="AE46" s="39"/>
      <c r="AF46" s="39"/>
      <c r="AG46" s="39"/>
      <c r="AH46" s="39"/>
      <c r="AI46" s="39"/>
      <c r="AJ46" s="39"/>
      <c r="AK46" s="39"/>
      <c r="AL46" s="39"/>
      <c r="AM46" s="39"/>
      <c r="AN46" s="39"/>
      <c r="AO46" s="39"/>
      <c r="AP46" s="39"/>
      <c r="AQ46" s="39"/>
      <c r="AR46" s="39"/>
    </row>
    <row r="47" spans="2:44">
      <c r="B47" s="5" t="s">
        <v>581</v>
      </c>
      <c r="C47" s="5"/>
      <c r="D47" s="248">
        <f>1/D43</f>
        <v>9.6625122097001095E-2</v>
      </c>
      <c r="E47" s="248">
        <f>1/E43</f>
        <v>0.10484041813479372</v>
      </c>
      <c r="F47" s="248">
        <f>1/F43</f>
        <v>0.11185454047208482</v>
      </c>
      <c r="G47" s="248">
        <f>1/G43</f>
        <v>0.12693342403472652</v>
      </c>
      <c r="H47" s="17">
        <f>H29</f>
        <v>6.973787175970525E-3</v>
      </c>
      <c r="I47" s="17"/>
      <c r="J47" s="248"/>
      <c r="K47" s="248"/>
      <c r="L47" s="248"/>
      <c r="M47" s="248"/>
      <c r="N47" s="248"/>
      <c r="O47" s="248"/>
      <c r="Q47" s="5"/>
      <c r="R47" s="5"/>
      <c r="S47" s="42"/>
      <c r="T47" s="42"/>
      <c r="U47" s="42"/>
      <c r="V47" s="42"/>
      <c r="W47" s="42"/>
      <c r="X47" s="42"/>
      <c r="Y47" s="42"/>
      <c r="Z47" s="42"/>
      <c r="AA47" s="326"/>
      <c r="AB47" s="39"/>
      <c r="AC47" s="39"/>
      <c r="AD47" s="39"/>
      <c r="AE47" s="39"/>
      <c r="AF47" s="39"/>
      <c r="AG47" s="39"/>
      <c r="AH47" s="39"/>
      <c r="AI47" s="39"/>
      <c r="AJ47" s="39"/>
      <c r="AK47" s="39"/>
      <c r="AL47" s="39"/>
      <c r="AM47" s="39"/>
      <c r="AN47" s="39"/>
      <c r="AO47" s="39"/>
      <c r="AP47" s="39"/>
      <c r="AQ47" s="39"/>
      <c r="AR47" s="39"/>
    </row>
    <row r="48" spans="2:44">
      <c r="B48" s="5" t="s">
        <v>618</v>
      </c>
      <c r="C48" s="5"/>
      <c r="D48" s="305">
        <f>D31/D29</f>
        <v>0.66853965800416759</v>
      </c>
      <c r="E48" s="305">
        <f>E31/E29</f>
        <v>0.67875318685500174</v>
      </c>
      <c r="F48" s="305">
        <f>F31/F29</f>
        <v>0.71917694478760064</v>
      </c>
      <c r="G48" s="305">
        <f>G31/G29</f>
        <v>0.75795003212700829</v>
      </c>
      <c r="H48" s="279" t="s">
        <v>607</v>
      </c>
      <c r="I48" s="247"/>
      <c r="J48" s="247"/>
      <c r="K48" s="247"/>
      <c r="L48" s="247"/>
      <c r="M48" s="247"/>
      <c r="N48" s="247"/>
      <c r="O48" s="248"/>
      <c r="Q48" s="5"/>
      <c r="R48" s="5"/>
      <c r="S48" s="42"/>
      <c r="T48" s="42"/>
      <c r="U48" s="42"/>
      <c r="V48" s="42"/>
      <c r="W48" s="42"/>
      <c r="X48" s="42"/>
      <c r="Y48" s="42"/>
      <c r="Z48" s="42"/>
      <c r="AA48" s="326"/>
      <c r="AB48" s="39"/>
      <c r="AC48" s="39"/>
      <c r="AD48" s="39"/>
      <c r="AE48" s="39"/>
      <c r="AF48" s="39"/>
      <c r="AG48" s="39"/>
      <c r="AH48" s="39"/>
      <c r="AI48" s="39"/>
      <c r="AJ48" s="39"/>
      <c r="AK48" s="39"/>
      <c r="AL48" s="39"/>
      <c r="AM48" s="39"/>
      <c r="AN48" s="39"/>
      <c r="AO48" s="39"/>
      <c r="AP48" s="39"/>
      <c r="AQ48" s="39"/>
      <c r="AR48" s="39"/>
    </row>
    <row r="49" spans="2:44">
      <c r="B49" s="41"/>
      <c r="C49" s="17"/>
      <c r="D49" s="17"/>
      <c r="E49" s="17"/>
      <c r="F49" s="17"/>
      <c r="G49" s="17"/>
      <c r="H49" s="17"/>
      <c r="I49" s="254"/>
      <c r="J49" s="17"/>
      <c r="K49" s="17"/>
      <c r="L49" s="17"/>
      <c r="M49" s="17"/>
      <c r="N49" s="17"/>
      <c r="O49" s="248"/>
      <c r="Q49" s="5"/>
      <c r="R49" s="5"/>
      <c r="S49" s="42"/>
      <c r="T49" s="42"/>
      <c r="U49" s="42"/>
      <c r="V49" s="42"/>
      <c r="W49" s="42"/>
      <c r="X49" s="42"/>
      <c r="Y49" s="42"/>
      <c r="Z49" s="42"/>
      <c r="AA49" s="326"/>
      <c r="AB49" s="39"/>
      <c r="AC49" s="39"/>
      <c r="AD49" s="39"/>
      <c r="AE49" s="39"/>
      <c r="AF49" s="39"/>
      <c r="AG49" s="39"/>
      <c r="AH49" s="39"/>
      <c r="AI49" s="39"/>
      <c r="AJ49" s="39"/>
      <c r="AK49" s="39"/>
      <c r="AL49" s="39"/>
      <c r="AM49" s="39"/>
      <c r="AN49" s="39"/>
      <c r="AO49" s="39"/>
      <c r="AP49" s="39"/>
      <c r="AQ49" s="39"/>
      <c r="AR49" s="39"/>
    </row>
    <row r="50" spans="2:44">
      <c r="B50" s="5"/>
      <c r="C50" s="257"/>
      <c r="D50" s="257"/>
      <c r="E50" s="257"/>
      <c r="F50" s="5"/>
      <c r="G50" s="41"/>
      <c r="H50" s="249"/>
      <c r="I50" s="17"/>
      <c r="J50" s="249"/>
      <c r="K50" s="249"/>
      <c r="L50" s="249"/>
      <c r="M50" s="249"/>
      <c r="N50" s="249"/>
      <c r="O50" s="250"/>
      <c r="Q50" s="5"/>
      <c r="R50" s="5"/>
      <c r="S50" s="42"/>
      <c r="T50" s="42"/>
      <c r="U50" s="42"/>
      <c r="V50" s="42"/>
      <c r="W50" s="288"/>
      <c r="X50" s="288"/>
      <c r="Y50" s="42"/>
      <c r="Z50" s="42"/>
      <c r="AA50" s="326"/>
      <c r="AB50" s="39"/>
      <c r="AC50" s="39"/>
      <c r="AD50" s="39"/>
      <c r="AE50" s="39"/>
      <c r="AF50" s="39"/>
      <c r="AG50" s="39"/>
      <c r="AH50" s="39"/>
      <c r="AI50" s="39"/>
      <c r="AJ50" s="39"/>
      <c r="AK50" s="39"/>
      <c r="AL50" s="39"/>
      <c r="AM50" s="39"/>
      <c r="AN50" s="39"/>
      <c r="AO50" s="39"/>
      <c r="AP50" s="39"/>
      <c r="AQ50" s="39"/>
      <c r="AR50" s="39"/>
    </row>
    <row r="51" spans="2:44">
      <c r="B51" s="41"/>
      <c r="C51" s="249"/>
      <c r="D51" s="254"/>
      <c r="E51" s="254"/>
      <c r="F51" s="254"/>
      <c r="G51" s="254"/>
      <c r="H51" s="254"/>
      <c r="I51" s="259"/>
      <c r="J51" s="254"/>
      <c r="K51" s="254"/>
      <c r="L51" s="254"/>
      <c r="M51" s="254"/>
      <c r="N51" s="254"/>
      <c r="O51" s="251"/>
      <c r="Q51" s="5"/>
      <c r="R51" s="5"/>
      <c r="S51" s="42"/>
      <c r="T51" s="42"/>
      <c r="U51" s="42"/>
      <c r="V51" s="42"/>
      <c r="W51" s="288"/>
      <c r="X51" s="288"/>
      <c r="Y51" s="288"/>
      <c r="Z51" s="288"/>
      <c r="AA51" s="42"/>
      <c r="AB51" s="39"/>
      <c r="AC51" s="39"/>
      <c r="AD51" s="39"/>
      <c r="AE51" s="39"/>
      <c r="AF51" s="39"/>
      <c r="AG51" s="39"/>
      <c r="AH51" s="39"/>
      <c r="AI51" s="39"/>
      <c r="AJ51" s="39"/>
      <c r="AK51" s="39"/>
      <c r="AL51" s="39"/>
      <c r="AM51" s="39"/>
      <c r="AN51" s="39"/>
      <c r="AO51" s="39"/>
      <c r="AP51" s="39"/>
      <c r="AQ51" s="39"/>
      <c r="AR51" s="39"/>
    </row>
    <row r="52" spans="2:44">
      <c r="B52" s="5"/>
      <c r="C52" s="257"/>
      <c r="D52" s="17"/>
      <c r="E52" s="17"/>
      <c r="F52" s="17"/>
      <c r="G52" s="17"/>
      <c r="H52" s="17"/>
      <c r="I52" s="254"/>
      <c r="J52" s="17"/>
      <c r="K52" s="17"/>
      <c r="L52" s="17"/>
      <c r="M52" s="17"/>
      <c r="N52" s="17"/>
      <c r="O52" s="248"/>
      <c r="Q52" s="5"/>
      <c r="R52" s="5"/>
      <c r="S52" s="5"/>
      <c r="Y52" s="10"/>
      <c r="Z52" s="10"/>
      <c r="AB52" s="39"/>
      <c r="AC52" s="39"/>
      <c r="AD52" s="39"/>
      <c r="AE52" s="39"/>
      <c r="AF52" s="39"/>
      <c r="AG52" s="39"/>
      <c r="AH52" s="39"/>
      <c r="AI52" s="39"/>
      <c r="AJ52" s="39"/>
      <c r="AK52" s="39"/>
      <c r="AL52" s="39"/>
      <c r="AM52" s="39"/>
      <c r="AN52" s="39"/>
      <c r="AO52" s="39"/>
      <c r="AP52" s="39"/>
      <c r="AQ52" s="39"/>
      <c r="AR52" s="39"/>
    </row>
    <row r="53" spans="2:44">
      <c r="B53" s="5"/>
      <c r="C53" s="257"/>
      <c r="D53" s="257"/>
      <c r="E53" s="257"/>
      <c r="F53" s="5"/>
      <c r="G53" s="5"/>
      <c r="H53" s="259"/>
      <c r="I53" s="17"/>
      <c r="J53" s="259"/>
      <c r="K53" s="259"/>
      <c r="L53" s="259"/>
      <c r="M53" s="259"/>
      <c r="N53" s="259"/>
      <c r="O53" s="18"/>
      <c r="Q53" s="5"/>
      <c r="R53" s="5"/>
      <c r="S53" s="5"/>
      <c r="AB53" s="39"/>
      <c r="AC53" s="39"/>
      <c r="AD53" s="39"/>
      <c r="AE53" s="39"/>
      <c r="AF53" s="39"/>
      <c r="AG53" s="39"/>
      <c r="AH53" s="39"/>
      <c r="AI53" s="39"/>
      <c r="AJ53" s="39"/>
      <c r="AK53" s="39"/>
      <c r="AL53" s="39"/>
      <c r="AM53" s="39"/>
      <c r="AN53" s="39"/>
      <c r="AO53" s="39"/>
      <c r="AP53" s="39"/>
      <c r="AQ53" s="39"/>
      <c r="AR53" s="39"/>
    </row>
    <row r="54" spans="2:44">
      <c r="B54" s="41"/>
      <c r="C54" s="249"/>
      <c r="D54" s="254"/>
      <c r="E54" s="254"/>
      <c r="F54" s="254"/>
      <c r="G54" s="254"/>
      <c r="H54" s="254"/>
      <c r="I54" s="259"/>
      <c r="J54" s="254"/>
      <c r="K54" s="254"/>
      <c r="L54" s="254"/>
      <c r="M54" s="254"/>
      <c r="N54" s="254"/>
      <c r="O54" s="251"/>
      <c r="Q54" s="5"/>
      <c r="R54" s="5"/>
      <c r="S54" s="5"/>
      <c r="AB54" s="39"/>
      <c r="AC54" s="39"/>
      <c r="AD54" s="39"/>
      <c r="AE54" s="39"/>
      <c r="AF54" s="39"/>
      <c r="AG54" s="39"/>
      <c r="AH54" s="39"/>
      <c r="AI54" s="39"/>
      <c r="AJ54" s="39"/>
      <c r="AK54" s="39"/>
      <c r="AL54" s="39"/>
      <c r="AM54" s="39"/>
      <c r="AN54" s="39"/>
      <c r="AO54" s="39"/>
      <c r="AP54" s="39"/>
      <c r="AQ54" s="39"/>
      <c r="AR54" s="39"/>
    </row>
    <row r="55" spans="2:44">
      <c r="B55" s="5"/>
      <c r="C55" s="257"/>
      <c r="D55" s="17"/>
      <c r="E55" s="17"/>
      <c r="F55" s="17"/>
      <c r="G55" s="17"/>
      <c r="H55" s="17"/>
      <c r="I55" s="249"/>
      <c r="J55" s="17"/>
      <c r="K55" s="17"/>
      <c r="L55" s="17"/>
      <c r="M55" s="17"/>
      <c r="N55" s="17"/>
      <c r="O55" s="18"/>
      <c r="Q55" s="5"/>
      <c r="R55" s="5"/>
      <c r="S55" s="5"/>
      <c r="AB55" s="39"/>
      <c r="AC55" s="39"/>
      <c r="AD55" s="39"/>
      <c r="AE55" s="39"/>
      <c r="AF55" s="39"/>
      <c r="AG55" s="39"/>
      <c r="AH55" s="39"/>
      <c r="AI55" s="39"/>
      <c r="AJ55" s="39"/>
      <c r="AK55" s="39"/>
      <c r="AL55" s="39"/>
      <c r="AM55" s="39"/>
      <c r="AN55" s="39"/>
      <c r="AO55" s="39"/>
      <c r="AP55" s="39"/>
      <c r="AQ55" s="39"/>
      <c r="AR55" s="39"/>
    </row>
    <row r="56" spans="2:44">
      <c r="B56" s="5"/>
      <c r="C56" s="248"/>
      <c r="D56" s="248"/>
      <c r="E56" s="248"/>
      <c r="F56" s="5"/>
      <c r="G56" s="5"/>
      <c r="H56" s="259"/>
      <c r="I56" s="248"/>
      <c r="J56" s="259"/>
      <c r="K56" s="259"/>
      <c r="L56" s="259"/>
      <c r="M56" s="259"/>
      <c r="N56" s="259"/>
      <c r="O56" s="18"/>
      <c r="Q56" s="5"/>
      <c r="R56" s="5"/>
      <c r="S56" s="5"/>
      <c r="AB56" s="39"/>
      <c r="AC56" s="39"/>
      <c r="AD56" s="39"/>
      <c r="AE56" s="39"/>
      <c r="AF56" s="39"/>
      <c r="AG56" s="39"/>
      <c r="AH56" s="39"/>
      <c r="AI56" s="39"/>
      <c r="AJ56" s="39"/>
      <c r="AK56" s="39"/>
      <c r="AL56" s="39"/>
      <c r="AM56" s="39"/>
      <c r="AN56" s="39"/>
      <c r="AO56" s="39"/>
      <c r="AP56" s="39"/>
      <c r="AQ56" s="39"/>
      <c r="AR56" s="39"/>
    </row>
    <row r="57" spans="2:44">
      <c r="B57" s="41"/>
      <c r="C57" s="249"/>
      <c r="D57" s="249"/>
      <c r="E57" s="249"/>
      <c r="F57" s="249"/>
      <c r="G57" s="249"/>
      <c r="H57" s="249"/>
      <c r="I57" s="5"/>
      <c r="J57" s="249"/>
      <c r="K57" s="249"/>
      <c r="L57" s="249"/>
      <c r="M57" s="249"/>
      <c r="N57" s="249"/>
      <c r="O57" s="251"/>
      <c r="Q57" s="5"/>
      <c r="R57" s="5"/>
      <c r="S57" s="5"/>
      <c r="AB57" s="39"/>
      <c r="AC57" s="39"/>
      <c r="AD57" s="39"/>
      <c r="AE57" s="39"/>
      <c r="AF57" s="39"/>
      <c r="AG57" s="39"/>
      <c r="AH57" s="39"/>
      <c r="AI57" s="39"/>
      <c r="AJ57" s="39"/>
      <c r="AK57" s="39"/>
      <c r="AL57" s="39"/>
      <c r="AM57" s="39"/>
      <c r="AN57" s="39"/>
      <c r="AO57" s="39"/>
      <c r="AP57" s="39"/>
      <c r="AQ57" s="39"/>
      <c r="AR57" s="39"/>
    </row>
    <row r="58" spans="2:44">
      <c r="B58" s="5"/>
      <c r="C58" s="5"/>
      <c r="D58" s="248"/>
      <c r="E58" s="248"/>
      <c r="F58" s="248"/>
      <c r="G58" s="248"/>
      <c r="H58" s="248"/>
      <c r="I58" s="17"/>
      <c r="J58" s="248"/>
      <c r="K58" s="248"/>
      <c r="L58" s="248"/>
      <c r="M58" s="248"/>
      <c r="N58" s="248"/>
      <c r="O58" s="18"/>
      <c r="Q58" s="5"/>
      <c r="R58" s="5"/>
      <c r="S58" s="5"/>
      <c r="AB58" s="39"/>
      <c r="AC58" s="39"/>
      <c r="AD58" s="39"/>
      <c r="AE58" s="39"/>
      <c r="AF58" s="39"/>
      <c r="AG58" s="39"/>
      <c r="AH58" s="39"/>
      <c r="AI58" s="39"/>
      <c r="AJ58" s="39"/>
      <c r="AK58" s="39"/>
      <c r="AL58" s="39"/>
      <c r="AM58" s="39"/>
      <c r="AN58" s="39"/>
      <c r="AO58" s="39"/>
      <c r="AP58" s="39"/>
      <c r="AQ58" s="39"/>
      <c r="AR58" s="39"/>
    </row>
    <row r="59" spans="2:44">
      <c r="B59" s="5"/>
      <c r="C59" s="5"/>
      <c r="D59" s="5"/>
      <c r="E59" s="5"/>
      <c r="F59" s="5"/>
      <c r="G59" s="5"/>
      <c r="H59" s="5"/>
      <c r="I59" s="5"/>
      <c r="J59" s="5"/>
      <c r="K59" s="5"/>
      <c r="L59" s="5"/>
      <c r="M59" s="5"/>
      <c r="N59" s="5"/>
      <c r="O59" s="5"/>
      <c r="Q59" s="5"/>
      <c r="R59" s="5"/>
      <c r="S59" s="5"/>
      <c r="AB59" s="39"/>
      <c r="AC59" s="39"/>
      <c r="AD59" s="39"/>
      <c r="AE59" s="39"/>
      <c r="AF59" s="39"/>
      <c r="AG59" s="39"/>
      <c r="AH59" s="39"/>
      <c r="AI59" s="39"/>
      <c r="AJ59" s="39"/>
      <c r="AK59" s="39"/>
      <c r="AL59" s="39"/>
      <c r="AM59" s="39"/>
      <c r="AN59" s="39"/>
      <c r="AO59" s="39"/>
      <c r="AP59" s="39"/>
      <c r="AQ59" s="39"/>
      <c r="AR59" s="39"/>
    </row>
    <row r="60" spans="2:44">
      <c r="B60" s="41"/>
      <c r="C60" s="17"/>
      <c r="D60" s="17"/>
      <c r="E60" s="17"/>
      <c r="F60" s="17"/>
      <c r="G60" s="17"/>
      <c r="H60" s="17"/>
      <c r="I60" s="249"/>
      <c r="J60" s="17"/>
      <c r="K60" s="17"/>
      <c r="L60" s="17"/>
      <c r="M60" s="17"/>
      <c r="N60" s="17"/>
      <c r="O60" s="251"/>
      <c r="Q60" s="5"/>
      <c r="R60" s="5"/>
      <c r="S60" s="5"/>
      <c r="AB60" s="39"/>
      <c r="AC60" s="39"/>
      <c r="AD60" s="39"/>
      <c r="AE60" s="39"/>
      <c r="AF60" s="39"/>
      <c r="AG60" s="39"/>
      <c r="AH60" s="39"/>
      <c r="AI60" s="39"/>
      <c r="AJ60" s="39"/>
      <c r="AK60" s="39"/>
      <c r="AL60" s="39"/>
      <c r="AM60" s="39"/>
      <c r="AN60" s="39"/>
      <c r="AO60" s="39"/>
      <c r="AP60" s="39"/>
      <c r="AQ60" s="39"/>
      <c r="AR60" s="39"/>
    </row>
    <row r="61" spans="2:44">
      <c r="B61" s="5"/>
      <c r="C61" s="5"/>
      <c r="D61" s="5"/>
      <c r="E61" s="5"/>
      <c r="F61" s="5"/>
      <c r="G61" s="5"/>
      <c r="H61" s="5"/>
      <c r="I61" s="5"/>
      <c r="J61" s="5"/>
      <c r="K61" s="5"/>
      <c r="L61" s="5"/>
      <c r="M61" s="5"/>
      <c r="N61" s="5"/>
      <c r="O61" s="5"/>
      <c r="Q61" s="41"/>
      <c r="R61" s="5"/>
      <c r="S61" s="5"/>
      <c r="AB61" s="39"/>
      <c r="AC61" s="39"/>
      <c r="AD61" s="39"/>
      <c r="AE61" s="39"/>
      <c r="AF61" s="39"/>
      <c r="AG61" s="39"/>
      <c r="AH61" s="39"/>
      <c r="AI61" s="39"/>
      <c r="AJ61" s="39"/>
      <c r="AK61" s="39"/>
      <c r="AL61" s="39"/>
      <c r="AM61" s="39"/>
      <c r="AN61" s="39"/>
      <c r="AO61" s="39"/>
      <c r="AP61" s="39"/>
      <c r="AQ61" s="39"/>
      <c r="AR61" s="39"/>
    </row>
    <row r="62" spans="2:44">
      <c r="B62" s="41"/>
      <c r="C62" s="249"/>
      <c r="D62" s="249"/>
      <c r="E62" s="249"/>
      <c r="F62" s="249"/>
      <c r="G62" s="249"/>
      <c r="H62" s="249"/>
      <c r="I62" s="5"/>
      <c r="J62" s="249"/>
      <c r="K62" s="249"/>
      <c r="L62" s="249"/>
      <c r="M62" s="249"/>
      <c r="N62" s="249"/>
      <c r="O62" s="251"/>
      <c r="Q62" s="5"/>
      <c r="R62" s="5"/>
      <c r="S62" s="5"/>
      <c r="AB62" s="39"/>
      <c r="AC62" s="39"/>
      <c r="AD62" s="39"/>
      <c r="AE62" s="39"/>
      <c r="AF62" s="39"/>
      <c r="AG62" s="39"/>
      <c r="AH62" s="39"/>
      <c r="AI62" s="39"/>
      <c r="AJ62" s="39"/>
      <c r="AK62" s="39"/>
      <c r="AL62" s="39"/>
      <c r="AM62" s="39"/>
      <c r="AN62" s="39"/>
      <c r="AO62" s="39"/>
      <c r="AP62" s="39"/>
      <c r="AQ62" s="39"/>
      <c r="AR62" s="39"/>
    </row>
    <row r="63" spans="2:44">
      <c r="B63" s="5"/>
      <c r="C63" s="5"/>
      <c r="D63" s="5"/>
      <c r="E63" s="5"/>
      <c r="F63" s="5"/>
      <c r="G63" s="5"/>
      <c r="H63" s="5"/>
      <c r="I63" s="254"/>
      <c r="J63" s="5"/>
      <c r="K63" s="5"/>
      <c r="L63" s="5"/>
      <c r="M63" s="5"/>
      <c r="N63" s="5"/>
      <c r="O63" s="5"/>
      <c r="Q63" s="5"/>
      <c r="R63" s="5"/>
      <c r="S63" s="5"/>
      <c r="AA63" s="39"/>
      <c r="AB63" s="39"/>
      <c r="AC63" s="39"/>
      <c r="AD63" s="39"/>
      <c r="AE63" s="39"/>
      <c r="AF63" s="39"/>
      <c r="AG63" s="39"/>
      <c r="AH63" s="39"/>
      <c r="AI63" s="39"/>
      <c r="AJ63" s="39"/>
      <c r="AK63" s="39"/>
      <c r="AL63" s="39"/>
      <c r="AM63" s="39"/>
      <c r="AN63" s="39"/>
      <c r="AO63" s="39"/>
      <c r="AP63" s="39"/>
      <c r="AQ63" s="39"/>
      <c r="AR63" s="39"/>
    </row>
    <row r="64" spans="2:44">
      <c r="B64" s="5"/>
      <c r="C64" s="5"/>
      <c r="D64" s="5"/>
      <c r="E64" s="5"/>
      <c r="F64" s="5"/>
      <c r="G64" s="5"/>
      <c r="H64" s="5"/>
      <c r="I64" s="17"/>
      <c r="J64" s="5"/>
      <c r="K64" s="5"/>
      <c r="L64" s="5"/>
      <c r="M64" s="5"/>
      <c r="N64" s="5"/>
      <c r="O64" s="5"/>
      <c r="Q64" s="5"/>
      <c r="R64" s="5"/>
      <c r="S64" s="5"/>
      <c r="AA64" s="39"/>
      <c r="AB64" s="39"/>
      <c r="AC64" s="39"/>
      <c r="AD64" s="39"/>
      <c r="AE64" s="39"/>
      <c r="AF64" s="39"/>
      <c r="AG64" s="39"/>
      <c r="AH64" s="39"/>
      <c r="AI64" s="39"/>
      <c r="AJ64" s="39"/>
      <c r="AK64" s="39"/>
      <c r="AL64" s="39"/>
      <c r="AM64" s="39"/>
      <c r="AN64" s="39"/>
      <c r="AO64" s="39"/>
      <c r="AP64" s="39"/>
      <c r="AQ64" s="39"/>
      <c r="AR64" s="39"/>
    </row>
    <row r="65" spans="2:44">
      <c r="B65" s="41"/>
      <c r="C65" s="249"/>
      <c r="D65" s="254"/>
      <c r="E65" s="254"/>
      <c r="F65" s="254"/>
      <c r="G65" s="254"/>
      <c r="H65" s="254"/>
      <c r="I65" s="254"/>
      <c r="J65" s="254"/>
      <c r="K65" s="254"/>
      <c r="L65" s="254"/>
      <c r="M65" s="254"/>
      <c r="N65" s="254"/>
      <c r="O65" s="251"/>
      <c r="Q65" s="5"/>
      <c r="R65" s="5"/>
      <c r="S65" s="5"/>
      <c r="AA65" s="39"/>
      <c r="AB65" s="39"/>
      <c r="AC65" s="39"/>
      <c r="AD65" s="39"/>
      <c r="AE65" s="39"/>
      <c r="AF65" s="39"/>
      <c r="AG65" s="39"/>
      <c r="AH65" s="39"/>
      <c r="AI65" s="39"/>
      <c r="AJ65" s="39"/>
      <c r="AK65" s="39"/>
      <c r="AL65" s="39"/>
      <c r="AM65" s="39"/>
      <c r="AN65" s="39"/>
      <c r="AO65" s="39"/>
      <c r="AP65" s="39"/>
      <c r="AQ65" s="39"/>
      <c r="AR65" s="39"/>
    </row>
    <row r="66" spans="2:44">
      <c r="B66" s="5"/>
      <c r="C66" s="5"/>
      <c r="D66" s="17"/>
      <c r="E66" s="17"/>
      <c r="F66" s="17"/>
      <c r="G66" s="17"/>
      <c r="H66" s="17"/>
      <c r="I66" s="248"/>
      <c r="J66" s="17"/>
      <c r="K66" s="17"/>
      <c r="L66" s="17"/>
      <c r="M66" s="17"/>
      <c r="N66" s="17"/>
      <c r="O66" s="5"/>
      <c r="Q66" s="5"/>
      <c r="R66" s="5"/>
      <c r="S66" s="5"/>
      <c r="AA66" s="39"/>
      <c r="AB66" s="39"/>
      <c r="AC66" s="39"/>
      <c r="AD66" s="39"/>
      <c r="AE66" s="39"/>
      <c r="AF66" s="39"/>
      <c r="AG66" s="39"/>
      <c r="AH66" s="39"/>
      <c r="AI66" s="39"/>
      <c r="AJ66" s="39"/>
      <c r="AK66" s="39"/>
      <c r="AL66" s="39"/>
      <c r="AM66" s="39"/>
      <c r="AN66" s="39"/>
      <c r="AO66" s="39"/>
      <c r="AP66" s="39"/>
      <c r="AQ66" s="39"/>
      <c r="AR66" s="39"/>
    </row>
    <row r="67" spans="2:44">
      <c r="B67" s="41"/>
      <c r="C67" s="249"/>
      <c r="D67" s="254"/>
      <c r="E67" s="254"/>
      <c r="F67" s="254"/>
      <c r="G67" s="254"/>
      <c r="H67" s="254"/>
      <c r="I67" s="5"/>
      <c r="J67" s="254"/>
      <c r="K67" s="254"/>
      <c r="L67" s="254"/>
      <c r="M67" s="254"/>
      <c r="N67" s="254"/>
      <c r="O67" s="251"/>
      <c r="Q67" s="41"/>
      <c r="R67" s="5"/>
      <c r="S67" s="5"/>
      <c r="AA67" s="39"/>
      <c r="AB67" s="39"/>
      <c r="AC67" s="39"/>
      <c r="AD67" s="39"/>
      <c r="AE67" s="39"/>
      <c r="AF67" s="39"/>
      <c r="AG67" s="39"/>
      <c r="AH67" s="39"/>
      <c r="AI67" s="39"/>
      <c r="AJ67" s="39"/>
      <c r="AK67" s="39"/>
      <c r="AL67" s="39"/>
      <c r="AM67" s="39"/>
      <c r="AN67" s="39"/>
      <c r="AO67" s="39"/>
      <c r="AP67" s="39"/>
      <c r="AQ67" s="39"/>
      <c r="AR67" s="39"/>
    </row>
    <row r="68" spans="2:44">
      <c r="B68" s="5"/>
      <c r="C68" s="5"/>
      <c r="D68" s="248"/>
      <c r="E68" s="248"/>
      <c r="F68" s="248"/>
      <c r="G68" s="248"/>
      <c r="H68" s="248"/>
      <c r="I68" s="245"/>
      <c r="J68" s="248"/>
      <c r="K68" s="248"/>
      <c r="L68" s="248"/>
      <c r="M68" s="248"/>
      <c r="N68" s="248"/>
      <c r="O68" s="5"/>
      <c r="Q68" s="5"/>
      <c r="R68" s="5"/>
      <c r="S68" s="5"/>
      <c r="AA68" s="39"/>
      <c r="AB68" s="39"/>
      <c r="AC68" s="39"/>
      <c r="AD68" s="39"/>
      <c r="AE68" s="39"/>
      <c r="AF68" s="39"/>
      <c r="AG68" s="39"/>
      <c r="AH68" s="39"/>
      <c r="AI68" s="39"/>
      <c r="AJ68" s="39"/>
      <c r="AK68" s="39"/>
      <c r="AL68" s="39"/>
      <c r="AM68" s="39"/>
      <c r="AN68" s="39"/>
      <c r="AO68" s="39"/>
      <c r="AP68" s="39"/>
      <c r="AQ68" s="39"/>
      <c r="AR68" s="39"/>
    </row>
    <row r="69" spans="2:44">
      <c r="B69" s="41"/>
      <c r="C69" s="5"/>
      <c r="D69" s="5"/>
      <c r="E69" s="5"/>
      <c r="F69" s="5"/>
      <c r="G69" s="5"/>
      <c r="H69" s="5"/>
      <c r="I69" s="248"/>
      <c r="J69" s="5"/>
      <c r="K69" s="5"/>
      <c r="L69" s="5"/>
      <c r="M69" s="5"/>
      <c r="N69" s="5"/>
      <c r="O69" s="5"/>
      <c r="Q69" s="5"/>
      <c r="R69" s="5"/>
      <c r="S69" s="5"/>
      <c r="AA69" s="39"/>
      <c r="AB69" s="39"/>
      <c r="AC69" s="39"/>
      <c r="AD69" s="39"/>
      <c r="AE69" s="39"/>
      <c r="AF69" s="39"/>
      <c r="AG69" s="39"/>
      <c r="AH69" s="39"/>
      <c r="AI69" s="39"/>
      <c r="AJ69" s="39"/>
      <c r="AK69" s="39"/>
      <c r="AL69" s="39"/>
      <c r="AM69" s="39"/>
      <c r="AN69" s="39"/>
      <c r="AO69" s="39"/>
      <c r="AP69" s="39"/>
      <c r="AQ69" s="39"/>
      <c r="AR69" s="39"/>
    </row>
    <row r="70" spans="2:44">
      <c r="B70" s="41"/>
      <c r="C70" s="245"/>
      <c r="D70" s="245"/>
      <c r="E70" s="245"/>
      <c r="F70" s="245"/>
      <c r="G70" s="245"/>
      <c r="H70" s="245"/>
      <c r="I70" s="5"/>
      <c r="J70" s="245"/>
      <c r="K70" s="245"/>
      <c r="L70" s="245"/>
      <c r="M70" s="245"/>
      <c r="N70" s="245"/>
      <c r="O70" s="251"/>
      <c r="Q70" s="5"/>
      <c r="R70" s="5"/>
      <c r="S70" s="5"/>
      <c r="W70" s="76"/>
      <c r="X70" s="76"/>
      <c r="AA70" s="39"/>
      <c r="AB70" s="39"/>
      <c r="AC70" s="39"/>
      <c r="AD70" s="39"/>
      <c r="AE70" s="39"/>
      <c r="AF70" s="39"/>
      <c r="AG70" s="39"/>
      <c r="AH70" s="39"/>
      <c r="AI70" s="39"/>
      <c r="AJ70" s="39"/>
      <c r="AK70" s="39"/>
      <c r="AL70" s="39"/>
      <c r="AM70" s="39"/>
      <c r="AN70" s="39"/>
      <c r="AO70" s="39"/>
      <c r="AP70" s="39"/>
      <c r="AQ70" s="39"/>
      <c r="AR70" s="39"/>
    </row>
    <row r="71" spans="2:44">
      <c r="B71" s="5"/>
      <c r="C71" s="5"/>
      <c r="D71" s="248"/>
      <c r="E71" s="248"/>
      <c r="F71" s="248"/>
      <c r="G71" s="248"/>
      <c r="H71" s="248"/>
      <c r="I71" s="245"/>
      <c r="J71" s="248"/>
      <c r="K71" s="248"/>
      <c r="L71" s="248"/>
      <c r="M71" s="248"/>
      <c r="N71" s="248"/>
      <c r="O71" s="5"/>
      <c r="Q71" s="5"/>
      <c r="R71" s="5"/>
      <c r="S71" s="5"/>
      <c r="W71" s="76"/>
      <c r="X71" s="76"/>
      <c r="Y71" s="76"/>
      <c r="Z71" s="76"/>
      <c r="AA71" s="39"/>
      <c r="AB71" s="39"/>
      <c r="AC71" s="39"/>
      <c r="AD71" s="39"/>
      <c r="AE71" s="39"/>
      <c r="AF71" s="39"/>
      <c r="AG71" s="39"/>
      <c r="AH71" s="39"/>
      <c r="AI71" s="39"/>
      <c r="AJ71" s="39"/>
      <c r="AK71" s="39"/>
      <c r="AL71" s="39"/>
      <c r="AM71" s="39"/>
      <c r="AN71" s="39"/>
      <c r="AO71" s="39"/>
      <c r="AP71" s="39"/>
      <c r="AQ71" s="39"/>
      <c r="AR71" s="39"/>
    </row>
    <row r="72" spans="2:44">
      <c r="B72" s="41"/>
      <c r="C72" s="5"/>
      <c r="D72" s="5"/>
      <c r="E72" s="5"/>
      <c r="F72" s="5"/>
      <c r="G72" s="5"/>
      <c r="H72" s="5"/>
      <c r="I72" s="18"/>
      <c r="J72" s="5"/>
      <c r="K72" s="5"/>
      <c r="L72" s="5"/>
      <c r="M72" s="5"/>
      <c r="N72" s="5"/>
      <c r="O72" s="5"/>
      <c r="Q72" s="5"/>
      <c r="R72" s="5"/>
      <c r="S72" s="5"/>
      <c r="Y72" s="76"/>
      <c r="Z72" s="76"/>
      <c r="AA72" s="39"/>
      <c r="AB72" s="39"/>
      <c r="AC72" s="39"/>
      <c r="AD72" s="39"/>
      <c r="AE72" s="39"/>
      <c r="AF72" s="39"/>
      <c r="AG72" s="39"/>
      <c r="AH72" s="39"/>
      <c r="AI72" s="39"/>
      <c r="AJ72" s="39"/>
      <c r="AK72" s="39"/>
      <c r="AL72" s="39"/>
      <c r="AM72" s="39"/>
      <c r="AN72" s="39"/>
      <c r="AO72" s="39"/>
      <c r="AP72" s="39"/>
      <c r="AQ72" s="39"/>
      <c r="AR72" s="39"/>
    </row>
    <row r="73" spans="2:44">
      <c r="B73" s="41"/>
      <c r="C73" s="245"/>
      <c r="D73" s="245"/>
      <c r="E73" s="245"/>
      <c r="F73" s="245"/>
      <c r="G73" s="245"/>
      <c r="H73" s="245"/>
      <c r="I73" s="5"/>
      <c r="J73" s="245"/>
      <c r="K73" s="245"/>
      <c r="L73" s="245"/>
      <c r="M73" s="245"/>
      <c r="N73" s="245"/>
      <c r="O73" s="251"/>
      <c r="Q73" s="5"/>
      <c r="R73" s="5"/>
      <c r="S73" s="5"/>
      <c r="AA73" s="39"/>
      <c r="AB73" s="39"/>
      <c r="AC73" s="39"/>
      <c r="AD73" s="39"/>
      <c r="AE73" s="39"/>
      <c r="AF73" s="39"/>
      <c r="AG73" s="39"/>
      <c r="AH73" s="39"/>
      <c r="AI73" s="39"/>
      <c r="AJ73" s="39"/>
      <c r="AK73" s="39"/>
      <c r="AL73" s="39"/>
      <c r="AM73" s="39"/>
      <c r="AN73" s="39"/>
      <c r="AO73" s="39"/>
      <c r="AP73" s="39"/>
      <c r="AQ73" s="39"/>
      <c r="AR73" s="39"/>
    </row>
    <row r="74" spans="2:44">
      <c r="B74" s="5"/>
      <c r="C74" s="5"/>
      <c r="D74" s="18"/>
      <c r="E74" s="18"/>
      <c r="F74" s="18"/>
      <c r="G74" s="18"/>
      <c r="H74" s="18"/>
      <c r="I74" s="249"/>
      <c r="J74" s="18"/>
      <c r="K74" s="18"/>
      <c r="L74" s="18"/>
      <c r="M74" s="18"/>
      <c r="N74" s="18"/>
      <c r="O74" s="5"/>
      <c r="Q74" s="5"/>
      <c r="R74" s="5"/>
      <c r="S74" s="5"/>
      <c r="AA74" s="39"/>
      <c r="AB74" s="39"/>
      <c r="AC74" s="39"/>
      <c r="AD74" s="39"/>
      <c r="AE74" s="39"/>
      <c r="AF74" s="39"/>
      <c r="AG74" s="39"/>
      <c r="AH74" s="39"/>
      <c r="AI74" s="39"/>
      <c r="AJ74" s="39"/>
      <c r="AK74" s="39"/>
      <c r="AL74" s="39"/>
      <c r="AM74" s="39"/>
      <c r="AN74" s="39"/>
      <c r="AO74" s="39"/>
      <c r="AP74" s="39"/>
      <c r="AQ74" s="39"/>
      <c r="AR74" s="39"/>
    </row>
    <row r="75" spans="2:44">
      <c r="B75" s="41"/>
      <c r="C75" s="5"/>
      <c r="D75" s="5"/>
      <c r="E75" s="5"/>
      <c r="F75" s="5"/>
      <c r="G75" s="5"/>
      <c r="H75" s="5"/>
      <c r="I75" s="248"/>
      <c r="J75" s="5"/>
      <c r="K75" s="5"/>
      <c r="L75" s="5"/>
      <c r="M75" s="5"/>
      <c r="N75" s="5"/>
      <c r="O75" s="5"/>
      <c r="Q75" s="5"/>
      <c r="R75" s="5"/>
      <c r="S75" s="5"/>
      <c r="AA75" s="39"/>
      <c r="AB75" s="39"/>
      <c r="AC75" s="39"/>
      <c r="AD75" s="39"/>
      <c r="AE75" s="39"/>
      <c r="AF75" s="39"/>
      <c r="AG75" s="39"/>
      <c r="AH75" s="39"/>
      <c r="AI75" s="39"/>
      <c r="AJ75" s="39"/>
      <c r="AK75" s="39"/>
      <c r="AL75" s="39"/>
      <c r="AM75" s="39"/>
      <c r="AN75" s="39"/>
      <c r="AO75" s="39"/>
      <c r="AP75" s="39"/>
      <c r="AQ75" s="39"/>
      <c r="AR75" s="39"/>
    </row>
    <row r="76" spans="2:44">
      <c r="B76" s="41"/>
      <c r="C76" s="249"/>
      <c r="D76" s="249"/>
      <c r="E76" s="249"/>
      <c r="F76" s="249"/>
      <c r="G76" s="249"/>
      <c r="H76" s="249"/>
      <c r="I76" s="5"/>
      <c r="J76" s="249"/>
      <c r="K76" s="249"/>
      <c r="L76" s="249"/>
      <c r="M76" s="249"/>
      <c r="N76" s="249"/>
      <c r="O76" s="251"/>
      <c r="Q76" s="5"/>
      <c r="R76" s="5"/>
      <c r="S76" s="5"/>
      <c r="AA76" s="39"/>
      <c r="AB76" s="39"/>
      <c r="AC76" s="39"/>
      <c r="AD76" s="39"/>
      <c r="AE76" s="39"/>
      <c r="AF76" s="39"/>
      <c r="AG76" s="39"/>
      <c r="AH76" s="39"/>
      <c r="AI76" s="39"/>
      <c r="AJ76" s="39"/>
      <c r="AK76" s="39"/>
      <c r="AL76" s="39"/>
      <c r="AM76" s="39"/>
      <c r="AN76" s="39"/>
      <c r="AO76" s="39"/>
      <c r="AP76" s="39"/>
      <c r="AQ76" s="39"/>
      <c r="AR76" s="39"/>
    </row>
    <row r="77" spans="2:44">
      <c r="B77" s="5"/>
      <c r="C77" s="5"/>
      <c r="D77" s="248"/>
      <c r="E77" s="248"/>
      <c r="F77" s="248"/>
      <c r="G77" s="248"/>
      <c r="H77" s="248"/>
      <c r="I77" s="245"/>
      <c r="J77" s="248"/>
      <c r="K77" s="248"/>
      <c r="L77" s="248"/>
      <c r="M77" s="248"/>
      <c r="N77" s="248"/>
      <c r="O77" s="5"/>
      <c r="Q77" s="5"/>
      <c r="R77" s="5"/>
      <c r="S77" s="5"/>
      <c r="AA77" s="39"/>
      <c r="AB77" s="39"/>
      <c r="AC77" s="39"/>
      <c r="AD77" s="39"/>
      <c r="AE77" s="39"/>
      <c r="AF77" s="39"/>
      <c r="AG77" s="39"/>
      <c r="AH77" s="39"/>
      <c r="AI77" s="39"/>
      <c r="AJ77" s="39"/>
      <c r="AK77" s="39"/>
      <c r="AL77" s="39"/>
      <c r="AM77" s="39"/>
      <c r="AN77" s="39"/>
      <c r="AO77" s="39"/>
      <c r="AP77" s="39"/>
      <c r="AQ77" s="39"/>
      <c r="AR77" s="39"/>
    </row>
    <row r="78" spans="2:44">
      <c r="B78" s="41"/>
      <c r="C78" s="5"/>
      <c r="D78" s="5"/>
      <c r="E78" s="5"/>
      <c r="F78" s="5"/>
      <c r="G78" s="5"/>
      <c r="H78" s="5"/>
      <c r="I78" s="248"/>
      <c r="J78" s="5"/>
      <c r="K78" s="5"/>
      <c r="L78" s="5"/>
      <c r="M78" s="5"/>
      <c r="N78" s="5"/>
      <c r="O78" s="5"/>
      <c r="Q78" s="5"/>
      <c r="R78" s="5"/>
      <c r="S78" s="5"/>
      <c r="AA78" s="39"/>
      <c r="AB78" s="39"/>
      <c r="AC78" s="39"/>
      <c r="AD78" s="39"/>
      <c r="AE78" s="39"/>
      <c r="AF78" s="39"/>
      <c r="AG78" s="39"/>
      <c r="AH78" s="39"/>
      <c r="AI78" s="39"/>
      <c r="AJ78" s="39"/>
      <c r="AK78" s="39"/>
      <c r="AL78" s="39"/>
      <c r="AM78" s="39"/>
      <c r="AN78" s="39"/>
      <c r="AO78" s="39"/>
      <c r="AP78" s="39"/>
      <c r="AQ78" s="39"/>
      <c r="AR78" s="39"/>
    </row>
    <row r="79" spans="2:44">
      <c r="B79" s="41"/>
      <c r="C79" s="245"/>
      <c r="D79" s="245"/>
      <c r="E79" s="245"/>
      <c r="F79" s="245"/>
      <c r="G79" s="245"/>
      <c r="H79" s="245"/>
      <c r="I79" s="5"/>
      <c r="J79" s="245"/>
      <c r="K79" s="245"/>
      <c r="L79" s="245"/>
      <c r="M79" s="245"/>
      <c r="N79" s="245"/>
      <c r="O79" s="251"/>
      <c r="Q79" s="5"/>
      <c r="R79" s="5"/>
      <c r="S79" s="5"/>
      <c r="AA79" s="39"/>
      <c r="AB79" s="39"/>
      <c r="AC79" s="39"/>
      <c r="AD79" s="39"/>
      <c r="AE79" s="39"/>
      <c r="AF79" s="39"/>
      <c r="AG79" s="39"/>
      <c r="AH79" s="39"/>
      <c r="AI79" s="39"/>
      <c r="AJ79" s="39"/>
      <c r="AK79" s="39"/>
      <c r="AL79" s="39"/>
      <c r="AM79" s="39"/>
      <c r="AN79" s="39"/>
      <c r="AO79" s="39"/>
      <c r="AP79" s="39"/>
      <c r="AQ79" s="39"/>
      <c r="AR79" s="39"/>
    </row>
    <row r="80" spans="2:44">
      <c r="B80" s="5"/>
      <c r="C80" s="5"/>
      <c r="D80" s="248"/>
      <c r="E80" s="248"/>
      <c r="F80" s="248"/>
      <c r="G80" s="248"/>
      <c r="H80" s="248"/>
      <c r="I80" s="249"/>
      <c r="J80" s="248"/>
      <c r="K80" s="248"/>
      <c r="L80" s="248"/>
      <c r="M80" s="248"/>
      <c r="N80" s="248"/>
      <c r="O80" s="5"/>
      <c r="Q80" s="5"/>
      <c r="R80" s="5"/>
      <c r="S80" s="5"/>
      <c r="AA80" s="39"/>
      <c r="AB80" s="39"/>
      <c r="AC80" s="39"/>
      <c r="AD80" s="39"/>
      <c r="AE80" s="39"/>
      <c r="AF80" s="39"/>
      <c r="AG80" s="39"/>
      <c r="AH80" s="39"/>
      <c r="AI80" s="39"/>
      <c r="AJ80" s="39"/>
      <c r="AK80" s="39"/>
      <c r="AL80" s="39"/>
      <c r="AM80" s="39"/>
      <c r="AN80" s="39"/>
      <c r="AO80" s="39"/>
      <c r="AP80" s="39"/>
      <c r="AQ80" s="39"/>
      <c r="AR80" s="39"/>
    </row>
    <row r="81" spans="2:44">
      <c r="B81" s="41"/>
      <c r="C81" s="5"/>
      <c r="D81" s="5"/>
      <c r="E81" s="5"/>
      <c r="F81" s="5"/>
      <c r="G81" s="5"/>
      <c r="H81" s="5"/>
      <c r="I81" s="248"/>
      <c r="J81" s="5"/>
      <c r="K81" s="5"/>
      <c r="L81" s="5"/>
      <c r="M81" s="5"/>
      <c r="N81" s="5"/>
      <c r="O81" s="5"/>
      <c r="Q81" s="5"/>
      <c r="R81" s="5"/>
      <c r="S81" s="5"/>
      <c r="AA81" s="39"/>
      <c r="AB81" s="39"/>
      <c r="AC81" s="39"/>
      <c r="AD81" s="39"/>
      <c r="AE81" s="39"/>
      <c r="AF81" s="39"/>
      <c r="AG81" s="39"/>
      <c r="AH81" s="39"/>
      <c r="AI81" s="39"/>
      <c r="AJ81" s="39"/>
      <c r="AK81" s="39"/>
      <c r="AL81" s="39"/>
      <c r="AM81" s="39"/>
      <c r="AN81" s="39"/>
      <c r="AO81" s="39"/>
      <c r="AP81" s="39"/>
      <c r="AQ81" s="39"/>
      <c r="AR81" s="39"/>
    </row>
    <row r="82" spans="2:44">
      <c r="B82" s="41"/>
      <c r="C82" s="249"/>
      <c r="D82" s="249"/>
      <c r="E82" s="249"/>
      <c r="F82" s="249"/>
      <c r="G82" s="249"/>
      <c r="H82" s="249"/>
      <c r="I82" s="259"/>
      <c r="J82" s="249"/>
      <c r="K82" s="249"/>
      <c r="L82" s="249"/>
      <c r="M82" s="249"/>
      <c r="N82" s="249"/>
      <c r="O82" s="251"/>
      <c r="Q82" s="5"/>
      <c r="R82" s="5"/>
      <c r="S82" s="5"/>
      <c r="AA82" s="39"/>
      <c r="AB82" s="39"/>
      <c r="AC82" s="39"/>
      <c r="AD82" s="39"/>
      <c r="AE82" s="39"/>
      <c r="AF82" s="39"/>
      <c r="AG82" s="39"/>
      <c r="AH82" s="39"/>
      <c r="AI82" s="39"/>
      <c r="AJ82" s="39"/>
      <c r="AK82" s="39"/>
      <c r="AL82" s="39"/>
      <c r="AM82" s="39"/>
      <c r="AN82" s="39"/>
      <c r="AO82" s="39"/>
      <c r="AP82" s="39"/>
      <c r="AQ82" s="39"/>
      <c r="AR82" s="39"/>
    </row>
    <row r="83" spans="2:44">
      <c r="B83" s="5"/>
      <c r="C83" s="5"/>
      <c r="D83" s="248"/>
      <c r="E83" s="248"/>
      <c r="F83" s="248"/>
      <c r="G83" s="248"/>
      <c r="H83" s="248"/>
      <c r="I83" s="5"/>
      <c r="J83" s="248"/>
      <c r="K83" s="248"/>
      <c r="L83" s="248"/>
      <c r="M83" s="248"/>
      <c r="N83" s="248"/>
      <c r="O83" s="5"/>
      <c r="Q83" s="5"/>
      <c r="R83" s="5"/>
      <c r="S83" s="5"/>
      <c r="AA83" s="39"/>
      <c r="AB83" s="39"/>
      <c r="AC83" s="39"/>
      <c r="AD83" s="39"/>
      <c r="AE83" s="39"/>
      <c r="AF83" s="39"/>
      <c r="AG83" s="39"/>
      <c r="AH83" s="39"/>
      <c r="AI83" s="39"/>
      <c r="AJ83" s="39"/>
      <c r="AK83" s="39"/>
      <c r="AL83" s="39"/>
      <c r="AM83" s="39"/>
      <c r="AN83" s="39"/>
      <c r="AO83" s="39"/>
      <c r="AP83" s="39"/>
      <c r="AQ83" s="39"/>
      <c r="AR83" s="39"/>
    </row>
    <row r="84" spans="2:44">
      <c r="B84" s="5"/>
      <c r="C84" s="259"/>
      <c r="D84" s="259"/>
      <c r="E84" s="259"/>
      <c r="F84" s="259"/>
      <c r="G84" s="259"/>
      <c r="H84" s="259"/>
      <c r="I84" s="245"/>
      <c r="J84" s="259"/>
      <c r="K84" s="259"/>
      <c r="L84" s="259"/>
      <c r="M84" s="259"/>
      <c r="N84" s="259"/>
      <c r="O84" s="251"/>
      <c r="Q84" s="5"/>
      <c r="R84" s="5"/>
      <c r="S84" s="5"/>
      <c r="AA84" s="39"/>
      <c r="AB84" s="39"/>
      <c r="AC84" s="39"/>
      <c r="AD84" s="39"/>
      <c r="AE84" s="39"/>
      <c r="AF84" s="39"/>
      <c r="AG84" s="39"/>
      <c r="AH84" s="39"/>
      <c r="AI84" s="39"/>
      <c r="AJ84" s="39"/>
      <c r="AK84" s="39"/>
      <c r="AL84" s="39"/>
      <c r="AM84" s="39"/>
      <c r="AN84" s="39"/>
      <c r="AO84" s="39"/>
      <c r="AP84" s="39"/>
      <c r="AQ84" s="39"/>
      <c r="AR84" s="39"/>
    </row>
    <row r="85" spans="2:44">
      <c r="B85" s="41"/>
      <c r="C85" s="5"/>
      <c r="D85" s="5"/>
      <c r="E85" s="5"/>
      <c r="F85" s="5"/>
      <c r="G85" s="5"/>
      <c r="H85" s="5"/>
      <c r="I85" s="248"/>
      <c r="J85" s="5"/>
      <c r="K85" s="5"/>
      <c r="L85" s="5"/>
      <c r="M85" s="5"/>
      <c r="N85" s="5"/>
      <c r="O85" s="5"/>
      <c r="Q85" s="5"/>
      <c r="R85" s="5"/>
      <c r="S85" s="5"/>
      <c r="AA85" s="39"/>
      <c r="AB85" s="39"/>
      <c r="AC85" s="39"/>
      <c r="AD85" s="39"/>
      <c r="AE85" s="39"/>
      <c r="AF85" s="39"/>
      <c r="AG85" s="39"/>
      <c r="AH85" s="39"/>
      <c r="AI85" s="39"/>
      <c r="AJ85" s="39"/>
      <c r="AK85" s="39"/>
      <c r="AL85" s="39"/>
      <c r="AM85" s="39"/>
      <c r="AN85" s="39"/>
      <c r="AO85" s="39"/>
      <c r="AP85" s="39"/>
      <c r="AQ85" s="39"/>
      <c r="AR85" s="39"/>
    </row>
    <row r="86" spans="2:44">
      <c r="B86" s="41"/>
      <c r="C86" s="245"/>
      <c r="D86" s="245"/>
      <c r="E86" s="245"/>
      <c r="F86" s="245"/>
      <c r="G86" s="245"/>
      <c r="H86" s="245"/>
      <c r="I86" s="5"/>
      <c r="J86" s="245"/>
      <c r="K86" s="245"/>
      <c r="L86" s="245"/>
      <c r="M86" s="245"/>
      <c r="N86" s="245"/>
      <c r="O86" s="251"/>
      <c r="Q86" s="5"/>
      <c r="R86" s="5"/>
      <c r="S86" s="5"/>
      <c r="AA86" s="39"/>
      <c r="AB86" s="39"/>
      <c r="AC86" s="39"/>
      <c r="AD86" s="39"/>
      <c r="AE86" s="39"/>
      <c r="AF86" s="39"/>
      <c r="AG86" s="39"/>
      <c r="AH86" s="39"/>
      <c r="AI86" s="39"/>
      <c r="AJ86" s="39"/>
      <c r="AK86" s="39"/>
      <c r="AL86" s="39"/>
      <c r="AM86" s="39"/>
      <c r="AN86" s="39"/>
      <c r="AO86" s="39"/>
      <c r="AP86" s="39"/>
      <c r="AQ86" s="39"/>
      <c r="AR86" s="39"/>
    </row>
    <row r="87" spans="2:44">
      <c r="B87" s="5"/>
      <c r="C87" s="5"/>
      <c r="D87" s="248"/>
      <c r="E87" s="248"/>
      <c r="F87" s="248"/>
      <c r="G87" s="248"/>
      <c r="H87" s="248"/>
      <c r="I87" s="5"/>
      <c r="J87" s="248"/>
      <c r="K87" s="248"/>
      <c r="L87" s="248"/>
      <c r="M87" s="248"/>
      <c r="N87" s="248"/>
      <c r="O87" s="5"/>
      <c r="Q87" s="5"/>
      <c r="R87" s="5"/>
      <c r="S87" s="5"/>
      <c r="AA87" s="39"/>
      <c r="AB87" s="39"/>
      <c r="AC87" s="39"/>
      <c r="AD87" s="39"/>
      <c r="AE87" s="39"/>
      <c r="AF87" s="39"/>
      <c r="AG87" s="39"/>
      <c r="AH87" s="39"/>
      <c r="AI87" s="39"/>
      <c r="AJ87" s="39"/>
      <c r="AK87" s="39"/>
      <c r="AL87" s="39"/>
      <c r="AM87" s="39"/>
      <c r="AN87" s="39"/>
      <c r="AO87" s="39"/>
      <c r="AP87" s="39"/>
      <c r="AQ87" s="39"/>
      <c r="AR87" s="39"/>
    </row>
    <row r="88" spans="2:44">
      <c r="B88" s="41"/>
      <c r="C88" s="5"/>
      <c r="D88" s="5"/>
      <c r="E88" s="5"/>
      <c r="F88" s="5"/>
      <c r="G88" s="5"/>
      <c r="H88" s="5"/>
      <c r="I88" s="5"/>
      <c r="J88" s="5"/>
      <c r="K88" s="5"/>
      <c r="L88" s="5"/>
      <c r="M88" s="5"/>
      <c r="N88" s="5"/>
      <c r="O88" s="5"/>
      <c r="Q88" s="5"/>
      <c r="R88" s="5"/>
      <c r="S88" s="5"/>
      <c r="AA88" s="39"/>
      <c r="AB88" s="39"/>
      <c r="AC88" s="39"/>
      <c r="AD88" s="39"/>
      <c r="AE88" s="39"/>
      <c r="AF88" s="39"/>
      <c r="AG88" s="39"/>
      <c r="AH88" s="39"/>
      <c r="AI88" s="39"/>
      <c r="AJ88" s="39"/>
      <c r="AK88" s="39"/>
      <c r="AL88" s="39"/>
      <c r="AM88" s="39"/>
      <c r="AN88" s="39"/>
      <c r="AO88" s="39"/>
      <c r="AP88" s="39"/>
      <c r="AQ88" s="39"/>
      <c r="AR88" s="39"/>
    </row>
    <row r="89" spans="2:44">
      <c r="B89" s="41"/>
      <c r="C89" s="5"/>
      <c r="D89" s="5"/>
      <c r="E89" s="5"/>
      <c r="F89" s="5"/>
      <c r="G89" s="5"/>
      <c r="H89" s="5"/>
      <c r="I89" s="5"/>
      <c r="J89" s="5"/>
      <c r="K89" s="5"/>
      <c r="L89" s="5"/>
      <c r="M89" s="5"/>
      <c r="N89" s="5"/>
      <c r="O89" s="5"/>
      <c r="Q89" s="5"/>
      <c r="R89" s="5"/>
      <c r="S89" s="5"/>
      <c r="AA89" s="39"/>
      <c r="AB89" s="39"/>
      <c r="AC89" s="39"/>
      <c r="AD89" s="39"/>
      <c r="AE89" s="39"/>
      <c r="AF89" s="39"/>
      <c r="AG89" s="39"/>
      <c r="AH89" s="39"/>
      <c r="AI89" s="39"/>
      <c r="AJ89" s="39"/>
      <c r="AK89" s="39"/>
      <c r="AL89" s="39"/>
      <c r="AM89" s="39"/>
      <c r="AN89" s="39"/>
      <c r="AO89" s="39"/>
      <c r="AP89" s="39"/>
      <c r="AQ89" s="39"/>
      <c r="AR89" s="39"/>
    </row>
    <row r="90" spans="2:44">
      <c r="B90" s="41"/>
      <c r="C90" s="5"/>
      <c r="D90" s="5"/>
      <c r="E90" s="5"/>
      <c r="F90" s="5"/>
      <c r="G90" s="5"/>
      <c r="H90" s="5"/>
      <c r="I90" s="49"/>
      <c r="J90" s="5"/>
      <c r="K90" s="5"/>
      <c r="L90" s="5"/>
      <c r="M90" s="5"/>
      <c r="N90" s="5"/>
      <c r="O90" s="5"/>
      <c r="Q90" s="41"/>
      <c r="R90" s="5"/>
      <c r="S90" s="5"/>
      <c r="AA90" s="39"/>
      <c r="AB90" s="39"/>
      <c r="AC90" s="39"/>
      <c r="AD90" s="39"/>
      <c r="AE90" s="39"/>
      <c r="AF90" s="39"/>
      <c r="AG90" s="39"/>
      <c r="AH90" s="39"/>
      <c r="AI90" s="39"/>
      <c r="AJ90" s="39"/>
      <c r="AK90" s="39"/>
      <c r="AL90" s="39"/>
      <c r="AM90" s="39"/>
      <c r="AN90" s="39"/>
      <c r="AO90" s="39"/>
      <c r="AP90" s="39"/>
      <c r="AQ90" s="39"/>
      <c r="AR90" s="39"/>
    </row>
    <row r="91" spans="2:44">
      <c r="B91" s="5"/>
      <c r="C91" s="5"/>
      <c r="D91" s="5"/>
      <c r="E91" s="5"/>
      <c r="F91" s="5"/>
      <c r="G91" s="5"/>
      <c r="H91" s="5"/>
      <c r="I91" s="5"/>
      <c r="J91" s="5"/>
      <c r="K91" s="5"/>
      <c r="L91" s="5"/>
      <c r="M91" s="5"/>
      <c r="N91" s="5"/>
      <c r="O91" s="5"/>
      <c r="Q91" s="5"/>
      <c r="R91" s="5"/>
      <c r="S91" s="5"/>
      <c r="AA91" s="39"/>
      <c r="AB91" s="39"/>
      <c r="AC91" s="39"/>
      <c r="AD91" s="39"/>
      <c r="AE91" s="39"/>
      <c r="AF91" s="39"/>
      <c r="AG91" s="39"/>
      <c r="AH91" s="39"/>
      <c r="AI91" s="39"/>
      <c r="AJ91" s="39"/>
      <c r="AK91" s="39"/>
      <c r="AL91" s="39"/>
      <c r="AM91" s="39"/>
      <c r="AN91" s="39"/>
      <c r="AO91" s="39"/>
      <c r="AP91" s="39"/>
      <c r="AQ91" s="39"/>
      <c r="AR91" s="39"/>
    </row>
    <row r="92" spans="2:44">
      <c r="B92" s="41"/>
      <c r="C92" s="49"/>
      <c r="D92" s="49"/>
      <c r="E92" s="49"/>
      <c r="F92" s="49"/>
      <c r="G92" s="49"/>
      <c r="H92" s="49"/>
      <c r="I92" s="247"/>
      <c r="J92" s="49"/>
      <c r="K92" s="49"/>
      <c r="L92" s="49"/>
      <c r="M92" s="49"/>
      <c r="N92" s="49"/>
      <c r="O92" s="49"/>
      <c r="Q92" s="5"/>
      <c r="R92" s="5"/>
      <c r="S92" s="5"/>
      <c r="W92" s="21"/>
      <c r="X92" s="21"/>
      <c r="AA92" s="39"/>
      <c r="AB92" s="39"/>
      <c r="AC92" s="39"/>
      <c r="AD92" s="39"/>
      <c r="AE92" s="39"/>
      <c r="AF92" s="39"/>
      <c r="AG92" s="39"/>
      <c r="AH92" s="39"/>
      <c r="AI92" s="39"/>
      <c r="AJ92" s="39"/>
      <c r="AK92" s="39"/>
      <c r="AL92" s="39"/>
      <c r="AM92" s="39"/>
      <c r="AN92" s="39"/>
      <c r="AO92" s="39"/>
      <c r="AP92" s="39"/>
      <c r="AQ92" s="39"/>
      <c r="AR92" s="39"/>
    </row>
    <row r="93" spans="2:44">
      <c r="B93" s="5"/>
      <c r="C93" s="5"/>
      <c r="D93" s="5"/>
      <c r="E93" s="5"/>
      <c r="F93" s="5"/>
      <c r="G93" s="5"/>
      <c r="H93" s="5"/>
      <c r="I93" s="247"/>
      <c r="J93" s="5"/>
      <c r="K93" s="5"/>
      <c r="L93" s="5"/>
      <c r="M93" s="5"/>
      <c r="N93" s="5"/>
      <c r="O93" s="5"/>
      <c r="Q93" s="5"/>
      <c r="R93" s="5"/>
      <c r="S93" s="5"/>
      <c r="W93" s="21"/>
      <c r="X93" s="21"/>
      <c r="Y93" s="21"/>
      <c r="Z93" s="21"/>
      <c r="AA93" s="39"/>
      <c r="AB93" s="39"/>
      <c r="AC93" s="39"/>
      <c r="AD93" s="39"/>
      <c r="AE93" s="39"/>
      <c r="AF93" s="39"/>
      <c r="AG93" s="39"/>
      <c r="AH93" s="39"/>
      <c r="AI93" s="39"/>
      <c r="AJ93" s="39"/>
      <c r="AK93" s="39"/>
      <c r="AL93" s="39"/>
      <c r="AM93" s="39"/>
      <c r="AN93" s="39"/>
      <c r="AO93" s="39"/>
      <c r="AP93" s="39"/>
      <c r="AQ93" s="39"/>
      <c r="AR93" s="39"/>
    </row>
    <row r="94" spans="2:44">
      <c r="B94" s="5"/>
      <c r="C94" s="259"/>
      <c r="D94" s="247"/>
      <c r="E94" s="247"/>
      <c r="F94" s="247"/>
      <c r="G94" s="247"/>
      <c r="H94" s="247"/>
      <c r="I94" s="247"/>
      <c r="J94" s="247"/>
      <c r="K94" s="247"/>
      <c r="L94" s="247"/>
      <c r="M94" s="247"/>
      <c r="N94" s="247"/>
      <c r="O94" s="248"/>
      <c r="Q94" s="5"/>
      <c r="R94" s="5"/>
      <c r="S94" s="5"/>
      <c r="Y94" s="21"/>
      <c r="Z94" s="21"/>
      <c r="AA94" s="39"/>
      <c r="AB94" s="39"/>
      <c r="AC94" s="39"/>
      <c r="AD94" s="39"/>
      <c r="AE94" s="39"/>
      <c r="AF94" s="39"/>
      <c r="AG94" s="39"/>
      <c r="AH94" s="39"/>
      <c r="AI94" s="39"/>
      <c r="AJ94" s="39"/>
      <c r="AK94" s="39"/>
      <c r="AL94" s="39"/>
      <c r="AM94" s="39"/>
      <c r="AN94" s="39"/>
      <c r="AO94" s="39"/>
      <c r="AP94" s="39"/>
      <c r="AQ94" s="39"/>
      <c r="AR94" s="39"/>
    </row>
    <row r="95" spans="2:44">
      <c r="B95" s="5"/>
      <c r="C95" s="259"/>
      <c r="D95" s="247"/>
      <c r="E95" s="247"/>
      <c r="F95" s="247"/>
      <c r="G95" s="247"/>
      <c r="H95" s="247"/>
      <c r="I95" s="248"/>
      <c r="J95" s="247"/>
      <c r="K95" s="247"/>
      <c r="L95" s="247"/>
      <c r="M95" s="247"/>
      <c r="N95" s="247"/>
      <c r="O95" s="248"/>
      <c r="Q95" s="5"/>
      <c r="R95" s="5"/>
      <c r="S95" s="5"/>
    </row>
    <row r="96" spans="2:44">
      <c r="B96" s="5"/>
      <c r="C96" s="259"/>
      <c r="D96" s="247"/>
      <c r="E96" s="247"/>
      <c r="F96" s="247"/>
      <c r="G96" s="247"/>
      <c r="H96" s="247"/>
      <c r="I96" s="247"/>
      <c r="J96" s="247"/>
      <c r="K96" s="247"/>
      <c r="L96" s="247"/>
      <c r="M96" s="247"/>
      <c r="N96" s="247"/>
      <c r="O96" s="248"/>
      <c r="Q96" s="5"/>
      <c r="R96" s="5"/>
      <c r="S96" s="5"/>
    </row>
    <row r="97" spans="2:44">
      <c r="B97" s="5"/>
      <c r="C97" s="259"/>
      <c r="D97" s="248"/>
      <c r="E97" s="248"/>
      <c r="F97" s="248"/>
      <c r="G97" s="248"/>
      <c r="H97" s="248"/>
      <c r="I97" s="249"/>
      <c r="J97" s="248"/>
      <c r="K97" s="248"/>
      <c r="L97" s="248"/>
      <c r="M97" s="248"/>
      <c r="N97" s="248"/>
      <c r="O97" s="248"/>
      <c r="Q97" s="5"/>
      <c r="R97" s="5"/>
      <c r="S97" s="5"/>
    </row>
    <row r="98" spans="2:44">
      <c r="B98" s="5"/>
      <c r="C98" s="259"/>
      <c r="D98" s="247"/>
      <c r="E98" s="247"/>
      <c r="F98" s="247"/>
      <c r="G98" s="247"/>
      <c r="H98" s="247"/>
      <c r="I98" s="248"/>
      <c r="J98" s="247"/>
      <c r="K98" s="247"/>
      <c r="L98" s="247"/>
      <c r="M98" s="247"/>
      <c r="N98" s="247"/>
      <c r="O98" s="248"/>
      <c r="Q98" s="5"/>
      <c r="R98" s="5"/>
      <c r="S98" s="5"/>
    </row>
    <row r="99" spans="2:44">
      <c r="B99" s="41"/>
      <c r="C99" s="249"/>
      <c r="D99" s="249"/>
      <c r="E99" s="249"/>
      <c r="F99" s="249"/>
      <c r="G99" s="249"/>
      <c r="H99" s="249"/>
      <c r="I99" s="5"/>
      <c r="J99" s="249"/>
      <c r="K99" s="249"/>
      <c r="L99" s="249"/>
      <c r="M99" s="249"/>
      <c r="N99" s="249"/>
      <c r="O99" s="248"/>
      <c r="Q99" s="5"/>
      <c r="R99" s="5"/>
      <c r="S99" s="5"/>
    </row>
    <row r="100" spans="2:44">
      <c r="B100" s="41"/>
      <c r="C100" s="257"/>
      <c r="D100" s="248"/>
      <c r="E100" s="248"/>
      <c r="F100" s="248"/>
      <c r="G100" s="248"/>
      <c r="H100" s="248"/>
      <c r="I100" s="259"/>
      <c r="J100" s="248"/>
      <c r="K100" s="248"/>
      <c r="L100" s="248"/>
      <c r="M100" s="248"/>
      <c r="N100" s="248"/>
      <c r="O100" s="248"/>
      <c r="Q100" s="5"/>
      <c r="R100" s="5"/>
      <c r="S100" s="5"/>
    </row>
    <row r="101" spans="2:44" s="5" customFormat="1">
      <c r="B101" s="41"/>
      <c r="I101" s="259"/>
      <c r="O101" s="248"/>
      <c r="P101" s="39"/>
    </row>
    <row r="102" spans="2:44">
      <c r="B102" s="5"/>
      <c r="C102" s="259"/>
      <c r="D102" s="259"/>
      <c r="E102" s="259"/>
      <c r="F102" s="259"/>
      <c r="G102" s="259"/>
      <c r="H102" s="259"/>
      <c r="I102" s="247"/>
      <c r="J102" s="259"/>
      <c r="K102" s="259"/>
      <c r="L102" s="259"/>
      <c r="M102" s="259"/>
      <c r="N102" s="259"/>
      <c r="O102" s="5"/>
      <c r="Q102" s="5"/>
      <c r="R102" s="5"/>
      <c r="S102" s="5"/>
    </row>
    <row r="103" spans="2:44">
      <c r="B103" s="5"/>
      <c r="C103" s="259"/>
      <c r="D103" s="259"/>
      <c r="E103" s="259"/>
      <c r="F103" s="259"/>
      <c r="G103" s="259"/>
      <c r="H103" s="259"/>
      <c r="I103" s="5"/>
      <c r="J103" s="259"/>
      <c r="K103" s="259"/>
      <c r="L103" s="259"/>
      <c r="M103" s="259"/>
      <c r="N103" s="259"/>
      <c r="O103" s="5"/>
      <c r="P103" s="5"/>
      <c r="Q103" s="5"/>
      <c r="R103" s="5"/>
      <c r="S103" s="5"/>
    </row>
    <row r="104" spans="2:44">
      <c r="B104" s="5"/>
      <c r="C104" s="247"/>
      <c r="D104" s="247"/>
      <c r="E104" s="247"/>
      <c r="F104" s="247"/>
      <c r="G104" s="247"/>
      <c r="H104" s="247"/>
      <c r="I104" s="247"/>
      <c r="J104" s="247"/>
      <c r="K104" s="247"/>
      <c r="L104" s="247"/>
      <c r="M104" s="247"/>
      <c r="N104" s="247"/>
      <c r="O104" s="5"/>
      <c r="Q104" s="5"/>
      <c r="R104" s="5"/>
      <c r="S104" s="5"/>
    </row>
    <row r="105" spans="2:44" s="5" customFormat="1">
      <c r="P105" s="39"/>
    </row>
    <row r="106" spans="2:44" s="5" customFormat="1">
      <c r="C106" s="259"/>
      <c r="D106" s="247"/>
      <c r="E106" s="247"/>
      <c r="F106" s="247"/>
      <c r="G106" s="247"/>
      <c r="H106" s="247"/>
      <c r="I106" s="259"/>
      <c r="J106" s="247"/>
      <c r="K106" s="247"/>
      <c r="L106" s="247"/>
      <c r="M106" s="247"/>
      <c r="N106" s="247"/>
      <c r="P106" s="39"/>
    </row>
    <row r="107" spans="2:44">
      <c r="B107" s="5"/>
      <c r="C107" s="259"/>
      <c r="D107" s="5"/>
      <c r="E107" s="5"/>
      <c r="F107" s="5"/>
      <c r="G107" s="5"/>
      <c r="H107" s="5"/>
      <c r="I107" s="247"/>
      <c r="J107" s="5"/>
      <c r="K107" s="5"/>
      <c r="L107" s="5"/>
      <c r="M107" s="5"/>
      <c r="N107" s="5"/>
      <c r="O107" s="5"/>
      <c r="P107" s="5"/>
      <c r="Q107" s="5"/>
      <c r="R107" s="5"/>
      <c r="S107" s="5"/>
    </row>
    <row r="108" spans="2:44">
      <c r="B108" s="5"/>
      <c r="C108" s="259"/>
      <c r="D108" s="259"/>
      <c r="E108" s="259"/>
      <c r="F108" s="259"/>
      <c r="G108" s="259"/>
      <c r="H108" s="259"/>
      <c r="I108" s="249"/>
      <c r="J108" s="259"/>
      <c r="K108" s="259"/>
      <c r="L108" s="259"/>
      <c r="M108" s="259"/>
      <c r="N108" s="259"/>
      <c r="O108" s="5"/>
      <c r="P108" s="5"/>
      <c r="Q108" s="5"/>
      <c r="R108" s="5"/>
      <c r="S108" s="5"/>
    </row>
    <row r="109" spans="2:44">
      <c r="B109" s="5"/>
      <c r="C109" s="247"/>
      <c r="D109" s="247"/>
      <c r="E109" s="247"/>
      <c r="F109" s="247"/>
      <c r="G109" s="247"/>
      <c r="H109" s="247"/>
      <c r="I109" s="249"/>
      <c r="J109" s="247"/>
      <c r="K109" s="247"/>
      <c r="L109" s="247"/>
      <c r="M109" s="247"/>
      <c r="N109" s="247"/>
      <c r="O109" s="5"/>
      <c r="Q109" s="5"/>
      <c r="R109" s="5"/>
      <c r="S109" s="5"/>
    </row>
    <row r="110" spans="2:44">
      <c r="B110" s="41"/>
      <c r="C110" s="249"/>
      <c r="D110" s="249"/>
      <c r="E110" s="249"/>
      <c r="F110" s="249"/>
      <c r="G110" s="249"/>
      <c r="H110" s="249"/>
      <c r="I110" s="247"/>
      <c r="J110" s="249"/>
      <c r="K110" s="249"/>
      <c r="L110" s="249"/>
      <c r="M110" s="249"/>
      <c r="N110" s="249"/>
      <c r="O110" s="5"/>
      <c r="Q110" s="5"/>
      <c r="R110" s="5"/>
      <c r="S110" s="5"/>
    </row>
    <row r="111" spans="2:44">
      <c r="B111" s="5"/>
      <c r="C111" s="249"/>
      <c r="D111" s="249"/>
      <c r="E111" s="249"/>
      <c r="F111" s="249"/>
      <c r="G111" s="249"/>
      <c r="H111" s="249"/>
      <c r="I111" s="5"/>
      <c r="J111" s="249"/>
      <c r="K111" s="249"/>
      <c r="L111" s="249"/>
      <c r="M111" s="249"/>
      <c r="N111" s="249"/>
      <c r="O111" s="5"/>
      <c r="Q111" s="5"/>
      <c r="R111" s="5"/>
      <c r="S111" s="5"/>
      <c r="V111" s="39"/>
      <c r="W111" s="39"/>
      <c r="X111" s="39"/>
      <c r="Y111" s="39"/>
      <c r="Z111" s="39"/>
      <c r="AA111" s="39"/>
      <c r="AB111" s="39"/>
      <c r="AC111" s="39"/>
      <c r="AD111" s="39"/>
      <c r="AE111" s="39"/>
      <c r="AF111" s="39"/>
      <c r="AG111" s="39"/>
      <c r="AH111" s="39"/>
      <c r="AI111" s="39"/>
      <c r="AJ111" s="39"/>
      <c r="AK111" s="39"/>
      <c r="AL111" s="39"/>
      <c r="AM111" s="39"/>
      <c r="AN111" s="39"/>
      <c r="AO111" s="39"/>
      <c r="AP111" s="39"/>
      <c r="AQ111" s="39"/>
      <c r="AR111" s="39"/>
    </row>
    <row r="112" spans="2:44">
      <c r="B112" s="5"/>
      <c r="C112" s="247"/>
      <c r="D112" s="247"/>
      <c r="E112" s="247"/>
      <c r="F112" s="247"/>
      <c r="G112" s="247"/>
      <c r="H112" s="247"/>
      <c r="I112" s="5"/>
      <c r="J112" s="247"/>
      <c r="K112" s="247"/>
      <c r="L112" s="247"/>
      <c r="M112" s="247"/>
      <c r="N112" s="247"/>
      <c r="O112" s="5"/>
      <c r="Q112" s="5"/>
      <c r="R112" s="5"/>
      <c r="S112" s="5"/>
      <c r="V112" s="39"/>
      <c r="W112" s="39"/>
      <c r="X112" s="39"/>
      <c r="Y112" s="39"/>
      <c r="Z112" s="39"/>
      <c r="AA112" s="39"/>
      <c r="AB112" s="39"/>
      <c r="AC112" s="39"/>
      <c r="AD112" s="39"/>
      <c r="AE112" s="39"/>
      <c r="AF112" s="39"/>
      <c r="AG112" s="39"/>
      <c r="AH112" s="39"/>
      <c r="AI112" s="39"/>
      <c r="AJ112" s="39"/>
      <c r="AK112" s="39"/>
      <c r="AL112" s="39"/>
      <c r="AM112" s="39"/>
      <c r="AN112" s="39"/>
      <c r="AO112" s="39"/>
      <c r="AP112" s="39"/>
      <c r="AQ112" s="39"/>
      <c r="AR112" s="39"/>
    </row>
    <row r="113" spans="2:44">
      <c r="B113" s="5"/>
      <c r="C113" s="5"/>
      <c r="D113" s="5"/>
      <c r="E113" s="5"/>
      <c r="F113" s="5"/>
      <c r="G113" s="5"/>
      <c r="H113" s="5"/>
      <c r="I113" s="5"/>
      <c r="J113" s="5"/>
      <c r="K113" s="5"/>
      <c r="L113" s="5"/>
      <c r="M113" s="5"/>
      <c r="N113" s="5"/>
      <c r="O113" s="5"/>
      <c r="Q113" s="5"/>
      <c r="R113" s="5"/>
      <c r="S113" s="5"/>
      <c r="V113" s="39"/>
      <c r="W113" s="39"/>
      <c r="X113" s="39"/>
      <c r="Y113" s="39"/>
      <c r="Z113" s="39"/>
      <c r="AA113" s="39"/>
      <c r="AB113" s="39"/>
      <c r="AC113" s="39"/>
      <c r="AD113" s="39"/>
      <c r="AE113" s="39"/>
      <c r="AF113" s="39"/>
      <c r="AG113" s="39"/>
      <c r="AH113" s="39"/>
      <c r="AI113" s="39"/>
      <c r="AJ113" s="39"/>
      <c r="AK113" s="39"/>
      <c r="AL113" s="39"/>
      <c r="AM113" s="39"/>
      <c r="AN113" s="39"/>
      <c r="AO113" s="39"/>
      <c r="AP113" s="39"/>
      <c r="AQ113" s="39"/>
      <c r="AR113" s="39"/>
    </row>
    <row r="114" spans="2:44">
      <c r="B114" s="5"/>
      <c r="C114" s="5"/>
      <c r="D114" s="5"/>
      <c r="E114" s="5"/>
      <c r="F114" s="5"/>
      <c r="G114" s="5"/>
      <c r="H114" s="5"/>
      <c r="I114" s="5"/>
      <c r="J114" s="5"/>
      <c r="K114" s="5"/>
      <c r="L114" s="5"/>
      <c r="M114" s="5"/>
      <c r="N114" s="5"/>
      <c r="O114" s="5"/>
      <c r="Q114" s="5"/>
      <c r="R114" s="5"/>
      <c r="S114" s="5"/>
      <c r="V114" s="39"/>
      <c r="W114" s="39"/>
      <c r="X114" s="39"/>
      <c r="Y114" s="39"/>
      <c r="Z114" s="39"/>
      <c r="AA114" s="39"/>
      <c r="AB114" s="39"/>
      <c r="AC114" s="39"/>
      <c r="AD114" s="39"/>
      <c r="AE114" s="39"/>
      <c r="AF114" s="39"/>
      <c r="AG114" s="39"/>
      <c r="AH114" s="39"/>
      <c r="AI114" s="39"/>
      <c r="AJ114" s="39"/>
      <c r="AK114" s="39"/>
      <c r="AL114" s="39"/>
      <c r="AM114" s="39"/>
      <c r="AN114" s="39"/>
      <c r="AO114" s="39"/>
      <c r="AP114" s="39"/>
      <c r="AQ114" s="39"/>
      <c r="AR114" s="39"/>
    </row>
    <row r="115" spans="2:44">
      <c r="B115" s="5"/>
      <c r="C115" s="5"/>
      <c r="D115" s="5"/>
      <c r="E115" s="5"/>
      <c r="F115" s="5"/>
      <c r="G115" s="5"/>
      <c r="H115" s="5"/>
      <c r="I115" s="49"/>
      <c r="J115" s="5"/>
      <c r="K115" s="5"/>
      <c r="L115" s="5"/>
      <c r="M115" s="5"/>
      <c r="N115" s="5"/>
      <c r="O115" s="5"/>
      <c r="Q115" s="41"/>
      <c r="R115" s="5"/>
      <c r="S115" s="5"/>
      <c r="V115" s="39"/>
      <c r="W115" s="39"/>
      <c r="X115" s="39"/>
      <c r="Y115" s="39"/>
      <c r="Z115" s="39"/>
      <c r="AA115" s="39"/>
      <c r="AB115" s="39"/>
      <c r="AC115" s="39"/>
      <c r="AD115" s="39"/>
      <c r="AE115" s="39"/>
      <c r="AF115" s="39"/>
      <c r="AG115" s="39"/>
      <c r="AH115" s="39"/>
      <c r="AI115" s="39"/>
      <c r="AJ115" s="39"/>
      <c r="AK115" s="39"/>
      <c r="AL115" s="39"/>
      <c r="AM115" s="39"/>
      <c r="AN115" s="39"/>
      <c r="AO115" s="39"/>
      <c r="AP115" s="39"/>
      <c r="AQ115" s="39"/>
      <c r="AR115" s="39"/>
    </row>
    <row r="116" spans="2:44">
      <c r="B116" s="5"/>
      <c r="C116" s="5"/>
      <c r="D116" s="5"/>
      <c r="E116" s="5"/>
      <c r="F116" s="5"/>
      <c r="G116" s="5"/>
      <c r="H116" s="5"/>
      <c r="I116" s="5"/>
      <c r="J116" s="5"/>
      <c r="K116" s="5"/>
      <c r="L116" s="5"/>
      <c r="M116" s="5"/>
      <c r="N116" s="5"/>
      <c r="O116" s="5"/>
      <c r="Q116" s="5"/>
      <c r="R116" s="5"/>
      <c r="S116" s="5"/>
      <c r="V116" s="39"/>
      <c r="W116" s="39"/>
      <c r="X116" s="39"/>
      <c r="Y116" s="39"/>
      <c r="Z116" s="39"/>
      <c r="AA116" s="39"/>
      <c r="AB116" s="39"/>
      <c r="AC116" s="39"/>
      <c r="AD116" s="39"/>
      <c r="AE116" s="39"/>
      <c r="AF116" s="39"/>
      <c r="AG116" s="39"/>
      <c r="AH116" s="39"/>
      <c r="AI116" s="39"/>
      <c r="AJ116" s="39"/>
      <c r="AK116" s="39"/>
      <c r="AL116" s="39"/>
      <c r="AM116" s="39"/>
      <c r="AN116" s="39"/>
      <c r="AO116" s="39"/>
      <c r="AP116" s="39"/>
      <c r="AQ116" s="39"/>
      <c r="AR116" s="39"/>
    </row>
    <row r="117" spans="2:44">
      <c r="B117" s="41"/>
      <c r="C117" s="49"/>
      <c r="D117" s="49"/>
      <c r="E117" s="49"/>
      <c r="F117" s="49"/>
      <c r="G117" s="49"/>
      <c r="H117" s="49"/>
      <c r="I117" s="254"/>
      <c r="J117" s="49"/>
      <c r="K117" s="49"/>
      <c r="L117" s="49"/>
      <c r="M117" s="49"/>
      <c r="N117" s="49"/>
      <c r="O117" s="49"/>
      <c r="Q117" s="5"/>
      <c r="R117" s="5"/>
      <c r="S117" s="5"/>
      <c r="V117" s="39"/>
      <c r="W117" s="39"/>
      <c r="X117" s="39"/>
      <c r="Y117" s="39"/>
      <c r="Z117" s="39"/>
      <c r="AA117" s="39"/>
      <c r="AB117" s="39"/>
      <c r="AC117" s="39"/>
      <c r="AD117" s="39"/>
      <c r="AE117" s="39"/>
      <c r="AF117" s="39"/>
      <c r="AG117" s="39"/>
      <c r="AH117" s="39"/>
      <c r="AI117" s="39"/>
      <c r="AJ117" s="39"/>
      <c r="AK117" s="39"/>
      <c r="AL117" s="39"/>
      <c r="AM117" s="39"/>
      <c r="AN117" s="39"/>
      <c r="AO117" s="39"/>
      <c r="AP117" s="39"/>
      <c r="AQ117" s="39"/>
      <c r="AR117" s="39"/>
    </row>
    <row r="118" spans="2:44">
      <c r="B118" s="5"/>
      <c r="C118" s="5"/>
      <c r="D118" s="5"/>
      <c r="E118" s="5"/>
      <c r="F118" s="5"/>
      <c r="G118" s="5"/>
      <c r="H118" s="5"/>
      <c r="I118" s="249"/>
      <c r="J118" s="5"/>
      <c r="K118" s="5"/>
      <c r="L118" s="5"/>
      <c r="M118" s="5"/>
      <c r="N118" s="5"/>
      <c r="O118" s="5"/>
      <c r="Q118" s="5"/>
      <c r="R118" s="5"/>
      <c r="S118" s="5"/>
      <c r="V118" s="39"/>
      <c r="W118" s="39"/>
      <c r="X118" s="39"/>
      <c r="Y118" s="39"/>
      <c r="Z118" s="39"/>
      <c r="AA118" s="39"/>
      <c r="AB118" s="39"/>
      <c r="AC118" s="39"/>
      <c r="AD118" s="39"/>
      <c r="AE118" s="39"/>
      <c r="AF118" s="39"/>
      <c r="AG118" s="39"/>
      <c r="AH118" s="39"/>
      <c r="AI118" s="39"/>
      <c r="AJ118" s="39"/>
      <c r="AK118" s="39"/>
      <c r="AL118" s="39"/>
      <c r="AM118" s="39"/>
      <c r="AN118" s="39"/>
      <c r="AO118" s="39"/>
      <c r="AP118" s="39"/>
      <c r="AQ118" s="39"/>
      <c r="AR118" s="39"/>
    </row>
    <row r="119" spans="2:44">
      <c r="B119" s="41"/>
      <c r="C119" s="254"/>
      <c r="D119" s="254"/>
      <c r="E119" s="254"/>
      <c r="F119" s="254"/>
      <c r="G119" s="254"/>
      <c r="H119" s="254"/>
      <c r="I119" s="254"/>
      <c r="J119" s="254"/>
      <c r="K119" s="254"/>
      <c r="L119" s="254"/>
      <c r="M119" s="254"/>
      <c r="N119" s="254"/>
      <c r="O119" s="248"/>
      <c r="Q119" s="5"/>
      <c r="R119" s="5"/>
      <c r="S119" s="5"/>
      <c r="V119" s="39"/>
      <c r="W119" s="39"/>
      <c r="X119" s="39"/>
      <c r="Y119" s="39"/>
      <c r="Z119" s="39"/>
      <c r="AA119" s="39"/>
      <c r="AB119" s="39"/>
      <c r="AC119" s="39"/>
      <c r="AD119" s="39"/>
      <c r="AE119" s="39"/>
      <c r="AF119" s="39"/>
      <c r="AG119" s="39"/>
      <c r="AH119" s="39"/>
      <c r="AI119" s="39"/>
      <c r="AJ119" s="39"/>
      <c r="AK119" s="39"/>
      <c r="AL119" s="39"/>
      <c r="AM119" s="39"/>
      <c r="AN119" s="39"/>
      <c r="AO119" s="39"/>
      <c r="AP119" s="39"/>
      <c r="AQ119" s="39"/>
      <c r="AR119" s="39"/>
    </row>
    <row r="120" spans="2:44">
      <c r="B120" s="41"/>
      <c r="C120" s="254"/>
      <c r="D120" s="249"/>
      <c r="E120" s="249"/>
      <c r="F120" s="249"/>
      <c r="G120" s="249"/>
      <c r="H120" s="249"/>
      <c r="I120" s="254"/>
      <c r="J120" s="249"/>
      <c r="K120" s="249"/>
      <c r="L120" s="249"/>
      <c r="M120" s="249"/>
      <c r="N120" s="249"/>
      <c r="O120" s="248"/>
      <c r="Q120" s="5"/>
      <c r="R120" s="5"/>
      <c r="S120" s="5"/>
      <c r="V120" s="39"/>
      <c r="W120" s="39"/>
      <c r="X120" s="39"/>
      <c r="Y120" s="39"/>
      <c r="Z120" s="39"/>
      <c r="AA120" s="39"/>
      <c r="AB120" s="39"/>
      <c r="AC120" s="39"/>
      <c r="AD120" s="39"/>
      <c r="AE120" s="39"/>
      <c r="AF120" s="39"/>
      <c r="AG120" s="39"/>
      <c r="AH120" s="39"/>
      <c r="AI120" s="39"/>
      <c r="AJ120" s="39"/>
      <c r="AK120" s="39"/>
      <c r="AL120" s="39"/>
      <c r="AM120" s="39"/>
      <c r="AN120" s="39"/>
      <c r="AO120" s="39"/>
      <c r="AP120" s="39"/>
      <c r="AQ120" s="39"/>
      <c r="AR120" s="39"/>
    </row>
    <row r="121" spans="2:44">
      <c r="B121" s="41"/>
      <c r="C121" s="254"/>
      <c r="D121" s="254"/>
      <c r="E121" s="254"/>
      <c r="F121" s="254"/>
      <c r="G121" s="254"/>
      <c r="H121" s="254"/>
      <c r="I121" s="254"/>
      <c r="J121" s="254"/>
      <c r="K121" s="254"/>
      <c r="L121" s="254"/>
      <c r="M121" s="254"/>
      <c r="N121" s="254"/>
      <c r="O121" s="248"/>
      <c r="Q121" s="5"/>
      <c r="R121" s="5"/>
      <c r="S121" s="5"/>
      <c r="V121" s="39"/>
      <c r="W121" s="39"/>
      <c r="X121" s="39"/>
      <c r="Y121" s="39"/>
      <c r="Z121" s="39"/>
      <c r="AA121" s="39"/>
      <c r="AB121" s="39"/>
      <c r="AC121" s="39"/>
      <c r="AD121" s="39"/>
      <c r="AE121" s="39"/>
      <c r="AF121" s="39"/>
      <c r="AG121" s="39"/>
      <c r="AH121" s="39"/>
      <c r="AI121" s="39"/>
      <c r="AJ121" s="39"/>
      <c r="AK121" s="39"/>
      <c r="AL121" s="39"/>
      <c r="AM121" s="39"/>
      <c r="AN121" s="39"/>
      <c r="AO121" s="39"/>
      <c r="AP121" s="39"/>
      <c r="AQ121" s="39"/>
      <c r="AR121" s="39"/>
    </row>
    <row r="122" spans="2:44">
      <c r="B122" s="41"/>
      <c r="C122" s="254"/>
      <c r="D122" s="254"/>
      <c r="E122" s="254"/>
      <c r="F122" s="254"/>
      <c r="G122" s="254"/>
      <c r="H122" s="254"/>
      <c r="I122" s="254"/>
      <c r="J122" s="254"/>
      <c r="K122" s="254"/>
      <c r="L122" s="254"/>
      <c r="M122" s="254"/>
      <c r="N122" s="254"/>
      <c r="O122" s="248"/>
      <c r="Q122" s="5"/>
      <c r="R122" s="5"/>
      <c r="S122" s="5"/>
      <c r="V122" s="39"/>
      <c r="W122" s="39"/>
      <c r="X122" s="39"/>
      <c r="Y122" s="39"/>
      <c r="Z122" s="39"/>
      <c r="AA122" s="39"/>
      <c r="AB122" s="39"/>
      <c r="AC122" s="39"/>
      <c r="AD122" s="39"/>
      <c r="AE122" s="39"/>
      <c r="AF122" s="39"/>
      <c r="AG122" s="39"/>
      <c r="AH122" s="39"/>
      <c r="AI122" s="39"/>
      <c r="AJ122" s="39"/>
      <c r="AK122" s="39"/>
      <c r="AL122" s="39"/>
      <c r="AM122" s="39"/>
      <c r="AN122" s="39"/>
      <c r="AO122" s="39"/>
      <c r="AP122" s="39"/>
      <c r="AQ122" s="39"/>
      <c r="AR122" s="39"/>
    </row>
    <row r="123" spans="2:44">
      <c r="B123" s="41"/>
      <c r="C123" s="254"/>
      <c r="D123" s="254"/>
      <c r="E123" s="254"/>
      <c r="F123" s="254"/>
      <c r="G123" s="254"/>
      <c r="H123" s="254"/>
      <c r="I123" s="254"/>
      <c r="J123" s="254"/>
      <c r="K123" s="254"/>
      <c r="L123" s="254"/>
      <c r="M123" s="254"/>
      <c r="N123" s="254"/>
      <c r="O123" s="248"/>
      <c r="Q123" s="5"/>
      <c r="R123" s="5"/>
      <c r="S123" s="5"/>
      <c r="V123" s="39"/>
      <c r="W123" s="39"/>
      <c r="X123" s="39"/>
      <c r="Y123" s="39"/>
      <c r="Z123" s="39"/>
      <c r="AA123" s="39"/>
      <c r="AB123" s="39"/>
      <c r="AC123" s="39"/>
      <c r="AD123" s="39"/>
      <c r="AE123" s="39"/>
      <c r="AF123" s="39"/>
      <c r="AG123" s="39"/>
      <c r="AH123" s="39"/>
      <c r="AI123" s="39"/>
      <c r="AJ123" s="39"/>
      <c r="AK123" s="39"/>
      <c r="AL123" s="39"/>
      <c r="AM123" s="39"/>
      <c r="AN123" s="39"/>
      <c r="AO123" s="39"/>
      <c r="AP123" s="39"/>
      <c r="AQ123" s="39"/>
      <c r="AR123" s="39"/>
    </row>
    <row r="124" spans="2:44">
      <c r="B124" s="41"/>
      <c r="C124" s="254"/>
      <c r="D124" s="254"/>
      <c r="E124" s="254"/>
      <c r="F124" s="254"/>
      <c r="G124" s="254"/>
      <c r="H124" s="254"/>
      <c r="I124" s="254"/>
      <c r="J124" s="254"/>
      <c r="K124" s="254"/>
      <c r="L124" s="254"/>
      <c r="M124" s="254"/>
      <c r="N124" s="254"/>
      <c r="O124" s="248"/>
      <c r="Q124" s="5"/>
      <c r="R124" s="5"/>
      <c r="S124" s="5"/>
      <c r="V124" s="39"/>
      <c r="W124" s="39"/>
      <c r="X124" s="39"/>
      <c r="Y124" s="39"/>
      <c r="Z124" s="39"/>
      <c r="AA124" s="39"/>
      <c r="AB124" s="39"/>
      <c r="AC124" s="39"/>
      <c r="AD124" s="39"/>
      <c r="AE124" s="39"/>
      <c r="AF124" s="39"/>
      <c r="AG124" s="39"/>
      <c r="AH124" s="39"/>
      <c r="AI124" s="39"/>
      <c r="AJ124" s="39"/>
      <c r="AK124" s="39"/>
      <c r="AL124" s="39"/>
      <c r="AM124" s="39"/>
      <c r="AN124" s="39"/>
      <c r="AO124" s="39"/>
      <c r="AP124" s="39"/>
      <c r="AQ124" s="39"/>
      <c r="AR124" s="39"/>
    </row>
    <row r="125" spans="2:44">
      <c r="B125" s="41"/>
      <c r="C125" s="254"/>
      <c r="D125" s="254"/>
      <c r="E125" s="254"/>
      <c r="F125" s="254"/>
      <c r="G125" s="254"/>
      <c r="H125" s="254"/>
      <c r="I125" s="254"/>
      <c r="J125" s="254"/>
      <c r="K125" s="254"/>
      <c r="L125" s="254"/>
      <c r="M125" s="254"/>
      <c r="N125" s="254"/>
      <c r="O125" s="5"/>
      <c r="Q125" s="5"/>
      <c r="R125" s="5"/>
      <c r="S125" s="5"/>
      <c r="V125" s="39"/>
      <c r="W125" s="39"/>
      <c r="X125" s="39"/>
      <c r="Y125" s="39"/>
      <c r="Z125" s="39"/>
      <c r="AA125" s="39"/>
      <c r="AB125" s="39"/>
      <c r="AC125" s="39"/>
      <c r="AD125" s="39"/>
      <c r="AE125" s="39"/>
      <c r="AF125" s="39"/>
      <c r="AG125" s="39"/>
      <c r="AH125" s="39"/>
      <c r="AI125" s="39"/>
      <c r="AJ125" s="39"/>
      <c r="AK125" s="39"/>
      <c r="AL125" s="39"/>
      <c r="AM125" s="39"/>
      <c r="AN125" s="39"/>
      <c r="AO125" s="39"/>
      <c r="AP125" s="39"/>
      <c r="AQ125" s="39"/>
      <c r="AR125" s="39"/>
    </row>
    <row r="126" spans="2:44">
      <c r="B126" s="41"/>
      <c r="C126" s="254"/>
      <c r="D126" s="254"/>
      <c r="E126" s="254"/>
      <c r="F126" s="254"/>
      <c r="G126" s="254"/>
      <c r="H126" s="254"/>
      <c r="I126" s="254"/>
      <c r="J126" s="254"/>
      <c r="K126" s="254"/>
      <c r="L126" s="254"/>
      <c r="M126" s="254"/>
      <c r="N126" s="254"/>
      <c r="O126" s="5"/>
      <c r="Q126" s="5"/>
      <c r="R126" s="5"/>
      <c r="S126" s="5"/>
      <c r="V126" s="39"/>
      <c r="W126" s="39"/>
      <c r="X126" s="39"/>
      <c r="Y126" s="39"/>
      <c r="Z126" s="39"/>
      <c r="AA126" s="39"/>
      <c r="AB126" s="39"/>
      <c r="AC126" s="39"/>
      <c r="AD126" s="39"/>
      <c r="AE126" s="39"/>
      <c r="AF126" s="39"/>
      <c r="AG126" s="39"/>
      <c r="AH126" s="39"/>
      <c r="AI126" s="39"/>
      <c r="AJ126" s="39"/>
      <c r="AK126" s="39"/>
      <c r="AL126" s="39"/>
      <c r="AM126" s="39"/>
      <c r="AN126" s="39"/>
      <c r="AO126" s="39"/>
      <c r="AP126" s="39"/>
      <c r="AQ126" s="39"/>
      <c r="AR126" s="39"/>
    </row>
    <row r="127" spans="2:44">
      <c r="B127" s="41"/>
      <c r="C127" s="254"/>
      <c r="D127" s="254"/>
      <c r="E127" s="254"/>
      <c r="F127" s="254"/>
      <c r="G127" s="254"/>
      <c r="H127" s="254"/>
      <c r="I127" s="18"/>
      <c r="J127" s="254"/>
      <c r="K127" s="254"/>
      <c r="L127" s="254"/>
      <c r="M127" s="254"/>
      <c r="N127" s="254"/>
      <c r="O127" s="5"/>
      <c r="Q127" s="5"/>
      <c r="R127" s="5"/>
      <c r="S127" s="5"/>
      <c r="AB127" s="39"/>
      <c r="AC127" s="39"/>
      <c r="AD127" s="39"/>
      <c r="AE127" s="39"/>
      <c r="AF127" s="39"/>
      <c r="AG127" s="39"/>
      <c r="AH127" s="39"/>
      <c r="AI127" s="39"/>
      <c r="AJ127" s="39"/>
      <c r="AK127" s="39"/>
      <c r="AL127" s="39"/>
      <c r="AM127" s="39"/>
      <c r="AN127" s="39"/>
      <c r="AO127" s="39"/>
      <c r="AP127" s="39"/>
      <c r="AQ127" s="39"/>
      <c r="AR127" s="39"/>
    </row>
    <row r="128" spans="2:44">
      <c r="B128" s="41"/>
      <c r="C128" s="254"/>
      <c r="D128" s="254"/>
      <c r="E128" s="254"/>
      <c r="F128" s="254"/>
      <c r="G128" s="254"/>
      <c r="H128" s="254"/>
      <c r="I128" s="5"/>
      <c r="J128" s="254"/>
      <c r="K128" s="254"/>
      <c r="L128" s="254"/>
      <c r="M128" s="254"/>
      <c r="N128" s="254"/>
      <c r="O128" s="5"/>
      <c r="Q128" s="5"/>
      <c r="R128" s="5"/>
      <c r="S128" s="5"/>
      <c r="AB128" s="39"/>
      <c r="AC128" s="39"/>
      <c r="AD128" s="39"/>
      <c r="AE128" s="39"/>
      <c r="AF128" s="39"/>
      <c r="AG128" s="39"/>
      <c r="AH128" s="39"/>
      <c r="AI128" s="39"/>
      <c r="AJ128" s="39"/>
      <c r="AK128" s="39"/>
      <c r="AL128" s="39"/>
      <c r="AM128" s="39"/>
      <c r="AN128" s="39"/>
      <c r="AO128" s="39"/>
      <c r="AP128" s="39"/>
      <c r="AQ128" s="39"/>
      <c r="AR128" s="39"/>
    </row>
    <row r="129" spans="2:44">
      <c r="B129" s="5"/>
      <c r="C129" s="5"/>
      <c r="D129" s="18"/>
      <c r="E129" s="18"/>
      <c r="F129" s="18"/>
      <c r="G129" s="18"/>
      <c r="H129" s="18"/>
      <c r="I129" s="254"/>
      <c r="J129" s="18"/>
      <c r="K129" s="18"/>
      <c r="L129" s="18"/>
      <c r="M129" s="18"/>
      <c r="N129" s="18"/>
      <c r="O129" s="5"/>
      <c r="Q129" s="5"/>
      <c r="R129" s="5"/>
      <c r="S129" s="5"/>
      <c r="AB129" s="39"/>
      <c r="AC129" s="39"/>
      <c r="AD129" s="39"/>
      <c r="AE129" s="39"/>
      <c r="AF129" s="39"/>
      <c r="AG129" s="39"/>
      <c r="AH129" s="39"/>
      <c r="AI129" s="39"/>
      <c r="AJ129" s="39"/>
      <c r="AK129" s="39"/>
      <c r="AL129" s="39"/>
      <c r="AM129" s="39"/>
      <c r="AN129" s="39"/>
      <c r="AO129" s="39"/>
      <c r="AP129" s="39"/>
      <c r="AQ129" s="39"/>
      <c r="AR129" s="39"/>
    </row>
    <row r="130" spans="2:44">
      <c r="B130" s="5"/>
      <c r="C130" s="5"/>
      <c r="D130" s="5"/>
      <c r="E130" s="5"/>
      <c r="F130" s="5"/>
      <c r="G130" s="5"/>
      <c r="H130" s="5"/>
      <c r="I130" s="18"/>
      <c r="J130" s="5"/>
      <c r="K130" s="5"/>
      <c r="L130" s="5"/>
      <c r="M130" s="5"/>
      <c r="N130" s="5"/>
      <c r="O130" s="5"/>
      <c r="Q130" s="5"/>
      <c r="R130" s="5"/>
      <c r="S130" s="5"/>
      <c r="AB130" s="39"/>
      <c r="AC130" s="39"/>
      <c r="AD130" s="39"/>
      <c r="AE130" s="39"/>
      <c r="AF130" s="39"/>
      <c r="AG130" s="39"/>
      <c r="AH130" s="39"/>
      <c r="AI130" s="39"/>
      <c r="AJ130" s="39"/>
      <c r="AK130" s="39"/>
      <c r="AL130" s="39"/>
      <c r="AM130" s="39"/>
      <c r="AN130" s="39"/>
      <c r="AO130" s="39"/>
      <c r="AP130" s="39"/>
      <c r="AQ130" s="39"/>
      <c r="AR130" s="39"/>
    </row>
    <row r="131" spans="2:44">
      <c r="B131" s="41"/>
      <c r="C131" s="254"/>
      <c r="D131" s="254"/>
      <c r="E131" s="254"/>
      <c r="F131" s="254"/>
      <c r="G131" s="254"/>
      <c r="H131" s="254"/>
      <c r="I131" s="5"/>
      <c r="J131" s="254"/>
      <c r="K131" s="254"/>
      <c r="L131" s="254"/>
      <c r="M131" s="254"/>
      <c r="N131" s="254"/>
      <c r="O131" s="5"/>
      <c r="Q131" s="5"/>
      <c r="R131" s="5"/>
      <c r="S131" s="5"/>
      <c r="AB131" s="39"/>
      <c r="AC131" s="39"/>
      <c r="AD131" s="39"/>
      <c r="AE131" s="39"/>
      <c r="AF131" s="39"/>
      <c r="AG131" s="39"/>
      <c r="AH131" s="39"/>
      <c r="AI131" s="39"/>
      <c r="AJ131" s="39"/>
      <c r="AK131" s="39"/>
      <c r="AL131" s="39"/>
      <c r="AM131" s="39"/>
      <c r="AN131" s="39"/>
      <c r="AO131" s="39"/>
      <c r="AP131" s="39"/>
      <c r="AQ131" s="39"/>
      <c r="AR131" s="39"/>
    </row>
    <row r="132" spans="2:44">
      <c r="B132" s="5"/>
      <c r="C132" s="259"/>
      <c r="D132" s="18"/>
      <c r="E132" s="18"/>
      <c r="F132" s="18"/>
      <c r="G132" s="18"/>
      <c r="H132" s="18"/>
      <c r="I132" s="5"/>
      <c r="J132" s="18"/>
      <c r="K132" s="18"/>
      <c r="L132" s="18"/>
      <c r="M132" s="18"/>
      <c r="N132" s="18"/>
      <c r="O132" s="5"/>
      <c r="Q132" s="5"/>
      <c r="R132" s="5"/>
      <c r="S132" s="5"/>
      <c r="AB132" s="39"/>
      <c r="AC132" s="39"/>
      <c r="AD132" s="39"/>
      <c r="AE132" s="39"/>
      <c r="AF132" s="39"/>
      <c r="AG132" s="39"/>
      <c r="AH132" s="39"/>
      <c r="AI132" s="39"/>
      <c r="AJ132" s="39"/>
      <c r="AK132" s="39"/>
      <c r="AL132" s="39"/>
      <c r="AM132" s="39"/>
      <c r="AN132" s="39"/>
      <c r="AO132" s="39"/>
      <c r="AP132" s="39"/>
      <c r="AQ132" s="39"/>
      <c r="AR132" s="39"/>
    </row>
    <row r="133" spans="2:44">
      <c r="B133" s="5"/>
      <c r="C133" s="5"/>
      <c r="D133" s="5"/>
      <c r="E133" s="5"/>
      <c r="F133" s="5"/>
      <c r="G133" s="5"/>
      <c r="H133" s="5"/>
      <c r="I133" s="17"/>
      <c r="J133" s="5"/>
      <c r="K133" s="5"/>
      <c r="L133" s="5"/>
      <c r="M133" s="5"/>
      <c r="N133" s="5"/>
      <c r="O133" s="5"/>
      <c r="Q133" s="5"/>
      <c r="R133" s="5"/>
      <c r="S133" s="5"/>
      <c r="AB133" s="39"/>
      <c r="AC133" s="39"/>
      <c r="AD133" s="39"/>
      <c r="AE133" s="39"/>
      <c r="AF133" s="39"/>
      <c r="AG133" s="39"/>
      <c r="AH133" s="39"/>
      <c r="AI133" s="39"/>
      <c r="AJ133" s="39"/>
      <c r="AK133" s="39"/>
      <c r="AL133" s="39"/>
      <c r="AM133" s="39"/>
      <c r="AN133" s="39"/>
      <c r="AO133" s="39"/>
      <c r="AP133" s="39"/>
      <c r="AQ133" s="39"/>
      <c r="AR133" s="39"/>
    </row>
    <row r="134" spans="2:44">
      <c r="B134" s="41"/>
      <c r="C134" s="5"/>
      <c r="D134" s="5"/>
      <c r="E134" s="5"/>
      <c r="F134" s="5"/>
      <c r="G134" s="5"/>
      <c r="H134" s="5"/>
      <c r="I134" s="17"/>
      <c r="J134" s="5"/>
      <c r="K134" s="5"/>
      <c r="L134" s="5"/>
      <c r="M134" s="5"/>
      <c r="N134" s="5"/>
      <c r="O134" s="5"/>
      <c r="Q134" s="5"/>
      <c r="R134" s="5"/>
      <c r="S134" s="5"/>
      <c r="AB134" s="39"/>
      <c r="AC134" s="39"/>
      <c r="AD134" s="39"/>
      <c r="AE134" s="39"/>
      <c r="AF134" s="39"/>
      <c r="AG134" s="39"/>
      <c r="AH134" s="39"/>
      <c r="AI134" s="39"/>
      <c r="AJ134" s="39"/>
      <c r="AK134" s="39"/>
      <c r="AL134" s="39"/>
      <c r="AM134" s="39"/>
      <c r="AN134" s="39"/>
      <c r="AO134" s="39"/>
      <c r="AP134" s="39"/>
      <c r="AQ134" s="39"/>
      <c r="AR134" s="39"/>
    </row>
    <row r="135" spans="2:44">
      <c r="B135" s="5"/>
      <c r="C135" s="17"/>
      <c r="D135" s="17"/>
      <c r="E135" s="17"/>
      <c r="F135" s="17"/>
      <c r="G135" s="17"/>
      <c r="H135" s="17"/>
      <c r="I135" s="17"/>
      <c r="J135" s="17"/>
      <c r="K135" s="17"/>
      <c r="L135" s="17"/>
      <c r="M135" s="17"/>
      <c r="N135" s="17"/>
      <c r="O135" s="5"/>
      <c r="Q135" s="41"/>
      <c r="R135" s="5"/>
      <c r="S135" s="5"/>
      <c r="AB135" s="39"/>
      <c r="AC135" s="39"/>
      <c r="AD135" s="39"/>
      <c r="AE135" s="39"/>
      <c r="AF135" s="39"/>
      <c r="AG135" s="39"/>
      <c r="AH135" s="39"/>
      <c r="AI135" s="39"/>
      <c r="AJ135" s="39"/>
      <c r="AK135" s="39"/>
      <c r="AL135" s="39"/>
      <c r="AM135" s="39"/>
      <c r="AN135" s="39"/>
      <c r="AO135" s="39"/>
      <c r="AP135" s="39"/>
      <c r="AQ135" s="39"/>
      <c r="AR135" s="39"/>
    </row>
    <row r="136" spans="2:44">
      <c r="B136" s="5"/>
      <c r="C136" s="17"/>
      <c r="D136" s="17"/>
      <c r="E136" s="17"/>
      <c r="F136" s="17"/>
      <c r="G136" s="17"/>
      <c r="H136" s="17"/>
      <c r="I136" s="17"/>
      <c r="J136" s="17"/>
      <c r="K136" s="17"/>
      <c r="L136" s="17"/>
      <c r="M136" s="17"/>
      <c r="N136" s="17"/>
      <c r="O136" s="5"/>
      <c r="Q136" s="5"/>
      <c r="R136" s="5"/>
      <c r="S136" s="5"/>
      <c r="X136" s="304"/>
      <c r="AB136" s="39"/>
      <c r="AC136" s="39"/>
      <c r="AD136" s="39"/>
      <c r="AE136" s="39"/>
      <c r="AF136" s="39"/>
      <c r="AG136" s="39"/>
      <c r="AH136" s="39"/>
      <c r="AI136" s="39"/>
      <c r="AJ136" s="39"/>
      <c r="AK136" s="39"/>
      <c r="AL136" s="39"/>
      <c r="AM136" s="39"/>
      <c r="AN136" s="39"/>
      <c r="AO136" s="39"/>
      <c r="AP136" s="39"/>
      <c r="AQ136" s="39"/>
      <c r="AR136" s="39"/>
    </row>
    <row r="137" spans="2:44">
      <c r="B137" s="5"/>
      <c r="C137" s="5"/>
      <c r="D137" s="17"/>
      <c r="E137" s="17"/>
      <c r="F137" s="17"/>
      <c r="G137" s="17"/>
      <c r="H137" s="17"/>
      <c r="I137" s="17"/>
      <c r="J137" s="17"/>
      <c r="K137" s="17"/>
      <c r="L137" s="17"/>
      <c r="M137" s="17"/>
      <c r="N137" s="17"/>
      <c r="O137" s="5"/>
      <c r="Q137" s="5"/>
      <c r="R137" s="5"/>
      <c r="S137" s="5"/>
      <c r="X137" s="10"/>
      <c r="Y137" s="304"/>
      <c r="Z137" s="304"/>
      <c r="AA137" s="304"/>
      <c r="AB137" s="39"/>
      <c r="AC137" s="39"/>
      <c r="AD137" s="39"/>
      <c r="AE137" s="39"/>
      <c r="AF137" s="39"/>
      <c r="AG137" s="39"/>
      <c r="AH137" s="39"/>
      <c r="AI137" s="39"/>
      <c r="AJ137" s="39"/>
      <c r="AK137" s="39"/>
      <c r="AL137" s="39"/>
      <c r="AM137" s="39"/>
      <c r="AN137" s="39"/>
      <c r="AO137" s="39"/>
      <c r="AP137" s="39"/>
      <c r="AQ137" s="39"/>
      <c r="AR137" s="39"/>
    </row>
    <row r="138" spans="2:44">
      <c r="B138" s="5"/>
      <c r="C138" s="5"/>
      <c r="D138" s="17"/>
      <c r="E138" s="17"/>
      <c r="F138" s="17"/>
      <c r="G138" s="17"/>
      <c r="H138" s="17"/>
      <c r="I138" s="17"/>
      <c r="J138" s="17"/>
      <c r="K138" s="17"/>
      <c r="L138" s="17"/>
      <c r="M138" s="17"/>
      <c r="N138" s="17"/>
      <c r="O138" s="5"/>
      <c r="Q138" s="5"/>
      <c r="R138" s="5"/>
      <c r="S138" s="5"/>
      <c r="Y138" s="10"/>
      <c r="Z138" s="10"/>
      <c r="AA138" s="10"/>
      <c r="AB138" s="39"/>
      <c r="AC138" s="39"/>
      <c r="AD138" s="39"/>
      <c r="AE138" s="39"/>
      <c r="AF138" s="39"/>
      <c r="AG138" s="39"/>
      <c r="AH138" s="39"/>
      <c r="AI138" s="39"/>
      <c r="AJ138" s="39"/>
      <c r="AK138" s="39"/>
      <c r="AL138" s="39"/>
      <c r="AM138" s="39"/>
      <c r="AN138" s="39"/>
      <c r="AO138" s="39"/>
      <c r="AP138" s="39"/>
      <c r="AQ138" s="39"/>
      <c r="AR138" s="39"/>
    </row>
    <row r="139" spans="2:44">
      <c r="B139" s="5"/>
      <c r="C139" s="5"/>
      <c r="D139" s="17"/>
      <c r="E139" s="17"/>
      <c r="F139" s="17"/>
      <c r="G139" s="17"/>
      <c r="H139" s="17"/>
      <c r="I139" s="5"/>
      <c r="J139" s="17"/>
      <c r="K139" s="17"/>
      <c r="L139" s="17"/>
      <c r="M139" s="17"/>
      <c r="N139" s="17"/>
      <c r="O139" s="5"/>
      <c r="Q139" s="5"/>
      <c r="R139" s="5"/>
      <c r="S139" s="5"/>
      <c r="AB139" s="39"/>
      <c r="AC139" s="39"/>
      <c r="AD139" s="39"/>
      <c r="AE139" s="39"/>
      <c r="AF139" s="39"/>
      <c r="AG139" s="39"/>
      <c r="AH139" s="39"/>
      <c r="AI139" s="39"/>
      <c r="AJ139" s="39"/>
      <c r="AK139" s="39"/>
      <c r="AL139" s="39"/>
      <c r="AM139" s="39"/>
      <c r="AN139" s="39"/>
      <c r="AO139" s="39"/>
      <c r="AP139" s="39"/>
      <c r="AQ139" s="39"/>
      <c r="AR139" s="39"/>
    </row>
    <row r="140" spans="2:44">
      <c r="B140" s="5"/>
      <c r="C140" s="17"/>
      <c r="D140" s="17"/>
      <c r="E140" s="17"/>
      <c r="F140" s="17"/>
      <c r="G140" s="17"/>
      <c r="H140" s="17"/>
      <c r="I140" s="5"/>
      <c r="J140" s="17"/>
      <c r="K140" s="17"/>
      <c r="L140" s="17"/>
      <c r="M140" s="17"/>
      <c r="N140" s="17"/>
      <c r="O140" s="5"/>
      <c r="Q140" s="5"/>
      <c r="R140" s="5"/>
      <c r="S140" s="5"/>
      <c r="AB140" s="39"/>
      <c r="AC140" s="39"/>
      <c r="AD140" s="39"/>
      <c r="AE140" s="39"/>
      <c r="AF140" s="39"/>
      <c r="AG140" s="39"/>
      <c r="AH140" s="39"/>
      <c r="AI140" s="39"/>
      <c r="AJ140" s="39"/>
      <c r="AK140" s="39"/>
      <c r="AL140" s="39"/>
      <c r="AM140" s="39"/>
      <c r="AN140" s="39"/>
      <c r="AO140" s="39"/>
      <c r="AP140" s="39"/>
      <c r="AQ140" s="39"/>
      <c r="AR140" s="39"/>
    </row>
    <row r="141" spans="2:44">
      <c r="B141" s="5"/>
      <c r="C141" s="5"/>
      <c r="D141" s="5"/>
      <c r="E141" s="5"/>
      <c r="F141" s="5"/>
      <c r="G141" s="5"/>
      <c r="H141" s="5"/>
      <c r="I141" s="5"/>
      <c r="J141" s="5"/>
      <c r="K141" s="5"/>
      <c r="L141" s="5"/>
      <c r="M141" s="5"/>
      <c r="N141" s="5"/>
      <c r="O141" s="5"/>
      <c r="Q141" s="5"/>
      <c r="R141" s="5"/>
      <c r="S141" s="5"/>
      <c r="AB141" s="39"/>
      <c r="AC141" s="39"/>
      <c r="AD141" s="39"/>
      <c r="AE141" s="39"/>
      <c r="AF141" s="39"/>
      <c r="AG141" s="39"/>
      <c r="AH141" s="39"/>
      <c r="AI141" s="39"/>
      <c r="AJ141" s="39"/>
      <c r="AK141" s="39"/>
      <c r="AL141" s="39"/>
      <c r="AM141" s="39"/>
      <c r="AN141" s="39"/>
      <c r="AO141" s="39"/>
      <c r="AP141" s="39"/>
      <c r="AQ141" s="39"/>
      <c r="AR141" s="39"/>
    </row>
    <row r="142" spans="2:44">
      <c r="B142" s="5"/>
      <c r="C142" s="5"/>
      <c r="D142" s="5"/>
      <c r="E142" s="5"/>
      <c r="F142" s="5"/>
      <c r="G142" s="5"/>
      <c r="H142" s="5"/>
      <c r="I142" s="5"/>
      <c r="J142" s="5"/>
      <c r="K142" s="5"/>
      <c r="L142" s="5"/>
      <c r="M142" s="5"/>
      <c r="N142" s="5"/>
      <c r="O142" s="5"/>
      <c r="Q142" s="5"/>
      <c r="R142" s="5"/>
      <c r="S142" s="5"/>
      <c r="AB142" s="39"/>
      <c r="AC142" s="39"/>
      <c r="AD142" s="39"/>
      <c r="AE142" s="39"/>
      <c r="AF142" s="39"/>
      <c r="AG142" s="39"/>
      <c r="AH142" s="39"/>
      <c r="AI142" s="39"/>
      <c r="AJ142" s="39"/>
      <c r="AK142" s="39"/>
      <c r="AL142" s="39"/>
      <c r="AM142" s="39"/>
      <c r="AN142" s="39"/>
      <c r="AO142" s="39"/>
      <c r="AP142" s="39"/>
      <c r="AQ142" s="39"/>
      <c r="AR142" s="39"/>
    </row>
    <row r="143" spans="2:44">
      <c r="B143" s="5"/>
      <c r="C143" s="5"/>
      <c r="D143" s="5"/>
      <c r="E143" s="5"/>
      <c r="F143" s="5"/>
      <c r="G143" s="5"/>
      <c r="H143" s="5"/>
      <c r="I143" s="5"/>
      <c r="J143" s="5"/>
      <c r="K143" s="5"/>
      <c r="L143" s="5"/>
      <c r="M143" s="5"/>
      <c r="N143" s="5"/>
      <c r="O143" s="5"/>
      <c r="Q143" s="5"/>
      <c r="R143" s="5"/>
      <c r="S143" s="5"/>
      <c r="V143" s="39"/>
      <c r="W143" s="39"/>
      <c r="X143" s="39"/>
      <c r="Y143" s="39"/>
      <c r="Z143" s="39"/>
      <c r="AA143" s="39"/>
      <c r="AB143" s="39"/>
      <c r="AC143" s="39"/>
      <c r="AD143" s="39"/>
      <c r="AE143" s="39"/>
      <c r="AF143" s="39"/>
      <c r="AG143" s="39"/>
      <c r="AH143" s="39"/>
      <c r="AI143" s="39"/>
      <c r="AJ143" s="39"/>
      <c r="AK143" s="39"/>
      <c r="AL143" s="39"/>
      <c r="AM143" s="39"/>
      <c r="AN143" s="39"/>
      <c r="AO143" s="39"/>
      <c r="AP143" s="39"/>
      <c r="AQ143" s="39"/>
      <c r="AR143" s="39"/>
    </row>
    <row r="144" spans="2:44">
      <c r="B144" s="5"/>
      <c r="C144" s="5"/>
      <c r="D144" s="5"/>
      <c r="E144" s="5"/>
      <c r="F144" s="5"/>
      <c r="G144" s="5"/>
      <c r="H144" s="5"/>
      <c r="I144" s="5"/>
      <c r="J144" s="5"/>
      <c r="K144" s="5"/>
      <c r="L144" s="5"/>
      <c r="M144" s="5"/>
      <c r="N144" s="5"/>
      <c r="O144" s="5"/>
      <c r="Q144" s="5"/>
      <c r="R144" s="5"/>
      <c r="S144" s="5"/>
      <c r="V144" s="39"/>
      <c r="W144" s="39"/>
      <c r="X144" s="39"/>
      <c r="Y144" s="39"/>
      <c r="Z144" s="39"/>
      <c r="AA144" s="39"/>
      <c r="AB144" s="39"/>
      <c r="AC144" s="39"/>
      <c r="AD144" s="39"/>
      <c r="AE144" s="39"/>
      <c r="AF144" s="39"/>
      <c r="AG144" s="39"/>
      <c r="AH144" s="39"/>
      <c r="AI144" s="39"/>
      <c r="AJ144" s="39"/>
      <c r="AK144" s="39"/>
      <c r="AL144" s="39"/>
      <c r="AM144" s="39"/>
      <c r="AN144" s="39"/>
      <c r="AO144" s="39"/>
      <c r="AP144" s="39"/>
      <c r="AQ144" s="39"/>
      <c r="AR144" s="39"/>
    </row>
    <row r="145" spans="2:44">
      <c r="B145" s="5"/>
      <c r="C145" s="5"/>
      <c r="D145" s="5"/>
      <c r="E145" s="5"/>
      <c r="F145" s="5"/>
      <c r="G145" s="5"/>
      <c r="H145" s="5"/>
      <c r="I145" s="5"/>
      <c r="J145" s="5"/>
      <c r="K145" s="5"/>
      <c r="L145" s="5"/>
      <c r="M145" s="5"/>
      <c r="N145" s="5"/>
      <c r="O145" s="5"/>
      <c r="Q145" s="5"/>
      <c r="R145" s="5"/>
      <c r="S145" s="5"/>
      <c r="V145" s="39"/>
      <c r="W145" s="39"/>
      <c r="X145" s="39"/>
      <c r="Y145" s="39"/>
      <c r="Z145" s="39"/>
      <c r="AA145" s="39"/>
      <c r="AB145" s="39"/>
      <c r="AC145" s="39"/>
      <c r="AD145" s="39"/>
      <c r="AE145" s="39"/>
      <c r="AF145" s="39"/>
      <c r="AG145" s="39"/>
      <c r="AH145" s="39"/>
      <c r="AI145" s="39"/>
      <c r="AJ145" s="39"/>
      <c r="AK145" s="39"/>
      <c r="AL145" s="39"/>
      <c r="AM145" s="39"/>
      <c r="AN145" s="39"/>
      <c r="AO145" s="39"/>
      <c r="AP145" s="39"/>
      <c r="AQ145" s="39"/>
      <c r="AR145" s="39"/>
    </row>
    <row r="146" spans="2:44">
      <c r="B146" s="5"/>
      <c r="C146" s="5"/>
      <c r="D146" s="5"/>
      <c r="E146" s="5"/>
      <c r="F146" s="5"/>
      <c r="G146" s="5"/>
      <c r="H146" s="5"/>
      <c r="I146" s="5"/>
      <c r="J146" s="5"/>
      <c r="K146" s="5"/>
      <c r="L146" s="5"/>
      <c r="M146" s="5"/>
      <c r="N146" s="5"/>
      <c r="O146" s="5"/>
      <c r="Q146" s="5"/>
      <c r="R146" s="5"/>
      <c r="S146" s="5"/>
      <c r="V146" s="39"/>
      <c r="W146" s="39"/>
      <c r="X146" s="39"/>
      <c r="Y146" s="39"/>
      <c r="Z146" s="39"/>
      <c r="AA146" s="39"/>
      <c r="AB146" s="39"/>
      <c r="AC146" s="39"/>
      <c r="AD146" s="39"/>
      <c r="AE146" s="39"/>
      <c r="AF146" s="39"/>
      <c r="AG146" s="39"/>
      <c r="AH146" s="39"/>
      <c r="AI146" s="39"/>
      <c r="AJ146" s="39"/>
      <c r="AK146" s="39"/>
      <c r="AL146" s="39"/>
      <c r="AM146" s="39"/>
      <c r="AN146" s="39"/>
      <c r="AO146" s="39"/>
      <c r="AP146" s="39"/>
      <c r="AQ146" s="39"/>
      <c r="AR146" s="39"/>
    </row>
    <row r="147" spans="2:44">
      <c r="B147" s="5"/>
      <c r="C147" s="5"/>
      <c r="D147" s="5"/>
      <c r="E147" s="5"/>
      <c r="F147" s="5"/>
      <c r="G147" s="5"/>
      <c r="H147" s="5"/>
      <c r="I147" s="5"/>
      <c r="J147" s="5"/>
      <c r="K147" s="5"/>
      <c r="L147" s="5"/>
      <c r="M147" s="5"/>
      <c r="N147" s="5"/>
      <c r="O147" s="5"/>
      <c r="Q147" s="5"/>
      <c r="R147" s="5"/>
      <c r="S147" s="5"/>
      <c r="V147" s="39"/>
      <c r="W147" s="39"/>
      <c r="X147" s="39"/>
      <c r="Y147" s="39"/>
      <c r="Z147" s="39"/>
      <c r="AA147" s="39"/>
      <c r="AB147" s="39"/>
      <c r="AC147" s="39"/>
      <c r="AD147" s="39"/>
      <c r="AE147" s="39"/>
      <c r="AF147" s="39"/>
      <c r="AG147" s="39"/>
      <c r="AH147" s="39"/>
      <c r="AI147" s="39"/>
      <c r="AJ147" s="39"/>
      <c r="AK147" s="39"/>
      <c r="AL147" s="39"/>
      <c r="AM147" s="39"/>
      <c r="AN147" s="39"/>
      <c r="AO147" s="39"/>
      <c r="AP147" s="39"/>
      <c r="AQ147" s="39"/>
      <c r="AR147" s="39"/>
    </row>
    <row r="148" spans="2:44">
      <c r="B148" s="5"/>
      <c r="C148" s="5"/>
      <c r="D148" s="5"/>
      <c r="E148" s="5"/>
      <c r="F148" s="5"/>
      <c r="G148" s="5"/>
      <c r="H148" s="5"/>
      <c r="I148" s="5"/>
      <c r="J148" s="5"/>
      <c r="K148" s="5"/>
      <c r="L148" s="5"/>
      <c r="M148" s="5"/>
      <c r="N148" s="5"/>
      <c r="O148" s="5"/>
      <c r="Q148" s="5"/>
      <c r="R148" s="5"/>
      <c r="S148" s="5"/>
      <c r="V148" s="39"/>
      <c r="W148" s="39"/>
      <c r="X148" s="39"/>
      <c r="Y148" s="39"/>
      <c r="Z148" s="39"/>
      <c r="AA148" s="39"/>
      <c r="AB148" s="39"/>
      <c r="AC148" s="39"/>
      <c r="AD148" s="39"/>
      <c r="AE148" s="39"/>
      <c r="AF148" s="39"/>
      <c r="AG148" s="39"/>
      <c r="AH148" s="39"/>
      <c r="AI148" s="39"/>
      <c r="AJ148" s="39"/>
      <c r="AK148" s="39"/>
      <c r="AL148" s="39"/>
      <c r="AM148" s="39"/>
      <c r="AN148" s="39"/>
      <c r="AO148" s="39"/>
      <c r="AP148" s="39"/>
      <c r="AQ148" s="39"/>
      <c r="AR148" s="39"/>
    </row>
    <row r="149" spans="2:44">
      <c r="B149" s="5"/>
      <c r="C149" s="5"/>
      <c r="D149" s="5"/>
      <c r="E149" s="5"/>
      <c r="F149" s="5"/>
      <c r="G149" s="5"/>
      <c r="H149" s="5"/>
      <c r="J149" s="5"/>
      <c r="K149" s="5"/>
      <c r="L149" s="5"/>
      <c r="M149" s="5"/>
      <c r="N149" s="5"/>
      <c r="O149" s="5"/>
      <c r="Q149" s="5"/>
      <c r="R149" s="5"/>
      <c r="S149" s="5"/>
      <c r="V149" s="39"/>
      <c r="W149" s="39"/>
      <c r="X149" s="39"/>
      <c r="Y149" s="39"/>
      <c r="Z149" s="39"/>
      <c r="AA149" s="39"/>
      <c r="AB149" s="39"/>
      <c r="AC149" s="39"/>
      <c r="AD149" s="39"/>
      <c r="AE149" s="39"/>
      <c r="AF149" s="39"/>
      <c r="AG149" s="39"/>
      <c r="AH149" s="39"/>
      <c r="AI149" s="39"/>
      <c r="AJ149" s="39"/>
      <c r="AK149" s="39"/>
      <c r="AL149" s="39"/>
      <c r="AM149" s="39"/>
      <c r="AN149" s="39"/>
      <c r="AO149" s="39"/>
      <c r="AP149" s="39"/>
      <c r="AQ149" s="39"/>
      <c r="AR149" s="39"/>
    </row>
    <row r="150" spans="2:44">
      <c r="B150" s="5"/>
      <c r="C150" s="5"/>
      <c r="D150" s="5"/>
      <c r="E150" s="5"/>
      <c r="F150" s="5"/>
      <c r="G150" s="5"/>
      <c r="H150" s="5"/>
      <c r="J150" s="5"/>
      <c r="K150" s="5"/>
      <c r="L150" s="5"/>
      <c r="M150" s="5"/>
      <c r="N150" s="5"/>
      <c r="O150" s="5"/>
      <c r="Q150" s="5"/>
      <c r="R150" s="5"/>
      <c r="S150" s="5"/>
      <c r="V150" s="39"/>
      <c r="W150" s="39"/>
      <c r="X150" s="39"/>
      <c r="Y150" s="39"/>
      <c r="Z150" s="39"/>
      <c r="AA150" s="39"/>
      <c r="AB150" s="39"/>
      <c r="AC150" s="39"/>
      <c r="AD150" s="39"/>
      <c r="AE150" s="39"/>
      <c r="AF150" s="39"/>
      <c r="AG150" s="39"/>
      <c r="AH150" s="39"/>
      <c r="AI150" s="39"/>
      <c r="AJ150" s="39"/>
      <c r="AK150" s="39"/>
      <c r="AL150" s="39"/>
      <c r="AM150" s="39"/>
      <c r="AN150" s="39"/>
      <c r="AO150" s="39"/>
      <c r="AP150" s="39"/>
      <c r="AQ150" s="39"/>
      <c r="AR150" s="39"/>
    </row>
    <row r="151" spans="2:44">
      <c r="Q151" s="5"/>
      <c r="R151" s="5"/>
      <c r="S151" s="5"/>
      <c r="V151" s="39"/>
      <c r="W151" s="39"/>
      <c r="X151" s="39"/>
      <c r="Y151" s="39"/>
      <c r="Z151" s="39"/>
      <c r="AA151" s="39"/>
      <c r="AB151" s="39"/>
      <c r="AC151" s="39"/>
      <c r="AD151" s="39"/>
      <c r="AE151" s="39"/>
      <c r="AF151" s="39"/>
      <c r="AG151" s="39"/>
      <c r="AH151" s="39"/>
      <c r="AI151" s="39"/>
      <c r="AJ151" s="39"/>
      <c r="AK151" s="39"/>
      <c r="AL151" s="39"/>
      <c r="AM151" s="39"/>
      <c r="AN151" s="39"/>
      <c r="AO151" s="39"/>
      <c r="AP151" s="39"/>
      <c r="AQ151" s="39"/>
      <c r="AR151" s="39"/>
    </row>
    <row r="152" spans="2:44">
      <c r="Q152" s="5"/>
      <c r="R152" s="5"/>
      <c r="S152" s="5"/>
      <c r="V152" s="39"/>
      <c r="W152" s="39"/>
      <c r="X152" s="39"/>
      <c r="Y152" s="39"/>
      <c r="Z152" s="39"/>
      <c r="AA152" s="39"/>
      <c r="AB152" s="39"/>
      <c r="AC152" s="39"/>
      <c r="AD152" s="39"/>
      <c r="AE152" s="39"/>
      <c r="AF152" s="39"/>
      <c r="AG152" s="39"/>
      <c r="AH152" s="39"/>
      <c r="AI152" s="39"/>
      <c r="AJ152" s="39"/>
      <c r="AK152" s="39"/>
      <c r="AL152" s="39"/>
      <c r="AM152" s="39"/>
      <c r="AN152" s="39"/>
      <c r="AO152" s="39"/>
      <c r="AP152" s="39"/>
      <c r="AQ152" s="39"/>
      <c r="AR152" s="39"/>
    </row>
    <row r="153" spans="2:44">
      <c r="C153" s="263"/>
      <c r="Q153" s="5"/>
      <c r="R153" s="5"/>
      <c r="S153" s="5"/>
      <c r="V153" s="39"/>
      <c r="W153" s="39"/>
      <c r="X153" s="39"/>
      <c r="Y153" s="39"/>
      <c r="Z153" s="39"/>
      <c r="AA153" s="39"/>
      <c r="AB153" s="39"/>
      <c r="AC153" s="39"/>
      <c r="AD153" s="39"/>
      <c r="AE153" s="39"/>
      <c r="AF153" s="39"/>
      <c r="AG153" s="39"/>
      <c r="AH153" s="39"/>
      <c r="AI153" s="39"/>
      <c r="AJ153" s="39"/>
      <c r="AK153" s="39"/>
      <c r="AL153" s="39"/>
      <c r="AM153" s="39"/>
      <c r="AN153" s="39"/>
      <c r="AO153" s="39"/>
      <c r="AP153" s="39"/>
      <c r="AQ153" s="39"/>
      <c r="AR153" s="39"/>
    </row>
    <row r="154" spans="2:44">
      <c r="Q154" s="5"/>
      <c r="R154" s="5"/>
      <c r="S154" s="5"/>
      <c r="V154" s="39"/>
      <c r="W154" s="39"/>
      <c r="X154" s="39"/>
      <c r="Y154" s="39"/>
      <c r="Z154" s="39"/>
      <c r="AA154" s="39"/>
      <c r="AB154" s="39"/>
      <c r="AC154" s="39"/>
      <c r="AD154" s="39"/>
      <c r="AE154" s="39"/>
      <c r="AF154" s="39"/>
      <c r="AG154" s="39"/>
      <c r="AH154" s="39"/>
      <c r="AI154" s="39"/>
      <c r="AJ154" s="39"/>
      <c r="AK154" s="39"/>
      <c r="AL154" s="39"/>
      <c r="AM154" s="39"/>
      <c r="AN154" s="39"/>
      <c r="AO154" s="39"/>
      <c r="AP154" s="39"/>
      <c r="AQ154" s="39"/>
      <c r="AR154" s="39"/>
    </row>
    <row r="155" spans="2:44">
      <c r="Q155" s="5"/>
      <c r="R155" s="5"/>
      <c r="S155" s="5"/>
      <c r="V155" s="39"/>
      <c r="W155" s="39"/>
      <c r="X155" s="39"/>
      <c r="Y155" s="39"/>
      <c r="Z155" s="39"/>
      <c r="AA155" s="39"/>
      <c r="AB155" s="39"/>
      <c r="AC155" s="39"/>
      <c r="AD155" s="39"/>
      <c r="AE155" s="39"/>
      <c r="AF155" s="39"/>
      <c r="AG155" s="39"/>
      <c r="AH155" s="39"/>
      <c r="AI155" s="39"/>
      <c r="AJ155" s="39"/>
      <c r="AK155" s="39"/>
      <c r="AL155" s="39"/>
      <c r="AM155" s="39"/>
      <c r="AN155" s="39"/>
      <c r="AO155" s="39"/>
      <c r="AP155" s="39"/>
      <c r="AQ155" s="39"/>
      <c r="AR155" s="39"/>
    </row>
    <row r="156" spans="2:44">
      <c r="Q156" s="5"/>
      <c r="R156" s="5"/>
      <c r="S156" s="5"/>
      <c r="V156" s="39"/>
      <c r="W156" s="39"/>
      <c r="X156" s="39"/>
      <c r="Y156" s="39"/>
      <c r="Z156" s="39"/>
      <c r="AA156" s="39"/>
      <c r="AB156" s="39"/>
      <c r="AC156" s="39"/>
      <c r="AD156" s="39"/>
      <c r="AE156" s="39"/>
      <c r="AF156" s="39"/>
      <c r="AG156" s="39"/>
      <c r="AH156" s="39"/>
      <c r="AI156" s="39"/>
      <c r="AJ156" s="39"/>
      <c r="AK156" s="39"/>
      <c r="AL156" s="39"/>
      <c r="AM156" s="39"/>
      <c r="AN156" s="39"/>
      <c r="AO156" s="39"/>
      <c r="AP156" s="39"/>
      <c r="AQ156" s="39"/>
      <c r="AR156" s="39"/>
    </row>
    <row r="157" spans="2:44">
      <c r="Q157" s="5"/>
      <c r="R157" s="5"/>
      <c r="S157" s="5"/>
      <c r="V157" s="39"/>
      <c r="W157" s="39"/>
      <c r="X157" s="39"/>
      <c r="Y157" s="39"/>
      <c r="Z157" s="39"/>
      <c r="AA157" s="39"/>
      <c r="AB157" s="39"/>
      <c r="AC157" s="39"/>
      <c r="AD157" s="39"/>
      <c r="AE157" s="39"/>
      <c r="AF157" s="39"/>
      <c r="AG157" s="39"/>
      <c r="AH157" s="39"/>
      <c r="AI157" s="39"/>
      <c r="AJ157" s="39"/>
      <c r="AK157" s="39"/>
      <c r="AL157" s="39"/>
      <c r="AM157" s="39"/>
      <c r="AN157" s="39"/>
      <c r="AO157" s="39"/>
      <c r="AP157" s="39"/>
      <c r="AQ157" s="39"/>
      <c r="AR157" s="39"/>
    </row>
    <row r="158" spans="2:44">
      <c r="Q158" s="5"/>
      <c r="R158" s="5"/>
      <c r="S158" s="5"/>
      <c r="V158" s="39"/>
      <c r="W158" s="39"/>
      <c r="X158" s="39"/>
      <c r="Y158" s="39"/>
      <c r="Z158" s="39"/>
      <c r="AA158" s="39"/>
      <c r="AB158" s="39"/>
      <c r="AC158" s="39"/>
      <c r="AD158" s="39"/>
      <c r="AE158" s="39"/>
      <c r="AF158" s="39"/>
      <c r="AG158" s="39"/>
      <c r="AH158" s="39"/>
      <c r="AI158" s="39"/>
      <c r="AJ158" s="39"/>
      <c r="AK158" s="39"/>
      <c r="AL158" s="39"/>
      <c r="AM158" s="39"/>
      <c r="AN158" s="39"/>
      <c r="AO158" s="39"/>
      <c r="AP158" s="39"/>
      <c r="AQ158" s="39"/>
      <c r="AR158" s="39"/>
    </row>
    <row r="159" spans="2:44">
      <c r="Q159" s="5"/>
      <c r="R159" s="5"/>
      <c r="S159" s="5"/>
      <c r="V159" s="39"/>
      <c r="W159" s="39"/>
      <c r="X159" s="39"/>
      <c r="Y159" s="39"/>
      <c r="Z159" s="39"/>
      <c r="AA159" s="39"/>
      <c r="AB159" s="39"/>
      <c r="AC159" s="39"/>
      <c r="AD159" s="39"/>
      <c r="AE159" s="39"/>
      <c r="AF159" s="39"/>
      <c r="AG159" s="39"/>
      <c r="AH159" s="39"/>
      <c r="AI159" s="39"/>
      <c r="AJ159" s="39"/>
      <c r="AK159" s="39"/>
      <c r="AL159" s="39"/>
      <c r="AM159" s="39"/>
      <c r="AN159" s="39"/>
      <c r="AO159" s="39"/>
      <c r="AP159" s="39"/>
      <c r="AQ159" s="39"/>
      <c r="AR159" s="39"/>
    </row>
    <row r="160" spans="2:44">
      <c r="Q160" s="5"/>
      <c r="R160" s="5"/>
      <c r="S160" s="5"/>
      <c r="V160" s="39"/>
      <c r="W160" s="39"/>
      <c r="X160" s="39"/>
      <c r="Y160" s="39"/>
      <c r="Z160" s="39"/>
      <c r="AA160" s="39"/>
      <c r="AB160" s="39"/>
      <c r="AC160" s="39"/>
      <c r="AD160" s="39"/>
      <c r="AE160" s="39"/>
      <c r="AF160" s="39"/>
      <c r="AG160" s="39"/>
      <c r="AH160" s="39"/>
      <c r="AI160" s="39"/>
      <c r="AJ160" s="39"/>
      <c r="AK160" s="39"/>
      <c r="AL160" s="39"/>
      <c r="AM160" s="39"/>
      <c r="AN160" s="39"/>
      <c r="AO160" s="39"/>
      <c r="AP160" s="39"/>
      <c r="AQ160" s="39"/>
      <c r="AR160" s="39"/>
    </row>
    <row r="161" spans="17:44">
      <c r="Q161" s="5"/>
      <c r="R161" s="5"/>
      <c r="S161" s="5"/>
      <c r="V161" s="39"/>
      <c r="W161" s="39"/>
      <c r="X161" s="39"/>
      <c r="Y161" s="39"/>
      <c r="Z161" s="39"/>
      <c r="AA161" s="39"/>
      <c r="AB161" s="39"/>
      <c r="AC161" s="39"/>
      <c r="AD161" s="39"/>
      <c r="AE161" s="39"/>
      <c r="AF161" s="39"/>
      <c r="AG161" s="39"/>
      <c r="AH161" s="39"/>
      <c r="AI161" s="39"/>
      <c r="AJ161" s="39"/>
      <c r="AK161" s="39"/>
      <c r="AL161" s="39"/>
      <c r="AM161" s="39"/>
      <c r="AN161" s="39"/>
      <c r="AO161" s="39"/>
      <c r="AP161" s="39"/>
      <c r="AQ161" s="39"/>
      <c r="AR161" s="39"/>
    </row>
    <row r="162" spans="17:44">
      <c r="Q162" s="5"/>
      <c r="R162" s="5"/>
      <c r="S162" s="5"/>
      <c r="V162" s="39"/>
      <c r="W162" s="39"/>
      <c r="X162" s="39"/>
      <c r="Y162" s="39"/>
      <c r="Z162" s="39"/>
      <c r="AA162" s="39"/>
      <c r="AB162" s="39"/>
      <c r="AC162" s="39"/>
      <c r="AD162" s="39"/>
      <c r="AE162" s="39"/>
      <c r="AF162" s="39"/>
      <c r="AG162" s="39"/>
      <c r="AH162" s="39"/>
      <c r="AI162" s="39"/>
      <c r="AJ162" s="39"/>
      <c r="AK162" s="39"/>
      <c r="AL162" s="39"/>
      <c r="AM162" s="39"/>
      <c r="AN162" s="39"/>
      <c r="AO162" s="39"/>
      <c r="AP162" s="39"/>
      <c r="AQ162" s="39"/>
      <c r="AR162" s="39"/>
    </row>
    <row r="163" spans="17:44">
      <c r="Q163" s="5"/>
      <c r="R163" s="5"/>
      <c r="S163" s="5"/>
      <c r="V163" s="39"/>
      <c r="W163" s="39"/>
      <c r="X163" s="39"/>
      <c r="Y163" s="39"/>
      <c r="Z163" s="39"/>
      <c r="AA163" s="39"/>
      <c r="AB163" s="39"/>
      <c r="AC163" s="39"/>
      <c r="AD163" s="39"/>
      <c r="AE163" s="39"/>
      <c r="AF163" s="39"/>
      <c r="AG163" s="39"/>
      <c r="AH163" s="39"/>
      <c r="AI163" s="39"/>
      <c r="AJ163" s="39"/>
      <c r="AK163" s="39"/>
      <c r="AL163" s="39"/>
      <c r="AM163" s="39"/>
      <c r="AN163" s="39"/>
      <c r="AO163" s="39"/>
      <c r="AP163" s="39"/>
      <c r="AQ163" s="39"/>
      <c r="AR163" s="39"/>
    </row>
    <row r="164" spans="17:44">
      <c r="Q164" s="5"/>
      <c r="R164" s="5"/>
      <c r="S164" s="5"/>
      <c r="V164" s="39"/>
      <c r="W164" s="39"/>
      <c r="X164" s="39"/>
      <c r="Y164" s="39"/>
      <c r="Z164" s="39"/>
      <c r="AA164" s="39"/>
      <c r="AB164" s="39"/>
      <c r="AC164" s="39"/>
      <c r="AD164" s="39"/>
      <c r="AE164" s="39"/>
      <c r="AF164" s="39"/>
      <c r="AG164" s="39"/>
      <c r="AH164" s="39"/>
      <c r="AI164" s="39"/>
      <c r="AJ164" s="39"/>
      <c r="AK164" s="39"/>
      <c r="AL164" s="39"/>
      <c r="AM164" s="39"/>
      <c r="AN164" s="39"/>
      <c r="AO164" s="39"/>
      <c r="AP164" s="39"/>
      <c r="AQ164" s="39"/>
      <c r="AR164" s="39"/>
    </row>
    <row r="165" spans="17:44">
      <c r="Q165" s="5"/>
      <c r="R165" s="5"/>
      <c r="S165" s="5"/>
      <c r="V165" s="39"/>
      <c r="W165" s="39"/>
      <c r="X165" s="39"/>
      <c r="Y165" s="39"/>
      <c r="Z165" s="39"/>
      <c r="AA165" s="39"/>
      <c r="AB165" s="39"/>
      <c r="AC165" s="39"/>
      <c r="AD165" s="39"/>
      <c r="AE165" s="39"/>
      <c r="AF165" s="39"/>
      <c r="AG165" s="39"/>
      <c r="AH165" s="39"/>
      <c r="AI165" s="39"/>
      <c r="AJ165" s="39"/>
      <c r="AK165" s="39"/>
      <c r="AL165" s="39"/>
      <c r="AM165" s="39"/>
      <c r="AN165" s="39"/>
      <c r="AO165" s="39"/>
      <c r="AP165" s="39"/>
      <c r="AQ165" s="39"/>
      <c r="AR165" s="39"/>
    </row>
    <row r="166" spans="17:44">
      <c r="V166" s="39"/>
      <c r="W166" s="39"/>
      <c r="X166" s="39"/>
      <c r="Y166" s="39"/>
      <c r="Z166" s="39"/>
      <c r="AA166" s="39"/>
      <c r="AB166" s="39"/>
      <c r="AC166" s="39"/>
      <c r="AD166" s="39"/>
      <c r="AE166" s="39"/>
      <c r="AF166" s="39"/>
      <c r="AG166" s="39"/>
      <c r="AH166" s="39"/>
      <c r="AI166" s="39"/>
      <c r="AJ166" s="39"/>
      <c r="AK166" s="39"/>
      <c r="AL166" s="39"/>
      <c r="AM166" s="39"/>
      <c r="AN166" s="39"/>
      <c r="AO166" s="39"/>
      <c r="AP166" s="39"/>
      <c r="AQ166" s="39"/>
      <c r="AR166" s="39"/>
    </row>
    <row r="167" spans="17:44">
      <c r="V167" s="39"/>
      <c r="W167" s="39"/>
      <c r="X167" s="39"/>
      <c r="Y167" s="39"/>
      <c r="Z167" s="39"/>
      <c r="AA167" s="39"/>
      <c r="AB167" s="39"/>
      <c r="AC167" s="39"/>
      <c r="AD167" s="39"/>
      <c r="AE167" s="39"/>
      <c r="AF167" s="39"/>
      <c r="AG167" s="39"/>
      <c r="AH167" s="39"/>
      <c r="AI167" s="39"/>
      <c r="AJ167" s="39"/>
      <c r="AK167" s="39"/>
      <c r="AL167" s="39"/>
      <c r="AM167" s="39"/>
      <c r="AN167" s="39"/>
      <c r="AO167" s="39"/>
      <c r="AP167" s="39"/>
      <c r="AQ167" s="39"/>
      <c r="AR167" s="39"/>
    </row>
    <row r="168" spans="17:44">
      <c r="V168" s="39"/>
      <c r="W168" s="39"/>
      <c r="X168" s="39"/>
      <c r="Y168" s="39"/>
      <c r="Z168" s="39"/>
      <c r="AA168" s="39"/>
      <c r="AB168" s="39"/>
      <c r="AC168" s="39"/>
      <c r="AD168" s="39"/>
      <c r="AE168" s="39"/>
      <c r="AF168" s="39"/>
      <c r="AG168" s="39"/>
      <c r="AH168" s="39"/>
      <c r="AI168" s="39"/>
      <c r="AJ168" s="39"/>
      <c r="AK168" s="39"/>
      <c r="AL168" s="39"/>
      <c r="AM168" s="39"/>
      <c r="AN168" s="39"/>
      <c r="AO168" s="39"/>
      <c r="AP168" s="39"/>
      <c r="AQ168" s="39"/>
      <c r="AR168" s="39"/>
    </row>
  </sheetData>
  <phoneticPr fontId="7" type="noConversion"/>
  <pageMargins left="0.75" right="0.75" top="1" bottom="1" header="0.5" footer="0.5"/>
  <pageSetup scale="70" orientation="landscape" r:id="rId1"/>
  <headerFooter alignWithMargins="0"/>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Sheet157">
    <pageSetUpPr fitToPage="1"/>
  </sheetPr>
  <dimension ref="B1:AR165"/>
  <sheetViews>
    <sheetView showGridLines="0" zoomScale="80" zoomScaleNormal="80" workbookViewId="0"/>
  </sheetViews>
  <sheetFormatPr defaultColWidth="9.109375" defaultRowHeight="12"/>
  <cols>
    <col min="1" max="1" width="2.33203125" style="39" customWidth="1"/>
    <col min="2" max="2" width="26.5546875" style="39" customWidth="1"/>
    <col min="3" max="9" width="10" style="39" customWidth="1"/>
    <col min="10" max="10" width="26.6640625" style="39" customWidth="1"/>
    <col min="11" max="16" width="10" style="39" customWidth="1"/>
    <col min="17" max="19" width="8.6640625" style="39" customWidth="1"/>
    <col min="20" max="28" width="8.6640625" style="5" customWidth="1"/>
    <col min="29" max="44" width="9.109375" style="5"/>
    <col min="45" max="16384" width="9.109375" style="39"/>
  </cols>
  <sheetData>
    <row r="1" spans="2:44" s="312" customFormat="1">
      <c r="T1" s="149"/>
      <c r="U1" s="149"/>
      <c r="V1" s="149"/>
      <c r="W1" s="149"/>
      <c r="X1" s="149"/>
      <c r="Y1" s="149"/>
      <c r="Z1" s="149"/>
      <c r="AA1" s="149"/>
      <c r="AB1" s="149"/>
      <c r="AC1" s="149"/>
      <c r="AD1" s="149"/>
      <c r="AE1" s="149"/>
      <c r="AF1" s="149"/>
      <c r="AG1" s="149"/>
      <c r="AH1" s="149"/>
      <c r="AI1" s="149"/>
      <c r="AJ1" s="149"/>
      <c r="AK1" s="149"/>
      <c r="AL1" s="149"/>
      <c r="AM1" s="149"/>
      <c r="AN1" s="149"/>
      <c r="AO1" s="149"/>
      <c r="AP1" s="149"/>
      <c r="AQ1" s="149"/>
      <c r="AR1" s="149"/>
    </row>
    <row r="2" spans="2:44" s="149" customFormat="1"/>
    <row r="3" spans="2:44" s="149" customFormat="1">
      <c r="H3" s="153"/>
      <c r="P3" s="153"/>
    </row>
    <row r="4" spans="2:44" s="156" customFormat="1" ht="21">
      <c r="B4" s="129" t="s">
        <v>412</v>
      </c>
      <c r="H4" s="222"/>
      <c r="P4" s="222"/>
    </row>
    <row r="5" spans="2:44" s="149" customFormat="1">
      <c r="C5" s="153"/>
      <c r="D5" s="153" t="str" cm="1">
        <f t="array" ref="D5:H5">headings</f>
        <v>2023E</v>
      </c>
      <c r="E5" s="153" t="str">
        <v>2024E</v>
      </c>
      <c r="F5" s="153" t="str">
        <v>2025E</v>
      </c>
      <c r="G5" s="153" t="str">
        <v>2026E</v>
      </c>
      <c r="H5" s="153" t="str">
        <v>23E-26E</v>
      </c>
      <c r="I5" s="153"/>
      <c r="J5" s="153"/>
      <c r="K5" s="153"/>
      <c r="L5" s="153" t="str" cm="1">
        <f t="array" ref="L5:P5">headings</f>
        <v>2023E</v>
      </c>
      <c r="M5" s="153" t="str">
        <v>2024E</v>
      </c>
      <c r="N5" s="153" t="str">
        <v>2025E</v>
      </c>
      <c r="O5" s="153" t="str">
        <v>2026E</v>
      </c>
      <c r="P5" s="153" t="str">
        <v>23E-26E</v>
      </c>
      <c r="Q5" s="162"/>
      <c r="R5" s="162"/>
      <c r="S5" s="162"/>
      <c r="T5" s="162"/>
      <c r="U5" s="162"/>
      <c r="V5" s="162"/>
      <c r="W5" s="162"/>
      <c r="X5" s="162"/>
      <c r="Y5" s="162"/>
    </row>
    <row r="6" spans="2:44">
      <c r="I6" s="5"/>
      <c r="J6" s="5"/>
      <c r="K6" s="5"/>
      <c r="L6" s="5"/>
      <c r="M6" s="5"/>
      <c r="N6" s="5"/>
      <c r="O6" s="49"/>
    </row>
    <row r="7" spans="2:44" ht="12.6" thickBot="1">
      <c r="B7" s="306" t="s">
        <v>271</v>
      </c>
      <c r="C7" s="265"/>
      <c r="D7" s="265" t="str">
        <f>D5</f>
        <v>2023E</v>
      </c>
      <c r="E7" s="265" t="str">
        <f t="shared" ref="E7:H7" si="0">E5</f>
        <v>2024E</v>
      </c>
      <c r="F7" s="265" t="str">
        <f t="shared" si="0"/>
        <v>2025E</v>
      </c>
      <c r="G7" s="265" t="str">
        <f t="shared" si="0"/>
        <v>2026E</v>
      </c>
      <c r="H7" s="265" t="str">
        <f t="shared" si="0"/>
        <v>23E-26E</v>
      </c>
      <c r="I7" s="49"/>
      <c r="J7" s="306" t="s">
        <v>535</v>
      </c>
      <c r="K7" s="306"/>
      <c r="L7" s="265" t="str">
        <f>L5</f>
        <v>2023E</v>
      </c>
      <c r="M7" s="265" t="str">
        <f t="shared" ref="M7:P7" si="1">M5</f>
        <v>2024E</v>
      </c>
      <c r="N7" s="265" t="str">
        <f t="shared" si="1"/>
        <v>2025E</v>
      </c>
      <c r="O7" s="265" t="str">
        <f t="shared" si="1"/>
        <v>2026E</v>
      </c>
      <c r="P7" s="265" t="str">
        <f t="shared" si="1"/>
        <v>23E-26E</v>
      </c>
    </row>
    <row r="8" spans="2:44" ht="12.6" thickTop="1">
      <c r="B8" s="5"/>
      <c r="C8" s="5"/>
      <c r="D8" s="5"/>
      <c r="E8" s="5"/>
      <c r="F8" s="5"/>
      <c r="G8" s="5"/>
      <c r="H8" s="5"/>
      <c r="I8" s="5"/>
      <c r="J8" s="5"/>
      <c r="K8" s="5"/>
      <c r="L8" s="5"/>
      <c r="M8" s="5"/>
      <c r="N8" s="5"/>
      <c r="S8" s="88"/>
      <c r="T8" s="42"/>
      <c r="U8" s="42"/>
      <c r="V8" s="42"/>
      <c r="W8" s="42"/>
      <c r="X8" s="42"/>
      <c r="Y8" s="42"/>
      <c r="Z8" s="42"/>
      <c r="AA8" s="42"/>
    </row>
    <row r="9" spans="2:44">
      <c r="B9" s="41" t="s">
        <v>972</v>
      </c>
      <c r="C9" s="287">
        <f>Prices!C56/1000</f>
        <v>0.15259999999999999</v>
      </c>
      <c r="D9" s="535">
        <v>0</v>
      </c>
      <c r="E9" s="536">
        <v>0</v>
      </c>
      <c r="F9" s="536">
        <v>0</v>
      </c>
      <c r="G9" s="536">
        <v>0</v>
      </c>
      <c r="H9" s="249"/>
      <c r="I9" s="249"/>
      <c r="J9" s="5" t="s">
        <v>273</v>
      </c>
      <c r="L9" s="529">
        <f>'AGG ASIA INCUMB'!D37</f>
        <v>63.142675059472978</v>
      </c>
      <c r="M9" s="529">
        <f>'AGG ASIA INCUMB'!E37</f>
        <v>59.736062869091825</v>
      </c>
      <c r="N9" s="529">
        <f>'AGG ASIA INCUMB'!F37</f>
        <v>51.606570083263385</v>
      </c>
      <c r="O9" s="529">
        <f>'AGG ASIA INCUMB'!G37</f>
        <v>43.869121174935444</v>
      </c>
      <c r="P9" s="286">
        <f>'AGG ASIA CELLULAR'!H37</f>
        <v>5.2823672985303771E-2</v>
      </c>
      <c r="S9" s="88"/>
      <c r="T9" s="42"/>
      <c r="U9" s="42"/>
      <c r="V9" s="42"/>
      <c r="W9" s="42"/>
      <c r="X9" s="42"/>
      <c r="Y9" s="42"/>
      <c r="Z9" s="42"/>
      <c r="AA9" s="42"/>
    </row>
    <row r="10" spans="2:44">
      <c r="B10" s="5" t="s">
        <v>274</v>
      </c>
      <c r="C10" s="5"/>
      <c r="D10" s="531">
        <v>84081.547552999997</v>
      </c>
      <c r="E10" s="531">
        <v>82547.805221711649</v>
      </c>
      <c r="F10" s="531">
        <v>81014.062890423302</v>
      </c>
      <c r="G10" s="531">
        <v>79480.320559134954</v>
      </c>
      <c r="H10" s="247"/>
      <c r="I10" s="247"/>
      <c r="J10" s="5" t="s">
        <v>184</v>
      </c>
      <c r="L10" s="529">
        <f>'AGG ASIA INCUMB'!D38</f>
        <v>229.28172666156038</v>
      </c>
      <c r="M10" s="529">
        <f>'AGG ASIA INCUMB'!E38</f>
        <v>211.1756819494743</v>
      </c>
      <c r="N10" s="529">
        <f>'AGG ASIA INCUMB'!F38</f>
        <v>182.52911660300191</v>
      </c>
      <c r="O10" s="529">
        <f>'AGG ASIA INCUMB'!G38</f>
        <v>154.31631948299164</v>
      </c>
      <c r="P10" s="286">
        <f>'AGG ASIA CELLULAR'!H38</f>
        <v>6.1901299000113985E-2</v>
      </c>
      <c r="S10" s="88"/>
      <c r="T10" s="42"/>
      <c r="U10" s="42"/>
      <c r="V10" s="42"/>
      <c r="W10" s="288"/>
      <c r="X10" s="288"/>
      <c r="Y10" s="288"/>
      <c r="Z10" s="288"/>
      <c r="AA10" s="42"/>
    </row>
    <row r="11" spans="2:44">
      <c r="B11" s="41" t="s">
        <v>876</v>
      </c>
      <c r="C11" s="5"/>
      <c r="D11" s="532">
        <f>($C$9*D10)</f>
        <v>12830.844156587798</v>
      </c>
      <c r="E11" s="532">
        <f>($C$9*E10)</f>
        <v>12596.795076833196</v>
      </c>
      <c r="F11" s="532">
        <f>($C$9*F10)</f>
        <v>12362.745997078595</v>
      </c>
      <c r="G11" s="532">
        <f>($C$9*G10)</f>
        <v>12128.696917323992</v>
      </c>
      <c r="H11" s="249"/>
      <c r="I11" s="249"/>
      <c r="J11" s="5" t="s">
        <v>185</v>
      </c>
      <c r="L11" s="529">
        <f>'AGG ASIA INCUMB'!D39</f>
        <v>576.60457523629475</v>
      </c>
      <c r="M11" s="529">
        <f>'AGG ASIA INCUMB'!E39</f>
        <v>450.01446269285191</v>
      </c>
      <c r="N11" s="529">
        <f>'AGG ASIA INCUMB'!F39</f>
        <v>375.00938731825471</v>
      </c>
      <c r="O11" s="529">
        <f>'AGG ASIA INCUMB'!G39</f>
        <v>307.67151192274292</v>
      </c>
      <c r="P11" s="286">
        <f>'AGG ASIA CELLULAR'!H39</f>
        <v>0.11573327430771596</v>
      </c>
      <c r="S11" s="88"/>
      <c r="T11" s="42"/>
      <c r="U11" s="42"/>
      <c r="V11" s="42"/>
      <c r="W11" s="288"/>
      <c r="X11" s="288"/>
      <c r="Y11" s="288"/>
      <c r="Z11" s="288"/>
      <c r="AA11" s="42"/>
    </row>
    <row r="12" spans="2:44">
      <c r="B12" s="5" t="s">
        <v>24</v>
      </c>
      <c r="C12" s="249"/>
      <c r="D12" s="533">
        <v>6065.1</v>
      </c>
      <c r="E12" s="533">
        <v>6015.1</v>
      </c>
      <c r="F12" s="533">
        <v>5965.1</v>
      </c>
      <c r="G12" s="533">
        <v>5915.1</v>
      </c>
      <c r="H12" s="247"/>
      <c r="I12" s="247"/>
      <c r="J12" s="5" t="s">
        <v>466</v>
      </c>
      <c r="L12" s="529">
        <f>'AGG ASIA INCUMB'!D40</f>
        <v>774.44294579435359</v>
      </c>
      <c r="M12" s="529">
        <f>'AGG ASIA INCUMB'!E40</f>
        <v>607.6245935692682</v>
      </c>
      <c r="N12" s="529">
        <f>'AGG ASIA INCUMB'!F40</f>
        <v>506.11175808827261</v>
      </c>
      <c r="O12" s="529">
        <f>'AGG ASIA INCUMB'!G40</f>
        <v>415.18806643723337</v>
      </c>
      <c r="P12" s="286">
        <f>'AGG ASIA CELLULAR'!H40</f>
        <v>0.10976572550111241</v>
      </c>
      <c r="S12" s="88"/>
      <c r="T12" s="42"/>
      <c r="U12" s="42"/>
      <c r="V12" s="42"/>
      <c r="W12" s="288"/>
      <c r="X12" s="288"/>
      <c r="Y12" s="288"/>
      <c r="Z12" s="288"/>
      <c r="AA12" s="42"/>
    </row>
    <row r="13" spans="2:44">
      <c r="B13" s="5" t="s">
        <v>529</v>
      </c>
      <c r="C13" s="257"/>
      <c r="D13" s="533">
        <v>1103.5728899999999</v>
      </c>
      <c r="E13" s="533">
        <v>1103.5728899999999</v>
      </c>
      <c r="F13" s="533">
        <v>1103.5728899999999</v>
      </c>
      <c r="G13" s="533">
        <v>1103.5728899999999</v>
      </c>
      <c r="H13" s="247"/>
      <c r="I13" s="247"/>
      <c r="J13" s="5" t="s">
        <v>530</v>
      </c>
      <c r="L13" s="529">
        <f>'AGG ASIA INCUMB'!D41</f>
        <v>56.922651872950347</v>
      </c>
      <c r="M13" s="529">
        <f>'AGG ASIA INCUMB'!E41</f>
        <v>54.508702219086139</v>
      </c>
      <c r="N13" s="529">
        <f>'AGG ASIA INCUMB'!F41</f>
        <v>47.665724006779691</v>
      </c>
      <c r="O13" s="529">
        <f>'AGG ASIA INCUMB'!G41</f>
        <v>40.716506606725353</v>
      </c>
      <c r="P13" s="286">
        <f>'AGG ASIA CELLULAR'!H41</f>
        <v>-2.0092563683029918E-2</v>
      </c>
      <c r="S13" s="88"/>
      <c r="T13" s="42"/>
      <c r="U13" s="42"/>
      <c r="V13" s="42"/>
      <c r="W13" s="42"/>
      <c r="X13" s="42"/>
      <c r="Y13" s="42"/>
      <c r="Z13" s="42"/>
      <c r="AA13" s="42"/>
    </row>
    <row r="14" spans="2:44">
      <c r="B14" s="5" t="s">
        <v>532</v>
      </c>
      <c r="C14" s="257"/>
      <c r="D14" s="538">
        <v>278.41480000000001</v>
      </c>
      <c r="E14" s="530">
        <f>D14</f>
        <v>278.41480000000001</v>
      </c>
      <c r="F14" s="530">
        <f>D14</f>
        <v>278.41480000000001</v>
      </c>
      <c r="G14" s="530">
        <f>D14</f>
        <v>278.41480000000001</v>
      </c>
      <c r="H14" s="247"/>
      <c r="I14" s="247"/>
      <c r="J14" s="5" t="s">
        <v>593</v>
      </c>
      <c r="L14" s="529">
        <f>'AGG ASIA INCUMB'!D42</f>
        <v>75.778591370066351</v>
      </c>
      <c r="M14" s="529">
        <f>'AGG ASIA INCUMB'!E42</f>
        <v>75.255645616199331</v>
      </c>
      <c r="N14" s="529">
        <f>'AGG ASIA INCUMB'!F42</f>
        <v>68.487733798446982</v>
      </c>
      <c r="O14" s="529">
        <f>'AGG ASIA INCUMB'!G42</f>
        <v>63.398335594210266</v>
      </c>
      <c r="P14" s="286">
        <f>'AGG ASIA CELLULAR'!H42</f>
        <v>8.7512202951403051E-3</v>
      </c>
      <c r="S14" s="88"/>
      <c r="T14" s="42"/>
      <c r="U14" s="42"/>
      <c r="V14" s="42"/>
      <c r="W14" s="42"/>
      <c r="X14" s="42"/>
      <c r="Y14" s="42"/>
      <c r="Z14" s="42"/>
      <c r="AA14" s="42"/>
    </row>
    <row r="15" spans="2:44">
      <c r="B15" s="5" t="s">
        <v>531</v>
      </c>
      <c r="C15" s="274"/>
      <c r="D15" s="538">
        <v>3373.1</v>
      </c>
      <c r="E15" s="530">
        <f>D15</f>
        <v>3373.1</v>
      </c>
      <c r="F15" s="530">
        <f>D15</f>
        <v>3373.1</v>
      </c>
      <c r="G15" s="530">
        <f>D15</f>
        <v>3373.1</v>
      </c>
      <c r="H15" s="247"/>
      <c r="I15" s="247"/>
      <c r="J15" s="5" t="s">
        <v>475</v>
      </c>
      <c r="L15" s="529">
        <f>'AGG ASIA INCUMB'!D43</f>
        <v>14.482023584121089</v>
      </c>
      <c r="M15" s="529">
        <f>'AGG ASIA INCUMB'!E43</f>
        <v>10.697579793360875</v>
      </c>
      <c r="N15" s="529">
        <f>'AGG ASIA INCUMB'!F43</f>
        <v>9.7604819510674972</v>
      </c>
      <c r="O15" s="529">
        <f>'AGG ASIA INCUMB'!G43</f>
        <v>8.8384338816404213</v>
      </c>
      <c r="P15" s="286">
        <f>'AGG ASIA CELLULAR'!H43</f>
        <v>0.18831027118838706</v>
      </c>
      <c r="S15" s="88"/>
      <c r="T15" s="42"/>
      <c r="U15" s="42"/>
      <c r="V15" s="42"/>
      <c r="W15" s="42"/>
      <c r="X15" s="42"/>
      <c r="Y15" s="42"/>
      <c r="Z15" s="42"/>
      <c r="AA15" s="42"/>
    </row>
    <row r="16" spans="2:44">
      <c r="B16" s="5" t="s">
        <v>534</v>
      </c>
      <c r="C16" s="257"/>
      <c r="D16" s="533">
        <v>0</v>
      </c>
      <c r="E16" s="533">
        <v>528.30595341895457</v>
      </c>
      <c r="F16" s="533">
        <v>1111.6072062300022</v>
      </c>
      <c r="G16" s="533">
        <v>1747.4497707030819</v>
      </c>
      <c r="H16" s="247"/>
      <c r="I16" s="247"/>
      <c r="J16" s="5" t="s">
        <v>533</v>
      </c>
      <c r="L16" s="529">
        <f>'AGG ASIA INCUMB'!D44</f>
        <v>401.27153945230202</v>
      </c>
      <c r="M16" s="529">
        <f>'AGG ASIA INCUMB'!E44</f>
        <v>386.42961390608417</v>
      </c>
      <c r="N16" s="529">
        <f>'AGG ASIA INCUMB'!F44</f>
        <v>362.49401680734263</v>
      </c>
      <c r="O16" s="529">
        <f>'AGG ASIA INCUMB'!G44</f>
        <v>331.65705725544359</v>
      </c>
      <c r="P16" s="286">
        <f>'AGG ASIA CELLULAR'!H44</f>
        <v>0.15839482711139796</v>
      </c>
      <c r="S16" s="88"/>
      <c r="T16" s="42"/>
      <c r="U16" s="42"/>
      <c r="V16" s="42"/>
      <c r="W16" s="42"/>
      <c r="X16" s="42"/>
      <c r="Y16" s="42"/>
      <c r="Z16" s="42"/>
      <c r="AA16" s="42"/>
    </row>
    <row r="17" spans="2:27">
      <c r="B17" s="5" t="s">
        <v>6</v>
      </c>
      <c r="C17" s="257"/>
      <c r="D17" s="533">
        <v>0</v>
      </c>
      <c r="E17" s="533">
        <v>0</v>
      </c>
      <c r="F17" s="533">
        <v>0</v>
      </c>
      <c r="G17" s="533">
        <v>0</v>
      </c>
      <c r="H17" s="247"/>
      <c r="I17" s="247"/>
      <c r="J17" s="5" t="s">
        <v>580</v>
      </c>
      <c r="L17" s="248">
        <f>'AGG ASIA INCUMB'!D45</f>
        <v>1.4187232142027291E-3</v>
      </c>
      <c r="M17" s="248">
        <f>'AGG ASIA INCUMB'!E45</f>
        <v>1.5917039348975377E-3</v>
      </c>
      <c r="N17" s="248">
        <f>'AGG ASIA INCUMB'!F45</f>
        <v>1.8207439648114264E-3</v>
      </c>
      <c r="O17" s="248">
        <f>'AGG ASIA INCUMB'!G45</f>
        <v>2.0820127660327939E-3</v>
      </c>
      <c r="P17" s="286">
        <f>'AGG ASIA CELLULAR'!H45</f>
        <v>0.11470165475568339</v>
      </c>
      <c r="S17" s="88"/>
      <c r="T17" s="42"/>
      <c r="U17" s="42"/>
      <c r="V17" s="42"/>
      <c r="W17" s="42"/>
      <c r="X17" s="42"/>
      <c r="Y17" s="42"/>
      <c r="Z17" s="42"/>
      <c r="AA17" s="42"/>
    </row>
    <row r="18" spans="2:27" ht="12.6" thickBot="1">
      <c r="B18" s="41" t="s">
        <v>583</v>
      </c>
      <c r="C18" s="249"/>
      <c r="D18" s="534">
        <f>D11+D12+D13-D14+D15-D16-D17</f>
        <v>23094.2022465878</v>
      </c>
      <c r="E18" s="534">
        <f>E11+E12+E13-E14+E15-E16-E17</f>
        <v>22281.847213414239</v>
      </c>
      <c r="F18" s="534">
        <f>F11+F12+F13-F14+F15-F16-F17</f>
        <v>21414.496880848594</v>
      </c>
      <c r="G18" s="534">
        <f>G11+G12+G13-G14+G15-G16-G17</f>
        <v>20494.605236620908</v>
      </c>
      <c r="H18" s="276">
        <f>IF(D18=0,"nm",IF(G18=0,"nm",(G18/D18)^(1/3)-1))</f>
        <v>-3.9024761022047882E-2</v>
      </c>
      <c r="I18" s="254"/>
      <c r="J18" s="5" t="s">
        <v>36</v>
      </c>
      <c r="L18" s="248">
        <f>'AGG ASIA INCUMB'!D46</f>
        <v>1.4197854397789587E-3</v>
      </c>
      <c r="M18" s="248">
        <f>'AGG ASIA INCUMB'!E46</f>
        <v>1.5927452418075944E-3</v>
      </c>
      <c r="N18" s="248">
        <f>'AGG ASIA INCUMB'!F46</f>
        <v>1.8306775739935764E-3</v>
      </c>
      <c r="O18" s="248">
        <f>'AGG ASIA INCUMB'!G46</f>
        <v>2.0980698589589679E-3</v>
      </c>
      <c r="P18" s="286" t="e">
        <f>'AGG ASIA CELLULAR'!H46</f>
        <v>#VALUE!</v>
      </c>
      <c r="S18" s="88"/>
      <c r="T18" s="42"/>
      <c r="U18" s="42"/>
      <c r="V18" s="42"/>
      <c r="W18" s="42"/>
      <c r="X18" s="42"/>
      <c r="Y18" s="42"/>
      <c r="Z18" s="42"/>
      <c r="AA18" s="42"/>
    </row>
    <row r="19" spans="2:27" ht="12.6" thickTop="1">
      <c r="B19" s="41"/>
      <c r="C19" s="249"/>
      <c r="D19" s="229"/>
      <c r="E19" s="229"/>
      <c r="F19" s="229"/>
      <c r="G19" s="229"/>
      <c r="H19" s="276"/>
      <c r="I19" s="254"/>
      <c r="J19" s="5" t="s">
        <v>581</v>
      </c>
      <c r="L19" s="248">
        <f>'AGG ASIA INCUMB'!D47</f>
        <v>6.9051123566492234E-2</v>
      </c>
      <c r="M19" s="248">
        <f>'AGG ASIA INCUMB'!E47</f>
        <v>9.3479087729789065E-2</v>
      </c>
      <c r="N19" s="248">
        <f>'AGG ASIA INCUMB'!F47</f>
        <v>0.10245395719323375</v>
      </c>
      <c r="O19" s="248">
        <f>'AGG ASIA INCUMB'!G47</f>
        <v>0.11314221652743744</v>
      </c>
      <c r="P19" s="286">
        <f>'AGG ASIA CELLULAR'!H47</f>
        <v>0.18831027118838706</v>
      </c>
      <c r="S19" s="88"/>
      <c r="T19" s="42"/>
      <c r="U19" s="42"/>
      <c r="V19" s="42"/>
      <c r="W19" s="42"/>
      <c r="X19" s="42"/>
      <c r="Y19" s="42"/>
      <c r="Z19" s="42"/>
      <c r="AA19" s="42"/>
    </row>
    <row r="20" spans="2:27">
      <c r="H20" s="277"/>
      <c r="I20" s="17"/>
      <c r="J20" s="5" t="s">
        <v>604</v>
      </c>
      <c r="L20" s="305">
        <f>'AGG ASIA INCUMB'!D48</f>
        <v>0.58020270145274866</v>
      </c>
      <c r="M20" s="305">
        <f>'AGG ASIA INCUMB'!E48</f>
        <v>0.49738583643750317</v>
      </c>
      <c r="N20" s="305">
        <f>'AGG ASIA INCUMB'!F48</f>
        <v>0.5269471278406761</v>
      </c>
      <c r="O20" s="305">
        <f>'AGG ASIA INCUMB'!G48</f>
        <v>0.55446861753269805</v>
      </c>
      <c r="P20" s="286" t="str">
        <f>'AGG ASIA CELLULAR'!H48</f>
        <v>nm</v>
      </c>
      <c r="S20" s="88"/>
      <c r="T20" s="42"/>
      <c r="U20" s="42"/>
      <c r="V20" s="42"/>
      <c r="W20" s="42"/>
      <c r="X20" s="42"/>
      <c r="Y20" s="42"/>
      <c r="Z20" s="42"/>
      <c r="AA20" s="42"/>
    </row>
    <row r="21" spans="2:27" ht="12.6" thickBot="1">
      <c r="B21" s="306" t="s">
        <v>942</v>
      </c>
      <c r="C21" s="265"/>
      <c r="D21" s="265" t="str">
        <f>D5</f>
        <v>2023E</v>
      </c>
      <c r="E21" s="265" t="str">
        <f t="shared" ref="E21:H21" si="2">E5</f>
        <v>2024E</v>
      </c>
      <c r="F21" s="265" t="str">
        <f t="shared" si="2"/>
        <v>2025E</v>
      </c>
      <c r="G21" s="265" t="str">
        <f t="shared" si="2"/>
        <v>2026E</v>
      </c>
      <c r="H21" s="265" t="str">
        <f t="shared" si="2"/>
        <v>23E-26E</v>
      </c>
      <c r="I21" s="49"/>
      <c r="J21" s="41"/>
      <c r="L21" s="250"/>
      <c r="M21" s="250"/>
      <c r="N21" s="250"/>
      <c r="O21" s="250"/>
      <c r="P21" s="286"/>
      <c r="S21" s="88"/>
      <c r="T21" s="42"/>
      <c r="U21" s="42"/>
      <c r="V21" s="42"/>
      <c r="W21" s="42"/>
      <c r="X21" s="42"/>
      <c r="Y21" s="42"/>
      <c r="Z21" s="42"/>
      <c r="AA21" s="42"/>
    </row>
    <row r="22" spans="2:27" ht="12.6" thickTop="1">
      <c r="B22" s="5"/>
      <c r="C22" s="257"/>
      <c r="D22" s="17"/>
      <c r="E22" s="17"/>
      <c r="F22" s="17"/>
      <c r="G22" s="17"/>
      <c r="H22" s="17"/>
      <c r="I22" s="17"/>
      <c r="P22" s="277"/>
      <c r="S22" s="88"/>
      <c r="T22" s="42"/>
      <c r="U22" s="42"/>
      <c r="V22" s="42"/>
      <c r="W22" s="42"/>
      <c r="X22" s="42"/>
      <c r="Y22" s="42"/>
      <c r="Z22" s="42"/>
      <c r="AA22" s="42"/>
    </row>
    <row r="23" spans="2:27" ht="12.6" thickBot="1">
      <c r="B23" s="5" t="s">
        <v>584</v>
      </c>
      <c r="C23" s="548">
        <v>13136</v>
      </c>
      <c r="D23" s="540">
        <v>13374.600000000002</v>
      </c>
      <c r="E23" s="540">
        <v>13704.16227207568</v>
      </c>
      <c r="F23" s="540">
        <v>14151.508686406994</v>
      </c>
      <c r="G23" s="540">
        <v>14634.672560395769</v>
      </c>
      <c r="H23" s="279">
        <f>IF(D23=0,"nm",IF(G23=0,"nm",(G23/D23)^(1/3)-1))</f>
        <v>3.0466954566159998E-2</v>
      </c>
      <c r="I23" s="247"/>
      <c r="J23" s="306" t="s">
        <v>9</v>
      </c>
      <c r="K23" s="306"/>
      <c r="L23" s="265" t="str">
        <f>D21</f>
        <v>2023E</v>
      </c>
      <c r="M23" s="265" t="str">
        <f t="shared" ref="M23:P23" si="3">E21</f>
        <v>2024E</v>
      </c>
      <c r="N23" s="265" t="str">
        <f t="shared" si="3"/>
        <v>2025E</v>
      </c>
      <c r="O23" s="265" t="str">
        <f t="shared" si="3"/>
        <v>2026E</v>
      </c>
      <c r="P23" s="265" t="str">
        <f t="shared" si="3"/>
        <v>23E-26E</v>
      </c>
      <c r="S23" s="88"/>
      <c r="T23" s="42"/>
      <c r="U23" s="42"/>
      <c r="V23" s="42"/>
      <c r="W23" s="42"/>
      <c r="X23" s="42"/>
      <c r="Y23" s="42"/>
      <c r="Z23" s="42"/>
      <c r="AA23" s="42"/>
    </row>
    <row r="24" spans="2:27" ht="12.6" thickTop="1">
      <c r="B24" s="5" t="s">
        <v>483</v>
      </c>
      <c r="C24" s="549">
        <v>3290</v>
      </c>
      <c r="D24" s="540">
        <v>3418.2</v>
      </c>
      <c r="E24" s="540">
        <v>3838.7941543088314</v>
      </c>
      <c r="F24" s="540">
        <v>4042.2808452493628</v>
      </c>
      <c r="G24" s="540">
        <v>4239.0370422192582</v>
      </c>
      <c r="H24" s="279">
        <f>IF(D24=0,"nm",IF(G24=0,"nm",(G24/D24)^(1/3)-1))</f>
        <v>7.4376698433700872E-2</v>
      </c>
      <c r="I24" s="249"/>
      <c r="J24" s="17"/>
      <c r="K24" s="17"/>
      <c r="L24" s="17"/>
      <c r="M24" s="17"/>
      <c r="N24" s="17"/>
      <c r="O24" s="248"/>
      <c r="S24" s="88"/>
      <c r="T24" s="42"/>
      <c r="U24" s="42"/>
      <c r="V24" s="42"/>
      <c r="W24" s="42" t="s">
        <v>412</v>
      </c>
      <c r="X24" s="42" t="s">
        <v>259</v>
      </c>
      <c r="Y24" s="42"/>
      <c r="Z24" s="42"/>
      <c r="AA24" s="42"/>
    </row>
    <row r="25" spans="2:27">
      <c r="B25" s="5" t="s">
        <v>183</v>
      </c>
      <c r="C25" s="548">
        <v>1405</v>
      </c>
      <c r="D25" s="540">
        <v>1453.5</v>
      </c>
      <c r="E25" s="540">
        <v>2109.8459047834745</v>
      </c>
      <c r="F25" s="540">
        <v>2315.1067957094647</v>
      </c>
      <c r="G25" s="540">
        <v>2496.8923937234731</v>
      </c>
      <c r="H25" s="279">
        <f>IF(D25=0,"nm",IF(G25=0,"nm",(G25/D25)^(1/3)-1))</f>
        <v>0.19764543491512754</v>
      </c>
      <c r="I25" s="248"/>
      <c r="J25" s="247" t="s">
        <v>10</v>
      </c>
      <c r="K25" s="247"/>
      <c r="L25" s="321">
        <v>0</v>
      </c>
      <c r="M25" s="321">
        <v>0</v>
      </c>
      <c r="N25" s="321">
        <v>0</v>
      </c>
      <c r="O25" s="321">
        <v>0</v>
      </c>
      <c r="P25" s="279" t="str">
        <f>IF(L25=0,"nm",IF(O25=0,"nm",(O25/L25)^(1/3)-1))</f>
        <v>nm</v>
      </c>
      <c r="S25" s="88"/>
      <c r="T25" s="42"/>
      <c r="U25" s="42"/>
      <c r="V25" s="147" t="s">
        <v>273</v>
      </c>
      <c r="W25" s="288">
        <f>D37/L9</f>
        <v>2.7346338517880962E-2</v>
      </c>
      <c r="X25" s="288">
        <v>1</v>
      </c>
      <c r="Y25" s="42"/>
      <c r="Z25" s="42"/>
      <c r="AA25" s="42"/>
    </row>
    <row r="26" spans="2:27">
      <c r="B26" s="5" t="s">
        <v>586</v>
      </c>
      <c r="C26" s="548">
        <v>969</v>
      </c>
      <c r="D26" s="540">
        <v>1002.915</v>
      </c>
      <c r="E26" s="540">
        <v>1455.7936743005973</v>
      </c>
      <c r="F26" s="540">
        <v>1597.4236890395305</v>
      </c>
      <c r="G26" s="540">
        <v>1722.8557516691963</v>
      </c>
      <c r="H26" s="279">
        <f>IF(D26=0,"nm",IF(G26=0,"nm",(G26/D26)^(1/3)-1))</f>
        <v>0.19764543491512754</v>
      </c>
      <c r="I26" s="249"/>
      <c r="J26" s="249" t="s">
        <v>11</v>
      </c>
      <c r="K26" s="249"/>
      <c r="L26" s="281">
        <f>D11+L25</f>
        <v>12830.844156587798</v>
      </c>
      <c r="M26" s="281">
        <f>E11+M25</f>
        <v>12596.795076833196</v>
      </c>
      <c r="N26" s="281">
        <f>F11+N25</f>
        <v>12362.745997078595</v>
      </c>
      <c r="O26" s="281">
        <f>G11+O25</f>
        <v>12128.696917323992</v>
      </c>
      <c r="P26" s="279">
        <f>IF(L26=0,"nm",IF(O26=0,"nm",(O26/L26)^(1/3)-1))</f>
        <v>-1.8584367894405651E-2</v>
      </c>
      <c r="Q26" s="5"/>
      <c r="S26" s="88"/>
      <c r="T26" s="42"/>
      <c r="U26" s="42"/>
      <c r="V26" s="147" t="s">
        <v>184</v>
      </c>
      <c r="W26" s="288">
        <f t="shared" ref="W26:W33" si="4">D38/L10</f>
        <v>2.946700870161691E-2</v>
      </c>
      <c r="X26" s="288">
        <v>1</v>
      </c>
      <c r="Y26" s="42"/>
      <c r="Z26" s="42"/>
      <c r="AA26" s="42"/>
    </row>
    <row r="27" spans="2:27">
      <c r="B27" s="5" t="s">
        <v>587</v>
      </c>
      <c r="C27" s="549">
        <v>18193</v>
      </c>
      <c r="D27" s="540">
        <v>16958.2</v>
      </c>
      <c r="E27" s="540">
        <v>18308.577567362667</v>
      </c>
      <c r="F27" s="540">
        <v>19746.298653551909</v>
      </c>
      <c r="G27" s="540">
        <v>21264.762513107456</v>
      </c>
      <c r="H27" s="279">
        <f>IF(ISERROR((G27/D27)^(1/3)-1),"na",(G27/D27)^(1/3)-1)</f>
        <v>7.8351287791250002E-2</v>
      </c>
      <c r="I27" s="249"/>
      <c r="J27" s="248"/>
      <c r="K27" s="248"/>
      <c r="L27" s="248"/>
      <c r="M27" s="248"/>
      <c r="N27" s="248"/>
      <c r="O27" s="248"/>
      <c r="Q27" s="41"/>
      <c r="S27" s="88"/>
      <c r="T27" s="42"/>
      <c r="U27" s="42"/>
      <c r="V27" s="147" t="s">
        <v>185</v>
      </c>
      <c r="W27" s="288">
        <f t="shared" si="4"/>
        <v>2.7555598270563277E-2</v>
      </c>
      <c r="X27" s="288">
        <v>1</v>
      </c>
      <c r="Y27" s="42"/>
      <c r="Z27" s="42"/>
      <c r="AA27" s="42"/>
    </row>
    <row r="28" spans="2:27" ht="12.6" thickBot="1">
      <c r="B28" s="5" t="s">
        <v>592</v>
      </c>
      <c r="C28" s="548">
        <v>9717</v>
      </c>
      <c r="D28" s="540">
        <v>10422</v>
      </c>
      <c r="E28" s="540">
        <v>10594.440963783894</v>
      </c>
      <c r="F28" s="540">
        <v>10639.108888938368</v>
      </c>
      <c r="G28" s="540">
        <v>10671.394451414857</v>
      </c>
      <c r="H28" s="279">
        <f>IF(ISERROR((G28/D28)^(1/3)-1),"na",(G28/D28)^(1/3)-1)</f>
        <v>7.9137458780556003E-3</v>
      </c>
      <c r="I28" s="248"/>
      <c r="J28" s="306" t="s">
        <v>1362</v>
      </c>
      <c r="K28" s="306"/>
      <c r="L28" s="306"/>
      <c r="M28" s="306"/>
      <c r="N28" s="266"/>
      <c r="O28" s="266"/>
      <c r="P28" s="266"/>
      <c r="Q28" s="5"/>
      <c r="S28" s="88"/>
      <c r="T28" s="42"/>
      <c r="U28" s="42"/>
      <c r="V28" s="147" t="s">
        <v>466</v>
      </c>
      <c r="W28" s="288">
        <f t="shared" si="4"/>
        <v>2.9733731113898161E-2</v>
      </c>
      <c r="X28" s="288">
        <v>1</v>
      </c>
      <c r="Y28" s="42"/>
      <c r="Z28" s="42"/>
      <c r="AA28" s="42"/>
    </row>
    <row r="29" spans="2:27" ht="12.6" thickTop="1">
      <c r="B29" s="5" t="s">
        <v>588</v>
      </c>
      <c r="C29" s="548">
        <v>869</v>
      </c>
      <c r="D29" s="540">
        <v>875.79799999999977</v>
      </c>
      <c r="E29" s="540">
        <v>1520.5145427053831</v>
      </c>
      <c r="F29" s="540">
        <v>1691.2320219692501</v>
      </c>
      <c r="G29" s="540">
        <v>1840.9745595788108</v>
      </c>
      <c r="H29" s="279">
        <f>IF(D29=0,"nm",IF(G29=0,"nm",(G29/D29)^(1/3)-1))</f>
        <v>0.28099650836165346</v>
      </c>
      <c r="I29" s="252"/>
      <c r="J29" s="249"/>
      <c r="K29" s="249"/>
      <c r="L29" s="249"/>
      <c r="M29" s="249"/>
      <c r="N29" s="249"/>
      <c r="O29" s="251"/>
      <c r="Q29" s="5"/>
      <c r="S29" s="88"/>
      <c r="T29" s="42"/>
      <c r="U29" s="42"/>
      <c r="V29" s="147" t="s">
        <v>530</v>
      </c>
      <c r="W29" s="288">
        <f t="shared" si="4"/>
        <v>2.3924236527266791E-2</v>
      </c>
      <c r="X29" s="288">
        <v>1</v>
      </c>
      <c r="Y29" s="42"/>
      <c r="Z29" s="42"/>
      <c r="AA29" s="42"/>
    </row>
    <row r="30" spans="2:27">
      <c r="B30" s="5" t="s">
        <v>589</v>
      </c>
      <c r="C30" s="549">
        <v>1213</v>
      </c>
      <c r="D30" s="540">
        <v>1279.5999999999999</v>
      </c>
      <c r="E30" s="540">
        <v>1345.0797856641425</v>
      </c>
      <c r="F30" s="540">
        <v>1427.2821649263929</v>
      </c>
      <c r="G30" s="540">
        <v>1502.3938467516218</v>
      </c>
      <c r="H30" s="279">
        <f>IF(D30=0,"nm",IF(G30=0,"nm",(G30/D30)^(1/3)-1))</f>
        <v>5.4961283607790845E-2</v>
      </c>
      <c r="I30" s="254"/>
      <c r="J30" s="248"/>
      <c r="K30" s="248"/>
      <c r="L30" s="248"/>
      <c r="M30" s="248"/>
      <c r="N30" s="248"/>
      <c r="O30" s="5"/>
      <c r="Q30" s="5"/>
      <c r="S30" s="88"/>
      <c r="T30" s="42"/>
      <c r="U30" s="42"/>
      <c r="V30" s="147" t="s">
        <v>593</v>
      </c>
      <c r="W30" s="288">
        <f t="shared" si="4"/>
        <v>2.9241885211475915E-2</v>
      </c>
      <c r="X30" s="288">
        <v>1</v>
      </c>
      <c r="Y30" s="42"/>
      <c r="Z30" s="42"/>
      <c r="AA30" s="42"/>
    </row>
    <row r="31" spans="2:27">
      <c r="B31" s="5" t="s">
        <v>590</v>
      </c>
      <c r="C31" s="549">
        <v>409.08</v>
      </c>
      <c r="D31" s="540">
        <v>428.81589252029994</v>
      </c>
      <c r="E31" s="540">
        <v>528.30595341895457</v>
      </c>
      <c r="F31" s="540">
        <v>583.30125281104779</v>
      </c>
      <c r="G31" s="540">
        <v>635.84256447307962</v>
      </c>
      <c r="H31" s="279">
        <f>IF(D31=0,"nm",IF(G31=0,"nm",(G31/D31)^(1/3)-1))</f>
        <v>0.14031868726274976</v>
      </c>
      <c r="I31" s="254"/>
      <c r="J31" s="252"/>
      <c r="K31" s="252"/>
      <c r="L31" s="252"/>
      <c r="M31" s="252"/>
      <c r="N31" s="252"/>
      <c r="O31" s="5"/>
      <c r="Q31" s="5"/>
      <c r="S31" s="88"/>
      <c r="T31" s="42"/>
      <c r="U31" s="42"/>
      <c r="V31" s="147" t="s">
        <v>475</v>
      </c>
      <c r="W31" s="288">
        <f t="shared" si="4"/>
        <v>1.011630770244907</v>
      </c>
      <c r="X31" s="288">
        <v>1</v>
      </c>
      <c r="Y31" s="42"/>
      <c r="Z31" s="42"/>
      <c r="AA31" s="42"/>
    </row>
    <row r="32" spans="2:27">
      <c r="B32" s="5" t="s">
        <v>606</v>
      </c>
      <c r="C32" s="550">
        <v>235</v>
      </c>
      <c r="D32" s="540">
        <v>0</v>
      </c>
      <c r="E32" s="540">
        <v>0</v>
      </c>
      <c r="F32" s="540">
        <v>0</v>
      </c>
      <c r="G32" s="540">
        <v>0</v>
      </c>
      <c r="H32" s="279" t="str">
        <f>IF(D32=0,"nm",IF(G32=0,"nm",(G32/D32)^(1/3)-1))</f>
        <v>nm</v>
      </c>
      <c r="I32" s="254"/>
      <c r="J32" s="254"/>
      <c r="K32" s="254"/>
      <c r="L32" s="254"/>
      <c r="M32" s="254"/>
      <c r="N32" s="254"/>
      <c r="O32" s="251"/>
      <c r="Q32" s="5"/>
      <c r="S32" s="88"/>
      <c r="T32" s="42"/>
      <c r="U32" s="42"/>
      <c r="V32" s="147" t="s">
        <v>533</v>
      </c>
      <c r="W32" s="288">
        <f t="shared" si="4"/>
        <v>2.4988641159434936E-2</v>
      </c>
      <c r="X32" s="288">
        <v>1</v>
      </c>
      <c r="Y32" s="42"/>
      <c r="Z32" s="42"/>
      <c r="AA32" s="42"/>
    </row>
    <row r="33" spans="2:27">
      <c r="B33" s="5" t="s">
        <v>5</v>
      </c>
      <c r="C33" s="549">
        <v>-25</v>
      </c>
      <c r="D33" s="540">
        <v>33.34099999999998</v>
      </c>
      <c r="E33" s="540">
        <v>39.865249999999989</v>
      </c>
      <c r="F33" s="540">
        <v>46.063287500000001</v>
      </c>
      <c r="G33" s="540">
        <v>51.951423125000005</v>
      </c>
      <c r="H33" s="279">
        <f>IF(ISERROR((G33/D33)^(1/3)-1),"na",(G33/D33)^(1/3)-1)</f>
        <v>0.15932786849350467</v>
      </c>
      <c r="I33" s="5"/>
      <c r="J33" s="254"/>
      <c r="K33" s="254"/>
      <c r="L33" s="254"/>
      <c r="M33" s="254"/>
      <c r="N33" s="254"/>
      <c r="O33" s="251"/>
      <c r="Q33" s="5"/>
      <c r="S33" s="88"/>
      <c r="T33" s="42"/>
      <c r="U33" s="42"/>
      <c r="V33" s="147" t="s">
        <v>580</v>
      </c>
      <c r="W33" s="288">
        <f t="shared" si="4"/>
        <v>23.55689072968018</v>
      </c>
      <c r="X33" s="288">
        <v>1</v>
      </c>
      <c r="Y33" s="42"/>
      <c r="Z33" s="42"/>
      <c r="AA33" s="42"/>
    </row>
    <row r="34" spans="2:27">
      <c r="D34" s="5"/>
      <c r="E34" s="5"/>
      <c r="F34" s="5"/>
      <c r="G34" s="5"/>
      <c r="I34" s="49"/>
      <c r="J34" s="254"/>
      <c r="K34" s="254"/>
      <c r="L34" s="254"/>
      <c r="M34" s="254"/>
      <c r="N34" s="254"/>
      <c r="O34" s="251"/>
      <c r="Q34" s="5"/>
      <c r="S34" s="88"/>
      <c r="T34" s="42"/>
      <c r="U34" s="42"/>
      <c r="V34" s="147" t="s">
        <v>581</v>
      </c>
      <c r="W34" s="288">
        <f>D47/L19</f>
        <v>0.98850294931016047</v>
      </c>
      <c r="X34" s="288">
        <v>1</v>
      </c>
      <c r="Y34" s="288"/>
      <c r="Z34" s="288"/>
      <c r="AA34" s="42"/>
    </row>
    <row r="35" spans="2:27" ht="12.6" thickBot="1">
      <c r="B35" s="306" t="s">
        <v>647</v>
      </c>
      <c r="C35" s="265"/>
      <c r="D35" s="265" t="str">
        <f>D5</f>
        <v>2023E</v>
      </c>
      <c r="E35" s="265" t="str">
        <f t="shared" ref="E35:H35" si="5">E5</f>
        <v>2024E</v>
      </c>
      <c r="F35" s="265" t="str">
        <f t="shared" si="5"/>
        <v>2025E</v>
      </c>
      <c r="G35" s="265" t="str">
        <f t="shared" si="5"/>
        <v>2026E</v>
      </c>
      <c r="H35" s="265" t="str">
        <f t="shared" si="5"/>
        <v>23E-26E</v>
      </c>
      <c r="I35" s="254"/>
      <c r="J35" s="5"/>
      <c r="K35" s="5"/>
      <c r="L35" s="5"/>
      <c r="M35" s="5"/>
      <c r="N35" s="5"/>
      <c r="O35" s="5"/>
      <c r="Q35" s="5"/>
      <c r="S35" s="88"/>
      <c r="T35" s="42"/>
      <c r="U35" s="42"/>
      <c r="V35" s="42"/>
      <c r="W35" s="42"/>
      <c r="X35" s="42"/>
      <c r="Y35" s="288"/>
      <c r="Z35" s="288"/>
      <c r="AA35" s="42"/>
    </row>
    <row r="36" spans="2:27" ht="12.6" thickTop="1">
      <c r="B36" s="41"/>
      <c r="C36" s="249"/>
      <c r="D36" s="254"/>
      <c r="E36" s="254"/>
      <c r="F36" s="254"/>
      <c r="G36" s="254"/>
      <c r="H36" s="254"/>
      <c r="I36" s="17"/>
      <c r="J36" s="49"/>
      <c r="K36" s="49"/>
      <c r="L36" s="49"/>
      <c r="M36" s="49"/>
      <c r="N36" s="49"/>
      <c r="O36" s="49"/>
      <c r="Q36" s="5"/>
      <c r="S36" s="88"/>
      <c r="T36" s="42"/>
      <c r="U36" s="42"/>
      <c r="V36" s="42"/>
      <c r="W36" s="42"/>
      <c r="X36" s="42"/>
      <c r="Y36" s="288"/>
      <c r="Z36" s="288"/>
      <c r="AA36" s="42"/>
    </row>
    <row r="37" spans="2:27">
      <c r="B37" s="5" t="s">
        <v>273</v>
      </c>
      <c r="C37" s="247"/>
      <c r="D37" s="529">
        <f>D$18/D23</f>
        <v>1.7267209671009074</v>
      </c>
      <c r="E37" s="529">
        <f t="shared" ref="E37:G41" si="6">E$18/E23</f>
        <v>1.6259182262323979</v>
      </c>
      <c r="F37" s="529">
        <f t="shared" si="6"/>
        <v>1.5132306636265536</v>
      </c>
      <c r="G37" s="529">
        <f t="shared" si="6"/>
        <v>1.4004143346591327</v>
      </c>
      <c r="H37" s="17">
        <f t="shared" ref="H37:H45" si="7">H23</f>
        <v>3.0466954566159998E-2</v>
      </c>
      <c r="I37" s="5"/>
      <c r="J37" s="259"/>
      <c r="K37" s="259"/>
      <c r="L37" s="259"/>
      <c r="M37" s="259"/>
      <c r="N37" s="259"/>
      <c r="O37" s="18"/>
      <c r="Q37" s="5"/>
      <c r="R37" s="5"/>
      <c r="S37" s="42"/>
      <c r="T37" s="42"/>
      <c r="U37" s="42"/>
      <c r="V37" s="42"/>
      <c r="W37" s="42"/>
      <c r="X37" s="42"/>
      <c r="Y37" s="42"/>
      <c r="Z37" s="42"/>
      <c r="AA37" s="42"/>
    </row>
    <row r="38" spans="2:27">
      <c r="B38" s="5" t="s">
        <v>184</v>
      </c>
      <c r="C38" s="247"/>
      <c r="D38" s="529">
        <f>D$18/D24</f>
        <v>6.7562466346579493</v>
      </c>
      <c r="E38" s="529">
        <f t="shared" si="6"/>
        <v>5.8043870855654278</v>
      </c>
      <c r="F38" s="529">
        <f t="shared" si="6"/>
        <v>5.2976271814502196</v>
      </c>
      <c r="G38" s="529">
        <f t="shared" si="6"/>
        <v>4.8347313393353577</v>
      </c>
      <c r="H38" s="17">
        <f t="shared" si="7"/>
        <v>7.4376698433700872E-2</v>
      </c>
      <c r="I38" s="259"/>
      <c r="J38" s="17"/>
      <c r="K38" s="17"/>
      <c r="L38" s="17"/>
      <c r="M38" s="17"/>
      <c r="N38" s="17"/>
      <c r="O38" s="5"/>
      <c r="Q38" s="5"/>
      <c r="R38" s="5"/>
      <c r="S38" s="42"/>
      <c r="T38" s="42"/>
      <c r="U38" s="42"/>
      <c r="V38" s="42"/>
      <c r="W38" s="42"/>
      <c r="X38" s="42"/>
      <c r="Y38" s="42"/>
      <c r="Z38" s="42"/>
      <c r="AA38" s="42"/>
    </row>
    <row r="39" spans="2:27">
      <c r="B39" s="5" t="s">
        <v>185</v>
      </c>
      <c r="C39" s="247"/>
      <c r="D39" s="529">
        <f>D$18/D25</f>
        <v>15.888684036180116</v>
      </c>
      <c r="E39" s="529">
        <f t="shared" si="6"/>
        <v>10.560888434030419</v>
      </c>
      <c r="F39" s="529">
        <f t="shared" si="6"/>
        <v>9.2498959100010421</v>
      </c>
      <c r="G39" s="529">
        <f t="shared" si="6"/>
        <v>8.2080450435665249</v>
      </c>
      <c r="H39" s="17">
        <f t="shared" si="7"/>
        <v>0.19764543491512754</v>
      </c>
      <c r="I39" s="17"/>
      <c r="J39" s="5"/>
      <c r="K39" s="5"/>
      <c r="L39" s="5"/>
      <c r="M39" s="5"/>
      <c r="N39" s="5"/>
      <c r="O39" s="5"/>
      <c r="Q39" s="5"/>
      <c r="R39" s="5"/>
      <c r="S39" s="42"/>
      <c r="T39" s="42"/>
      <c r="U39" s="42"/>
      <c r="V39" s="42"/>
      <c r="W39" s="42"/>
      <c r="X39" s="42"/>
      <c r="Y39" s="42"/>
      <c r="Z39" s="42"/>
      <c r="AA39" s="42"/>
    </row>
    <row r="40" spans="2:27">
      <c r="B40" s="5" t="s">
        <v>466</v>
      </c>
      <c r="C40" s="247"/>
      <c r="D40" s="529">
        <f>D$18/D26</f>
        <v>23.027078313304518</v>
      </c>
      <c r="E40" s="529">
        <f t="shared" si="6"/>
        <v>15.305635411638288</v>
      </c>
      <c r="F40" s="529">
        <f t="shared" si="6"/>
        <v>13.405646246378321</v>
      </c>
      <c r="G40" s="529">
        <f t="shared" si="6"/>
        <v>11.89571745444424</v>
      </c>
      <c r="H40" s="17">
        <f t="shared" si="7"/>
        <v>0.19764543491512754</v>
      </c>
      <c r="I40" s="5"/>
      <c r="J40" s="259"/>
      <c r="K40" s="259"/>
      <c r="L40" s="259"/>
      <c r="M40" s="259"/>
      <c r="N40" s="259"/>
      <c r="O40" s="18"/>
      <c r="Q40" s="5"/>
      <c r="R40" s="5"/>
      <c r="S40" s="42"/>
      <c r="T40" s="42"/>
      <c r="U40" s="42"/>
      <c r="V40" s="42"/>
      <c r="W40" s="288"/>
      <c r="X40" s="288"/>
      <c r="Y40" s="42"/>
      <c r="Z40" s="42"/>
      <c r="AA40" s="42"/>
    </row>
    <row r="41" spans="2:27">
      <c r="B41" s="5" t="s">
        <v>530</v>
      </c>
      <c r="C41" s="247"/>
      <c r="D41" s="529">
        <f>D$18/D27</f>
        <v>1.3618309871677301</v>
      </c>
      <c r="E41" s="529">
        <f t="shared" si="6"/>
        <v>1.2170168398627768</v>
      </c>
      <c r="F41" s="529">
        <f t="shared" si="6"/>
        <v>1.084481565713411</v>
      </c>
      <c r="G41" s="529">
        <f t="shared" si="6"/>
        <v>0.9637824651927418</v>
      </c>
      <c r="H41" s="17">
        <f t="shared" si="7"/>
        <v>7.8351287791250002E-2</v>
      </c>
      <c r="I41" s="247"/>
      <c r="J41" s="17"/>
      <c r="K41" s="17"/>
      <c r="L41" s="17"/>
      <c r="M41" s="17"/>
      <c r="N41" s="17"/>
      <c r="O41" s="5"/>
      <c r="Q41" s="5"/>
      <c r="R41" s="5"/>
      <c r="S41" s="42"/>
      <c r="T41" s="42"/>
      <c r="U41" s="42"/>
      <c r="V41" s="42"/>
      <c r="W41" s="288"/>
      <c r="X41" s="288"/>
      <c r="Y41" s="288"/>
      <c r="Z41" s="288"/>
      <c r="AA41" s="42"/>
    </row>
    <row r="42" spans="2:27">
      <c r="B42" s="5" t="s">
        <v>593</v>
      </c>
      <c r="C42" s="247"/>
      <c r="D42" s="529">
        <f>D18/D28</f>
        <v>2.2159088703308196</v>
      </c>
      <c r="E42" s="529">
        <f>E18/E28</f>
        <v>2.1031640357035024</v>
      </c>
      <c r="F42" s="529">
        <f>F18/F28</f>
        <v>2.0128092591583067</v>
      </c>
      <c r="G42" s="529">
        <f>G18/G28</f>
        <v>1.9205180100810209</v>
      </c>
      <c r="H42" s="17">
        <f t="shared" si="7"/>
        <v>7.9137458780556003E-3</v>
      </c>
      <c r="I42" s="248"/>
      <c r="J42" s="5"/>
      <c r="K42" s="5"/>
      <c r="L42" s="5"/>
      <c r="M42" s="5"/>
      <c r="N42" s="5"/>
      <c r="O42" s="5"/>
      <c r="Q42" s="5"/>
      <c r="R42" s="5"/>
      <c r="S42" s="42"/>
      <c r="T42" s="42"/>
      <c r="U42" s="42"/>
      <c r="V42" s="42"/>
      <c r="W42" s="288"/>
      <c r="X42" s="288"/>
      <c r="Y42" s="288"/>
      <c r="Z42" s="288"/>
      <c r="AA42" s="42"/>
    </row>
    <row r="43" spans="2:27">
      <c r="B43" s="5" t="s">
        <v>475</v>
      </c>
      <c r="C43" s="247"/>
      <c r="D43" s="529">
        <f>L26/D29</f>
        <v>14.650460673109325</v>
      </c>
      <c r="E43" s="529">
        <f>M26/E29</f>
        <v>8.2845607345657388</v>
      </c>
      <c r="F43" s="529">
        <f>N26/F29</f>
        <v>7.3099053450298106</v>
      </c>
      <c r="G43" s="529">
        <f>O26/G29</f>
        <v>6.588193657656447</v>
      </c>
      <c r="H43" s="17">
        <f t="shared" si="7"/>
        <v>0.28099650836165346</v>
      </c>
      <c r="I43" s="247"/>
      <c r="J43" s="247"/>
      <c r="K43" s="247"/>
      <c r="L43" s="247"/>
      <c r="M43" s="247"/>
      <c r="N43" s="247"/>
      <c r="O43" s="18"/>
      <c r="Q43" s="5"/>
      <c r="R43" s="5"/>
      <c r="S43" s="42"/>
      <c r="T43" s="42"/>
      <c r="U43" s="42"/>
      <c r="V43" s="42"/>
      <c r="W43" s="288"/>
      <c r="X43" s="288"/>
      <c r="Y43" s="288"/>
      <c r="Z43" s="288"/>
      <c r="AA43" s="42"/>
    </row>
    <row r="44" spans="2:27">
      <c r="B44" s="5" t="s">
        <v>533</v>
      </c>
      <c r="C44" s="69"/>
      <c r="D44" s="529">
        <f>D11/D30</f>
        <v>10.027230506867614</v>
      </c>
      <c r="E44" s="529">
        <f>E11/E30</f>
        <v>9.3650913582151869</v>
      </c>
      <c r="F44" s="529">
        <f>F11/F30</f>
        <v>8.6617392838480267</v>
      </c>
      <c r="G44" s="529">
        <f>G11/G30</f>
        <v>8.0729143982770371</v>
      </c>
      <c r="H44" s="17">
        <f t="shared" si="7"/>
        <v>5.4961283607790845E-2</v>
      </c>
      <c r="I44" s="247"/>
      <c r="J44" s="248"/>
      <c r="K44" s="248"/>
      <c r="L44" s="248"/>
      <c r="M44" s="248"/>
      <c r="N44" s="248"/>
      <c r="O44" s="248"/>
      <c r="Q44" s="5"/>
      <c r="R44" s="5"/>
      <c r="S44" s="42"/>
      <c r="T44" s="42"/>
      <c r="U44" s="42"/>
      <c r="V44" s="42"/>
      <c r="W44" s="325"/>
      <c r="X44" s="325"/>
      <c r="Y44" s="288"/>
      <c r="Z44" s="288"/>
      <c r="AA44" s="42"/>
    </row>
    <row r="45" spans="2:27">
      <c r="B45" s="5" t="s">
        <v>580</v>
      </c>
      <c r="C45" s="247"/>
      <c r="D45" s="248">
        <f>D31/D11</f>
        <v>3.3420707732634336E-2</v>
      </c>
      <c r="E45" s="248">
        <f>E31/E11</f>
        <v>4.1939711664482314E-2</v>
      </c>
      <c r="F45" s="248">
        <f>F31/F11</f>
        <v>4.7182175622542601E-2</v>
      </c>
      <c r="G45" s="248">
        <f>G31/G11</f>
        <v>5.2424639580602887E-2</v>
      </c>
      <c r="H45" s="17">
        <f t="shared" si="7"/>
        <v>0.14031868726274976</v>
      </c>
      <c r="I45" s="248"/>
      <c r="J45" s="247"/>
      <c r="K45" s="247"/>
      <c r="L45" s="247"/>
      <c r="M45" s="247"/>
      <c r="N45" s="247"/>
      <c r="O45" s="248"/>
      <c r="Q45" s="5"/>
      <c r="R45" s="5"/>
      <c r="S45" s="42"/>
      <c r="T45" s="42"/>
      <c r="U45" s="42"/>
      <c r="V45" s="42"/>
      <c r="W45" s="42"/>
      <c r="X45" s="42"/>
      <c r="Y45" s="325"/>
      <c r="Z45" s="325"/>
      <c r="AA45" s="42"/>
    </row>
    <row r="46" spans="2:27">
      <c r="B46" s="5" t="s">
        <v>605</v>
      </c>
      <c r="C46" s="247"/>
      <c r="D46" s="248">
        <f>(D31+D32)/D11</f>
        <v>3.3420707732634336E-2</v>
      </c>
      <c r="E46" s="248">
        <f>(E31+E32)/E11</f>
        <v>4.1939711664482314E-2</v>
      </c>
      <c r="F46" s="248">
        <f>(F31+F32)/F11</f>
        <v>4.7182175622542601E-2</v>
      </c>
      <c r="G46" s="248">
        <f>(G31+G32)/G11</f>
        <v>5.2424639580602887E-2</v>
      </c>
      <c r="H46" s="279">
        <f>((G31+G32)/(D31+D32))^(1/3)-1</f>
        <v>0.14031868726274976</v>
      </c>
      <c r="I46" s="247"/>
      <c r="J46" s="247"/>
      <c r="K46" s="247"/>
      <c r="L46" s="247"/>
      <c r="M46" s="247"/>
      <c r="N46" s="247"/>
      <c r="O46" s="18"/>
      <c r="Q46" s="5"/>
      <c r="R46" s="5"/>
      <c r="S46" s="42"/>
      <c r="T46" s="42"/>
      <c r="U46" s="42"/>
      <c r="V46" s="42"/>
      <c r="W46" s="42"/>
      <c r="X46" s="42"/>
      <c r="Y46" s="42"/>
      <c r="Z46" s="42"/>
      <c r="AA46" s="326"/>
    </row>
    <row r="47" spans="2:27">
      <c r="B47" s="5" t="s">
        <v>581</v>
      </c>
      <c r="C47" s="5"/>
      <c r="D47" s="248">
        <f>1/D43</f>
        <v>6.8257239298657901E-2</v>
      </c>
      <c r="E47" s="248">
        <f>1/E43</f>
        <v>0.12070646012982825</v>
      </c>
      <c r="F47" s="248">
        <f>1/F43</f>
        <v>0.13680067699917964</v>
      </c>
      <c r="G47" s="248">
        <f>1/G43</f>
        <v>0.15178667355017006</v>
      </c>
      <c r="H47" s="17">
        <f>H29</f>
        <v>0.28099650836165346</v>
      </c>
      <c r="I47" s="17"/>
      <c r="J47" s="248"/>
      <c r="K47" s="248"/>
      <c r="L47" s="248"/>
      <c r="M47" s="248"/>
      <c r="N47" s="248"/>
      <c r="O47" s="248"/>
      <c r="Q47" s="5"/>
      <c r="R47" s="5"/>
      <c r="S47" s="42"/>
      <c r="T47" s="42"/>
      <c r="U47" s="42"/>
      <c r="V47" s="42"/>
      <c r="W47" s="42"/>
      <c r="X47" s="42"/>
      <c r="Y47" s="42"/>
      <c r="Z47" s="42"/>
      <c r="AA47" s="326"/>
    </row>
    <row r="48" spans="2:27">
      <c r="B48" s="5" t="s">
        <v>618</v>
      </c>
      <c r="C48" s="5"/>
      <c r="D48" s="305">
        <f>D31/D29</f>
        <v>0.48962876430444013</v>
      </c>
      <c r="E48" s="305">
        <f>E31/E29</f>
        <v>0.34745208847457887</v>
      </c>
      <c r="F48" s="305">
        <f>F31/F29</f>
        <v>0.34489723777335934</v>
      </c>
      <c r="G48" s="305">
        <f>G31/G29</f>
        <v>0.34538367798985309</v>
      </c>
      <c r="H48" s="279" t="s">
        <v>607</v>
      </c>
      <c r="I48" s="247"/>
      <c r="J48" s="247"/>
      <c r="K48" s="247"/>
      <c r="L48" s="247"/>
      <c r="M48" s="247"/>
      <c r="N48" s="247"/>
      <c r="O48" s="248"/>
      <c r="Q48" s="5"/>
      <c r="R48" s="5"/>
      <c r="S48" s="42"/>
      <c r="T48" s="42"/>
      <c r="U48" s="42"/>
      <c r="V48" s="42"/>
      <c r="W48" s="42"/>
      <c r="X48" s="42"/>
      <c r="Y48" s="42"/>
      <c r="Z48" s="42"/>
      <c r="AA48" s="326"/>
    </row>
    <row r="49" spans="2:27">
      <c r="B49" s="41"/>
      <c r="C49" s="17"/>
      <c r="D49" s="17"/>
      <c r="E49" s="17"/>
      <c r="F49" s="17"/>
      <c r="G49" s="17"/>
      <c r="H49" s="17"/>
      <c r="I49" s="254"/>
      <c r="J49" s="17"/>
      <c r="K49" s="17"/>
      <c r="L49" s="17"/>
      <c r="M49" s="17"/>
      <c r="N49" s="17"/>
      <c r="O49" s="248"/>
      <c r="Q49" s="5"/>
      <c r="R49" s="5"/>
      <c r="S49" s="42"/>
      <c r="T49" s="42"/>
      <c r="U49" s="42"/>
      <c r="V49" s="42"/>
      <c r="W49" s="42"/>
      <c r="X49" s="42"/>
      <c r="Y49" s="42"/>
      <c r="Z49" s="42"/>
      <c r="AA49" s="326"/>
    </row>
    <row r="50" spans="2:27">
      <c r="B50" s="5"/>
      <c r="C50" s="257"/>
      <c r="D50" s="257"/>
      <c r="E50" s="257"/>
      <c r="F50" s="5"/>
      <c r="G50" s="41"/>
      <c r="H50" s="249"/>
      <c r="I50" s="17"/>
      <c r="J50" s="249"/>
      <c r="K50" s="249"/>
      <c r="L50" s="249"/>
      <c r="M50" s="249"/>
      <c r="N50" s="249"/>
      <c r="O50" s="250"/>
      <c r="Q50" s="5"/>
      <c r="R50" s="5"/>
      <c r="S50" s="42"/>
      <c r="T50" s="42"/>
      <c r="U50" s="42"/>
      <c r="V50" s="42"/>
      <c r="W50" s="288"/>
      <c r="X50" s="288"/>
      <c r="Y50" s="42"/>
      <c r="Z50" s="42"/>
      <c r="AA50" s="326"/>
    </row>
    <row r="51" spans="2:27">
      <c r="B51" s="41"/>
      <c r="C51" s="249"/>
      <c r="D51" s="254"/>
      <c r="E51" s="254"/>
      <c r="F51" s="254"/>
      <c r="G51" s="254"/>
      <c r="H51" s="254"/>
      <c r="I51" s="259"/>
      <c r="J51" s="254"/>
      <c r="K51" s="254"/>
      <c r="L51" s="254"/>
      <c r="M51" s="254"/>
      <c r="N51" s="254"/>
      <c r="O51" s="251"/>
      <c r="Q51" s="5"/>
      <c r="R51" s="5"/>
      <c r="S51" s="42"/>
      <c r="T51" s="42"/>
      <c r="U51" s="42"/>
      <c r="V51" s="42"/>
      <c r="W51" s="288"/>
      <c r="X51" s="288"/>
      <c r="Y51" s="288"/>
      <c r="Z51" s="288"/>
      <c r="AA51" s="42"/>
    </row>
    <row r="52" spans="2:27">
      <c r="B52" s="5"/>
      <c r="C52" s="257"/>
      <c r="D52" s="17"/>
      <c r="E52" s="17"/>
      <c r="F52" s="17"/>
      <c r="G52" s="17"/>
      <c r="H52" s="17"/>
      <c r="I52" s="254"/>
      <c r="J52" s="17"/>
      <c r="K52" s="17"/>
      <c r="L52" s="17"/>
      <c r="M52" s="17"/>
      <c r="N52" s="17"/>
      <c r="O52" s="248"/>
      <c r="Q52" s="5"/>
      <c r="R52" s="5"/>
      <c r="S52" s="5"/>
      <c r="Y52" s="10"/>
      <c r="Z52" s="10"/>
    </row>
    <row r="53" spans="2:27">
      <c r="B53" s="5"/>
      <c r="C53" s="257"/>
      <c r="D53" s="257"/>
      <c r="E53" s="257"/>
      <c r="F53" s="5"/>
      <c r="G53" s="5"/>
      <c r="H53" s="259"/>
      <c r="I53" s="17"/>
      <c r="J53" s="259"/>
      <c r="K53" s="259"/>
      <c r="L53" s="259"/>
      <c r="M53" s="259"/>
      <c r="N53" s="259"/>
      <c r="O53" s="18"/>
      <c r="Q53" s="5"/>
      <c r="R53" s="5"/>
      <c r="S53" s="5"/>
    </row>
    <row r="54" spans="2:27">
      <c r="B54" s="41"/>
      <c r="C54" s="249"/>
      <c r="D54" s="254"/>
      <c r="E54" s="254"/>
      <c r="F54" s="254"/>
      <c r="G54" s="254"/>
      <c r="H54" s="254"/>
      <c r="I54" s="259"/>
      <c r="J54" s="254"/>
      <c r="K54" s="254"/>
      <c r="L54" s="254"/>
      <c r="M54" s="254"/>
      <c r="N54" s="254"/>
      <c r="O54" s="251"/>
      <c r="Q54" s="5"/>
      <c r="R54" s="5"/>
      <c r="S54" s="5"/>
    </row>
    <row r="55" spans="2:27">
      <c r="B55" s="5"/>
      <c r="C55" s="257"/>
      <c r="D55" s="17"/>
      <c r="E55" s="17"/>
      <c r="F55" s="17"/>
      <c r="G55" s="17"/>
      <c r="H55" s="17"/>
      <c r="I55" s="249"/>
      <c r="J55" s="17"/>
      <c r="K55" s="17"/>
      <c r="L55" s="17"/>
      <c r="M55" s="17"/>
      <c r="N55" s="17"/>
      <c r="O55" s="18"/>
      <c r="Q55" s="5"/>
      <c r="R55" s="5"/>
      <c r="S55" s="5"/>
    </row>
    <row r="56" spans="2:27">
      <c r="B56" s="5"/>
      <c r="C56" s="248"/>
      <c r="D56" s="248"/>
      <c r="E56" s="248"/>
      <c r="F56" s="5"/>
      <c r="G56" s="5"/>
      <c r="H56" s="259"/>
      <c r="I56" s="248"/>
      <c r="J56" s="259"/>
      <c r="K56" s="259"/>
      <c r="L56" s="259"/>
      <c r="M56" s="259"/>
      <c r="N56" s="259"/>
      <c r="O56" s="18"/>
      <c r="Q56" s="5"/>
      <c r="R56" s="5"/>
      <c r="S56" s="5"/>
    </row>
    <row r="57" spans="2:27">
      <c r="B57" s="41"/>
      <c r="C57" s="249"/>
      <c r="D57" s="249"/>
      <c r="E57" s="249"/>
      <c r="F57" s="249"/>
      <c r="G57" s="249"/>
      <c r="H57" s="249"/>
      <c r="I57" s="5"/>
      <c r="J57" s="249"/>
      <c r="K57" s="249"/>
      <c r="L57" s="249"/>
      <c r="M57" s="249"/>
      <c r="N57" s="249"/>
      <c r="O57" s="251"/>
      <c r="Q57" s="5"/>
      <c r="R57" s="5"/>
      <c r="S57" s="5"/>
    </row>
    <row r="58" spans="2:27">
      <c r="B58" s="5"/>
      <c r="C58" s="5"/>
      <c r="D58" s="248"/>
      <c r="E58" s="248"/>
      <c r="F58" s="248"/>
      <c r="G58" s="248"/>
      <c r="H58" s="248"/>
      <c r="I58" s="17"/>
      <c r="J58" s="248"/>
      <c r="K58" s="248"/>
      <c r="L58" s="248"/>
      <c r="M58" s="248"/>
      <c r="N58" s="248"/>
      <c r="O58" s="18"/>
      <c r="Q58" s="5"/>
      <c r="R58" s="5"/>
      <c r="S58" s="5"/>
    </row>
    <row r="59" spans="2:27">
      <c r="B59" s="5"/>
      <c r="C59" s="5"/>
      <c r="D59" s="5"/>
      <c r="E59" s="5"/>
      <c r="F59" s="5"/>
      <c r="G59" s="5"/>
      <c r="H59" s="5"/>
      <c r="I59" s="5"/>
      <c r="J59" s="5"/>
      <c r="K59" s="5"/>
      <c r="L59" s="5"/>
      <c r="M59" s="5"/>
      <c r="N59" s="5"/>
      <c r="O59" s="5"/>
      <c r="Q59" s="5"/>
      <c r="R59" s="5"/>
      <c r="S59" s="5"/>
    </row>
    <row r="60" spans="2:27">
      <c r="B60" s="41"/>
      <c r="C60" s="17"/>
      <c r="D60" s="17"/>
      <c r="E60" s="17"/>
      <c r="F60" s="17"/>
      <c r="G60" s="17"/>
      <c r="H60" s="17"/>
      <c r="I60" s="249"/>
      <c r="J60" s="17"/>
      <c r="K60" s="17"/>
      <c r="L60" s="17"/>
      <c r="M60" s="17"/>
      <c r="N60" s="17"/>
      <c r="O60" s="251"/>
      <c r="Q60" s="5"/>
      <c r="R60" s="5"/>
      <c r="S60" s="5"/>
    </row>
    <row r="61" spans="2:27">
      <c r="B61" s="5"/>
      <c r="C61" s="5"/>
      <c r="D61" s="5"/>
      <c r="E61" s="5"/>
      <c r="F61" s="5"/>
      <c r="G61" s="5"/>
      <c r="H61" s="5"/>
      <c r="I61" s="5"/>
      <c r="J61" s="5"/>
      <c r="K61" s="5"/>
      <c r="L61" s="5"/>
      <c r="M61" s="5"/>
      <c r="N61" s="5"/>
      <c r="O61" s="5"/>
      <c r="Q61" s="41"/>
      <c r="R61" s="5"/>
      <c r="S61" s="5"/>
    </row>
    <row r="62" spans="2:27">
      <c r="B62" s="41"/>
      <c r="C62" s="249"/>
      <c r="D62" s="249"/>
      <c r="E62" s="249"/>
      <c r="F62" s="249"/>
      <c r="G62" s="249"/>
      <c r="H62" s="249"/>
      <c r="I62" s="5"/>
      <c r="J62" s="249"/>
      <c r="K62" s="249"/>
      <c r="L62" s="249"/>
      <c r="M62" s="249"/>
      <c r="N62" s="249"/>
      <c r="O62" s="251"/>
      <c r="Q62" s="5"/>
      <c r="R62" s="5"/>
      <c r="S62" s="5"/>
    </row>
    <row r="63" spans="2:27">
      <c r="B63" s="5"/>
      <c r="C63" s="5"/>
      <c r="D63" s="5"/>
      <c r="E63" s="5"/>
      <c r="F63" s="5"/>
      <c r="G63" s="5"/>
      <c r="H63" s="5"/>
      <c r="I63" s="254"/>
      <c r="J63" s="5"/>
      <c r="K63" s="5"/>
      <c r="L63" s="5"/>
      <c r="M63" s="5"/>
      <c r="N63" s="5"/>
      <c r="O63" s="5"/>
      <c r="Q63" s="5"/>
      <c r="R63" s="5"/>
      <c r="S63" s="5"/>
    </row>
    <row r="64" spans="2:27">
      <c r="B64" s="5"/>
      <c r="C64" s="5"/>
      <c r="D64" s="5"/>
      <c r="E64" s="5"/>
      <c r="F64" s="5"/>
      <c r="G64" s="5"/>
      <c r="H64" s="5"/>
      <c r="I64" s="17"/>
      <c r="J64" s="5"/>
      <c r="K64" s="5"/>
      <c r="L64" s="5"/>
      <c r="M64" s="5"/>
      <c r="N64" s="5"/>
      <c r="O64" s="5"/>
      <c r="Q64" s="5"/>
      <c r="R64" s="5"/>
      <c r="S64" s="5"/>
    </row>
    <row r="65" spans="2:26">
      <c r="B65" s="41"/>
      <c r="C65" s="249"/>
      <c r="D65" s="254"/>
      <c r="E65" s="254"/>
      <c r="F65" s="254"/>
      <c r="G65" s="254"/>
      <c r="H65" s="254"/>
      <c r="I65" s="254"/>
      <c r="J65" s="254"/>
      <c r="K65" s="254"/>
      <c r="L65" s="254"/>
      <c r="M65" s="254"/>
      <c r="N65" s="254"/>
      <c r="O65" s="251"/>
      <c r="Q65" s="5"/>
      <c r="R65" s="5"/>
      <c r="S65" s="5"/>
    </row>
    <row r="66" spans="2:26">
      <c r="B66" s="5"/>
      <c r="C66" s="5"/>
      <c r="D66" s="17"/>
      <c r="E66" s="17"/>
      <c r="F66" s="17"/>
      <c r="G66" s="17"/>
      <c r="H66" s="17"/>
      <c r="I66" s="248"/>
      <c r="J66" s="17"/>
      <c r="K66" s="17"/>
      <c r="L66" s="17"/>
      <c r="M66" s="17"/>
      <c r="N66" s="17"/>
      <c r="O66" s="5"/>
      <c r="Q66" s="5"/>
      <c r="R66" s="5"/>
      <c r="S66" s="5"/>
    </row>
    <row r="67" spans="2:26">
      <c r="B67" s="41"/>
      <c r="C67" s="249"/>
      <c r="D67" s="254"/>
      <c r="E67" s="254"/>
      <c r="F67" s="254"/>
      <c r="G67" s="254"/>
      <c r="H67" s="254"/>
      <c r="I67" s="5"/>
      <c r="J67" s="254"/>
      <c r="K67" s="254"/>
      <c r="L67" s="254"/>
      <c r="M67" s="254"/>
      <c r="N67" s="254"/>
      <c r="O67" s="251"/>
      <c r="Q67" s="41"/>
      <c r="R67" s="5"/>
      <c r="S67" s="5"/>
    </row>
    <row r="68" spans="2:26">
      <c r="B68" s="5"/>
      <c r="C68" s="5"/>
      <c r="D68" s="248"/>
      <c r="E68" s="248"/>
      <c r="F68" s="248"/>
      <c r="G68" s="248"/>
      <c r="H68" s="248"/>
      <c r="I68" s="245"/>
      <c r="J68" s="248"/>
      <c r="K68" s="248"/>
      <c r="L68" s="248"/>
      <c r="M68" s="248"/>
      <c r="N68" s="248"/>
      <c r="O68" s="5"/>
      <c r="Q68" s="5"/>
      <c r="R68" s="5"/>
      <c r="S68" s="5"/>
    </row>
    <row r="69" spans="2:26">
      <c r="B69" s="41"/>
      <c r="C69" s="5"/>
      <c r="D69" s="5"/>
      <c r="E69" s="5"/>
      <c r="F69" s="5"/>
      <c r="G69" s="5"/>
      <c r="H69" s="5"/>
      <c r="I69" s="248"/>
      <c r="J69" s="5"/>
      <c r="K69" s="5"/>
      <c r="L69" s="5"/>
      <c r="M69" s="5"/>
      <c r="N69" s="5"/>
      <c r="O69" s="5"/>
      <c r="Q69" s="5"/>
      <c r="R69" s="5"/>
      <c r="S69" s="5"/>
    </row>
    <row r="70" spans="2:26">
      <c r="B70" s="41"/>
      <c r="C70" s="245"/>
      <c r="D70" s="245"/>
      <c r="E70" s="245"/>
      <c r="F70" s="245"/>
      <c r="G70" s="245"/>
      <c r="H70" s="245"/>
      <c r="I70" s="5"/>
      <c r="J70" s="245"/>
      <c r="K70" s="245"/>
      <c r="L70" s="245"/>
      <c r="M70" s="245"/>
      <c r="N70" s="245"/>
      <c r="O70" s="251"/>
      <c r="Q70" s="5"/>
      <c r="R70" s="5"/>
      <c r="S70" s="5"/>
      <c r="W70" s="76"/>
      <c r="X70" s="76"/>
    </row>
    <row r="71" spans="2:26">
      <c r="B71" s="5"/>
      <c r="C71" s="5"/>
      <c r="D71" s="248"/>
      <c r="E71" s="248"/>
      <c r="F71" s="248"/>
      <c r="G71" s="248"/>
      <c r="H71" s="248"/>
      <c r="I71" s="245"/>
      <c r="J71" s="248"/>
      <c r="K71" s="248"/>
      <c r="L71" s="248"/>
      <c r="M71" s="248"/>
      <c r="N71" s="248"/>
      <c r="O71" s="5"/>
      <c r="Q71" s="5"/>
      <c r="R71" s="5"/>
      <c r="S71" s="5"/>
      <c r="W71" s="76"/>
      <c r="X71" s="76"/>
      <c r="Y71" s="76"/>
      <c r="Z71" s="76"/>
    </row>
    <row r="72" spans="2:26">
      <c r="B72" s="41"/>
      <c r="C72" s="5"/>
      <c r="D72" s="5"/>
      <c r="E72" s="5"/>
      <c r="F72" s="5"/>
      <c r="G72" s="5"/>
      <c r="H72" s="5"/>
      <c r="I72" s="18"/>
      <c r="J72" s="5"/>
      <c r="K72" s="5"/>
      <c r="L72" s="5"/>
      <c r="M72" s="5"/>
      <c r="N72" s="5"/>
      <c r="O72" s="5"/>
      <c r="Q72" s="5"/>
      <c r="R72" s="5"/>
      <c r="S72" s="5"/>
      <c r="Y72" s="76"/>
      <c r="Z72" s="76"/>
    </row>
    <row r="73" spans="2:26">
      <c r="B73" s="41"/>
      <c r="C73" s="245"/>
      <c r="D73" s="245"/>
      <c r="E73" s="245"/>
      <c r="F73" s="245"/>
      <c r="G73" s="245"/>
      <c r="H73" s="245"/>
      <c r="I73" s="5"/>
      <c r="J73" s="245"/>
      <c r="K73" s="245"/>
      <c r="L73" s="245"/>
      <c r="M73" s="245"/>
      <c r="N73" s="245"/>
      <c r="O73" s="251"/>
      <c r="Q73" s="5"/>
      <c r="R73" s="5"/>
      <c r="S73" s="5"/>
    </row>
    <row r="74" spans="2:26">
      <c r="B74" s="5"/>
      <c r="C74" s="5"/>
      <c r="D74" s="18"/>
      <c r="E74" s="18"/>
      <c r="F74" s="18"/>
      <c r="G74" s="18"/>
      <c r="H74" s="18"/>
      <c r="I74" s="249"/>
      <c r="J74" s="18"/>
      <c r="K74" s="18"/>
      <c r="L74" s="18"/>
      <c r="M74" s="18"/>
      <c r="N74" s="18"/>
      <c r="O74" s="5"/>
      <c r="Q74" s="5"/>
      <c r="R74" s="5"/>
      <c r="S74" s="5"/>
    </row>
    <row r="75" spans="2:26">
      <c r="B75" s="41"/>
      <c r="C75" s="5"/>
      <c r="D75" s="5"/>
      <c r="E75" s="5"/>
      <c r="F75" s="5"/>
      <c r="G75" s="5"/>
      <c r="H75" s="5"/>
      <c r="I75" s="248"/>
      <c r="J75" s="5"/>
      <c r="K75" s="5"/>
      <c r="L75" s="5"/>
      <c r="M75" s="5"/>
      <c r="N75" s="5"/>
      <c r="O75" s="5"/>
      <c r="Q75" s="5"/>
      <c r="R75" s="5"/>
      <c r="S75" s="5"/>
    </row>
    <row r="76" spans="2:26">
      <c r="B76" s="41"/>
      <c r="C76" s="249"/>
      <c r="D76" s="249"/>
      <c r="E76" s="249"/>
      <c r="F76" s="249"/>
      <c r="G76" s="249"/>
      <c r="H76" s="249"/>
      <c r="I76" s="5"/>
      <c r="J76" s="249"/>
      <c r="K76" s="249"/>
      <c r="L76" s="249"/>
      <c r="M76" s="249"/>
      <c r="N76" s="249"/>
      <c r="O76" s="251"/>
      <c r="Q76" s="5"/>
      <c r="R76" s="5"/>
      <c r="S76" s="5"/>
    </row>
    <row r="77" spans="2:26">
      <c r="B77" s="5"/>
      <c r="C77" s="5"/>
      <c r="D77" s="248"/>
      <c r="E77" s="248"/>
      <c r="F77" s="248"/>
      <c r="G77" s="248"/>
      <c r="H77" s="248"/>
      <c r="I77" s="245"/>
      <c r="J77" s="248"/>
      <c r="K77" s="248"/>
      <c r="L77" s="248"/>
      <c r="M77" s="248"/>
      <c r="N77" s="248"/>
      <c r="O77" s="5"/>
      <c r="Q77" s="5"/>
      <c r="R77" s="5"/>
      <c r="S77" s="5"/>
    </row>
    <row r="78" spans="2:26">
      <c r="B78" s="41"/>
      <c r="C78" s="5"/>
      <c r="D78" s="5"/>
      <c r="E78" s="5"/>
      <c r="F78" s="5"/>
      <c r="G78" s="5"/>
      <c r="H78" s="5"/>
      <c r="I78" s="248"/>
      <c r="J78" s="5"/>
      <c r="K78" s="5"/>
      <c r="L78" s="5"/>
      <c r="M78" s="5"/>
      <c r="N78" s="5"/>
      <c r="O78" s="5"/>
      <c r="Q78" s="5"/>
      <c r="R78" s="5"/>
      <c r="S78" s="5"/>
    </row>
    <row r="79" spans="2:26">
      <c r="B79" s="41"/>
      <c r="C79" s="245"/>
      <c r="D79" s="245"/>
      <c r="E79" s="245"/>
      <c r="F79" s="245"/>
      <c r="G79" s="245"/>
      <c r="H79" s="245"/>
      <c r="I79" s="5"/>
      <c r="J79" s="245"/>
      <c r="K79" s="245"/>
      <c r="L79" s="245"/>
      <c r="M79" s="245"/>
      <c r="N79" s="245"/>
      <c r="O79" s="251"/>
      <c r="Q79" s="5"/>
      <c r="R79" s="5"/>
      <c r="S79" s="5"/>
    </row>
    <row r="80" spans="2:26">
      <c r="B80" s="5"/>
      <c r="C80" s="5"/>
      <c r="D80" s="248"/>
      <c r="E80" s="248"/>
      <c r="F80" s="248"/>
      <c r="G80" s="248"/>
      <c r="H80" s="248"/>
      <c r="I80" s="249"/>
      <c r="J80" s="248"/>
      <c r="K80" s="248"/>
      <c r="L80" s="248"/>
      <c r="M80" s="248"/>
      <c r="N80" s="248"/>
      <c r="O80" s="5"/>
      <c r="Q80" s="5"/>
      <c r="R80" s="5"/>
      <c r="S80" s="5"/>
    </row>
    <row r="81" spans="2:26">
      <c r="B81" s="41"/>
      <c r="C81" s="5"/>
      <c r="D81" s="5"/>
      <c r="E81" s="5"/>
      <c r="F81" s="5"/>
      <c r="G81" s="5"/>
      <c r="H81" s="5"/>
      <c r="I81" s="248"/>
      <c r="J81" s="5"/>
      <c r="K81" s="5"/>
      <c r="L81" s="5"/>
      <c r="M81" s="5"/>
      <c r="N81" s="5"/>
      <c r="O81" s="5"/>
      <c r="Q81" s="5"/>
      <c r="R81" s="5"/>
      <c r="S81" s="5"/>
    </row>
    <row r="82" spans="2:26">
      <c r="B82" s="41"/>
      <c r="C82" s="249"/>
      <c r="D82" s="249"/>
      <c r="E82" s="249"/>
      <c r="F82" s="249"/>
      <c r="G82" s="249"/>
      <c r="H82" s="249"/>
      <c r="I82" s="259"/>
      <c r="J82" s="249"/>
      <c r="K82" s="249"/>
      <c r="L82" s="249"/>
      <c r="M82" s="249"/>
      <c r="N82" s="249"/>
      <c r="O82" s="251"/>
      <c r="Q82" s="5"/>
      <c r="R82" s="5"/>
      <c r="S82" s="5"/>
    </row>
    <row r="83" spans="2:26">
      <c r="B83" s="5"/>
      <c r="C83" s="5"/>
      <c r="D83" s="248"/>
      <c r="E83" s="248"/>
      <c r="F83" s="248"/>
      <c r="G83" s="248"/>
      <c r="H83" s="248"/>
      <c r="I83" s="5"/>
      <c r="J83" s="248"/>
      <c r="K83" s="248"/>
      <c r="L83" s="248"/>
      <c r="M83" s="248"/>
      <c r="N83" s="248"/>
      <c r="O83" s="5"/>
      <c r="Q83" s="5"/>
      <c r="R83" s="5"/>
      <c r="S83" s="5"/>
    </row>
    <row r="84" spans="2:26">
      <c r="B84" s="5"/>
      <c r="C84" s="259"/>
      <c r="D84" s="259"/>
      <c r="E84" s="259"/>
      <c r="F84" s="259"/>
      <c r="G84" s="259"/>
      <c r="H84" s="259"/>
      <c r="I84" s="245"/>
      <c r="J84" s="259"/>
      <c r="K84" s="259"/>
      <c r="L84" s="259"/>
      <c r="M84" s="259"/>
      <c r="N84" s="259"/>
      <c r="O84" s="251"/>
      <c r="Q84" s="5"/>
      <c r="R84" s="5"/>
      <c r="S84" s="5"/>
    </row>
    <row r="85" spans="2:26">
      <c r="B85" s="41"/>
      <c r="C85" s="5"/>
      <c r="D85" s="5"/>
      <c r="E85" s="5"/>
      <c r="F85" s="5"/>
      <c r="G85" s="5"/>
      <c r="H85" s="5"/>
      <c r="I85" s="248"/>
      <c r="J85" s="5"/>
      <c r="K85" s="5"/>
      <c r="L85" s="5"/>
      <c r="M85" s="5"/>
      <c r="N85" s="5"/>
      <c r="O85" s="5"/>
      <c r="Q85" s="5"/>
      <c r="R85" s="5"/>
      <c r="S85" s="5"/>
    </row>
    <row r="86" spans="2:26">
      <c r="B86" s="41"/>
      <c r="C86" s="245"/>
      <c r="D86" s="245"/>
      <c r="E86" s="245"/>
      <c r="F86" s="245"/>
      <c r="G86" s="245"/>
      <c r="H86" s="245"/>
      <c r="I86" s="5"/>
      <c r="J86" s="245"/>
      <c r="K86" s="245"/>
      <c r="L86" s="245"/>
      <c r="M86" s="245"/>
      <c r="N86" s="245"/>
      <c r="O86" s="251"/>
      <c r="Q86" s="5"/>
      <c r="R86" s="5"/>
      <c r="S86" s="5"/>
    </row>
    <row r="87" spans="2:26">
      <c r="B87" s="5"/>
      <c r="C87" s="5"/>
      <c r="D87" s="248"/>
      <c r="E87" s="248"/>
      <c r="F87" s="248"/>
      <c r="G87" s="248"/>
      <c r="H87" s="248"/>
      <c r="I87" s="5"/>
      <c r="J87" s="248"/>
      <c r="K87" s="248"/>
      <c r="L87" s="248"/>
      <c r="M87" s="248"/>
      <c r="N87" s="248"/>
      <c r="O87" s="5"/>
      <c r="Q87" s="5"/>
      <c r="R87" s="5"/>
      <c r="S87" s="5"/>
    </row>
    <row r="88" spans="2:26">
      <c r="B88" s="41"/>
      <c r="C88" s="5"/>
      <c r="D88" s="5"/>
      <c r="E88" s="5"/>
      <c r="F88" s="5"/>
      <c r="G88" s="5"/>
      <c r="H88" s="5"/>
      <c r="I88" s="5"/>
      <c r="J88" s="5"/>
      <c r="K88" s="5"/>
      <c r="L88" s="5"/>
      <c r="M88" s="5"/>
      <c r="N88" s="5"/>
      <c r="O88" s="5"/>
      <c r="Q88" s="5"/>
      <c r="R88" s="5"/>
      <c r="S88" s="5"/>
    </row>
    <row r="89" spans="2:26">
      <c r="B89" s="41"/>
      <c r="C89" s="5"/>
      <c r="D89" s="5"/>
      <c r="E89" s="5"/>
      <c r="F89" s="5"/>
      <c r="G89" s="5"/>
      <c r="H89" s="5"/>
      <c r="I89" s="5"/>
      <c r="J89" s="5"/>
      <c r="K89" s="5"/>
      <c r="L89" s="5"/>
      <c r="M89" s="5"/>
      <c r="N89" s="5"/>
      <c r="O89" s="5"/>
      <c r="Q89" s="5"/>
      <c r="R89" s="5"/>
      <c r="S89" s="5"/>
    </row>
    <row r="90" spans="2:26">
      <c r="B90" s="41"/>
      <c r="C90" s="5"/>
      <c r="D90" s="5"/>
      <c r="E90" s="5"/>
      <c r="F90" s="5"/>
      <c r="G90" s="5"/>
      <c r="H90" s="5"/>
      <c r="I90" s="49"/>
      <c r="J90" s="5"/>
      <c r="K90" s="5"/>
      <c r="L90" s="5"/>
      <c r="M90" s="5"/>
      <c r="N90" s="5"/>
      <c r="O90" s="5"/>
      <c r="Q90" s="41"/>
      <c r="R90" s="5"/>
      <c r="S90" s="5"/>
    </row>
    <row r="91" spans="2:26">
      <c r="B91" s="5"/>
      <c r="C91" s="5"/>
      <c r="D91" s="5"/>
      <c r="E91" s="5"/>
      <c r="F91" s="5"/>
      <c r="G91" s="5"/>
      <c r="H91" s="5"/>
      <c r="I91" s="5"/>
      <c r="J91" s="5"/>
      <c r="K91" s="5"/>
      <c r="L91" s="5"/>
      <c r="M91" s="5"/>
      <c r="N91" s="5"/>
      <c r="O91" s="5"/>
      <c r="Q91" s="5"/>
      <c r="R91" s="5"/>
      <c r="S91" s="5"/>
    </row>
    <row r="92" spans="2:26">
      <c r="B92" s="41"/>
      <c r="C92" s="49"/>
      <c r="D92" s="49"/>
      <c r="E92" s="49"/>
      <c r="F92" s="49"/>
      <c r="G92" s="49"/>
      <c r="H92" s="49"/>
      <c r="I92" s="247"/>
      <c r="J92" s="49"/>
      <c r="K92" s="49"/>
      <c r="L92" s="49"/>
      <c r="M92" s="49"/>
      <c r="N92" s="49"/>
      <c r="O92" s="49"/>
      <c r="Q92" s="5"/>
      <c r="R92" s="5"/>
      <c r="S92" s="5"/>
      <c r="W92" s="21"/>
      <c r="X92" s="21"/>
    </row>
    <row r="93" spans="2:26">
      <c r="B93" s="5"/>
      <c r="C93" s="5"/>
      <c r="D93" s="5"/>
      <c r="E93" s="5"/>
      <c r="F93" s="5"/>
      <c r="G93" s="5"/>
      <c r="H93" s="5"/>
      <c r="I93" s="247"/>
      <c r="J93" s="5"/>
      <c r="K93" s="5"/>
      <c r="L93" s="5"/>
      <c r="M93" s="5"/>
      <c r="N93" s="5"/>
      <c r="O93" s="5"/>
      <c r="Q93" s="5"/>
      <c r="R93" s="5"/>
      <c r="S93" s="5"/>
      <c r="W93" s="21"/>
      <c r="X93" s="21"/>
      <c r="Y93" s="21"/>
      <c r="Z93" s="21"/>
    </row>
    <row r="94" spans="2:26">
      <c r="B94" s="5"/>
      <c r="C94" s="259"/>
      <c r="D94" s="247"/>
      <c r="E94" s="247"/>
      <c r="F94" s="247"/>
      <c r="G94" s="247"/>
      <c r="H94" s="247"/>
      <c r="I94" s="247"/>
      <c r="J94" s="247"/>
      <c r="K94" s="247"/>
      <c r="L94" s="247"/>
      <c r="M94" s="247"/>
      <c r="N94" s="247"/>
      <c r="O94" s="248"/>
      <c r="Q94" s="5"/>
      <c r="R94" s="5"/>
      <c r="S94" s="5"/>
      <c r="Y94" s="21"/>
      <c r="Z94" s="21"/>
    </row>
    <row r="95" spans="2:26">
      <c r="B95" s="5"/>
      <c r="C95" s="259"/>
      <c r="D95" s="247"/>
      <c r="E95" s="247"/>
      <c r="F95" s="247"/>
      <c r="G95" s="247"/>
      <c r="H95" s="247"/>
      <c r="I95" s="248"/>
      <c r="J95" s="247"/>
      <c r="K95" s="247"/>
      <c r="L95" s="247"/>
      <c r="M95" s="247"/>
      <c r="N95" s="247"/>
      <c r="O95" s="248"/>
      <c r="Q95" s="5"/>
      <c r="R95" s="5"/>
      <c r="S95" s="5"/>
    </row>
    <row r="96" spans="2:26">
      <c r="B96" s="5"/>
      <c r="C96" s="259"/>
      <c r="D96" s="247"/>
      <c r="E96" s="247"/>
      <c r="F96" s="247"/>
      <c r="G96" s="247"/>
      <c r="H96" s="247"/>
      <c r="I96" s="247"/>
      <c r="J96" s="247"/>
      <c r="K96" s="247"/>
      <c r="L96" s="247"/>
      <c r="M96" s="247"/>
      <c r="N96" s="247"/>
      <c r="O96" s="248"/>
      <c r="Q96" s="5"/>
      <c r="R96" s="5"/>
      <c r="S96" s="5"/>
    </row>
    <row r="97" spans="2:19">
      <c r="B97" s="5"/>
      <c r="C97" s="259"/>
      <c r="D97" s="248"/>
      <c r="E97" s="248"/>
      <c r="F97" s="248"/>
      <c r="G97" s="248"/>
      <c r="H97" s="248"/>
      <c r="I97" s="249"/>
      <c r="J97" s="248"/>
      <c r="K97" s="248"/>
      <c r="L97" s="248"/>
      <c r="M97" s="248"/>
      <c r="N97" s="248"/>
      <c r="O97" s="248"/>
      <c r="Q97" s="5"/>
      <c r="R97" s="5"/>
      <c r="S97" s="5"/>
    </row>
    <row r="98" spans="2:19">
      <c r="B98" s="5"/>
      <c r="C98" s="259"/>
      <c r="D98" s="247"/>
      <c r="E98" s="247"/>
      <c r="F98" s="247"/>
      <c r="G98" s="247"/>
      <c r="H98" s="247"/>
      <c r="I98" s="248"/>
      <c r="J98" s="247"/>
      <c r="K98" s="247"/>
      <c r="L98" s="247"/>
      <c r="M98" s="247"/>
      <c r="N98" s="247"/>
      <c r="O98" s="248"/>
      <c r="Q98" s="5"/>
      <c r="R98" s="5"/>
      <c r="S98" s="5"/>
    </row>
    <row r="99" spans="2:19">
      <c r="B99" s="41"/>
      <c r="C99" s="249"/>
      <c r="D99" s="249"/>
      <c r="E99" s="249"/>
      <c r="F99" s="249"/>
      <c r="G99" s="249"/>
      <c r="H99" s="249"/>
      <c r="I99" s="5"/>
      <c r="J99" s="249"/>
      <c r="K99" s="249"/>
      <c r="L99" s="249"/>
      <c r="M99" s="249"/>
      <c r="N99" s="249"/>
      <c r="O99" s="248"/>
      <c r="Q99" s="5"/>
      <c r="R99" s="5"/>
      <c r="S99" s="5"/>
    </row>
    <row r="100" spans="2:19">
      <c r="B100" s="41"/>
      <c r="C100" s="257"/>
      <c r="D100" s="248"/>
      <c r="E100" s="248"/>
      <c r="F100" s="248"/>
      <c r="G100" s="248"/>
      <c r="H100" s="248"/>
      <c r="I100" s="259"/>
      <c r="J100" s="248"/>
      <c r="K100" s="248"/>
      <c r="L100" s="248"/>
      <c r="M100" s="248"/>
      <c r="N100" s="248"/>
      <c r="O100" s="248"/>
      <c r="Q100" s="5"/>
      <c r="R100" s="5"/>
      <c r="S100" s="5"/>
    </row>
    <row r="101" spans="2:19" s="5" customFormat="1">
      <c r="B101" s="41"/>
      <c r="I101" s="259"/>
      <c r="O101" s="248"/>
      <c r="P101" s="39"/>
    </row>
    <row r="102" spans="2:19">
      <c r="B102" s="5"/>
      <c r="C102" s="259"/>
      <c r="D102" s="259"/>
      <c r="E102" s="259"/>
      <c r="F102" s="259"/>
      <c r="G102" s="259"/>
      <c r="H102" s="259"/>
      <c r="I102" s="247"/>
      <c r="J102" s="259"/>
      <c r="K102" s="259"/>
      <c r="L102" s="259"/>
      <c r="M102" s="259"/>
      <c r="N102" s="259"/>
      <c r="O102" s="5"/>
      <c r="Q102" s="5"/>
      <c r="R102" s="5"/>
      <c r="S102" s="5"/>
    </row>
    <row r="103" spans="2:19">
      <c r="B103" s="5"/>
      <c r="C103" s="259"/>
      <c r="D103" s="259"/>
      <c r="E103" s="259"/>
      <c r="F103" s="259"/>
      <c r="G103" s="259"/>
      <c r="H103" s="259"/>
      <c r="I103" s="5"/>
      <c r="J103" s="259"/>
      <c r="K103" s="259"/>
      <c r="L103" s="259"/>
      <c r="M103" s="259"/>
      <c r="N103" s="259"/>
      <c r="O103" s="5"/>
      <c r="P103" s="5"/>
      <c r="Q103" s="5"/>
      <c r="R103" s="5"/>
      <c r="S103" s="5"/>
    </row>
    <row r="104" spans="2:19">
      <c r="B104" s="5"/>
      <c r="C104" s="247"/>
      <c r="D104" s="247"/>
      <c r="E104" s="247"/>
      <c r="F104" s="247"/>
      <c r="G104" s="247"/>
      <c r="H104" s="247"/>
      <c r="I104" s="247"/>
      <c r="J104" s="247"/>
      <c r="K104" s="247"/>
      <c r="L104" s="247"/>
      <c r="M104" s="247"/>
      <c r="N104" s="247"/>
      <c r="O104" s="5"/>
      <c r="Q104" s="5"/>
      <c r="R104" s="5"/>
      <c r="S104" s="5"/>
    </row>
    <row r="105" spans="2:19" s="5" customFormat="1">
      <c r="P105" s="39"/>
    </row>
    <row r="106" spans="2:19" s="5" customFormat="1">
      <c r="C106" s="259"/>
      <c r="D106" s="247"/>
      <c r="E106" s="247"/>
      <c r="F106" s="247"/>
      <c r="G106" s="247"/>
      <c r="H106" s="247"/>
      <c r="I106" s="259"/>
      <c r="J106" s="247"/>
      <c r="K106" s="247"/>
      <c r="L106" s="247"/>
      <c r="M106" s="247"/>
      <c r="N106" s="247"/>
      <c r="P106" s="39"/>
    </row>
    <row r="107" spans="2:19">
      <c r="B107" s="5"/>
      <c r="C107" s="259"/>
      <c r="D107" s="5"/>
      <c r="E107" s="5"/>
      <c r="F107" s="5"/>
      <c r="G107" s="5"/>
      <c r="H107" s="5"/>
      <c r="I107" s="247"/>
      <c r="J107" s="5"/>
      <c r="K107" s="5"/>
      <c r="L107" s="5"/>
      <c r="M107" s="5"/>
      <c r="N107" s="5"/>
      <c r="O107" s="5"/>
      <c r="P107" s="5"/>
      <c r="Q107" s="5"/>
      <c r="R107" s="5"/>
      <c r="S107" s="5"/>
    </row>
    <row r="108" spans="2:19">
      <c r="B108" s="5"/>
      <c r="C108" s="259"/>
      <c r="D108" s="259"/>
      <c r="E108" s="259"/>
      <c r="F108" s="259"/>
      <c r="G108" s="259"/>
      <c r="H108" s="259"/>
      <c r="I108" s="249"/>
      <c r="J108" s="259"/>
      <c r="K108" s="259"/>
      <c r="L108" s="259"/>
      <c r="M108" s="259"/>
      <c r="N108" s="259"/>
      <c r="O108" s="5"/>
      <c r="P108" s="5"/>
      <c r="Q108" s="5"/>
      <c r="R108" s="5"/>
      <c r="S108" s="5"/>
    </row>
    <row r="109" spans="2:19">
      <c r="B109" s="5"/>
      <c r="C109" s="247"/>
      <c r="D109" s="247"/>
      <c r="E109" s="247"/>
      <c r="F109" s="247"/>
      <c r="G109" s="247"/>
      <c r="H109" s="247"/>
      <c r="I109" s="249"/>
      <c r="J109" s="247"/>
      <c r="K109" s="247"/>
      <c r="L109" s="247"/>
      <c r="M109" s="247"/>
      <c r="N109" s="247"/>
      <c r="O109" s="5"/>
      <c r="Q109" s="5"/>
      <c r="R109" s="5"/>
      <c r="S109" s="5"/>
    </row>
    <row r="110" spans="2:19">
      <c r="B110" s="41"/>
      <c r="C110" s="249"/>
      <c r="D110" s="249"/>
      <c r="E110" s="249"/>
      <c r="F110" s="249"/>
      <c r="G110" s="249"/>
      <c r="H110" s="249"/>
      <c r="I110" s="247"/>
      <c r="J110" s="249"/>
      <c r="K110" s="249"/>
      <c r="L110" s="249"/>
      <c r="M110" s="249"/>
      <c r="N110" s="249"/>
      <c r="O110" s="5"/>
      <c r="Q110" s="5"/>
      <c r="R110" s="5"/>
      <c r="S110" s="5"/>
    </row>
    <row r="111" spans="2:19">
      <c r="B111" s="5"/>
      <c r="C111" s="249"/>
      <c r="D111" s="249"/>
      <c r="E111" s="249"/>
      <c r="F111" s="249"/>
      <c r="G111" s="249"/>
      <c r="H111" s="249"/>
      <c r="I111" s="5"/>
      <c r="J111" s="249"/>
      <c r="K111" s="249"/>
      <c r="L111" s="249"/>
      <c r="M111" s="249"/>
      <c r="N111" s="249"/>
      <c r="O111" s="5"/>
      <c r="Q111" s="5"/>
      <c r="R111" s="5"/>
      <c r="S111" s="5"/>
    </row>
    <row r="112" spans="2:19">
      <c r="B112" s="5"/>
      <c r="C112" s="247"/>
      <c r="D112" s="247"/>
      <c r="E112" s="247"/>
      <c r="F112" s="247"/>
      <c r="G112" s="247"/>
      <c r="H112" s="247"/>
      <c r="I112" s="5"/>
      <c r="J112" s="247"/>
      <c r="K112" s="247"/>
      <c r="L112" s="247"/>
      <c r="M112" s="247"/>
      <c r="N112" s="247"/>
      <c r="O112" s="5"/>
      <c r="Q112" s="5"/>
      <c r="R112" s="5"/>
      <c r="S112" s="5"/>
    </row>
    <row r="113" spans="2:19">
      <c r="B113" s="5"/>
      <c r="C113" s="5"/>
      <c r="D113" s="5"/>
      <c r="E113" s="5"/>
      <c r="F113" s="5"/>
      <c r="G113" s="5"/>
      <c r="H113" s="5"/>
      <c r="I113" s="5"/>
      <c r="J113" s="5"/>
      <c r="K113" s="5"/>
      <c r="L113" s="5"/>
      <c r="M113" s="5"/>
      <c r="N113" s="5"/>
      <c r="O113" s="5"/>
      <c r="Q113" s="5"/>
      <c r="R113" s="5"/>
      <c r="S113" s="5"/>
    </row>
    <row r="114" spans="2:19">
      <c r="B114" s="5"/>
      <c r="C114" s="5"/>
      <c r="D114" s="5"/>
      <c r="E114" s="5"/>
      <c r="F114" s="5"/>
      <c r="G114" s="5"/>
      <c r="H114" s="5"/>
      <c r="I114" s="5"/>
      <c r="J114" s="5"/>
      <c r="K114" s="5"/>
      <c r="L114" s="5"/>
      <c r="M114" s="5"/>
      <c r="N114" s="5"/>
      <c r="O114" s="5"/>
      <c r="Q114" s="5"/>
      <c r="R114" s="5"/>
      <c r="S114" s="5"/>
    </row>
    <row r="115" spans="2:19">
      <c r="B115" s="5"/>
      <c r="C115" s="5"/>
      <c r="D115" s="5"/>
      <c r="E115" s="5"/>
      <c r="F115" s="5"/>
      <c r="G115" s="5"/>
      <c r="H115" s="5"/>
      <c r="I115" s="49"/>
      <c r="J115" s="5"/>
      <c r="K115" s="5"/>
      <c r="L115" s="5"/>
      <c r="M115" s="5"/>
      <c r="N115" s="5"/>
      <c r="O115" s="5"/>
      <c r="Q115" s="41"/>
      <c r="R115" s="5"/>
      <c r="S115" s="5"/>
    </row>
    <row r="116" spans="2:19">
      <c r="B116" s="5"/>
      <c r="C116" s="5"/>
      <c r="D116" s="5"/>
      <c r="E116" s="5"/>
      <c r="F116" s="5"/>
      <c r="G116" s="5"/>
      <c r="H116" s="5"/>
      <c r="I116" s="5"/>
      <c r="J116" s="5"/>
      <c r="K116" s="5"/>
      <c r="L116" s="5"/>
      <c r="M116" s="5"/>
      <c r="N116" s="5"/>
      <c r="O116" s="5"/>
      <c r="Q116" s="5"/>
      <c r="R116" s="5"/>
      <c r="S116" s="5"/>
    </row>
    <row r="117" spans="2:19">
      <c r="B117" s="41"/>
      <c r="C117" s="49"/>
      <c r="D117" s="49"/>
      <c r="E117" s="49"/>
      <c r="F117" s="49"/>
      <c r="G117" s="49"/>
      <c r="H117" s="49"/>
      <c r="I117" s="254"/>
      <c r="J117" s="49"/>
      <c r="K117" s="49"/>
      <c r="L117" s="49"/>
      <c r="M117" s="49"/>
      <c r="N117" s="49"/>
      <c r="O117" s="49"/>
      <c r="Q117" s="5"/>
      <c r="R117" s="5"/>
      <c r="S117" s="5"/>
    </row>
    <row r="118" spans="2:19">
      <c r="B118" s="5"/>
      <c r="C118" s="5"/>
      <c r="D118" s="5"/>
      <c r="E118" s="5"/>
      <c r="F118" s="5"/>
      <c r="G118" s="5"/>
      <c r="H118" s="5"/>
      <c r="I118" s="249"/>
      <c r="J118" s="5"/>
      <c r="K118" s="5"/>
      <c r="L118" s="5"/>
      <c r="M118" s="5"/>
      <c r="N118" s="5"/>
      <c r="O118" s="5"/>
      <c r="Q118" s="5"/>
      <c r="R118" s="5"/>
      <c r="S118" s="5"/>
    </row>
    <row r="119" spans="2:19">
      <c r="B119" s="41"/>
      <c r="C119" s="254"/>
      <c r="D119" s="254"/>
      <c r="E119" s="254"/>
      <c r="F119" s="254"/>
      <c r="G119" s="254"/>
      <c r="H119" s="254"/>
      <c r="I119" s="254"/>
      <c r="J119" s="254"/>
      <c r="K119" s="254"/>
      <c r="L119" s="254"/>
      <c r="M119" s="254"/>
      <c r="N119" s="254"/>
      <c r="O119" s="248"/>
      <c r="Q119" s="5"/>
      <c r="R119" s="5"/>
      <c r="S119" s="5"/>
    </row>
    <row r="120" spans="2:19">
      <c r="B120" s="41"/>
      <c r="C120" s="254"/>
      <c r="D120" s="249"/>
      <c r="E120" s="249"/>
      <c r="F120" s="249"/>
      <c r="G120" s="249"/>
      <c r="H120" s="249"/>
      <c r="I120" s="254"/>
      <c r="J120" s="249"/>
      <c r="K120" s="249"/>
      <c r="L120" s="249"/>
      <c r="M120" s="249"/>
      <c r="N120" s="249"/>
      <c r="O120" s="248"/>
      <c r="Q120" s="5"/>
      <c r="R120" s="5"/>
      <c r="S120" s="5"/>
    </row>
    <row r="121" spans="2:19">
      <c r="B121" s="41"/>
      <c r="C121" s="254"/>
      <c r="D121" s="254"/>
      <c r="E121" s="254"/>
      <c r="F121" s="254"/>
      <c r="G121" s="254"/>
      <c r="H121" s="254"/>
      <c r="I121" s="254"/>
      <c r="J121" s="254"/>
      <c r="K121" s="254"/>
      <c r="L121" s="254"/>
      <c r="M121" s="254"/>
      <c r="N121" s="254"/>
      <c r="O121" s="248"/>
      <c r="Q121" s="5"/>
      <c r="R121" s="5"/>
      <c r="S121" s="5"/>
    </row>
    <row r="122" spans="2:19">
      <c r="B122" s="41"/>
      <c r="C122" s="254"/>
      <c r="D122" s="254"/>
      <c r="E122" s="254"/>
      <c r="F122" s="254"/>
      <c r="G122" s="254"/>
      <c r="H122" s="254"/>
      <c r="I122" s="254"/>
      <c r="J122" s="254"/>
      <c r="K122" s="254"/>
      <c r="L122" s="254"/>
      <c r="M122" s="254"/>
      <c r="N122" s="254"/>
      <c r="O122" s="248"/>
      <c r="Q122" s="5"/>
      <c r="R122" s="5"/>
      <c r="S122" s="5"/>
    </row>
    <row r="123" spans="2:19">
      <c r="B123" s="41"/>
      <c r="C123" s="254"/>
      <c r="D123" s="254"/>
      <c r="E123" s="254"/>
      <c r="F123" s="254"/>
      <c r="G123" s="254"/>
      <c r="H123" s="254"/>
      <c r="I123" s="254"/>
      <c r="J123" s="254"/>
      <c r="K123" s="254"/>
      <c r="L123" s="254"/>
      <c r="M123" s="254"/>
      <c r="N123" s="254"/>
      <c r="O123" s="248"/>
      <c r="Q123" s="5"/>
      <c r="R123" s="5"/>
      <c r="S123" s="5"/>
    </row>
    <row r="124" spans="2:19">
      <c r="B124" s="41"/>
      <c r="C124" s="254"/>
      <c r="D124" s="254"/>
      <c r="E124" s="254"/>
      <c r="F124" s="254"/>
      <c r="G124" s="254"/>
      <c r="H124" s="254"/>
      <c r="I124" s="254"/>
      <c r="J124" s="254"/>
      <c r="K124" s="254"/>
      <c r="L124" s="254"/>
      <c r="M124" s="254"/>
      <c r="N124" s="254"/>
      <c r="O124" s="248"/>
      <c r="Q124" s="5"/>
      <c r="R124" s="5"/>
      <c r="S124" s="5"/>
    </row>
    <row r="125" spans="2:19">
      <c r="B125" s="41"/>
      <c r="C125" s="254"/>
      <c r="D125" s="254"/>
      <c r="E125" s="254"/>
      <c r="F125" s="254"/>
      <c r="G125" s="254"/>
      <c r="H125" s="254"/>
      <c r="I125" s="254"/>
      <c r="J125" s="254"/>
      <c r="K125" s="254"/>
      <c r="L125" s="254"/>
      <c r="M125" s="254"/>
      <c r="N125" s="254"/>
      <c r="O125" s="5"/>
      <c r="Q125" s="5"/>
      <c r="R125" s="5"/>
      <c r="S125" s="5"/>
    </row>
    <row r="126" spans="2:19">
      <c r="B126" s="41"/>
      <c r="C126" s="254"/>
      <c r="D126" s="254"/>
      <c r="E126" s="254"/>
      <c r="F126" s="254"/>
      <c r="G126" s="254"/>
      <c r="H126" s="254"/>
      <c r="I126" s="254"/>
      <c r="J126" s="254"/>
      <c r="K126" s="254"/>
      <c r="L126" s="254"/>
      <c r="M126" s="254"/>
      <c r="N126" s="254"/>
      <c r="O126" s="5"/>
      <c r="Q126" s="5"/>
      <c r="R126" s="5"/>
      <c r="S126" s="5"/>
    </row>
    <row r="127" spans="2:19">
      <c r="B127" s="41"/>
      <c r="C127" s="254"/>
      <c r="D127" s="254"/>
      <c r="E127" s="254"/>
      <c r="F127" s="254"/>
      <c r="G127" s="254"/>
      <c r="H127" s="254"/>
      <c r="I127" s="18"/>
      <c r="J127" s="254"/>
      <c r="K127" s="254"/>
      <c r="L127" s="254"/>
      <c r="M127" s="254"/>
      <c r="N127" s="254"/>
      <c r="O127" s="5"/>
      <c r="Q127" s="5"/>
      <c r="R127" s="5"/>
      <c r="S127" s="5"/>
    </row>
    <row r="128" spans="2:19">
      <c r="B128" s="41"/>
      <c r="C128" s="254"/>
      <c r="D128" s="254"/>
      <c r="E128" s="254"/>
      <c r="F128" s="254"/>
      <c r="G128" s="254"/>
      <c r="H128" s="254"/>
      <c r="I128" s="5"/>
      <c r="J128" s="254"/>
      <c r="K128" s="254"/>
      <c r="L128" s="254"/>
      <c r="M128" s="254"/>
      <c r="N128" s="254"/>
      <c r="O128" s="5"/>
      <c r="Q128" s="5"/>
      <c r="R128" s="5"/>
      <c r="S128" s="5"/>
    </row>
    <row r="129" spans="2:27">
      <c r="B129" s="5"/>
      <c r="C129" s="5"/>
      <c r="D129" s="18"/>
      <c r="E129" s="18"/>
      <c r="F129" s="18"/>
      <c r="G129" s="18"/>
      <c r="H129" s="18"/>
      <c r="I129" s="254"/>
      <c r="J129" s="18"/>
      <c r="K129" s="18"/>
      <c r="L129" s="18"/>
      <c r="M129" s="18"/>
      <c r="N129" s="18"/>
      <c r="O129" s="5"/>
      <c r="Q129" s="5"/>
      <c r="R129" s="5"/>
      <c r="S129" s="5"/>
    </row>
    <row r="130" spans="2:27">
      <c r="B130" s="5"/>
      <c r="C130" s="5"/>
      <c r="D130" s="5"/>
      <c r="E130" s="5"/>
      <c r="F130" s="5"/>
      <c r="G130" s="5"/>
      <c r="H130" s="5"/>
      <c r="I130" s="18"/>
      <c r="J130" s="5"/>
      <c r="K130" s="5"/>
      <c r="L130" s="5"/>
      <c r="M130" s="5"/>
      <c r="N130" s="5"/>
      <c r="O130" s="5"/>
      <c r="Q130" s="5"/>
      <c r="R130" s="5"/>
      <c r="S130" s="5"/>
    </row>
    <row r="131" spans="2:27">
      <c r="B131" s="41"/>
      <c r="C131" s="254"/>
      <c r="D131" s="254"/>
      <c r="E131" s="254"/>
      <c r="F131" s="254"/>
      <c r="G131" s="254"/>
      <c r="H131" s="254"/>
      <c r="I131" s="5"/>
      <c r="J131" s="254"/>
      <c r="K131" s="254"/>
      <c r="L131" s="254"/>
      <c r="M131" s="254"/>
      <c r="N131" s="254"/>
      <c r="O131" s="5"/>
      <c r="Q131" s="5"/>
      <c r="R131" s="5"/>
      <c r="S131" s="5"/>
    </row>
    <row r="132" spans="2:27">
      <c r="B132" s="5"/>
      <c r="C132" s="259"/>
      <c r="D132" s="18"/>
      <c r="E132" s="18"/>
      <c r="F132" s="18"/>
      <c r="G132" s="18"/>
      <c r="H132" s="18"/>
      <c r="I132" s="5"/>
      <c r="J132" s="18"/>
      <c r="K132" s="18"/>
      <c r="L132" s="18"/>
      <c r="M132" s="18"/>
      <c r="N132" s="18"/>
      <c r="O132" s="5"/>
      <c r="Q132" s="5"/>
      <c r="R132" s="5"/>
      <c r="S132" s="5"/>
    </row>
    <row r="133" spans="2:27">
      <c r="B133" s="5"/>
      <c r="C133" s="5"/>
      <c r="D133" s="5"/>
      <c r="E133" s="5"/>
      <c r="F133" s="5"/>
      <c r="G133" s="5"/>
      <c r="H133" s="5"/>
      <c r="I133" s="17"/>
      <c r="J133" s="5"/>
      <c r="K133" s="5"/>
      <c r="L133" s="5"/>
      <c r="M133" s="5"/>
      <c r="N133" s="5"/>
      <c r="O133" s="5"/>
      <c r="Q133" s="5"/>
      <c r="R133" s="5"/>
      <c r="S133" s="5"/>
    </row>
    <row r="134" spans="2:27">
      <c r="B134" s="41"/>
      <c r="C134" s="5"/>
      <c r="D134" s="5"/>
      <c r="E134" s="5"/>
      <c r="F134" s="5"/>
      <c r="G134" s="5"/>
      <c r="H134" s="5"/>
      <c r="I134" s="17"/>
      <c r="J134" s="5"/>
      <c r="K134" s="5"/>
      <c r="L134" s="5"/>
      <c r="M134" s="5"/>
      <c r="N134" s="5"/>
      <c r="O134" s="5"/>
      <c r="Q134" s="5"/>
      <c r="R134" s="5"/>
      <c r="S134" s="5"/>
    </row>
    <row r="135" spans="2:27">
      <c r="B135" s="5"/>
      <c r="C135" s="17"/>
      <c r="D135" s="17"/>
      <c r="E135" s="17"/>
      <c r="F135" s="17"/>
      <c r="G135" s="17"/>
      <c r="H135" s="17"/>
      <c r="I135" s="17"/>
      <c r="J135" s="17"/>
      <c r="K135" s="17"/>
      <c r="L135" s="17"/>
      <c r="M135" s="17"/>
      <c r="N135" s="17"/>
      <c r="O135" s="5"/>
      <c r="Q135" s="41"/>
      <c r="R135" s="5"/>
      <c r="S135" s="5"/>
    </row>
    <row r="136" spans="2:27">
      <c r="B136" s="5"/>
      <c r="C136" s="17"/>
      <c r="D136" s="17"/>
      <c r="E136" s="17"/>
      <c r="F136" s="17"/>
      <c r="G136" s="17"/>
      <c r="H136" s="17"/>
      <c r="I136" s="17"/>
      <c r="J136" s="17"/>
      <c r="K136" s="17"/>
      <c r="L136" s="17"/>
      <c r="M136" s="17"/>
      <c r="N136" s="17"/>
      <c r="O136" s="5"/>
      <c r="Q136" s="5"/>
      <c r="R136" s="5"/>
      <c r="S136" s="5"/>
      <c r="X136" s="304"/>
    </row>
    <row r="137" spans="2:27">
      <c r="B137" s="5"/>
      <c r="C137" s="5"/>
      <c r="D137" s="17"/>
      <c r="E137" s="17"/>
      <c r="F137" s="17"/>
      <c r="G137" s="17"/>
      <c r="H137" s="17"/>
      <c r="I137" s="17"/>
      <c r="J137" s="17"/>
      <c r="K137" s="17"/>
      <c r="L137" s="17"/>
      <c r="M137" s="17"/>
      <c r="N137" s="17"/>
      <c r="O137" s="5"/>
      <c r="Q137" s="5"/>
      <c r="R137" s="5"/>
      <c r="S137" s="5"/>
      <c r="X137" s="10"/>
      <c r="Y137" s="304"/>
      <c r="Z137" s="304"/>
      <c r="AA137" s="304"/>
    </row>
    <row r="138" spans="2:27">
      <c r="B138" s="5"/>
      <c r="C138" s="5"/>
      <c r="D138" s="17"/>
      <c r="E138" s="17"/>
      <c r="F138" s="17"/>
      <c r="G138" s="17"/>
      <c r="H138" s="17"/>
      <c r="I138" s="17"/>
      <c r="J138" s="17"/>
      <c r="K138" s="17"/>
      <c r="L138" s="17"/>
      <c r="M138" s="17"/>
      <c r="N138" s="17"/>
      <c r="O138" s="5"/>
      <c r="Q138" s="5"/>
      <c r="R138" s="5"/>
      <c r="S138" s="5"/>
      <c r="Y138" s="10"/>
      <c r="Z138" s="10"/>
      <c r="AA138" s="10"/>
    </row>
    <row r="139" spans="2:27">
      <c r="B139" s="5"/>
      <c r="C139" s="5"/>
      <c r="D139" s="17"/>
      <c r="E139" s="17"/>
      <c r="F139" s="17"/>
      <c r="G139" s="17"/>
      <c r="H139" s="17"/>
      <c r="I139" s="5"/>
      <c r="J139" s="17"/>
      <c r="K139" s="17"/>
      <c r="L139" s="17"/>
      <c r="M139" s="17"/>
      <c r="N139" s="17"/>
      <c r="O139" s="5"/>
      <c r="Q139" s="5"/>
      <c r="R139" s="5"/>
      <c r="S139" s="5"/>
    </row>
    <row r="140" spans="2:27">
      <c r="B140" s="5"/>
      <c r="C140" s="17"/>
      <c r="D140" s="17"/>
      <c r="E140" s="17"/>
      <c r="F140" s="17"/>
      <c r="G140" s="17"/>
      <c r="H140" s="17"/>
      <c r="I140" s="5"/>
      <c r="J140" s="17"/>
      <c r="K140" s="17"/>
      <c r="L140" s="17"/>
      <c r="M140" s="17"/>
      <c r="N140" s="17"/>
      <c r="O140" s="5"/>
      <c r="Q140" s="5"/>
      <c r="R140" s="5"/>
      <c r="S140" s="5"/>
    </row>
    <row r="141" spans="2:27">
      <c r="B141" s="5"/>
      <c r="C141" s="5"/>
      <c r="D141" s="5"/>
      <c r="E141" s="5"/>
      <c r="F141" s="5"/>
      <c r="G141" s="5"/>
      <c r="H141" s="5"/>
      <c r="I141" s="5"/>
      <c r="J141" s="5"/>
      <c r="K141" s="5"/>
      <c r="L141" s="5"/>
      <c r="M141" s="5"/>
      <c r="N141" s="5"/>
      <c r="O141" s="5"/>
      <c r="Q141" s="5"/>
      <c r="R141" s="5"/>
      <c r="S141" s="5"/>
    </row>
    <row r="142" spans="2:27">
      <c r="B142" s="5"/>
      <c r="C142" s="5"/>
      <c r="D142" s="5"/>
      <c r="E142" s="5"/>
      <c r="F142" s="5"/>
      <c r="G142" s="5"/>
      <c r="H142" s="5"/>
      <c r="I142" s="5"/>
      <c r="J142" s="5"/>
      <c r="K142" s="5"/>
      <c r="L142" s="5"/>
      <c r="M142" s="5"/>
      <c r="N142" s="5"/>
      <c r="O142" s="5"/>
      <c r="Q142" s="5"/>
      <c r="R142" s="5"/>
      <c r="S142" s="5"/>
    </row>
    <row r="143" spans="2:27">
      <c r="B143" s="5"/>
      <c r="C143" s="5"/>
      <c r="D143" s="5"/>
      <c r="E143" s="5"/>
      <c r="F143" s="5"/>
      <c r="G143" s="5"/>
      <c r="H143" s="5"/>
      <c r="I143" s="5"/>
      <c r="J143" s="5"/>
      <c r="K143" s="5"/>
      <c r="L143" s="5"/>
      <c r="M143" s="5"/>
      <c r="N143" s="5"/>
      <c r="O143" s="5"/>
      <c r="Q143" s="5"/>
      <c r="R143" s="5"/>
      <c r="S143" s="5"/>
    </row>
    <row r="144" spans="2:27">
      <c r="B144" s="5"/>
      <c r="C144" s="5"/>
      <c r="D144" s="5"/>
      <c r="E144" s="5"/>
      <c r="F144" s="5"/>
      <c r="G144" s="5"/>
      <c r="H144" s="5"/>
      <c r="I144" s="5"/>
      <c r="J144" s="5"/>
      <c r="K144" s="5"/>
      <c r="L144" s="5"/>
      <c r="M144" s="5"/>
      <c r="N144" s="5"/>
      <c r="O144" s="5"/>
      <c r="Q144" s="5"/>
      <c r="R144" s="5"/>
      <c r="S144" s="5"/>
    </row>
    <row r="145" spans="2:19">
      <c r="B145" s="5"/>
      <c r="C145" s="5"/>
      <c r="D145" s="5"/>
      <c r="E145" s="5"/>
      <c r="F145" s="5"/>
      <c r="G145" s="5"/>
      <c r="H145" s="5"/>
      <c r="I145" s="5"/>
      <c r="J145" s="5"/>
      <c r="K145" s="5"/>
      <c r="L145" s="5"/>
      <c r="M145" s="5"/>
      <c r="N145" s="5"/>
      <c r="O145" s="5"/>
      <c r="Q145" s="5"/>
      <c r="R145" s="5"/>
      <c r="S145" s="5"/>
    </row>
    <row r="146" spans="2:19">
      <c r="B146" s="5"/>
      <c r="C146" s="5"/>
      <c r="D146" s="5"/>
      <c r="E146" s="5"/>
      <c r="F146" s="5"/>
      <c r="G146" s="5"/>
      <c r="H146" s="5"/>
      <c r="I146" s="5"/>
      <c r="J146" s="5"/>
      <c r="K146" s="5"/>
      <c r="L146" s="5"/>
      <c r="M146" s="5"/>
      <c r="N146" s="5"/>
      <c r="O146" s="5"/>
      <c r="Q146" s="5"/>
      <c r="R146" s="5"/>
      <c r="S146" s="5"/>
    </row>
    <row r="147" spans="2:19">
      <c r="B147" s="5"/>
      <c r="C147" s="5"/>
      <c r="D147" s="5"/>
      <c r="E147" s="5"/>
      <c r="F147" s="5"/>
      <c r="G147" s="5"/>
      <c r="H147" s="5"/>
      <c r="I147" s="5"/>
      <c r="J147" s="5"/>
      <c r="K147" s="5"/>
      <c r="L147" s="5"/>
      <c r="M147" s="5"/>
      <c r="N147" s="5"/>
      <c r="O147" s="5"/>
      <c r="Q147" s="5"/>
      <c r="R147" s="5"/>
      <c r="S147" s="5"/>
    </row>
    <row r="148" spans="2:19">
      <c r="B148" s="5"/>
      <c r="C148" s="5"/>
      <c r="D148" s="5"/>
      <c r="E148" s="5"/>
      <c r="F148" s="5"/>
      <c r="G148" s="5"/>
      <c r="H148" s="5"/>
      <c r="I148" s="5"/>
      <c r="J148" s="5"/>
      <c r="K148" s="5"/>
      <c r="L148" s="5"/>
      <c r="M148" s="5"/>
      <c r="N148" s="5"/>
      <c r="O148" s="5"/>
      <c r="Q148" s="5"/>
      <c r="R148" s="5"/>
      <c r="S148" s="5"/>
    </row>
    <row r="149" spans="2:19">
      <c r="B149" s="5"/>
      <c r="C149" s="5"/>
      <c r="D149" s="5"/>
      <c r="E149" s="5"/>
      <c r="F149" s="5"/>
      <c r="G149" s="5"/>
      <c r="H149" s="5"/>
      <c r="J149" s="5"/>
      <c r="K149" s="5"/>
      <c r="L149" s="5"/>
      <c r="M149" s="5"/>
      <c r="N149" s="5"/>
      <c r="O149" s="5"/>
      <c r="Q149" s="5"/>
      <c r="R149" s="5"/>
      <c r="S149" s="5"/>
    </row>
    <row r="150" spans="2:19">
      <c r="B150" s="5"/>
      <c r="C150" s="5"/>
      <c r="D150" s="5"/>
      <c r="E150" s="5"/>
      <c r="F150" s="5"/>
      <c r="G150" s="5"/>
      <c r="H150" s="5"/>
      <c r="J150" s="5"/>
      <c r="K150" s="5"/>
      <c r="L150" s="5"/>
      <c r="M150" s="5"/>
      <c r="N150" s="5"/>
      <c r="O150" s="5"/>
      <c r="Q150" s="5"/>
      <c r="R150" s="5"/>
      <c r="S150" s="5"/>
    </row>
    <row r="151" spans="2:19">
      <c r="Q151" s="5"/>
      <c r="R151" s="5"/>
      <c r="S151" s="5"/>
    </row>
    <row r="152" spans="2:19">
      <c r="Q152" s="5"/>
      <c r="R152" s="5"/>
      <c r="S152" s="5"/>
    </row>
    <row r="153" spans="2:19">
      <c r="C153" s="263"/>
      <c r="Q153" s="5"/>
      <c r="R153" s="5"/>
      <c r="S153" s="5"/>
    </row>
    <row r="154" spans="2:19">
      <c r="Q154" s="5"/>
      <c r="R154" s="5"/>
      <c r="S154" s="5"/>
    </row>
    <row r="155" spans="2:19">
      <c r="Q155" s="5"/>
      <c r="R155" s="5"/>
      <c r="S155" s="5"/>
    </row>
    <row r="156" spans="2:19">
      <c r="Q156" s="5"/>
      <c r="R156" s="5"/>
      <c r="S156" s="5"/>
    </row>
    <row r="157" spans="2:19">
      <c r="Q157" s="5"/>
      <c r="R157" s="5"/>
      <c r="S157" s="5"/>
    </row>
    <row r="158" spans="2:19">
      <c r="Q158" s="5"/>
      <c r="R158" s="5"/>
      <c r="S158" s="5"/>
    </row>
    <row r="159" spans="2:19">
      <c r="Q159" s="5"/>
      <c r="R159" s="5"/>
      <c r="S159" s="5"/>
    </row>
    <row r="160" spans="2:19">
      <c r="Q160" s="5"/>
      <c r="R160" s="5"/>
      <c r="S160" s="5"/>
    </row>
    <row r="161" spans="17:19">
      <c r="Q161" s="5"/>
      <c r="R161" s="5"/>
      <c r="S161" s="5"/>
    </row>
    <row r="162" spans="17:19">
      <c r="Q162" s="5"/>
      <c r="R162" s="5"/>
      <c r="S162" s="5"/>
    </row>
    <row r="163" spans="17:19">
      <c r="Q163" s="5"/>
      <c r="R163" s="5"/>
      <c r="S163" s="5"/>
    </row>
    <row r="164" spans="17:19">
      <c r="Q164" s="5"/>
      <c r="R164" s="5"/>
      <c r="S164" s="5"/>
    </row>
    <row r="165" spans="17:19">
      <c r="Q165" s="5"/>
      <c r="R165" s="5"/>
      <c r="S165" s="5"/>
    </row>
  </sheetData>
  <phoneticPr fontId="7" type="noConversion"/>
  <pageMargins left="0.75" right="0.75" top="1" bottom="1" header="0.5" footer="0.5"/>
  <pageSetup scale="69" orientation="landscape" r:id="rId1"/>
  <headerFooter alignWithMargins="0"/>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6">
    <pageSetUpPr fitToPage="1"/>
  </sheetPr>
  <dimension ref="B1:AR165"/>
  <sheetViews>
    <sheetView showGridLines="0" zoomScale="80" zoomScaleNormal="80" zoomScaleSheetLayoutView="80" workbookViewId="0">
      <selection activeCell="D11" sqref="D11"/>
    </sheetView>
  </sheetViews>
  <sheetFormatPr defaultColWidth="9.109375" defaultRowHeight="12"/>
  <cols>
    <col min="1" max="1" width="2.33203125" style="39" customWidth="1"/>
    <col min="2" max="2" width="26.5546875" style="39" customWidth="1"/>
    <col min="3" max="9" width="10" style="39" customWidth="1"/>
    <col min="10" max="10" width="26.6640625" style="39" customWidth="1"/>
    <col min="11" max="16" width="10" style="39" customWidth="1"/>
    <col min="17" max="19" width="8.6640625" style="39" customWidth="1"/>
    <col min="20" max="28" width="8.6640625" style="5" customWidth="1"/>
    <col min="29" max="44" width="9.109375" style="5"/>
    <col min="45" max="16384" width="9.109375" style="39"/>
  </cols>
  <sheetData>
    <row r="1" spans="2:44" s="312" customFormat="1">
      <c r="T1" s="149"/>
      <c r="U1" s="149"/>
      <c r="V1" s="149"/>
      <c r="W1" s="149"/>
      <c r="X1" s="149"/>
      <c r="Y1" s="149"/>
      <c r="Z1" s="149"/>
      <c r="AA1" s="149"/>
      <c r="AB1" s="149"/>
      <c r="AC1" s="149"/>
      <c r="AD1" s="149"/>
      <c r="AE1" s="149"/>
      <c r="AF1" s="149"/>
      <c r="AG1" s="149"/>
      <c r="AH1" s="149"/>
      <c r="AI1" s="149"/>
      <c r="AJ1" s="149"/>
      <c r="AK1" s="149"/>
      <c r="AL1" s="149"/>
      <c r="AM1" s="149"/>
      <c r="AN1" s="149"/>
      <c r="AO1" s="149"/>
      <c r="AP1" s="149"/>
      <c r="AQ1" s="149"/>
      <c r="AR1" s="149"/>
    </row>
    <row r="2" spans="2:44" s="149" customFormat="1"/>
    <row r="3" spans="2:44" s="149" customFormat="1">
      <c r="H3" s="153"/>
      <c r="P3" s="153"/>
    </row>
    <row r="4" spans="2:44" s="156" customFormat="1" ht="21">
      <c r="B4" s="129" t="s">
        <v>725</v>
      </c>
      <c r="H4" s="222"/>
      <c r="P4" s="222"/>
    </row>
    <row r="5" spans="2:44" s="149" customFormat="1">
      <c r="C5" s="153"/>
      <c r="D5" s="153" t="str" cm="1">
        <f t="array" ref="D5:H5">headings</f>
        <v>2023E</v>
      </c>
      <c r="E5" s="153" t="str">
        <v>2024E</v>
      </c>
      <c r="F5" s="153" t="str">
        <v>2025E</v>
      </c>
      <c r="G5" s="153" t="str">
        <v>2026E</v>
      </c>
      <c r="H5" s="153" t="str">
        <v>23E-26E</v>
      </c>
      <c r="I5" s="153"/>
      <c r="J5" s="153"/>
      <c r="K5" s="153"/>
      <c r="L5" s="153" t="str" cm="1">
        <f t="array" ref="L5:P5">headings</f>
        <v>2023E</v>
      </c>
      <c r="M5" s="153" t="str">
        <v>2024E</v>
      </c>
      <c r="N5" s="153" t="str">
        <v>2025E</v>
      </c>
      <c r="O5" s="153" t="str">
        <v>2026E</v>
      </c>
      <c r="P5" s="153" t="str">
        <v>23E-26E</v>
      </c>
      <c r="Q5" s="162"/>
      <c r="R5" s="162"/>
      <c r="S5" s="162"/>
      <c r="T5" s="162"/>
      <c r="U5" s="162"/>
      <c r="V5" s="162"/>
      <c r="W5" s="162"/>
      <c r="X5" s="162"/>
      <c r="Y5" s="162"/>
    </row>
    <row r="6" spans="2:44">
      <c r="I6" s="5"/>
      <c r="J6" s="5"/>
      <c r="K6" s="5"/>
      <c r="L6" s="5"/>
      <c r="M6" s="5"/>
      <c r="N6" s="5"/>
      <c r="O6" s="49"/>
    </row>
    <row r="7" spans="2:44" ht="12.6" thickBot="1">
      <c r="B7" s="306" t="s">
        <v>271</v>
      </c>
      <c r="C7" s="265"/>
      <c r="D7" s="265" t="str">
        <f>D5</f>
        <v>2023E</v>
      </c>
      <c r="E7" s="265" t="str">
        <f t="shared" ref="E7:H7" si="0">E5</f>
        <v>2024E</v>
      </c>
      <c r="F7" s="265" t="str">
        <f t="shared" si="0"/>
        <v>2025E</v>
      </c>
      <c r="G7" s="265" t="str">
        <f t="shared" si="0"/>
        <v>2026E</v>
      </c>
      <c r="H7" s="265" t="str">
        <f t="shared" si="0"/>
        <v>23E-26E</v>
      </c>
      <c r="I7" s="49"/>
      <c r="J7" s="306" t="s">
        <v>35</v>
      </c>
      <c r="K7" s="306"/>
      <c r="L7" s="265" t="str">
        <f>L5</f>
        <v>2023E</v>
      </c>
      <c r="M7" s="265" t="str">
        <f t="shared" ref="M7:P7" si="1">M5</f>
        <v>2024E</v>
      </c>
      <c r="N7" s="265" t="str">
        <f t="shared" si="1"/>
        <v>2025E</v>
      </c>
      <c r="O7" s="265" t="str">
        <f t="shared" si="1"/>
        <v>2026E</v>
      </c>
      <c r="P7" s="265" t="str">
        <f t="shared" si="1"/>
        <v>23E-26E</v>
      </c>
    </row>
    <row r="8" spans="2:44" ht="12.6" thickTop="1">
      <c r="B8" s="5"/>
      <c r="C8" s="5"/>
      <c r="D8" s="5"/>
      <c r="E8" s="5"/>
      <c r="F8" s="5"/>
      <c r="G8" s="5"/>
      <c r="H8" s="5"/>
      <c r="I8" s="5"/>
      <c r="J8" s="5"/>
      <c r="K8" s="5"/>
      <c r="L8" s="5"/>
      <c r="M8" s="5"/>
      <c r="N8" s="5"/>
      <c r="S8" s="88"/>
      <c r="T8" s="42"/>
      <c r="U8" s="42"/>
      <c r="V8" s="42"/>
      <c r="W8" s="42"/>
      <c r="X8" s="42"/>
      <c r="Y8" s="42"/>
      <c r="Z8" s="42"/>
      <c r="AA8" s="42"/>
    </row>
    <row r="9" spans="2:44">
      <c r="B9" s="41" t="s">
        <v>272</v>
      </c>
      <c r="C9" s="287">
        <f>Prices!C11</f>
        <v>10.675000000000001</v>
      </c>
      <c r="D9" s="535">
        <v>0</v>
      </c>
      <c r="E9" s="536">
        <v>0</v>
      </c>
      <c r="F9" s="536">
        <v>0</v>
      </c>
      <c r="G9" s="536">
        <v>0</v>
      </c>
      <c r="H9" s="249"/>
      <c r="I9" s="249"/>
      <c r="J9" s="5" t="s">
        <v>273</v>
      </c>
      <c r="L9" s="529">
        <f>'W.EUR INCUMB'!D37</f>
        <v>2.1820368783030246</v>
      </c>
      <c r="M9" s="529">
        <f>'W.EUR INCUMB'!E37</f>
        <v>2.0995807894380842</v>
      </c>
      <c r="N9" s="529">
        <f>'W.EUR INCUMB'!F37</f>
        <v>2.0073776110351829</v>
      </c>
      <c r="O9" s="529">
        <f>'W.EUR INCUMB'!G37</f>
        <v>1.9004321192081457</v>
      </c>
      <c r="P9" s="279">
        <f>'W.EUR INCUMB'!H37</f>
        <v>1.5546449189376421E-2</v>
      </c>
      <c r="S9" s="88"/>
      <c r="T9" s="42"/>
      <c r="U9" s="42"/>
      <c r="V9" s="42"/>
      <c r="W9" s="42"/>
      <c r="X9" s="42"/>
      <c r="Y9" s="42"/>
      <c r="Z9" s="42"/>
      <c r="AA9" s="42"/>
    </row>
    <row r="10" spans="2:44">
      <c r="B10" s="5" t="s">
        <v>274</v>
      </c>
      <c r="C10" s="5"/>
      <c r="D10" s="531">
        <v>2660.056599</v>
      </c>
      <c r="E10" s="531">
        <v>2660.056599</v>
      </c>
      <c r="F10" s="531">
        <v>2660.056599</v>
      </c>
      <c r="G10" s="531">
        <v>2660.056599</v>
      </c>
      <c r="H10" s="247"/>
      <c r="I10" s="247"/>
      <c r="J10" s="5" t="s">
        <v>184</v>
      </c>
      <c r="L10" s="529">
        <f>'W.EUR INCUMB'!D38</f>
        <v>6.6561389315824204</v>
      </c>
      <c r="M10" s="529">
        <f>'W.EUR INCUMB'!E38</f>
        <v>6.276659180358183</v>
      </c>
      <c r="N10" s="529">
        <f>'W.EUR INCUMB'!F38</f>
        <v>5.9086011977805715</v>
      </c>
      <c r="O10" s="529">
        <f>'W.EUR INCUMB'!G38</f>
        <v>5.5249848727361259</v>
      </c>
      <c r="P10" s="279">
        <f>'W.EUR INCUMB'!H38</f>
        <v>3.1953936851226938E-2</v>
      </c>
      <c r="S10" s="88"/>
      <c r="T10" s="42"/>
      <c r="U10" s="42"/>
      <c r="V10" s="42"/>
      <c r="W10" s="288"/>
      <c r="X10" s="288"/>
      <c r="Y10" s="288"/>
      <c r="Z10" s="288"/>
      <c r="AA10" s="42"/>
    </row>
    <row r="11" spans="2:44">
      <c r="B11" s="41" t="s">
        <v>275</v>
      </c>
      <c r="C11" s="5"/>
      <c r="D11" s="532">
        <f>$C$9*D10</f>
        <v>28396.104194325002</v>
      </c>
      <c r="E11" s="532">
        <f>$C$9*E10</f>
        <v>28396.104194325002</v>
      </c>
      <c r="F11" s="532">
        <f>$C$9*F10</f>
        <v>28396.104194325002</v>
      </c>
      <c r="G11" s="532">
        <f>$C$9*G10</f>
        <v>28396.104194325002</v>
      </c>
      <c r="H11" s="249"/>
      <c r="I11" s="249"/>
      <c r="J11" s="5" t="s">
        <v>185</v>
      </c>
      <c r="L11" s="529">
        <f>'W.EUR INCUMB'!D39</f>
        <v>13.860323858751276</v>
      </c>
      <c r="M11" s="529">
        <f>'W.EUR INCUMB'!E39</f>
        <v>12.09622383745986</v>
      </c>
      <c r="N11" s="529">
        <f>'W.EUR INCUMB'!F39</f>
        <v>10.876080155020103</v>
      </c>
      <c r="O11" s="529">
        <f>'W.EUR INCUMB'!G39</f>
        <v>9.7993857809910292</v>
      </c>
      <c r="P11" s="279">
        <f>'W.EUR INCUMB'!H39</f>
        <v>8.864945159447446E-2</v>
      </c>
      <c r="S11" s="88"/>
      <c r="T11" s="42"/>
      <c r="U11" s="42"/>
      <c r="V11" s="42"/>
      <c r="W11" s="288"/>
      <c r="X11" s="288"/>
      <c r="Y11" s="288"/>
      <c r="Z11" s="288"/>
      <c r="AA11" s="42"/>
    </row>
    <row r="12" spans="2:44">
      <c r="B12" s="5" t="s">
        <v>24</v>
      </c>
      <c r="C12" s="249"/>
      <c r="D12" s="533">
        <v>25298</v>
      </c>
      <c r="E12" s="533">
        <v>24885.700974422776</v>
      </c>
      <c r="F12" s="533">
        <v>24081.134886246342</v>
      </c>
      <c r="G12" s="533">
        <v>22947.858071817838</v>
      </c>
      <c r="H12" s="247"/>
      <c r="I12" s="247"/>
      <c r="J12" s="5" t="s">
        <v>466</v>
      </c>
      <c r="L12" s="529">
        <f>'W.EUR INCUMB'!D40</f>
        <v>18.773170831659439</v>
      </c>
      <c r="M12" s="529">
        <f>'W.EUR INCUMB'!E40</f>
        <v>16.316100899802951</v>
      </c>
      <c r="N12" s="529">
        <f>'W.EUR INCUMB'!F40</f>
        <v>14.678691432593167</v>
      </c>
      <c r="O12" s="529">
        <f>'W.EUR INCUMB'!G40</f>
        <v>13.250660214807615</v>
      </c>
      <c r="P12" s="279">
        <f>'W.EUR INCUMB'!H40</f>
        <v>8.9255902689365119E-2</v>
      </c>
      <c r="S12" s="88"/>
      <c r="T12" s="42"/>
      <c r="U12" s="42"/>
      <c r="V12" s="42"/>
      <c r="W12" s="288"/>
      <c r="X12" s="288"/>
      <c r="Y12" s="288"/>
      <c r="Z12" s="288"/>
      <c r="AA12" s="42"/>
    </row>
    <row r="13" spans="2:44">
      <c r="B13" s="5" t="s">
        <v>529</v>
      </c>
      <c r="C13" s="257"/>
      <c r="D13" s="533">
        <v>18335.977240749657</v>
      </c>
      <c r="E13" s="533">
        <v>17681.977240749657</v>
      </c>
      <c r="F13" s="533">
        <v>17189.977240749657</v>
      </c>
      <c r="G13" s="533">
        <v>16827.977240749657</v>
      </c>
      <c r="H13" s="247"/>
      <c r="I13" s="247"/>
      <c r="J13" s="5" t="s">
        <v>530</v>
      </c>
      <c r="L13" s="529">
        <f>'W.EUR INCUMB'!D41</f>
        <v>1.4554049615742648</v>
      </c>
      <c r="M13" s="529">
        <f>'W.EUR INCUMB'!E41</f>
        <v>1.3652506578772214</v>
      </c>
      <c r="N13" s="529">
        <f>'W.EUR INCUMB'!F41</f>
        <v>1.2968813123150413</v>
      </c>
      <c r="O13" s="529">
        <f>'W.EUR INCUMB'!G41</f>
        <v>1.2281427713802577</v>
      </c>
      <c r="P13" s="279">
        <f>'W.EUR INCUMB'!H41</f>
        <v>2.6301307293472354E-2</v>
      </c>
      <c r="S13" s="88"/>
      <c r="T13" s="42"/>
      <c r="U13" s="42"/>
      <c r="V13" s="42"/>
      <c r="W13" s="42"/>
      <c r="X13" s="42"/>
      <c r="Y13" s="42"/>
      <c r="Z13" s="42"/>
      <c r="AA13" s="42"/>
    </row>
    <row r="14" spans="2:44">
      <c r="B14" s="5" t="s">
        <v>532</v>
      </c>
      <c r="C14" s="257"/>
      <c r="D14" s="533">
        <f>E14</f>
        <v>98</v>
      </c>
      <c r="E14" s="533">
        <f>ORASOP!R41</f>
        <v>98</v>
      </c>
      <c r="F14" s="533">
        <f>E14</f>
        <v>98</v>
      </c>
      <c r="G14" s="533">
        <f>F14</f>
        <v>98</v>
      </c>
      <c r="H14" s="247"/>
      <c r="I14" s="247"/>
      <c r="J14" s="5" t="s">
        <v>593</v>
      </c>
      <c r="L14" s="529">
        <f>'W.EUR INCUMB'!D42</f>
        <v>3.3234793761102739</v>
      </c>
      <c r="M14" s="529">
        <f>'W.EUR INCUMB'!E42</f>
        <v>3.2424169171692641</v>
      </c>
      <c r="N14" s="529">
        <f>'W.EUR INCUMB'!F42</f>
        <v>3.1662515332190617</v>
      </c>
      <c r="O14" s="529">
        <f>'W.EUR INCUMB'!G42</f>
        <v>3.0630241710617754</v>
      </c>
      <c r="P14" s="279">
        <f>'W.EUR INCUMB'!H42</f>
        <v>-3.4232783193558491E-3</v>
      </c>
      <c r="S14" s="88"/>
      <c r="T14" s="42"/>
      <c r="U14" s="42"/>
      <c r="V14" s="42"/>
      <c r="W14" s="42"/>
      <c r="X14" s="42"/>
      <c r="Y14" s="42"/>
      <c r="Z14" s="42"/>
      <c r="AA14" s="42"/>
    </row>
    <row r="15" spans="2:44">
      <c r="B15" s="5" t="s">
        <v>531</v>
      </c>
      <c r="C15" s="274"/>
      <c r="D15" s="533">
        <f>ORASOP!T35</f>
        <v>7727.9756553970701</v>
      </c>
      <c r="E15" s="533">
        <f>D15</f>
        <v>7727.9756553970701</v>
      </c>
      <c r="F15" s="533">
        <f>E15</f>
        <v>7727.9756553970701</v>
      </c>
      <c r="G15" s="533">
        <f>F15</f>
        <v>7727.9756553970701</v>
      </c>
      <c r="H15" s="247"/>
      <c r="I15" s="247"/>
      <c r="J15" s="5" t="s">
        <v>475</v>
      </c>
      <c r="L15" s="529">
        <f>'W.EUR INCUMB'!D43</f>
        <v>15.36919487731438</v>
      </c>
      <c r="M15" s="529">
        <f>'W.EUR INCUMB'!E43</f>
        <v>13.900480990887658</v>
      </c>
      <c r="N15" s="529">
        <f>'W.EUR INCUMB'!F43</f>
        <v>11.808036199618913</v>
      </c>
      <c r="O15" s="529">
        <f>'W.EUR INCUMB'!G43</f>
        <v>10.77079458313478</v>
      </c>
      <c r="P15" s="279">
        <f>'W.EUR INCUMB'!H43</f>
        <v>0.11736524628436351</v>
      </c>
      <c r="S15" s="88"/>
      <c r="T15" s="42"/>
      <c r="U15" s="42"/>
      <c r="V15" s="42"/>
      <c r="W15" s="42"/>
      <c r="X15" s="42"/>
      <c r="Y15" s="42"/>
      <c r="Z15" s="42"/>
      <c r="AA15" s="42"/>
    </row>
    <row r="16" spans="2:44">
      <c r="B16" s="5" t="s">
        <v>534</v>
      </c>
      <c r="C16" s="257"/>
      <c r="D16" s="533">
        <v>0</v>
      </c>
      <c r="E16" s="533">
        <v>1915.24075128</v>
      </c>
      <c r="F16" s="533">
        <v>3910.2832005300002</v>
      </c>
      <c r="G16" s="533">
        <v>5985.1273477499999</v>
      </c>
      <c r="H16" s="247"/>
      <c r="I16" s="247"/>
      <c r="J16" s="5" t="s">
        <v>533</v>
      </c>
      <c r="L16" s="529">
        <f>'W.EUR INCUMB'!D44</f>
        <v>13.849445280082518</v>
      </c>
      <c r="M16" s="529">
        <f>'W.EUR INCUMB'!E44</f>
        <v>12.437286696089576</v>
      </c>
      <c r="N16" s="529">
        <f>'W.EUR INCUMB'!F44</f>
        <v>11.380437598490861</v>
      </c>
      <c r="O16" s="529">
        <f>'W.EUR INCUMB'!G44</f>
        <v>10.478743141097034</v>
      </c>
      <c r="P16" s="279">
        <f>'W.EUR INCUMB'!H44</f>
        <v>9.2323853476973694E-2</v>
      </c>
      <c r="S16" s="88"/>
      <c r="T16" s="42"/>
      <c r="U16" s="42"/>
      <c r="V16" s="42"/>
      <c r="W16" s="42"/>
      <c r="X16" s="42"/>
      <c r="Y16" s="42"/>
      <c r="Z16" s="42"/>
      <c r="AA16" s="42"/>
    </row>
    <row r="17" spans="2:27">
      <c r="B17" s="5" t="s">
        <v>6</v>
      </c>
      <c r="C17" s="257"/>
      <c r="D17" s="533">
        <v>2050.6423293542939</v>
      </c>
      <c r="E17" s="533">
        <v>1985.6429237862117</v>
      </c>
      <c r="F17" s="533">
        <v>1923.784257997899</v>
      </c>
      <c r="G17" s="533">
        <v>1860.9714436008917</v>
      </c>
      <c r="H17" s="247"/>
      <c r="I17" s="247"/>
      <c r="J17" s="5" t="s">
        <v>580</v>
      </c>
      <c r="L17" s="248">
        <f>'W.EUR INCUMB'!D45</f>
        <v>4.9929768285127372E-2</v>
      </c>
      <c r="M17" s="248">
        <f>'W.EUR INCUMB'!E45</f>
        <v>5.2540326500089954E-2</v>
      </c>
      <c r="N17" s="248">
        <f>'W.EUR INCUMB'!F45</f>
        <v>5.4852141769022943E-2</v>
      </c>
      <c r="O17" s="248">
        <f>'W.EUR INCUMB'!G45</f>
        <v>5.8322596586761276E-2</v>
      </c>
      <c r="P17" s="279">
        <f>'W.EUR INCUMB'!H45</f>
        <v>4.8261067786518064E-2</v>
      </c>
      <c r="S17" s="88"/>
      <c r="T17" s="42"/>
      <c r="U17" s="42"/>
      <c r="V17" s="42"/>
      <c r="W17" s="42"/>
      <c r="X17" s="42"/>
      <c r="Y17" s="42"/>
      <c r="Z17" s="42"/>
      <c r="AA17" s="42"/>
    </row>
    <row r="18" spans="2:27" ht="12.6" thickBot="1">
      <c r="B18" s="41" t="s">
        <v>583</v>
      </c>
      <c r="C18" s="249"/>
      <c r="D18" s="534">
        <f>D11+D12+D13-D14+D15-D16-D17</f>
        <v>77609.414761117427</v>
      </c>
      <c r="E18" s="534">
        <f>E11+E12+E13-E14+E15-E16-E17</f>
        <v>74692.874389828285</v>
      </c>
      <c r="F18" s="534">
        <f>F11+F12+F13-F14+F15-F16-F17</f>
        <v>71463.124518190161</v>
      </c>
      <c r="G18" s="534">
        <f>G11+G12+G13-G14+G15-G16-G17</f>
        <v>67955.816370938672</v>
      </c>
      <c r="H18" s="276">
        <f>IF(D18=0,"nm",IF(G18=0,"nm",(G18/D18)^(1/3)-1))</f>
        <v>-4.3311085039126951E-2</v>
      </c>
      <c r="I18" s="254"/>
      <c r="J18" s="5" t="s">
        <v>36</v>
      </c>
      <c r="L18" s="248">
        <f>'W.EUR INCUMB'!D46</f>
        <v>4.9929768285127372E-2</v>
      </c>
      <c r="M18" s="248">
        <f>'W.EUR INCUMB'!E46</f>
        <v>5.2540326500089954E-2</v>
      </c>
      <c r="N18" s="248">
        <f>'W.EUR INCUMB'!F46</f>
        <v>5.4852141769022943E-2</v>
      </c>
      <c r="O18" s="248">
        <f>'W.EUR INCUMB'!G46</f>
        <v>5.8322596586761276E-2</v>
      </c>
      <c r="P18" s="279">
        <f>'W.EUR INCUMB'!H46</f>
        <v>4.8261067786518064E-2</v>
      </c>
      <c r="S18" s="88"/>
      <c r="T18" s="42"/>
      <c r="U18" s="42"/>
      <c r="V18" s="42"/>
      <c r="W18" s="42"/>
      <c r="X18" s="42"/>
      <c r="Y18" s="42"/>
      <c r="Z18" s="42"/>
      <c r="AA18" s="42"/>
    </row>
    <row r="19" spans="2:27" ht="12.6" thickTop="1">
      <c r="B19" s="41"/>
      <c r="C19" s="249"/>
      <c r="D19" s="229"/>
      <c r="E19" s="229"/>
      <c r="F19" s="229"/>
      <c r="G19" s="229"/>
      <c r="H19" s="276"/>
      <c r="I19" s="254"/>
      <c r="J19" s="5" t="s">
        <v>581</v>
      </c>
      <c r="L19" s="248">
        <f>'W.EUR INCUMB'!D47</f>
        <v>6.5065217012508891E-2</v>
      </c>
      <c r="M19" s="248">
        <f>'W.EUR INCUMB'!E47</f>
        <v>7.1939956657294191E-2</v>
      </c>
      <c r="N19" s="248">
        <f>'W.EUR INCUMB'!F47</f>
        <v>8.4688087256395234E-2</v>
      </c>
      <c r="O19" s="248">
        <f>'W.EUR INCUMB'!G47</f>
        <v>9.2843660909272999E-2</v>
      </c>
      <c r="P19" s="279">
        <f>'W.EUR INCUMB'!H47</f>
        <v>0.11736524628436351</v>
      </c>
      <c r="S19" s="88"/>
      <c r="T19" s="42"/>
      <c r="U19" s="42"/>
      <c r="V19" s="42"/>
      <c r="W19" s="42"/>
      <c r="X19" s="42"/>
      <c r="Y19" s="42"/>
      <c r="Z19" s="42"/>
      <c r="AA19" s="42"/>
    </row>
    <row r="20" spans="2:27">
      <c r="H20" s="277"/>
      <c r="I20" s="17"/>
      <c r="J20" s="5" t="s">
        <v>604</v>
      </c>
      <c r="L20" s="305">
        <f>'W.EUR INCUMB'!D48</f>
        <v>0.69753103513272863</v>
      </c>
      <c r="M20" s="305">
        <f>'W.EUR INCUMB'!E48</f>
        <v>0.66278263399293669</v>
      </c>
      <c r="N20" s="305">
        <f>'W.EUR INCUMB'!F48</f>
        <v>0.5878425682239502</v>
      </c>
      <c r="O20" s="305">
        <f>'W.EUR INCUMB'!G48</f>
        <v>0.5759521808171526</v>
      </c>
      <c r="P20" s="279" t="str">
        <f>'W.EUR INCUMB'!H48</f>
        <v>nm</v>
      </c>
      <c r="S20" s="88"/>
      <c r="T20" s="42"/>
      <c r="U20" s="42"/>
      <c r="V20" s="42"/>
      <c r="W20" s="42"/>
      <c r="X20" s="42"/>
      <c r="Y20" s="42"/>
      <c r="Z20" s="42"/>
      <c r="AA20" s="42"/>
    </row>
    <row r="21" spans="2:27" ht="12.6" thickBot="1">
      <c r="B21" s="306" t="s">
        <v>926</v>
      </c>
      <c r="C21" s="265"/>
      <c r="D21" s="265" t="str">
        <f>D5</f>
        <v>2023E</v>
      </c>
      <c r="E21" s="265" t="str">
        <f t="shared" ref="E21:H21" si="2">E5</f>
        <v>2024E</v>
      </c>
      <c r="F21" s="265" t="str">
        <f t="shared" si="2"/>
        <v>2025E</v>
      </c>
      <c r="G21" s="265" t="str">
        <f t="shared" si="2"/>
        <v>2026E</v>
      </c>
      <c r="H21" s="265" t="str">
        <f t="shared" si="2"/>
        <v>23E-26E</v>
      </c>
      <c r="I21" s="49"/>
      <c r="J21" s="41"/>
      <c r="L21" s="250"/>
      <c r="M21" s="250"/>
      <c r="N21" s="250"/>
      <c r="O21" s="250"/>
      <c r="P21" s="279"/>
      <c r="S21" s="88"/>
      <c r="T21" s="42"/>
      <c r="U21" s="42"/>
      <c r="V21" s="42"/>
      <c r="W21" s="42"/>
      <c r="X21" s="42"/>
      <c r="Y21" s="42"/>
      <c r="Z21" s="42"/>
      <c r="AA21" s="42"/>
    </row>
    <row r="22" spans="2:27" ht="12.6" thickTop="1">
      <c r="B22" s="5"/>
      <c r="C22" s="257"/>
      <c r="D22" s="17"/>
      <c r="E22" s="17"/>
      <c r="F22" s="17"/>
      <c r="G22" s="17"/>
      <c r="H22" s="17"/>
      <c r="I22" s="17"/>
      <c r="P22" s="277"/>
      <c r="S22" s="88"/>
      <c r="T22" s="42"/>
      <c r="U22" s="42"/>
      <c r="V22" s="42"/>
      <c r="W22" s="42"/>
      <c r="X22" s="42"/>
      <c r="Y22" s="42"/>
      <c r="Z22" s="42"/>
      <c r="AA22" s="42"/>
    </row>
    <row r="23" spans="2:27" ht="12.6" thickBot="1">
      <c r="B23" s="5" t="s">
        <v>584</v>
      </c>
      <c r="C23" s="548">
        <v>44132</v>
      </c>
      <c r="D23" s="540">
        <v>44081.728630334874</v>
      </c>
      <c r="E23" s="540">
        <v>44246.594004919389</v>
      </c>
      <c r="F23" s="540">
        <v>44555.535301571341</v>
      </c>
      <c r="G23" s="540">
        <v>44947.509703172298</v>
      </c>
      <c r="H23" s="279">
        <f t="shared" ref="H23:H32" si="3">IF(D23=0,"nm",IF(G23=0,"nm",(G23/D23)^(1/3)-1))</f>
        <v>6.5043882742903403E-3</v>
      </c>
      <c r="I23" s="247"/>
      <c r="J23" s="306" t="s">
        <v>9</v>
      </c>
      <c r="K23" s="306"/>
      <c r="L23" s="265" t="str">
        <f>D21</f>
        <v>2023E</v>
      </c>
      <c r="M23" s="265" t="str">
        <f t="shared" ref="M23:P23" si="4">E21</f>
        <v>2024E</v>
      </c>
      <c r="N23" s="265" t="str">
        <f t="shared" si="4"/>
        <v>2025E</v>
      </c>
      <c r="O23" s="265" t="str">
        <f t="shared" si="4"/>
        <v>2026E</v>
      </c>
      <c r="P23" s="265" t="str">
        <f t="shared" si="4"/>
        <v>23E-26E</v>
      </c>
      <c r="S23" s="88"/>
      <c r="T23" s="42"/>
      <c r="U23" s="42"/>
      <c r="V23" s="42"/>
      <c r="W23" s="42"/>
      <c r="X23" s="42"/>
      <c r="Y23" s="42"/>
      <c r="Z23" s="42"/>
      <c r="AA23" s="42"/>
    </row>
    <row r="24" spans="2:27" ht="12.6" thickTop="1">
      <c r="B24" s="5" t="s">
        <v>483</v>
      </c>
      <c r="C24" s="549">
        <v>12963</v>
      </c>
      <c r="D24" s="540">
        <v>13035</v>
      </c>
      <c r="E24" s="540">
        <v>13184.437268423497</v>
      </c>
      <c r="F24" s="540">
        <v>13482.725348374321</v>
      </c>
      <c r="G24" s="540">
        <v>13601.899821914303</v>
      </c>
      <c r="H24" s="279">
        <f t="shared" si="3"/>
        <v>1.4291638885291391E-2</v>
      </c>
      <c r="I24" s="249"/>
      <c r="J24" s="17"/>
      <c r="K24" s="17"/>
      <c r="L24" s="17"/>
      <c r="M24" s="17"/>
      <c r="N24" s="17"/>
      <c r="O24" s="248"/>
      <c r="S24" s="88"/>
      <c r="T24" s="42"/>
      <c r="U24" s="42"/>
      <c r="V24" s="42"/>
      <c r="W24" s="42" t="s">
        <v>727</v>
      </c>
      <c r="X24" s="42" t="s">
        <v>255</v>
      </c>
      <c r="Y24" s="42"/>
      <c r="Z24" s="42"/>
      <c r="AA24" s="42"/>
    </row>
    <row r="25" spans="2:27">
      <c r="B25" s="5" t="s">
        <v>183</v>
      </c>
      <c r="C25" s="548">
        <v>5591</v>
      </c>
      <c r="D25" s="540">
        <v>6219</v>
      </c>
      <c r="E25" s="540">
        <v>6373.2086612642361</v>
      </c>
      <c r="F25" s="540">
        <v>6884.6452995802001</v>
      </c>
      <c r="G25" s="540">
        <v>7263.4630832403218</v>
      </c>
      <c r="H25" s="279">
        <f t="shared" si="3"/>
        <v>5.3111589597771625E-2</v>
      </c>
      <c r="I25" s="248"/>
      <c r="J25" s="247" t="s">
        <v>10</v>
      </c>
      <c r="K25" s="247"/>
      <c r="L25" s="321">
        <v>0</v>
      </c>
      <c r="M25" s="321">
        <v>0</v>
      </c>
      <c r="N25" s="321">
        <v>0</v>
      </c>
      <c r="O25" s="321">
        <v>0</v>
      </c>
      <c r="P25" s="279" t="str">
        <f>IF(L25=0,"nm",IF(O25=0,"nm",(O25/L25)^(1/3)-1))</f>
        <v>nm</v>
      </c>
      <c r="S25" s="88"/>
      <c r="T25" s="42"/>
      <c r="U25" s="42"/>
      <c r="V25" s="147" t="s">
        <v>273</v>
      </c>
      <c r="W25" s="288">
        <f>D37/L9</f>
        <v>0.80685167617076436</v>
      </c>
      <c r="X25" s="288">
        <v>1</v>
      </c>
      <c r="Y25" s="42"/>
      <c r="Z25" s="42"/>
      <c r="AA25" s="42"/>
    </row>
    <row r="26" spans="2:27">
      <c r="B26" s="5" t="s">
        <v>586</v>
      </c>
      <c r="C26" s="548">
        <v>4208.5574076970806</v>
      </c>
      <c r="D26" s="540">
        <v>4640.4359637591197</v>
      </c>
      <c r="E26" s="540">
        <v>4755.5962363862991</v>
      </c>
      <c r="F26" s="540">
        <v>5136.4434535923638</v>
      </c>
      <c r="G26" s="540">
        <v>5389.5582398767601</v>
      </c>
      <c r="H26" s="279">
        <f t="shared" si="3"/>
        <v>5.1150243179170607E-2</v>
      </c>
      <c r="I26" s="249"/>
      <c r="J26" s="249" t="s">
        <v>11</v>
      </c>
      <c r="K26" s="249"/>
      <c r="L26" s="281">
        <f>D11+L25</f>
        <v>28396.104194325002</v>
      </c>
      <c r="M26" s="281">
        <f>E11+M25</f>
        <v>28396.104194325002</v>
      </c>
      <c r="N26" s="281">
        <f>F11+N25</f>
        <v>28396.104194325002</v>
      </c>
      <c r="O26" s="281">
        <f>G11+O25</f>
        <v>28396.104194325002</v>
      </c>
      <c r="P26" s="279">
        <f>IF(L26=0,"nm",IF(O26=0,"nm",(O26/L26)^(1/3)-1))</f>
        <v>0</v>
      </c>
      <c r="Q26" s="5"/>
      <c r="S26" s="88"/>
      <c r="T26" s="42"/>
      <c r="U26" s="42"/>
      <c r="V26" s="147" t="s">
        <v>184</v>
      </c>
      <c r="W26" s="288">
        <f t="shared" ref="W26:W33" si="5">D38/L10</f>
        <v>0.89450133842671731</v>
      </c>
      <c r="X26" s="288">
        <v>1</v>
      </c>
      <c r="Y26" s="42"/>
      <c r="Z26" s="42"/>
      <c r="AA26" s="42"/>
    </row>
    <row r="27" spans="2:27">
      <c r="B27" s="5" t="s">
        <v>587</v>
      </c>
      <c r="C27" s="549">
        <v>60253.86716735427</v>
      </c>
      <c r="D27" s="540">
        <v>60396.227842895365</v>
      </c>
      <c r="E27" s="540">
        <v>60961.546841527896</v>
      </c>
      <c r="F27" s="540">
        <v>61396.329268041583</v>
      </c>
      <c r="G27" s="540">
        <v>61625.206044076345</v>
      </c>
      <c r="H27" s="279">
        <f t="shared" si="3"/>
        <v>6.7373699189470226E-3</v>
      </c>
      <c r="I27" s="249"/>
      <c r="J27" s="248"/>
      <c r="K27" s="248"/>
      <c r="L27" s="248"/>
      <c r="M27" s="248"/>
      <c r="N27" s="248"/>
      <c r="O27" s="248"/>
      <c r="Q27" s="41"/>
      <c r="S27" s="88"/>
      <c r="T27" s="42"/>
      <c r="U27" s="42"/>
      <c r="V27" s="147" t="s">
        <v>185</v>
      </c>
      <c r="W27" s="288">
        <f t="shared" si="5"/>
        <v>0.90036887549091171</v>
      </c>
      <c r="X27" s="288">
        <v>1</v>
      </c>
      <c r="Y27" s="42"/>
      <c r="Z27" s="42"/>
      <c r="AA27" s="42"/>
    </row>
    <row r="28" spans="2:27" ht="12.6" thickBot="1">
      <c r="B28" s="5" t="s">
        <v>592</v>
      </c>
      <c r="C28" s="548">
        <v>31639.653468834</v>
      </c>
      <c r="D28" s="540">
        <v>33193.363060834599</v>
      </c>
      <c r="E28" s="540">
        <v>33263.821411539597</v>
      </c>
      <c r="F28" s="540">
        <v>33312.558760791464</v>
      </c>
      <c r="G28" s="540">
        <v>33304.135088781462</v>
      </c>
      <c r="H28" s="279">
        <f t="shared" si="3"/>
        <v>1.1111562055841073E-3</v>
      </c>
      <c r="I28" s="248"/>
      <c r="J28" s="306" t="s">
        <v>1362</v>
      </c>
      <c r="K28" s="306"/>
      <c r="L28" s="306"/>
      <c r="M28" s="306"/>
      <c r="N28" s="266"/>
      <c r="O28" s="266"/>
      <c r="P28" s="266"/>
      <c r="Q28" s="5"/>
      <c r="S28" s="88"/>
      <c r="T28" s="42"/>
      <c r="U28" s="42"/>
      <c r="V28" s="147" t="s">
        <v>466</v>
      </c>
      <c r="W28" s="288">
        <f t="shared" si="5"/>
        <v>0.89087750384334341</v>
      </c>
      <c r="X28" s="288">
        <v>1</v>
      </c>
      <c r="Y28" s="42"/>
      <c r="Z28" s="42"/>
      <c r="AA28" s="42"/>
    </row>
    <row r="29" spans="2:27" ht="12.6" thickTop="1">
      <c r="B29" s="5" t="s">
        <v>588</v>
      </c>
      <c r="C29" s="548">
        <v>1181.609919729997</v>
      </c>
      <c r="D29" s="540">
        <v>2286.8638327009944</v>
      </c>
      <c r="E29" s="540">
        <v>2040.6131372248246</v>
      </c>
      <c r="F29" s="540">
        <v>2541.4607535154291</v>
      </c>
      <c r="G29" s="540">
        <v>2962.0898444041659</v>
      </c>
      <c r="H29" s="279">
        <f t="shared" si="3"/>
        <v>9.0065614685052475E-2</v>
      </c>
      <c r="I29" s="252"/>
      <c r="J29" s="249"/>
      <c r="K29" s="249"/>
      <c r="L29" s="249"/>
      <c r="M29" s="249"/>
      <c r="N29" s="249"/>
      <c r="O29" s="251"/>
      <c r="Q29" s="5"/>
      <c r="S29" s="88"/>
      <c r="T29" s="42"/>
      <c r="U29" s="42"/>
      <c r="V29" s="147" t="s">
        <v>530</v>
      </c>
      <c r="W29" s="288">
        <f t="shared" si="5"/>
        <v>0.88291875571716638</v>
      </c>
      <c r="X29" s="288">
        <v>1</v>
      </c>
      <c r="Y29" s="42"/>
      <c r="Z29" s="42"/>
      <c r="AA29" s="42"/>
    </row>
    <row r="30" spans="2:27">
      <c r="B30" s="5" t="s">
        <v>589</v>
      </c>
      <c r="C30" s="549">
        <v>3371.9497317490004</v>
      </c>
      <c r="D30" s="540">
        <v>3595.481584055</v>
      </c>
      <c r="E30" s="540">
        <v>3291.4588703078684</v>
      </c>
      <c r="F30" s="540">
        <v>3632.1088893042474</v>
      </c>
      <c r="G30" s="540">
        <v>3833.7837565769778</v>
      </c>
      <c r="H30" s="279">
        <f t="shared" si="3"/>
        <v>2.1621870204498128E-2</v>
      </c>
      <c r="I30" s="254"/>
      <c r="J30" s="248"/>
      <c r="K30" s="248"/>
      <c r="L30" s="248"/>
      <c r="M30" s="248"/>
      <c r="N30" s="248"/>
      <c r="O30" s="5"/>
      <c r="Q30" s="5"/>
      <c r="S30" s="88"/>
      <c r="T30" s="42"/>
      <c r="U30" s="42"/>
      <c r="V30" s="147" t="s">
        <v>593</v>
      </c>
      <c r="W30" s="288">
        <f t="shared" si="5"/>
        <v>0.70350982047807187</v>
      </c>
      <c r="X30" s="288">
        <v>1</v>
      </c>
      <c r="Y30" s="42"/>
      <c r="Z30" s="42"/>
      <c r="AA30" s="42"/>
    </row>
    <row r="31" spans="2:27">
      <c r="B31" s="5" t="s">
        <v>590</v>
      </c>
      <c r="C31" s="549">
        <v>1862.0396192999999</v>
      </c>
      <c r="D31" s="540">
        <v>1915.2407512800003</v>
      </c>
      <c r="E31" s="540">
        <v>1995.0424492500001</v>
      </c>
      <c r="F31" s="540">
        <v>2074.8441472200002</v>
      </c>
      <c r="G31" s="540">
        <v>2157.8379131088</v>
      </c>
      <c r="H31" s="279">
        <f t="shared" si="3"/>
        <v>4.0555259048362657E-2</v>
      </c>
      <c r="I31" s="254"/>
      <c r="J31" s="252"/>
      <c r="K31" s="252"/>
      <c r="L31" s="252"/>
      <c r="M31" s="252"/>
      <c r="N31" s="252"/>
      <c r="O31" s="5"/>
      <c r="Q31" s="5"/>
      <c r="S31" s="88"/>
      <c r="T31" s="42"/>
      <c r="U31" s="42"/>
      <c r="V31" s="147" t="s">
        <v>475</v>
      </c>
      <c r="W31" s="288">
        <f t="shared" si="5"/>
        <v>0.80791809957980221</v>
      </c>
      <c r="X31" s="288">
        <v>1</v>
      </c>
      <c r="Y31" s="42"/>
      <c r="Z31" s="42"/>
      <c r="AA31" s="42"/>
    </row>
    <row r="32" spans="2:27">
      <c r="B32" s="5" t="s">
        <v>606</v>
      </c>
      <c r="C32" s="550">
        <v>0</v>
      </c>
      <c r="D32" s="540">
        <v>0</v>
      </c>
      <c r="E32" s="540">
        <v>0</v>
      </c>
      <c r="F32" s="540">
        <v>0</v>
      </c>
      <c r="G32" s="540">
        <v>0</v>
      </c>
      <c r="H32" s="279" t="str">
        <f t="shared" si="3"/>
        <v>nm</v>
      </c>
      <c r="I32" s="254"/>
      <c r="J32" s="254"/>
      <c r="K32" s="254"/>
      <c r="L32" s="254"/>
      <c r="M32" s="254"/>
      <c r="N32" s="254"/>
      <c r="O32" s="251"/>
      <c r="Q32" s="5"/>
      <c r="S32" s="88"/>
      <c r="T32" s="42"/>
      <c r="U32" s="42"/>
      <c r="V32" s="147" t="s">
        <v>533</v>
      </c>
      <c r="W32" s="288">
        <f t="shared" si="5"/>
        <v>0.5702552781802358</v>
      </c>
      <c r="X32" s="288">
        <v>1</v>
      </c>
      <c r="Y32" s="42"/>
      <c r="Z32" s="42"/>
      <c r="AA32" s="42"/>
    </row>
    <row r="33" spans="2:27">
      <c r="B33" s="5" t="s">
        <v>5</v>
      </c>
      <c r="C33" s="549">
        <v>920</v>
      </c>
      <c r="D33" s="540">
        <v>1205</v>
      </c>
      <c r="E33" s="540">
        <v>749.2426709530456</v>
      </c>
      <c r="F33" s="540">
        <v>764.79035058408545</v>
      </c>
      <c r="G33" s="540">
        <v>755.94080982199591</v>
      </c>
      <c r="H33" s="279">
        <f>IF(D33=0,"nm",IF(G33=0,"nm",(G33/D33)^(1/3)-1))</f>
        <v>-0.14394779900777643</v>
      </c>
      <c r="I33" s="5"/>
      <c r="J33" s="254"/>
      <c r="K33" s="254"/>
      <c r="L33" s="254"/>
      <c r="M33" s="254"/>
      <c r="N33" s="254"/>
      <c r="O33" s="251"/>
      <c r="Q33" s="5"/>
      <c r="S33" s="88"/>
      <c r="T33" s="42"/>
      <c r="U33" s="42"/>
      <c r="V33" s="147" t="s">
        <v>580</v>
      </c>
      <c r="W33" s="288">
        <f t="shared" si="5"/>
        <v>1.3508435770501999</v>
      </c>
      <c r="X33" s="288">
        <v>1</v>
      </c>
      <c r="Y33" s="42"/>
      <c r="Z33" s="42"/>
      <c r="AA33" s="42"/>
    </row>
    <row r="34" spans="2:27">
      <c r="D34" s="270"/>
      <c r="E34" s="270"/>
      <c r="F34" s="270"/>
      <c r="G34" s="270"/>
      <c r="H34" s="277"/>
      <c r="I34" s="49"/>
      <c r="J34" s="254"/>
      <c r="K34" s="254"/>
      <c r="L34" s="254"/>
      <c r="M34" s="254"/>
      <c r="N34" s="254"/>
      <c r="O34" s="251"/>
      <c r="Q34" s="5"/>
      <c r="S34" s="88"/>
      <c r="T34" s="42"/>
      <c r="U34" s="42"/>
      <c r="V34" s="147" t="s">
        <v>581</v>
      </c>
      <c r="W34" s="288">
        <f>D47/L19</f>
        <v>1.2377492229968599</v>
      </c>
      <c r="X34" s="288">
        <v>1</v>
      </c>
      <c r="Y34" s="288"/>
      <c r="Z34" s="288"/>
      <c r="AA34" s="42"/>
    </row>
    <row r="35" spans="2:27" ht="12.6" thickBot="1">
      <c r="B35" s="306" t="s">
        <v>726</v>
      </c>
      <c r="C35" s="265"/>
      <c r="D35" s="265" t="str">
        <f>D5</f>
        <v>2023E</v>
      </c>
      <c r="E35" s="265" t="str">
        <f t="shared" ref="E35:H35" si="6">E5</f>
        <v>2024E</v>
      </c>
      <c r="F35" s="265" t="str">
        <f t="shared" si="6"/>
        <v>2025E</v>
      </c>
      <c r="G35" s="265" t="str">
        <f t="shared" si="6"/>
        <v>2026E</v>
      </c>
      <c r="H35" s="265" t="str">
        <f t="shared" si="6"/>
        <v>23E-26E</v>
      </c>
      <c r="I35" s="254"/>
      <c r="J35" s="5"/>
      <c r="K35" s="5"/>
      <c r="L35" s="5"/>
      <c r="M35" s="5"/>
      <c r="N35" s="5"/>
      <c r="O35" s="5"/>
      <c r="Q35" s="5"/>
      <c r="S35" s="88"/>
      <c r="T35" s="42"/>
      <c r="U35" s="42"/>
      <c r="V35" s="42"/>
      <c r="W35" s="42"/>
      <c r="X35" s="42"/>
      <c r="Y35" s="288"/>
      <c r="Z35" s="288"/>
      <c r="AA35" s="42"/>
    </row>
    <row r="36" spans="2:27" ht="12.6" thickTop="1">
      <c r="B36" s="41"/>
      <c r="C36" s="249"/>
      <c r="D36" s="254"/>
      <c r="E36" s="254"/>
      <c r="F36" s="254"/>
      <c r="G36" s="254"/>
      <c r="H36" s="254"/>
      <c r="I36" s="17"/>
      <c r="J36" s="49"/>
      <c r="K36" s="49"/>
      <c r="L36" s="49"/>
      <c r="M36" s="49"/>
      <c r="N36" s="49"/>
      <c r="O36" s="49"/>
      <c r="Q36" s="5"/>
      <c r="S36" s="88"/>
      <c r="T36" s="42"/>
      <c r="U36" s="42"/>
      <c r="V36" s="42"/>
      <c r="W36" s="42"/>
      <c r="X36" s="42"/>
      <c r="Y36" s="288"/>
      <c r="Z36" s="288"/>
      <c r="AA36" s="42"/>
    </row>
    <row r="37" spans="2:27">
      <c r="B37" s="5" t="s">
        <v>273</v>
      </c>
      <c r="C37" s="247"/>
      <c r="D37" s="529">
        <f>D$18/D23</f>
        <v>1.7605801127252176</v>
      </c>
      <c r="E37" s="529">
        <f t="shared" ref="E37:G41" si="7">E$18/E23</f>
        <v>1.6881044986541527</v>
      </c>
      <c r="F37" s="529">
        <f t="shared" si="7"/>
        <v>1.6039112544490037</v>
      </c>
      <c r="G37" s="529">
        <f t="shared" si="7"/>
        <v>1.5118928016192741</v>
      </c>
      <c r="H37" s="17">
        <f t="shared" ref="H37:H45" si="8">H23</f>
        <v>6.5043882742903403E-3</v>
      </c>
      <c r="I37" s="5"/>
      <c r="J37" s="259"/>
      <c r="K37" s="259"/>
      <c r="L37" s="259"/>
      <c r="M37" s="259"/>
      <c r="N37" s="259"/>
      <c r="O37" s="18"/>
      <c r="Q37" s="5"/>
      <c r="R37" s="5"/>
      <c r="S37" s="42"/>
      <c r="T37" s="42"/>
      <c r="U37" s="42"/>
      <c r="V37" s="42"/>
      <c r="W37" s="42"/>
      <c r="X37" s="42"/>
      <c r="Y37" s="42"/>
      <c r="Z37" s="42"/>
      <c r="AA37" s="42"/>
    </row>
    <row r="38" spans="2:27">
      <c r="B38" s="5" t="s">
        <v>184</v>
      </c>
      <c r="C38" s="247"/>
      <c r="D38" s="529">
        <f>D$18/D24</f>
        <v>5.9539251830546549</v>
      </c>
      <c r="E38" s="529">
        <f t="shared" si="7"/>
        <v>5.6652303673753641</v>
      </c>
      <c r="F38" s="529">
        <f t="shared" si="7"/>
        <v>5.300347123573709</v>
      </c>
      <c r="G38" s="529">
        <f t="shared" si="7"/>
        <v>4.9960532911331725</v>
      </c>
      <c r="H38" s="17">
        <f t="shared" si="8"/>
        <v>1.4291638885291391E-2</v>
      </c>
      <c r="I38" s="259"/>
      <c r="J38" s="17"/>
      <c r="K38" s="17"/>
      <c r="L38" s="17"/>
      <c r="M38" s="17"/>
      <c r="N38" s="17"/>
      <c r="O38" s="5"/>
      <c r="Q38" s="5"/>
      <c r="R38" s="5"/>
      <c r="S38" s="42"/>
      <c r="T38" s="42"/>
      <c r="U38" s="42"/>
      <c r="V38" s="42"/>
      <c r="W38" s="42"/>
      <c r="X38" s="42"/>
      <c r="Y38" s="42"/>
      <c r="Z38" s="42"/>
      <c r="AA38" s="42"/>
    </row>
    <row r="39" spans="2:27">
      <c r="B39" s="5" t="s">
        <v>185</v>
      </c>
      <c r="C39" s="247"/>
      <c r="D39" s="529">
        <f>D$18/D25</f>
        <v>12.479404206643741</v>
      </c>
      <c r="E39" s="529">
        <f t="shared" si="7"/>
        <v>11.719822519511178</v>
      </c>
      <c r="F39" s="529">
        <f t="shared" si="7"/>
        <v>10.380073541704133</v>
      </c>
      <c r="G39" s="529">
        <f t="shared" si="7"/>
        <v>9.3558424668997873</v>
      </c>
      <c r="H39" s="17">
        <f t="shared" si="8"/>
        <v>5.3111589597771625E-2</v>
      </c>
      <c r="I39" s="17"/>
      <c r="J39" s="5"/>
      <c r="K39" s="5"/>
      <c r="L39" s="5"/>
      <c r="M39" s="5"/>
      <c r="N39" s="5"/>
      <c r="O39" s="5"/>
      <c r="Q39" s="5"/>
      <c r="R39" s="5"/>
      <c r="S39" s="42"/>
      <c r="T39" s="42"/>
      <c r="U39" s="42"/>
      <c r="V39" s="42"/>
      <c r="W39" s="42"/>
      <c r="X39" s="42"/>
      <c r="Y39" s="42"/>
      <c r="Z39" s="42"/>
      <c r="AA39" s="42"/>
    </row>
    <row r="40" spans="2:27">
      <c r="B40" s="5" t="s">
        <v>466</v>
      </c>
      <c r="C40" s="247"/>
      <c r="D40" s="529">
        <f>D$18/D26</f>
        <v>16.724595569733424</v>
      </c>
      <c r="E40" s="529">
        <f t="shared" si="7"/>
        <v>15.706311191503969</v>
      </c>
      <c r="F40" s="529">
        <f t="shared" si="7"/>
        <v>13.912958482626681</v>
      </c>
      <c r="G40" s="529">
        <f t="shared" si="7"/>
        <v>12.60879154587122</v>
      </c>
      <c r="H40" s="17">
        <f t="shared" si="8"/>
        <v>5.1150243179170607E-2</v>
      </c>
      <c r="I40" s="5"/>
      <c r="J40" s="259"/>
      <c r="K40" s="259"/>
      <c r="L40" s="259"/>
      <c r="M40" s="259"/>
      <c r="N40" s="259"/>
      <c r="O40" s="18"/>
      <c r="Q40" s="5"/>
      <c r="R40" s="5"/>
      <c r="S40" s="42"/>
      <c r="T40" s="42"/>
      <c r="U40" s="42"/>
      <c r="V40" s="42"/>
      <c r="W40" s="288"/>
      <c r="X40" s="288"/>
      <c r="Y40" s="42"/>
      <c r="Z40" s="42"/>
      <c r="AA40" s="42"/>
    </row>
    <row r="41" spans="2:27">
      <c r="B41" s="5" t="s">
        <v>530</v>
      </c>
      <c r="C41" s="247"/>
      <c r="D41" s="529">
        <f>D$18/D27</f>
        <v>1.2850043377377403</v>
      </c>
      <c r="E41" s="529">
        <f t="shared" si="7"/>
        <v>1.2252457206178766</v>
      </c>
      <c r="F41" s="529">
        <f t="shared" si="7"/>
        <v>1.1639641224510242</v>
      </c>
      <c r="G41" s="529">
        <f t="shared" si="7"/>
        <v>1.1027276131512562</v>
      </c>
      <c r="H41" s="17">
        <f t="shared" si="8"/>
        <v>6.7373699189470226E-3</v>
      </c>
      <c r="I41" s="247"/>
      <c r="J41" s="17"/>
      <c r="K41" s="17"/>
      <c r="L41" s="17"/>
      <c r="M41" s="17"/>
      <c r="N41" s="17"/>
      <c r="O41" s="5"/>
      <c r="Q41" s="5"/>
      <c r="R41" s="5"/>
      <c r="S41" s="42"/>
      <c r="T41" s="42"/>
      <c r="U41" s="42"/>
      <c r="V41" s="42"/>
      <c r="W41" s="288"/>
      <c r="X41" s="288"/>
      <c r="Y41" s="288"/>
      <c r="Z41" s="288"/>
      <c r="AA41" s="42"/>
    </row>
    <row r="42" spans="2:27">
      <c r="B42" s="5" t="s">
        <v>593</v>
      </c>
      <c r="C42" s="247"/>
      <c r="D42" s="529">
        <f>D18/D28</f>
        <v>2.3381003792499131</v>
      </c>
      <c r="E42" s="529">
        <f>E18/E28</f>
        <v>2.2454688373211527</v>
      </c>
      <c r="F42" s="529">
        <f>F18/F28</f>
        <v>2.1452307230839773</v>
      </c>
      <c r="G42" s="529">
        <f>G18/G28</f>
        <v>2.0404618282319444</v>
      </c>
      <c r="H42" s="17">
        <f t="shared" si="8"/>
        <v>1.1111562055841073E-3</v>
      </c>
      <c r="I42" s="248"/>
      <c r="J42" s="5"/>
      <c r="K42" s="5"/>
      <c r="L42" s="5"/>
      <c r="M42" s="5"/>
      <c r="N42" s="5"/>
      <c r="O42" s="5"/>
      <c r="Q42" s="5"/>
      <c r="R42" s="5"/>
      <c r="S42" s="42"/>
      <c r="T42" s="42"/>
      <c r="U42" s="42"/>
      <c r="V42" s="42"/>
      <c r="W42" s="288"/>
      <c r="X42" s="288"/>
      <c r="Y42" s="288"/>
      <c r="Z42" s="288"/>
      <c r="AA42" s="42"/>
    </row>
    <row r="43" spans="2:27">
      <c r="B43" s="5" t="s">
        <v>475</v>
      </c>
      <c r="C43" s="247"/>
      <c r="D43" s="529">
        <f>L26/D29</f>
        <v>12.417050717351465</v>
      </c>
      <c r="E43" s="529">
        <f>M26/E29</f>
        <v>13.915476518465862</v>
      </c>
      <c r="F43" s="529">
        <f>N26/F29</f>
        <v>11.173142908088039</v>
      </c>
      <c r="G43" s="529">
        <f>O26/G29</f>
        <v>9.5865100945433923</v>
      </c>
      <c r="H43" s="17">
        <f t="shared" si="8"/>
        <v>9.0065614685052475E-2</v>
      </c>
      <c r="I43" s="247"/>
      <c r="J43" s="247"/>
      <c r="K43" s="247"/>
      <c r="L43" s="247"/>
      <c r="M43" s="247"/>
      <c r="N43" s="247"/>
      <c r="O43" s="18"/>
      <c r="Q43" s="5"/>
      <c r="R43" s="5"/>
      <c r="S43" s="42"/>
      <c r="T43" s="42"/>
      <c r="U43" s="42"/>
      <c r="V43" s="42"/>
      <c r="W43" s="288"/>
      <c r="X43" s="288"/>
      <c r="Y43" s="288"/>
      <c r="Z43" s="288"/>
      <c r="AA43" s="42"/>
    </row>
    <row r="44" spans="2:27">
      <c r="B44" s="5" t="s">
        <v>533</v>
      </c>
      <c r="C44" s="69"/>
      <c r="D44" s="529">
        <f>D11/D30</f>
        <v>7.8977192708354105</v>
      </c>
      <c r="E44" s="529">
        <f>E11/E30</f>
        <v>8.6272091838926599</v>
      </c>
      <c r="F44" s="529">
        <f>F11/F30</f>
        <v>7.8180762360801488</v>
      </c>
      <c r="G44" s="529">
        <f>G11/G30</f>
        <v>7.4068090422707291</v>
      </c>
      <c r="H44" s="17">
        <f t="shared" si="8"/>
        <v>2.1621870204498128E-2</v>
      </c>
      <c r="I44" s="247"/>
      <c r="J44" s="248"/>
      <c r="K44" s="248"/>
      <c r="L44" s="248"/>
      <c r="M44" s="248"/>
      <c r="N44" s="248"/>
      <c r="O44" s="248"/>
      <c r="Q44" s="5"/>
      <c r="R44" s="5"/>
      <c r="S44" s="42"/>
      <c r="T44" s="42"/>
      <c r="U44" s="42"/>
      <c r="V44" s="42"/>
      <c r="W44" s="325"/>
      <c r="X44" s="325"/>
      <c r="Y44" s="288"/>
      <c r="Z44" s="288"/>
      <c r="AA44" s="42"/>
    </row>
    <row r="45" spans="2:27">
      <c r="B45" s="5" t="s">
        <v>580</v>
      </c>
      <c r="C45" s="247"/>
      <c r="D45" s="248">
        <f>D31/D11</f>
        <v>6.7447306791569087E-2</v>
      </c>
      <c r="E45" s="248">
        <f>E31/E11</f>
        <v>7.0257611241217793E-2</v>
      </c>
      <c r="F45" s="248">
        <f>F31/F11</f>
        <v>7.3067915690866514E-2</v>
      </c>
      <c r="G45" s="248">
        <f>G31/G11</f>
        <v>7.5990632318501158E-2</v>
      </c>
      <c r="H45" s="17">
        <f t="shared" si="8"/>
        <v>4.0555259048362657E-2</v>
      </c>
      <c r="I45" s="248"/>
      <c r="J45" s="247"/>
      <c r="K45" s="247"/>
      <c r="L45" s="247"/>
      <c r="M45" s="247"/>
      <c r="N45" s="247"/>
      <c r="O45" s="248"/>
      <c r="Q45" s="5"/>
      <c r="R45" s="5"/>
      <c r="S45" s="42"/>
      <c r="T45" s="42"/>
      <c r="U45" s="42"/>
      <c r="V45" s="42"/>
      <c r="W45" s="42"/>
      <c r="X45" s="42"/>
      <c r="Y45" s="325"/>
      <c r="Z45" s="325"/>
      <c r="AA45" s="42"/>
    </row>
    <row r="46" spans="2:27">
      <c r="B46" s="5" t="s">
        <v>605</v>
      </c>
      <c r="C46" s="247"/>
      <c r="D46" s="248">
        <f>(D31+D32)/D11</f>
        <v>6.7447306791569087E-2</v>
      </c>
      <c r="E46" s="248">
        <f>(E31+E32)/E11</f>
        <v>7.0257611241217793E-2</v>
      </c>
      <c r="F46" s="248">
        <f>(F31+F32)/F11</f>
        <v>7.3067915690866514E-2</v>
      </c>
      <c r="G46" s="248">
        <f>(G31+G32)/G11</f>
        <v>7.5990632318501158E-2</v>
      </c>
      <c r="H46" s="279">
        <f>((G31+G32)/(D31+D32))^(1/3)-1</f>
        <v>4.0555259048362657E-2</v>
      </c>
      <c r="I46" s="247"/>
      <c r="J46" s="247"/>
      <c r="K46" s="247"/>
      <c r="L46" s="247"/>
      <c r="M46" s="247"/>
      <c r="N46" s="247"/>
      <c r="O46" s="18"/>
      <c r="Q46" s="5"/>
      <c r="R46" s="5"/>
      <c r="S46" s="42"/>
      <c r="T46" s="42"/>
      <c r="U46" s="42"/>
      <c r="V46" s="42"/>
      <c r="W46" s="42"/>
      <c r="X46" s="42"/>
      <c r="Y46" s="42"/>
      <c r="Z46" s="42"/>
      <c r="AA46" s="326"/>
    </row>
    <row r="47" spans="2:27">
      <c r="B47" s="5" t="s">
        <v>581</v>
      </c>
      <c r="C47" s="5"/>
      <c r="D47" s="248">
        <f>1/D43</f>
        <v>8.053442180135495E-2</v>
      </c>
      <c r="E47" s="248">
        <f>1/E43</f>
        <v>7.1862433073922996E-2</v>
      </c>
      <c r="F47" s="248">
        <f>1/F43</f>
        <v>8.9500332021719489E-2</v>
      </c>
      <c r="G47" s="248">
        <f>1/G43</f>
        <v>0.10431324748400322</v>
      </c>
      <c r="H47" s="17">
        <f>H29</f>
        <v>9.0065614685052475E-2</v>
      </c>
      <c r="I47" s="17"/>
      <c r="J47" s="248"/>
      <c r="K47" s="248"/>
      <c r="L47" s="248"/>
      <c r="M47" s="248"/>
      <c r="N47" s="248"/>
      <c r="O47" s="248"/>
      <c r="Q47" s="5"/>
      <c r="R47" s="5"/>
      <c r="S47" s="42"/>
      <c r="T47" s="42"/>
      <c r="U47" s="42"/>
      <c r="V47" s="42"/>
      <c r="W47" s="42"/>
      <c r="X47" s="42"/>
      <c r="Y47" s="42"/>
      <c r="Z47" s="42"/>
      <c r="AA47" s="326"/>
    </row>
    <row r="48" spans="2:27">
      <c r="B48" s="5" t="s">
        <v>618</v>
      </c>
      <c r="C48" s="5"/>
      <c r="D48" s="305">
        <f>D31/D29</f>
        <v>0.83749662917967727</v>
      </c>
      <c r="E48" s="305">
        <f>E31/E29</f>
        <v>0.97766813947066944</v>
      </c>
      <c r="F48" s="305">
        <f>F31/F29</f>
        <v>0.81639826401018001</v>
      </c>
      <c r="G48" s="305">
        <f>G31/G29</f>
        <v>0.72848496381204675</v>
      </c>
      <c r="H48" s="279" t="s">
        <v>607</v>
      </c>
      <c r="I48" s="247"/>
      <c r="J48" s="247"/>
      <c r="K48" s="247"/>
      <c r="L48" s="247"/>
      <c r="M48" s="247"/>
      <c r="N48" s="247"/>
      <c r="O48" s="248"/>
      <c r="Q48" s="5"/>
      <c r="R48" s="5"/>
      <c r="S48" s="42"/>
      <c r="T48" s="42"/>
      <c r="U48" s="42"/>
      <c r="V48" s="42"/>
      <c r="W48" s="42"/>
      <c r="X48" s="42"/>
      <c r="Y48" s="42"/>
      <c r="Z48" s="42"/>
      <c r="AA48" s="326"/>
    </row>
    <row r="49" spans="2:27">
      <c r="B49" s="41"/>
      <c r="C49" s="17"/>
      <c r="D49" s="17"/>
      <c r="E49" s="17"/>
      <c r="F49" s="17"/>
      <c r="G49" s="17"/>
      <c r="H49" s="17"/>
      <c r="I49" s="254"/>
      <c r="J49" s="17"/>
      <c r="K49" s="17"/>
      <c r="L49" s="17"/>
      <c r="M49" s="17"/>
      <c r="N49" s="17"/>
      <c r="O49" s="248"/>
      <c r="Q49" s="5"/>
      <c r="R49" s="5"/>
      <c r="S49" s="42"/>
      <c r="T49" s="42"/>
      <c r="U49" s="42"/>
      <c r="V49" s="42"/>
      <c r="W49" s="42"/>
      <c r="X49" s="42"/>
      <c r="Y49" s="42"/>
      <c r="Z49" s="42"/>
      <c r="AA49" s="326"/>
    </row>
    <row r="50" spans="2:27">
      <c r="B50" s="5"/>
      <c r="C50" s="257"/>
      <c r="D50" s="257"/>
      <c r="E50" s="257"/>
      <c r="F50" s="5"/>
      <c r="G50" s="41"/>
      <c r="H50" s="249"/>
      <c r="I50" s="17"/>
      <c r="J50" s="249"/>
      <c r="K50" s="249"/>
      <c r="L50" s="249"/>
      <c r="M50" s="249"/>
      <c r="N50" s="249"/>
      <c r="O50" s="250"/>
      <c r="Q50" s="5"/>
      <c r="R50" s="5"/>
      <c r="S50" s="42"/>
      <c r="T50" s="42"/>
      <c r="U50" s="42"/>
      <c r="V50" s="42"/>
      <c r="W50" s="288"/>
      <c r="X50" s="288"/>
      <c r="Y50" s="42"/>
      <c r="Z50" s="42"/>
      <c r="AA50" s="326"/>
    </row>
    <row r="51" spans="2:27">
      <c r="B51" s="41"/>
      <c r="C51" s="249"/>
      <c r="D51" s="254"/>
      <c r="E51" s="254"/>
      <c r="F51" s="254"/>
      <c r="G51" s="254"/>
      <c r="H51" s="254"/>
      <c r="I51" s="259"/>
      <c r="J51" s="254"/>
      <c r="K51" s="254"/>
      <c r="L51" s="254"/>
      <c r="M51" s="254"/>
      <c r="N51" s="254"/>
      <c r="O51" s="251"/>
      <c r="Q51" s="5"/>
      <c r="R51" s="5"/>
      <c r="S51" s="42"/>
      <c r="T51" s="42"/>
      <c r="U51" s="42"/>
      <c r="V51" s="42"/>
      <c r="W51" s="288"/>
      <c r="X51" s="288"/>
      <c r="Y51" s="288"/>
      <c r="Z51" s="288"/>
      <c r="AA51" s="42"/>
    </row>
    <row r="52" spans="2:27">
      <c r="B52" s="5"/>
      <c r="C52" s="257"/>
      <c r="D52" s="17"/>
      <c r="E52" s="17"/>
      <c r="F52" s="17"/>
      <c r="G52" s="17"/>
      <c r="H52" s="17"/>
      <c r="I52" s="254"/>
      <c r="J52" s="17"/>
      <c r="K52" s="17"/>
      <c r="L52" s="17"/>
      <c r="M52" s="17"/>
      <c r="N52" s="17"/>
      <c r="O52" s="248"/>
      <c r="Q52" s="5"/>
      <c r="R52" s="5"/>
      <c r="S52" s="5"/>
      <c r="Y52" s="10"/>
      <c r="Z52" s="10"/>
    </row>
    <row r="53" spans="2:27">
      <c r="B53" s="5"/>
      <c r="C53" s="257"/>
      <c r="D53" s="257"/>
      <c r="E53" s="257"/>
      <c r="F53" s="5"/>
      <c r="G53" s="5"/>
      <c r="H53" s="259"/>
      <c r="I53" s="17"/>
      <c r="J53" s="259"/>
      <c r="K53" s="259"/>
      <c r="L53" s="259"/>
      <c r="M53" s="259"/>
      <c r="N53" s="259"/>
      <c r="O53" s="18"/>
      <c r="Q53" s="5"/>
      <c r="R53" s="5"/>
      <c r="S53" s="5"/>
    </row>
    <row r="54" spans="2:27">
      <c r="B54" s="41"/>
      <c r="C54" s="249"/>
      <c r="D54" s="254"/>
      <c r="E54" s="254"/>
      <c r="F54" s="254"/>
      <c r="G54" s="254"/>
      <c r="H54" s="254"/>
      <c r="I54" s="259"/>
      <c r="J54" s="254"/>
      <c r="K54" s="254"/>
      <c r="L54" s="254"/>
      <c r="M54" s="254"/>
      <c r="N54" s="254"/>
      <c r="O54" s="251"/>
      <c r="Q54" s="5"/>
      <c r="R54" s="5"/>
      <c r="S54" s="5"/>
    </row>
    <row r="55" spans="2:27">
      <c r="B55" s="5"/>
      <c r="C55" s="257"/>
      <c r="D55" s="17"/>
      <c r="E55" s="17"/>
      <c r="F55" s="17"/>
      <c r="G55" s="17"/>
      <c r="H55" s="17"/>
      <c r="I55" s="249"/>
      <c r="J55" s="17"/>
      <c r="K55" s="17"/>
      <c r="L55" s="17"/>
      <c r="M55" s="17"/>
      <c r="N55" s="17"/>
      <c r="O55" s="18"/>
      <c r="Q55" s="5"/>
      <c r="R55" s="5"/>
      <c r="S55" s="5"/>
    </row>
    <row r="56" spans="2:27">
      <c r="B56" s="5"/>
      <c r="C56" s="248"/>
      <c r="D56" s="248"/>
      <c r="E56" s="248"/>
      <c r="F56" s="5"/>
      <c r="G56" s="5"/>
      <c r="H56" s="259"/>
      <c r="I56" s="248"/>
      <c r="J56" s="259"/>
      <c r="K56" s="259"/>
      <c r="L56" s="259"/>
      <c r="M56" s="259"/>
      <c r="N56" s="259"/>
      <c r="O56" s="18"/>
      <c r="Q56" s="5"/>
      <c r="R56" s="5"/>
      <c r="S56" s="5"/>
    </row>
    <row r="57" spans="2:27">
      <c r="B57" s="41"/>
      <c r="C57" s="249"/>
      <c r="D57" s="249"/>
      <c r="E57" s="249"/>
      <c r="F57" s="249"/>
      <c r="G57" s="249"/>
      <c r="H57" s="249"/>
      <c r="I57" s="5"/>
      <c r="J57" s="249"/>
      <c r="K57" s="249"/>
      <c r="L57" s="249"/>
      <c r="M57" s="249"/>
      <c r="N57" s="249"/>
      <c r="O57" s="251"/>
      <c r="Q57" s="5"/>
      <c r="R57" s="5"/>
      <c r="S57" s="5"/>
    </row>
    <row r="58" spans="2:27">
      <c r="B58" s="5"/>
      <c r="C58" s="5"/>
      <c r="D58" s="248"/>
      <c r="E58" s="248"/>
      <c r="F58" s="248"/>
      <c r="G58" s="248"/>
      <c r="H58" s="248"/>
      <c r="I58" s="17"/>
      <c r="J58" s="248"/>
      <c r="K58" s="248"/>
      <c r="L58" s="248"/>
      <c r="M58" s="248"/>
      <c r="N58" s="248"/>
      <c r="O58" s="18"/>
      <c r="Q58" s="5"/>
      <c r="R58" s="5"/>
      <c r="S58" s="5"/>
    </row>
    <row r="59" spans="2:27">
      <c r="B59" s="5"/>
      <c r="C59" s="5"/>
      <c r="D59" s="5"/>
      <c r="E59" s="5"/>
      <c r="F59" s="5"/>
      <c r="G59" s="5"/>
      <c r="H59" s="5"/>
      <c r="I59" s="5"/>
      <c r="J59" s="5"/>
      <c r="K59" s="5"/>
      <c r="L59" s="5"/>
      <c r="M59" s="5"/>
      <c r="N59" s="5"/>
      <c r="O59" s="5"/>
      <c r="Q59" s="5"/>
      <c r="R59" s="5"/>
      <c r="S59" s="5"/>
    </row>
    <row r="60" spans="2:27">
      <c r="B60" s="41"/>
      <c r="C60" s="17"/>
      <c r="D60" s="17"/>
      <c r="E60" s="17"/>
      <c r="F60" s="17"/>
      <c r="G60" s="17"/>
      <c r="H60" s="17"/>
      <c r="I60" s="249"/>
      <c r="J60" s="17"/>
      <c r="K60" s="17"/>
      <c r="L60" s="17"/>
      <c r="M60" s="17"/>
      <c r="N60" s="17"/>
      <c r="O60" s="251"/>
      <c r="Q60" s="5"/>
      <c r="R60" s="5"/>
      <c r="S60" s="5"/>
    </row>
    <row r="61" spans="2:27">
      <c r="B61" s="5"/>
      <c r="C61" s="5"/>
      <c r="D61" s="5"/>
      <c r="E61" s="5"/>
      <c r="F61" s="5"/>
      <c r="G61" s="5"/>
      <c r="H61" s="5"/>
      <c r="I61" s="5"/>
      <c r="J61" s="5"/>
      <c r="K61" s="5"/>
      <c r="L61" s="5"/>
      <c r="M61" s="5"/>
      <c r="N61" s="5"/>
      <c r="O61" s="5"/>
      <c r="Q61" s="41"/>
      <c r="R61" s="5"/>
      <c r="S61" s="5"/>
    </row>
    <row r="62" spans="2:27">
      <c r="B62" s="41"/>
      <c r="C62" s="249"/>
      <c r="D62" s="249"/>
      <c r="E62" s="249"/>
      <c r="F62" s="249"/>
      <c r="G62" s="249"/>
      <c r="H62" s="249"/>
      <c r="I62" s="5"/>
      <c r="J62" s="249"/>
      <c r="K62" s="249"/>
      <c r="L62" s="249"/>
      <c r="M62" s="249"/>
      <c r="N62" s="249"/>
      <c r="O62" s="251"/>
      <c r="Q62" s="5"/>
      <c r="R62" s="5"/>
      <c r="S62" s="5"/>
    </row>
    <row r="63" spans="2:27">
      <c r="B63" s="5"/>
      <c r="C63" s="5"/>
      <c r="D63" s="5"/>
      <c r="E63" s="5"/>
      <c r="F63" s="5"/>
      <c r="G63" s="5"/>
      <c r="H63" s="5"/>
      <c r="I63" s="254"/>
      <c r="J63" s="5"/>
      <c r="K63" s="5"/>
      <c r="L63" s="5"/>
      <c r="M63" s="5"/>
      <c r="N63" s="5"/>
      <c r="O63" s="5"/>
      <c r="Q63" s="5"/>
      <c r="R63" s="5"/>
      <c r="S63" s="5"/>
    </row>
    <row r="64" spans="2:27">
      <c r="B64" s="5"/>
      <c r="C64" s="5"/>
      <c r="D64" s="5"/>
      <c r="E64" s="5"/>
      <c r="F64" s="5"/>
      <c r="G64" s="5"/>
      <c r="H64" s="5"/>
      <c r="I64" s="17"/>
      <c r="J64" s="5"/>
      <c r="K64" s="5"/>
      <c r="L64" s="5"/>
      <c r="M64" s="5"/>
      <c r="N64" s="5"/>
      <c r="O64" s="5"/>
      <c r="Q64" s="5"/>
      <c r="R64" s="5"/>
      <c r="S64" s="5"/>
    </row>
    <row r="65" spans="2:26">
      <c r="B65" s="41"/>
      <c r="C65" s="249"/>
      <c r="D65" s="254"/>
      <c r="E65" s="254"/>
      <c r="F65" s="254"/>
      <c r="G65" s="254"/>
      <c r="H65" s="254"/>
      <c r="I65" s="254"/>
      <c r="J65" s="254"/>
      <c r="K65" s="254"/>
      <c r="L65" s="254"/>
      <c r="M65" s="254"/>
      <c r="N65" s="254"/>
      <c r="O65" s="251"/>
      <c r="Q65" s="5"/>
      <c r="R65" s="5"/>
      <c r="S65" s="5"/>
    </row>
    <row r="66" spans="2:26">
      <c r="B66" s="5"/>
      <c r="C66" s="5"/>
      <c r="D66" s="17"/>
      <c r="E66" s="17"/>
      <c r="F66" s="17"/>
      <c r="G66" s="17"/>
      <c r="H66" s="17"/>
      <c r="I66" s="248"/>
      <c r="J66" s="17"/>
      <c r="K66" s="17"/>
      <c r="L66" s="17"/>
      <c r="M66" s="17"/>
      <c r="N66" s="17"/>
      <c r="O66" s="5"/>
      <c r="Q66" s="5"/>
      <c r="R66" s="5"/>
      <c r="S66" s="5"/>
    </row>
    <row r="67" spans="2:26">
      <c r="B67" s="41"/>
      <c r="C67" s="249"/>
      <c r="D67" s="254"/>
      <c r="E67" s="254"/>
      <c r="F67" s="254"/>
      <c r="G67" s="254"/>
      <c r="H67" s="254"/>
      <c r="I67" s="5"/>
      <c r="J67" s="254"/>
      <c r="K67" s="254"/>
      <c r="L67" s="254"/>
      <c r="M67" s="254"/>
      <c r="N67" s="254"/>
      <c r="O67" s="251"/>
      <c r="Q67" s="41"/>
      <c r="R67" s="5"/>
      <c r="S67" s="5"/>
    </row>
    <row r="68" spans="2:26">
      <c r="B68" s="5"/>
      <c r="C68" s="5"/>
      <c r="D68" s="248"/>
      <c r="E68" s="248"/>
      <c r="F68" s="248"/>
      <c r="G68" s="248"/>
      <c r="H68" s="248"/>
      <c r="I68" s="245"/>
      <c r="J68" s="248"/>
      <c r="K68" s="248"/>
      <c r="L68" s="248"/>
      <c r="M68" s="248"/>
      <c r="N68" s="248"/>
      <c r="O68" s="5"/>
      <c r="Q68" s="5"/>
      <c r="R68" s="5"/>
      <c r="S68" s="5"/>
    </row>
    <row r="69" spans="2:26">
      <c r="B69" s="41"/>
      <c r="C69" s="5"/>
      <c r="D69" s="5"/>
      <c r="E69" s="5"/>
      <c r="F69" s="5"/>
      <c r="G69" s="5"/>
      <c r="H69" s="5"/>
      <c r="I69" s="248"/>
      <c r="J69" s="5"/>
      <c r="K69" s="5"/>
      <c r="L69" s="5"/>
      <c r="M69" s="5"/>
      <c r="N69" s="5"/>
      <c r="O69" s="5"/>
      <c r="Q69" s="5"/>
      <c r="R69" s="5"/>
      <c r="S69" s="5"/>
    </row>
    <row r="70" spans="2:26">
      <c r="B70" s="41"/>
      <c r="C70" s="245"/>
      <c r="D70" s="245"/>
      <c r="E70" s="245"/>
      <c r="F70" s="245"/>
      <c r="G70" s="245"/>
      <c r="H70" s="245"/>
      <c r="I70" s="5"/>
      <c r="J70" s="245"/>
      <c r="K70" s="245"/>
      <c r="L70" s="245"/>
      <c r="M70" s="245"/>
      <c r="N70" s="245"/>
      <c r="O70" s="251"/>
      <c r="Q70" s="5"/>
      <c r="R70" s="5"/>
      <c r="S70" s="5"/>
      <c r="W70" s="76"/>
      <c r="X70" s="76"/>
    </row>
    <row r="71" spans="2:26">
      <c r="B71" s="5"/>
      <c r="C71" s="5"/>
      <c r="D71" s="248"/>
      <c r="E71" s="248"/>
      <c r="F71" s="248"/>
      <c r="G71" s="248"/>
      <c r="H71" s="248"/>
      <c r="I71" s="245"/>
      <c r="J71" s="248"/>
      <c r="K71" s="248"/>
      <c r="L71" s="248"/>
      <c r="M71" s="248"/>
      <c r="N71" s="248"/>
      <c r="O71" s="5"/>
      <c r="Q71" s="5"/>
      <c r="R71" s="5"/>
      <c r="S71" s="5"/>
      <c r="W71" s="76"/>
      <c r="X71" s="76"/>
      <c r="Y71" s="76"/>
      <c r="Z71" s="76"/>
    </row>
    <row r="72" spans="2:26">
      <c r="B72" s="41"/>
      <c r="C72" s="5"/>
      <c r="D72" s="5"/>
      <c r="E72" s="5"/>
      <c r="F72" s="5"/>
      <c r="G72" s="5"/>
      <c r="H72" s="5"/>
      <c r="I72" s="18"/>
      <c r="J72" s="5"/>
      <c r="K72" s="5"/>
      <c r="L72" s="5"/>
      <c r="M72" s="5"/>
      <c r="N72" s="5"/>
      <c r="O72" s="5"/>
      <c r="Q72" s="5"/>
      <c r="R72" s="5"/>
      <c r="S72" s="5"/>
      <c r="Y72" s="76"/>
      <c r="Z72" s="76"/>
    </row>
    <row r="73" spans="2:26">
      <c r="B73" s="41"/>
      <c r="C73" s="245"/>
      <c r="D73" s="245"/>
      <c r="E73" s="245"/>
      <c r="F73" s="245"/>
      <c r="G73" s="245"/>
      <c r="H73" s="245"/>
      <c r="I73" s="5"/>
      <c r="J73" s="245"/>
      <c r="K73" s="245"/>
      <c r="L73" s="245"/>
      <c r="M73" s="245"/>
      <c r="N73" s="245"/>
      <c r="O73" s="251"/>
      <c r="Q73" s="5"/>
      <c r="R73" s="5"/>
      <c r="S73" s="5"/>
    </row>
    <row r="74" spans="2:26">
      <c r="B74" s="5"/>
      <c r="C74" s="5"/>
      <c r="D74" s="18"/>
      <c r="E74" s="18"/>
      <c r="F74" s="18"/>
      <c r="G74" s="18"/>
      <c r="H74" s="18"/>
      <c r="I74" s="249"/>
      <c r="J74" s="18"/>
      <c r="K74" s="18"/>
      <c r="L74" s="18"/>
      <c r="M74" s="18"/>
      <c r="N74" s="18"/>
      <c r="O74" s="5"/>
      <c r="Q74" s="5"/>
      <c r="R74" s="5"/>
      <c r="S74" s="5"/>
    </row>
    <row r="75" spans="2:26">
      <c r="B75" s="41"/>
      <c r="C75" s="5"/>
      <c r="D75" s="5"/>
      <c r="E75" s="5"/>
      <c r="F75" s="5"/>
      <c r="G75" s="5"/>
      <c r="H75" s="5"/>
      <c r="I75" s="248"/>
      <c r="J75" s="5"/>
      <c r="K75" s="5"/>
      <c r="L75" s="5"/>
      <c r="M75" s="5"/>
      <c r="N75" s="5"/>
      <c r="O75" s="5"/>
      <c r="Q75" s="5"/>
      <c r="R75" s="5"/>
      <c r="S75" s="5"/>
    </row>
    <row r="76" spans="2:26">
      <c r="B76" s="41"/>
      <c r="C76" s="249"/>
      <c r="D76" s="249"/>
      <c r="E76" s="249"/>
      <c r="F76" s="249"/>
      <c r="G76" s="249"/>
      <c r="H76" s="249"/>
      <c r="I76" s="5"/>
      <c r="J76" s="249"/>
      <c r="K76" s="249"/>
      <c r="L76" s="249"/>
      <c r="M76" s="249"/>
      <c r="N76" s="249"/>
      <c r="O76" s="251"/>
      <c r="Q76" s="5"/>
      <c r="R76" s="5"/>
      <c r="S76" s="5"/>
    </row>
    <row r="77" spans="2:26">
      <c r="B77" s="5"/>
      <c r="C77" s="5"/>
      <c r="D77" s="248"/>
      <c r="E77" s="248"/>
      <c r="F77" s="248"/>
      <c r="G77" s="248"/>
      <c r="H77" s="248"/>
      <c r="I77" s="245"/>
      <c r="J77" s="248"/>
      <c r="K77" s="248"/>
      <c r="L77" s="248"/>
      <c r="M77" s="248"/>
      <c r="N77" s="248"/>
      <c r="O77" s="5"/>
      <c r="Q77" s="5"/>
      <c r="R77" s="5"/>
      <c r="S77" s="5"/>
    </row>
    <row r="78" spans="2:26">
      <c r="B78" s="41"/>
      <c r="C78" s="5"/>
      <c r="D78" s="5"/>
      <c r="E78" s="5"/>
      <c r="F78" s="5"/>
      <c r="G78" s="5"/>
      <c r="H78" s="5"/>
      <c r="I78" s="248"/>
      <c r="J78" s="5"/>
      <c r="K78" s="5"/>
      <c r="L78" s="5"/>
      <c r="M78" s="5"/>
      <c r="N78" s="5"/>
      <c r="O78" s="5"/>
      <c r="Q78" s="5"/>
      <c r="R78" s="5"/>
      <c r="S78" s="5"/>
    </row>
    <row r="79" spans="2:26">
      <c r="B79" s="41"/>
      <c r="C79" s="245"/>
      <c r="D79" s="245"/>
      <c r="E79" s="245"/>
      <c r="F79" s="245"/>
      <c r="G79" s="245"/>
      <c r="H79" s="245"/>
      <c r="I79" s="5"/>
      <c r="J79" s="245"/>
      <c r="K79" s="245"/>
      <c r="L79" s="245"/>
      <c r="M79" s="245"/>
      <c r="N79" s="245"/>
      <c r="O79" s="251"/>
      <c r="Q79" s="5"/>
      <c r="R79" s="5"/>
      <c r="S79" s="5"/>
    </row>
    <row r="80" spans="2:26">
      <c r="B80" s="5"/>
      <c r="C80" s="5"/>
      <c r="D80" s="248"/>
      <c r="E80" s="248"/>
      <c r="F80" s="248"/>
      <c r="G80" s="248"/>
      <c r="H80" s="248"/>
      <c r="I80" s="249"/>
      <c r="J80" s="248"/>
      <c r="K80" s="248"/>
      <c r="L80" s="248"/>
      <c r="M80" s="248"/>
      <c r="N80" s="248"/>
      <c r="O80" s="5"/>
      <c r="Q80" s="5"/>
      <c r="R80" s="5"/>
      <c r="S80" s="5"/>
    </row>
    <row r="81" spans="2:26">
      <c r="B81" s="41"/>
      <c r="C81" s="5"/>
      <c r="D81" s="5"/>
      <c r="E81" s="5"/>
      <c r="F81" s="5"/>
      <c r="G81" s="5"/>
      <c r="H81" s="5"/>
      <c r="I81" s="248"/>
      <c r="J81" s="5"/>
      <c r="K81" s="5"/>
      <c r="L81" s="5"/>
      <c r="M81" s="5"/>
      <c r="N81" s="5"/>
      <c r="O81" s="5"/>
      <c r="Q81" s="5"/>
      <c r="R81" s="5"/>
      <c r="S81" s="5"/>
    </row>
    <row r="82" spans="2:26">
      <c r="B82" s="41"/>
      <c r="C82" s="249"/>
      <c r="D82" s="249"/>
      <c r="E82" s="249"/>
      <c r="F82" s="249"/>
      <c r="G82" s="249"/>
      <c r="H82" s="249"/>
      <c r="I82" s="259"/>
      <c r="J82" s="249"/>
      <c r="K82" s="249"/>
      <c r="L82" s="249"/>
      <c r="M82" s="249"/>
      <c r="N82" s="249"/>
      <c r="O82" s="251"/>
      <c r="Q82" s="5"/>
      <c r="R82" s="5"/>
      <c r="S82" s="5"/>
    </row>
    <row r="83" spans="2:26">
      <c r="B83" s="5"/>
      <c r="C83" s="5"/>
      <c r="D83" s="248"/>
      <c r="E83" s="248"/>
      <c r="F83" s="248"/>
      <c r="G83" s="248"/>
      <c r="H83" s="248"/>
      <c r="I83" s="5"/>
      <c r="J83" s="248"/>
      <c r="K83" s="248"/>
      <c r="L83" s="248"/>
      <c r="M83" s="248"/>
      <c r="N83" s="248"/>
      <c r="O83" s="5"/>
      <c r="Q83" s="5"/>
      <c r="R83" s="5"/>
      <c r="S83" s="5"/>
    </row>
    <row r="84" spans="2:26">
      <c r="B84" s="5"/>
      <c r="C84" s="259"/>
      <c r="D84" s="259"/>
      <c r="E84" s="259"/>
      <c r="F84" s="259"/>
      <c r="G84" s="259"/>
      <c r="H84" s="259"/>
      <c r="I84" s="245"/>
      <c r="J84" s="259"/>
      <c r="K84" s="259"/>
      <c r="L84" s="259"/>
      <c r="M84" s="259"/>
      <c r="N84" s="259"/>
      <c r="O84" s="251"/>
      <c r="Q84" s="5"/>
      <c r="R84" s="5"/>
      <c r="S84" s="5"/>
    </row>
    <row r="85" spans="2:26">
      <c r="B85" s="41"/>
      <c r="C85" s="5"/>
      <c r="D85" s="5"/>
      <c r="E85" s="5"/>
      <c r="F85" s="5"/>
      <c r="G85" s="5"/>
      <c r="H85" s="5"/>
      <c r="I85" s="248"/>
      <c r="J85" s="5"/>
      <c r="K85" s="5"/>
      <c r="L85" s="5"/>
      <c r="M85" s="5"/>
      <c r="N85" s="5"/>
      <c r="O85" s="5"/>
      <c r="Q85" s="5"/>
      <c r="R85" s="5"/>
      <c r="S85" s="5"/>
    </row>
    <row r="86" spans="2:26">
      <c r="B86" s="41"/>
      <c r="C86" s="245"/>
      <c r="D86" s="245"/>
      <c r="E86" s="245"/>
      <c r="F86" s="245"/>
      <c r="G86" s="245"/>
      <c r="H86" s="245"/>
      <c r="I86" s="5"/>
      <c r="J86" s="245"/>
      <c r="K86" s="245"/>
      <c r="L86" s="245"/>
      <c r="M86" s="245"/>
      <c r="N86" s="245"/>
      <c r="O86" s="251"/>
      <c r="Q86" s="5"/>
      <c r="R86" s="5"/>
      <c r="S86" s="5"/>
    </row>
    <row r="87" spans="2:26">
      <c r="B87" s="5"/>
      <c r="C87" s="5"/>
      <c r="D87" s="248"/>
      <c r="E87" s="248"/>
      <c r="F87" s="248"/>
      <c r="G87" s="248"/>
      <c r="H87" s="248"/>
      <c r="I87" s="5"/>
      <c r="J87" s="248"/>
      <c r="K87" s="248"/>
      <c r="L87" s="248"/>
      <c r="M87" s="248"/>
      <c r="N87" s="248"/>
      <c r="O87" s="5"/>
      <c r="Q87" s="5"/>
      <c r="R87" s="5"/>
      <c r="S87" s="5"/>
    </row>
    <row r="88" spans="2:26">
      <c r="B88" s="41"/>
      <c r="C88" s="5"/>
      <c r="D88" s="5"/>
      <c r="E88" s="5"/>
      <c r="F88" s="5"/>
      <c r="G88" s="5"/>
      <c r="H88" s="5"/>
      <c r="I88" s="5"/>
      <c r="J88" s="5"/>
      <c r="K88" s="5"/>
      <c r="L88" s="5"/>
      <c r="M88" s="5"/>
      <c r="N88" s="5"/>
      <c r="O88" s="5"/>
      <c r="Q88" s="5"/>
      <c r="R88" s="5"/>
      <c r="S88" s="5"/>
    </row>
    <row r="89" spans="2:26">
      <c r="B89" s="41"/>
      <c r="C89" s="5"/>
      <c r="D89" s="5"/>
      <c r="E89" s="5"/>
      <c r="F89" s="5"/>
      <c r="G89" s="5"/>
      <c r="H89" s="5"/>
      <c r="I89" s="5"/>
      <c r="J89" s="5"/>
      <c r="K89" s="5"/>
      <c r="L89" s="5"/>
      <c r="M89" s="5"/>
      <c r="N89" s="5"/>
      <c r="O89" s="5"/>
      <c r="Q89" s="5"/>
      <c r="R89" s="5"/>
      <c r="S89" s="5"/>
    </row>
    <row r="90" spans="2:26">
      <c r="B90" s="41"/>
      <c r="C90" s="5"/>
      <c r="D90" s="5"/>
      <c r="E90" s="5"/>
      <c r="F90" s="5"/>
      <c r="G90" s="5"/>
      <c r="H90" s="5"/>
      <c r="I90" s="49"/>
      <c r="J90" s="5"/>
      <c r="K90" s="5"/>
      <c r="L90" s="5"/>
      <c r="M90" s="5"/>
      <c r="N90" s="5"/>
      <c r="O90" s="5"/>
      <c r="Q90" s="41"/>
      <c r="R90" s="5"/>
      <c r="S90" s="5"/>
    </row>
    <row r="91" spans="2:26">
      <c r="B91" s="5"/>
      <c r="C91" s="5"/>
      <c r="D91" s="5"/>
      <c r="E91" s="5"/>
      <c r="F91" s="5"/>
      <c r="G91" s="5"/>
      <c r="H91" s="5"/>
      <c r="I91" s="5"/>
      <c r="J91" s="5"/>
      <c r="K91" s="5"/>
      <c r="L91" s="5"/>
      <c r="M91" s="5"/>
      <c r="N91" s="5"/>
      <c r="O91" s="5"/>
      <c r="Q91" s="5"/>
      <c r="R91" s="5"/>
      <c r="S91" s="5"/>
    </row>
    <row r="92" spans="2:26">
      <c r="B92" s="41"/>
      <c r="C92" s="49"/>
      <c r="D92" s="49"/>
      <c r="E92" s="49"/>
      <c r="F92" s="49"/>
      <c r="G92" s="49"/>
      <c r="H92" s="49"/>
      <c r="I92" s="247"/>
      <c r="J92" s="49"/>
      <c r="K92" s="49"/>
      <c r="L92" s="49"/>
      <c r="M92" s="49"/>
      <c r="N92" s="49"/>
      <c r="O92" s="49"/>
      <c r="Q92" s="5"/>
      <c r="R92" s="5"/>
      <c r="S92" s="5"/>
      <c r="W92" s="21"/>
      <c r="X92" s="21"/>
    </row>
    <row r="93" spans="2:26">
      <c r="B93" s="5"/>
      <c r="C93" s="5"/>
      <c r="D93" s="5"/>
      <c r="E93" s="5"/>
      <c r="F93" s="5"/>
      <c r="G93" s="5"/>
      <c r="H93" s="5"/>
      <c r="I93" s="247"/>
      <c r="J93" s="5"/>
      <c r="K93" s="5"/>
      <c r="L93" s="5"/>
      <c r="M93" s="5"/>
      <c r="N93" s="5"/>
      <c r="O93" s="5"/>
      <c r="Q93" s="5"/>
      <c r="R93" s="5"/>
      <c r="S93" s="5"/>
      <c r="W93" s="21"/>
      <c r="X93" s="21"/>
      <c r="Y93" s="21"/>
      <c r="Z93" s="21"/>
    </row>
    <row r="94" spans="2:26">
      <c r="B94" s="5"/>
      <c r="C94" s="259"/>
      <c r="D94" s="247"/>
      <c r="E94" s="247"/>
      <c r="F94" s="247"/>
      <c r="G94" s="247"/>
      <c r="H94" s="247"/>
      <c r="I94" s="247"/>
      <c r="J94" s="247"/>
      <c r="K94" s="247"/>
      <c r="L94" s="247"/>
      <c r="M94" s="247"/>
      <c r="N94" s="247"/>
      <c r="O94" s="248"/>
      <c r="Q94" s="5"/>
      <c r="R94" s="5"/>
      <c r="S94" s="5"/>
      <c r="Y94" s="21"/>
      <c r="Z94" s="21"/>
    </row>
    <row r="95" spans="2:26">
      <c r="B95" s="5"/>
      <c r="C95" s="259"/>
      <c r="D95" s="247"/>
      <c r="E95" s="247"/>
      <c r="F95" s="247"/>
      <c r="G95" s="247"/>
      <c r="H95" s="247"/>
      <c r="I95" s="248"/>
      <c r="J95" s="247"/>
      <c r="K95" s="247"/>
      <c r="L95" s="247"/>
      <c r="M95" s="247"/>
      <c r="N95" s="247"/>
      <c r="O95" s="248"/>
      <c r="Q95" s="5"/>
      <c r="R95" s="5"/>
      <c r="S95" s="5"/>
    </row>
    <row r="96" spans="2:26">
      <c r="B96" s="5"/>
      <c r="C96" s="259"/>
      <c r="D96" s="247"/>
      <c r="E96" s="247"/>
      <c r="F96" s="247"/>
      <c r="G96" s="247"/>
      <c r="H96" s="247"/>
      <c r="I96" s="247"/>
      <c r="J96" s="247"/>
      <c r="K96" s="247"/>
      <c r="L96" s="247"/>
      <c r="M96" s="247"/>
      <c r="N96" s="247"/>
      <c r="O96" s="248"/>
      <c r="Q96" s="5"/>
      <c r="R96" s="5"/>
      <c r="S96" s="5"/>
    </row>
    <row r="97" spans="2:19">
      <c r="B97" s="5"/>
      <c r="C97" s="259"/>
      <c r="D97" s="248"/>
      <c r="E97" s="248"/>
      <c r="F97" s="248"/>
      <c r="G97" s="248"/>
      <c r="H97" s="248"/>
      <c r="I97" s="249"/>
      <c r="J97" s="248"/>
      <c r="K97" s="248"/>
      <c r="L97" s="248"/>
      <c r="M97" s="248"/>
      <c r="N97" s="248"/>
      <c r="O97" s="248"/>
      <c r="Q97" s="5"/>
      <c r="R97" s="5"/>
      <c r="S97" s="5"/>
    </row>
    <row r="98" spans="2:19">
      <c r="B98" s="5"/>
      <c r="C98" s="259"/>
      <c r="D98" s="247"/>
      <c r="E98" s="247"/>
      <c r="F98" s="247"/>
      <c r="G98" s="247"/>
      <c r="H98" s="247"/>
      <c r="I98" s="248"/>
      <c r="J98" s="247"/>
      <c r="K98" s="247"/>
      <c r="L98" s="247"/>
      <c r="M98" s="247"/>
      <c r="N98" s="247"/>
      <c r="O98" s="248"/>
      <c r="Q98" s="5"/>
      <c r="R98" s="5"/>
      <c r="S98" s="5"/>
    </row>
    <row r="99" spans="2:19">
      <c r="B99" s="41"/>
      <c r="C99" s="249"/>
      <c r="D99" s="249"/>
      <c r="E99" s="249"/>
      <c r="F99" s="249"/>
      <c r="G99" s="249"/>
      <c r="H99" s="249"/>
      <c r="I99" s="5"/>
      <c r="J99" s="249"/>
      <c r="K99" s="249"/>
      <c r="L99" s="249"/>
      <c r="M99" s="249"/>
      <c r="N99" s="249"/>
      <c r="O99" s="248"/>
      <c r="Q99" s="5"/>
      <c r="R99" s="5"/>
      <c r="S99" s="5"/>
    </row>
    <row r="100" spans="2:19">
      <c r="B100" s="41"/>
      <c r="C100" s="257"/>
      <c r="D100" s="248"/>
      <c r="E100" s="248"/>
      <c r="F100" s="248"/>
      <c r="G100" s="248"/>
      <c r="H100" s="248"/>
      <c r="I100" s="259"/>
      <c r="J100" s="248"/>
      <c r="K100" s="248"/>
      <c r="L100" s="248"/>
      <c r="M100" s="248"/>
      <c r="N100" s="248"/>
      <c r="O100" s="248"/>
      <c r="Q100" s="5"/>
      <c r="R100" s="5"/>
      <c r="S100" s="5"/>
    </row>
    <row r="101" spans="2:19" s="5" customFormat="1">
      <c r="B101" s="41"/>
      <c r="I101" s="259"/>
      <c r="O101" s="248"/>
      <c r="P101" s="39"/>
    </row>
    <row r="102" spans="2:19">
      <c r="B102" s="5"/>
      <c r="C102" s="259"/>
      <c r="D102" s="259"/>
      <c r="E102" s="259"/>
      <c r="F102" s="259"/>
      <c r="G102" s="259"/>
      <c r="H102" s="259"/>
      <c r="I102" s="247"/>
      <c r="J102" s="259"/>
      <c r="K102" s="259"/>
      <c r="L102" s="259"/>
      <c r="M102" s="259"/>
      <c r="N102" s="259"/>
      <c r="O102" s="5"/>
      <c r="Q102" s="5"/>
      <c r="R102" s="5"/>
      <c r="S102" s="5"/>
    </row>
    <row r="103" spans="2:19">
      <c r="B103" s="5"/>
      <c r="C103" s="259"/>
      <c r="D103" s="259"/>
      <c r="E103" s="259"/>
      <c r="F103" s="259"/>
      <c r="G103" s="259"/>
      <c r="H103" s="259"/>
      <c r="I103" s="5"/>
      <c r="J103" s="259"/>
      <c r="K103" s="259"/>
      <c r="L103" s="259"/>
      <c r="M103" s="259"/>
      <c r="N103" s="259"/>
      <c r="O103" s="5"/>
      <c r="P103" s="5"/>
      <c r="Q103" s="5"/>
      <c r="R103" s="5"/>
      <c r="S103" s="5"/>
    </row>
    <row r="104" spans="2:19">
      <c r="B104" s="5"/>
      <c r="C104" s="247"/>
      <c r="D104" s="247"/>
      <c r="E104" s="247"/>
      <c r="F104" s="247"/>
      <c r="G104" s="247"/>
      <c r="H104" s="247"/>
      <c r="I104" s="247"/>
      <c r="J104" s="247"/>
      <c r="K104" s="247"/>
      <c r="L104" s="247"/>
      <c r="M104" s="247"/>
      <c r="N104" s="247"/>
      <c r="O104" s="5"/>
      <c r="Q104" s="5"/>
      <c r="R104" s="5"/>
      <c r="S104" s="5"/>
    </row>
    <row r="105" spans="2:19" s="5" customFormat="1">
      <c r="P105" s="39"/>
    </row>
    <row r="106" spans="2:19" s="5" customFormat="1">
      <c r="C106" s="259"/>
      <c r="D106" s="247"/>
      <c r="E106" s="247"/>
      <c r="F106" s="247"/>
      <c r="G106" s="247"/>
      <c r="H106" s="247"/>
      <c r="I106" s="259"/>
      <c r="J106" s="247"/>
      <c r="K106" s="247"/>
      <c r="L106" s="247"/>
      <c r="M106" s="247"/>
      <c r="N106" s="247"/>
      <c r="P106" s="39"/>
    </row>
    <row r="107" spans="2:19">
      <c r="B107" s="5"/>
      <c r="C107" s="259"/>
      <c r="D107" s="5"/>
      <c r="E107" s="5"/>
      <c r="F107" s="5"/>
      <c r="G107" s="5"/>
      <c r="H107" s="5"/>
      <c r="I107" s="247"/>
      <c r="J107" s="5"/>
      <c r="K107" s="5"/>
      <c r="L107" s="5"/>
      <c r="M107" s="5"/>
      <c r="N107" s="5"/>
      <c r="O107" s="5"/>
      <c r="P107" s="5"/>
      <c r="Q107" s="5"/>
      <c r="R107" s="5"/>
      <c r="S107" s="5"/>
    </row>
    <row r="108" spans="2:19">
      <c r="B108" s="5"/>
      <c r="C108" s="259"/>
      <c r="D108" s="259"/>
      <c r="E108" s="259"/>
      <c r="F108" s="259"/>
      <c r="G108" s="259"/>
      <c r="H108" s="259"/>
      <c r="I108" s="249"/>
      <c r="J108" s="259"/>
      <c r="K108" s="259"/>
      <c r="L108" s="259"/>
      <c r="M108" s="259"/>
      <c r="N108" s="259"/>
      <c r="O108" s="5"/>
      <c r="P108" s="5"/>
      <c r="Q108" s="5"/>
      <c r="R108" s="5"/>
      <c r="S108" s="5"/>
    </row>
    <row r="109" spans="2:19">
      <c r="B109" s="5"/>
      <c r="C109" s="247"/>
      <c r="D109" s="247"/>
      <c r="E109" s="247"/>
      <c r="F109" s="247"/>
      <c r="G109" s="247"/>
      <c r="H109" s="247"/>
      <c r="I109" s="249"/>
      <c r="J109" s="247"/>
      <c r="K109" s="247"/>
      <c r="L109" s="247"/>
      <c r="M109" s="247"/>
      <c r="N109" s="247"/>
      <c r="O109" s="5"/>
      <c r="Q109" s="5"/>
      <c r="R109" s="5"/>
      <c r="S109" s="5"/>
    </row>
    <row r="110" spans="2:19">
      <c r="B110" s="41"/>
      <c r="C110" s="249"/>
      <c r="D110" s="249"/>
      <c r="E110" s="249"/>
      <c r="F110" s="249"/>
      <c r="G110" s="249"/>
      <c r="H110" s="249"/>
      <c r="I110" s="247"/>
      <c r="J110" s="249"/>
      <c r="K110" s="249"/>
      <c r="L110" s="249"/>
      <c r="M110" s="249"/>
      <c r="N110" s="249"/>
      <c r="O110" s="5"/>
      <c r="Q110" s="5"/>
      <c r="R110" s="5"/>
      <c r="S110" s="5"/>
    </row>
    <row r="111" spans="2:19">
      <c r="B111" s="5"/>
      <c r="C111" s="249"/>
      <c r="D111" s="249"/>
      <c r="E111" s="249"/>
      <c r="F111" s="249"/>
      <c r="G111" s="249"/>
      <c r="H111" s="249"/>
      <c r="I111" s="5"/>
      <c r="J111" s="249"/>
      <c r="K111" s="249"/>
      <c r="L111" s="249"/>
      <c r="M111" s="249"/>
      <c r="N111" s="249"/>
      <c r="O111" s="5"/>
      <c r="Q111" s="5"/>
      <c r="R111" s="5"/>
      <c r="S111" s="5"/>
    </row>
    <row r="112" spans="2:19">
      <c r="B112" s="5"/>
      <c r="C112" s="247"/>
      <c r="D112" s="247"/>
      <c r="E112" s="247"/>
      <c r="F112" s="247"/>
      <c r="G112" s="247"/>
      <c r="H112" s="247"/>
      <c r="I112" s="5"/>
      <c r="J112" s="247"/>
      <c r="K112" s="247"/>
      <c r="L112" s="247"/>
      <c r="M112" s="247"/>
      <c r="N112" s="247"/>
      <c r="O112" s="5"/>
      <c r="Q112" s="5"/>
      <c r="R112" s="5"/>
      <c r="S112" s="5"/>
    </row>
    <row r="113" spans="2:19">
      <c r="B113" s="5"/>
      <c r="C113" s="5"/>
      <c r="D113" s="5"/>
      <c r="E113" s="5"/>
      <c r="F113" s="5"/>
      <c r="G113" s="5"/>
      <c r="H113" s="5"/>
      <c r="I113" s="5"/>
      <c r="J113" s="5"/>
      <c r="K113" s="5"/>
      <c r="L113" s="5"/>
      <c r="M113" s="5"/>
      <c r="N113" s="5"/>
      <c r="O113" s="5"/>
      <c r="Q113" s="5"/>
      <c r="R113" s="5"/>
      <c r="S113" s="5"/>
    </row>
    <row r="114" spans="2:19">
      <c r="B114" s="5"/>
      <c r="C114" s="5"/>
      <c r="D114" s="5"/>
      <c r="E114" s="5"/>
      <c r="F114" s="5"/>
      <c r="G114" s="5"/>
      <c r="H114" s="5"/>
      <c r="I114" s="5"/>
      <c r="J114" s="5"/>
      <c r="K114" s="5"/>
      <c r="L114" s="5"/>
      <c r="M114" s="5"/>
      <c r="N114" s="5"/>
      <c r="O114" s="5"/>
      <c r="Q114" s="5"/>
      <c r="R114" s="5"/>
      <c r="S114" s="5"/>
    </row>
    <row r="115" spans="2:19">
      <c r="B115" s="5"/>
      <c r="C115" s="5"/>
      <c r="D115" s="5"/>
      <c r="E115" s="5"/>
      <c r="F115" s="5"/>
      <c r="G115" s="5"/>
      <c r="H115" s="5"/>
      <c r="I115" s="49"/>
      <c r="J115" s="5"/>
      <c r="K115" s="5"/>
      <c r="L115" s="5"/>
      <c r="M115" s="5"/>
      <c r="N115" s="5"/>
      <c r="O115" s="5"/>
      <c r="Q115" s="41"/>
      <c r="R115" s="5"/>
      <c r="S115" s="5"/>
    </row>
    <row r="116" spans="2:19">
      <c r="B116" s="5"/>
      <c r="C116" s="5"/>
      <c r="D116" s="5"/>
      <c r="E116" s="5"/>
      <c r="F116" s="5"/>
      <c r="G116" s="5"/>
      <c r="H116" s="5"/>
      <c r="I116" s="5"/>
      <c r="J116" s="5"/>
      <c r="K116" s="5"/>
      <c r="L116" s="5"/>
      <c r="M116" s="5"/>
      <c r="N116" s="5"/>
      <c r="O116" s="5"/>
      <c r="Q116" s="5"/>
      <c r="R116" s="5"/>
      <c r="S116" s="5"/>
    </row>
    <row r="117" spans="2:19">
      <c r="B117" s="41"/>
      <c r="C117" s="49"/>
      <c r="D117" s="49"/>
      <c r="E117" s="49"/>
      <c r="F117" s="49"/>
      <c r="G117" s="49"/>
      <c r="H117" s="49"/>
      <c r="I117" s="254"/>
      <c r="J117" s="49"/>
      <c r="K117" s="49"/>
      <c r="L117" s="49"/>
      <c r="M117" s="49"/>
      <c r="N117" s="49"/>
      <c r="O117" s="49"/>
      <c r="Q117" s="5"/>
      <c r="R117" s="5"/>
      <c r="S117" s="5"/>
    </row>
    <row r="118" spans="2:19">
      <c r="B118" s="5"/>
      <c r="C118" s="5"/>
      <c r="D118" s="5"/>
      <c r="E118" s="5"/>
      <c r="F118" s="5"/>
      <c r="G118" s="5"/>
      <c r="H118" s="5"/>
      <c r="I118" s="249"/>
      <c r="J118" s="5"/>
      <c r="K118" s="5"/>
      <c r="L118" s="5"/>
      <c r="M118" s="5"/>
      <c r="N118" s="5"/>
      <c r="O118" s="5"/>
      <c r="Q118" s="5"/>
      <c r="R118" s="5"/>
      <c r="S118" s="5"/>
    </row>
    <row r="119" spans="2:19">
      <c r="B119" s="41"/>
      <c r="C119" s="254"/>
      <c r="D119" s="254"/>
      <c r="E119" s="254"/>
      <c r="F119" s="254"/>
      <c r="G119" s="254"/>
      <c r="H119" s="254"/>
      <c r="I119" s="254"/>
      <c r="J119" s="254"/>
      <c r="K119" s="254"/>
      <c r="L119" s="254"/>
      <c r="M119" s="254"/>
      <c r="N119" s="254"/>
      <c r="O119" s="248"/>
      <c r="Q119" s="5"/>
      <c r="R119" s="5"/>
      <c r="S119" s="5"/>
    </row>
    <row r="120" spans="2:19">
      <c r="B120" s="41"/>
      <c r="C120" s="254"/>
      <c r="D120" s="249"/>
      <c r="E120" s="249"/>
      <c r="F120" s="249"/>
      <c r="G120" s="249"/>
      <c r="H120" s="249"/>
      <c r="I120" s="254"/>
      <c r="J120" s="249"/>
      <c r="K120" s="249"/>
      <c r="L120" s="249"/>
      <c r="M120" s="249"/>
      <c r="N120" s="249"/>
      <c r="O120" s="248"/>
      <c r="Q120" s="5"/>
      <c r="R120" s="5"/>
      <c r="S120" s="5"/>
    </row>
    <row r="121" spans="2:19">
      <c r="B121" s="41"/>
      <c r="C121" s="254"/>
      <c r="D121" s="254"/>
      <c r="E121" s="254"/>
      <c r="F121" s="254"/>
      <c r="G121" s="254"/>
      <c r="H121" s="254"/>
      <c r="I121" s="254"/>
      <c r="J121" s="254"/>
      <c r="K121" s="254"/>
      <c r="L121" s="254"/>
      <c r="M121" s="254"/>
      <c r="N121" s="254"/>
      <c r="O121" s="248"/>
      <c r="Q121" s="5"/>
      <c r="R121" s="5"/>
      <c r="S121" s="5"/>
    </row>
    <row r="122" spans="2:19">
      <c r="B122" s="41"/>
      <c r="C122" s="254"/>
      <c r="D122" s="254"/>
      <c r="E122" s="254"/>
      <c r="F122" s="254"/>
      <c r="G122" s="254"/>
      <c r="H122" s="254"/>
      <c r="I122" s="254"/>
      <c r="J122" s="254"/>
      <c r="K122" s="254"/>
      <c r="L122" s="254"/>
      <c r="M122" s="254"/>
      <c r="N122" s="254"/>
      <c r="O122" s="248"/>
      <c r="Q122" s="5"/>
      <c r="R122" s="5"/>
      <c r="S122" s="5"/>
    </row>
    <row r="123" spans="2:19">
      <c r="B123" s="41"/>
      <c r="C123" s="254"/>
      <c r="D123" s="254"/>
      <c r="E123" s="254"/>
      <c r="F123" s="254"/>
      <c r="G123" s="254"/>
      <c r="H123" s="254"/>
      <c r="I123" s="254"/>
      <c r="J123" s="254"/>
      <c r="K123" s="254"/>
      <c r="L123" s="254"/>
      <c r="M123" s="254"/>
      <c r="N123" s="254"/>
      <c r="O123" s="248"/>
      <c r="Q123" s="5"/>
      <c r="R123" s="5"/>
      <c r="S123" s="5"/>
    </row>
    <row r="124" spans="2:19">
      <c r="B124" s="41"/>
      <c r="C124" s="254"/>
      <c r="D124" s="254"/>
      <c r="E124" s="254"/>
      <c r="F124" s="254"/>
      <c r="G124" s="254"/>
      <c r="H124" s="254"/>
      <c r="I124" s="254"/>
      <c r="J124" s="254"/>
      <c r="K124" s="254"/>
      <c r="L124" s="254"/>
      <c r="M124" s="254"/>
      <c r="N124" s="254"/>
      <c r="O124" s="248"/>
      <c r="Q124" s="5"/>
      <c r="R124" s="5"/>
      <c r="S124" s="5"/>
    </row>
    <row r="125" spans="2:19">
      <c r="B125" s="41"/>
      <c r="C125" s="254"/>
      <c r="D125" s="254"/>
      <c r="E125" s="254"/>
      <c r="F125" s="254"/>
      <c r="G125" s="254"/>
      <c r="H125" s="254"/>
      <c r="I125" s="254"/>
      <c r="J125" s="254"/>
      <c r="K125" s="254"/>
      <c r="L125" s="254"/>
      <c r="M125" s="254"/>
      <c r="N125" s="254"/>
      <c r="O125" s="5"/>
      <c r="Q125" s="5"/>
      <c r="R125" s="5"/>
      <c r="S125" s="5"/>
    </row>
    <row r="126" spans="2:19">
      <c r="B126" s="41"/>
      <c r="C126" s="254"/>
      <c r="D126" s="254"/>
      <c r="E126" s="254"/>
      <c r="F126" s="254"/>
      <c r="G126" s="254"/>
      <c r="H126" s="254"/>
      <c r="I126" s="254"/>
      <c r="J126" s="254"/>
      <c r="K126" s="254"/>
      <c r="L126" s="254"/>
      <c r="M126" s="254"/>
      <c r="N126" s="254"/>
      <c r="O126" s="5"/>
      <c r="Q126" s="5"/>
      <c r="R126" s="5"/>
      <c r="S126" s="5"/>
    </row>
    <row r="127" spans="2:19">
      <c r="B127" s="41"/>
      <c r="C127" s="254"/>
      <c r="D127" s="254"/>
      <c r="E127" s="254"/>
      <c r="F127" s="254"/>
      <c r="G127" s="254"/>
      <c r="H127" s="254"/>
      <c r="I127" s="18"/>
      <c r="J127" s="254"/>
      <c r="K127" s="254"/>
      <c r="L127" s="254"/>
      <c r="M127" s="254"/>
      <c r="N127" s="254"/>
      <c r="O127" s="5"/>
      <c r="Q127" s="5"/>
      <c r="R127" s="5"/>
      <c r="S127" s="5"/>
    </row>
    <row r="128" spans="2:19">
      <c r="B128" s="41"/>
      <c r="C128" s="254"/>
      <c r="D128" s="254"/>
      <c r="E128" s="254"/>
      <c r="F128" s="254"/>
      <c r="G128" s="254"/>
      <c r="H128" s="254"/>
      <c r="I128" s="5"/>
      <c r="J128" s="254"/>
      <c r="K128" s="254"/>
      <c r="L128" s="254"/>
      <c r="M128" s="254"/>
      <c r="N128" s="254"/>
      <c r="O128" s="5"/>
      <c r="Q128" s="5"/>
      <c r="R128" s="5"/>
      <c r="S128" s="5"/>
    </row>
    <row r="129" spans="2:27">
      <c r="B129" s="5"/>
      <c r="C129" s="5"/>
      <c r="D129" s="18"/>
      <c r="E129" s="18"/>
      <c r="F129" s="18"/>
      <c r="G129" s="18"/>
      <c r="H129" s="18"/>
      <c r="I129" s="254"/>
      <c r="J129" s="18"/>
      <c r="K129" s="18"/>
      <c r="L129" s="18"/>
      <c r="M129" s="18"/>
      <c r="N129" s="18"/>
      <c r="O129" s="5"/>
      <c r="Q129" s="5"/>
      <c r="R129" s="5"/>
      <c r="S129" s="5"/>
    </row>
    <row r="130" spans="2:27">
      <c r="B130" s="5"/>
      <c r="C130" s="5"/>
      <c r="D130" s="5"/>
      <c r="E130" s="5"/>
      <c r="F130" s="5"/>
      <c r="G130" s="5"/>
      <c r="H130" s="5"/>
      <c r="I130" s="18"/>
      <c r="J130" s="5"/>
      <c r="K130" s="5"/>
      <c r="L130" s="5"/>
      <c r="M130" s="5"/>
      <c r="N130" s="5"/>
      <c r="O130" s="5"/>
      <c r="Q130" s="5"/>
      <c r="R130" s="5"/>
      <c r="S130" s="5"/>
    </row>
    <row r="131" spans="2:27">
      <c r="B131" s="41"/>
      <c r="C131" s="254"/>
      <c r="D131" s="254"/>
      <c r="E131" s="254"/>
      <c r="F131" s="254"/>
      <c r="G131" s="254"/>
      <c r="H131" s="254"/>
      <c r="I131" s="5"/>
      <c r="J131" s="254"/>
      <c r="K131" s="254"/>
      <c r="L131" s="254"/>
      <c r="M131" s="254"/>
      <c r="N131" s="254"/>
      <c r="O131" s="5"/>
      <c r="Q131" s="5"/>
      <c r="R131" s="5"/>
      <c r="S131" s="5"/>
    </row>
    <row r="132" spans="2:27">
      <c r="B132" s="5"/>
      <c r="C132" s="259"/>
      <c r="D132" s="18"/>
      <c r="E132" s="18"/>
      <c r="F132" s="18"/>
      <c r="G132" s="18"/>
      <c r="H132" s="18"/>
      <c r="I132" s="5"/>
      <c r="J132" s="18"/>
      <c r="K132" s="18"/>
      <c r="L132" s="18"/>
      <c r="M132" s="18"/>
      <c r="N132" s="18"/>
      <c r="O132" s="5"/>
      <c r="Q132" s="5"/>
      <c r="R132" s="5"/>
      <c r="S132" s="5"/>
    </row>
    <row r="133" spans="2:27">
      <c r="B133" s="5"/>
      <c r="C133" s="5"/>
      <c r="D133" s="5"/>
      <c r="E133" s="5"/>
      <c r="F133" s="5"/>
      <c r="G133" s="5"/>
      <c r="H133" s="5"/>
      <c r="I133" s="17"/>
      <c r="J133" s="5"/>
      <c r="K133" s="5"/>
      <c r="L133" s="5"/>
      <c r="M133" s="5"/>
      <c r="N133" s="5"/>
      <c r="O133" s="5"/>
      <c r="Q133" s="5"/>
      <c r="R133" s="5"/>
      <c r="S133" s="5"/>
    </row>
    <row r="134" spans="2:27">
      <c r="B134" s="41"/>
      <c r="C134" s="5"/>
      <c r="D134" s="5"/>
      <c r="E134" s="5"/>
      <c r="F134" s="5"/>
      <c r="G134" s="5"/>
      <c r="H134" s="5"/>
      <c r="I134" s="17"/>
      <c r="J134" s="5"/>
      <c r="K134" s="5"/>
      <c r="L134" s="5"/>
      <c r="M134" s="5"/>
      <c r="N134" s="5"/>
      <c r="O134" s="5"/>
      <c r="Q134" s="5"/>
      <c r="R134" s="5"/>
      <c r="S134" s="5"/>
    </row>
    <row r="135" spans="2:27">
      <c r="B135" s="5"/>
      <c r="C135" s="17"/>
      <c r="D135" s="17"/>
      <c r="E135" s="17"/>
      <c r="F135" s="17"/>
      <c r="G135" s="17"/>
      <c r="H135" s="17"/>
      <c r="I135" s="17"/>
      <c r="J135" s="17"/>
      <c r="K135" s="17"/>
      <c r="L135" s="17"/>
      <c r="M135" s="17"/>
      <c r="N135" s="17"/>
      <c r="O135" s="5"/>
      <c r="Q135" s="41"/>
      <c r="R135" s="5"/>
      <c r="S135" s="5"/>
    </row>
    <row r="136" spans="2:27">
      <c r="B136" s="5"/>
      <c r="C136" s="17"/>
      <c r="D136" s="17"/>
      <c r="E136" s="17"/>
      <c r="F136" s="17"/>
      <c r="G136" s="17"/>
      <c r="H136" s="17"/>
      <c r="I136" s="17"/>
      <c r="J136" s="17"/>
      <c r="K136" s="17"/>
      <c r="L136" s="17"/>
      <c r="M136" s="17"/>
      <c r="N136" s="17"/>
      <c r="O136" s="5"/>
      <c r="Q136" s="5"/>
      <c r="R136" s="5"/>
      <c r="S136" s="5"/>
      <c r="X136" s="304"/>
    </row>
    <row r="137" spans="2:27">
      <c r="B137" s="5"/>
      <c r="C137" s="5"/>
      <c r="D137" s="17"/>
      <c r="E137" s="17"/>
      <c r="F137" s="17"/>
      <c r="G137" s="17"/>
      <c r="H137" s="17"/>
      <c r="I137" s="17"/>
      <c r="J137" s="17"/>
      <c r="K137" s="17"/>
      <c r="L137" s="17"/>
      <c r="M137" s="17"/>
      <c r="N137" s="17"/>
      <c r="O137" s="5"/>
      <c r="Q137" s="5"/>
      <c r="R137" s="5"/>
      <c r="S137" s="5"/>
      <c r="X137" s="10"/>
      <c r="Y137" s="304"/>
      <c r="Z137" s="304"/>
      <c r="AA137" s="304"/>
    </row>
    <row r="138" spans="2:27">
      <c r="B138" s="5"/>
      <c r="C138" s="5"/>
      <c r="D138" s="17"/>
      <c r="E138" s="17"/>
      <c r="F138" s="17"/>
      <c r="G138" s="17"/>
      <c r="H138" s="17"/>
      <c r="I138" s="17"/>
      <c r="J138" s="17"/>
      <c r="K138" s="17"/>
      <c r="L138" s="17"/>
      <c r="M138" s="17"/>
      <c r="N138" s="17"/>
      <c r="O138" s="5"/>
      <c r="Q138" s="5"/>
      <c r="R138" s="5"/>
      <c r="S138" s="5"/>
      <c r="Y138" s="10"/>
      <c r="Z138" s="10"/>
      <c r="AA138" s="10"/>
    </row>
    <row r="139" spans="2:27">
      <c r="B139" s="5"/>
      <c r="C139" s="5"/>
      <c r="D139" s="17"/>
      <c r="E139" s="17"/>
      <c r="F139" s="17"/>
      <c r="G139" s="17"/>
      <c r="H139" s="17"/>
      <c r="I139" s="5"/>
      <c r="J139" s="17"/>
      <c r="K139" s="17"/>
      <c r="L139" s="17"/>
      <c r="M139" s="17"/>
      <c r="N139" s="17"/>
      <c r="O139" s="5"/>
      <c r="Q139" s="5"/>
      <c r="R139" s="5"/>
      <c r="S139" s="5"/>
    </row>
    <row r="140" spans="2:27">
      <c r="B140" s="5"/>
      <c r="C140" s="17"/>
      <c r="D140" s="17"/>
      <c r="E140" s="17"/>
      <c r="F140" s="17"/>
      <c r="G140" s="17"/>
      <c r="H140" s="17"/>
      <c r="I140" s="5"/>
      <c r="J140" s="17"/>
      <c r="K140" s="17"/>
      <c r="L140" s="17"/>
      <c r="M140" s="17"/>
      <c r="N140" s="17"/>
      <c r="O140" s="5"/>
      <c r="Q140" s="5"/>
      <c r="R140" s="5"/>
      <c r="S140" s="5"/>
    </row>
    <row r="141" spans="2:27">
      <c r="B141" s="5"/>
      <c r="C141" s="5"/>
      <c r="D141" s="5"/>
      <c r="E141" s="5"/>
      <c r="F141" s="5"/>
      <c r="G141" s="5"/>
      <c r="H141" s="5"/>
      <c r="I141" s="5"/>
      <c r="J141" s="5"/>
      <c r="K141" s="5"/>
      <c r="L141" s="5"/>
      <c r="M141" s="5"/>
      <c r="N141" s="5"/>
      <c r="O141" s="5"/>
      <c r="Q141" s="5"/>
      <c r="R141" s="5"/>
      <c r="S141" s="5"/>
    </row>
    <row r="142" spans="2:27">
      <c r="B142" s="5"/>
      <c r="C142" s="5"/>
      <c r="D142" s="5"/>
      <c r="E142" s="5"/>
      <c r="F142" s="5"/>
      <c r="G142" s="5"/>
      <c r="H142" s="5"/>
      <c r="I142" s="5"/>
      <c r="J142" s="5"/>
      <c r="K142" s="5"/>
      <c r="L142" s="5"/>
      <c r="M142" s="5"/>
      <c r="N142" s="5"/>
      <c r="O142" s="5"/>
      <c r="Q142" s="5"/>
      <c r="R142" s="5"/>
      <c r="S142" s="5"/>
    </row>
    <row r="143" spans="2:27">
      <c r="B143" s="5"/>
      <c r="C143" s="5"/>
      <c r="D143" s="5"/>
      <c r="E143" s="5"/>
      <c r="F143" s="5"/>
      <c r="G143" s="5"/>
      <c r="H143" s="5"/>
      <c r="I143" s="5"/>
      <c r="J143" s="5"/>
      <c r="K143" s="5"/>
      <c r="L143" s="5"/>
      <c r="M143" s="5"/>
      <c r="N143" s="5"/>
      <c r="O143" s="5"/>
      <c r="Q143" s="5"/>
      <c r="R143" s="5"/>
      <c r="S143" s="5"/>
    </row>
    <row r="144" spans="2:27">
      <c r="B144" s="5"/>
      <c r="C144" s="5"/>
      <c r="D144" s="5"/>
      <c r="E144" s="5"/>
      <c r="F144" s="5"/>
      <c r="G144" s="5"/>
      <c r="H144" s="5"/>
      <c r="I144" s="5"/>
      <c r="J144" s="5"/>
      <c r="K144" s="5"/>
      <c r="L144" s="5"/>
      <c r="M144" s="5"/>
      <c r="N144" s="5"/>
      <c r="O144" s="5"/>
      <c r="Q144" s="5"/>
      <c r="R144" s="5"/>
      <c r="S144" s="5"/>
    </row>
    <row r="145" spans="2:19">
      <c r="B145" s="5"/>
      <c r="C145" s="5"/>
      <c r="D145" s="5"/>
      <c r="E145" s="5"/>
      <c r="F145" s="5"/>
      <c r="G145" s="5"/>
      <c r="H145" s="5"/>
      <c r="I145" s="5"/>
      <c r="J145" s="5"/>
      <c r="K145" s="5"/>
      <c r="L145" s="5"/>
      <c r="M145" s="5"/>
      <c r="N145" s="5"/>
      <c r="O145" s="5"/>
      <c r="Q145" s="5"/>
      <c r="R145" s="5"/>
      <c r="S145" s="5"/>
    </row>
    <row r="146" spans="2:19">
      <c r="B146" s="5"/>
      <c r="C146" s="5"/>
      <c r="D146" s="5"/>
      <c r="E146" s="5"/>
      <c r="F146" s="5"/>
      <c r="G146" s="5"/>
      <c r="H146" s="5"/>
      <c r="I146" s="5"/>
      <c r="J146" s="5"/>
      <c r="K146" s="5"/>
      <c r="L146" s="5"/>
      <c r="M146" s="5"/>
      <c r="N146" s="5"/>
      <c r="O146" s="5"/>
      <c r="Q146" s="5"/>
      <c r="R146" s="5"/>
      <c r="S146" s="5"/>
    </row>
    <row r="147" spans="2:19">
      <c r="B147" s="5"/>
      <c r="C147" s="5"/>
      <c r="D147" s="5"/>
      <c r="E147" s="5"/>
      <c r="F147" s="5"/>
      <c r="G147" s="5"/>
      <c r="H147" s="5"/>
      <c r="I147" s="5"/>
      <c r="J147" s="5"/>
      <c r="K147" s="5"/>
      <c r="L147" s="5"/>
      <c r="M147" s="5"/>
      <c r="N147" s="5"/>
      <c r="O147" s="5"/>
      <c r="Q147" s="5"/>
      <c r="R147" s="5"/>
      <c r="S147" s="5"/>
    </row>
    <row r="148" spans="2:19">
      <c r="B148" s="5"/>
      <c r="C148" s="5"/>
      <c r="D148" s="5"/>
      <c r="E148" s="5"/>
      <c r="F148" s="5"/>
      <c r="G148" s="5"/>
      <c r="H148" s="5"/>
      <c r="I148" s="5"/>
      <c r="J148" s="5"/>
      <c r="K148" s="5"/>
      <c r="L148" s="5"/>
      <c r="M148" s="5"/>
      <c r="N148" s="5"/>
      <c r="O148" s="5"/>
      <c r="Q148" s="5"/>
      <c r="R148" s="5"/>
      <c r="S148" s="5"/>
    </row>
    <row r="149" spans="2:19">
      <c r="B149" s="5"/>
      <c r="C149" s="5"/>
      <c r="D149" s="5"/>
      <c r="E149" s="5"/>
      <c r="F149" s="5"/>
      <c r="G149" s="5"/>
      <c r="H149" s="5"/>
      <c r="J149" s="5"/>
      <c r="K149" s="5"/>
      <c r="L149" s="5"/>
      <c r="M149" s="5"/>
      <c r="N149" s="5"/>
      <c r="O149" s="5"/>
      <c r="Q149" s="5"/>
      <c r="R149" s="5"/>
      <c r="S149" s="5"/>
    </row>
    <row r="150" spans="2:19">
      <c r="B150" s="5"/>
      <c r="C150" s="5"/>
      <c r="D150" s="5"/>
      <c r="E150" s="5"/>
      <c r="F150" s="5"/>
      <c r="G150" s="5"/>
      <c r="H150" s="5"/>
      <c r="J150" s="5"/>
      <c r="K150" s="5"/>
      <c r="L150" s="5"/>
      <c r="M150" s="5"/>
      <c r="N150" s="5"/>
      <c r="O150" s="5"/>
      <c r="Q150" s="5"/>
      <c r="R150" s="5"/>
      <c r="S150" s="5"/>
    </row>
    <row r="151" spans="2:19">
      <c r="Q151" s="5"/>
      <c r="R151" s="5"/>
      <c r="S151" s="5"/>
    </row>
    <row r="152" spans="2:19">
      <c r="Q152" s="5"/>
      <c r="R152" s="5"/>
      <c r="S152" s="5"/>
    </row>
    <row r="153" spans="2:19">
      <c r="C153" s="263"/>
      <c r="Q153" s="5"/>
      <c r="R153" s="5"/>
      <c r="S153" s="5"/>
    </row>
    <row r="154" spans="2:19">
      <c r="Q154" s="5"/>
      <c r="R154" s="5"/>
      <c r="S154" s="5"/>
    </row>
    <row r="155" spans="2:19">
      <c r="Q155" s="5"/>
      <c r="R155" s="5"/>
      <c r="S155" s="5"/>
    </row>
    <row r="156" spans="2:19">
      <c r="Q156" s="5"/>
      <c r="R156" s="5"/>
      <c r="S156" s="5"/>
    </row>
    <row r="157" spans="2:19">
      <c r="Q157" s="5"/>
      <c r="R157" s="5"/>
      <c r="S157" s="5"/>
    </row>
    <row r="158" spans="2:19">
      <c r="Q158" s="5"/>
      <c r="R158" s="5"/>
      <c r="S158" s="5"/>
    </row>
    <row r="159" spans="2:19">
      <c r="Q159" s="5"/>
      <c r="R159" s="5"/>
      <c r="S159" s="5"/>
    </row>
    <row r="160" spans="2:19">
      <c r="Q160" s="5"/>
      <c r="R160" s="5"/>
      <c r="S160" s="5"/>
    </row>
    <row r="161" spans="17:19">
      <c r="Q161" s="5"/>
      <c r="R161" s="5"/>
      <c r="S161" s="5"/>
    </row>
    <row r="162" spans="17:19">
      <c r="Q162" s="5"/>
      <c r="R162" s="5"/>
      <c r="S162" s="5"/>
    </row>
    <row r="163" spans="17:19">
      <c r="Q163" s="5"/>
      <c r="R163" s="5"/>
      <c r="S163" s="5"/>
    </row>
    <row r="164" spans="17:19">
      <c r="Q164" s="5"/>
      <c r="R164" s="5"/>
      <c r="S164" s="5"/>
    </row>
    <row r="165" spans="17:19">
      <c r="Q165" s="5"/>
      <c r="R165" s="5"/>
      <c r="S165" s="5"/>
    </row>
  </sheetData>
  <phoneticPr fontId="7" type="noConversion"/>
  <hyperlinks>
    <hyperlink ref="C2" location="ORASOP!A1" display="Jump to Orange SOP" xr:uid="{00000000-0004-0000-2600-000001000000}"/>
  </hyperlinks>
  <pageMargins left="0.75" right="0.75" top="1" bottom="1" header="0.5" footer="0.5"/>
  <pageSetup scale="71" orientation="landscape" r:id="rId1"/>
  <headerFooter alignWithMargins="0"/>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Sheet145">
    <pageSetUpPr fitToPage="1"/>
  </sheetPr>
  <dimension ref="B1:AR165"/>
  <sheetViews>
    <sheetView showGridLines="0" zoomScale="80" zoomScaleNormal="80" workbookViewId="0"/>
  </sheetViews>
  <sheetFormatPr defaultColWidth="9.109375" defaultRowHeight="12"/>
  <cols>
    <col min="1" max="1" width="2.33203125" style="39" customWidth="1"/>
    <col min="2" max="2" width="26.5546875" style="39" customWidth="1"/>
    <col min="3" max="9" width="10" style="39" customWidth="1"/>
    <col min="10" max="10" width="26.6640625" style="39" customWidth="1"/>
    <col min="11" max="16" width="10" style="39" customWidth="1"/>
    <col min="17" max="18" width="8.6640625" style="39" customWidth="1"/>
    <col min="19" max="28" width="8.6640625" style="5" customWidth="1"/>
    <col min="29" max="44" width="9.109375" style="5"/>
    <col min="45" max="16384" width="9.109375" style="39"/>
  </cols>
  <sheetData>
    <row r="1" spans="2:44" s="312" customFormat="1">
      <c r="S1" s="149"/>
      <c r="T1" s="149"/>
      <c r="U1" s="149"/>
      <c r="V1" s="149"/>
      <c r="W1" s="149"/>
      <c r="X1" s="149"/>
      <c r="Y1" s="149"/>
      <c r="Z1" s="149"/>
      <c r="AA1" s="149"/>
      <c r="AB1" s="149"/>
      <c r="AC1" s="149"/>
      <c r="AD1" s="149"/>
      <c r="AE1" s="149"/>
      <c r="AF1" s="149"/>
      <c r="AG1" s="149"/>
      <c r="AH1" s="149"/>
      <c r="AI1" s="149"/>
      <c r="AJ1" s="149"/>
      <c r="AK1" s="149"/>
      <c r="AL1" s="149"/>
      <c r="AM1" s="149"/>
      <c r="AN1" s="149"/>
      <c r="AO1" s="149"/>
      <c r="AP1" s="149"/>
      <c r="AQ1" s="149"/>
      <c r="AR1" s="149"/>
    </row>
    <row r="2" spans="2:44" s="149" customFormat="1"/>
    <row r="3" spans="2:44" s="149" customFormat="1">
      <c r="H3" s="153"/>
      <c r="P3" s="153"/>
    </row>
    <row r="4" spans="2:44" s="156" customFormat="1" ht="21">
      <c r="B4" s="129" t="s">
        <v>667</v>
      </c>
      <c r="H4" s="222"/>
      <c r="P4" s="222"/>
    </row>
    <row r="5" spans="2:44" s="149" customFormat="1">
      <c r="C5" s="153"/>
      <c r="D5" s="153" t="str" cm="1">
        <f t="array" ref="D5:H5">headings</f>
        <v>2023E</v>
      </c>
      <c r="E5" s="153" t="str">
        <v>2024E</v>
      </c>
      <c r="F5" s="153" t="str">
        <v>2025E</v>
      </c>
      <c r="G5" s="153" t="str">
        <v>2026E</v>
      </c>
      <c r="H5" s="153" t="str">
        <v>23E-26E</v>
      </c>
      <c r="I5" s="153"/>
      <c r="J5" s="153"/>
      <c r="K5" s="153"/>
      <c r="L5" s="153" t="str" cm="1">
        <f t="array" ref="L5:P5">headings</f>
        <v>2023E</v>
      </c>
      <c r="M5" s="153" t="str">
        <v>2024E</v>
      </c>
      <c r="N5" s="153" t="str">
        <v>2025E</v>
      </c>
      <c r="O5" s="153" t="str">
        <v>2026E</v>
      </c>
      <c r="P5" s="153" t="str">
        <v>23E-26E</v>
      </c>
      <c r="Q5" s="162"/>
      <c r="R5" s="162"/>
      <c r="S5" s="162"/>
      <c r="T5" s="162"/>
      <c r="U5" s="162"/>
      <c r="V5" s="162"/>
      <c r="W5" s="162"/>
      <c r="X5" s="162"/>
      <c r="Y5" s="162"/>
    </row>
    <row r="6" spans="2:44">
      <c r="I6" s="5"/>
      <c r="J6" s="5"/>
      <c r="K6" s="5"/>
      <c r="L6" s="5"/>
      <c r="M6" s="5"/>
      <c r="N6" s="5"/>
      <c r="O6" s="49"/>
    </row>
    <row r="7" spans="2:44" ht="12.6" thickBot="1">
      <c r="B7" s="306" t="s">
        <v>271</v>
      </c>
      <c r="C7" s="265"/>
      <c r="D7" s="265" t="str">
        <f>D5</f>
        <v>2023E</v>
      </c>
      <c r="E7" s="265" t="str">
        <f t="shared" ref="E7:H7" si="0">E5</f>
        <v>2024E</v>
      </c>
      <c r="F7" s="265" t="str">
        <f t="shared" si="0"/>
        <v>2025E</v>
      </c>
      <c r="G7" s="265" t="str">
        <f t="shared" si="0"/>
        <v>2026E</v>
      </c>
      <c r="H7" s="265" t="str">
        <f t="shared" si="0"/>
        <v>23E-26E</v>
      </c>
      <c r="I7" s="49"/>
      <c r="J7" s="306" t="s">
        <v>476</v>
      </c>
      <c r="K7" s="306"/>
      <c r="L7" s="265" t="str">
        <f>L5</f>
        <v>2023E</v>
      </c>
      <c r="M7" s="265" t="str">
        <f t="shared" ref="M7:P7" si="1">M5</f>
        <v>2024E</v>
      </c>
      <c r="N7" s="265" t="str">
        <f t="shared" si="1"/>
        <v>2025E</v>
      </c>
      <c r="O7" s="265" t="str">
        <f t="shared" si="1"/>
        <v>2026E</v>
      </c>
      <c r="P7" s="265" t="str">
        <f t="shared" si="1"/>
        <v>23E-26E</v>
      </c>
    </row>
    <row r="8" spans="2:44" ht="12.6" thickTop="1">
      <c r="B8" s="5"/>
      <c r="C8" s="5"/>
      <c r="D8" s="5"/>
      <c r="E8" s="5"/>
      <c r="F8" s="5"/>
      <c r="G8" s="5"/>
      <c r="H8" s="5"/>
      <c r="I8" s="5"/>
      <c r="J8" s="5"/>
      <c r="K8" s="5"/>
      <c r="L8" s="5"/>
      <c r="M8" s="5"/>
      <c r="N8" s="5"/>
      <c r="S8" s="42"/>
      <c r="T8" s="42"/>
      <c r="U8" s="42"/>
      <c r="V8" s="42"/>
      <c r="W8" s="42"/>
      <c r="X8" s="42"/>
      <c r="Y8" s="42"/>
      <c r="Z8" s="42"/>
      <c r="AA8" s="42"/>
    </row>
    <row r="9" spans="2:44">
      <c r="B9" s="41" t="s">
        <v>197</v>
      </c>
      <c r="C9" s="267">
        <f>Prices!C126</f>
        <v>0.59</v>
      </c>
      <c r="D9" s="533">
        <v>5918.5588310000003</v>
      </c>
      <c r="E9" s="533">
        <v>5918.5588310000003</v>
      </c>
      <c r="F9" s="533">
        <v>5918.5588310000003</v>
      </c>
      <c r="G9" s="533">
        <v>5918.5588310000003</v>
      </c>
      <c r="H9" s="249" t="s">
        <v>146</v>
      </c>
      <c r="I9" s="249"/>
      <c r="J9" s="5" t="s">
        <v>273</v>
      </c>
      <c r="L9" s="529">
        <f>'LATAM INCUMB'!D37</f>
        <v>1.6754972545250479</v>
      </c>
      <c r="M9" s="529">
        <f>'LATAM INCUMB'!E37</f>
        <v>1.5413873359407957</v>
      </c>
      <c r="N9" s="529">
        <f>'LATAM INCUMB'!F37</f>
        <v>1.4052879925497239</v>
      </c>
      <c r="O9" s="529">
        <f>'LATAM INCUMB'!G37</f>
        <v>1.2861713457611794</v>
      </c>
      <c r="P9" s="286">
        <f>'LATAM INCUMB'!H37</f>
        <v>3.2286309728766227E-2</v>
      </c>
      <c r="S9" s="42"/>
      <c r="T9" s="42"/>
      <c r="U9" s="42"/>
      <c r="V9" s="42"/>
      <c r="W9" s="42"/>
      <c r="X9" s="42"/>
      <c r="Y9" s="42"/>
      <c r="Z9" s="42"/>
      <c r="AA9" s="42"/>
    </row>
    <row r="10" spans="2:44">
      <c r="B10" s="5" t="s">
        <v>274</v>
      </c>
      <c r="C10" s="267">
        <f>Prices!C127</f>
        <v>1.78</v>
      </c>
      <c r="D10" s="531">
        <v>0</v>
      </c>
      <c r="E10" s="531">
        <v>0</v>
      </c>
      <c r="F10" s="531">
        <v>0</v>
      </c>
      <c r="G10" s="531">
        <v>0</v>
      </c>
      <c r="H10" s="249" t="s">
        <v>179</v>
      </c>
      <c r="I10" s="247"/>
      <c r="J10" s="5" t="s">
        <v>184</v>
      </c>
      <c r="L10" s="529">
        <f>'LATAM INCUMB'!D38</f>
        <v>4.4371486159074989</v>
      </c>
      <c r="M10" s="529">
        <f>'LATAM INCUMB'!E38</f>
        <v>3.9890624654994724</v>
      </c>
      <c r="N10" s="529">
        <f>'LATAM INCUMB'!F38</f>
        <v>3.5635773257800083</v>
      </c>
      <c r="O10" s="529">
        <f>'LATAM INCUMB'!G38</f>
        <v>3.2131957346788256</v>
      </c>
      <c r="P10" s="286">
        <f>'LATAM INCUMB'!H38</f>
        <v>5.2545313573403529E-2</v>
      </c>
      <c r="S10" s="42"/>
      <c r="T10" s="42"/>
      <c r="U10" s="42"/>
      <c r="V10" s="42"/>
      <c r="W10" s="288"/>
      <c r="X10" s="288"/>
      <c r="Y10" s="288"/>
      <c r="Z10" s="288"/>
      <c r="AA10" s="42"/>
    </row>
    <row r="11" spans="2:44">
      <c r="B11" s="41" t="s">
        <v>275</v>
      </c>
      <c r="C11" s="5"/>
      <c r="D11" s="532">
        <f>(D10*$C$10)+(D9*$C$9)</f>
        <v>3491.94971029</v>
      </c>
      <c r="E11" s="532">
        <f t="shared" ref="E11:G11" si="2">(E10*$C$10)+(E9*$C$9)</f>
        <v>3491.94971029</v>
      </c>
      <c r="F11" s="532">
        <f t="shared" si="2"/>
        <v>3491.94971029</v>
      </c>
      <c r="G11" s="532">
        <f t="shared" si="2"/>
        <v>3491.94971029</v>
      </c>
      <c r="H11" s="249"/>
      <c r="I11" s="249"/>
      <c r="J11" s="5" t="s">
        <v>185</v>
      </c>
      <c r="L11" s="529">
        <f>'LATAM INCUMB'!D39</f>
        <v>8.7775076030846968</v>
      </c>
      <c r="M11" s="529">
        <f>'LATAM INCUMB'!E39</f>
        <v>7.0717582272737056</v>
      </c>
      <c r="N11" s="529">
        <f>'LATAM INCUMB'!F39</f>
        <v>5.9348076148416871</v>
      </c>
      <c r="O11" s="529">
        <f>'LATAM INCUMB'!G39</f>
        <v>5.0856006821112363</v>
      </c>
      <c r="P11" s="286">
        <f>'LATAM INCUMB'!H39</f>
        <v>0.13377842924611083</v>
      </c>
      <c r="S11" s="42"/>
      <c r="T11" s="42"/>
      <c r="U11" s="42"/>
      <c r="V11" s="42"/>
      <c r="W11" s="288"/>
      <c r="X11" s="288"/>
      <c r="Y11" s="288"/>
      <c r="Z11" s="288"/>
      <c r="AA11" s="42"/>
    </row>
    <row r="12" spans="2:44">
      <c r="B12" s="5" t="s">
        <v>24</v>
      </c>
      <c r="C12" s="249"/>
      <c r="D12" s="533">
        <v>20863.20750065874</v>
      </c>
      <c r="E12" s="533">
        <v>25088.06759980998</v>
      </c>
      <c r="F12" s="533">
        <v>27097.602920370646</v>
      </c>
      <c r="G12" s="533">
        <v>29577.580186250325</v>
      </c>
      <c r="H12" s="247"/>
      <c r="I12" s="247"/>
      <c r="J12" s="5" t="s">
        <v>466</v>
      </c>
      <c r="L12" s="529">
        <f>'LATAM INCUMB'!D40</f>
        <v>14.26260581436496</v>
      </c>
      <c r="M12" s="529">
        <f>'LATAM INCUMB'!E40</f>
        <v>10.423838597934619</v>
      </c>
      <c r="N12" s="529">
        <f>'LATAM INCUMB'!F40</f>
        <v>8.6569763163017868</v>
      </c>
      <c r="O12" s="529">
        <f>'LATAM INCUMB'!G40</f>
        <v>7.3396218928570018</v>
      </c>
      <c r="P12" s="286">
        <f>'LATAM INCUMB'!H40</f>
        <v>0.17948820297265589</v>
      </c>
      <c r="S12" s="42"/>
      <c r="T12" s="42"/>
      <c r="U12" s="42"/>
      <c r="V12" s="42"/>
      <c r="W12" s="288"/>
      <c r="X12" s="288"/>
      <c r="Y12" s="288"/>
      <c r="Z12" s="288"/>
      <c r="AA12" s="42"/>
    </row>
    <row r="13" spans="2:44">
      <c r="B13" s="5" t="s">
        <v>529</v>
      </c>
      <c r="C13" s="257"/>
      <c r="D13" s="533">
        <v>1115</v>
      </c>
      <c r="E13" s="533">
        <v>1115</v>
      </c>
      <c r="F13" s="533">
        <v>1115</v>
      </c>
      <c r="G13" s="533">
        <v>1115</v>
      </c>
      <c r="H13" s="247"/>
      <c r="I13" s="247"/>
      <c r="J13" s="5" t="s">
        <v>530</v>
      </c>
      <c r="L13" s="529">
        <f>'LATAM INCUMB'!D41</f>
        <v>1.2450541555502495</v>
      </c>
      <c r="M13" s="529">
        <f>'LATAM INCUMB'!E41</f>
        <v>1.1922739983005051</v>
      </c>
      <c r="N13" s="529">
        <f>'LATAM INCUMB'!F41</f>
        <v>1.1271780163435798</v>
      </c>
      <c r="O13" s="529">
        <f>'LATAM INCUMB'!G41</f>
        <v>1.0560147649150291</v>
      </c>
      <c r="P13" s="286">
        <f>'LATAM INCUMB'!H41</f>
        <v>-1.4772716171091993E-3</v>
      </c>
      <c r="S13" s="42"/>
      <c r="T13" s="42"/>
      <c r="U13" s="42"/>
      <c r="V13" s="42"/>
      <c r="W13" s="42"/>
      <c r="X13" s="42"/>
      <c r="Y13" s="42"/>
      <c r="Z13" s="42"/>
      <c r="AA13" s="42"/>
    </row>
    <row r="14" spans="2:44">
      <c r="B14" s="5" t="s">
        <v>532</v>
      </c>
      <c r="C14" s="257"/>
      <c r="D14" s="533">
        <v>0</v>
      </c>
      <c r="E14" s="533">
        <v>1600</v>
      </c>
      <c r="F14" s="533">
        <v>1600</v>
      </c>
      <c r="G14" s="533">
        <v>1600</v>
      </c>
      <c r="H14" s="247"/>
      <c r="I14" s="247"/>
      <c r="J14" s="5" t="s">
        <v>593</v>
      </c>
      <c r="L14" s="529">
        <f>'LATAM INCUMB'!D42</f>
        <v>2.1427162563071951</v>
      </c>
      <c r="M14" s="529">
        <f>'LATAM INCUMB'!E42</f>
        <v>2.1067241831034007</v>
      </c>
      <c r="N14" s="529">
        <f>'LATAM INCUMB'!F42</f>
        <v>2.0337088917341903</v>
      </c>
      <c r="O14" s="529">
        <f>'LATAM INCUMB'!G42</f>
        <v>1.9591699426923035</v>
      </c>
      <c r="P14" s="286">
        <f>'LATAM INCUMB'!H42</f>
        <v>-2.6170957037785714E-2</v>
      </c>
      <c r="S14" s="42"/>
      <c r="T14" s="42"/>
      <c r="U14" s="42"/>
      <c r="V14" s="42"/>
      <c r="W14" s="42"/>
      <c r="X14" s="42"/>
      <c r="Y14" s="42"/>
      <c r="Z14" s="42"/>
      <c r="AA14" s="42"/>
    </row>
    <row r="15" spans="2:44">
      <c r="B15" s="5" t="s">
        <v>531</v>
      </c>
      <c r="C15" s="274"/>
      <c r="D15" s="533">
        <v>0</v>
      </c>
      <c r="E15" s="533">
        <v>250</v>
      </c>
      <c r="F15" s="533">
        <v>250</v>
      </c>
      <c r="G15" s="533">
        <v>250</v>
      </c>
      <c r="H15" s="247"/>
      <c r="I15" s="247"/>
      <c r="J15" s="5" t="s">
        <v>475</v>
      </c>
      <c r="L15" s="529">
        <f>'LATAM INCUMB'!D43</f>
        <v>29.880211958442072</v>
      </c>
      <c r="M15" s="529">
        <f>'LATAM INCUMB'!E43</f>
        <v>15.108036348468724</v>
      </c>
      <c r="N15" s="529">
        <f>'LATAM INCUMB'!F43</f>
        <v>11.334385891328045</v>
      </c>
      <c r="O15" s="529">
        <f>'LATAM INCUMB'!G43</f>
        <v>8.9831000045763254</v>
      </c>
      <c r="P15" s="286">
        <f>'LATAM INCUMB'!H43</f>
        <v>0.45506380228138199</v>
      </c>
      <c r="S15" s="42"/>
      <c r="T15" s="42"/>
      <c r="U15" s="42"/>
      <c r="V15" s="42"/>
      <c r="W15" s="42"/>
      <c r="X15" s="42"/>
      <c r="Y15" s="42"/>
      <c r="Z15" s="42"/>
      <c r="AA15" s="42"/>
    </row>
    <row r="16" spans="2:44">
      <c r="B16" s="5" t="s">
        <v>534</v>
      </c>
      <c r="C16" s="257"/>
      <c r="D16" s="533">
        <v>0</v>
      </c>
      <c r="E16" s="533">
        <v>0</v>
      </c>
      <c r="F16" s="533">
        <v>0</v>
      </c>
      <c r="G16" s="533">
        <v>0</v>
      </c>
      <c r="H16" s="247"/>
      <c r="I16" s="247"/>
      <c r="J16" s="5" t="s">
        <v>533</v>
      </c>
      <c r="L16" s="529">
        <f>'LATAM INCUMB'!D44</f>
        <v>15.253817863531252</v>
      </c>
      <c r="M16" s="529">
        <f>'LATAM INCUMB'!E44</f>
        <v>11.073980990801601</v>
      </c>
      <c r="N16" s="529">
        <f>'LATAM INCUMB'!F44</f>
        <v>8.2928435180962055</v>
      </c>
      <c r="O16" s="529">
        <f>'LATAM INCUMB'!G44</f>
        <v>6.6146703376605194</v>
      </c>
      <c r="P16" s="286">
        <f>'LATAM INCUMB'!H44</f>
        <v>0.2809349860711805</v>
      </c>
      <c r="S16" s="42"/>
      <c r="T16" s="42"/>
      <c r="U16" s="42"/>
      <c r="V16" s="42"/>
      <c r="W16" s="42"/>
      <c r="X16" s="42"/>
      <c r="Y16" s="42"/>
      <c r="Z16" s="42"/>
      <c r="AA16" s="42"/>
    </row>
    <row r="17" spans="2:27">
      <c r="B17" s="5" t="s">
        <v>6</v>
      </c>
      <c r="C17" s="257"/>
      <c r="D17" s="533">
        <v>-2994</v>
      </c>
      <c r="E17" s="533">
        <v>-2128.7299999999996</v>
      </c>
      <c r="F17" s="533">
        <v>-1224.5228499999994</v>
      </c>
      <c r="G17" s="533">
        <v>-279.62637824999933</v>
      </c>
      <c r="H17" s="247"/>
      <c r="I17" s="247"/>
      <c r="J17" s="5" t="s">
        <v>580</v>
      </c>
      <c r="L17" s="248">
        <f>'LATAM INCUMB'!D45</f>
        <v>3.5776465076388382E-2</v>
      </c>
      <c r="M17" s="248">
        <f>'LATAM INCUMB'!E45</f>
        <v>3.9720772392338836E-2</v>
      </c>
      <c r="N17" s="248">
        <f>'LATAM INCUMB'!F45</f>
        <v>4.6101210230168325E-2</v>
      </c>
      <c r="O17" s="248">
        <f>'LATAM INCUMB'!G45</f>
        <v>5.1630244536013982E-2</v>
      </c>
      <c r="P17" s="286">
        <f>'LATAM INCUMB'!H45</f>
        <v>9.5651796667158839E-2</v>
      </c>
      <c r="S17" s="42"/>
      <c r="T17" s="42"/>
      <c r="U17" s="42"/>
      <c r="V17" s="42"/>
      <c r="W17" s="42"/>
      <c r="X17" s="42"/>
      <c r="Y17" s="42"/>
      <c r="Z17" s="42"/>
      <c r="AA17" s="42"/>
    </row>
    <row r="18" spans="2:27" ht="12.6" thickBot="1">
      <c r="B18" s="41" t="s">
        <v>583</v>
      </c>
      <c r="C18" s="249"/>
      <c r="D18" s="534">
        <f>D11+D12+D13-D14+D15-D16+D17</f>
        <v>22476.157210948739</v>
      </c>
      <c r="E18" s="534">
        <f t="shared" ref="E18:G18" si="3">E11+E12+E13-E14+E15-E16+E17</f>
        <v>26216.287310099979</v>
      </c>
      <c r="F18" s="534">
        <f t="shared" si="3"/>
        <v>29130.029780660647</v>
      </c>
      <c r="G18" s="534">
        <f t="shared" si="3"/>
        <v>32554.903518290328</v>
      </c>
      <c r="H18" s="276">
        <f>IF(D18=0,"nm",IF(G18=0,"nm",(G18/D18)^(1/3)-1))</f>
        <v>0.13143979709580744</v>
      </c>
      <c r="I18" s="254"/>
      <c r="J18" s="5" t="s">
        <v>36</v>
      </c>
      <c r="L18" s="248">
        <f>'LATAM INCUMB'!D46</f>
        <v>3.6168407328364835E-2</v>
      </c>
      <c r="M18" s="248">
        <f>'LATAM INCUMB'!E46</f>
        <v>4.0015836588525255E-2</v>
      </c>
      <c r="N18" s="248">
        <f>'LATAM INCUMB'!F46</f>
        <v>3.7334375846412596E-2</v>
      </c>
      <c r="O18" s="248">
        <f>'LATAM INCUMB'!G46</f>
        <v>8.0938216079071201E-2</v>
      </c>
      <c r="P18" s="286">
        <f>'LATAM INCUMB'!H46</f>
        <v>0.26817265579733318</v>
      </c>
      <c r="S18" s="42"/>
      <c r="T18" s="42"/>
      <c r="U18" s="42"/>
      <c r="V18" s="42"/>
      <c r="W18" s="42"/>
      <c r="X18" s="42"/>
      <c r="Y18" s="42"/>
      <c r="Z18" s="42"/>
      <c r="AA18" s="42"/>
    </row>
    <row r="19" spans="2:27" ht="12.6" thickTop="1">
      <c r="B19" s="41"/>
      <c r="C19" s="249"/>
      <c r="D19" s="229"/>
      <c r="E19" s="229"/>
      <c r="F19" s="229"/>
      <c r="G19" s="229"/>
      <c r="H19" s="276"/>
      <c r="I19" s="254"/>
      <c r="J19" s="5" t="s">
        <v>581</v>
      </c>
      <c r="L19" s="248">
        <f>'LATAM INCUMB'!D47</f>
        <v>3.3466964738764829E-2</v>
      </c>
      <c r="M19" s="248">
        <f>'LATAM INCUMB'!E47</f>
        <v>6.6189938714395199E-2</v>
      </c>
      <c r="N19" s="248">
        <f>'LATAM INCUMB'!F47</f>
        <v>8.8227100222968535E-2</v>
      </c>
      <c r="O19" s="248">
        <f>'LATAM INCUMB'!G47</f>
        <v>0.11132014555003983</v>
      </c>
      <c r="P19" s="286">
        <f>'LATAM INCUMB'!H47</f>
        <v>0.45506380228138199</v>
      </c>
      <c r="S19" s="42"/>
      <c r="T19" s="42"/>
      <c r="U19" s="42"/>
      <c r="V19" s="42"/>
      <c r="W19" s="42"/>
      <c r="X19" s="42"/>
      <c r="Y19" s="42"/>
      <c r="Z19" s="42"/>
      <c r="AA19" s="42"/>
    </row>
    <row r="20" spans="2:27">
      <c r="H20" s="277"/>
      <c r="I20" s="17"/>
      <c r="J20" s="5" t="s">
        <v>604</v>
      </c>
      <c r="L20" s="305">
        <f>'LATAM INCUMB'!D48</f>
        <v>0.89089234361336911</v>
      </c>
      <c r="M20" s="305">
        <f>'LATAM INCUMB'!E48</f>
        <v>0.49796671924446828</v>
      </c>
      <c r="N20" s="305">
        <f>'LATAM INCUMB'!F48</f>
        <v>0.43114661193935117</v>
      </c>
      <c r="O20" s="305">
        <f>'LATAM INCUMB'!G48</f>
        <v>0.38036170164883265</v>
      </c>
      <c r="P20" s="286" t="str">
        <f>'LATAM INCUMB'!H48</f>
        <v>nm</v>
      </c>
      <c r="S20" s="42"/>
      <c r="T20" s="42"/>
      <c r="U20" s="42"/>
      <c r="V20" s="42"/>
      <c r="W20" s="42"/>
      <c r="X20" s="42"/>
      <c r="Y20" s="42"/>
      <c r="Z20" s="42"/>
      <c r="AA20" s="42"/>
    </row>
    <row r="21" spans="2:27" ht="12.6" thickBot="1">
      <c r="B21" s="306" t="s">
        <v>947</v>
      </c>
      <c r="C21" s="265"/>
      <c r="D21" s="265" t="str">
        <f>D5</f>
        <v>2023E</v>
      </c>
      <c r="E21" s="265" t="str">
        <f t="shared" ref="E21:H21" si="4">E5</f>
        <v>2024E</v>
      </c>
      <c r="F21" s="265" t="str">
        <f t="shared" si="4"/>
        <v>2025E</v>
      </c>
      <c r="G21" s="265" t="str">
        <f t="shared" si="4"/>
        <v>2026E</v>
      </c>
      <c r="H21" s="265" t="str">
        <f t="shared" si="4"/>
        <v>23E-26E</v>
      </c>
      <c r="I21" s="49"/>
      <c r="J21" s="41"/>
      <c r="L21" s="250"/>
      <c r="M21" s="250"/>
      <c r="N21" s="250"/>
      <c r="O21" s="250"/>
      <c r="P21" s="286"/>
      <c r="S21" s="42"/>
      <c r="T21" s="42"/>
      <c r="U21" s="42"/>
      <c r="V21" s="42"/>
      <c r="W21" s="42"/>
      <c r="X21" s="42"/>
      <c r="Y21" s="42"/>
      <c r="Z21" s="42"/>
      <c r="AA21" s="42"/>
    </row>
    <row r="22" spans="2:27" ht="12.6" thickTop="1">
      <c r="B22" s="5"/>
      <c r="C22" s="257"/>
      <c r="D22" s="17"/>
      <c r="E22" s="17"/>
      <c r="F22" s="17"/>
      <c r="G22" s="17"/>
      <c r="H22" s="17"/>
      <c r="I22" s="17"/>
      <c r="P22" s="277"/>
      <c r="S22" s="42"/>
      <c r="T22" s="42"/>
      <c r="U22" s="42"/>
      <c r="V22" s="42"/>
      <c r="W22" s="42"/>
      <c r="X22" s="42"/>
      <c r="Y22" s="42"/>
      <c r="Z22" s="42"/>
      <c r="AA22" s="42"/>
    </row>
    <row r="23" spans="2:27" ht="12.6" thickBot="1">
      <c r="B23" s="5" t="s">
        <v>584</v>
      </c>
      <c r="C23" s="548">
        <v>20136</v>
      </c>
      <c r="D23" s="540">
        <v>18759.231696351115</v>
      </c>
      <c r="E23" s="540">
        <v>18952.048732029296</v>
      </c>
      <c r="F23" s="540">
        <v>19555.815368500866</v>
      </c>
      <c r="G23" s="540">
        <v>20254.799701069831</v>
      </c>
      <c r="H23" s="279">
        <f t="shared" ref="H23:H32" si="5">IF(D23=0,"nm",IF(G23=0,"nm",(G23/D23)^(1/3)-1))</f>
        <v>2.5898280258095152E-2</v>
      </c>
      <c r="I23" s="247"/>
      <c r="J23" s="306" t="s">
        <v>9</v>
      </c>
      <c r="K23" s="306"/>
      <c r="L23" s="265" t="str">
        <f>D21</f>
        <v>2023E</v>
      </c>
      <c r="M23" s="265" t="str">
        <f t="shared" ref="M23:P23" si="6">E21</f>
        <v>2024E</v>
      </c>
      <c r="N23" s="265" t="str">
        <f t="shared" si="6"/>
        <v>2025E</v>
      </c>
      <c r="O23" s="265" t="str">
        <f t="shared" si="6"/>
        <v>2026E</v>
      </c>
      <c r="P23" s="265" t="str">
        <f t="shared" si="6"/>
        <v>23E-26E</v>
      </c>
      <c r="S23" s="42"/>
      <c r="T23" s="42"/>
      <c r="U23" s="42"/>
      <c r="V23" s="42"/>
      <c r="W23" s="42"/>
      <c r="X23" s="42"/>
      <c r="Y23" s="42"/>
      <c r="Z23" s="42"/>
      <c r="AA23" s="42"/>
    </row>
    <row r="24" spans="2:27" ht="12.6" thickTop="1">
      <c r="B24" s="5" t="s">
        <v>483</v>
      </c>
      <c r="C24" s="549">
        <v>4464</v>
      </c>
      <c r="D24" s="540">
        <v>4367.5216963511139</v>
      </c>
      <c r="E24" s="540">
        <v>4762.6922320292942</v>
      </c>
      <c r="F24" s="540">
        <v>5194.1439735008644</v>
      </c>
      <c r="G24" s="540">
        <v>5511.9173888698297</v>
      </c>
      <c r="H24" s="279">
        <f t="shared" si="5"/>
        <v>8.0660330902892818E-2</v>
      </c>
      <c r="I24" s="249"/>
      <c r="J24" s="17"/>
      <c r="K24" s="17"/>
      <c r="L24" s="17"/>
      <c r="M24" s="17"/>
      <c r="N24" s="17"/>
      <c r="O24" s="248"/>
      <c r="S24" s="42"/>
      <c r="T24" s="42"/>
      <c r="U24" s="42"/>
      <c r="V24" s="42"/>
      <c r="W24" s="42" t="s">
        <v>662</v>
      </c>
      <c r="X24" s="42" t="s">
        <v>263</v>
      </c>
      <c r="Y24" s="42"/>
      <c r="Z24" s="42"/>
      <c r="AA24" s="42"/>
    </row>
    <row r="25" spans="2:27">
      <c r="B25" s="5" t="s">
        <v>183</v>
      </c>
      <c r="C25" s="548">
        <v>-3378</v>
      </c>
      <c r="D25" s="540">
        <v>-2718.9263482623101</v>
      </c>
      <c r="E25" s="540">
        <v>-2021.7253115012518</v>
      </c>
      <c r="F25" s="540">
        <v>-64.436175994369478</v>
      </c>
      <c r="G25" s="540">
        <v>1068.0014546344664</v>
      </c>
      <c r="H25" s="279">
        <f t="shared" si="5"/>
        <v>-1.7323603107617997</v>
      </c>
      <c r="I25" s="248"/>
      <c r="J25" s="247" t="s">
        <v>10</v>
      </c>
      <c r="K25" s="247"/>
      <c r="L25" s="321">
        <v>0</v>
      </c>
      <c r="M25" s="321">
        <v>0</v>
      </c>
      <c r="N25" s="321">
        <v>0</v>
      </c>
      <c r="O25" s="321">
        <v>0</v>
      </c>
      <c r="P25" s="279" t="str">
        <f>IF(L25=0,"nm",IF(O25=0,"nm",(O25/L25)^(1/3)-1))</f>
        <v>nm</v>
      </c>
      <c r="S25" s="42"/>
      <c r="T25" s="42"/>
      <c r="U25" s="42"/>
      <c r="V25" s="147" t="s">
        <v>273</v>
      </c>
      <c r="W25" s="288">
        <f>D37/L9</f>
        <v>0.71509426190819037</v>
      </c>
      <c r="X25" s="288">
        <v>1</v>
      </c>
      <c r="Y25" s="42"/>
      <c r="Z25" s="42"/>
      <c r="AA25" s="42"/>
    </row>
    <row r="26" spans="2:27">
      <c r="B26" s="5" t="s">
        <v>586</v>
      </c>
      <c r="C26" s="548">
        <v>-2229.4799999999996</v>
      </c>
      <c r="D26" s="540">
        <v>-1794.4913898531245</v>
      </c>
      <c r="E26" s="540">
        <v>-1334.3387055908261</v>
      </c>
      <c r="F26" s="540">
        <v>-42.527876156283853</v>
      </c>
      <c r="G26" s="540">
        <v>704.88096005874775</v>
      </c>
      <c r="H26" s="279">
        <f t="shared" si="5"/>
        <v>-1.7323603107617997</v>
      </c>
      <c r="I26" s="249"/>
      <c r="J26" s="249" t="s">
        <v>11</v>
      </c>
      <c r="K26" s="249"/>
      <c r="L26" s="281">
        <f>D11+L25</f>
        <v>3491.94971029</v>
      </c>
      <c r="M26" s="281">
        <f>E11+M25</f>
        <v>3491.94971029</v>
      </c>
      <c r="N26" s="281">
        <f>F11+N25</f>
        <v>3491.94971029</v>
      </c>
      <c r="O26" s="281">
        <f>G11+O25</f>
        <v>3491.94971029</v>
      </c>
      <c r="P26" s="279">
        <f>IF(L26=0,"nm",IF(O26=0,"nm",(O26/L26)^(1/3)-1))</f>
        <v>0</v>
      </c>
      <c r="Q26" s="5"/>
      <c r="S26" s="42"/>
      <c r="T26" s="42"/>
      <c r="U26" s="42"/>
      <c r="V26" s="147" t="s">
        <v>184</v>
      </c>
      <c r="W26" s="288">
        <f t="shared" ref="W26:W33" si="7">D38/L10</f>
        <v>1.1597997612727491</v>
      </c>
      <c r="X26" s="288">
        <v>1</v>
      </c>
      <c r="Y26" s="42"/>
      <c r="Z26" s="42"/>
      <c r="AA26" s="42"/>
    </row>
    <row r="27" spans="2:27">
      <c r="B27" s="5" t="s">
        <v>587</v>
      </c>
      <c r="C27" s="549">
        <v>15925.2</v>
      </c>
      <c r="D27" s="540">
        <v>20873.611500658739</v>
      </c>
      <c r="E27" s="540">
        <v>25098.679679809979</v>
      </c>
      <c r="F27" s="540">
        <v>27108.427241970647</v>
      </c>
      <c r="G27" s="540">
        <v>29588.620994282326</v>
      </c>
      <c r="H27" s="279">
        <f t="shared" si="5"/>
        <v>0.12333435963956574</v>
      </c>
      <c r="I27" s="249"/>
      <c r="J27" s="248"/>
      <c r="K27" s="248"/>
      <c r="L27" s="248"/>
      <c r="M27" s="248"/>
      <c r="N27" s="248"/>
      <c r="O27" s="248"/>
      <c r="Q27" s="41"/>
      <c r="S27" s="42"/>
      <c r="T27" s="42"/>
      <c r="U27" s="42"/>
      <c r="V27" s="147" t="s">
        <v>185</v>
      </c>
      <c r="W27" s="288">
        <f t="shared" si="7"/>
        <v>-0.94178854426943326</v>
      </c>
      <c r="X27" s="288">
        <v>1</v>
      </c>
      <c r="Y27" s="42"/>
      <c r="Z27" s="42"/>
      <c r="AA27" s="42"/>
    </row>
    <row r="28" spans="2:27" ht="12.6" thickBot="1">
      <c r="B28" s="5" t="s">
        <v>592</v>
      </c>
      <c r="C28" s="548">
        <v>0</v>
      </c>
      <c r="D28" s="540">
        <v>0</v>
      </c>
      <c r="E28" s="540">
        <v>0</v>
      </c>
      <c r="F28" s="540">
        <v>0</v>
      </c>
      <c r="G28" s="540">
        <v>0</v>
      </c>
      <c r="H28" s="279" t="str">
        <f t="shared" si="5"/>
        <v>nm</v>
      </c>
      <c r="I28" s="248"/>
      <c r="J28" s="306" t="s">
        <v>1362</v>
      </c>
      <c r="K28" s="306"/>
      <c r="L28" s="306"/>
      <c r="M28" s="306"/>
      <c r="N28" s="266"/>
      <c r="O28" s="266"/>
      <c r="P28" s="266"/>
      <c r="Q28" s="5"/>
      <c r="S28" s="42"/>
      <c r="T28" s="42"/>
      <c r="U28" s="42"/>
      <c r="V28" s="147" t="s">
        <v>466</v>
      </c>
      <c r="W28" s="288">
        <f t="shared" si="7"/>
        <v>-0.8781764829564378</v>
      </c>
      <c r="X28" s="288">
        <v>1</v>
      </c>
      <c r="Y28" s="42"/>
      <c r="Z28" s="42"/>
      <c r="AA28" s="42"/>
    </row>
    <row r="29" spans="2:27" ht="12.6" thickTop="1">
      <c r="B29" s="5" t="s">
        <v>588</v>
      </c>
      <c r="C29" s="548">
        <v>-5355.8055244076068</v>
      </c>
      <c r="D29" s="540">
        <v>-5326.5849625137816</v>
      </c>
      <c r="E29" s="540">
        <v>-4938.2922607104638</v>
      </c>
      <c r="F29" s="540">
        <v>-3046.1535859043333</v>
      </c>
      <c r="G29" s="540">
        <v>-1925.8038724878456</v>
      </c>
      <c r="H29" s="279">
        <f t="shared" si="5"/>
        <v>-0.28760466703159515</v>
      </c>
      <c r="I29" s="252"/>
      <c r="J29" s="249"/>
      <c r="K29" s="249"/>
      <c r="L29" s="249"/>
      <c r="M29" s="249"/>
      <c r="N29" s="249"/>
      <c r="O29" s="251"/>
      <c r="Q29" s="5"/>
      <c r="S29" s="42"/>
      <c r="T29" s="42"/>
      <c r="U29" s="42"/>
      <c r="V29" s="147" t="s">
        <v>530</v>
      </c>
      <c r="W29" s="288">
        <f t="shared" si="7"/>
        <v>0.86484090558023252</v>
      </c>
      <c r="X29" s="288">
        <v>1</v>
      </c>
      <c r="Y29" s="42"/>
      <c r="Z29" s="42"/>
      <c r="AA29" s="42"/>
    </row>
    <row r="30" spans="2:27">
      <c r="B30" s="5" t="s">
        <v>589</v>
      </c>
      <c r="C30" s="549">
        <v>-3162.0855244076074</v>
      </c>
      <c r="D30" s="540">
        <v>-3503.1257928786704</v>
      </c>
      <c r="E30" s="540">
        <v>-2902.4989801872416</v>
      </c>
      <c r="F30" s="540">
        <v>-2100.6771390792901</v>
      </c>
      <c r="G30" s="540">
        <v>-1543.888686498449</v>
      </c>
      <c r="H30" s="279">
        <f t="shared" si="5"/>
        <v>-0.23899633082579186</v>
      </c>
      <c r="I30" s="254"/>
      <c r="J30" s="248"/>
      <c r="K30" s="248"/>
      <c r="L30" s="248"/>
      <c r="M30" s="248"/>
      <c r="N30" s="248"/>
      <c r="O30" s="5"/>
      <c r="Q30" s="5"/>
      <c r="S30" s="42"/>
      <c r="T30" s="42"/>
      <c r="U30" s="42"/>
      <c r="V30" s="147" t="s">
        <v>593</v>
      </c>
      <c r="W30" s="288" t="e">
        <f t="shared" si="7"/>
        <v>#DIV/0!</v>
      </c>
      <c r="X30" s="288">
        <v>1</v>
      </c>
      <c r="Y30" s="42"/>
      <c r="Z30" s="42"/>
      <c r="AA30" s="42"/>
    </row>
    <row r="31" spans="2:27">
      <c r="B31" s="5" t="s">
        <v>590</v>
      </c>
      <c r="C31" s="549">
        <v>0</v>
      </c>
      <c r="D31" s="540">
        <v>0</v>
      </c>
      <c r="E31" s="540">
        <v>0</v>
      </c>
      <c r="F31" s="540">
        <v>0</v>
      </c>
      <c r="G31" s="540">
        <v>0</v>
      </c>
      <c r="H31" s="279" t="str">
        <f t="shared" si="5"/>
        <v>nm</v>
      </c>
      <c r="I31" s="254"/>
      <c r="J31" s="252"/>
      <c r="K31" s="252"/>
      <c r="L31" s="252"/>
      <c r="M31" s="252"/>
      <c r="N31" s="252"/>
      <c r="O31" s="5"/>
      <c r="Q31" s="5"/>
      <c r="S31" s="42"/>
      <c r="T31" s="42"/>
      <c r="U31" s="42"/>
      <c r="V31" s="147" t="s">
        <v>475</v>
      </c>
      <c r="W31" s="288">
        <f t="shared" si="7"/>
        <v>-2.1939940627298895E-2</v>
      </c>
      <c r="X31" s="288">
        <v>1</v>
      </c>
      <c r="Y31" s="42"/>
      <c r="Z31" s="42"/>
      <c r="AA31" s="42"/>
    </row>
    <row r="32" spans="2:27">
      <c r="B32" s="5" t="s">
        <v>606</v>
      </c>
      <c r="C32" s="550">
        <v>0</v>
      </c>
      <c r="D32" s="540">
        <v>0</v>
      </c>
      <c r="E32" s="540">
        <v>0</v>
      </c>
      <c r="F32" s="540">
        <v>0</v>
      </c>
      <c r="G32" s="540">
        <v>0</v>
      </c>
      <c r="H32" s="279" t="str">
        <f t="shared" si="5"/>
        <v>nm</v>
      </c>
      <c r="I32" s="254"/>
      <c r="J32" s="254"/>
      <c r="K32" s="254"/>
      <c r="L32" s="254"/>
      <c r="M32" s="254"/>
      <c r="N32" s="254"/>
      <c r="O32" s="251"/>
      <c r="Q32" s="5"/>
      <c r="S32" s="42"/>
      <c r="T32" s="42"/>
      <c r="U32" s="42"/>
      <c r="V32" s="147" t="s">
        <v>533</v>
      </c>
      <c r="W32" s="288">
        <f t="shared" si="7"/>
        <v>-6.5348209325975751E-2</v>
      </c>
      <c r="X32" s="288">
        <v>1</v>
      </c>
      <c r="Y32" s="42"/>
      <c r="Z32" s="42"/>
      <c r="AA32" s="42"/>
    </row>
    <row r="33" spans="2:27">
      <c r="B33" s="5" t="s">
        <v>5</v>
      </c>
      <c r="C33" s="549">
        <v>1977.8055244076068</v>
      </c>
      <c r="D33" s="540">
        <v>2607.6586142514716</v>
      </c>
      <c r="E33" s="540">
        <v>2916.566949209212</v>
      </c>
      <c r="F33" s="540">
        <v>2981.7174099099639</v>
      </c>
      <c r="G33" s="540">
        <v>2993.8053271223121</v>
      </c>
      <c r="H33" s="279">
        <f>IF(D33=0,"nm",IF(G33=0,"nm",(G33/D33)^(1/3)-1))</f>
        <v>4.7106705613410238E-2</v>
      </c>
      <c r="I33" s="5"/>
      <c r="J33" s="254"/>
      <c r="K33" s="254"/>
      <c r="L33" s="254"/>
      <c r="M33" s="254"/>
      <c r="N33" s="254"/>
      <c r="O33" s="251"/>
      <c r="Q33" s="5"/>
      <c r="S33" s="42"/>
      <c r="T33" s="42"/>
      <c r="U33" s="42"/>
      <c r="V33" s="147" t="s">
        <v>580</v>
      </c>
      <c r="W33" s="288">
        <f t="shared" si="7"/>
        <v>0</v>
      </c>
      <c r="X33" s="288">
        <v>1</v>
      </c>
      <c r="Y33" s="42"/>
      <c r="Z33" s="42"/>
      <c r="AA33" s="42"/>
    </row>
    <row r="34" spans="2:27">
      <c r="D34" s="5"/>
      <c r="E34" s="5"/>
      <c r="F34" s="5"/>
      <c r="G34" s="5"/>
      <c r="I34" s="49"/>
      <c r="J34" s="254"/>
      <c r="K34" s="254"/>
      <c r="L34" s="254"/>
      <c r="M34" s="254"/>
      <c r="N34" s="254"/>
      <c r="O34" s="251"/>
      <c r="Q34" s="5"/>
      <c r="S34" s="42"/>
      <c r="T34" s="42"/>
      <c r="U34" s="42"/>
      <c r="V34" s="147" t="s">
        <v>581</v>
      </c>
      <c r="W34" s="288">
        <f>D47/L19</f>
        <v>-45.578974756009337</v>
      </c>
      <c r="X34" s="288">
        <v>1</v>
      </c>
      <c r="Y34" s="288"/>
      <c r="Z34" s="288"/>
      <c r="AA34" s="42"/>
    </row>
    <row r="35" spans="2:27" ht="12.6" thickBot="1">
      <c r="B35" s="306" t="s">
        <v>668</v>
      </c>
      <c r="C35" s="265"/>
      <c r="D35" s="265" t="str">
        <f>D5</f>
        <v>2023E</v>
      </c>
      <c r="E35" s="265" t="str">
        <f t="shared" ref="E35:H35" si="8">E5</f>
        <v>2024E</v>
      </c>
      <c r="F35" s="265" t="str">
        <f t="shared" si="8"/>
        <v>2025E</v>
      </c>
      <c r="G35" s="265" t="str">
        <f t="shared" si="8"/>
        <v>2026E</v>
      </c>
      <c r="H35" s="265" t="str">
        <f t="shared" si="8"/>
        <v>23E-26E</v>
      </c>
      <c r="I35" s="254"/>
      <c r="J35" s="5"/>
      <c r="K35" s="5"/>
      <c r="L35" s="5"/>
      <c r="M35" s="5"/>
      <c r="N35" s="5"/>
      <c r="O35" s="5"/>
      <c r="Q35" s="5"/>
      <c r="S35" s="42"/>
      <c r="T35" s="42"/>
      <c r="U35" s="42"/>
      <c r="V35" s="42"/>
      <c r="W35" s="42"/>
      <c r="X35" s="42"/>
      <c r="Y35" s="288"/>
      <c r="Z35" s="288"/>
      <c r="AA35" s="42"/>
    </row>
    <row r="36" spans="2:27" ht="12.6" thickTop="1">
      <c r="B36" s="41"/>
      <c r="C36" s="249"/>
      <c r="D36" s="254"/>
      <c r="E36" s="254"/>
      <c r="F36" s="254"/>
      <c r="G36" s="254"/>
      <c r="H36" s="254"/>
      <c r="I36" s="17"/>
      <c r="J36" s="49"/>
      <c r="K36" s="49"/>
      <c r="L36" s="49"/>
      <c r="M36" s="49"/>
      <c r="N36" s="49"/>
      <c r="O36" s="49"/>
      <c r="Q36" s="5"/>
      <c r="S36" s="42"/>
      <c r="T36" s="42"/>
      <c r="U36" s="42"/>
      <c r="V36" s="42"/>
      <c r="W36" s="42"/>
      <c r="X36" s="42"/>
      <c r="Y36" s="288"/>
      <c r="Z36" s="288"/>
      <c r="AA36" s="42"/>
    </row>
    <row r="37" spans="2:27">
      <c r="B37" s="5" t="s">
        <v>273</v>
      </c>
      <c r="C37" s="247"/>
      <c r="D37" s="529">
        <f>D$18/D23</f>
        <v>1.1981384725537885</v>
      </c>
      <c r="E37" s="529">
        <f t="shared" ref="E37:G41" si="9">E$18/E23</f>
        <v>1.3832956890720733</v>
      </c>
      <c r="F37" s="529">
        <f t="shared" si="9"/>
        <v>1.4895840051538456</v>
      </c>
      <c r="G37" s="529">
        <f t="shared" si="9"/>
        <v>1.607268597999062</v>
      </c>
      <c r="H37" s="17">
        <f t="shared" ref="H37:H45" si="10">H23</f>
        <v>2.5898280258095152E-2</v>
      </c>
      <c r="I37" s="5"/>
      <c r="J37" s="259"/>
      <c r="K37" s="259"/>
      <c r="L37" s="259"/>
      <c r="M37" s="259"/>
      <c r="N37" s="259"/>
      <c r="O37" s="18"/>
      <c r="Q37" s="5"/>
      <c r="R37" s="5"/>
      <c r="S37" s="42"/>
      <c r="T37" s="42"/>
      <c r="U37" s="42"/>
      <c r="V37" s="42"/>
      <c r="W37" s="42"/>
      <c r="X37" s="42"/>
      <c r="Y37" s="42"/>
      <c r="Z37" s="42"/>
      <c r="AA37" s="42"/>
    </row>
    <row r="38" spans="2:27">
      <c r="B38" s="5" t="s">
        <v>184</v>
      </c>
      <c r="C38" s="247"/>
      <c r="D38" s="529">
        <f>D$18/D24</f>
        <v>5.1462039054612259</v>
      </c>
      <c r="E38" s="529">
        <f t="shared" si="9"/>
        <v>5.5045100613040683</v>
      </c>
      <c r="F38" s="529">
        <f t="shared" si="9"/>
        <v>5.6082445787552828</v>
      </c>
      <c r="G38" s="529">
        <f t="shared" si="9"/>
        <v>5.9062756608123665</v>
      </c>
      <c r="H38" s="17">
        <f t="shared" si="10"/>
        <v>8.0660330902892818E-2</v>
      </c>
      <c r="I38" s="259"/>
      <c r="J38" s="17"/>
      <c r="K38" s="17"/>
      <c r="L38" s="17"/>
      <c r="M38" s="17"/>
      <c r="N38" s="17"/>
      <c r="O38" s="5"/>
      <c r="Q38" s="5"/>
      <c r="R38" s="5"/>
      <c r="S38" s="42"/>
      <c r="T38" s="42"/>
      <c r="U38" s="42"/>
      <c r="V38" s="42"/>
      <c r="W38" s="42"/>
      <c r="X38" s="42"/>
      <c r="Y38" s="42"/>
      <c r="Z38" s="42"/>
      <c r="AA38" s="42"/>
    </row>
    <row r="39" spans="2:27">
      <c r="B39" s="5" t="s">
        <v>185</v>
      </c>
      <c r="C39" s="247"/>
      <c r="D39" s="529">
        <f>D$18/D25</f>
        <v>-8.2665561078230194</v>
      </c>
      <c r="E39" s="529">
        <f t="shared" si="9"/>
        <v>-12.967284507425402</v>
      </c>
      <c r="F39" s="529">
        <f t="shared" si="9"/>
        <v>-452.07570640452144</v>
      </c>
      <c r="G39" s="529">
        <f t="shared" si="9"/>
        <v>30.482077882031117</v>
      </c>
      <c r="H39" s="17">
        <f t="shared" si="10"/>
        <v>-1.7323603107617997</v>
      </c>
      <c r="I39" s="17"/>
      <c r="J39" s="5"/>
      <c r="K39" s="5"/>
      <c r="L39" s="5"/>
      <c r="M39" s="5"/>
      <c r="N39" s="5"/>
      <c r="O39" s="5"/>
      <c r="Q39" s="5"/>
      <c r="R39" s="5"/>
      <c r="S39" s="42"/>
      <c r="T39" s="42"/>
      <c r="U39" s="42"/>
      <c r="V39" s="42"/>
      <c r="W39" s="42"/>
      <c r="X39" s="42"/>
      <c r="Y39" s="42"/>
      <c r="Z39" s="42"/>
      <c r="AA39" s="42"/>
    </row>
    <row r="40" spans="2:27">
      <c r="B40" s="5" t="s">
        <v>466</v>
      </c>
      <c r="C40" s="247"/>
      <c r="D40" s="529">
        <f>D$18/D26</f>
        <v>-12.525085011853061</v>
      </c>
      <c r="E40" s="529">
        <f t="shared" si="9"/>
        <v>-19.647400768826369</v>
      </c>
      <c r="F40" s="529">
        <f t="shared" si="9"/>
        <v>-684.96319152200215</v>
      </c>
      <c r="G40" s="529">
        <f t="shared" si="9"/>
        <v>46.184966487925941</v>
      </c>
      <c r="H40" s="17">
        <f t="shared" si="10"/>
        <v>-1.7323603107617997</v>
      </c>
      <c r="I40" s="5"/>
      <c r="J40" s="259"/>
      <c r="K40" s="259"/>
      <c r="L40" s="259"/>
      <c r="M40" s="259"/>
      <c r="N40" s="259"/>
      <c r="O40" s="18"/>
      <c r="Q40" s="5"/>
      <c r="R40" s="5"/>
      <c r="S40" s="42"/>
      <c r="T40" s="42"/>
      <c r="U40" s="42"/>
      <c r="V40" s="42"/>
      <c r="W40" s="288"/>
      <c r="X40" s="288"/>
      <c r="Y40" s="42"/>
      <c r="Z40" s="42"/>
      <c r="AA40" s="42"/>
    </row>
    <row r="41" spans="2:27">
      <c r="B41" s="5" t="s">
        <v>530</v>
      </c>
      <c r="C41" s="247"/>
      <c r="D41" s="529">
        <f>D$18/D27</f>
        <v>1.0767737633825094</v>
      </c>
      <c r="E41" s="529">
        <f t="shared" si="9"/>
        <v>1.044528542718087</v>
      </c>
      <c r="F41" s="529">
        <f t="shared" si="9"/>
        <v>1.0745746892892425</v>
      </c>
      <c r="G41" s="529">
        <f t="shared" si="9"/>
        <v>1.1002507864283775</v>
      </c>
      <c r="H41" s="17">
        <f t="shared" si="10"/>
        <v>0.12333435963956574</v>
      </c>
      <c r="I41" s="247"/>
      <c r="J41" s="17"/>
      <c r="K41" s="17"/>
      <c r="L41" s="17"/>
      <c r="M41" s="17"/>
      <c r="N41" s="17"/>
      <c r="O41" s="5"/>
      <c r="Q41" s="5"/>
      <c r="R41" s="5"/>
      <c r="S41" s="42"/>
      <c r="T41" s="42"/>
      <c r="U41" s="42"/>
      <c r="V41" s="42"/>
      <c r="W41" s="288"/>
      <c r="X41" s="288"/>
      <c r="Y41" s="288"/>
      <c r="Z41" s="288"/>
      <c r="AA41" s="42"/>
    </row>
    <row r="42" spans="2:27">
      <c r="B42" s="5" t="s">
        <v>593</v>
      </c>
      <c r="C42" s="247"/>
      <c r="D42" s="529" t="e">
        <f>D18/D28</f>
        <v>#DIV/0!</v>
      </c>
      <c r="E42" s="529" t="e">
        <f>E18/E28</f>
        <v>#DIV/0!</v>
      </c>
      <c r="F42" s="529" t="e">
        <f>F18/F28</f>
        <v>#DIV/0!</v>
      </c>
      <c r="G42" s="529" t="e">
        <f>G18/G28</f>
        <v>#DIV/0!</v>
      </c>
      <c r="H42" s="17" t="str">
        <f t="shared" si="10"/>
        <v>nm</v>
      </c>
      <c r="I42" s="248"/>
      <c r="J42" s="5"/>
      <c r="K42" s="5"/>
      <c r="L42" s="5"/>
      <c r="M42" s="5"/>
      <c r="N42" s="5"/>
      <c r="O42" s="5"/>
      <c r="Q42" s="5"/>
      <c r="R42" s="5"/>
      <c r="S42" s="42"/>
      <c r="T42" s="42"/>
      <c r="U42" s="42"/>
      <c r="V42" s="42"/>
      <c r="W42" s="288"/>
      <c r="X42" s="288"/>
      <c r="Y42" s="288"/>
      <c r="Z42" s="288"/>
      <c r="AA42" s="42"/>
    </row>
    <row r="43" spans="2:27">
      <c r="B43" s="5" t="s">
        <v>475</v>
      </c>
      <c r="C43" s="247"/>
      <c r="D43" s="529">
        <f>L26/D29</f>
        <v>-0.65557007629932551</v>
      </c>
      <c r="E43" s="529">
        <f>M26/E29</f>
        <v>-0.70711685860966422</v>
      </c>
      <c r="F43" s="529">
        <f>N26/F29</f>
        <v>-1.1463472250540907</v>
      </c>
      <c r="G43" s="529">
        <f>O26/G29</f>
        <v>-1.8132426464481723</v>
      </c>
      <c r="H43" s="17">
        <f t="shared" si="10"/>
        <v>-0.28760466703159515</v>
      </c>
      <c r="I43" s="247"/>
      <c r="J43" s="247"/>
      <c r="K43" s="247"/>
      <c r="L43" s="247"/>
      <c r="M43" s="247"/>
      <c r="N43" s="247"/>
      <c r="O43" s="18"/>
      <c r="Q43" s="5"/>
      <c r="R43" s="5"/>
      <c r="S43" s="42"/>
      <c r="T43" s="42"/>
      <c r="U43" s="42"/>
      <c r="V43" s="42"/>
      <c r="W43" s="288"/>
      <c r="X43" s="288"/>
      <c r="Y43" s="288"/>
      <c r="Z43" s="288"/>
      <c r="AA43" s="42"/>
    </row>
    <row r="44" spans="2:27">
      <c r="B44" s="5" t="s">
        <v>533</v>
      </c>
      <c r="C44" s="69"/>
      <c r="D44" s="529">
        <f>D11/D30</f>
        <v>-0.9968096827663484</v>
      </c>
      <c r="E44" s="529">
        <f>E11/E30</f>
        <v>-1.2030838715625432</v>
      </c>
      <c r="F44" s="529">
        <f>F11/F30</f>
        <v>-1.6622971923331795</v>
      </c>
      <c r="G44" s="529">
        <f>G11/G30</f>
        <v>-2.2617885219495766</v>
      </c>
      <c r="H44" s="17">
        <f t="shared" si="10"/>
        <v>-0.23899633082579186</v>
      </c>
      <c r="I44" s="247"/>
      <c r="J44" s="248"/>
      <c r="K44" s="248"/>
      <c r="L44" s="248"/>
      <c r="M44" s="248"/>
      <c r="N44" s="248"/>
      <c r="O44" s="248"/>
      <c r="Q44" s="5"/>
      <c r="R44" s="5"/>
      <c r="S44" s="42"/>
      <c r="T44" s="42"/>
      <c r="U44" s="42"/>
      <c r="V44" s="42"/>
      <c r="W44" s="325"/>
      <c r="X44" s="325"/>
      <c r="Y44" s="288"/>
      <c r="Z44" s="288"/>
      <c r="AA44" s="42"/>
    </row>
    <row r="45" spans="2:27">
      <c r="B45" s="5" t="s">
        <v>580</v>
      </c>
      <c r="C45" s="247"/>
      <c r="D45" s="248">
        <f>D31/D11</f>
        <v>0</v>
      </c>
      <c r="E45" s="248">
        <f>E31/E11</f>
        <v>0</v>
      </c>
      <c r="F45" s="248">
        <f>F31/F11</f>
        <v>0</v>
      </c>
      <c r="G45" s="248">
        <f>G31/G11</f>
        <v>0</v>
      </c>
      <c r="H45" s="17" t="str">
        <f t="shared" si="10"/>
        <v>nm</v>
      </c>
      <c r="I45" s="248"/>
      <c r="J45" s="247"/>
      <c r="K45" s="247"/>
      <c r="L45" s="247"/>
      <c r="M45" s="247"/>
      <c r="N45" s="247"/>
      <c r="O45" s="248"/>
      <c r="Q45" s="5"/>
      <c r="R45" s="5"/>
      <c r="S45" s="42"/>
      <c r="T45" s="42"/>
      <c r="U45" s="42"/>
      <c r="V45" s="42"/>
      <c r="W45" s="42"/>
      <c r="X45" s="42"/>
      <c r="Y45" s="325"/>
      <c r="Z45" s="325"/>
      <c r="AA45" s="42"/>
    </row>
    <row r="46" spans="2:27">
      <c r="B46" s="5" t="s">
        <v>605</v>
      </c>
      <c r="C46" s="247"/>
      <c r="D46" s="248">
        <f>(D31+D32)/D11</f>
        <v>0</v>
      </c>
      <c r="E46" s="248">
        <f>(E31+E32)/E11</f>
        <v>0</v>
      </c>
      <c r="F46" s="248">
        <f>(F31+F32)/F11</f>
        <v>0</v>
      </c>
      <c r="G46" s="248">
        <f>(G31+G32)/G11</f>
        <v>0</v>
      </c>
      <c r="H46" s="279" t="e">
        <f>((G31+G32)/(D31+D32))^(1/3)-1</f>
        <v>#DIV/0!</v>
      </c>
      <c r="I46" s="247"/>
      <c r="J46" s="247"/>
      <c r="K46" s="247"/>
      <c r="L46" s="247"/>
      <c r="M46" s="247"/>
      <c r="N46" s="247"/>
      <c r="O46" s="18"/>
      <c r="Q46" s="5"/>
      <c r="R46" s="5"/>
      <c r="S46" s="42"/>
      <c r="T46" s="42"/>
      <c r="U46" s="42"/>
      <c r="V46" s="42"/>
      <c r="W46" s="42"/>
      <c r="X46" s="42"/>
      <c r="Y46" s="42"/>
      <c r="Z46" s="42"/>
      <c r="AA46" s="326"/>
    </row>
    <row r="47" spans="2:27">
      <c r="B47" s="5" t="s">
        <v>581</v>
      </c>
      <c r="C47" s="5"/>
      <c r="D47" s="248">
        <f>1/D43</f>
        <v>-1.5253899409884168</v>
      </c>
      <c r="E47" s="248">
        <f>1/E43</f>
        <v>-1.414193407814097</v>
      </c>
      <c r="F47" s="248">
        <f>1/F43</f>
        <v>-0.87233604107412976</v>
      </c>
      <c r="G47" s="248">
        <f>1/G43</f>
        <v>-0.55149816929291096</v>
      </c>
      <c r="H47" s="17">
        <f>H29</f>
        <v>-0.28760466703159515</v>
      </c>
      <c r="I47" s="17"/>
      <c r="J47" s="248"/>
      <c r="K47" s="248"/>
      <c r="L47" s="248"/>
      <c r="M47" s="248"/>
      <c r="N47" s="248"/>
      <c r="O47" s="248"/>
      <c r="Q47" s="5"/>
      <c r="R47" s="5"/>
      <c r="S47" s="42"/>
      <c r="T47" s="42"/>
      <c r="U47" s="42"/>
      <c r="V47" s="42"/>
      <c r="W47" s="42"/>
      <c r="X47" s="42"/>
      <c r="Y47" s="42"/>
      <c r="Z47" s="42"/>
      <c r="AA47" s="326"/>
    </row>
    <row r="48" spans="2:27">
      <c r="B48" s="5" t="s">
        <v>618</v>
      </c>
      <c r="C48" s="5"/>
      <c r="D48" s="305">
        <f>D31/D29</f>
        <v>0</v>
      </c>
      <c r="E48" s="305">
        <f>E31/E29</f>
        <v>0</v>
      </c>
      <c r="F48" s="305">
        <f>F31/F29</f>
        <v>0</v>
      </c>
      <c r="G48" s="305">
        <f>G31/G29</f>
        <v>0</v>
      </c>
      <c r="H48" s="279" t="s">
        <v>607</v>
      </c>
      <c r="I48" s="247"/>
      <c r="J48" s="247"/>
      <c r="K48" s="247"/>
      <c r="L48" s="247"/>
      <c r="M48" s="247"/>
      <c r="N48" s="247"/>
      <c r="O48" s="248"/>
      <c r="Q48" s="5"/>
      <c r="R48" s="5"/>
      <c r="S48" s="42"/>
      <c r="T48" s="42"/>
      <c r="U48" s="42"/>
      <c r="V48" s="42"/>
      <c r="W48" s="42"/>
      <c r="X48" s="42"/>
      <c r="Y48" s="42"/>
      <c r="Z48" s="42"/>
      <c r="AA48" s="326"/>
    </row>
    <row r="49" spans="2:27">
      <c r="B49" s="41"/>
      <c r="C49" s="17"/>
      <c r="D49" s="17"/>
      <c r="E49" s="17"/>
      <c r="F49" s="17"/>
      <c r="G49" s="17"/>
      <c r="H49" s="17"/>
      <c r="I49" s="254"/>
      <c r="J49" s="17"/>
      <c r="K49" s="17"/>
      <c r="L49" s="17"/>
      <c r="M49" s="17"/>
      <c r="N49" s="17"/>
      <c r="O49" s="248"/>
      <c r="Q49" s="5"/>
      <c r="R49" s="5"/>
      <c r="S49" s="42"/>
      <c r="T49" s="42"/>
      <c r="U49" s="42"/>
      <c r="V49" s="42"/>
      <c r="W49" s="42"/>
      <c r="X49" s="42"/>
      <c r="Y49" s="42"/>
      <c r="Z49" s="42"/>
      <c r="AA49" s="326"/>
    </row>
    <row r="50" spans="2:27">
      <c r="B50" s="5"/>
      <c r="C50" s="257"/>
      <c r="D50" s="257"/>
      <c r="E50" s="257"/>
      <c r="F50" s="5"/>
      <c r="G50" s="41"/>
      <c r="H50" s="249"/>
      <c r="I50" s="17"/>
      <c r="J50" s="249"/>
      <c r="K50" s="249"/>
      <c r="L50" s="249"/>
      <c r="M50" s="249"/>
      <c r="N50" s="249"/>
      <c r="O50" s="250"/>
      <c r="Q50" s="5"/>
      <c r="R50" s="5"/>
      <c r="S50" s="42"/>
      <c r="T50" s="42"/>
      <c r="U50" s="42"/>
      <c r="V50" s="42"/>
      <c r="W50" s="288"/>
      <c r="X50" s="288"/>
      <c r="Y50" s="42"/>
      <c r="Z50" s="42"/>
      <c r="AA50" s="326"/>
    </row>
    <row r="51" spans="2:27">
      <c r="B51" s="41"/>
      <c r="C51" s="249"/>
      <c r="D51" s="254"/>
      <c r="E51" s="254"/>
      <c r="F51" s="254"/>
      <c r="G51" s="254"/>
      <c r="H51" s="254"/>
      <c r="I51" s="259"/>
      <c r="J51" s="254"/>
      <c r="K51" s="254"/>
      <c r="L51" s="254"/>
      <c r="M51" s="254"/>
      <c r="N51" s="254"/>
      <c r="O51" s="251"/>
      <c r="Q51" s="5"/>
      <c r="R51" s="5"/>
      <c r="S51" s="42"/>
      <c r="T51" s="42"/>
      <c r="U51" s="42"/>
      <c r="V51" s="42"/>
      <c r="W51" s="288"/>
      <c r="X51" s="288"/>
      <c r="Y51" s="288"/>
      <c r="Z51" s="288"/>
      <c r="AA51" s="42"/>
    </row>
    <row r="52" spans="2:27">
      <c r="B52" s="5"/>
      <c r="C52" s="257"/>
      <c r="D52" s="17"/>
      <c r="E52" s="17"/>
      <c r="F52" s="17"/>
      <c r="G52" s="17"/>
      <c r="H52" s="17"/>
      <c r="I52" s="254"/>
      <c r="J52" s="17"/>
      <c r="K52" s="17"/>
      <c r="L52" s="17"/>
      <c r="M52" s="17"/>
      <c r="N52" s="17"/>
      <c r="O52" s="248"/>
      <c r="Q52" s="5"/>
      <c r="R52" s="5"/>
      <c r="Y52" s="10"/>
      <c r="Z52" s="10"/>
    </row>
    <row r="53" spans="2:27">
      <c r="B53" s="5"/>
      <c r="C53" s="257"/>
      <c r="D53" s="257"/>
      <c r="E53" s="257"/>
      <c r="F53" s="5"/>
      <c r="G53" s="5"/>
      <c r="H53" s="259"/>
      <c r="I53" s="17"/>
      <c r="J53" s="259"/>
      <c r="K53" s="259"/>
      <c r="L53" s="259"/>
      <c r="M53" s="259"/>
      <c r="N53" s="259"/>
      <c r="O53" s="18"/>
      <c r="Q53" s="5"/>
      <c r="R53" s="5"/>
    </row>
    <row r="54" spans="2:27">
      <c r="B54" s="41"/>
      <c r="C54" s="249"/>
      <c r="D54" s="254"/>
      <c r="E54" s="254"/>
      <c r="F54" s="254"/>
      <c r="G54" s="254"/>
      <c r="H54" s="254"/>
      <c r="I54" s="259"/>
      <c r="J54" s="254"/>
      <c r="K54" s="254"/>
      <c r="L54" s="254"/>
      <c r="M54" s="254"/>
      <c r="N54" s="254"/>
      <c r="O54" s="251"/>
      <c r="Q54" s="5"/>
      <c r="R54" s="5"/>
    </row>
    <row r="55" spans="2:27">
      <c r="B55" s="5"/>
      <c r="C55" s="257"/>
      <c r="D55" s="17"/>
      <c r="E55" s="17"/>
      <c r="F55" s="17"/>
      <c r="G55" s="17"/>
      <c r="H55" s="17"/>
      <c r="I55" s="249"/>
      <c r="J55" s="17"/>
      <c r="K55" s="17"/>
      <c r="L55" s="17"/>
      <c r="M55" s="17"/>
      <c r="N55" s="17"/>
      <c r="O55" s="18"/>
      <c r="Q55" s="5"/>
      <c r="R55" s="5"/>
    </row>
    <row r="56" spans="2:27">
      <c r="B56" s="5"/>
      <c r="C56" s="248"/>
      <c r="D56" s="248"/>
      <c r="E56" s="248"/>
      <c r="F56" s="5"/>
      <c r="G56" s="5"/>
      <c r="H56" s="259"/>
      <c r="I56" s="248"/>
      <c r="J56" s="259"/>
      <c r="K56" s="259"/>
      <c r="L56" s="259"/>
      <c r="M56" s="259"/>
      <c r="N56" s="259"/>
      <c r="O56" s="18"/>
      <c r="Q56" s="5"/>
      <c r="R56" s="5"/>
    </row>
    <row r="57" spans="2:27">
      <c r="B57" s="41"/>
      <c r="C57" s="249"/>
      <c r="D57" s="249"/>
      <c r="E57" s="249"/>
      <c r="F57" s="249"/>
      <c r="G57" s="249"/>
      <c r="H57" s="249"/>
      <c r="I57" s="5"/>
      <c r="J57" s="249"/>
      <c r="K57" s="249"/>
      <c r="L57" s="249"/>
      <c r="M57" s="249"/>
      <c r="N57" s="249"/>
      <c r="O57" s="251"/>
      <c r="Q57" s="5"/>
      <c r="R57" s="5"/>
    </row>
    <row r="58" spans="2:27">
      <c r="B58" s="5"/>
      <c r="C58" s="5"/>
      <c r="D58" s="248"/>
      <c r="E58" s="248"/>
      <c r="F58" s="248"/>
      <c r="G58" s="248"/>
      <c r="H58" s="248"/>
      <c r="I58" s="17"/>
      <c r="J58" s="248"/>
      <c r="K58" s="248"/>
      <c r="L58" s="248"/>
      <c r="M58" s="248"/>
      <c r="N58" s="248"/>
      <c r="O58" s="18"/>
      <c r="Q58" s="5"/>
      <c r="R58" s="5"/>
    </row>
    <row r="59" spans="2:27">
      <c r="B59" s="5"/>
      <c r="C59" s="5"/>
      <c r="D59" s="5"/>
      <c r="E59" s="5"/>
      <c r="F59" s="5"/>
      <c r="G59" s="5"/>
      <c r="H59" s="5"/>
      <c r="I59" s="5"/>
      <c r="J59" s="5"/>
      <c r="K59" s="5"/>
      <c r="L59" s="5"/>
      <c r="M59" s="5"/>
      <c r="N59" s="5"/>
      <c r="O59" s="5"/>
      <c r="Q59" s="5"/>
      <c r="R59" s="5"/>
    </row>
    <row r="60" spans="2:27">
      <c r="B60" s="41"/>
      <c r="C60" s="17"/>
      <c r="D60" s="17"/>
      <c r="E60" s="17"/>
      <c r="F60" s="17"/>
      <c r="G60" s="17"/>
      <c r="H60" s="17"/>
      <c r="I60" s="249"/>
      <c r="J60" s="17"/>
      <c r="K60" s="17"/>
      <c r="L60" s="17"/>
      <c r="M60" s="17"/>
      <c r="N60" s="17"/>
      <c r="O60" s="251"/>
      <c r="Q60" s="5"/>
      <c r="R60" s="5"/>
    </row>
    <row r="61" spans="2:27">
      <c r="B61" s="5"/>
      <c r="C61" s="5"/>
      <c r="D61" s="5"/>
      <c r="E61" s="5"/>
      <c r="F61" s="5"/>
      <c r="G61" s="5"/>
      <c r="H61" s="5"/>
      <c r="I61" s="5"/>
      <c r="J61" s="5"/>
      <c r="K61" s="5"/>
      <c r="L61" s="5"/>
      <c r="M61" s="5"/>
      <c r="N61" s="5"/>
      <c r="O61" s="5"/>
      <c r="Q61" s="41"/>
      <c r="R61" s="5"/>
    </row>
    <row r="62" spans="2:27">
      <c r="B62" s="41"/>
      <c r="C62" s="249"/>
      <c r="D62" s="249"/>
      <c r="E62" s="249"/>
      <c r="F62" s="249"/>
      <c r="G62" s="249"/>
      <c r="H62" s="249"/>
      <c r="I62" s="5"/>
      <c r="J62" s="249"/>
      <c r="K62" s="249"/>
      <c r="L62" s="249"/>
      <c r="M62" s="249"/>
      <c r="N62" s="249"/>
      <c r="O62" s="251"/>
      <c r="Q62" s="5"/>
      <c r="R62" s="5"/>
    </row>
    <row r="63" spans="2:27">
      <c r="B63" s="5"/>
      <c r="C63" s="5"/>
      <c r="D63" s="5"/>
      <c r="E63" s="5"/>
      <c r="F63" s="5"/>
      <c r="G63" s="5"/>
      <c r="H63" s="5"/>
      <c r="I63" s="254"/>
      <c r="J63" s="5"/>
      <c r="K63" s="5"/>
      <c r="L63" s="5"/>
      <c r="M63" s="5"/>
      <c r="N63" s="5"/>
      <c r="O63" s="5"/>
      <c r="Q63" s="5"/>
      <c r="R63" s="5"/>
    </row>
    <row r="64" spans="2:27">
      <c r="B64" s="5"/>
      <c r="C64" s="5"/>
      <c r="D64" s="5"/>
      <c r="E64" s="5"/>
      <c r="F64" s="5"/>
      <c r="G64" s="5"/>
      <c r="H64" s="5"/>
      <c r="I64" s="17"/>
      <c r="J64" s="5"/>
      <c r="K64" s="5"/>
      <c r="L64" s="5"/>
      <c r="M64" s="5"/>
      <c r="N64" s="5"/>
      <c r="O64" s="5"/>
      <c r="Q64" s="5"/>
      <c r="R64" s="5"/>
    </row>
    <row r="65" spans="2:26">
      <c r="B65" s="41"/>
      <c r="C65" s="249"/>
      <c r="D65" s="254"/>
      <c r="E65" s="254"/>
      <c r="F65" s="254"/>
      <c r="G65" s="254"/>
      <c r="H65" s="254"/>
      <c r="I65" s="254"/>
      <c r="J65" s="254"/>
      <c r="K65" s="254"/>
      <c r="L65" s="254"/>
      <c r="M65" s="254"/>
      <c r="N65" s="254"/>
      <c r="O65" s="251"/>
      <c r="Q65" s="5"/>
      <c r="R65" s="5"/>
    </row>
    <row r="66" spans="2:26">
      <c r="B66" s="5"/>
      <c r="C66" s="5"/>
      <c r="D66" s="17"/>
      <c r="E66" s="17"/>
      <c r="F66" s="17"/>
      <c r="G66" s="17"/>
      <c r="H66" s="17"/>
      <c r="I66" s="248"/>
      <c r="J66" s="17"/>
      <c r="K66" s="17"/>
      <c r="L66" s="17"/>
      <c r="M66" s="17"/>
      <c r="N66" s="17"/>
      <c r="O66" s="5"/>
      <c r="Q66" s="5"/>
      <c r="R66" s="5"/>
    </row>
    <row r="67" spans="2:26">
      <c r="B67" s="41"/>
      <c r="C67" s="249"/>
      <c r="D67" s="254"/>
      <c r="E67" s="254"/>
      <c r="F67" s="254"/>
      <c r="G67" s="254"/>
      <c r="H67" s="254"/>
      <c r="I67" s="5"/>
      <c r="J67" s="254"/>
      <c r="K67" s="254"/>
      <c r="L67" s="254"/>
      <c r="M67" s="254"/>
      <c r="N67" s="254"/>
      <c r="O67" s="251"/>
      <c r="Q67" s="41"/>
      <c r="R67" s="5"/>
    </row>
    <row r="68" spans="2:26">
      <c r="B68" s="5"/>
      <c r="C68" s="5"/>
      <c r="D68" s="248"/>
      <c r="E68" s="248"/>
      <c r="F68" s="248"/>
      <c r="G68" s="248"/>
      <c r="H68" s="248"/>
      <c r="I68" s="245"/>
      <c r="J68" s="248"/>
      <c r="K68" s="248"/>
      <c r="L68" s="248"/>
      <c r="M68" s="248"/>
      <c r="N68" s="248"/>
      <c r="O68" s="5"/>
      <c r="Q68" s="5"/>
      <c r="R68" s="5"/>
    </row>
    <row r="69" spans="2:26">
      <c r="B69" s="41"/>
      <c r="C69" s="5"/>
      <c r="D69" s="5"/>
      <c r="E69" s="5"/>
      <c r="F69" s="5"/>
      <c r="G69" s="5"/>
      <c r="H69" s="5"/>
      <c r="I69" s="248"/>
      <c r="J69" s="5"/>
      <c r="K69" s="5"/>
      <c r="L69" s="5"/>
      <c r="M69" s="5"/>
      <c r="N69" s="5"/>
      <c r="O69" s="5"/>
      <c r="Q69" s="5"/>
      <c r="R69" s="5"/>
    </row>
    <row r="70" spans="2:26">
      <c r="B70" s="41"/>
      <c r="C70" s="245"/>
      <c r="D70" s="245"/>
      <c r="E70" s="245"/>
      <c r="F70" s="245"/>
      <c r="G70" s="245"/>
      <c r="H70" s="245"/>
      <c r="I70" s="5"/>
      <c r="J70" s="245"/>
      <c r="K70" s="245"/>
      <c r="L70" s="245"/>
      <c r="M70" s="245"/>
      <c r="N70" s="245"/>
      <c r="O70" s="251"/>
      <c r="Q70" s="5"/>
      <c r="R70" s="5"/>
      <c r="W70" s="76"/>
      <c r="X70" s="76"/>
    </row>
    <row r="71" spans="2:26">
      <c r="B71" s="5"/>
      <c r="C71" s="5"/>
      <c r="D71" s="248"/>
      <c r="E71" s="248"/>
      <c r="F71" s="248"/>
      <c r="G71" s="248"/>
      <c r="H71" s="248"/>
      <c r="I71" s="245"/>
      <c r="J71" s="248"/>
      <c r="K71" s="248"/>
      <c r="L71" s="248"/>
      <c r="M71" s="248"/>
      <c r="N71" s="248"/>
      <c r="O71" s="5"/>
      <c r="Q71" s="5"/>
      <c r="R71" s="5"/>
      <c r="W71" s="76"/>
      <c r="X71" s="76"/>
      <c r="Y71" s="76"/>
      <c r="Z71" s="76"/>
    </row>
    <row r="72" spans="2:26">
      <c r="B72" s="41"/>
      <c r="C72" s="5"/>
      <c r="D72" s="5"/>
      <c r="E72" s="5"/>
      <c r="F72" s="5"/>
      <c r="G72" s="5"/>
      <c r="H72" s="5"/>
      <c r="I72" s="18"/>
      <c r="J72" s="5"/>
      <c r="K72" s="5"/>
      <c r="L72" s="5"/>
      <c r="M72" s="5"/>
      <c r="N72" s="5"/>
      <c r="O72" s="5"/>
      <c r="Q72" s="5"/>
      <c r="R72" s="5"/>
      <c r="Y72" s="76"/>
      <c r="Z72" s="76"/>
    </row>
    <row r="73" spans="2:26">
      <c r="B73" s="41"/>
      <c r="C73" s="245"/>
      <c r="D73" s="245"/>
      <c r="E73" s="245"/>
      <c r="F73" s="245"/>
      <c r="G73" s="245"/>
      <c r="H73" s="245"/>
      <c r="I73" s="5"/>
      <c r="J73" s="245"/>
      <c r="K73" s="245"/>
      <c r="L73" s="245"/>
      <c r="M73" s="245"/>
      <c r="N73" s="245"/>
      <c r="O73" s="251"/>
      <c r="Q73" s="5"/>
      <c r="R73" s="5"/>
    </row>
    <row r="74" spans="2:26">
      <c r="B74" s="5"/>
      <c r="C74" s="5"/>
      <c r="D74" s="18"/>
      <c r="E74" s="18"/>
      <c r="F74" s="18"/>
      <c r="G74" s="18"/>
      <c r="H74" s="18"/>
      <c r="I74" s="249"/>
      <c r="J74" s="18"/>
      <c r="K74" s="18"/>
      <c r="L74" s="18"/>
      <c r="M74" s="18"/>
      <c r="N74" s="18"/>
      <c r="O74" s="5"/>
      <c r="Q74" s="5"/>
      <c r="R74" s="5"/>
    </row>
    <row r="75" spans="2:26">
      <c r="B75" s="41"/>
      <c r="C75" s="5"/>
      <c r="D75" s="5"/>
      <c r="E75" s="5"/>
      <c r="F75" s="5"/>
      <c r="G75" s="5"/>
      <c r="H75" s="5"/>
      <c r="I75" s="248"/>
      <c r="J75" s="5"/>
      <c r="K75" s="5"/>
      <c r="L75" s="5"/>
      <c r="M75" s="5"/>
      <c r="N75" s="5"/>
      <c r="O75" s="5"/>
      <c r="Q75" s="5"/>
      <c r="R75" s="5"/>
    </row>
    <row r="76" spans="2:26">
      <c r="B76" s="41"/>
      <c r="C76" s="249"/>
      <c r="D76" s="249"/>
      <c r="E76" s="249"/>
      <c r="F76" s="249"/>
      <c r="G76" s="249"/>
      <c r="H76" s="249"/>
      <c r="I76" s="5"/>
      <c r="J76" s="249"/>
      <c r="K76" s="249"/>
      <c r="L76" s="249"/>
      <c r="M76" s="249"/>
      <c r="N76" s="249"/>
      <c r="O76" s="251"/>
      <c r="Q76" s="5"/>
      <c r="R76" s="5"/>
    </row>
    <row r="77" spans="2:26">
      <c r="B77" s="5"/>
      <c r="C77" s="5"/>
      <c r="D77" s="248"/>
      <c r="E77" s="248"/>
      <c r="F77" s="248"/>
      <c r="G77" s="248"/>
      <c r="H77" s="248"/>
      <c r="I77" s="245"/>
      <c r="J77" s="248"/>
      <c r="K77" s="248"/>
      <c r="L77" s="248"/>
      <c r="M77" s="248"/>
      <c r="N77" s="248"/>
      <c r="O77" s="5"/>
      <c r="Q77" s="5"/>
      <c r="R77" s="5"/>
    </row>
    <row r="78" spans="2:26">
      <c r="B78" s="41"/>
      <c r="C78" s="5"/>
      <c r="D78" s="5"/>
      <c r="E78" s="5"/>
      <c r="F78" s="5"/>
      <c r="G78" s="5"/>
      <c r="H78" s="5"/>
      <c r="I78" s="248"/>
      <c r="J78" s="5"/>
      <c r="K78" s="5"/>
      <c r="L78" s="5"/>
      <c r="M78" s="5"/>
      <c r="N78" s="5"/>
      <c r="O78" s="5"/>
      <c r="Q78" s="5"/>
      <c r="R78" s="5"/>
    </row>
    <row r="79" spans="2:26">
      <c r="B79" s="41"/>
      <c r="C79" s="245"/>
      <c r="D79" s="245"/>
      <c r="E79" s="245"/>
      <c r="F79" s="245"/>
      <c r="G79" s="245"/>
      <c r="H79" s="245"/>
      <c r="I79" s="5"/>
      <c r="J79" s="245"/>
      <c r="K79" s="245"/>
      <c r="L79" s="245"/>
      <c r="M79" s="245"/>
      <c r="N79" s="245"/>
      <c r="O79" s="251"/>
      <c r="Q79" s="5"/>
      <c r="R79" s="5"/>
    </row>
    <row r="80" spans="2:26">
      <c r="B80" s="5"/>
      <c r="C80" s="5"/>
      <c r="D80" s="248"/>
      <c r="E80" s="248"/>
      <c r="F80" s="248"/>
      <c r="G80" s="248"/>
      <c r="H80" s="248"/>
      <c r="I80" s="249"/>
      <c r="J80" s="248"/>
      <c r="K80" s="248"/>
      <c r="L80" s="248"/>
      <c r="M80" s="248"/>
      <c r="N80" s="248"/>
      <c r="O80" s="5"/>
      <c r="Q80" s="5"/>
      <c r="R80" s="5"/>
    </row>
    <row r="81" spans="2:26">
      <c r="B81" s="41"/>
      <c r="C81" s="5"/>
      <c r="D81" s="5"/>
      <c r="E81" s="5"/>
      <c r="F81" s="5"/>
      <c r="G81" s="5"/>
      <c r="H81" s="5"/>
      <c r="I81" s="248"/>
      <c r="J81" s="5"/>
      <c r="K81" s="5"/>
      <c r="L81" s="5"/>
      <c r="M81" s="5"/>
      <c r="N81" s="5"/>
      <c r="O81" s="5"/>
      <c r="Q81" s="5"/>
      <c r="R81" s="5"/>
    </row>
    <row r="82" spans="2:26">
      <c r="B82" s="41"/>
      <c r="C82" s="249"/>
      <c r="D82" s="249"/>
      <c r="E82" s="249"/>
      <c r="F82" s="249"/>
      <c r="G82" s="249"/>
      <c r="H82" s="249"/>
      <c r="I82" s="259"/>
      <c r="J82" s="249"/>
      <c r="K82" s="249"/>
      <c r="L82" s="249"/>
      <c r="M82" s="249"/>
      <c r="N82" s="249"/>
      <c r="O82" s="251"/>
      <c r="Q82" s="5"/>
      <c r="R82" s="5"/>
    </row>
    <row r="83" spans="2:26">
      <c r="B83" s="5"/>
      <c r="C83" s="5"/>
      <c r="D83" s="248"/>
      <c r="E83" s="248"/>
      <c r="F83" s="248"/>
      <c r="G83" s="248"/>
      <c r="H83" s="248"/>
      <c r="I83" s="5"/>
      <c r="J83" s="248"/>
      <c r="K83" s="248"/>
      <c r="L83" s="248"/>
      <c r="M83" s="248"/>
      <c r="N83" s="248"/>
      <c r="O83" s="5"/>
      <c r="Q83" s="5"/>
      <c r="R83" s="5"/>
    </row>
    <row r="84" spans="2:26">
      <c r="B84" s="5"/>
      <c r="C84" s="259"/>
      <c r="D84" s="259"/>
      <c r="E84" s="259"/>
      <c r="F84" s="259"/>
      <c r="G84" s="259"/>
      <c r="H84" s="259"/>
      <c r="I84" s="245"/>
      <c r="J84" s="259"/>
      <c r="K84" s="259"/>
      <c r="L84" s="259"/>
      <c r="M84" s="259"/>
      <c r="N84" s="259"/>
      <c r="O84" s="251"/>
      <c r="Q84" s="5"/>
      <c r="R84" s="5"/>
    </row>
    <row r="85" spans="2:26">
      <c r="B85" s="41"/>
      <c r="C85" s="5"/>
      <c r="D85" s="5"/>
      <c r="E85" s="5"/>
      <c r="F85" s="5"/>
      <c r="G85" s="5"/>
      <c r="H85" s="5"/>
      <c r="I85" s="248"/>
      <c r="J85" s="5"/>
      <c r="K85" s="5"/>
      <c r="L85" s="5"/>
      <c r="M85" s="5"/>
      <c r="N85" s="5"/>
      <c r="O85" s="5"/>
      <c r="Q85" s="5"/>
      <c r="R85" s="5"/>
    </row>
    <row r="86" spans="2:26">
      <c r="B86" s="41"/>
      <c r="C86" s="245"/>
      <c r="D86" s="245"/>
      <c r="E86" s="245"/>
      <c r="F86" s="245"/>
      <c r="G86" s="245"/>
      <c r="H86" s="245"/>
      <c r="I86" s="5"/>
      <c r="J86" s="245"/>
      <c r="K86" s="245"/>
      <c r="L86" s="245"/>
      <c r="M86" s="245"/>
      <c r="N86" s="245"/>
      <c r="O86" s="251"/>
      <c r="Q86" s="5"/>
      <c r="R86" s="5"/>
    </row>
    <row r="87" spans="2:26">
      <c r="B87" s="5"/>
      <c r="C87" s="5"/>
      <c r="D87" s="248"/>
      <c r="E87" s="248"/>
      <c r="F87" s="248"/>
      <c r="G87" s="248"/>
      <c r="H87" s="248"/>
      <c r="I87" s="5"/>
      <c r="J87" s="248"/>
      <c r="K87" s="248"/>
      <c r="L87" s="248"/>
      <c r="M87" s="248"/>
      <c r="N87" s="248"/>
      <c r="O87" s="5"/>
      <c r="Q87" s="5"/>
      <c r="R87" s="5"/>
    </row>
    <row r="88" spans="2:26">
      <c r="B88" s="41"/>
      <c r="C88" s="5"/>
      <c r="D88" s="5"/>
      <c r="E88" s="5"/>
      <c r="F88" s="5"/>
      <c r="G88" s="5"/>
      <c r="H88" s="5"/>
      <c r="I88" s="5"/>
      <c r="J88" s="5"/>
      <c r="K88" s="5"/>
      <c r="L88" s="5"/>
      <c r="M88" s="5"/>
      <c r="N88" s="5"/>
      <c r="O88" s="5"/>
      <c r="Q88" s="5"/>
      <c r="R88" s="5"/>
    </row>
    <row r="89" spans="2:26">
      <c r="B89" s="41"/>
      <c r="C89" s="5"/>
      <c r="D89" s="5"/>
      <c r="E89" s="5"/>
      <c r="F89" s="5"/>
      <c r="G89" s="5"/>
      <c r="H89" s="5"/>
      <c r="I89" s="5"/>
      <c r="J89" s="5"/>
      <c r="K89" s="5"/>
      <c r="L89" s="5"/>
      <c r="M89" s="5"/>
      <c r="N89" s="5"/>
      <c r="O89" s="5"/>
      <c r="Q89" s="5"/>
      <c r="R89" s="5"/>
    </row>
    <row r="90" spans="2:26">
      <c r="B90" s="41"/>
      <c r="C90" s="5"/>
      <c r="D90" s="5"/>
      <c r="E90" s="5"/>
      <c r="F90" s="5"/>
      <c r="G90" s="5"/>
      <c r="H90" s="5"/>
      <c r="I90" s="49"/>
      <c r="J90" s="5"/>
      <c r="K90" s="5"/>
      <c r="L90" s="5"/>
      <c r="M90" s="5"/>
      <c r="N90" s="5"/>
      <c r="O90" s="5"/>
      <c r="Q90" s="41"/>
      <c r="R90" s="5"/>
    </row>
    <row r="91" spans="2:26">
      <c r="B91" s="5"/>
      <c r="C91" s="5"/>
      <c r="D91" s="5"/>
      <c r="E91" s="5"/>
      <c r="F91" s="5"/>
      <c r="G91" s="5"/>
      <c r="H91" s="5"/>
      <c r="I91" s="5"/>
      <c r="J91" s="5"/>
      <c r="K91" s="5"/>
      <c r="L91" s="5"/>
      <c r="M91" s="5"/>
      <c r="N91" s="5"/>
      <c r="O91" s="5"/>
      <c r="Q91" s="5"/>
      <c r="R91" s="5"/>
    </row>
    <row r="92" spans="2:26">
      <c r="B92" s="41"/>
      <c r="C92" s="49"/>
      <c r="D92" s="49"/>
      <c r="E92" s="49"/>
      <c r="F92" s="49"/>
      <c r="G92" s="49"/>
      <c r="H92" s="49"/>
      <c r="I92" s="247"/>
      <c r="J92" s="49"/>
      <c r="K92" s="49"/>
      <c r="L92" s="49"/>
      <c r="M92" s="49"/>
      <c r="N92" s="49"/>
      <c r="O92" s="49"/>
      <c r="Q92" s="5"/>
      <c r="R92" s="5"/>
      <c r="W92" s="21"/>
      <c r="X92" s="21"/>
    </row>
    <row r="93" spans="2:26">
      <c r="B93" s="5"/>
      <c r="C93" s="5"/>
      <c r="D93" s="5"/>
      <c r="E93" s="5"/>
      <c r="F93" s="5"/>
      <c r="G93" s="5"/>
      <c r="H93" s="5"/>
      <c r="I93" s="247"/>
      <c r="J93" s="5"/>
      <c r="K93" s="5"/>
      <c r="L93" s="5"/>
      <c r="M93" s="5"/>
      <c r="N93" s="5"/>
      <c r="O93" s="5"/>
      <c r="Q93" s="5"/>
      <c r="R93" s="5"/>
      <c r="W93" s="21"/>
      <c r="X93" s="21"/>
      <c r="Y93" s="21"/>
      <c r="Z93" s="21"/>
    </row>
    <row r="94" spans="2:26">
      <c r="B94" s="5"/>
      <c r="C94" s="259"/>
      <c r="D94" s="247"/>
      <c r="E94" s="247"/>
      <c r="F94" s="247"/>
      <c r="G94" s="247"/>
      <c r="H94" s="247"/>
      <c r="I94" s="247"/>
      <c r="J94" s="247"/>
      <c r="K94" s="247"/>
      <c r="L94" s="247"/>
      <c r="M94" s="247"/>
      <c r="N94" s="247"/>
      <c r="O94" s="248"/>
      <c r="Q94" s="5"/>
      <c r="R94" s="5"/>
      <c r="Y94" s="21"/>
      <c r="Z94" s="21"/>
    </row>
    <row r="95" spans="2:26">
      <c r="B95" s="5"/>
      <c r="C95" s="259"/>
      <c r="D95" s="247"/>
      <c r="E95" s="247"/>
      <c r="F95" s="247"/>
      <c r="G95" s="247"/>
      <c r="H95" s="247"/>
      <c r="I95" s="248"/>
      <c r="J95" s="247"/>
      <c r="K95" s="247"/>
      <c r="L95" s="247"/>
      <c r="M95" s="247"/>
      <c r="N95" s="247"/>
      <c r="O95" s="248"/>
      <c r="Q95" s="5"/>
      <c r="R95" s="5"/>
    </row>
    <row r="96" spans="2:26">
      <c r="B96" s="5"/>
      <c r="C96" s="259"/>
      <c r="D96" s="247"/>
      <c r="E96" s="247"/>
      <c r="F96" s="247"/>
      <c r="G96" s="247"/>
      <c r="H96" s="247"/>
      <c r="I96" s="247"/>
      <c r="J96" s="247"/>
      <c r="K96" s="247"/>
      <c r="L96" s="247"/>
      <c r="M96" s="247"/>
      <c r="N96" s="247"/>
      <c r="O96" s="248"/>
      <c r="Q96" s="5"/>
      <c r="R96" s="5"/>
    </row>
    <row r="97" spans="2:18">
      <c r="B97" s="5"/>
      <c r="C97" s="259"/>
      <c r="D97" s="248"/>
      <c r="E97" s="248"/>
      <c r="F97" s="248"/>
      <c r="G97" s="248"/>
      <c r="H97" s="248"/>
      <c r="I97" s="249"/>
      <c r="J97" s="248"/>
      <c r="K97" s="248"/>
      <c r="L97" s="248"/>
      <c r="M97" s="248"/>
      <c r="N97" s="248"/>
      <c r="O97" s="248"/>
      <c r="Q97" s="5"/>
      <c r="R97" s="5"/>
    </row>
    <row r="98" spans="2:18">
      <c r="B98" s="5"/>
      <c r="C98" s="259"/>
      <c r="D98" s="247"/>
      <c r="E98" s="247"/>
      <c r="F98" s="247"/>
      <c r="G98" s="247"/>
      <c r="H98" s="247"/>
      <c r="I98" s="248"/>
      <c r="J98" s="247"/>
      <c r="K98" s="247"/>
      <c r="L98" s="247"/>
      <c r="M98" s="247"/>
      <c r="N98" s="247"/>
      <c r="O98" s="248"/>
      <c r="Q98" s="5"/>
      <c r="R98" s="5"/>
    </row>
    <row r="99" spans="2:18">
      <c r="B99" s="41"/>
      <c r="C99" s="249"/>
      <c r="D99" s="249"/>
      <c r="E99" s="249"/>
      <c r="F99" s="249"/>
      <c r="G99" s="249"/>
      <c r="H99" s="249"/>
      <c r="I99" s="5"/>
      <c r="J99" s="249"/>
      <c r="K99" s="249"/>
      <c r="L99" s="249"/>
      <c r="M99" s="249"/>
      <c r="N99" s="249"/>
      <c r="O99" s="248"/>
      <c r="Q99" s="5"/>
      <c r="R99" s="5"/>
    </row>
    <row r="100" spans="2:18">
      <c r="B100" s="41"/>
      <c r="C100" s="257"/>
      <c r="D100" s="248"/>
      <c r="E100" s="248"/>
      <c r="F100" s="248"/>
      <c r="G100" s="248"/>
      <c r="H100" s="248"/>
      <c r="I100" s="259"/>
      <c r="J100" s="248"/>
      <c r="K100" s="248"/>
      <c r="L100" s="248"/>
      <c r="M100" s="248"/>
      <c r="N100" s="248"/>
      <c r="O100" s="248"/>
      <c r="Q100" s="5"/>
      <c r="R100" s="5"/>
    </row>
    <row r="101" spans="2:18" s="5" customFormat="1">
      <c r="B101" s="41"/>
      <c r="I101" s="259"/>
      <c r="O101" s="248"/>
      <c r="P101" s="39"/>
    </row>
    <row r="102" spans="2:18">
      <c r="B102" s="5"/>
      <c r="C102" s="259"/>
      <c r="D102" s="259"/>
      <c r="E102" s="259"/>
      <c r="F102" s="259"/>
      <c r="G102" s="259"/>
      <c r="H102" s="259"/>
      <c r="I102" s="247"/>
      <c r="J102" s="259"/>
      <c r="K102" s="259"/>
      <c r="L102" s="259"/>
      <c r="M102" s="259"/>
      <c r="N102" s="259"/>
      <c r="O102" s="5"/>
      <c r="Q102" s="5"/>
      <c r="R102" s="5"/>
    </row>
    <row r="103" spans="2:18">
      <c r="B103" s="5"/>
      <c r="C103" s="259"/>
      <c r="D103" s="259"/>
      <c r="E103" s="259"/>
      <c r="F103" s="259"/>
      <c r="G103" s="259"/>
      <c r="H103" s="259"/>
      <c r="I103" s="5"/>
      <c r="J103" s="259"/>
      <c r="K103" s="259"/>
      <c r="L103" s="259"/>
      <c r="M103" s="259"/>
      <c r="N103" s="259"/>
      <c r="O103" s="5"/>
      <c r="P103" s="5"/>
      <c r="Q103" s="5"/>
      <c r="R103" s="5"/>
    </row>
    <row r="104" spans="2:18">
      <c r="B104" s="5"/>
      <c r="C104" s="247"/>
      <c r="D104" s="247"/>
      <c r="E104" s="247"/>
      <c r="F104" s="247"/>
      <c r="G104" s="247"/>
      <c r="H104" s="247"/>
      <c r="I104" s="247"/>
      <c r="J104" s="247"/>
      <c r="K104" s="247"/>
      <c r="L104" s="247"/>
      <c r="M104" s="247"/>
      <c r="N104" s="247"/>
      <c r="O104" s="5"/>
      <c r="Q104" s="5"/>
      <c r="R104" s="5"/>
    </row>
    <row r="105" spans="2:18" s="5" customFormat="1">
      <c r="P105" s="39"/>
    </row>
    <row r="106" spans="2:18" s="5" customFormat="1">
      <c r="C106" s="259"/>
      <c r="D106" s="247"/>
      <c r="E106" s="247"/>
      <c r="F106" s="247"/>
      <c r="G106" s="247"/>
      <c r="H106" s="247"/>
      <c r="I106" s="259"/>
      <c r="J106" s="247"/>
      <c r="K106" s="247"/>
      <c r="L106" s="247"/>
      <c r="M106" s="247"/>
      <c r="N106" s="247"/>
      <c r="P106" s="39"/>
    </row>
    <row r="107" spans="2:18">
      <c r="B107" s="5"/>
      <c r="C107" s="259"/>
      <c r="D107" s="5"/>
      <c r="E107" s="5"/>
      <c r="F107" s="5"/>
      <c r="G107" s="5"/>
      <c r="H107" s="5"/>
      <c r="I107" s="247"/>
      <c r="J107" s="5"/>
      <c r="K107" s="5"/>
      <c r="L107" s="5"/>
      <c r="M107" s="5"/>
      <c r="N107" s="5"/>
      <c r="O107" s="5"/>
      <c r="P107" s="5"/>
      <c r="Q107" s="5"/>
      <c r="R107" s="5"/>
    </row>
    <row r="108" spans="2:18">
      <c r="B108" s="5"/>
      <c r="C108" s="259"/>
      <c r="D108" s="259"/>
      <c r="E108" s="259"/>
      <c r="F108" s="259"/>
      <c r="G108" s="259"/>
      <c r="H108" s="259"/>
      <c r="I108" s="249"/>
      <c r="J108" s="259"/>
      <c r="K108" s="259"/>
      <c r="L108" s="259"/>
      <c r="M108" s="259"/>
      <c r="N108" s="259"/>
      <c r="O108" s="5"/>
      <c r="P108" s="5"/>
      <c r="Q108" s="5"/>
      <c r="R108" s="5"/>
    </row>
    <row r="109" spans="2:18">
      <c r="B109" s="5"/>
      <c r="C109" s="247"/>
      <c r="D109" s="247"/>
      <c r="E109" s="247"/>
      <c r="F109" s="247"/>
      <c r="G109" s="247"/>
      <c r="H109" s="247"/>
      <c r="I109" s="249"/>
      <c r="J109" s="247"/>
      <c r="K109" s="247"/>
      <c r="L109" s="247"/>
      <c r="M109" s="247"/>
      <c r="N109" s="247"/>
      <c r="O109" s="5"/>
      <c r="Q109" s="5"/>
      <c r="R109" s="5"/>
    </row>
    <row r="110" spans="2:18">
      <c r="B110" s="41"/>
      <c r="C110" s="249"/>
      <c r="D110" s="249"/>
      <c r="E110" s="249"/>
      <c r="F110" s="249"/>
      <c r="G110" s="249"/>
      <c r="H110" s="249"/>
      <c r="I110" s="247"/>
      <c r="J110" s="249"/>
      <c r="K110" s="249"/>
      <c r="L110" s="249"/>
      <c r="M110" s="249"/>
      <c r="N110" s="249"/>
      <c r="O110" s="5"/>
      <c r="Q110" s="5"/>
      <c r="R110" s="5"/>
    </row>
    <row r="111" spans="2:18">
      <c r="B111" s="5"/>
      <c r="C111" s="249"/>
      <c r="D111" s="249"/>
      <c r="E111" s="249"/>
      <c r="F111" s="249"/>
      <c r="G111" s="249"/>
      <c r="H111" s="249"/>
      <c r="I111" s="5"/>
      <c r="J111" s="249"/>
      <c r="K111" s="249"/>
      <c r="L111" s="249"/>
      <c r="M111" s="249"/>
      <c r="N111" s="249"/>
      <c r="O111" s="5"/>
      <c r="Q111" s="5"/>
      <c r="R111" s="5"/>
    </row>
    <row r="112" spans="2:18">
      <c r="B112" s="5"/>
      <c r="C112" s="247"/>
      <c r="D112" s="247"/>
      <c r="E112" s="247"/>
      <c r="F112" s="247"/>
      <c r="G112" s="247"/>
      <c r="H112" s="247"/>
      <c r="I112" s="5"/>
      <c r="J112" s="247"/>
      <c r="K112" s="247"/>
      <c r="L112" s="247"/>
      <c r="M112" s="247"/>
      <c r="N112" s="247"/>
      <c r="O112" s="5"/>
      <c r="Q112" s="5"/>
      <c r="R112" s="5"/>
    </row>
    <row r="113" spans="2:18">
      <c r="B113" s="5"/>
      <c r="C113" s="5"/>
      <c r="D113" s="5"/>
      <c r="E113" s="5"/>
      <c r="F113" s="5"/>
      <c r="G113" s="5"/>
      <c r="H113" s="5"/>
      <c r="I113" s="5"/>
      <c r="J113" s="5"/>
      <c r="K113" s="5"/>
      <c r="L113" s="5"/>
      <c r="M113" s="5"/>
      <c r="N113" s="5"/>
      <c r="O113" s="5"/>
      <c r="Q113" s="5"/>
      <c r="R113" s="5"/>
    </row>
    <row r="114" spans="2:18">
      <c r="B114" s="5"/>
      <c r="C114" s="5"/>
      <c r="D114" s="5"/>
      <c r="E114" s="5"/>
      <c r="F114" s="5"/>
      <c r="G114" s="5"/>
      <c r="H114" s="5"/>
      <c r="I114" s="5"/>
      <c r="J114" s="5"/>
      <c r="K114" s="5"/>
      <c r="L114" s="5"/>
      <c r="M114" s="5"/>
      <c r="N114" s="5"/>
      <c r="O114" s="5"/>
      <c r="Q114" s="5"/>
      <c r="R114" s="5"/>
    </row>
    <row r="115" spans="2:18">
      <c r="B115" s="5"/>
      <c r="C115" s="5"/>
      <c r="D115" s="5"/>
      <c r="E115" s="5"/>
      <c r="F115" s="5"/>
      <c r="G115" s="5"/>
      <c r="H115" s="5"/>
      <c r="I115" s="49"/>
      <c r="J115" s="5"/>
      <c r="K115" s="5"/>
      <c r="L115" s="5"/>
      <c r="M115" s="5"/>
      <c r="N115" s="5"/>
      <c r="O115" s="5"/>
      <c r="Q115" s="41"/>
      <c r="R115" s="5"/>
    </row>
    <row r="116" spans="2:18">
      <c r="B116" s="5"/>
      <c r="C116" s="5"/>
      <c r="D116" s="5"/>
      <c r="E116" s="5"/>
      <c r="F116" s="5"/>
      <c r="G116" s="5"/>
      <c r="H116" s="5"/>
      <c r="I116" s="5"/>
      <c r="J116" s="5"/>
      <c r="K116" s="5"/>
      <c r="L116" s="5"/>
      <c r="M116" s="5"/>
      <c r="N116" s="5"/>
      <c r="O116" s="5"/>
      <c r="Q116" s="5"/>
      <c r="R116" s="5"/>
    </row>
    <row r="117" spans="2:18">
      <c r="B117" s="41"/>
      <c r="C117" s="49"/>
      <c r="D117" s="49"/>
      <c r="E117" s="49"/>
      <c r="F117" s="49"/>
      <c r="G117" s="49"/>
      <c r="H117" s="49"/>
      <c r="I117" s="254"/>
      <c r="J117" s="49"/>
      <c r="K117" s="49"/>
      <c r="L117" s="49"/>
      <c r="M117" s="49"/>
      <c r="N117" s="49"/>
      <c r="O117" s="49"/>
      <c r="Q117" s="5"/>
      <c r="R117" s="5"/>
    </row>
    <row r="118" spans="2:18">
      <c r="B118" s="5"/>
      <c r="C118" s="5"/>
      <c r="D118" s="5"/>
      <c r="E118" s="5"/>
      <c r="F118" s="5"/>
      <c r="G118" s="5"/>
      <c r="H118" s="5"/>
      <c r="I118" s="249"/>
      <c r="J118" s="5"/>
      <c r="K118" s="5"/>
      <c r="L118" s="5"/>
      <c r="M118" s="5"/>
      <c r="N118" s="5"/>
      <c r="O118" s="5"/>
      <c r="Q118" s="5"/>
      <c r="R118" s="5"/>
    </row>
    <row r="119" spans="2:18">
      <c r="B119" s="41"/>
      <c r="C119" s="254"/>
      <c r="D119" s="254"/>
      <c r="E119" s="254"/>
      <c r="F119" s="254"/>
      <c r="G119" s="254"/>
      <c r="H119" s="254"/>
      <c r="I119" s="254"/>
      <c r="J119" s="254"/>
      <c r="K119" s="254"/>
      <c r="L119" s="254"/>
      <c r="M119" s="254"/>
      <c r="N119" s="254"/>
      <c r="O119" s="248"/>
      <c r="Q119" s="5"/>
      <c r="R119" s="5"/>
    </row>
    <row r="120" spans="2:18">
      <c r="B120" s="41"/>
      <c r="C120" s="254"/>
      <c r="D120" s="249"/>
      <c r="E120" s="249"/>
      <c r="F120" s="249"/>
      <c r="G120" s="249"/>
      <c r="H120" s="249"/>
      <c r="I120" s="254"/>
      <c r="J120" s="249"/>
      <c r="K120" s="249"/>
      <c r="L120" s="249"/>
      <c r="M120" s="249"/>
      <c r="N120" s="249"/>
      <c r="O120" s="248"/>
      <c r="Q120" s="5"/>
      <c r="R120" s="5"/>
    </row>
    <row r="121" spans="2:18">
      <c r="B121" s="41"/>
      <c r="C121" s="254"/>
      <c r="D121" s="254"/>
      <c r="E121" s="254"/>
      <c r="F121" s="254"/>
      <c r="G121" s="254"/>
      <c r="H121" s="254"/>
      <c r="I121" s="254"/>
      <c r="J121" s="254"/>
      <c r="K121" s="254"/>
      <c r="L121" s="254"/>
      <c r="M121" s="254"/>
      <c r="N121" s="254"/>
      <c r="O121" s="248"/>
      <c r="Q121" s="5"/>
      <c r="R121" s="5"/>
    </row>
    <row r="122" spans="2:18">
      <c r="B122" s="41"/>
      <c r="C122" s="254"/>
      <c r="D122" s="254"/>
      <c r="E122" s="254"/>
      <c r="F122" s="254"/>
      <c r="G122" s="254"/>
      <c r="H122" s="254"/>
      <c r="I122" s="254"/>
      <c r="J122" s="254"/>
      <c r="K122" s="254"/>
      <c r="L122" s="254"/>
      <c r="M122" s="254"/>
      <c r="N122" s="254"/>
      <c r="O122" s="248"/>
      <c r="Q122" s="5"/>
      <c r="R122" s="5"/>
    </row>
    <row r="123" spans="2:18">
      <c r="B123" s="41"/>
      <c r="C123" s="254"/>
      <c r="D123" s="254"/>
      <c r="E123" s="254"/>
      <c r="F123" s="254"/>
      <c r="G123" s="254"/>
      <c r="H123" s="254"/>
      <c r="I123" s="254"/>
      <c r="J123" s="254"/>
      <c r="K123" s="254"/>
      <c r="L123" s="254"/>
      <c r="M123" s="254"/>
      <c r="N123" s="254"/>
      <c r="O123" s="248"/>
      <c r="Q123" s="5"/>
      <c r="R123" s="5"/>
    </row>
    <row r="124" spans="2:18">
      <c r="B124" s="41"/>
      <c r="C124" s="254"/>
      <c r="D124" s="254"/>
      <c r="E124" s="254"/>
      <c r="F124" s="254"/>
      <c r="G124" s="254"/>
      <c r="H124" s="254"/>
      <c r="I124" s="254"/>
      <c r="J124" s="254"/>
      <c r="K124" s="254"/>
      <c r="L124" s="254"/>
      <c r="M124" s="254"/>
      <c r="N124" s="254"/>
      <c r="O124" s="248"/>
      <c r="Q124" s="5"/>
      <c r="R124" s="5"/>
    </row>
    <row r="125" spans="2:18">
      <c r="B125" s="41"/>
      <c r="C125" s="254"/>
      <c r="D125" s="254"/>
      <c r="E125" s="254"/>
      <c r="F125" s="254"/>
      <c r="G125" s="254"/>
      <c r="H125" s="254"/>
      <c r="I125" s="254"/>
      <c r="J125" s="254"/>
      <c r="K125" s="254"/>
      <c r="L125" s="254"/>
      <c r="M125" s="254"/>
      <c r="N125" s="254"/>
      <c r="O125" s="5"/>
      <c r="Q125" s="5"/>
      <c r="R125" s="5"/>
    </row>
    <row r="126" spans="2:18">
      <c r="B126" s="41"/>
      <c r="C126" s="254"/>
      <c r="D126" s="254"/>
      <c r="E126" s="254"/>
      <c r="F126" s="254"/>
      <c r="G126" s="254"/>
      <c r="H126" s="254"/>
      <c r="I126" s="254"/>
      <c r="J126" s="254"/>
      <c r="K126" s="254"/>
      <c r="L126" s="254"/>
      <c r="M126" s="254"/>
      <c r="N126" s="254"/>
      <c r="O126" s="5"/>
      <c r="Q126" s="5"/>
      <c r="R126" s="5"/>
    </row>
    <row r="127" spans="2:18">
      <c r="B127" s="41"/>
      <c r="C127" s="254"/>
      <c r="D127" s="254"/>
      <c r="E127" s="254"/>
      <c r="F127" s="254"/>
      <c r="G127" s="254"/>
      <c r="H127" s="254"/>
      <c r="I127" s="18"/>
      <c r="J127" s="254"/>
      <c r="K127" s="254"/>
      <c r="L127" s="254"/>
      <c r="M127" s="254"/>
      <c r="N127" s="254"/>
      <c r="O127" s="5"/>
      <c r="Q127" s="5"/>
      <c r="R127" s="5"/>
    </row>
    <row r="128" spans="2:18">
      <c r="B128" s="41"/>
      <c r="C128" s="254"/>
      <c r="D128" s="254"/>
      <c r="E128" s="254"/>
      <c r="F128" s="254"/>
      <c r="G128" s="254"/>
      <c r="H128" s="254"/>
      <c r="I128" s="5"/>
      <c r="J128" s="254"/>
      <c r="K128" s="254"/>
      <c r="L128" s="254"/>
      <c r="M128" s="254"/>
      <c r="N128" s="254"/>
      <c r="O128" s="5"/>
      <c r="Q128" s="5"/>
      <c r="R128" s="5"/>
    </row>
    <row r="129" spans="2:27">
      <c r="B129" s="5"/>
      <c r="C129" s="5"/>
      <c r="D129" s="18"/>
      <c r="E129" s="18"/>
      <c r="F129" s="18"/>
      <c r="G129" s="18"/>
      <c r="H129" s="18"/>
      <c r="I129" s="254"/>
      <c r="J129" s="18"/>
      <c r="K129" s="18"/>
      <c r="L129" s="18"/>
      <c r="M129" s="18"/>
      <c r="N129" s="18"/>
      <c r="O129" s="5"/>
      <c r="Q129" s="5"/>
      <c r="R129" s="5"/>
    </row>
    <row r="130" spans="2:27">
      <c r="B130" s="5"/>
      <c r="C130" s="5"/>
      <c r="D130" s="5"/>
      <c r="E130" s="5"/>
      <c r="F130" s="5"/>
      <c r="G130" s="5"/>
      <c r="H130" s="5"/>
      <c r="I130" s="18"/>
      <c r="J130" s="5"/>
      <c r="K130" s="5"/>
      <c r="L130" s="5"/>
      <c r="M130" s="5"/>
      <c r="N130" s="5"/>
      <c r="O130" s="5"/>
      <c r="Q130" s="5"/>
      <c r="R130" s="5"/>
    </row>
    <row r="131" spans="2:27">
      <c r="B131" s="41"/>
      <c r="C131" s="254"/>
      <c r="D131" s="254"/>
      <c r="E131" s="254"/>
      <c r="F131" s="254"/>
      <c r="G131" s="254"/>
      <c r="H131" s="254"/>
      <c r="I131" s="5"/>
      <c r="J131" s="254"/>
      <c r="K131" s="254"/>
      <c r="L131" s="254"/>
      <c r="M131" s="254"/>
      <c r="N131" s="254"/>
      <c r="O131" s="5"/>
      <c r="Q131" s="5"/>
      <c r="R131" s="5"/>
    </row>
    <row r="132" spans="2:27">
      <c r="B132" s="5"/>
      <c r="C132" s="259"/>
      <c r="D132" s="18"/>
      <c r="E132" s="18"/>
      <c r="F132" s="18"/>
      <c r="G132" s="18"/>
      <c r="H132" s="18"/>
      <c r="I132" s="5"/>
      <c r="J132" s="18"/>
      <c r="K132" s="18"/>
      <c r="L132" s="18"/>
      <c r="M132" s="18"/>
      <c r="N132" s="18"/>
      <c r="O132" s="5"/>
      <c r="Q132" s="5"/>
      <c r="R132" s="5"/>
    </row>
    <row r="133" spans="2:27">
      <c r="B133" s="5"/>
      <c r="C133" s="5"/>
      <c r="D133" s="5"/>
      <c r="E133" s="5"/>
      <c r="F133" s="5"/>
      <c r="G133" s="5"/>
      <c r="H133" s="5"/>
      <c r="I133" s="17"/>
      <c r="J133" s="5"/>
      <c r="K133" s="5"/>
      <c r="L133" s="5"/>
      <c r="M133" s="5"/>
      <c r="N133" s="5"/>
      <c r="O133" s="5"/>
      <c r="Q133" s="5"/>
      <c r="R133" s="5"/>
    </row>
    <row r="134" spans="2:27">
      <c r="B134" s="41"/>
      <c r="C134" s="5"/>
      <c r="D134" s="5"/>
      <c r="E134" s="5"/>
      <c r="F134" s="5"/>
      <c r="G134" s="5"/>
      <c r="H134" s="5"/>
      <c r="I134" s="17"/>
      <c r="J134" s="5"/>
      <c r="K134" s="5"/>
      <c r="L134" s="5"/>
      <c r="M134" s="5"/>
      <c r="N134" s="5"/>
      <c r="O134" s="5"/>
      <c r="Q134" s="5"/>
      <c r="R134" s="5"/>
    </row>
    <row r="135" spans="2:27">
      <c r="B135" s="5"/>
      <c r="C135" s="17"/>
      <c r="D135" s="17"/>
      <c r="E135" s="17"/>
      <c r="F135" s="17"/>
      <c r="G135" s="17"/>
      <c r="H135" s="17"/>
      <c r="I135" s="17"/>
      <c r="J135" s="17"/>
      <c r="K135" s="17"/>
      <c r="L135" s="17"/>
      <c r="M135" s="17"/>
      <c r="N135" s="17"/>
      <c r="O135" s="5"/>
      <c r="Q135" s="41"/>
      <c r="R135" s="5"/>
    </row>
    <row r="136" spans="2:27">
      <c r="B136" s="5"/>
      <c r="C136" s="17"/>
      <c r="D136" s="17"/>
      <c r="E136" s="17"/>
      <c r="F136" s="17"/>
      <c r="G136" s="17"/>
      <c r="H136" s="17"/>
      <c r="I136" s="17"/>
      <c r="J136" s="17"/>
      <c r="K136" s="17"/>
      <c r="L136" s="17"/>
      <c r="M136" s="17"/>
      <c r="N136" s="17"/>
      <c r="O136" s="5"/>
      <c r="Q136" s="5"/>
      <c r="R136" s="5"/>
      <c r="X136" s="304"/>
    </row>
    <row r="137" spans="2:27">
      <c r="B137" s="5"/>
      <c r="C137" s="5"/>
      <c r="D137" s="17"/>
      <c r="E137" s="17"/>
      <c r="F137" s="17"/>
      <c r="G137" s="17"/>
      <c r="H137" s="17"/>
      <c r="I137" s="17"/>
      <c r="J137" s="17"/>
      <c r="K137" s="17"/>
      <c r="L137" s="17"/>
      <c r="M137" s="17"/>
      <c r="N137" s="17"/>
      <c r="O137" s="5"/>
      <c r="Q137" s="5"/>
      <c r="R137" s="5"/>
      <c r="X137" s="10"/>
      <c r="Y137" s="304"/>
      <c r="Z137" s="304"/>
      <c r="AA137" s="304"/>
    </row>
    <row r="138" spans="2:27">
      <c r="B138" s="5"/>
      <c r="C138" s="5"/>
      <c r="D138" s="17"/>
      <c r="E138" s="17"/>
      <c r="F138" s="17"/>
      <c r="G138" s="17"/>
      <c r="H138" s="17"/>
      <c r="I138" s="17"/>
      <c r="J138" s="17"/>
      <c r="K138" s="17"/>
      <c r="L138" s="17"/>
      <c r="M138" s="17"/>
      <c r="N138" s="17"/>
      <c r="O138" s="5"/>
      <c r="Q138" s="5"/>
      <c r="R138" s="5"/>
      <c r="Y138" s="10"/>
      <c r="Z138" s="10"/>
      <c r="AA138" s="10"/>
    </row>
    <row r="139" spans="2:27">
      <c r="B139" s="5"/>
      <c r="C139" s="5"/>
      <c r="D139" s="17"/>
      <c r="E139" s="17"/>
      <c r="F139" s="17"/>
      <c r="G139" s="17"/>
      <c r="H139" s="17"/>
      <c r="I139" s="5"/>
      <c r="J139" s="17"/>
      <c r="K139" s="17"/>
      <c r="L139" s="17"/>
      <c r="M139" s="17"/>
      <c r="N139" s="17"/>
      <c r="O139" s="5"/>
      <c r="Q139" s="5"/>
      <c r="R139" s="5"/>
    </row>
    <row r="140" spans="2:27">
      <c r="B140" s="5"/>
      <c r="C140" s="17"/>
      <c r="D140" s="17"/>
      <c r="E140" s="17"/>
      <c r="F140" s="17"/>
      <c r="G140" s="17"/>
      <c r="H140" s="17"/>
      <c r="I140" s="5"/>
      <c r="J140" s="17"/>
      <c r="K140" s="17"/>
      <c r="L140" s="17"/>
      <c r="M140" s="17"/>
      <c r="N140" s="17"/>
      <c r="O140" s="5"/>
      <c r="Q140" s="5"/>
      <c r="R140" s="5"/>
    </row>
    <row r="141" spans="2:27">
      <c r="B141" s="5"/>
      <c r="C141" s="5"/>
      <c r="D141" s="5"/>
      <c r="E141" s="5"/>
      <c r="F141" s="5"/>
      <c r="G141" s="5"/>
      <c r="H141" s="5"/>
      <c r="I141" s="5"/>
      <c r="J141" s="5"/>
      <c r="K141" s="5"/>
      <c r="L141" s="5"/>
      <c r="M141" s="5"/>
      <c r="N141" s="5"/>
      <c r="O141" s="5"/>
      <c r="Q141" s="5"/>
      <c r="R141" s="5"/>
    </row>
    <row r="142" spans="2:27">
      <c r="B142" s="5"/>
      <c r="C142" s="5"/>
      <c r="D142" s="5"/>
      <c r="E142" s="5"/>
      <c r="F142" s="5"/>
      <c r="G142" s="5"/>
      <c r="H142" s="5"/>
      <c r="I142" s="5"/>
      <c r="J142" s="5"/>
      <c r="K142" s="5"/>
      <c r="L142" s="5"/>
      <c r="M142" s="5"/>
      <c r="N142" s="5"/>
      <c r="O142" s="5"/>
      <c r="Q142" s="5"/>
      <c r="R142" s="5"/>
    </row>
    <row r="143" spans="2:27">
      <c r="B143" s="5"/>
      <c r="C143" s="5"/>
      <c r="D143" s="5"/>
      <c r="E143" s="5"/>
      <c r="F143" s="5"/>
      <c r="G143" s="5"/>
      <c r="H143" s="5"/>
      <c r="I143" s="5"/>
      <c r="J143" s="5"/>
      <c r="K143" s="5"/>
      <c r="L143" s="5"/>
      <c r="M143" s="5"/>
      <c r="N143" s="5"/>
      <c r="O143" s="5"/>
      <c r="Q143" s="5"/>
      <c r="R143" s="5"/>
    </row>
    <row r="144" spans="2:27">
      <c r="B144" s="5"/>
      <c r="C144" s="5"/>
      <c r="D144" s="5"/>
      <c r="E144" s="5"/>
      <c r="F144" s="5"/>
      <c r="G144" s="5"/>
      <c r="H144" s="5"/>
      <c r="I144" s="5"/>
      <c r="J144" s="5"/>
      <c r="K144" s="5"/>
      <c r="L144" s="5"/>
      <c r="M144" s="5"/>
      <c r="N144" s="5"/>
      <c r="O144" s="5"/>
      <c r="Q144" s="5"/>
      <c r="R144" s="5"/>
    </row>
    <row r="145" spans="2:18">
      <c r="B145" s="5"/>
      <c r="C145" s="5"/>
      <c r="D145" s="5"/>
      <c r="E145" s="5"/>
      <c r="F145" s="5"/>
      <c r="G145" s="5"/>
      <c r="H145" s="5"/>
      <c r="I145" s="5"/>
      <c r="J145" s="5"/>
      <c r="K145" s="5"/>
      <c r="L145" s="5"/>
      <c r="M145" s="5"/>
      <c r="N145" s="5"/>
      <c r="O145" s="5"/>
      <c r="Q145" s="5"/>
      <c r="R145" s="5"/>
    </row>
    <row r="146" spans="2:18">
      <c r="B146" s="5"/>
      <c r="C146" s="5"/>
      <c r="D146" s="5"/>
      <c r="E146" s="5"/>
      <c r="F146" s="5"/>
      <c r="G146" s="5"/>
      <c r="H146" s="5"/>
      <c r="I146" s="5"/>
      <c r="J146" s="5"/>
      <c r="K146" s="5"/>
      <c r="L146" s="5"/>
      <c r="M146" s="5"/>
      <c r="N146" s="5"/>
      <c r="O146" s="5"/>
      <c r="Q146" s="5"/>
      <c r="R146" s="5"/>
    </row>
    <row r="147" spans="2:18">
      <c r="B147" s="5"/>
      <c r="C147" s="5"/>
      <c r="D147" s="5"/>
      <c r="E147" s="5"/>
      <c r="F147" s="5"/>
      <c r="G147" s="5"/>
      <c r="H147" s="5"/>
      <c r="I147" s="5"/>
      <c r="J147" s="5"/>
      <c r="K147" s="5"/>
      <c r="L147" s="5"/>
      <c r="M147" s="5"/>
      <c r="N147" s="5"/>
      <c r="O147" s="5"/>
      <c r="Q147" s="5"/>
      <c r="R147" s="5"/>
    </row>
    <row r="148" spans="2:18">
      <c r="B148" s="5"/>
      <c r="C148" s="5"/>
      <c r="D148" s="5"/>
      <c r="E148" s="5"/>
      <c r="F148" s="5"/>
      <c r="G148" s="5"/>
      <c r="H148" s="5"/>
      <c r="I148" s="5"/>
      <c r="J148" s="5"/>
      <c r="K148" s="5"/>
      <c r="L148" s="5"/>
      <c r="M148" s="5"/>
      <c r="N148" s="5"/>
      <c r="O148" s="5"/>
      <c r="Q148" s="5"/>
      <c r="R148" s="5"/>
    </row>
    <row r="149" spans="2:18">
      <c r="B149" s="5"/>
      <c r="C149" s="5"/>
      <c r="D149" s="5"/>
      <c r="E149" s="5"/>
      <c r="F149" s="5"/>
      <c r="G149" s="5"/>
      <c r="H149" s="5"/>
      <c r="J149" s="5"/>
      <c r="K149" s="5"/>
      <c r="L149" s="5"/>
      <c r="M149" s="5"/>
      <c r="N149" s="5"/>
      <c r="O149" s="5"/>
      <c r="Q149" s="5"/>
      <c r="R149" s="5"/>
    </row>
    <row r="150" spans="2:18">
      <c r="B150" s="5"/>
      <c r="C150" s="5"/>
      <c r="D150" s="5"/>
      <c r="E150" s="5"/>
      <c r="F150" s="5"/>
      <c r="G150" s="5"/>
      <c r="H150" s="5"/>
      <c r="J150" s="5"/>
      <c r="K150" s="5"/>
      <c r="L150" s="5"/>
      <c r="M150" s="5"/>
      <c r="N150" s="5"/>
      <c r="O150" s="5"/>
      <c r="Q150" s="5"/>
      <c r="R150" s="5"/>
    </row>
    <row r="151" spans="2:18">
      <c r="Q151" s="5"/>
      <c r="R151" s="5"/>
    </row>
    <row r="152" spans="2:18">
      <c r="Q152" s="5"/>
      <c r="R152" s="5"/>
    </row>
    <row r="153" spans="2:18">
      <c r="C153" s="263"/>
      <c r="Q153" s="5"/>
      <c r="R153" s="5"/>
    </row>
    <row r="154" spans="2:18">
      <c r="Q154" s="5"/>
      <c r="R154" s="5"/>
    </row>
    <row r="155" spans="2:18">
      <c r="Q155" s="5"/>
      <c r="R155" s="5"/>
    </row>
    <row r="156" spans="2:18">
      <c r="Q156" s="5"/>
      <c r="R156" s="5"/>
    </row>
    <row r="157" spans="2:18">
      <c r="Q157" s="5"/>
      <c r="R157" s="5"/>
    </row>
    <row r="158" spans="2:18">
      <c r="Q158" s="5"/>
      <c r="R158" s="5"/>
    </row>
    <row r="159" spans="2:18">
      <c r="Q159" s="5"/>
      <c r="R159" s="5"/>
    </row>
    <row r="160" spans="2:18">
      <c r="Q160" s="5"/>
      <c r="R160" s="5"/>
    </row>
    <row r="161" spans="17:18">
      <c r="Q161" s="5"/>
      <c r="R161" s="5"/>
    </row>
    <row r="162" spans="17:18">
      <c r="Q162" s="5"/>
      <c r="R162" s="5"/>
    </row>
    <row r="163" spans="17:18">
      <c r="Q163" s="5"/>
      <c r="R163" s="5"/>
    </row>
    <row r="164" spans="17:18">
      <c r="Q164" s="5"/>
      <c r="R164" s="5"/>
    </row>
    <row r="165" spans="17:18">
      <c r="Q165" s="5"/>
      <c r="R165" s="5"/>
    </row>
  </sheetData>
  <phoneticPr fontId="7" type="noConversion"/>
  <pageMargins left="0.75" right="0.75" top="1" bottom="1" header="0.5" footer="0.5"/>
  <pageSetup scale="70" orientation="landscape"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tabColor theme="3" tint="0.79998168889431442"/>
    <pageSetUpPr autoPageBreaks="0" fitToPage="1"/>
  </sheetPr>
  <dimension ref="A1:BQ209"/>
  <sheetViews>
    <sheetView showGridLines="0" zoomScale="80" zoomScaleNormal="80" zoomScaleSheetLayoutView="80" workbookViewId="0">
      <pane ySplit="5" topLeftCell="A6" activePane="bottomLeft" state="frozen"/>
      <selection pane="bottomLeft"/>
    </sheetView>
  </sheetViews>
  <sheetFormatPr defaultColWidth="8.88671875" defaultRowHeight="12"/>
  <cols>
    <col min="1" max="1" width="2.33203125" style="88" customWidth="1"/>
    <col min="2" max="2" width="31.109375" style="39" customWidth="1"/>
    <col min="3" max="6" width="11.33203125" style="177" customWidth="1"/>
    <col min="7" max="7" width="2.33203125" style="39" customWidth="1"/>
    <col min="8" max="11" width="11.109375" style="39" customWidth="1"/>
    <col min="12" max="12" width="2.109375" style="39" customWidth="1"/>
    <col min="13" max="16" width="11.109375" style="39" customWidth="1"/>
    <col min="17" max="17" width="2.33203125" style="39" customWidth="1"/>
    <col min="18" max="21" width="11.109375" style="39" customWidth="1"/>
    <col min="22" max="22" width="2.33203125" style="39" customWidth="1"/>
    <col min="23" max="16384" width="8.88671875" style="39"/>
  </cols>
  <sheetData>
    <row r="1" spans="1:69" s="131" customFormat="1">
      <c r="A1" s="158"/>
      <c r="F1" s="202"/>
      <c r="M1" s="153"/>
      <c r="S1" s="153"/>
      <c r="AB1" s="160"/>
      <c r="AC1" s="160"/>
    </row>
    <row r="2" spans="1:69" s="131" customFormat="1">
      <c r="A2" s="158"/>
      <c r="M2" s="153"/>
      <c r="S2" s="153"/>
      <c r="AB2" s="160"/>
      <c r="AC2" s="160"/>
    </row>
    <row r="3" spans="1:69" s="131" customFormat="1">
      <c r="A3" s="158"/>
      <c r="U3" s="153"/>
      <c r="AB3" s="160"/>
      <c r="AC3" s="160"/>
    </row>
    <row r="4" spans="1:69" s="128" customFormat="1" ht="21">
      <c r="A4" s="193"/>
      <c r="B4" s="155" t="s">
        <v>1370</v>
      </c>
      <c r="AB4" s="203"/>
      <c r="AC4" s="203"/>
    </row>
    <row r="5" spans="1:69" s="131" customFormat="1">
      <c r="A5" s="158"/>
      <c r="D5" s="153"/>
      <c r="E5" s="153"/>
      <c r="F5" s="153"/>
      <c r="G5" s="153"/>
      <c r="H5" s="153" t="str">
        <f>INDEX(headings,1,1)</f>
        <v>2023E</v>
      </c>
      <c r="I5" s="153" t="str">
        <f>INDEX(headings,1,2)</f>
        <v>2024E</v>
      </c>
      <c r="J5" s="153" t="str">
        <f>INDEX(headings,1,3)</f>
        <v>2025E</v>
      </c>
      <c r="K5" s="153" t="str">
        <f>INDEX(headings,1,4)</f>
        <v>2026E</v>
      </c>
      <c r="L5" s="153"/>
      <c r="M5" s="153" t="str">
        <f>INDEX(headings,1,1)</f>
        <v>2023E</v>
      </c>
      <c r="N5" s="153" t="str">
        <f>INDEX(headings,1,2)</f>
        <v>2024E</v>
      </c>
      <c r="O5" s="153" t="str">
        <f>INDEX(headings,1,3)</f>
        <v>2025E</v>
      </c>
      <c r="P5" s="153" t="str">
        <f>INDEX(headings,1,4)</f>
        <v>2026E</v>
      </c>
      <c r="Q5" s="153"/>
      <c r="R5" s="153" t="str">
        <f>INDEX(headings,1,1)</f>
        <v>2023E</v>
      </c>
      <c r="S5" s="153" t="str">
        <f>INDEX(headings,1,2)</f>
        <v>2024E</v>
      </c>
      <c r="T5" s="153" t="str">
        <f>INDEX(headings,1,3)</f>
        <v>2025E</v>
      </c>
      <c r="U5" s="153" t="str">
        <f>INDEX(headings,1,4)</f>
        <v>2026E</v>
      </c>
      <c r="V5" s="161"/>
      <c r="Z5" s="153"/>
      <c r="AC5" s="161"/>
      <c r="AD5" s="162"/>
      <c r="AE5" s="162"/>
      <c r="AF5" s="162"/>
      <c r="AG5" s="162"/>
      <c r="AH5" s="162"/>
      <c r="AI5" s="162"/>
      <c r="AJ5" s="162"/>
      <c r="AK5" s="162"/>
      <c r="AL5" s="162"/>
      <c r="AM5" s="162"/>
      <c r="AN5" s="162"/>
      <c r="AO5" s="162"/>
      <c r="AP5" s="162"/>
      <c r="AQ5" s="162"/>
      <c r="AR5" s="162"/>
      <c r="AS5" s="162"/>
      <c r="AT5" s="162"/>
      <c r="AU5" s="162"/>
      <c r="AV5" s="162"/>
      <c r="AW5" s="162"/>
      <c r="BC5" s="163"/>
      <c r="BD5" s="163"/>
      <c r="BE5" s="163"/>
      <c r="BG5" s="163"/>
      <c r="BH5" s="163"/>
      <c r="BI5" s="163"/>
      <c r="BK5" s="163"/>
      <c r="BL5" s="163"/>
      <c r="BM5" s="163"/>
      <c r="BO5" s="163"/>
      <c r="BP5" s="163"/>
      <c r="BQ5" s="163"/>
    </row>
    <row r="6" spans="1:69">
      <c r="AT6" s="178"/>
      <c r="AU6" s="178"/>
      <c r="AV6" s="178"/>
      <c r="AW6" s="178"/>
    </row>
    <row r="7" spans="1:69">
      <c r="B7" s="164"/>
      <c r="C7" s="165" t="s">
        <v>464</v>
      </c>
      <c r="D7" s="165" t="s">
        <v>57</v>
      </c>
      <c r="E7" s="165" t="s">
        <v>59</v>
      </c>
      <c r="F7" s="165" t="s">
        <v>56</v>
      </c>
      <c r="H7" s="166" t="s">
        <v>787</v>
      </c>
      <c r="I7" s="166"/>
      <c r="J7" s="166"/>
      <c r="K7" s="166"/>
      <c r="M7" s="166" t="s">
        <v>788</v>
      </c>
      <c r="N7" s="166"/>
      <c r="O7" s="166"/>
      <c r="P7" s="166"/>
      <c r="R7" s="166" t="s">
        <v>184</v>
      </c>
      <c r="S7" s="166"/>
      <c r="T7" s="166"/>
      <c r="U7" s="166"/>
      <c r="AT7" s="178"/>
      <c r="AU7" s="178"/>
      <c r="AV7" s="178"/>
      <c r="AW7" s="178"/>
    </row>
    <row r="8" spans="1:69">
      <c r="A8" s="194" t="s">
        <v>1418</v>
      </c>
      <c r="B8" s="197" t="s">
        <v>851</v>
      </c>
      <c r="C8" s="180" t="str">
        <f>A8&amp;TEXT(Prices!$C$35,"0.0")</f>
        <v>EUR 33.5</v>
      </c>
      <c r="D8" s="180" t="str">
        <f>A8&amp;TEXT(Prices!$E$35,"0.0")</f>
        <v>EUR 32.0</v>
      </c>
      <c r="E8" s="68">
        <f>Prices!$F$35</f>
        <v>-4.3348281016442503E-2</v>
      </c>
      <c r="F8" s="180" t="str">
        <f>Prices!$D$35</f>
        <v>Neutral</v>
      </c>
      <c r="H8" s="530">
        <f>(CLNX!D$18/Prices!$C$155)/CLNX!L$31*1000</f>
        <v>347.80524349060715</v>
      </c>
      <c r="I8" s="530">
        <f>(CLNX!E$18/Prices!$C$155)/CLNX!M$31*1000</f>
        <v>347.14317962301902</v>
      </c>
      <c r="J8" s="530">
        <f>(CLNX!F$18/Prices!$C$155)/CLNX!N$31*1000</f>
        <v>336.00089300986133</v>
      </c>
      <c r="K8" s="530">
        <f>(CLNX!G$18/Prices!$C$155)/CLNX!O$31*1000</f>
        <v>322.48979834040426</v>
      </c>
      <c r="L8" s="561"/>
      <c r="M8" s="530">
        <f>(CLNX!D$18/Prices!$C$155)/CLNX!L$32*1000</f>
        <v>251.33733874843566</v>
      </c>
      <c r="N8" s="530">
        <f>(CLNX!E$18/Prices!$C$155)/CLNX!M$32*1000</f>
        <v>246.53823543683643</v>
      </c>
      <c r="O8" s="530">
        <f>(CLNX!F$18/Prices!$C$155)/CLNX!N$32*1000</f>
        <v>235.10754159136766</v>
      </c>
      <c r="P8" s="530">
        <f>(CLNX!G$18/Prices!$C$155)/CLNX!O$32*1000</f>
        <v>222.87987202253041</v>
      </c>
      <c r="Q8" s="562"/>
      <c r="R8" s="567">
        <f>CLNX!$D$38</f>
        <v>20.942510591700199</v>
      </c>
      <c r="S8" s="567">
        <f>CLNX!$E$38</f>
        <v>19.435709276571142</v>
      </c>
      <c r="T8" s="567">
        <f>CLNX!$F$38</f>
        <v>17.821003264095754</v>
      </c>
      <c r="U8" s="567">
        <f>CLNX!$G$38</f>
        <v>16.470994970979078</v>
      </c>
      <c r="AT8" s="178"/>
      <c r="AU8" s="178"/>
      <c r="AV8" s="178"/>
      <c r="AW8" s="178"/>
    </row>
    <row r="9" spans="1:69">
      <c r="A9" s="194" t="s">
        <v>1418</v>
      </c>
      <c r="B9" s="197" t="s">
        <v>849</v>
      </c>
      <c r="C9" s="180" t="str">
        <f>A9&amp;TEXT(Prices!$C$36,"0.0")</f>
        <v>EUR 10.0</v>
      </c>
      <c r="D9" s="180" t="str">
        <f>A9&amp;TEXT(Prices!$E$36,"0.0")</f>
        <v>EUR 12.1</v>
      </c>
      <c r="E9" s="68">
        <f>Prices!$F$36</f>
        <v>0.21121121121121122</v>
      </c>
      <c r="F9" s="180" t="str">
        <f>Prices!$D$36</f>
        <v>Neutral</v>
      </c>
      <c r="H9" s="530">
        <f>(INWIT!D$18/Prices!$C$155)/INWIT!L$31*1000</f>
        <v>477.99770215133498</v>
      </c>
      <c r="I9" s="530">
        <f>(INWIT!E$18/Prices!$C$155)/INWIT!M$31*1000</f>
        <v>477.98803790177055</v>
      </c>
      <c r="J9" s="530">
        <f>(INWIT!F$18/Prices!$C$155)/INWIT!N$31*1000</f>
        <v>458.73407645469342</v>
      </c>
      <c r="K9" s="530">
        <f>(INWIT!G$18/Prices!$C$155)/INWIT!O$31*1000</f>
        <v>439.92993206420346</v>
      </c>
      <c r="L9" s="561"/>
      <c r="M9" s="530">
        <f>(INWIT!D$18/Prices!$C$155)/INWIT!L$32*1000</f>
        <v>208.10853941257602</v>
      </c>
      <c r="N9" s="530">
        <f>(INWIT!E$18/Prices!$C$155)/INWIT!M$32*1000</f>
        <v>197.54957714966235</v>
      </c>
      <c r="O9" s="530">
        <f>(INWIT!F$18/Prices!$C$155)/INWIT!N$32*1000</f>
        <v>180.43870830686245</v>
      </c>
      <c r="P9" s="530">
        <f>(INWIT!G$18/Prices!$C$155)/INWIT!O$32*1000</f>
        <v>168.15273307124369</v>
      </c>
      <c r="Q9" s="563"/>
      <c r="R9" s="567">
        <f>INWIT!$D$38</f>
        <v>17.883726749974826</v>
      </c>
      <c r="S9" s="567">
        <f>INWIT!$E$38</f>
        <v>16.427533590642053</v>
      </c>
      <c r="T9" s="567">
        <f>INWIT!$F$38</f>
        <v>14.916651677350968</v>
      </c>
      <c r="U9" s="567">
        <f>INWIT!$G$38</f>
        <v>13.584862074511912</v>
      </c>
      <c r="AT9" s="178"/>
      <c r="AU9" s="178"/>
      <c r="AV9" s="178"/>
      <c r="AW9" s="178"/>
    </row>
    <row r="10" spans="1:69">
      <c r="B10" s="48"/>
      <c r="C10" s="44"/>
      <c r="D10" s="183"/>
      <c r="E10" s="45"/>
      <c r="F10" s="44"/>
      <c r="H10" s="564"/>
      <c r="I10" s="564"/>
      <c r="J10" s="564"/>
      <c r="K10" s="564"/>
      <c r="L10" s="565"/>
      <c r="M10" s="564"/>
      <c r="N10" s="564"/>
      <c r="O10" s="564"/>
      <c r="P10" s="564"/>
      <c r="Q10" s="562"/>
      <c r="R10" s="568"/>
      <c r="S10" s="568"/>
      <c r="T10" s="568"/>
      <c r="U10" s="568"/>
      <c r="AT10" s="178"/>
      <c r="AU10" s="178"/>
      <c r="AV10" s="178"/>
      <c r="AW10" s="178"/>
    </row>
    <row r="11" spans="1:69">
      <c r="A11" s="42" t="s">
        <v>1417</v>
      </c>
      <c r="B11" s="48" t="s">
        <v>690</v>
      </c>
      <c r="C11" s="44" t="str">
        <f>A11&amp;TEXT(Prices!C$51,"0.0")</f>
        <v>USD 185.9</v>
      </c>
      <c r="D11" s="183" t="str">
        <f>A11&amp;TEXT(Prices!E$51,"0.0")</f>
        <v>USD 239.0</v>
      </c>
      <c r="E11" s="45">
        <f>Prices!F$51</f>
        <v>0.28543000053783674</v>
      </c>
      <c r="F11" s="44" t="str">
        <f>Prices!D$51</f>
        <v>Neutral</v>
      </c>
      <c r="H11" s="564">
        <f>AMT!D$18/AMT!L$31*1000</f>
        <v>635.3440818426003</v>
      </c>
      <c r="I11" s="564">
        <f>AMT!E$18/AMT!M$31*1000</f>
        <v>606.20096380653604</v>
      </c>
      <c r="J11" s="564">
        <f>AMT!F$18/AMT!N$31*1000</f>
        <v>548.02299604062716</v>
      </c>
      <c r="K11" s="564">
        <f>AMT!G$18/AMT!O$31*1000</f>
        <v>566.655749818206</v>
      </c>
      <c r="L11" s="565"/>
      <c r="M11" s="564">
        <f>AMT!D$18/AMT!L$32*1000</f>
        <v>291.44223937734012</v>
      </c>
      <c r="N11" s="564">
        <f>AMT!E$18/AMT!M$32*1000</f>
        <v>265.87761570462146</v>
      </c>
      <c r="O11" s="564">
        <f>AMT!F$18/AMT!N$32*1000</f>
        <v>230.26176304228071</v>
      </c>
      <c r="P11" s="564">
        <f>AMT!G$18/AMT!O$32*1000</f>
        <v>238.09065118412056</v>
      </c>
      <c r="Q11" s="562"/>
      <c r="R11" s="568">
        <f>AMT!$D$38</f>
        <v>16.649212735264811</v>
      </c>
      <c r="S11" s="568">
        <f>AMT!$E$38</f>
        <v>15.761797726026971</v>
      </c>
      <c r="T11" s="568">
        <f>AMT!$F$38</f>
        <v>14.082884428505087</v>
      </c>
      <c r="U11" s="568">
        <f>AMT!$G$38</f>
        <v>13.888088688213191</v>
      </c>
      <c r="AT11" s="178"/>
      <c r="AU11" s="178"/>
      <c r="AV11" s="178"/>
      <c r="AW11" s="178"/>
    </row>
    <row r="12" spans="1:69">
      <c r="A12" s="42" t="s">
        <v>1417</v>
      </c>
      <c r="B12" s="48" t="s">
        <v>685</v>
      </c>
      <c r="C12" s="44" t="str">
        <f>A12&amp;TEXT(Prices!C$52,"0.0")</f>
        <v>USD 98.1</v>
      </c>
      <c r="D12" s="183" t="str">
        <f>A12&amp;TEXT(Prices!E$52,"0.0")</f>
        <v>USD 123.0</v>
      </c>
      <c r="E12" s="45">
        <f>Prices!F$52</f>
        <v>0.25356706074194868</v>
      </c>
      <c r="F12" s="44" t="str">
        <f>Prices!D$52</f>
        <v>Neutral</v>
      </c>
      <c r="H12" s="564">
        <f>CCI!D$18/CCI!L$31*1000</f>
        <v>1518.9717072428555</v>
      </c>
      <c r="I12" s="564">
        <f>CCI!E$18/CCI!M$31*1000</f>
        <v>1516.6800684428667</v>
      </c>
      <c r="J12" s="564">
        <f>CCI!F$18/CCI!N$31*1000</f>
        <v>1534.9079795543082</v>
      </c>
      <c r="K12" s="564">
        <f>CCI!G$18/CCI!O$31*1000</f>
        <v>1287.4898165932066</v>
      </c>
      <c r="L12" s="565"/>
      <c r="M12" s="564">
        <f>CCI!D$18/CCI!L$32*1000</f>
        <v>707.06887566748924</v>
      </c>
      <c r="N12" s="564">
        <f>CCI!E$18/CCI!M$32*1000</f>
        <v>674.60005704463128</v>
      </c>
      <c r="O12" s="564">
        <f>CCI!F$18/CCI!N$32*1000</f>
        <v>653.63475582986609</v>
      </c>
      <c r="P12" s="564">
        <f>CCI!G$18/CCI!O$32*1000</f>
        <v>548.27266722966692</v>
      </c>
      <c r="Q12" s="562"/>
      <c r="R12" s="568">
        <f>CCI!$D$38</f>
        <v>13.694075105106467</v>
      </c>
      <c r="S12" s="568">
        <f>CCI!$E$38</f>
        <v>14.007488303420789</v>
      </c>
      <c r="T12" s="568">
        <f>CCI!$F$38</f>
        <v>14.127779148383249</v>
      </c>
      <c r="U12" s="568">
        <f>CCI!$G$38</f>
        <v>11.148453104337475</v>
      </c>
      <c r="AT12" s="178"/>
      <c r="AU12" s="178"/>
      <c r="AV12" s="178"/>
      <c r="AW12" s="178"/>
    </row>
    <row r="13" spans="1:69">
      <c r="A13" s="42" t="s">
        <v>1417</v>
      </c>
      <c r="B13" s="48" t="s">
        <v>770</v>
      </c>
      <c r="C13" s="44" t="str">
        <f>A13&amp;TEXT(Prices!C$53,"0.0")</f>
        <v>USD 188.1</v>
      </c>
      <c r="D13" s="183" t="str">
        <f>A13&amp;TEXT(Prices!E$53,"0.0")</f>
        <v>USD 244.0</v>
      </c>
      <c r="E13" s="45">
        <f>Prices!F$53</f>
        <v>0.29725131585942899</v>
      </c>
      <c r="F13" s="44" t="str">
        <f>Prices!D$53</f>
        <v>Neutral</v>
      </c>
      <c r="H13" s="564">
        <f>SBAC!D$18/SBAC!L$31*1000</f>
        <v>959.59971392453986</v>
      </c>
      <c r="I13" s="564">
        <f>SBAC!E$18/SBAC!M$31*1000</f>
        <v>924.01930755210822</v>
      </c>
      <c r="J13" s="564">
        <f>SBAC!F$18/SBAC!N$31*1000</f>
        <v>891.13304593203395</v>
      </c>
      <c r="K13" s="564">
        <f>SBAC!G$18/SBAC!O$31*1000</f>
        <v>891.34526875740494</v>
      </c>
      <c r="L13" s="565"/>
      <c r="M13" s="564">
        <f>SBAC!D$18/SBAC!L$32*1000</f>
        <v>505.88721690205739</v>
      </c>
      <c r="N13" s="564">
        <f>SBAC!E$18/SBAC!M$32*1000</f>
        <v>448.0296471492951</v>
      </c>
      <c r="O13" s="564">
        <f>SBAC!F$18/SBAC!N$32*1000</f>
        <v>412.03264628680904</v>
      </c>
      <c r="P13" s="564">
        <f>SBAC!G$18/SBAC!O$32*1000</f>
        <v>412.1307716259368</v>
      </c>
      <c r="Q13" s="562"/>
      <c r="R13" s="568">
        <f>SBAC!$D$38</f>
        <v>17.15405864311359</v>
      </c>
      <c r="S13" s="568">
        <f>SBAC!$E$38</f>
        <v>16.22651467762817</v>
      </c>
      <c r="T13" s="568">
        <f>SBAC!$F$38</f>
        <v>15.48715346394941</v>
      </c>
      <c r="U13" s="568">
        <f>SBAC!$G$38</f>
        <v>15.502038023976388</v>
      </c>
      <c r="AT13" s="178"/>
      <c r="AU13" s="178"/>
      <c r="AV13" s="178"/>
      <c r="AW13" s="178"/>
    </row>
    <row r="14" spans="1:69">
      <c r="A14" s="42"/>
      <c r="B14" s="48"/>
      <c r="C14" s="44"/>
      <c r="D14" s="44"/>
      <c r="E14" s="45"/>
      <c r="F14" s="44"/>
      <c r="H14" s="564"/>
      <c r="I14" s="564"/>
      <c r="J14" s="564"/>
      <c r="K14" s="564"/>
      <c r="L14" s="565"/>
      <c r="M14" s="564"/>
      <c r="N14" s="564"/>
      <c r="O14" s="564"/>
      <c r="P14" s="564"/>
      <c r="Q14" s="562"/>
      <c r="R14" s="568"/>
      <c r="S14" s="568"/>
      <c r="T14" s="568"/>
      <c r="U14" s="568"/>
      <c r="AT14" s="178"/>
      <c r="AU14" s="178"/>
      <c r="AV14" s="178"/>
      <c r="AW14" s="178"/>
    </row>
    <row r="15" spans="1:69">
      <c r="A15" s="42" t="s">
        <v>110</v>
      </c>
      <c r="B15" s="48" t="s">
        <v>1375</v>
      </c>
      <c r="C15" s="44" t="str">
        <f>A15&amp;TEXT(Prices!C$97,"0")</f>
        <v>INR 347</v>
      </c>
      <c r="D15" s="44" t="str">
        <f>A15&amp;TEXT(Prices!E$97,"0")</f>
        <v>INR 265</v>
      </c>
      <c r="E15" s="45">
        <f>Prices!F$97</f>
        <v>-0.23554017020049034</v>
      </c>
      <c r="F15" s="44" t="str">
        <f>Prices!D$97</f>
        <v>Neutral</v>
      </c>
      <c r="H15" s="564">
        <f>(BHIN!D$18/Prices!$C$152)/BHIN!L$31*1000</f>
        <v>64.841309002498278</v>
      </c>
      <c r="I15" s="564">
        <f>(BHIN!E$18/Prices!$C$152)/BHIN!M$31*1000</f>
        <v>59.295957157526395</v>
      </c>
      <c r="J15" s="564">
        <f>(BHIN!F$18/Prices!$C$152)/BHIN!N$31*1000</f>
        <v>53.492961442554325</v>
      </c>
      <c r="K15" s="564">
        <f>(BHIN!G$18/Prices!$C$152)/BHIN!O$31*1000</f>
        <v>47.48677078358989</v>
      </c>
      <c r="L15" s="565"/>
      <c r="M15" s="564">
        <f>(BHIN!D$18/Prices!$C$152)/BHIN!L$32*1000</f>
        <v>36.076037355121493</v>
      </c>
      <c r="N15" s="564">
        <f>(BHIN!E$18/Prices!$C$152)/BHIN!M$32*1000</f>
        <v>33.073429725663232</v>
      </c>
      <c r="O15" s="564">
        <f>(BHIN!F$18/Prices!$C$152)/BHIN!N$32*1000</f>
        <v>29.986633439830985</v>
      </c>
      <c r="P15" s="564">
        <f>(BHIN!G$18/Prices!$C$152)/BHIN!O$32*1000</f>
        <v>26.753501211734591</v>
      </c>
      <c r="Q15" s="562"/>
      <c r="R15" s="568">
        <f>BHIN!$D$38</f>
        <v>6.8112053135837547</v>
      </c>
      <c r="S15" s="568">
        <f>BHIN!$E$38</f>
        <v>6.1285495852145928</v>
      </c>
      <c r="T15" s="568">
        <f>BHIN!$F$38</f>
        <v>5.5009351386758985</v>
      </c>
      <c r="U15" s="568">
        <f>BHIN!$G$38</f>
        <v>4.8827838026372685</v>
      </c>
      <c r="AT15" s="178"/>
      <c r="AU15" s="178"/>
      <c r="AV15" s="178"/>
      <c r="AW15" s="178"/>
    </row>
    <row r="16" spans="1:69">
      <c r="A16" s="42" t="s">
        <v>1419</v>
      </c>
      <c r="B16" s="197" t="s">
        <v>1027</v>
      </c>
      <c r="C16" s="180" t="str">
        <f>A16&amp;TEXT(Prices!C$98,"0.00")</f>
        <v>HKD 0.92</v>
      </c>
      <c r="D16" s="180" t="str">
        <f>A16&amp;TEXT(Prices!E$98,"0.00")</f>
        <v>HKD 1.40</v>
      </c>
      <c r="E16" s="68">
        <f>Prices!F$98</f>
        <v>0.52173913043478248</v>
      </c>
      <c r="F16" s="44" t="str">
        <f>Prices!D$98</f>
        <v>Buy</v>
      </c>
      <c r="H16" s="564">
        <f>(ChinaTow!D$18/Prices!$C$175)/ChinaTow!L$31*1000</f>
        <v>7.902127179495948</v>
      </c>
      <c r="I16" s="564">
        <f>(ChinaTow!E$18/Prices!$C$175)/ChinaTow!M$31*1000</f>
        <v>7.2336197081094289</v>
      </c>
      <c r="J16" s="564">
        <f>(ChinaTow!F$18/Prices!$C$175)/ChinaTow!N$31*1000</f>
        <v>6.2453433204299706</v>
      </c>
      <c r="K16" s="564">
        <f>(ChinaTow!G$18/Prices!$C$175)/ChinaTow!O$31*1000</f>
        <v>5.2379754036158177</v>
      </c>
      <c r="L16" s="562"/>
      <c r="M16" s="564">
        <f>(ChinaTow!D$18/Prices!$C$175)/ChinaTow!L$32*1000</f>
        <v>13.936677752890331</v>
      </c>
      <c r="N16" s="564">
        <f>(ChinaTow!E$18/Prices!$C$175)/ChinaTow!M$32*1000</f>
        <v>13.051084833874242</v>
      </c>
      <c r="O16" s="564">
        <f>(ChinaTow!F$18/Prices!$C$175)/ChinaTow!N$32*1000</f>
        <v>11.527175118762381</v>
      </c>
      <c r="P16" s="564">
        <f>(ChinaTow!G$18/Prices!$C$175)/ChinaTow!O$32*1000</f>
        <v>9.8902133878426728</v>
      </c>
      <c r="Q16" s="563"/>
      <c r="R16" s="568">
        <f>ChinaTow!D$38</f>
        <v>3.2549785648522476</v>
      </c>
      <c r="S16" s="568">
        <f>ChinaTow!E$38</f>
        <v>2.9138783452146479</v>
      </c>
      <c r="T16" s="568">
        <f>ChinaTow!F$38</f>
        <v>2.4391160819401181</v>
      </c>
      <c r="U16" s="568">
        <f>ChinaTow!G$38</f>
        <v>2.0025484978827999</v>
      </c>
      <c r="AT16" s="178"/>
      <c r="AU16" s="178"/>
      <c r="AV16" s="178"/>
      <c r="AW16" s="178"/>
    </row>
    <row r="17" spans="1:49">
      <c r="A17" s="42" t="s">
        <v>385</v>
      </c>
      <c r="B17" s="48" t="s">
        <v>772</v>
      </c>
      <c r="C17" s="44" t="str">
        <f>A17&amp;TEXT(Prices!C$99,"0,0")</f>
        <v>IDR 765</v>
      </c>
      <c r="D17" s="44" t="str">
        <f>A17&amp;TEXT(Prices!E$99,"0,0")</f>
        <v>IDR 1,900</v>
      </c>
      <c r="E17" s="45">
        <f>Prices!F$99</f>
        <v>1.4836601307189543</v>
      </c>
      <c r="F17" s="44" t="str">
        <f>Prices!D$99</f>
        <v>Buy</v>
      </c>
      <c r="H17" s="564">
        <f>(TOWR!D$18/Prices!$C$172)/TOWR!L$31*1000000</f>
        <v>166.03963437720054</v>
      </c>
      <c r="I17" s="564">
        <f>(TOWR!E$18/Prices!$C$172)/TOWR!M$31*1000000</f>
        <v>153.42933824885256</v>
      </c>
      <c r="J17" s="564">
        <f>(TOWR!F$18/Prices!$C$172)/TOWR!N$31*1000000</f>
        <v>139.37289016191653</v>
      </c>
      <c r="K17" s="564">
        <f>(TOWR!G$18/Prices!$C$172)/TOWR!O$31*1000000</f>
        <v>124.20096087380504</v>
      </c>
      <c r="L17" s="565"/>
      <c r="M17" s="564">
        <f>(TOWR!D$18/Prices!$C$172)/TOWR!L$32*1000000</f>
        <v>88.996941256159815</v>
      </c>
      <c r="N17" s="564">
        <f>(TOWR!E$18/Prices!$C$172)/TOWR!M$32*1000000</f>
        <v>81.423609431676411</v>
      </c>
      <c r="O17" s="564">
        <f>(TOWR!F$18/Prices!$C$172)/TOWR!N$32*1000000</f>
        <v>73.231658644302655</v>
      </c>
      <c r="P17" s="564">
        <f>(TOWR!G$18/Prices!$C$172)/TOWR!O$32*1000000</f>
        <v>64.613630919839082</v>
      </c>
      <c r="Q17" s="562"/>
      <c r="R17" s="568">
        <f>TOWR!$D$38</f>
        <v>8.2149376362268445</v>
      </c>
      <c r="S17" s="568">
        <f>TOWR!$E$38</f>
        <v>7.2845880133033774</v>
      </c>
      <c r="T17" s="568">
        <f>TOWR!$F$38</f>
        <v>6.3186629326988619</v>
      </c>
      <c r="U17" s="568">
        <f>TOWR!$G$38</f>
        <v>5.3729022623437315</v>
      </c>
      <c r="AT17" s="178"/>
      <c r="AU17" s="178"/>
      <c r="AV17" s="178"/>
      <c r="AW17" s="178"/>
    </row>
    <row r="18" spans="1:49">
      <c r="A18" s="42" t="s">
        <v>385</v>
      </c>
      <c r="B18" s="197" t="s">
        <v>771</v>
      </c>
      <c r="C18" s="180" t="str">
        <f>A18&amp;TEXT(Prices!C$100,"0,0")</f>
        <v>IDR 1,850</v>
      </c>
      <c r="D18" s="180" t="str">
        <f>'Tower Multiples'!A18&amp;TEXT(Prices!E$100,"0,0")</f>
        <v>IDR 2,200</v>
      </c>
      <c r="E18" s="68">
        <f>Prices!F$100</f>
        <v>0.18918918918918926</v>
      </c>
      <c r="F18" s="180" t="str">
        <f>Prices!D$100</f>
        <v>Neutral</v>
      </c>
      <c r="H18" s="530">
        <f>(TBIG!D$18/Prices!$C$172)/TBIG!L$31*1000000</f>
        <v>179.99306221177167</v>
      </c>
      <c r="I18" s="530">
        <f>(TBIG!E$18/Prices!$C$172)/TBIG!M$31*1000000</f>
        <v>167.42715891813864</v>
      </c>
      <c r="J18" s="530">
        <f>(TBIG!F$18/Prices!$C$172)/TBIG!N$31*1000000</f>
        <v>154.67727762706033</v>
      </c>
      <c r="K18" s="530">
        <f>(TBIG!G$18/Prices!$C$172)/TBIG!O$31*1000000</f>
        <v>141.71696500871138</v>
      </c>
      <c r="L18" s="562"/>
      <c r="M18" s="530">
        <f>(TBIG!D$18/Prices!$C$172)/TBIG!L$32*1000000</f>
        <v>95.804323227114764</v>
      </c>
      <c r="N18" s="530">
        <f>(TBIG!E$18/Prices!$C$172)/TBIG!M$32*1000000</f>
        <v>88.233574902677347</v>
      </c>
      <c r="O18" s="530">
        <f>(TBIG!F$18/Prices!$C$172)/TBIG!N$32*1000000</f>
        <v>80.707354871599776</v>
      </c>
      <c r="P18" s="530">
        <f>(TBIG!G$18/Prices!$C$172)/TBIG!O$32*1000000</f>
        <v>73.212807866363519</v>
      </c>
      <c r="Q18" s="563"/>
      <c r="R18" s="567">
        <f>TBIG!$D$38</f>
        <v>11.13413112717244</v>
      </c>
      <c r="S18" s="567">
        <f>TBIG!$E$38</f>
        <v>10.043017592066999</v>
      </c>
      <c r="T18" s="567">
        <f>TBIG!$F$38</f>
        <v>8.9756796929792824</v>
      </c>
      <c r="U18" s="567">
        <f>TBIG!$G$38</f>
        <v>7.9559062730059695</v>
      </c>
      <c r="AT18" s="198"/>
      <c r="AU18" s="198"/>
      <c r="AV18" s="198"/>
      <c r="AW18" s="198"/>
    </row>
    <row r="19" spans="1:49">
      <c r="A19" s="42" t="s">
        <v>385</v>
      </c>
      <c r="B19" s="197" t="s">
        <v>1408</v>
      </c>
      <c r="C19" s="180" t="str">
        <f>A19&amp;TEXT(Prices!C$101,"0,0")</f>
        <v>IDR 605</v>
      </c>
      <c r="D19" s="180" t="str">
        <f>A19&amp;TEXT(Prices!E$101,"0,0")</f>
        <v>IDR 1,135</v>
      </c>
      <c r="E19" s="68">
        <f>Prices!F$101</f>
        <v>0.87603305785123964</v>
      </c>
      <c r="F19" s="180" t="str">
        <f>Prices!D$101</f>
        <v>Buy</v>
      </c>
      <c r="H19" s="530">
        <f>(MITRA!D$18/Prices!$C$172)/MITRA!L$31*1000000</f>
        <v>109.39992846878435</v>
      </c>
      <c r="I19" s="530">
        <f>(MITRA!E$18/Prices!$C$172)/MITRA!M$31*1000000</f>
        <v>101.29244975082784</v>
      </c>
      <c r="J19" s="530">
        <f>(MITRA!F$18/Prices!$C$172)/MITRA!N$31*1000000</f>
        <v>92.837050829285559</v>
      </c>
      <c r="K19" s="530">
        <f>(MITRA!G$18/Prices!$C$172)/MITRA!O$31*1000000</f>
        <v>84.00402734577635</v>
      </c>
      <c r="L19" s="562"/>
      <c r="M19" s="530">
        <f>(MITRA!D$18/Prices!$C$172)/MITRA!L$32*1000000</f>
        <v>69.754817769693929</v>
      </c>
      <c r="N19" s="530">
        <f>(MITRA!E$18/Prices!$C$172)/MITRA!M$32*1000000</f>
        <v>61.637803924201627</v>
      </c>
      <c r="O19" s="530">
        <f>(MITRA!F$18/Prices!$C$172)/MITRA!N$32*1000000</f>
        <v>54.18454016133299</v>
      </c>
      <c r="P19" s="530">
        <f>(MITRA!G$18/Prices!$C$172)/MITRA!O$32*1000000</f>
        <v>47.638900190118292</v>
      </c>
      <c r="Q19" s="563"/>
      <c r="R19" s="567">
        <f>MITRA!$D$38</f>
        <v>8.9941788369253306</v>
      </c>
      <c r="S19" s="567">
        <f>MITRA!$E$38</f>
        <v>7.7465415236527519</v>
      </c>
      <c r="T19" s="567">
        <f>MITRA!$F$38</f>
        <v>6.6840952452968869</v>
      </c>
      <c r="U19" s="567">
        <f>MITRA!$G$38</f>
        <v>5.6812916497883643</v>
      </c>
      <c r="AT19" s="198"/>
      <c r="AU19" s="198"/>
      <c r="AV19" s="198"/>
      <c r="AW19" s="198"/>
    </row>
    <row r="20" spans="1:49">
      <c r="B20" s="48"/>
      <c r="C20" s="44"/>
      <c r="D20" s="44"/>
      <c r="E20" s="45"/>
      <c r="F20" s="44"/>
      <c r="H20" s="564"/>
      <c r="I20" s="564"/>
      <c r="J20" s="564"/>
      <c r="K20" s="564"/>
      <c r="L20" s="565"/>
      <c r="M20" s="564"/>
      <c r="N20" s="564"/>
      <c r="O20" s="564"/>
      <c r="P20" s="564"/>
      <c r="Q20" s="562"/>
      <c r="R20" s="568"/>
      <c r="S20" s="568"/>
      <c r="T20" s="568"/>
      <c r="U20" s="568"/>
      <c r="AT20" s="198"/>
      <c r="AU20" s="198"/>
      <c r="AV20" s="198"/>
      <c r="AW20" s="198"/>
    </row>
    <row r="21" spans="1:49">
      <c r="A21" s="88" t="s">
        <v>1417</v>
      </c>
      <c r="B21" s="48" t="s">
        <v>1406</v>
      </c>
      <c r="C21" s="44" t="str">
        <f>A21&amp;TEXT(Prices!C$120,"0.0")</f>
        <v>USD 3.3</v>
      </c>
      <c r="D21" s="44" t="str">
        <f>A21&amp;TEXT(Prices!E$120,"0.0")</f>
        <v>USD 8.0</v>
      </c>
      <c r="E21" s="45">
        <f>Prices!F$120</f>
        <v>1.3952095808383236</v>
      </c>
      <c r="F21" s="44" t="str">
        <f>Prices!D$120</f>
        <v>Buy</v>
      </c>
      <c r="H21" s="564">
        <f>IHS!D$18/IHS!L$31*1000</f>
        <v>143.43374360167522</v>
      </c>
      <c r="I21" s="564">
        <f>IHS!E$18/IHS!M$31*1000</f>
        <v>135.88040948349749</v>
      </c>
      <c r="J21" s="564">
        <f>IHS!F$18/IHS!N$31*1000</f>
        <v>127.43650669157722</v>
      </c>
      <c r="K21" s="564">
        <f>IHS!G$18/IHS!O$31*1000</f>
        <v>116.32938012863892</v>
      </c>
      <c r="L21" s="565"/>
      <c r="M21" s="564">
        <f>IHS!D$18/IHS!L$32*1000</f>
        <v>93.982503239576204</v>
      </c>
      <c r="N21" s="564">
        <f>IHS!E$18/IHS!M$32*1000</f>
        <v>89.957462559973848</v>
      </c>
      <c r="O21" s="564">
        <f>IHS!F$18/IHS!N$32*1000</f>
        <v>82.921336580424125</v>
      </c>
      <c r="P21" s="564">
        <f>IHS!G$18/IHS!O$32*1000</f>
        <v>75.28716150186753</v>
      </c>
      <c r="Q21" s="562"/>
      <c r="R21" s="567">
        <f>IHS!$D$38</f>
        <v>4.3546785220765809</v>
      </c>
      <c r="S21" s="567">
        <f>IHS!$E$38</f>
        <v>4.8499597664268741</v>
      </c>
      <c r="T21" s="567">
        <f>IHS!$F$38</f>
        <v>4.246569842947757</v>
      </c>
      <c r="U21" s="567">
        <f>IHS!$G$38</f>
        <v>3.5695374538609013</v>
      </c>
      <c r="AT21" s="178"/>
      <c r="AU21" s="178"/>
      <c r="AV21" s="178"/>
      <c r="AW21" s="178"/>
    </row>
    <row r="22" spans="1:49">
      <c r="B22" s="48"/>
      <c r="C22" s="44"/>
      <c r="D22" s="44"/>
      <c r="E22" s="45"/>
      <c r="F22" s="44"/>
      <c r="H22" s="564"/>
      <c r="I22" s="564"/>
      <c r="J22" s="564"/>
      <c r="K22" s="564"/>
      <c r="L22" s="565"/>
      <c r="M22" s="564"/>
      <c r="N22" s="564"/>
      <c r="O22" s="564"/>
      <c r="P22" s="564"/>
      <c r="Q22" s="562"/>
      <c r="R22" s="568"/>
      <c r="S22" s="568"/>
      <c r="T22" s="568"/>
      <c r="U22" s="568"/>
      <c r="AT22" s="178"/>
      <c r="AU22" s="178"/>
      <c r="AV22" s="178"/>
      <c r="AW22" s="178"/>
    </row>
    <row r="23" spans="1:49">
      <c r="A23" s="194" t="s">
        <v>1420</v>
      </c>
      <c r="B23" s="199" t="s">
        <v>879</v>
      </c>
      <c r="C23" s="184" t="str">
        <f>A23&amp;TEXT(Prices!C$141,"0,0.0")</f>
        <v>MXN 19.3</v>
      </c>
      <c r="D23" s="184" t="str">
        <f>'Tower Multiples'!A23&amp;TEXT(Prices!E$141,"0,0.0")</f>
        <v>MXN 17.0</v>
      </c>
      <c r="E23" s="185">
        <f>Prices!F$141</f>
        <v>-0.11734164070612674</v>
      </c>
      <c r="F23" s="184" t="str">
        <f>Prices!D$141</f>
        <v>Neutral</v>
      </c>
      <c r="H23" s="566">
        <f>(SITES!D$18/Prices!$C$180)/SITES!L$31*1000</f>
        <v>244.24018695826319</v>
      </c>
      <c r="I23" s="566">
        <f>(SITES!E$18/Prices!$C$180)/SITES!M$31*1000</f>
        <v>223.98564488040228</v>
      </c>
      <c r="J23" s="566">
        <f>(SITES!F$18/Prices!$C$180)/SITES!N$31*1000</f>
        <v>204.36730322644817</v>
      </c>
      <c r="K23" s="566">
        <f>(SITES!G$18/Prices!$C$180)/SITES!O$31*1000</f>
        <v>186.08155563655632</v>
      </c>
      <c r="L23" s="565"/>
      <c r="M23" s="566">
        <f>(SITES!D$18/Prices!$C$180)/SITES!L$32*1000</f>
        <v>209.28388046272107</v>
      </c>
      <c r="N23" s="566">
        <f>(SITES!E$18/Prices!$C$180)/SITES!M$32*1000</f>
        <v>192.27150588556603</v>
      </c>
      <c r="O23" s="566">
        <f>(SITES!F$18/Prices!$C$180)/SITES!N$32*1000</f>
        <v>174.93466253380777</v>
      </c>
      <c r="P23" s="566">
        <f>(SITES!G$18/Prices!$C$180)/SITES!O$32*1000</f>
        <v>158.81014640272599</v>
      </c>
      <c r="Q23" s="562"/>
      <c r="R23" s="569">
        <f>SITES!$D$38</f>
        <v>8.3810705731585458</v>
      </c>
      <c r="S23" s="569">
        <f>SITES!$E$38</f>
        <v>7.4497006622155473</v>
      </c>
      <c r="T23" s="569">
        <f>SITES!$F$38</f>
        <v>6.6002064518183658</v>
      </c>
      <c r="U23" s="569">
        <f>SITES!$G$38</f>
        <v>5.8071641205186859</v>
      </c>
      <c r="AT23" s="178"/>
      <c r="AU23" s="178"/>
      <c r="AV23" s="178"/>
      <c r="AW23" s="178"/>
    </row>
    <row r="24" spans="1:49">
      <c r="A24" s="194"/>
      <c r="AT24" s="178"/>
      <c r="AU24" s="178"/>
      <c r="AV24" s="178"/>
      <c r="AW24" s="178"/>
    </row>
    <row r="25" spans="1:49">
      <c r="A25" s="194"/>
      <c r="AT25" s="178"/>
      <c r="AU25" s="178"/>
      <c r="AV25" s="178"/>
      <c r="AW25" s="178"/>
    </row>
    <row r="26" spans="1:49">
      <c r="B26" s="164"/>
      <c r="C26" s="165" t="s">
        <v>464</v>
      </c>
      <c r="D26" s="165" t="s">
        <v>57</v>
      </c>
      <c r="E26" s="165" t="s">
        <v>59</v>
      </c>
      <c r="F26" s="165" t="s">
        <v>56</v>
      </c>
      <c r="H26" s="166" t="s">
        <v>774</v>
      </c>
      <c r="I26" s="166"/>
      <c r="J26" s="166"/>
      <c r="K26" s="166"/>
      <c r="M26" s="166" t="s">
        <v>185</v>
      </c>
      <c r="N26" s="166"/>
      <c r="O26" s="166"/>
      <c r="P26" s="166"/>
      <c r="R26" s="166" t="s">
        <v>389</v>
      </c>
      <c r="S26" s="166"/>
      <c r="T26" s="166"/>
      <c r="U26" s="166"/>
      <c r="AT26" s="178"/>
      <c r="AU26" s="178"/>
      <c r="AV26" s="178"/>
      <c r="AW26" s="178"/>
    </row>
    <row r="27" spans="1:49">
      <c r="A27" s="194"/>
      <c r="B27" s="197" t="s">
        <v>851</v>
      </c>
      <c r="C27" s="180" t="str">
        <f t="shared" ref="C27:F28" si="0">C8</f>
        <v>EUR 33.5</v>
      </c>
      <c r="D27" s="180" t="str">
        <f t="shared" si="0"/>
        <v>EUR 32.0</v>
      </c>
      <c r="E27" s="68">
        <f t="shared" si="0"/>
        <v>-4.3348281016442503E-2</v>
      </c>
      <c r="F27" s="180" t="str">
        <f t="shared" si="0"/>
        <v>Neutral</v>
      </c>
      <c r="H27" s="530">
        <f>CLNX!$D$37</f>
        <v>9.8130727757596308</v>
      </c>
      <c r="I27" s="530">
        <f>CLNX!$E$37</f>
        <v>9.6843927421708216</v>
      </c>
      <c r="J27" s="530">
        <f>CLNX!$F$37</f>
        <v>9.2174399182426008</v>
      </c>
      <c r="K27" s="530">
        <f>CLNX!$G$37</f>
        <v>8.7008560927754779</v>
      </c>
      <c r="L27" s="561"/>
      <c r="M27" s="530">
        <f>CLNX!$D$39</f>
        <v>82.381672401820992</v>
      </c>
      <c r="N27" s="530">
        <f>CLNX!$E$39</f>
        <v>59.833371240324986</v>
      </c>
      <c r="O27" s="530">
        <f>CLNX!$F$39</f>
        <v>60.188859261859285</v>
      </c>
      <c r="P27" s="530">
        <f>CLNX!$G$39</f>
        <v>34.536849278306448</v>
      </c>
      <c r="Q27" s="562"/>
      <c r="R27" s="530">
        <f>CLNX!$D$44</f>
        <v>-79.409529103145189</v>
      </c>
      <c r="S27" s="530">
        <f>CLNX!$E$44</f>
        <v>-130.61260571740385</v>
      </c>
      <c r="T27" s="530">
        <f>CLNX!$F$44</f>
        <v>-530.37436978320181</v>
      </c>
      <c r="U27" s="530">
        <f>CLNX!$G$44</f>
        <v>268.92930271562926</v>
      </c>
      <c r="AT27" s="178"/>
      <c r="AU27" s="178"/>
      <c r="AV27" s="178"/>
      <c r="AW27" s="178"/>
    </row>
    <row r="28" spans="1:49">
      <c r="A28" s="194"/>
      <c r="B28" s="197" t="s">
        <v>849</v>
      </c>
      <c r="C28" s="180" t="str">
        <f t="shared" si="0"/>
        <v>EUR 10.0</v>
      </c>
      <c r="D28" s="180" t="str">
        <f t="shared" si="0"/>
        <v>EUR 12.1</v>
      </c>
      <c r="E28" s="68">
        <f t="shared" si="0"/>
        <v>0.21121121121121122</v>
      </c>
      <c r="F28" s="180" t="str">
        <f t="shared" si="0"/>
        <v>Neutral</v>
      </c>
      <c r="H28" s="530">
        <f>INWIT!$D$37</f>
        <v>11.760114693538606</v>
      </c>
      <c r="I28" s="530">
        <f>INWIT!$E$37</f>
        <v>11.303456962898224</v>
      </c>
      <c r="J28" s="530">
        <f>INWIT!$F$37</f>
        <v>10.488004921582075</v>
      </c>
      <c r="K28" s="530">
        <f>INWIT!$G$37</f>
        <v>9.8156438176842684</v>
      </c>
      <c r="L28" s="561"/>
      <c r="M28" s="530">
        <f>INWIT!$D$39</f>
        <v>30.736118201305448</v>
      </c>
      <c r="N28" s="530">
        <f>INWIT!$E$39</f>
        <v>26.56154125570691</v>
      </c>
      <c r="O28" s="530">
        <f>INWIT!$F$39</f>
        <v>21.666477835790847</v>
      </c>
      <c r="P28" s="530">
        <f>INWIT!$G$39</f>
        <v>18.357489776120499</v>
      </c>
      <c r="Q28" s="563"/>
      <c r="R28" s="530">
        <f>INWIT!$D$44</f>
        <v>27.882393899316753</v>
      </c>
      <c r="S28" s="530">
        <f>INWIT!$E$44</f>
        <v>24.745596794292464</v>
      </c>
      <c r="T28" s="530">
        <f>INWIT!$F$44</f>
        <v>21.493368817957649</v>
      </c>
      <c r="U28" s="530">
        <f>INWIT!$G$44</f>
        <v>20.141324631202298</v>
      </c>
      <c r="AT28" s="178"/>
      <c r="AU28" s="178"/>
      <c r="AV28" s="178"/>
      <c r="AW28" s="178"/>
    </row>
    <row r="29" spans="1:49">
      <c r="B29" s="48"/>
      <c r="C29" s="44"/>
      <c r="D29" s="183"/>
      <c r="E29" s="45"/>
      <c r="F29" s="44"/>
      <c r="H29" s="564"/>
      <c r="I29" s="564"/>
      <c r="J29" s="564"/>
      <c r="K29" s="564"/>
      <c r="L29" s="565"/>
      <c r="M29" s="564"/>
      <c r="N29" s="564"/>
      <c r="O29" s="564"/>
      <c r="P29" s="564"/>
      <c r="Q29" s="562"/>
      <c r="R29" s="564"/>
      <c r="S29" s="564"/>
      <c r="T29" s="564"/>
      <c r="U29" s="564"/>
      <c r="AT29" s="178"/>
      <c r="AU29" s="178"/>
      <c r="AV29" s="178"/>
      <c r="AW29" s="178"/>
    </row>
    <row r="30" spans="1:49">
      <c r="A30" s="42"/>
      <c r="B30" s="48" t="s">
        <v>690</v>
      </c>
      <c r="C30" s="44" t="str">
        <f t="shared" ref="C30:F32" si="1">C11</f>
        <v>USD 185.9</v>
      </c>
      <c r="D30" s="183" t="str">
        <f t="shared" si="1"/>
        <v>USD 239.0</v>
      </c>
      <c r="E30" s="45">
        <f t="shared" si="1"/>
        <v>0.28543000053783674</v>
      </c>
      <c r="F30" s="44" t="str">
        <f t="shared" si="1"/>
        <v>Neutral</v>
      </c>
      <c r="H30" s="564">
        <f>AMT!$D$37</f>
        <v>10.60880642888862</v>
      </c>
      <c r="I30" s="564">
        <f>AMT!$E$37</f>
        <v>10.084090384781401</v>
      </c>
      <c r="J30" s="564">
        <f>AMT!$F$37</f>
        <v>9.0501614958781769</v>
      </c>
      <c r="K30" s="564">
        <f>AMT!$G$37</f>
        <v>8.9933833928888784</v>
      </c>
      <c r="L30" s="565"/>
      <c r="M30" s="564">
        <f>AMT!$D$39</f>
        <v>21.813534914343819</v>
      </c>
      <c r="N30" s="564">
        <f>AMT!$E$39</f>
        <v>19.715630838702918</v>
      </c>
      <c r="O30" s="564">
        <f>AMT!$F$39</f>
        <v>17.343943859349441</v>
      </c>
      <c r="P30" s="564">
        <f>AMT!$G$39</f>
        <v>16.832197449523438</v>
      </c>
      <c r="Q30" s="562"/>
      <c r="R30" s="564">
        <f>AMT!$D$44</f>
        <v>32.67222587657114</v>
      </c>
      <c r="S30" s="564">
        <f>AMT!$E$44</f>
        <v>27.311656295413108</v>
      </c>
      <c r="T30" s="564">
        <f>AMT!$F$44</f>
        <v>22.459353980289112</v>
      </c>
      <c r="U30" s="564">
        <f>AMT!$G$44</f>
        <v>18.327453871108904</v>
      </c>
      <c r="AT30" s="178"/>
      <c r="AU30" s="178"/>
      <c r="AV30" s="178"/>
      <c r="AW30" s="178"/>
    </row>
    <row r="31" spans="1:49">
      <c r="A31" s="42"/>
      <c r="B31" s="48" t="s">
        <v>685</v>
      </c>
      <c r="C31" s="44" t="str">
        <f t="shared" si="1"/>
        <v>USD 98.1</v>
      </c>
      <c r="D31" s="183" t="str">
        <f t="shared" si="1"/>
        <v>USD 123.0</v>
      </c>
      <c r="E31" s="45">
        <f t="shared" si="1"/>
        <v>0.25356706074194868</v>
      </c>
      <c r="F31" s="44" t="str">
        <f t="shared" si="1"/>
        <v>Neutral</v>
      </c>
      <c r="H31" s="564">
        <f>IFERROR(CCI!$D$37, "")</f>
        <v>8.5049086011459725</v>
      </c>
      <c r="I31" s="564">
        <f>CCI!$E$37</f>
        <v>8.5692163572638869</v>
      </c>
      <c r="J31" s="564">
        <f>CCI!$F$37</f>
        <v>8.6136539405417061</v>
      </c>
      <c r="K31" s="564">
        <f>CCI!$G$37</f>
        <v>6.9280134595343288</v>
      </c>
      <c r="L31" s="565"/>
      <c r="M31" s="564">
        <f>CCI!$D$39</f>
        <v>21.520236763358</v>
      </c>
      <c r="N31" s="564">
        <f>CCI!$E$39</f>
        <v>21.574430579655843</v>
      </c>
      <c r="O31" s="564">
        <f>CCI!$F$39</f>
        <v>21.58337592386783</v>
      </c>
      <c r="P31" s="564">
        <f>CCI!$G$39</f>
        <v>16.537612170693819</v>
      </c>
      <c r="Q31" s="562"/>
      <c r="R31" s="564">
        <f>CCI!$D$44</f>
        <v>23.327560600942626</v>
      </c>
      <c r="S31" s="564">
        <f>CCI!$E$44</f>
        <v>26.091014791482248</v>
      </c>
      <c r="T31" s="564">
        <f>CCI!$F$44</f>
        <v>26.86663307579688</v>
      </c>
      <c r="U31" s="564">
        <f>CCI!$G$44</f>
        <v>23.7379249567872</v>
      </c>
      <c r="AT31" s="178"/>
      <c r="AU31" s="178"/>
      <c r="AV31" s="178"/>
      <c r="AW31" s="178"/>
    </row>
    <row r="32" spans="1:49">
      <c r="A32" s="42"/>
      <c r="B32" s="48" t="s">
        <v>770</v>
      </c>
      <c r="C32" s="44" t="str">
        <f t="shared" si="1"/>
        <v>USD 188.1</v>
      </c>
      <c r="D32" s="183" t="str">
        <f t="shared" si="1"/>
        <v>USD 244.0</v>
      </c>
      <c r="E32" s="45">
        <f t="shared" si="1"/>
        <v>0.29725131585942899</v>
      </c>
      <c r="F32" s="44" t="str">
        <f t="shared" si="1"/>
        <v>Neutral</v>
      </c>
      <c r="H32" s="564">
        <f>SBAC!$D$37</f>
        <v>11.851058275339517</v>
      </c>
      <c r="I32" s="564">
        <f>SBAC!$E$37</f>
        <v>11.246365999841979</v>
      </c>
      <c r="J32" s="564">
        <f>SBAC!$F$37</f>
        <v>10.702905912082009</v>
      </c>
      <c r="K32" s="564">
        <f>SBAC!$G$37</f>
        <v>10.993570382304656</v>
      </c>
      <c r="L32" s="565"/>
      <c r="M32" s="564">
        <f>SBAC!$D$39</f>
        <v>20.285436173700926</v>
      </c>
      <c r="N32" s="564">
        <f>SBAC!$E$39</f>
        <v>19.708207085902767</v>
      </c>
      <c r="O32" s="564">
        <f>SBAC!$F$39</f>
        <v>18.716705856900791</v>
      </c>
      <c r="P32" s="564">
        <f>SBAC!$G$39</f>
        <v>18.704851341371555</v>
      </c>
      <c r="Q32" s="562"/>
      <c r="R32" s="564">
        <f>SBAC!$D$44</f>
        <v>35.570796959164234</v>
      </c>
      <c r="S32" s="564">
        <f>SBAC!$F$44</f>
        <v>34.205156913562192</v>
      </c>
      <c r="T32" s="564">
        <f>SBAC!$F$44</f>
        <v>34.205156913562192</v>
      </c>
      <c r="U32" s="564">
        <f>SBAC!$G$44</f>
        <v>30.667247233653224</v>
      </c>
    </row>
    <row r="33" spans="1:49">
      <c r="A33" s="42"/>
      <c r="B33" s="48"/>
      <c r="C33" s="44"/>
      <c r="D33" s="44"/>
      <c r="E33" s="45"/>
      <c r="F33" s="44"/>
      <c r="H33" s="564"/>
      <c r="I33" s="564"/>
      <c r="J33" s="564"/>
      <c r="K33" s="564"/>
      <c r="L33" s="565"/>
      <c r="M33" s="564"/>
      <c r="N33" s="564"/>
      <c r="O33" s="564"/>
      <c r="P33" s="564"/>
      <c r="Q33" s="562"/>
      <c r="R33" s="564"/>
      <c r="S33" s="564"/>
      <c r="T33" s="564"/>
      <c r="U33" s="564"/>
    </row>
    <row r="34" spans="1:49">
      <c r="A34" s="42"/>
      <c r="B34" s="48" t="s">
        <v>764</v>
      </c>
      <c r="C34" s="44" t="str">
        <f t="shared" ref="C34:F38" si="2">C15</f>
        <v>INR 347</v>
      </c>
      <c r="D34" s="44" t="str">
        <f t="shared" si="2"/>
        <v>INR 265</v>
      </c>
      <c r="E34" s="45">
        <f t="shared" si="2"/>
        <v>-0.23554017020049034</v>
      </c>
      <c r="F34" s="44" t="str">
        <f t="shared" si="2"/>
        <v>Neutral</v>
      </c>
      <c r="H34" s="564">
        <f>BHIN!$D$37</f>
        <v>3.6026166812413138</v>
      </c>
      <c r="I34" s="564">
        <f>BHIN!$E$37</f>
        <v>3.2629122328665807</v>
      </c>
      <c r="J34" s="564">
        <f>BHIN!$F$37</f>
        <v>2.9387431252021332</v>
      </c>
      <c r="K34" s="564">
        <f>BHIN!$G$37</f>
        <v>2.6077048046428652</v>
      </c>
      <c r="L34" s="565"/>
      <c r="M34" s="564">
        <f>BHIN!$D$39</f>
        <v>9.1649463687406811</v>
      </c>
      <c r="N34" s="564">
        <f>BHIN!$E$39</f>
        <v>8.1082807121260103</v>
      </c>
      <c r="O34" s="564">
        <f>BHIN!$F$39</f>
        <v>7.156178072457255</v>
      </c>
      <c r="P34" s="564">
        <f>BHIN!$G$39</f>
        <v>6.262285573745368</v>
      </c>
      <c r="Q34" s="562"/>
      <c r="R34" s="564">
        <f>BHIN!$D$44</f>
        <v>14.54817338332567</v>
      </c>
      <c r="S34" s="564">
        <f>BHIN!$E$44</f>
        <v>13.657989818571645</v>
      </c>
      <c r="T34" s="564">
        <f>BHIN!$F$44</f>
        <v>13.107236597793801</v>
      </c>
      <c r="U34" s="564">
        <f>BHIN!$G$44</f>
        <v>12.673603380520357</v>
      </c>
    </row>
    <row r="35" spans="1:49">
      <c r="A35" s="42"/>
      <c r="B35" s="197" t="s">
        <v>1027</v>
      </c>
      <c r="C35" s="180" t="str">
        <f t="shared" si="2"/>
        <v>HKD 0.92</v>
      </c>
      <c r="D35" s="180" t="str">
        <f t="shared" si="2"/>
        <v>HKD 1.40</v>
      </c>
      <c r="E35" s="68">
        <f t="shared" si="2"/>
        <v>0.52173913043478248</v>
      </c>
      <c r="F35" s="44" t="str">
        <f t="shared" si="2"/>
        <v>Buy</v>
      </c>
      <c r="H35" s="564">
        <f>ChinaTow!D$37</f>
        <v>2.2046488774724677</v>
      </c>
      <c r="I35" s="564">
        <f>ChinaTow!E$37</f>
        <v>1.9830551779730925</v>
      </c>
      <c r="J35" s="564">
        <f>ChinaTow!F$37</f>
        <v>1.671679662124812</v>
      </c>
      <c r="K35" s="564">
        <f>ChinaTow!G$37</f>
        <v>1.3717180000310902</v>
      </c>
      <c r="L35" s="562"/>
      <c r="M35" s="564">
        <f>ChinaTow!D$39</f>
        <v>4.9029822310466775</v>
      </c>
      <c r="N35" s="564">
        <f>ChinaTow!E$39</f>
        <v>4.3450326397192107</v>
      </c>
      <c r="O35" s="564">
        <f>ChinaTow!F$39</f>
        <v>3.630399497421144</v>
      </c>
      <c r="P35" s="564">
        <f>ChinaTow!G$39</f>
        <v>2.9871428302388896</v>
      </c>
      <c r="Q35" s="563"/>
      <c r="R35" s="564">
        <f>ChinaTow!D$44</f>
        <v>14.82542270215068</v>
      </c>
      <c r="S35" s="564">
        <f>ChinaTow!E$44</f>
        <v>10.783098039515698</v>
      </c>
      <c r="T35" s="564">
        <f>ChinaTow!F$44</f>
        <v>8.3738135607065463</v>
      </c>
      <c r="U35" s="564">
        <f>ChinaTow!G$44</f>
        <v>6.9160951407411098</v>
      </c>
      <c r="AT35" s="198"/>
      <c r="AU35" s="198"/>
      <c r="AV35" s="198"/>
      <c r="AW35" s="198"/>
    </row>
    <row r="36" spans="1:49">
      <c r="A36" s="42"/>
      <c r="B36" s="48" t="s">
        <v>772</v>
      </c>
      <c r="C36" s="44" t="str">
        <f t="shared" si="2"/>
        <v>IDR 765</v>
      </c>
      <c r="D36" s="44" t="str">
        <f t="shared" si="2"/>
        <v>IDR 1,900</v>
      </c>
      <c r="E36" s="45">
        <f t="shared" si="2"/>
        <v>1.4836601307189543</v>
      </c>
      <c r="F36" s="44" t="str">
        <f t="shared" si="2"/>
        <v>Buy</v>
      </c>
      <c r="H36" s="564">
        <f>TOWR!$D$37</f>
        <v>7.0731863187574984</v>
      </c>
      <c r="I36" s="564">
        <f>TOWR!$E$37</f>
        <v>6.2821916498060428</v>
      </c>
      <c r="J36" s="564">
        <f>TOWR!$F$37</f>
        <v>5.4577262485247084</v>
      </c>
      <c r="K36" s="564">
        <f>TOWR!$G$37</f>
        <v>4.6515074167079593</v>
      </c>
      <c r="L36" s="565"/>
      <c r="M36" s="564">
        <f>TOWR!$D$39</f>
        <v>11.209216700793204</v>
      </c>
      <c r="N36" s="564">
        <f>TOWR!$E$39</f>
        <v>9.4840578052815836</v>
      </c>
      <c r="O36" s="564">
        <f>TOWR!$F$39</f>
        <v>7.8670266372447859</v>
      </c>
      <c r="P36" s="564">
        <f>TOWR!$G$39</f>
        <v>6.5910150715082505</v>
      </c>
      <c r="Q36" s="562"/>
      <c r="R36" s="564">
        <f>TOWR!$D$44</f>
        <v>9.3735796579015851</v>
      </c>
      <c r="S36" s="564">
        <f>TOWR!$E$44</f>
        <v>8.2494985765564053</v>
      </c>
      <c r="T36" s="564">
        <f>TOWR!$F$44</f>
        <v>7.1726512550163095</v>
      </c>
      <c r="U36" s="564">
        <f>TOWR!$G$44</f>
        <v>6.2197932269785072</v>
      </c>
      <c r="AT36" s="186"/>
      <c r="AU36" s="186"/>
      <c r="AV36" s="186"/>
      <c r="AW36" s="186"/>
    </row>
    <row r="37" spans="1:49">
      <c r="A37" s="42"/>
      <c r="B37" s="197" t="s">
        <v>771</v>
      </c>
      <c r="C37" s="180" t="str">
        <f t="shared" si="2"/>
        <v>IDR 1,850</v>
      </c>
      <c r="D37" s="180" t="str">
        <f t="shared" si="2"/>
        <v>IDR 2,200</v>
      </c>
      <c r="E37" s="68">
        <f t="shared" si="2"/>
        <v>0.18918918918918926</v>
      </c>
      <c r="F37" s="180" t="str">
        <f t="shared" si="2"/>
        <v>Neutral</v>
      </c>
      <c r="H37" s="530">
        <f>TBIG!$D$37</f>
        <v>9.729336375724472</v>
      </c>
      <c r="I37" s="530">
        <f>TBIG!$E$37</f>
        <v>8.8030651422981325</v>
      </c>
      <c r="J37" s="530">
        <f>TBIG!$F$37</f>
        <v>7.8915504637716616</v>
      </c>
      <c r="K37" s="530">
        <f>TBIG!$G$37</f>
        <v>7.0160508077075621</v>
      </c>
      <c r="L37" s="562"/>
      <c r="M37" s="530">
        <f>TBIG!$D$39</f>
        <v>14.022654213708728</v>
      </c>
      <c r="N37" s="530">
        <f>TBIG!$E$39</f>
        <v>12.638351514768635</v>
      </c>
      <c r="O37" s="530">
        <f>TBIG!$F$39</f>
        <v>11.286303459875096</v>
      </c>
      <c r="P37" s="530">
        <f>TBIG!$G$39</f>
        <v>9.9962689471941957</v>
      </c>
      <c r="Q37" s="563"/>
      <c r="R37" s="530">
        <f>TBIG!$D$44</f>
        <v>17.632917669488567</v>
      </c>
      <c r="S37" s="530">
        <f>TBIG!$E$44</f>
        <v>15.295571497475269</v>
      </c>
      <c r="T37" s="530">
        <f>TBIG!$F$44</f>
        <v>13.585631832345424</v>
      </c>
      <c r="U37" s="530">
        <f>TBIG!$G$44</f>
        <v>12.153424023129276</v>
      </c>
      <c r="AT37" s="186"/>
      <c r="AU37" s="186"/>
      <c r="AV37" s="186"/>
      <c r="AW37" s="186"/>
    </row>
    <row r="38" spans="1:49">
      <c r="A38" s="42"/>
      <c r="B38" s="197" t="s">
        <v>1408</v>
      </c>
      <c r="C38" s="180" t="str">
        <f t="shared" si="2"/>
        <v>IDR 605</v>
      </c>
      <c r="D38" s="180" t="str">
        <f t="shared" si="2"/>
        <v>IDR 1,135</v>
      </c>
      <c r="E38" s="68">
        <f t="shared" si="2"/>
        <v>0.87603305785123964</v>
      </c>
      <c r="F38" s="180" t="str">
        <f t="shared" si="2"/>
        <v>Buy</v>
      </c>
      <c r="H38" s="530">
        <f>MITRA!$D$37</f>
        <v>7.0969569340858696</v>
      </c>
      <c r="I38" s="530">
        <f>MITRA!$E$37</f>
        <v>6.1965135080720772</v>
      </c>
      <c r="J38" s="530">
        <f>MITRA!$F$37</f>
        <v>5.4167237585145598</v>
      </c>
      <c r="K38" s="530">
        <f>MITRA!$G$37</f>
        <v>4.6097052252349915</v>
      </c>
      <c r="L38" s="562"/>
      <c r="M38" s="530">
        <f>MITRA!$D$39</f>
        <v>-22.218662212481547</v>
      </c>
      <c r="N38" s="530">
        <f>MITRA!$E$39</f>
        <v>1681.2651889142273</v>
      </c>
      <c r="O38" s="530">
        <f>MITRA!$F$39</f>
        <v>10.523757621513054</v>
      </c>
      <c r="P38" s="530">
        <f>MITRA!$G$39</f>
        <v>8.8304949942656208</v>
      </c>
      <c r="Q38" s="563"/>
      <c r="R38" s="530" t="e">
        <f>MITRA!$D$44</f>
        <v>#DIV/0!</v>
      </c>
      <c r="S38" s="530" t="e">
        <f>MITRA!$E$44</f>
        <v>#DIV/0!</v>
      </c>
      <c r="T38" s="530" t="e">
        <f>MITRA!$F$44</f>
        <v>#DIV/0!</v>
      </c>
      <c r="U38" s="530" t="e">
        <f>MITRA!$G$44</f>
        <v>#DIV/0!</v>
      </c>
      <c r="AT38" s="198"/>
      <c r="AU38" s="198"/>
      <c r="AV38" s="198"/>
      <c r="AW38" s="198"/>
    </row>
    <row r="39" spans="1:49">
      <c r="A39" s="42"/>
      <c r="B39" s="48"/>
      <c r="C39" s="44"/>
      <c r="D39" s="44"/>
      <c r="E39" s="45"/>
      <c r="F39" s="44"/>
      <c r="H39" s="564"/>
      <c r="I39" s="564"/>
      <c r="J39" s="564"/>
      <c r="K39" s="564"/>
      <c r="L39" s="565"/>
      <c r="M39" s="564"/>
      <c r="N39" s="564"/>
      <c r="O39" s="564"/>
      <c r="P39" s="564"/>
      <c r="Q39" s="562"/>
      <c r="R39" s="564"/>
      <c r="S39" s="564"/>
      <c r="T39" s="564"/>
      <c r="U39" s="564"/>
      <c r="AT39" s="186"/>
      <c r="AU39" s="186"/>
      <c r="AV39" s="186"/>
      <c r="AW39" s="186"/>
    </row>
    <row r="40" spans="1:49">
      <c r="A40" s="42"/>
      <c r="B40" s="48" t="str">
        <f>B21</f>
        <v>IHS</v>
      </c>
      <c r="C40" s="44" t="str">
        <f>C21</f>
        <v>USD 3.3</v>
      </c>
      <c r="D40" s="44" t="str">
        <f>D21</f>
        <v>USD 8.0</v>
      </c>
      <c r="E40" s="45">
        <f>E21</f>
        <v>1.3952095808383236</v>
      </c>
      <c r="F40" s="44" t="str">
        <f>F21</f>
        <v>Buy</v>
      </c>
      <c r="H40" s="564">
        <f>IHS!$D$37</f>
        <v>2.3202706889875939</v>
      </c>
      <c r="I40" s="564">
        <f>IHS!$E$37</f>
        <v>2.6884423669463779</v>
      </c>
      <c r="J40" s="564">
        <f>IHS!$F$37</f>
        <v>2.3712224882849515</v>
      </c>
      <c r="K40" s="564">
        <f>IHS!$G$37</f>
        <v>2.0062718211507571</v>
      </c>
      <c r="L40" s="565"/>
      <c r="M40" s="564">
        <f>IHS!$D$39</f>
        <v>9.0238060508476128</v>
      </c>
      <c r="N40" s="564">
        <f>IHS!$E$39</f>
        <v>7.4819737901987038</v>
      </c>
      <c r="O40" s="564">
        <f>IHS!$F$39</f>
        <v>6.2666864358605121</v>
      </c>
      <c r="P40" s="564">
        <f>IHS!$G$39</f>
        <v>5.1173390153132097</v>
      </c>
      <c r="Q40" s="562"/>
      <c r="R40" s="530">
        <f>IHS!$D$44</f>
        <v>5.8826120558865318</v>
      </c>
      <c r="S40" s="530">
        <f>IHS!$E$44</f>
        <v>5.4388691465546861</v>
      </c>
      <c r="T40" s="530">
        <f>IHS!$F$44</f>
        <v>3.6751210958170941</v>
      </c>
      <c r="U40" s="530">
        <f>IHS!$G$44</f>
        <v>2.8396117029067884</v>
      </c>
      <c r="AT40" s="186"/>
      <c r="AU40" s="186"/>
      <c r="AV40" s="186"/>
      <c r="AW40" s="186"/>
    </row>
    <row r="41" spans="1:49">
      <c r="B41" s="48"/>
      <c r="C41" s="44"/>
      <c r="D41" s="44"/>
      <c r="E41" s="45"/>
      <c r="F41" s="44"/>
      <c r="H41" s="564"/>
      <c r="I41" s="564"/>
      <c r="J41" s="564"/>
      <c r="K41" s="564"/>
      <c r="L41" s="565"/>
      <c r="M41" s="564"/>
      <c r="N41" s="564"/>
      <c r="O41" s="564"/>
      <c r="P41" s="564"/>
      <c r="Q41" s="562"/>
      <c r="R41" s="564"/>
      <c r="S41" s="564"/>
      <c r="T41" s="564"/>
      <c r="U41" s="564"/>
      <c r="AT41" s="186"/>
      <c r="AU41" s="186"/>
      <c r="AV41" s="186"/>
      <c r="AW41" s="186"/>
    </row>
    <row r="42" spans="1:49">
      <c r="B42" s="199" t="s">
        <v>879</v>
      </c>
      <c r="C42" s="184" t="str">
        <f>C23</f>
        <v>MXN 19.3</v>
      </c>
      <c r="D42" s="184" t="str">
        <f>D23</f>
        <v>MXN 17.0</v>
      </c>
      <c r="E42" s="185">
        <f>E23</f>
        <v>-0.11734164070612674</v>
      </c>
      <c r="F42" s="184" t="str">
        <f>F23</f>
        <v>Neutral</v>
      </c>
      <c r="H42" s="566">
        <f>SITES!$D$37</f>
        <v>7.9774605606609166</v>
      </c>
      <c r="I42" s="566">
        <f>SITES!$E$37</f>
        <v>7.0802266181332163</v>
      </c>
      <c r="J42" s="566">
        <f>SITES!$F$37</f>
        <v>6.2630149871985008</v>
      </c>
      <c r="K42" s="566">
        <f>SITES!$G$37</f>
        <v>5.5016099258303459</v>
      </c>
      <c r="L42" s="565"/>
      <c r="M42" s="566">
        <f>SITES!$D$39</f>
        <v>9.4439387012253864</v>
      </c>
      <c r="N42" s="566">
        <f>SITES!$E$39</f>
        <v>8.4253972718084746</v>
      </c>
      <c r="O42" s="566">
        <f>SITES!$F$39</f>
        <v>7.4189716897872149</v>
      </c>
      <c r="P42" s="566">
        <f>SITES!$G$39</f>
        <v>6.4160787338958798</v>
      </c>
      <c r="Q42" s="562"/>
      <c r="R42" s="566">
        <f>SITES!$D$44</f>
        <v>34.711059898218821</v>
      </c>
      <c r="S42" s="566">
        <f>SITES!$E$44</f>
        <v>24.342833216862154</v>
      </c>
      <c r="T42" s="566">
        <f>SITES!$F$44</f>
        <v>18.5200088547404</v>
      </c>
      <c r="U42" s="566">
        <f>SITES!$G$44</f>
        <v>14.752963523740801</v>
      </c>
      <c r="AT42" s="186"/>
      <c r="AU42" s="186"/>
      <c r="AV42" s="186"/>
      <c r="AW42" s="186"/>
    </row>
    <row r="43" spans="1:49">
      <c r="H43" s="77"/>
      <c r="I43" s="77"/>
      <c r="J43" s="77"/>
      <c r="K43" s="77"/>
      <c r="AT43" s="186"/>
      <c r="AU43" s="186"/>
      <c r="AV43" s="186"/>
      <c r="AW43" s="186"/>
    </row>
    <row r="44" spans="1:49">
      <c r="H44" s="77"/>
      <c r="I44" s="77"/>
      <c r="J44" s="77"/>
      <c r="K44" s="77"/>
      <c r="AT44" s="186"/>
      <c r="AU44" s="186"/>
      <c r="AV44" s="186"/>
      <c r="AW44" s="186"/>
    </row>
    <row r="45" spans="1:49" collapsed="1">
      <c r="A45" s="194"/>
      <c r="B45" s="164" t="s">
        <v>694</v>
      </c>
      <c r="C45" s="165" t="s">
        <v>464</v>
      </c>
      <c r="D45" s="165" t="s">
        <v>57</v>
      </c>
      <c r="E45" s="165" t="s">
        <v>59</v>
      </c>
      <c r="F45" s="165" t="s">
        <v>56</v>
      </c>
      <c r="H45" s="166" t="s">
        <v>466</v>
      </c>
      <c r="I45" s="166"/>
      <c r="J45" s="166"/>
      <c r="K45" s="166"/>
      <c r="M45" s="166" t="s">
        <v>783</v>
      </c>
      <c r="N45" s="166"/>
      <c r="O45" s="166"/>
      <c r="P45" s="166"/>
      <c r="R45" s="166" t="s">
        <v>789</v>
      </c>
      <c r="S45" s="166"/>
      <c r="T45" s="166"/>
      <c r="U45" s="166"/>
      <c r="AT45" s="186"/>
      <c r="AU45" s="186"/>
      <c r="AV45" s="186"/>
      <c r="AW45" s="186"/>
    </row>
    <row r="46" spans="1:49">
      <c r="A46" s="194"/>
      <c r="B46" s="197" t="str">
        <f t="shared" ref="B46:F47" si="3">B27</f>
        <v>Cellnex</v>
      </c>
      <c r="C46" s="180" t="str">
        <f t="shared" si="3"/>
        <v>EUR 33.5</v>
      </c>
      <c r="D46" s="180" t="str">
        <f t="shared" si="3"/>
        <v>EUR 32.0</v>
      </c>
      <c r="E46" s="68">
        <f t="shared" si="3"/>
        <v>-4.3348281016442503E-2</v>
      </c>
      <c r="F46" s="180" t="str">
        <f t="shared" si="3"/>
        <v>Neutral</v>
      </c>
      <c r="H46" s="530">
        <f>CLNX!$D$40</f>
        <v>108.61962127329895</v>
      </c>
      <c r="I46" s="530">
        <f>CLNX!$E$40</f>
        <v>78.826090245331287</v>
      </c>
      <c r="J46" s="530">
        <f>CLNX!$F$40</f>
        <v>79.245172387940471</v>
      </c>
      <c r="K46" s="530">
        <f>CLNX!$G$40</f>
        <v>45.450537402827266</v>
      </c>
      <c r="L46" s="561"/>
      <c r="M46" s="570">
        <f>IFERROR(CLNX!$D$45,"-")</f>
        <v>1.7076384130642387E-3</v>
      </c>
      <c r="N46" s="570">
        <f>IFERROR(CLNX!$E$45,"-")</f>
        <v>1.8771353200488111E-3</v>
      </c>
      <c r="O46" s="570">
        <f>IFERROR(CLNX!$F$45,"-")</f>
        <v>2.2525623840585736E-3</v>
      </c>
      <c r="P46" s="570">
        <f>IFERROR(CLNX!$G$45,"-")</f>
        <v>2.1186628894456109E-2</v>
      </c>
      <c r="Q46" s="571"/>
      <c r="R46" s="570">
        <f>IFERROR(CLNX!$D$47,"-")</f>
        <v>5.2898812482387331E-3</v>
      </c>
      <c r="S46" s="570">
        <f>IFERROR(CLNX!E$47,"-")</f>
        <v>9.0304729768085484E-3</v>
      </c>
      <c r="T46" s="570">
        <f>IFERROR(CLNX!F$47,"-")</f>
        <v>7.2591591045939605E-3</v>
      </c>
      <c r="U46" s="570">
        <f>IFERROR(CLNX!G$47,"-")</f>
        <v>2.7189561213435409E-2</v>
      </c>
      <c r="AT46" s="186"/>
      <c r="AU46" s="186"/>
      <c r="AV46" s="186"/>
      <c r="AW46" s="186"/>
    </row>
    <row r="47" spans="1:49">
      <c r="A47" s="42"/>
      <c r="B47" s="197" t="str">
        <f t="shared" si="3"/>
        <v>Inwit</v>
      </c>
      <c r="C47" s="180" t="str">
        <f t="shared" si="3"/>
        <v>EUR 10.0</v>
      </c>
      <c r="D47" s="180" t="str">
        <f t="shared" si="3"/>
        <v>EUR 12.1</v>
      </c>
      <c r="E47" s="68">
        <f t="shared" si="3"/>
        <v>0.21121121121121122</v>
      </c>
      <c r="F47" s="180" t="str">
        <f t="shared" si="3"/>
        <v>Neutral</v>
      </c>
      <c r="H47" s="530">
        <f>INWIT!$D$40</f>
        <v>42.9875779039237</v>
      </c>
      <c r="I47" s="530">
        <f>INWIT!$E$40</f>
        <v>37.14900874924043</v>
      </c>
      <c r="J47" s="530">
        <f>INWIT!$F$40</f>
        <v>30.302766203903278</v>
      </c>
      <c r="K47" s="530">
        <f>INWIT!$G$40</f>
        <v>25.674810875693005</v>
      </c>
      <c r="L47" s="561"/>
      <c r="M47" s="570">
        <f>INWIT!$D$45</f>
        <v>4.8048048048048041E-2</v>
      </c>
      <c r="N47" s="570">
        <f>INWIT!$E$45</f>
        <v>5.1651651651651649E-2</v>
      </c>
      <c r="O47" s="570">
        <f>INWIT!$F$45</f>
        <v>5.5525525525525518E-2</v>
      </c>
      <c r="P47" s="570">
        <f>INWIT!$G$45</f>
        <v>5.9689939939939929E-2</v>
      </c>
      <c r="Q47" s="572"/>
      <c r="R47" s="570">
        <f>INWIT!$D$47</f>
        <v>2.5742898048766116E-2</v>
      </c>
      <c r="S47" s="570">
        <f>INWIT!$E$47</f>
        <v>2.9225088194400169E-2</v>
      </c>
      <c r="T47" s="570">
        <f>INWIT!$F$47</f>
        <v>3.6725588489356205E-2</v>
      </c>
      <c r="U47" s="570">
        <f>INWIT!$G$47</f>
        <v>4.2563705837824817E-2</v>
      </c>
      <c r="AT47" s="186"/>
      <c r="AU47" s="186"/>
      <c r="AV47" s="186"/>
      <c r="AW47" s="186"/>
    </row>
    <row r="48" spans="1:49">
      <c r="A48" s="42"/>
      <c r="B48" s="48"/>
      <c r="C48" s="44"/>
      <c r="D48" s="183"/>
      <c r="E48" s="45"/>
      <c r="F48" s="44"/>
      <c r="H48" s="564"/>
      <c r="I48" s="564"/>
      <c r="J48" s="564"/>
      <c r="K48" s="564"/>
      <c r="L48" s="565"/>
      <c r="M48" s="573"/>
      <c r="N48" s="573"/>
      <c r="O48" s="573"/>
      <c r="P48" s="573"/>
      <c r="Q48" s="571"/>
      <c r="R48" s="573"/>
      <c r="S48" s="573"/>
      <c r="T48" s="573"/>
      <c r="U48" s="573"/>
    </row>
    <row r="49" spans="1:49">
      <c r="A49" s="42"/>
      <c r="B49" s="48" t="str">
        <f t="shared" ref="B49:F51" si="4">B30</f>
        <v>American Tower</v>
      </c>
      <c r="C49" s="44" t="str">
        <f t="shared" si="4"/>
        <v>USD 185.9</v>
      </c>
      <c r="D49" s="183" t="str">
        <f t="shared" si="4"/>
        <v>USD 239.0</v>
      </c>
      <c r="E49" s="45">
        <f t="shared" si="4"/>
        <v>0.28543000053783674</v>
      </c>
      <c r="F49" s="44" t="str">
        <f t="shared" si="4"/>
        <v>Neutral</v>
      </c>
      <c r="H49" s="564">
        <f>AMT!$D$40</f>
        <v>24.237261015937577</v>
      </c>
      <c r="I49" s="564">
        <f>AMT!$E$40</f>
        <v>21.906256487447685</v>
      </c>
      <c r="J49" s="564">
        <f>AMT!$F$40</f>
        <v>19.271048732610488</v>
      </c>
      <c r="K49" s="564">
        <f>AMT!$G$40</f>
        <v>18.702441610581598</v>
      </c>
      <c r="L49" s="565"/>
      <c r="M49" s="573">
        <f>AMT!$D$45</f>
        <v>3.3958641236560699E-2</v>
      </c>
      <c r="N49" s="573">
        <f>AMT!$E$45</f>
        <v>6.3608231653297195E-2</v>
      </c>
      <c r="O49" s="573">
        <f>AMT!$F$45</f>
        <v>7.0789893631964654E-2</v>
      </c>
      <c r="P49" s="573">
        <f>AMT!$G$45</f>
        <v>7.5918759408338907E-2</v>
      </c>
      <c r="Q49" s="571"/>
      <c r="R49" s="573">
        <f>AMT!$D$47</f>
        <v>4.6716566819306839E-2</v>
      </c>
      <c r="S49" s="573">
        <f>AMT!$E$47</f>
        <v>5.2153621779135108E-2</v>
      </c>
      <c r="T49" s="573">
        <f>AMT!$F$47</f>
        <v>5.792791351766232E-2</v>
      </c>
      <c r="U49" s="573">
        <f>AMT!$G$47</f>
        <v>6.5346796568545626E-2</v>
      </c>
    </row>
    <row r="50" spans="1:49">
      <c r="A50" s="42"/>
      <c r="B50" s="48" t="str">
        <f t="shared" si="4"/>
        <v>Crown Castle</v>
      </c>
      <c r="C50" s="44" t="str">
        <f t="shared" si="4"/>
        <v>USD 98.1</v>
      </c>
      <c r="D50" s="183" t="str">
        <f t="shared" si="4"/>
        <v>USD 123.0</v>
      </c>
      <c r="E50" s="45">
        <f t="shared" si="4"/>
        <v>0.25356706074194868</v>
      </c>
      <c r="F50" s="44" t="str">
        <f t="shared" si="4"/>
        <v>Neutral</v>
      </c>
      <c r="H50" s="564">
        <f>CCI!$D$40</f>
        <v>23.911374181508886</v>
      </c>
      <c r="I50" s="564">
        <f>CCI!$E$40</f>
        <v>23.97158953295094</v>
      </c>
      <c r="J50" s="564">
        <f>CCI!$F$40</f>
        <v>23.981528804297589</v>
      </c>
      <c r="K50" s="564">
        <f>CCI!$G$40</f>
        <v>18.375124634104242</v>
      </c>
      <c r="L50" s="565"/>
      <c r="M50" s="573">
        <f>CCI!$D$45</f>
        <v>6.3940300250402135E-2</v>
      </c>
      <c r="N50" s="573">
        <f>CCI!$E$45</f>
        <v>6.4437423562984084E-2</v>
      </c>
      <c r="O50" s="573">
        <f>CCI!$F$45</f>
        <v>6.5081797798613936E-2</v>
      </c>
      <c r="P50" s="573">
        <f>CCI!$G$45</f>
        <v>6.9637523644516919E-2</v>
      </c>
      <c r="Q50" s="571"/>
      <c r="R50" s="573">
        <f>CCI!$D$47</f>
        <v>4.6429045210726445E-2</v>
      </c>
      <c r="S50" s="573">
        <f>CCI!$E$47</f>
        <v>4.5781072434269078E-2</v>
      </c>
      <c r="T50" s="573">
        <f>CCI!$F$47</f>
        <v>4.6197113419564569E-2</v>
      </c>
      <c r="U50" s="573">
        <f>CCI!$G$47</f>
        <v>5.2320564336922358E-2</v>
      </c>
    </row>
    <row r="51" spans="1:49">
      <c r="A51" s="42"/>
      <c r="B51" s="48" t="str">
        <f t="shared" si="4"/>
        <v xml:space="preserve">SBA </v>
      </c>
      <c r="C51" s="44" t="str">
        <f t="shared" si="4"/>
        <v>USD 188.1</v>
      </c>
      <c r="D51" s="183" t="str">
        <f t="shared" si="4"/>
        <v>USD 244.0</v>
      </c>
      <c r="E51" s="45">
        <f t="shared" si="4"/>
        <v>0.29725131585942899</v>
      </c>
      <c r="F51" s="44" t="str">
        <f t="shared" si="4"/>
        <v>Neutral</v>
      </c>
      <c r="H51" s="564">
        <f>SBAC!$D$40</f>
        <v>22.539373526334362</v>
      </c>
      <c r="I51" s="564">
        <f>SBAC!$E$40</f>
        <v>21.898007873225296</v>
      </c>
      <c r="J51" s="564">
        <f>SBAC!$F$40</f>
        <v>20.796339841000879</v>
      </c>
      <c r="K51" s="564">
        <f>SBAC!$G$40</f>
        <v>20.783168157079505</v>
      </c>
      <c r="L51" s="565"/>
      <c r="M51" s="573">
        <f>SBAC!$D$45</f>
        <v>1.5452364910659988E-2</v>
      </c>
      <c r="N51" s="573">
        <f>SBAC!$E$45</f>
        <v>1.8211289228511656E-2</v>
      </c>
      <c r="O51" s="573">
        <f>SBAC!$F$45</f>
        <v>2.0114633596010564E-2</v>
      </c>
      <c r="P51" s="573">
        <f>SBAC!$G$45</f>
        <v>2.0649680988413178E-2</v>
      </c>
      <c r="Q51" s="571"/>
      <c r="R51" s="573">
        <f>SBAC!$D$47</f>
        <v>4.5056344844198612E-2</v>
      </c>
      <c r="S51" s="573">
        <f>SBAC!$E$47</f>
        <v>4.6075036478846414E-2</v>
      </c>
      <c r="T51" s="573">
        <f>SBAC!$F$47</f>
        <v>4.3841490988438869E-2</v>
      </c>
      <c r="U51" s="573">
        <f>SBAC!$G$47</f>
        <v>4.4706757734961945E-2</v>
      </c>
    </row>
    <row r="52" spans="1:49">
      <c r="A52" s="42"/>
      <c r="B52" s="48"/>
      <c r="C52" s="44"/>
      <c r="D52" s="44"/>
      <c r="E52" s="45"/>
      <c r="F52" s="44"/>
      <c r="H52" s="564"/>
      <c r="I52" s="564"/>
      <c r="J52" s="564"/>
      <c r="K52" s="564"/>
      <c r="L52" s="565"/>
      <c r="M52" s="573"/>
      <c r="N52" s="573"/>
      <c r="O52" s="573"/>
      <c r="P52" s="573"/>
      <c r="Q52" s="571"/>
      <c r="R52" s="573"/>
      <c r="S52" s="573"/>
      <c r="T52" s="573"/>
      <c r="U52" s="573"/>
    </row>
    <row r="53" spans="1:49">
      <c r="A53" s="42"/>
      <c r="B53" s="48" t="str">
        <f t="shared" ref="B53:F56" si="5">B34</f>
        <v>Bharti Infratel</v>
      </c>
      <c r="C53" s="44" t="str">
        <f t="shared" si="5"/>
        <v>INR 347</v>
      </c>
      <c r="D53" s="44" t="str">
        <f t="shared" si="5"/>
        <v>INR 265</v>
      </c>
      <c r="E53" s="45">
        <f t="shared" si="5"/>
        <v>-0.23554017020049034</v>
      </c>
      <c r="F53" s="44" t="str">
        <f t="shared" si="5"/>
        <v>Neutral</v>
      </c>
      <c r="H53" s="564">
        <f>BHIN!$D$40</f>
        <v>15.456136229772923</v>
      </c>
      <c r="I53" s="564">
        <f>BHIN!$E$40</f>
        <v>12.926659741793571</v>
      </c>
      <c r="J53" s="564">
        <f>BHIN!$F$40</f>
        <v>10.85776543244372</v>
      </c>
      <c r="K53" s="564">
        <f>BHIN!$G$40</f>
        <v>9.1046622738546326</v>
      </c>
      <c r="L53" s="565"/>
      <c r="M53" s="573">
        <f>BHIN!$D$45</f>
        <v>3.1619089756465726E-2</v>
      </c>
      <c r="N53" s="573">
        <f>BHIN!$E$45</f>
        <v>3.3679919674160869E-2</v>
      </c>
      <c r="O53" s="573">
        <f>BHIN!$F$45</f>
        <v>3.5095116851512911E-2</v>
      </c>
      <c r="P53" s="573">
        <f>BHIN!$G$45</f>
        <v>3.6295912550571963E-2</v>
      </c>
      <c r="Q53" s="571"/>
      <c r="R53" s="573">
        <f>BHIN!$D$47</f>
        <v>7.6890160201029234E-2</v>
      </c>
      <c r="S53" s="573">
        <f>BHIN!$E$47</f>
        <v>8.467793989321995E-2</v>
      </c>
      <c r="T53" s="573">
        <f>BHIN!$F$47</f>
        <v>9.1588416814139942E-2</v>
      </c>
      <c r="U53" s="573">
        <f>BHIN!$G$47</f>
        <v>9.8213100695358019E-2</v>
      </c>
    </row>
    <row r="54" spans="1:49">
      <c r="A54" s="42"/>
      <c r="B54" s="197" t="str">
        <f t="shared" si="5"/>
        <v>China Tower</v>
      </c>
      <c r="C54" s="180" t="str">
        <f t="shared" si="5"/>
        <v>HKD 0.92</v>
      </c>
      <c r="D54" s="180" t="str">
        <f t="shared" si="5"/>
        <v>HKD 1.40</v>
      </c>
      <c r="E54" s="68">
        <f t="shared" si="5"/>
        <v>0.52173913043478248</v>
      </c>
      <c r="F54" s="44" t="str">
        <f t="shared" si="5"/>
        <v>Buy</v>
      </c>
      <c r="H54" s="564">
        <f>ChinaTow!$D$40</f>
        <v>4.9152704070643374</v>
      </c>
      <c r="I54" s="564">
        <f>ChinaTow!$E$40</f>
        <v>4.3559224458337944</v>
      </c>
      <c r="J54" s="564">
        <f>ChinaTow!$F$40</f>
        <v>3.6394982430287159</v>
      </c>
      <c r="K54" s="564">
        <f>ChinaTow!$G$40</f>
        <v>2.9946294037482599</v>
      </c>
      <c r="L54" s="562"/>
      <c r="M54" s="573">
        <f>ChinaTow!$D$45</f>
        <v>4.3370545284580016E-2</v>
      </c>
      <c r="N54" s="573">
        <f>ChinaTow!$E$45</f>
        <v>5.9629121826619808E-2</v>
      </c>
      <c r="O54" s="573">
        <f>ChinaTow!$F$45</f>
        <v>7.6785405121010869E-2</v>
      </c>
      <c r="P54" s="573">
        <f>ChinaTow!$G$45</f>
        <v>9.2969609813344192E-2</v>
      </c>
      <c r="Q54" s="572"/>
      <c r="R54" s="573">
        <f>ChinaTow!$D$47</f>
        <v>0.25566876843259234</v>
      </c>
      <c r="S54" s="573">
        <f>ChinaTow!$E$47</f>
        <v>0.26793674126299805</v>
      </c>
      <c r="T54" s="573">
        <f>ChinaTow!$F$47</f>
        <v>0.28053698880709954</v>
      </c>
      <c r="U54" s="573">
        <f>ChinaTow!$G$47</f>
        <v>0.29182693638529023</v>
      </c>
    </row>
    <row r="55" spans="1:49">
      <c r="B55" s="48" t="str">
        <f t="shared" si="5"/>
        <v>Sarana Menara</v>
      </c>
      <c r="C55" s="44" t="str">
        <f t="shared" si="5"/>
        <v>IDR 765</v>
      </c>
      <c r="D55" s="44" t="str">
        <f t="shared" si="5"/>
        <v>IDR 1,900</v>
      </c>
      <c r="E55" s="45">
        <f t="shared" si="5"/>
        <v>1.4836601307189543</v>
      </c>
      <c r="F55" s="44" t="str">
        <f t="shared" si="5"/>
        <v>Buy</v>
      </c>
      <c r="H55" s="564">
        <f>TOWR!$D$40</f>
        <v>16.013166715418865</v>
      </c>
      <c r="I55" s="564">
        <f>TOWR!$E$40</f>
        <v>13.548654007545119</v>
      </c>
      <c r="J55" s="564">
        <f>TOWR!$F$40</f>
        <v>11.238609481778266</v>
      </c>
      <c r="K55" s="564">
        <f>TOWR!$G$40</f>
        <v>9.4157358164403586</v>
      </c>
      <c r="L55" s="565"/>
      <c r="M55" s="573">
        <f>IFERROR(TOWR!$D$45,"-")</f>
        <v>4.7258137972035028E-2</v>
      </c>
      <c r="N55" s="573">
        <f>IFERROR(TOWR!$E$45,"-")</f>
        <v>5.3785098002540666E-2</v>
      </c>
      <c r="O55" s="573">
        <f>IFERROR(TOWR!$F$45,"-")</f>
        <v>6.1932864671441032E-2</v>
      </c>
      <c r="P55" s="573">
        <f>IFERROR(TOWR!$G$45,"-")</f>
        <v>7.1499298695132552E-2</v>
      </c>
      <c r="Q55" s="571"/>
      <c r="R55" s="573">
        <f>IFERROR(TOWR!$D$47,"-")</f>
        <v>9.7882298436941323E-2</v>
      </c>
      <c r="S55" s="573">
        <f>IFERROR(TOWR!E$47,"-")</f>
        <v>0.12050801194252853</v>
      </c>
      <c r="T55" s="573">
        <f>IFERROR(TOWR!F$47,"-")</f>
        <v>0.14727336565273833</v>
      </c>
      <c r="U55" s="573">
        <f>IFERROR(TOWR!G$47,"-")</f>
        <v>0.17078295178711969</v>
      </c>
    </row>
    <row r="56" spans="1:49">
      <c r="B56" s="197" t="str">
        <f t="shared" si="5"/>
        <v>Tower Bersama</v>
      </c>
      <c r="C56" s="180" t="str">
        <f t="shared" si="5"/>
        <v>IDR 1,850</v>
      </c>
      <c r="D56" s="180" t="str">
        <f t="shared" si="5"/>
        <v>IDR 2,200</v>
      </c>
      <c r="E56" s="68">
        <f t="shared" si="5"/>
        <v>0.18918918918918926</v>
      </c>
      <c r="F56" s="180" t="str">
        <f t="shared" si="5"/>
        <v>Neutral</v>
      </c>
      <c r="H56" s="530">
        <f>TBIG!$D$40</f>
        <v>17.528317767135906</v>
      </c>
      <c r="I56" s="530">
        <f>TBIG!$E$40</f>
        <v>15.797939393460792</v>
      </c>
      <c r="J56" s="530">
        <f>TBIG!$F$40</f>
        <v>14.107879324843868</v>
      </c>
      <c r="K56" s="530">
        <f>TBIG!$G$40</f>
        <v>12.495336183992745</v>
      </c>
      <c r="L56" s="562"/>
      <c r="M56" s="570">
        <f>IFERROR(TBIG!$D$45,"-")</f>
        <v>2.4496813294953488E-2</v>
      </c>
      <c r="N56" s="570">
        <f>IFERROR(TBIG!$E$45,"-")</f>
        <v>2.8656631846734282E-2</v>
      </c>
      <c r="O56" s="570">
        <f>IFERROR(TBIG!$F$45,"-")</f>
        <v>3.2618080150634575E-2</v>
      </c>
      <c r="P56" s="570">
        <f>IFERROR(TBIG!$G$45,"-")</f>
        <v>3.6793313927583463E-2</v>
      </c>
      <c r="Q56" s="572"/>
      <c r="R56" s="570">
        <f>IFERROR(TBIG!$D$47,"-")</f>
        <v>6.2384724248606548E-2</v>
      </c>
      <c r="S56" s="570">
        <f>IFERROR(TBIG!$E$47,"-")</f>
        <v>7.0437887666036939E-2</v>
      </c>
      <c r="T56" s="570">
        <f>IFERROR(TBIG!$F$47,"-")</f>
        <v>7.7964819844217007E-2</v>
      </c>
      <c r="U56" s="570">
        <f>IFERROR(TBIG!$G$47,"-")</f>
        <v>8.5918712754152887E-2</v>
      </c>
    </row>
    <row r="57" spans="1:49">
      <c r="A57" s="42"/>
      <c r="B57" s="197" t="s">
        <v>1408</v>
      </c>
      <c r="C57" s="180" t="str">
        <f>C38</f>
        <v>IDR 605</v>
      </c>
      <c r="D57" s="180" t="str">
        <f>D38</f>
        <v>IDR 1,135</v>
      </c>
      <c r="E57" s="68">
        <f>E38</f>
        <v>0.87603305785123964</v>
      </c>
      <c r="F57" s="180" t="str">
        <f>F38</f>
        <v>Buy</v>
      </c>
      <c r="H57" s="530">
        <f>MITRA!$D$40</f>
        <v>-29.624882949975397</v>
      </c>
      <c r="I57" s="530">
        <f>MITRA!$E$40</f>
        <v>2241.6869185523033</v>
      </c>
      <c r="J57" s="530">
        <f>MITRA!$F$40</f>
        <v>14.031676828684072</v>
      </c>
      <c r="K57" s="530">
        <f>MITRA!$G$40</f>
        <v>11.773993325687496</v>
      </c>
      <c r="L57" s="562"/>
      <c r="M57" s="570">
        <f>IFERROR(MITRA!$D$45,"-")</f>
        <v>3.9877584592518903E-2</v>
      </c>
      <c r="N57" s="570">
        <f>IFERROR(MITRA!$E$45,"-")</f>
        <v>3.9508100014854525E-2</v>
      </c>
      <c r="O57" s="570">
        <f>IFERROR(MITRA!$F$45,"-")</f>
        <v>4.6631180037398551E-2</v>
      </c>
      <c r="P57" s="570">
        <f>IFERROR(MITRA!$G$45,"-")</f>
        <v>5.3796305485292704E-2</v>
      </c>
      <c r="Q57" s="572"/>
      <c r="R57" s="570">
        <f>IFERROR(MITRA!$D$47,"-")</f>
        <v>-1.6778984320380514E-2</v>
      </c>
      <c r="S57" s="570">
        <f>IFERROR(MITRA!$E$47,"-")</f>
        <v>7.1459037256763197E-2</v>
      </c>
      <c r="T57" s="570">
        <f>IFERROR(MITRA!$F$47,"-")</f>
        <v>7.9689990146328993E-2</v>
      </c>
      <c r="U57" s="570">
        <f>IFERROR(MITRA!$G$47,"-")</f>
        <v>8.8130060133944324E-2</v>
      </c>
      <c r="AT57" s="198"/>
      <c r="AU57" s="198"/>
      <c r="AV57" s="198"/>
      <c r="AW57" s="198"/>
    </row>
    <row r="58" spans="1:49">
      <c r="B58" s="48"/>
      <c r="C58" s="44"/>
      <c r="D58" s="44"/>
      <c r="E58" s="45"/>
      <c r="F58" s="44"/>
      <c r="H58" s="564"/>
      <c r="I58" s="564"/>
      <c r="J58" s="564"/>
      <c r="K58" s="564"/>
      <c r="L58" s="565"/>
      <c r="M58" s="573"/>
      <c r="N58" s="573"/>
      <c r="O58" s="573"/>
      <c r="P58" s="573"/>
      <c r="Q58" s="571"/>
      <c r="R58" s="573"/>
      <c r="S58" s="573"/>
      <c r="T58" s="573"/>
      <c r="U58" s="573"/>
    </row>
    <row r="59" spans="1:49" collapsed="1">
      <c r="B59" s="48" t="str">
        <f>B40</f>
        <v>IHS</v>
      </c>
      <c r="C59" s="44" t="str">
        <f>C40</f>
        <v>USD 3.3</v>
      </c>
      <c r="D59" s="44" t="str">
        <f>D40</f>
        <v>USD 8.0</v>
      </c>
      <c r="E59" s="45">
        <f>E40</f>
        <v>1.3952095808383236</v>
      </c>
      <c r="F59" s="44" t="str">
        <f>F40</f>
        <v>Buy</v>
      </c>
      <c r="H59" s="564">
        <f>IHS!$D$40</f>
        <v>12.891151501210874</v>
      </c>
      <c r="I59" s="564">
        <f>IHS!$E$40</f>
        <v>10.688533985998149</v>
      </c>
      <c r="J59" s="564">
        <f>IHS!$F$40</f>
        <v>8.9524091940864459</v>
      </c>
      <c r="K59" s="564">
        <f>IHS!$G$40</f>
        <v>7.3104843075903005</v>
      </c>
      <c r="L59" s="565"/>
      <c r="M59" s="573">
        <f>IFERROR(IHS!$D$45,"-")</f>
        <v>0</v>
      </c>
      <c r="N59" s="573">
        <f>IFERROR(IHS!$E$45,"-")</f>
        <v>0</v>
      </c>
      <c r="O59" s="573">
        <f>IFERROR(IHS!$F$45,"-")</f>
        <v>0</v>
      </c>
      <c r="P59" s="573">
        <f>IFERROR(IHS!$G$45,"-")</f>
        <v>0</v>
      </c>
      <c r="Q59" s="571"/>
      <c r="R59" s="573">
        <f>IFERROR(IHS!$D$47,"-")</f>
        <v>-0.2217247139452215</v>
      </c>
      <c r="S59" s="573">
        <f>IFERROR(IHS!$E$47,"-")</f>
        <v>1.0858228719188876E-2</v>
      </c>
      <c r="T59" s="573">
        <f>IFERROR(IHS!$F$47,"-")</f>
        <v>8.7301924744298987E-2</v>
      </c>
      <c r="U59" s="573">
        <f>IFERROR(IHS!$G$47,"-")</f>
        <v>0.16160650688982095</v>
      </c>
    </row>
    <row r="60" spans="1:49">
      <c r="A60" s="194"/>
      <c r="B60" s="48"/>
      <c r="C60" s="44"/>
      <c r="D60" s="44"/>
      <c r="E60" s="45"/>
      <c r="F60" s="44"/>
      <c r="H60" s="564"/>
      <c r="I60" s="564"/>
      <c r="J60" s="564"/>
      <c r="K60" s="564"/>
      <c r="L60" s="565"/>
      <c r="M60" s="573"/>
      <c r="N60" s="573"/>
      <c r="O60" s="573"/>
      <c r="P60" s="573"/>
      <c r="Q60" s="571"/>
      <c r="R60" s="573"/>
      <c r="S60" s="573"/>
      <c r="T60" s="573"/>
      <c r="U60" s="573"/>
    </row>
    <row r="61" spans="1:49">
      <c r="A61" s="194"/>
      <c r="B61" s="199" t="str">
        <f>B42</f>
        <v>Telesites</v>
      </c>
      <c r="C61" s="184" t="str">
        <f>C42</f>
        <v>MXN 19.3</v>
      </c>
      <c r="D61" s="184" t="str">
        <f>D42</f>
        <v>MXN 17.0</v>
      </c>
      <c r="E61" s="185">
        <f>E42</f>
        <v>-0.11734164070612674</v>
      </c>
      <c r="F61" s="184" t="str">
        <f>F42</f>
        <v>Neutral</v>
      </c>
      <c r="H61" s="566">
        <f>SITES!$D$40</f>
        <v>13.49134100175055</v>
      </c>
      <c r="I61" s="566">
        <f>SITES!$E$40</f>
        <v>12.03628181686925</v>
      </c>
      <c r="J61" s="566">
        <f>SITES!$F$40</f>
        <v>10.598530985410308</v>
      </c>
      <c r="K61" s="566">
        <f>SITES!$G$40</f>
        <v>9.1658267627084005</v>
      </c>
      <c r="L61" s="565"/>
      <c r="M61" s="574">
        <f>IFERROR(SITES!$D$45,"-")</f>
        <v>0</v>
      </c>
      <c r="N61" s="574">
        <f>IFERROR(SITES!$E$45,"-")</f>
        <v>0</v>
      </c>
      <c r="O61" s="574">
        <f>IFERROR(SITES!$F$45,"-")</f>
        <v>0</v>
      </c>
      <c r="P61" s="574">
        <f>IFERROR(SITES!$G$45,"-")</f>
        <v>0</v>
      </c>
      <c r="Q61" s="571"/>
      <c r="R61" s="574">
        <f>IFERROR(SITES!$D$47,"-")</f>
        <v>6.408455315764694E-2</v>
      </c>
      <c r="S61" s="574">
        <f>IFERROR(SITES!$E$47,"-")</f>
        <v>7.1696978428916217E-2</v>
      </c>
      <c r="T61" s="574">
        <f>IFERROR(SITES!$F$47,"-")</f>
        <v>8.1931138573632323E-2</v>
      </c>
      <c r="U61" s="574">
        <f>IFERROR(SITES!$G$47,"-")</f>
        <v>9.5575682002133872E-2</v>
      </c>
    </row>
    <row r="62" spans="1:49">
      <c r="A62" s="194"/>
    </row>
    <row r="63" spans="1:49">
      <c r="A63" s="194"/>
    </row>
    <row r="64" spans="1:49">
      <c r="A64" s="194"/>
      <c r="B64" s="164"/>
      <c r="C64" s="165" t="s">
        <v>464</v>
      </c>
      <c r="D64" s="165" t="s">
        <v>57</v>
      </c>
      <c r="E64" s="165" t="s">
        <v>59</v>
      </c>
      <c r="F64" s="165" t="s">
        <v>56</v>
      </c>
      <c r="H64" s="166" t="s">
        <v>784</v>
      </c>
      <c r="I64" s="166"/>
      <c r="J64" s="166"/>
      <c r="K64" s="166"/>
      <c r="M64" s="166" t="s">
        <v>593</v>
      </c>
      <c r="N64" s="166"/>
      <c r="O64" s="166"/>
      <c r="P64" s="166"/>
      <c r="R64" s="166" t="s">
        <v>785</v>
      </c>
      <c r="S64" s="166"/>
      <c r="T64" s="166"/>
      <c r="U64" s="166"/>
    </row>
    <row r="65" spans="1:49">
      <c r="A65" s="194"/>
      <c r="B65" s="197" t="str">
        <f t="shared" ref="B65:F66" si="6">B46</f>
        <v>Cellnex</v>
      </c>
      <c r="C65" s="180" t="str">
        <f t="shared" si="6"/>
        <v>EUR 33.5</v>
      </c>
      <c r="D65" s="180" t="str">
        <f t="shared" si="6"/>
        <v>EUR 32.0</v>
      </c>
      <c r="E65" s="68">
        <f t="shared" si="6"/>
        <v>-4.3348281016442503E-2</v>
      </c>
      <c r="F65" s="180" t="str">
        <f t="shared" si="6"/>
        <v>Neutral</v>
      </c>
      <c r="H65" s="567">
        <f>CLNX!D41</f>
        <v>1.3417169480935551</v>
      </c>
      <c r="I65" s="567">
        <f>CLNX!E41</f>
        <v>1.3598325027979312</v>
      </c>
      <c r="J65" s="567">
        <f>CLNX!F41</f>
        <v>1.3552418323668518</v>
      </c>
      <c r="K65" s="567">
        <f>CLNX!G41</f>
        <v>1.3501902732481037</v>
      </c>
      <c r="L65" s="577"/>
      <c r="M65" s="567" t="str">
        <f>CLNX!D42</f>
        <v>na</v>
      </c>
      <c r="N65" s="567" t="str">
        <f>CLNX!E42</f>
        <v>na</v>
      </c>
      <c r="O65" s="567" t="str">
        <f>CLNX!F42</f>
        <v>na</v>
      </c>
      <c r="P65" s="567" t="str">
        <f>CLNX!G42</f>
        <v>na</v>
      </c>
      <c r="Q65" s="578"/>
      <c r="R65" s="567">
        <f>(CLNX!D$12/CLNX!D$24)</f>
        <v>8.5754407354996811</v>
      </c>
      <c r="S65" s="567">
        <f>(CLNX!E$12/CLNX!E$24)</f>
        <v>8.1063221296190022</v>
      </c>
      <c r="T65" s="567">
        <f>(CLNX!F$12/CLNX!F$24)</f>
        <v>7.5151497299486696</v>
      </c>
      <c r="U65" s="567">
        <f>(CLNX!G$12/CLNX!G$24)</f>
        <v>7.0918360777696376</v>
      </c>
    </row>
    <row r="66" spans="1:49">
      <c r="A66" s="42"/>
      <c r="B66" s="197" t="str">
        <f t="shared" si="6"/>
        <v>Inwit</v>
      </c>
      <c r="C66" s="180" t="str">
        <f t="shared" si="6"/>
        <v>EUR 10.0</v>
      </c>
      <c r="D66" s="180" t="str">
        <f t="shared" si="6"/>
        <v>EUR 12.1</v>
      </c>
      <c r="E66" s="68">
        <f t="shared" si="6"/>
        <v>0.21121121121121122</v>
      </c>
      <c r="F66" s="180" t="str">
        <f t="shared" si="6"/>
        <v>Neutral</v>
      </c>
      <c r="H66" s="567">
        <f>INWIT!D41</f>
        <v>1.6214859827658614</v>
      </c>
      <c r="I66" s="567">
        <f>INWIT!E41</f>
        <v>1.6469965371112347</v>
      </c>
      <c r="J66" s="567">
        <f>INWIT!F41</f>
        <v>1.6097523350142067</v>
      </c>
      <c r="K66" s="567">
        <f>INWIT!G41</f>
        <v>1.5701025149256642</v>
      </c>
      <c r="L66" s="577"/>
      <c r="M66" s="567">
        <f>INWIT!D42</f>
        <v>11.050412804405413</v>
      </c>
      <c r="N66" s="567">
        <f>INWIT!E42</f>
        <v>9.9356874527306136</v>
      </c>
      <c r="O66" s="567">
        <f>INWIT!F42</f>
        <v>8.9398723040590919</v>
      </c>
      <c r="P66" s="567">
        <f>INWIT!G42</f>
        <v>8.2231484375782387</v>
      </c>
      <c r="Q66" s="579"/>
      <c r="R66" s="567">
        <f>(INWIT!D$12/INWIT!D$24)</f>
        <v>4.7042181084964856</v>
      </c>
      <c r="S66" s="567">
        <f>(INWIT!E$12/INWIT!E$24)</f>
        <v>4.610013742667431</v>
      </c>
      <c r="T66" s="567">
        <f>(INWIT!F$12/INWIT!F$24)</f>
        <v>4.6091804584539222</v>
      </c>
      <c r="U66" s="567">
        <f>(INWIT!G$12/INWIT!G$24)</f>
        <v>4.371812206010433</v>
      </c>
    </row>
    <row r="67" spans="1:49">
      <c r="A67" s="42"/>
      <c r="B67" s="48"/>
      <c r="C67" s="44"/>
      <c r="D67" s="183"/>
      <c r="E67" s="45"/>
      <c r="F67" s="44"/>
      <c r="H67" s="568"/>
      <c r="I67" s="568"/>
      <c r="J67" s="568"/>
      <c r="K67" s="568"/>
      <c r="L67" s="580"/>
      <c r="M67" s="568"/>
      <c r="N67" s="568"/>
      <c r="O67" s="568"/>
      <c r="P67" s="568"/>
      <c r="Q67" s="578"/>
      <c r="R67" s="568"/>
      <c r="S67" s="568"/>
      <c r="T67" s="568"/>
      <c r="U67" s="568"/>
    </row>
    <row r="68" spans="1:49">
      <c r="A68" s="42"/>
      <c r="B68" s="48" t="str">
        <f t="shared" ref="B68:F70" si="7">B49</f>
        <v>American Tower</v>
      </c>
      <c r="C68" s="44" t="str">
        <f t="shared" si="7"/>
        <v>USD 185.9</v>
      </c>
      <c r="D68" s="183" t="str">
        <f t="shared" si="7"/>
        <v>USD 239.0</v>
      </c>
      <c r="E68" s="45">
        <f t="shared" si="7"/>
        <v>0.28543000053783674</v>
      </c>
      <c r="F68" s="44" t="str">
        <f t="shared" si="7"/>
        <v>Neutral</v>
      </c>
      <c r="H68" s="568">
        <f>AMT!$D$41</f>
        <v>2.4909575268155484</v>
      </c>
      <c r="I68" s="568">
        <f>AMT!$E$41</f>
        <v>2.9240359402797145</v>
      </c>
      <c r="J68" s="568">
        <f>AMT!$F$41</f>
        <v>3.371740349572967</v>
      </c>
      <c r="K68" s="568">
        <f>AMT!$G$41</f>
        <v>4.572509316211125</v>
      </c>
      <c r="L68" s="580"/>
      <c r="M68" s="568">
        <f>AMT!$D$42</f>
        <v>6.1040660359020151</v>
      </c>
      <c r="N68" s="568">
        <f>AMT!$E$42</f>
        <v>6.3914585982967846</v>
      </c>
      <c r="O68" s="568">
        <f>AMT!$F$42</f>
        <v>6.2821823180919507</v>
      </c>
      <c r="P68" s="568">
        <f>AMT!$G$42</f>
        <v>6.8145957986599877</v>
      </c>
      <c r="Q68" s="578"/>
      <c r="R68" s="568">
        <f>(AMT!D$12/AMT!D$24)</f>
        <v>5.0285874374474586</v>
      </c>
      <c r="S68" s="568">
        <f>(AMT!E$12/AMT!E$24)</f>
        <v>5</v>
      </c>
      <c r="T68" s="568">
        <f>(AMT!F$12/AMT!F$24)</f>
        <v>4.9000000000000012</v>
      </c>
      <c r="U68" s="568">
        <f>(AMT!G$12/AMT!G$24)</f>
        <v>4.8</v>
      </c>
    </row>
    <row r="69" spans="1:49">
      <c r="A69" s="42"/>
      <c r="B69" s="48" t="str">
        <f t="shared" si="7"/>
        <v>Crown Castle</v>
      </c>
      <c r="C69" s="44" t="str">
        <f t="shared" si="7"/>
        <v>USD 98.1</v>
      </c>
      <c r="D69" s="183" t="str">
        <f t="shared" si="7"/>
        <v>USD 123.0</v>
      </c>
      <c r="E69" s="45">
        <f t="shared" si="7"/>
        <v>0.25356706074194868</v>
      </c>
      <c r="F69" s="44" t="str">
        <f t="shared" si="7"/>
        <v>Neutral</v>
      </c>
      <c r="H69" s="568">
        <f>CCI!$D$41</f>
        <v>2.10211764417341</v>
      </c>
      <c r="I69" s="568">
        <f>CCI!$E$41</f>
        <v>2.2027146338356101</v>
      </c>
      <c r="J69" s="568">
        <f>CCI!$F$41</f>
        <v>2.2658464432558514</v>
      </c>
      <c r="K69" s="568">
        <f>CCI!$G$41</f>
        <v>1.9598128654252809</v>
      </c>
      <c r="L69" s="580"/>
      <c r="M69" s="568">
        <f>CCI!$D$42</f>
        <v>3.9557910868544144</v>
      </c>
      <c r="N69" s="568">
        <f>CCI!$E$42</f>
        <v>4.0379936259058171</v>
      </c>
      <c r="O69" s="568">
        <f>CCI!$F$42</f>
        <v>4.1980320146548094</v>
      </c>
      <c r="P69" s="568">
        <f>CCI!$G$42</f>
        <v>3.628522090775006</v>
      </c>
      <c r="Q69" s="578"/>
      <c r="R69" s="568">
        <f>(CCI!D$12/CCI!D$24)</f>
        <v>5.0844241786290558</v>
      </c>
      <c r="S69" s="568">
        <f>(CCI!E$12/CCI!E$24)</f>
        <v>5.2</v>
      </c>
      <c r="T69" s="568">
        <f>(CCI!F$12/CCI!F$24)</f>
        <v>5.4</v>
      </c>
      <c r="U69" s="568">
        <f>(CCI!G$12/CCI!G$24)</f>
        <v>5.2</v>
      </c>
    </row>
    <row r="70" spans="1:49">
      <c r="A70" s="42"/>
      <c r="B70" s="48" t="str">
        <f t="shared" si="7"/>
        <v xml:space="preserve">SBA </v>
      </c>
      <c r="C70" s="44" t="str">
        <f t="shared" si="7"/>
        <v>USD 188.1</v>
      </c>
      <c r="D70" s="183" t="str">
        <f t="shared" si="7"/>
        <v>USD 244.0</v>
      </c>
      <c r="E70" s="45">
        <f t="shared" si="7"/>
        <v>0.29725131585942899</v>
      </c>
      <c r="F70" s="44" t="str">
        <f t="shared" si="7"/>
        <v>Neutral</v>
      </c>
      <c r="H70" s="568">
        <f>SBAC!$D$41</f>
        <v>10.276276625202787</v>
      </c>
      <c r="I70" s="568">
        <f>SBAC!$E$41</f>
        <v>22.047616193539668</v>
      </c>
      <c r="J70" s="568">
        <f>SBAC!$F$41</f>
        <v>106.04561423038322</v>
      </c>
      <c r="K70" s="568">
        <f>SBAC!$G$41</f>
        <v>-153.35059473771392</v>
      </c>
      <c r="L70" s="580"/>
      <c r="M70" s="568">
        <f>SBAC!$D$42</f>
        <v>11.692815811285774</v>
      </c>
      <c r="N70" s="568">
        <f>SBAC!$E$42</f>
        <v>10.191444329476576</v>
      </c>
      <c r="O70" s="568">
        <f>SBAC!$F$42</f>
        <v>9.0448576766800741</v>
      </c>
      <c r="P70" s="568">
        <f>SBAC!$G$42</f>
        <v>14.930863558861098</v>
      </c>
      <c r="Q70" s="578"/>
      <c r="R70" s="568">
        <f>(SBAC!D$12/SBAC!D$24)</f>
        <v>4.4916090134460331</v>
      </c>
      <c r="S70" s="568">
        <f>(SBAC!E$12/SBAC!E$24)</f>
        <v>4.2487414261060374</v>
      </c>
      <c r="T70" s="568">
        <f>(SBAC!F$12/SBAC!F$24)</f>
        <v>4.0551475040702698</v>
      </c>
      <c r="U70" s="568">
        <f>(SBAC!G$12/SBAC!G$24)</f>
        <v>4.0580784397894334</v>
      </c>
    </row>
    <row r="71" spans="1:49">
      <c r="A71" s="42"/>
      <c r="B71" s="48"/>
      <c r="C71" s="44"/>
      <c r="D71" s="44"/>
      <c r="E71" s="45"/>
      <c r="F71" s="44"/>
      <c r="H71" s="568"/>
      <c r="I71" s="568"/>
      <c r="J71" s="568"/>
      <c r="K71" s="568"/>
      <c r="L71" s="580"/>
      <c r="M71" s="568"/>
      <c r="N71" s="568"/>
      <c r="O71" s="568"/>
      <c r="P71" s="568"/>
      <c r="Q71" s="578"/>
      <c r="R71" s="568"/>
      <c r="S71" s="568"/>
      <c r="T71" s="568"/>
      <c r="U71" s="568"/>
    </row>
    <row r="72" spans="1:49">
      <c r="A72" s="42"/>
      <c r="B72" s="48" t="str">
        <f t="shared" ref="B72:F75" si="8">B53</f>
        <v>Bharti Infratel</v>
      </c>
      <c r="C72" s="44" t="str">
        <f t="shared" si="8"/>
        <v>INR 347</v>
      </c>
      <c r="D72" s="44" t="str">
        <f t="shared" si="8"/>
        <v>INR 265</v>
      </c>
      <c r="E72" s="45">
        <f t="shared" si="8"/>
        <v>-0.23554017020049034</v>
      </c>
      <c r="F72" s="44" t="str">
        <f t="shared" si="8"/>
        <v>Neutral</v>
      </c>
      <c r="H72" s="568">
        <f>BHIN!$D$41</f>
        <v>7.2414336273351498</v>
      </c>
      <c r="I72" s="568">
        <f>BHIN!$E$41</f>
        <v>4.2791395798632834</v>
      </c>
      <c r="J72" s="568">
        <f>BHIN!$F$41</f>
        <v>2.8157148464209127</v>
      </c>
      <c r="K72" s="568">
        <f>BHIN!$G$41</f>
        <v>1.9505354803521839</v>
      </c>
      <c r="L72" s="580"/>
      <c r="M72" s="568">
        <f>BHIN!$D$42</f>
        <v>5.1680024456165317</v>
      </c>
      <c r="N72" s="568">
        <f>BHIN!$E$42</f>
        <v>5.0624724442284954</v>
      </c>
      <c r="O72" s="568">
        <f>BHIN!$F$42</f>
        <v>5.0053309096263581</v>
      </c>
      <c r="P72" s="568">
        <f>BHIN!$G$42</f>
        <v>5.0150504180630344</v>
      </c>
      <c r="Q72" s="578"/>
      <c r="R72" s="568">
        <f>(BHIN!D$12/BHIN!D$24)</f>
        <v>0.87425420449307112</v>
      </c>
      <c r="S72" s="568">
        <f>(BHIN!E$12/BHIN!E$24)</f>
        <v>0.56430531600103506</v>
      </c>
      <c r="T72" s="568">
        <f>(BHIN!F$12/BHIN!F$24)</f>
        <v>0.24364531567242342</v>
      </c>
      <c r="U72" s="568">
        <f>(BHIN!G$12/BHIN!G$24)</f>
        <v>-9.4706697139505386E-2</v>
      </c>
    </row>
    <row r="73" spans="1:49">
      <c r="A73" s="42"/>
      <c r="B73" s="197" t="str">
        <f t="shared" si="8"/>
        <v>China Tower</v>
      </c>
      <c r="C73" s="180" t="str">
        <f t="shared" si="8"/>
        <v>HKD 0.92</v>
      </c>
      <c r="D73" s="180" t="str">
        <f t="shared" si="8"/>
        <v>HKD 1.40</v>
      </c>
      <c r="E73" s="68">
        <f t="shared" si="8"/>
        <v>0.52173913043478248</v>
      </c>
      <c r="F73" s="44" t="str">
        <f t="shared" si="8"/>
        <v>Buy</v>
      </c>
      <c r="H73" s="568">
        <f>ChinaTow!$D$41</f>
        <v>0.79557494874958901</v>
      </c>
      <c r="I73" s="568">
        <f>ChinaTow!$E$41</f>
        <v>0.8252628427567259</v>
      </c>
      <c r="J73" s="568">
        <f>ChinaTow!$F$41</f>
        <v>0.80673506520325122</v>
      </c>
      <c r="K73" s="568">
        <f>ChinaTow!$G$41</f>
        <v>0.76402035534478019</v>
      </c>
      <c r="L73" s="578"/>
      <c r="M73" s="568">
        <f>ChinaTow!$D$42</f>
        <v>1.148210696359744</v>
      </c>
      <c r="N73" s="568">
        <f>ChinaTow!$E$42</f>
        <v>1.2651695469159363</v>
      </c>
      <c r="O73" s="568">
        <f>ChinaTow!$F$42</f>
        <v>1.3319650191059955</v>
      </c>
      <c r="P73" s="568">
        <f>ChinaTow!$G$42</f>
        <v>1.3815267603052526</v>
      </c>
      <c r="Q73" s="579"/>
      <c r="R73" s="568">
        <f>(ChinaTow!D$12/ChinaTow!D$24)</f>
        <v>0.91624632349661117</v>
      </c>
      <c r="S73" s="568">
        <f>(ChinaTow!E$12/ChinaTow!E$24)</f>
        <v>0.68191406120229781</v>
      </c>
      <c r="T73" s="568">
        <f>(ChinaTow!F$12/ChinaTow!F$24)</f>
        <v>0.47958733033534279</v>
      </c>
      <c r="U73" s="568">
        <f>(ChinaTow!G$12/ChinaTow!G$24)</f>
        <v>0.3211717070881257</v>
      </c>
    </row>
    <row r="74" spans="1:49">
      <c r="A74" s="42"/>
      <c r="B74" s="48" t="str">
        <f t="shared" si="8"/>
        <v>Sarana Menara</v>
      </c>
      <c r="C74" s="44" t="str">
        <f t="shared" si="8"/>
        <v>IDR 765</v>
      </c>
      <c r="D74" s="44" t="str">
        <f t="shared" si="8"/>
        <v>IDR 1,900</v>
      </c>
      <c r="E74" s="45">
        <f t="shared" si="8"/>
        <v>1.4836601307189543</v>
      </c>
      <c r="F74" s="44" t="str">
        <f t="shared" si="8"/>
        <v>Buy</v>
      </c>
      <c r="H74" s="568">
        <f>IFERROR(TOWR!$D$41,"-")</f>
        <v>1.3592205744802748</v>
      </c>
      <c r="I74" s="568">
        <f>IFERROR(TOWR!$E$41,"-")</f>
        <v>1.2808265811855279</v>
      </c>
      <c r="J74" s="568">
        <f>IFERROR(TOWR!$E$41,"-")</f>
        <v>1.2808265811855279</v>
      </c>
      <c r="K74" s="568">
        <f>IFERROR(TOWR!$E$41,"-")</f>
        <v>1.2808265811855279</v>
      </c>
      <c r="L74" s="580"/>
      <c r="M74" s="568">
        <f>IFERROR(TOWR!$D$42,"-")</f>
        <v>1.7310895656513337</v>
      </c>
      <c r="N74" s="568">
        <f>IFERROR(TOWR!$E$42,"-")</f>
        <v>1.6312170201065226</v>
      </c>
      <c r="O74" s="568">
        <f>IFERROR(TOWR!$E$42,"-")</f>
        <v>1.6312170201065226</v>
      </c>
      <c r="P74" s="568">
        <f>IFERROR(TOWR!$E$42,"-")</f>
        <v>1.6312170201065226</v>
      </c>
      <c r="Q74" s="578"/>
      <c r="R74" s="568">
        <f>(TOWR!D$12/TOWR!D$24)</f>
        <v>4.3499929826860804</v>
      </c>
      <c r="S74" s="568">
        <f>(TOWR!E$12/TOWR!E$24)</f>
        <v>3.8539059546987646</v>
      </c>
      <c r="T74" s="568">
        <f>(TOWR!F$12/TOWR!F$24)</f>
        <v>3.3243728731778712</v>
      </c>
      <c r="U74" s="568">
        <f>(TOWR!G$12/TOWR!G$24)</f>
        <v>2.8031812961091993</v>
      </c>
    </row>
    <row r="75" spans="1:49">
      <c r="A75" s="42"/>
      <c r="B75" s="197" t="str">
        <f t="shared" si="8"/>
        <v>Tower Bersama</v>
      </c>
      <c r="C75" s="180" t="str">
        <f t="shared" si="8"/>
        <v>IDR 1,850</v>
      </c>
      <c r="D75" s="180" t="str">
        <f t="shared" si="8"/>
        <v>IDR 2,200</v>
      </c>
      <c r="E75" s="68">
        <f t="shared" si="8"/>
        <v>0.18918918918918926</v>
      </c>
      <c r="F75" s="180" t="str">
        <f t="shared" si="8"/>
        <v>Neutral</v>
      </c>
      <c r="H75" s="567">
        <f>IFERROR(TBIG!$D$41,"-")</f>
        <v>1.7897891520829676</v>
      </c>
      <c r="I75" s="567">
        <f>IFERROR(TBIG!$E$41,"-")</f>
        <v>1.7256484939252661</v>
      </c>
      <c r="J75" s="567">
        <f>IFERROR(TBIG!$F$41,"-")</f>
        <v>1.6501219939043907</v>
      </c>
      <c r="K75" s="567">
        <f>IFERROR(TBIG!$G$41,"-")</f>
        <v>1.5625300978731795</v>
      </c>
      <c r="L75" s="578"/>
      <c r="M75" s="567">
        <f>IFERROR(TBIG!$D$42,"-")</f>
        <v>1.8634099227323921</v>
      </c>
      <c r="N75" s="567">
        <f>IFERROR(TBIG!$E$42,"-")</f>
        <v>1.7876808727983686</v>
      </c>
      <c r="O75" s="567">
        <f>IFERROR(TBIG!$F$42,"-")</f>
        <v>1.7007941344608295</v>
      </c>
      <c r="P75" s="567">
        <f>IFERROR(TBIG!$G$42,"-")</f>
        <v>1.6023559682452628</v>
      </c>
      <c r="Q75" s="579"/>
      <c r="R75" s="567">
        <f>(TBIG!D$12/TBIG!D$24)</f>
        <v>4.0330553828239557</v>
      </c>
      <c r="S75" s="567">
        <f>(TBIG!E$12/TBIG!E$24)</f>
        <v>3.5283816345156183</v>
      </c>
      <c r="T75" s="567">
        <f>(TBIG!F$12/TBIG!F$24)</f>
        <v>3.0394904573118464</v>
      </c>
      <c r="U75" s="567">
        <f>(TBIG!G$12/TBIG!G$24)</f>
        <v>2.574466631793964</v>
      </c>
    </row>
    <row r="76" spans="1:49">
      <c r="A76" s="42"/>
      <c r="B76" s="197" t="s">
        <v>1408</v>
      </c>
      <c r="C76" s="180" t="str">
        <f>C57</f>
        <v>IDR 605</v>
      </c>
      <c r="D76" s="180" t="str">
        <f>D57</f>
        <v>IDR 1,135</v>
      </c>
      <c r="E76" s="68">
        <f>E57</f>
        <v>0.87603305785123964</v>
      </c>
      <c r="F76" s="180" t="str">
        <f>F57</f>
        <v>Buy</v>
      </c>
      <c r="H76" s="567">
        <f>IFERROR(MITRA!$D$41,"-")</f>
        <v>1.406156574571948</v>
      </c>
      <c r="I76" s="567">
        <f>IFERROR(MITRA!$E$41,"-")</f>
        <v>1.3747659426137404</v>
      </c>
      <c r="J76" s="567">
        <f>IFERROR(MITRA!$F$41,"-")</f>
        <v>1.3326859693091715</v>
      </c>
      <c r="K76" s="567">
        <f>IFERROR(MITRA!$G$41,"-")</f>
        <v>1.2786933725177652</v>
      </c>
      <c r="L76" s="578"/>
      <c r="M76" s="567">
        <f>IFERROR(MITRA!$D$42,"-")</f>
        <v>2.1400813010607833</v>
      </c>
      <c r="N76" s="567">
        <f>IFERROR(MITRA!$E$42,"-")</f>
        <v>2.0198326761337508</v>
      </c>
      <c r="O76" s="567">
        <f>IFERROR(MITRA!$F$42,"-")</f>
        <v>1.8863755174676069</v>
      </c>
      <c r="P76" s="567">
        <f>IFERROR(MITRA!$G$42,"-")</f>
        <v>1.7386998363590831</v>
      </c>
      <c r="Q76" s="579"/>
      <c r="R76" s="567">
        <f>(MITRA!D$12/MITRA!D$24)</f>
        <v>1.8104520906491721</v>
      </c>
      <c r="S76" s="567">
        <f>(MITRA!E$12/MITRA!E$24)</f>
        <v>1.4499615443667708</v>
      </c>
      <c r="T76" s="567">
        <f>(MITRA!F$12/MITRA!F$24)</f>
        <v>1.1491535907830419</v>
      </c>
      <c r="U76" s="567">
        <f>(MITRA!G$12/MITRA!G$24)</f>
        <v>0.87763444384414691</v>
      </c>
      <c r="AT76" s="198"/>
      <c r="AU76" s="198"/>
      <c r="AV76" s="198"/>
      <c r="AW76" s="198"/>
    </row>
    <row r="77" spans="1:49">
      <c r="B77" s="48"/>
      <c r="C77" s="44"/>
      <c r="D77" s="44"/>
      <c r="E77" s="45"/>
      <c r="F77" s="44"/>
      <c r="H77" s="568"/>
      <c r="I77" s="568"/>
      <c r="J77" s="568"/>
      <c r="K77" s="568"/>
      <c r="L77" s="580"/>
      <c r="M77" s="568"/>
      <c r="N77" s="568"/>
      <c r="O77" s="568"/>
      <c r="P77" s="568"/>
      <c r="Q77" s="578"/>
      <c r="R77" s="568"/>
      <c r="S77" s="568"/>
      <c r="T77" s="568"/>
      <c r="U77" s="568"/>
    </row>
    <row r="78" spans="1:49">
      <c r="B78" s="48" t="str">
        <f>B59</f>
        <v>IHS</v>
      </c>
      <c r="C78" s="44" t="str">
        <f>C59</f>
        <v>USD 3.3</v>
      </c>
      <c r="D78" s="44" t="str">
        <f>D59</f>
        <v>USD 8.0</v>
      </c>
      <c r="E78" s="45">
        <f>E59</f>
        <v>1.3952095808383236</v>
      </c>
      <c r="F78" s="44" t="str">
        <f>F59</f>
        <v>Buy</v>
      </c>
      <c r="H78" s="568">
        <f>IFERROR(IHS!$D$41,"-")</f>
        <v>1.1198824853912845</v>
      </c>
      <c r="I78" s="568">
        <f>IFERROR(IHS!$E$41,"-")</f>
        <v>1.0966279825588545</v>
      </c>
      <c r="J78" s="568">
        <f>IFERROR(IHS!$F$41,"-")</f>
        <v>1.0602562004456413</v>
      </c>
      <c r="K78" s="568">
        <f>IFERROR(IHS!$G$41,"-")</f>
        <v>0.99884930201558442</v>
      </c>
      <c r="L78" s="580"/>
      <c r="M78" s="568">
        <f>IFERROR(IHS!$D$42,"-")</f>
        <v>2.8339999138047451</v>
      </c>
      <c r="N78" s="568">
        <f>IFERROR(IHS!$E$42,"-")</f>
        <v>2.8117360434434464</v>
      </c>
      <c r="O78" s="568">
        <f>IFERROR(IHS!$F$42,"-")</f>
        <v>2.7577126575569166</v>
      </c>
      <c r="P78" s="568">
        <f>IFERROR(IHS!$G$42,"-")</f>
        <v>2.6422650117846067</v>
      </c>
      <c r="Q78" s="578"/>
      <c r="R78" s="567">
        <f>(IHS!D$12/IHS!D$24)</f>
        <v>3.3720971095816026</v>
      </c>
      <c r="S78" s="567">
        <f>(IHS!E$12/IHS!E$24)</f>
        <v>3.7467304214704273</v>
      </c>
      <c r="T78" s="567">
        <f>(IHS!F$12/IHS!F$24)</f>
        <v>3.2515940826811955</v>
      </c>
      <c r="U78" s="567">
        <f>(IHS!G$12/IHS!G$24)</f>
        <v>2.6794943789293266</v>
      </c>
    </row>
    <row r="79" spans="1:49">
      <c r="B79" s="48"/>
      <c r="C79" s="44"/>
      <c r="D79" s="44"/>
      <c r="E79" s="45"/>
      <c r="F79" s="44"/>
      <c r="H79" s="568"/>
      <c r="I79" s="568"/>
      <c r="J79" s="568"/>
      <c r="K79" s="568"/>
      <c r="L79" s="580"/>
      <c r="M79" s="568"/>
      <c r="N79" s="568"/>
      <c r="O79" s="568"/>
      <c r="P79" s="568"/>
      <c r="Q79" s="578"/>
      <c r="R79" s="568"/>
      <c r="S79" s="568"/>
      <c r="T79" s="568"/>
      <c r="U79" s="568"/>
    </row>
    <row r="80" spans="1:49">
      <c r="A80" s="194"/>
      <c r="B80" s="199" t="str">
        <f>B61</f>
        <v>Telesites</v>
      </c>
      <c r="C80" s="184" t="str">
        <f>C61</f>
        <v>MXN 19.3</v>
      </c>
      <c r="D80" s="184" t="str">
        <f>D61</f>
        <v>MXN 17.0</v>
      </c>
      <c r="E80" s="185">
        <f>E61</f>
        <v>-0.11734164070612674</v>
      </c>
      <c r="F80" s="184" t="str">
        <f>F61</f>
        <v>Neutral</v>
      </c>
      <c r="H80" s="569">
        <f>SITES!$D$41</f>
        <v>3.1131168204341768</v>
      </c>
      <c r="I80" s="569">
        <f>SITES!$E$41</f>
        <v>3.3284797596551194</v>
      </c>
      <c r="J80" s="569">
        <f>SITES!$F$41</f>
        <v>3.6444663202279024</v>
      </c>
      <c r="K80" s="569">
        <f>SITES!$G$41</f>
        <v>4.1618892475926179</v>
      </c>
      <c r="L80" s="580"/>
      <c r="M80" s="569">
        <f>IFERROR(SITES!$D$42,"-")</f>
        <v>2.6435267138343592</v>
      </c>
      <c r="N80" s="569">
        <f>IFERROR(SITES!$E$42,"-")</f>
        <v>2.6874926792469762</v>
      </c>
      <c r="O80" s="569">
        <f>IFERROR(SITES!$F$42,"-")</f>
        <v>2.7043050061979828</v>
      </c>
      <c r="P80" s="569">
        <f>IFERROR(SITES!$G$42,"-")</f>
        <v>2.698250651885123</v>
      </c>
      <c r="Q80" s="578"/>
      <c r="R80" s="569">
        <f>(SITES!D$12/SITES!D$24)</f>
        <v>2.6921799137591189</v>
      </c>
      <c r="S80" s="569">
        <f>(SITES!E$12/SITES!E$24)</f>
        <v>2.2381691343039587</v>
      </c>
      <c r="T80" s="569">
        <f>(SITES!F$12/SITES!F$24)</f>
        <v>1.8110213874621923</v>
      </c>
      <c r="U80" s="569">
        <f>(SITES!G$12/SITES!G$24)</f>
        <v>1.3953192348589651</v>
      </c>
    </row>
    <row r="81" spans="1:49">
      <c r="A81" s="194"/>
    </row>
    <row r="82" spans="1:49">
      <c r="A82" s="194"/>
    </row>
    <row r="83" spans="1:49" collapsed="1">
      <c r="B83" s="164"/>
      <c r="C83" s="165" t="s">
        <v>464</v>
      </c>
      <c r="D83" s="165" t="s">
        <v>57</v>
      </c>
      <c r="E83" s="165" t="s">
        <v>59</v>
      </c>
      <c r="F83" s="165" t="s">
        <v>56</v>
      </c>
      <c r="H83" s="166" t="s">
        <v>793</v>
      </c>
      <c r="I83" s="166"/>
      <c r="J83" s="166"/>
      <c r="K83" s="166"/>
      <c r="M83" s="166" t="s">
        <v>791</v>
      </c>
      <c r="N83" s="166"/>
      <c r="O83" s="166"/>
      <c r="P83" s="166"/>
      <c r="R83" s="166" t="s">
        <v>792</v>
      </c>
      <c r="S83" s="166"/>
      <c r="T83" s="166"/>
      <c r="U83" s="166"/>
    </row>
    <row r="84" spans="1:49">
      <c r="A84" s="42"/>
      <c r="B84" s="197" t="str">
        <f t="shared" ref="B84:F85" si="9">B65</f>
        <v>Cellnex</v>
      </c>
      <c r="C84" s="180" t="str">
        <f t="shared" si="9"/>
        <v>EUR 33.5</v>
      </c>
      <c r="D84" s="180" t="str">
        <f t="shared" si="9"/>
        <v>EUR 32.0</v>
      </c>
      <c r="E84" s="68">
        <f t="shared" si="9"/>
        <v>-4.3348281016442503E-2</v>
      </c>
      <c r="F84" s="180" t="str">
        <f t="shared" si="9"/>
        <v>Neutral</v>
      </c>
      <c r="H84" s="204">
        <f>(CLNX!D$23/CLNX!C$23)-1</f>
        <v>6.1452184728230996E-2</v>
      </c>
      <c r="I84" s="204">
        <f>(CLNX!E$23/CLNX!D$23)-1</f>
        <v>4.0676102572037687E-2</v>
      </c>
      <c r="J84" s="204">
        <f>(CLNX!F$23/CLNX!E$23)-1</f>
        <v>4.960326129353243E-2</v>
      </c>
      <c r="K84" s="204">
        <f>(CLNX!G$23/CLNX!F$23)-1</f>
        <v>4.6557650672482076E-2</v>
      </c>
      <c r="M84" s="204">
        <f>(CLNX!D$24/CLNX!C$24)-1</f>
        <v>0.19661072499659826</v>
      </c>
      <c r="N84" s="204">
        <f>(CLNX!E$24/CLNX!D$24)-1</f>
        <v>0.10665259131264238</v>
      </c>
      <c r="O84" s="204">
        <f>(CLNX!F$24/CLNX!E$24)-1</f>
        <v>8.9510293553860087E-2</v>
      </c>
      <c r="P84" s="204">
        <f>(CLNX!G$24/CLNX!F$24)-1</f>
        <v>6.8875548558905875E-2</v>
      </c>
      <c r="Q84" s="177"/>
      <c r="R84" s="204">
        <f>(CLNX!D$25/CLNX!C$25)-1</f>
        <v>-1.6156527105021061</v>
      </c>
      <c r="S84" s="204">
        <f>(CLNX!E$25/CLNX!D$25)-1</f>
        <v>0.41406732316698824</v>
      </c>
      <c r="T84" s="204">
        <f>(CLNX!F$25/CLNX!E$25)-1</f>
        <v>-6.9057798175292673E-3</v>
      </c>
      <c r="U84" s="204">
        <f>(CLNX!G$25/CLNX!F$25)-1</f>
        <v>0.72166330936102452</v>
      </c>
    </row>
    <row r="85" spans="1:49">
      <c r="A85" s="42"/>
      <c r="B85" s="197" t="str">
        <f t="shared" si="9"/>
        <v>Inwit</v>
      </c>
      <c r="C85" s="180" t="str">
        <f t="shared" si="9"/>
        <v>EUR 10.0</v>
      </c>
      <c r="D85" s="180" t="str">
        <f t="shared" si="9"/>
        <v>EUR 12.1</v>
      </c>
      <c r="E85" s="68">
        <f t="shared" si="9"/>
        <v>0.21121121121121122</v>
      </c>
      <c r="F85" s="180" t="str">
        <f t="shared" si="9"/>
        <v>Neutral</v>
      </c>
      <c r="H85" s="204">
        <f>(INWIT!D$23/INWIT!C$23)-1</f>
        <v>8.5709820677803084E-2</v>
      </c>
      <c r="I85" s="204">
        <f>(INWIT!E$23/INWIT!D$23)-1</f>
        <v>5.7975052868856292E-2</v>
      </c>
      <c r="J85" s="204">
        <f>(INWIT!F$23/INWIT!E$23)-1</f>
        <v>5.1540876294654536E-2</v>
      </c>
      <c r="K85" s="204">
        <f>(INWIT!G$23/INWIT!F$23)-1</f>
        <v>3.7272683459913081E-2</v>
      </c>
      <c r="M85" s="204">
        <f>(INWIT!D$24/INWIT!C$24)-1</f>
        <v>0.16796859960579158</v>
      </c>
      <c r="N85" s="204">
        <f>(INWIT!E$24/INWIT!D$24)-1</f>
        <v>0.1070336357702939</v>
      </c>
      <c r="O85" s="204">
        <f>(INWIT!F$24/INWIT!E$24)-1</f>
        <v>7.4505820397834155E-2</v>
      </c>
      <c r="P85" s="204">
        <f>(INWIT!G$24/INWIT!F$24)-1</f>
        <v>6.5945410861038445E-2</v>
      </c>
      <c r="Q85" s="180"/>
      <c r="R85" s="204">
        <f>(INWIT!D$25/INWIT!C$25)-1</f>
        <v>-2.6441983148736137E-3</v>
      </c>
      <c r="S85" s="204">
        <f>(INWIT!E$25/INWIT!D$25)-1</f>
        <v>0.1767139466997385</v>
      </c>
      <c r="T85" s="204">
        <f>(INWIT!F$25/INWIT!E$25)-1</f>
        <v>0.19611438041468521</v>
      </c>
      <c r="U85" s="204">
        <f>(INWIT!G$25/INWIT!F$25)-1</f>
        <v>0.14576056624176648</v>
      </c>
    </row>
    <row r="86" spans="1:49">
      <c r="A86" s="42"/>
      <c r="B86" s="48"/>
      <c r="C86" s="44"/>
      <c r="D86" s="183"/>
      <c r="E86" s="45"/>
      <c r="F86" s="44"/>
      <c r="H86" s="205"/>
      <c r="I86" s="205"/>
      <c r="J86" s="205"/>
      <c r="K86" s="205"/>
      <c r="L86" s="183"/>
      <c r="M86" s="205"/>
      <c r="N86" s="205"/>
      <c r="O86" s="205"/>
      <c r="P86" s="205"/>
      <c r="Q86" s="177"/>
      <c r="R86" s="205"/>
      <c r="S86" s="205"/>
      <c r="T86" s="205"/>
      <c r="U86" s="205"/>
    </row>
    <row r="87" spans="1:49">
      <c r="A87" s="42"/>
      <c r="B87" s="48" t="str">
        <f t="shared" ref="B87:F89" si="10">B68</f>
        <v>American Tower</v>
      </c>
      <c r="C87" s="44" t="str">
        <f t="shared" si="10"/>
        <v>USD 185.9</v>
      </c>
      <c r="D87" s="183" t="str">
        <f t="shared" si="10"/>
        <v>USD 239.0</v>
      </c>
      <c r="E87" s="45">
        <f t="shared" si="10"/>
        <v>0.28543000053783674</v>
      </c>
      <c r="F87" s="44" t="str">
        <f t="shared" si="10"/>
        <v>Neutral</v>
      </c>
      <c r="H87" s="205">
        <f>(AMT!D$23/AMT!C$23)-1</f>
        <v>3.5663827666332804E-2</v>
      </c>
      <c r="I87" s="205">
        <f>(AMT!E$23/AMT!D$23)-1</f>
        <v>2.9480409324793122E-2</v>
      </c>
      <c r="J87" s="205">
        <f>(AMT!F$23/AMT!E$23)-1</f>
        <v>3.1844180456337412E-2</v>
      </c>
      <c r="K87" s="205">
        <f>(AMT!G$23/AMT!F$23)-1</f>
        <v>4.0527920814513507E-2</v>
      </c>
      <c r="L87" s="183"/>
      <c r="M87" s="205">
        <f>(AMT!D$24/AMT!C$24)-1</f>
        <v>6.3840381657515488E-2</v>
      </c>
      <c r="N87" s="205">
        <f>(AMT!E$24/AMT!D$24)-1</f>
        <v>3.3656508818886932E-2</v>
      </c>
      <c r="O87" s="205">
        <f>(AMT!F$24/AMT!E$24)-1</f>
        <v>3.6448800103691337E-2</v>
      </c>
      <c r="P87" s="205">
        <f>(AMT!G$24/AMT!F$24)-1</f>
        <v>4.8502936883115133E-2</v>
      </c>
      <c r="Q87" s="177"/>
      <c r="R87" s="205">
        <f>(AMT!D$25/AMT!C$25)-1</f>
        <v>0.13086626971628745</v>
      </c>
      <c r="S87" s="205">
        <f>(AMT!E$25/AMT!D$25)-1</f>
        <v>8.268884586477343E-2</v>
      </c>
      <c r="T87" s="205">
        <f>(AMT!F$25/AMT!E$25)-1</f>
        <v>5.2680400745817035E-2</v>
      </c>
      <c r="U87" s="205">
        <f>(AMT!G$25/AMT!F$25)-1</f>
        <v>6.5436471703612886E-2</v>
      </c>
    </row>
    <row r="88" spans="1:49">
      <c r="A88" s="42"/>
      <c r="B88" s="48" t="str">
        <f t="shared" si="10"/>
        <v>Crown Castle</v>
      </c>
      <c r="C88" s="44" t="str">
        <f t="shared" si="10"/>
        <v>USD 98.1</v>
      </c>
      <c r="D88" s="183" t="str">
        <f t="shared" si="10"/>
        <v>USD 123.0</v>
      </c>
      <c r="E88" s="45">
        <f t="shared" si="10"/>
        <v>0.25356706074194868</v>
      </c>
      <c r="F88" s="44" t="str">
        <f t="shared" si="10"/>
        <v>Neutral</v>
      </c>
      <c r="H88" s="205">
        <f>(CCI!D$23/CCI!C$23)-1</f>
        <v>2.7317337937822206E-2</v>
      </c>
      <c r="I88" s="205">
        <f>(CCI!E$23/CCI!D$23)-1</f>
        <v>-7.7687887294309865E-3</v>
      </c>
      <c r="J88" s="205">
        <f>(CCI!F$23/CCI!E$23)-1</f>
        <v>8.048501850871137E-3</v>
      </c>
      <c r="K88" s="205">
        <f>(CCI!G$23/CCI!F$23)-1</f>
        <v>4.2893968498282753E-2</v>
      </c>
      <c r="L88" s="183"/>
      <c r="M88" s="205">
        <f>(CCI!D$24/CCI!C$24)-1</f>
        <v>2.7023579891735761E-2</v>
      </c>
      <c r="N88" s="205">
        <f>(CCI!E$24/CCI!D$24)-1</f>
        <v>-2.2635009995250255E-2</v>
      </c>
      <c r="O88" s="205">
        <f>(CCI!F$24/CCI!E$24)-1</f>
        <v>4.6484334464957922E-3</v>
      </c>
      <c r="P88" s="205">
        <f>(CCI!G$24/CCI!F$24)-1</f>
        <v>6.2969356230603735E-2</v>
      </c>
      <c r="Q88" s="177"/>
      <c r="R88" s="205">
        <f>(CCI!D$25/CCI!C$25)-1</f>
        <v>-6.3919547610840732E-2</v>
      </c>
      <c r="S88" s="205">
        <f>(CCI!E$25/CCI!D$25)-1</f>
        <v>-2.7775562862109027E-3</v>
      </c>
      <c r="T88" s="205">
        <f>(CCI!F$25/CCI!E$25)-1</f>
        <v>1.2856004683136746E-2</v>
      </c>
      <c r="U88" s="205">
        <f>(CCI!G$25/CCI!F$25)-1</f>
        <v>9.4732549061672833E-2</v>
      </c>
    </row>
    <row r="89" spans="1:49">
      <c r="A89" s="42"/>
      <c r="B89" s="48" t="str">
        <f t="shared" si="10"/>
        <v xml:space="preserve">SBA </v>
      </c>
      <c r="C89" s="44" t="str">
        <f t="shared" si="10"/>
        <v>USD 188.1</v>
      </c>
      <c r="D89" s="183" t="str">
        <f t="shared" si="10"/>
        <v>USD 244.0</v>
      </c>
      <c r="E89" s="45">
        <f t="shared" si="10"/>
        <v>0.29725131585942899</v>
      </c>
      <c r="F89" s="44" t="str">
        <f t="shared" si="10"/>
        <v>Neutral</v>
      </c>
      <c r="H89" s="205">
        <f>(SBAC!D$23/SBAC!C$23)-1</f>
        <v>2.9345335261437677E-2</v>
      </c>
      <c r="I89" s="205">
        <f>(SBAC!E$23/SBAC!D$23)-1</f>
        <v>5.3767792681301163E-2</v>
      </c>
      <c r="J89" s="205">
        <f>(SBAC!F$23/SBAC!E$23)-1</f>
        <v>5.0776872395606354E-2</v>
      </c>
      <c r="K89" s="205">
        <f>(SBAC!G$23/SBAC!F$23)-1</f>
        <v>-2.6207644039189848E-2</v>
      </c>
      <c r="L89" s="183"/>
      <c r="M89" s="205">
        <f>(SBAC!D$24/SBAC!C$24)-1</f>
        <v>5.8650689838794401E-2</v>
      </c>
      <c r="N89" s="205">
        <f>(SBAC!E$24/SBAC!D$24)-1</f>
        <v>5.7162242410826902E-2</v>
      </c>
      <c r="O89" s="205">
        <f>(SBAC!F$24/SBAC!E$24)-1</f>
        <v>4.7740291035394344E-2</v>
      </c>
      <c r="P89" s="205">
        <f>(SBAC!G$24/SBAC!F$24)-1</f>
        <v>-7.2224718241664654E-4</v>
      </c>
      <c r="Q89" s="177"/>
      <c r="R89" s="205">
        <f>(SBAC!D$25/SBAC!C$25)-1</f>
        <v>1.8724805972610614E-2</v>
      </c>
      <c r="S89" s="205">
        <f>(SBAC!E$25/SBAC!D$25)-1</f>
        <v>2.928876712539985E-2</v>
      </c>
      <c r="T89" s="205">
        <f>(SBAC!F$25/SBAC!E$25)-1</f>
        <v>5.2974131056102047E-2</v>
      </c>
      <c r="U89" s="205">
        <f>(SBAC!G$25/SBAC!F$25)-1</f>
        <v>8.7206725302557686E-4</v>
      </c>
    </row>
    <row r="90" spans="1:49">
      <c r="A90" s="42"/>
      <c r="B90" s="48"/>
      <c r="C90" s="44"/>
      <c r="D90" s="44"/>
      <c r="E90" s="45"/>
      <c r="F90" s="44"/>
      <c r="H90" s="205"/>
      <c r="I90" s="205"/>
      <c r="J90" s="205"/>
      <c r="K90" s="205"/>
      <c r="L90" s="183"/>
      <c r="M90" s="205"/>
      <c r="N90" s="205"/>
      <c r="O90" s="205"/>
      <c r="P90" s="205"/>
      <c r="Q90" s="177"/>
      <c r="R90" s="205"/>
      <c r="S90" s="205"/>
      <c r="T90" s="205"/>
      <c r="U90" s="205"/>
    </row>
    <row r="91" spans="1:49">
      <c r="A91" s="42"/>
      <c r="B91" s="48" t="str">
        <f t="shared" ref="B91:F94" si="11">B72</f>
        <v>Bharti Infratel</v>
      </c>
      <c r="C91" s="44" t="str">
        <f t="shared" si="11"/>
        <v>INR 347</v>
      </c>
      <c r="D91" s="44" t="str">
        <f t="shared" si="11"/>
        <v>INR 265</v>
      </c>
      <c r="E91" s="45">
        <f t="shared" si="11"/>
        <v>-0.23554017020049034</v>
      </c>
      <c r="F91" s="44" t="str">
        <f t="shared" si="11"/>
        <v>Neutral</v>
      </c>
      <c r="H91" s="205">
        <f>(BHIN!D$23/BHIN!C$23)-1</f>
        <v>3.1624079361682655E-2</v>
      </c>
      <c r="I91" s="205">
        <f>(BHIN!E$23/BHIN!D$23)-1</f>
        <v>2.4830438428160573E-2</v>
      </c>
      <c r="J91" s="205">
        <f>(BHIN!F$23/BHIN!E$23)-1</f>
        <v>1.6673177872598366E-2</v>
      </c>
      <c r="K91" s="205">
        <f>(BHIN!G$23/BHIN!F$23)-1</f>
        <v>1.5418886840344426E-2</v>
      </c>
      <c r="L91" s="183"/>
      <c r="M91" s="205">
        <f>(BHIN!D$24/BHIN!C$24)-1</f>
        <v>0.58560242793312156</v>
      </c>
      <c r="N91" s="205">
        <f>(BHIN!E$24/BHIN!D$24)-1</f>
        <v>3.1586428073536954E-2</v>
      </c>
      <c r="O91" s="205">
        <f>(BHIN!F$24/BHIN!E$24)-1</f>
        <v>2.0137659030765365E-2</v>
      </c>
      <c r="P91" s="205">
        <f>(BHIN!G$24/BHIN!F$24)-1</f>
        <v>1.5105233981053567E-2</v>
      </c>
      <c r="Q91" s="177"/>
      <c r="R91" s="205">
        <f>(BHIN!D$25/BHIN!C$25)-1</f>
        <v>-46.78089305230165</v>
      </c>
      <c r="S91" s="205">
        <f>(BHIN!E$25/BHIN!D$25)-1</f>
        <v>4.9157053055124411E-2</v>
      </c>
      <c r="T91" s="205">
        <f>(BHIN!F$25/BHIN!E$25)-1</f>
        <v>3.7493147473391941E-2</v>
      </c>
      <c r="U91" s="205">
        <f>(BHIN!G$25/BHIN!F$25)-1</f>
        <v>2.9651623161660812E-2</v>
      </c>
    </row>
    <row r="92" spans="1:49">
      <c r="A92" s="42"/>
      <c r="B92" s="197" t="str">
        <f t="shared" si="11"/>
        <v>China Tower</v>
      </c>
      <c r="C92" s="180" t="str">
        <f t="shared" si="11"/>
        <v>HKD 0.92</v>
      </c>
      <c r="D92" s="180" t="str">
        <f t="shared" si="11"/>
        <v>HKD 1.40</v>
      </c>
      <c r="E92" s="68">
        <f t="shared" si="11"/>
        <v>0.52173913043478248</v>
      </c>
      <c r="F92" s="44" t="str">
        <f t="shared" si="11"/>
        <v>Buy</v>
      </c>
      <c r="H92" s="205">
        <f>(ChinaTow!D$23/ChinaTow!C$23)-1</f>
        <v>2.4081762113436156E-2</v>
      </c>
      <c r="I92" s="205">
        <f>(ChinaTow!E$23/ChinaTow!D$23)-1</f>
        <v>4.7191665667059013E-2</v>
      </c>
      <c r="J92" s="205">
        <f>(ChinaTow!F$23/ChinaTow!E$23)-1</f>
        <v>5.3895899363782585E-2</v>
      </c>
      <c r="K92" s="205">
        <f>(ChinaTow!G$23/ChinaTow!F$23)-1</f>
        <v>5.1745563885481793E-2</v>
      </c>
      <c r="L92" s="182"/>
      <c r="M92" s="205">
        <f>(ChinaTow!D$24/ChinaTow!C$24)-1</f>
        <v>1.7306215705458872E-2</v>
      </c>
      <c r="N92" s="205">
        <f>(ChinaTow!E$24/ChinaTow!D$24)-1</f>
        <v>5.2199911700681279E-2</v>
      </c>
      <c r="O92" s="205">
        <f>(ChinaTow!F$24/ChinaTow!E$24)-1</f>
        <v>6.134095063691225E-2</v>
      </c>
      <c r="P92" s="205">
        <f>(ChinaTow!G$24/ChinaTow!F$24)-1</f>
        <v>5.1167426865828203E-2</v>
      </c>
      <c r="Q92" s="180"/>
      <c r="R92" s="205">
        <f>(ChinaTow!D$25/ChinaTow!C$25)-1</f>
        <v>0.15846636002045678</v>
      </c>
      <c r="S92" s="205">
        <f>(ChinaTow!E$25/ChinaTow!D$25)-1</f>
        <v>6.289122141213177E-2</v>
      </c>
      <c r="T92" s="205">
        <f>(ChinaTow!F$25/ChinaTow!E$25)-1</f>
        <v>6.3297027521707294E-2</v>
      </c>
      <c r="U92" s="205">
        <f>(ChinaTow!G$25/ChinaTow!F$25)-1</f>
        <v>4.8868148594546801E-2</v>
      </c>
    </row>
    <row r="93" spans="1:49">
      <c r="B93" s="48" t="str">
        <f t="shared" si="11"/>
        <v>Sarana Menara</v>
      </c>
      <c r="C93" s="44" t="str">
        <f t="shared" si="11"/>
        <v>IDR 765</v>
      </c>
      <c r="D93" s="44" t="str">
        <f t="shared" si="11"/>
        <v>IDR 1,900</v>
      </c>
      <c r="E93" s="45">
        <f t="shared" si="11"/>
        <v>1.4836601307189543</v>
      </c>
      <c r="F93" s="44" t="str">
        <f t="shared" si="11"/>
        <v>Buy</v>
      </c>
      <c r="H93" s="205">
        <f>(TOWR!D$23/TOWR!C$23)-1</f>
        <v>3.7355322589333495E-2</v>
      </c>
      <c r="I93" s="205">
        <f>(TOWR!E$23/TOWR!D$23)-1</f>
        <v>6.4283262830046262E-2</v>
      </c>
      <c r="J93" s="205">
        <f>(TOWR!F$23/TOWR!E$23)-1</f>
        <v>6.9072723763925925E-2</v>
      </c>
      <c r="K93" s="205">
        <f>(TOWR!G$23/TOWR!F$23)-1</f>
        <v>6.8546316523080852E-2</v>
      </c>
      <c r="L93" s="183"/>
      <c r="M93" s="205">
        <f>(TOWR!D$24/TOWR!C$24)-1</f>
        <v>3.5753566441334872E-2</v>
      </c>
      <c r="N93" s="205">
        <f>(TOWR!E$24/TOWR!D$24)-1</f>
        <v>6.5988676334274743E-2</v>
      </c>
      <c r="O93" s="205">
        <f>(TOWR!F$24/TOWR!E$24)-1</f>
        <v>7.074886430704308E-2</v>
      </c>
      <c r="P93" s="205">
        <f>(TOWR!G$24/TOWR!F$24)-1</f>
        <v>7.1005174784479319E-2</v>
      </c>
      <c r="Q93" s="177"/>
      <c r="R93" s="205">
        <f>(TOWR!D$25/TOWR!C$25)-1</f>
        <v>1.9044008120339382</v>
      </c>
      <c r="S93" s="205">
        <f>(TOWR!E$25/TOWR!D$25)-1</f>
        <v>0.11720890379450544</v>
      </c>
      <c r="T93" s="205">
        <f>(TOWR!F$25/TOWR!E$25)-1</f>
        <v>0.11967346979507121</v>
      </c>
      <c r="U93" s="205">
        <f>(TOWR!G$25/TOWR!F$25)-1</f>
        <v>8.7010244104421597E-2</v>
      </c>
    </row>
    <row r="94" spans="1:49">
      <c r="B94" s="197" t="str">
        <f t="shared" si="11"/>
        <v>Tower Bersama</v>
      </c>
      <c r="C94" s="180" t="str">
        <f t="shared" si="11"/>
        <v>IDR 1,850</v>
      </c>
      <c r="D94" s="180" t="str">
        <f t="shared" si="11"/>
        <v>IDR 2,200</v>
      </c>
      <c r="E94" s="68">
        <f t="shared" si="11"/>
        <v>0.18918918918918926</v>
      </c>
      <c r="F94" s="180" t="str">
        <f t="shared" si="11"/>
        <v>Neutral</v>
      </c>
      <c r="H94" s="204">
        <f>(TBIG!D$23/TBIG!C$23)-1</f>
        <v>1.8951383351502038E-2</v>
      </c>
      <c r="I94" s="204">
        <f>(TBIG!E$23/TBIG!D$23)-1</f>
        <v>5.5513925122483654E-2</v>
      </c>
      <c r="J94" s="204">
        <f>(TBIG!F$23/TBIG!E$23)-1</f>
        <v>5.7359941635183098E-2</v>
      </c>
      <c r="K94" s="204">
        <f>(TBIG!G$23/TBIG!F$23)-1</f>
        <v>5.6662887613257773E-2</v>
      </c>
      <c r="L94" s="182"/>
      <c r="M94" s="204">
        <f>(TBIG!D$24/TBIG!C$24)-1</f>
        <v>2.6019277282397058E-2</v>
      </c>
      <c r="N94" s="204">
        <f>(TBIG!E$24/TBIG!D$24)-1</f>
        <v>5.8782543793816089E-2</v>
      </c>
      <c r="O94" s="204">
        <f>(TBIG!F$24/TBIG!E$24)-1</f>
        <v>6.0591526253883199E-2</v>
      </c>
      <c r="P94" s="204">
        <f>(TBIG!G$24/TBIG!F$24)-1</f>
        <v>5.9850305667930481E-2</v>
      </c>
      <c r="Q94" s="180"/>
      <c r="R94" s="204">
        <f>(TBIG!D$25/TBIG!C$25)-1</f>
        <v>1.6225294096063383</v>
      </c>
      <c r="S94" s="204">
        <f>(TBIG!E$25/TBIG!D$25)-1</f>
        <v>5.9630520199463577E-2</v>
      </c>
      <c r="T94" s="204">
        <f>(TBIG!F$25/TBIG!E$25)-1</f>
        <v>6.1426637923071015E-2</v>
      </c>
      <c r="U94" s="204">
        <f>(TBIG!G$25/TBIG!F$25)-1</f>
        <v>6.0670847862403177E-2</v>
      </c>
    </row>
    <row r="95" spans="1:49">
      <c r="A95" s="42"/>
      <c r="B95" s="197" t="s">
        <v>1408</v>
      </c>
      <c r="C95" s="180" t="str">
        <f>C76</f>
        <v>IDR 605</v>
      </c>
      <c r="D95" s="180" t="str">
        <f>D76</f>
        <v>IDR 1,135</v>
      </c>
      <c r="E95" s="68">
        <f>E76</f>
        <v>0.87603305785123964</v>
      </c>
      <c r="F95" s="180" t="str">
        <f>F76</f>
        <v>Buy</v>
      </c>
      <c r="H95" s="204">
        <f>(MITRA!D$23/MITRA!C$23)-1</f>
        <v>0.15361903741543759</v>
      </c>
      <c r="I95" s="204">
        <f>(MITRA!E$23/MITRA!D$23)-1</f>
        <v>8.0960664349765565E-2</v>
      </c>
      <c r="J95" s="204">
        <f>(MITRA!F$23/MITRA!E$23)-1</f>
        <v>6.8374392920373062E-2</v>
      </c>
      <c r="K95" s="204">
        <f>(MITRA!G$23/MITRA!F$23)-1</f>
        <v>8.307865110375845E-2</v>
      </c>
      <c r="L95" s="182"/>
      <c r="M95" s="204">
        <f>(MITRA!D$24/MITRA!C$24)-1</f>
        <v>0.1454774938762613</v>
      </c>
      <c r="N95" s="204">
        <f>(MITRA!E$24/MITRA!D$24)-1</f>
        <v>9.5818900768942505E-2</v>
      </c>
      <c r="O95" s="204">
        <f>(MITRA!F$24/MITRA!E$24)-1</f>
        <v>8.2375568765112206E-2</v>
      </c>
      <c r="P95" s="204">
        <f>(MITRA!G$24/MITRA!F$24)-1</f>
        <v>8.4406238442663151E-2</v>
      </c>
      <c r="Q95" s="180"/>
      <c r="R95" s="204">
        <f>(MITRA!D$25/MITRA!C$25)-1</f>
        <v>-1.5845108942406476</v>
      </c>
      <c r="S95" s="204">
        <f>(MITRA!E$25/MITRA!D$25)-1</f>
        <v>-1.012472881807583</v>
      </c>
      <c r="T95" s="204">
        <f>(MITRA!F$25/MITRA!E$25)-1</f>
        <v>148.20320124542556</v>
      </c>
      <c r="U95" s="204">
        <f>(MITRA!G$25/MITRA!F$25)-1</f>
        <v>9.8454950254088347E-2</v>
      </c>
      <c r="AT95" s="198"/>
      <c r="AU95" s="198"/>
      <c r="AV95" s="198"/>
      <c r="AW95" s="198"/>
    </row>
    <row r="96" spans="1:49">
      <c r="B96" s="48"/>
      <c r="C96" s="44"/>
      <c r="D96" s="44"/>
      <c r="E96" s="45"/>
      <c r="F96" s="44"/>
      <c r="H96" s="205"/>
      <c r="I96" s="205"/>
      <c r="J96" s="205"/>
      <c r="K96" s="205"/>
      <c r="L96" s="183"/>
      <c r="M96" s="205"/>
      <c r="N96" s="205"/>
      <c r="O96" s="205"/>
      <c r="P96" s="205"/>
      <c r="Q96" s="177"/>
      <c r="R96" s="205"/>
      <c r="S96" s="205"/>
      <c r="T96" s="205"/>
      <c r="U96" s="205"/>
    </row>
    <row r="97" spans="1:21">
      <c r="B97" s="48" t="str">
        <f>B78</f>
        <v>IHS</v>
      </c>
      <c r="C97" s="44" t="str">
        <f>C78</f>
        <v>USD 3.3</v>
      </c>
      <c r="D97" s="44" t="str">
        <f>D78</f>
        <v>USD 8.0</v>
      </c>
      <c r="E97" s="45">
        <f>E78</f>
        <v>1.3952095808383236</v>
      </c>
      <c r="F97" s="44" t="str">
        <f>F78</f>
        <v>Buy</v>
      </c>
      <c r="H97" s="205">
        <f>(IHS!D$23/IHS!C$23)-1</f>
        <v>8.3740418977422459E-2</v>
      </c>
      <c r="I97" s="205">
        <f>(IHS!E$23/IHS!D$23)-1</f>
        <v>-0.15418155375143194</v>
      </c>
      <c r="J97" s="205">
        <f>(IHS!F$23/IHS!E$23)-1</f>
        <v>9.2372935061576511E-2</v>
      </c>
      <c r="K97" s="205">
        <f>(IHS!G$23/IHS!F$23)-1</f>
        <v>0.11060002453149886</v>
      </c>
      <c r="L97" s="183"/>
      <c r="M97" s="205">
        <f>(IHS!D$24/IHS!C$24)-1</f>
        <v>9.8070945310485325E-2</v>
      </c>
      <c r="N97" s="205">
        <f>(IHS!E$24/IHS!D$24)-1</f>
        <v>-0.12005162660519975</v>
      </c>
      <c r="O97" s="205">
        <f>(IHS!F$24/IHS!E$24)-1</f>
        <v>0.10037919435006604</v>
      </c>
      <c r="P97" s="205">
        <f>(IHS!G$24/IHS!F$24)-1</f>
        <v>0.11789618760086817</v>
      </c>
      <c r="Q97" s="177"/>
      <c r="R97" s="205">
        <f>(IHS!D$25/IHS!C$25)-1</f>
        <v>0.37532525051209698</v>
      </c>
      <c r="S97" s="205">
        <f>(IHS!E$25/IHS!D$25)-1</f>
        <v>0.18198727007535975</v>
      </c>
      <c r="T97" s="205">
        <f>(IHS!F$25/IHS!E$25)-1</f>
        <v>0.15032543757615624</v>
      </c>
      <c r="U97" s="205">
        <f>(IHS!G$25/IHS!F$25)-1</f>
        <v>0.15071804189071436</v>
      </c>
    </row>
    <row r="98" spans="1:21">
      <c r="A98" s="194"/>
      <c r="B98" s="48"/>
      <c r="C98" s="44"/>
      <c r="D98" s="44"/>
      <c r="E98" s="45"/>
      <c r="F98" s="44"/>
      <c r="H98" s="205"/>
      <c r="I98" s="205"/>
      <c r="J98" s="205"/>
      <c r="K98" s="205"/>
      <c r="L98" s="183"/>
      <c r="M98" s="205"/>
      <c r="N98" s="205"/>
      <c r="O98" s="205"/>
      <c r="P98" s="205"/>
      <c r="Q98" s="177"/>
      <c r="R98" s="205"/>
      <c r="S98" s="205"/>
      <c r="T98" s="205"/>
      <c r="U98" s="205"/>
    </row>
    <row r="99" spans="1:21">
      <c r="B99" s="199" t="str">
        <f>B80</f>
        <v>Telesites</v>
      </c>
      <c r="C99" s="184" t="str">
        <f>C80</f>
        <v>MXN 19.3</v>
      </c>
      <c r="D99" s="184" t="str">
        <f>D80</f>
        <v>MXN 17.0</v>
      </c>
      <c r="E99" s="185">
        <f>E80</f>
        <v>-0.11734164070612674</v>
      </c>
      <c r="F99" s="184" t="str">
        <f>F80</f>
        <v>Neutral</v>
      </c>
      <c r="H99" s="206">
        <f>IFERROR(((SITES!D$23/SITES!C$23)-1), "na")</f>
        <v>9.8075884682450987E-2</v>
      </c>
      <c r="I99" s="206">
        <f>(SITES!E$23/SITES!D$23)-1</f>
        <v>7.5862627424408968E-2</v>
      </c>
      <c r="J99" s="206">
        <f>(SITES!F$23/SITES!E$23)-1</f>
        <v>7.228564973388063E-2</v>
      </c>
      <c r="K99" s="206">
        <f>(SITES!G$23/SITES!F$23)-1</f>
        <v>6.9421148701406921E-2</v>
      </c>
      <c r="L99" s="183"/>
      <c r="M99" s="206">
        <f>(SITES!D$24/SITES!C$24)-1</f>
        <v>9.6110765755419436E-2</v>
      </c>
      <c r="N99" s="206">
        <f>(SITES!E$24/SITES!D$24)-1</f>
        <v>7.4236709442885296E-2</v>
      </c>
      <c r="O99" s="206">
        <f>(SITES!F$24/SITES!E$24)-1</f>
        <v>7.0602094614705013E-2</v>
      </c>
      <c r="P99" s="206">
        <f>(SITES!G$24/SITES!F$24)-1</f>
        <v>6.7698253932268138E-2</v>
      </c>
      <c r="Q99" s="177"/>
      <c r="R99" s="206">
        <f>IFERROR(((SITES!D$25/SITES!C$25)-1), "na")</f>
        <v>0.13160006288691473</v>
      </c>
      <c r="S99" s="206">
        <f>(SITES!E$25/SITES!D$25)-1</f>
        <v>7.0291523639488762E-2</v>
      </c>
      <c r="T99" s="206">
        <f>(SITES!F$25/SITES!E$25)-1</f>
        <v>7.7192845659690201E-2</v>
      </c>
      <c r="U99" s="206">
        <f>(SITES!G$25/SITES!F$25)-1</f>
        <v>8.6248379273811793E-2</v>
      </c>
    </row>
    <row r="100" spans="1:21">
      <c r="A100" s="42"/>
      <c r="L100" s="187"/>
    </row>
    <row r="101" spans="1:21">
      <c r="A101" s="42"/>
      <c r="L101" s="187"/>
    </row>
    <row r="102" spans="1:21">
      <c r="A102" s="42"/>
      <c r="B102" s="164"/>
      <c r="C102" s="165" t="s">
        <v>464</v>
      </c>
      <c r="D102" s="165" t="s">
        <v>57</v>
      </c>
      <c r="E102" s="165" t="s">
        <v>59</v>
      </c>
      <c r="F102" s="165" t="s">
        <v>56</v>
      </c>
      <c r="H102" s="166" t="s">
        <v>468</v>
      </c>
      <c r="I102" s="166"/>
      <c r="J102" s="166"/>
      <c r="K102" s="166"/>
      <c r="M102" s="166" t="s">
        <v>469</v>
      </c>
      <c r="N102" s="166"/>
      <c r="O102" s="166"/>
      <c r="P102" s="166"/>
      <c r="R102" s="166" t="s">
        <v>786</v>
      </c>
      <c r="S102" s="166"/>
      <c r="T102" s="166"/>
      <c r="U102" s="166"/>
    </row>
    <row r="103" spans="1:21">
      <c r="A103" s="42"/>
      <c r="B103" s="197" t="str">
        <f t="shared" ref="B103:F104" si="12">B84</f>
        <v>Cellnex</v>
      </c>
      <c r="C103" s="180" t="str">
        <f t="shared" si="12"/>
        <v>EUR 33.5</v>
      </c>
      <c r="D103" s="180" t="str">
        <f t="shared" si="12"/>
        <v>EUR 32.0</v>
      </c>
      <c r="E103" s="68">
        <f t="shared" si="12"/>
        <v>-4.3348281016442503E-2</v>
      </c>
      <c r="F103" s="180" t="str">
        <f t="shared" si="12"/>
        <v>Neutral</v>
      </c>
      <c r="H103" s="570">
        <f>(CLNX!D$24/CLNX!D$23)</f>
        <v>0.46857193805830921</v>
      </c>
      <c r="I103" s="570">
        <f>(CLNX!E$24/CLNX!E$23)</f>
        <v>0.49827832904688035</v>
      </c>
      <c r="J103" s="570">
        <f>(CLNX!F$24/CLNX!F$23)</f>
        <v>0.51722340104235986</v>
      </c>
      <c r="K103" s="570">
        <f>(CLNX!G$24/CLNX!G$23)</f>
        <v>0.52825321773856848</v>
      </c>
      <c r="L103" s="575"/>
      <c r="M103" s="570">
        <f>(CLNX!D$25/CLNX!D$23)</f>
        <v>0.11911718334505091</v>
      </c>
      <c r="N103" s="570">
        <f>(CLNX!E$25/CLNX!E$23)</f>
        <v>0.1618560435659353</v>
      </c>
      <c r="O103" s="570">
        <f>(CLNX!F$25/CLNX!F$23)</f>
        <v>0.15314196067649258</v>
      </c>
      <c r="P103" s="570">
        <f>(CLNX!G$25/CLNX!G$23)</f>
        <v>0.25192964252939909</v>
      </c>
      <c r="Q103" s="571"/>
      <c r="R103" s="570">
        <f>(CLNX!D$24-CLNX!D$25)/CLNX!D$23</f>
        <v>0.34945475471325832</v>
      </c>
      <c r="S103" s="570">
        <f>(CLNX!E$24-CLNX!E$25)/CLNX!E$23</f>
        <v>0.33642228548094505</v>
      </c>
      <c r="T103" s="570">
        <f>(CLNX!F$24-CLNX!F$25)/CLNX!F$23</f>
        <v>0.36408144036586726</v>
      </c>
      <c r="U103" s="570">
        <f>(CLNX!G$24-CLNX!G$25)/CLNX!G$23</f>
        <v>0.27632357520916939</v>
      </c>
    </row>
    <row r="104" spans="1:21">
      <c r="A104" s="42"/>
      <c r="B104" s="197" t="str">
        <f t="shared" si="12"/>
        <v>Inwit</v>
      </c>
      <c r="C104" s="180" t="str">
        <f t="shared" si="12"/>
        <v>EUR 10.0</v>
      </c>
      <c r="D104" s="180" t="str">
        <f t="shared" si="12"/>
        <v>EUR 12.1</v>
      </c>
      <c r="E104" s="68">
        <f t="shared" si="12"/>
        <v>0.21121121121121122</v>
      </c>
      <c r="F104" s="180" t="str">
        <f t="shared" si="12"/>
        <v>Neutral</v>
      </c>
      <c r="H104" s="570">
        <f>(INWIT!D$24/INWIT!D$23)</f>
        <v>0.65758747368219317</v>
      </c>
      <c r="I104" s="570">
        <f>(INWIT!E$24/INWIT!E$23)</f>
        <v>0.68807997868512905</v>
      </c>
      <c r="J104" s="570">
        <f>(INWIT!F$24/INWIT!F$23)</f>
        <v>0.70310718172140274</v>
      </c>
      <c r="K104" s="570">
        <f>(INWIT!G$24/INWIT!G$23)</f>
        <v>0.72254276589973643</v>
      </c>
      <c r="L104" s="575"/>
      <c r="M104" s="570">
        <f>(INWIT!D$25/INWIT!D$23)</f>
        <v>0.38261548242741727</v>
      </c>
      <c r="N104" s="570">
        <f>(INWIT!E$25/INWIT!E$23)</f>
        <v>0.42555726921417286</v>
      </c>
      <c r="O104" s="570">
        <f>(INWIT!F$25/INWIT!F$23)</f>
        <v>0.48406598437780884</v>
      </c>
      <c r="P104" s="570">
        <f>(INWIT!G$25/INWIT!G$23)</f>
        <v>0.53469422766355013</v>
      </c>
      <c r="Q104" s="572"/>
      <c r="R104" s="570">
        <f>(INWIT!D$24-INWIT!D$25)/INWIT!D$23</f>
        <v>0.27497199125477589</v>
      </c>
      <c r="S104" s="570">
        <f>(INWIT!E$24-INWIT!E$25)/INWIT!E$23</f>
        <v>0.26252270947095613</v>
      </c>
      <c r="T104" s="570">
        <f>(INWIT!F$24-INWIT!F$25)/INWIT!F$23</f>
        <v>0.21904119734359387</v>
      </c>
      <c r="U104" s="570">
        <f>(INWIT!G$24-INWIT!G$25)/INWIT!G$23</f>
        <v>0.18784853823618633</v>
      </c>
    </row>
    <row r="105" spans="1:21">
      <c r="A105" s="42"/>
      <c r="B105" s="48"/>
      <c r="C105" s="44"/>
      <c r="D105" s="183"/>
      <c r="E105" s="45"/>
      <c r="F105" s="44"/>
      <c r="H105" s="573"/>
      <c r="I105" s="573"/>
      <c r="J105" s="573"/>
      <c r="K105" s="573"/>
      <c r="L105" s="576"/>
      <c r="M105" s="573"/>
      <c r="N105" s="573"/>
      <c r="O105" s="573"/>
      <c r="P105" s="573"/>
      <c r="Q105" s="571"/>
      <c r="R105" s="573"/>
      <c r="S105" s="573"/>
      <c r="T105" s="573"/>
      <c r="U105" s="573"/>
    </row>
    <row r="106" spans="1:21">
      <c r="A106" s="42"/>
      <c r="B106" s="48" t="str">
        <f t="shared" ref="B106:F108" si="13">B87</f>
        <v>American Tower</v>
      </c>
      <c r="C106" s="44" t="str">
        <f t="shared" si="13"/>
        <v>USD 185.9</v>
      </c>
      <c r="D106" s="183" t="str">
        <f t="shared" si="13"/>
        <v>USD 239.0</v>
      </c>
      <c r="E106" s="45">
        <f t="shared" si="13"/>
        <v>0.28543000053783674</v>
      </c>
      <c r="F106" s="44" t="str">
        <f t="shared" si="13"/>
        <v>Neutral</v>
      </c>
      <c r="H106" s="573">
        <f>(AMT!D$24/AMT!D$23)</f>
        <v>0.63719567991452442</v>
      </c>
      <c r="I106" s="573">
        <f>(AMT!E$24/AMT!E$23)</f>
        <v>0.63978047174973285</v>
      </c>
      <c r="J106" s="573">
        <f>(AMT!F$24/AMT!F$23)</f>
        <v>0.6426355014005366</v>
      </c>
      <c r="K106" s="573">
        <f>(AMT!G$24/AMT!G$23)</f>
        <v>0.64756091315297792</v>
      </c>
      <c r="L106" s="576"/>
      <c r="M106" s="573">
        <f>(AMT!D$25/AMT!D$23)</f>
        <v>0.48634054363709012</v>
      </c>
      <c r="N106" s="573">
        <f>(AMT!E$25/AMT!E$23)</f>
        <v>0.51147693255575433</v>
      </c>
      <c r="O106" s="573">
        <f>(AMT!F$25/AMT!F$23)</f>
        <v>0.52180528080985389</v>
      </c>
      <c r="P106" s="573">
        <f>(AMT!G$25/AMT!G$23)</f>
        <v>0.53429645296511796</v>
      </c>
      <c r="Q106" s="571"/>
      <c r="R106" s="573">
        <f>(AMT!D$24-AMT!D$25)/AMT!D$23</f>
        <v>0.15085513627743433</v>
      </c>
      <c r="S106" s="573">
        <f>(AMT!E$24-AMT!E$25)/AMT!E$23</f>
        <v>0.12830353919397852</v>
      </c>
      <c r="T106" s="573">
        <f>(AMT!F$24-AMT!F$25)/AMT!F$23</f>
        <v>0.12083022059068271</v>
      </c>
      <c r="U106" s="573">
        <f>(AMT!G$24-AMT!G$25)/AMT!G$23</f>
        <v>0.11326446018785997</v>
      </c>
    </row>
    <row r="107" spans="1:21">
      <c r="A107" s="42"/>
      <c r="B107" s="48" t="str">
        <f t="shared" si="13"/>
        <v>Crown Castle</v>
      </c>
      <c r="C107" s="44" t="str">
        <f t="shared" si="13"/>
        <v>USD 98.1</v>
      </c>
      <c r="D107" s="183" t="str">
        <f t="shared" si="13"/>
        <v>USD 123.0</v>
      </c>
      <c r="E107" s="45">
        <f t="shared" si="13"/>
        <v>0.25356706074194868</v>
      </c>
      <c r="F107" s="44" t="str">
        <f t="shared" si="13"/>
        <v>Neutral</v>
      </c>
      <c r="H107" s="573">
        <f>(CCI!D$24/CCI!D$23)</f>
        <v>0.62106484270518758</v>
      </c>
      <c r="I107" s="573">
        <f>(CCI!E$24/CCI!E$23)</f>
        <v>0.6117596653763534</v>
      </c>
      <c r="J107" s="573">
        <f>(CCI!F$24/CCI!F$23)</f>
        <v>0.60969624808492517</v>
      </c>
      <c r="K107" s="573">
        <f>(CCI!G$24/CCI!G$23)</f>
        <v>0.62143271310338832</v>
      </c>
      <c r="L107" s="576"/>
      <c r="M107" s="573">
        <f>(CCI!D$25/CCI!D$23)</f>
        <v>0.39520515943519174</v>
      </c>
      <c r="N107" s="573">
        <f>(CCI!E$25/CCI!E$23)</f>
        <v>0.39719316464113064</v>
      </c>
      <c r="O107" s="573">
        <f>(CCI!F$25/CCI!F$23)</f>
        <v>0.39908742593953317</v>
      </c>
      <c r="P107" s="573">
        <f>(CCI!G$25/CCI!G$23)</f>
        <v>0.41892465417779057</v>
      </c>
      <c r="Q107" s="571"/>
      <c r="R107" s="573">
        <f>(CCI!D$24-CCI!D$25)/CCI!D$23</f>
        <v>0.22585968326999584</v>
      </c>
      <c r="S107" s="573">
        <f>(CCI!E$24-CCI!E$25)/CCI!E$23</f>
        <v>0.21456650073522285</v>
      </c>
      <c r="T107" s="573">
        <f>(CCI!F$24-CCI!F$25)/CCI!F$23</f>
        <v>0.21060882214539203</v>
      </c>
      <c r="U107" s="573">
        <f>(CCI!G$24-CCI!G$25)/CCI!G$23</f>
        <v>0.20250805892559773</v>
      </c>
    </row>
    <row r="108" spans="1:21">
      <c r="A108" s="42"/>
      <c r="B108" s="48" t="str">
        <f t="shared" si="13"/>
        <v xml:space="preserve">SBA </v>
      </c>
      <c r="C108" s="44" t="str">
        <f t="shared" si="13"/>
        <v>USD 188.1</v>
      </c>
      <c r="D108" s="183" t="str">
        <f t="shared" si="13"/>
        <v>USD 244.0</v>
      </c>
      <c r="E108" s="45">
        <f t="shared" si="13"/>
        <v>0.29725131585942899</v>
      </c>
      <c r="F108" s="44" t="str">
        <f t="shared" si="13"/>
        <v>Neutral</v>
      </c>
      <c r="H108" s="573">
        <f>(SBAC!D$24/SBAC!D$23)</f>
        <v>0.69086031019819694</v>
      </c>
      <c r="I108" s="573">
        <f>(SBAC!E$24/SBAC!E$23)</f>
        <v>0.69308574412147639</v>
      </c>
      <c r="J108" s="573">
        <f>(SBAC!F$24/SBAC!F$23)</f>
        <v>0.69108283436307083</v>
      </c>
      <c r="K108" s="573">
        <f>(SBAC!G$24/SBAC!G$23)</f>
        <v>0.70916935988038066</v>
      </c>
      <c r="L108" s="576"/>
      <c r="M108" s="573">
        <f>(SBAC!D$25/SBAC!D$23)</f>
        <v>0.58421510752151495</v>
      </c>
      <c r="N108" s="573">
        <f>(SBAC!E$25/SBAC!E$23)</f>
        <v>0.57064379072241822</v>
      </c>
      <c r="O108" s="573">
        <f>(SBAC!F$25/SBAC!F$23)</f>
        <v>0.57183705262621742</v>
      </c>
      <c r="P108" s="573">
        <f>(SBAC!G$25/SBAC!G$23)</f>
        <v>0.58773898715725048</v>
      </c>
      <c r="Q108" s="571"/>
      <c r="R108" s="573">
        <f>(SBAC!D$24-SBAC!D$25)/SBAC!D$23</f>
        <v>0.10664520267668194</v>
      </c>
      <c r="S108" s="573">
        <f>(SBAC!E$24-SBAC!E$25)/SBAC!E$23</f>
        <v>0.1224419533990582</v>
      </c>
      <c r="T108" s="573">
        <f>(SBAC!F$24-SBAC!F$25)/SBAC!F$23</f>
        <v>0.11924578173685348</v>
      </c>
      <c r="U108" s="573">
        <f>(SBAC!G$24-SBAC!G$25)/SBAC!G$23</f>
        <v>0.12143037272313022</v>
      </c>
    </row>
    <row r="109" spans="1:21">
      <c r="A109" s="42"/>
      <c r="B109" s="48"/>
      <c r="C109" s="44"/>
      <c r="D109" s="44"/>
      <c r="E109" s="45"/>
      <c r="F109" s="44"/>
      <c r="H109" s="573"/>
      <c r="I109" s="573"/>
      <c r="J109" s="573"/>
      <c r="K109" s="573"/>
      <c r="L109" s="576"/>
      <c r="M109" s="573"/>
      <c r="N109" s="573"/>
      <c r="O109" s="573"/>
      <c r="P109" s="573"/>
      <c r="Q109" s="571"/>
      <c r="R109" s="573"/>
      <c r="S109" s="573"/>
      <c r="T109" s="573"/>
      <c r="U109" s="573"/>
    </row>
    <row r="110" spans="1:21">
      <c r="A110" s="42"/>
      <c r="B110" s="48" t="str">
        <f t="shared" ref="B110:F113" si="14">B91</f>
        <v>Bharti Infratel</v>
      </c>
      <c r="C110" s="44" t="str">
        <f t="shared" si="14"/>
        <v>INR 347</v>
      </c>
      <c r="D110" s="44" t="str">
        <f t="shared" si="14"/>
        <v>INR 265</v>
      </c>
      <c r="E110" s="45">
        <f t="shared" si="14"/>
        <v>-0.23554017020049034</v>
      </c>
      <c r="F110" s="44" t="str">
        <f t="shared" si="14"/>
        <v>Neutral</v>
      </c>
      <c r="H110" s="573">
        <f>(BHIN!D$24/BHIN!D$23)</f>
        <v>0.52892498689718348</v>
      </c>
      <c r="I110" s="573">
        <f>(BHIN!E$24/BHIN!E$23)</f>
        <v>0.53241181906050106</v>
      </c>
      <c r="J110" s="573">
        <f>(BHIN!F$24/BHIN!F$23)</f>
        <v>0.53422609994807224</v>
      </c>
      <c r="K110" s="573">
        <f>(BHIN!G$24/BHIN!G$23)</f>
        <v>0.53406108278527564</v>
      </c>
      <c r="L110" s="576"/>
      <c r="M110" s="573">
        <f>(BHIN!D$25/BHIN!D$23)</f>
        <v>0.39308649895965897</v>
      </c>
      <c r="N110" s="573">
        <f>(BHIN!E$25/BHIN!E$23)</f>
        <v>0.40241727546344869</v>
      </c>
      <c r="O110" s="573">
        <f>(BHIN!F$25/BHIN!F$23)</f>
        <v>0.41065818869331761</v>
      </c>
      <c r="P110" s="573">
        <f>(BHIN!G$25/BHIN!G$23)</f>
        <v>0.41641422671231532</v>
      </c>
      <c r="Q110" s="571"/>
      <c r="R110" s="573">
        <f>(BHIN!D$24-BHIN!D$25)/BHIN!D$23</f>
        <v>0.13583848793752451</v>
      </c>
      <c r="S110" s="573">
        <f>(BHIN!E$24-BHIN!E$25)/BHIN!E$23</f>
        <v>0.12999454359705234</v>
      </c>
      <c r="T110" s="573">
        <f>(BHIN!F$24-BHIN!F$25)/BHIN!F$23</f>
        <v>0.12356791125475466</v>
      </c>
      <c r="U110" s="573">
        <f>(BHIN!G$24-BHIN!G$25)/BHIN!G$23</f>
        <v>0.11764685607296033</v>
      </c>
    </row>
    <row r="111" spans="1:21">
      <c r="A111" s="42"/>
      <c r="B111" s="197" t="str">
        <f t="shared" si="14"/>
        <v>China Tower</v>
      </c>
      <c r="C111" s="180" t="str">
        <f t="shared" si="14"/>
        <v>HKD 0.92</v>
      </c>
      <c r="D111" s="180" t="str">
        <f t="shared" si="14"/>
        <v>HKD 1.40</v>
      </c>
      <c r="E111" s="68">
        <f t="shared" si="14"/>
        <v>0.52173913043478248</v>
      </c>
      <c r="F111" s="44" t="str">
        <f t="shared" si="14"/>
        <v>Buy</v>
      </c>
      <c r="H111" s="573">
        <f>(ChinaTow!D$24/ChinaTow!D$23)</f>
        <v>0.67731594342236268</v>
      </c>
      <c r="I111" s="573">
        <f>(ChinaTow!E$24/ChinaTow!E$23)</f>
        <v>0.68055524048551608</v>
      </c>
      <c r="J111" s="573">
        <f>(ChinaTow!F$24/ChinaTow!F$23)</f>
        <v>0.68536289621571722</v>
      </c>
      <c r="K111" s="573">
        <f>(ChinaTow!G$24/ChinaTow!G$23)</f>
        <v>0.6849861571299487</v>
      </c>
      <c r="L111" s="571"/>
      <c r="M111" s="573">
        <f>(ChinaTow!D$25/ChinaTow!D$23)</f>
        <v>0.44965467415161825</v>
      </c>
      <c r="N111" s="573">
        <f>(ChinaTow!E$25/ChinaTow!E$23)</f>
        <v>0.45639592205715712</v>
      </c>
      <c r="O111" s="573">
        <f>(ChinaTow!F$25/ChinaTow!F$23)</f>
        <v>0.46046713682951157</v>
      </c>
      <c r="P111" s="573">
        <f>(ChinaTow!G$25/ChinaTow!G$23)</f>
        <v>0.45920736904347836</v>
      </c>
      <c r="Q111" s="572"/>
      <c r="R111" s="573">
        <f>(ChinaTow!D$24-ChinaTow!D$25)/ChinaTow!D$23</f>
        <v>0.22766126927074434</v>
      </c>
      <c r="S111" s="573">
        <f>(ChinaTow!E$24-ChinaTow!E$25)/ChinaTow!E$23</f>
        <v>0.22415931842835898</v>
      </c>
      <c r="T111" s="573">
        <f>(ChinaTow!F$24-ChinaTow!F$25)/ChinaTow!F$23</f>
        <v>0.22489575938620565</v>
      </c>
      <c r="U111" s="573">
        <f>(ChinaTow!G$24-ChinaTow!G$25)/ChinaTow!G$23</f>
        <v>0.22577878808647031</v>
      </c>
    </row>
    <row r="112" spans="1:21">
      <c r="A112" s="42"/>
      <c r="B112" s="48" t="str">
        <f t="shared" si="14"/>
        <v>Sarana Menara</v>
      </c>
      <c r="C112" s="44" t="str">
        <f t="shared" si="14"/>
        <v>IDR 765</v>
      </c>
      <c r="D112" s="44" t="str">
        <f t="shared" si="14"/>
        <v>IDR 1,900</v>
      </c>
      <c r="E112" s="45">
        <f t="shared" si="14"/>
        <v>1.4836601307189543</v>
      </c>
      <c r="F112" s="44" t="str">
        <f t="shared" si="14"/>
        <v>Buy</v>
      </c>
      <c r="H112" s="573">
        <f>(TOWR!D$24/TOWR!D$23)</f>
        <v>0.86101521788377733</v>
      </c>
      <c r="I112" s="573">
        <f>(TOWR!E$24/TOWR!E$23)</f>
        <v>0.86239491352610154</v>
      </c>
      <c r="J112" s="573">
        <f>(TOWR!F$24/TOWR!F$23)</f>
        <v>0.86374701525557962</v>
      </c>
      <c r="K112" s="573">
        <f>(TOWR!G$24/TOWR!G$23)</f>
        <v>0.86573460479791231</v>
      </c>
      <c r="L112" s="576"/>
      <c r="M112" s="573">
        <f>(TOWR!D$25/TOWR!D$23)</f>
        <v>0.63101521788377724</v>
      </c>
      <c r="N112" s="573">
        <f>(TOWR!E$25/TOWR!E$23)</f>
        <v>0.66239491352610158</v>
      </c>
      <c r="O112" s="573">
        <f>(TOWR!F$25/TOWR!F$23)</f>
        <v>0.69374701525557947</v>
      </c>
      <c r="P112" s="573">
        <f>(TOWR!G$25/TOWR!G$23)</f>
        <v>0.70573460479791239</v>
      </c>
      <c r="Q112" s="571"/>
      <c r="R112" s="573">
        <f>(TOWR!D$24-TOWR!D$25)/TOWR!D$23</f>
        <v>0.23000000000000007</v>
      </c>
      <c r="S112" s="573">
        <f>(TOWR!E$24-TOWR!E$25)/TOWR!E$23</f>
        <v>0.20000000000000004</v>
      </c>
      <c r="T112" s="573">
        <f>(TOWR!F$24-TOWR!F$25)/TOWR!F$23</f>
        <v>0.17000000000000007</v>
      </c>
      <c r="U112" s="573">
        <f>(TOWR!G$24-TOWR!G$25)/TOWR!G$23</f>
        <v>0.15999999999999995</v>
      </c>
    </row>
    <row r="113" spans="1:49">
      <c r="A113" s="42"/>
      <c r="B113" s="197" t="str">
        <f t="shared" si="14"/>
        <v>Tower Bersama</v>
      </c>
      <c r="C113" s="180" t="str">
        <f t="shared" si="14"/>
        <v>IDR 1,850</v>
      </c>
      <c r="D113" s="180" t="str">
        <f t="shared" si="14"/>
        <v>IDR 2,200</v>
      </c>
      <c r="E113" s="68">
        <f t="shared" si="14"/>
        <v>0.18918918918918926</v>
      </c>
      <c r="F113" s="180" t="str">
        <f t="shared" si="14"/>
        <v>Neutral</v>
      </c>
      <c r="H113" s="570">
        <f>(TBIG!D$24/TBIG!D$23)</f>
        <v>0.87382987182362004</v>
      </c>
      <c r="I113" s="570">
        <f>(TBIG!E$24/TBIG!E$23)</f>
        <v>0.87653586798968597</v>
      </c>
      <c r="J113" s="570">
        <f>(TBIG!F$24/TBIG!F$23)</f>
        <v>0.87921480419409137</v>
      </c>
      <c r="K113" s="570">
        <f>(TBIG!G$24/TBIG!G$23)</f>
        <v>0.88186695103645274</v>
      </c>
      <c r="L113" s="571"/>
      <c r="M113" s="570">
        <f>(TBIG!D$25/TBIG!D$23)</f>
        <v>0.69382987182361999</v>
      </c>
      <c r="N113" s="570">
        <f>(TBIG!E$25/TBIG!E$23)</f>
        <v>0.69653586798968592</v>
      </c>
      <c r="O113" s="570">
        <f>(TBIG!F$25/TBIG!F$23)</f>
        <v>0.69921480419409132</v>
      </c>
      <c r="P113" s="570">
        <f>(TBIG!G$25/TBIG!G$23)</f>
        <v>0.7018669510364528</v>
      </c>
      <c r="Q113" s="572"/>
      <c r="R113" s="570">
        <f>(TBIG!D$24-TBIG!D$25)/TBIG!D$23</f>
        <v>0.18000000000000005</v>
      </c>
      <c r="S113" s="570">
        <f>(TBIG!E$24-TBIG!E$25)/TBIG!E$23</f>
        <v>0.18000000000000005</v>
      </c>
      <c r="T113" s="570">
        <f>(TBIG!F$24-TBIG!F$25)/TBIG!F$23</f>
        <v>0.18000000000000002</v>
      </c>
      <c r="U113" s="570">
        <f>(TBIG!G$24-TBIG!G$25)/TBIG!G$23</f>
        <v>0.17999999999999997</v>
      </c>
    </row>
    <row r="114" spans="1:49">
      <c r="A114" s="42"/>
      <c r="B114" s="197" t="s">
        <v>1408</v>
      </c>
      <c r="C114" s="180" t="str">
        <f>C95</f>
        <v>IDR 605</v>
      </c>
      <c r="D114" s="180" t="str">
        <f>D95</f>
        <v>IDR 1,135</v>
      </c>
      <c r="E114" s="68">
        <f>E95</f>
        <v>0.87603305785123964</v>
      </c>
      <c r="F114" s="180" t="str">
        <f>F95</f>
        <v>Buy</v>
      </c>
      <c r="H114" s="570">
        <f>(MITRA!D$24/MITRA!D$23)</f>
        <v>0.78906113195676375</v>
      </c>
      <c r="I114" s="570">
        <f>(MITRA!E$24/MITRA!E$23)</f>
        <v>0.79990709262347248</v>
      </c>
      <c r="J114" s="570">
        <f>(MITRA!F$24/MITRA!F$23)</f>
        <v>0.8103899719750276</v>
      </c>
      <c r="K114" s="570">
        <f>(MITRA!G$24/MITRA!G$23)</f>
        <v>0.81138331023838739</v>
      </c>
      <c r="L114" s="571"/>
      <c r="M114" s="570">
        <f>(MITRA!D$25/MITRA!D$23)</f>
        <v>-0.31941423233389299</v>
      </c>
      <c r="N114" s="570">
        <f>(MITRA!E$25/MITRA!E$23)</f>
        <v>3.6856252951230307E-3</v>
      </c>
      <c r="O114" s="570">
        <f>(MITRA!F$25/MITRA!F$23)</f>
        <v>0.51471384588347924</v>
      </c>
      <c r="P114" s="570">
        <f>(MITRA!G$25/MITRA!G$23)</f>
        <v>0.52202115829616103</v>
      </c>
      <c r="Q114" s="572"/>
      <c r="R114" s="570">
        <f>(MITRA!D$24-MITRA!D$25)/MITRA!D$23</f>
        <v>1.1084753642906566</v>
      </c>
      <c r="S114" s="570">
        <f>(MITRA!E$24-MITRA!E$25)/MITRA!E$23</f>
        <v>0.79622146732834942</v>
      </c>
      <c r="T114" s="570">
        <f>(MITRA!F$24-MITRA!F$25)/MITRA!F$23</f>
        <v>0.29567612609154842</v>
      </c>
      <c r="U114" s="570">
        <f>(MITRA!G$24-MITRA!G$25)/MITRA!G$23</f>
        <v>0.28936215194222631</v>
      </c>
      <c r="AT114" s="198"/>
      <c r="AU114" s="198"/>
      <c r="AV114" s="198"/>
      <c r="AW114" s="198"/>
    </row>
    <row r="115" spans="1:49">
      <c r="B115" s="48"/>
      <c r="C115" s="44"/>
      <c r="D115" s="44"/>
      <c r="E115" s="45"/>
      <c r="F115" s="44"/>
      <c r="H115" s="573"/>
      <c r="I115" s="573"/>
      <c r="J115" s="573"/>
      <c r="K115" s="573"/>
      <c r="L115" s="576"/>
      <c r="M115" s="573"/>
      <c r="N115" s="573"/>
      <c r="O115" s="573"/>
      <c r="P115" s="573"/>
      <c r="Q115" s="571"/>
      <c r="R115" s="573"/>
      <c r="S115" s="573"/>
      <c r="T115" s="573"/>
      <c r="U115" s="573"/>
    </row>
    <row r="116" spans="1:49">
      <c r="B116" s="48" t="str">
        <f>B97</f>
        <v>IHS</v>
      </c>
      <c r="C116" s="44" t="str">
        <f>C97</f>
        <v>USD 3.3</v>
      </c>
      <c r="D116" s="44" t="str">
        <f>D97</f>
        <v>USD 8.0</v>
      </c>
      <c r="E116" s="45">
        <f>E97</f>
        <v>1.3952095808383236</v>
      </c>
      <c r="F116" s="44" t="str">
        <f>F97</f>
        <v>Buy</v>
      </c>
      <c r="H116" s="573">
        <f>(IHS!D$24/IHS!D$23)</f>
        <v>0.5328224981992804</v>
      </c>
      <c r="I116" s="573">
        <f>(IHS!E$24/IHS!E$23)</f>
        <v>0.55432261223210988</v>
      </c>
      <c r="J116" s="573">
        <f>(IHS!F$24/IHS!F$23)</f>
        <v>0.55838537360284357</v>
      </c>
      <c r="K116" s="573">
        <f>(IHS!G$24/IHS!G$23)</f>
        <v>0.56205372463054648</v>
      </c>
      <c r="L116" s="576"/>
      <c r="M116" s="573">
        <f>(IHS!D$25/IHS!D$23)</f>
        <v>0.25712772148617369</v>
      </c>
      <c r="N116" s="573">
        <f>(IHS!E$25/IHS!E$23)</f>
        <v>0.35932261223210987</v>
      </c>
      <c r="O116" s="573">
        <f>(IHS!F$25/IHS!F$23)</f>
        <v>0.37838537360284352</v>
      </c>
      <c r="P116" s="573">
        <f>(IHS!G$25/IHS!G$23)</f>
        <v>0.3920537246305465</v>
      </c>
      <c r="Q116" s="571"/>
      <c r="R116" s="573">
        <f>(IHS!D$24-IHS!D$25)/IHS!D$23</f>
        <v>0.27569477671310666</v>
      </c>
      <c r="S116" s="573">
        <f>(IHS!E$24-IHS!E$25)/IHS!E$23</f>
        <v>0.19500000000000001</v>
      </c>
      <c r="T116" s="573">
        <f>(IHS!F$24-IHS!F$25)/IHS!F$23</f>
        <v>0.18000000000000002</v>
      </c>
      <c r="U116" s="573">
        <f>(IHS!G$24-IHS!G$25)/IHS!G$23</f>
        <v>0.17</v>
      </c>
    </row>
    <row r="117" spans="1:49">
      <c r="B117" s="48"/>
      <c r="C117" s="44"/>
      <c r="D117" s="44"/>
      <c r="E117" s="45"/>
      <c r="F117" s="44"/>
      <c r="H117" s="573"/>
      <c r="I117" s="573"/>
      <c r="J117" s="573"/>
      <c r="K117" s="573"/>
      <c r="L117" s="576"/>
      <c r="M117" s="573"/>
      <c r="N117" s="573"/>
      <c r="O117" s="573"/>
      <c r="P117" s="573"/>
      <c r="Q117" s="571"/>
      <c r="R117" s="573"/>
      <c r="S117" s="573"/>
      <c r="T117" s="573"/>
      <c r="U117" s="573"/>
    </row>
    <row r="118" spans="1:49">
      <c r="A118" s="194"/>
      <c r="B118" s="199" t="str">
        <f>B99</f>
        <v>Telesites</v>
      </c>
      <c r="C118" s="184" t="str">
        <f>C99</f>
        <v>MXN 19.3</v>
      </c>
      <c r="D118" s="184" t="str">
        <f>D99</f>
        <v>MXN 17.0</v>
      </c>
      <c r="E118" s="185">
        <f>E99</f>
        <v>-0.11734164070612674</v>
      </c>
      <c r="F118" s="184" t="str">
        <f>F99</f>
        <v>Neutral</v>
      </c>
      <c r="H118" s="574">
        <f>(SITES!D$24/SITES!D$23)</f>
        <v>0.95184266628296377</v>
      </c>
      <c r="I118" s="574">
        <f>(SITES!E$24/SITES!E$23)</f>
        <v>0.95040417584074455</v>
      </c>
      <c r="J118" s="574">
        <f>(SITES!F$24/SITES!F$23)</f>
        <v>0.94891198221125828</v>
      </c>
      <c r="K118" s="574">
        <f>(SITES!G$24/SITES!G$23)</f>
        <v>0.94738323416610304</v>
      </c>
      <c r="L118" s="576"/>
      <c r="M118" s="574">
        <f>(SITES!D$25/SITES!D$23)</f>
        <v>0.8447175286753833</v>
      </c>
      <c r="N118" s="574">
        <f>(SITES!E$25/SITES!E$23)</f>
        <v>0.84034335589418174</v>
      </c>
      <c r="O118" s="574">
        <f>(SITES!F$25/SITES!F$23)</f>
        <v>0.84418909372845063</v>
      </c>
      <c r="P118" s="574">
        <f>(SITES!G$25/SITES!G$23)</f>
        <v>0.85747232133632767</v>
      </c>
      <c r="Q118" s="571"/>
      <c r="R118" s="574">
        <f>(SITES!D$24-SITES!D$25)/SITES!D$23</f>
        <v>0.10712513760758047</v>
      </c>
      <c r="S118" s="574">
        <f>(SITES!E$24-SITES!E$25)/SITES!E$23</f>
        <v>0.11006081994656282</v>
      </c>
      <c r="T118" s="574">
        <f>(SITES!F$24-SITES!F$25)/SITES!F$23</f>
        <v>0.10472288848280764</v>
      </c>
      <c r="U118" s="574">
        <f>(SITES!G$24-SITES!G$25)/SITES!G$23</f>
        <v>8.9910912829775327E-2</v>
      </c>
    </row>
    <row r="119" spans="1:49">
      <c r="A119" s="194"/>
    </row>
    <row r="120" spans="1:49">
      <c r="A120" s="194"/>
    </row>
    <row r="121" spans="1:49">
      <c r="B121" s="164"/>
      <c r="C121" s="165" t="s">
        <v>464</v>
      </c>
      <c r="D121" s="165" t="s">
        <v>57</v>
      </c>
      <c r="E121" s="165" t="s">
        <v>59</v>
      </c>
      <c r="F121" s="165" t="s">
        <v>56</v>
      </c>
      <c r="H121" s="166" t="s">
        <v>790</v>
      </c>
      <c r="I121" s="166"/>
      <c r="J121" s="166"/>
      <c r="K121" s="166"/>
      <c r="M121" s="166" t="s">
        <v>794</v>
      </c>
      <c r="N121" s="166"/>
      <c r="O121" s="166"/>
      <c r="P121" s="166"/>
      <c r="R121" s="166" t="s">
        <v>795</v>
      </c>
      <c r="S121" s="166"/>
      <c r="T121" s="166"/>
      <c r="U121" s="166"/>
    </row>
    <row r="122" spans="1:49">
      <c r="A122" s="42"/>
      <c r="B122" s="197" t="str">
        <f t="shared" ref="B122:F123" si="15">B103</f>
        <v>Cellnex</v>
      </c>
      <c r="C122" s="180" t="str">
        <f t="shared" si="15"/>
        <v>EUR 33.5</v>
      </c>
      <c r="D122" s="180" t="str">
        <f t="shared" si="15"/>
        <v>EUR 32.0</v>
      </c>
      <c r="E122" s="68">
        <f t="shared" si="15"/>
        <v>-4.3348281016442503E-2</v>
      </c>
      <c r="F122" s="180" t="str">
        <f t="shared" si="15"/>
        <v>Neutral</v>
      </c>
      <c r="H122" s="567">
        <f>-(CLNX!D$25/CLNX!D$33)</f>
        <v>1.06649204183293</v>
      </c>
      <c r="I122" s="567">
        <f>-(CLNX!E$25/CLNX!E$33)</f>
        <v>1.5000704505387272</v>
      </c>
      <c r="J122" s="567">
        <f>-(CLNX!F$25/CLNX!F$33)</f>
        <v>1.3898708922123346</v>
      </c>
      <c r="K122" s="567">
        <f>-(CLNX!G$25/CLNX!G$33)</f>
        <v>2.4174902168098966</v>
      </c>
      <c r="L122" s="577"/>
      <c r="M122" s="567">
        <f>CLNX!D$11/Prices!$C$155/1000</f>
        <v>21.758980586160796</v>
      </c>
      <c r="N122" s="567">
        <f>CLNX!E$11/Prices!$C$155/1000</f>
        <v>21.758980586160796</v>
      </c>
      <c r="O122" s="567">
        <f>CLNX!F$11/Prices!$C$155/1000</f>
        <v>21.758980586160796</v>
      </c>
      <c r="P122" s="567">
        <f>CLNX!G$11/Prices!$C$155/1000</f>
        <v>21.758980586160796</v>
      </c>
      <c r="Q122" s="578"/>
      <c r="R122" s="567">
        <f>CLNX!D$18/Prices!$C$155/1000</f>
        <v>38.925536814015459</v>
      </c>
      <c r="S122" s="567">
        <f>CLNX!E$18/Prices!$C$155/1000</f>
        <v>39.977678055804716</v>
      </c>
      <c r="T122" s="567">
        <f>CLNX!F$18/Prices!$C$155/1000</f>
        <v>39.937480144252433</v>
      </c>
      <c r="U122" s="567">
        <f>CLNX!G$18/Prices!$C$155/1000</f>
        <v>39.454403950838476</v>
      </c>
    </row>
    <row r="123" spans="1:49">
      <c r="A123" s="42"/>
      <c r="B123" s="197" t="str">
        <f t="shared" si="15"/>
        <v>Inwit</v>
      </c>
      <c r="C123" s="180" t="str">
        <f t="shared" si="15"/>
        <v>EUR 10.0</v>
      </c>
      <c r="D123" s="180" t="str">
        <f t="shared" si="15"/>
        <v>EUR 12.1</v>
      </c>
      <c r="E123" s="68">
        <f t="shared" si="15"/>
        <v>0.21121121121121122</v>
      </c>
      <c r="F123" s="180" t="str">
        <f t="shared" si="15"/>
        <v>Neutral</v>
      </c>
      <c r="H123" s="567">
        <f>-(INWIT!D$25/INWIT!D$33)</f>
        <v>-3.5320111207522449</v>
      </c>
      <c r="I123" s="567">
        <f>-(INWIT!E$25/INWIT!E$33)</f>
        <v>-3.7113766056532409</v>
      </c>
      <c r="J123" s="567">
        <f>-(INWIT!F$25/INWIT!F$33)</f>
        <v>-4.4230643885048835</v>
      </c>
      <c r="K123" s="567">
        <f>-(INWIT!G$25/INWIT!G$33)</f>
        <v>-4.4552108265727446</v>
      </c>
      <c r="L123" s="577"/>
      <c r="M123" s="567">
        <f>INWIT!D$11/Prices!$C$155/1000</f>
        <v>8.7276160355891577</v>
      </c>
      <c r="N123" s="567">
        <f>INWIT!E$11/Prices!$C$155/1000</f>
        <v>8.5767639039277146</v>
      </c>
      <c r="O123" s="567">
        <f>INWIT!F$11/Prices!$C$155/1000</f>
        <v>8.3965140223802148</v>
      </c>
      <c r="P123" s="567">
        <f>INWIT!G$11/Prices!$C$155/1000</f>
        <v>8.3965140223802148</v>
      </c>
      <c r="Q123" s="579"/>
      <c r="R123" s="567">
        <f>INWIT!D$18/Prices!$C$155/1000</f>
        <v>11.304645655879073</v>
      </c>
      <c r="S123" s="567">
        <f>INWIT!E$18/Prices!$C$155/1000</f>
        <v>11.495612311537583</v>
      </c>
      <c r="T123" s="567">
        <f>INWIT!F$18/Prices!$C$155/1000</f>
        <v>11.216048169317254</v>
      </c>
      <c r="U123" s="567">
        <f>INWIT!G$18/Prices!$C$155/1000</f>
        <v>10.888265818589035</v>
      </c>
    </row>
    <row r="124" spans="1:49">
      <c r="A124" s="42"/>
      <c r="B124" s="48"/>
      <c r="C124" s="44"/>
      <c r="D124" s="183"/>
      <c r="E124" s="45"/>
      <c r="F124" s="44"/>
      <c r="H124" s="568"/>
      <c r="I124" s="568"/>
      <c r="J124" s="568"/>
      <c r="K124" s="568"/>
      <c r="L124" s="580"/>
      <c r="M124" s="568"/>
      <c r="N124" s="568"/>
      <c r="O124" s="568"/>
      <c r="P124" s="568"/>
      <c r="Q124" s="578"/>
      <c r="R124" s="568"/>
      <c r="S124" s="568"/>
      <c r="T124" s="568"/>
      <c r="U124" s="568"/>
    </row>
    <row r="125" spans="1:49">
      <c r="A125" s="42"/>
      <c r="B125" s="48" t="str">
        <f t="shared" ref="B125:F127" si="16">B106</f>
        <v>American Tower</v>
      </c>
      <c r="C125" s="44" t="str">
        <f t="shared" si="16"/>
        <v>USD 185.9</v>
      </c>
      <c r="D125" s="183" t="str">
        <f t="shared" si="16"/>
        <v>USD 239.0</v>
      </c>
      <c r="E125" s="45">
        <f t="shared" si="16"/>
        <v>0.28543000053783674</v>
      </c>
      <c r="F125" s="44" t="str">
        <f t="shared" si="16"/>
        <v>Neutral</v>
      </c>
      <c r="H125" s="568">
        <f>-(AMT!D$25/AMT!D$33)</f>
        <v>4.2730875380068776</v>
      </c>
      <c r="I125" s="568">
        <f>-(AMT!E$25/AMT!E$33)</f>
        <v>4.752363029249846</v>
      </c>
      <c r="J125" s="568">
        <f>-(AMT!F$25/AMT!F$33)</f>
        <v>5.2009843217950813</v>
      </c>
      <c r="K125" s="568">
        <f>-(AMT!G$25/AMT!G$33)</f>
        <v>5.7977144550139164</v>
      </c>
      <c r="L125" s="580"/>
      <c r="M125" s="568">
        <f>AMT!D$11/1000</f>
        <v>86.87040212975181</v>
      </c>
      <c r="N125" s="568">
        <f>AMT!E$11/1000</f>
        <v>85.93483168118523</v>
      </c>
      <c r="O125" s="568">
        <f>AMT!F$11/1000</f>
        <v>83.259766714064341</v>
      </c>
      <c r="P125" s="568">
        <f>AMT!G$11/1000</f>
        <v>80.483542470357392</v>
      </c>
      <c r="Q125" s="578"/>
      <c r="R125" s="568">
        <f>AMT!D$18/1000</f>
        <v>117.68453812583122</v>
      </c>
      <c r="S125" s="568">
        <f>AMT!E$18/1000</f>
        <v>115.16160213636316</v>
      </c>
      <c r="T125" s="568">
        <f>AMT!F$18/1000</f>
        <v>106.64522545591328</v>
      </c>
      <c r="U125" s="568">
        <f>AMT!G$18/1000</f>
        <v>110.27115765553049</v>
      </c>
    </row>
    <row r="126" spans="1:49">
      <c r="A126" s="42"/>
      <c r="B126" s="48" t="str">
        <f t="shared" si="16"/>
        <v>Crown Castle</v>
      </c>
      <c r="C126" s="44" t="str">
        <f t="shared" si="16"/>
        <v>USD 98.1</v>
      </c>
      <c r="D126" s="183" t="str">
        <f t="shared" si="16"/>
        <v>USD 123.0</v>
      </c>
      <c r="E126" s="45">
        <f t="shared" si="16"/>
        <v>0.25356706074194868</v>
      </c>
      <c r="F126" s="44" t="str">
        <f t="shared" si="16"/>
        <v>Neutral</v>
      </c>
      <c r="H126" s="568">
        <f>-(CCI!D$25/CCI!D$33)</f>
        <v>3.3973448386077894</v>
      </c>
      <c r="I126" s="568">
        <f>-(CCI!E$25/CCI!E$33)</f>
        <v>3.3343928454716698</v>
      </c>
      <c r="J126" s="568">
        <f>-(CCI!F$25/CCI!F$33)</f>
        <v>3.3072126534605419</v>
      </c>
      <c r="K126" s="568">
        <f>-(CCI!G$25/CCI!G$33)</f>
        <v>3.6023793314754431</v>
      </c>
      <c r="L126" s="580"/>
      <c r="M126" s="568">
        <f>CCI!D$11/1000</f>
        <v>42.645404999999997</v>
      </c>
      <c r="N126" s="568">
        <f>CCI!E$11/1000</f>
        <v>42.682200000000002</v>
      </c>
      <c r="O126" s="568">
        <f>CCI!F$11/1000</f>
        <v>42.682200000000002</v>
      </c>
      <c r="P126" s="568">
        <f>CCI!G$11/1000</f>
        <v>42.682200000000002</v>
      </c>
      <c r="Q126" s="578"/>
      <c r="R126" s="568">
        <f>CCI!D$18/1000</f>
        <v>61.038359083846906</v>
      </c>
      <c r="S126" s="568">
        <f>CCI!E$18/1000</f>
        <v>61.022105873730304</v>
      </c>
      <c r="T126" s="568">
        <f>CCI!F$18/1000</f>
        <v>61.832233048365751</v>
      </c>
      <c r="U126" s="568">
        <f>CCI!G$18/1000</f>
        <v>51.865239771640731</v>
      </c>
    </row>
    <row r="127" spans="1:49">
      <c r="A127" s="42"/>
      <c r="B127" s="48" t="str">
        <f t="shared" si="16"/>
        <v xml:space="preserve">SBA </v>
      </c>
      <c r="C127" s="44" t="str">
        <f t="shared" si="16"/>
        <v>USD 188.1</v>
      </c>
      <c r="D127" s="183" t="str">
        <f t="shared" si="16"/>
        <v>USD 244.0</v>
      </c>
      <c r="E127" s="45">
        <f t="shared" si="16"/>
        <v>0.29725131585942899</v>
      </c>
      <c r="F127" s="44" t="str">
        <f t="shared" si="16"/>
        <v>Neutral</v>
      </c>
      <c r="H127" s="568">
        <f>-(SBAC!D$25/SBAC!D$33)</f>
        <v>3.5612849951436045</v>
      </c>
      <c r="I127" s="568">
        <f>-(SBAC!E$25/SBAC!E$33)</f>
        <v>3.2927318352657982</v>
      </c>
      <c r="J127" s="568">
        <f>-(SBAC!F$25/SBAC!F$33)</f>
        <v>2.6896454750622931</v>
      </c>
      <c r="K127" s="568">
        <f>-(SBAC!G$25/SBAC!G$33)</f>
        <v>2.8519166947650585</v>
      </c>
      <c r="L127" s="580"/>
      <c r="M127" s="568">
        <f>SBAC!D$11/1000</f>
        <v>24.242005747801958</v>
      </c>
      <c r="N127" s="568">
        <f>SBAC!E$11/1000</f>
        <v>24.242005747801958</v>
      </c>
      <c r="O127" s="568">
        <f>SBAC!F$11/1000</f>
        <v>24.242005747801958</v>
      </c>
      <c r="P127" s="568">
        <f>SBAC!G$11/1000</f>
        <v>24.242005747801958</v>
      </c>
      <c r="Q127" s="578"/>
      <c r="R127" s="568">
        <f>SBAC!D$18/1000</f>
        <v>32.125061750238899</v>
      </c>
      <c r="S127" s="568">
        <f>SBAC!E$18/1000</f>
        <v>32.125061750238899</v>
      </c>
      <c r="T127" s="568">
        <f>SBAC!F$18/1000</f>
        <v>32.125061750238899</v>
      </c>
      <c r="U127" s="568">
        <f>SBAC!G$18/1000</f>
        <v>32.132712315326771</v>
      </c>
    </row>
    <row r="128" spans="1:49">
      <c r="A128" s="42"/>
      <c r="B128" s="48"/>
      <c r="C128" s="44"/>
      <c r="D128" s="44"/>
      <c r="E128" s="45"/>
      <c r="F128" s="44"/>
      <c r="H128" s="568"/>
      <c r="I128" s="568"/>
      <c r="J128" s="568"/>
      <c r="K128" s="568"/>
      <c r="L128" s="580"/>
      <c r="M128" s="568"/>
      <c r="N128" s="568"/>
      <c r="O128" s="568"/>
      <c r="P128" s="568"/>
      <c r="Q128" s="578"/>
      <c r="R128" s="568"/>
      <c r="S128" s="568"/>
      <c r="T128" s="568"/>
      <c r="U128" s="568"/>
    </row>
    <row r="129" spans="1:49">
      <c r="A129" s="42"/>
      <c r="B129" s="48" t="str">
        <f t="shared" ref="B129:F132" si="17">B110</f>
        <v>Bharti Infratel</v>
      </c>
      <c r="C129" s="44" t="str">
        <f t="shared" si="17"/>
        <v>INR 347</v>
      </c>
      <c r="D129" s="44" t="str">
        <f t="shared" si="17"/>
        <v>INR 265</v>
      </c>
      <c r="E129" s="45">
        <f t="shared" si="17"/>
        <v>-0.23554017020049034</v>
      </c>
      <c r="F129" s="44" t="str">
        <f t="shared" si="17"/>
        <v>Neutral</v>
      </c>
      <c r="H129" s="568">
        <f>(BHIN!D$25/BHIN!D$33)</f>
        <v>7.7853469839134855</v>
      </c>
      <c r="I129" s="568">
        <f>(BHIN!E$25/BHIN!E$33)</f>
        <v>9.4028520245136473</v>
      </c>
      <c r="J129" s="568">
        <f>-(BHIN!F$25/BHIN!F$33)</f>
        <v>-11.445633268487178</v>
      </c>
      <c r="K129" s="568">
        <f>-(BHIN!G$25/BHIN!G$33)</f>
        <v>-14.584072954507178</v>
      </c>
      <c r="L129" s="580"/>
      <c r="M129" s="568">
        <f>BHIN!D$11/Prices!$C$152/1000</f>
        <v>11.242214190769879</v>
      </c>
      <c r="N129" s="568">
        <f>BHIN!E$11/Prices!$C$152/1000</f>
        <v>11.242214190769879</v>
      </c>
      <c r="O129" s="568">
        <f>BHIN!F$11/Prices!$C$152/1000</f>
        <v>11.242214190769879</v>
      </c>
      <c r="P129" s="568">
        <f>BHIN!G$11/Prices!$C$152/1000</f>
        <v>11.242214190769879</v>
      </c>
      <c r="Q129" s="578"/>
      <c r="R129" s="568">
        <f>BHIN!D$18/Prices!$C$152/1000</f>
        <v>12.693795672036071</v>
      </c>
      <c r="S129" s="568">
        <f>BHIN!E$18/Prices!$C$152/1000</f>
        <v>11.782321139923946</v>
      </c>
      <c r="T129" s="568">
        <f>BHIN!F$18/Prices!$C$152/1000</f>
        <v>10.788683577513861</v>
      </c>
      <c r="U129" s="568">
        <f>BHIN!G$18/Prices!$C$152/1000</f>
        <v>9.7209899441077159</v>
      </c>
    </row>
    <row r="130" spans="1:49">
      <c r="A130" s="42"/>
      <c r="B130" s="197" t="str">
        <f t="shared" si="17"/>
        <v>China Tower</v>
      </c>
      <c r="C130" s="180" t="str">
        <f t="shared" si="17"/>
        <v>HKD 0.92</v>
      </c>
      <c r="D130" s="180" t="str">
        <f t="shared" si="17"/>
        <v>HKD 1.40</v>
      </c>
      <c r="E130" s="68">
        <f t="shared" si="17"/>
        <v>0.52173913043478248</v>
      </c>
      <c r="F130" s="44" t="str">
        <f t="shared" si="17"/>
        <v>Buy</v>
      </c>
      <c r="H130" s="568">
        <f>(ChinaTow!D$25/ChinaTow!D$33)</f>
        <v>-19.609147564471531</v>
      </c>
      <c r="I130" s="568">
        <f>(ChinaTow!E$25/ChinaTow!E$33)</f>
        <v>-27.588107087959283</v>
      </c>
      <c r="J130" s="568">
        <f>-(ChinaTow!F$25/ChinaTow!F$33)</f>
        <v>35.55316002569419</v>
      </c>
      <c r="K130" s="568">
        <f>-(ChinaTow!G$25/ChinaTow!G$33)</f>
        <v>43.257796192293235</v>
      </c>
      <c r="L130" s="578"/>
      <c r="M130" s="568">
        <f>ChinaTow!D$11/Prices!$C$152/1000</f>
        <v>1.7993185719202158</v>
      </c>
      <c r="N130" s="568">
        <f>ChinaTow!E$11/Prices!$C$152/1000</f>
        <v>1.8068123963448546</v>
      </c>
      <c r="O130" s="568">
        <f>ChinaTow!F$11/Prices!$C$152/1000</f>
        <v>1.8068123963448546</v>
      </c>
      <c r="P130" s="568">
        <f>ChinaTow!G$11/Prices!$C$152/1000</f>
        <v>1.7945348429039403</v>
      </c>
      <c r="Q130" s="579"/>
      <c r="R130" s="568">
        <f>ChinaTow!D$18/Prices!$C$152/1000</f>
        <v>2.5042385269149166</v>
      </c>
      <c r="S130" s="568">
        <f>ChinaTow!E$18/Prices!$C$152/1000</f>
        <v>2.3588332274341743</v>
      </c>
      <c r="T130" s="568">
        <f>ChinaTow!F$18/Prices!$C$152/1000</f>
        <v>2.0956232678401649</v>
      </c>
      <c r="U130" s="568">
        <f>ChinaTow!G$18/Prices!$C$152/1000</f>
        <v>1.8085714861358948</v>
      </c>
    </row>
    <row r="131" spans="1:49">
      <c r="A131" s="42"/>
      <c r="B131" s="48" t="str">
        <f t="shared" si="17"/>
        <v>Sarana Menara</v>
      </c>
      <c r="C131" s="44" t="str">
        <f t="shared" si="17"/>
        <v>IDR 765</v>
      </c>
      <c r="D131" s="44" t="str">
        <f t="shared" si="17"/>
        <v>IDR 1,900</v>
      </c>
      <c r="E131" s="45">
        <f t="shared" si="17"/>
        <v>1.4836601307189543</v>
      </c>
      <c r="F131" s="44" t="str">
        <f t="shared" si="17"/>
        <v>Buy</v>
      </c>
      <c r="H131" s="568">
        <f>-(TOWR!D$25/TOWR!D$33)</f>
        <v>3.0918596023020015</v>
      </c>
      <c r="I131" s="568">
        <f>-(TOWR!E$25/TOWR!E$33)</f>
        <v>3.5952304517484617</v>
      </c>
      <c r="J131" s="568">
        <f>-(TOWR!F$25/TOWR!F$33)</f>
        <v>4.258958015118111</v>
      </c>
      <c r="K131" s="568">
        <f>-(TOWR!G$25/TOWR!G$33)</f>
        <v>5.0066838665673581</v>
      </c>
      <c r="L131" s="580"/>
      <c r="M131" s="568">
        <f>TOWR!D$11/Prices!$C$172</f>
        <v>2.3821284318899481</v>
      </c>
      <c r="N131" s="568">
        <f>TOWR!E$11/Prices!$C$172</f>
        <v>2.3821284318899481</v>
      </c>
      <c r="O131" s="568">
        <f>TOWR!F$11/Prices!$C$172</f>
        <v>2.3821284318899481</v>
      </c>
      <c r="P131" s="568">
        <f>TOWR!G$11/Prices!$C$172</f>
        <v>2.3821284318899481</v>
      </c>
      <c r="Q131" s="578"/>
      <c r="R131" s="568">
        <f>TOWR!D$18/Prices!$C$172</f>
        <v>5.0632126106983533</v>
      </c>
      <c r="S131" s="568">
        <f>TOWR!E$18/Prices!$C$172</f>
        <v>4.7860747773347061</v>
      </c>
      <c r="T131" s="568">
        <f>TOWR!F$18/Prices!$C$172</f>
        <v>4.445158958824166</v>
      </c>
      <c r="U131" s="568">
        <f>TOWR!G$18/Prices!$C$172</f>
        <v>4.0482061187208016</v>
      </c>
    </row>
    <row r="132" spans="1:49">
      <c r="A132" s="42"/>
      <c r="B132" s="197" t="str">
        <f t="shared" si="17"/>
        <v>Tower Bersama</v>
      </c>
      <c r="C132" s="180" t="str">
        <f t="shared" si="17"/>
        <v>IDR 1,850</v>
      </c>
      <c r="D132" s="180" t="str">
        <f t="shared" si="17"/>
        <v>IDR 2,200</v>
      </c>
      <c r="E132" s="68">
        <f t="shared" si="17"/>
        <v>0.18918918918918926</v>
      </c>
      <c r="F132" s="180" t="str">
        <f t="shared" si="17"/>
        <v>Neutral</v>
      </c>
      <c r="H132" s="567">
        <f>(TBIG!D$25/TBIG!D$33)</f>
        <v>-2.9045379497993093</v>
      </c>
      <c r="I132" s="567">
        <f>-(TBIG!E$25/TBIG!E$33)</f>
        <v>3.3824918621893474</v>
      </c>
      <c r="J132" s="567">
        <f>-(TBIG!F$25/TBIG!F$33)</f>
        <v>3.8620848076505139</v>
      </c>
      <c r="K132" s="567">
        <f>-(TBIG!G$25/TBIG!G$33)</f>
        <v>4.4626888461839602</v>
      </c>
      <c r="L132" s="578"/>
      <c r="M132" s="567">
        <f>TBIG!D$11/Prices!$C$172</f>
        <v>2.5794472533093642</v>
      </c>
      <c r="N132" s="567">
        <f>TBIG!E$11/Prices!$C$172</f>
        <v>2.5794472533093642</v>
      </c>
      <c r="O132" s="567">
        <f>TBIG!F$11/Prices!$C$172</f>
        <v>2.5794472533093642</v>
      </c>
      <c r="P132" s="567">
        <f>TBIG!G$11/Prices!$C$172</f>
        <v>2.5794472533093642</v>
      </c>
      <c r="Q132" s="579"/>
      <c r="R132" s="567">
        <f>TBIG!D$18/Prices!$C$172</f>
        <v>4.0444441078985092</v>
      </c>
      <c r="S132" s="567">
        <f>TBIG!E$18/Prices!$C$172</f>
        <v>3.8625445562414589</v>
      </c>
      <c r="T132" s="567">
        <f>TBIG!F$18/Prices!$C$172</f>
        <v>3.6612111614325178</v>
      </c>
      <c r="U132" s="567">
        <f>TBIG!G$18/Prices!$C$172</f>
        <v>3.4394707407614251</v>
      </c>
    </row>
    <row r="133" spans="1:49">
      <c r="A133" s="42"/>
      <c r="B133" s="197" t="s">
        <v>1408</v>
      </c>
      <c r="C133" s="180" t="str">
        <f t="shared" ref="C133:F133" si="18">C114</f>
        <v>IDR 605</v>
      </c>
      <c r="D133" s="180" t="str">
        <f t="shared" si="18"/>
        <v>IDR 1,135</v>
      </c>
      <c r="E133" s="68">
        <f t="shared" si="18"/>
        <v>0.87603305785123964</v>
      </c>
      <c r="F133" s="180" t="str">
        <f t="shared" si="18"/>
        <v>Buy</v>
      </c>
      <c r="H133" s="567">
        <f>(MITRA!D$25/MITRA!D$33)</f>
        <v>3.9292539644837681</v>
      </c>
      <c r="I133" s="567">
        <f>-(MITRA!E$25/MITRA!E$33)</f>
        <v>-0.261642603675037</v>
      </c>
      <c r="J133" s="567">
        <f>-(MITRA!F$25/MITRA!F$33)</f>
        <v>7.105398346592926</v>
      </c>
      <c r="K133" s="567">
        <f>-(MITRA!G$25/MITRA!G$33)</f>
        <v>8.538938977043145</v>
      </c>
      <c r="L133" s="578"/>
      <c r="M133" s="567">
        <f>MITRA!D$11/Prices!$C$172</f>
        <v>3.160310963146475</v>
      </c>
      <c r="N133" s="567">
        <f>MITRA!E$11/Prices!$C$172</f>
        <v>3.160310963146475</v>
      </c>
      <c r="O133" s="567">
        <f>MITRA!F$11/Prices!$C$172</f>
        <v>3.160310963146475</v>
      </c>
      <c r="P133" s="567">
        <f>MITRA!G$11/Prices!$C$172</f>
        <v>3.160310963146475</v>
      </c>
      <c r="Q133" s="579"/>
      <c r="R133" s="567">
        <f>MITRA!D$18/Prices!$C$172</f>
        <v>3.956776612858993</v>
      </c>
      <c r="S133" s="567">
        <f>MITRA!E$18/Prices!$C$172</f>
        <v>3.7344500374135206</v>
      </c>
      <c r="T133" s="567">
        <f>MITRA!F$18/Prices!$C$172</f>
        <v>3.4877023255545998</v>
      </c>
      <c r="U133" s="567">
        <f>MITRA!G$18/Prices!$C$172</f>
        <v>3.2146661184681693</v>
      </c>
      <c r="AT133" s="198"/>
      <c r="AU133" s="198"/>
      <c r="AV133" s="198"/>
      <c r="AW133" s="198"/>
    </row>
    <row r="134" spans="1:49">
      <c r="A134" s="42"/>
      <c r="B134" s="48"/>
      <c r="C134" s="44"/>
      <c r="D134" s="44"/>
      <c r="E134" s="45"/>
      <c r="F134" s="44"/>
      <c r="H134" s="568"/>
      <c r="I134" s="568"/>
      <c r="J134" s="568"/>
      <c r="K134" s="568"/>
      <c r="L134" s="580"/>
      <c r="M134" s="568"/>
      <c r="N134" s="568"/>
      <c r="O134" s="568"/>
      <c r="P134" s="568"/>
      <c r="Q134" s="578"/>
      <c r="R134" s="568"/>
      <c r="S134" s="568"/>
      <c r="T134" s="568"/>
      <c r="U134" s="568"/>
    </row>
    <row r="135" spans="1:49">
      <c r="A135" s="42"/>
      <c r="B135" s="48" t="str">
        <f>B116</f>
        <v>IHS</v>
      </c>
      <c r="C135" s="44" t="str">
        <f>C116</f>
        <v>USD 3.3</v>
      </c>
      <c r="D135" s="44" t="str">
        <f>D116</f>
        <v>USD 8.0</v>
      </c>
      <c r="E135" s="45">
        <f>E116</f>
        <v>1.3952095808383236</v>
      </c>
      <c r="F135" s="44" t="str">
        <f>F116</f>
        <v>Buy</v>
      </c>
      <c r="H135" s="568">
        <f>(IHS!D$25/IHS!D$33)</f>
        <v>1.2890037217156687</v>
      </c>
      <c r="I135" s="568">
        <f>-(IHS!E$25/IHS!E$33)</f>
        <v>-1.4934166729213114</v>
      </c>
      <c r="J135" s="568">
        <f>-(IHS!F$25/IHS!F$33)</f>
        <v>-1.8036618577354822</v>
      </c>
      <c r="K135" s="568">
        <f>-(IHS!G$25/IHS!G$33)</f>
        <v>-2.1845438477309722</v>
      </c>
      <c r="L135" s="580"/>
      <c r="M135" s="568">
        <f>IHS!D$11/Prices!$C$172</f>
        <v>6.9583107081444426E-2</v>
      </c>
      <c r="N135" s="568">
        <f>IHS!E$11/Prices!$C$172</f>
        <v>6.8747715491636691E-2</v>
      </c>
      <c r="O135" s="568">
        <f>IHS!F$11/Prices!$C$172</f>
        <v>6.8225595748006879E-2</v>
      </c>
      <c r="P135" s="568">
        <f>IHS!G$11/Prices!$C$172</f>
        <v>6.8225595748006879E-2</v>
      </c>
      <c r="Q135" s="578"/>
      <c r="R135" s="567">
        <f>IHS!D$18/Prices!$C$172</f>
        <v>0.30838366984523996</v>
      </c>
      <c r="S135" s="567">
        <f>IHS!E$18/Prices!$C$172</f>
        <v>0.30222514991328692</v>
      </c>
      <c r="T135" s="567">
        <f>IHS!F$18/Prices!$C$172</f>
        <v>0.29118775450671419</v>
      </c>
      <c r="U135" s="567">
        <f>IHS!G$18/Prices!$C$172</f>
        <v>0.27362026197800171</v>
      </c>
    </row>
    <row r="136" spans="1:49">
      <c r="A136" s="42"/>
      <c r="B136" s="48"/>
      <c r="C136" s="44"/>
      <c r="D136" s="44"/>
      <c r="E136" s="45"/>
      <c r="F136" s="44"/>
      <c r="H136" s="568"/>
      <c r="I136" s="568"/>
      <c r="J136" s="568"/>
      <c r="K136" s="568"/>
      <c r="L136" s="580"/>
      <c r="M136" s="568"/>
      <c r="N136" s="568"/>
      <c r="O136" s="568"/>
      <c r="P136" s="568"/>
      <c r="Q136" s="578"/>
      <c r="R136" s="568"/>
      <c r="S136" s="568"/>
      <c r="T136" s="568"/>
      <c r="U136" s="568"/>
    </row>
    <row r="137" spans="1:49">
      <c r="A137" s="42"/>
      <c r="B137" s="199" t="str">
        <f t="shared" ref="B137:F137" si="19">B118</f>
        <v>Telesites</v>
      </c>
      <c r="C137" s="184" t="str">
        <f t="shared" si="19"/>
        <v>MXN 19.3</v>
      </c>
      <c r="D137" s="184" t="str">
        <f t="shared" si="19"/>
        <v>MXN 17.0</v>
      </c>
      <c r="E137" s="185">
        <f t="shared" si="19"/>
        <v>-0.11734164070612674</v>
      </c>
      <c r="F137" s="184" t="str">
        <f t="shared" si="19"/>
        <v>Neutral</v>
      </c>
      <c r="H137" s="569">
        <f>(SITES!D$25/SITES!D$33)</f>
        <v>6.8165719425041322</v>
      </c>
      <c r="I137" s="569">
        <f>-(SITES!E$25/SITES!E$33)</f>
        <v>-8.0145132012561451</v>
      </c>
      <c r="J137" s="569">
        <f>-(SITES!F$25/SITES!F$33)</f>
        <v>-9.6667791583800131</v>
      </c>
      <c r="K137" s="569">
        <f>-(SITES!G$25/SITES!G$33)</f>
        <v>-12.121382972012203</v>
      </c>
      <c r="L137" s="580"/>
      <c r="M137" s="569">
        <f>SITES!D$11/Prices!$C$172</f>
        <v>3.7863648585274348</v>
      </c>
      <c r="N137" s="569">
        <f>SITES!E$11/Prices!$C$172</f>
        <v>3.7261491324058156</v>
      </c>
      <c r="O137" s="569">
        <f>SITES!F$11/Prices!$C$172</f>
        <v>3.665933406284196</v>
      </c>
      <c r="P137" s="569">
        <f>SITES!G$11/Prices!$C$172</f>
        <v>3.6057176801625763</v>
      </c>
      <c r="Q137" s="578"/>
      <c r="R137" s="569">
        <f>SITES!D$18/Prices!$C$172</f>
        <v>5.578203729863219</v>
      </c>
      <c r="S137" s="569">
        <f>SITES!E$18/Prices!$C$172</f>
        <v>5.3263988734461716</v>
      </c>
      <c r="T137" s="569">
        <f>SITES!F$18/Prices!$C$172</f>
        <v>5.0521992771114945</v>
      </c>
      <c r="U137" s="569">
        <f>SITES!G$18/Prices!$C$172</f>
        <v>4.7460857948610524</v>
      </c>
    </row>
    <row r="138" spans="1:49">
      <c r="A138" s="42"/>
      <c r="B138" s="201"/>
      <c r="C138" s="181"/>
      <c r="D138" s="181"/>
      <c r="E138" s="68"/>
      <c r="F138" s="181"/>
      <c r="G138" s="77"/>
      <c r="H138" s="189"/>
      <c r="I138" s="189"/>
      <c r="J138" s="189"/>
      <c r="K138" s="189"/>
      <c r="L138" s="190"/>
      <c r="M138" s="189"/>
      <c r="N138" s="189"/>
      <c r="O138" s="189"/>
      <c r="P138" s="189"/>
      <c r="Q138" s="189"/>
      <c r="R138" s="189"/>
      <c r="S138" s="189"/>
      <c r="T138" s="189"/>
      <c r="U138" s="189"/>
    </row>
    <row r="139" spans="1:49">
      <c r="A139" s="42"/>
    </row>
    <row r="140" spans="1:49">
      <c r="A140" s="42"/>
    </row>
    <row r="141" spans="1:49">
      <c r="A141" s="42"/>
    </row>
    <row r="142" spans="1:49">
      <c r="A142" s="42"/>
    </row>
    <row r="143" spans="1:49">
      <c r="A143" s="42"/>
    </row>
    <row r="144" spans="1:49">
      <c r="A144" s="42"/>
    </row>
    <row r="145" spans="1:22">
      <c r="A145" s="42"/>
    </row>
    <row r="146" spans="1:22">
      <c r="A146" s="42"/>
    </row>
    <row r="147" spans="1:22">
      <c r="A147" s="42"/>
      <c r="V147" s="191"/>
    </row>
    <row r="148" spans="1:22">
      <c r="A148" s="42"/>
    </row>
    <row r="149" spans="1:22">
      <c r="A149" s="42"/>
    </row>
    <row r="150" spans="1:22">
      <c r="A150" s="42"/>
    </row>
    <row r="151" spans="1:22">
      <c r="A151" s="42"/>
      <c r="B151" s="201"/>
      <c r="C151" s="181"/>
      <c r="D151" s="181"/>
      <c r="E151" s="68"/>
      <c r="F151" s="181"/>
      <c r="G151" s="77"/>
      <c r="H151" s="189"/>
      <c r="I151" s="189"/>
      <c r="J151" s="189"/>
      <c r="K151" s="189"/>
      <c r="L151" s="190"/>
      <c r="M151" s="189"/>
      <c r="N151" s="189"/>
      <c r="O151" s="189"/>
      <c r="P151" s="189"/>
      <c r="Q151" s="189"/>
      <c r="R151" s="189"/>
      <c r="S151" s="189"/>
      <c r="T151" s="189"/>
      <c r="U151" s="189"/>
    </row>
    <row r="152" spans="1:22">
      <c r="A152" s="42"/>
    </row>
    <row r="153" spans="1:22">
      <c r="A153" s="42"/>
      <c r="B153" s="201"/>
      <c r="C153" s="181"/>
      <c r="D153" s="181"/>
      <c r="E153" s="68"/>
      <c r="F153" s="181"/>
      <c r="G153" s="77"/>
      <c r="H153" s="189"/>
      <c r="I153" s="189"/>
      <c r="J153" s="189"/>
      <c r="K153" s="189"/>
      <c r="L153" s="190"/>
      <c r="M153" s="189"/>
      <c r="N153" s="189"/>
      <c r="O153" s="189"/>
      <c r="P153" s="189"/>
      <c r="Q153" s="189"/>
      <c r="R153" s="189"/>
      <c r="S153" s="189"/>
      <c r="T153" s="189"/>
      <c r="U153" s="189"/>
    </row>
    <row r="154" spans="1:22">
      <c r="A154" s="42"/>
      <c r="B154" s="201"/>
      <c r="C154" s="181"/>
      <c r="D154" s="181"/>
      <c r="E154" s="68"/>
      <c r="F154" s="181"/>
      <c r="G154" s="77"/>
      <c r="H154" s="189"/>
      <c r="I154" s="189"/>
      <c r="J154" s="189"/>
      <c r="K154" s="189"/>
      <c r="L154" s="190"/>
      <c r="M154" s="189"/>
      <c r="N154" s="189"/>
      <c r="O154" s="189"/>
      <c r="P154" s="189"/>
      <c r="Q154" s="189"/>
      <c r="R154" s="189"/>
      <c r="S154" s="189"/>
      <c r="T154" s="189"/>
      <c r="U154" s="189"/>
    </row>
    <row r="155" spans="1:22">
      <c r="A155" s="42"/>
      <c r="B155" s="201"/>
      <c r="C155" s="181"/>
      <c r="D155" s="181"/>
      <c r="E155" s="68"/>
      <c r="F155" s="181"/>
      <c r="G155" s="77"/>
      <c r="H155" s="189"/>
      <c r="I155" s="189"/>
      <c r="J155" s="189"/>
      <c r="K155" s="189"/>
      <c r="L155" s="190"/>
      <c r="M155" s="189"/>
      <c r="N155" s="189"/>
      <c r="O155" s="189"/>
      <c r="P155" s="189"/>
      <c r="Q155" s="189"/>
      <c r="R155" s="189"/>
      <c r="S155" s="189"/>
      <c r="T155" s="189"/>
      <c r="U155" s="189"/>
    </row>
    <row r="156" spans="1:22">
      <c r="A156" s="42"/>
      <c r="B156" s="201"/>
      <c r="C156" s="181"/>
      <c r="D156" s="181"/>
      <c r="E156" s="68"/>
      <c r="F156" s="181"/>
      <c r="G156" s="77"/>
      <c r="H156" s="189"/>
      <c r="I156" s="189"/>
      <c r="J156" s="189"/>
      <c r="K156" s="189"/>
      <c r="L156" s="190"/>
      <c r="M156" s="189"/>
      <c r="N156" s="189"/>
      <c r="O156" s="189"/>
      <c r="P156" s="189"/>
      <c r="Q156" s="189"/>
      <c r="R156" s="189"/>
      <c r="S156" s="189"/>
      <c r="T156" s="189"/>
      <c r="U156" s="189"/>
    </row>
    <row r="157" spans="1:22">
      <c r="A157" s="42"/>
    </row>
    <row r="158" spans="1:22">
      <c r="A158" s="42"/>
      <c r="B158" s="201"/>
      <c r="C158" s="181"/>
      <c r="D158" s="181"/>
      <c r="E158" s="68"/>
      <c r="F158" s="181"/>
      <c r="G158" s="77"/>
      <c r="H158" s="189"/>
      <c r="I158" s="189"/>
      <c r="J158" s="189"/>
      <c r="K158" s="189"/>
      <c r="L158" s="190"/>
      <c r="M158" s="189"/>
      <c r="N158" s="189"/>
      <c r="O158" s="189"/>
      <c r="P158" s="189"/>
      <c r="Q158" s="189"/>
      <c r="R158" s="189"/>
      <c r="S158" s="189"/>
      <c r="T158" s="189"/>
      <c r="U158" s="189"/>
    </row>
    <row r="159" spans="1:22">
      <c r="A159" s="42"/>
      <c r="B159" s="201"/>
      <c r="C159" s="181"/>
      <c r="D159" s="181"/>
      <c r="E159" s="68"/>
      <c r="F159" s="181"/>
      <c r="G159" s="77"/>
      <c r="H159" s="189"/>
      <c r="I159" s="189"/>
      <c r="J159" s="189"/>
      <c r="K159" s="189"/>
      <c r="L159" s="190"/>
      <c r="M159" s="189"/>
      <c r="N159" s="189"/>
      <c r="O159" s="189"/>
      <c r="P159" s="189"/>
      <c r="Q159" s="189"/>
      <c r="R159" s="189"/>
      <c r="S159" s="189"/>
      <c r="T159" s="189"/>
      <c r="U159" s="189"/>
    </row>
    <row r="160" spans="1:22">
      <c r="A160" s="42"/>
      <c r="B160" s="201"/>
      <c r="C160" s="181"/>
      <c r="D160" s="181"/>
      <c r="E160" s="68"/>
      <c r="F160" s="181"/>
      <c r="G160" s="77"/>
      <c r="H160" s="189"/>
      <c r="I160" s="189"/>
      <c r="J160" s="189"/>
      <c r="K160" s="189"/>
      <c r="L160" s="190"/>
      <c r="M160" s="189"/>
      <c r="N160" s="189"/>
      <c r="O160" s="189"/>
      <c r="P160" s="189"/>
      <c r="Q160" s="189"/>
      <c r="R160" s="189"/>
      <c r="S160" s="189"/>
      <c r="T160" s="189"/>
      <c r="U160" s="189"/>
    </row>
    <row r="161" spans="1:21">
      <c r="A161" s="42"/>
      <c r="B161" s="201"/>
      <c r="C161" s="181"/>
      <c r="D161" s="181"/>
      <c r="E161" s="68"/>
      <c r="F161" s="181"/>
      <c r="G161" s="77"/>
      <c r="H161" s="189"/>
      <c r="I161" s="189"/>
      <c r="J161" s="189"/>
      <c r="K161" s="189"/>
      <c r="L161" s="190"/>
      <c r="M161" s="189"/>
      <c r="N161" s="189"/>
      <c r="O161" s="189"/>
      <c r="P161" s="189"/>
      <c r="Q161" s="189"/>
      <c r="R161" s="189"/>
      <c r="S161" s="189"/>
      <c r="T161" s="189"/>
      <c r="U161" s="189"/>
    </row>
    <row r="162" spans="1:21">
      <c r="A162" s="42"/>
      <c r="B162" s="201"/>
      <c r="C162" s="181"/>
      <c r="D162" s="181"/>
      <c r="E162" s="68"/>
      <c r="F162" s="181"/>
      <c r="G162" s="77"/>
      <c r="H162" s="189"/>
      <c r="I162" s="189"/>
      <c r="J162" s="189"/>
      <c r="K162" s="189"/>
      <c r="L162" s="190"/>
      <c r="M162" s="189"/>
      <c r="N162" s="189"/>
      <c r="O162" s="189"/>
      <c r="P162" s="189"/>
      <c r="Q162" s="189"/>
      <c r="R162" s="189"/>
      <c r="S162" s="189"/>
      <c r="T162" s="189"/>
      <c r="U162" s="189"/>
    </row>
    <row r="163" spans="1:21">
      <c r="A163" s="42"/>
      <c r="B163" s="201"/>
      <c r="C163" s="181"/>
      <c r="D163" s="181"/>
      <c r="E163" s="68"/>
      <c r="F163" s="181"/>
      <c r="G163" s="77"/>
      <c r="H163" s="189"/>
      <c r="I163" s="189"/>
      <c r="J163" s="189"/>
      <c r="K163" s="189"/>
      <c r="L163" s="190"/>
      <c r="M163" s="189"/>
      <c r="N163" s="189"/>
      <c r="O163" s="189"/>
      <c r="P163" s="189"/>
      <c r="Q163" s="189"/>
      <c r="R163" s="189"/>
      <c r="S163" s="189"/>
      <c r="T163" s="189"/>
      <c r="U163" s="189"/>
    </row>
    <row r="164" spans="1:21">
      <c r="A164" s="42"/>
      <c r="B164" s="201"/>
      <c r="C164" s="181"/>
      <c r="D164" s="181"/>
      <c r="E164" s="68"/>
      <c r="F164" s="181"/>
      <c r="G164" s="77"/>
      <c r="H164" s="189"/>
      <c r="I164" s="189"/>
      <c r="J164" s="189"/>
      <c r="K164" s="189"/>
      <c r="L164" s="190"/>
      <c r="M164" s="189"/>
      <c r="N164" s="189"/>
      <c r="O164" s="189"/>
      <c r="P164" s="189"/>
      <c r="Q164" s="189"/>
      <c r="R164" s="189"/>
      <c r="S164" s="189"/>
      <c r="T164" s="189"/>
      <c r="U164" s="189"/>
    </row>
    <row r="165" spans="1:21">
      <c r="A165" s="42"/>
      <c r="B165" s="201"/>
      <c r="C165" s="181"/>
      <c r="D165" s="181"/>
      <c r="E165" s="68"/>
      <c r="F165" s="181"/>
      <c r="G165" s="77"/>
      <c r="H165" s="189"/>
      <c r="I165" s="189"/>
      <c r="J165" s="189"/>
      <c r="K165" s="189"/>
      <c r="L165" s="190"/>
      <c r="M165" s="189"/>
      <c r="N165" s="189"/>
      <c r="O165" s="189"/>
      <c r="P165" s="189"/>
      <c r="Q165" s="189"/>
      <c r="R165" s="189"/>
      <c r="S165" s="189"/>
      <c r="T165" s="189"/>
      <c r="U165" s="189"/>
    </row>
    <row r="166" spans="1:21">
      <c r="A166" s="42"/>
      <c r="B166" s="201"/>
      <c r="C166" s="181"/>
      <c r="D166" s="181"/>
      <c r="E166" s="68"/>
      <c r="F166" s="181"/>
      <c r="G166" s="77"/>
      <c r="H166" s="189"/>
      <c r="I166" s="189"/>
      <c r="J166" s="189"/>
      <c r="K166" s="189"/>
      <c r="L166" s="190"/>
      <c r="M166" s="189"/>
      <c r="N166" s="189"/>
      <c r="O166" s="189"/>
      <c r="P166" s="189"/>
      <c r="Q166" s="189"/>
      <c r="R166" s="189"/>
      <c r="S166" s="189"/>
      <c r="T166" s="189"/>
      <c r="U166" s="189"/>
    </row>
    <row r="167" spans="1:21">
      <c r="A167" s="42"/>
      <c r="B167" s="201"/>
      <c r="C167" s="181"/>
      <c r="D167" s="181"/>
      <c r="E167" s="68"/>
      <c r="F167" s="181"/>
      <c r="G167" s="77"/>
      <c r="H167" s="189"/>
      <c r="I167" s="189"/>
      <c r="J167" s="189"/>
      <c r="K167" s="189"/>
      <c r="L167" s="190"/>
      <c r="M167" s="189"/>
      <c r="N167" s="189"/>
      <c r="O167" s="189"/>
      <c r="P167" s="189"/>
      <c r="Q167" s="189"/>
      <c r="R167" s="189"/>
      <c r="S167" s="189"/>
      <c r="T167" s="189"/>
      <c r="U167" s="189"/>
    </row>
    <row r="168" spans="1:21">
      <c r="A168" s="42"/>
      <c r="B168" s="201"/>
      <c r="C168" s="181"/>
      <c r="D168" s="181"/>
      <c r="E168" s="68"/>
      <c r="F168" s="181"/>
      <c r="G168" s="77"/>
      <c r="H168" s="189"/>
      <c r="I168" s="189"/>
      <c r="J168" s="189"/>
      <c r="K168" s="189"/>
      <c r="L168" s="190"/>
      <c r="M168" s="189"/>
      <c r="N168" s="189"/>
      <c r="O168" s="189"/>
      <c r="P168" s="189"/>
      <c r="Q168" s="189"/>
      <c r="R168" s="189"/>
      <c r="S168" s="189"/>
      <c r="T168" s="189"/>
      <c r="U168" s="189"/>
    </row>
    <row r="169" spans="1:21">
      <c r="A169" s="42"/>
      <c r="B169" s="201"/>
      <c r="C169" s="181"/>
      <c r="D169" s="181"/>
      <c r="E169" s="68"/>
      <c r="F169" s="181"/>
      <c r="G169" s="77"/>
      <c r="H169" s="189"/>
      <c r="I169" s="189"/>
      <c r="J169" s="189"/>
      <c r="K169" s="189"/>
      <c r="L169" s="190"/>
      <c r="M169" s="189"/>
      <c r="N169" s="189"/>
      <c r="O169" s="189"/>
      <c r="P169" s="189"/>
      <c r="Q169" s="189"/>
      <c r="R169" s="189"/>
      <c r="S169" s="189"/>
      <c r="T169" s="189"/>
      <c r="U169" s="189"/>
    </row>
    <row r="170" spans="1:21">
      <c r="A170" s="42"/>
      <c r="B170" s="201"/>
      <c r="C170" s="181"/>
      <c r="D170" s="181"/>
      <c r="E170" s="68"/>
      <c r="F170" s="181"/>
      <c r="G170" s="77"/>
      <c r="H170" s="189"/>
      <c r="I170" s="189"/>
      <c r="J170" s="189"/>
      <c r="K170" s="189"/>
      <c r="L170" s="190"/>
      <c r="M170" s="189"/>
      <c r="N170" s="189"/>
      <c r="O170" s="189"/>
      <c r="P170" s="189"/>
      <c r="Q170" s="189"/>
      <c r="R170" s="189"/>
      <c r="S170" s="189"/>
      <c r="T170" s="189"/>
      <c r="U170" s="189"/>
    </row>
    <row r="171" spans="1:21">
      <c r="A171" s="42"/>
      <c r="B171" s="201"/>
      <c r="C171" s="181"/>
      <c r="D171" s="181"/>
      <c r="E171" s="68"/>
      <c r="F171" s="181"/>
      <c r="G171" s="77"/>
      <c r="H171" s="189"/>
      <c r="I171" s="189"/>
      <c r="J171" s="189"/>
      <c r="K171" s="189"/>
      <c r="L171" s="190"/>
      <c r="M171" s="189"/>
      <c r="N171" s="189"/>
      <c r="O171" s="189"/>
      <c r="P171" s="189"/>
      <c r="Q171" s="189"/>
      <c r="R171" s="189"/>
      <c r="S171" s="189"/>
      <c r="T171" s="189"/>
      <c r="U171" s="189"/>
    </row>
    <row r="172" spans="1:21">
      <c r="A172" s="42"/>
      <c r="B172" s="201"/>
      <c r="C172" s="181"/>
      <c r="D172" s="181"/>
      <c r="E172" s="68"/>
      <c r="F172" s="181"/>
      <c r="G172" s="77"/>
      <c r="H172" s="189"/>
      <c r="I172" s="189"/>
      <c r="J172" s="189"/>
      <c r="K172" s="189"/>
      <c r="L172" s="190"/>
      <c r="M172" s="189"/>
      <c r="N172" s="189"/>
      <c r="O172" s="189"/>
      <c r="P172" s="189"/>
      <c r="Q172" s="189"/>
      <c r="R172" s="189"/>
      <c r="S172" s="189"/>
      <c r="T172" s="189"/>
      <c r="U172" s="189"/>
    </row>
    <row r="173" spans="1:21">
      <c r="A173" s="42"/>
      <c r="B173" s="201"/>
      <c r="C173" s="181"/>
      <c r="D173" s="181"/>
      <c r="E173" s="68"/>
      <c r="F173" s="181"/>
      <c r="G173" s="77"/>
      <c r="H173" s="189"/>
      <c r="I173" s="189"/>
      <c r="J173" s="189"/>
      <c r="K173" s="189"/>
      <c r="L173" s="190"/>
      <c r="M173" s="189"/>
      <c r="N173" s="189"/>
      <c r="O173" s="189"/>
      <c r="P173" s="189"/>
      <c r="Q173" s="189"/>
      <c r="R173" s="189"/>
      <c r="S173" s="189"/>
      <c r="T173" s="189"/>
      <c r="U173" s="189"/>
    </row>
    <row r="174" spans="1:21">
      <c r="B174" s="201"/>
      <c r="C174" s="181"/>
      <c r="D174" s="181"/>
      <c r="E174" s="68"/>
      <c r="F174" s="181"/>
      <c r="G174" s="77"/>
      <c r="H174" s="189"/>
      <c r="I174" s="189"/>
      <c r="J174" s="189"/>
      <c r="K174" s="189"/>
      <c r="L174" s="190"/>
      <c r="M174" s="189"/>
      <c r="N174" s="189"/>
      <c r="O174" s="189"/>
      <c r="P174" s="189"/>
      <c r="Q174" s="189"/>
      <c r="R174" s="189"/>
      <c r="S174" s="189"/>
      <c r="T174" s="189"/>
      <c r="U174" s="189"/>
    </row>
    <row r="175" spans="1:21">
      <c r="B175" s="201"/>
      <c r="C175" s="181"/>
      <c r="D175" s="181"/>
      <c r="E175" s="68"/>
      <c r="F175" s="181"/>
      <c r="G175" s="77"/>
      <c r="H175" s="189"/>
      <c r="I175" s="189"/>
      <c r="J175" s="189"/>
      <c r="K175" s="189"/>
      <c r="L175" s="190"/>
      <c r="M175" s="189"/>
      <c r="N175" s="189"/>
      <c r="O175" s="189"/>
      <c r="P175" s="189"/>
      <c r="Q175" s="189"/>
      <c r="R175" s="189"/>
      <c r="S175" s="189"/>
      <c r="T175" s="189"/>
      <c r="U175" s="189"/>
    </row>
    <row r="176" spans="1:21">
      <c r="A176" s="42"/>
    </row>
    <row r="177" spans="1:12">
      <c r="A177" s="42"/>
      <c r="L177" s="179"/>
    </row>
    <row r="178" spans="1:12">
      <c r="A178" s="42"/>
      <c r="L178" s="179"/>
    </row>
    <row r="179" spans="1:12">
      <c r="A179" s="42"/>
      <c r="L179" s="179"/>
    </row>
    <row r="180" spans="1:12">
      <c r="A180" s="42"/>
      <c r="L180" s="179"/>
    </row>
    <row r="181" spans="1:12">
      <c r="A181" s="42"/>
      <c r="L181" s="179"/>
    </row>
    <row r="182" spans="1:12">
      <c r="A182" s="42"/>
      <c r="L182" s="179"/>
    </row>
    <row r="183" spans="1:12">
      <c r="L183" s="179"/>
    </row>
    <row r="184" spans="1:12">
      <c r="L184" s="179"/>
    </row>
    <row r="185" spans="1:12">
      <c r="A185" s="42"/>
    </row>
    <row r="186" spans="1:12">
      <c r="A186" s="42"/>
      <c r="L186" s="179"/>
    </row>
    <row r="187" spans="1:12">
      <c r="A187" s="42"/>
      <c r="L187" s="179"/>
    </row>
    <row r="188" spans="1:12">
      <c r="A188" s="42"/>
      <c r="L188" s="179"/>
    </row>
    <row r="189" spans="1:12">
      <c r="A189" s="42"/>
      <c r="L189" s="179"/>
    </row>
    <row r="190" spans="1:12">
      <c r="A190" s="42"/>
      <c r="L190" s="179"/>
    </row>
    <row r="191" spans="1:12">
      <c r="A191" s="42"/>
      <c r="L191" s="179"/>
    </row>
    <row r="192" spans="1:12">
      <c r="L192" s="179"/>
    </row>
    <row r="193" spans="1:12">
      <c r="L193" s="179"/>
    </row>
    <row r="194" spans="1:12">
      <c r="A194" s="42"/>
    </row>
    <row r="195" spans="1:12">
      <c r="A195" s="42"/>
      <c r="L195" s="179"/>
    </row>
    <row r="196" spans="1:12">
      <c r="A196" s="42"/>
      <c r="L196" s="179"/>
    </row>
    <row r="197" spans="1:12">
      <c r="A197" s="42"/>
      <c r="L197" s="179"/>
    </row>
    <row r="198" spans="1:12">
      <c r="A198" s="42"/>
      <c r="L198" s="179"/>
    </row>
    <row r="199" spans="1:12">
      <c r="A199" s="42"/>
      <c r="L199" s="179"/>
    </row>
    <row r="200" spans="1:12">
      <c r="A200" s="42"/>
      <c r="L200" s="179"/>
    </row>
    <row r="201" spans="1:12">
      <c r="L201" s="179"/>
    </row>
    <row r="202" spans="1:12">
      <c r="L202" s="179"/>
    </row>
    <row r="203" spans="1:12">
      <c r="A203" s="42"/>
    </row>
    <row r="204" spans="1:12">
      <c r="A204" s="42"/>
    </row>
    <row r="205" spans="1:12">
      <c r="A205" s="42"/>
    </row>
    <row r="206" spans="1:12">
      <c r="A206" s="42"/>
    </row>
    <row r="207" spans="1:12">
      <c r="A207" s="42"/>
    </row>
    <row r="208" spans="1:12">
      <c r="A208" s="42"/>
    </row>
    <row r="209" spans="1:1">
      <c r="A209" s="42"/>
    </row>
  </sheetData>
  <conditionalFormatting sqref="B8:F23 H8:K23 M8:P23 R8:U23 B27:F42 H27:K42 M27:P42 R27:U42 B46:F61 H46:K61 M46:P61 R46:U61 B65:F80 H65:K80 M65:P80 R65:U80 B84:F99 H84:K99 M84:P99 R84:U99 B103:F118 H103:K118 M103:P118 R103:U118 B122:F137 H122:K137 M122:P137 R122:U137">
    <cfRule type="expression" dxfId="1" priority="40">
      <formula>EVEN(ROW())=ROW()</formula>
    </cfRule>
  </conditionalFormatting>
  <hyperlinks>
    <hyperlink ref="Y1" location="Prices!A1" display="Jump to Prices" xr:uid="{57AD22EB-6356-4026-B96D-08B07E3847B4}"/>
  </hyperlinks>
  <pageMargins left="0.70866141732283472" right="0.70866141732283472" top="0.74803149606299213" bottom="0.74803149606299213" header="0.31496062992125984" footer="0.31496062992125984"/>
  <pageSetup paperSize="9" scale="63" fitToHeight="0" orientation="landscape" r:id="rId1"/>
  <rowBreaks count="2" manualBreakCount="2">
    <brk id="62" max="21" man="1"/>
    <brk id="119" max="21" man="1"/>
  </rowBreaks>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Sheet15">
    <pageSetUpPr fitToPage="1"/>
  </sheetPr>
  <dimension ref="B1:AR165"/>
  <sheetViews>
    <sheetView showGridLines="0" zoomScale="80" zoomScaleNormal="80" zoomScaleSheetLayoutView="80" workbookViewId="0">
      <selection activeCell="I11" sqref="I11"/>
    </sheetView>
  </sheetViews>
  <sheetFormatPr defaultColWidth="9.109375" defaultRowHeight="12"/>
  <cols>
    <col min="1" max="1" width="2.33203125" style="39" customWidth="1"/>
    <col min="2" max="2" width="26.5546875" style="39" customWidth="1"/>
    <col min="3" max="9" width="10" style="39" customWidth="1"/>
    <col min="10" max="10" width="26.6640625" style="39" customWidth="1"/>
    <col min="11" max="16" width="10" style="39" customWidth="1"/>
    <col min="17" max="19" width="8.6640625" style="39" customWidth="1"/>
    <col min="20" max="28" width="8.6640625" style="5" customWidth="1"/>
    <col min="29" max="44" width="9.109375" style="5"/>
    <col min="45" max="16384" width="9.109375" style="39"/>
  </cols>
  <sheetData>
    <row r="1" spans="2:44" s="312" customFormat="1">
      <c r="T1" s="149"/>
      <c r="U1" s="149"/>
      <c r="V1" s="149"/>
      <c r="W1" s="149"/>
      <c r="X1" s="149"/>
      <c r="Y1" s="149"/>
      <c r="Z1" s="149"/>
      <c r="AA1" s="149"/>
      <c r="AB1" s="149"/>
      <c r="AC1" s="149"/>
      <c r="AD1" s="149"/>
      <c r="AE1" s="149"/>
      <c r="AF1" s="149"/>
      <c r="AG1" s="149"/>
      <c r="AH1" s="149"/>
      <c r="AI1" s="149"/>
      <c r="AJ1" s="149"/>
      <c r="AK1" s="149"/>
      <c r="AL1" s="149"/>
      <c r="AM1" s="149"/>
      <c r="AN1" s="149"/>
      <c r="AO1" s="149"/>
      <c r="AP1" s="149"/>
      <c r="AQ1" s="149"/>
      <c r="AR1" s="149"/>
    </row>
    <row r="2" spans="2:44" s="149" customFormat="1"/>
    <row r="3" spans="2:44" s="149" customFormat="1">
      <c r="H3" s="153"/>
      <c r="P3" s="153"/>
    </row>
    <row r="4" spans="2:44" s="156" customFormat="1" ht="21">
      <c r="B4" s="129" t="s">
        <v>459</v>
      </c>
      <c r="H4" s="222"/>
      <c r="P4" s="222"/>
    </row>
    <row r="5" spans="2:44" s="149" customFormat="1">
      <c r="C5" s="153"/>
      <c r="D5" s="153" t="str" cm="1">
        <f t="array" ref="D5:H5">headings</f>
        <v>2023E</v>
      </c>
      <c r="E5" s="153" t="str">
        <v>2024E</v>
      </c>
      <c r="F5" s="153" t="str">
        <v>2025E</v>
      </c>
      <c r="G5" s="153" t="str">
        <v>2026E</v>
      </c>
      <c r="H5" s="153" t="str">
        <v>23E-26E</v>
      </c>
      <c r="I5" s="153"/>
      <c r="J5" s="153"/>
      <c r="K5" s="153"/>
      <c r="L5" s="153" t="str" cm="1">
        <f t="array" ref="L5:P5">headings</f>
        <v>2023E</v>
      </c>
      <c r="M5" s="153" t="str">
        <v>2024E</v>
      </c>
      <c r="N5" s="153" t="str">
        <v>2025E</v>
      </c>
      <c r="O5" s="153" t="str">
        <v>2026E</v>
      </c>
      <c r="P5" s="153" t="str">
        <v>23E-26E</v>
      </c>
      <c r="Q5" s="162"/>
      <c r="R5" s="162"/>
      <c r="S5" s="162"/>
      <c r="T5" s="162"/>
      <c r="U5" s="162"/>
      <c r="V5" s="162"/>
      <c r="W5" s="162"/>
      <c r="X5" s="162"/>
      <c r="Y5" s="162"/>
    </row>
    <row r="6" spans="2:44">
      <c r="I6" s="5"/>
      <c r="J6" s="5"/>
      <c r="K6" s="5"/>
      <c r="L6" s="5"/>
      <c r="M6" s="5"/>
      <c r="N6" s="5"/>
      <c r="O6" s="49"/>
    </row>
    <row r="7" spans="2:44" ht="12.6" thickBot="1">
      <c r="B7" s="306" t="s">
        <v>271</v>
      </c>
      <c r="C7" s="265"/>
      <c r="D7" s="265" t="str">
        <f>D5</f>
        <v>2023E</v>
      </c>
      <c r="E7" s="265" t="str">
        <f t="shared" ref="E7:H7" si="0">E5</f>
        <v>2024E</v>
      </c>
      <c r="F7" s="265" t="str">
        <f t="shared" si="0"/>
        <v>2025E</v>
      </c>
      <c r="G7" s="265" t="str">
        <f t="shared" si="0"/>
        <v>2026E</v>
      </c>
      <c r="H7" s="265" t="str">
        <f t="shared" si="0"/>
        <v>23E-26E</v>
      </c>
      <c r="I7" s="49"/>
      <c r="J7" s="306" t="s">
        <v>35</v>
      </c>
      <c r="K7" s="306"/>
      <c r="L7" s="265" t="str">
        <f>L5</f>
        <v>2023E</v>
      </c>
      <c r="M7" s="265" t="str">
        <f t="shared" ref="M7:P7" si="1">M5</f>
        <v>2024E</v>
      </c>
      <c r="N7" s="265" t="str">
        <f t="shared" si="1"/>
        <v>2025E</v>
      </c>
      <c r="O7" s="265" t="str">
        <f t="shared" si="1"/>
        <v>2026E</v>
      </c>
      <c r="P7" s="265" t="str">
        <f t="shared" si="1"/>
        <v>23E-26E</v>
      </c>
    </row>
    <row r="8" spans="2:44" ht="12.6" thickTop="1">
      <c r="B8" s="5"/>
      <c r="C8" s="5"/>
      <c r="D8" s="5"/>
      <c r="E8" s="5"/>
      <c r="F8" s="5"/>
      <c r="G8" s="5"/>
      <c r="H8" s="5"/>
      <c r="I8" s="5"/>
      <c r="J8" s="5"/>
      <c r="K8" s="5"/>
      <c r="L8" s="5"/>
      <c r="M8" s="5"/>
      <c r="N8" s="5"/>
      <c r="S8" s="88"/>
      <c r="T8" s="42"/>
      <c r="U8" s="42"/>
      <c r="V8" s="42"/>
      <c r="W8" s="42"/>
      <c r="X8" s="42"/>
      <c r="Y8" s="42"/>
      <c r="Z8" s="42"/>
      <c r="AA8" s="42"/>
    </row>
    <row r="9" spans="2:44">
      <c r="B9" s="41" t="s">
        <v>272</v>
      </c>
      <c r="C9" s="287">
        <f>Prices!C12</f>
        <v>13.75</v>
      </c>
      <c r="D9" s="535">
        <v>0</v>
      </c>
      <c r="E9" s="536">
        <v>0</v>
      </c>
      <c r="F9" s="536">
        <v>0</v>
      </c>
      <c r="G9" s="536">
        <v>0</v>
      </c>
      <c r="H9" s="249"/>
      <c r="I9" s="249"/>
      <c r="J9" s="5" t="s">
        <v>273</v>
      </c>
      <c r="L9" s="529">
        <f>'W.EUR INCUMB'!D37</f>
        <v>2.1820368783030246</v>
      </c>
      <c r="M9" s="529">
        <f>'W.EUR INCUMB'!E37</f>
        <v>2.0995807894380842</v>
      </c>
      <c r="N9" s="529">
        <f>'W.EUR INCUMB'!F37</f>
        <v>2.0073776110351829</v>
      </c>
      <c r="O9" s="529">
        <f>'W.EUR INCUMB'!G37</f>
        <v>1.9004321192081457</v>
      </c>
      <c r="P9" s="279">
        <f>'W.EUR INCUMB'!H37</f>
        <v>1.5546449189376421E-2</v>
      </c>
      <c r="S9" s="88"/>
      <c r="T9" s="42"/>
      <c r="U9" s="42"/>
      <c r="V9" s="42"/>
      <c r="W9" s="42"/>
      <c r="X9" s="42"/>
      <c r="Y9" s="42"/>
      <c r="Z9" s="42"/>
      <c r="AA9" s="42"/>
    </row>
    <row r="10" spans="2:44">
      <c r="B10" s="5" t="s">
        <v>274</v>
      </c>
      <c r="C10" s="5"/>
      <c r="D10" s="531">
        <v>418.00679900397887</v>
      </c>
      <c r="E10" s="531">
        <v>403.19675868980084</v>
      </c>
      <c r="F10" s="531">
        <v>390.71831534488774</v>
      </c>
      <c r="G10" s="531">
        <v>379.53261336409145</v>
      </c>
      <c r="H10" s="247"/>
      <c r="I10" s="247"/>
      <c r="J10" s="5" t="s">
        <v>184</v>
      </c>
      <c r="L10" s="529">
        <f>'W.EUR INCUMB'!D38</f>
        <v>6.6561389315824204</v>
      </c>
      <c r="M10" s="529">
        <f>'W.EUR INCUMB'!E38</f>
        <v>6.276659180358183</v>
      </c>
      <c r="N10" s="529">
        <f>'W.EUR INCUMB'!F38</f>
        <v>5.9086011977805715</v>
      </c>
      <c r="O10" s="529">
        <f>'W.EUR INCUMB'!G38</f>
        <v>5.5249848727361259</v>
      </c>
      <c r="P10" s="279">
        <f>'W.EUR INCUMB'!H38</f>
        <v>3.1953936851226938E-2</v>
      </c>
      <c r="S10" s="88"/>
      <c r="T10" s="42"/>
      <c r="U10" s="42"/>
      <c r="V10" s="42"/>
      <c r="W10" s="288"/>
      <c r="X10" s="288"/>
      <c r="Y10" s="288"/>
      <c r="Z10" s="288"/>
      <c r="AA10" s="42"/>
    </row>
    <row r="11" spans="2:44">
      <c r="B11" s="41" t="s">
        <v>275</v>
      </c>
      <c r="C11" s="5"/>
      <c r="D11" s="532">
        <f>$C$9*D10</f>
        <v>5747.5934863047096</v>
      </c>
      <c r="E11" s="532">
        <f>$C$9*E10</f>
        <v>5543.9554319847612</v>
      </c>
      <c r="F11" s="532">
        <f>$C$9*F10</f>
        <v>5372.3768359922069</v>
      </c>
      <c r="G11" s="532">
        <f>$C$9*G10</f>
        <v>5218.5734337562571</v>
      </c>
      <c r="H11" s="249"/>
      <c r="I11" s="249"/>
      <c r="J11" s="5" t="s">
        <v>185</v>
      </c>
      <c r="L11" s="529">
        <f>'W.EUR INCUMB'!D39</f>
        <v>13.860323858751276</v>
      </c>
      <c r="M11" s="529">
        <f>'W.EUR INCUMB'!E39</f>
        <v>12.09622383745986</v>
      </c>
      <c r="N11" s="529">
        <f>'W.EUR INCUMB'!F39</f>
        <v>10.876080155020103</v>
      </c>
      <c r="O11" s="529">
        <f>'W.EUR INCUMB'!G39</f>
        <v>9.7993857809910292</v>
      </c>
      <c r="P11" s="279">
        <f>'W.EUR INCUMB'!H39</f>
        <v>8.864945159447446E-2</v>
      </c>
      <c r="S11" s="88"/>
      <c r="T11" s="42"/>
      <c r="U11" s="42"/>
      <c r="V11" s="42"/>
      <c r="W11" s="288"/>
      <c r="X11" s="288"/>
      <c r="Y11" s="288"/>
      <c r="Z11" s="288"/>
      <c r="AA11" s="42"/>
    </row>
    <row r="12" spans="2:44">
      <c r="B12" s="5" t="s">
        <v>24</v>
      </c>
      <c r="C12" s="249"/>
      <c r="D12" s="533">
        <v>917.49999999999989</v>
      </c>
      <c r="E12" s="533">
        <v>917.49999999999989</v>
      </c>
      <c r="F12" s="533">
        <v>917.49999999999989</v>
      </c>
      <c r="G12" s="533">
        <v>917.49999999999989</v>
      </c>
      <c r="H12" s="247"/>
      <c r="I12" s="247"/>
      <c r="J12" s="5" t="s">
        <v>466</v>
      </c>
      <c r="L12" s="529">
        <f>'W.EUR INCUMB'!D40</f>
        <v>18.773170831659439</v>
      </c>
      <c r="M12" s="529">
        <f>'W.EUR INCUMB'!E40</f>
        <v>16.316100899802951</v>
      </c>
      <c r="N12" s="529">
        <f>'W.EUR INCUMB'!F40</f>
        <v>14.678691432593167</v>
      </c>
      <c r="O12" s="529">
        <f>'W.EUR INCUMB'!G40</f>
        <v>13.250660214807615</v>
      </c>
      <c r="P12" s="279">
        <f>'W.EUR INCUMB'!H40</f>
        <v>8.9255902689365119E-2</v>
      </c>
      <c r="S12" s="88"/>
      <c r="T12" s="42"/>
      <c r="U12" s="42"/>
      <c r="V12" s="42"/>
      <c r="W12" s="288"/>
      <c r="X12" s="288"/>
      <c r="Y12" s="288"/>
      <c r="Z12" s="288"/>
      <c r="AA12" s="42"/>
    </row>
    <row r="13" spans="2:44">
      <c r="B13" s="5" t="s">
        <v>529</v>
      </c>
      <c r="C13" s="257"/>
      <c r="D13" s="533">
        <v>917.64082702944404</v>
      </c>
      <c r="E13" s="533">
        <v>917.64082702944404</v>
      </c>
      <c r="F13" s="533">
        <v>917.64082702944404</v>
      </c>
      <c r="G13" s="533">
        <v>917.64082702944404</v>
      </c>
      <c r="H13" s="247"/>
      <c r="I13" s="247"/>
      <c r="J13" s="5" t="s">
        <v>530</v>
      </c>
      <c r="L13" s="529">
        <f>'W.EUR INCUMB'!D41</f>
        <v>1.4554049615742648</v>
      </c>
      <c r="M13" s="529">
        <f>'W.EUR INCUMB'!E41</f>
        <v>1.3652506578772214</v>
      </c>
      <c r="N13" s="529">
        <f>'W.EUR INCUMB'!F41</f>
        <v>1.2968813123150413</v>
      </c>
      <c r="O13" s="529">
        <f>'W.EUR INCUMB'!G41</f>
        <v>1.2281427713802577</v>
      </c>
      <c r="P13" s="279">
        <f>'W.EUR INCUMB'!H41</f>
        <v>2.6301307293472354E-2</v>
      </c>
      <c r="S13" s="88"/>
      <c r="T13" s="42"/>
      <c r="U13" s="42"/>
      <c r="V13" s="42"/>
      <c r="W13" s="42"/>
      <c r="X13" s="42"/>
      <c r="Y13" s="42"/>
      <c r="Z13" s="42"/>
      <c r="AA13" s="42"/>
    </row>
    <row r="14" spans="2:44">
      <c r="B14" s="5" t="s">
        <v>532</v>
      </c>
      <c r="C14" s="257"/>
      <c r="D14" s="533">
        <v>0</v>
      </c>
      <c r="E14" s="533">
        <f t="shared" ref="E14:G15" si="2">D14</f>
        <v>0</v>
      </c>
      <c r="F14" s="533">
        <f t="shared" si="2"/>
        <v>0</v>
      </c>
      <c r="G14" s="533">
        <f t="shared" si="2"/>
        <v>0</v>
      </c>
      <c r="H14" s="247"/>
      <c r="I14" s="247"/>
      <c r="J14" s="5" t="s">
        <v>593</v>
      </c>
      <c r="L14" s="529">
        <f>'W.EUR INCUMB'!D42</f>
        <v>3.3234793761102739</v>
      </c>
      <c r="M14" s="529">
        <f>'W.EUR INCUMB'!E42</f>
        <v>3.2424169171692641</v>
      </c>
      <c r="N14" s="529">
        <f>'W.EUR INCUMB'!F42</f>
        <v>3.1662515332190617</v>
      </c>
      <c r="O14" s="529">
        <f>'W.EUR INCUMB'!G42</f>
        <v>3.0630241710617754</v>
      </c>
      <c r="P14" s="279">
        <f>'W.EUR INCUMB'!H42</f>
        <v>-3.4232783193558491E-3</v>
      </c>
      <c r="S14" s="88"/>
      <c r="T14" s="42"/>
      <c r="U14" s="42"/>
      <c r="V14" s="42"/>
      <c r="W14" s="42"/>
      <c r="X14" s="42"/>
      <c r="Y14" s="42"/>
      <c r="Z14" s="42"/>
      <c r="AA14" s="42"/>
    </row>
    <row r="15" spans="2:44">
      <c r="B15" s="5" t="s">
        <v>531</v>
      </c>
      <c r="C15" s="274"/>
      <c r="D15" s="533">
        <f>OTESOP!T19</f>
        <v>24.840000000000003</v>
      </c>
      <c r="E15" s="533">
        <f t="shared" si="2"/>
        <v>24.840000000000003</v>
      </c>
      <c r="F15" s="533">
        <f t="shared" si="2"/>
        <v>24.840000000000003</v>
      </c>
      <c r="G15" s="533">
        <f t="shared" si="2"/>
        <v>24.840000000000003</v>
      </c>
      <c r="H15" s="247"/>
      <c r="I15" s="247"/>
      <c r="J15" s="5" t="s">
        <v>475</v>
      </c>
      <c r="L15" s="529">
        <f>'W.EUR INCUMB'!D43</f>
        <v>15.36919487731438</v>
      </c>
      <c r="M15" s="529">
        <f>'W.EUR INCUMB'!E43</f>
        <v>13.900480990887658</v>
      </c>
      <c r="N15" s="529">
        <f>'W.EUR INCUMB'!F43</f>
        <v>11.808036199618913</v>
      </c>
      <c r="O15" s="529">
        <f>'W.EUR INCUMB'!G43</f>
        <v>10.77079458313478</v>
      </c>
      <c r="P15" s="279">
        <f>'W.EUR INCUMB'!H43</f>
        <v>0.11736524628436351</v>
      </c>
      <c r="S15" s="88"/>
      <c r="T15" s="42"/>
      <c r="U15" s="42"/>
      <c r="V15" s="42"/>
      <c r="W15" s="42"/>
      <c r="X15" s="42"/>
      <c r="Y15" s="42"/>
      <c r="Z15" s="42"/>
      <c r="AA15" s="42"/>
    </row>
    <row r="16" spans="2:44">
      <c r="B16" s="5" t="s">
        <v>534</v>
      </c>
      <c r="C16" s="257"/>
      <c r="D16" s="533">
        <v>0</v>
      </c>
      <c r="E16" s="533">
        <v>254.56614059342311</v>
      </c>
      <c r="F16" s="533">
        <v>540.8358392631817</v>
      </c>
      <c r="G16" s="533">
        <v>832.11634335279541</v>
      </c>
      <c r="H16" s="247"/>
      <c r="I16" s="247"/>
      <c r="J16" s="5" t="s">
        <v>533</v>
      </c>
      <c r="L16" s="529">
        <f>'W.EUR INCUMB'!D44</f>
        <v>13.849445280082518</v>
      </c>
      <c r="M16" s="529">
        <f>'W.EUR INCUMB'!E44</f>
        <v>12.437286696089576</v>
      </c>
      <c r="N16" s="529">
        <f>'W.EUR INCUMB'!F44</f>
        <v>11.380437598490861</v>
      </c>
      <c r="O16" s="529">
        <f>'W.EUR INCUMB'!G44</f>
        <v>10.478743141097034</v>
      </c>
      <c r="P16" s="279">
        <f>'W.EUR INCUMB'!H44</f>
        <v>9.2323853476973694E-2</v>
      </c>
      <c r="S16" s="88"/>
      <c r="T16" s="42"/>
      <c r="U16" s="42"/>
      <c r="V16" s="42"/>
      <c r="W16" s="42"/>
      <c r="X16" s="42"/>
      <c r="Y16" s="42"/>
      <c r="Z16" s="42"/>
      <c r="AA16" s="42"/>
    </row>
    <row r="17" spans="2:27">
      <c r="B17" s="5" t="s">
        <v>6</v>
      </c>
      <c r="C17" s="257"/>
      <c r="D17" s="533">
        <v>266.58576317688124</v>
      </c>
      <c r="E17" s="533">
        <v>266.58576317688124</v>
      </c>
      <c r="F17" s="533">
        <v>266.58576317688124</v>
      </c>
      <c r="G17" s="533">
        <v>266.58576317688124</v>
      </c>
      <c r="H17" s="247"/>
      <c r="I17" s="247"/>
      <c r="J17" s="5" t="s">
        <v>580</v>
      </c>
      <c r="L17" s="248">
        <f>'W.EUR INCUMB'!D45</f>
        <v>4.9929768285127372E-2</v>
      </c>
      <c r="M17" s="248">
        <f>'W.EUR INCUMB'!E45</f>
        <v>5.2540326500089954E-2</v>
      </c>
      <c r="N17" s="248">
        <f>'W.EUR INCUMB'!F45</f>
        <v>5.4852141769022943E-2</v>
      </c>
      <c r="O17" s="248">
        <f>'W.EUR INCUMB'!G45</f>
        <v>5.8322596586761276E-2</v>
      </c>
      <c r="P17" s="279">
        <f>'W.EUR INCUMB'!H45</f>
        <v>4.8261067786518064E-2</v>
      </c>
      <c r="S17" s="88"/>
      <c r="T17" s="42"/>
      <c r="U17" s="42"/>
      <c r="V17" s="42"/>
      <c r="W17" s="42"/>
      <c r="X17" s="42"/>
      <c r="Y17" s="42"/>
      <c r="Z17" s="42"/>
      <c r="AA17" s="42"/>
    </row>
    <row r="18" spans="2:27" ht="12.6" thickBot="1">
      <c r="B18" s="41" t="s">
        <v>583</v>
      </c>
      <c r="C18" s="249"/>
      <c r="D18" s="534">
        <f>D11+D12+D13-D14+D15-D16-D17</f>
        <v>7340.9885501572726</v>
      </c>
      <c r="E18" s="534">
        <f>E11+E12+E13-E14+E15-E16-E17</f>
        <v>6882.7843552439008</v>
      </c>
      <c r="F18" s="534">
        <f>F11+F12+F13-F14+F15-F16-F17</f>
        <v>6424.9360605815882</v>
      </c>
      <c r="G18" s="534">
        <f>G11+G12+G13-G14+G15-G16-G17</f>
        <v>5979.8521542560247</v>
      </c>
      <c r="H18" s="276">
        <f>IF(D18=0,"nm",IF(G18=0,"nm",(G18/D18)^(1/3)-1))</f>
        <v>-6.607507404076296E-2</v>
      </c>
      <c r="I18" s="254"/>
      <c r="J18" s="5" t="s">
        <v>36</v>
      </c>
      <c r="L18" s="248">
        <f>'W.EUR INCUMB'!D46</f>
        <v>4.9929768285127372E-2</v>
      </c>
      <c r="M18" s="248">
        <f>'W.EUR INCUMB'!E46</f>
        <v>5.2540326500089954E-2</v>
      </c>
      <c r="N18" s="248">
        <f>'W.EUR INCUMB'!F46</f>
        <v>5.4852141769022943E-2</v>
      </c>
      <c r="O18" s="248">
        <f>'W.EUR INCUMB'!G46</f>
        <v>5.8322596586761276E-2</v>
      </c>
      <c r="P18" s="279">
        <f>'W.EUR INCUMB'!H46</f>
        <v>4.8261067786518064E-2</v>
      </c>
      <c r="S18" s="88"/>
      <c r="T18" s="42"/>
      <c r="U18" s="42"/>
      <c r="V18" s="42"/>
      <c r="W18" s="42"/>
      <c r="X18" s="42"/>
      <c r="Y18" s="42"/>
      <c r="Z18" s="42"/>
      <c r="AA18" s="42"/>
    </row>
    <row r="19" spans="2:27" ht="12.6" thickTop="1">
      <c r="B19" s="41"/>
      <c r="C19" s="249"/>
      <c r="D19" s="229"/>
      <c r="E19" s="229"/>
      <c r="F19" s="229"/>
      <c r="G19" s="229"/>
      <c r="H19" s="276"/>
      <c r="I19" s="254"/>
      <c r="J19" s="5" t="s">
        <v>581</v>
      </c>
      <c r="L19" s="248">
        <f>'W.EUR INCUMB'!D47</f>
        <v>6.5065217012508891E-2</v>
      </c>
      <c r="M19" s="248">
        <f>'W.EUR INCUMB'!E47</f>
        <v>7.1939956657294191E-2</v>
      </c>
      <c r="N19" s="248">
        <f>'W.EUR INCUMB'!F47</f>
        <v>8.4688087256395234E-2</v>
      </c>
      <c r="O19" s="248">
        <f>'W.EUR INCUMB'!G47</f>
        <v>9.2843660909272999E-2</v>
      </c>
      <c r="P19" s="279">
        <f>'W.EUR INCUMB'!H47</f>
        <v>0.11736524628436351</v>
      </c>
      <c r="S19" s="88"/>
      <c r="T19" s="42"/>
      <c r="U19" s="42"/>
      <c r="V19" s="42"/>
      <c r="W19" s="42"/>
      <c r="X19" s="42"/>
      <c r="Y19" s="42"/>
      <c r="Z19" s="42"/>
      <c r="AA19" s="42"/>
    </row>
    <row r="20" spans="2:27">
      <c r="H20" s="277"/>
      <c r="I20" s="17"/>
      <c r="J20" s="5" t="s">
        <v>604</v>
      </c>
      <c r="L20" s="305">
        <f>'W.EUR INCUMB'!D48</f>
        <v>0.69753103513272863</v>
      </c>
      <c r="M20" s="305">
        <f>'W.EUR INCUMB'!E48</f>
        <v>0.66278263399293669</v>
      </c>
      <c r="N20" s="305">
        <f>'W.EUR INCUMB'!F48</f>
        <v>0.5878425682239502</v>
      </c>
      <c r="O20" s="305">
        <f>'W.EUR INCUMB'!G48</f>
        <v>0.5759521808171526</v>
      </c>
      <c r="P20" s="279" t="str">
        <f>'W.EUR INCUMB'!H48</f>
        <v>nm</v>
      </c>
      <c r="S20" s="88"/>
      <c r="T20" s="42"/>
      <c r="U20" s="42"/>
      <c r="V20" s="42"/>
      <c r="W20" s="42"/>
      <c r="X20" s="42"/>
      <c r="Y20" s="42"/>
      <c r="Z20" s="42"/>
      <c r="AA20" s="42"/>
    </row>
    <row r="21" spans="2:27" ht="12.6" thickBot="1">
      <c r="B21" s="306" t="s">
        <v>926</v>
      </c>
      <c r="C21" s="265"/>
      <c r="D21" s="265" t="str">
        <f>D5</f>
        <v>2023E</v>
      </c>
      <c r="E21" s="265" t="str">
        <f t="shared" ref="E21:H21" si="3">E5</f>
        <v>2024E</v>
      </c>
      <c r="F21" s="265" t="str">
        <f t="shared" si="3"/>
        <v>2025E</v>
      </c>
      <c r="G21" s="265" t="str">
        <f t="shared" si="3"/>
        <v>2026E</v>
      </c>
      <c r="H21" s="265" t="str">
        <f t="shared" si="3"/>
        <v>23E-26E</v>
      </c>
      <c r="I21" s="49"/>
      <c r="J21" s="41"/>
      <c r="L21" s="250"/>
      <c r="M21" s="250"/>
      <c r="N21" s="250"/>
      <c r="O21" s="250"/>
      <c r="P21" s="279"/>
      <c r="S21" s="88"/>
      <c r="T21" s="42"/>
      <c r="U21" s="42"/>
      <c r="V21" s="42"/>
      <c r="W21" s="42"/>
      <c r="X21" s="42"/>
      <c r="Y21" s="42"/>
      <c r="Z21" s="42"/>
      <c r="AA21" s="42"/>
    </row>
    <row r="22" spans="2:27" ht="12.6" thickTop="1">
      <c r="B22" s="5"/>
      <c r="C22" s="257"/>
      <c r="D22" s="17"/>
      <c r="E22" s="17"/>
      <c r="F22" s="17"/>
      <c r="G22" s="17"/>
      <c r="H22" s="17"/>
      <c r="I22" s="17"/>
      <c r="P22" s="277"/>
      <c r="S22" s="88"/>
      <c r="T22" s="42"/>
      <c r="U22" s="42"/>
      <c r="V22" s="42"/>
      <c r="W22" s="42"/>
      <c r="X22" s="42"/>
      <c r="Y22" s="42"/>
      <c r="Z22" s="42"/>
      <c r="AA22" s="42"/>
    </row>
    <row r="23" spans="2:27" ht="12.6" thickBot="1">
      <c r="B23" s="5" t="s">
        <v>584</v>
      </c>
      <c r="C23" s="548">
        <v>3500.346820196346</v>
      </c>
      <c r="D23" s="540">
        <v>3529.8789293952204</v>
      </c>
      <c r="E23" s="540">
        <v>3583.7716948558532</v>
      </c>
      <c r="F23" s="540">
        <v>3612.7669006170322</v>
      </c>
      <c r="G23" s="540">
        <v>3656.2761893620268</v>
      </c>
      <c r="H23" s="279">
        <f t="shared" ref="H23:H32" si="4">IF(D23=0,"nm",IF(G23=0,"nm",(G23/D23)^(1/3)-1))</f>
        <v>1.1796240668278335E-2</v>
      </c>
      <c r="I23" s="247"/>
      <c r="J23" s="306" t="s">
        <v>9</v>
      </c>
      <c r="K23" s="306"/>
      <c r="L23" s="265" t="str">
        <f>D21</f>
        <v>2023E</v>
      </c>
      <c r="M23" s="265" t="str">
        <f t="shared" ref="M23:P23" si="5">E21</f>
        <v>2024E</v>
      </c>
      <c r="N23" s="265" t="str">
        <f t="shared" si="5"/>
        <v>2025E</v>
      </c>
      <c r="O23" s="265" t="str">
        <f t="shared" si="5"/>
        <v>2026E</v>
      </c>
      <c r="P23" s="265" t="str">
        <f t="shared" si="5"/>
        <v>23E-26E</v>
      </c>
      <c r="S23" s="88"/>
      <c r="T23" s="42"/>
      <c r="U23" s="42"/>
      <c r="V23" s="42"/>
      <c r="W23" s="42"/>
      <c r="X23" s="42"/>
      <c r="Y23" s="42"/>
      <c r="Z23" s="42"/>
      <c r="AA23" s="42"/>
    </row>
    <row r="24" spans="2:27" ht="12.6" thickTop="1">
      <c r="B24" s="5" t="s">
        <v>483</v>
      </c>
      <c r="C24" s="549">
        <v>1348</v>
      </c>
      <c r="D24" s="540">
        <v>1364.1340267358869</v>
      </c>
      <c r="E24" s="540">
        <v>1379.1903996436492</v>
      </c>
      <c r="F24" s="540">
        <v>1395.0144413601354</v>
      </c>
      <c r="G24" s="540">
        <v>1395.9104620260939</v>
      </c>
      <c r="H24" s="279">
        <f t="shared" si="4"/>
        <v>7.7052164586690619E-3</v>
      </c>
      <c r="I24" s="249"/>
      <c r="J24" s="17"/>
      <c r="K24" s="17"/>
      <c r="L24" s="17"/>
      <c r="M24" s="17"/>
      <c r="N24" s="17"/>
      <c r="O24" s="248"/>
      <c r="S24" s="88"/>
      <c r="T24" s="42"/>
      <c r="U24" s="42"/>
      <c r="V24" s="42"/>
      <c r="W24" s="42" t="s">
        <v>459</v>
      </c>
      <c r="X24" s="42" t="s">
        <v>251</v>
      </c>
      <c r="Y24" s="42"/>
      <c r="Z24" s="42"/>
      <c r="AA24" s="42"/>
    </row>
    <row r="25" spans="2:27">
      <c r="B25" s="5" t="s">
        <v>183</v>
      </c>
      <c r="C25" s="548">
        <v>709.5</v>
      </c>
      <c r="D25" s="540">
        <v>722.55307309190061</v>
      </c>
      <c r="E25" s="540">
        <v>743.0244818607764</v>
      </c>
      <c r="F25" s="540">
        <v>760.01444136013538</v>
      </c>
      <c r="G25" s="540">
        <v>760.91046202609391</v>
      </c>
      <c r="H25" s="279">
        <f t="shared" si="4"/>
        <v>1.7391100350897304E-2</v>
      </c>
      <c r="I25" s="248"/>
      <c r="J25" s="247" t="s">
        <v>10</v>
      </c>
      <c r="K25" s="247"/>
      <c r="L25" s="321">
        <v>793</v>
      </c>
      <c r="M25" s="321">
        <v>793</v>
      </c>
      <c r="N25" s="321">
        <v>793</v>
      </c>
      <c r="O25" s="321">
        <v>793</v>
      </c>
      <c r="P25" s="279">
        <f>IF(L25=0,"nm",IF(O25=0,"nm",(O25/L25)^(1/3)-1))</f>
        <v>0</v>
      </c>
      <c r="S25" s="88"/>
      <c r="T25" s="42"/>
      <c r="U25" s="42"/>
      <c r="V25" s="147" t="s">
        <v>273</v>
      </c>
      <c r="W25" s="288">
        <f>D37/L9</f>
        <v>0.95308722978834148</v>
      </c>
      <c r="X25" s="288">
        <v>1</v>
      </c>
      <c r="Y25" s="42"/>
      <c r="Z25" s="42"/>
      <c r="AA25" s="42"/>
    </row>
    <row r="26" spans="2:27">
      <c r="B26" s="5" t="s">
        <v>586</v>
      </c>
      <c r="C26" s="548">
        <v>539.0200000000001</v>
      </c>
      <c r="D26" s="540">
        <v>548.6745260134046</v>
      </c>
      <c r="E26" s="540">
        <v>564.93384003009214</v>
      </c>
      <c r="F26" s="540">
        <v>577.97476774462018</v>
      </c>
      <c r="G26" s="540">
        <v>578.69138137385778</v>
      </c>
      <c r="H26" s="279">
        <f t="shared" si="4"/>
        <v>1.7913183263023269E-2</v>
      </c>
      <c r="I26" s="249"/>
      <c r="J26" s="249" t="s">
        <v>11</v>
      </c>
      <c r="K26" s="249"/>
      <c r="L26" s="281">
        <f>D11+L25</f>
        <v>6540.5934863047096</v>
      </c>
      <c r="M26" s="281">
        <f>E11+M25</f>
        <v>6336.9554319847612</v>
      </c>
      <c r="N26" s="281">
        <f>F11+N25</f>
        <v>6165.3768359922069</v>
      </c>
      <c r="O26" s="281">
        <f>G11+O25</f>
        <v>6011.5734337562571</v>
      </c>
      <c r="P26" s="279">
        <f>IF(L26=0,"nm",IF(O26=0,"nm",(O26/L26)^(1/3)-1))</f>
        <v>-2.7722281972686225E-2</v>
      </c>
      <c r="Q26" s="5"/>
      <c r="S26" s="88"/>
      <c r="T26" s="42"/>
      <c r="U26" s="42"/>
      <c r="V26" s="147" t="s">
        <v>184</v>
      </c>
      <c r="W26" s="288">
        <f t="shared" ref="W26:W33" si="6">D38/L10</f>
        <v>0.80849088201561337</v>
      </c>
      <c r="X26" s="288">
        <v>1</v>
      </c>
      <c r="Y26" s="42"/>
      <c r="Z26" s="42"/>
      <c r="AA26" s="42"/>
    </row>
    <row r="27" spans="2:27">
      <c r="B27" s="5" t="s">
        <v>587</v>
      </c>
      <c r="C27" s="549">
        <v>2766.4</v>
      </c>
      <c r="D27" s="540">
        <v>2646.5416599169548</v>
      </c>
      <c r="E27" s="540">
        <v>2548.7035047410523</v>
      </c>
      <c r="F27" s="540">
        <v>2471.7596877722995</v>
      </c>
      <c r="G27" s="540">
        <v>2411.7759728937917</v>
      </c>
      <c r="H27" s="279">
        <f t="shared" si="4"/>
        <v>-3.0488994975939154E-2</v>
      </c>
      <c r="I27" s="249"/>
      <c r="J27" s="248"/>
      <c r="K27" s="248"/>
      <c r="L27" s="248"/>
      <c r="M27" s="248"/>
      <c r="N27" s="248"/>
      <c r="O27" s="248"/>
      <c r="Q27" s="41"/>
      <c r="S27" s="88"/>
      <c r="T27" s="42"/>
      <c r="U27" s="42"/>
      <c r="V27" s="147" t="s">
        <v>185</v>
      </c>
      <c r="W27" s="288">
        <f t="shared" si="6"/>
        <v>0.73301255985521974</v>
      </c>
      <c r="X27" s="288">
        <v>1</v>
      </c>
      <c r="Y27" s="42"/>
      <c r="Z27" s="42"/>
      <c r="AA27" s="42"/>
    </row>
    <row r="28" spans="2:27" ht="12.6" thickBot="1">
      <c r="B28" s="5" t="s">
        <v>592</v>
      </c>
      <c r="C28" s="548">
        <v>2081.1</v>
      </c>
      <c r="D28" s="540">
        <v>1968.7032384934173</v>
      </c>
      <c r="E28" s="540">
        <v>1878.3266618939779</v>
      </c>
      <c r="F28" s="540">
        <v>1808.8444235016868</v>
      </c>
      <c r="G28" s="540">
        <v>1756.3222871996404</v>
      </c>
      <c r="H28" s="279">
        <f t="shared" si="4"/>
        <v>-3.7336174895420071E-2</v>
      </c>
      <c r="I28" s="248"/>
      <c r="J28" s="306" t="s">
        <v>1362</v>
      </c>
      <c r="K28" s="306"/>
      <c r="L28" s="306"/>
      <c r="M28" s="306"/>
      <c r="N28" s="266"/>
      <c r="O28" s="266"/>
      <c r="P28" s="266"/>
      <c r="Q28" s="5"/>
      <c r="S28" s="88"/>
      <c r="T28" s="42"/>
      <c r="U28" s="42"/>
      <c r="V28" s="147" t="s">
        <v>466</v>
      </c>
      <c r="W28" s="288">
        <f t="shared" si="6"/>
        <v>0.71269238327222328</v>
      </c>
      <c r="X28" s="288">
        <v>1</v>
      </c>
      <c r="Y28" s="42"/>
      <c r="Z28" s="42"/>
      <c r="AA28" s="42"/>
    </row>
    <row r="29" spans="2:27" ht="12.6" thickTop="1">
      <c r="B29" s="5" t="s">
        <v>588</v>
      </c>
      <c r="C29" s="548">
        <v>545.86157857646231</v>
      </c>
      <c r="D29" s="540">
        <v>554.80286700570218</v>
      </c>
      <c r="E29" s="540">
        <v>580.38326947521864</v>
      </c>
      <c r="F29" s="540">
        <v>582.34222393271421</v>
      </c>
      <c r="G29" s="540">
        <v>576.22665939244325</v>
      </c>
      <c r="H29" s="279">
        <f t="shared" si="4"/>
        <v>1.2709498849363232E-2</v>
      </c>
      <c r="I29" s="252"/>
      <c r="J29" s="249"/>
      <c r="K29" s="249"/>
      <c r="L29" s="249"/>
      <c r="M29" s="249"/>
      <c r="N29" s="249"/>
      <c r="O29" s="251"/>
      <c r="Q29" s="5"/>
      <c r="S29" s="88"/>
      <c r="T29" s="42"/>
      <c r="U29" s="42"/>
      <c r="V29" s="147" t="s">
        <v>530</v>
      </c>
      <c r="W29" s="288">
        <f t="shared" si="6"/>
        <v>1.9058642375453689</v>
      </c>
      <c r="X29" s="288">
        <v>1</v>
      </c>
      <c r="Y29" s="42"/>
      <c r="Z29" s="42"/>
      <c r="AA29" s="42"/>
    </row>
    <row r="30" spans="2:27">
      <c r="B30" s="5" t="s">
        <v>589</v>
      </c>
      <c r="C30" s="549">
        <v>389.26157857646234</v>
      </c>
      <c r="D30" s="540">
        <v>442.40610549912208</v>
      </c>
      <c r="E30" s="540">
        <v>490.00669287577813</v>
      </c>
      <c r="F30" s="540">
        <v>512.8599855404218</v>
      </c>
      <c r="G30" s="540">
        <v>523.70452309039854</v>
      </c>
      <c r="H30" s="279">
        <f t="shared" si="4"/>
        <v>5.7844269195432174E-2</v>
      </c>
      <c r="I30" s="254"/>
      <c r="J30" s="248"/>
      <c r="K30" s="248"/>
      <c r="L30" s="248"/>
      <c r="M30" s="248"/>
      <c r="N30" s="248"/>
      <c r="O30" s="5"/>
      <c r="Q30" s="5"/>
      <c r="S30" s="88"/>
      <c r="T30" s="42"/>
      <c r="U30" s="42"/>
      <c r="V30" s="147" t="s">
        <v>593</v>
      </c>
      <c r="W30" s="288">
        <f t="shared" si="6"/>
        <v>1.1219701505685777</v>
      </c>
      <c r="X30" s="288">
        <v>1</v>
      </c>
      <c r="Y30" s="42"/>
      <c r="Z30" s="42"/>
      <c r="AA30" s="42"/>
    </row>
    <row r="31" spans="2:27">
      <c r="B31" s="5" t="s">
        <v>590</v>
      </c>
      <c r="C31" s="549">
        <v>250.96635264</v>
      </c>
      <c r="D31" s="540">
        <v>254.56614059342311</v>
      </c>
      <c r="E31" s="540">
        <v>286.26969866975861</v>
      </c>
      <c r="F31" s="540">
        <v>291.28050408961377</v>
      </c>
      <c r="G31" s="540">
        <v>297.08864142607666</v>
      </c>
      <c r="H31" s="279">
        <f t="shared" si="4"/>
        <v>5.2838609974597883E-2</v>
      </c>
      <c r="I31" s="254"/>
      <c r="J31" s="252"/>
      <c r="K31" s="252"/>
      <c r="L31" s="252"/>
      <c r="M31" s="252"/>
      <c r="N31" s="252"/>
      <c r="O31" s="5"/>
      <c r="Q31" s="5"/>
      <c r="S31" s="88"/>
      <c r="T31" s="42"/>
      <c r="U31" s="42"/>
      <c r="V31" s="147" t="s">
        <v>475</v>
      </c>
      <c r="W31" s="288">
        <f t="shared" si="6"/>
        <v>0.76705648057266462</v>
      </c>
      <c r="X31" s="288">
        <v>1</v>
      </c>
      <c r="Y31" s="42"/>
      <c r="Z31" s="42"/>
      <c r="AA31" s="42"/>
    </row>
    <row r="32" spans="2:27">
      <c r="B32" s="5" t="s">
        <v>606</v>
      </c>
      <c r="C32" s="550">
        <v>0</v>
      </c>
      <c r="D32" s="540">
        <v>0</v>
      </c>
      <c r="E32" s="540">
        <v>0</v>
      </c>
      <c r="F32" s="540">
        <v>0</v>
      </c>
      <c r="G32" s="540">
        <v>0</v>
      </c>
      <c r="H32" s="279" t="str">
        <f t="shared" si="4"/>
        <v>nm</v>
      </c>
      <c r="I32" s="254"/>
      <c r="J32" s="254"/>
      <c r="K32" s="254"/>
      <c r="L32" s="254"/>
      <c r="M32" s="254"/>
      <c r="N32" s="254"/>
      <c r="O32" s="251"/>
      <c r="Q32" s="5"/>
      <c r="S32" s="88"/>
      <c r="T32" s="42"/>
      <c r="U32" s="42"/>
      <c r="V32" s="147" t="s">
        <v>533</v>
      </c>
      <c r="W32" s="288">
        <f t="shared" si="6"/>
        <v>0.93806418129928426</v>
      </c>
      <c r="X32" s="288">
        <v>1</v>
      </c>
      <c r="Y32" s="42"/>
      <c r="Z32" s="42"/>
      <c r="AA32" s="42"/>
    </row>
    <row r="33" spans="2:27">
      <c r="B33" s="5" t="s">
        <v>5</v>
      </c>
      <c r="C33" s="549">
        <v>37.199999999999996</v>
      </c>
      <c r="D33" s="540">
        <v>27.548816745655603</v>
      </c>
      <c r="E33" s="540">
        <v>8.1707235387045749</v>
      </c>
      <c r="F33" s="540">
        <v>16.141179069898712</v>
      </c>
      <c r="G33" s="540">
        <v>19.779054088071014</v>
      </c>
      <c r="H33" s="279">
        <f>IF(D33=0,"nm",IF(G33=0,"nm",(G33/D33)^(1/3)-1))</f>
        <v>-0.10456474513756686</v>
      </c>
      <c r="I33" s="5"/>
      <c r="J33" s="254"/>
      <c r="K33" s="254"/>
      <c r="L33" s="254"/>
      <c r="M33" s="254"/>
      <c r="N33" s="254"/>
      <c r="O33" s="251"/>
      <c r="Q33" s="5"/>
      <c r="S33" s="88"/>
      <c r="T33" s="42"/>
      <c r="U33" s="42"/>
      <c r="V33" s="147" t="s">
        <v>580</v>
      </c>
      <c r="W33" s="288">
        <f t="shared" si="6"/>
        <v>0.88706418259309372</v>
      </c>
      <c r="X33" s="288">
        <v>1</v>
      </c>
      <c r="Y33" s="42"/>
      <c r="Z33" s="42"/>
      <c r="AA33" s="42"/>
    </row>
    <row r="34" spans="2:27">
      <c r="B34" s="5" t="s">
        <v>207</v>
      </c>
      <c r="C34" s="249" t="e">
        <v>#N/A</v>
      </c>
      <c r="D34" s="322" t="e">
        <v>#N/A</v>
      </c>
      <c r="E34" s="322" t="e">
        <v>#N/A</v>
      </c>
      <c r="F34" s="322" t="e">
        <v>#N/A</v>
      </c>
      <c r="G34" s="322" t="e">
        <v>#N/A</v>
      </c>
      <c r="I34" s="49"/>
      <c r="J34" s="254"/>
      <c r="K34" s="254"/>
      <c r="L34" s="254"/>
      <c r="M34" s="254"/>
      <c r="N34" s="254"/>
      <c r="O34" s="251"/>
      <c r="Q34" s="5"/>
      <c r="S34" s="88"/>
      <c r="T34" s="42"/>
      <c r="U34" s="42"/>
      <c r="V34" s="147" t="s">
        <v>581</v>
      </c>
      <c r="W34" s="288">
        <f>D47/L19</f>
        <v>1.3036849636592935</v>
      </c>
      <c r="X34" s="288">
        <v>1</v>
      </c>
      <c r="Y34" s="288"/>
      <c r="Z34" s="288"/>
      <c r="AA34" s="42"/>
    </row>
    <row r="35" spans="2:27" ht="12.6" thickBot="1">
      <c r="B35" s="306" t="s">
        <v>603</v>
      </c>
      <c r="C35" s="265"/>
      <c r="D35" s="265" t="str">
        <f>D5</f>
        <v>2023E</v>
      </c>
      <c r="E35" s="265" t="str">
        <f t="shared" ref="E35:H35" si="7">E5</f>
        <v>2024E</v>
      </c>
      <c r="F35" s="265" t="str">
        <f t="shared" si="7"/>
        <v>2025E</v>
      </c>
      <c r="G35" s="265" t="str">
        <f t="shared" si="7"/>
        <v>2026E</v>
      </c>
      <c r="H35" s="265" t="str">
        <f t="shared" si="7"/>
        <v>23E-26E</v>
      </c>
      <c r="I35" s="254"/>
      <c r="J35" s="5"/>
      <c r="K35" s="5"/>
      <c r="L35" s="5"/>
      <c r="M35" s="5"/>
      <c r="N35" s="5"/>
      <c r="O35" s="5"/>
      <c r="Q35" s="5"/>
      <c r="S35" s="88"/>
      <c r="T35" s="42"/>
      <c r="U35" s="42"/>
      <c r="V35" s="42"/>
      <c r="W35" s="42"/>
      <c r="X35" s="42"/>
      <c r="Y35" s="288"/>
      <c r="Z35" s="288"/>
      <c r="AA35" s="42"/>
    </row>
    <row r="36" spans="2:27" ht="12.6" thickTop="1">
      <c r="B36" s="41"/>
      <c r="C36" s="249"/>
      <c r="D36" s="254"/>
      <c r="E36" s="254"/>
      <c r="F36" s="254"/>
      <c r="G36" s="254"/>
      <c r="H36" s="254"/>
      <c r="I36" s="17"/>
      <c r="J36" s="49"/>
      <c r="K36" s="49"/>
      <c r="L36" s="49"/>
      <c r="M36" s="49"/>
      <c r="N36" s="49"/>
      <c r="O36" s="49"/>
      <c r="Q36" s="5"/>
      <c r="S36" s="88"/>
      <c r="T36" s="42"/>
      <c r="U36" s="42"/>
      <c r="V36" s="42"/>
      <c r="W36" s="42"/>
      <c r="X36" s="42"/>
      <c r="Y36" s="288"/>
      <c r="Z36" s="288"/>
      <c r="AA36" s="42"/>
    </row>
    <row r="37" spans="2:27">
      <c r="B37" s="5" t="s">
        <v>273</v>
      </c>
      <c r="C37" s="247"/>
      <c r="D37" s="529">
        <f>D$18/D23</f>
        <v>2.0796714836378301</v>
      </c>
      <c r="E37" s="529">
        <f t="shared" ref="E37:G41" si="8">E$18/E23</f>
        <v>1.9205420828350899</v>
      </c>
      <c r="F37" s="529">
        <f t="shared" si="8"/>
        <v>1.7783976208053334</v>
      </c>
      <c r="G37" s="529">
        <f t="shared" si="8"/>
        <v>1.6355034041614434</v>
      </c>
      <c r="H37" s="17">
        <f t="shared" ref="H37:H45" si="9">H23</f>
        <v>1.1796240668278335E-2</v>
      </c>
      <c r="I37" s="5"/>
      <c r="J37" s="259"/>
      <c r="K37" s="259"/>
      <c r="L37" s="259"/>
      <c r="M37" s="259"/>
      <c r="N37" s="259"/>
      <c r="O37" s="18"/>
      <c r="Q37" s="5"/>
      <c r="R37" s="5"/>
      <c r="S37" s="42"/>
      <c r="T37" s="42"/>
      <c r="U37" s="42"/>
      <c r="V37" s="42"/>
      <c r="W37" s="42"/>
      <c r="X37" s="42"/>
      <c r="Y37" s="42"/>
      <c r="Z37" s="42"/>
      <c r="AA37" s="42"/>
    </row>
    <row r="38" spans="2:27">
      <c r="B38" s="5" t="s">
        <v>184</v>
      </c>
      <c r="C38" s="247"/>
      <c r="D38" s="529">
        <f>D$18/D24</f>
        <v>5.3814276356135338</v>
      </c>
      <c r="E38" s="529">
        <f t="shared" si="8"/>
        <v>4.9904526286017159</v>
      </c>
      <c r="F38" s="529">
        <f t="shared" si="8"/>
        <v>4.6056412536613545</v>
      </c>
      <c r="G38" s="529">
        <f t="shared" si="8"/>
        <v>4.2838364758557432</v>
      </c>
      <c r="H38" s="17">
        <f t="shared" si="9"/>
        <v>7.7052164586690619E-3</v>
      </c>
      <c r="I38" s="259"/>
      <c r="J38" s="17"/>
      <c r="K38" s="17"/>
      <c r="L38" s="17"/>
      <c r="M38" s="17"/>
      <c r="N38" s="17"/>
      <c r="O38" s="5"/>
      <c r="Q38" s="5"/>
      <c r="R38" s="5"/>
      <c r="S38" s="42"/>
      <c r="T38" s="42"/>
      <c r="U38" s="42"/>
      <c r="V38" s="42"/>
      <c r="W38" s="42"/>
      <c r="X38" s="42"/>
      <c r="Y38" s="42"/>
      <c r="Z38" s="42"/>
      <c r="AA38" s="42"/>
    </row>
    <row r="39" spans="2:27">
      <c r="B39" s="5" t="s">
        <v>185</v>
      </c>
      <c r="C39" s="247"/>
      <c r="D39" s="529">
        <f>D$18/D25</f>
        <v>10.159791472125649</v>
      </c>
      <c r="E39" s="529">
        <f t="shared" si="8"/>
        <v>9.2631999661803288</v>
      </c>
      <c r="F39" s="529">
        <f t="shared" si="8"/>
        <v>8.4537026021287289</v>
      </c>
      <c r="G39" s="529">
        <f t="shared" si="8"/>
        <v>7.8588118480239242</v>
      </c>
      <c r="H39" s="17">
        <f t="shared" si="9"/>
        <v>1.7391100350897304E-2</v>
      </c>
      <c r="I39" s="17"/>
      <c r="J39" s="5"/>
      <c r="K39" s="5"/>
      <c r="L39" s="5"/>
      <c r="M39" s="5"/>
      <c r="N39" s="5"/>
      <c r="O39" s="5"/>
      <c r="Q39" s="5"/>
      <c r="R39" s="5"/>
      <c r="S39" s="42"/>
      <c r="T39" s="42"/>
      <c r="U39" s="42"/>
      <c r="V39" s="42"/>
      <c r="W39" s="42"/>
      <c r="X39" s="42"/>
      <c r="Y39" s="42"/>
      <c r="Z39" s="42"/>
      <c r="AA39" s="42"/>
    </row>
    <row r="40" spans="2:27">
      <c r="B40" s="5" t="s">
        <v>466</v>
      </c>
      <c r="C40" s="247"/>
      <c r="D40" s="529">
        <f>D$18/D26</f>
        <v>13.379495861591952</v>
      </c>
      <c r="E40" s="529">
        <f t="shared" si="8"/>
        <v>12.183345849625999</v>
      </c>
      <c r="F40" s="529">
        <f t="shared" si="8"/>
        <v>11.116291608460777</v>
      </c>
      <c r="G40" s="529">
        <f t="shared" si="8"/>
        <v>10.333404551592588</v>
      </c>
      <c r="H40" s="17">
        <f t="shared" si="9"/>
        <v>1.7913183263023269E-2</v>
      </c>
      <c r="I40" s="5"/>
      <c r="J40" s="259"/>
      <c r="K40" s="259"/>
      <c r="L40" s="259"/>
      <c r="M40" s="259"/>
      <c r="N40" s="259"/>
      <c r="O40" s="18"/>
      <c r="Q40" s="5"/>
      <c r="R40" s="5"/>
      <c r="S40" s="42"/>
      <c r="T40" s="42"/>
      <c r="U40" s="42"/>
      <c r="V40" s="42"/>
      <c r="W40" s="288"/>
      <c r="X40" s="288"/>
      <c r="Y40" s="42"/>
      <c r="Z40" s="42"/>
      <c r="AA40" s="42"/>
    </row>
    <row r="41" spans="2:27">
      <c r="B41" s="5" t="s">
        <v>530</v>
      </c>
      <c r="C41" s="247"/>
      <c r="D41" s="529">
        <f>D$18/D27</f>
        <v>2.7738042674104832</v>
      </c>
      <c r="E41" s="529">
        <f t="shared" si="8"/>
        <v>2.7005041357069071</v>
      </c>
      <c r="F41" s="529">
        <f t="shared" si="8"/>
        <v>2.599336858014758</v>
      </c>
      <c r="G41" s="529">
        <f t="shared" si="8"/>
        <v>2.4794393100620553</v>
      </c>
      <c r="H41" s="17">
        <f t="shared" si="9"/>
        <v>-3.0488994975939154E-2</v>
      </c>
      <c r="I41" s="247"/>
      <c r="J41" s="17"/>
      <c r="K41" s="17"/>
      <c r="L41" s="17"/>
      <c r="M41" s="17"/>
      <c r="N41" s="17"/>
      <c r="O41" s="5"/>
      <c r="Q41" s="5"/>
      <c r="R41" s="5"/>
      <c r="S41" s="42"/>
      <c r="T41" s="42"/>
      <c r="U41" s="42"/>
      <c r="V41" s="42"/>
      <c r="W41" s="288"/>
      <c r="X41" s="288"/>
      <c r="Y41" s="288"/>
      <c r="Z41" s="288"/>
      <c r="AA41" s="42"/>
    </row>
    <row r="42" spans="2:27">
      <c r="B42" s="5" t="s">
        <v>593</v>
      </c>
      <c r="C42" s="247"/>
      <c r="D42" s="529">
        <f>D18/D28</f>
        <v>3.7288446560260069</v>
      </c>
      <c r="E42" s="529">
        <f>E18/E28</f>
        <v>3.6643170194388688</v>
      </c>
      <c r="F42" s="529">
        <f>F18/F28</f>
        <v>3.5519561423329873</v>
      </c>
      <c r="G42" s="529">
        <f>G18/G28</f>
        <v>3.4047578840387951</v>
      </c>
      <c r="H42" s="17">
        <f t="shared" si="9"/>
        <v>-3.7336174895420071E-2</v>
      </c>
      <c r="I42" s="248"/>
      <c r="J42" s="5"/>
      <c r="K42" s="5"/>
      <c r="L42" s="5"/>
      <c r="M42" s="5"/>
      <c r="N42" s="5"/>
      <c r="O42" s="5"/>
      <c r="Q42" s="5"/>
      <c r="R42" s="5"/>
      <c r="S42" s="42"/>
      <c r="T42" s="42"/>
      <c r="U42" s="42"/>
      <c r="V42" s="42"/>
      <c r="W42" s="288"/>
      <c r="X42" s="288"/>
      <c r="Y42" s="288"/>
      <c r="Z42" s="288"/>
      <c r="AA42" s="42"/>
    </row>
    <row r="43" spans="2:27">
      <c r="B43" s="5" t="s">
        <v>475</v>
      </c>
      <c r="C43" s="247"/>
      <c r="D43" s="529">
        <f>L26/D29</f>
        <v>11.789040531828194</v>
      </c>
      <c r="E43" s="529">
        <f>M26/E29</f>
        <v>10.918570133344167</v>
      </c>
      <c r="F43" s="529">
        <f>N26/F29</f>
        <v>10.587205568498456</v>
      </c>
      <c r="G43" s="529">
        <f>O26/G29</f>
        <v>10.432654122762537</v>
      </c>
      <c r="H43" s="17">
        <f t="shared" si="9"/>
        <v>1.2709498849363232E-2</v>
      </c>
      <c r="I43" s="247"/>
      <c r="J43" s="247"/>
      <c r="K43" s="247"/>
      <c r="L43" s="247"/>
      <c r="M43" s="247"/>
      <c r="N43" s="247"/>
      <c r="O43" s="18"/>
      <c r="Q43" s="5"/>
      <c r="R43" s="5"/>
      <c r="S43" s="42"/>
      <c r="T43" s="42"/>
      <c r="U43" s="42"/>
      <c r="V43" s="42"/>
      <c r="W43" s="288"/>
      <c r="X43" s="288"/>
      <c r="Y43" s="288"/>
      <c r="Z43" s="288"/>
      <c r="AA43" s="42"/>
    </row>
    <row r="44" spans="2:27">
      <c r="B44" s="5" t="s">
        <v>533</v>
      </c>
      <c r="C44" s="69"/>
      <c r="D44" s="529">
        <f>D11/D30</f>
        <v>12.991668548109844</v>
      </c>
      <c r="E44" s="529">
        <f>E11/E30</f>
        <v>11.314040221467367</v>
      </c>
      <c r="F44" s="529">
        <f>F11/F30</f>
        <v>10.475328525252582</v>
      </c>
      <c r="G44" s="529">
        <f>G11/G30</f>
        <v>9.9647285896277431</v>
      </c>
      <c r="H44" s="17">
        <f t="shared" si="9"/>
        <v>5.7844269195432174E-2</v>
      </c>
      <c r="I44" s="247"/>
      <c r="J44" s="248"/>
      <c r="K44" s="248"/>
      <c r="L44" s="248"/>
      <c r="M44" s="248"/>
      <c r="N44" s="248"/>
      <c r="O44" s="248"/>
      <c r="Q44" s="5"/>
      <c r="R44" s="5"/>
      <c r="S44" s="42"/>
      <c r="T44" s="42"/>
      <c r="U44" s="42"/>
      <c r="V44" s="42"/>
      <c r="W44" s="325"/>
      <c r="X44" s="325"/>
      <c r="Y44" s="288"/>
      <c r="Z44" s="288"/>
      <c r="AA44" s="42"/>
    </row>
    <row r="45" spans="2:27">
      <c r="B45" s="5" t="s">
        <v>580</v>
      </c>
      <c r="C45" s="247"/>
      <c r="D45" s="248">
        <f>D31/D11</f>
        <v>4.4290909090909089E-2</v>
      </c>
      <c r="E45" s="248">
        <f>E31/E11</f>
        <v>5.163636363636364E-2</v>
      </c>
      <c r="F45" s="248">
        <f>F31/F11</f>
        <v>5.4218181818181804E-2</v>
      </c>
      <c r="G45" s="248">
        <f>G31/G11</f>
        <v>5.6929090909090908E-2</v>
      </c>
      <c r="H45" s="17">
        <f t="shared" si="9"/>
        <v>5.2838609974597883E-2</v>
      </c>
      <c r="I45" s="248"/>
      <c r="J45" s="247"/>
      <c r="K45" s="247"/>
      <c r="L45" s="247"/>
      <c r="M45" s="247"/>
      <c r="N45" s="247"/>
      <c r="O45" s="248"/>
      <c r="Q45" s="5"/>
      <c r="R45" s="5"/>
      <c r="S45" s="42"/>
      <c r="T45" s="42"/>
      <c r="U45" s="42"/>
      <c r="V45" s="42"/>
      <c r="W45" s="42"/>
      <c r="X45" s="42"/>
      <c r="Y45" s="325"/>
      <c r="Z45" s="325"/>
      <c r="AA45" s="42"/>
    </row>
    <row r="46" spans="2:27">
      <c r="B46" s="5" t="s">
        <v>605</v>
      </c>
      <c r="C46" s="247"/>
      <c r="D46" s="248">
        <f>(D31+D32)/D11</f>
        <v>4.4290909090909089E-2</v>
      </c>
      <c r="E46" s="248">
        <f>(E31+E32)/E11</f>
        <v>5.163636363636364E-2</v>
      </c>
      <c r="F46" s="248">
        <f>(F31+F32)/F11</f>
        <v>5.4218181818181804E-2</v>
      </c>
      <c r="G46" s="248">
        <f>(G31+G32)/G11</f>
        <v>5.6929090909090908E-2</v>
      </c>
      <c r="H46" s="279">
        <f>((G31+G32)/(D31+D32))^(1/3)-1</f>
        <v>5.2838609974597883E-2</v>
      </c>
      <c r="I46" s="247"/>
      <c r="J46" s="247"/>
      <c r="K46" s="247"/>
      <c r="L46" s="247"/>
      <c r="M46" s="247"/>
      <c r="N46" s="247"/>
      <c r="O46" s="18"/>
      <c r="Q46" s="5"/>
      <c r="R46" s="5"/>
      <c r="S46" s="42"/>
      <c r="T46" s="42"/>
      <c r="U46" s="42"/>
      <c r="V46" s="42"/>
      <c r="W46" s="42"/>
      <c r="X46" s="42"/>
      <c r="Y46" s="42"/>
      <c r="Z46" s="42"/>
      <c r="AA46" s="326"/>
    </row>
    <row r="47" spans="2:27">
      <c r="B47" s="5" t="s">
        <v>581</v>
      </c>
      <c r="C47" s="5"/>
      <c r="D47" s="248">
        <f>1/D43</f>
        <v>8.4824545076436705E-2</v>
      </c>
      <c r="E47" s="248">
        <f>1/E43</f>
        <v>9.1587084003436042E-2</v>
      </c>
      <c r="F47" s="248">
        <f>1/F43</f>
        <v>9.4453630236049746E-2</v>
      </c>
      <c r="G47" s="248">
        <f>1/G43</f>
        <v>9.5852885395495385E-2</v>
      </c>
      <c r="H47" s="17">
        <f>H29</f>
        <v>1.2709498849363232E-2</v>
      </c>
      <c r="I47" s="17"/>
      <c r="J47" s="248"/>
      <c r="K47" s="248"/>
      <c r="L47" s="248"/>
      <c r="M47" s="248"/>
      <c r="N47" s="248"/>
      <c r="O47" s="248"/>
      <c r="Q47" s="5"/>
      <c r="R47" s="5"/>
      <c r="S47" s="42"/>
      <c r="T47" s="42"/>
      <c r="U47" s="42"/>
      <c r="V47" s="42"/>
      <c r="W47" s="42"/>
      <c r="X47" s="42"/>
      <c r="Y47" s="42"/>
      <c r="Z47" s="42"/>
      <c r="AA47" s="326"/>
    </row>
    <row r="48" spans="2:27">
      <c r="B48" s="5" t="s">
        <v>618</v>
      </c>
      <c r="C48" s="5"/>
      <c r="D48" s="305">
        <f>D31/D29</f>
        <v>0.45884070853369746</v>
      </c>
      <c r="E48" s="305">
        <f>E31/E29</f>
        <v>0.4932425066777047</v>
      </c>
      <c r="F48" s="305">
        <f>F31/F29</f>
        <v>0.50018784851717935</v>
      </c>
      <c r="G48" s="305">
        <f>G31/G29</f>
        <v>0.51557600916854207</v>
      </c>
      <c r="H48" s="279" t="s">
        <v>607</v>
      </c>
      <c r="I48" s="247"/>
      <c r="J48" s="247"/>
      <c r="K48" s="247"/>
      <c r="L48" s="247"/>
      <c r="M48" s="247"/>
      <c r="N48" s="247"/>
      <c r="O48" s="248"/>
      <c r="Q48" s="5"/>
      <c r="R48" s="5"/>
      <c r="S48" s="42"/>
      <c r="T48" s="42"/>
      <c r="U48" s="42"/>
      <c r="V48" s="42"/>
      <c r="W48" s="42"/>
      <c r="X48" s="42"/>
      <c r="Y48" s="42"/>
      <c r="Z48" s="42"/>
      <c r="AA48" s="326"/>
    </row>
    <row r="49" spans="2:27">
      <c r="B49" s="41"/>
      <c r="C49" s="17"/>
      <c r="D49" s="17"/>
      <c r="E49" s="17"/>
      <c r="F49" s="17"/>
      <c r="G49" s="17"/>
      <c r="H49" s="17"/>
      <c r="I49" s="254"/>
      <c r="J49" s="17"/>
      <c r="K49" s="17"/>
      <c r="L49" s="17"/>
      <c r="M49" s="17"/>
      <c r="N49" s="17"/>
      <c r="O49" s="248"/>
      <c r="Q49" s="5"/>
      <c r="R49" s="5"/>
      <c r="S49" s="42"/>
      <c r="T49" s="42"/>
      <c r="U49" s="42"/>
      <c r="V49" s="42"/>
      <c r="W49" s="42"/>
      <c r="X49" s="42"/>
      <c r="Y49" s="42"/>
      <c r="Z49" s="42"/>
      <c r="AA49" s="326"/>
    </row>
    <row r="50" spans="2:27">
      <c r="B50" s="5"/>
      <c r="C50" s="257"/>
      <c r="D50" s="257"/>
      <c r="E50" s="257"/>
      <c r="F50" s="5"/>
      <c r="G50" s="41"/>
      <c r="H50" s="249"/>
      <c r="I50" s="17"/>
      <c r="J50" s="249"/>
      <c r="K50" s="249"/>
      <c r="L50" s="249"/>
      <c r="M50" s="249"/>
      <c r="N50" s="249"/>
      <c r="O50" s="250"/>
      <c r="Q50" s="5"/>
      <c r="R50" s="5"/>
      <c r="S50" s="42"/>
      <c r="T50" s="42"/>
      <c r="U50" s="42"/>
      <c r="V50" s="42"/>
      <c r="W50" s="288"/>
      <c r="X50" s="288"/>
      <c r="Y50" s="42"/>
      <c r="Z50" s="42"/>
      <c r="AA50" s="326"/>
    </row>
    <row r="51" spans="2:27">
      <c r="B51" s="41"/>
      <c r="C51" s="249"/>
      <c r="D51" s="254"/>
      <c r="E51" s="254"/>
      <c r="F51" s="254"/>
      <c r="G51" s="254"/>
      <c r="H51" s="254"/>
      <c r="I51" s="259"/>
      <c r="J51" s="254"/>
      <c r="K51" s="254"/>
      <c r="L51" s="254"/>
      <c r="M51" s="254"/>
      <c r="N51" s="254"/>
      <c r="O51" s="251"/>
      <c r="Q51" s="5"/>
      <c r="R51" s="5"/>
      <c r="S51" s="42"/>
      <c r="T51" s="42"/>
      <c r="U51" s="42"/>
      <c r="V51" s="42"/>
      <c r="W51" s="288"/>
      <c r="X51" s="288"/>
      <c r="Y51" s="288"/>
      <c r="Z51" s="288"/>
      <c r="AA51" s="42"/>
    </row>
    <row r="52" spans="2:27">
      <c r="B52" s="5"/>
      <c r="C52" s="257"/>
      <c r="D52" s="17"/>
      <c r="E52" s="17"/>
      <c r="F52" s="17"/>
      <c r="G52" s="17"/>
      <c r="H52" s="17"/>
      <c r="I52" s="254"/>
      <c r="J52" s="17"/>
      <c r="K52" s="17"/>
      <c r="L52" s="17"/>
      <c r="M52" s="17"/>
      <c r="N52" s="17"/>
      <c r="O52" s="248"/>
      <c r="Q52" s="5"/>
      <c r="R52" s="5"/>
      <c r="S52" s="5"/>
      <c r="Y52" s="10"/>
      <c r="Z52" s="10"/>
    </row>
    <row r="53" spans="2:27">
      <c r="B53" s="5"/>
      <c r="C53" s="257"/>
      <c r="D53" s="257"/>
      <c r="E53" s="257"/>
      <c r="F53" s="5"/>
      <c r="G53" s="5"/>
      <c r="H53" s="259"/>
      <c r="I53" s="17"/>
      <c r="J53" s="259"/>
      <c r="K53" s="259"/>
      <c r="L53" s="259"/>
      <c r="M53" s="259"/>
      <c r="N53" s="259"/>
      <c r="O53" s="18"/>
      <c r="Q53" s="5"/>
      <c r="R53" s="5"/>
      <c r="S53" s="5"/>
    </row>
    <row r="54" spans="2:27">
      <c r="B54" s="41"/>
      <c r="C54" s="249"/>
      <c r="D54" s="254"/>
      <c r="E54" s="254"/>
      <c r="F54" s="254"/>
      <c r="G54" s="254"/>
      <c r="H54" s="254"/>
      <c r="I54" s="259"/>
      <c r="J54" s="254"/>
      <c r="K54" s="254"/>
      <c r="L54" s="254"/>
      <c r="M54" s="254"/>
      <c r="N54" s="254"/>
      <c r="O54" s="251"/>
      <c r="Q54" s="5"/>
      <c r="R54" s="5"/>
      <c r="S54" s="5"/>
    </row>
    <row r="55" spans="2:27">
      <c r="B55" s="5"/>
      <c r="C55" s="257"/>
      <c r="D55" s="17"/>
      <c r="E55" s="17"/>
      <c r="F55" s="17"/>
      <c r="G55" s="17"/>
      <c r="H55" s="17"/>
      <c r="I55" s="249"/>
      <c r="J55" s="17"/>
      <c r="K55" s="17"/>
      <c r="L55" s="17"/>
      <c r="M55" s="17"/>
      <c r="N55" s="17"/>
      <c r="O55" s="18"/>
      <c r="Q55" s="5"/>
      <c r="R55" s="5"/>
      <c r="S55" s="5"/>
    </row>
    <row r="56" spans="2:27">
      <c r="B56" s="5"/>
      <c r="C56" s="248"/>
      <c r="D56" s="248"/>
      <c r="E56" s="248"/>
      <c r="F56" s="5"/>
      <c r="G56" s="5"/>
      <c r="H56" s="259"/>
      <c r="I56" s="248"/>
      <c r="J56" s="259"/>
      <c r="K56" s="259"/>
      <c r="L56" s="259"/>
      <c r="M56" s="259"/>
      <c r="N56" s="259"/>
      <c r="O56" s="18"/>
      <c r="Q56" s="5"/>
      <c r="R56" s="5"/>
      <c r="S56" s="5"/>
    </row>
    <row r="57" spans="2:27">
      <c r="B57" s="41"/>
      <c r="C57" s="249"/>
      <c r="D57" s="249"/>
      <c r="E57" s="249"/>
      <c r="F57" s="249"/>
      <c r="G57" s="249"/>
      <c r="H57" s="249"/>
      <c r="I57" s="5"/>
      <c r="J57" s="249"/>
      <c r="K57" s="249"/>
      <c r="L57" s="249"/>
      <c r="M57" s="249"/>
      <c r="N57" s="249"/>
      <c r="O57" s="251"/>
      <c r="Q57" s="5"/>
      <c r="R57" s="5"/>
      <c r="S57" s="5"/>
    </row>
    <row r="58" spans="2:27">
      <c r="B58" s="5"/>
      <c r="C58" s="5"/>
      <c r="D58" s="248"/>
      <c r="E58" s="248"/>
      <c r="F58" s="248"/>
      <c r="G58" s="248"/>
      <c r="H58" s="248"/>
      <c r="I58" s="17"/>
      <c r="J58" s="248"/>
      <c r="K58" s="248"/>
      <c r="L58" s="248"/>
      <c r="M58" s="248"/>
      <c r="N58" s="248"/>
      <c r="O58" s="18"/>
      <c r="Q58" s="5"/>
      <c r="R58" s="5"/>
      <c r="S58" s="5"/>
    </row>
    <row r="59" spans="2:27">
      <c r="B59" s="5"/>
      <c r="C59" s="5"/>
      <c r="D59" s="5"/>
      <c r="E59" s="5"/>
      <c r="F59" s="5"/>
      <c r="G59" s="5"/>
      <c r="H59" s="5"/>
      <c r="I59" s="5"/>
      <c r="J59" s="5"/>
      <c r="K59" s="5"/>
      <c r="L59" s="5"/>
      <c r="M59" s="5"/>
      <c r="N59" s="5"/>
      <c r="O59" s="5"/>
      <c r="Q59" s="5"/>
      <c r="R59" s="5"/>
      <c r="S59" s="5"/>
    </row>
    <row r="60" spans="2:27">
      <c r="B60" s="41"/>
      <c r="C60" s="17"/>
      <c r="D60" s="17"/>
      <c r="E60" s="17"/>
      <c r="F60" s="17"/>
      <c r="G60" s="17"/>
      <c r="H60" s="17"/>
      <c r="I60" s="249"/>
      <c r="J60" s="17"/>
      <c r="K60" s="17"/>
      <c r="L60" s="17"/>
      <c r="M60" s="17"/>
      <c r="N60" s="17"/>
      <c r="O60" s="251"/>
      <c r="Q60" s="5"/>
      <c r="R60" s="5"/>
      <c r="S60" s="5"/>
    </row>
    <row r="61" spans="2:27">
      <c r="B61" s="5"/>
      <c r="C61" s="5"/>
      <c r="D61" s="5"/>
      <c r="E61" s="5"/>
      <c r="F61" s="5"/>
      <c r="G61" s="5"/>
      <c r="H61" s="5"/>
      <c r="I61" s="5"/>
      <c r="J61" s="5"/>
      <c r="K61" s="5"/>
      <c r="L61" s="5"/>
      <c r="M61" s="5"/>
      <c r="N61" s="5"/>
      <c r="O61" s="5"/>
      <c r="Q61" s="41"/>
      <c r="R61" s="5"/>
      <c r="S61" s="5"/>
    </row>
    <row r="62" spans="2:27">
      <c r="B62" s="41"/>
      <c r="C62" s="249"/>
      <c r="D62" s="249"/>
      <c r="E62" s="249"/>
      <c r="F62" s="249"/>
      <c r="G62" s="249"/>
      <c r="H62" s="249"/>
      <c r="I62" s="5"/>
      <c r="J62" s="249"/>
      <c r="K62" s="249"/>
      <c r="L62" s="249"/>
      <c r="M62" s="249"/>
      <c r="N62" s="249"/>
      <c r="O62" s="251"/>
      <c r="Q62" s="5"/>
      <c r="R62" s="5"/>
      <c r="S62" s="5"/>
    </row>
    <row r="63" spans="2:27">
      <c r="B63" s="5"/>
      <c r="C63" s="5"/>
      <c r="D63" s="5"/>
      <c r="E63" s="5"/>
      <c r="F63" s="5"/>
      <c r="G63" s="5"/>
      <c r="H63" s="5"/>
      <c r="I63" s="254"/>
      <c r="J63" s="5"/>
      <c r="K63" s="5"/>
      <c r="L63" s="5"/>
      <c r="M63" s="5"/>
      <c r="N63" s="5"/>
      <c r="O63" s="5"/>
      <c r="Q63" s="5"/>
      <c r="R63" s="5"/>
      <c r="S63" s="5"/>
    </row>
    <row r="64" spans="2:27">
      <c r="B64" s="5"/>
      <c r="C64" s="5"/>
      <c r="D64" s="5"/>
      <c r="E64" s="5"/>
      <c r="F64" s="5"/>
      <c r="G64" s="5"/>
      <c r="H64" s="5"/>
      <c r="I64" s="17"/>
      <c r="J64" s="5"/>
      <c r="K64" s="5"/>
      <c r="L64" s="5"/>
      <c r="M64" s="5"/>
      <c r="N64" s="5"/>
      <c r="O64" s="5"/>
      <c r="Q64" s="5"/>
      <c r="R64" s="5"/>
      <c r="S64" s="5"/>
    </row>
    <row r="65" spans="2:26">
      <c r="B65" s="41"/>
      <c r="C65" s="249"/>
      <c r="D65" s="254"/>
      <c r="E65" s="254"/>
      <c r="F65" s="254"/>
      <c r="G65" s="254"/>
      <c r="H65" s="254"/>
      <c r="I65" s="254"/>
      <c r="J65" s="254"/>
      <c r="K65" s="254"/>
      <c r="L65" s="254"/>
      <c r="M65" s="254"/>
      <c r="N65" s="254"/>
      <c r="O65" s="251"/>
      <c r="Q65" s="5"/>
      <c r="R65" s="5"/>
      <c r="S65" s="5"/>
    </row>
    <row r="66" spans="2:26">
      <c r="B66" s="5"/>
      <c r="C66" s="5"/>
      <c r="D66" s="17"/>
      <c r="E66" s="17"/>
      <c r="F66" s="17"/>
      <c r="G66" s="17"/>
      <c r="H66" s="17"/>
      <c r="I66" s="248"/>
      <c r="J66" s="17"/>
      <c r="K66" s="17"/>
      <c r="L66" s="17"/>
      <c r="M66" s="17"/>
      <c r="N66" s="17"/>
      <c r="O66" s="5"/>
      <c r="Q66" s="5"/>
      <c r="R66" s="5"/>
      <c r="S66" s="5"/>
    </row>
    <row r="67" spans="2:26">
      <c r="B67" s="41"/>
      <c r="C67" s="249"/>
      <c r="D67" s="254"/>
      <c r="E67" s="254"/>
      <c r="F67" s="254"/>
      <c r="G67" s="254"/>
      <c r="H67" s="254"/>
      <c r="I67" s="5"/>
      <c r="J67" s="254"/>
      <c r="K67" s="254"/>
      <c r="L67" s="254"/>
      <c r="M67" s="254"/>
      <c r="N67" s="254"/>
      <c r="O67" s="251"/>
      <c r="Q67" s="41"/>
      <c r="R67" s="5"/>
      <c r="S67" s="5"/>
    </row>
    <row r="68" spans="2:26">
      <c r="B68" s="5"/>
      <c r="C68" s="5"/>
      <c r="D68" s="248"/>
      <c r="E68" s="248"/>
      <c r="F68" s="248"/>
      <c r="G68" s="248"/>
      <c r="H68" s="248"/>
      <c r="I68" s="245"/>
      <c r="J68" s="248"/>
      <c r="K68" s="248"/>
      <c r="L68" s="248"/>
      <c r="M68" s="248"/>
      <c r="N68" s="248"/>
      <c r="O68" s="5"/>
      <c r="Q68" s="5"/>
      <c r="R68" s="5"/>
      <c r="S68" s="5"/>
    </row>
    <row r="69" spans="2:26">
      <c r="B69" s="41"/>
      <c r="C69" s="5"/>
      <c r="D69" s="5"/>
      <c r="E69" s="5"/>
      <c r="F69" s="5"/>
      <c r="G69" s="5"/>
      <c r="H69" s="5"/>
      <c r="I69" s="248"/>
      <c r="J69" s="5"/>
      <c r="K69" s="5"/>
      <c r="L69" s="5"/>
      <c r="M69" s="5"/>
      <c r="N69" s="5"/>
      <c r="O69" s="5"/>
      <c r="Q69" s="5"/>
      <c r="R69" s="5"/>
      <c r="S69" s="5"/>
    </row>
    <row r="70" spans="2:26">
      <c r="B70" s="41"/>
      <c r="C70" s="245"/>
      <c r="D70" s="245"/>
      <c r="E70" s="245"/>
      <c r="F70" s="245"/>
      <c r="G70" s="245"/>
      <c r="H70" s="245"/>
      <c r="I70" s="5"/>
      <c r="J70" s="245"/>
      <c r="K70" s="245"/>
      <c r="L70" s="245"/>
      <c r="M70" s="245"/>
      <c r="N70" s="245"/>
      <c r="O70" s="251"/>
      <c r="Q70" s="5"/>
      <c r="R70" s="5"/>
      <c r="S70" s="5"/>
      <c r="W70" s="76"/>
      <c r="X70" s="76"/>
    </row>
    <row r="71" spans="2:26">
      <c r="B71" s="5"/>
      <c r="C71" s="5"/>
      <c r="D71" s="248"/>
      <c r="E71" s="248"/>
      <c r="F71" s="248"/>
      <c r="G71" s="248"/>
      <c r="H71" s="248"/>
      <c r="I71" s="245"/>
      <c r="J71" s="248"/>
      <c r="K71" s="248"/>
      <c r="L71" s="248"/>
      <c r="M71" s="248"/>
      <c r="N71" s="248"/>
      <c r="O71" s="5"/>
      <c r="Q71" s="5"/>
      <c r="R71" s="5"/>
      <c r="S71" s="5"/>
      <c r="W71" s="76"/>
      <c r="X71" s="76"/>
      <c r="Y71" s="76"/>
      <c r="Z71" s="76"/>
    </row>
    <row r="72" spans="2:26">
      <c r="B72" s="41"/>
      <c r="C72" s="5"/>
      <c r="D72" s="5"/>
      <c r="E72" s="5"/>
      <c r="F72" s="5"/>
      <c r="G72" s="5"/>
      <c r="H72" s="5"/>
      <c r="I72" s="18"/>
      <c r="J72" s="5"/>
      <c r="K72" s="5"/>
      <c r="L72" s="5"/>
      <c r="M72" s="5"/>
      <c r="N72" s="5"/>
      <c r="O72" s="5"/>
      <c r="Q72" s="5"/>
      <c r="R72" s="5"/>
      <c r="S72" s="5"/>
      <c r="Y72" s="76"/>
      <c r="Z72" s="76"/>
    </row>
    <row r="73" spans="2:26">
      <c r="B73" s="41"/>
      <c r="C73" s="245"/>
      <c r="D73" s="245"/>
      <c r="E73" s="245"/>
      <c r="F73" s="245"/>
      <c r="G73" s="245"/>
      <c r="H73" s="245"/>
      <c r="I73" s="5"/>
      <c r="J73" s="245"/>
      <c r="K73" s="245"/>
      <c r="L73" s="245"/>
      <c r="M73" s="245"/>
      <c r="N73" s="245"/>
      <c r="O73" s="251"/>
      <c r="Q73" s="5"/>
      <c r="R73" s="5"/>
      <c r="S73" s="5"/>
    </row>
    <row r="74" spans="2:26">
      <c r="B74" s="5"/>
      <c r="C74" s="5"/>
      <c r="D74" s="18"/>
      <c r="E74" s="18"/>
      <c r="F74" s="18"/>
      <c r="G74" s="18"/>
      <c r="H74" s="18"/>
      <c r="I74" s="249"/>
      <c r="J74" s="18"/>
      <c r="K74" s="18"/>
      <c r="L74" s="18"/>
      <c r="M74" s="18"/>
      <c r="N74" s="18"/>
      <c r="O74" s="5"/>
      <c r="Q74" s="5"/>
      <c r="R74" s="5"/>
      <c r="S74" s="5"/>
    </row>
    <row r="75" spans="2:26">
      <c r="B75" s="41"/>
      <c r="C75" s="5"/>
      <c r="D75" s="5"/>
      <c r="E75" s="5"/>
      <c r="F75" s="5"/>
      <c r="G75" s="5"/>
      <c r="H75" s="5"/>
      <c r="I75" s="248"/>
      <c r="J75" s="5"/>
      <c r="K75" s="5"/>
      <c r="L75" s="5"/>
      <c r="M75" s="5"/>
      <c r="N75" s="5"/>
      <c r="O75" s="5"/>
      <c r="Q75" s="5"/>
      <c r="R75" s="5"/>
      <c r="S75" s="5"/>
    </row>
    <row r="76" spans="2:26">
      <c r="B76" s="41"/>
      <c r="C76" s="249"/>
      <c r="D76" s="249"/>
      <c r="E76" s="249"/>
      <c r="F76" s="249"/>
      <c r="G76" s="249"/>
      <c r="H76" s="249"/>
      <c r="I76" s="5"/>
      <c r="J76" s="249"/>
      <c r="K76" s="249"/>
      <c r="L76" s="249"/>
      <c r="M76" s="249"/>
      <c r="N76" s="249"/>
      <c r="O76" s="251"/>
      <c r="Q76" s="5"/>
      <c r="R76" s="5"/>
      <c r="S76" s="5"/>
    </row>
    <row r="77" spans="2:26">
      <c r="B77" s="5"/>
      <c r="C77" s="5"/>
      <c r="D77" s="248"/>
      <c r="E77" s="248"/>
      <c r="F77" s="248"/>
      <c r="G77" s="248"/>
      <c r="H77" s="248"/>
      <c r="I77" s="245"/>
      <c r="J77" s="248"/>
      <c r="K77" s="248"/>
      <c r="L77" s="248"/>
      <c r="M77" s="248"/>
      <c r="N77" s="248"/>
      <c r="O77" s="5"/>
      <c r="Q77" s="5"/>
      <c r="R77" s="5"/>
      <c r="S77" s="5"/>
    </row>
    <row r="78" spans="2:26">
      <c r="B78" s="41"/>
      <c r="C78" s="5"/>
      <c r="D78" s="5"/>
      <c r="E78" s="5"/>
      <c r="F78" s="5"/>
      <c r="G78" s="5"/>
      <c r="H78" s="5"/>
      <c r="I78" s="248"/>
      <c r="J78" s="5"/>
      <c r="K78" s="5"/>
      <c r="L78" s="5"/>
      <c r="M78" s="5"/>
      <c r="N78" s="5"/>
      <c r="O78" s="5"/>
      <c r="Q78" s="5"/>
      <c r="R78" s="5"/>
      <c r="S78" s="5"/>
    </row>
    <row r="79" spans="2:26">
      <c r="B79" s="41"/>
      <c r="C79" s="245"/>
      <c r="D79" s="245"/>
      <c r="E79" s="245"/>
      <c r="F79" s="245"/>
      <c r="G79" s="245"/>
      <c r="H79" s="245"/>
      <c r="I79" s="5"/>
      <c r="J79" s="245"/>
      <c r="K79" s="245"/>
      <c r="L79" s="245"/>
      <c r="M79" s="245"/>
      <c r="N79" s="245"/>
      <c r="O79" s="251"/>
      <c r="Q79" s="5"/>
      <c r="R79" s="5"/>
      <c r="S79" s="5"/>
    </row>
    <row r="80" spans="2:26">
      <c r="B80" s="5"/>
      <c r="C80" s="5"/>
      <c r="D80" s="248"/>
      <c r="E80" s="248"/>
      <c r="F80" s="248"/>
      <c r="G80" s="248"/>
      <c r="H80" s="248"/>
      <c r="I80" s="249"/>
      <c r="J80" s="248"/>
      <c r="K80" s="248"/>
      <c r="L80" s="248"/>
      <c r="M80" s="248"/>
      <c r="N80" s="248"/>
      <c r="O80" s="5"/>
      <c r="Q80" s="5"/>
      <c r="R80" s="5"/>
      <c r="S80" s="5"/>
    </row>
    <row r="81" spans="2:26">
      <c r="B81" s="41"/>
      <c r="C81" s="5"/>
      <c r="D81" s="5"/>
      <c r="E81" s="5"/>
      <c r="F81" s="5"/>
      <c r="G81" s="5"/>
      <c r="H81" s="5"/>
      <c r="I81" s="248"/>
      <c r="J81" s="5"/>
      <c r="K81" s="5"/>
      <c r="L81" s="5"/>
      <c r="M81" s="5"/>
      <c r="N81" s="5"/>
      <c r="O81" s="5"/>
      <c r="Q81" s="5"/>
      <c r="R81" s="5"/>
      <c r="S81" s="5"/>
    </row>
    <row r="82" spans="2:26">
      <c r="B82" s="41"/>
      <c r="C82" s="249"/>
      <c r="D82" s="249"/>
      <c r="E82" s="249"/>
      <c r="F82" s="249"/>
      <c r="G82" s="249"/>
      <c r="H82" s="249"/>
      <c r="I82" s="259"/>
      <c r="J82" s="249"/>
      <c r="K82" s="249"/>
      <c r="L82" s="249"/>
      <c r="M82" s="249"/>
      <c r="N82" s="249"/>
      <c r="O82" s="251"/>
      <c r="Q82" s="5"/>
      <c r="R82" s="5"/>
      <c r="S82" s="5"/>
    </row>
    <row r="83" spans="2:26">
      <c r="B83" s="5"/>
      <c r="C83" s="5"/>
      <c r="D83" s="248"/>
      <c r="E83" s="248"/>
      <c r="F83" s="248"/>
      <c r="G83" s="248"/>
      <c r="H83" s="248"/>
      <c r="I83" s="5"/>
      <c r="J83" s="248"/>
      <c r="K83" s="248"/>
      <c r="L83" s="248"/>
      <c r="M83" s="248"/>
      <c r="N83" s="248"/>
      <c r="O83" s="5"/>
      <c r="Q83" s="5"/>
      <c r="R83" s="5"/>
      <c r="S83" s="5"/>
    </row>
    <row r="84" spans="2:26">
      <c r="B84" s="5"/>
      <c r="C84" s="259"/>
      <c r="D84" s="259"/>
      <c r="E84" s="259"/>
      <c r="F84" s="259"/>
      <c r="G84" s="259"/>
      <c r="H84" s="259"/>
      <c r="I84" s="245"/>
      <c r="J84" s="259"/>
      <c r="K84" s="259"/>
      <c r="L84" s="259"/>
      <c r="M84" s="259"/>
      <c r="N84" s="259"/>
      <c r="O84" s="251"/>
      <c r="Q84" s="5"/>
      <c r="R84" s="5"/>
      <c r="S84" s="5"/>
    </row>
    <row r="85" spans="2:26">
      <c r="B85" s="41"/>
      <c r="C85" s="5"/>
      <c r="D85" s="5"/>
      <c r="E85" s="5"/>
      <c r="F85" s="5"/>
      <c r="G85" s="5"/>
      <c r="H85" s="5"/>
      <c r="I85" s="248"/>
      <c r="J85" s="5"/>
      <c r="K85" s="5"/>
      <c r="L85" s="5"/>
      <c r="M85" s="5"/>
      <c r="N85" s="5"/>
      <c r="O85" s="5"/>
      <c r="Q85" s="5"/>
      <c r="R85" s="5"/>
      <c r="S85" s="5"/>
    </row>
    <row r="86" spans="2:26">
      <c r="B86" s="41"/>
      <c r="C86" s="245"/>
      <c r="D86" s="245"/>
      <c r="E86" s="245"/>
      <c r="F86" s="245"/>
      <c r="G86" s="245"/>
      <c r="H86" s="245"/>
      <c r="I86" s="5"/>
      <c r="J86" s="245"/>
      <c r="K86" s="245"/>
      <c r="L86" s="245"/>
      <c r="M86" s="245"/>
      <c r="N86" s="245"/>
      <c r="O86" s="251"/>
      <c r="Q86" s="5"/>
      <c r="R86" s="5"/>
      <c r="S86" s="5"/>
    </row>
    <row r="87" spans="2:26">
      <c r="B87" s="5"/>
      <c r="C87" s="5"/>
      <c r="D87" s="248"/>
      <c r="E87" s="248"/>
      <c r="F87" s="248"/>
      <c r="G87" s="248"/>
      <c r="H87" s="248"/>
      <c r="I87" s="5"/>
      <c r="J87" s="248"/>
      <c r="K87" s="248"/>
      <c r="L87" s="248"/>
      <c r="M87" s="248"/>
      <c r="N87" s="248"/>
      <c r="O87" s="5"/>
      <c r="Q87" s="5"/>
      <c r="R87" s="5"/>
      <c r="S87" s="5"/>
    </row>
    <row r="88" spans="2:26">
      <c r="B88" s="41"/>
      <c r="C88" s="5"/>
      <c r="D88" s="5"/>
      <c r="E88" s="5"/>
      <c r="F88" s="5"/>
      <c r="G88" s="5"/>
      <c r="H88" s="5"/>
      <c r="I88" s="5"/>
      <c r="J88" s="5"/>
      <c r="K88" s="5"/>
      <c r="L88" s="5"/>
      <c r="M88" s="5"/>
      <c r="N88" s="5"/>
      <c r="O88" s="5"/>
      <c r="Q88" s="5"/>
      <c r="R88" s="5"/>
      <c r="S88" s="5"/>
    </row>
    <row r="89" spans="2:26">
      <c r="B89" s="41"/>
      <c r="C89" s="5"/>
      <c r="D89" s="5"/>
      <c r="E89" s="5"/>
      <c r="F89" s="5"/>
      <c r="G89" s="5"/>
      <c r="H89" s="5"/>
      <c r="I89" s="5"/>
      <c r="J89" s="5"/>
      <c r="K89" s="5"/>
      <c r="L89" s="5"/>
      <c r="M89" s="5"/>
      <c r="N89" s="5"/>
      <c r="O89" s="5"/>
      <c r="Q89" s="5"/>
      <c r="R89" s="5"/>
      <c r="S89" s="5"/>
    </row>
    <row r="90" spans="2:26">
      <c r="B90" s="41"/>
      <c r="C90" s="5"/>
      <c r="D90" s="5"/>
      <c r="E90" s="5"/>
      <c r="F90" s="5"/>
      <c r="G90" s="5"/>
      <c r="H90" s="5"/>
      <c r="I90" s="49"/>
      <c r="J90" s="5"/>
      <c r="K90" s="5"/>
      <c r="L90" s="5"/>
      <c r="M90" s="5"/>
      <c r="N90" s="5"/>
      <c r="O90" s="5"/>
      <c r="Q90" s="41"/>
      <c r="R90" s="5"/>
      <c r="S90" s="5"/>
    </row>
    <row r="91" spans="2:26">
      <c r="B91" s="5"/>
      <c r="C91" s="5"/>
      <c r="D91" s="5"/>
      <c r="E91" s="5"/>
      <c r="F91" s="5"/>
      <c r="G91" s="5"/>
      <c r="H91" s="5"/>
      <c r="I91" s="5"/>
      <c r="J91" s="5"/>
      <c r="K91" s="5"/>
      <c r="L91" s="5"/>
      <c r="M91" s="5"/>
      <c r="N91" s="5"/>
      <c r="O91" s="5"/>
      <c r="Q91" s="5"/>
      <c r="R91" s="5"/>
      <c r="S91" s="5"/>
    </row>
    <row r="92" spans="2:26">
      <c r="B92" s="41"/>
      <c r="C92" s="49"/>
      <c r="D92" s="49"/>
      <c r="E92" s="49"/>
      <c r="F92" s="49"/>
      <c r="G92" s="49"/>
      <c r="H92" s="49"/>
      <c r="I92" s="247"/>
      <c r="J92" s="49"/>
      <c r="K92" s="49"/>
      <c r="L92" s="49"/>
      <c r="M92" s="49"/>
      <c r="N92" s="49"/>
      <c r="O92" s="49"/>
      <c r="Q92" s="5"/>
      <c r="R92" s="5"/>
      <c r="S92" s="5"/>
      <c r="W92" s="21"/>
      <c r="X92" s="21"/>
    </row>
    <row r="93" spans="2:26">
      <c r="B93" s="5"/>
      <c r="C93" s="5"/>
      <c r="D93" s="5"/>
      <c r="E93" s="5"/>
      <c r="F93" s="5"/>
      <c r="G93" s="5"/>
      <c r="H93" s="5"/>
      <c r="I93" s="247"/>
      <c r="J93" s="5"/>
      <c r="K93" s="5"/>
      <c r="L93" s="5"/>
      <c r="M93" s="5"/>
      <c r="N93" s="5"/>
      <c r="O93" s="5"/>
      <c r="Q93" s="5"/>
      <c r="R93" s="5"/>
      <c r="S93" s="5"/>
      <c r="W93" s="21"/>
      <c r="X93" s="21"/>
      <c r="Y93" s="21"/>
      <c r="Z93" s="21"/>
    </row>
    <row r="94" spans="2:26">
      <c r="B94" s="5"/>
      <c r="C94" s="259"/>
      <c r="D94" s="247"/>
      <c r="E94" s="247"/>
      <c r="F94" s="247"/>
      <c r="G94" s="247"/>
      <c r="H94" s="247"/>
      <c r="I94" s="247"/>
      <c r="J94" s="247"/>
      <c r="K94" s="247"/>
      <c r="L94" s="247"/>
      <c r="M94" s="247"/>
      <c r="N94" s="247"/>
      <c r="O94" s="248"/>
      <c r="Q94" s="5"/>
      <c r="R94" s="5"/>
      <c r="S94" s="5"/>
      <c r="Y94" s="21"/>
      <c r="Z94" s="21"/>
    </row>
    <row r="95" spans="2:26">
      <c r="B95" s="5"/>
      <c r="C95" s="259"/>
      <c r="D95" s="247"/>
      <c r="E95" s="247"/>
      <c r="F95" s="247"/>
      <c r="G95" s="247"/>
      <c r="H95" s="247"/>
      <c r="I95" s="248"/>
      <c r="J95" s="247"/>
      <c r="K95" s="247"/>
      <c r="L95" s="247"/>
      <c r="M95" s="247"/>
      <c r="N95" s="247"/>
      <c r="O95" s="248"/>
      <c r="Q95" s="5"/>
      <c r="R95" s="5"/>
      <c r="S95" s="5"/>
    </row>
    <row r="96" spans="2:26">
      <c r="B96" s="5"/>
      <c r="C96" s="259"/>
      <c r="D96" s="247"/>
      <c r="E96" s="247"/>
      <c r="F96" s="247"/>
      <c r="G96" s="247"/>
      <c r="H96" s="247"/>
      <c r="I96" s="247"/>
      <c r="J96" s="247"/>
      <c r="K96" s="247"/>
      <c r="L96" s="247"/>
      <c r="M96" s="247"/>
      <c r="N96" s="247"/>
      <c r="O96" s="248"/>
      <c r="Q96" s="5"/>
      <c r="R96" s="5"/>
      <c r="S96" s="5"/>
    </row>
    <row r="97" spans="2:19">
      <c r="B97" s="5"/>
      <c r="C97" s="259"/>
      <c r="D97" s="248"/>
      <c r="E97" s="248"/>
      <c r="F97" s="248"/>
      <c r="G97" s="248"/>
      <c r="H97" s="248"/>
      <c r="I97" s="249"/>
      <c r="J97" s="248"/>
      <c r="K97" s="248"/>
      <c r="L97" s="248"/>
      <c r="M97" s="248"/>
      <c r="N97" s="248"/>
      <c r="O97" s="248"/>
      <c r="Q97" s="5"/>
      <c r="R97" s="5"/>
      <c r="S97" s="5"/>
    </row>
    <row r="98" spans="2:19">
      <c r="B98" s="5"/>
      <c r="C98" s="259"/>
      <c r="D98" s="247"/>
      <c r="E98" s="247"/>
      <c r="F98" s="247"/>
      <c r="G98" s="247"/>
      <c r="H98" s="247"/>
      <c r="I98" s="248"/>
      <c r="J98" s="247"/>
      <c r="K98" s="247"/>
      <c r="L98" s="247"/>
      <c r="M98" s="247"/>
      <c r="N98" s="247"/>
      <c r="O98" s="248"/>
      <c r="Q98" s="5"/>
      <c r="R98" s="5"/>
      <c r="S98" s="5"/>
    </row>
    <row r="99" spans="2:19">
      <c r="B99" s="41"/>
      <c r="C99" s="249"/>
      <c r="D99" s="249"/>
      <c r="E99" s="249"/>
      <c r="F99" s="249"/>
      <c r="G99" s="249"/>
      <c r="H99" s="249"/>
      <c r="I99" s="5"/>
      <c r="J99" s="249"/>
      <c r="K99" s="249"/>
      <c r="L99" s="249"/>
      <c r="M99" s="249"/>
      <c r="N99" s="249"/>
      <c r="O99" s="248"/>
      <c r="Q99" s="5"/>
      <c r="R99" s="5"/>
      <c r="S99" s="5"/>
    </row>
    <row r="100" spans="2:19">
      <c r="B100" s="41"/>
      <c r="C100" s="257"/>
      <c r="D100" s="248"/>
      <c r="E100" s="248"/>
      <c r="F100" s="248"/>
      <c r="G100" s="248"/>
      <c r="H100" s="248"/>
      <c r="I100" s="259"/>
      <c r="J100" s="248"/>
      <c r="K100" s="248"/>
      <c r="L100" s="248"/>
      <c r="M100" s="248"/>
      <c r="N100" s="248"/>
      <c r="O100" s="248"/>
      <c r="Q100" s="5"/>
      <c r="R100" s="5"/>
      <c r="S100" s="5"/>
    </row>
    <row r="101" spans="2:19" s="5" customFormat="1">
      <c r="B101" s="41"/>
      <c r="I101" s="259"/>
      <c r="O101" s="248"/>
      <c r="P101" s="39"/>
    </row>
    <row r="102" spans="2:19">
      <c r="B102" s="5"/>
      <c r="C102" s="259"/>
      <c r="D102" s="259"/>
      <c r="E102" s="259"/>
      <c r="F102" s="259"/>
      <c r="G102" s="259"/>
      <c r="H102" s="259"/>
      <c r="I102" s="247"/>
      <c r="J102" s="259"/>
      <c r="K102" s="259"/>
      <c r="L102" s="259"/>
      <c r="M102" s="259"/>
      <c r="N102" s="259"/>
      <c r="O102" s="5"/>
      <c r="Q102" s="5"/>
      <c r="R102" s="5"/>
      <c r="S102" s="5"/>
    </row>
    <row r="103" spans="2:19">
      <c r="B103" s="5"/>
      <c r="C103" s="259"/>
      <c r="D103" s="259"/>
      <c r="E103" s="259"/>
      <c r="F103" s="259"/>
      <c r="G103" s="259"/>
      <c r="H103" s="259"/>
      <c r="I103" s="5"/>
      <c r="J103" s="259"/>
      <c r="K103" s="259"/>
      <c r="L103" s="259"/>
      <c r="M103" s="259"/>
      <c r="N103" s="259"/>
      <c r="O103" s="5"/>
      <c r="P103" s="5"/>
      <c r="Q103" s="5"/>
      <c r="R103" s="5"/>
      <c r="S103" s="5"/>
    </row>
    <row r="104" spans="2:19">
      <c r="B104" s="5"/>
      <c r="C104" s="247"/>
      <c r="D104" s="247"/>
      <c r="E104" s="247"/>
      <c r="F104" s="247"/>
      <c r="G104" s="247"/>
      <c r="H104" s="247"/>
      <c r="I104" s="247"/>
      <c r="J104" s="247"/>
      <c r="K104" s="247"/>
      <c r="L104" s="247"/>
      <c r="M104" s="247"/>
      <c r="N104" s="247"/>
      <c r="O104" s="5"/>
      <c r="Q104" s="5"/>
      <c r="R104" s="5"/>
      <c r="S104" s="5"/>
    </row>
    <row r="105" spans="2:19" s="5" customFormat="1">
      <c r="P105" s="39"/>
    </row>
    <row r="106" spans="2:19" s="5" customFormat="1">
      <c r="C106" s="259"/>
      <c r="D106" s="247"/>
      <c r="E106" s="247"/>
      <c r="F106" s="247"/>
      <c r="G106" s="247"/>
      <c r="H106" s="247"/>
      <c r="I106" s="259"/>
      <c r="J106" s="247"/>
      <c r="K106" s="247"/>
      <c r="L106" s="247"/>
      <c r="M106" s="247"/>
      <c r="N106" s="247"/>
      <c r="P106" s="39"/>
    </row>
    <row r="107" spans="2:19">
      <c r="B107" s="5"/>
      <c r="C107" s="259"/>
      <c r="D107" s="5"/>
      <c r="E107" s="5"/>
      <c r="F107" s="5"/>
      <c r="G107" s="5"/>
      <c r="H107" s="5"/>
      <c r="I107" s="247"/>
      <c r="J107" s="5"/>
      <c r="K107" s="5"/>
      <c r="L107" s="5"/>
      <c r="M107" s="5"/>
      <c r="N107" s="5"/>
      <c r="O107" s="5"/>
      <c r="P107" s="5"/>
      <c r="Q107" s="5"/>
      <c r="R107" s="5"/>
      <c r="S107" s="5"/>
    </row>
    <row r="108" spans="2:19">
      <c r="B108" s="5"/>
      <c r="C108" s="259"/>
      <c r="D108" s="259"/>
      <c r="E108" s="259"/>
      <c r="F108" s="259"/>
      <c r="G108" s="259"/>
      <c r="H108" s="259"/>
      <c r="I108" s="249"/>
      <c r="J108" s="259"/>
      <c r="K108" s="259"/>
      <c r="L108" s="259"/>
      <c r="M108" s="259"/>
      <c r="N108" s="259"/>
      <c r="O108" s="5"/>
      <c r="P108" s="5"/>
      <c r="Q108" s="5"/>
      <c r="R108" s="5"/>
      <c r="S108" s="5"/>
    </row>
    <row r="109" spans="2:19">
      <c r="B109" s="5"/>
      <c r="C109" s="247"/>
      <c r="D109" s="247"/>
      <c r="E109" s="247"/>
      <c r="F109" s="247"/>
      <c r="G109" s="247"/>
      <c r="H109" s="247"/>
      <c r="I109" s="249"/>
      <c r="J109" s="247"/>
      <c r="K109" s="247"/>
      <c r="L109" s="247"/>
      <c r="M109" s="247"/>
      <c r="N109" s="247"/>
      <c r="O109" s="5"/>
      <c r="Q109" s="5"/>
      <c r="R109" s="5"/>
      <c r="S109" s="5"/>
    </row>
    <row r="110" spans="2:19">
      <c r="B110" s="41"/>
      <c r="C110" s="249"/>
      <c r="D110" s="249"/>
      <c r="E110" s="249"/>
      <c r="F110" s="249"/>
      <c r="G110" s="249"/>
      <c r="H110" s="249"/>
      <c r="I110" s="247"/>
      <c r="J110" s="249"/>
      <c r="K110" s="249"/>
      <c r="L110" s="249"/>
      <c r="M110" s="249"/>
      <c r="N110" s="249"/>
      <c r="O110" s="5"/>
      <c r="Q110" s="5"/>
      <c r="R110" s="5"/>
      <c r="S110" s="5"/>
    </row>
    <row r="111" spans="2:19">
      <c r="B111" s="5"/>
      <c r="C111" s="249"/>
      <c r="D111" s="249"/>
      <c r="E111" s="249"/>
      <c r="F111" s="249"/>
      <c r="G111" s="249"/>
      <c r="H111" s="249"/>
      <c r="I111" s="5"/>
      <c r="J111" s="249"/>
      <c r="K111" s="249"/>
      <c r="L111" s="249"/>
      <c r="M111" s="249"/>
      <c r="N111" s="249"/>
      <c r="O111" s="5"/>
      <c r="Q111" s="5"/>
      <c r="R111" s="5"/>
      <c r="S111" s="5"/>
    </row>
    <row r="112" spans="2:19">
      <c r="B112" s="5"/>
      <c r="C112" s="247"/>
      <c r="D112" s="247"/>
      <c r="E112" s="247"/>
      <c r="F112" s="247"/>
      <c r="G112" s="247"/>
      <c r="H112" s="247"/>
      <c r="I112" s="5"/>
      <c r="J112" s="247"/>
      <c r="K112" s="247"/>
      <c r="L112" s="247"/>
      <c r="M112" s="247"/>
      <c r="N112" s="247"/>
      <c r="O112" s="5"/>
      <c r="Q112" s="5"/>
      <c r="R112" s="5"/>
      <c r="S112" s="5"/>
    </row>
    <row r="113" spans="2:19">
      <c r="B113" s="5"/>
      <c r="C113" s="5"/>
      <c r="D113" s="5"/>
      <c r="E113" s="5"/>
      <c r="F113" s="5"/>
      <c r="G113" s="5"/>
      <c r="H113" s="5"/>
      <c r="I113" s="5"/>
      <c r="J113" s="5"/>
      <c r="K113" s="5"/>
      <c r="L113" s="5"/>
      <c r="M113" s="5"/>
      <c r="N113" s="5"/>
      <c r="O113" s="5"/>
      <c r="Q113" s="5"/>
      <c r="R113" s="5"/>
      <c r="S113" s="5"/>
    </row>
    <row r="114" spans="2:19">
      <c r="B114" s="5"/>
      <c r="C114" s="5"/>
      <c r="D114" s="5"/>
      <c r="E114" s="5"/>
      <c r="F114" s="5"/>
      <c r="G114" s="5"/>
      <c r="H114" s="5"/>
      <c r="I114" s="5"/>
      <c r="J114" s="5"/>
      <c r="K114" s="5"/>
      <c r="L114" s="5"/>
      <c r="M114" s="5"/>
      <c r="N114" s="5"/>
      <c r="O114" s="5"/>
      <c r="Q114" s="5"/>
      <c r="R114" s="5"/>
      <c r="S114" s="5"/>
    </row>
    <row r="115" spans="2:19">
      <c r="B115" s="5"/>
      <c r="C115" s="5"/>
      <c r="D115" s="5"/>
      <c r="E115" s="5"/>
      <c r="F115" s="5"/>
      <c r="G115" s="5"/>
      <c r="H115" s="5"/>
      <c r="I115" s="49"/>
      <c r="J115" s="5"/>
      <c r="K115" s="5"/>
      <c r="L115" s="5"/>
      <c r="M115" s="5"/>
      <c r="N115" s="5"/>
      <c r="O115" s="5"/>
      <c r="Q115" s="41"/>
      <c r="R115" s="5"/>
      <c r="S115" s="5"/>
    </row>
    <row r="116" spans="2:19">
      <c r="B116" s="5"/>
      <c r="C116" s="5"/>
      <c r="D116" s="5"/>
      <c r="E116" s="5"/>
      <c r="F116" s="5"/>
      <c r="G116" s="5"/>
      <c r="H116" s="5"/>
      <c r="I116" s="5"/>
      <c r="J116" s="5"/>
      <c r="K116" s="5"/>
      <c r="L116" s="5"/>
      <c r="M116" s="5"/>
      <c r="N116" s="5"/>
      <c r="O116" s="5"/>
      <c r="Q116" s="5"/>
      <c r="R116" s="5"/>
      <c r="S116" s="5"/>
    </row>
    <row r="117" spans="2:19">
      <c r="B117" s="41"/>
      <c r="C117" s="49"/>
      <c r="D117" s="49"/>
      <c r="E117" s="49"/>
      <c r="F117" s="49"/>
      <c r="G117" s="49"/>
      <c r="H117" s="49"/>
      <c r="I117" s="254"/>
      <c r="J117" s="49"/>
      <c r="K117" s="49"/>
      <c r="L117" s="49"/>
      <c r="M117" s="49"/>
      <c r="N117" s="49"/>
      <c r="O117" s="49"/>
      <c r="Q117" s="5"/>
      <c r="R117" s="5"/>
      <c r="S117" s="5"/>
    </row>
    <row r="118" spans="2:19">
      <c r="B118" s="5"/>
      <c r="C118" s="5"/>
      <c r="D118" s="5"/>
      <c r="E118" s="5"/>
      <c r="F118" s="5"/>
      <c r="G118" s="5"/>
      <c r="H118" s="5"/>
      <c r="I118" s="249"/>
      <c r="J118" s="5"/>
      <c r="K118" s="5"/>
      <c r="L118" s="5"/>
      <c r="M118" s="5"/>
      <c r="N118" s="5"/>
      <c r="O118" s="5"/>
      <c r="Q118" s="5"/>
      <c r="R118" s="5"/>
      <c r="S118" s="5"/>
    </row>
    <row r="119" spans="2:19">
      <c r="B119" s="41"/>
      <c r="C119" s="254"/>
      <c r="D119" s="254"/>
      <c r="E119" s="254"/>
      <c r="F119" s="254"/>
      <c r="G119" s="254"/>
      <c r="H119" s="254"/>
      <c r="I119" s="254"/>
      <c r="J119" s="254"/>
      <c r="K119" s="254"/>
      <c r="L119" s="254"/>
      <c r="M119" s="254"/>
      <c r="N119" s="254"/>
      <c r="O119" s="248"/>
      <c r="Q119" s="5"/>
      <c r="R119" s="5"/>
      <c r="S119" s="5"/>
    </row>
    <row r="120" spans="2:19">
      <c r="B120" s="41"/>
      <c r="C120" s="254"/>
      <c r="D120" s="249"/>
      <c r="E120" s="249"/>
      <c r="F120" s="249"/>
      <c r="G120" s="249"/>
      <c r="H120" s="249"/>
      <c r="I120" s="254"/>
      <c r="J120" s="249"/>
      <c r="K120" s="249"/>
      <c r="L120" s="249"/>
      <c r="M120" s="249"/>
      <c r="N120" s="249"/>
      <c r="O120" s="248"/>
      <c r="Q120" s="5"/>
      <c r="R120" s="5"/>
      <c r="S120" s="5"/>
    </row>
    <row r="121" spans="2:19">
      <c r="B121" s="41"/>
      <c r="C121" s="254"/>
      <c r="D121" s="254"/>
      <c r="E121" s="254"/>
      <c r="F121" s="254"/>
      <c r="G121" s="254"/>
      <c r="H121" s="254"/>
      <c r="I121" s="254"/>
      <c r="J121" s="254"/>
      <c r="K121" s="254"/>
      <c r="L121" s="254"/>
      <c r="M121" s="254"/>
      <c r="N121" s="254"/>
      <c r="O121" s="248"/>
      <c r="Q121" s="5"/>
      <c r="R121" s="5"/>
      <c r="S121" s="5"/>
    </row>
    <row r="122" spans="2:19">
      <c r="B122" s="41"/>
      <c r="C122" s="254"/>
      <c r="D122" s="254"/>
      <c r="E122" s="254"/>
      <c r="F122" s="254"/>
      <c r="G122" s="254"/>
      <c r="H122" s="254"/>
      <c r="I122" s="254"/>
      <c r="J122" s="254"/>
      <c r="K122" s="254"/>
      <c r="L122" s="254"/>
      <c r="M122" s="254"/>
      <c r="N122" s="254"/>
      <c r="O122" s="248"/>
      <c r="Q122" s="5"/>
      <c r="R122" s="5"/>
      <c r="S122" s="5"/>
    </row>
    <row r="123" spans="2:19">
      <c r="B123" s="41"/>
      <c r="C123" s="254"/>
      <c r="D123" s="254"/>
      <c r="E123" s="254"/>
      <c r="F123" s="254"/>
      <c r="G123" s="254"/>
      <c r="H123" s="254"/>
      <c r="I123" s="254"/>
      <c r="J123" s="254"/>
      <c r="K123" s="254"/>
      <c r="L123" s="254"/>
      <c r="M123" s="254"/>
      <c r="N123" s="254"/>
      <c r="O123" s="248"/>
      <c r="Q123" s="5"/>
      <c r="R123" s="5"/>
      <c r="S123" s="5"/>
    </row>
    <row r="124" spans="2:19">
      <c r="B124" s="41"/>
      <c r="C124" s="254"/>
      <c r="D124" s="254"/>
      <c r="E124" s="254"/>
      <c r="F124" s="254"/>
      <c r="G124" s="254"/>
      <c r="H124" s="254"/>
      <c r="I124" s="254"/>
      <c r="J124" s="254"/>
      <c r="K124" s="254"/>
      <c r="L124" s="254"/>
      <c r="M124" s="254"/>
      <c r="N124" s="254"/>
      <c r="O124" s="248"/>
      <c r="Q124" s="5"/>
      <c r="R124" s="5"/>
      <c r="S124" s="5"/>
    </row>
    <row r="125" spans="2:19">
      <c r="B125" s="41"/>
      <c r="C125" s="254"/>
      <c r="D125" s="254"/>
      <c r="E125" s="254"/>
      <c r="F125" s="254"/>
      <c r="G125" s="254"/>
      <c r="H125" s="254"/>
      <c r="I125" s="254"/>
      <c r="J125" s="254"/>
      <c r="K125" s="254"/>
      <c r="L125" s="254"/>
      <c r="M125" s="254"/>
      <c r="N125" s="254"/>
      <c r="O125" s="5"/>
      <c r="Q125" s="5"/>
      <c r="R125" s="5"/>
      <c r="S125" s="5"/>
    </row>
    <row r="126" spans="2:19">
      <c r="B126" s="41"/>
      <c r="C126" s="254"/>
      <c r="D126" s="254"/>
      <c r="E126" s="254"/>
      <c r="F126" s="254"/>
      <c r="G126" s="254"/>
      <c r="H126" s="254"/>
      <c r="I126" s="254"/>
      <c r="J126" s="254"/>
      <c r="K126" s="254"/>
      <c r="L126" s="254"/>
      <c r="M126" s="254"/>
      <c r="N126" s="254"/>
      <c r="O126" s="5"/>
      <c r="Q126" s="5"/>
      <c r="R126" s="5"/>
      <c r="S126" s="5"/>
    </row>
    <row r="127" spans="2:19">
      <c r="B127" s="41"/>
      <c r="C127" s="254"/>
      <c r="D127" s="254"/>
      <c r="E127" s="254"/>
      <c r="F127" s="254"/>
      <c r="G127" s="254"/>
      <c r="H127" s="254"/>
      <c r="I127" s="18"/>
      <c r="J127" s="254"/>
      <c r="K127" s="254"/>
      <c r="L127" s="254"/>
      <c r="M127" s="254"/>
      <c r="N127" s="254"/>
      <c r="O127" s="5"/>
      <c r="Q127" s="5"/>
      <c r="R127" s="5"/>
      <c r="S127" s="5"/>
    </row>
    <row r="128" spans="2:19">
      <c r="B128" s="41"/>
      <c r="C128" s="254"/>
      <c r="D128" s="254"/>
      <c r="E128" s="254"/>
      <c r="F128" s="254"/>
      <c r="G128" s="254"/>
      <c r="H128" s="254"/>
      <c r="I128" s="5"/>
      <c r="J128" s="254"/>
      <c r="K128" s="254"/>
      <c r="L128" s="254"/>
      <c r="M128" s="254"/>
      <c r="N128" s="254"/>
      <c r="O128" s="5"/>
      <c r="Q128" s="5"/>
      <c r="R128" s="5"/>
      <c r="S128" s="5"/>
    </row>
    <row r="129" spans="2:27">
      <c r="B129" s="5"/>
      <c r="C129" s="5"/>
      <c r="D129" s="18"/>
      <c r="E129" s="18"/>
      <c r="F129" s="18"/>
      <c r="G129" s="18"/>
      <c r="H129" s="18"/>
      <c r="I129" s="254"/>
      <c r="J129" s="18"/>
      <c r="K129" s="18"/>
      <c r="L129" s="18"/>
      <c r="M129" s="18"/>
      <c r="N129" s="18"/>
      <c r="O129" s="5"/>
      <c r="Q129" s="5"/>
      <c r="R129" s="5"/>
      <c r="S129" s="5"/>
    </row>
    <row r="130" spans="2:27">
      <c r="B130" s="5"/>
      <c r="C130" s="5"/>
      <c r="D130" s="5"/>
      <c r="E130" s="5"/>
      <c r="F130" s="5"/>
      <c r="G130" s="5"/>
      <c r="H130" s="5"/>
      <c r="I130" s="18"/>
      <c r="J130" s="5"/>
      <c r="K130" s="5"/>
      <c r="L130" s="5"/>
      <c r="M130" s="5"/>
      <c r="N130" s="5"/>
      <c r="O130" s="5"/>
      <c r="Q130" s="5"/>
      <c r="R130" s="5"/>
      <c r="S130" s="5"/>
    </row>
    <row r="131" spans="2:27">
      <c r="B131" s="41"/>
      <c r="C131" s="254"/>
      <c r="D131" s="254"/>
      <c r="E131" s="254"/>
      <c r="F131" s="254"/>
      <c r="G131" s="254"/>
      <c r="H131" s="254"/>
      <c r="I131" s="5"/>
      <c r="J131" s="254"/>
      <c r="K131" s="254"/>
      <c r="L131" s="254"/>
      <c r="M131" s="254"/>
      <c r="N131" s="254"/>
      <c r="O131" s="5"/>
      <c r="Q131" s="5"/>
      <c r="R131" s="5"/>
      <c r="S131" s="5"/>
    </row>
    <row r="132" spans="2:27">
      <c r="B132" s="5"/>
      <c r="C132" s="259"/>
      <c r="D132" s="18"/>
      <c r="E132" s="18"/>
      <c r="F132" s="18"/>
      <c r="G132" s="18"/>
      <c r="H132" s="18"/>
      <c r="I132" s="5"/>
      <c r="J132" s="18"/>
      <c r="K132" s="18"/>
      <c r="L132" s="18"/>
      <c r="M132" s="18"/>
      <c r="N132" s="18"/>
      <c r="O132" s="5"/>
      <c r="Q132" s="5"/>
      <c r="R132" s="5"/>
      <c r="S132" s="5"/>
    </row>
    <row r="133" spans="2:27">
      <c r="B133" s="5"/>
      <c r="C133" s="5"/>
      <c r="D133" s="5"/>
      <c r="E133" s="5"/>
      <c r="F133" s="5"/>
      <c r="G133" s="5"/>
      <c r="H133" s="5"/>
      <c r="I133" s="17"/>
      <c r="J133" s="5"/>
      <c r="K133" s="5"/>
      <c r="L133" s="5"/>
      <c r="M133" s="5"/>
      <c r="N133" s="5"/>
      <c r="O133" s="5"/>
      <c r="Q133" s="5"/>
      <c r="R133" s="5"/>
      <c r="S133" s="5"/>
    </row>
    <row r="134" spans="2:27">
      <c r="B134" s="41"/>
      <c r="C134" s="5"/>
      <c r="D134" s="5"/>
      <c r="E134" s="5"/>
      <c r="F134" s="5"/>
      <c r="G134" s="5"/>
      <c r="H134" s="5"/>
      <c r="I134" s="17"/>
      <c r="J134" s="5"/>
      <c r="K134" s="5"/>
      <c r="L134" s="5"/>
      <c r="M134" s="5"/>
      <c r="N134" s="5"/>
      <c r="O134" s="5"/>
      <c r="Q134" s="5"/>
      <c r="R134" s="5"/>
      <c r="S134" s="5"/>
    </row>
    <row r="135" spans="2:27">
      <c r="B135" s="5"/>
      <c r="C135" s="17"/>
      <c r="D135" s="17"/>
      <c r="E135" s="17"/>
      <c r="F135" s="17"/>
      <c r="G135" s="17"/>
      <c r="H135" s="17"/>
      <c r="I135" s="17"/>
      <c r="J135" s="17"/>
      <c r="K135" s="17"/>
      <c r="L135" s="17"/>
      <c r="M135" s="17"/>
      <c r="N135" s="17"/>
      <c r="O135" s="5"/>
      <c r="Q135" s="41"/>
      <c r="R135" s="5"/>
      <c r="S135" s="5"/>
    </row>
    <row r="136" spans="2:27">
      <c r="B136" s="5"/>
      <c r="C136" s="17"/>
      <c r="D136" s="17"/>
      <c r="E136" s="17"/>
      <c r="F136" s="17"/>
      <c r="G136" s="17"/>
      <c r="H136" s="17"/>
      <c r="I136" s="17"/>
      <c r="J136" s="17"/>
      <c r="K136" s="17"/>
      <c r="L136" s="17"/>
      <c r="M136" s="17"/>
      <c r="N136" s="17"/>
      <c r="O136" s="5"/>
      <c r="Q136" s="5"/>
      <c r="R136" s="5"/>
      <c r="S136" s="5"/>
      <c r="X136" s="304"/>
    </row>
    <row r="137" spans="2:27">
      <c r="B137" s="5"/>
      <c r="C137" s="5"/>
      <c r="D137" s="17"/>
      <c r="E137" s="17"/>
      <c r="F137" s="17"/>
      <c r="G137" s="17"/>
      <c r="H137" s="17"/>
      <c r="I137" s="17"/>
      <c r="J137" s="17"/>
      <c r="K137" s="17"/>
      <c r="L137" s="17"/>
      <c r="M137" s="17"/>
      <c r="N137" s="17"/>
      <c r="O137" s="5"/>
      <c r="Q137" s="5"/>
      <c r="R137" s="5"/>
      <c r="S137" s="5"/>
      <c r="X137" s="10"/>
      <c r="Y137" s="304"/>
      <c r="Z137" s="304"/>
      <c r="AA137" s="304"/>
    </row>
    <row r="138" spans="2:27">
      <c r="B138" s="5"/>
      <c r="C138" s="5"/>
      <c r="D138" s="17"/>
      <c r="E138" s="17"/>
      <c r="F138" s="17"/>
      <c r="G138" s="17"/>
      <c r="H138" s="17"/>
      <c r="I138" s="17"/>
      <c r="J138" s="17"/>
      <c r="K138" s="17"/>
      <c r="L138" s="17"/>
      <c r="M138" s="17"/>
      <c r="N138" s="17"/>
      <c r="O138" s="5"/>
      <c r="Q138" s="5"/>
      <c r="R138" s="5"/>
      <c r="S138" s="5"/>
      <c r="Y138" s="10"/>
      <c r="Z138" s="10"/>
      <c r="AA138" s="10"/>
    </row>
    <row r="139" spans="2:27">
      <c r="B139" s="5"/>
      <c r="C139" s="5"/>
      <c r="D139" s="17"/>
      <c r="E139" s="17"/>
      <c r="F139" s="17"/>
      <c r="G139" s="17"/>
      <c r="H139" s="17"/>
      <c r="I139" s="5"/>
      <c r="J139" s="17"/>
      <c r="K139" s="17"/>
      <c r="L139" s="17"/>
      <c r="M139" s="17"/>
      <c r="N139" s="17"/>
      <c r="O139" s="5"/>
      <c r="Q139" s="5"/>
      <c r="R139" s="5"/>
      <c r="S139" s="5"/>
    </row>
    <row r="140" spans="2:27">
      <c r="B140" s="5"/>
      <c r="C140" s="17"/>
      <c r="D140" s="17"/>
      <c r="E140" s="17"/>
      <c r="F140" s="17"/>
      <c r="G140" s="17"/>
      <c r="H140" s="17"/>
      <c r="I140" s="5"/>
      <c r="J140" s="17"/>
      <c r="K140" s="17"/>
      <c r="L140" s="17"/>
      <c r="M140" s="17"/>
      <c r="N140" s="17"/>
      <c r="O140" s="5"/>
      <c r="Q140" s="5"/>
      <c r="R140" s="5"/>
      <c r="S140" s="5"/>
    </row>
    <row r="141" spans="2:27">
      <c r="B141" s="5"/>
      <c r="C141" s="5"/>
      <c r="D141" s="5"/>
      <c r="E141" s="5"/>
      <c r="F141" s="5"/>
      <c r="G141" s="5"/>
      <c r="H141" s="5"/>
      <c r="I141" s="5"/>
      <c r="J141" s="5"/>
      <c r="K141" s="5"/>
      <c r="L141" s="5"/>
      <c r="M141" s="5"/>
      <c r="N141" s="5"/>
      <c r="O141" s="5"/>
      <c r="Q141" s="5"/>
      <c r="R141" s="5"/>
      <c r="S141" s="5"/>
    </row>
    <row r="142" spans="2:27">
      <c r="B142" s="5"/>
      <c r="C142" s="5"/>
      <c r="D142" s="5"/>
      <c r="E142" s="5"/>
      <c r="F142" s="5"/>
      <c r="G142" s="5"/>
      <c r="H142" s="5"/>
      <c r="I142" s="5"/>
      <c r="J142" s="5"/>
      <c r="K142" s="5"/>
      <c r="L142" s="5"/>
      <c r="M142" s="5"/>
      <c r="N142" s="5"/>
      <c r="O142" s="5"/>
      <c r="Q142" s="5"/>
      <c r="R142" s="5"/>
      <c r="S142" s="5"/>
    </row>
    <row r="143" spans="2:27">
      <c r="B143" s="5"/>
      <c r="C143" s="5"/>
      <c r="D143" s="5"/>
      <c r="E143" s="5"/>
      <c r="F143" s="5"/>
      <c r="G143" s="5"/>
      <c r="H143" s="5"/>
      <c r="I143" s="5"/>
      <c r="J143" s="5"/>
      <c r="K143" s="5"/>
      <c r="L143" s="5"/>
      <c r="M143" s="5"/>
      <c r="N143" s="5"/>
      <c r="O143" s="5"/>
      <c r="Q143" s="5"/>
      <c r="R143" s="5"/>
      <c r="S143" s="5"/>
    </row>
    <row r="144" spans="2:27">
      <c r="B144" s="5"/>
      <c r="C144" s="5"/>
      <c r="D144" s="5"/>
      <c r="E144" s="5"/>
      <c r="F144" s="5"/>
      <c r="G144" s="5"/>
      <c r="H144" s="5"/>
      <c r="I144" s="5"/>
      <c r="J144" s="5"/>
      <c r="K144" s="5"/>
      <c r="L144" s="5"/>
      <c r="M144" s="5"/>
      <c r="N144" s="5"/>
      <c r="O144" s="5"/>
      <c r="Q144" s="5"/>
      <c r="R144" s="5"/>
      <c r="S144" s="5"/>
    </row>
    <row r="145" spans="2:19">
      <c r="B145" s="5"/>
      <c r="C145" s="5"/>
      <c r="D145" s="5"/>
      <c r="E145" s="5"/>
      <c r="F145" s="5"/>
      <c r="G145" s="5"/>
      <c r="H145" s="5"/>
      <c r="I145" s="5"/>
      <c r="J145" s="5"/>
      <c r="K145" s="5"/>
      <c r="L145" s="5"/>
      <c r="M145" s="5"/>
      <c r="N145" s="5"/>
      <c r="O145" s="5"/>
      <c r="Q145" s="5"/>
      <c r="R145" s="5"/>
      <c r="S145" s="5"/>
    </row>
    <row r="146" spans="2:19">
      <c r="B146" s="5"/>
      <c r="C146" s="5"/>
      <c r="D146" s="5"/>
      <c r="E146" s="5"/>
      <c r="F146" s="5"/>
      <c r="G146" s="5"/>
      <c r="H146" s="5"/>
      <c r="I146" s="5"/>
      <c r="J146" s="5"/>
      <c r="K146" s="5"/>
      <c r="L146" s="5"/>
      <c r="M146" s="5"/>
      <c r="N146" s="5"/>
      <c r="O146" s="5"/>
      <c r="Q146" s="5"/>
      <c r="R146" s="5"/>
      <c r="S146" s="5"/>
    </row>
    <row r="147" spans="2:19">
      <c r="B147" s="5"/>
      <c r="C147" s="5"/>
      <c r="D147" s="5"/>
      <c r="E147" s="5"/>
      <c r="F147" s="5"/>
      <c r="G147" s="5"/>
      <c r="H147" s="5"/>
      <c r="I147" s="5"/>
      <c r="J147" s="5"/>
      <c r="K147" s="5"/>
      <c r="L147" s="5"/>
      <c r="M147" s="5"/>
      <c r="N147" s="5"/>
      <c r="O147" s="5"/>
      <c r="Q147" s="5"/>
      <c r="R147" s="5"/>
      <c r="S147" s="5"/>
    </row>
    <row r="148" spans="2:19">
      <c r="B148" s="5"/>
      <c r="C148" s="5"/>
      <c r="D148" s="5"/>
      <c r="E148" s="5"/>
      <c r="F148" s="5"/>
      <c r="G148" s="5"/>
      <c r="H148" s="5"/>
      <c r="I148" s="5"/>
      <c r="J148" s="5"/>
      <c r="K148" s="5"/>
      <c r="L148" s="5"/>
      <c r="M148" s="5"/>
      <c r="N148" s="5"/>
      <c r="O148" s="5"/>
      <c r="Q148" s="5"/>
      <c r="R148" s="5"/>
      <c r="S148" s="5"/>
    </row>
    <row r="149" spans="2:19">
      <c r="B149" s="5"/>
      <c r="C149" s="5"/>
      <c r="D149" s="5"/>
      <c r="E149" s="5"/>
      <c r="F149" s="5"/>
      <c r="G149" s="5"/>
      <c r="H149" s="5"/>
      <c r="J149" s="5"/>
      <c r="K149" s="5"/>
      <c r="L149" s="5"/>
      <c r="M149" s="5"/>
      <c r="N149" s="5"/>
      <c r="O149" s="5"/>
      <c r="Q149" s="5"/>
      <c r="R149" s="5"/>
      <c r="S149" s="5"/>
    </row>
    <row r="150" spans="2:19">
      <c r="B150" s="5"/>
      <c r="C150" s="5"/>
      <c r="D150" s="5"/>
      <c r="E150" s="5"/>
      <c r="F150" s="5"/>
      <c r="G150" s="5"/>
      <c r="H150" s="5"/>
      <c r="J150" s="5"/>
      <c r="K150" s="5"/>
      <c r="L150" s="5"/>
      <c r="M150" s="5"/>
      <c r="N150" s="5"/>
      <c r="O150" s="5"/>
      <c r="Q150" s="5"/>
      <c r="R150" s="5"/>
      <c r="S150" s="5"/>
    </row>
    <row r="151" spans="2:19">
      <c r="Q151" s="5"/>
      <c r="R151" s="5"/>
      <c r="S151" s="5"/>
    </row>
    <row r="152" spans="2:19">
      <c r="Q152" s="5"/>
      <c r="R152" s="5"/>
      <c r="S152" s="5"/>
    </row>
    <row r="153" spans="2:19">
      <c r="C153" s="263"/>
      <c r="Q153" s="5"/>
      <c r="R153" s="5"/>
      <c r="S153" s="5"/>
    </row>
    <row r="154" spans="2:19">
      <c r="Q154" s="5"/>
      <c r="R154" s="5"/>
      <c r="S154" s="5"/>
    </row>
    <row r="155" spans="2:19">
      <c r="Q155" s="5"/>
      <c r="R155" s="5"/>
      <c r="S155" s="5"/>
    </row>
    <row r="156" spans="2:19">
      <c r="Q156" s="5"/>
      <c r="R156" s="5"/>
      <c r="S156" s="5"/>
    </row>
    <row r="157" spans="2:19">
      <c r="Q157" s="5"/>
      <c r="R157" s="5"/>
      <c r="S157" s="5"/>
    </row>
    <row r="158" spans="2:19">
      <c r="Q158" s="5"/>
      <c r="R158" s="5"/>
      <c r="S158" s="5"/>
    </row>
    <row r="159" spans="2:19">
      <c r="Q159" s="5"/>
      <c r="R159" s="5"/>
      <c r="S159" s="5"/>
    </row>
    <row r="160" spans="2:19">
      <c r="Q160" s="5"/>
      <c r="R160" s="5"/>
      <c r="S160" s="5"/>
    </row>
    <row r="161" spans="17:19">
      <c r="Q161" s="5"/>
      <c r="R161" s="5"/>
      <c r="S161" s="5"/>
    </row>
    <row r="162" spans="17:19">
      <c r="Q162" s="5"/>
      <c r="R162" s="5"/>
      <c r="S162" s="5"/>
    </row>
    <row r="163" spans="17:19">
      <c r="Q163" s="5"/>
      <c r="R163" s="5"/>
      <c r="S163" s="5"/>
    </row>
    <row r="164" spans="17:19">
      <c r="Q164" s="5"/>
      <c r="R164" s="5"/>
      <c r="S164" s="5"/>
    </row>
    <row r="165" spans="17:19">
      <c r="Q165" s="5"/>
      <c r="R165" s="5"/>
      <c r="S165" s="5"/>
    </row>
  </sheetData>
  <phoneticPr fontId="7" type="noConversion"/>
  <hyperlinks>
    <hyperlink ref="C2" location="OTESOP!A1" display="Jump to OTE SOP" xr:uid="{00000000-0004-0000-4600-000001000000}"/>
  </hyperlinks>
  <pageMargins left="0.75" right="0.75" top="1" bottom="1" header="0.5" footer="0.5"/>
  <pageSetup scale="71" orientation="landscape" r:id="rId1"/>
  <headerFooter alignWithMargins="0"/>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Sheet68">
    <pageSetUpPr fitToPage="1"/>
  </sheetPr>
  <dimension ref="B1:AR165"/>
  <sheetViews>
    <sheetView showGridLines="0" zoomScale="80" zoomScaleNormal="80" zoomScaleSheetLayoutView="80" workbookViewId="0">
      <selection activeCell="D14" sqref="D14"/>
    </sheetView>
  </sheetViews>
  <sheetFormatPr defaultColWidth="9.109375" defaultRowHeight="12"/>
  <cols>
    <col min="1" max="1" width="2.33203125" style="39" customWidth="1"/>
    <col min="2" max="2" width="26.5546875" style="39" customWidth="1"/>
    <col min="3" max="9" width="10" style="39" customWidth="1"/>
    <col min="10" max="10" width="26.6640625" style="39" customWidth="1"/>
    <col min="11" max="16" width="10" style="39" customWidth="1"/>
    <col min="17" max="17" width="8.6640625" style="39" customWidth="1"/>
    <col min="18" max="28" width="8.6640625" style="5" customWidth="1"/>
    <col min="29" max="44" width="9.109375" style="5"/>
    <col min="45" max="16384" width="9.109375" style="39"/>
  </cols>
  <sheetData>
    <row r="1" spans="2:44" s="312" customFormat="1">
      <c r="R1" s="149"/>
      <c r="S1" s="149"/>
      <c r="T1" s="149"/>
      <c r="U1" s="149"/>
      <c r="V1" s="149"/>
      <c r="W1" s="149"/>
      <c r="X1" s="149"/>
      <c r="Y1" s="149"/>
      <c r="Z1" s="149"/>
      <c r="AA1" s="149"/>
      <c r="AB1" s="149"/>
      <c r="AC1" s="149"/>
      <c r="AD1" s="149"/>
      <c r="AE1" s="149"/>
      <c r="AF1" s="149"/>
      <c r="AG1" s="149"/>
      <c r="AH1" s="149"/>
      <c r="AI1" s="149"/>
      <c r="AJ1" s="149"/>
      <c r="AK1" s="149"/>
      <c r="AL1" s="149"/>
      <c r="AM1" s="149"/>
      <c r="AN1" s="149"/>
      <c r="AO1" s="149"/>
      <c r="AP1" s="149"/>
      <c r="AQ1" s="149"/>
      <c r="AR1" s="149"/>
    </row>
    <row r="2" spans="2:44" s="149" customFormat="1"/>
    <row r="3" spans="2:44" s="149" customFormat="1">
      <c r="H3" s="153"/>
      <c r="P3" s="153"/>
    </row>
    <row r="4" spans="2:44" s="156" customFormat="1" ht="21">
      <c r="B4" s="129" t="s">
        <v>817</v>
      </c>
      <c r="H4" s="222"/>
      <c r="P4" s="222"/>
    </row>
    <row r="5" spans="2:44" s="149" customFormat="1">
      <c r="C5" s="153"/>
      <c r="D5" s="153" t="str" cm="1">
        <f t="array" ref="D5:H5">headings</f>
        <v>2023E</v>
      </c>
      <c r="E5" s="153" t="str">
        <v>2024E</v>
      </c>
      <c r="F5" s="153" t="str">
        <v>2025E</v>
      </c>
      <c r="G5" s="153" t="str">
        <v>2026E</v>
      </c>
      <c r="H5" s="153" t="str">
        <v>23E-26E</v>
      </c>
      <c r="I5" s="153"/>
      <c r="J5" s="153"/>
      <c r="K5" s="153"/>
      <c r="L5" s="153" t="str" cm="1">
        <f t="array" ref="L5:P5">headings</f>
        <v>2023E</v>
      </c>
      <c r="M5" s="153" t="str">
        <v>2024E</v>
      </c>
      <c r="N5" s="153" t="str">
        <v>2025E</v>
      </c>
      <c r="O5" s="153" t="str">
        <v>2026E</v>
      </c>
      <c r="P5" s="153" t="str">
        <v>23E-26E</v>
      </c>
      <c r="Q5" s="162"/>
      <c r="R5" s="162"/>
      <c r="S5" s="162"/>
      <c r="T5" s="162"/>
      <c r="U5" s="162"/>
      <c r="V5" s="162"/>
      <c r="W5" s="162"/>
      <c r="X5" s="162"/>
      <c r="Y5" s="162"/>
    </row>
    <row r="6" spans="2:44">
      <c r="I6" s="5"/>
      <c r="J6" s="5"/>
      <c r="K6" s="5"/>
      <c r="L6" s="5"/>
      <c r="M6" s="5"/>
      <c r="N6" s="5"/>
      <c r="O6" s="49"/>
    </row>
    <row r="7" spans="2:44" ht="12.6" thickBot="1">
      <c r="B7" s="306" t="s">
        <v>271</v>
      </c>
      <c r="C7" s="265"/>
      <c r="D7" s="265" t="str">
        <f>D5</f>
        <v>2023E</v>
      </c>
      <c r="E7" s="265" t="str">
        <f t="shared" ref="E7:H7" si="0">E5</f>
        <v>2024E</v>
      </c>
      <c r="F7" s="265" t="str">
        <f t="shared" si="0"/>
        <v>2025E</v>
      </c>
      <c r="G7" s="265" t="str">
        <f t="shared" si="0"/>
        <v>2026E</v>
      </c>
      <c r="H7" s="265" t="str">
        <f t="shared" si="0"/>
        <v>23E-26E</v>
      </c>
      <c r="I7" s="49"/>
      <c r="J7" s="306" t="s">
        <v>35</v>
      </c>
      <c r="K7" s="306"/>
      <c r="L7" s="265" t="str">
        <f>L5</f>
        <v>2023E</v>
      </c>
      <c r="M7" s="265" t="str">
        <f t="shared" ref="M7:P7" si="1">M5</f>
        <v>2024E</v>
      </c>
      <c r="N7" s="265" t="str">
        <f t="shared" si="1"/>
        <v>2025E</v>
      </c>
      <c r="O7" s="265" t="str">
        <f t="shared" si="1"/>
        <v>2026E</v>
      </c>
      <c r="P7" s="265" t="str">
        <f t="shared" si="1"/>
        <v>23E-26E</v>
      </c>
    </row>
    <row r="8" spans="2:44" ht="12.6" thickTop="1">
      <c r="B8" s="5"/>
      <c r="C8" s="5"/>
      <c r="D8" s="5"/>
      <c r="E8" s="5"/>
      <c r="F8" s="5"/>
      <c r="G8" s="5"/>
      <c r="H8" s="5"/>
      <c r="I8" s="5"/>
      <c r="J8" s="5"/>
      <c r="K8" s="5"/>
      <c r="L8" s="5"/>
      <c r="M8" s="5"/>
      <c r="N8" s="5"/>
      <c r="S8" s="42"/>
      <c r="T8" s="42"/>
      <c r="U8" s="42"/>
      <c r="V8" s="42"/>
      <c r="W8" s="42"/>
      <c r="X8" s="42"/>
      <c r="Y8" s="42"/>
      <c r="Z8" s="42"/>
      <c r="AA8" s="42"/>
    </row>
    <row r="9" spans="2:44">
      <c r="B9" s="41" t="s">
        <v>272</v>
      </c>
      <c r="C9" s="267">
        <f>Prices!C13</f>
        <v>7.4</v>
      </c>
      <c r="D9" s="533">
        <v>0</v>
      </c>
      <c r="E9" s="533">
        <v>0</v>
      </c>
      <c r="F9" s="533">
        <v>0</v>
      </c>
      <c r="G9" s="533">
        <v>0</v>
      </c>
      <c r="H9" s="249" t="s">
        <v>22</v>
      </c>
      <c r="I9" s="249"/>
      <c r="J9" s="5" t="s">
        <v>273</v>
      </c>
      <c r="L9" s="529">
        <f>'W.EUR INCUMB'!D37</f>
        <v>2.1820368783030246</v>
      </c>
      <c r="M9" s="529">
        <f>'W.EUR INCUMB'!E37</f>
        <v>2.0995807894380842</v>
      </c>
      <c r="N9" s="529">
        <f>'W.EUR INCUMB'!F37</f>
        <v>2.0073776110351829</v>
      </c>
      <c r="O9" s="529">
        <f>'W.EUR INCUMB'!G37</f>
        <v>1.9004321192081457</v>
      </c>
      <c r="P9" s="279">
        <f>'W.EUR INCUMB'!H37</f>
        <v>1.5546449189376421E-2</v>
      </c>
      <c r="S9" s="42"/>
      <c r="T9" s="42"/>
      <c r="U9" s="42"/>
      <c r="V9" s="42"/>
      <c r="W9" s="42"/>
      <c r="X9" s="42"/>
      <c r="Y9" s="42"/>
      <c r="Z9" s="42"/>
      <c r="AA9" s="42"/>
    </row>
    <row r="10" spans="2:44">
      <c r="B10" s="5" t="s">
        <v>274</v>
      </c>
      <c r="C10" s="5"/>
      <c r="D10" s="531">
        <v>323.435135</v>
      </c>
      <c r="E10" s="531">
        <v>323.435135</v>
      </c>
      <c r="F10" s="531">
        <v>323.435135</v>
      </c>
      <c r="G10" s="531">
        <v>323.435135</v>
      </c>
      <c r="H10" s="247"/>
      <c r="I10" s="247"/>
      <c r="J10" s="5" t="s">
        <v>184</v>
      </c>
      <c r="L10" s="529">
        <f>'W.EUR INCUMB'!D38</f>
        <v>6.6561389315824204</v>
      </c>
      <c r="M10" s="529">
        <f>'W.EUR INCUMB'!E38</f>
        <v>6.276659180358183</v>
      </c>
      <c r="N10" s="529">
        <f>'W.EUR INCUMB'!F38</f>
        <v>5.9086011977805715</v>
      </c>
      <c r="O10" s="529">
        <f>'W.EUR INCUMB'!G38</f>
        <v>5.5249848727361259</v>
      </c>
      <c r="P10" s="279">
        <f>'W.EUR INCUMB'!H38</f>
        <v>3.1953936851226938E-2</v>
      </c>
      <c r="S10" s="42"/>
      <c r="T10" s="42"/>
      <c r="U10" s="42"/>
      <c r="V10" s="42"/>
      <c r="W10" s="288"/>
      <c r="X10" s="288"/>
      <c r="Y10" s="288"/>
      <c r="Z10" s="288"/>
      <c r="AA10" s="42"/>
    </row>
    <row r="11" spans="2:44">
      <c r="B11" s="41" t="s">
        <v>191</v>
      </c>
      <c r="C11" s="5"/>
      <c r="D11" s="532">
        <f>$C$9*(D10-D9)</f>
        <v>2393.4199990000002</v>
      </c>
      <c r="E11" s="532">
        <f>$C$9*(E10-E9)</f>
        <v>2393.4199990000002</v>
      </c>
      <c r="F11" s="532">
        <f>$C$9*(F10-F9)</f>
        <v>2393.4199990000002</v>
      </c>
      <c r="G11" s="532">
        <f>$C$9*(G10-G9)</f>
        <v>2393.4199990000002</v>
      </c>
      <c r="H11" s="249"/>
      <c r="I11" s="249"/>
      <c r="J11" s="5" t="s">
        <v>185</v>
      </c>
      <c r="L11" s="529">
        <f>'W.EUR INCUMB'!D39</f>
        <v>13.860323858751276</v>
      </c>
      <c r="M11" s="529">
        <f>'W.EUR INCUMB'!E39</f>
        <v>12.09622383745986</v>
      </c>
      <c r="N11" s="529">
        <f>'W.EUR INCUMB'!F39</f>
        <v>10.876080155020103</v>
      </c>
      <c r="O11" s="529">
        <f>'W.EUR INCUMB'!G39</f>
        <v>9.7993857809910292</v>
      </c>
      <c r="P11" s="279">
        <f>'W.EUR INCUMB'!H39</f>
        <v>8.864945159447446E-2</v>
      </c>
      <c r="S11" s="42"/>
      <c r="T11" s="42"/>
      <c r="U11" s="42"/>
      <c r="V11" s="42"/>
      <c r="W11" s="288"/>
      <c r="X11" s="288"/>
      <c r="Y11" s="288"/>
      <c r="Z11" s="288"/>
      <c r="AA11" s="42"/>
    </row>
    <row r="12" spans="2:44">
      <c r="B12" s="5" t="s">
        <v>24</v>
      </c>
      <c r="C12" s="249"/>
      <c r="D12" s="533">
        <v>3391.0090868810476</v>
      </c>
      <c r="E12" s="533">
        <v>3513.8678367485836</v>
      </c>
      <c r="F12" s="533">
        <v>3365.6311618816026</v>
      </c>
      <c r="G12" s="533">
        <v>3236.3481811420988</v>
      </c>
      <c r="H12" s="247"/>
      <c r="I12" s="247"/>
      <c r="J12" s="5" t="s">
        <v>466</v>
      </c>
      <c r="L12" s="529">
        <f>'W.EUR INCUMB'!D40</f>
        <v>18.773170831659439</v>
      </c>
      <c r="M12" s="529">
        <f>'W.EUR INCUMB'!E40</f>
        <v>16.316100899802951</v>
      </c>
      <c r="N12" s="529">
        <f>'W.EUR INCUMB'!F40</f>
        <v>14.678691432593167</v>
      </c>
      <c r="O12" s="529">
        <f>'W.EUR INCUMB'!G40</f>
        <v>13.250660214807615</v>
      </c>
      <c r="P12" s="279">
        <f>'W.EUR INCUMB'!H40</f>
        <v>8.9255902689365119E-2</v>
      </c>
      <c r="S12" s="42"/>
      <c r="T12" s="42"/>
      <c r="U12" s="42"/>
      <c r="V12" s="42"/>
      <c r="W12" s="288"/>
      <c r="X12" s="288"/>
      <c r="Y12" s="288"/>
      <c r="Z12" s="288"/>
      <c r="AA12" s="42"/>
    </row>
    <row r="13" spans="2:44">
      <c r="B13" s="5" t="s">
        <v>529</v>
      </c>
      <c r="C13" s="257"/>
      <c r="D13" s="533">
        <v>570.65604973639154</v>
      </c>
      <c r="E13" s="533">
        <v>561.22066111846618</v>
      </c>
      <c r="F13" s="533">
        <v>661.25777766719432</v>
      </c>
      <c r="G13" s="533">
        <v>664.65805535759932</v>
      </c>
      <c r="H13" s="247"/>
      <c r="I13" s="247"/>
      <c r="J13" s="5" t="s">
        <v>530</v>
      </c>
      <c r="L13" s="529">
        <f>'W.EUR INCUMB'!D41</f>
        <v>1.4554049615742648</v>
      </c>
      <c r="M13" s="529">
        <f>'W.EUR INCUMB'!E41</f>
        <v>1.3652506578772214</v>
      </c>
      <c r="N13" s="529">
        <f>'W.EUR INCUMB'!F41</f>
        <v>1.2968813123150413</v>
      </c>
      <c r="O13" s="529">
        <f>'W.EUR INCUMB'!G41</f>
        <v>1.2281427713802577</v>
      </c>
      <c r="P13" s="279">
        <f>'W.EUR INCUMB'!H41</f>
        <v>2.6301307293472354E-2</v>
      </c>
      <c r="S13" s="42"/>
      <c r="T13" s="42"/>
      <c r="U13" s="42"/>
      <c r="V13" s="42"/>
      <c r="W13" s="42"/>
      <c r="X13" s="42"/>
      <c r="Y13" s="42"/>
      <c r="Z13" s="42"/>
      <c r="AA13" s="42"/>
    </row>
    <row r="14" spans="2:44">
      <c r="B14" s="5" t="s">
        <v>532</v>
      </c>
      <c r="C14" s="257"/>
      <c r="D14" s="533">
        <f>PROXSOP!R23-PROXSOP!R22</f>
        <v>0</v>
      </c>
      <c r="E14" s="533">
        <f t="shared" ref="E14:G15" si="2">D14</f>
        <v>0</v>
      </c>
      <c r="F14" s="533">
        <f t="shared" si="2"/>
        <v>0</v>
      </c>
      <c r="G14" s="533">
        <f t="shared" si="2"/>
        <v>0</v>
      </c>
      <c r="H14" s="247"/>
      <c r="I14" s="247"/>
      <c r="J14" s="5" t="s">
        <v>593</v>
      </c>
      <c r="L14" s="529">
        <f>'W.EUR INCUMB'!D42</f>
        <v>3.3234793761102739</v>
      </c>
      <c r="M14" s="529">
        <f>'W.EUR INCUMB'!E42</f>
        <v>3.2424169171692641</v>
      </c>
      <c r="N14" s="529">
        <f>'W.EUR INCUMB'!F42</f>
        <v>3.1662515332190617</v>
      </c>
      <c r="O14" s="529">
        <f>'W.EUR INCUMB'!G42</f>
        <v>3.0630241710617754</v>
      </c>
      <c r="P14" s="279">
        <f>'W.EUR INCUMB'!H42</f>
        <v>-3.4232783193558491E-3</v>
      </c>
      <c r="S14" s="42"/>
      <c r="T14" s="42"/>
      <c r="U14" s="42"/>
      <c r="V14" s="42"/>
      <c r="W14" s="42"/>
      <c r="X14" s="42"/>
      <c r="Y14" s="42"/>
      <c r="Z14" s="42"/>
      <c r="AA14" s="42"/>
    </row>
    <row r="15" spans="2:44">
      <c r="B15" s="5" t="s">
        <v>531</v>
      </c>
      <c r="C15" s="274"/>
      <c r="D15" s="533">
        <f>PROXSOP!T13</f>
        <v>0</v>
      </c>
      <c r="E15" s="533">
        <f t="shared" si="2"/>
        <v>0</v>
      </c>
      <c r="F15" s="533">
        <f t="shared" si="2"/>
        <v>0</v>
      </c>
      <c r="G15" s="533">
        <f t="shared" si="2"/>
        <v>0</v>
      </c>
      <c r="H15" s="247"/>
      <c r="I15" s="247"/>
      <c r="J15" s="5" t="s">
        <v>475</v>
      </c>
      <c r="L15" s="529">
        <f>'W.EUR INCUMB'!D43</f>
        <v>15.36919487731438</v>
      </c>
      <c r="M15" s="529">
        <f>'W.EUR INCUMB'!E43</f>
        <v>13.900480990887658</v>
      </c>
      <c r="N15" s="529">
        <f>'W.EUR INCUMB'!F43</f>
        <v>11.808036199618913</v>
      </c>
      <c r="O15" s="529">
        <f>'W.EUR INCUMB'!G43</f>
        <v>10.77079458313478</v>
      </c>
      <c r="P15" s="279">
        <f>'W.EUR INCUMB'!H43</f>
        <v>0.11736524628436351</v>
      </c>
      <c r="S15" s="42"/>
      <c r="T15" s="42"/>
      <c r="U15" s="42"/>
      <c r="V15" s="42"/>
      <c r="W15" s="42"/>
      <c r="X15" s="42"/>
      <c r="Y15" s="42"/>
      <c r="Z15" s="42"/>
      <c r="AA15" s="42"/>
    </row>
    <row r="16" spans="2:44">
      <c r="B16" s="5" t="s">
        <v>534</v>
      </c>
      <c r="C16" s="257"/>
      <c r="D16" s="533">
        <v>161.7175675</v>
      </c>
      <c r="E16" s="533">
        <v>549.83972949999998</v>
      </c>
      <c r="F16" s="533">
        <v>743.90081050000003</v>
      </c>
      <c r="G16" s="533">
        <v>937.96189150000009</v>
      </c>
      <c r="H16" s="247"/>
      <c r="I16" s="247"/>
      <c r="J16" s="5" t="s">
        <v>533</v>
      </c>
      <c r="L16" s="529">
        <f>'W.EUR INCUMB'!D44</f>
        <v>13.849445280082518</v>
      </c>
      <c r="M16" s="529">
        <f>'W.EUR INCUMB'!E44</f>
        <v>12.437286696089576</v>
      </c>
      <c r="N16" s="529">
        <f>'W.EUR INCUMB'!F44</f>
        <v>11.380437598490861</v>
      </c>
      <c r="O16" s="529">
        <f>'W.EUR INCUMB'!G44</f>
        <v>10.478743141097034</v>
      </c>
      <c r="P16" s="279">
        <f>'W.EUR INCUMB'!H44</f>
        <v>9.2323853476973694E-2</v>
      </c>
      <c r="S16" s="42"/>
      <c r="T16" s="42"/>
      <c r="U16" s="42"/>
      <c r="V16" s="42"/>
      <c r="W16" s="42"/>
      <c r="X16" s="42"/>
      <c r="Y16" s="42"/>
      <c r="Z16" s="42"/>
      <c r="AA16" s="42"/>
    </row>
    <row r="17" spans="2:27">
      <c r="B17" s="5" t="s">
        <v>6</v>
      </c>
      <c r="C17" s="257"/>
      <c r="D17" s="533">
        <v>121.85167616902092</v>
      </c>
      <c r="E17" s="533">
        <v>121.85167616902092</v>
      </c>
      <c r="F17" s="533">
        <v>121.85167616902092</v>
      </c>
      <c r="G17" s="533">
        <v>121.85167616902092</v>
      </c>
      <c r="H17" s="247"/>
      <c r="I17" s="247"/>
      <c r="J17" s="5" t="s">
        <v>580</v>
      </c>
      <c r="L17" s="248">
        <f>'W.EUR INCUMB'!D45</f>
        <v>4.9929768285127372E-2</v>
      </c>
      <c r="M17" s="248">
        <f>'W.EUR INCUMB'!E45</f>
        <v>5.2540326500089954E-2</v>
      </c>
      <c r="N17" s="248">
        <f>'W.EUR INCUMB'!F45</f>
        <v>5.4852141769022943E-2</v>
      </c>
      <c r="O17" s="248">
        <f>'W.EUR INCUMB'!G45</f>
        <v>5.8322596586761276E-2</v>
      </c>
      <c r="P17" s="279">
        <f>'W.EUR INCUMB'!H45</f>
        <v>4.8261067786518064E-2</v>
      </c>
      <c r="S17" s="42"/>
      <c r="T17" s="42"/>
      <c r="U17" s="42"/>
      <c r="V17" s="42"/>
      <c r="W17" s="42"/>
      <c r="X17" s="42"/>
      <c r="Y17" s="42"/>
      <c r="Z17" s="42"/>
      <c r="AA17" s="42"/>
    </row>
    <row r="18" spans="2:27" ht="12.6" thickBot="1">
      <c r="B18" s="41" t="s">
        <v>583</v>
      </c>
      <c r="C18" s="249"/>
      <c r="D18" s="534">
        <f>D11+D12+D13-D14+D15-D16-D17</f>
        <v>6071.5158919484184</v>
      </c>
      <c r="E18" s="534">
        <f>E11+E12+E13-E14+E15-E16-E17</f>
        <v>5796.8170911980305</v>
      </c>
      <c r="F18" s="534">
        <f>F11+F12+F13-F14+F15-F16-F17</f>
        <v>5554.5564518797764</v>
      </c>
      <c r="G18" s="534">
        <f>G11+G12+G13-G14+G15-G16-G17</f>
        <v>5234.6126678306773</v>
      </c>
      <c r="H18" s="276">
        <f>IF(D18=0,"nm",IF(G18=0,"nm",(G18/D18)^(1/3)-1))</f>
        <v>-4.8236296346033436E-2</v>
      </c>
      <c r="I18" s="254"/>
      <c r="J18" s="5" t="s">
        <v>36</v>
      </c>
      <c r="L18" s="248">
        <f>'W.EUR INCUMB'!D46</f>
        <v>4.9929768285127372E-2</v>
      </c>
      <c r="M18" s="248">
        <f>'W.EUR INCUMB'!E46</f>
        <v>5.2540326500089954E-2</v>
      </c>
      <c r="N18" s="248">
        <f>'W.EUR INCUMB'!F46</f>
        <v>5.4852141769022943E-2</v>
      </c>
      <c r="O18" s="248">
        <f>'W.EUR INCUMB'!G46</f>
        <v>5.8322596586761276E-2</v>
      </c>
      <c r="P18" s="279">
        <f>'W.EUR INCUMB'!H46</f>
        <v>4.8261067786518064E-2</v>
      </c>
      <c r="S18" s="42"/>
      <c r="T18" s="42"/>
      <c r="U18" s="42"/>
      <c r="V18" s="42"/>
      <c r="W18" s="42"/>
      <c r="X18" s="42"/>
      <c r="Y18" s="42"/>
      <c r="Z18" s="42"/>
      <c r="AA18" s="42"/>
    </row>
    <row r="19" spans="2:27" ht="12.6" thickTop="1">
      <c r="B19" s="41"/>
      <c r="C19" s="249"/>
      <c r="D19" s="229"/>
      <c r="E19" s="229"/>
      <c r="F19" s="229"/>
      <c r="G19" s="229"/>
      <c r="H19" s="276"/>
      <c r="I19" s="254"/>
      <c r="J19" s="5" t="s">
        <v>581</v>
      </c>
      <c r="L19" s="248">
        <f>'W.EUR INCUMB'!D47</f>
        <v>6.5065217012508891E-2</v>
      </c>
      <c r="M19" s="248">
        <f>'W.EUR INCUMB'!E47</f>
        <v>7.1939956657294191E-2</v>
      </c>
      <c r="N19" s="248">
        <f>'W.EUR INCUMB'!F47</f>
        <v>8.4688087256395234E-2</v>
      </c>
      <c r="O19" s="248">
        <f>'W.EUR INCUMB'!G47</f>
        <v>9.2843660909272999E-2</v>
      </c>
      <c r="P19" s="279">
        <f>'W.EUR INCUMB'!H47</f>
        <v>0.11736524628436351</v>
      </c>
      <c r="S19" s="42"/>
      <c r="T19" s="42"/>
      <c r="U19" s="42"/>
      <c r="V19" s="42"/>
      <c r="W19" s="42"/>
      <c r="X19" s="42"/>
      <c r="Y19" s="42"/>
      <c r="Z19" s="42"/>
      <c r="AA19" s="42"/>
    </row>
    <row r="20" spans="2:27">
      <c r="H20" s="277"/>
      <c r="I20" s="17"/>
      <c r="J20" s="5" t="s">
        <v>604</v>
      </c>
      <c r="L20" s="305">
        <f>'W.EUR INCUMB'!D48</f>
        <v>0.69753103513272863</v>
      </c>
      <c r="M20" s="305">
        <f>'W.EUR INCUMB'!E48</f>
        <v>0.66278263399293669</v>
      </c>
      <c r="N20" s="305">
        <f>'W.EUR INCUMB'!F48</f>
        <v>0.5878425682239502</v>
      </c>
      <c r="O20" s="305">
        <f>'W.EUR INCUMB'!G48</f>
        <v>0.5759521808171526</v>
      </c>
      <c r="P20" s="279" t="str">
        <f>'W.EUR INCUMB'!H48</f>
        <v>nm</v>
      </c>
      <c r="S20" s="42"/>
      <c r="T20" s="42"/>
      <c r="U20" s="42"/>
      <c r="V20" s="42"/>
      <c r="W20" s="42"/>
      <c r="X20" s="42"/>
      <c r="Y20" s="42"/>
      <c r="Z20" s="42"/>
      <c r="AA20" s="42"/>
    </row>
    <row r="21" spans="2:27" ht="12.6" thickBot="1">
      <c r="B21" s="306" t="s">
        <v>926</v>
      </c>
      <c r="C21" s="265"/>
      <c r="D21" s="265" t="str">
        <f>D5</f>
        <v>2023E</v>
      </c>
      <c r="E21" s="265" t="str">
        <f t="shared" ref="E21:H21" si="3">E5</f>
        <v>2024E</v>
      </c>
      <c r="F21" s="265" t="str">
        <f t="shared" si="3"/>
        <v>2025E</v>
      </c>
      <c r="G21" s="265" t="str">
        <f t="shared" si="3"/>
        <v>2026E</v>
      </c>
      <c r="H21" s="265" t="str">
        <f t="shared" si="3"/>
        <v>23E-26E</v>
      </c>
      <c r="I21" s="49"/>
      <c r="J21" s="41"/>
      <c r="L21" s="250"/>
      <c r="M21" s="250"/>
      <c r="N21" s="250"/>
      <c r="O21" s="250"/>
      <c r="P21" s="279"/>
      <c r="S21" s="42"/>
      <c r="T21" s="42"/>
      <c r="U21" s="42"/>
      <c r="V21" s="42"/>
      <c r="W21" s="42"/>
      <c r="X21" s="42"/>
      <c r="Y21" s="42"/>
      <c r="Z21" s="42"/>
      <c r="AA21" s="42"/>
    </row>
    <row r="22" spans="2:27" ht="12.6" thickTop="1">
      <c r="B22" s="5"/>
      <c r="C22" s="257"/>
      <c r="D22" s="17"/>
      <c r="E22" s="17"/>
      <c r="F22" s="17"/>
      <c r="G22" s="17"/>
      <c r="H22" s="17"/>
      <c r="I22" s="17"/>
      <c r="P22" s="277"/>
      <c r="S22" s="42"/>
      <c r="T22" s="42"/>
      <c r="U22" s="42"/>
      <c r="V22" s="42"/>
      <c r="W22" s="42"/>
      <c r="X22" s="42"/>
      <c r="Y22" s="42"/>
      <c r="Z22" s="42"/>
      <c r="AA22" s="42"/>
    </row>
    <row r="23" spans="2:27" ht="12.6" thickBot="1">
      <c r="B23" s="5" t="s">
        <v>584</v>
      </c>
      <c r="C23" s="548">
        <v>6144.3205680261563</v>
      </c>
      <c r="D23" s="540">
        <v>6259.5406623343488</v>
      </c>
      <c r="E23" s="540">
        <v>6306.3886115725682</v>
      </c>
      <c r="F23" s="540">
        <v>6366.3999299117331</v>
      </c>
      <c r="G23" s="540">
        <v>6403.5865250650331</v>
      </c>
      <c r="H23" s="279">
        <f t="shared" ref="H23:H30" si="4">IF(D23=0,"nm",IF(G23=0,"nm",(G23/D23)^(1/3)-1))</f>
        <v>7.6126372841840428E-3</v>
      </c>
      <c r="I23" s="247"/>
      <c r="J23" s="306" t="s">
        <v>9</v>
      </c>
      <c r="K23" s="306"/>
      <c r="L23" s="265" t="str">
        <f>D21</f>
        <v>2023E</v>
      </c>
      <c r="M23" s="265" t="str">
        <f t="shared" ref="M23:P23" si="5">E21</f>
        <v>2024E</v>
      </c>
      <c r="N23" s="265" t="str">
        <f t="shared" si="5"/>
        <v>2025E</v>
      </c>
      <c r="O23" s="265" t="str">
        <f t="shared" si="5"/>
        <v>2026E</v>
      </c>
      <c r="P23" s="265" t="str">
        <f t="shared" si="5"/>
        <v>23E-26E</v>
      </c>
      <c r="S23" s="42"/>
      <c r="T23" s="42"/>
      <c r="U23" s="42"/>
      <c r="V23" s="42"/>
      <c r="W23" s="42"/>
      <c r="X23" s="42"/>
      <c r="Y23" s="42"/>
      <c r="Z23" s="42"/>
      <c r="AA23" s="42"/>
    </row>
    <row r="24" spans="2:27" ht="12.6" thickTop="1">
      <c r="B24" s="5" t="s">
        <v>483</v>
      </c>
      <c r="C24" s="548">
        <v>1786.1093835399997</v>
      </c>
      <c r="D24" s="540">
        <v>1757.0748562852762</v>
      </c>
      <c r="E24" s="540">
        <v>1793.713705514032</v>
      </c>
      <c r="F24" s="540">
        <v>1792.4602493795694</v>
      </c>
      <c r="G24" s="540">
        <v>1804.6787910757748</v>
      </c>
      <c r="H24" s="279">
        <f t="shared" si="4"/>
        <v>8.9505547806789654E-3</v>
      </c>
      <c r="I24" s="249"/>
      <c r="J24" s="17"/>
      <c r="K24" s="17"/>
      <c r="L24" s="17"/>
      <c r="M24" s="17"/>
      <c r="N24" s="17"/>
      <c r="O24" s="248"/>
      <c r="S24" s="42"/>
      <c r="T24" s="42"/>
      <c r="U24" s="42"/>
      <c r="V24" s="42"/>
      <c r="W24" s="42" t="s">
        <v>54</v>
      </c>
      <c r="X24" s="42" t="s">
        <v>250</v>
      </c>
      <c r="Y24" s="42"/>
      <c r="Z24" s="42"/>
      <c r="AA24" s="42"/>
    </row>
    <row r="25" spans="2:27">
      <c r="B25" s="5" t="s">
        <v>183</v>
      </c>
      <c r="C25" s="548">
        <v>481.94958797221034</v>
      </c>
      <c r="D25" s="540">
        <v>452.07485628527616</v>
      </c>
      <c r="E25" s="540">
        <v>598.71370551403197</v>
      </c>
      <c r="F25" s="540">
        <v>742.4602493795694</v>
      </c>
      <c r="G25" s="540">
        <v>754.67879107577483</v>
      </c>
      <c r="H25" s="279">
        <f t="shared" si="4"/>
        <v>0.18627104672998485</v>
      </c>
      <c r="I25" s="248"/>
      <c r="J25" s="247" t="s">
        <v>10</v>
      </c>
      <c r="K25" s="247"/>
      <c r="L25" s="321">
        <v>453</v>
      </c>
      <c r="M25" s="321">
        <v>453</v>
      </c>
      <c r="N25" s="321">
        <v>453</v>
      </c>
      <c r="O25" s="321">
        <v>453</v>
      </c>
      <c r="P25" s="279">
        <f>IF(L25=0,"nm",IF(O25=0,"nm",(O25/L25)^(1/3)-1))</f>
        <v>0</v>
      </c>
      <c r="S25" s="42"/>
      <c r="T25" s="42"/>
      <c r="U25" s="42"/>
      <c r="V25" s="147" t="s">
        <v>273</v>
      </c>
      <c r="W25" s="288">
        <f>D37/L9</f>
        <v>0.4445213093038094</v>
      </c>
      <c r="X25" s="288">
        <v>1</v>
      </c>
      <c r="Y25" s="42"/>
      <c r="Z25" s="42"/>
      <c r="AA25" s="42"/>
    </row>
    <row r="26" spans="2:27">
      <c r="B26" s="5" t="s">
        <v>586</v>
      </c>
      <c r="C26" s="548">
        <v>361.46219097915775</v>
      </c>
      <c r="D26" s="540">
        <v>339.05614221395712</v>
      </c>
      <c r="E26" s="540">
        <v>449.03527913552398</v>
      </c>
      <c r="F26" s="540">
        <v>556.84518703467711</v>
      </c>
      <c r="G26" s="540">
        <v>566.00909330683112</v>
      </c>
      <c r="H26" s="279">
        <f t="shared" si="4"/>
        <v>0.18627104672998485</v>
      </c>
      <c r="I26" s="249"/>
      <c r="J26" s="249" t="s">
        <v>11</v>
      </c>
      <c r="K26" s="249"/>
      <c r="L26" s="281">
        <f>D11+L25</f>
        <v>2846.4199990000002</v>
      </c>
      <c r="M26" s="281">
        <f>E11+M25</f>
        <v>2846.4199990000002</v>
      </c>
      <c r="N26" s="281">
        <f>F11+N25</f>
        <v>2846.4199990000002</v>
      </c>
      <c r="O26" s="281">
        <f>G11+O25</f>
        <v>2846.4199990000002</v>
      </c>
      <c r="P26" s="279">
        <f>IF(L26=0,"nm",IF(O26=0,"nm",(O26/L26)^(1/3)-1))</f>
        <v>0</v>
      </c>
      <c r="Q26" s="5"/>
      <c r="S26" s="42"/>
      <c r="T26" s="42"/>
      <c r="U26" s="42"/>
      <c r="V26" s="147" t="s">
        <v>184</v>
      </c>
      <c r="W26" s="288">
        <f t="shared" ref="W26:W33" si="6">D38/L10</f>
        <v>0.51914000120134307</v>
      </c>
      <c r="X26" s="288">
        <v>1</v>
      </c>
      <c r="Y26" s="42"/>
      <c r="Z26" s="42"/>
      <c r="AA26" s="42"/>
    </row>
    <row r="27" spans="2:27">
      <c r="B27" s="5" t="s">
        <v>587</v>
      </c>
      <c r="C27" s="548">
        <v>6273.1621430502773</v>
      </c>
      <c r="D27" s="540">
        <v>6977.2906149587616</v>
      </c>
      <c r="E27" s="540">
        <v>6850.8903518589032</v>
      </c>
      <c r="F27" s="540">
        <v>6527.2044058929159</v>
      </c>
      <c r="G27" s="540">
        <v>6159.8963557016687</v>
      </c>
      <c r="H27" s="279">
        <f t="shared" si="4"/>
        <v>-4.0682874381204326E-2</v>
      </c>
      <c r="I27" s="249"/>
      <c r="J27" s="248"/>
      <c r="K27" s="248"/>
      <c r="L27" s="248"/>
      <c r="M27" s="248"/>
      <c r="N27" s="248"/>
      <c r="O27" s="248"/>
      <c r="Q27" s="41"/>
      <c r="S27" s="42"/>
      <c r="T27" s="42"/>
      <c r="U27" s="42"/>
      <c r="V27" s="147" t="s">
        <v>185</v>
      </c>
      <c r="W27" s="288">
        <f t="shared" si="6"/>
        <v>0.96897685838244607</v>
      </c>
      <c r="X27" s="288">
        <v>1</v>
      </c>
      <c r="Y27" s="42"/>
      <c r="Z27" s="42"/>
      <c r="AA27" s="42"/>
    </row>
    <row r="28" spans="2:27" ht="12.6" thickBot="1">
      <c r="B28" s="5" t="s">
        <v>592</v>
      </c>
      <c r="C28" s="548">
        <v>3530.9287196999999</v>
      </c>
      <c r="D28" s="540">
        <v>4608.4571182498985</v>
      </c>
      <c r="E28" s="540">
        <v>4955.2805351870848</v>
      </c>
      <c r="F28" s="540">
        <v>5171.9167175753064</v>
      </c>
      <c r="G28" s="540">
        <v>5392.1661866645336</v>
      </c>
      <c r="H28" s="279">
        <f t="shared" si="4"/>
        <v>5.3745919754290661E-2</v>
      </c>
      <c r="I28" s="248"/>
      <c r="J28" s="306" t="s">
        <v>1362</v>
      </c>
      <c r="K28" s="306"/>
      <c r="L28" s="306"/>
      <c r="M28" s="306"/>
      <c r="N28" s="266"/>
      <c r="O28" s="266"/>
      <c r="P28" s="266"/>
      <c r="Q28" s="5"/>
      <c r="S28" s="42"/>
      <c r="T28" s="42"/>
      <c r="U28" s="42"/>
      <c r="V28" s="147" t="s">
        <v>466</v>
      </c>
      <c r="W28" s="288">
        <f t="shared" si="6"/>
        <v>0.9538671393871585</v>
      </c>
      <c r="X28" s="288">
        <v>1</v>
      </c>
      <c r="Y28" s="42"/>
      <c r="Z28" s="42"/>
      <c r="AA28" s="42"/>
    </row>
    <row r="29" spans="2:27" ht="12.6" thickTop="1">
      <c r="B29" s="5" t="s">
        <v>588</v>
      </c>
      <c r="C29" s="548">
        <v>305.05560308191031</v>
      </c>
      <c r="D29" s="540">
        <v>154.42195375756179</v>
      </c>
      <c r="E29" s="540">
        <v>131.01558956416287</v>
      </c>
      <c r="F29" s="540">
        <v>197.64378915478372</v>
      </c>
      <c r="G29" s="540">
        <v>156.77046890417543</v>
      </c>
      <c r="H29" s="279">
        <f>IF(D29=0,"nm",IF(G29=0,"nm",(G29/D29)^(1/3)-1))</f>
        <v>5.0439913348343524E-3</v>
      </c>
      <c r="I29" s="252"/>
      <c r="J29" s="249"/>
      <c r="K29" s="249"/>
      <c r="L29" s="249"/>
      <c r="M29" s="249"/>
      <c r="N29" s="249"/>
      <c r="O29" s="251"/>
      <c r="Q29" s="5"/>
      <c r="S29" s="42"/>
      <c r="T29" s="42"/>
      <c r="U29" s="42"/>
      <c r="V29" s="147" t="s">
        <v>530</v>
      </c>
      <c r="W29" s="288">
        <f t="shared" si="6"/>
        <v>0.59789713528415456</v>
      </c>
      <c r="X29" s="288">
        <v>1</v>
      </c>
      <c r="Y29" s="42"/>
      <c r="Z29" s="42"/>
      <c r="AA29" s="42"/>
    </row>
    <row r="30" spans="2:27">
      <c r="B30" s="5" t="s">
        <v>589</v>
      </c>
      <c r="C30" s="548">
        <v>646.45850607936256</v>
      </c>
      <c r="D30" s="540">
        <v>473.24155051743281</v>
      </c>
      <c r="E30" s="540">
        <v>200.86314903260626</v>
      </c>
      <c r="F30" s="540">
        <v>80.611809900997912</v>
      </c>
      <c r="G30" s="540">
        <v>18.036011548256738</v>
      </c>
      <c r="H30" s="279">
        <f t="shared" si="4"/>
        <v>-0.66347354391637248</v>
      </c>
      <c r="I30" s="254"/>
      <c r="J30" s="248"/>
      <c r="K30" s="248"/>
      <c r="L30" s="248"/>
      <c r="M30" s="248"/>
      <c r="N30" s="248"/>
      <c r="O30" s="5"/>
      <c r="Q30" s="5"/>
      <c r="S30" s="42"/>
      <c r="T30" s="42"/>
      <c r="U30" s="42"/>
      <c r="V30" s="147" t="s">
        <v>593</v>
      </c>
      <c r="W30" s="288">
        <f t="shared" si="6"/>
        <v>0.39641364710224714</v>
      </c>
      <c r="X30" s="288">
        <v>1</v>
      </c>
      <c r="Y30" s="42"/>
      <c r="Z30" s="42"/>
      <c r="AA30" s="42"/>
    </row>
    <row r="31" spans="2:27">
      <c r="B31" s="5" t="s">
        <v>590</v>
      </c>
      <c r="C31" s="548">
        <v>388.122162</v>
      </c>
      <c r="D31" s="540">
        <v>388.122162</v>
      </c>
      <c r="E31" s="540">
        <v>323.435135</v>
      </c>
      <c r="F31" s="540">
        <v>194.061081</v>
      </c>
      <c r="G31" s="540">
        <v>194.061081</v>
      </c>
      <c r="H31" s="279">
        <f>IF(D31=0,"nm",IF(G31=0,"nm",(G31/D31)^(1/3)-1))</f>
        <v>-0.20629947401590021</v>
      </c>
      <c r="I31" s="254"/>
      <c r="J31" s="252"/>
      <c r="K31" s="252"/>
      <c r="L31" s="252"/>
      <c r="M31" s="252"/>
      <c r="N31" s="252"/>
      <c r="O31" s="5"/>
      <c r="Q31" s="5"/>
      <c r="S31" s="42"/>
      <c r="T31" s="42"/>
      <c r="U31" s="42"/>
      <c r="V31" s="147" t="s">
        <v>475</v>
      </c>
      <c r="W31" s="288">
        <f t="shared" si="6"/>
        <v>1.1993303441455212</v>
      </c>
      <c r="X31" s="288">
        <v>1</v>
      </c>
      <c r="Y31" s="42"/>
      <c r="Z31" s="42"/>
      <c r="AA31" s="42"/>
    </row>
    <row r="32" spans="2:27">
      <c r="B32" s="5" t="s">
        <v>606</v>
      </c>
      <c r="C32" s="550">
        <v>0</v>
      </c>
      <c r="D32" s="540">
        <v>0</v>
      </c>
      <c r="E32" s="540">
        <v>0</v>
      </c>
      <c r="F32" s="540">
        <v>0</v>
      </c>
      <c r="G32" s="540">
        <v>0</v>
      </c>
      <c r="H32" s="279" t="str">
        <f>IF(D32=0,"nm",IF(G32=0,"nm",(G32/D32)^(1/3)-1))</f>
        <v>nm</v>
      </c>
      <c r="I32" s="254"/>
      <c r="J32" s="254"/>
      <c r="K32" s="254"/>
      <c r="L32" s="254"/>
      <c r="M32" s="254"/>
      <c r="N32" s="254"/>
      <c r="O32" s="251"/>
      <c r="Q32" s="5"/>
      <c r="S32" s="42"/>
      <c r="T32" s="42"/>
      <c r="U32" s="42"/>
      <c r="V32" s="147" t="s">
        <v>533</v>
      </c>
      <c r="W32" s="288">
        <f t="shared" si="6"/>
        <v>0.36517721173520884</v>
      </c>
      <c r="X32" s="288">
        <v>1</v>
      </c>
      <c r="Y32" s="42"/>
      <c r="Z32" s="42"/>
      <c r="AA32" s="42"/>
    </row>
    <row r="33" spans="2:27">
      <c r="B33" s="5" t="s">
        <v>5</v>
      </c>
      <c r="C33" s="548">
        <v>49</v>
      </c>
      <c r="D33" s="540">
        <v>61.781463284449295</v>
      </c>
      <c r="E33" s="540">
        <v>79.920832076738449</v>
      </c>
      <c r="F33" s="540">
        <v>89.052167279115721</v>
      </c>
      <c r="G33" s="540">
        <v>85.482468818452446</v>
      </c>
      <c r="H33" s="279">
        <f>IF(D33=0,"nm",IF(G33=0,"nm",(G33/D33)^(1/3)-1))</f>
        <v>0.11431066911322829</v>
      </c>
      <c r="I33" s="5"/>
      <c r="J33" s="254"/>
      <c r="K33" s="254"/>
      <c r="L33" s="254"/>
      <c r="M33" s="254"/>
      <c r="N33" s="254"/>
      <c r="O33" s="251"/>
      <c r="Q33" s="5"/>
      <c r="S33" s="42"/>
      <c r="T33" s="42"/>
      <c r="U33" s="42"/>
      <c r="V33" s="147" t="s">
        <v>580</v>
      </c>
      <c r="W33" s="288">
        <f t="shared" si="6"/>
        <v>3.2478052218492981</v>
      </c>
      <c r="X33" s="288">
        <v>1</v>
      </c>
      <c r="Y33" s="42"/>
      <c r="Z33" s="42"/>
      <c r="AA33" s="42"/>
    </row>
    <row r="34" spans="2:27">
      <c r="B34" s="5"/>
      <c r="C34" s="247"/>
      <c r="D34" s="17"/>
      <c r="E34" s="17"/>
      <c r="F34" s="17"/>
      <c r="G34" s="17"/>
      <c r="H34" s="277"/>
      <c r="I34" s="49"/>
      <c r="J34" s="254"/>
      <c r="K34" s="254"/>
      <c r="L34" s="254"/>
      <c r="M34" s="254"/>
      <c r="N34" s="254"/>
      <c r="O34" s="251"/>
      <c r="Q34" s="5"/>
      <c r="S34" s="42"/>
      <c r="T34" s="42"/>
      <c r="U34" s="42"/>
      <c r="V34" s="147" t="s">
        <v>581</v>
      </c>
      <c r="W34" s="288">
        <f>D47/L19</f>
        <v>0.8337986317793562</v>
      </c>
      <c r="X34" s="288">
        <v>1</v>
      </c>
      <c r="Y34" s="288"/>
      <c r="Z34" s="288"/>
      <c r="AA34" s="42"/>
    </row>
    <row r="35" spans="2:27" ht="12.6" thickBot="1">
      <c r="B35" s="306" t="s">
        <v>473</v>
      </c>
      <c r="C35" s="265"/>
      <c r="D35" s="265" t="str">
        <f>D5</f>
        <v>2023E</v>
      </c>
      <c r="E35" s="265" t="str">
        <f t="shared" ref="E35:H35" si="7">E5</f>
        <v>2024E</v>
      </c>
      <c r="F35" s="265" t="str">
        <f t="shared" si="7"/>
        <v>2025E</v>
      </c>
      <c r="G35" s="265" t="str">
        <f t="shared" si="7"/>
        <v>2026E</v>
      </c>
      <c r="H35" s="265" t="str">
        <f t="shared" si="7"/>
        <v>23E-26E</v>
      </c>
      <c r="I35" s="254"/>
      <c r="J35" s="5"/>
      <c r="K35" s="5"/>
      <c r="L35" s="5"/>
      <c r="M35" s="5"/>
      <c r="N35" s="5"/>
      <c r="O35" s="5"/>
      <c r="Q35" s="5"/>
      <c r="S35" s="42"/>
      <c r="T35" s="42"/>
      <c r="U35" s="42"/>
      <c r="V35" s="42"/>
      <c r="W35" s="42"/>
      <c r="X35" s="42"/>
      <c r="Y35" s="288"/>
      <c r="Z35" s="288"/>
      <c r="AA35" s="42"/>
    </row>
    <row r="36" spans="2:27" ht="12.6" thickTop="1">
      <c r="B36" s="41"/>
      <c r="C36" s="249"/>
      <c r="D36" s="254"/>
      <c r="E36" s="254"/>
      <c r="F36" s="254"/>
      <c r="G36" s="254"/>
      <c r="H36" s="254"/>
      <c r="I36" s="17"/>
      <c r="J36" s="49"/>
      <c r="K36" s="49"/>
      <c r="L36" s="49"/>
      <c r="M36" s="49"/>
      <c r="N36" s="49"/>
      <c r="O36" s="49"/>
      <c r="Q36" s="5"/>
      <c r="S36" s="42"/>
      <c r="T36" s="42"/>
      <c r="U36" s="42"/>
      <c r="V36" s="42"/>
      <c r="W36" s="42"/>
      <c r="X36" s="42"/>
      <c r="Y36" s="288"/>
      <c r="Z36" s="288"/>
      <c r="AA36" s="42"/>
    </row>
    <row r="37" spans="2:27">
      <c r="B37" s="5" t="s">
        <v>273</v>
      </c>
      <c r="C37" s="247"/>
      <c r="D37" s="529">
        <f>D$18/D23</f>
        <v>0.96996189009245748</v>
      </c>
      <c r="E37" s="529">
        <f t="shared" ref="E37:G41" si="8">E$18/E23</f>
        <v>0.919197570628704</v>
      </c>
      <c r="F37" s="529">
        <f t="shared" si="8"/>
        <v>0.87247997502990482</v>
      </c>
      <c r="G37" s="529">
        <f>G$18/G23</f>
        <v>0.81745013475515049</v>
      </c>
      <c r="H37" s="17">
        <f t="shared" ref="H37:H45" si="9">H23</f>
        <v>7.6126372841840428E-3</v>
      </c>
      <c r="I37" s="5"/>
      <c r="J37" s="259"/>
      <c r="K37" s="259"/>
      <c r="L37" s="259"/>
      <c r="M37" s="259"/>
      <c r="N37" s="259"/>
      <c r="O37" s="18"/>
      <c r="Q37" s="5"/>
      <c r="S37" s="42"/>
      <c r="T37" s="42"/>
      <c r="U37" s="42"/>
      <c r="V37" s="42"/>
      <c r="W37" s="42"/>
      <c r="X37" s="42"/>
      <c r="Y37" s="42"/>
      <c r="Z37" s="42"/>
      <c r="AA37" s="42"/>
    </row>
    <row r="38" spans="2:27">
      <c r="B38" s="5" t="s">
        <v>184</v>
      </c>
      <c r="C38" s="247"/>
      <c r="D38" s="529">
        <f>D$18/D24</f>
        <v>3.4554679729380045</v>
      </c>
      <c r="E38" s="529">
        <f t="shared" si="8"/>
        <v>3.2317404240030672</v>
      </c>
      <c r="F38" s="529">
        <f t="shared" si="8"/>
        <v>3.098844983481444</v>
      </c>
      <c r="G38" s="529">
        <f t="shared" si="8"/>
        <v>2.9005785925540288</v>
      </c>
      <c r="H38" s="17">
        <f t="shared" si="9"/>
        <v>8.9505547806789654E-3</v>
      </c>
      <c r="I38" s="259"/>
      <c r="J38" s="17"/>
      <c r="K38" s="17"/>
      <c r="L38" s="17"/>
      <c r="M38" s="17"/>
      <c r="N38" s="17"/>
      <c r="O38" s="5"/>
      <c r="Q38" s="5"/>
      <c r="S38" s="42"/>
      <c r="T38" s="42"/>
      <c r="U38" s="42"/>
      <c r="V38" s="42"/>
      <c r="W38" s="42"/>
      <c r="X38" s="42"/>
      <c r="Y38" s="42"/>
      <c r="Z38" s="42"/>
      <c r="AA38" s="42"/>
    </row>
    <row r="39" spans="2:27">
      <c r="B39" s="5" t="s">
        <v>185</v>
      </c>
      <c r="C39" s="247"/>
      <c r="D39" s="529">
        <f>D$18/D25</f>
        <v>13.430333068816074</v>
      </c>
      <c r="E39" s="529">
        <f t="shared" si="8"/>
        <v>9.6821185782294936</v>
      </c>
      <c r="F39" s="529">
        <f t="shared" si="8"/>
        <v>7.4812846297446827</v>
      </c>
      <c r="G39" s="529">
        <f t="shared" si="8"/>
        <v>6.9362127698976064</v>
      </c>
      <c r="H39" s="17">
        <f t="shared" si="9"/>
        <v>0.18627104672998485</v>
      </c>
      <c r="I39" s="17"/>
      <c r="J39" s="5"/>
      <c r="K39" s="5"/>
      <c r="L39" s="5"/>
      <c r="M39" s="5"/>
      <c r="N39" s="5"/>
      <c r="O39" s="5"/>
      <c r="Q39" s="5"/>
      <c r="S39" s="42"/>
      <c r="T39" s="42"/>
      <c r="U39" s="42"/>
      <c r="V39" s="42"/>
      <c r="W39" s="42"/>
      <c r="X39" s="42"/>
      <c r="Y39" s="42"/>
      <c r="Z39" s="42"/>
      <c r="AA39" s="42"/>
    </row>
    <row r="40" spans="2:27">
      <c r="B40" s="5" t="s">
        <v>466</v>
      </c>
      <c r="C40" s="247"/>
      <c r="D40" s="529">
        <f>D$18/D26</f>
        <v>17.907110758421432</v>
      </c>
      <c r="E40" s="529">
        <f t="shared" si="8"/>
        <v>12.909491437639323</v>
      </c>
      <c r="F40" s="529">
        <f t="shared" si="8"/>
        <v>9.9750461729929096</v>
      </c>
      <c r="G40" s="529">
        <f t="shared" si="8"/>
        <v>9.2482836931968091</v>
      </c>
      <c r="H40" s="17">
        <f t="shared" si="9"/>
        <v>0.18627104672998485</v>
      </c>
      <c r="I40" s="5"/>
      <c r="J40" s="259"/>
      <c r="K40" s="259"/>
      <c r="L40" s="259"/>
      <c r="M40" s="259"/>
      <c r="N40" s="259"/>
      <c r="O40" s="18"/>
      <c r="Q40" s="5"/>
      <c r="S40" s="42"/>
      <c r="T40" s="42"/>
      <c r="U40" s="42"/>
      <c r="V40" s="42"/>
      <c r="W40" s="288"/>
      <c r="X40" s="288"/>
      <c r="Y40" s="42"/>
      <c r="Z40" s="42"/>
      <c r="AA40" s="42"/>
    </row>
    <row r="41" spans="2:27">
      <c r="B41" s="5" t="s">
        <v>530</v>
      </c>
      <c r="C41" s="247"/>
      <c r="D41" s="529">
        <f>D$18/D27</f>
        <v>0.87018245720359799</v>
      </c>
      <c r="E41" s="529">
        <f t="shared" si="8"/>
        <v>0.84614069025716299</v>
      </c>
      <c r="F41" s="529">
        <f t="shared" si="8"/>
        <v>0.85098552251021742</v>
      </c>
      <c r="G41" s="529">
        <f t="shared" si="8"/>
        <v>0.8497890817571081</v>
      </c>
      <c r="H41" s="17">
        <f t="shared" si="9"/>
        <v>-4.0682874381204326E-2</v>
      </c>
      <c r="I41" s="247"/>
      <c r="J41" s="17"/>
      <c r="K41" s="17"/>
      <c r="L41" s="17"/>
      <c r="M41" s="17"/>
      <c r="N41" s="17"/>
      <c r="O41" s="5"/>
      <c r="Q41" s="5"/>
      <c r="S41" s="42"/>
      <c r="T41" s="42"/>
      <c r="U41" s="42"/>
      <c r="V41" s="42"/>
      <c r="W41" s="288"/>
      <c r="X41" s="288"/>
      <c r="Y41" s="288"/>
      <c r="Z41" s="288"/>
      <c r="AA41" s="42"/>
    </row>
    <row r="42" spans="2:27">
      <c r="B42" s="5" t="s">
        <v>593</v>
      </c>
      <c r="C42" s="247"/>
      <c r="D42" s="529">
        <f>D18/D28</f>
        <v>1.3174725805529746</v>
      </c>
      <c r="E42" s="529">
        <f>E18/E28</f>
        <v>1.169826218724703</v>
      </c>
      <c r="F42" s="529">
        <f>F18/F28</f>
        <v>1.0739841252671716</v>
      </c>
      <c r="G42" s="529">
        <f>G18/G28</f>
        <v>0.97078103430426443</v>
      </c>
      <c r="H42" s="17">
        <f t="shared" si="9"/>
        <v>5.3745919754290661E-2</v>
      </c>
      <c r="I42" s="248"/>
      <c r="J42" s="5"/>
      <c r="K42" s="5"/>
      <c r="L42" s="5"/>
      <c r="M42" s="5"/>
      <c r="N42" s="5"/>
      <c r="O42" s="5"/>
      <c r="Q42" s="5"/>
      <c r="S42" s="42"/>
      <c r="T42" s="42"/>
      <c r="U42" s="42"/>
      <c r="V42" s="42"/>
      <c r="W42" s="288"/>
      <c r="X42" s="288"/>
      <c r="Y42" s="288"/>
      <c r="Z42" s="288"/>
      <c r="AA42" s="42"/>
    </row>
    <row r="43" spans="2:27">
      <c r="B43" s="5" t="s">
        <v>475</v>
      </c>
      <c r="C43" s="247"/>
      <c r="D43" s="529">
        <f>L26/D29</f>
        <v>18.432741781449035</v>
      </c>
      <c r="E43" s="529">
        <f>M26/E29</f>
        <v>21.725811473801823</v>
      </c>
      <c r="F43" s="529">
        <f>N26/F29</f>
        <v>14.401768004816185</v>
      </c>
      <c r="G43" s="529">
        <f>O26/G29</f>
        <v>18.156608313392553</v>
      </c>
      <c r="H43" s="17">
        <f t="shared" si="9"/>
        <v>5.0439913348343524E-3</v>
      </c>
      <c r="I43" s="247"/>
      <c r="J43" s="247"/>
      <c r="K43" s="247"/>
      <c r="L43" s="247"/>
      <c r="M43" s="247"/>
      <c r="N43" s="247"/>
      <c r="O43" s="18"/>
      <c r="Q43" s="5"/>
      <c r="S43" s="42"/>
      <c r="T43" s="42"/>
      <c r="U43" s="42"/>
      <c r="V43" s="42"/>
      <c r="W43" s="288"/>
      <c r="X43" s="288"/>
      <c r="Y43" s="288"/>
      <c r="Z43" s="288"/>
      <c r="AA43" s="42"/>
    </row>
    <row r="44" spans="2:27">
      <c r="B44" s="5" t="s">
        <v>533</v>
      </c>
      <c r="C44" s="69"/>
      <c r="D44" s="529">
        <f>D11/D30</f>
        <v>5.0575018114598826</v>
      </c>
      <c r="E44" s="529">
        <f>E11/E30</f>
        <v>11.915674978347942</v>
      </c>
      <c r="F44" s="529">
        <f>F11/F30</f>
        <v>29.69068678571341</v>
      </c>
      <c r="G44" s="529">
        <f>G11/G30</f>
        <v>132.70228800842253</v>
      </c>
      <c r="H44" s="17">
        <f t="shared" si="9"/>
        <v>-0.66347354391637248</v>
      </c>
      <c r="I44" s="247"/>
      <c r="J44" s="248"/>
      <c r="K44" s="248"/>
      <c r="L44" s="248"/>
      <c r="M44" s="248"/>
      <c r="N44" s="248"/>
      <c r="O44" s="248"/>
      <c r="Q44" s="5"/>
      <c r="S44" s="42"/>
      <c r="T44" s="42"/>
      <c r="U44" s="42"/>
      <c r="V44" s="42"/>
      <c r="W44" s="325"/>
      <c r="X44" s="325"/>
      <c r="Y44" s="288"/>
      <c r="Z44" s="288"/>
      <c r="AA44" s="42"/>
    </row>
    <row r="45" spans="2:27">
      <c r="B45" s="5" t="s">
        <v>580</v>
      </c>
      <c r="C45" s="247"/>
      <c r="D45" s="248">
        <f>D31/D11</f>
        <v>0.16216216216216214</v>
      </c>
      <c r="E45" s="248">
        <f>E31/E11</f>
        <v>0.13513513513513511</v>
      </c>
      <c r="F45" s="248">
        <f>F31/F11</f>
        <v>8.1081081081081072E-2</v>
      </c>
      <c r="G45" s="248">
        <f>G31/G11</f>
        <v>8.1081081081081072E-2</v>
      </c>
      <c r="H45" s="17">
        <f t="shared" si="9"/>
        <v>-0.20629947401590021</v>
      </c>
      <c r="I45" s="248"/>
      <c r="J45" s="247"/>
      <c r="K45" s="247"/>
      <c r="L45" s="247"/>
      <c r="M45" s="247"/>
      <c r="N45" s="247"/>
      <c r="O45" s="248"/>
      <c r="Q45" s="5"/>
      <c r="S45" s="42"/>
      <c r="T45" s="42"/>
      <c r="U45" s="42"/>
      <c r="V45" s="42"/>
      <c r="W45" s="42"/>
      <c r="X45" s="42"/>
      <c r="Y45" s="325"/>
      <c r="Z45" s="325"/>
      <c r="AA45" s="42"/>
    </row>
    <row r="46" spans="2:27">
      <c r="B46" s="5" t="s">
        <v>605</v>
      </c>
      <c r="C46" s="247"/>
      <c r="D46" s="248">
        <f>(D31+D32)/D11</f>
        <v>0.16216216216216214</v>
      </c>
      <c r="E46" s="248">
        <f>(E31+E32)/E11</f>
        <v>0.13513513513513511</v>
      </c>
      <c r="F46" s="248">
        <f>(F31+F32)/F11</f>
        <v>8.1081081081081072E-2</v>
      </c>
      <c r="G46" s="248">
        <f>(G31+G32)/G11</f>
        <v>8.1081081081081072E-2</v>
      </c>
      <c r="H46" s="279">
        <f>((G31+G32)/(D31+D32))^(1/3)-1</f>
        <v>-0.20629947401590021</v>
      </c>
      <c r="I46" s="247"/>
      <c r="J46" s="247"/>
      <c r="K46" s="247"/>
      <c r="L46" s="247"/>
      <c r="M46" s="247"/>
      <c r="N46" s="247"/>
      <c r="O46" s="18"/>
      <c r="Q46" s="5"/>
      <c r="S46" s="42"/>
      <c r="T46" s="42"/>
      <c r="U46" s="42"/>
      <c r="V46" s="42"/>
      <c r="W46" s="42"/>
      <c r="X46" s="42"/>
      <c r="Y46" s="42"/>
      <c r="Z46" s="42"/>
      <c r="AA46" s="326"/>
    </row>
    <row r="47" spans="2:27">
      <c r="B47" s="5" t="s">
        <v>581</v>
      </c>
      <c r="C47" s="5"/>
      <c r="D47" s="248">
        <f>1/D43</f>
        <v>5.4251288921456801E-2</v>
      </c>
      <c r="E47" s="248">
        <f>1/E43</f>
        <v>4.6028200198913398E-2</v>
      </c>
      <c r="F47" s="248">
        <f>1/F43</f>
        <v>6.9435919233359664E-2</v>
      </c>
      <c r="G47" s="248">
        <f>1/G43</f>
        <v>5.5076365736346632E-2</v>
      </c>
      <c r="H47" s="17">
        <f>H29</f>
        <v>5.0439913348343524E-3</v>
      </c>
      <c r="I47" s="17"/>
      <c r="J47" s="248"/>
      <c r="K47" s="248"/>
      <c r="L47" s="248"/>
      <c r="M47" s="248"/>
      <c r="N47" s="248"/>
      <c r="O47" s="248"/>
      <c r="Q47" s="5"/>
      <c r="S47" s="42"/>
      <c r="T47" s="42"/>
      <c r="U47" s="42"/>
      <c r="V47" s="42"/>
      <c r="W47" s="42"/>
      <c r="X47" s="42"/>
      <c r="Y47" s="42"/>
      <c r="Z47" s="42"/>
      <c r="AA47" s="326"/>
    </row>
    <row r="48" spans="2:27">
      <c r="B48" s="5" t="s">
        <v>618</v>
      </c>
      <c r="C48" s="5"/>
      <c r="D48" s="305">
        <f>D31/D29</f>
        <v>2.5133872001732414</v>
      </c>
      <c r="E48" s="305">
        <f>E31/E29</f>
        <v>2.468676713022786</v>
      </c>
      <c r="F48" s="305">
        <f>F31/F29</f>
        <v>0.98187290291233009</v>
      </c>
      <c r="G48" s="305">
        <f>G31/G29</f>
        <v>1.2378675802686929</v>
      </c>
      <c r="H48" s="279" t="s">
        <v>607</v>
      </c>
      <c r="I48" s="247"/>
      <c r="J48" s="247"/>
      <c r="K48" s="247"/>
      <c r="L48" s="247"/>
      <c r="M48" s="247"/>
      <c r="N48" s="247"/>
      <c r="O48" s="248"/>
      <c r="Q48" s="5"/>
      <c r="S48" s="42"/>
      <c r="T48" s="42"/>
      <c r="U48" s="42"/>
      <c r="V48" s="42"/>
      <c r="W48" s="42"/>
      <c r="X48" s="42"/>
      <c r="Y48" s="42"/>
      <c r="Z48" s="42"/>
      <c r="AA48" s="326"/>
    </row>
    <row r="49" spans="2:27">
      <c r="B49" s="41"/>
      <c r="C49" s="17"/>
      <c r="D49" s="17"/>
      <c r="E49" s="17"/>
      <c r="F49" s="17"/>
      <c r="G49" s="17"/>
      <c r="H49" s="17"/>
      <c r="I49" s="254"/>
      <c r="J49" s="17"/>
      <c r="K49" s="17"/>
      <c r="L49" s="17"/>
      <c r="M49" s="17"/>
      <c r="N49" s="17"/>
      <c r="O49" s="248"/>
      <c r="Q49" s="5"/>
      <c r="S49" s="42"/>
      <c r="T49" s="42"/>
      <c r="U49" s="42"/>
      <c r="V49" s="42"/>
      <c r="W49" s="42"/>
      <c r="X49" s="42"/>
      <c r="Y49" s="42"/>
      <c r="Z49" s="42"/>
      <c r="AA49" s="326"/>
    </row>
    <row r="50" spans="2:27">
      <c r="B50" s="5"/>
      <c r="C50" s="257"/>
      <c r="D50" s="257"/>
      <c r="E50" s="257"/>
      <c r="F50" s="5"/>
      <c r="G50" s="41"/>
      <c r="H50" s="249"/>
      <c r="I50" s="17"/>
      <c r="J50" s="249"/>
      <c r="K50" s="249"/>
      <c r="L50" s="249"/>
      <c r="M50" s="249"/>
      <c r="N50" s="249"/>
      <c r="O50" s="250"/>
      <c r="Q50" s="5"/>
      <c r="S50" s="42"/>
      <c r="T50" s="42"/>
      <c r="U50" s="42"/>
      <c r="V50" s="42"/>
      <c r="W50" s="288"/>
      <c r="X50" s="288"/>
      <c r="Y50" s="42"/>
      <c r="Z50" s="42"/>
      <c r="AA50" s="326"/>
    </row>
    <row r="51" spans="2:27">
      <c r="B51" s="41"/>
      <c r="C51" s="249"/>
      <c r="D51" s="254"/>
      <c r="E51" s="254"/>
      <c r="F51" s="254"/>
      <c r="G51" s="254"/>
      <c r="H51" s="254"/>
      <c r="I51" s="259"/>
      <c r="J51" s="254"/>
      <c r="K51" s="254"/>
      <c r="L51" s="254"/>
      <c r="M51" s="254"/>
      <c r="N51" s="254"/>
      <c r="O51" s="251"/>
      <c r="Q51" s="5"/>
      <c r="S51" s="42"/>
      <c r="T51" s="42"/>
      <c r="U51" s="42"/>
      <c r="V51" s="42"/>
      <c r="W51" s="288"/>
      <c r="X51" s="288"/>
      <c r="Y51" s="288"/>
      <c r="Z51" s="288"/>
      <c r="AA51" s="42"/>
    </row>
    <row r="52" spans="2:27">
      <c r="B52" s="5"/>
      <c r="C52" s="257"/>
      <c r="D52" s="17"/>
      <c r="E52" s="17"/>
      <c r="F52" s="17"/>
      <c r="G52" s="17"/>
      <c r="H52" s="17"/>
      <c r="I52" s="254"/>
      <c r="J52" s="17"/>
      <c r="K52" s="17"/>
      <c r="L52" s="17"/>
      <c r="M52" s="17"/>
      <c r="N52" s="17"/>
      <c r="O52" s="248"/>
      <c r="Q52" s="5"/>
      <c r="Y52" s="10"/>
      <c r="Z52" s="10"/>
    </row>
    <row r="53" spans="2:27">
      <c r="B53" s="5"/>
      <c r="C53" s="257"/>
      <c r="D53" s="257"/>
      <c r="E53" s="257"/>
      <c r="F53" s="5"/>
      <c r="G53" s="5"/>
      <c r="H53" s="259"/>
      <c r="I53" s="17"/>
      <c r="J53" s="259"/>
      <c r="K53" s="259"/>
      <c r="L53" s="259"/>
      <c r="M53" s="259"/>
      <c r="N53" s="259"/>
      <c r="O53" s="18"/>
      <c r="Q53" s="5"/>
    </row>
    <row r="54" spans="2:27">
      <c r="B54" s="41"/>
      <c r="C54" s="249"/>
      <c r="D54" s="254"/>
      <c r="E54" s="254"/>
      <c r="F54" s="254"/>
      <c r="G54" s="254"/>
      <c r="H54" s="254"/>
      <c r="I54" s="259"/>
      <c r="J54" s="254"/>
      <c r="K54" s="254"/>
      <c r="L54" s="254"/>
      <c r="M54" s="254"/>
      <c r="N54" s="254"/>
      <c r="O54" s="251"/>
      <c r="Q54" s="5"/>
    </row>
    <row r="55" spans="2:27">
      <c r="B55" s="5"/>
      <c r="C55" s="257"/>
      <c r="D55" s="17"/>
      <c r="E55" s="17"/>
      <c r="F55" s="17"/>
      <c r="G55" s="17"/>
      <c r="H55" s="17"/>
      <c r="I55" s="249"/>
      <c r="J55" s="17"/>
      <c r="K55" s="17"/>
      <c r="L55" s="17"/>
      <c r="M55" s="17"/>
      <c r="N55" s="17"/>
      <c r="O55" s="18"/>
      <c r="Q55" s="5"/>
    </row>
    <row r="56" spans="2:27">
      <c r="B56" s="5"/>
      <c r="C56" s="248"/>
      <c r="D56" s="248"/>
      <c r="E56" s="248"/>
      <c r="F56" s="5"/>
      <c r="G56" s="5"/>
      <c r="H56" s="259"/>
      <c r="I56" s="248"/>
      <c r="J56" s="259"/>
      <c r="K56" s="259"/>
      <c r="L56" s="259"/>
      <c r="M56" s="259"/>
      <c r="N56" s="259"/>
      <c r="O56" s="18"/>
      <c r="Q56" s="5"/>
    </row>
    <row r="57" spans="2:27">
      <c r="B57" s="41"/>
      <c r="C57" s="249"/>
      <c r="D57" s="249"/>
      <c r="E57" s="249"/>
      <c r="F57" s="249"/>
      <c r="G57" s="249"/>
      <c r="H57" s="249"/>
      <c r="I57" s="5"/>
      <c r="J57" s="249"/>
      <c r="K57" s="249"/>
      <c r="L57" s="249"/>
      <c r="M57" s="249"/>
      <c r="N57" s="249"/>
      <c r="O57" s="251"/>
      <c r="Q57" s="5"/>
    </row>
    <row r="58" spans="2:27">
      <c r="B58" s="5"/>
      <c r="C58" s="5"/>
      <c r="D58" s="248"/>
      <c r="E58" s="248"/>
      <c r="F58" s="248"/>
      <c r="G58" s="248"/>
      <c r="H58" s="248"/>
      <c r="I58" s="17"/>
      <c r="J58" s="248"/>
      <c r="K58" s="248"/>
      <c r="L58" s="248"/>
      <c r="M58" s="248"/>
      <c r="N58" s="248"/>
      <c r="O58" s="18"/>
      <c r="Q58" s="5"/>
    </row>
    <row r="59" spans="2:27">
      <c r="B59" s="5"/>
      <c r="C59" s="5"/>
      <c r="D59" s="5"/>
      <c r="E59" s="5"/>
      <c r="F59" s="5"/>
      <c r="G59" s="5"/>
      <c r="H59" s="5"/>
      <c r="I59" s="5"/>
      <c r="J59" s="5"/>
      <c r="K59" s="5"/>
      <c r="L59" s="5"/>
      <c r="M59" s="5"/>
      <c r="N59" s="5"/>
      <c r="O59" s="5"/>
      <c r="Q59" s="5"/>
    </row>
    <row r="60" spans="2:27">
      <c r="B60" s="41"/>
      <c r="C60" s="17"/>
      <c r="D60" s="17"/>
      <c r="E60" s="17"/>
      <c r="F60" s="17"/>
      <c r="G60" s="17"/>
      <c r="H60" s="17"/>
      <c r="I60" s="249"/>
      <c r="J60" s="17"/>
      <c r="K60" s="17"/>
      <c r="L60" s="17"/>
      <c r="M60" s="17"/>
      <c r="N60" s="17"/>
      <c r="O60" s="251"/>
      <c r="Q60" s="5"/>
    </row>
    <row r="61" spans="2:27">
      <c r="B61" s="5"/>
      <c r="C61" s="5"/>
      <c r="D61" s="5"/>
      <c r="E61" s="5"/>
      <c r="F61" s="5"/>
      <c r="G61" s="5"/>
      <c r="H61" s="5"/>
      <c r="I61" s="5"/>
      <c r="J61" s="5"/>
      <c r="K61" s="5"/>
      <c r="L61" s="5"/>
      <c r="M61" s="5"/>
      <c r="N61" s="5"/>
      <c r="O61" s="5"/>
      <c r="Q61" s="41"/>
    </row>
    <row r="62" spans="2:27">
      <c r="B62" s="41"/>
      <c r="C62" s="249"/>
      <c r="D62" s="249"/>
      <c r="E62" s="249"/>
      <c r="F62" s="249"/>
      <c r="G62" s="249"/>
      <c r="H62" s="249"/>
      <c r="I62" s="5"/>
      <c r="J62" s="249"/>
      <c r="K62" s="249"/>
      <c r="L62" s="249"/>
      <c r="M62" s="249"/>
      <c r="N62" s="249"/>
      <c r="O62" s="251"/>
      <c r="Q62" s="5"/>
    </row>
    <row r="63" spans="2:27">
      <c r="B63" s="5"/>
      <c r="C63" s="5"/>
      <c r="D63" s="5"/>
      <c r="E63" s="5"/>
      <c r="F63" s="5"/>
      <c r="G63" s="5"/>
      <c r="H63" s="5"/>
      <c r="I63" s="254"/>
      <c r="J63" s="5"/>
      <c r="K63" s="5"/>
      <c r="L63" s="5"/>
      <c r="M63" s="5"/>
      <c r="N63" s="5"/>
      <c r="O63" s="5"/>
      <c r="Q63" s="5"/>
    </row>
    <row r="64" spans="2:27">
      <c r="B64" s="5"/>
      <c r="C64" s="5"/>
      <c r="D64" s="5"/>
      <c r="E64" s="5"/>
      <c r="F64" s="5"/>
      <c r="G64" s="5"/>
      <c r="H64" s="5"/>
      <c r="I64" s="17"/>
      <c r="J64" s="5"/>
      <c r="K64" s="5"/>
      <c r="L64" s="5"/>
      <c r="M64" s="5"/>
      <c r="N64" s="5"/>
      <c r="O64" s="5"/>
      <c r="Q64" s="5"/>
    </row>
    <row r="65" spans="2:26">
      <c r="B65" s="41"/>
      <c r="C65" s="249"/>
      <c r="D65" s="254"/>
      <c r="E65" s="254"/>
      <c r="F65" s="254"/>
      <c r="G65" s="254"/>
      <c r="H65" s="254"/>
      <c r="I65" s="254"/>
      <c r="J65" s="254"/>
      <c r="K65" s="254"/>
      <c r="L65" s="254"/>
      <c r="M65" s="254"/>
      <c r="N65" s="254"/>
      <c r="O65" s="251"/>
      <c r="Q65" s="5"/>
    </row>
    <row r="66" spans="2:26">
      <c r="B66" s="5"/>
      <c r="C66" s="5"/>
      <c r="D66" s="17"/>
      <c r="E66" s="17"/>
      <c r="F66" s="17"/>
      <c r="G66" s="17"/>
      <c r="H66" s="17"/>
      <c r="I66" s="248"/>
      <c r="J66" s="17"/>
      <c r="K66" s="17"/>
      <c r="L66" s="17"/>
      <c r="M66" s="17"/>
      <c r="N66" s="17"/>
      <c r="O66" s="5"/>
      <c r="Q66" s="5"/>
    </row>
    <row r="67" spans="2:26">
      <c r="B67" s="41"/>
      <c r="C67" s="249"/>
      <c r="D67" s="254"/>
      <c r="E67" s="254"/>
      <c r="F67" s="254"/>
      <c r="G67" s="254"/>
      <c r="H67" s="254"/>
      <c r="I67" s="5"/>
      <c r="J67" s="254"/>
      <c r="K67" s="254"/>
      <c r="L67" s="254"/>
      <c r="M67" s="254"/>
      <c r="N67" s="254"/>
      <c r="O67" s="251"/>
      <c r="Q67" s="41"/>
    </row>
    <row r="68" spans="2:26">
      <c r="B68" s="5"/>
      <c r="C68" s="5"/>
      <c r="D68" s="248"/>
      <c r="E68" s="248"/>
      <c r="F68" s="248"/>
      <c r="G68" s="248"/>
      <c r="H68" s="248"/>
      <c r="I68" s="245"/>
      <c r="J68" s="248"/>
      <c r="K68" s="248"/>
      <c r="L68" s="248"/>
      <c r="M68" s="248"/>
      <c r="N68" s="248"/>
      <c r="O68" s="5"/>
      <c r="Q68" s="5"/>
    </row>
    <row r="69" spans="2:26">
      <c r="B69" s="41"/>
      <c r="C69" s="5"/>
      <c r="D69" s="5"/>
      <c r="E69" s="5"/>
      <c r="F69" s="5"/>
      <c r="G69" s="5"/>
      <c r="H69" s="5"/>
      <c r="I69" s="248"/>
      <c r="J69" s="5"/>
      <c r="K69" s="5"/>
      <c r="L69" s="5"/>
      <c r="M69" s="5"/>
      <c r="N69" s="5"/>
      <c r="O69" s="5"/>
      <c r="Q69" s="5"/>
    </row>
    <row r="70" spans="2:26">
      <c r="B70" s="41"/>
      <c r="C70" s="245"/>
      <c r="D70" s="245"/>
      <c r="E70" s="245"/>
      <c r="F70" s="245"/>
      <c r="G70" s="245"/>
      <c r="H70" s="245"/>
      <c r="I70" s="5"/>
      <c r="J70" s="245"/>
      <c r="K70" s="245"/>
      <c r="L70" s="245"/>
      <c r="M70" s="245"/>
      <c r="N70" s="245"/>
      <c r="O70" s="251"/>
      <c r="Q70" s="5"/>
      <c r="W70" s="76"/>
      <c r="X70" s="76"/>
    </row>
    <row r="71" spans="2:26">
      <c r="B71" s="5"/>
      <c r="C71" s="5"/>
      <c r="D71" s="248"/>
      <c r="E71" s="248"/>
      <c r="F71" s="248"/>
      <c r="G71" s="248"/>
      <c r="H71" s="248"/>
      <c r="I71" s="245"/>
      <c r="J71" s="248"/>
      <c r="K71" s="248"/>
      <c r="L71" s="248"/>
      <c r="M71" s="248"/>
      <c r="N71" s="248"/>
      <c r="O71" s="5"/>
      <c r="Q71" s="5"/>
      <c r="W71" s="76"/>
      <c r="X71" s="76"/>
      <c r="Y71" s="76"/>
      <c r="Z71" s="76"/>
    </row>
    <row r="72" spans="2:26">
      <c r="B72" s="41"/>
      <c r="C72" s="5"/>
      <c r="D72" s="5"/>
      <c r="E72" s="5"/>
      <c r="F72" s="5"/>
      <c r="G72" s="5"/>
      <c r="H72" s="5"/>
      <c r="I72" s="18"/>
      <c r="J72" s="5"/>
      <c r="K72" s="5"/>
      <c r="L72" s="5"/>
      <c r="M72" s="5"/>
      <c r="N72" s="5"/>
      <c r="O72" s="5"/>
      <c r="Q72" s="5"/>
      <c r="Y72" s="76"/>
      <c r="Z72" s="76"/>
    </row>
    <row r="73" spans="2:26">
      <c r="B73" s="41"/>
      <c r="C73" s="245"/>
      <c r="D73" s="245"/>
      <c r="E73" s="245"/>
      <c r="F73" s="245"/>
      <c r="G73" s="245"/>
      <c r="H73" s="245"/>
      <c r="I73" s="5"/>
      <c r="J73" s="245"/>
      <c r="K73" s="245"/>
      <c r="L73" s="245"/>
      <c r="M73" s="245"/>
      <c r="N73" s="245"/>
      <c r="O73" s="251"/>
      <c r="Q73" s="5"/>
    </row>
    <row r="74" spans="2:26">
      <c r="B74" s="5"/>
      <c r="C74" s="5"/>
      <c r="D74" s="18"/>
      <c r="E74" s="18"/>
      <c r="F74" s="18"/>
      <c r="G74" s="18"/>
      <c r="H74" s="18"/>
      <c r="I74" s="249"/>
      <c r="J74" s="18"/>
      <c r="K74" s="18"/>
      <c r="L74" s="18"/>
      <c r="M74" s="18"/>
      <c r="N74" s="18"/>
      <c r="O74" s="5"/>
      <c r="Q74" s="5"/>
    </row>
    <row r="75" spans="2:26">
      <c r="B75" s="41"/>
      <c r="C75" s="5"/>
      <c r="D75" s="5"/>
      <c r="E75" s="5"/>
      <c r="F75" s="5"/>
      <c r="G75" s="5"/>
      <c r="H75" s="5"/>
      <c r="I75" s="248"/>
      <c r="J75" s="5"/>
      <c r="K75" s="5"/>
      <c r="L75" s="5"/>
      <c r="M75" s="5"/>
      <c r="N75" s="5"/>
      <c r="O75" s="5"/>
      <c r="Q75" s="5"/>
    </row>
    <row r="76" spans="2:26">
      <c r="B76" s="41"/>
      <c r="C76" s="249"/>
      <c r="D76" s="249"/>
      <c r="E76" s="249"/>
      <c r="F76" s="249"/>
      <c r="G76" s="249"/>
      <c r="H76" s="249"/>
      <c r="I76" s="5"/>
      <c r="J76" s="249"/>
      <c r="K76" s="249"/>
      <c r="L76" s="249"/>
      <c r="M76" s="249"/>
      <c r="N76" s="249"/>
      <c r="O76" s="251"/>
      <c r="Q76" s="5"/>
    </row>
    <row r="77" spans="2:26">
      <c r="B77" s="5"/>
      <c r="C77" s="5"/>
      <c r="D77" s="248"/>
      <c r="E77" s="248"/>
      <c r="F77" s="248"/>
      <c r="G77" s="248"/>
      <c r="H77" s="248"/>
      <c r="I77" s="245"/>
      <c r="J77" s="248"/>
      <c r="K77" s="248"/>
      <c r="L77" s="248"/>
      <c r="M77" s="248"/>
      <c r="N77" s="248"/>
      <c r="O77" s="5"/>
      <c r="Q77" s="5"/>
    </row>
    <row r="78" spans="2:26">
      <c r="B78" s="41"/>
      <c r="C78" s="5"/>
      <c r="D78" s="5"/>
      <c r="E78" s="5"/>
      <c r="F78" s="5"/>
      <c r="G78" s="5"/>
      <c r="H78" s="5"/>
      <c r="I78" s="248"/>
      <c r="J78" s="5"/>
      <c r="K78" s="5"/>
      <c r="L78" s="5"/>
      <c r="M78" s="5"/>
      <c r="N78" s="5"/>
      <c r="O78" s="5"/>
      <c r="Q78" s="5"/>
    </row>
    <row r="79" spans="2:26">
      <c r="B79" s="41"/>
      <c r="C79" s="245"/>
      <c r="D79" s="245"/>
      <c r="E79" s="245"/>
      <c r="F79" s="245"/>
      <c r="G79" s="245"/>
      <c r="H79" s="245"/>
      <c r="I79" s="5"/>
      <c r="J79" s="245"/>
      <c r="K79" s="245"/>
      <c r="L79" s="245"/>
      <c r="M79" s="245"/>
      <c r="N79" s="245"/>
      <c r="O79" s="251"/>
      <c r="Q79" s="5"/>
    </row>
    <row r="80" spans="2:26">
      <c r="B80" s="5"/>
      <c r="C80" s="5"/>
      <c r="D80" s="248"/>
      <c r="E80" s="248"/>
      <c r="F80" s="248"/>
      <c r="G80" s="248"/>
      <c r="H80" s="248"/>
      <c r="I80" s="249"/>
      <c r="J80" s="248"/>
      <c r="K80" s="248"/>
      <c r="L80" s="248"/>
      <c r="M80" s="248"/>
      <c r="N80" s="248"/>
      <c r="O80" s="5"/>
      <c r="Q80" s="5"/>
    </row>
    <row r="81" spans="2:26">
      <c r="B81" s="41"/>
      <c r="C81" s="5"/>
      <c r="D81" s="5"/>
      <c r="E81" s="5"/>
      <c r="F81" s="5"/>
      <c r="G81" s="5"/>
      <c r="H81" s="5"/>
      <c r="I81" s="248"/>
      <c r="J81" s="5"/>
      <c r="K81" s="5"/>
      <c r="L81" s="5"/>
      <c r="M81" s="5"/>
      <c r="N81" s="5"/>
      <c r="O81" s="5"/>
      <c r="Q81" s="5"/>
    </row>
    <row r="82" spans="2:26">
      <c r="B82" s="41"/>
      <c r="C82" s="249"/>
      <c r="D82" s="249"/>
      <c r="E82" s="249"/>
      <c r="F82" s="249"/>
      <c r="G82" s="249"/>
      <c r="H82" s="249"/>
      <c r="I82" s="259"/>
      <c r="J82" s="249"/>
      <c r="K82" s="249"/>
      <c r="L82" s="249"/>
      <c r="M82" s="249"/>
      <c r="N82" s="249"/>
      <c r="O82" s="251"/>
      <c r="Q82" s="5"/>
    </row>
    <row r="83" spans="2:26">
      <c r="B83" s="5"/>
      <c r="C83" s="5"/>
      <c r="D83" s="248"/>
      <c r="E83" s="248"/>
      <c r="F83" s="248"/>
      <c r="G83" s="248"/>
      <c r="H83" s="248"/>
      <c r="I83" s="5"/>
      <c r="J83" s="248"/>
      <c r="K83" s="248"/>
      <c r="L83" s="248"/>
      <c r="M83" s="248"/>
      <c r="N83" s="248"/>
      <c r="O83" s="5"/>
      <c r="Q83" s="5"/>
    </row>
    <row r="84" spans="2:26">
      <c r="B84" s="5"/>
      <c r="C84" s="259"/>
      <c r="D84" s="259"/>
      <c r="E84" s="259"/>
      <c r="F84" s="259"/>
      <c r="G84" s="259"/>
      <c r="H84" s="259"/>
      <c r="I84" s="245"/>
      <c r="J84" s="259"/>
      <c r="K84" s="259"/>
      <c r="L84" s="259"/>
      <c r="M84" s="259"/>
      <c r="N84" s="259"/>
      <c r="O84" s="251"/>
      <c r="Q84" s="5"/>
    </row>
    <row r="85" spans="2:26">
      <c r="B85" s="41"/>
      <c r="C85" s="5"/>
      <c r="D85" s="5"/>
      <c r="E85" s="5"/>
      <c r="F85" s="5"/>
      <c r="G85" s="5"/>
      <c r="H85" s="5"/>
      <c r="I85" s="248"/>
      <c r="J85" s="5"/>
      <c r="K85" s="5"/>
      <c r="L85" s="5"/>
      <c r="M85" s="5"/>
      <c r="N85" s="5"/>
      <c r="O85" s="5"/>
      <c r="Q85" s="5"/>
    </row>
    <row r="86" spans="2:26">
      <c r="B86" s="41"/>
      <c r="C86" s="245"/>
      <c r="D86" s="245"/>
      <c r="E86" s="245"/>
      <c r="F86" s="245"/>
      <c r="G86" s="245"/>
      <c r="H86" s="245"/>
      <c r="I86" s="5"/>
      <c r="J86" s="245"/>
      <c r="K86" s="245"/>
      <c r="L86" s="245"/>
      <c r="M86" s="245"/>
      <c r="N86" s="245"/>
      <c r="O86" s="251"/>
      <c r="Q86" s="5"/>
    </row>
    <row r="87" spans="2:26">
      <c r="B87" s="5"/>
      <c r="C87" s="5"/>
      <c r="D87" s="248"/>
      <c r="E87" s="248"/>
      <c r="F87" s="248"/>
      <c r="G87" s="248"/>
      <c r="H87" s="248"/>
      <c r="I87" s="5"/>
      <c r="J87" s="248"/>
      <c r="K87" s="248"/>
      <c r="L87" s="248"/>
      <c r="M87" s="248"/>
      <c r="N87" s="248"/>
      <c r="O87" s="5"/>
      <c r="Q87" s="5"/>
    </row>
    <row r="88" spans="2:26">
      <c r="B88" s="41"/>
      <c r="C88" s="5"/>
      <c r="D88" s="5"/>
      <c r="E88" s="5"/>
      <c r="F88" s="5"/>
      <c r="G88" s="5"/>
      <c r="H88" s="5"/>
      <c r="I88" s="5"/>
      <c r="J88" s="5"/>
      <c r="K88" s="5"/>
      <c r="L88" s="5"/>
      <c r="M88" s="5"/>
      <c r="N88" s="5"/>
      <c r="O88" s="5"/>
      <c r="Q88" s="5"/>
    </row>
    <row r="89" spans="2:26">
      <c r="B89" s="41"/>
      <c r="C89" s="5"/>
      <c r="D89" s="5"/>
      <c r="E89" s="5"/>
      <c r="F89" s="5"/>
      <c r="G89" s="5"/>
      <c r="H89" s="5"/>
      <c r="I89" s="5"/>
      <c r="J89" s="5"/>
      <c r="K89" s="5"/>
      <c r="L89" s="5"/>
      <c r="M89" s="5"/>
      <c r="N89" s="5"/>
      <c r="O89" s="5"/>
      <c r="Q89" s="5"/>
    </row>
    <row r="90" spans="2:26">
      <c r="B90" s="41"/>
      <c r="C90" s="5"/>
      <c r="D90" s="5"/>
      <c r="E90" s="5"/>
      <c r="F90" s="5"/>
      <c r="G90" s="5"/>
      <c r="H90" s="5"/>
      <c r="I90" s="49"/>
      <c r="J90" s="5"/>
      <c r="K90" s="5"/>
      <c r="L90" s="5"/>
      <c r="M90" s="5"/>
      <c r="N90" s="5"/>
      <c r="O90" s="5"/>
      <c r="Q90" s="41"/>
    </row>
    <row r="91" spans="2:26">
      <c r="B91" s="5"/>
      <c r="C91" s="5"/>
      <c r="D91" s="5"/>
      <c r="E91" s="5"/>
      <c r="F91" s="5"/>
      <c r="G91" s="5"/>
      <c r="H91" s="5"/>
      <c r="I91" s="5"/>
      <c r="J91" s="5"/>
      <c r="K91" s="5"/>
      <c r="L91" s="5"/>
      <c r="M91" s="5"/>
      <c r="N91" s="5"/>
      <c r="O91" s="5"/>
      <c r="Q91" s="5"/>
    </row>
    <row r="92" spans="2:26">
      <c r="B92" s="41"/>
      <c r="C92" s="49"/>
      <c r="D92" s="49"/>
      <c r="E92" s="49"/>
      <c r="F92" s="49"/>
      <c r="G92" s="49"/>
      <c r="H92" s="49"/>
      <c r="I92" s="247"/>
      <c r="J92" s="49"/>
      <c r="K92" s="49"/>
      <c r="L92" s="49"/>
      <c r="M92" s="49"/>
      <c r="N92" s="49"/>
      <c r="O92" s="49"/>
      <c r="Q92" s="5"/>
      <c r="W92" s="21"/>
      <c r="X92" s="21"/>
    </row>
    <row r="93" spans="2:26">
      <c r="B93" s="5"/>
      <c r="C93" s="5"/>
      <c r="D93" s="5"/>
      <c r="E93" s="5"/>
      <c r="F93" s="5"/>
      <c r="G93" s="5"/>
      <c r="H93" s="5"/>
      <c r="I93" s="247"/>
      <c r="J93" s="5"/>
      <c r="K93" s="5"/>
      <c r="L93" s="5"/>
      <c r="M93" s="5"/>
      <c r="N93" s="5"/>
      <c r="O93" s="5"/>
      <c r="Q93" s="5"/>
      <c r="W93" s="21"/>
      <c r="X93" s="21"/>
      <c r="Y93" s="21"/>
      <c r="Z93" s="21"/>
    </row>
    <row r="94" spans="2:26">
      <c r="B94" s="5"/>
      <c r="C94" s="259"/>
      <c r="D94" s="247"/>
      <c r="E94" s="247"/>
      <c r="F94" s="247"/>
      <c r="G94" s="247"/>
      <c r="H94" s="247"/>
      <c r="I94" s="247"/>
      <c r="J94" s="247"/>
      <c r="K94" s="247"/>
      <c r="L94" s="247"/>
      <c r="M94" s="247"/>
      <c r="N94" s="247"/>
      <c r="O94" s="248"/>
      <c r="Q94" s="5"/>
      <c r="Y94" s="21"/>
      <c r="Z94" s="21"/>
    </row>
    <row r="95" spans="2:26">
      <c r="B95" s="5"/>
      <c r="C95" s="259"/>
      <c r="D95" s="247"/>
      <c r="E95" s="247"/>
      <c r="F95" s="247"/>
      <c r="G95" s="247"/>
      <c r="H95" s="247"/>
      <c r="I95" s="248"/>
      <c r="J95" s="247"/>
      <c r="K95" s="247"/>
      <c r="L95" s="247"/>
      <c r="M95" s="247"/>
      <c r="N95" s="247"/>
      <c r="O95" s="248"/>
      <c r="Q95" s="5"/>
    </row>
    <row r="96" spans="2:26">
      <c r="B96" s="5"/>
      <c r="C96" s="259"/>
      <c r="D96" s="247"/>
      <c r="E96" s="247"/>
      <c r="F96" s="247"/>
      <c r="G96" s="247"/>
      <c r="H96" s="247"/>
      <c r="I96" s="247"/>
      <c r="J96" s="247"/>
      <c r="K96" s="247"/>
      <c r="L96" s="247"/>
      <c r="M96" s="247"/>
      <c r="N96" s="247"/>
      <c r="O96" s="248"/>
      <c r="Q96" s="5"/>
    </row>
    <row r="97" spans="2:17">
      <c r="B97" s="5"/>
      <c r="C97" s="259"/>
      <c r="D97" s="248"/>
      <c r="E97" s="248"/>
      <c r="F97" s="248"/>
      <c r="G97" s="248"/>
      <c r="H97" s="248"/>
      <c r="I97" s="249"/>
      <c r="J97" s="248"/>
      <c r="K97" s="248"/>
      <c r="L97" s="248"/>
      <c r="M97" s="248"/>
      <c r="N97" s="248"/>
      <c r="O97" s="248"/>
      <c r="Q97" s="5"/>
    </row>
    <row r="98" spans="2:17">
      <c r="B98" s="5"/>
      <c r="C98" s="259"/>
      <c r="D98" s="247"/>
      <c r="E98" s="247"/>
      <c r="F98" s="247"/>
      <c r="G98" s="247"/>
      <c r="H98" s="247"/>
      <c r="I98" s="248"/>
      <c r="J98" s="247"/>
      <c r="K98" s="247"/>
      <c r="L98" s="247"/>
      <c r="M98" s="247"/>
      <c r="N98" s="247"/>
      <c r="O98" s="248"/>
      <c r="Q98" s="5"/>
    </row>
    <row r="99" spans="2:17">
      <c r="B99" s="41"/>
      <c r="C99" s="249"/>
      <c r="D99" s="249"/>
      <c r="E99" s="249"/>
      <c r="F99" s="249"/>
      <c r="G99" s="249"/>
      <c r="H99" s="249"/>
      <c r="I99" s="5"/>
      <c r="J99" s="249"/>
      <c r="K99" s="249"/>
      <c r="L99" s="249"/>
      <c r="M99" s="249"/>
      <c r="N99" s="249"/>
      <c r="O99" s="248"/>
      <c r="Q99" s="5"/>
    </row>
    <row r="100" spans="2:17">
      <c r="B100" s="41"/>
      <c r="C100" s="257"/>
      <c r="D100" s="248"/>
      <c r="E100" s="248"/>
      <c r="F100" s="248"/>
      <c r="G100" s="248"/>
      <c r="H100" s="248"/>
      <c r="I100" s="259"/>
      <c r="J100" s="248"/>
      <c r="K100" s="248"/>
      <c r="L100" s="248"/>
      <c r="M100" s="248"/>
      <c r="N100" s="248"/>
      <c r="O100" s="248"/>
      <c r="Q100" s="5"/>
    </row>
    <row r="101" spans="2:17" s="5" customFormat="1">
      <c r="B101" s="41"/>
      <c r="I101" s="259"/>
      <c r="O101" s="248"/>
      <c r="P101" s="39"/>
    </row>
    <row r="102" spans="2:17">
      <c r="B102" s="5"/>
      <c r="C102" s="259"/>
      <c r="D102" s="259"/>
      <c r="E102" s="259"/>
      <c r="F102" s="259"/>
      <c r="G102" s="259"/>
      <c r="H102" s="259"/>
      <c r="I102" s="247"/>
      <c r="J102" s="259"/>
      <c r="K102" s="259"/>
      <c r="L102" s="259"/>
      <c r="M102" s="259"/>
      <c r="N102" s="259"/>
      <c r="O102" s="5"/>
      <c r="Q102" s="5"/>
    </row>
    <row r="103" spans="2:17">
      <c r="B103" s="5"/>
      <c r="C103" s="259"/>
      <c r="D103" s="259"/>
      <c r="E103" s="259"/>
      <c r="F103" s="259"/>
      <c r="G103" s="259"/>
      <c r="H103" s="259"/>
      <c r="I103" s="5"/>
      <c r="J103" s="259"/>
      <c r="K103" s="259"/>
      <c r="L103" s="259"/>
      <c r="M103" s="259"/>
      <c r="N103" s="259"/>
      <c r="O103" s="5"/>
      <c r="P103" s="5"/>
      <c r="Q103" s="5"/>
    </row>
    <row r="104" spans="2:17">
      <c r="B104" s="5"/>
      <c r="C104" s="247"/>
      <c r="D104" s="247"/>
      <c r="E104" s="247"/>
      <c r="F104" s="247"/>
      <c r="G104" s="247"/>
      <c r="H104" s="247"/>
      <c r="I104" s="247"/>
      <c r="J104" s="247"/>
      <c r="K104" s="247"/>
      <c r="L104" s="247"/>
      <c r="M104" s="247"/>
      <c r="N104" s="247"/>
      <c r="O104" s="5"/>
      <c r="Q104" s="5"/>
    </row>
    <row r="105" spans="2:17" s="5" customFormat="1">
      <c r="P105" s="39"/>
    </row>
    <row r="106" spans="2:17" s="5" customFormat="1">
      <c r="C106" s="259"/>
      <c r="D106" s="247"/>
      <c r="E106" s="247"/>
      <c r="F106" s="247"/>
      <c r="G106" s="247"/>
      <c r="H106" s="247"/>
      <c r="I106" s="259"/>
      <c r="J106" s="247"/>
      <c r="K106" s="247"/>
      <c r="L106" s="247"/>
      <c r="M106" s="247"/>
      <c r="N106" s="247"/>
      <c r="P106" s="39"/>
    </row>
    <row r="107" spans="2:17">
      <c r="B107" s="5"/>
      <c r="C107" s="259"/>
      <c r="D107" s="5"/>
      <c r="E107" s="5"/>
      <c r="F107" s="5"/>
      <c r="G107" s="5"/>
      <c r="H107" s="5"/>
      <c r="I107" s="247"/>
      <c r="J107" s="5"/>
      <c r="K107" s="5"/>
      <c r="L107" s="5"/>
      <c r="M107" s="5"/>
      <c r="N107" s="5"/>
      <c r="O107" s="5"/>
      <c r="P107" s="5"/>
      <c r="Q107" s="5"/>
    </row>
    <row r="108" spans="2:17">
      <c r="B108" s="5"/>
      <c r="C108" s="259"/>
      <c r="D108" s="259"/>
      <c r="E108" s="259"/>
      <c r="F108" s="259"/>
      <c r="G108" s="259"/>
      <c r="H108" s="259"/>
      <c r="I108" s="249"/>
      <c r="J108" s="259"/>
      <c r="K108" s="259"/>
      <c r="L108" s="259"/>
      <c r="M108" s="259"/>
      <c r="N108" s="259"/>
      <c r="O108" s="5"/>
      <c r="P108" s="5"/>
      <c r="Q108" s="5"/>
    </row>
    <row r="109" spans="2:17">
      <c r="B109" s="5"/>
      <c r="C109" s="247"/>
      <c r="D109" s="247"/>
      <c r="E109" s="247"/>
      <c r="F109" s="247"/>
      <c r="G109" s="247"/>
      <c r="H109" s="247"/>
      <c r="I109" s="249"/>
      <c r="J109" s="247"/>
      <c r="K109" s="247"/>
      <c r="L109" s="247"/>
      <c r="M109" s="247"/>
      <c r="N109" s="247"/>
      <c r="O109" s="5"/>
      <c r="Q109" s="5"/>
    </row>
    <row r="110" spans="2:17">
      <c r="B110" s="41"/>
      <c r="C110" s="249"/>
      <c r="D110" s="249"/>
      <c r="E110" s="249"/>
      <c r="F110" s="249"/>
      <c r="G110" s="249"/>
      <c r="H110" s="249"/>
      <c r="I110" s="247"/>
      <c r="J110" s="249"/>
      <c r="K110" s="249"/>
      <c r="L110" s="249"/>
      <c r="M110" s="249"/>
      <c r="N110" s="249"/>
      <c r="O110" s="5"/>
      <c r="Q110" s="5"/>
    </row>
    <row r="111" spans="2:17">
      <c r="B111" s="5"/>
      <c r="C111" s="249"/>
      <c r="D111" s="249"/>
      <c r="E111" s="249"/>
      <c r="F111" s="249"/>
      <c r="G111" s="249"/>
      <c r="H111" s="249"/>
      <c r="I111" s="5"/>
      <c r="J111" s="249"/>
      <c r="K111" s="249"/>
      <c r="L111" s="249"/>
      <c r="M111" s="249"/>
      <c r="N111" s="249"/>
      <c r="O111" s="5"/>
      <c r="Q111" s="5"/>
    </row>
    <row r="112" spans="2:17">
      <c r="B112" s="5"/>
      <c r="C112" s="247"/>
      <c r="D112" s="247"/>
      <c r="E112" s="247"/>
      <c r="F112" s="247"/>
      <c r="G112" s="247"/>
      <c r="H112" s="247"/>
      <c r="I112" s="5"/>
      <c r="J112" s="247"/>
      <c r="K112" s="247"/>
      <c r="L112" s="247"/>
      <c r="M112" s="247"/>
      <c r="N112" s="247"/>
      <c r="O112" s="5"/>
      <c r="Q112" s="5"/>
    </row>
    <row r="113" spans="2:17">
      <c r="B113" s="5"/>
      <c r="C113" s="5"/>
      <c r="D113" s="5"/>
      <c r="E113" s="5"/>
      <c r="F113" s="5"/>
      <c r="G113" s="5"/>
      <c r="H113" s="5"/>
      <c r="I113" s="5"/>
      <c r="J113" s="5"/>
      <c r="K113" s="5"/>
      <c r="L113" s="5"/>
      <c r="M113" s="5"/>
      <c r="N113" s="5"/>
      <c r="O113" s="5"/>
      <c r="Q113" s="5"/>
    </row>
    <row r="114" spans="2:17">
      <c r="B114" s="5"/>
      <c r="C114" s="5"/>
      <c r="D114" s="5"/>
      <c r="E114" s="5"/>
      <c r="F114" s="5"/>
      <c r="G114" s="5"/>
      <c r="H114" s="5"/>
      <c r="I114" s="5"/>
      <c r="J114" s="5"/>
      <c r="K114" s="5"/>
      <c r="L114" s="5"/>
      <c r="M114" s="5"/>
      <c r="N114" s="5"/>
      <c r="O114" s="5"/>
      <c r="Q114" s="5"/>
    </row>
    <row r="115" spans="2:17">
      <c r="B115" s="5"/>
      <c r="C115" s="5"/>
      <c r="D115" s="5"/>
      <c r="E115" s="5"/>
      <c r="F115" s="5"/>
      <c r="G115" s="5"/>
      <c r="H115" s="5"/>
      <c r="I115" s="49"/>
      <c r="J115" s="5"/>
      <c r="K115" s="5"/>
      <c r="L115" s="5"/>
      <c r="M115" s="5"/>
      <c r="N115" s="5"/>
      <c r="O115" s="5"/>
      <c r="Q115" s="41"/>
    </row>
    <row r="116" spans="2:17">
      <c r="B116" s="5"/>
      <c r="C116" s="5"/>
      <c r="D116" s="5"/>
      <c r="E116" s="5"/>
      <c r="F116" s="5"/>
      <c r="G116" s="5"/>
      <c r="H116" s="5"/>
      <c r="I116" s="5"/>
      <c r="J116" s="5"/>
      <c r="K116" s="5"/>
      <c r="L116" s="5"/>
      <c r="M116" s="5"/>
      <c r="N116" s="5"/>
      <c r="O116" s="5"/>
      <c r="Q116" s="5"/>
    </row>
    <row r="117" spans="2:17">
      <c r="B117" s="41"/>
      <c r="C117" s="49"/>
      <c r="D117" s="49"/>
      <c r="E117" s="49"/>
      <c r="F117" s="49"/>
      <c r="G117" s="49"/>
      <c r="H117" s="49"/>
      <c r="I117" s="254"/>
      <c r="J117" s="49"/>
      <c r="K117" s="49"/>
      <c r="L117" s="49"/>
      <c r="M117" s="49"/>
      <c r="N117" s="49"/>
      <c r="O117" s="49"/>
      <c r="Q117" s="5"/>
    </row>
    <row r="118" spans="2:17">
      <c r="B118" s="5"/>
      <c r="C118" s="5"/>
      <c r="D118" s="5"/>
      <c r="E118" s="5"/>
      <c r="F118" s="5"/>
      <c r="G118" s="5"/>
      <c r="H118" s="5"/>
      <c r="I118" s="249"/>
      <c r="J118" s="5"/>
      <c r="K118" s="5"/>
      <c r="L118" s="5"/>
      <c r="M118" s="5"/>
      <c r="N118" s="5"/>
      <c r="O118" s="5"/>
      <c r="Q118" s="5"/>
    </row>
    <row r="119" spans="2:17">
      <c r="B119" s="41"/>
      <c r="C119" s="254"/>
      <c r="D119" s="254"/>
      <c r="E119" s="254"/>
      <c r="F119" s="254"/>
      <c r="G119" s="254"/>
      <c r="H119" s="254"/>
      <c r="I119" s="254"/>
      <c r="J119" s="254"/>
      <c r="K119" s="254"/>
      <c r="L119" s="254"/>
      <c r="M119" s="254"/>
      <c r="N119" s="254"/>
      <c r="O119" s="248"/>
      <c r="Q119" s="5"/>
    </row>
    <row r="120" spans="2:17">
      <c r="B120" s="41"/>
      <c r="C120" s="254"/>
      <c r="D120" s="249"/>
      <c r="E120" s="249"/>
      <c r="F120" s="249"/>
      <c r="G120" s="249"/>
      <c r="H120" s="249"/>
      <c r="I120" s="254"/>
      <c r="J120" s="249"/>
      <c r="K120" s="249"/>
      <c r="L120" s="249"/>
      <c r="M120" s="249"/>
      <c r="N120" s="249"/>
      <c r="O120" s="248"/>
      <c r="Q120" s="5"/>
    </row>
    <row r="121" spans="2:17">
      <c r="B121" s="41"/>
      <c r="C121" s="254"/>
      <c r="D121" s="254"/>
      <c r="E121" s="254"/>
      <c r="F121" s="254"/>
      <c r="G121" s="254"/>
      <c r="H121" s="254"/>
      <c r="I121" s="254"/>
      <c r="J121" s="254"/>
      <c r="K121" s="254"/>
      <c r="L121" s="254"/>
      <c r="M121" s="254"/>
      <c r="N121" s="254"/>
      <c r="O121" s="248"/>
      <c r="Q121" s="5"/>
    </row>
    <row r="122" spans="2:17">
      <c r="B122" s="41"/>
      <c r="C122" s="254"/>
      <c r="D122" s="254"/>
      <c r="E122" s="254"/>
      <c r="F122" s="254"/>
      <c r="G122" s="254"/>
      <c r="H122" s="254"/>
      <c r="I122" s="254"/>
      <c r="J122" s="254"/>
      <c r="K122" s="254"/>
      <c r="L122" s="254"/>
      <c r="M122" s="254"/>
      <c r="N122" s="254"/>
      <c r="O122" s="248"/>
      <c r="Q122" s="5"/>
    </row>
    <row r="123" spans="2:17">
      <c r="B123" s="41"/>
      <c r="C123" s="254"/>
      <c r="D123" s="254"/>
      <c r="E123" s="254"/>
      <c r="F123" s="254"/>
      <c r="G123" s="254"/>
      <c r="H123" s="254"/>
      <c r="I123" s="254"/>
      <c r="J123" s="254"/>
      <c r="K123" s="254"/>
      <c r="L123" s="254"/>
      <c r="M123" s="254"/>
      <c r="N123" s="254"/>
      <c r="O123" s="248"/>
      <c r="Q123" s="5"/>
    </row>
    <row r="124" spans="2:17">
      <c r="B124" s="41"/>
      <c r="C124" s="254"/>
      <c r="D124" s="254"/>
      <c r="E124" s="254"/>
      <c r="F124" s="254"/>
      <c r="G124" s="254"/>
      <c r="H124" s="254"/>
      <c r="I124" s="254"/>
      <c r="J124" s="254"/>
      <c r="K124" s="254"/>
      <c r="L124" s="254"/>
      <c r="M124" s="254"/>
      <c r="N124" s="254"/>
      <c r="O124" s="248"/>
      <c r="Q124" s="5"/>
    </row>
    <row r="125" spans="2:17">
      <c r="B125" s="41"/>
      <c r="C125" s="254"/>
      <c r="D125" s="254"/>
      <c r="E125" s="254"/>
      <c r="F125" s="254"/>
      <c r="G125" s="254"/>
      <c r="H125" s="254"/>
      <c r="I125" s="254"/>
      <c r="J125" s="254"/>
      <c r="K125" s="254"/>
      <c r="L125" s="254"/>
      <c r="M125" s="254"/>
      <c r="N125" s="254"/>
      <c r="O125" s="5"/>
      <c r="Q125" s="5"/>
    </row>
    <row r="126" spans="2:17">
      <c r="B126" s="41"/>
      <c r="C126" s="254"/>
      <c r="D126" s="254"/>
      <c r="E126" s="254"/>
      <c r="F126" s="254"/>
      <c r="G126" s="254"/>
      <c r="H126" s="254"/>
      <c r="I126" s="254"/>
      <c r="J126" s="254"/>
      <c r="K126" s="254"/>
      <c r="L126" s="254"/>
      <c r="M126" s="254"/>
      <c r="N126" s="254"/>
      <c r="O126" s="5"/>
      <c r="Q126" s="5"/>
    </row>
    <row r="127" spans="2:17">
      <c r="B127" s="41"/>
      <c r="C127" s="254"/>
      <c r="D127" s="254"/>
      <c r="E127" s="254"/>
      <c r="F127" s="254"/>
      <c r="G127" s="254"/>
      <c r="H127" s="254"/>
      <c r="I127" s="18"/>
      <c r="J127" s="254"/>
      <c r="K127" s="254"/>
      <c r="L127" s="254"/>
      <c r="M127" s="254"/>
      <c r="N127" s="254"/>
      <c r="O127" s="5"/>
      <c r="Q127" s="5"/>
    </row>
    <row r="128" spans="2:17">
      <c r="B128" s="41"/>
      <c r="C128" s="254"/>
      <c r="D128" s="254"/>
      <c r="E128" s="254"/>
      <c r="F128" s="254"/>
      <c r="G128" s="254"/>
      <c r="H128" s="254"/>
      <c r="I128" s="5"/>
      <c r="J128" s="254"/>
      <c r="K128" s="254"/>
      <c r="L128" s="254"/>
      <c r="M128" s="254"/>
      <c r="N128" s="254"/>
      <c r="O128" s="5"/>
      <c r="Q128" s="5"/>
    </row>
    <row r="129" spans="2:27">
      <c r="B129" s="5"/>
      <c r="C129" s="5"/>
      <c r="D129" s="18"/>
      <c r="E129" s="18"/>
      <c r="F129" s="18"/>
      <c r="G129" s="18"/>
      <c r="H129" s="18"/>
      <c r="I129" s="254"/>
      <c r="J129" s="18"/>
      <c r="K129" s="18"/>
      <c r="L129" s="18"/>
      <c r="M129" s="18"/>
      <c r="N129" s="18"/>
      <c r="O129" s="5"/>
      <c r="Q129" s="5"/>
    </row>
    <row r="130" spans="2:27">
      <c r="B130" s="5"/>
      <c r="C130" s="5"/>
      <c r="D130" s="5"/>
      <c r="E130" s="5"/>
      <c r="F130" s="5"/>
      <c r="G130" s="5"/>
      <c r="H130" s="5"/>
      <c r="I130" s="18"/>
      <c r="J130" s="5"/>
      <c r="K130" s="5"/>
      <c r="L130" s="5"/>
      <c r="M130" s="5"/>
      <c r="N130" s="5"/>
      <c r="O130" s="5"/>
      <c r="Q130" s="5"/>
    </row>
    <row r="131" spans="2:27">
      <c r="B131" s="41"/>
      <c r="C131" s="254"/>
      <c r="D131" s="254"/>
      <c r="E131" s="254"/>
      <c r="F131" s="254"/>
      <c r="G131" s="254"/>
      <c r="H131" s="254"/>
      <c r="I131" s="5"/>
      <c r="J131" s="254"/>
      <c r="K131" s="254"/>
      <c r="L131" s="254"/>
      <c r="M131" s="254"/>
      <c r="N131" s="254"/>
      <c r="O131" s="5"/>
      <c r="Q131" s="5"/>
    </row>
    <row r="132" spans="2:27">
      <c r="B132" s="5"/>
      <c r="C132" s="259"/>
      <c r="D132" s="18"/>
      <c r="E132" s="18"/>
      <c r="F132" s="18"/>
      <c r="G132" s="18"/>
      <c r="H132" s="18"/>
      <c r="I132" s="5"/>
      <c r="J132" s="18"/>
      <c r="K132" s="18"/>
      <c r="L132" s="18"/>
      <c r="M132" s="18"/>
      <c r="N132" s="18"/>
      <c r="O132" s="5"/>
      <c r="Q132" s="5"/>
    </row>
    <row r="133" spans="2:27">
      <c r="B133" s="5"/>
      <c r="C133" s="5"/>
      <c r="D133" s="5"/>
      <c r="E133" s="5"/>
      <c r="F133" s="5"/>
      <c r="G133" s="5"/>
      <c r="H133" s="5"/>
      <c r="I133" s="17"/>
      <c r="J133" s="5"/>
      <c r="K133" s="5"/>
      <c r="L133" s="5"/>
      <c r="M133" s="5"/>
      <c r="N133" s="5"/>
      <c r="O133" s="5"/>
      <c r="Q133" s="5"/>
    </row>
    <row r="134" spans="2:27">
      <c r="B134" s="41"/>
      <c r="C134" s="5"/>
      <c r="D134" s="5"/>
      <c r="E134" s="5"/>
      <c r="F134" s="5"/>
      <c r="G134" s="5"/>
      <c r="H134" s="5"/>
      <c r="I134" s="17"/>
      <c r="J134" s="5"/>
      <c r="K134" s="5"/>
      <c r="L134" s="5"/>
      <c r="M134" s="5"/>
      <c r="N134" s="5"/>
      <c r="O134" s="5"/>
      <c r="Q134" s="5"/>
    </row>
    <row r="135" spans="2:27">
      <c r="B135" s="5"/>
      <c r="C135" s="17"/>
      <c r="D135" s="17"/>
      <c r="E135" s="17"/>
      <c r="F135" s="17"/>
      <c r="G135" s="17"/>
      <c r="H135" s="17"/>
      <c r="I135" s="17"/>
      <c r="J135" s="17"/>
      <c r="K135" s="17"/>
      <c r="L135" s="17"/>
      <c r="M135" s="17"/>
      <c r="N135" s="17"/>
      <c r="O135" s="5"/>
      <c r="Q135" s="41"/>
    </row>
    <row r="136" spans="2:27">
      <c r="B136" s="5"/>
      <c r="C136" s="17"/>
      <c r="D136" s="17"/>
      <c r="E136" s="17"/>
      <c r="F136" s="17"/>
      <c r="G136" s="17"/>
      <c r="H136" s="17"/>
      <c r="I136" s="17"/>
      <c r="J136" s="17"/>
      <c r="K136" s="17"/>
      <c r="L136" s="17"/>
      <c r="M136" s="17"/>
      <c r="N136" s="17"/>
      <c r="O136" s="5"/>
      <c r="Q136" s="5"/>
      <c r="X136" s="304"/>
    </row>
    <row r="137" spans="2:27">
      <c r="B137" s="5"/>
      <c r="C137" s="5"/>
      <c r="D137" s="17"/>
      <c r="E137" s="17"/>
      <c r="F137" s="17"/>
      <c r="G137" s="17"/>
      <c r="H137" s="17"/>
      <c r="I137" s="17"/>
      <c r="J137" s="17"/>
      <c r="K137" s="17"/>
      <c r="L137" s="17"/>
      <c r="M137" s="17"/>
      <c r="N137" s="17"/>
      <c r="O137" s="5"/>
      <c r="Q137" s="5"/>
      <c r="X137" s="10"/>
      <c r="Y137" s="304"/>
      <c r="Z137" s="304"/>
      <c r="AA137" s="304"/>
    </row>
    <row r="138" spans="2:27">
      <c r="B138" s="5"/>
      <c r="C138" s="5"/>
      <c r="D138" s="17"/>
      <c r="E138" s="17"/>
      <c r="F138" s="17"/>
      <c r="G138" s="17"/>
      <c r="H138" s="17"/>
      <c r="I138" s="17"/>
      <c r="J138" s="17"/>
      <c r="K138" s="17"/>
      <c r="L138" s="17"/>
      <c r="M138" s="17"/>
      <c r="N138" s="17"/>
      <c r="O138" s="5"/>
      <c r="Q138" s="5"/>
      <c r="Y138" s="10"/>
      <c r="Z138" s="10"/>
      <c r="AA138" s="10"/>
    </row>
    <row r="139" spans="2:27">
      <c r="B139" s="5"/>
      <c r="C139" s="5"/>
      <c r="D139" s="17"/>
      <c r="E139" s="17"/>
      <c r="F139" s="17"/>
      <c r="G139" s="17"/>
      <c r="H139" s="17"/>
      <c r="I139" s="5"/>
      <c r="J139" s="17"/>
      <c r="K139" s="17"/>
      <c r="L139" s="17"/>
      <c r="M139" s="17"/>
      <c r="N139" s="17"/>
      <c r="O139" s="5"/>
      <c r="Q139" s="5"/>
    </row>
    <row r="140" spans="2:27">
      <c r="B140" s="5"/>
      <c r="C140" s="17"/>
      <c r="D140" s="17"/>
      <c r="E140" s="17"/>
      <c r="F140" s="17"/>
      <c r="G140" s="17"/>
      <c r="H140" s="17"/>
      <c r="I140" s="5"/>
      <c r="J140" s="17"/>
      <c r="K140" s="17"/>
      <c r="L140" s="17"/>
      <c r="M140" s="17"/>
      <c r="N140" s="17"/>
      <c r="O140" s="5"/>
      <c r="Q140" s="5"/>
    </row>
    <row r="141" spans="2:27">
      <c r="B141" s="5"/>
      <c r="C141" s="5"/>
      <c r="D141" s="5"/>
      <c r="E141" s="5"/>
      <c r="F141" s="5"/>
      <c r="G141" s="5"/>
      <c r="H141" s="5"/>
      <c r="I141" s="5"/>
      <c r="J141" s="5"/>
      <c r="K141" s="5"/>
      <c r="L141" s="5"/>
      <c r="M141" s="5"/>
      <c r="N141" s="5"/>
      <c r="O141" s="5"/>
      <c r="Q141" s="5"/>
    </row>
    <row r="142" spans="2:27">
      <c r="B142" s="5"/>
      <c r="C142" s="5"/>
      <c r="D142" s="5"/>
      <c r="E142" s="5"/>
      <c r="F142" s="5"/>
      <c r="G142" s="5"/>
      <c r="H142" s="5"/>
      <c r="I142" s="5"/>
      <c r="J142" s="5"/>
      <c r="K142" s="5"/>
      <c r="L142" s="5"/>
      <c r="M142" s="5"/>
      <c r="N142" s="5"/>
      <c r="O142" s="5"/>
      <c r="Q142" s="5"/>
    </row>
    <row r="143" spans="2:27">
      <c r="B143" s="5"/>
      <c r="C143" s="5"/>
      <c r="D143" s="5"/>
      <c r="E143" s="5"/>
      <c r="F143" s="5"/>
      <c r="G143" s="5"/>
      <c r="H143" s="5"/>
      <c r="I143" s="5"/>
      <c r="J143" s="5"/>
      <c r="K143" s="5"/>
      <c r="L143" s="5"/>
      <c r="M143" s="5"/>
      <c r="N143" s="5"/>
      <c r="O143" s="5"/>
      <c r="Q143" s="5"/>
    </row>
    <row r="144" spans="2:27">
      <c r="B144" s="5"/>
      <c r="C144" s="5"/>
      <c r="D144" s="5"/>
      <c r="E144" s="5"/>
      <c r="F144" s="5"/>
      <c r="G144" s="5"/>
      <c r="H144" s="5"/>
      <c r="I144" s="5"/>
      <c r="J144" s="5"/>
      <c r="K144" s="5"/>
      <c r="L144" s="5"/>
      <c r="M144" s="5"/>
      <c r="N144" s="5"/>
      <c r="O144" s="5"/>
      <c r="Q144" s="5"/>
    </row>
    <row r="145" spans="2:17">
      <c r="B145" s="5"/>
      <c r="C145" s="5"/>
      <c r="D145" s="5"/>
      <c r="E145" s="5"/>
      <c r="F145" s="5"/>
      <c r="G145" s="5"/>
      <c r="H145" s="5"/>
      <c r="I145" s="5"/>
      <c r="J145" s="5"/>
      <c r="K145" s="5"/>
      <c r="L145" s="5"/>
      <c r="M145" s="5"/>
      <c r="N145" s="5"/>
      <c r="O145" s="5"/>
      <c r="Q145" s="5"/>
    </row>
    <row r="146" spans="2:17">
      <c r="B146" s="5"/>
      <c r="C146" s="5"/>
      <c r="D146" s="5"/>
      <c r="E146" s="5"/>
      <c r="F146" s="5"/>
      <c r="G146" s="5"/>
      <c r="H146" s="5"/>
      <c r="I146" s="5"/>
      <c r="J146" s="5"/>
      <c r="K146" s="5"/>
      <c r="L146" s="5"/>
      <c r="M146" s="5"/>
      <c r="N146" s="5"/>
      <c r="O146" s="5"/>
      <c r="Q146" s="5"/>
    </row>
    <row r="147" spans="2:17">
      <c r="B147" s="5"/>
      <c r="C147" s="5"/>
      <c r="D147" s="5"/>
      <c r="E147" s="5"/>
      <c r="F147" s="5"/>
      <c r="G147" s="5"/>
      <c r="H147" s="5"/>
      <c r="I147" s="5"/>
      <c r="J147" s="5"/>
      <c r="K147" s="5"/>
      <c r="L147" s="5"/>
      <c r="M147" s="5"/>
      <c r="N147" s="5"/>
      <c r="O147" s="5"/>
      <c r="Q147" s="5"/>
    </row>
    <row r="148" spans="2:17">
      <c r="B148" s="5"/>
      <c r="C148" s="5"/>
      <c r="D148" s="5"/>
      <c r="E148" s="5"/>
      <c r="F148" s="5"/>
      <c r="G148" s="5"/>
      <c r="H148" s="5"/>
      <c r="I148" s="5"/>
      <c r="J148" s="5"/>
      <c r="K148" s="5"/>
      <c r="L148" s="5"/>
      <c r="M148" s="5"/>
      <c r="N148" s="5"/>
      <c r="O148" s="5"/>
      <c r="Q148" s="5"/>
    </row>
    <row r="149" spans="2:17">
      <c r="B149" s="5"/>
      <c r="C149" s="5"/>
      <c r="D149" s="5"/>
      <c r="E149" s="5"/>
      <c r="F149" s="5"/>
      <c r="G149" s="5"/>
      <c r="H149" s="5"/>
      <c r="J149" s="5"/>
      <c r="K149" s="5"/>
      <c r="L149" s="5"/>
      <c r="M149" s="5"/>
      <c r="N149" s="5"/>
      <c r="O149" s="5"/>
      <c r="Q149" s="5"/>
    </row>
    <row r="150" spans="2:17">
      <c r="B150" s="5"/>
      <c r="C150" s="5"/>
      <c r="D150" s="5"/>
      <c r="E150" s="5"/>
      <c r="F150" s="5"/>
      <c r="G150" s="5"/>
      <c r="H150" s="5"/>
      <c r="J150" s="5"/>
      <c r="K150" s="5"/>
      <c r="L150" s="5"/>
      <c r="M150" s="5"/>
      <c r="N150" s="5"/>
      <c r="O150" s="5"/>
      <c r="Q150" s="5"/>
    </row>
    <row r="151" spans="2:17">
      <c r="Q151" s="5"/>
    </row>
    <row r="152" spans="2:17">
      <c r="Q152" s="5"/>
    </row>
    <row r="153" spans="2:17">
      <c r="C153" s="263"/>
      <c r="Q153" s="5"/>
    </row>
    <row r="154" spans="2:17">
      <c r="Q154" s="5"/>
    </row>
    <row r="155" spans="2:17">
      <c r="Q155" s="5"/>
    </row>
    <row r="156" spans="2:17">
      <c r="Q156" s="5"/>
    </row>
    <row r="157" spans="2:17">
      <c r="Q157" s="5"/>
    </row>
    <row r="158" spans="2:17">
      <c r="Q158" s="5"/>
    </row>
    <row r="159" spans="2:17">
      <c r="Q159" s="5"/>
    </row>
    <row r="160" spans="2:17">
      <c r="Q160" s="5"/>
    </row>
    <row r="161" spans="17:17">
      <c r="Q161" s="5"/>
    </row>
    <row r="162" spans="17:17">
      <c r="Q162" s="5"/>
    </row>
    <row r="163" spans="17:17">
      <c r="Q163" s="5"/>
    </row>
    <row r="164" spans="17:17">
      <c r="Q164" s="5"/>
    </row>
    <row r="165" spans="17:17">
      <c r="Q165" s="5"/>
    </row>
  </sheetData>
  <phoneticPr fontId="7" type="noConversion"/>
  <hyperlinks>
    <hyperlink ref="C2" location="PROXSOP!A1" display="Jump to Prox SOP" xr:uid="{00000000-0004-0000-4900-000001000000}"/>
  </hyperlinks>
  <pageMargins left="0.75" right="0.75" top="1" bottom="1" header="0.5" footer="0.5"/>
  <pageSetup scale="71" orientation="landscape" r:id="rId1"/>
  <headerFooter alignWithMargins="0"/>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Sheet32">
    <pageSetUpPr fitToPage="1"/>
  </sheetPr>
  <dimension ref="B1:CE165"/>
  <sheetViews>
    <sheetView showGridLines="0" zoomScale="80" zoomScaleNormal="80" workbookViewId="0"/>
  </sheetViews>
  <sheetFormatPr defaultColWidth="9.109375" defaultRowHeight="12"/>
  <cols>
    <col min="1" max="1" width="2.33203125" style="39" customWidth="1"/>
    <col min="2" max="2" width="26.5546875" style="39" customWidth="1"/>
    <col min="3" max="9" width="10" style="39" customWidth="1"/>
    <col min="10" max="10" width="26.6640625" style="39" customWidth="1"/>
    <col min="11" max="16" width="10" style="39" customWidth="1"/>
    <col min="17" max="18" width="8.6640625" style="39" customWidth="1"/>
    <col min="19" max="28" width="8.6640625" style="5" customWidth="1"/>
    <col min="29" max="83" width="9.109375" style="5"/>
    <col min="84" max="16384" width="9.109375" style="39"/>
  </cols>
  <sheetData>
    <row r="1" spans="2:83" s="312" customFormat="1">
      <c r="S1" s="149"/>
      <c r="T1" s="149"/>
      <c r="U1" s="149"/>
      <c r="V1" s="149"/>
      <c r="W1" s="149"/>
      <c r="X1" s="149"/>
      <c r="Y1" s="149"/>
      <c r="Z1" s="149"/>
      <c r="AA1" s="149"/>
      <c r="AB1" s="149"/>
      <c r="AC1" s="149"/>
      <c r="AD1" s="149"/>
      <c r="AE1" s="149"/>
      <c r="AF1" s="149"/>
      <c r="AG1" s="149"/>
      <c r="AH1" s="149"/>
      <c r="AI1" s="149"/>
      <c r="AJ1" s="149"/>
      <c r="AK1" s="149"/>
      <c r="AL1" s="149"/>
      <c r="AM1" s="149"/>
      <c r="AN1" s="149"/>
      <c r="AO1" s="149"/>
      <c r="AP1" s="149"/>
      <c r="AQ1" s="149"/>
      <c r="AR1" s="149"/>
      <c r="AS1" s="149"/>
      <c r="AT1" s="149"/>
      <c r="AU1" s="149"/>
      <c r="AV1" s="149"/>
      <c r="AW1" s="149"/>
      <c r="AX1" s="149"/>
      <c r="AY1" s="149"/>
      <c r="AZ1" s="149"/>
      <c r="BA1" s="149"/>
      <c r="BB1" s="149"/>
      <c r="BC1" s="149"/>
      <c r="BD1" s="149"/>
      <c r="BE1" s="149"/>
      <c r="BF1" s="149"/>
      <c r="BG1" s="149"/>
      <c r="BH1" s="149"/>
      <c r="BI1" s="149"/>
      <c r="BJ1" s="149"/>
      <c r="BK1" s="149"/>
      <c r="BL1" s="149"/>
      <c r="BM1" s="149"/>
      <c r="BN1" s="149"/>
      <c r="BO1" s="149"/>
      <c r="BP1" s="149"/>
      <c r="BQ1" s="149"/>
      <c r="BR1" s="149"/>
      <c r="BS1" s="149"/>
      <c r="BT1" s="149"/>
      <c r="BU1" s="149"/>
      <c r="BV1" s="149"/>
      <c r="BW1" s="149"/>
      <c r="BX1" s="149"/>
      <c r="BY1" s="149"/>
      <c r="BZ1" s="149"/>
      <c r="CA1" s="149"/>
      <c r="CB1" s="149"/>
      <c r="CC1" s="149"/>
      <c r="CD1" s="149"/>
      <c r="CE1" s="149"/>
    </row>
    <row r="2" spans="2:83" s="149" customFormat="1"/>
    <row r="3" spans="2:83" s="149" customFormat="1">
      <c r="H3" s="153"/>
      <c r="P3" s="153"/>
    </row>
    <row r="4" spans="2:83" s="156" customFormat="1" ht="21">
      <c r="B4" s="129" t="s">
        <v>148</v>
      </c>
      <c r="H4" s="222"/>
      <c r="P4" s="222"/>
    </row>
    <row r="5" spans="2:83" s="149" customFormat="1">
      <c r="C5" s="153"/>
      <c r="D5" s="153" t="str" cm="1">
        <f t="array" ref="D5:H5">headings</f>
        <v>2023E</v>
      </c>
      <c r="E5" s="153" t="str">
        <v>2024E</v>
      </c>
      <c r="F5" s="153" t="str">
        <v>2025E</v>
      </c>
      <c r="G5" s="153" t="str">
        <v>2026E</v>
      </c>
      <c r="H5" s="153" t="str">
        <v>23E-26E</v>
      </c>
      <c r="I5" s="153"/>
      <c r="J5" s="153"/>
      <c r="K5" s="153"/>
      <c r="L5" s="153" t="str" cm="1">
        <f t="array" ref="L5:P5">headings</f>
        <v>2023E</v>
      </c>
      <c r="M5" s="153" t="str">
        <v>2024E</v>
      </c>
      <c r="N5" s="153" t="str">
        <v>2025E</v>
      </c>
      <c r="O5" s="153" t="str">
        <v>2026E</v>
      </c>
      <c r="P5" s="153" t="str">
        <v>23E-26E</v>
      </c>
      <c r="Q5" s="162"/>
      <c r="R5" s="162"/>
      <c r="S5" s="162"/>
      <c r="T5" s="162"/>
      <c r="U5" s="162"/>
      <c r="V5" s="162"/>
      <c r="W5" s="162"/>
      <c r="X5" s="162"/>
      <c r="Y5" s="162"/>
    </row>
    <row r="6" spans="2:83">
      <c r="I6" s="5"/>
      <c r="J6" s="5"/>
      <c r="K6" s="5"/>
      <c r="L6" s="5"/>
      <c r="M6" s="5"/>
      <c r="N6" s="5"/>
      <c r="O6" s="49"/>
    </row>
    <row r="7" spans="2:83" ht="12.6" thickBot="1">
      <c r="B7" s="306" t="s">
        <v>271</v>
      </c>
      <c r="C7" s="265"/>
      <c r="D7" s="265" t="str">
        <f>D5</f>
        <v>2023E</v>
      </c>
      <c r="E7" s="265" t="str">
        <f t="shared" ref="E7:H7" si="0">E5</f>
        <v>2024E</v>
      </c>
      <c r="F7" s="265" t="str">
        <f t="shared" si="0"/>
        <v>2025E</v>
      </c>
      <c r="G7" s="265" t="str">
        <f t="shared" si="0"/>
        <v>2026E</v>
      </c>
      <c r="H7" s="265" t="str">
        <f t="shared" si="0"/>
        <v>23E-26E</v>
      </c>
      <c r="I7" s="49"/>
      <c r="J7" s="306" t="s">
        <v>75</v>
      </c>
      <c r="K7" s="306"/>
      <c r="L7" s="265" t="str">
        <f>L5</f>
        <v>2023E</v>
      </c>
      <c r="M7" s="265" t="str">
        <f t="shared" ref="M7:P7" si="1">M5</f>
        <v>2024E</v>
      </c>
      <c r="N7" s="265" t="str">
        <f t="shared" si="1"/>
        <v>2025E</v>
      </c>
      <c r="O7" s="265" t="str">
        <f t="shared" si="1"/>
        <v>2026E</v>
      </c>
      <c r="P7" s="265" t="str">
        <f t="shared" si="1"/>
        <v>23E-26E</v>
      </c>
    </row>
    <row r="8" spans="2:83" ht="12.6" thickTop="1">
      <c r="B8" s="5"/>
      <c r="C8" s="5"/>
      <c r="D8" s="5"/>
      <c r="E8" s="5"/>
      <c r="F8" s="5"/>
      <c r="G8" s="5"/>
      <c r="H8" s="5"/>
      <c r="I8" s="5"/>
      <c r="J8" s="5"/>
      <c r="K8" s="5"/>
      <c r="L8" s="5"/>
      <c r="M8" s="5"/>
      <c r="N8" s="5"/>
      <c r="S8" s="42"/>
      <c r="T8" s="42"/>
      <c r="U8" s="42"/>
      <c r="V8" s="42"/>
      <c r="W8" s="42"/>
      <c r="X8" s="42"/>
      <c r="Y8" s="42"/>
      <c r="Z8" s="42"/>
      <c r="AA8" s="42"/>
    </row>
    <row r="9" spans="2:83">
      <c r="B9" s="41" t="s">
        <v>147</v>
      </c>
      <c r="C9" s="285">
        <f>Prices!C77</f>
        <v>2940</v>
      </c>
      <c r="D9" s="535">
        <v>0</v>
      </c>
      <c r="E9" s="536">
        <v>0</v>
      </c>
      <c r="F9" s="536">
        <v>0</v>
      </c>
      <c r="G9" s="536">
        <v>0</v>
      </c>
      <c r="H9" s="249"/>
      <c r="I9" s="249"/>
      <c r="J9" s="5" t="s">
        <v>273</v>
      </c>
      <c r="L9" s="529">
        <f>'AGG ASIA INCUMB'!D37</f>
        <v>63.142675059472978</v>
      </c>
      <c r="M9" s="529">
        <f>'AGG ASIA INCUMB'!E37</f>
        <v>59.736062869091825</v>
      </c>
      <c r="N9" s="529">
        <f>'AGG ASIA INCUMB'!F37</f>
        <v>51.606570083263385</v>
      </c>
      <c r="O9" s="529">
        <f>'AGG ASIA INCUMB'!G37</f>
        <v>43.869121174935444</v>
      </c>
      <c r="P9" s="286">
        <f>'AGG ASIA INCUMB'!H37</f>
        <v>3.6933170504085622E-2</v>
      </c>
      <c r="S9" s="42"/>
      <c r="T9" s="42"/>
      <c r="U9" s="42"/>
      <c r="V9" s="42"/>
      <c r="W9" s="42"/>
      <c r="X9" s="42"/>
      <c r="Y9" s="42"/>
      <c r="Z9" s="42"/>
      <c r="AA9" s="42"/>
    </row>
    <row r="10" spans="2:83">
      <c r="B10" s="5" t="s">
        <v>274</v>
      </c>
      <c r="C10" s="5"/>
      <c r="D10" s="531">
        <v>99.062216599999999</v>
      </c>
      <c r="E10" s="531">
        <v>99.062216599999999</v>
      </c>
      <c r="F10" s="531">
        <v>99.062216599999999</v>
      </c>
      <c r="G10" s="531">
        <v>99.062216599999999</v>
      </c>
      <c r="H10" s="247"/>
      <c r="I10" s="247"/>
      <c r="J10" s="5" t="s">
        <v>184</v>
      </c>
      <c r="L10" s="529">
        <f>'AGG ASIA INCUMB'!D38</f>
        <v>229.28172666156038</v>
      </c>
      <c r="M10" s="529">
        <f>'AGG ASIA INCUMB'!E38</f>
        <v>211.1756819494743</v>
      </c>
      <c r="N10" s="529">
        <f>'AGG ASIA INCUMB'!F38</f>
        <v>182.52911660300191</v>
      </c>
      <c r="O10" s="529">
        <f>'AGG ASIA INCUMB'!G38</f>
        <v>154.31631948299164</v>
      </c>
      <c r="P10" s="286">
        <f>'AGG ASIA INCUMB'!H38</f>
        <v>4.7969433190576227E-2</v>
      </c>
      <c r="S10" s="42"/>
      <c r="T10" s="42"/>
      <c r="U10" s="42"/>
      <c r="V10" s="42"/>
      <c r="W10" s="288"/>
      <c r="X10" s="288"/>
      <c r="Y10" s="288"/>
      <c r="Z10" s="288"/>
      <c r="AA10" s="42"/>
    </row>
    <row r="11" spans="2:83">
      <c r="B11" s="41" t="s">
        <v>876</v>
      </c>
      <c r="C11" s="5"/>
      <c r="D11" s="532">
        <f>$C$9*D10</f>
        <v>291242.91680399998</v>
      </c>
      <c r="E11" s="532">
        <f>$C$9*E10</f>
        <v>291242.91680399998</v>
      </c>
      <c r="F11" s="532">
        <f>$C$9*F10</f>
        <v>291242.91680399998</v>
      </c>
      <c r="G11" s="532">
        <f>$C$9*G10</f>
        <v>291242.91680399998</v>
      </c>
      <c r="H11" s="249"/>
      <c r="I11" s="249"/>
      <c r="J11" s="5" t="s">
        <v>185</v>
      </c>
      <c r="L11" s="529">
        <f>'AGG ASIA INCUMB'!D39</f>
        <v>576.60457523629475</v>
      </c>
      <c r="M11" s="529">
        <f>'AGG ASIA INCUMB'!E39</f>
        <v>450.01446269285191</v>
      </c>
      <c r="N11" s="529">
        <f>'AGG ASIA INCUMB'!F39</f>
        <v>375.00938731825471</v>
      </c>
      <c r="O11" s="529">
        <f>'AGG ASIA INCUMB'!G39</f>
        <v>307.67151192274292</v>
      </c>
      <c r="P11" s="286">
        <f>'AGG ASIA INCUMB'!H39</f>
        <v>0.13229525132442088</v>
      </c>
      <c r="S11" s="42"/>
      <c r="T11" s="42"/>
      <c r="U11" s="42"/>
      <c r="V11" s="42"/>
      <c r="W11" s="288"/>
      <c r="X11" s="288"/>
      <c r="Y11" s="288"/>
      <c r="Z11" s="288"/>
      <c r="AA11" s="42"/>
    </row>
    <row r="12" spans="2:83">
      <c r="B12" s="5" t="s">
        <v>24</v>
      </c>
      <c r="C12" s="249"/>
      <c r="D12" s="533">
        <v>39117</v>
      </c>
      <c r="E12" s="533">
        <v>28886.514844649733</v>
      </c>
      <c r="F12" s="533">
        <v>19060.166130320169</v>
      </c>
      <c r="G12" s="533">
        <v>10030.959810354223</v>
      </c>
      <c r="H12" s="247"/>
      <c r="I12" s="247"/>
      <c r="J12" s="5" t="s">
        <v>466</v>
      </c>
      <c r="L12" s="529">
        <f>'AGG ASIA INCUMB'!D40</f>
        <v>774.44294579435359</v>
      </c>
      <c r="M12" s="529">
        <f>'AGG ASIA INCUMB'!E40</f>
        <v>607.6245935692682</v>
      </c>
      <c r="N12" s="529">
        <f>'AGG ASIA INCUMB'!F40</f>
        <v>506.11175808827261</v>
      </c>
      <c r="O12" s="529">
        <f>'AGG ASIA INCUMB'!G40</f>
        <v>415.18806643723337</v>
      </c>
      <c r="P12" s="286">
        <f>'AGG ASIA INCUMB'!H40</f>
        <v>0.13051833042761229</v>
      </c>
      <c r="S12" s="42"/>
      <c r="T12" s="42"/>
      <c r="U12" s="42"/>
      <c r="V12" s="42"/>
      <c r="W12" s="288"/>
      <c r="X12" s="288"/>
      <c r="Y12" s="288"/>
      <c r="Z12" s="288"/>
      <c r="AA12" s="42"/>
    </row>
    <row r="13" spans="2:83">
      <c r="B13" s="5" t="s">
        <v>529</v>
      </c>
      <c r="C13" s="257"/>
      <c r="D13" s="533">
        <v>0</v>
      </c>
      <c r="E13" s="533">
        <v>0</v>
      </c>
      <c r="F13" s="533">
        <v>0</v>
      </c>
      <c r="G13" s="533">
        <v>0</v>
      </c>
      <c r="H13" s="247"/>
      <c r="I13" s="247"/>
      <c r="J13" s="5" t="s">
        <v>530</v>
      </c>
      <c r="L13" s="529">
        <f>'AGG ASIA INCUMB'!D41</f>
        <v>56.922651872950347</v>
      </c>
      <c r="M13" s="529">
        <f>'AGG ASIA INCUMB'!E41</f>
        <v>54.508702219086139</v>
      </c>
      <c r="N13" s="529">
        <f>'AGG ASIA INCUMB'!F41</f>
        <v>47.665724006779691</v>
      </c>
      <c r="O13" s="529">
        <f>'AGG ASIA INCUMB'!G41</f>
        <v>40.716506606725353</v>
      </c>
      <c r="P13" s="286">
        <f>'AGG ASIA INCUMB'!H41</f>
        <v>2.6914512786078149E-2</v>
      </c>
      <c r="S13" s="42"/>
      <c r="T13" s="42"/>
      <c r="U13" s="42"/>
      <c r="V13" s="42"/>
      <c r="W13" s="42"/>
      <c r="X13" s="42"/>
      <c r="Y13" s="42"/>
      <c r="Z13" s="42"/>
      <c r="AA13" s="42"/>
    </row>
    <row r="14" spans="2:83">
      <c r="B14" s="5" t="s">
        <v>532</v>
      </c>
      <c r="C14" s="257"/>
      <c r="D14" s="538">
        <v>0</v>
      </c>
      <c r="E14" s="530">
        <f t="shared" ref="E14:G15" si="2">D14</f>
        <v>0</v>
      </c>
      <c r="F14" s="530">
        <f t="shared" si="2"/>
        <v>0</v>
      </c>
      <c r="G14" s="530">
        <f t="shared" si="2"/>
        <v>0</v>
      </c>
      <c r="H14" s="247"/>
      <c r="I14" s="247"/>
      <c r="J14" s="5" t="s">
        <v>593</v>
      </c>
      <c r="L14" s="529">
        <f>'AGG ASIA INCUMB'!D42</f>
        <v>75.778591370066351</v>
      </c>
      <c r="M14" s="529">
        <f>'AGG ASIA INCUMB'!E42</f>
        <v>75.255645616199331</v>
      </c>
      <c r="N14" s="529">
        <f>'AGG ASIA INCUMB'!F42</f>
        <v>68.487733798446982</v>
      </c>
      <c r="O14" s="529">
        <f>'AGG ASIA INCUMB'!G42</f>
        <v>63.398335594210266</v>
      </c>
      <c r="P14" s="286">
        <f>'AGG ASIA INCUMB'!H42</f>
        <v>-2.5341868686917124E-2</v>
      </c>
      <c r="S14" s="42"/>
      <c r="T14" s="42"/>
      <c r="U14" s="42"/>
      <c r="V14" s="42"/>
      <c r="W14" s="42"/>
      <c r="X14" s="42"/>
      <c r="Y14" s="42"/>
      <c r="Z14" s="42"/>
      <c r="AA14" s="42"/>
    </row>
    <row r="15" spans="2:83">
      <c r="B15" s="5" t="s">
        <v>531</v>
      </c>
      <c r="C15" s="274"/>
      <c r="D15" s="538">
        <v>182410.84615384613</v>
      </c>
      <c r="E15" s="530">
        <f t="shared" si="2"/>
        <v>182410.84615384613</v>
      </c>
      <c r="F15" s="530">
        <f t="shared" si="2"/>
        <v>182410.84615384613</v>
      </c>
      <c r="G15" s="530">
        <f t="shared" si="2"/>
        <v>182410.84615384613</v>
      </c>
      <c r="H15" s="247"/>
      <c r="I15" s="247"/>
      <c r="J15" s="5" t="s">
        <v>475</v>
      </c>
      <c r="L15" s="529">
        <f>'AGG ASIA INCUMB'!D43</f>
        <v>14.482023584121089</v>
      </c>
      <c r="M15" s="529">
        <f>'AGG ASIA INCUMB'!E43</f>
        <v>10.697579793360875</v>
      </c>
      <c r="N15" s="529">
        <f>'AGG ASIA INCUMB'!F43</f>
        <v>9.7604819510674972</v>
      </c>
      <c r="O15" s="529">
        <f>'AGG ASIA INCUMB'!G43</f>
        <v>8.8384338816404213</v>
      </c>
      <c r="P15" s="286">
        <f>'AGG ASIA INCUMB'!H43</f>
        <v>0.1612622626724487</v>
      </c>
      <c r="S15" s="42"/>
      <c r="T15" s="42"/>
      <c r="U15" s="42"/>
      <c r="V15" s="42"/>
      <c r="W15" s="42"/>
      <c r="X15" s="42"/>
      <c r="Y15" s="42"/>
      <c r="Z15" s="42"/>
      <c r="AA15" s="42"/>
    </row>
    <row r="16" spans="2:83">
      <c r="B16" s="5" t="s">
        <v>534</v>
      </c>
      <c r="C16" s="257"/>
      <c r="D16" s="533">
        <v>0</v>
      </c>
      <c r="E16" s="533">
        <v>0</v>
      </c>
      <c r="F16" s="533">
        <v>23870.88223836209</v>
      </c>
      <c r="G16" s="533">
        <v>51064.57987825507</v>
      </c>
      <c r="H16" s="247"/>
      <c r="I16" s="247"/>
      <c r="J16" s="5" t="s">
        <v>533</v>
      </c>
      <c r="L16" s="529">
        <f>'AGG ASIA INCUMB'!D44</f>
        <v>401.27153945230202</v>
      </c>
      <c r="M16" s="529">
        <f>'AGG ASIA INCUMB'!E44</f>
        <v>386.42961390608417</v>
      </c>
      <c r="N16" s="529">
        <f>'AGG ASIA INCUMB'!F44</f>
        <v>362.49401680734263</v>
      </c>
      <c r="O16" s="529">
        <f>'AGG ASIA INCUMB'!G44</f>
        <v>331.65705725544359</v>
      </c>
      <c r="P16" s="286">
        <f>'AGG ASIA INCUMB'!H44</f>
        <v>7.2549113858280556E-2</v>
      </c>
      <c r="S16" s="42"/>
      <c r="T16" s="42"/>
      <c r="U16" s="42"/>
      <c r="V16" s="42"/>
      <c r="W16" s="42"/>
      <c r="X16" s="42"/>
      <c r="Y16" s="42"/>
      <c r="Z16" s="42"/>
      <c r="AA16" s="42"/>
    </row>
    <row r="17" spans="2:27">
      <c r="B17" s="5" t="s">
        <v>6</v>
      </c>
      <c r="C17" s="257"/>
      <c r="D17" s="533">
        <v>0</v>
      </c>
      <c r="E17" s="533">
        <v>0</v>
      </c>
      <c r="F17" s="533">
        <v>0</v>
      </c>
      <c r="G17" s="533">
        <v>0</v>
      </c>
      <c r="H17" s="247"/>
      <c r="I17" s="247"/>
      <c r="J17" s="5" t="s">
        <v>580</v>
      </c>
      <c r="L17" s="248">
        <f>'AGG ASIA INCUMB'!D45</f>
        <v>1.4187232142027291E-3</v>
      </c>
      <c r="M17" s="248">
        <f>'AGG ASIA INCUMB'!E45</f>
        <v>1.5917039348975377E-3</v>
      </c>
      <c r="N17" s="248">
        <f>'AGG ASIA INCUMB'!F45</f>
        <v>1.8207439648114264E-3</v>
      </c>
      <c r="O17" s="248">
        <f>'AGG ASIA INCUMB'!G45</f>
        <v>2.0820127660327939E-3</v>
      </c>
      <c r="P17" s="286">
        <f>'AGG ASIA INCUMB'!H45</f>
        <v>0.14383326100984517</v>
      </c>
      <c r="S17" s="42"/>
      <c r="T17" s="42"/>
      <c r="U17" s="42"/>
      <c r="V17" s="42"/>
      <c r="W17" s="42"/>
      <c r="X17" s="42"/>
      <c r="Y17" s="42"/>
      <c r="Z17" s="42"/>
      <c r="AA17" s="42"/>
    </row>
    <row r="18" spans="2:27" ht="12.6" thickBot="1">
      <c r="B18" s="41" t="s">
        <v>583</v>
      </c>
      <c r="C18" s="249"/>
      <c r="D18" s="534">
        <f>D11+D12+D13-D14+D15-D16-D17</f>
        <v>512770.76295784611</v>
      </c>
      <c r="E18" s="534">
        <f>E11+E12+E13-E14+E15-E16-E17</f>
        <v>502540.27780249587</v>
      </c>
      <c r="F18" s="534">
        <f>F11+F12+F13-F14+F15-F16-F17</f>
        <v>468843.04684980417</v>
      </c>
      <c r="G18" s="534">
        <f>G11+G12+G13-G14+G15-G16-G17</f>
        <v>432620.14288994524</v>
      </c>
      <c r="H18" s="276">
        <f>IF(D18=0,"nm",IF(G18=0,"nm",(G18/D18)^(1/3)-1))</f>
        <v>-5.5081190968076177E-2</v>
      </c>
      <c r="I18" s="254"/>
      <c r="J18" s="5" t="s">
        <v>36</v>
      </c>
      <c r="L18" s="248">
        <f>'AGG ASIA INCUMB'!D46</f>
        <v>1.4197854397789587E-3</v>
      </c>
      <c r="M18" s="248">
        <f>'AGG ASIA INCUMB'!E46</f>
        <v>1.5927452418075944E-3</v>
      </c>
      <c r="N18" s="248">
        <f>'AGG ASIA INCUMB'!F46</f>
        <v>1.8306775739935764E-3</v>
      </c>
      <c r="O18" s="248">
        <f>'AGG ASIA INCUMB'!G46</f>
        <v>2.0980698589589679E-3</v>
      </c>
      <c r="P18" s="286">
        <f>'AGG ASIA INCUMB'!H46</f>
        <v>0.14648020039593046</v>
      </c>
      <c r="S18" s="42"/>
      <c r="T18" s="42"/>
      <c r="U18" s="42"/>
      <c r="V18" s="42"/>
      <c r="W18" s="42"/>
      <c r="X18" s="42"/>
      <c r="Y18" s="42"/>
      <c r="Z18" s="42"/>
      <c r="AA18" s="42"/>
    </row>
    <row r="19" spans="2:27" ht="12.6" thickTop="1">
      <c r="B19" s="41"/>
      <c r="C19" s="249"/>
      <c r="D19" s="229"/>
      <c r="E19" s="229"/>
      <c r="F19" s="229"/>
      <c r="G19" s="229"/>
      <c r="H19" s="276"/>
      <c r="I19" s="254"/>
      <c r="J19" s="5" t="s">
        <v>581</v>
      </c>
      <c r="L19" s="248">
        <f>'AGG ASIA INCUMB'!D47</f>
        <v>6.9051123566492234E-2</v>
      </c>
      <c r="M19" s="248">
        <f>'AGG ASIA INCUMB'!E47</f>
        <v>9.3479087729789065E-2</v>
      </c>
      <c r="N19" s="248">
        <f>'AGG ASIA INCUMB'!F47</f>
        <v>0.10245395719323375</v>
      </c>
      <c r="O19" s="248">
        <f>'AGG ASIA INCUMB'!G47</f>
        <v>0.11314221652743744</v>
      </c>
      <c r="P19" s="286">
        <f>'AGG ASIA INCUMB'!H47</f>
        <v>0.1612622626724487</v>
      </c>
      <c r="S19" s="42"/>
      <c r="T19" s="42"/>
      <c r="U19" s="42"/>
      <c r="V19" s="42"/>
      <c r="W19" s="42"/>
      <c r="X19" s="42"/>
      <c r="Y19" s="42"/>
      <c r="Z19" s="42"/>
      <c r="AA19" s="42"/>
    </row>
    <row r="20" spans="2:27">
      <c r="H20" s="277"/>
      <c r="I20" s="17"/>
      <c r="J20" s="5" t="s">
        <v>604</v>
      </c>
      <c r="L20" s="305">
        <f>'AGG ASIA INCUMB'!D48</f>
        <v>0.58020270145274866</v>
      </c>
      <c r="M20" s="305">
        <f>'AGG ASIA INCUMB'!E48</f>
        <v>0.49738583643750317</v>
      </c>
      <c r="N20" s="305">
        <f>'AGG ASIA INCUMB'!F48</f>
        <v>0.5269471278406761</v>
      </c>
      <c r="O20" s="305">
        <f>'AGG ASIA INCUMB'!G48</f>
        <v>0.55446861753269805</v>
      </c>
      <c r="P20" s="286" t="str">
        <f>'AGG ASIA INCUMB'!H48</f>
        <v>nm</v>
      </c>
      <c r="S20" s="42"/>
      <c r="T20" s="42"/>
      <c r="U20" s="42"/>
      <c r="V20" s="42"/>
      <c r="W20" s="42"/>
      <c r="X20" s="42"/>
      <c r="Y20" s="42"/>
      <c r="Z20" s="42"/>
      <c r="AA20" s="42"/>
    </row>
    <row r="21" spans="2:27" ht="12.6" thickBot="1">
      <c r="B21" s="306" t="s">
        <v>948</v>
      </c>
      <c r="C21" s="265"/>
      <c r="D21" s="265" t="str">
        <f>D5</f>
        <v>2023E</v>
      </c>
      <c r="E21" s="265" t="str">
        <f t="shared" ref="E21:H21" si="3">E5</f>
        <v>2024E</v>
      </c>
      <c r="F21" s="265" t="str">
        <f t="shared" si="3"/>
        <v>2025E</v>
      </c>
      <c r="G21" s="265" t="str">
        <f t="shared" si="3"/>
        <v>2026E</v>
      </c>
      <c r="H21" s="265" t="str">
        <f t="shared" si="3"/>
        <v>23E-26E</v>
      </c>
      <c r="I21" s="49"/>
      <c r="J21" s="41"/>
      <c r="L21" s="250"/>
      <c r="M21" s="250"/>
      <c r="N21" s="250"/>
      <c r="O21" s="250"/>
      <c r="P21" s="286"/>
      <c r="S21" s="42"/>
      <c r="T21" s="42"/>
      <c r="U21" s="42"/>
      <c r="V21" s="42"/>
      <c r="W21" s="42"/>
      <c r="X21" s="42"/>
      <c r="Y21" s="42"/>
      <c r="Z21" s="42"/>
      <c r="AA21" s="42"/>
    </row>
    <row r="22" spans="2:27" ht="12.6" thickTop="1">
      <c r="B22" s="5"/>
      <c r="C22" s="257"/>
      <c r="D22" s="17"/>
      <c r="E22" s="17"/>
      <c r="F22" s="17"/>
      <c r="G22" s="17"/>
      <c r="H22" s="17"/>
      <c r="I22" s="17"/>
      <c r="P22" s="277"/>
      <c r="S22" s="42"/>
      <c r="T22" s="42"/>
      <c r="U22" s="42"/>
      <c r="V22" s="42"/>
      <c r="W22" s="42"/>
      <c r="X22" s="42"/>
      <c r="Y22" s="42"/>
      <c r="Z22" s="42"/>
      <c r="AA22" s="42"/>
    </row>
    <row r="23" spans="2:27" ht="12.6" thickBot="1">
      <c r="B23" s="5" t="s">
        <v>584</v>
      </c>
      <c r="C23" s="548">
        <v>147306</v>
      </c>
      <c r="D23" s="540">
        <v>149216</v>
      </c>
      <c r="E23" s="540">
        <v>154474.39871384215</v>
      </c>
      <c r="F23" s="540">
        <v>165106.88291358203</v>
      </c>
      <c r="G23" s="540">
        <v>175979.40415707187</v>
      </c>
      <c r="H23" s="279">
        <f t="shared" ref="H23:H32" si="4">IF(D23=0,"nm",IF(G23=0,"nm",(G23/D23)^(1/3)-1))</f>
        <v>5.653076978076732E-2</v>
      </c>
      <c r="I23" s="247"/>
      <c r="J23" s="306" t="s">
        <v>9</v>
      </c>
      <c r="K23" s="306"/>
      <c r="L23" s="265" t="str">
        <f>D21</f>
        <v>2023E</v>
      </c>
      <c r="M23" s="265" t="str">
        <f t="shared" ref="M23:P23" si="5">E21</f>
        <v>2024E</v>
      </c>
      <c r="N23" s="265" t="str">
        <f t="shared" si="5"/>
        <v>2025E</v>
      </c>
      <c r="O23" s="265" t="str">
        <f t="shared" si="5"/>
        <v>2026E</v>
      </c>
      <c r="P23" s="265" t="str">
        <f t="shared" si="5"/>
        <v>23E-26E</v>
      </c>
      <c r="S23" s="42"/>
      <c r="T23" s="42"/>
      <c r="U23" s="42"/>
      <c r="V23" s="42"/>
      <c r="W23" s="42"/>
      <c r="X23" s="42"/>
      <c r="Y23" s="42"/>
      <c r="Z23" s="42"/>
      <c r="AA23" s="42"/>
    </row>
    <row r="24" spans="2:27" ht="12.6" thickTop="1">
      <c r="B24" s="5" t="s">
        <v>483</v>
      </c>
      <c r="C24" s="549">
        <v>78992</v>
      </c>
      <c r="D24" s="540">
        <v>77579</v>
      </c>
      <c r="E24" s="540">
        <v>82276.455513732508</v>
      </c>
      <c r="F24" s="540">
        <v>88420.81627076873</v>
      </c>
      <c r="G24" s="540">
        <v>94536.755938310802</v>
      </c>
      <c r="H24" s="279">
        <f t="shared" si="4"/>
        <v>6.8117029657460471E-2</v>
      </c>
      <c r="I24" s="249"/>
      <c r="J24" s="17"/>
      <c r="K24" s="17"/>
      <c r="L24" s="17"/>
      <c r="M24" s="17"/>
      <c r="N24" s="17"/>
      <c r="O24" s="248"/>
      <c r="S24" s="42"/>
      <c r="T24" s="42"/>
      <c r="U24" s="42"/>
      <c r="V24" s="42"/>
      <c r="W24" s="42" t="s">
        <v>149</v>
      </c>
      <c r="X24" s="42" t="s">
        <v>259</v>
      </c>
      <c r="Y24" s="42"/>
      <c r="Z24" s="42"/>
      <c r="AA24" s="42"/>
    </row>
    <row r="25" spans="2:27">
      <c r="B25" s="5" t="s">
        <v>183</v>
      </c>
      <c r="C25" s="548">
        <v>44836</v>
      </c>
      <c r="D25" s="540">
        <v>44611</v>
      </c>
      <c r="E25" s="540">
        <v>50062.652382497494</v>
      </c>
      <c r="F25" s="540">
        <v>54863.361245680135</v>
      </c>
      <c r="G25" s="540">
        <v>59623.808313191155</v>
      </c>
      <c r="H25" s="279">
        <f t="shared" si="4"/>
        <v>0.10152050111746846</v>
      </c>
      <c r="I25" s="248"/>
      <c r="J25" s="247" t="s">
        <v>10</v>
      </c>
      <c r="K25" s="247"/>
      <c r="L25" s="321">
        <v>0</v>
      </c>
      <c r="M25" s="321">
        <v>0</v>
      </c>
      <c r="N25" s="321">
        <v>0</v>
      </c>
      <c r="O25" s="321">
        <v>0</v>
      </c>
      <c r="P25" s="279" t="str">
        <f>IF(L25=0,"nm",IF(O25=0,"nm",(O25/L25)^(1/3)-1))</f>
        <v>nm</v>
      </c>
      <c r="S25" s="42"/>
      <c r="T25" s="42"/>
      <c r="U25" s="42"/>
      <c r="V25" s="147" t="s">
        <v>273</v>
      </c>
      <c r="W25" s="288">
        <f>D37/L9</f>
        <v>5.4423301496227726E-2</v>
      </c>
      <c r="X25" s="288">
        <v>1</v>
      </c>
      <c r="Y25" s="42"/>
      <c r="Z25" s="42"/>
      <c r="AA25" s="42"/>
    </row>
    <row r="26" spans="2:27">
      <c r="B26" s="5" t="s">
        <v>586</v>
      </c>
      <c r="C26" s="548">
        <v>34152.301384187791</v>
      </c>
      <c r="D26" s="540">
        <v>35221.627886453891</v>
      </c>
      <c r="E26" s="540">
        <v>38133.526457732209</v>
      </c>
      <c r="F26" s="540">
        <v>41790.303510840313</v>
      </c>
      <c r="G26" s="540">
        <v>45416.412507474924</v>
      </c>
      <c r="H26" s="279">
        <f t="shared" si="4"/>
        <v>8.8431579441025754E-2</v>
      </c>
      <c r="I26" s="249"/>
      <c r="J26" s="249" t="s">
        <v>11</v>
      </c>
      <c r="K26" s="249"/>
      <c r="L26" s="281">
        <f>D11+L25</f>
        <v>291242.91680399998</v>
      </c>
      <c r="M26" s="281">
        <f>E11+M25</f>
        <v>291242.91680399998</v>
      </c>
      <c r="N26" s="281">
        <f>F11+N25</f>
        <v>291242.91680399998</v>
      </c>
      <c r="O26" s="281">
        <f>G11+O25</f>
        <v>291242.91680399998</v>
      </c>
      <c r="P26" s="279">
        <f>IF(L26=0,"nm",IF(O26=0,"nm",(O26/L26)^(1/3)-1))</f>
        <v>0</v>
      </c>
      <c r="Q26" s="5"/>
      <c r="S26" s="42"/>
      <c r="T26" s="42"/>
      <c r="U26" s="42"/>
      <c r="V26" s="147" t="s">
        <v>184</v>
      </c>
      <c r="W26" s="288">
        <f t="shared" ref="W26:W33" si="6">D38/L10</f>
        <v>2.8827676105667752E-2</v>
      </c>
      <c r="X26" s="288">
        <v>1</v>
      </c>
      <c r="Y26" s="42"/>
      <c r="Z26" s="42"/>
      <c r="AA26" s="42"/>
    </row>
    <row r="27" spans="2:27">
      <c r="B27" s="5" t="s">
        <v>587</v>
      </c>
      <c r="C27" s="549">
        <v>187283</v>
      </c>
      <c r="D27" s="540">
        <v>203327</v>
      </c>
      <c r="E27" s="540">
        <v>201303.79914854167</v>
      </c>
      <c r="F27" s="540">
        <v>201819.53642959101</v>
      </c>
      <c r="G27" s="540">
        <v>204274.1570719631</v>
      </c>
      <c r="H27" s="279">
        <f t="shared" si="4"/>
        <v>1.5503600178805588E-3</v>
      </c>
      <c r="I27" s="249"/>
      <c r="Q27" s="41"/>
      <c r="S27" s="42"/>
      <c r="T27" s="42"/>
      <c r="U27" s="42"/>
      <c r="V27" s="147" t="s">
        <v>185</v>
      </c>
      <c r="W27" s="288">
        <f t="shared" si="6"/>
        <v>1.9934402002900552E-2</v>
      </c>
      <c r="X27" s="288">
        <v>1</v>
      </c>
      <c r="Y27" s="42"/>
      <c r="Z27" s="42"/>
      <c r="AA27" s="42"/>
    </row>
    <row r="28" spans="2:27" ht="12.6" thickBot="1">
      <c r="B28" s="5" t="s">
        <v>592</v>
      </c>
      <c r="C28" s="548">
        <v>173329</v>
      </c>
      <c r="D28" s="540">
        <v>169745.2</v>
      </c>
      <c r="E28" s="540">
        <v>164057.86625688983</v>
      </c>
      <c r="F28" s="540">
        <v>160670.99428778107</v>
      </c>
      <c r="G28" s="540">
        <v>159153.87283079914</v>
      </c>
      <c r="H28" s="279">
        <f t="shared" si="4"/>
        <v>-2.1246706901503765E-2</v>
      </c>
      <c r="I28" s="248"/>
      <c r="J28" s="306" t="s">
        <v>1362</v>
      </c>
      <c r="K28" s="306"/>
      <c r="L28" s="306"/>
      <c r="M28" s="306"/>
      <c r="N28" s="266"/>
      <c r="O28" s="266"/>
      <c r="P28" s="266"/>
      <c r="Q28" s="5"/>
      <c r="S28" s="42"/>
      <c r="T28" s="42"/>
      <c r="U28" s="42"/>
      <c r="V28" s="147" t="s">
        <v>466</v>
      </c>
      <c r="W28" s="288">
        <f t="shared" si="6"/>
        <v>1.8798552170270641E-2</v>
      </c>
      <c r="X28" s="288">
        <v>1</v>
      </c>
      <c r="Y28" s="42"/>
      <c r="Z28" s="42"/>
      <c r="AA28" s="42"/>
    </row>
    <row r="29" spans="2:27" ht="12.6" thickTop="1">
      <c r="B29" s="5" t="s">
        <v>588</v>
      </c>
      <c r="C29" s="548">
        <v>28627.599999999999</v>
      </c>
      <c r="D29" s="540">
        <v>27869.599999999999</v>
      </c>
      <c r="E29" s="540">
        <v>30476.972477344738</v>
      </c>
      <c r="F29" s="540">
        <v>33455.443358489531</v>
      </c>
      <c r="G29" s="540">
        <v>36610.386489025972</v>
      </c>
      <c r="H29" s="279">
        <f t="shared" si="4"/>
        <v>9.5194345126273117E-2</v>
      </c>
      <c r="I29" s="252"/>
      <c r="J29" s="249"/>
      <c r="K29" s="249"/>
      <c r="L29" s="249"/>
      <c r="M29" s="249"/>
      <c r="N29" s="249"/>
      <c r="O29" s="251"/>
      <c r="Q29" s="5"/>
      <c r="S29" s="42"/>
      <c r="T29" s="42"/>
      <c r="U29" s="42"/>
      <c r="V29" s="147" t="s">
        <v>530</v>
      </c>
      <c r="W29" s="288">
        <f t="shared" si="6"/>
        <v>4.4304014174476547E-2</v>
      </c>
      <c r="X29" s="288">
        <v>1</v>
      </c>
      <c r="Y29" s="42"/>
      <c r="Z29" s="42"/>
      <c r="AA29" s="42"/>
    </row>
    <row r="30" spans="2:27">
      <c r="B30" s="5" t="s">
        <v>589</v>
      </c>
      <c r="C30" s="549">
        <v>26909</v>
      </c>
      <c r="D30" s="540">
        <v>25092</v>
      </c>
      <c r="E30" s="540">
        <v>25391.719047358027</v>
      </c>
      <c r="F30" s="540">
        <v>29838.602797952608</v>
      </c>
      <c r="G30" s="540">
        <v>33992.122049866222</v>
      </c>
      <c r="H30" s="279">
        <f t="shared" si="4"/>
        <v>0.10649044046827383</v>
      </c>
      <c r="I30" s="254"/>
      <c r="J30" s="248"/>
      <c r="K30" s="248"/>
      <c r="L30" s="248"/>
      <c r="M30" s="248"/>
      <c r="N30" s="248"/>
      <c r="O30" s="5"/>
      <c r="Q30" s="5"/>
      <c r="S30" s="42"/>
      <c r="T30" s="42"/>
      <c r="U30" s="42"/>
      <c r="V30" s="147" t="s">
        <v>593</v>
      </c>
      <c r="W30" s="288">
        <f t="shared" si="6"/>
        <v>3.9863848569123866E-2</v>
      </c>
      <c r="X30" s="288">
        <v>1</v>
      </c>
      <c r="Y30" s="42"/>
      <c r="Z30" s="42"/>
      <c r="AA30" s="42"/>
    </row>
    <row r="31" spans="2:27">
      <c r="B31" s="5" t="s">
        <v>590</v>
      </c>
      <c r="C31" s="549">
        <v>16601.836879994</v>
      </c>
      <c r="D31" s="540">
        <v>17682.605663099999</v>
      </c>
      <c r="E31" s="540">
        <v>20313.375237886426</v>
      </c>
      <c r="F31" s="540">
        <v>23870.88223836209</v>
      </c>
      <c r="G31" s="540">
        <v>27193.697639892976</v>
      </c>
      <c r="H31" s="279">
        <f t="shared" si="4"/>
        <v>0.15426980299800741</v>
      </c>
      <c r="I31" s="254"/>
      <c r="J31" s="252"/>
      <c r="K31" s="252"/>
      <c r="L31" s="252"/>
      <c r="M31" s="252"/>
      <c r="N31" s="252"/>
      <c r="O31" s="5"/>
      <c r="Q31" s="5"/>
      <c r="S31" s="42"/>
      <c r="T31" s="42"/>
      <c r="U31" s="42"/>
      <c r="V31" s="147" t="s">
        <v>475</v>
      </c>
      <c r="W31" s="288">
        <f t="shared" si="6"/>
        <v>0.7215981081931071</v>
      </c>
      <c r="X31" s="288">
        <v>1</v>
      </c>
      <c r="Y31" s="42"/>
      <c r="Z31" s="42"/>
      <c r="AA31" s="42"/>
    </row>
    <row r="32" spans="2:27">
      <c r="B32" s="5" t="s">
        <v>606</v>
      </c>
      <c r="C32" s="550">
        <v>0</v>
      </c>
      <c r="D32" s="540">
        <v>0</v>
      </c>
      <c r="E32" s="540">
        <v>0</v>
      </c>
      <c r="F32" s="540">
        <v>0</v>
      </c>
      <c r="G32" s="540">
        <v>0</v>
      </c>
      <c r="H32" s="279" t="str">
        <f t="shared" si="4"/>
        <v>nm</v>
      </c>
      <c r="I32" s="254"/>
      <c r="J32" s="254"/>
      <c r="K32" s="254"/>
      <c r="L32" s="254"/>
      <c r="M32" s="254"/>
      <c r="N32" s="254"/>
      <c r="O32" s="251"/>
      <c r="Q32" s="5"/>
      <c r="S32" s="42"/>
      <c r="T32" s="42"/>
      <c r="U32" s="42"/>
      <c r="V32" s="147" t="s">
        <v>533</v>
      </c>
      <c r="W32" s="288">
        <f t="shared" si="6"/>
        <v>2.8925557285535409E-2</v>
      </c>
      <c r="X32" s="288">
        <v>1</v>
      </c>
      <c r="Y32" s="42"/>
      <c r="Z32" s="42"/>
      <c r="AA32" s="42"/>
    </row>
    <row r="33" spans="2:27">
      <c r="B33" s="5" t="s">
        <v>5</v>
      </c>
      <c r="C33" s="549">
        <v>3155</v>
      </c>
      <c r="D33" s="540">
        <v>3591</v>
      </c>
      <c r="E33" s="540">
        <v>3379.5513694942397</v>
      </c>
      <c r="F33" s="540">
        <v>2871.1072945229926</v>
      </c>
      <c r="G33" s="540">
        <v>2403.750816996901</v>
      </c>
      <c r="H33" s="279">
        <f>IF(D33=0,"nm",IF(G33=0,"nm",(G33/D33)^(1/3)-1))</f>
        <v>-0.12523510411576866</v>
      </c>
      <c r="I33" s="5"/>
      <c r="J33" s="254"/>
      <c r="K33" s="254"/>
      <c r="L33" s="254"/>
      <c r="M33" s="254"/>
      <c r="N33" s="254"/>
      <c r="O33" s="251"/>
      <c r="Q33" s="5"/>
      <c r="S33" s="42"/>
      <c r="T33" s="42"/>
      <c r="U33" s="42"/>
      <c r="V33" s="147" t="s">
        <v>580</v>
      </c>
      <c r="W33" s="288">
        <f t="shared" si="6"/>
        <v>42.795018158918992</v>
      </c>
      <c r="X33" s="288">
        <v>1</v>
      </c>
      <c r="Y33" s="42"/>
      <c r="Z33" s="42"/>
      <c r="AA33" s="42"/>
    </row>
    <row r="34" spans="2:27">
      <c r="H34" s="277"/>
      <c r="I34" s="49"/>
      <c r="J34" s="254"/>
      <c r="K34" s="254"/>
      <c r="L34" s="254"/>
      <c r="M34" s="254"/>
      <c r="N34" s="254"/>
      <c r="O34" s="251"/>
      <c r="Q34" s="5"/>
      <c r="S34" s="42"/>
      <c r="T34" s="42"/>
      <c r="U34" s="42"/>
      <c r="V34" s="147" t="s">
        <v>581</v>
      </c>
      <c r="W34" s="288">
        <f>D47/L19</f>
        <v>1.3858129458016673</v>
      </c>
      <c r="X34" s="288">
        <v>1</v>
      </c>
      <c r="Y34" s="288"/>
      <c r="Z34" s="288"/>
      <c r="AA34" s="42"/>
    </row>
    <row r="35" spans="2:27" ht="12.6" thickBot="1">
      <c r="B35" s="306" t="s">
        <v>236</v>
      </c>
      <c r="C35" s="265"/>
      <c r="D35" s="265" t="str">
        <f>D5</f>
        <v>2023E</v>
      </c>
      <c r="E35" s="265" t="str">
        <f t="shared" ref="E35:H35" si="7">E5</f>
        <v>2024E</v>
      </c>
      <c r="F35" s="265" t="str">
        <f t="shared" si="7"/>
        <v>2025E</v>
      </c>
      <c r="G35" s="265" t="str">
        <f t="shared" si="7"/>
        <v>2026E</v>
      </c>
      <c r="H35" s="265" t="str">
        <f t="shared" si="7"/>
        <v>23E-26E</v>
      </c>
      <c r="I35" s="254"/>
      <c r="J35" s="5"/>
      <c r="K35" s="5"/>
      <c r="L35" s="5"/>
      <c r="M35" s="5"/>
      <c r="N35" s="5"/>
      <c r="O35" s="5"/>
      <c r="Q35" s="5"/>
      <c r="S35" s="42"/>
      <c r="T35" s="42"/>
      <c r="U35" s="42"/>
      <c r="V35" s="42"/>
      <c r="W35" s="42"/>
      <c r="X35" s="42"/>
      <c r="Y35" s="288"/>
      <c r="Z35" s="288"/>
      <c r="AA35" s="42"/>
    </row>
    <row r="36" spans="2:27" ht="12.6" thickTop="1">
      <c r="B36" s="41"/>
      <c r="C36" s="249"/>
      <c r="D36" s="254"/>
      <c r="E36" s="254"/>
      <c r="F36" s="254"/>
      <c r="G36" s="254"/>
      <c r="H36" s="254"/>
      <c r="I36" s="17"/>
      <c r="J36" s="49"/>
      <c r="K36" s="49"/>
      <c r="L36" s="49"/>
      <c r="M36" s="49"/>
      <c r="N36" s="49"/>
      <c r="O36" s="49"/>
      <c r="Q36" s="5"/>
      <c r="S36" s="42"/>
      <c r="T36" s="42"/>
      <c r="U36" s="42"/>
      <c r="V36" s="42"/>
      <c r="W36" s="42"/>
      <c r="X36" s="42"/>
      <c r="Y36" s="288"/>
      <c r="Z36" s="288"/>
      <c r="AA36" s="42"/>
    </row>
    <row r="37" spans="2:27">
      <c r="B37" s="5" t="s">
        <v>273</v>
      </c>
      <c r="C37" s="247"/>
      <c r="D37" s="529">
        <f>D$18/D23</f>
        <v>3.4364328420400367</v>
      </c>
      <c r="E37" s="529">
        <f t="shared" ref="E37:G41" si="8">E$18/E23</f>
        <v>3.2532269553185462</v>
      </c>
      <c r="F37" s="529">
        <f t="shared" si="8"/>
        <v>2.8396335669131343</v>
      </c>
      <c r="G37" s="529">
        <f t="shared" si="8"/>
        <v>2.4583566751016304</v>
      </c>
      <c r="H37" s="17">
        <f t="shared" ref="H37:H45" si="9">H23</f>
        <v>5.653076978076732E-2</v>
      </c>
      <c r="I37" s="5"/>
      <c r="J37" s="259"/>
      <c r="K37" s="259"/>
      <c r="L37" s="259"/>
      <c r="M37" s="259"/>
      <c r="N37" s="259"/>
      <c r="O37" s="18"/>
      <c r="Q37" s="5"/>
      <c r="R37" s="5"/>
      <c r="S37" s="42"/>
      <c r="T37" s="42"/>
      <c r="U37" s="42"/>
      <c r="V37" s="42"/>
      <c r="W37" s="42"/>
      <c r="X37" s="42"/>
      <c r="Y37" s="42"/>
      <c r="Z37" s="42"/>
      <c r="AA37" s="42"/>
    </row>
    <row r="38" spans="2:27">
      <c r="B38" s="5" t="s">
        <v>184</v>
      </c>
      <c r="C38" s="247"/>
      <c r="D38" s="529">
        <f>D$18/D24</f>
        <v>6.609659353147709</v>
      </c>
      <c r="E38" s="529">
        <f t="shared" si="8"/>
        <v>6.1079475855473433</v>
      </c>
      <c r="F38" s="529">
        <f t="shared" si="8"/>
        <v>5.30240577528801</v>
      </c>
      <c r="G38" s="529">
        <f t="shared" si="8"/>
        <v>4.576211004873576</v>
      </c>
      <c r="H38" s="17">
        <f t="shared" si="9"/>
        <v>6.8117029657460471E-2</v>
      </c>
      <c r="I38" s="259"/>
      <c r="J38" s="17"/>
      <c r="K38" s="17"/>
      <c r="L38" s="17"/>
      <c r="M38" s="17"/>
      <c r="N38" s="17"/>
      <c r="O38" s="5"/>
      <c r="Q38" s="5"/>
      <c r="R38" s="5"/>
      <c r="S38" s="42"/>
      <c r="T38" s="42"/>
      <c r="U38" s="42"/>
      <c r="V38" s="42"/>
      <c r="W38" s="42"/>
      <c r="X38" s="42"/>
      <c r="Y38" s="42"/>
      <c r="Z38" s="42"/>
      <c r="AA38" s="42"/>
    </row>
    <row r="39" spans="2:27">
      <c r="B39" s="5" t="s">
        <v>185</v>
      </c>
      <c r="C39" s="247"/>
      <c r="D39" s="529">
        <f>D$18/D25</f>
        <v>11.494267399472015</v>
      </c>
      <c r="E39" s="529">
        <f t="shared" si="8"/>
        <v>10.038227179073516</v>
      </c>
      <c r="F39" s="529">
        <f t="shared" si="8"/>
        <v>8.5456493405554923</v>
      </c>
      <c r="G39" s="529">
        <f t="shared" si="8"/>
        <v>7.2558287558131784</v>
      </c>
      <c r="H39" s="17">
        <f t="shared" si="9"/>
        <v>0.10152050111746846</v>
      </c>
      <c r="I39" s="17"/>
      <c r="J39" s="5"/>
      <c r="K39" s="5"/>
      <c r="L39" s="5"/>
      <c r="M39" s="5"/>
      <c r="N39" s="5"/>
      <c r="O39" s="5"/>
      <c r="Q39" s="5"/>
      <c r="R39" s="5"/>
      <c r="S39" s="42"/>
      <c r="T39" s="42"/>
      <c r="U39" s="42"/>
      <c r="V39" s="42"/>
      <c r="W39" s="42"/>
      <c r="X39" s="42"/>
      <c r="Y39" s="42"/>
      <c r="Z39" s="42"/>
      <c r="AA39" s="42"/>
    </row>
    <row r="40" spans="2:27">
      <c r="B40" s="5" t="s">
        <v>466</v>
      </c>
      <c r="C40" s="247"/>
      <c r="D40" s="529">
        <f>D$18/D26</f>
        <v>14.558406119413233</v>
      </c>
      <c r="E40" s="529">
        <f t="shared" si="8"/>
        <v>13.178437046978052</v>
      </c>
      <c r="F40" s="529">
        <f t="shared" si="8"/>
        <v>11.218943330435188</v>
      </c>
      <c r="G40" s="529">
        <f t="shared" si="8"/>
        <v>9.5256344348806028</v>
      </c>
      <c r="H40" s="17">
        <f t="shared" si="9"/>
        <v>8.8431579441025754E-2</v>
      </c>
      <c r="I40" s="5"/>
      <c r="J40" s="259"/>
      <c r="K40" s="259"/>
      <c r="L40" s="259"/>
      <c r="M40" s="259"/>
      <c r="N40" s="259"/>
      <c r="O40" s="18"/>
      <c r="Q40" s="5"/>
      <c r="R40" s="5"/>
      <c r="S40" s="42"/>
      <c r="T40" s="42"/>
      <c r="U40" s="42"/>
      <c r="V40" s="42"/>
      <c r="W40" s="288"/>
      <c r="X40" s="288"/>
      <c r="Y40" s="42"/>
      <c r="Z40" s="42"/>
      <c r="AA40" s="42"/>
    </row>
    <row r="41" spans="2:27">
      <c r="B41" s="5" t="s">
        <v>530</v>
      </c>
      <c r="C41" s="247"/>
      <c r="D41" s="529">
        <f>D$18/D27</f>
        <v>2.5219019754279861</v>
      </c>
      <c r="E41" s="529">
        <f t="shared" si="8"/>
        <v>2.4964271907837783</v>
      </c>
      <c r="F41" s="529">
        <f t="shared" si="8"/>
        <v>2.3230805854782544</v>
      </c>
      <c r="G41" s="529">
        <f t="shared" si="8"/>
        <v>2.1178407934271335</v>
      </c>
      <c r="H41" s="17">
        <f t="shared" si="9"/>
        <v>1.5503600178805588E-3</v>
      </c>
      <c r="I41" s="247"/>
      <c r="J41" s="17"/>
      <c r="K41" s="17"/>
      <c r="L41" s="17"/>
      <c r="M41" s="17"/>
      <c r="N41" s="17"/>
      <c r="O41" s="5"/>
      <c r="Q41" s="5"/>
      <c r="R41" s="5"/>
      <c r="S41" s="42"/>
      <c r="T41" s="42"/>
      <c r="U41" s="42"/>
      <c r="V41" s="42"/>
      <c r="W41" s="288"/>
      <c r="X41" s="288"/>
      <c r="Y41" s="288"/>
      <c r="Z41" s="288"/>
      <c r="AA41" s="42"/>
    </row>
    <row r="42" spans="2:27">
      <c r="B42" s="5" t="s">
        <v>593</v>
      </c>
      <c r="C42" s="247"/>
      <c r="D42" s="529">
        <f>D18/D28</f>
        <v>3.0208262911578418</v>
      </c>
      <c r="E42" s="529">
        <f>E18/E28</f>
        <v>3.0631891616558864</v>
      </c>
      <c r="F42" s="529">
        <f>F18/F28</f>
        <v>2.9180316517494744</v>
      </c>
      <c r="G42" s="529">
        <f>G18/G28</f>
        <v>2.7182508046780338</v>
      </c>
      <c r="H42" s="17">
        <f t="shared" si="9"/>
        <v>-2.1246706901503765E-2</v>
      </c>
      <c r="I42" s="248"/>
      <c r="J42" s="5"/>
      <c r="K42" s="5"/>
      <c r="L42" s="5"/>
      <c r="M42" s="5"/>
      <c r="N42" s="5"/>
      <c r="O42" s="5"/>
      <c r="Q42" s="5"/>
      <c r="R42" s="5"/>
      <c r="S42" s="42"/>
      <c r="T42" s="42"/>
      <c r="U42" s="42"/>
      <c r="V42" s="42"/>
      <c r="W42" s="288"/>
      <c r="X42" s="288"/>
      <c r="Y42" s="288"/>
      <c r="Z42" s="288"/>
      <c r="AA42" s="42"/>
    </row>
    <row r="43" spans="2:27">
      <c r="B43" s="5" t="s">
        <v>475</v>
      </c>
      <c r="C43" s="247"/>
      <c r="D43" s="529">
        <f>L26/D29</f>
        <v>10.450200821109739</v>
      </c>
      <c r="E43" s="529">
        <f>M26/E29</f>
        <v>9.5561630020992858</v>
      </c>
      <c r="F43" s="529">
        <f>N26/F29</f>
        <v>8.7053970166590311</v>
      </c>
      <c r="G43" s="529">
        <f>O26/G29</f>
        <v>7.9551991862009039</v>
      </c>
      <c r="H43" s="17">
        <f t="shared" si="9"/>
        <v>9.5194345126273117E-2</v>
      </c>
      <c r="I43" s="247"/>
      <c r="J43" s="247"/>
      <c r="K43" s="247"/>
      <c r="L43" s="247"/>
      <c r="M43" s="247"/>
      <c r="N43" s="247"/>
      <c r="O43" s="18"/>
      <c r="Q43" s="5"/>
      <c r="R43" s="5"/>
      <c r="S43" s="42"/>
      <c r="T43" s="42"/>
      <c r="U43" s="42"/>
      <c r="V43" s="42"/>
      <c r="W43" s="288"/>
      <c r="X43" s="288"/>
      <c r="Y43" s="288"/>
      <c r="Z43" s="288"/>
      <c r="AA43" s="42"/>
    </row>
    <row r="44" spans="2:27">
      <c r="B44" s="5" t="s">
        <v>533</v>
      </c>
      <c r="C44" s="69"/>
      <c r="D44" s="529">
        <f>D11/D30</f>
        <v>11.607002901482543</v>
      </c>
      <c r="E44" s="529">
        <f>E11/E30</f>
        <v>11.469996035353242</v>
      </c>
      <c r="F44" s="529">
        <f>F11/F30</f>
        <v>9.7606083896121234</v>
      </c>
      <c r="G44" s="529">
        <f>G11/G30</f>
        <v>8.567953373924361</v>
      </c>
      <c r="H44" s="17">
        <f t="shared" si="9"/>
        <v>0.10649044046827383</v>
      </c>
      <c r="I44" s="247"/>
      <c r="J44" s="248"/>
      <c r="K44" s="248"/>
      <c r="L44" s="248"/>
      <c r="M44" s="248"/>
      <c r="N44" s="248"/>
      <c r="O44" s="248"/>
      <c r="Q44" s="5"/>
      <c r="R44" s="5"/>
      <c r="S44" s="42"/>
      <c r="T44" s="42"/>
      <c r="U44" s="42"/>
      <c r="V44" s="42"/>
      <c r="W44" s="325"/>
      <c r="X44" s="325"/>
      <c r="Y44" s="288"/>
      <c r="Z44" s="288"/>
      <c r="AA44" s="42"/>
    </row>
    <row r="45" spans="2:27">
      <c r="B45" s="5" t="s">
        <v>580</v>
      </c>
      <c r="C45" s="247"/>
      <c r="D45" s="248">
        <f>D31/D11</f>
        <v>6.0714285714285714E-2</v>
      </c>
      <c r="E45" s="248">
        <f>E31/E11</f>
        <v>6.974719062972741E-2</v>
      </c>
      <c r="F45" s="248">
        <f>F31/F11</f>
        <v>8.1962104006899045E-2</v>
      </c>
      <c r="G45" s="248">
        <f>G31/G11</f>
        <v>9.3371189721306536E-2</v>
      </c>
      <c r="H45" s="17">
        <f t="shared" si="9"/>
        <v>0.15426980299800741</v>
      </c>
      <c r="I45" s="248"/>
      <c r="J45" s="247"/>
      <c r="K45" s="247"/>
      <c r="L45" s="247"/>
      <c r="M45" s="247"/>
      <c r="N45" s="247"/>
      <c r="O45" s="248"/>
      <c r="Q45" s="5"/>
      <c r="R45" s="5"/>
      <c r="S45" s="42"/>
      <c r="T45" s="42"/>
      <c r="U45" s="42"/>
      <c r="V45" s="42"/>
      <c r="W45" s="42"/>
      <c r="X45" s="42"/>
      <c r="Y45" s="325"/>
      <c r="Z45" s="325"/>
      <c r="AA45" s="42"/>
    </row>
    <row r="46" spans="2:27">
      <c r="B46" s="5" t="s">
        <v>605</v>
      </c>
      <c r="C46" s="247"/>
      <c r="D46" s="248">
        <f>(D31+D32)/D11</f>
        <v>6.0714285714285714E-2</v>
      </c>
      <c r="E46" s="248">
        <f>(E31+E32)/E11</f>
        <v>6.974719062972741E-2</v>
      </c>
      <c r="F46" s="248">
        <f>(F31+F32)/F11</f>
        <v>8.1962104006899045E-2</v>
      </c>
      <c r="G46" s="248">
        <f>(G31+G32)/G11</f>
        <v>9.3371189721306536E-2</v>
      </c>
      <c r="H46" s="279">
        <f>((G31+G32)/(D31+D32))^(1/3)-1</f>
        <v>0.15426980299800741</v>
      </c>
      <c r="I46" s="247"/>
      <c r="J46" s="247"/>
      <c r="K46" s="247"/>
      <c r="L46" s="247"/>
      <c r="M46" s="247"/>
      <c r="N46" s="247"/>
      <c r="O46" s="18"/>
      <c r="Q46" s="5"/>
      <c r="R46" s="5"/>
      <c r="S46" s="42"/>
      <c r="T46" s="42"/>
      <c r="U46" s="42"/>
      <c r="V46" s="42"/>
      <c r="W46" s="42"/>
      <c r="X46" s="42"/>
      <c r="Y46" s="42"/>
      <c r="Z46" s="42"/>
      <c r="AA46" s="326"/>
    </row>
    <row r="47" spans="2:27">
      <c r="B47" s="5" t="s">
        <v>581</v>
      </c>
      <c r="C47" s="5"/>
      <c r="D47" s="248">
        <f>1/D43</f>
        <v>9.5691940960595523E-2</v>
      </c>
      <c r="E47" s="248">
        <f>1/E43</f>
        <v>0.10464451054050891</v>
      </c>
      <c r="F47" s="248">
        <f>1/F43</f>
        <v>0.11487126871828544</v>
      </c>
      <c r="G47" s="248">
        <f>1/G43</f>
        <v>0.12570395493485581</v>
      </c>
      <c r="H47" s="17">
        <f>H29</f>
        <v>9.5194345126273117E-2</v>
      </c>
      <c r="I47" s="17"/>
      <c r="J47" s="248"/>
      <c r="K47" s="248"/>
      <c r="L47" s="248"/>
      <c r="M47" s="248"/>
      <c r="N47" s="248"/>
      <c r="O47" s="248"/>
      <c r="Q47" s="5"/>
      <c r="R47" s="5"/>
      <c r="S47" s="42"/>
      <c r="T47" s="42"/>
      <c r="U47" s="42"/>
      <c r="V47" s="42"/>
      <c r="W47" s="42"/>
      <c r="X47" s="42"/>
      <c r="Y47" s="42"/>
      <c r="Z47" s="42"/>
      <c r="AA47" s="326"/>
    </row>
    <row r="48" spans="2:27">
      <c r="B48" s="5" t="s">
        <v>618</v>
      </c>
      <c r="C48" s="5"/>
      <c r="D48" s="305">
        <f>D31/D29</f>
        <v>0.63447647842451993</v>
      </c>
      <c r="E48" s="305">
        <f>E31/E29</f>
        <v>0.66651552259616698</v>
      </c>
      <c r="F48" s="305">
        <f>F31/F29</f>
        <v>0.71351265570075617</v>
      </c>
      <c r="G48" s="305">
        <f>G31/G29</f>
        <v>0.74278641248554789</v>
      </c>
      <c r="H48" s="279" t="s">
        <v>607</v>
      </c>
      <c r="I48" s="247"/>
      <c r="J48" s="247"/>
      <c r="K48" s="247"/>
      <c r="L48" s="247"/>
      <c r="M48" s="247"/>
      <c r="N48" s="247"/>
      <c r="O48" s="248"/>
      <c r="Q48" s="5"/>
      <c r="R48" s="5"/>
      <c r="S48" s="42"/>
      <c r="T48" s="42"/>
      <c r="U48" s="42"/>
      <c r="V48" s="42"/>
      <c r="W48" s="42"/>
      <c r="X48" s="42"/>
      <c r="Y48" s="42"/>
      <c r="Z48" s="42"/>
      <c r="AA48" s="326"/>
    </row>
    <row r="49" spans="2:27">
      <c r="B49" s="41"/>
      <c r="C49" s="17"/>
      <c r="D49" s="17"/>
      <c r="E49" s="17"/>
      <c r="F49" s="17"/>
      <c r="G49" s="17"/>
      <c r="H49" s="17"/>
      <c r="I49" s="254"/>
      <c r="J49" s="17"/>
      <c r="K49" s="17"/>
      <c r="L49" s="17"/>
      <c r="M49" s="17"/>
      <c r="N49" s="17"/>
      <c r="O49" s="248"/>
      <c r="Q49" s="5"/>
      <c r="R49" s="5"/>
      <c r="S49" s="42"/>
      <c r="T49" s="42"/>
      <c r="U49" s="42"/>
      <c r="V49" s="42"/>
      <c r="W49" s="42"/>
      <c r="X49" s="42"/>
      <c r="Y49" s="42"/>
      <c r="Z49" s="42"/>
      <c r="AA49" s="326"/>
    </row>
    <row r="50" spans="2:27">
      <c r="B50" s="5"/>
      <c r="C50" s="257"/>
      <c r="D50" s="257"/>
      <c r="E50" s="257"/>
      <c r="F50" s="5"/>
      <c r="G50" s="41"/>
      <c r="H50" s="249"/>
      <c r="I50" s="17"/>
      <c r="J50" s="249"/>
      <c r="K50" s="249"/>
      <c r="L50" s="249"/>
      <c r="M50" s="249"/>
      <c r="N50" s="249"/>
      <c r="O50" s="250"/>
      <c r="Q50" s="5"/>
      <c r="R50" s="5"/>
      <c r="S50" s="42"/>
      <c r="T50" s="42"/>
      <c r="U50" s="42"/>
      <c r="V50" s="42"/>
      <c r="W50" s="288"/>
      <c r="X50" s="288"/>
      <c r="Y50" s="42"/>
      <c r="Z50" s="42"/>
      <c r="AA50" s="326"/>
    </row>
    <row r="51" spans="2:27">
      <c r="B51" s="41"/>
      <c r="C51" s="249"/>
      <c r="D51" s="254"/>
      <c r="E51" s="254"/>
      <c r="F51" s="254"/>
      <c r="G51" s="254"/>
      <c r="H51" s="254"/>
      <c r="I51" s="259"/>
      <c r="J51" s="254"/>
      <c r="K51" s="254"/>
      <c r="L51" s="254"/>
      <c r="M51" s="254"/>
      <c r="N51" s="254"/>
      <c r="O51" s="251"/>
      <c r="Q51" s="5"/>
      <c r="R51" s="5"/>
      <c r="S51" s="42"/>
      <c r="T51" s="42"/>
      <c r="U51" s="42"/>
      <c r="V51" s="42"/>
      <c r="W51" s="288"/>
      <c r="X51" s="288"/>
      <c r="Y51" s="288"/>
      <c r="Z51" s="288"/>
      <c r="AA51" s="42"/>
    </row>
    <row r="52" spans="2:27">
      <c r="B52" s="5"/>
      <c r="C52" s="257"/>
      <c r="D52" s="17"/>
      <c r="E52" s="17"/>
      <c r="F52" s="17"/>
      <c r="G52" s="17"/>
      <c r="H52" s="17"/>
      <c r="I52" s="254"/>
      <c r="J52" s="17"/>
      <c r="K52" s="17"/>
      <c r="L52" s="17"/>
      <c r="M52" s="17"/>
      <c r="N52" s="17"/>
      <c r="O52" s="248"/>
      <c r="Q52" s="5"/>
      <c r="R52" s="5"/>
      <c r="Y52" s="10"/>
      <c r="Z52" s="10"/>
    </row>
    <row r="53" spans="2:27">
      <c r="B53" s="5"/>
      <c r="C53" s="257"/>
      <c r="D53" s="257"/>
      <c r="E53" s="257"/>
      <c r="F53" s="5"/>
      <c r="G53" s="5"/>
      <c r="H53" s="259"/>
      <c r="I53" s="17"/>
      <c r="J53" s="259"/>
      <c r="K53" s="259"/>
      <c r="L53" s="259"/>
      <c r="M53" s="259"/>
      <c r="N53" s="259"/>
      <c r="O53" s="18"/>
      <c r="Q53" s="5"/>
      <c r="R53" s="5"/>
    </row>
    <row r="54" spans="2:27">
      <c r="B54" s="41"/>
      <c r="C54" s="249"/>
      <c r="D54" s="254"/>
      <c r="E54" s="254"/>
      <c r="F54" s="254"/>
      <c r="G54" s="254"/>
      <c r="H54" s="254"/>
      <c r="I54" s="259"/>
      <c r="J54" s="254"/>
      <c r="K54" s="254"/>
      <c r="L54" s="254"/>
      <c r="M54" s="254"/>
      <c r="N54" s="254"/>
      <c r="O54" s="251"/>
      <c r="Q54" s="5"/>
      <c r="R54" s="5"/>
    </row>
    <row r="55" spans="2:27">
      <c r="B55" s="5"/>
      <c r="C55" s="257"/>
      <c r="D55" s="17"/>
      <c r="E55" s="17"/>
      <c r="F55" s="17"/>
      <c r="G55" s="17"/>
      <c r="H55" s="17"/>
      <c r="I55" s="249"/>
      <c r="J55" s="17"/>
      <c r="K55" s="17"/>
      <c r="L55" s="17"/>
      <c r="M55" s="17"/>
      <c r="N55" s="17"/>
      <c r="O55" s="18"/>
      <c r="Q55" s="5"/>
      <c r="R55" s="5"/>
    </row>
    <row r="56" spans="2:27">
      <c r="B56" s="5"/>
      <c r="C56" s="248"/>
      <c r="D56" s="248"/>
      <c r="E56" s="248"/>
      <c r="F56" s="5"/>
      <c r="G56" s="5"/>
      <c r="H56" s="259"/>
      <c r="I56" s="248"/>
      <c r="J56" s="259"/>
      <c r="K56" s="259"/>
      <c r="L56" s="259"/>
      <c r="M56" s="259"/>
      <c r="N56" s="259"/>
      <c r="O56" s="18"/>
      <c r="Q56" s="5"/>
      <c r="R56" s="5"/>
    </row>
    <row r="57" spans="2:27">
      <c r="B57" s="41"/>
      <c r="C57" s="249"/>
      <c r="D57" s="249"/>
      <c r="E57" s="249"/>
      <c r="F57" s="249"/>
      <c r="G57" s="249"/>
      <c r="H57" s="249"/>
      <c r="I57" s="5"/>
      <c r="J57" s="249"/>
      <c r="K57" s="249"/>
      <c r="L57" s="249"/>
      <c r="M57" s="249"/>
      <c r="N57" s="249"/>
      <c r="O57" s="251"/>
      <c r="Q57" s="5"/>
      <c r="R57" s="5"/>
    </row>
    <row r="58" spans="2:27">
      <c r="B58" s="5"/>
      <c r="C58" s="5"/>
      <c r="D58" s="248"/>
      <c r="E58" s="248"/>
      <c r="F58" s="248"/>
      <c r="G58" s="248"/>
      <c r="H58" s="248"/>
      <c r="I58" s="17"/>
      <c r="J58" s="248"/>
      <c r="K58" s="248"/>
      <c r="L58" s="248"/>
      <c r="M58" s="248"/>
      <c r="N58" s="248"/>
      <c r="O58" s="18"/>
      <c r="Q58" s="5"/>
      <c r="R58" s="5"/>
    </row>
    <row r="59" spans="2:27">
      <c r="B59" s="5"/>
      <c r="C59" s="5"/>
      <c r="D59" s="5"/>
      <c r="E59" s="5"/>
      <c r="F59" s="5"/>
      <c r="G59" s="5"/>
      <c r="H59" s="5"/>
      <c r="I59" s="5"/>
      <c r="J59" s="5"/>
      <c r="K59" s="5"/>
      <c r="L59" s="5"/>
      <c r="M59" s="5"/>
      <c r="N59" s="5"/>
      <c r="O59" s="5"/>
      <c r="Q59" s="5"/>
      <c r="R59" s="5"/>
    </row>
    <row r="60" spans="2:27">
      <c r="B60" s="41"/>
      <c r="C60" s="17"/>
      <c r="D60" s="17"/>
      <c r="E60" s="17"/>
      <c r="F60" s="17"/>
      <c r="G60" s="17"/>
      <c r="H60" s="17"/>
      <c r="I60" s="249"/>
      <c r="J60" s="17"/>
      <c r="K60" s="17"/>
      <c r="L60" s="17"/>
      <c r="M60" s="17"/>
      <c r="N60" s="17"/>
      <c r="O60" s="251"/>
      <c r="Q60" s="5"/>
      <c r="R60" s="5"/>
    </row>
    <row r="61" spans="2:27">
      <c r="B61" s="5"/>
      <c r="C61" s="5"/>
      <c r="D61" s="5"/>
      <c r="E61" s="5"/>
      <c r="F61" s="5"/>
      <c r="G61" s="5"/>
      <c r="H61" s="5"/>
      <c r="I61" s="5"/>
      <c r="J61" s="5"/>
      <c r="K61" s="5"/>
      <c r="L61" s="5"/>
      <c r="M61" s="5"/>
      <c r="N61" s="5"/>
      <c r="O61" s="5"/>
      <c r="Q61" s="41"/>
      <c r="R61" s="5"/>
    </row>
    <row r="62" spans="2:27">
      <c r="B62" s="41"/>
      <c r="C62" s="249"/>
      <c r="D62" s="249"/>
      <c r="E62" s="249"/>
      <c r="F62" s="249"/>
      <c r="G62" s="249"/>
      <c r="H62" s="249"/>
      <c r="I62" s="5"/>
      <c r="J62" s="249"/>
      <c r="K62" s="249"/>
      <c r="L62" s="249"/>
      <c r="M62" s="249"/>
      <c r="N62" s="249"/>
      <c r="O62" s="251"/>
      <c r="Q62" s="5"/>
      <c r="R62" s="5"/>
    </row>
    <row r="63" spans="2:27">
      <c r="B63" s="5"/>
      <c r="C63" s="5"/>
      <c r="D63" s="5"/>
      <c r="E63" s="5"/>
      <c r="F63" s="5"/>
      <c r="G63" s="5"/>
      <c r="H63" s="5"/>
      <c r="I63" s="254"/>
      <c r="J63" s="5"/>
      <c r="K63" s="5"/>
      <c r="L63" s="5"/>
      <c r="M63" s="5"/>
      <c r="N63" s="5"/>
      <c r="O63" s="5"/>
      <c r="Q63" s="5"/>
      <c r="R63" s="5"/>
    </row>
    <row r="64" spans="2:27">
      <c r="B64" s="5"/>
      <c r="C64" s="5"/>
      <c r="D64" s="5"/>
      <c r="E64" s="5"/>
      <c r="F64" s="5"/>
      <c r="G64" s="5"/>
      <c r="H64" s="5"/>
      <c r="I64" s="17"/>
      <c r="J64" s="5"/>
      <c r="K64" s="5"/>
      <c r="L64" s="5"/>
      <c r="M64" s="5"/>
      <c r="N64" s="5"/>
      <c r="O64" s="5"/>
      <c r="Q64" s="5"/>
      <c r="R64" s="5"/>
    </row>
    <row r="65" spans="2:26">
      <c r="B65" s="41"/>
      <c r="C65" s="249"/>
      <c r="D65" s="254"/>
      <c r="E65" s="254"/>
      <c r="F65" s="254"/>
      <c r="G65" s="254"/>
      <c r="H65" s="254"/>
      <c r="I65" s="254"/>
      <c r="J65" s="254"/>
      <c r="K65" s="254"/>
      <c r="L65" s="254"/>
      <c r="M65" s="254"/>
      <c r="N65" s="254"/>
      <c r="O65" s="251"/>
      <c r="Q65" s="5"/>
      <c r="R65" s="5"/>
    </row>
    <row r="66" spans="2:26">
      <c r="B66" s="5"/>
      <c r="C66" s="5"/>
      <c r="D66" s="17"/>
      <c r="E66" s="17"/>
      <c r="F66" s="17"/>
      <c r="G66" s="17"/>
      <c r="H66" s="17"/>
      <c r="I66" s="248"/>
      <c r="J66" s="17"/>
      <c r="K66" s="17"/>
      <c r="L66" s="17"/>
      <c r="M66" s="17"/>
      <c r="N66" s="17"/>
      <c r="O66" s="5"/>
      <c r="Q66" s="5"/>
      <c r="R66" s="5"/>
    </row>
    <row r="67" spans="2:26">
      <c r="B67" s="41"/>
      <c r="C67" s="249"/>
      <c r="D67" s="254"/>
      <c r="E67" s="254"/>
      <c r="F67" s="254"/>
      <c r="G67" s="254"/>
      <c r="H67" s="254"/>
      <c r="I67" s="5"/>
      <c r="J67" s="254"/>
      <c r="K67" s="254"/>
      <c r="L67" s="254"/>
      <c r="M67" s="254"/>
      <c r="N67" s="254"/>
      <c r="O67" s="251"/>
      <c r="Q67" s="41"/>
      <c r="R67" s="5"/>
    </row>
    <row r="68" spans="2:26">
      <c r="B68" s="5"/>
      <c r="C68" s="5"/>
      <c r="D68" s="248"/>
      <c r="E68" s="248"/>
      <c r="F68" s="248"/>
      <c r="G68" s="248"/>
      <c r="H68" s="248"/>
      <c r="I68" s="245"/>
      <c r="J68" s="248"/>
      <c r="K68" s="248"/>
      <c r="L68" s="248"/>
      <c r="M68" s="248"/>
      <c r="N68" s="248"/>
      <c r="O68" s="5"/>
      <c r="Q68" s="5"/>
      <c r="R68" s="5"/>
    </row>
    <row r="69" spans="2:26">
      <c r="B69" s="41"/>
      <c r="C69" s="5"/>
      <c r="D69" s="5"/>
      <c r="E69" s="5"/>
      <c r="F69" s="5"/>
      <c r="G69" s="5"/>
      <c r="H69" s="5"/>
      <c r="I69" s="248"/>
      <c r="J69" s="5"/>
      <c r="K69" s="5"/>
      <c r="L69" s="5"/>
      <c r="M69" s="5"/>
      <c r="N69" s="5"/>
      <c r="O69" s="5"/>
      <c r="Q69" s="5"/>
      <c r="R69" s="5"/>
    </row>
    <row r="70" spans="2:26">
      <c r="B70" s="41"/>
      <c r="C70" s="245"/>
      <c r="D70" s="245"/>
      <c r="E70" s="245"/>
      <c r="F70" s="245"/>
      <c r="G70" s="245"/>
      <c r="H70" s="245"/>
      <c r="I70" s="5"/>
      <c r="J70" s="245"/>
      <c r="K70" s="245"/>
      <c r="L70" s="245"/>
      <c r="M70" s="245"/>
      <c r="N70" s="245"/>
      <c r="O70" s="251"/>
      <c r="Q70" s="5"/>
      <c r="R70" s="5"/>
      <c r="W70" s="76"/>
      <c r="X70" s="76"/>
    </row>
    <row r="71" spans="2:26">
      <c r="B71" s="5"/>
      <c r="C71" s="5"/>
      <c r="D71" s="248"/>
      <c r="E71" s="248"/>
      <c r="F71" s="248"/>
      <c r="G71" s="248"/>
      <c r="H71" s="248"/>
      <c r="I71" s="245"/>
      <c r="J71" s="248"/>
      <c r="K71" s="248"/>
      <c r="L71" s="248"/>
      <c r="M71" s="248"/>
      <c r="N71" s="248"/>
      <c r="O71" s="5"/>
      <c r="Q71" s="5"/>
      <c r="R71" s="5"/>
      <c r="W71" s="76"/>
      <c r="X71" s="76"/>
      <c r="Y71" s="76"/>
      <c r="Z71" s="76"/>
    </row>
    <row r="72" spans="2:26">
      <c r="B72" s="41"/>
      <c r="C72" s="5"/>
      <c r="D72" s="5"/>
      <c r="E72" s="5"/>
      <c r="F72" s="5"/>
      <c r="G72" s="5"/>
      <c r="H72" s="5"/>
      <c r="I72" s="18"/>
      <c r="J72" s="5"/>
      <c r="K72" s="5"/>
      <c r="L72" s="5"/>
      <c r="M72" s="5"/>
      <c r="N72" s="5"/>
      <c r="O72" s="5"/>
      <c r="Q72" s="5"/>
      <c r="R72" s="5"/>
      <c r="Y72" s="76"/>
      <c r="Z72" s="76"/>
    </row>
    <row r="73" spans="2:26">
      <c r="B73" s="41"/>
      <c r="C73" s="245"/>
      <c r="D73" s="245"/>
      <c r="E73" s="245"/>
      <c r="F73" s="245"/>
      <c r="G73" s="245"/>
      <c r="H73" s="245"/>
      <c r="I73" s="5"/>
      <c r="J73" s="245"/>
      <c r="K73" s="245"/>
      <c r="L73" s="245"/>
      <c r="M73" s="245"/>
      <c r="N73" s="245"/>
      <c r="O73" s="251"/>
      <c r="Q73" s="5"/>
      <c r="R73" s="5"/>
    </row>
    <row r="74" spans="2:26">
      <c r="B74" s="5"/>
      <c r="C74" s="5"/>
      <c r="D74" s="18"/>
      <c r="E74" s="18"/>
      <c r="F74" s="18"/>
      <c r="G74" s="18"/>
      <c r="H74" s="18"/>
      <c r="I74" s="249"/>
      <c r="J74" s="18"/>
      <c r="K74" s="18"/>
      <c r="L74" s="18"/>
      <c r="M74" s="18"/>
      <c r="N74" s="18"/>
      <c r="O74" s="5"/>
      <c r="Q74" s="5"/>
      <c r="R74" s="5"/>
    </row>
    <row r="75" spans="2:26">
      <c r="B75" s="41"/>
      <c r="C75" s="5"/>
      <c r="D75" s="5"/>
      <c r="E75" s="5"/>
      <c r="F75" s="5"/>
      <c r="G75" s="5"/>
      <c r="H75" s="5"/>
      <c r="I75" s="248"/>
      <c r="J75" s="5"/>
      <c r="K75" s="5"/>
      <c r="L75" s="5"/>
      <c r="M75" s="5"/>
      <c r="N75" s="5"/>
      <c r="O75" s="5"/>
      <c r="Q75" s="5"/>
      <c r="R75" s="5"/>
    </row>
    <row r="76" spans="2:26">
      <c r="B76" s="41"/>
      <c r="C76" s="249"/>
      <c r="D76" s="249"/>
      <c r="E76" s="249"/>
      <c r="F76" s="249"/>
      <c r="G76" s="249"/>
      <c r="H76" s="249"/>
      <c r="I76" s="5"/>
      <c r="J76" s="249"/>
      <c r="K76" s="249"/>
      <c r="L76" s="249"/>
      <c r="M76" s="249"/>
      <c r="N76" s="249"/>
      <c r="O76" s="251"/>
      <c r="Q76" s="5"/>
      <c r="R76" s="5"/>
    </row>
    <row r="77" spans="2:26">
      <c r="B77" s="5"/>
      <c r="C77" s="5"/>
      <c r="D77" s="248"/>
      <c r="E77" s="248"/>
      <c r="F77" s="248"/>
      <c r="G77" s="248"/>
      <c r="H77" s="248"/>
      <c r="I77" s="245"/>
      <c r="J77" s="248"/>
      <c r="K77" s="248"/>
      <c r="L77" s="248"/>
      <c r="M77" s="248"/>
      <c r="N77" s="248"/>
      <c r="O77" s="5"/>
      <c r="Q77" s="5"/>
      <c r="R77" s="5"/>
    </row>
    <row r="78" spans="2:26">
      <c r="B78" s="41"/>
      <c r="C78" s="5"/>
      <c r="D78" s="5"/>
      <c r="E78" s="5"/>
      <c r="F78" s="5"/>
      <c r="G78" s="5"/>
      <c r="H78" s="5"/>
      <c r="I78" s="248"/>
      <c r="J78" s="5"/>
      <c r="K78" s="5"/>
      <c r="L78" s="5"/>
      <c r="M78" s="5"/>
      <c r="N78" s="5"/>
      <c r="O78" s="5"/>
      <c r="Q78" s="5"/>
      <c r="R78" s="5"/>
    </row>
    <row r="79" spans="2:26">
      <c r="B79" s="41"/>
      <c r="C79" s="245"/>
      <c r="D79" s="245"/>
      <c r="E79" s="245"/>
      <c r="F79" s="245"/>
      <c r="G79" s="245"/>
      <c r="H79" s="245"/>
      <c r="I79" s="5"/>
      <c r="J79" s="245"/>
      <c r="K79" s="245"/>
      <c r="L79" s="245"/>
      <c r="M79" s="245"/>
      <c r="N79" s="245"/>
      <c r="O79" s="251"/>
      <c r="Q79" s="5"/>
      <c r="R79" s="5"/>
    </row>
    <row r="80" spans="2:26">
      <c r="B80" s="5"/>
      <c r="C80" s="5"/>
      <c r="D80" s="248"/>
      <c r="E80" s="248"/>
      <c r="F80" s="248"/>
      <c r="G80" s="248"/>
      <c r="H80" s="248"/>
      <c r="I80" s="249"/>
      <c r="J80" s="248"/>
      <c r="K80" s="248"/>
      <c r="L80" s="248"/>
      <c r="M80" s="248"/>
      <c r="N80" s="248"/>
      <c r="O80" s="5"/>
      <c r="Q80" s="5"/>
      <c r="R80" s="5"/>
    </row>
    <row r="81" spans="2:26">
      <c r="B81" s="41"/>
      <c r="C81" s="5"/>
      <c r="D81" s="5"/>
      <c r="E81" s="5"/>
      <c r="F81" s="5"/>
      <c r="G81" s="5"/>
      <c r="H81" s="5"/>
      <c r="I81" s="248"/>
      <c r="J81" s="5"/>
      <c r="K81" s="5"/>
      <c r="L81" s="5"/>
      <c r="M81" s="5"/>
      <c r="N81" s="5"/>
      <c r="O81" s="5"/>
      <c r="Q81" s="5"/>
      <c r="R81" s="5"/>
    </row>
    <row r="82" spans="2:26">
      <c r="B82" s="41"/>
      <c r="C82" s="249"/>
      <c r="D82" s="249"/>
      <c r="E82" s="249"/>
      <c r="F82" s="249"/>
      <c r="G82" s="249"/>
      <c r="H82" s="249"/>
      <c r="I82" s="259"/>
      <c r="J82" s="249"/>
      <c r="K82" s="249"/>
      <c r="L82" s="249"/>
      <c r="M82" s="249"/>
      <c r="N82" s="249"/>
      <c r="O82" s="251"/>
      <c r="Q82" s="5"/>
      <c r="R82" s="5"/>
    </row>
    <row r="83" spans="2:26">
      <c r="B83" s="5"/>
      <c r="C83" s="5"/>
      <c r="D83" s="248"/>
      <c r="E83" s="248"/>
      <c r="F83" s="248"/>
      <c r="G83" s="248"/>
      <c r="H83" s="248"/>
      <c r="I83" s="5"/>
      <c r="J83" s="248"/>
      <c r="K83" s="248"/>
      <c r="L83" s="248"/>
      <c r="M83" s="248"/>
      <c r="N83" s="248"/>
      <c r="O83" s="5"/>
      <c r="Q83" s="5"/>
      <c r="R83" s="5"/>
    </row>
    <row r="84" spans="2:26">
      <c r="B84" s="5"/>
      <c r="C84" s="259"/>
      <c r="D84" s="259"/>
      <c r="E84" s="259"/>
      <c r="F84" s="259"/>
      <c r="G84" s="259"/>
      <c r="H84" s="259"/>
      <c r="I84" s="245"/>
      <c r="J84" s="259"/>
      <c r="K84" s="259"/>
      <c r="L84" s="259"/>
      <c r="M84" s="259"/>
      <c r="N84" s="259"/>
      <c r="O84" s="251"/>
      <c r="Q84" s="5"/>
      <c r="R84" s="5"/>
    </row>
    <row r="85" spans="2:26">
      <c r="B85" s="41"/>
      <c r="C85" s="5"/>
      <c r="D85" s="5"/>
      <c r="E85" s="5"/>
      <c r="F85" s="5"/>
      <c r="G85" s="5"/>
      <c r="H85" s="5"/>
      <c r="I85" s="248"/>
      <c r="J85" s="5"/>
      <c r="K85" s="5"/>
      <c r="L85" s="5"/>
      <c r="M85" s="5"/>
      <c r="N85" s="5"/>
      <c r="O85" s="5"/>
      <c r="Q85" s="5"/>
      <c r="R85" s="5"/>
    </row>
    <row r="86" spans="2:26">
      <c r="B86" s="41"/>
      <c r="C86" s="245"/>
      <c r="D86" s="245"/>
      <c r="E86" s="245"/>
      <c r="F86" s="245"/>
      <c r="G86" s="245"/>
      <c r="H86" s="245"/>
      <c r="I86" s="5"/>
      <c r="J86" s="245"/>
      <c r="K86" s="245"/>
      <c r="L86" s="245"/>
      <c r="M86" s="245"/>
      <c r="N86" s="245"/>
      <c r="O86" s="251"/>
      <c r="Q86" s="5"/>
      <c r="R86" s="5"/>
    </row>
    <row r="87" spans="2:26">
      <c r="B87" s="5"/>
      <c r="C87" s="5"/>
      <c r="D87" s="248"/>
      <c r="E87" s="248"/>
      <c r="F87" s="248"/>
      <c r="G87" s="248"/>
      <c r="H87" s="248"/>
      <c r="I87" s="5"/>
      <c r="J87" s="248"/>
      <c r="K87" s="248"/>
      <c r="L87" s="248"/>
      <c r="M87" s="248"/>
      <c r="N87" s="248"/>
      <c r="O87" s="5"/>
      <c r="Q87" s="5"/>
      <c r="R87" s="5"/>
    </row>
    <row r="88" spans="2:26">
      <c r="B88" s="41"/>
      <c r="C88" s="5"/>
      <c r="D88" s="5"/>
      <c r="E88" s="5"/>
      <c r="F88" s="5"/>
      <c r="G88" s="5"/>
      <c r="H88" s="5"/>
      <c r="I88" s="5"/>
      <c r="J88" s="5"/>
      <c r="K88" s="5"/>
      <c r="L88" s="5"/>
      <c r="M88" s="5"/>
      <c r="N88" s="5"/>
      <c r="O88" s="5"/>
      <c r="Q88" s="5"/>
      <c r="R88" s="5"/>
    </row>
    <row r="89" spans="2:26">
      <c r="B89" s="41"/>
      <c r="C89" s="5"/>
      <c r="D89" s="5"/>
      <c r="E89" s="5"/>
      <c r="F89" s="5"/>
      <c r="G89" s="5"/>
      <c r="H89" s="5"/>
      <c r="I89" s="5"/>
      <c r="J89" s="5"/>
      <c r="K89" s="5"/>
      <c r="L89" s="5"/>
      <c r="M89" s="5"/>
      <c r="N89" s="5"/>
      <c r="O89" s="5"/>
      <c r="Q89" s="5"/>
      <c r="R89" s="5"/>
    </row>
    <row r="90" spans="2:26">
      <c r="B90" s="41"/>
      <c r="C90" s="5"/>
      <c r="D90" s="5"/>
      <c r="E90" s="5"/>
      <c r="F90" s="5"/>
      <c r="G90" s="5"/>
      <c r="H90" s="5"/>
      <c r="I90" s="49"/>
      <c r="J90" s="5"/>
      <c r="K90" s="5"/>
      <c r="L90" s="5"/>
      <c r="M90" s="5"/>
      <c r="N90" s="5"/>
      <c r="O90" s="5"/>
      <c r="Q90" s="41"/>
      <c r="R90" s="5"/>
    </row>
    <row r="91" spans="2:26">
      <c r="B91" s="5"/>
      <c r="C91" s="5"/>
      <c r="D91" s="5"/>
      <c r="E91" s="5"/>
      <c r="F91" s="5"/>
      <c r="G91" s="5"/>
      <c r="H91" s="5"/>
      <c r="I91" s="5"/>
      <c r="J91" s="5"/>
      <c r="K91" s="5"/>
      <c r="L91" s="5"/>
      <c r="M91" s="5"/>
      <c r="N91" s="5"/>
      <c r="O91" s="5"/>
      <c r="Q91" s="5"/>
      <c r="R91" s="5"/>
    </row>
    <row r="92" spans="2:26">
      <c r="B92" s="41"/>
      <c r="C92" s="49"/>
      <c r="D92" s="49"/>
      <c r="E92" s="49"/>
      <c r="F92" s="49"/>
      <c r="G92" s="49"/>
      <c r="H92" s="49"/>
      <c r="I92" s="247"/>
      <c r="J92" s="49"/>
      <c r="K92" s="49"/>
      <c r="L92" s="49"/>
      <c r="M92" s="49"/>
      <c r="N92" s="49"/>
      <c r="O92" s="49"/>
      <c r="Q92" s="5"/>
      <c r="R92" s="5"/>
      <c r="W92" s="21"/>
      <c r="X92" s="21"/>
    </row>
    <row r="93" spans="2:26">
      <c r="B93" s="5"/>
      <c r="C93" s="5"/>
      <c r="D93" s="5"/>
      <c r="E93" s="5"/>
      <c r="F93" s="5"/>
      <c r="G93" s="5"/>
      <c r="H93" s="5"/>
      <c r="I93" s="247"/>
      <c r="J93" s="5"/>
      <c r="K93" s="5"/>
      <c r="L93" s="5"/>
      <c r="M93" s="5"/>
      <c r="N93" s="5"/>
      <c r="O93" s="5"/>
      <c r="Q93" s="5"/>
      <c r="R93" s="5"/>
      <c r="W93" s="21"/>
      <c r="X93" s="21"/>
      <c r="Y93" s="21"/>
      <c r="Z93" s="21"/>
    </row>
    <row r="94" spans="2:26">
      <c r="B94" s="5"/>
      <c r="C94" s="259"/>
      <c r="D94" s="247"/>
      <c r="E94" s="247"/>
      <c r="F94" s="247"/>
      <c r="G94" s="247"/>
      <c r="H94" s="247"/>
      <c r="I94" s="247"/>
      <c r="J94" s="247"/>
      <c r="K94" s="247"/>
      <c r="L94" s="247"/>
      <c r="M94" s="247"/>
      <c r="N94" s="247"/>
      <c r="O94" s="248"/>
      <c r="Q94" s="5"/>
      <c r="R94" s="5"/>
      <c r="Y94" s="21"/>
      <c r="Z94" s="21"/>
    </row>
    <row r="95" spans="2:26">
      <c r="B95" s="5"/>
      <c r="C95" s="259"/>
      <c r="D95" s="247"/>
      <c r="E95" s="247"/>
      <c r="F95" s="247"/>
      <c r="G95" s="247"/>
      <c r="H95" s="247"/>
      <c r="I95" s="248"/>
      <c r="J95" s="247"/>
      <c r="K95" s="247"/>
      <c r="L95" s="247"/>
      <c r="M95" s="247"/>
      <c r="N95" s="247"/>
      <c r="O95" s="248"/>
      <c r="Q95" s="5"/>
      <c r="R95" s="5"/>
    </row>
    <row r="96" spans="2:26">
      <c r="B96" s="5"/>
      <c r="C96" s="259"/>
      <c r="D96" s="247"/>
      <c r="E96" s="247"/>
      <c r="F96" s="247"/>
      <c r="G96" s="247"/>
      <c r="H96" s="247"/>
      <c r="I96" s="247"/>
      <c r="J96" s="247"/>
      <c r="K96" s="247"/>
      <c r="L96" s="247"/>
      <c r="M96" s="247"/>
      <c r="N96" s="247"/>
      <c r="O96" s="248"/>
      <c r="Q96" s="5"/>
      <c r="R96" s="5"/>
    </row>
    <row r="97" spans="2:18">
      <c r="B97" s="5"/>
      <c r="C97" s="259"/>
      <c r="D97" s="248"/>
      <c r="E97" s="248"/>
      <c r="F97" s="248"/>
      <c r="G97" s="248"/>
      <c r="H97" s="248"/>
      <c r="I97" s="249"/>
      <c r="J97" s="248"/>
      <c r="K97" s="248"/>
      <c r="L97" s="248"/>
      <c r="M97" s="248"/>
      <c r="N97" s="248"/>
      <c r="O97" s="248"/>
      <c r="Q97" s="5"/>
      <c r="R97" s="5"/>
    </row>
    <row r="98" spans="2:18">
      <c r="B98" s="5"/>
      <c r="C98" s="259"/>
      <c r="D98" s="247"/>
      <c r="E98" s="247"/>
      <c r="F98" s="247"/>
      <c r="G98" s="247"/>
      <c r="H98" s="247"/>
      <c r="I98" s="248"/>
      <c r="J98" s="247"/>
      <c r="K98" s="247"/>
      <c r="L98" s="247"/>
      <c r="M98" s="247"/>
      <c r="N98" s="247"/>
      <c r="O98" s="248"/>
      <c r="Q98" s="5"/>
      <c r="R98" s="5"/>
    </row>
    <row r="99" spans="2:18">
      <c r="B99" s="41"/>
      <c r="C99" s="249"/>
      <c r="D99" s="249"/>
      <c r="E99" s="249"/>
      <c r="F99" s="249"/>
      <c r="G99" s="249"/>
      <c r="H99" s="249"/>
      <c r="I99" s="5"/>
      <c r="J99" s="249"/>
      <c r="K99" s="249"/>
      <c r="L99" s="249"/>
      <c r="M99" s="249"/>
      <c r="N99" s="249"/>
      <c r="O99" s="248"/>
      <c r="Q99" s="5"/>
      <c r="R99" s="5"/>
    </row>
    <row r="100" spans="2:18">
      <c r="B100" s="41"/>
      <c r="C100" s="257"/>
      <c r="D100" s="248"/>
      <c r="E100" s="248"/>
      <c r="F100" s="248"/>
      <c r="G100" s="248"/>
      <c r="H100" s="248"/>
      <c r="I100" s="259"/>
      <c r="J100" s="248"/>
      <c r="K100" s="248"/>
      <c r="L100" s="248"/>
      <c r="M100" s="248"/>
      <c r="N100" s="248"/>
      <c r="O100" s="248"/>
      <c r="Q100" s="5"/>
      <c r="R100" s="5"/>
    </row>
    <row r="101" spans="2:18" s="5" customFormat="1">
      <c r="B101" s="41"/>
      <c r="I101" s="259"/>
      <c r="O101" s="248"/>
      <c r="P101" s="39"/>
    </row>
    <row r="102" spans="2:18">
      <c r="B102" s="5"/>
      <c r="C102" s="259"/>
      <c r="D102" s="259"/>
      <c r="E102" s="259"/>
      <c r="F102" s="259"/>
      <c r="G102" s="259"/>
      <c r="H102" s="259"/>
      <c r="I102" s="247"/>
      <c r="J102" s="259"/>
      <c r="K102" s="259"/>
      <c r="L102" s="259"/>
      <c r="M102" s="259"/>
      <c r="N102" s="259"/>
      <c r="O102" s="5"/>
      <c r="Q102" s="5"/>
      <c r="R102" s="5"/>
    </row>
    <row r="103" spans="2:18">
      <c r="B103" s="5"/>
      <c r="C103" s="259"/>
      <c r="D103" s="259"/>
      <c r="E103" s="259"/>
      <c r="F103" s="259"/>
      <c r="G103" s="259"/>
      <c r="H103" s="259"/>
      <c r="I103" s="5"/>
      <c r="J103" s="259"/>
      <c r="K103" s="259"/>
      <c r="L103" s="259"/>
      <c r="M103" s="259"/>
      <c r="N103" s="259"/>
      <c r="O103" s="5"/>
      <c r="P103" s="5"/>
      <c r="Q103" s="5"/>
      <c r="R103" s="5"/>
    </row>
    <row r="104" spans="2:18">
      <c r="B104" s="5"/>
      <c r="C104" s="247"/>
      <c r="D104" s="247"/>
      <c r="E104" s="247"/>
      <c r="F104" s="247"/>
      <c r="G104" s="247"/>
      <c r="H104" s="247"/>
      <c r="I104" s="247"/>
      <c r="J104" s="247"/>
      <c r="K104" s="247"/>
      <c r="L104" s="247"/>
      <c r="M104" s="247"/>
      <c r="N104" s="247"/>
      <c r="O104" s="5"/>
      <c r="Q104" s="5"/>
      <c r="R104" s="5"/>
    </row>
    <row r="105" spans="2:18" s="5" customFormat="1">
      <c r="P105" s="39"/>
    </row>
    <row r="106" spans="2:18" s="5" customFormat="1">
      <c r="C106" s="259"/>
      <c r="D106" s="247"/>
      <c r="E106" s="247"/>
      <c r="F106" s="247"/>
      <c r="G106" s="247"/>
      <c r="H106" s="247"/>
      <c r="I106" s="259"/>
      <c r="J106" s="247"/>
      <c r="K106" s="247"/>
      <c r="L106" s="247"/>
      <c r="M106" s="247"/>
      <c r="N106" s="247"/>
      <c r="P106" s="39"/>
    </row>
    <row r="107" spans="2:18">
      <c r="B107" s="5"/>
      <c r="C107" s="259"/>
      <c r="D107" s="5"/>
      <c r="E107" s="5"/>
      <c r="F107" s="5"/>
      <c r="G107" s="5"/>
      <c r="H107" s="5"/>
      <c r="I107" s="247"/>
      <c r="J107" s="5"/>
      <c r="K107" s="5"/>
      <c r="L107" s="5"/>
      <c r="M107" s="5"/>
      <c r="N107" s="5"/>
      <c r="O107" s="5"/>
      <c r="P107" s="5"/>
      <c r="Q107" s="5"/>
      <c r="R107" s="5"/>
    </row>
    <row r="108" spans="2:18">
      <c r="B108" s="5"/>
      <c r="C108" s="259"/>
      <c r="D108" s="259"/>
      <c r="E108" s="259"/>
      <c r="F108" s="259"/>
      <c r="G108" s="259"/>
      <c r="H108" s="259"/>
      <c r="I108" s="249"/>
      <c r="J108" s="259"/>
      <c r="K108" s="259"/>
      <c r="L108" s="259"/>
      <c r="M108" s="259"/>
      <c r="N108" s="259"/>
      <c r="O108" s="5"/>
      <c r="P108" s="5"/>
      <c r="Q108" s="5"/>
      <c r="R108" s="5"/>
    </row>
    <row r="109" spans="2:18">
      <c r="B109" s="5"/>
      <c r="C109" s="247"/>
      <c r="D109" s="247"/>
      <c r="E109" s="247"/>
      <c r="F109" s="247"/>
      <c r="G109" s="247"/>
      <c r="H109" s="247"/>
      <c r="I109" s="249"/>
      <c r="J109" s="247"/>
      <c r="K109" s="247"/>
      <c r="L109" s="247"/>
      <c r="M109" s="247"/>
      <c r="N109" s="247"/>
      <c r="O109" s="5"/>
      <c r="Q109" s="5"/>
      <c r="R109" s="5"/>
    </row>
    <row r="110" spans="2:18">
      <c r="B110" s="41"/>
      <c r="C110" s="249"/>
      <c r="D110" s="249"/>
      <c r="E110" s="249"/>
      <c r="F110" s="249"/>
      <c r="G110" s="249"/>
      <c r="H110" s="249"/>
      <c r="I110" s="247"/>
      <c r="J110" s="249"/>
      <c r="K110" s="249"/>
      <c r="L110" s="249"/>
      <c r="M110" s="249"/>
      <c r="N110" s="249"/>
      <c r="O110" s="5"/>
      <c r="Q110" s="5"/>
      <c r="R110" s="5"/>
    </row>
    <row r="111" spans="2:18">
      <c r="B111" s="5"/>
      <c r="C111" s="249"/>
      <c r="D111" s="249"/>
      <c r="E111" s="249"/>
      <c r="F111" s="249"/>
      <c r="G111" s="249"/>
      <c r="H111" s="249"/>
      <c r="I111" s="5"/>
      <c r="J111" s="249"/>
      <c r="K111" s="249"/>
      <c r="L111" s="249"/>
      <c r="M111" s="249"/>
      <c r="N111" s="249"/>
      <c r="O111" s="5"/>
      <c r="Q111" s="5"/>
      <c r="R111" s="5"/>
    </row>
    <row r="112" spans="2:18">
      <c r="B112" s="5"/>
      <c r="C112" s="247"/>
      <c r="D112" s="247"/>
      <c r="E112" s="247"/>
      <c r="F112" s="247"/>
      <c r="G112" s="247"/>
      <c r="H112" s="247"/>
      <c r="I112" s="5"/>
      <c r="J112" s="247"/>
      <c r="K112" s="247"/>
      <c r="L112" s="247"/>
      <c r="M112" s="247"/>
      <c r="N112" s="247"/>
      <c r="O112" s="5"/>
      <c r="Q112" s="5"/>
      <c r="R112" s="5"/>
    </row>
    <row r="113" spans="2:18">
      <c r="B113" s="5"/>
      <c r="C113" s="5"/>
      <c r="D113" s="5"/>
      <c r="E113" s="5"/>
      <c r="F113" s="5"/>
      <c r="G113" s="5"/>
      <c r="H113" s="5"/>
      <c r="I113" s="5"/>
      <c r="J113" s="5"/>
      <c r="K113" s="5"/>
      <c r="L113" s="5"/>
      <c r="M113" s="5"/>
      <c r="N113" s="5"/>
      <c r="O113" s="5"/>
      <c r="Q113" s="5"/>
      <c r="R113" s="5"/>
    </row>
    <row r="114" spans="2:18">
      <c r="B114" s="5"/>
      <c r="C114" s="5"/>
      <c r="D114" s="5"/>
      <c r="E114" s="5"/>
      <c r="F114" s="5"/>
      <c r="G114" s="5"/>
      <c r="H114" s="5"/>
      <c r="I114" s="5"/>
      <c r="J114" s="5"/>
      <c r="K114" s="5"/>
      <c r="L114" s="5"/>
      <c r="M114" s="5"/>
      <c r="N114" s="5"/>
      <c r="O114" s="5"/>
      <c r="Q114" s="5"/>
      <c r="R114" s="5"/>
    </row>
    <row r="115" spans="2:18">
      <c r="B115" s="5"/>
      <c r="C115" s="5"/>
      <c r="D115" s="5"/>
      <c r="E115" s="5"/>
      <c r="F115" s="5"/>
      <c r="G115" s="5"/>
      <c r="H115" s="5"/>
      <c r="I115" s="49"/>
      <c r="J115" s="5"/>
      <c r="K115" s="5"/>
      <c r="L115" s="5"/>
      <c r="M115" s="5"/>
      <c r="N115" s="5"/>
      <c r="O115" s="5"/>
      <c r="Q115" s="41"/>
      <c r="R115" s="5"/>
    </row>
    <row r="116" spans="2:18">
      <c r="B116" s="5"/>
      <c r="C116" s="5"/>
      <c r="D116" s="5"/>
      <c r="E116" s="5"/>
      <c r="F116" s="5"/>
      <c r="G116" s="5"/>
      <c r="H116" s="5"/>
      <c r="I116" s="5"/>
      <c r="J116" s="5"/>
      <c r="K116" s="5"/>
      <c r="L116" s="5"/>
      <c r="M116" s="5"/>
      <c r="N116" s="5"/>
      <c r="O116" s="5"/>
      <c r="Q116" s="5"/>
      <c r="R116" s="5"/>
    </row>
    <row r="117" spans="2:18">
      <c r="B117" s="41"/>
      <c r="C117" s="49"/>
      <c r="D117" s="49"/>
      <c r="E117" s="49"/>
      <c r="F117" s="49"/>
      <c r="G117" s="49"/>
      <c r="H117" s="49"/>
      <c r="I117" s="254"/>
      <c r="J117" s="49"/>
      <c r="K117" s="49"/>
      <c r="L117" s="49"/>
      <c r="M117" s="49"/>
      <c r="N117" s="49"/>
      <c r="O117" s="49"/>
      <c r="Q117" s="5"/>
      <c r="R117" s="5"/>
    </row>
    <row r="118" spans="2:18">
      <c r="B118" s="5"/>
      <c r="C118" s="5"/>
      <c r="D118" s="5"/>
      <c r="E118" s="5"/>
      <c r="F118" s="5"/>
      <c r="G118" s="5"/>
      <c r="H118" s="5"/>
      <c r="I118" s="249"/>
      <c r="J118" s="5"/>
      <c r="K118" s="5"/>
      <c r="L118" s="5"/>
      <c r="M118" s="5"/>
      <c r="N118" s="5"/>
      <c r="O118" s="5"/>
      <c r="Q118" s="5"/>
      <c r="R118" s="5"/>
    </row>
    <row r="119" spans="2:18">
      <c r="B119" s="41"/>
      <c r="C119" s="254"/>
      <c r="D119" s="254"/>
      <c r="E119" s="254"/>
      <c r="F119" s="254"/>
      <c r="G119" s="254"/>
      <c r="H119" s="254"/>
      <c r="I119" s="254"/>
      <c r="J119" s="254"/>
      <c r="K119" s="254"/>
      <c r="L119" s="254"/>
      <c r="M119" s="254"/>
      <c r="N119" s="254"/>
      <c r="O119" s="248"/>
      <c r="Q119" s="5"/>
      <c r="R119" s="5"/>
    </row>
    <row r="120" spans="2:18">
      <c r="B120" s="41"/>
      <c r="C120" s="254"/>
      <c r="D120" s="249"/>
      <c r="E120" s="249"/>
      <c r="F120" s="249"/>
      <c r="G120" s="249"/>
      <c r="H120" s="249"/>
      <c r="I120" s="254"/>
      <c r="J120" s="249"/>
      <c r="K120" s="249"/>
      <c r="L120" s="249"/>
      <c r="M120" s="249"/>
      <c r="N120" s="249"/>
      <c r="O120" s="248"/>
      <c r="Q120" s="5"/>
      <c r="R120" s="5"/>
    </row>
    <row r="121" spans="2:18">
      <c r="B121" s="41"/>
      <c r="C121" s="254"/>
      <c r="D121" s="254"/>
      <c r="E121" s="254"/>
      <c r="F121" s="254"/>
      <c r="G121" s="254"/>
      <c r="H121" s="254"/>
      <c r="I121" s="254"/>
      <c r="J121" s="254"/>
      <c r="K121" s="254"/>
      <c r="L121" s="254"/>
      <c r="M121" s="254"/>
      <c r="N121" s="254"/>
      <c r="O121" s="248"/>
      <c r="Q121" s="5"/>
      <c r="R121" s="5"/>
    </row>
    <row r="122" spans="2:18">
      <c r="B122" s="41"/>
      <c r="C122" s="254"/>
      <c r="D122" s="254"/>
      <c r="E122" s="254"/>
      <c r="F122" s="254"/>
      <c r="G122" s="254"/>
      <c r="H122" s="254"/>
      <c r="I122" s="254"/>
      <c r="J122" s="254"/>
      <c r="K122" s="254"/>
      <c r="L122" s="254"/>
      <c r="M122" s="254"/>
      <c r="N122" s="254"/>
      <c r="O122" s="248"/>
      <c r="Q122" s="5"/>
      <c r="R122" s="5"/>
    </row>
    <row r="123" spans="2:18">
      <c r="B123" s="41"/>
      <c r="C123" s="254"/>
      <c r="D123" s="254"/>
      <c r="E123" s="254"/>
      <c r="F123" s="254"/>
      <c r="G123" s="254"/>
      <c r="H123" s="254"/>
      <c r="I123" s="254"/>
      <c r="J123" s="254"/>
      <c r="K123" s="254"/>
      <c r="L123" s="254"/>
      <c r="M123" s="254"/>
      <c r="N123" s="254"/>
      <c r="O123" s="248"/>
      <c r="Q123" s="5"/>
      <c r="R123" s="5"/>
    </row>
    <row r="124" spans="2:18">
      <c r="B124" s="41"/>
      <c r="C124" s="254"/>
      <c r="D124" s="254"/>
      <c r="E124" s="254"/>
      <c r="F124" s="254"/>
      <c r="G124" s="254"/>
      <c r="H124" s="254"/>
      <c r="I124" s="254"/>
      <c r="J124" s="254"/>
      <c r="K124" s="254"/>
      <c r="L124" s="254"/>
      <c r="M124" s="254"/>
      <c r="N124" s="254"/>
      <c r="O124" s="248"/>
      <c r="Q124" s="5"/>
      <c r="R124" s="5"/>
    </row>
    <row r="125" spans="2:18">
      <c r="B125" s="41"/>
      <c r="C125" s="254"/>
      <c r="D125" s="254"/>
      <c r="E125" s="254"/>
      <c r="F125" s="254"/>
      <c r="G125" s="254"/>
      <c r="H125" s="254"/>
      <c r="I125" s="254"/>
      <c r="J125" s="254"/>
      <c r="K125" s="254"/>
      <c r="L125" s="254"/>
      <c r="M125" s="254"/>
      <c r="N125" s="254"/>
      <c r="O125" s="5"/>
      <c r="Q125" s="5"/>
      <c r="R125" s="5"/>
    </row>
    <row r="126" spans="2:18">
      <c r="B126" s="41"/>
      <c r="C126" s="254"/>
      <c r="D126" s="254"/>
      <c r="E126" s="254"/>
      <c r="F126" s="254"/>
      <c r="G126" s="254"/>
      <c r="H126" s="254"/>
      <c r="I126" s="254"/>
      <c r="J126" s="254"/>
      <c r="K126" s="254"/>
      <c r="L126" s="254"/>
      <c r="M126" s="254"/>
      <c r="N126" s="254"/>
      <c r="O126" s="5"/>
      <c r="Q126" s="5"/>
      <c r="R126" s="5"/>
    </row>
    <row r="127" spans="2:18">
      <c r="B127" s="41"/>
      <c r="C127" s="254"/>
      <c r="D127" s="254"/>
      <c r="E127" s="254"/>
      <c r="F127" s="254"/>
      <c r="G127" s="254"/>
      <c r="H127" s="254"/>
      <c r="I127" s="18"/>
      <c r="J127" s="254"/>
      <c r="K127" s="254"/>
      <c r="L127" s="254"/>
      <c r="M127" s="254"/>
      <c r="N127" s="254"/>
      <c r="O127" s="5"/>
      <c r="Q127" s="5"/>
      <c r="R127" s="5"/>
    </row>
    <row r="128" spans="2:18">
      <c r="B128" s="41"/>
      <c r="C128" s="254"/>
      <c r="D128" s="254"/>
      <c r="E128" s="254"/>
      <c r="F128" s="254"/>
      <c r="G128" s="254"/>
      <c r="H128" s="254"/>
      <c r="I128" s="5"/>
      <c r="J128" s="254"/>
      <c r="K128" s="254"/>
      <c r="L128" s="254"/>
      <c r="M128" s="254"/>
      <c r="N128" s="254"/>
      <c r="O128" s="5"/>
      <c r="Q128" s="5"/>
      <c r="R128" s="5"/>
    </row>
    <row r="129" spans="2:27">
      <c r="B129" s="5"/>
      <c r="C129" s="5"/>
      <c r="D129" s="18"/>
      <c r="E129" s="18"/>
      <c r="F129" s="18"/>
      <c r="G129" s="18"/>
      <c r="H129" s="18"/>
      <c r="I129" s="254"/>
      <c r="J129" s="18"/>
      <c r="K129" s="18"/>
      <c r="L129" s="18"/>
      <c r="M129" s="18"/>
      <c r="N129" s="18"/>
      <c r="O129" s="5"/>
      <c r="Q129" s="5"/>
      <c r="R129" s="5"/>
    </row>
    <row r="130" spans="2:27">
      <c r="B130" s="5"/>
      <c r="C130" s="5"/>
      <c r="D130" s="5"/>
      <c r="E130" s="5"/>
      <c r="F130" s="5"/>
      <c r="G130" s="5"/>
      <c r="H130" s="5"/>
      <c r="I130" s="18"/>
      <c r="J130" s="5"/>
      <c r="K130" s="5"/>
      <c r="L130" s="5"/>
      <c r="M130" s="5"/>
      <c r="N130" s="5"/>
      <c r="O130" s="5"/>
      <c r="Q130" s="5"/>
      <c r="R130" s="5"/>
    </row>
    <row r="131" spans="2:27">
      <c r="B131" s="41"/>
      <c r="C131" s="254"/>
      <c r="D131" s="254"/>
      <c r="E131" s="254"/>
      <c r="F131" s="254"/>
      <c r="G131" s="254"/>
      <c r="H131" s="254"/>
      <c r="I131" s="5"/>
      <c r="J131" s="254"/>
      <c r="K131" s="254"/>
      <c r="L131" s="254"/>
      <c r="M131" s="254"/>
      <c r="N131" s="254"/>
      <c r="O131" s="5"/>
      <c r="Q131" s="5"/>
      <c r="R131" s="5"/>
    </row>
    <row r="132" spans="2:27">
      <c r="B132" s="5"/>
      <c r="C132" s="259"/>
      <c r="D132" s="18"/>
      <c r="E132" s="18"/>
      <c r="F132" s="18"/>
      <c r="G132" s="18"/>
      <c r="H132" s="18"/>
      <c r="I132" s="5"/>
      <c r="J132" s="18"/>
      <c r="K132" s="18"/>
      <c r="L132" s="18"/>
      <c r="M132" s="18"/>
      <c r="N132" s="18"/>
      <c r="O132" s="5"/>
      <c r="Q132" s="5"/>
      <c r="R132" s="5"/>
    </row>
    <row r="133" spans="2:27">
      <c r="B133" s="5"/>
      <c r="C133" s="5"/>
      <c r="D133" s="5"/>
      <c r="E133" s="5"/>
      <c r="F133" s="5"/>
      <c r="G133" s="5"/>
      <c r="H133" s="5"/>
      <c r="I133" s="17"/>
      <c r="J133" s="5"/>
      <c r="K133" s="5"/>
      <c r="L133" s="5"/>
      <c r="M133" s="5"/>
      <c r="N133" s="5"/>
      <c r="O133" s="5"/>
      <c r="Q133" s="5"/>
      <c r="R133" s="5"/>
    </row>
    <row r="134" spans="2:27">
      <c r="B134" s="41"/>
      <c r="C134" s="5"/>
      <c r="D134" s="5"/>
      <c r="E134" s="5"/>
      <c r="F134" s="5"/>
      <c r="G134" s="5"/>
      <c r="H134" s="5"/>
      <c r="I134" s="17"/>
      <c r="J134" s="5"/>
      <c r="K134" s="5"/>
      <c r="L134" s="5"/>
      <c r="M134" s="5"/>
      <c r="N134" s="5"/>
      <c r="O134" s="5"/>
      <c r="Q134" s="5"/>
      <c r="R134" s="5"/>
    </row>
    <row r="135" spans="2:27">
      <c r="B135" s="5"/>
      <c r="C135" s="17"/>
      <c r="D135" s="17"/>
      <c r="E135" s="17"/>
      <c r="F135" s="17"/>
      <c r="G135" s="17"/>
      <c r="H135" s="17"/>
      <c r="I135" s="17"/>
      <c r="J135" s="17"/>
      <c r="K135" s="17"/>
      <c r="L135" s="17"/>
      <c r="M135" s="17"/>
      <c r="N135" s="17"/>
      <c r="O135" s="5"/>
      <c r="Q135" s="41"/>
      <c r="R135" s="5"/>
    </row>
    <row r="136" spans="2:27">
      <c r="B136" s="5"/>
      <c r="C136" s="17"/>
      <c r="D136" s="17"/>
      <c r="E136" s="17"/>
      <c r="F136" s="17"/>
      <c r="G136" s="17"/>
      <c r="H136" s="17"/>
      <c r="I136" s="17"/>
      <c r="J136" s="17"/>
      <c r="K136" s="17"/>
      <c r="L136" s="17"/>
      <c r="M136" s="17"/>
      <c r="N136" s="17"/>
      <c r="O136" s="5"/>
      <c r="Q136" s="5"/>
      <c r="R136" s="5"/>
      <c r="X136" s="304"/>
    </row>
    <row r="137" spans="2:27">
      <c r="B137" s="5"/>
      <c r="C137" s="5"/>
      <c r="D137" s="17"/>
      <c r="E137" s="17"/>
      <c r="F137" s="17"/>
      <c r="G137" s="17"/>
      <c r="H137" s="17"/>
      <c r="I137" s="17"/>
      <c r="J137" s="17"/>
      <c r="K137" s="17"/>
      <c r="L137" s="17"/>
      <c r="M137" s="17"/>
      <c r="N137" s="17"/>
      <c r="O137" s="5"/>
      <c r="Q137" s="5"/>
      <c r="R137" s="5"/>
      <c r="X137" s="10"/>
      <c r="Y137" s="304"/>
      <c r="Z137" s="304"/>
      <c r="AA137" s="304"/>
    </row>
    <row r="138" spans="2:27">
      <c r="B138" s="5"/>
      <c r="C138" s="5"/>
      <c r="D138" s="17"/>
      <c r="E138" s="17"/>
      <c r="F138" s="17"/>
      <c r="G138" s="17"/>
      <c r="H138" s="17"/>
      <c r="I138" s="17"/>
      <c r="J138" s="17"/>
      <c r="K138" s="17"/>
      <c r="L138" s="17"/>
      <c r="M138" s="17"/>
      <c r="N138" s="17"/>
      <c r="O138" s="5"/>
      <c r="Q138" s="5"/>
      <c r="R138" s="5"/>
      <c r="Y138" s="10"/>
      <c r="Z138" s="10"/>
      <c r="AA138" s="10"/>
    </row>
    <row r="139" spans="2:27">
      <c r="B139" s="5"/>
      <c r="C139" s="5"/>
      <c r="D139" s="17"/>
      <c r="E139" s="17"/>
      <c r="F139" s="17"/>
      <c r="G139" s="17"/>
      <c r="H139" s="17"/>
      <c r="I139" s="5"/>
      <c r="J139" s="17"/>
      <c r="K139" s="17"/>
      <c r="L139" s="17"/>
      <c r="M139" s="17"/>
      <c r="N139" s="17"/>
      <c r="O139" s="5"/>
      <c r="Q139" s="5"/>
      <c r="R139" s="5"/>
    </row>
    <row r="140" spans="2:27">
      <c r="B140" s="5"/>
      <c r="C140" s="17"/>
      <c r="D140" s="17"/>
      <c r="E140" s="17"/>
      <c r="F140" s="17"/>
      <c r="G140" s="17"/>
      <c r="H140" s="17"/>
      <c r="I140" s="5"/>
      <c r="J140" s="17"/>
      <c r="K140" s="17"/>
      <c r="L140" s="17"/>
      <c r="M140" s="17"/>
      <c r="N140" s="17"/>
      <c r="O140" s="5"/>
      <c r="Q140" s="5"/>
      <c r="R140" s="5"/>
    </row>
    <row r="141" spans="2:27">
      <c r="B141" s="5"/>
      <c r="C141" s="5"/>
      <c r="D141" s="5"/>
      <c r="E141" s="5"/>
      <c r="F141" s="5"/>
      <c r="G141" s="5"/>
      <c r="H141" s="5"/>
      <c r="I141" s="5"/>
      <c r="J141" s="5"/>
      <c r="K141" s="5"/>
      <c r="L141" s="5"/>
      <c r="M141" s="5"/>
      <c r="N141" s="5"/>
      <c r="O141" s="5"/>
      <c r="Q141" s="5"/>
      <c r="R141" s="5"/>
    </row>
    <row r="142" spans="2:27">
      <c r="B142" s="5"/>
      <c r="C142" s="5"/>
      <c r="D142" s="5"/>
      <c r="E142" s="5"/>
      <c r="F142" s="5"/>
      <c r="G142" s="5"/>
      <c r="H142" s="5"/>
      <c r="I142" s="5"/>
      <c r="J142" s="5"/>
      <c r="K142" s="5"/>
      <c r="L142" s="5"/>
      <c r="M142" s="5"/>
      <c r="N142" s="5"/>
      <c r="O142" s="5"/>
      <c r="Q142" s="5"/>
      <c r="R142" s="5"/>
    </row>
    <row r="143" spans="2:27">
      <c r="B143" s="5"/>
      <c r="C143" s="5"/>
      <c r="D143" s="5"/>
      <c r="E143" s="5"/>
      <c r="F143" s="5"/>
      <c r="G143" s="5"/>
      <c r="H143" s="5"/>
      <c r="I143" s="5"/>
      <c r="J143" s="5"/>
      <c r="K143" s="5"/>
      <c r="L143" s="5"/>
      <c r="M143" s="5"/>
      <c r="N143" s="5"/>
      <c r="O143" s="5"/>
      <c r="Q143" s="5"/>
      <c r="R143" s="5"/>
    </row>
    <row r="144" spans="2:27">
      <c r="B144" s="5"/>
      <c r="C144" s="5"/>
      <c r="D144" s="5"/>
      <c r="E144" s="5"/>
      <c r="F144" s="5"/>
      <c r="G144" s="5"/>
      <c r="H144" s="5"/>
      <c r="I144" s="5"/>
      <c r="J144" s="5"/>
      <c r="K144" s="5"/>
      <c r="L144" s="5"/>
      <c r="M144" s="5"/>
      <c r="N144" s="5"/>
      <c r="O144" s="5"/>
      <c r="Q144" s="5"/>
      <c r="R144" s="5"/>
    </row>
    <row r="145" spans="2:18">
      <c r="B145" s="5"/>
      <c r="C145" s="5"/>
      <c r="D145" s="5"/>
      <c r="E145" s="5"/>
      <c r="F145" s="5"/>
      <c r="G145" s="5"/>
      <c r="H145" s="5"/>
      <c r="I145" s="5"/>
      <c r="J145" s="5"/>
      <c r="K145" s="5"/>
      <c r="L145" s="5"/>
      <c r="M145" s="5"/>
      <c r="N145" s="5"/>
      <c r="O145" s="5"/>
      <c r="Q145" s="5"/>
      <c r="R145" s="5"/>
    </row>
    <row r="146" spans="2:18">
      <c r="B146" s="5"/>
      <c r="C146" s="5"/>
      <c r="D146" s="5"/>
      <c r="E146" s="5"/>
      <c r="F146" s="5"/>
      <c r="G146" s="5"/>
      <c r="H146" s="5"/>
      <c r="I146" s="5"/>
      <c r="J146" s="5"/>
      <c r="K146" s="5"/>
      <c r="L146" s="5"/>
      <c r="M146" s="5"/>
      <c r="N146" s="5"/>
      <c r="O146" s="5"/>
      <c r="Q146" s="5"/>
      <c r="R146" s="5"/>
    </row>
    <row r="147" spans="2:18">
      <c r="B147" s="5"/>
      <c r="C147" s="5"/>
      <c r="D147" s="5"/>
      <c r="E147" s="5"/>
      <c r="F147" s="5"/>
      <c r="G147" s="5"/>
      <c r="H147" s="5"/>
      <c r="I147" s="5"/>
      <c r="J147" s="5"/>
      <c r="K147" s="5"/>
      <c r="L147" s="5"/>
      <c r="M147" s="5"/>
      <c r="N147" s="5"/>
      <c r="O147" s="5"/>
      <c r="Q147" s="5"/>
      <c r="R147" s="5"/>
    </row>
    <row r="148" spans="2:18">
      <c r="B148" s="5"/>
      <c r="C148" s="5"/>
      <c r="D148" s="5"/>
      <c r="E148" s="5"/>
      <c r="F148" s="5"/>
      <c r="G148" s="5"/>
      <c r="H148" s="5"/>
      <c r="I148" s="5"/>
      <c r="J148" s="5"/>
      <c r="K148" s="5"/>
      <c r="L148" s="5"/>
      <c r="M148" s="5"/>
      <c r="N148" s="5"/>
      <c r="O148" s="5"/>
      <c r="Q148" s="5"/>
      <c r="R148" s="5"/>
    </row>
    <row r="149" spans="2:18">
      <c r="B149" s="5"/>
      <c r="C149" s="5"/>
      <c r="D149" s="5"/>
      <c r="E149" s="5"/>
      <c r="F149" s="5"/>
      <c r="G149" s="5"/>
      <c r="H149" s="5"/>
      <c r="J149" s="5"/>
      <c r="K149" s="5"/>
      <c r="L149" s="5"/>
      <c r="M149" s="5"/>
      <c r="N149" s="5"/>
      <c r="O149" s="5"/>
      <c r="Q149" s="5"/>
      <c r="R149" s="5"/>
    </row>
    <row r="150" spans="2:18">
      <c r="B150" s="5"/>
      <c r="C150" s="5"/>
      <c r="D150" s="5"/>
      <c r="E150" s="5"/>
      <c r="F150" s="5"/>
      <c r="G150" s="5"/>
      <c r="H150" s="5"/>
      <c r="J150" s="5"/>
      <c r="K150" s="5"/>
      <c r="L150" s="5"/>
      <c r="M150" s="5"/>
      <c r="N150" s="5"/>
      <c r="O150" s="5"/>
      <c r="Q150" s="5"/>
      <c r="R150" s="5"/>
    </row>
    <row r="151" spans="2:18">
      <c r="Q151" s="5"/>
      <c r="R151" s="5"/>
    </row>
    <row r="152" spans="2:18">
      <c r="Q152" s="5"/>
      <c r="R152" s="5"/>
    </row>
    <row r="153" spans="2:18">
      <c r="C153" s="263"/>
      <c r="Q153" s="5"/>
      <c r="R153" s="5"/>
    </row>
    <row r="154" spans="2:18">
      <c r="Q154" s="5"/>
      <c r="R154" s="5"/>
    </row>
    <row r="155" spans="2:18">
      <c r="Q155" s="5"/>
      <c r="R155" s="5"/>
    </row>
    <row r="156" spans="2:18">
      <c r="Q156" s="5"/>
      <c r="R156" s="5"/>
    </row>
    <row r="157" spans="2:18">
      <c r="Q157" s="5"/>
      <c r="R157" s="5"/>
    </row>
    <row r="158" spans="2:18">
      <c r="Q158" s="5"/>
      <c r="R158" s="5"/>
    </row>
    <row r="159" spans="2:18">
      <c r="Q159" s="5"/>
      <c r="R159" s="5"/>
    </row>
    <row r="160" spans="2:18">
      <c r="Q160" s="5"/>
      <c r="R160" s="5"/>
    </row>
    <row r="161" spans="17:18">
      <c r="Q161" s="5"/>
      <c r="R161" s="5"/>
    </row>
    <row r="162" spans="17:18">
      <c r="Q162" s="5"/>
      <c r="R162" s="5"/>
    </row>
    <row r="163" spans="17:18">
      <c r="Q163" s="5"/>
      <c r="R163" s="5"/>
    </row>
    <row r="164" spans="17:18">
      <c r="Q164" s="5"/>
      <c r="R164" s="5"/>
    </row>
    <row r="165" spans="17:18">
      <c r="Q165" s="5"/>
      <c r="R165" s="5"/>
    </row>
  </sheetData>
  <phoneticPr fontId="7" type="noConversion"/>
  <hyperlinks>
    <hyperlink ref="C2" location="PTTSOP!A1" display="Jump to PTT SOP" xr:uid="{00000000-0004-0000-4A00-000001000000}"/>
  </hyperlinks>
  <pageMargins left="0.75" right="0.75" top="1" bottom="1" header="0.5" footer="0.5"/>
  <pageSetup scale="71" orientation="landscape" r:id="rId1"/>
  <headerFooter alignWithMargins="0"/>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Sheet146">
    <pageSetUpPr fitToPage="1"/>
  </sheetPr>
  <dimension ref="B1:AR165"/>
  <sheetViews>
    <sheetView showGridLines="0" zoomScale="80" zoomScaleNormal="80" workbookViewId="0"/>
  </sheetViews>
  <sheetFormatPr defaultColWidth="9.109375" defaultRowHeight="12"/>
  <cols>
    <col min="1" max="1" width="2.33203125" style="39" customWidth="1"/>
    <col min="2" max="2" width="26.5546875" style="39" customWidth="1"/>
    <col min="3" max="9" width="10" style="39" customWidth="1"/>
    <col min="10" max="10" width="26.6640625" style="39" customWidth="1"/>
    <col min="11" max="16" width="10" style="39" customWidth="1"/>
    <col min="17" max="19" width="8.6640625" style="39" customWidth="1"/>
    <col min="20" max="28" width="8.6640625" style="5" customWidth="1"/>
    <col min="29" max="44" width="9.109375" style="5"/>
    <col min="45" max="16384" width="9.109375" style="39"/>
  </cols>
  <sheetData>
    <row r="1" spans="2:44" s="312" customFormat="1">
      <c r="T1" s="149"/>
      <c r="U1" s="149"/>
      <c r="V1" s="149"/>
      <c r="W1" s="149"/>
      <c r="X1" s="149"/>
      <c r="Y1" s="149"/>
      <c r="Z1" s="149"/>
      <c r="AA1" s="149"/>
      <c r="AB1" s="149"/>
      <c r="AC1" s="149"/>
      <c r="AD1" s="149"/>
      <c r="AE1" s="149"/>
      <c r="AF1" s="149"/>
      <c r="AG1" s="149"/>
      <c r="AH1" s="149"/>
      <c r="AI1" s="149"/>
      <c r="AJ1" s="149"/>
      <c r="AK1" s="149"/>
      <c r="AL1" s="149"/>
      <c r="AM1" s="149"/>
      <c r="AN1" s="149"/>
      <c r="AO1" s="149"/>
      <c r="AP1" s="149"/>
      <c r="AQ1" s="149"/>
      <c r="AR1" s="149"/>
    </row>
    <row r="2" spans="2:44" s="149" customFormat="1"/>
    <row r="3" spans="2:44" s="149" customFormat="1">
      <c r="H3" s="153"/>
      <c r="P3" s="153"/>
    </row>
    <row r="4" spans="2:44" s="156" customFormat="1" ht="21">
      <c r="B4" s="129" t="s">
        <v>1056</v>
      </c>
      <c r="H4" s="222"/>
      <c r="P4" s="222"/>
    </row>
    <row r="5" spans="2:44" s="149" customFormat="1">
      <c r="C5" s="153"/>
      <c r="D5" s="153" t="str" cm="1">
        <f t="array" ref="D5:H5">headings</f>
        <v>2023E</v>
      </c>
      <c r="E5" s="153" t="str">
        <v>2024E</v>
      </c>
      <c r="F5" s="153" t="str">
        <v>2025E</v>
      </c>
      <c r="G5" s="153" t="str">
        <v>2026E</v>
      </c>
      <c r="H5" s="153" t="str">
        <v>23E-26E</v>
      </c>
      <c r="I5" s="153"/>
      <c r="J5" s="153"/>
      <c r="K5" s="153"/>
      <c r="L5" s="153" t="str" cm="1">
        <f t="array" ref="L5:P5">headings</f>
        <v>2023E</v>
      </c>
      <c r="M5" s="153" t="str">
        <v>2024E</v>
      </c>
      <c r="N5" s="153" t="str">
        <v>2025E</v>
      </c>
      <c r="O5" s="153" t="str">
        <v>2026E</v>
      </c>
      <c r="P5" s="153" t="str">
        <v>23E-26E</v>
      </c>
      <c r="Q5" s="162"/>
      <c r="R5" s="162"/>
      <c r="S5" s="162"/>
      <c r="T5" s="162"/>
      <c r="U5" s="162"/>
      <c r="V5" s="162"/>
      <c r="W5" s="162"/>
      <c r="X5" s="162"/>
      <c r="Y5" s="162"/>
    </row>
    <row r="6" spans="2:44">
      <c r="I6" s="5"/>
      <c r="J6" s="5"/>
      <c r="K6" s="5"/>
      <c r="L6" s="5"/>
      <c r="M6" s="5"/>
      <c r="N6" s="5"/>
      <c r="O6" s="49"/>
    </row>
    <row r="7" spans="2:44" ht="12.6" thickBot="1">
      <c r="B7" s="306" t="s">
        <v>271</v>
      </c>
      <c r="C7" s="265"/>
      <c r="D7" s="265" t="str">
        <f>D5</f>
        <v>2023E</v>
      </c>
      <c r="E7" s="265" t="str">
        <f t="shared" ref="E7:H7" si="0">E5</f>
        <v>2024E</v>
      </c>
      <c r="F7" s="265" t="str">
        <f t="shared" si="0"/>
        <v>2025E</v>
      </c>
      <c r="G7" s="265" t="str">
        <f t="shared" si="0"/>
        <v>2026E</v>
      </c>
      <c r="H7" s="265" t="str">
        <f t="shared" si="0"/>
        <v>23E-26E</v>
      </c>
      <c r="I7" s="49"/>
      <c r="J7" s="306" t="s">
        <v>74</v>
      </c>
      <c r="K7" s="306"/>
      <c r="L7" s="265" t="str">
        <f>L5</f>
        <v>2023E</v>
      </c>
      <c r="M7" s="265" t="str">
        <f t="shared" ref="M7:P7" si="1">M5</f>
        <v>2024E</v>
      </c>
      <c r="N7" s="265" t="str">
        <f t="shared" si="1"/>
        <v>2025E</v>
      </c>
      <c r="O7" s="265" t="str">
        <f t="shared" si="1"/>
        <v>2026E</v>
      </c>
      <c r="P7" s="265" t="str">
        <f t="shared" si="1"/>
        <v>23E-26E</v>
      </c>
    </row>
    <row r="8" spans="2:44" ht="12.6" thickTop="1">
      <c r="B8" s="5"/>
      <c r="C8" s="5"/>
      <c r="D8" s="5"/>
      <c r="E8" s="5"/>
      <c r="F8" s="5"/>
      <c r="G8" s="5"/>
      <c r="H8" s="5"/>
      <c r="I8" s="5"/>
      <c r="J8" s="5"/>
      <c r="K8" s="5"/>
      <c r="L8" s="5"/>
      <c r="M8" s="5"/>
      <c r="N8" s="5"/>
      <c r="S8" s="88"/>
      <c r="T8" s="42"/>
      <c r="U8" s="42"/>
      <c r="V8" s="42"/>
      <c r="W8" s="42"/>
      <c r="X8" s="42"/>
      <c r="Y8" s="42"/>
      <c r="Z8" s="42"/>
      <c r="AA8" s="42"/>
    </row>
    <row r="9" spans="2:44">
      <c r="B9" s="41" t="s">
        <v>972</v>
      </c>
      <c r="C9" s="285">
        <f>Prices!C64</f>
        <v>775.9</v>
      </c>
      <c r="D9" s="533">
        <v>0</v>
      </c>
      <c r="E9" s="533">
        <v>0</v>
      </c>
      <c r="F9" s="533">
        <v>0</v>
      </c>
      <c r="G9" s="533">
        <v>0</v>
      </c>
      <c r="H9" s="249"/>
      <c r="I9" s="249"/>
      <c r="J9" s="5" t="s">
        <v>273</v>
      </c>
      <c r="L9" s="529">
        <f>'AGG ASIA CELLULAR'!D37</f>
        <v>2.0832818906884643</v>
      </c>
      <c r="M9" s="529">
        <f>'AGG ASIA CELLULAR'!E37</f>
        <v>1.9180381131180324</v>
      </c>
      <c r="N9" s="529">
        <f>'AGG ASIA CELLULAR'!F37</f>
        <v>1.6973984727138696</v>
      </c>
      <c r="O9" s="529">
        <f>'AGG ASIA CELLULAR'!G37</f>
        <v>1.4849146547081604</v>
      </c>
      <c r="P9" s="286">
        <f>'AGG ASIA CELLULAR'!H37</f>
        <v>5.2823672985303771E-2</v>
      </c>
      <c r="S9" s="88"/>
      <c r="T9" s="42"/>
      <c r="U9" s="42"/>
      <c r="V9" s="42"/>
      <c r="W9" s="42"/>
      <c r="X9" s="42"/>
      <c r="Y9" s="42"/>
      <c r="Z9" s="42"/>
      <c r="AA9" s="42"/>
    </row>
    <row r="10" spans="2:44">
      <c r="B10" s="5" t="s">
        <v>274</v>
      </c>
      <c r="C10" s="5"/>
      <c r="D10" s="531">
        <v>2142</v>
      </c>
      <c r="E10" s="531">
        <v>2142</v>
      </c>
      <c r="F10" s="531">
        <v>2142</v>
      </c>
      <c r="G10" s="531">
        <v>2142</v>
      </c>
      <c r="H10" s="249"/>
      <c r="I10" s="247"/>
      <c r="J10" s="5" t="s">
        <v>184</v>
      </c>
      <c r="L10" s="529">
        <f>'AGG ASIA CELLULAR'!D38</f>
        <v>6.3578764048835863</v>
      </c>
      <c r="M10" s="529">
        <f>'AGG ASIA CELLULAR'!E38</f>
        <v>5.8349432944863064</v>
      </c>
      <c r="N10" s="529">
        <f>'AGG ASIA CELLULAR'!F38</f>
        <v>5.103853656504258</v>
      </c>
      <c r="O10" s="529">
        <f>'AGG ASIA CELLULAR'!G38</f>
        <v>4.4165179955724438</v>
      </c>
      <c r="P10" s="286">
        <f>'AGG ASIA CELLULAR'!H38</f>
        <v>6.1901299000113985E-2</v>
      </c>
      <c r="S10" s="88"/>
      <c r="T10" s="42"/>
      <c r="U10" s="42"/>
      <c r="V10" s="42"/>
      <c r="W10" s="288"/>
      <c r="X10" s="288"/>
      <c r="Y10" s="288"/>
      <c r="Z10" s="288"/>
      <c r="AA10" s="42"/>
    </row>
    <row r="11" spans="2:44">
      <c r="B11" s="41" t="s">
        <v>876</v>
      </c>
      <c r="C11" s="5"/>
      <c r="D11" s="532">
        <f>($C$9*D10)/1000</f>
        <v>1661.9778000000001</v>
      </c>
      <c r="E11" s="532">
        <f t="shared" ref="E11:G11" si="2">($C$9*E10)/1000</f>
        <v>1661.9778000000001</v>
      </c>
      <c r="F11" s="532">
        <f t="shared" si="2"/>
        <v>1661.9778000000001</v>
      </c>
      <c r="G11" s="532">
        <f t="shared" si="2"/>
        <v>1661.9778000000001</v>
      </c>
      <c r="H11" s="249"/>
      <c r="I11" s="249"/>
      <c r="J11" s="5" t="s">
        <v>185</v>
      </c>
      <c r="L11" s="529">
        <f>'AGG ASIA CELLULAR'!D39</f>
        <v>12.256315794878686</v>
      </c>
      <c r="M11" s="529">
        <f>'AGG ASIA CELLULAR'!E39</f>
        <v>10.532349001792122</v>
      </c>
      <c r="N11" s="529">
        <f>'AGG ASIA CELLULAR'!F39</f>
        <v>8.8097379743624202</v>
      </c>
      <c r="O11" s="529">
        <f>'AGG ASIA CELLULAR'!G39</f>
        <v>7.3400525025099741</v>
      </c>
      <c r="P11" s="286">
        <f>'AGG ASIA CELLULAR'!H39</f>
        <v>0.11573327430771596</v>
      </c>
      <c r="S11" s="88"/>
      <c r="T11" s="42"/>
      <c r="U11" s="42"/>
      <c r="V11" s="42"/>
      <c r="W11" s="288"/>
      <c r="X11" s="288"/>
      <c r="Y11" s="288"/>
      <c r="Z11" s="288"/>
      <c r="AA11" s="42"/>
    </row>
    <row r="12" spans="2:44">
      <c r="B12" s="5" t="s">
        <v>24</v>
      </c>
      <c r="C12" s="249"/>
      <c r="D12" s="533">
        <v>89</v>
      </c>
      <c r="E12" s="533">
        <v>89</v>
      </c>
      <c r="F12" s="533">
        <v>89</v>
      </c>
      <c r="G12" s="533">
        <v>89</v>
      </c>
      <c r="H12" s="247"/>
      <c r="I12" s="247"/>
      <c r="J12" s="5" t="s">
        <v>466</v>
      </c>
      <c r="L12" s="529">
        <f>'AGG ASIA CELLULAR'!D40</f>
        <v>15.951300793811486</v>
      </c>
      <c r="M12" s="529">
        <f>'AGG ASIA CELLULAR'!E40</f>
        <v>13.847183646795452</v>
      </c>
      <c r="N12" s="529">
        <f>'AGG ASIA CELLULAR'!F40</f>
        <v>11.626709680654198</v>
      </c>
      <c r="O12" s="529">
        <f>'AGG ASIA CELLULAR'!G40</f>
        <v>9.7078389032116537</v>
      </c>
      <c r="P12" s="286">
        <f>'AGG ASIA CELLULAR'!H40</f>
        <v>0.10976572550111241</v>
      </c>
      <c r="S12" s="88"/>
      <c r="T12" s="42"/>
      <c r="U12" s="42"/>
      <c r="V12" s="42"/>
      <c r="W12" s="288"/>
      <c r="X12" s="288"/>
      <c r="Y12" s="288"/>
      <c r="Z12" s="288"/>
      <c r="AA12" s="42"/>
    </row>
    <row r="13" spans="2:44">
      <c r="B13" s="5" t="s">
        <v>529</v>
      </c>
      <c r="C13" s="257"/>
      <c r="D13" s="533">
        <v>211.61572052401746</v>
      </c>
      <c r="E13" s="533">
        <v>211.61572052401746</v>
      </c>
      <c r="F13" s="533">
        <v>211.61572052401746</v>
      </c>
      <c r="G13" s="533">
        <v>211.61572052401746</v>
      </c>
      <c r="H13" s="247"/>
      <c r="I13" s="247"/>
      <c r="J13" s="5" t="s">
        <v>530</v>
      </c>
      <c r="L13" s="529">
        <f>'AGG ASIA CELLULAR'!D41</f>
        <v>1.4274445412547272</v>
      </c>
      <c r="M13" s="529">
        <f>'AGG ASIA CELLULAR'!E41</f>
        <v>1.4179696737537477</v>
      </c>
      <c r="N13" s="529">
        <f>'AGG ASIA CELLULAR'!F41</f>
        <v>1.3450707920768976</v>
      </c>
      <c r="O13" s="529">
        <f>'AGG ASIA CELLULAR'!G41</f>
        <v>1.2618986136137988</v>
      </c>
      <c r="P13" s="286">
        <f>'AGG ASIA CELLULAR'!H41</f>
        <v>-2.0092563683029918E-2</v>
      </c>
      <c r="S13" s="88"/>
      <c r="T13" s="42"/>
      <c r="U13" s="42"/>
      <c r="V13" s="42"/>
      <c r="W13" s="42"/>
      <c r="X13" s="42"/>
      <c r="Y13" s="42"/>
      <c r="Z13" s="42"/>
      <c r="AA13" s="42"/>
    </row>
    <row r="14" spans="2:44">
      <c r="B14" s="5" t="s">
        <v>532</v>
      </c>
      <c r="C14" s="257"/>
      <c r="D14" s="533">
        <v>-7.157</v>
      </c>
      <c r="E14" s="533">
        <v>-7.157</v>
      </c>
      <c r="F14" s="533">
        <v>-7.157</v>
      </c>
      <c r="G14" s="533">
        <v>-7.157</v>
      </c>
      <c r="H14" s="249"/>
      <c r="I14" s="247"/>
      <c r="J14" s="5" t="s">
        <v>593</v>
      </c>
      <c r="L14" s="529">
        <f>'AGG ASIA CELLULAR'!D42</f>
        <v>2.9130695199933734</v>
      </c>
      <c r="M14" s="529">
        <f>'AGG ASIA CELLULAR'!E42</f>
        <v>2.8146219035099969</v>
      </c>
      <c r="N14" s="529">
        <f>'AGG ASIA CELLULAR'!F42</f>
        <v>2.5888583636405476</v>
      </c>
      <c r="O14" s="529">
        <f>'AGG ASIA CELLULAR'!G42</f>
        <v>2.3605815546209548</v>
      </c>
      <c r="P14" s="286">
        <f>'AGG ASIA CELLULAR'!H42</f>
        <v>8.7512202951403051E-3</v>
      </c>
      <c r="S14" s="88"/>
      <c r="T14" s="42"/>
      <c r="U14" s="42"/>
      <c r="V14" s="42"/>
      <c r="W14" s="42"/>
      <c r="X14" s="42"/>
      <c r="Y14" s="42"/>
      <c r="Z14" s="42"/>
      <c r="AA14" s="42"/>
    </row>
    <row r="15" spans="2:44">
      <c r="B15" s="5" t="s">
        <v>531</v>
      </c>
      <c r="C15" s="274"/>
      <c r="D15" s="533">
        <v>0</v>
      </c>
      <c r="E15" s="533">
        <v>0</v>
      </c>
      <c r="F15" s="533">
        <v>0</v>
      </c>
      <c r="G15" s="533">
        <v>0</v>
      </c>
      <c r="H15" s="247"/>
      <c r="I15" s="247"/>
      <c r="J15" s="5" t="s">
        <v>475</v>
      </c>
      <c r="L15" s="529">
        <f>'AGG ASIA CELLULAR'!D43</f>
        <v>19.278364274513134</v>
      </c>
      <c r="M15" s="529">
        <f>'AGG ASIA CELLULAR'!E43</f>
        <v>15.523038202411636</v>
      </c>
      <c r="N15" s="529">
        <f>'AGG ASIA CELLULAR'!F43</f>
        <v>13.257386088679914</v>
      </c>
      <c r="O15" s="529">
        <f>'AGG ASIA CELLULAR'!G43</f>
        <v>11.466142328229227</v>
      </c>
      <c r="P15" s="286">
        <f>'AGG ASIA CELLULAR'!H43</f>
        <v>0.18831027118838706</v>
      </c>
      <c r="S15" s="88"/>
      <c r="T15" s="42"/>
      <c r="U15" s="42"/>
      <c r="V15" s="42"/>
      <c r="W15" s="42"/>
      <c r="X15" s="42"/>
      <c r="Y15" s="42"/>
      <c r="Z15" s="42"/>
      <c r="AA15" s="42"/>
    </row>
    <row r="16" spans="2:44">
      <c r="B16" s="5" t="s">
        <v>534</v>
      </c>
      <c r="C16" s="257"/>
      <c r="D16" s="533">
        <v>0</v>
      </c>
      <c r="E16" s="533">
        <v>4.3549769470928323</v>
      </c>
      <c r="F16" s="533">
        <v>7.9956798968812608</v>
      </c>
      <c r="G16" s="533">
        <v>13.445683362030032</v>
      </c>
      <c r="H16" s="247"/>
      <c r="I16" s="247"/>
      <c r="J16" s="5" t="s">
        <v>533</v>
      </c>
      <c r="L16" s="529">
        <f>'AGG ASIA CELLULAR'!D44</f>
        <v>20.50009040888548</v>
      </c>
      <c r="M16" s="529">
        <f>'AGG ASIA CELLULAR'!E44</f>
        <v>17.31807909095523</v>
      </c>
      <c r="N16" s="529">
        <f>'AGG ASIA CELLULAR'!F44</f>
        <v>14.883294016253318</v>
      </c>
      <c r="O16" s="529">
        <f>'AGG ASIA CELLULAR'!G44</f>
        <v>13.16548576425039</v>
      </c>
      <c r="P16" s="286">
        <f>'AGG ASIA CELLULAR'!H44</f>
        <v>0.15839482711139796</v>
      </c>
      <c r="S16" s="88"/>
      <c r="T16" s="42"/>
      <c r="U16" s="42"/>
      <c r="V16" s="42"/>
      <c r="W16" s="42"/>
      <c r="X16" s="42"/>
      <c r="Y16" s="42"/>
      <c r="Z16" s="42"/>
      <c r="AA16" s="42"/>
    </row>
    <row r="17" spans="2:27">
      <c r="B17" s="5" t="s">
        <v>6</v>
      </c>
      <c r="C17" s="257"/>
      <c r="D17" s="533">
        <v>0</v>
      </c>
      <c r="E17" s="533">
        <v>0</v>
      </c>
      <c r="F17" s="533">
        <v>0</v>
      </c>
      <c r="G17" s="533">
        <v>0</v>
      </c>
      <c r="H17" s="247"/>
      <c r="I17" s="247"/>
      <c r="J17" s="5" t="s">
        <v>580</v>
      </c>
      <c r="L17" s="248">
        <f>'AGG ASIA CELLULAR'!D45</f>
        <v>4.174038595528512E-2</v>
      </c>
      <c r="M17" s="248">
        <f>'AGG ASIA CELLULAR'!E45</f>
        <v>4.4792872771489058E-2</v>
      </c>
      <c r="N17" s="248">
        <f>'AGG ASIA CELLULAR'!F45</f>
        <v>5.1203391440393167E-2</v>
      </c>
      <c r="O17" s="248">
        <f>'AGG ASIA CELLULAR'!G45</f>
        <v>5.7913719466381006E-2</v>
      </c>
      <c r="P17" s="286">
        <f>'AGG ASIA CELLULAR'!H45</f>
        <v>0.11470165475568339</v>
      </c>
      <c r="S17" s="88"/>
      <c r="T17" s="42"/>
      <c r="U17" s="42"/>
      <c r="V17" s="42"/>
      <c r="W17" s="42"/>
      <c r="X17" s="42"/>
      <c r="Y17" s="42"/>
      <c r="Z17" s="42"/>
      <c r="AA17" s="42"/>
    </row>
    <row r="18" spans="2:27" ht="12.6" thickBot="1">
      <c r="B18" s="41" t="s">
        <v>1057</v>
      </c>
      <c r="C18" s="249"/>
      <c r="D18" s="534">
        <f>D11+D12+D13-RAK!D14+D15-D16-D17</f>
        <v>1969.7505205240175</v>
      </c>
      <c r="E18" s="534">
        <f>E11+E12+E13-E14+E15-E16-E17</f>
        <v>1965.3955435769246</v>
      </c>
      <c r="F18" s="534">
        <f>F11+F12+F13-F14+F15-F16-F17</f>
        <v>1961.7548406271362</v>
      </c>
      <c r="G18" s="534">
        <f>G11+G12+G13-G14+G15-G16-G17</f>
        <v>1956.3048371619875</v>
      </c>
      <c r="H18" s="276">
        <f>IF(D18=0,"nm",IF(G18=0,"nm",(G18/D18)^(1/3)-1))</f>
        <v>-2.280558470405869E-3</v>
      </c>
      <c r="I18" s="254"/>
      <c r="J18" s="5" t="s">
        <v>36</v>
      </c>
      <c r="L18" s="248" t="e">
        <f>'AGG ASIA CELLULAR'!D46</f>
        <v>#VALUE!</v>
      </c>
      <c r="M18" s="248" t="e">
        <f>'AGG ASIA CELLULAR'!E46</f>
        <v>#VALUE!</v>
      </c>
      <c r="N18" s="248" t="e">
        <f>'AGG ASIA CELLULAR'!F46</f>
        <v>#VALUE!</v>
      </c>
      <c r="O18" s="248" t="e">
        <f>'AGG ASIA CELLULAR'!G46</f>
        <v>#VALUE!</v>
      </c>
      <c r="P18" s="286" t="e">
        <f>'AGG ASIA CELLULAR'!H46</f>
        <v>#VALUE!</v>
      </c>
      <c r="S18" s="88"/>
      <c r="T18" s="42"/>
      <c r="U18" s="42"/>
      <c r="V18" s="42"/>
      <c r="W18" s="42"/>
      <c r="X18" s="42"/>
      <c r="Y18" s="42"/>
      <c r="Z18" s="42"/>
      <c r="AA18" s="42"/>
    </row>
    <row r="19" spans="2:27" ht="12.6" thickTop="1">
      <c r="B19" s="41"/>
      <c r="C19" s="249"/>
      <c r="D19" s="229"/>
      <c r="E19" s="229"/>
      <c r="F19" s="229"/>
      <c r="G19" s="229"/>
      <c r="H19" s="276"/>
      <c r="I19" s="254"/>
      <c r="J19" s="5" t="s">
        <v>581</v>
      </c>
      <c r="L19" s="248">
        <f>'AGG ASIA CELLULAR'!D47</f>
        <v>5.1871620732991598E-2</v>
      </c>
      <c r="M19" s="248">
        <f>'AGG ASIA CELLULAR'!E47</f>
        <v>6.4420378727447922E-2</v>
      </c>
      <c r="N19" s="248">
        <f>'AGG ASIA CELLULAR'!F47</f>
        <v>7.5429650559386677E-2</v>
      </c>
      <c r="O19" s="248">
        <f>'AGG ASIA CELLULAR'!G47</f>
        <v>8.7213290344219457E-2</v>
      </c>
      <c r="P19" s="286">
        <f>'AGG ASIA CELLULAR'!H47</f>
        <v>0.18831027118838706</v>
      </c>
      <c r="S19" s="88"/>
      <c r="T19" s="42"/>
      <c r="U19" s="42"/>
      <c r="V19" s="42"/>
      <c r="W19" s="42"/>
      <c r="X19" s="42"/>
      <c r="Y19" s="42"/>
      <c r="Z19" s="42"/>
      <c r="AA19" s="42"/>
    </row>
    <row r="20" spans="2:27">
      <c r="H20" s="277"/>
      <c r="I20" s="17"/>
      <c r="J20" s="5" t="s">
        <v>604</v>
      </c>
      <c r="L20" s="305">
        <f>'AGG ASIA CELLULAR'!D48</f>
        <v>0.92045377326476352</v>
      </c>
      <c r="M20" s="305">
        <f>'AGG ASIA CELLULAR'!E48</f>
        <v>0.79490390762892493</v>
      </c>
      <c r="N20" s="305">
        <f>'AGG ASIA CELLULAR'!F48</f>
        <v>0.7763724496707467</v>
      </c>
      <c r="O20" s="305">
        <f>'AGG ASIA CELLULAR'!G48</f>
        <v>0.75978089170129071</v>
      </c>
      <c r="P20" s="286" t="str">
        <f>'AGG ASIA CELLULAR'!H48</f>
        <v>nm</v>
      </c>
      <c r="S20" s="88"/>
      <c r="T20" s="42"/>
      <c r="U20" s="42"/>
      <c r="V20" s="42"/>
      <c r="W20" s="42"/>
      <c r="X20" s="42"/>
      <c r="Y20" s="42"/>
      <c r="Z20" s="42"/>
      <c r="AA20" s="42"/>
    </row>
    <row r="21" spans="2:27" ht="12.6" thickBot="1">
      <c r="B21" s="306" t="s">
        <v>973</v>
      </c>
      <c r="C21" s="265"/>
      <c r="D21" s="265" t="str">
        <f>D5</f>
        <v>2023E</v>
      </c>
      <c r="E21" s="265" t="str">
        <f t="shared" ref="E21:H21" si="3">E5</f>
        <v>2024E</v>
      </c>
      <c r="F21" s="265" t="str">
        <f t="shared" si="3"/>
        <v>2025E</v>
      </c>
      <c r="G21" s="265" t="str">
        <f t="shared" si="3"/>
        <v>2026E</v>
      </c>
      <c r="H21" s="265" t="str">
        <f t="shared" si="3"/>
        <v>23E-26E</v>
      </c>
      <c r="I21" s="49"/>
      <c r="J21" s="41"/>
      <c r="L21" s="250"/>
      <c r="M21" s="250"/>
      <c r="N21" s="250"/>
      <c r="O21" s="250"/>
      <c r="P21" s="286"/>
      <c r="S21" s="88"/>
      <c r="T21" s="42"/>
      <c r="U21" s="42"/>
      <c r="V21" s="42"/>
      <c r="W21" s="42"/>
      <c r="X21" s="42"/>
      <c r="Y21" s="42"/>
      <c r="Z21" s="42"/>
      <c r="AA21" s="42"/>
    </row>
    <row r="22" spans="2:27" ht="12.6" thickTop="1">
      <c r="B22" s="5"/>
      <c r="C22" s="257"/>
      <c r="D22" s="17"/>
      <c r="E22" s="17"/>
      <c r="F22" s="17"/>
      <c r="G22" s="17"/>
      <c r="H22" s="17"/>
      <c r="I22" s="17"/>
      <c r="P22" s="277"/>
      <c r="S22" s="88"/>
      <c r="T22" s="42"/>
      <c r="U22" s="42"/>
      <c r="V22" s="42"/>
      <c r="W22" s="42"/>
      <c r="X22" s="42"/>
      <c r="Y22" s="42"/>
      <c r="Z22" s="42"/>
      <c r="AA22" s="42"/>
    </row>
    <row r="23" spans="2:27" ht="12.6" thickBot="1">
      <c r="B23" s="5" t="s">
        <v>584</v>
      </c>
      <c r="C23" s="548">
        <v>1920.8939999999998</v>
      </c>
      <c r="D23" s="540">
        <v>2071.3150000000001</v>
      </c>
      <c r="E23" s="540">
        <v>2279.2920862176643</v>
      </c>
      <c r="F23" s="540">
        <v>2492.3095250360821</v>
      </c>
      <c r="G23" s="540">
        <v>2702.8039148718794</v>
      </c>
      <c r="H23" s="279">
        <f t="shared" ref="H23:H32" si="4">IF(D23=0,"nm",IF(G23=0,"nm",(G23/D23)^(1/3)-1))</f>
        <v>9.2754984983704158E-2</v>
      </c>
      <c r="I23" s="247"/>
      <c r="J23" s="306" t="s">
        <v>9</v>
      </c>
      <c r="K23" s="306"/>
      <c r="L23" s="265" t="str">
        <f>D21</f>
        <v>2023E</v>
      </c>
      <c r="M23" s="265" t="str">
        <f t="shared" ref="M23:P23" si="5">E21</f>
        <v>2024E</v>
      </c>
      <c r="N23" s="265" t="str">
        <f t="shared" si="5"/>
        <v>2025E</v>
      </c>
      <c r="O23" s="265" t="str">
        <f t="shared" si="5"/>
        <v>2026E</v>
      </c>
      <c r="P23" s="265" t="str">
        <f t="shared" si="5"/>
        <v>23E-26E</v>
      </c>
      <c r="S23" s="88"/>
      <c r="T23" s="42"/>
      <c r="U23" s="42"/>
      <c r="V23" s="42"/>
      <c r="W23" s="42"/>
      <c r="X23" s="42"/>
      <c r="Y23" s="42"/>
      <c r="Z23" s="42"/>
      <c r="AA23" s="42"/>
    </row>
    <row r="24" spans="2:27" ht="12.6" thickTop="1">
      <c r="B24" s="5" t="s">
        <v>483</v>
      </c>
      <c r="C24" s="549">
        <v>-69.918000000000006</v>
      </c>
      <c r="D24" s="540">
        <v>148.17899999999997</v>
      </c>
      <c r="E24" s="540">
        <v>179.84599955023333</v>
      </c>
      <c r="F24" s="540">
        <v>254.11658116738963</v>
      </c>
      <c r="G24" s="540">
        <v>335.38684791162035</v>
      </c>
      <c r="H24" s="279">
        <f t="shared" si="4"/>
        <v>0.31296492021516276</v>
      </c>
      <c r="I24" s="249"/>
      <c r="J24" s="17"/>
      <c r="K24" s="17"/>
      <c r="L24" s="17"/>
      <c r="M24" s="17"/>
      <c r="N24" s="17"/>
      <c r="O24" s="248"/>
      <c r="S24" s="88"/>
      <c r="T24" s="42"/>
      <c r="U24" s="42"/>
      <c r="V24" s="42"/>
      <c r="W24" s="42" t="s">
        <v>1052</v>
      </c>
      <c r="X24" s="42" t="s">
        <v>257</v>
      </c>
      <c r="Y24" s="42"/>
      <c r="Z24" s="42"/>
      <c r="AA24" s="42"/>
    </row>
    <row r="25" spans="2:27">
      <c r="B25" s="5" t="s">
        <v>183</v>
      </c>
      <c r="C25" s="548">
        <v>-658.13700000000006</v>
      </c>
      <c r="D25" s="540">
        <v>-237.69500000000005</v>
      </c>
      <c r="E25" s="540">
        <v>-95.163337692203697</v>
      </c>
      <c r="F25" s="540">
        <v>-34.215631078073585</v>
      </c>
      <c r="G25" s="540">
        <v>-26.619563103785197</v>
      </c>
      <c r="H25" s="279">
        <f t="shared" si="4"/>
        <v>-0.51798528976690239</v>
      </c>
      <c r="I25" s="248"/>
      <c r="J25" s="247" t="s">
        <v>10</v>
      </c>
      <c r="K25" s="247"/>
      <c r="L25" s="321">
        <v>0</v>
      </c>
      <c r="M25" s="321">
        <v>0</v>
      </c>
      <c r="N25" s="321">
        <v>0</v>
      </c>
      <c r="O25" s="321">
        <v>0</v>
      </c>
      <c r="P25" s="279" t="str">
        <f>IF(L25=0,"nm",IF(O25=0,"nm",(O25/L25)^(1/3)-1))</f>
        <v>nm</v>
      </c>
      <c r="S25" s="88"/>
      <c r="T25" s="42"/>
      <c r="U25" s="42"/>
      <c r="V25" s="147" t="s">
        <v>273</v>
      </c>
      <c r="W25" s="288">
        <f>D37/L9</f>
        <v>0.45647503961024105</v>
      </c>
      <c r="X25" s="288">
        <v>1</v>
      </c>
      <c r="Y25" s="42"/>
      <c r="Z25" s="42"/>
      <c r="AA25" s="42"/>
    </row>
    <row r="26" spans="2:27">
      <c r="B26" s="5" t="s">
        <v>586</v>
      </c>
      <c r="C26" s="548">
        <v>-454.11453</v>
      </c>
      <c r="D26" s="540">
        <v>-164.00955000000002</v>
      </c>
      <c r="E26" s="540">
        <v>-65.66270300762055</v>
      </c>
      <c r="F26" s="540">
        <v>-23.608785443870772</v>
      </c>
      <c r="G26" s="540">
        <v>-18.367498541611784</v>
      </c>
      <c r="H26" s="279">
        <f t="shared" si="4"/>
        <v>-0.51798528976690239</v>
      </c>
      <c r="I26" s="249"/>
      <c r="J26" s="249" t="s">
        <v>11</v>
      </c>
      <c r="K26" s="249"/>
      <c r="L26" s="281">
        <f>D11+L25</f>
        <v>1661.9778000000001</v>
      </c>
      <c r="M26" s="281">
        <f>E11+M25</f>
        <v>1661.9778000000001</v>
      </c>
      <c r="N26" s="281">
        <f>F11+N25</f>
        <v>1661.9778000000001</v>
      </c>
      <c r="O26" s="281">
        <f>G11+O25</f>
        <v>1661.9778000000001</v>
      </c>
      <c r="P26" s="279">
        <f>IF(L26=0,"nm",IF(O26=0,"nm",(O26/L26)^(1/3)-1))</f>
        <v>0</v>
      </c>
      <c r="Q26" s="5"/>
      <c r="S26" s="88"/>
      <c r="T26" s="42"/>
      <c r="U26" s="42"/>
      <c r="V26" s="147" t="s">
        <v>184</v>
      </c>
      <c r="W26" s="288">
        <f t="shared" ref="W26:W33" si="6">D38/L10</f>
        <v>2.0907999605238352</v>
      </c>
      <c r="X26" s="288">
        <v>1</v>
      </c>
      <c r="Y26" s="42"/>
      <c r="Z26" s="42"/>
      <c r="AA26" s="42"/>
    </row>
    <row r="27" spans="2:27">
      <c r="B27" s="5" t="s">
        <v>587</v>
      </c>
      <c r="C27" s="549">
        <v>2018.2260000000003</v>
      </c>
      <c r="D27" s="540">
        <v>1576.2639999999997</v>
      </c>
      <c r="E27" s="540">
        <v>1608.9307950435496</v>
      </c>
      <c r="F27" s="540">
        <v>1622.3914373293521</v>
      </c>
      <c r="G27" s="540">
        <v>1712.8628511176598</v>
      </c>
      <c r="H27" s="279">
        <f t="shared" si="4"/>
        <v>2.8090180587504232E-2</v>
      </c>
      <c r="I27" s="249"/>
      <c r="J27" s="248"/>
      <c r="K27" s="248"/>
      <c r="L27" s="248"/>
      <c r="M27" s="248"/>
      <c r="N27" s="248"/>
      <c r="O27" s="248"/>
      <c r="Q27" s="41"/>
      <c r="S27" s="88"/>
      <c r="T27" s="42"/>
      <c r="U27" s="42"/>
      <c r="V27" s="147" t="s">
        <v>185</v>
      </c>
      <c r="W27" s="288">
        <f t="shared" si="6"/>
        <v>-0.67613160220934865</v>
      </c>
      <c r="X27" s="288">
        <v>1</v>
      </c>
      <c r="Y27" s="42"/>
      <c r="Z27" s="42"/>
      <c r="AA27" s="42"/>
    </row>
    <row r="28" spans="2:27" ht="12.6" thickBot="1">
      <c r="B28" s="5" t="s">
        <v>592</v>
      </c>
      <c r="C28" s="548">
        <v>1262.115</v>
      </c>
      <c r="D28" s="540">
        <v>1267.837</v>
      </c>
      <c r="E28" s="540">
        <v>1304.7077878652801</v>
      </c>
      <c r="F28" s="540">
        <v>1344.6276988735949</v>
      </c>
      <c r="G28" s="540">
        <v>1387.6977362691857</v>
      </c>
      <c r="H28" s="279">
        <f t="shared" si="4"/>
        <v>3.056918535542863E-2</v>
      </c>
      <c r="I28" s="248"/>
      <c r="J28" s="306" t="s">
        <v>1362</v>
      </c>
      <c r="K28" s="306"/>
      <c r="L28" s="306"/>
      <c r="M28" s="306"/>
      <c r="N28" s="266"/>
      <c r="O28" s="266"/>
      <c r="P28" s="266"/>
      <c r="Q28" s="5"/>
      <c r="S28" s="88"/>
      <c r="T28" s="42"/>
      <c r="U28" s="42"/>
      <c r="V28" s="147" t="s">
        <v>466</v>
      </c>
      <c r="W28" s="288">
        <f t="shared" si="6"/>
        <v>-0.7529150568692885</v>
      </c>
      <c r="X28" s="288">
        <v>1</v>
      </c>
      <c r="Y28" s="42"/>
      <c r="Z28" s="42"/>
      <c r="AA28" s="42"/>
    </row>
    <row r="29" spans="2:27" ht="12.6" thickTop="1">
      <c r="B29" s="5" t="s">
        <v>588</v>
      </c>
      <c r="C29" s="548">
        <v>-699.31799999999998</v>
      </c>
      <c r="D29" s="540">
        <v>-410.93199999999996</v>
      </c>
      <c r="E29" s="540">
        <v>-200.4438440237862</v>
      </c>
      <c r="F29" s="540">
        <v>-176.30067605940798</v>
      </c>
      <c r="G29" s="540">
        <v>-208.2874782364039</v>
      </c>
      <c r="H29" s="279">
        <f t="shared" si="4"/>
        <v>-0.20268292162149759</v>
      </c>
      <c r="I29" s="252"/>
      <c r="J29" s="249"/>
      <c r="K29" s="249"/>
      <c r="L29" s="249"/>
      <c r="M29" s="249"/>
      <c r="N29" s="249"/>
      <c r="O29" s="251"/>
      <c r="Q29" s="5"/>
      <c r="S29" s="88"/>
      <c r="T29" s="42"/>
      <c r="U29" s="42"/>
      <c r="V29" s="147" t="s">
        <v>530</v>
      </c>
      <c r="W29" s="288">
        <f t="shared" si="6"/>
        <v>0.87543322030652626</v>
      </c>
      <c r="X29" s="288">
        <v>1</v>
      </c>
      <c r="Y29" s="42"/>
      <c r="Z29" s="42"/>
      <c r="AA29" s="42"/>
    </row>
    <row r="30" spans="2:27">
      <c r="B30" s="5" t="s">
        <v>589</v>
      </c>
      <c r="C30" s="549">
        <v>-377.21699999999998</v>
      </c>
      <c r="D30" s="540">
        <v>-339.47399999999999</v>
      </c>
      <c r="E30" s="540">
        <v>-200.53513698195945</v>
      </c>
      <c r="F30" s="540">
        <v>-182.19977701254123</v>
      </c>
      <c r="G30" s="540">
        <v>-165.0718690107916</v>
      </c>
      <c r="H30" s="279">
        <f t="shared" si="4"/>
        <v>-0.2136386064632968</v>
      </c>
      <c r="I30" s="254"/>
      <c r="J30" s="248"/>
      <c r="K30" s="248"/>
      <c r="L30" s="248"/>
      <c r="M30" s="248"/>
      <c r="N30" s="248"/>
      <c r="O30" s="5"/>
      <c r="Q30" s="5"/>
      <c r="S30" s="88"/>
      <c r="T30" s="42"/>
      <c r="U30" s="42"/>
      <c r="V30" s="147" t="s">
        <v>593</v>
      </c>
      <c r="W30" s="288">
        <f t="shared" si="6"/>
        <v>0.53333115352329818</v>
      </c>
      <c r="X30" s="288">
        <v>1</v>
      </c>
      <c r="Y30" s="42"/>
      <c r="Z30" s="42"/>
      <c r="AA30" s="42"/>
    </row>
    <row r="31" spans="2:27">
      <c r="B31" s="5" t="s">
        <v>590</v>
      </c>
      <c r="C31" s="549">
        <v>7.1570834999999997</v>
      </c>
      <c r="D31" s="540">
        <v>0</v>
      </c>
      <c r="E31" s="540">
        <v>0</v>
      </c>
      <c r="F31" s="540">
        <v>0</v>
      </c>
      <c r="G31" s="540">
        <v>0</v>
      </c>
      <c r="H31" s="279" t="str">
        <f t="shared" si="4"/>
        <v>nm</v>
      </c>
      <c r="I31" s="254"/>
      <c r="J31" s="252"/>
      <c r="K31" s="252"/>
      <c r="L31" s="252"/>
      <c r="M31" s="252"/>
      <c r="N31" s="252"/>
      <c r="O31" s="5"/>
      <c r="Q31" s="5"/>
      <c r="S31" s="88"/>
      <c r="T31" s="42"/>
      <c r="U31" s="42"/>
      <c r="V31" s="147" t="s">
        <v>475</v>
      </c>
      <c r="W31" s="288">
        <f t="shared" si="6"/>
        <v>-0.20979014072462543</v>
      </c>
      <c r="X31" s="288">
        <v>1</v>
      </c>
      <c r="Y31" s="42"/>
      <c r="Z31" s="42"/>
      <c r="AA31" s="42"/>
    </row>
    <row r="32" spans="2:27">
      <c r="B32" s="5" t="s">
        <v>606</v>
      </c>
      <c r="C32" s="550">
        <v>-99.960999999999999</v>
      </c>
      <c r="D32" s="540">
        <v>0</v>
      </c>
      <c r="E32" s="540">
        <v>0</v>
      </c>
      <c r="F32" s="540">
        <v>0</v>
      </c>
      <c r="G32" s="540">
        <v>-552.97299999999996</v>
      </c>
      <c r="H32" s="279" t="str">
        <f t="shared" si="4"/>
        <v>nm</v>
      </c>
      <c r="I32" s="254"/>
      <c r="J32" s="254"/>
      <c r="K32" s="254"/>
      <c r="L32" s="254"/>
      <c r="M32" s="254"/>
      <c r="N32" s="254"/>
      <c r="O32" s="251"/>
      <c r="Q32" s="5"/>
      <c r="S32" s="88"/>
      <c r="T32" s="42"/>
      <c r="U32" s="42"/>
      <c r="V32" s="147" t="s">
        <v>533</v>
      </c>
      <c r="W32" s="288">
        <f t="shared" si="6"/>
        <v>-0.2388157274583079</v>
      </c>
      <c r="X32" s="288">
        <v>1</v>
      </c>
      <c r="Y32" s="42"/>
      <c r="Z32" s="42"/>
      <c r="AA32" s="42"/>
    </row>
    <row r="33" spans="2:27">
      <c r="B33" s="5" t="s">
        <v>5</v>
      </c>
      <c r="C33" s="549">
        <v>41.451999999999984</v>
      </c>
      <c r="D33" s="540">
        <v>-8.8470000000000084</v>
      </c>
      <c r="E33" s="540">
        <v>133.20199635646878</v>
      </c>
      <c r="F33" s="540">
        <v>161.94329741633027</v>
      </c>
      <c r="G33" s="540">
        <v>187.13746137568688</v>
      </c>
      <c r="H33" s="279">
        <f>IF(D33=0,"nm",IF(G33=0,"nm",(G33/D33)^(1/3)-1))</f>
        <v>-3.7655927974683228</v>
      </c>
      <c r="I33" s="5"/>
      <c r="J33" s="254"/>
      <c r="K33" s="254"/>
      <c r="L33" s="254"/>
      <c r="M33" s="254"/>
      <c r="N33" s="254"/>
      <c r="O33" s="251"/>
      <c r="Q33" s="5"/>
      <c r="S33" s="88"/>
      <c r="T33" s="42"/>
      <c r="U33" s="42"/>
      <c r="V33" s="147" t="s">
        <v>580</v>
      </c>
      <c r="W33" s="288">
        <f t="shared" si="6"/>
        <v>0</v>
      </c>
      <c r="X33" s="288">
        <v>1</v>
      </c>
      <c r="Y33" s="42"/>
      <c r="Z33" s="42"/>
      <c r="AA33" s="42"/>
    </row>
    <row r="34" spans="2:27">
      <c r="B34" s="5"/>
      <c r="H34" s="277"/>
      <c r="I34" s="49"/>
      <c r="J34" s="254"/>
      <c r="K34" s="254"/>
      <c r="L34" s="254"/>
      <c r="M34" s="254"/>
      <c r="N34" s="254"/>
      <c r="O34" s="251"/>
      <c r="Q34" s="5"/>
      <c r="S34" s="88"/>
      <c r="T34" s="42"/>
      <c r="U34" s="42"/>
      <c r="V34" s="147" t="s">
        <v>581</v>
      </c>
      <c r="W34" s="288">
        <f>D47/L19</f>
        <v>-4.7666682359139996</v>
      </c>
      <c r="X34" s="288">
        <v>1</v>
      </c>
      <c r="Y34" s="288"/>
      <c r="Z34" s="288"/>
      <c r="AA34" s="42"/>
    </row>
    <row r="35" spans="2:27" ht="12.6" thickBot="1">
      <c r="B35" s="306" t="s">
        <v>1058</v>
      </c>
      <c r="C35" s="265"/>
      <c r="D35" s="265" t="str">
        <f>D5</f>
        <v>2023E</v>
      </c>
      <c r="E35" s="265" t="str">
        <f t="shared" ref="E35:H35" si="7">E5</f>
        <v>2024E</v>
      </c>
      <c r="F35" s="265" t="str">
        <f t="shared" si="7"/>
        <v>2025E</v>
      </c>
      <c r="G35" s="265" t="str">
        <f t="shared" si="7"/>
        <v>2026E</v>
      </c>
      <c r="H35" s="265" t="str">
        <f t="shared" si="7"/>
        <v>23E-26E</v>
      </c>
      <c r="I35" s="254"/>
      <c r="J35" s="5"/>
      <c r="K35" s="5"/>
      <c r="L35" s="5"/>
      <c r="M35" s="5"/>
      <c r="N35" s="5"/>
      <c r="O35" s="5"/>
      <c r="Q35" s="5"/>
      <c r="S35" s="88"/>
      <c r="T35" s="42"/>
      <c r="U35" s="42"/>
      <c r="V35" s="42"/>
      <c r="W35" s="42"/>
      <c r="X35" s="42"/>
      <c r="Y35" s="288"/>
      <c r="Z35" s="288"/>
      <c r="AA35" s="42"/>
    </row>
    <row r="36" spans="2:27" ht="12.6" thickTop="1">
      <c r="B36" s="41"/>
      <c r="C36" s="249"/>
      <c r="D36" s="254"/>
      <c r="E36" s="254"/>
      <c r="F36" s="254"/>
      <c r="G36" s="254"/>
      <c r="H36" s="254"/>
      <c r="I36" s="17"/>
      <c r="J36" s="49"/>
      <c r="K36" s="49"/>
      <c r="L36" s="49"/>
      <c r="M36" s="49"/>
      <c r="N36" s="49"/>
      <c r="O36" s="49"/>
      <c r="Q36" s="5"/>
      <c r="S36" s="88"/>
      <c r="T36" s="42"/>
      <c r="U36" s="42"/>
      <c r="V36" s="42"/>
      <c r="W36" s="42"/>
      <c r="X36" s="42"/>
      <c r="Y36" s="288"/>
      <c r="Z36" s="288"/>
      <c r="AA36" s="42"/>
    </row>
    <row r="37" spans="2:27">
      <c r="B37" s="5" t="s">
        <v>273</v>
      </c>
      <c r="C37" s="247"/>
      <c r="D37" s="529">
        <f>D$18/D23</f>
        <v>0.95096618357131457</v>
      </c>
      <c r="E37" s="529">
        <f t="shared" ref="E37:G41" si="8">E$18/E23</f>
        <v>0.86228331834309557</v>
      </c>
      <c r="F37" s="529">
        <f t="shared" si="8"/>
        <v>0.78712327699294704</v>
      </c>
      <c r="G37" s="529">
        <f t="shared" si="8"/>
        <v>0.72380568431088788</v>
      </c>
      <c r="H37" s="17">
        <f t="shared" ref="H37:H45" si="9">H23</f>
        <v>9.2754984983704158E-2</v>
      </c>
      <c r="I37" s="5"/>
      <c r="J37" s="259"/>
      <c r="K37" s="259"/>
      <c r="L37" s="259"/>
      <c r="M37" s="259"/>
      <c r="N37" s="259"/>
      <c r="O37" s="18"/>
      <c r="Q37" s="5"/>
      <c r="R37" s="5"/>
      <c r="S37" s="42"/>
      <c r="T37" s="42"/>
      <c r="U37" s="42"/>
      <c r="V37" s="42"/>
      <c r="W37" s="42"/>
      <c r="X37" s="42"/>
      <c r="Y37" s="42"/>
      <c r="Z37" s="42"/>
      <c r="AA37" s="42"/>
    </row>
    <row r="38" spans="2:27">
      <c r="B38" s="5" t="s">
        <v>184</v>
      </c>
      <c r="C38" s="247"/>
      <c r="D38" s="529">
        <f>D$18/D24</f>
        <v>13.293047736346026</v>
      </c>
      <c r="E38" s="529">
        <f t="shared" si="8"/>
        <v>10.928213852362971</v>
      </c>
      <c r="F38" s="529">
        <f t="shared" si="8"/>
        <v>7.7199009667728253</v>
      </c>
      <c r="G38" s="529">
        <f t="shared" si="8"/>
        <v>5.8329801819703562</v>
      </c>
      <c r="H38" s="17">
        <f t="shared" si="9"/>
        <v>0.31296492021516276</v>
      </c>
      <c r="I38" s="259"/>
      <c r="J38" s="17"/>
      <c r="K38" s="17"/>
      <c r="L38" s="17"/>
      <c r="M38" s="17"/>
      <c r="N38" s="17"/>
      <c r="O38" s="5"/>
      <c r="Q38" s="5"/>
      <c r="R38" s="5"/>
      <c r="S38" s="42"/>
      <c r="T38" s="42"/>
      <c r="U38" s="42"/>
      <c r="V38" s="42"/>
      <c r="W38" s="42"/>
      <c r="X38" s="42"/>
      <c r="Y38" s="42"/>
      <c r="Z38" s="42"/>
      <c r="AA38" s="42"/>
    </row>
    <row r="39" spans="2:27">
      <c r="B39" s="5" t="s">
        <v>185</v>
      </c>
      <c r="C39" s="247"/>
      <c r="D39" s="529">
        <f>D$18/D25</f>
        <v>-8.2868824355750732</v>
      </c>
      <c r="E39" s="529">
        <f t="shared" si="8"/>
        <v>-20.652864761152031</v>
      </c>
      <c r="F39" s="529">
        <f t="shared" si="8"/>
        <v>-57.335047719879356</v>
      </c>
      <c r="G39" s="529">
        <f t="shared" si="8"/>
        <v>-73.491245124297649</v>
      </c>
      <c r="H39" s="17">
        <f t="shared" si="9"/>
        <v>-0.51798528976690239</v>
      </c>
      <c r="I39" s="17"/>
      <c r="J39" s="5"/>
      <c r="K39" s="5"/>
      <c r="L39" s="5"/>
      <c r="M39" s="5"/>
      <c r="N39" s="5"/>
      <c r="O39" s="5"/>
      <c r="Q39" s="5"/>
      <c r="R39" s="5"/>
      <c r="S39" s="42"/>
      <c r="T39" s="42"/>
      <c r="U39" s="42"/>
      <c r="V39" s="42"/>
      <c r="W39" s="42"/>
      <c r="X39" s="42"/>
      <c r="Y39" s="42"/>
      <c r="Z39" s="42"/>
      <c r="AA39" s="42"/>
    </row>
    <row r="40" spans="2:27">
      <c r="B40" s="5" t="s">
        <v>466</v>
      </c>
      <c r="C40" s="247"/>
      <c r="D40" s="529">
        <f>D$18/D26</f>
        <v>-12.009974544311701</v>
      </c>
      <c r="E40" s="529">
        <f t="shared" si="8"/>
        <v>-29.931688059640624</v>
      </c>
      <c r="F40" s="529">
        <f t="shared" si="8"/>
        <v>-83.094272057796175</v>
      </c>
      <c r="G40" s="529">
        <f t="shared" si="8"/>
        <v>-106.50905090477922</v>
      </c>
      <c r="H40" s="17">
        <f t="shared" si="9"/>
        <v>-0.51798528976690239</v>
      </c>
      <c r="I40" s="5"/>
      <c r="J40" s="259"/>
      <c r="K40" s="259"/>
      <c r="L40" s="259"/>
      <c r="M40" s="259"/>
      <c r="N40" s="259"/>
      <c r="O40" s="18"/>
      <c r="Q40" s="5"/>
      <c r="R40" s="5"/>
      <c r="S40" s="42"/>
      <c r="T40" s="42"/>
      <c r="U40" s="42"/>
      <c r="V40" s="42"/>
      <c r="W40" s="288"/>
      <c r="X40" s="288"/>
      <c r="Y40" s="42"/>
      <c r="Z40" s="42"/>
      <c r="AA40" s="42"/>
    </row>
    <row r="41" spans="2:27">
      <c r="B41" s="5" t="s">
        <v>530</v>
      </c>
      <c r="C41" s="247"/>
      <c r="D41" s="529">
        <f>D$18/D27</f>
        <v>1.2496323715595978</v>
      </c>
      <c r="E41" s="529">
        <f t="shared" si="8"/>
        <v>1.2215538105377159</v>
      </c>
      <c r="F41" s="529">
        <f t="shared" si="8"/>
        <v>1.2091747993051642</v>
      </c>
      <c r="G41" s="529">
        <f t="shared" si="8"/>
        <v>1.142125790097835</v>
      </c>
      <c r="H41" s="17">
        <f t="shared" si="9"/>
        <v>2.8090180587504232E-2</v>
      </c>
      <c r="I41" s="247"/>
      <c r="J41" s="17"/>
      <c r="K41" s="17"/>
      <c r="L41" s="17"/>
      <c r="M41" s="17"/>
      <c r="N41" s="17"/>
      <c r="O41" s="5"/>
      <c r="Q41" s="5"/>
      <c r="R41" s="5"/>
      <c r="S41" s="42"/>
      <c r="T41" s="42"/>
      <c r="U41" s="42"/>
      <c r="V41" s="42"/>
      <c r="W41" s="288"/>
      <c r="X41" s="288"/>
      <c r="Y41" s="288"/>
      <c r="Z41" s="288"/>
      <c r="AA41" s="42"/>
    </row>
    <row r="42" spans="2:27">
      <c r="B42" s="5" t="s">
        <v>593</v>
      </c>
      <c r="C42" s="247"/>
      <c r="D42" s="529">
        <f>D18/D28</f>
        <v>1.5536307273916263</v>
      </c>
      <c r="E42" s="529">
        <f>E18/E28</f>
        <v>1.5063875312591182</v>
      </c>
      <c r="F42" s="529">
        <f>F18/F28</f>
        <v>1.4589576298855911</v>
      </c>
      <c r="G42" s="529">
        <f>G18/G28</f>
        <v>1.40974852522387</v>
      </c>
      <c r="H42" s="17">
        <f t="shared" si="9"/>
        <v>3.056918535542863E-2</v>
      </c>
      <c r="I42" s="248"/>
      <c r="J42" s="5"/>
      <c r="K42" s="5"/>
      <c r="L42" s="5"/>
      <c r="M42" s="5"/>
      <c r="N42" s="5"/>
      <c r="O42" s="5"/>
      <c r="Q42" s="5"/>
      <c r="R42" s="5"/>
      <c r="S42" s="42"/>
      <c r="T42" s="42"/>
      <c r="U42" s="42"/>
      <c r="V42" s="42"/>
      <c r="W42" s="288"/>
      <c r="X42" s="288"/>
      <c r="Y42" s="288"/>
      <c r="Z42" s="288"/>
      <c r="AA42" s="42"/>
    </row>
    <row r="43" spans="2:27">
      <c r="B43" s="5" t="s">
        <v>475</v>
      </c>
      <c r="C43" s="247"/>
      <c r="D43" s="529">
        <f>L26/D29</f>
        <v>-4.0444107540907019</v>
      </c>
      <c r="E43" s="529">
        <f>M26/E29</f>
        <v>-8.2914883622106998</v>
      </c>
      <c r="F43" s="529">
        <f>N26/F29</f>
        <v>-9.4269508044311987</v>
      </c>
      <c r="G43" s="529">
        <f>O26/G29</f>
        <v>-7.9792497084902738</v>
      </c>
      <c r="H43" s="17">
        <f t="shared" si="9"/>
        <v>-0.20268292162149759</v>
      </c>
      <c r="I43" s="247"/>
      <c r="J43" s="247"/>
      <c r="K43" s="247"/>
      <c r="L43" s="247"/>
      <c r="M43" s="247"/>
      <c r="N43" s="247"/>
      <c r="O43" s="18"/>
      <c r="Q43" s="5"/>
      <c r="R43" s="5"/>
      <c r="S43" s="42"/>
      <c r="T43" s="42"/>
      <c r="U43" s="42"/>
      <c r="V43" s="42"/>
      <c r="W43" s="288"/>
      <c r="X43" s="288"/>
      <c r="Y43" s="288"/>
      <c r="Z43" s="288"/>
      <c r="AA43" s="42"/>
    </row>
    <row r="44" spans="2:27">
      <c r="B44" s="5" t="s">
        <v>533</v>
      </c>
      <c r="C44" s="69"/>
      <c r="D44" s="529">
        <f>D11/D30</f>
        <v>-4.8957440039590665</v>
      </c>
      <c r="E44" s="529">
        <f>E11/E30</f>
        <v>-8.2877136895441677</v>
      </c>
      <c r="F44" s="529">
        <f>F11/F30</f>
        <v>-9.1217334469383147</v>
      </c>
      <c r="G44" s="529">
        <f>G11/G30</f>
        <v>-10.068207320602568</v>
      </c>
      <c r="H44" s="17">
        <f t="shared" si="9"/>
        <v>-0.2136386064632968</v>
      </c>
      <c r="I44" s="247"/>
      <c r="J44" s="248"/>
      <c r="K44" s="248"/>
      <c r="L44" s="248"/>
      <c r="M44" s="248"/>
      <c r="N44" s="248"/>
      <c r="O44" s="248"/>
      <c r="Q44" s="5"/>
      <c r="R44" s="5"/>
      <c r="S44" s="42"/>
      <c r="T44" s="42"/>
      <c r="U44" s="42"/>
      <c r="V44" s="42"/>
      <c r="W44" s="325"/>
      <c r="X44" s="325"/>
      <c r="Y44" s="288"/>
      <c r="Z44" s="288"/>
      <c r="AA44" s="42"/>
    </row>
    <row r="45" spans="2:27">
      <c r="B45" s="5" t="s">
        <v>580</v>
      </c>
      <c r="C45" s="247"/>
      <c r="D45" s="248">
        <f>D31/1/D11</f>
        <v>0</v>
      </c>
      <c r="E45" s="248">
        <f t="shared" ref="E45:G45" si="10">E31/1/E11</f>
        <v>0</v>
      </c>
      <c r="F45" s="248">
        <f t="shared" si="10"/>
        <v>0</v>
      </c>
      <c r="G45" s="248">
        <f t="shared" si="10"/>
        <v>0</v>
      </c>
      <c r="H45" s="17" t="str">
        <f t="shared" si="9"/>
        <v>nm</v>
      </c>
      <c r="I45" s="248"/>
      <c r="J45" s="247"/>
      <c r="K45" s="247"/>
      <c r="L45" s="247"/>
      <c r="M45" s="247"/>
      <c r="N45" s="247"/>
      <c r="O45" s="248"/>
      <c r="Q45" s="5"/>
      <c r="R45" s="5"/>
      <c r="S45" s="42"/>
      <c r="T45" s="42"/>
      <c r="U45" s="42"/>
      <c r="V45" s="42"/>
      <c r="W45" s="42"/>
      <c r="X45" s="42"/>
      <c r="Y45" s="325"/>
      <c r="Z45" s="325"/>
      <c r="AA45" s="42"/>
    </row>
    <row r="46" spans="2:27">
      <c r="B46" s="5" t="s">
        <v>605</v>
      </c>
      <c r="C46" s="247"/>
      <c r="D46" s="248">
        <f>(D31/1+D32)/D11</f>
        <v>0</v>
      </c>
      <c r="E46" s="248">
        <f t="shared" ref="E46:G46" si="11">(E31/1+E32)/E11</f>
        <v>0</v>
      </c>
      <c r="F46" s="248">
        <f t="shared" si="11"/>
        <v>0</v>
      </c>
      <c r="G46" s="248">
        <f t="shared" si="11"/>
        <v>-0.3327198474010904</v>
      </c>
      <c r="H46" s="279" t="e">
        <f>((G31+G32)/(D31+D32))^(1/3)-1</f>
        <v>#DIV/0!</v>
      </c>
      <c r="I46" s="247"/>
      <c r="J46" s="247"/>
      <c r="K46" s="247"/>
      <c r="L46" s="247"/>
      <c r="M46" s="247"/>
      <c r="N46" s="247"/>
      <c r="O46" s="18"/>
      <c r="Q46" s="5"/>
      <c r="R46" s="5"/>
      <c r="S46" s="42"/>
      <c r="T46" s="42"/>
      <c r="U46" s="42"/>
      <c r="V46" s="42"/>
      <c r="W46" s="42"/>
      <c r="X46" s="42"/>
      <c r="Y46" s="42"/>
      <c r="Z46" s="42"/>
      <c r="AA46" s="326"/>
    </row>
    <row r="47" spans="2:27">
      <c r="B47" s="5" t="s">
        <v>581</v>
      </c>
      <c r="C47" s="5"/>
      <c r="D47" s="248">
        <f>1/D43</f>
        <v>-0.2472548068933291</v>
      </c>
      <c r="E47" s="248">
        <f t="shared" ref="E47:G47" si="12">1/E43</f>
        <v>-0.12060560858501612</v>
      </c>
      <c r="F47" s="248">
        <f t="shared" si="12"/>
        <v>-0.10607883935598174</v>
      </c>
      <c r="G47" s="248">
        <f t="shared" si="12"/>
        <v>-0.12532506645780941</v>
      </c>
      <c r="H47" s="17">
        <f>H29</f>
        <v>-0.20268292162149759</v>
      </c>
      <c r="I47" s="17"/>
      <c r="J47" s="248"/>
      <c r="K47" s="248"/>
      <c r="L47" s="248"/>
      <c r="M47" s="248"/>
      <c r="N47" s="248"/>
      <c r="O47" s="248"/>
      <c r="Q47" s="5"/>
      <c r="R47" s="5"/>
      <c r="S47" s="42"/>
      <c r="T47" s="42"/>
      <c r="U47" s="42"/>
      <c r="V47" s="42"/>
      <c r="W47" s="42"/>
      <c r="X47" s="42"/>
      <c r="Y47" s="42"/>
      <c r="Z47" s="42"/>
      <c r="AA47" s="326"/>
    </row>
    <row r="48" spans="2:27">
      <c r="B48" s="5" t="s">
        <v>618</v>
      </c>
      <c r="C48" s="5"/>
      <c r="D48" s="305">
        <f>D31/1/D29</f>
        <v>0</v>
      </c>
      <c r="E48" s="305">
        <f t="shared" ref="E48:G48" si="13">E31/1/E29</f>
        <v>0</v>
      </c>
      <c r="F48" s="305">
        <f t="shared" si="13"/>
        <v>0</v>
      </c>
      <c r="G48" s="305">
        <f t="shared" si="13"/>
        <v>0</v>
      </c>
      <c r="H48" s="279" t="s">
        <v>607</v>
      </c>
      <c r="I48" s="247"/>
      <c r="J48" s="247"/>
      <c r="K48" s="247"/>
      <c r="L48" s="247"/>
      <c r="M48" s="247"/>
      <c r="N48" s="247"/>
      <c r="O48" s="248"/>
      <c r="Q48" s="5"/>
      <c r="R48" s="5"/>
      <c r="S48" s="42"/>
      <c r="T48" s="42"/>
      <c r="U48" s="42"/>
      <c r="V48" s="42"/>
      <c r="W48" s="42"/>
      <c r="X48" s="42"/>
      <c r="Y48" s="42"/>
      <c r="Z48" s="42"/>
      <c r="AA48" s="326"/>
    </row>
    <row r="49" spans="2:27">
      <c r="B49" s="41"/>
      <c r="C49" s="17"/>
      <c r="D49" s="17"/>
      <c r="E49" s="17"/>
      <c r="F49" s="17"/>
      <c r="G49" s="17"/>
      <c r="H49" s="17"/>
      <c r="I49" s="254"/>
      <c r="J49" s="17"/>
      <c r="K49" s="17"/>
      <c r="L49" s="17"/>
      <c r="M49" s="17"/>
      <c r="N49" s="17"/>
      <c r="O49" s="248"/>
      <c r="Q49" s="5"/>
      <c r="R49" s="5"/>
      <c r="S49" s="42"/>
      <c r="T49" s="42"/>
      <c r="U49" s="42"/>
      <c r="V49" s="42"/>
      <c r="W49" s="42"/>
      <c r="X49" s="42"/>
      <c r="Y49" s="42"/>
      <c r="Z49" s="42"/>
      <c r="AA49" s="326"/>
    </row>
    <row r="50" spans="2:27">
      <c r="B50" s="5"/>
      <c r="C50" s="257"/>
      <c r="D50" s="257"/>
      <c r="E50" s="257"/>
      <c r="F50" s="5"/>
      <c r="G50" s="41"/>
      <c r="H50" s="249"/>
      <c r="I50" s="17"/>
      <c r="J50" s="249"/>
      <c r="K50" s="249"/>
      <c r="L50" s="249"/>
      <c r="M50" s="249"/>
      <c r="N50" s="249"/>
      <c r="O50" s="250"/>
      <c r="Q50" s="5"/>
      <c r="R50" s="5"/>
      <c r="S50" s="42"/>
      <c r="T50" s="42"/>
      <c r="U50" s="42"/>
      <c r="V50" s="42"/>
      <c r="W50" s="288"/>
      <c r="X50" s="288"/>
      <c r="Y50" s="42"/>
      <c r="Z50" s="42"/>
      <c r="AA50" s="326"/>
    </row>
    <row r="51" spans="2:27">
      <c r="B51" s="41"/>
      <c r="C51" s="249"/>
      <c r="D51" s="254"/>
      <c r="E51" s="254"/>
      <c r="F51" s="254"/>
      <c r="G51" s="254"/>
      <c r="H51" s="254"/>
      <c r="I51" s="259"/>
      <c r="J51" s="254"/>
      <c r="K51" s="254"/>
      <c r="L51" s="254"/>
      <c r="M51" s="254"/>
      <c r="N51" s="254"/>
      <c r="O51" s="251"/>
      <c r="Q51" s="5"/>
      <c r="R51" s="5"/>
      <c r="S51" s="42"/>
      <c r="T51" s="42"/>
      <c r="U51" s="42"/>
      <c r="V51" s="42"/>
      <c r="W51" s="288"/>
      <c r="X51" s="288"/>
      <c r="Y51" s="288"/>
      <c r="Z51" s="288"/>
      <c r="AA51" s="42"/>
    </row>
    <row r="52" spans="2:27">
      <c r="B52" s="5"/>
      <c r="C52" s="257"/>
      <c r="D52" s="17">
        <f>D31/1000</f>
        <v>0</v>
      </c>
      <c r="E52" s="17">
        <f t="shared" ref="E52:G52" si="14">E31/1000</f>
        <v>0</v>
      </c>
      <c r="F52" s="17">
        <f t="shared" si="14"/>
        <v>0</v>
      </c>
      <c r="G52" s="17">
        <f t="shared" si="14"/>
        <v>0</v>
      </c>
      <c r="H52" s="17"/>
      <c r="I52" s="254"/>
      <c r="J52" s="17"/>
      <c r="K52" s="17"/>
      <c r="L52" s="17"/>
      <c r="M52" s="17"/>
      <c r="N52" s="17"/>
      <c r="O52" s="248"/>
      <c r="Q52" s="5"/>
      <c r="R52" s="5"/>
      <c r="S52" s="5"/>
      <c r="Y52" s="10"/>
      <c r="Z52" s="10"/>
    </row>
    <row r="53" spans="2:27">
      <c r="B53" s="5"/>
      <c r="C53" s="257"/>
      <c r="D53" s="257"/>
      <c r="E53" s="257"/>
      <c r="F53" s="5"/>
      <c r="G53" s="5"/>
      <c r="H53" s="259"/>
      <c r="I53" s="17"/>
      <c r="J53" s="259"/>
      <c r="K53" s="259"/>
      <c r="L53" s="259"/>
      <c r="M53" s="259"/>
      <c r="N53" s="259"/>
      <c r="O53" s="18"/>
      <c r="Q53" s="5"/>
      <c r="R53" s="5"/>
      <c r="S53" s="5"/>
    </row>
    <row r="54" spans="2:27">
      <c r="B54" s="41"/>
      <c r="C54" s="249"/>
      <c r="D54" s="254"/>
      <c r="E54" s="254"/>
      <c r="F54" s="254"/>
      <c r="G54" s="254"/>
      <c r="H54" s="254"/>
      <c r="I54" s="259"/>
      <c r="J54" s="254"/>
      <c r="K54" s="254"/>
      <c r="L54" s="254"/>
      <c r="M54" s="254"/>
      <c r="N54" s="254"/>
      <c r="O54" s="251"/>
      <c r="Q54" s="5"/>
      <c r="R54" s="5"/>
      <c r="S54" s="5"/>
    </row>
    <row r="55" spans="2:27">
      <c r="B55" s="5"/>
      <c r="C55" s="257"/>
      <c r="D55" s="17"/>
      <c r="E55" s="17"/>
      <c r="F55" s="17"/>
      <c r="G55" s="17"/>
      <c r="H55" s="17"/>
      <c r="I55" s="249"/>
      <c r="J55" s="17"/>
      <c r="K55" s="17"/>
      <c r="L55" s="17"/>
      <c r="M55" s="17"/>
      <c r="N55" s="17"/>
      <c r="O55" s="18"/>
      <c r="Q55" s="5"/>
      <c r="R55" s="5"/>
      <c r="S55" s="5"/>
    </row>
    <row r="56" spans="2:27">
      <c r="B56" s="5"/>
      <c r="C56" s="248"/>
      <c r="D56" s="248"/>
      <c r="E56" s="248"/>
      <c r="F56" s="5"/>
      <c r="G56" s="5"/>
      <c r="H56" s="259"/>
      <c r="I56" s="248"/>
      <c r="J56" s="259"/>
      <c r="K56" s="259"/>
      <c r="L56" s="259"/>
      <c r="M56" s="259"/>
      <c r="N56" s="259"/>
      <c r="O56" s="18"/>
      <c r="Q56" s="5"/>
      <c r="R56" s="5"/>
      <c r="S56" s="5"/>
    </row>
    <row r="57" spans="2:27">
      <c r="B57" s="41"/>
      <c r="C57" s="249"/>
      <c r="D57" s="249"/>
      <c r="E57" s="249"/>
      <c r="F57" s="249"/>
      <c r="G57" s="249"/>
      <c r="H57" s="249"/>
      <c r="I57" s="5"/>
      <c r="J57" s="249"/>
      <c r="K57" s="249"/>
      <c r="L57" s="249"/>
      <c r="M57" s="249"/>
      <c r="N57" s="249"/>
      <c r="O57" s="251"/>
      <c r="Q57" s="5"/>
      <c r="R57" s="5"/>
      <c r="S57" s="5"/>
    </row>
    <row r="58" spans="2:27">
      <c r="B58" s="5"/>
      <c r="C58" s="5"/>
      <c r="D58" s="248"/>
      <c r="E58" s="248"/>
      <c r="F58" s="248"/>
      <c r="G58" s="248"/>
      <c r="H58" s="248"/>
      <c r="I58" s="17"/>
      <c r="J58" s="248"/>
      <c r="K58" s="248"/>
      <c r="L58" s="248"/>
      <c r="M58" s="248"/>
      <c r="N58" s="248"/>
      <c r="O58" s="18"/>
      <c r="Q58" s="5"/>
      <c r="R58" s="5"/>
      <c r="S58" s="5"/>
    </row>
    <row r="59" spans="2:27">
      <c r="B59" s="5"/>
      <c r="C59" s="5"/>
      <c r="D59" s="5"/>
      <c r="E59" s="5"/>
      <c r="F59" s="5"/>
      <c r="G59" s="5"/>
      <c r="H59" s="5"/>
      <c r="I59" s="5"/>
      <c r="J59" s="5"/>
      <c r="K59" s="5"/>
      <c r="L59" s="5"/>
      <c r="M59" s="5"/>
      <c r="N59" s="5"/>
      <c r="O59" s="5"/>
      <c r="Q59" s="5"/>
      <c r="R59" s="5"/>
      <c r="S59" s="5"/>
    </row>
    <row r="60" spans="2:27">
      <c r="B60" s="41"/>
      <c r="C60" s="17"/>
      <c r="D60" s="17"/>
      <c r="E60" s="17"/>
      <c r="F60" s="17"/>
      <c r="G60" s="17"/>
      <c r="H60" s="17"/>
      <c r="I60" s="249"/>
      <c r="J60" s="17"/>
      <c r="K60" s="17"/>
      <c r="L60" s="17"/>
      <c r="M60" s="17"/>
      <c r="N60" s="17"/>
      <c r="O60" s="251"/>
      <c r="Q60" s="5"/>
      <c r="R60" s="5"/>
      <c r="S60" s="5"/>
    </row>
    <row r="61" spans="2:27">
      <c r="B61" s="5"/>
      <c r="C61" s="5"/>
      <c r="D61" s="5"/>
      <c r="E61" s="5"/>
      <c r="F61" s="5"/>
      <c r="G61" s="5"/>
      <c r="H61" s="5"/>
      <c r="I61" s="5"/>
      <c r="J61" s="5"/>
      <c r="K61" s="5"/>
      <c r="L61" s="5"/>
      <c r="M61" s="5"/>
      <c r="N61" s="5"/>
      <c r="O61" s="5"/>
      <c r="Q61" s="41"/>
      <c r="R61" s="5"/>
      <c r="S61" s="5"/>
    </row>
    <row r="62" spans="2:27">
      <c r="B62" s="41"/>
      <c r="C62" s="249"/>
      <c r="D62" s="249"/>
      <c r="E62" s="249"/>
      <c r="F62" s="249"/>
      <c r="G62" s="249"/>
      <c r="H62" s="249"/>
      <c r="I62" s="5"/>
      <c r="J62" s="249"/>
      <c r="K62" s="249"/>
      <c r="L62" s="249"/>
      <c r="M62" s="249"/>
      <c r="N62" s="249"/>
      <c r="O62" s="251"/>
      <c r="Q62" s="5"/>
      <c r="R62" s="5"/>
      <c r="S62" s="5"/>
    </row>
    <row r="63" spans="2:27">
      <c r="B63" s="5"/>
      <c r="C63" s="5"/>
      <c r="D63" s="5"/>
      <c r="E63" s="5"/>
      <c r="F63" s="5"/>
      <c r="G63" s="5"/>
      <c r="H63" s="5"/>
      <c r="I63" s="254"/>
      <c r="J63" s="5"/>
      <c r="K63" s="5"/>
      <c r="L63" s="5"/>
      <c r="M63" s="5"/>
      <c r="N63" s="5"/>
      <c r="O63" s="5"/>
      <c r="Q63" s="5"/>
      <c r="R63" s="5"/>
      <c r="S63" s="5"/>
    </row>
    <row r="64" spans="2:27">
      <c r="B64" s="5"/>
      <c r="C64" s="5"/>
      <c r="D64" s="5"/>
      <c r="E64" s="5"/>
      <c r="F64" s="5"/>
      <c r="G64" s="5"/>
      <c r="H64" s="5"/>
      <c r="I64" s="17"/>
      <c r="J64" s="5"/>
      <c r="K64" s="5"/>
      <c r="L64" s="5"/>
      <c r="M64" s="5"/>
      <c r="N64" s="5"/>
      <c r="O64" s="5"/>
      <c r="Q64" s="5"/>
      <c r="R64" s="5"/>
      <c r="S64" s="5"/>
    </row>
    <row r="65" spans="2:26">
      <c r="B65" s="41"/>
      <c r="C65" s="249"/>
      <c r="D65" s="254"/>
      <c r="E65" s="254"/>
      <c r="F65" s="254"/>
      <c r="G65" s="254"/>
      <c r="H65" s="254"/>
      <c r="I65" s="254"/>
      <c r="J65" s="254"/>
      <c r="K65" s="254"/>
      <c r="L65" s="254"/>
      <c r="M65" s="254"/>
      <c r="N65" s="254"/>
      <c r="O65" s="251"/>
      <c r="Q65" s="5"/>
      <c r="R65" s="5"/>
      <c r="S65" s="5"/>
    </row>
    <row r="66" spans="2:26">
      <c r="B66" s="5"/>
      <c r="C66" s="5"/>
      <c r="D66" s="17"/>
      <c r="E66" s="17"/>
      <c r="F66" s="17"/>
      <c r="G66" s="17"/>
      <c r="H66" s="17"/>
      <c r="I66" s="248"/>
      <c r="J66" s="17"/>
      <c r="K66" s="17"/>
      <c r="L66" s="17"/>
      <c r="M66" s="17"/>
      <c r="N66" s="17"/>
      <c r="O66" s="5"/>
      <c r="Q66" s="5"/>
      <c r="R66" s="5"/>
      <c r="S66" s="5"/>
    </row>
    <row r="67" spans="2:26">
      <c r="B67" s="41"/>
      <c r="C67" s="249"/>
      <c r="D67" s="254"/>
      <c r="E67" s="254"/>
      <c r="F67" s="254"/>
      <c r="G67" s="254"/>
      <c r="H67" s="254"/>
      <c r="I67" s="5"/>
      <c r="J67" s="254"/>
      <c r="K67" s="254"/>
      <c r="L67" s="254"/>
      <c r="M67" s="254"/>
      <c r="N67" s="254"/>
      <c r="O67" s="251"/>
      <c r="Q67" s="41"/>
      <c r="R67" s="5"/>
      <c r="S67" s="5"/>
    </row>
    <row r="68" spans="2:26">
      <c r="B68" s="5"/>
      <c r="C68" s="5"/>
      <c r="D68" s="248"/>
      <c r="E68" s="248"/>
      <c r="F68" s="248"/>
      <c r="G68" s="248"/>
      <c r="H68" s="248"/>
      <c r="I68" s="245"/>
      <c r="J68" s="248"/>
      <c r="K68" s="248"/>
      <c r="L68" s="248"/>
      <c r="M68" s="248"/>
      <c r="N68" s="248"/>
      <c r="O68" s="5"/>
      <c r="Q68" s="5"/>
      <c r="R68" s="5"/>
      <c r="S68" s="5"/>
    </row>
    <row r="69" spans="2:26">
      <c r="B69" s="41"/>
      <c r="C69" s="5"/>
      <c r="D69" s="5"/>
      <c r="E69" s="5"/>
      <c r="F69" s="5"/>
      <c r="G69" s="5"/>
      <c r="H69" s="5"/>
      <c r="I69" s="248"/>
      <c r="J69" s="5"/>
      <c r="K69" s="5"/>
      <c r="L69" s="5"/>
      <c r="M69" s="5"/>
      <c r="N69" s="5"/>
      <c r="O69" s="5"/>
      <c r="Q69" s="5"/>
      <c r="R69" s="5"/>
      <c r="S69" s="5"/>
    </row>
    <row r="70" spans="2:26">
      <c r="B70" s="41"/>
      <c r="C70" s="245"/>
      <c r="D70" s="245"/>
      <c r="E70" s="245"/>
      <c r="F70" s="245"/>
      <c r="G70" s="245"/>
      <c r="H70" s="245"/>
      <c r="I70" s="5"/>
      <c r="J70" s="245"/>
      <c r="K70" s="245"/>
      <c r="L70" s="245"/>
      <c r="M70" s="245"/>
      <c r="N70" s="245"/>
      <c r="O70" s="251"/>
      <c r="Q70" s="5"/>
      <c r="R70" s="5"/>
      <c r="S70" s="5"/>
      <c r="W70" s="76"/>
      <c r="X70" s="76"/>
    </row>
    <row r="71" spans="2:26">
      <c r="B71" s="5"/>
      <c r="C71" s="5"/>
      <c r="D71" s="248"/>
      <c r="E71" s="248"/>
      <c r="F71" s="248"/>
      <c r="G71" s="248"/>
      <c r="H71" s="248"/>
      <c r="I71" s="245"/>
      <c r="J71" s="248"/>
      <c r="K71" s="248"/>
      <c r="L71" s="248"/>
      <c r="M71" s="248"/>
      <c r="N71" s="248"/>
      <c r="O71" s="5"/>
      <c r="Q71" s="5"/>
      <c r="R71" s="5"/>
      <c r="S71" s="5"/>
      <c r="W71" s="76"/>
      <c r="X71" s="76"/>
      <c r="Y71" s="76"/>
      <c r="Z71" s="76"/>
    </row>
    <row r="72" spans="2:26">
      <c r="B72" s="41"/>
      <c r="C72" s="5"/>
      <c r="D72" s="5"/>
      <c r="E72" s="5"/>
      <c r="F72" s="5"/>
      <c r="G72" s="5"/>
      <c r="H72" s="5"/>
      <c r="I72" s="18"/>
      <c r="J72" s="5"/>
      <c r="K72" s="5"/>
      <c r="L72" s="5"/>
      <c r="M72" s="5"/>
      <c r="N72" s="5"/>
      <c r="O72" s="5"/>
      <c r="Q72" s="5"/>
      <c r="R72" s="5"/>
      <c r="S72" s="5"/>
      <c r="Y72" s="76"/>
      <c r="Z72" s="76"/>
    </row>
    <row r="73" spans="2:26">
      <c r="B73" s="41"/>
      <c r="C73" s="245"/>
      <c r="D73" s="245"/>
      <c r="E73" s="245"/>
      <c r="F73" s="245"/>
      <c r="G73" s="245"/>
      <c r="H73" s="245"/>
      <c r="I73" s="5"/>
      <c r="J73" s="245"/>
      <c r="K73" s="245"/>
      <c r="L73" s="245"/>
      <c r="M73" s="245"/>
      <c r="N73" s="245"/>
      <c r="O73" s="251"/>
      <c r="Q73" s="5"/>
      <c r="R73" s="5"/>
      <c r="S73" s="5"/>
    </row>
    <row r="74" spans="2:26">
      <c r="B74" s="5"/>
      <c r="C74" s="5"/>
      <c r="D74" s="18"/>
      <c r="E74" s="18"/>
      <c r="F74" s="18"/>
      <c r="G74" s="18"/>
      <c r="H74" s="18"/>
      <c r="I74" s="249"/>
      <c r="J74" s="18"/>
      <c r="K74" s="18"/>
      <c r="L74" s="18"/>
      <c r="M74" s="18"/>
      <c r="N74" s="18"/>
      <c r="O74" s="5"/>
      <c r="Q74" s="5"/>
      <c r="R74" s="5"/>
      <c r="S74" s="5"/>
    </row>
    <row r="75" spans="2:26">
      <c r="B75" s="41"/>
      <c r="C75" s="5"/>
      <c r="D75" s="5"/>
      <c r="E75" s="5"/>
      <c r="F75" s="5"/>
      <c r="G75" s="5"/>
      <c r="H75" s="5"/>
      <c r="I75" s="248"/>
      <c r="J75" s="5"/>
      <c r="K75" s="5"/>
      <c r="L75" s="5"/>
      <c r="M75" s="5"/>
      <c r="N75" s="5"/>
      <c r="O75" s="5"/>
      <c r="Q75" s="5"/>
      <c r="R75" s="5"/>
      <c r="S75" s="5"/>
    </row>
    <row r="76" spans="2:26">
      <c r="B76" s="41"/>
      <c r="C76" s="249"/>
      <c r="D76" s="249"/>
      <c r="E76" s="249"/>
      <c r="F76" s="249"/>
      <c r="G76" s="249"/>
      <c r="H76" s="249"/>
      <c r="I76" s="5"/>
      <c r="J76" s="249"/>
      <c r="K76" s="249"/>
      <c r="L76" s="249"/>
      <c r="M76" s="249"/>
      <c r="N76" s="249"/>
      <c r="O76" s="251"/>
      <c r="Q76" s="5"/>
      <c r="R76" s="5"/>
      <c r="S76" s="5"/>
    </row>
    <row r="77" spans="2:26">
      <c r="B77" s="5"/>
      <c r="C77" s="5"/>
      <c r="D77" s="248"/>
      <c r="E77" s="248"/>
      <c r="F77" s="248"/>
      <c r="G77" s="248"/>
      <c r="H77" s="248"/>
      <c r="I77" s="245"/>
      <c r="J77" s="248"/>
      <c r="K77" s="248"/>
      <c r="L77" s="248"/>
      <c r="M77" s="248"/>
      <c r="N77" s="248"/>
      <c r="O77" s="5"/>
      <c r="Q77" s="5"/>
      <c r="R77" s="5"/>
      <c r="S77" s="5"/>
    </row>
    <row r="78" spans="2:26">
      <c r="B78" s="41"/>
      <c r="C78" s="5"/>
      <c r="D78" s="5"/>
      <c r="E78" s="5"/>
      <c r="F78" s="5"/>
      <c r="G78" s="5"/>
      <c r="H78" s="5"/>
      <c r="I78" s="248"/>
      <c r="J78" s="5"/>
      <c r="K78" s="5"/>
      <c r="L78" s="5"/>
      <c r="M78" s="5"/>
      <c r="N78" s="5"/>
      <c r="O78" s="5"/>
      <c r="Q78" s="5"/>
      <c r="R78" s="5"/>
      <c r="S78" s="5"/>
    </row>
    <row r="79" spans="2:26">
      <c r="B79" s="41"/>
      <c r="C79" s="245"/>
      <c r="D79" s="245"/>
      <c r="E79" s="245"/>
      <c r="F79" s="245"/>
      <c r="G79" s="245"/>
      <c r="H79" s="245"/>
      <c r="I79" s="5"/>
      <c r="J79" s="245"/>
      <c r="K79" s="245"/>
      <c r="L79" s="245"/>
      <c r="M79" s="245"/>
      <c r="N79" s="245"/>
      <c r="O79" s="251"/>
      <c r="Q79" s="5"/>
      <c r="R79" s="5"/>
      <c r="S79" s="5"/>
    </row>
    <row r="80" spans="2:26">
      <c r="B80" s="5"/>
      <c r="C80" s="5"/>
      <c r="D80" s="248"/>
      <c r="E80" s="248"/>
      <c r="F80" s="248"/>
      <c r="G80" s="248"/>
      <c r="H80" s="248"/>
      <c r="I80" s="249"/>
      <c r="J80" s="248"/>
      <c r="K80" s="248"/>
      <c r="L80" s="248"/>
      <c r="M80" s="248"/>
      <c r="N80" s="248"/>
      <c r="O80" s="5"/>
      <c r="Q80" s="5"/>
      <c r="R80" s="5"/>
      <c r="S80" s="5"/>
    </row>
    <row r="81" spans="2:26">
      <c r="B81" s="41"/>
      <c r="C81" s="5"/>
      <c r="D81" s="5"/>
      <c r="E81" s="5"/>
      <c r="F81" s="5"/>
      <c r="G81" s="5"/>
      <c r="H81" s="5"/>
      <c r="I81" s="248"/>
      <c r="J81" s="5"/>
      <c r="K81" s="5"/>
      <c r="L81" s="5"/>
      <c r="M81" s="5"/>
      <c r="N81" s="5"/>
      <c r="O81" s="5"/>
      <c r="Q81" s="5"/>
      <c r="R81" s="5"/>
      <c r="S81" s="5"/>
    </row>
    <row r="82" spans="2:26">
      <c r="B82" s="41"/>
      <c r="C82" s="249"/>
      <c r="D82" s="249"/>
      <c r="E82" s="249"/>
      <c r="F82" s="249"/>
      <c r="G82" s="249"/>
      <c r="H82" s="249"/>
      <c r="I82" s="259"/>
      <c r="J82" s="249"/>
      <c r="K82" s="249"/>
      <c r="L82" s="249"/>
      <c r="M82" s="249"/>
      <c r="N82" s="249"/>
      <c r="O82" s="251"/>
      <c r="Q82" s="5"/>
      <c r="R82" s="5"/>
      <c r="S82" s="5"/>
    </row>
    <row r="83" spans="2:26">
      <c r="B83" s="5"/>
      <c r="C83" s="5"/>
      <c r="D83" s="248"/>
      <c r="E83" s="248"/>
      <c r="F83" s="248"/>
      <c r="G83" s="248"/>
      <c r="H83" s="248"/>
      <c r="I83" s="5"/>
      <c r="J83" s="248"/>
      <c r="K83" s="248"/>
      <c r="L83" s="248"/>
      <c r="M83" s="248"/>
      <c r="N83" s="248"/>
      <c r="O83" s="5"/>
      <c r="Q83" s="5"/>
      <c r="R83" s="5"/>
      <c r="S83" s="5"/>
    </row>
    <row r="84" spans="2:26">
      <c r="B84" s="5"/>
      <c r="C84" s="259"/>
      <c r="D84" s="259"/>
      <c r="E84" s="259"/>
      <c r="F84" s="259"/>
      <c r="G84" s="259"/>
      <c r="H84" s="259"/>
      <c r="I84" s="245"/>
      <c r="J84" s="259"/>
      <c r="K84" s="259"/>
      <c r="L84" s="259"/>
      <c r="M84" s="259"/>
      <c r="N84" s="259"/>
      <c r="O84" s="251"/>
      <c r="Q84" s="5"/>
      <c r="R84" s="5"/>
      <c r="S84" s="5"/>
    </row>
    <row r="85" spans="2:26">
      <c r="B85" s="41"/>
      <c r="C85" s="5"/>
      <c r="D85" s="5"/>
      <c r="E85" s="5"/>
      <c r="F85" s="5"/>
      <c r="G85" s="5"/>
      <c r="H85" s="5"/>
      <c r="I85" s="248"/>
      <c r="J85" s="5"/>
      <c r="K85" s="5"/>
      <c r="L85" s="5"/>
      <c r="M85" s="5"/>
      <c r="N85" s="5"/>
      <c r="O85" s="5"/>
      <c r="Q85" s="5"/>
      <c r="R85" s="5"/>
      <c r="S85" s="5"/>
    </row>
    <row r="86" spans="2:26">
      <c r="B86" s="41"/>
      <c r="C86" s="245"/>
      <c r="D86" s="245"/>
      <c r="E86" s="245"/>
      <c r="F86" s="245"/>
      <c r="G86" s="245"/>
      <c r="H86" s="245"/>
      <c r="I86" s="5"/>
      <c r="J86" s="245"/>
      <c r="K86" s="245"/>
      <c r="L86" s="245"/>
      <c r="M86" s="245"/>
      <c r="N86" s="245"/>
      <c r="O86" s="251"/>
      <c r="Q86" s="5"/>
      <c r="R86" s="5"/>
      <c r="S86" s="5"/>
    </row>
    <row r="87" spans="2:26">
      <c r="B87" s="5"/>
      <c r="C87" s="5"/>
      <c r="D87" s="248"/>
      <c r="E87" s="248"/>
      <c r="F87" s="248"/>
      <c r="G87" s="248"/>
      <c r="H87" s="248"/>
      <c r="I87" s="5"/>
      <c r="J87" s="248"/>
      <c r="K87" s="248"/>
      <c r="L87" s="248"/>
      <c r="M87" s="248"/>
      <c r="N87" s="248"/>
      <c r="O87" s="5"/>
      <c r="Q87" s="5"/>
      <c r="R87" s="5"/>
      <c r="S87" s="5"/>
    </row>
    <row r="88" spans="2:26">
      <c r="B88" s="41"/>
      <c r="C88" s="5"/>
      <c r="D88" s="5"/>
      <c r="E88" s="5"/>
      <c r="F88" s="5"/>
      <c r="G88" s="5"/>
      <c r="H88" s="5"/>
      <c r="I88" s="5"/>
      <c r="J88" s="5"/>
      <c r="K88" s="5"/>
      <c r="L88" s="5"/>
      <c r="M88" s="5"/>
      <c r="N88" s="5"/>
      <c r="O88" s="5"/>
      <c r="Q88" s="5"/>
      <c r="R88" s="5"/>
      <c r="S88" s="5"/>
    </row>
    <row r="89" spans="2:26">
      <c r="B89" s="41"/>
      <c r="C89" s="5"/>
      <c r="D89" s="5"/>
      <c r="E89" s="5"/>
      <c r="F89" s="5"/>
      <c r="G89" s="5"/>
      <c r="H89" s="5"/>
      <c r="I89" s="5"/>
      <c r="J89" s="5"/>
      <c r="K89" s="5"/>
      <c r="L89" s="5"/>
      <c r="M89" s="5"/>
      <c r="N89" s="5"/>
      <c r="O89" s="5"/>
      <c r="Q89" s="5"/>
      <c r="R89" s="5"/>
      <c r="S89" s="5"/>
    </row>
    <row r="90" spans="2:26">
      <c r="B90" s="41"/>
      <c r="C90" s="5"/>
      <c r="D90" s="5"/>
      <c r="E90" s="5"/>
      <c r="F90" s="5"/>
      <c r="G90" s="5"/>
      <c r="H90" s="5"/>
      <c r="I90" s="49"/>
      <c r="J90" s="5"/>
      <c r="K90" s="5"/>
      <c r="L90" s="5"/>
      <c r="M90" s="5"/>
      <c r="N90" s="5"/>
      <c r="O90" s="5"/>
      <c r="Q90" s="41"/>
      <c r="R90" s="5"/>
      <c r="S90" s="5"/>
    </row>
    <row r="91" spans="2:26">
      <c r="B91" s="5"/>
      <c r="C91" s="5"/>
      <c r="D91" s="5"/>
      <c r="E91" s="5"/>
      <c r="F91" s="5"/>
      <c r="G91" s="5"/>
      <c r="H91" s="5"/>
      <c r="I91" s="5"/>
      <c r="J91" s="5"/>
      <c r="K91" s="5"/>
      <c r="L91" s="5"/>
      <c r="M91" s="5"/>
      <c r="N91" s="5"/>
      <c r="O91" s="5"/>
      <c r="Q91" s="5"/>
      <c r="R91" s="5"/>
      <c r="S91" s="5"/>
    </row>
    <row r="92" spans="2:26">
      <c r="B92" s="41"/>
      <c r="C92" s="49"/>
      <c r="D92" s="49"/>
      <c r="E92" s="49"/>
      <c r="F92" s="49"/>
      <c r="G92" s="49"/>
      <c r="H92" s="49"/>
      <c r="I92" s="247"/>
      <c r="J92" s="49"/>
      <c r="K92" s="49"/>
      <c r="L92" s="49"/>
      <c r="M92" s="49"/>
      <c r="N92" s="49"/>
      <c r="O92" s="49"/>
      <c r="Q92" s="5"/>
      <c r="R92" s="5"/>
      <c r="S92" s="5"/>
      <c r="W92" s="21"/>
      <c r="X92" s="21"/>
    </row>
    <row r="93" spans="2:26">
      <c r="B93" s="5"/>
      <c r="C93" s="5"/>
      <c r="D93" s="5"/>
      <c r="E93" s="5"/>
      <c r="F93" s="5"/>
      <c r="G93" s="5"/>
      <c r="H93" s="5"/>
      <c r="I93" s="247"/>
      <c r="J93" s="5"/>
      <c r="K93" s="5"/>
      <c r="L93" s="5"/>
      <c r="M93" s="5"/>
      <c r="N93" s="5"/>
      <c r="O93" s="5"/>
      <c r="Q93" s="5"/>
      <c r="R93" s="5"/>
      <c r="S93" s="5"/>
      <c r="W93" s="21"/>
      <c r="X93" s="21"/>
      <c r="Y93" s="21"/>
      <c r="Z93" s="21"/>
    </row>
    <row r="94" spans="2:26">
      <c r="B94" s="5"/>
      <c r="C94" s="259"/>
      <c r="D94" s="247"/>
      <c r="E94" s="247"/>
      <c r="F94" s="247"/>
      <c r="G94" s="247"/>
      <c r="H94" s="247"/>
      <c r="I94" s="247"/>
      <c r="J94" s="247"/>
      <c r="K94" s="247"/>
      <c r="L94" s="247"/>
      <c r="M94" s="247"/>
      <c r="N94" s="247"/>
      <c r="O94" s="248"/>
      <c r="Q94" s="5"/>
      <c r="R94" s="5"/>
      <c r="S94" s="5"/>
      <c r="Y94" s="21"/>
      <c r="Z94" s="21"/>
    </row>
    <row r="95" spans="2:26">
      <c r="B95" s="5"/>
      <c r="C95" s="259"/>
      <c r="D95" s="247"/>
      <c r="E95" s="247"/>
      <c r="F95" s="247"/>
      <c r="G95" s="247"/>
      <c r="H95" s="247"/>
      <c r="I95" s="248"/>
      <c r="J95" s="247"/>
      <c r="K95" s="247"/>
      <c r="L95" s="247"/>
      <c r="M95" s="247"/>
      <c r="N95" s="247"/>
      <c r="O95" s="248"/>
      <c r="Q95" s="5"/>
      <c r="R95" s="5"/>
      <c r="S95" s="5"/>
    </row>
    <row r="96" spans="2:26">
      <c r="B96" s="5"/>
      <c r="C96" s="259"/>
      <c r="D96" s="247"/>
      <c r="E96" s="247"/>
      <c r="F96" s="247"/>
      <c r="G96" s="247"/>
      <c r="H96" s="247"/>
      <c r="I96" s="247"/>
      <c r="J96" s="247"/>
      <c r="K96" s="247"/>
      <c r="L96" s="247"/>
      <c r="M96" s="247"/>
      <c r="N96" s="247"/>
      <c r="O96" s="248"/>
      <c r="Q96" s="5"/>
      <c r="R96" s="5"/>
      <c r="S96" s="5"/>
    </row>
    <row r="97" spans="2:19">
      <c r="B97" s="5"/>
      <c r="C97" s="259"/>
      <c r="D97" s="248"/>
      <c r="E97" s="248"/>
      <c r="F97" s="248"/>
      <c r="G97" s="248"/>
      <c r="H97" s="248"/>
      <c r="I97" s="249"/>
      <c r="J97" s="248"/>
      <c r="K97" s="248"/>
      <c r="L97" s="248"/>
      <c r="M97" s="248"/>
      <c r="N97" s="248"/>
      <c r="O97" s="248"/>
      <c r="Q97" s="5"/>
      <c r="R97" s="5"/>
      <c r="S97" s="5"/>
    </row>
    <row r="98" spans="2:19">
      <c r="B98" s="5"/>
      <c r="C98" s="259"/>
      <c r="D98" s="247"/>
      <c r="E98" s="247"/>
      <c r="F98" s="247"/>
      <c r="G98" s="247"/>
      <c r="H98" s="247"/>
      <c r="I98" s="248"/>
      <c r="J98" s="247"/>
      <c r="K98" s="247"/>
      <c r="L98" s="247"/>
      <c r="M98" s="247"/>
      <c r="N98" s="247"/>
      <c r="O98" s="248"/>
      <c r="Q98" s="5"/>
      <c r="R98" s="5"/>
      <c r="S98" s="5"/>
    </row>
    <row r="99" spans="2:19">
      <c r="B99" s="41"/>
      <c r="C99" s="249"/>
      <c r="D99" s="249"/>
      <c r="E99" s="249"/>
      <c r="F99" s="249"/>
      <c r="G99" s="249"/>
      <c r="H99" s="249"/>
      <c r="I99" s="5"/>
      <c r="J99" s="249"/>
      <c r="K99" s="249"/>
      <c r="L99" s="249"/>
      <c r="M99" s="249"/>
      <c r="N99" s="249"/>
      <c r="O99" s="248"/>
      <c r="Q99" s="5"/>
      <c r="R99" s="5"/>
      <c r="S99" s="5"/>
    </row>
    <row r="100" spans="2:19">
      <c r="B100" s="41"/>
      <c r="C100" s="257"/>
      <c r="D100" s="248"/>
      <c r="E100" s="248"/>
      <c r="F100" s="248"/>
      <c r="G100" s="248"/>
      <c r="H100" s="248"/>
      <c r="I100" s="259"/>
      <c r="J100" s="248"/>
      <c r="K100" s="248"/>
      <c r="L100" s="248"/>
      <c r="M100" s="248"/>
      <c r="N100" s="248"/>
      <c r="O100" s="248"/>
      <c r="Q100" s="5"/>
      <c r="R100" s="5"/>
      <c r="S100" s="5"/>
    </row>
    <row r="101" spans="2:19" s="5" customFormat="1">
      <c r="B101" s="41"/>
      <c r="I101" s="259"/>
      <c r="O101" s="248"/>
      <c r="P101" s="39"/>
    </row>
    <row r="102" spans="2:19">
      <c r="B102" s="5"/>
      <c r="C102" s="259"/>
      <c r="D102" s="259"/>
      <c r="E102" s="259"/>
      <c r="F102" s="259"/>
      <c r="G102" s="259"/>
      <c r="H102" s="259"/>
      <c r="I102" s="247"/>
      <c r="J102" s="259"/>
      <c r="K102" s="259"/>
      <c r="L102" s="259"/>
      <c r="M102" s="259"/>
      <c r="N102" s="259"/>
      <c r="O102" s="5"/>
      <c r="Q102" s="5"/>
      <c r="R102" s="5"/>
      <c r="S102" s="5"/>
    </row>
    <row r="103" spans="2:19">
      <c r="B103" s="5"/>
      <c r="C103" s="259"/>
      <c r="D103" s="259"/>
      <c r="E103" s="259"/>
      <c r="F103" s="259"/>
      <c r="G103" s="259"/>
      <c r="H103" s="259"/>
      <c r="I103" s="5"/>
      <c r="J103" s="259"/>
      <c r="K103" s="259"/>
      <c r="L103" s="259"/>
      <c r="M103" s="259"/>
      <c r="N103" s="259"/>
      <c r="O103" s="5"/>
      <c r="P103" s="5"/>
      <c r="Q103" s="5"/>
      <c r="R103" s="5"/>
      <c r="S103" s="5"/>
    </row>
    <row r="104" spans="2:19">
      <c r="B104" s="5"/>
      <c r="C104" s="247"/>
      <c r="D104" s="247"/>
      <c r="E104" s="247"/>
      <c r="F104" s="247"/>
      <c r="G104" s="247"/>
      <c r="H104" s="247"/>
      <c r="I104" s="247"/>
      <c r="J104" s="247"/>
      <c r="K104" s="247"/>
      <c r="L104" s="247"/>
      <c r="M104" s="247"/>
      <c r="N104" s="247"/>
      <c r="O104" s="5"/>
      <c r="Q104" s="5"/>
      <c r="R104" s="5"/>
      <c r="S104" s="5"/>
    </row>
    <row r="105" spans="2:19" s="5" customFormat="1">
      <c r="P105" s="39"/>
    </row>
    <row r="106" spans="2:19" s="5" customFormat="1">
      <c r="C106" s="259"/>
      <c r="D106" s="247"/>
      <c r="E106" s="247"/>
      <c r="F106" s="247"/>
      <c r="G106" s="247"/>
      <c r="H106" s="247"/>
      <c r="I106" s="259"/>
      <c r="J106" s="247"/>
      <c r="K106" s="247"/>
      <c r="L106" s="247"/>
      <c r="M106" s="247"/>
      <c r="N106" s="247"/>
      <c r="P106" s="39"/>
    </row>
    <row r="107" spans="2:19">
      <c r="B107" s="5"/>
      <c r="C107" s="259"/>
      <c r="D107" s="5"/>
      <c r="E107" s="5"/>
      <c r="F107" s="5"/>
      <c r="G107" s="5"/>
      <c r="H107" s="5"/>
      <c r="I107" s="247"/>
      <c r="J107" s="5"/>
      <c r="K107" s="5"/>
      <c r="L107" s="5"/>
      <c r="M107" s="5"/>
      <c r="N107" s="5"/>
      <c r="O107" s="5"/>
      <c r="P107" s="5"/>
      <c r="Q107" s="5"/>
      <c r="R107" s="5"/>
      <c r="S107" s="5"/>
    </row>
    <row r="108" spans="2:19">
      <c r="B108" s="5"/>
      <c r="C108" s="259"/>
      <c r="D108" s="259"/>
      <c r="E108" s="259"/>
      <c r="F108" s="259"/>
      <c r="G108" s="259"/>
      <c r="H108" s="259"/>
      <c r="I108" s="249"/>
      <c r="J108" s="259"/>
      <c r="K108" s="259"/>
      <c r="L108" s="259"/>
      <c r="M108" s="259"/>
      <c r="N108" s="259"/>
      <c r="O108" s="5"/>
      <c r="P108" s="5"/>
      <c r="Q108" s="5"/>
      <c r="R108" s="5"/>
      <c r="S108" s="5"/>
    </row>
    <row r="109" spans="2:19">
      <c r="B109" s="5"/>
      <c r="C109" s="247"/>
      <c r="D109" s="247"/>
      <c r="E109" s="247"/>
      <c r="F109" s="247"/>
      <c r="G109" s="247"/>
      <c r="H109" s="247"/>
      <c r="I109" s="249"/>
      <c r="J109" s="247"/>
      <c r="K109" s="247"/>
      <c r="L109" s="247"/>
      <c r="M109" s="247"/>
      <c r="N109" s="247"/>
      <c r="O109" s="5"/>
      <c r="Q109" s="5"/>
      <c r="R109" s="5"/>
      <c r="S109" s="5"/>
    </row>
    <row r="110" spans="2:19">
      <c r="B110" s="41"/>
      <c r="C110" s="249"/>
      <c r="D110" s="249"/>
      <c r="E110" s="249"/>
      <c r="F110" s="249"/>
      <c r="G110" s="249"/>
      <c r="H110" s="249"/>
      <c r="I110" s="247"/>
      <c r="J110" s="249"/>
      <c r="K110" s="249"/>
      <c r="L110" s="249"/>
      <c r="M110" s="249"/>
      <c r="N110" s="249"/>
      <c r="O110" s="5"/>
      <c r="Q110" s="5"/>
      <c r="R110" s="5"/>
      <c r="S110" s="5"/>
    </row>
    <row r="111" spans="2:19">
      <c r="B111" s="5"/>
      <c r="C111" s="249"/>
      <c r="D111" s="249"/>
      <c r="E111" s="249"/>
      <c r="F111" s="249"/>
      <c r="G111" s="249"/>
      <c r="H111" s="249"/>
      <c r="I111" s="5"/>
      <c r="J111" s="249"/>
      <c r="K111" s="249"/>
      <c r="L111" s="249"/>
      <c r="M111" s="249"/>
      <c r="N111" s="249"/>
      <c r="O111" s="5"/>
      <c r="Q111" s="5"/>
      <c r="R111" s="5"/>
      <c r="S111" s="5"/>
    </row>
    <row r="112" spans="2:19">
      <c r="B112" s="5"/>
      <c r="C112" s="247"/>
      <c r="D112" s="247"/>
      <c r="E112" s="247"/>
      <c r="F112" s="247"/>
      <c r="G112" s="247"/>
      <c r="H112" s="247"/>
      <c r="I112" s="5"/>
      <c r="J112" s="247"/>
      <c r="K112" s="247"/>
      <c r="L112" s="247"/>
      <c r="M112" s="247"/>
      <c r="N112" s="247"/>
      <c r="O112" s="5"/>
      <c r="Q112" s="5"/>
      <c r="R112" s="5"/>
      <c r="S112" s="5"/>
    </row>
    <row r="113" spans="2:19">
      <c r="B113" s="5"/>
      <c r="C113" s="5"/>
      <c r="D113" s="5"/>
      <c r="E113" s="5"/>
      <c r="F113" s="5"/>
      <c r="G113" s="5"/>
      <c r="H113" s="5"/>
      <c r="I113" s="5"/>
      <c r="J113" s="5"/>
      <c r="K113" s="5"/>
      <c r="L113" s="5"/>
      <c r="M113" s="5"/>
      <c r="N113" s="5"/>
      <c r="O113" s="5"/>
      <c r="Q113" s="5"/>
      <c r="R113" s="5"/>
      <c r="S113" s="5"/>
    </row>
    <row r="114" spans="2:19">
      <c r="B114" s="5"/>
      <c r="C114" s="5"/>
      <c r="D114" s="5"/>
      <c r="E114" s="5"/>
      <c r="F114" s="5"/>
      <c r="G114" s="5"/>
      <c r="H114" s="5"/>
      <c r="I114" s="5"/>
      <c r="J114" s="5"/>
      <c r="K114" s="5"/>
      <c r="L114" s="5"/>
      <c r="M114" s="5"/>
      <c r="N114" s="5"/>
      <c r="O114" s="5"/>
      <c r="Q114" s="5"/>
      <c r="R114" s="5"/>
      <c r="S114" s="5"/>
    </row>
    <row r="115" spans="2:19">
      <c r="B115" s="5"/>
      <c r="C115" s="5"/>
      <c r="D115" s="5"/>
      <c r="E115" s="5"/>
      <c r="F115" s="5"/>
      <c r="G115" s="5"/>
      <c r="H115" s="5"/>
      <c r="I115" s="49"/>
      <c r="J115" s="5"/>
      <c r="K115" s="5"/>
      <c r="L115" s="5"/>
      <c r="M115" s="5"/>
      <c r="N115" s="5"/>
      <c r="O115" s="5"/>
      <c r="Q115" s="41"/>
      <c r="R115" s="5"/>
      <c r="S115" s="5"/>
    </row>
    <row r="116" spans="2:19">
      <c r="B116" s="5"/>
      <c r="C116" s="5"/>
      <c r="D116" s="5"/>
      <c r="E116" s="5"/>
      <c r="F116" s="5"/>
      <c r="G116" s="5"/>
      <c r="H116" s="5"/>
      <c r="I116" s="5"/>
      <c r="J116" s="5"/>
      <c r="K116" s="5"/>
      <c r="L116" s="5"/>
      <c r="M116" s="5"/>
      <c r="N116" s="5"/>
      <c r="O116" s="5"/>
      <c r="Q116" s="5"/>
      <c r="R116" s="5"/>
      <c r="S116" s="5"/>
    </row>
    <row r="117" spans="2:19">
      <c r="B117" s="41"/>
      <c r="C117" s="49"/>
      <c r="D117" s="49"/>
      <c r="E117" s="49"/>
      <c r="F117" s="49"/>
      <c r="G117" s="49"/>
      <c r="H117" s="49"/>
      <c r="I117" s="254"/>
      <c r="J117" s="49"/>
      <c r="K117" s="49"/>
      <c r="L117" s="49"/>
      <c r="M117" s="49"/>
      <c r="N117" s="49"/>
      <c r="O117" s="49"/>
      <c r="Q117" s="5"/>
      <c r="R117" s="5"/>
      <c r="S117" s="5"/>
    </row>
    <row r="118" spans="2:19">
      <c r="B118" s="5"/>
      <c r="C118" s="5"/>
      <c r="D118" s="5"/>
      <c r="E118" s="5"/>
      <c r="F118" s="5"/>
      <c r="G118" s="5"/>
      <c r="H118" s="5"/>
      <c r="I118" s="249"/>
      <c r="J118" s="5"/>
      <c r="K118" s="5"/>
      <c r="L118" s="5"/>
      <c r="M118" s="5"/>
      <c r="N118" s="5"/>
      <c r="O118" s="5"/>
      <c r="Q118" s="5"/>
      <c r="R118" s="5"/>
      <c r="S118" s="5"/>
    </row>
    <row r="119" spans="2:19">
      <c r="B119" s="41"/>
      <c r="C119" s="254"/>
      <c r="D119" s="254"/>
      <c r="E119" s="254"/>
      <c r="F119" s="254"/>
      <c r="G119" s="254"/>
      <c r="H119" s="254"/>
      <c r="I119" s="254"/>
      <c r="J119" s="254"/>
      <c r="K119" s="254"/>
      <c r="L119" s="254"/>
      <c r="M119" s="254"/>
      <c r="N119" s="254"/>
      <c r="O119" s="248"/>
      <c r="Q119" s="5"/>
      <c r="R119" s="5"/>
      <c r="S119" s="5"/>
    </row>
    <row r="120" spans="2:19">
      <c r="B120" s="41"/>
      <c r="C120" s="254"/>
      <c r="D120" s="249"/>
      <c r="E120" s="249"/>
      <c r="F120" s="249"/>
      <c r="G120" s="249"/>
      <c r="H120" s="249"/>
      <c r="I120" s="254"/>
      <c r="J120" s="249"/>
      <c r="K120" s="249"/>
      <c r="L120" s="249"/>
      <c r="M120" s="249"/>
      <c r="N120" s="249"/>
      <c r="O120" s="248"/>
      <c r="Q120" s="5"/>
      <c r="R120" s="5"/>
      <c r="S120" s="5"/>
    </row>
    <row r="121" spans="2:19">
      <c r="B121" s="41"/>
      <c r="C121" s="254"/>
      <c r="D121" s="254"/>
      <c r="E121" s="254"/>
      <c r="F121" s="254"/>
      <c r="G121" s="254"/>
      <c r="H121" s="254"/>
      <c r="I121" s="254"/>
      <c r="J121" s="254"/>
      <c r="K121" s="254"/>
      <c r="L121" s="254"/>
      <c r="M121" s="254"/>
      <c r="N121" s="254"/>
      <c r="O121" s="248"/>
      <c r="Q121" s="5"/>
      <c r="R121" s="5"/>
      <c r="S121" s="5"/>
    </row>
    <row r="122" spans="2:19">
      <c r="B122" s="41"/>
      <c r="C122" s="254"/>
      <c r="D122" s="254"/>
      <c r="E122" s="254"/>
      <c r="F122" s="254"/>
      <c r="G122" s="254"/>
      <c r="H122" s="254"/>
      <c r="I122" s="254"/>
      <c r="J122" s="254"/>
      <c r="K122" s="254"/>
      <c r="L122" s="254"/>
      <c r="M122" s="254"/>
      <c r="N122" s="254"/>
      <c r="O122" s="248"/>
      <c r="Q122" s="5"/>
      <c r="R122" s="5"/>
      <c r="S122" s="5"/>
    </row>
    <row r="123" spans="2:19">
      <c r="B123" s="41"/>
      <c r="C123" s="254"/>
      <c r="D123" s="254"/>
      <c r="E123" s="254"/>
      <c r="F123" s="254"/>
      <c r="G123" s="254"/>
      <c r="H123" s="254"/>
      <c r="I123" s="254"/>
      <c r="J123" s="254"/>
      <c r="K123" s="254"/>
      <c r="L123" s="254"/>
      <c r="M123" s="254"/>
      <c r="N123" s="254"/>
      <c r="O123" s="248"/>
      <c r="Q123" s="5"/>
      <c r="R123" s="5"/>
      <c r="S123" s="5"/>
    </row>
    <row r="124" spans="2:19">
      <c r="B124" s="41"/>
      <c r="C124" s="254"/>
      <c r="D124" s="254"/>
      <c r="E124" s="254"/>
      <c r="F124" s="254"/>
      <c r="G124" s="254"/>
      <c r="H124" s="254"/>
      <c r="I124" s="254"/>
      <c r="J124" s="254"/>
      <c r="K124" s="254"/>
      <c r="L124" s="254"/>
      <c r="M124" s="254"/>
      <c r="N124" s="254"/>
      <c r="O124" s="248"/>
      <c r="Q124" s="5"/>
      <c r="R124" s="5"/>
      <c r="S124" s="5"/>
    </row>
    <row r="125" spans="2:19">
      <c r="B125" s="41"/>
      <c r="C125" s="254"/>
      <c r="D125" s="254"/>
      <c r="E125" s="254"/>
      <c r="F125" s="254"/>
      <c r="G125" s="254"/>
      <c r="H125" s="254"/>
      <c r="I125" s="254"/>
      <c r="J125" s="254"/>
      <c r="K125" s="254"/>
      <c r="L125" s="254"/>
      <c r="M125" s="254"/>
      <c r="N125" s="254"/>
      <c r="O125" s="5"/>
      <c r="Q125" s="5"/>
      <c r="R125" s="5"/>
      <c r="S125" s="5"/>
    </row>
    <row r="126" spans="2:19">
      <c r="B126" s="41"/>
      <c r="C126" s="254"/>
      <c r="D126" s="254"/>
      <c r="E126" s="254"/>
      <c r="F126" s="254"/>
      <c r="G126" s="254"/>
      <c r="H126" s="254"/>
      <c r="I126" s="254"/>
      <c r="J126" s="254"/>
      <c r="K126" s="254"/>
      <c r="L126" s="254"/>
      <c r="M126" s="254"/>
      <c r="N126" s="254"/>
      <c r="O126" s="5"/>
      <c r="Q126" s="5"/>
      <c r="R126" s="5"/>
      <c r="S126" s="5"/>
    </row>
    <row r="127" spans="2:19">
      <c r="B127" s="41"/>
      <c r="C127" s="254"/>
      <c r="D127" s="254"/>
      <c r="E127" s="254"/>
      <c r="F127" s="254"/>
      <c r="G127" s="254"/>
      <c r="H127" s="254"/>
      <c r="I127" s="18"/>
      <c r="J127" s="254"/>
      <c r="K127" s="254"/>
      <c r="L127" s="254"/>
      <c r="M127" s="254"/>
      <c r="N127" s="254"/>
      <c r="O127" s="5"/>
      <c r="Q127" s="5"/>
      <c r="R127" s="5"/>
      <c r="S127" s="5"/>
    </row>
    <row r="128" spans="2:19">
      <c r="B128" s="41"/>
      <c r="C128" s="254"/>
      <c r="D128" s="254"/>
      <c r="E128" s="254"/>
      <c r="F128" s="254"/>
      <c r="G128" s="254"/>
      <c r="H128" s="254"/>
      <c r="I128" s="5"/>
      <c r="J128" s="254"/>
      <c r="K128" s="254"/>
      <c r="L128" s="254"/>
      <c r="M128" s="254"/>
      <c r="N128" s="254"/>
      <c r="O128" s="5"/>
      <c r="Q128" s="5"/>
      <c r="R128" s="5"/>
      <c r="S128" s="5"/>
    </row>
    <row r="129" spans="2:27">
      <c r="B129" s="5"/>
      <c r="C129" s="5"/>
      <c r="D129" s="18"/>
      <c r="E129" s="18"/>
      <c r="F129" s="18"/>
      <c r="G129" s="18"/>
      <c r="H129" s="18"/>
      <c r="I129" s="254"/>
      <c r="J129" s="18"/>
      <c r="K129" s="18"/>
      <c r="L129" s="18"/>
      <c r="M129" s="18"/>
      <c r="N129" s="18"/>
      <c r="O129" s="5"/>
      <c r="Q129" s="5"/>
      <c r="R129" s="5"/>
      <c r="S129" s="5"/>
    </row>
    <row r="130" spans="2:27">
      <c r="B130" s="5"/>
      <c r="C130" s="5"/>
      <c r="D130" s="5"/>
      <c r="E130" s="5"/>
      <c r="F130" s="5"/>
      <c r="G130" s="5"/>
      <c r="H130" s="5"/>
      <c r="I130" s="18"/>
      <c r="J130" s="5"/>
      <c r="K130" s="5"/>
      <c r="L130" s="5"/>
      <c r="M130" s="5"/>
      <c r="N130" s="5"/>
      <c r="O130" s="5"/>
      <c r="Q130" s="5"/>
      <c r="R130" s="5"/>
      <c r="S130" s="5"/>
    </row>
    <row r="131" spans="2:27">
      <c r="B131" s="41"/>
      <c r="C131" s="254"/>
      <c r="D131" s="254"/>
      <c r="E131" s="254"/>
      <c r="F131" s="254"/>
      <c r="G131" s="254"/>
      <c r="H131" s="254"/>
      <c r="I131" s="5"/>
      <c r="J131" s="254"/>
      <c r="K131" s="254"/>
      <c r="L131" s="254"/>
      <c r="M131" s="254"/>
      <c r="N131" s="254"/>
      <c r="O131" s="5"/>
      <c r="Q131" s="5"/>
      <c r="R131" s="5"/>
      <c r="S131" s="5"/>
    </row>
    <row r="132" spans="2:27">
      <c r="B132" s="5"/>
      <c r="C132" s="259"/>
      <c r="D132" s="18"/>
      <c r="E132" s="18"/>
      <c r="F132" s="18"/>
      <c r="G132" s="18"/>
      <c r="H132" s="18"/>
      <c r="I132" s="5"/>
      <c r="J132" s="18"/>
      <c r="K132" s="18"/>
      <c r="L132" s="18"/>
      <c r="M132" s="18"/>
      <c r="N132" s="18"/>
      <c r="O132" s="5"/>
      <c r="Q132" s="5"/>
      <c r="R132" s="5"/>
      <c r="S132" s="5"/>
    </row>
    <row r="133" spans="2:27">
      <c r="B133" s="5"/>
      <c r="C133" s="5"/>
      <c r="D133" s="5"/>
      <c r="E133" s="5"/>
      <c r="F133" s="5"/>
      <c r="G133" s="5"/>
      <c r="H133" s="5"/>
      <c r="I133" s="17"/>
      <c r="J133" s="5"/>
      <c r="K133" s="5"/>
      <c r="L133" s="5"/>
      <c r="M133" s="5"/>
      <c r="N133" s="5"/>
      <c r="O133" s="5"/>
      <c r="Q133" s="5"/>
      <c r="R133" s="5"/>
      <c r="S133" s="5"/>
    </row>
    <row r="134" spans="2:27">
      <c r="B134" s="41"/>
      <c r="C134" s="5"/>
      <c r="D134" s="5"/>
      <c r="E134" s="5"/>
      <c r="F134" s="5"/>
      <c r="G134" s="5"/>
      <c r="H134" s="5"/>
      <c r="I134" s="17"/>
      <c r="J134" s="5"/>
      <c r="K134" s="5"/>
      <c r="L134" s="5"/>
      <c r="M134" s="5"/>
      <c r="N134" s="5"/>
      <c r="O134" s="5"/>
      <c r="Q134" s="5"/>
      <c r="R134" s="5"/>
      <c r="S134" s="5"/>
    </row>
    <row r="135" spans="2:27">
      <c r="B135" s="5"/>
      <c r="C135" s="17"/>
      <c r="D135" s="17"/>
      <c r="E135" s="17"/>
      <c r="F135" s="17"/>
      <c r="G135" s="17"/>
      <c r="H135" s="17"/>
      <c r="I135" s="17"/>
      <c r="J135" s="17"/>
      <c r="K135" s="17"/>
      <c r="L135" s="17"/>
      <c r="M135" s="17"/>
      <c r="N135" s="17"/>
      <c r="O135" s="5"/>
      <c r="Q135" s="41"/>
      <c r="R135" s="5"/>
      <c r="S135" s="5"/>
    </row>
    <row r="136" spans="2:27">
      <c r="B136" s="5"/>
      <c r="C136" s="17"/>
      <c r="D136" s="17"/>
      <c r="E136" s="17"/>
      <c r="F136" s="17"/>
      <c r="G136" s="17"/>
      <c r="H136" s="17"/>
      <c r="I136" s="17"/>
      <c r="J136" s="17"/>
      <c r="K136" s="17"/>
      <c r="L136" s="17"/>
      <c r="M136" s="17"/>
      <c r="N136" s="17"/>
      <c r="O136" s="5"/>
      <c r="Q136" s="5"/>
      <c r="R136" s="5"/>
      <c r="S136" s="5"/>
      <c r="X136" s="304"/>
    </row>
    <row r="137" spans="2:27">
      <c r="B137" s="5"/>
      <c r="C137" s="5"/>
      <c r="D137" s="17"/>
      <c r="E137" s="17"/>
      <c r="F137" s="17"/>
      <c r="G137" s="17"/>
      <c r="H137" s="17"/>
      <c r="I137" s="17"/>
      <c r="J137" s="17"/>
      <c r="K137" s="17"/>
      <c r="L137" s="17"/>
      <c r="M137" s="17"/>
      <c r="N137" s="17"/>
      <c r="O137" s="5"/>
      <c r="Q137" s="5"/>
      <c r="R137" s="5"/>
      <c r="S137" s="5"/>
      <c r="X137" s="10"/>
      <c r="Y137" s="304"/>
      <c r="Z137" s="304"/>
      <c r="AA137" s="304"/>
    </row>
    <row r="138" spans="2:27">
      <c r="B138" s="5"/>
      <c r="C138" s="5"/>
      <c r="D138" s="17"/>
      <c r="E138" s="17"/>
      <c r="F138" s="17"/>
      <c r="G138" s="17"/>
      <c r="H138" s="17"/>
      <c r="I138" s="17"/>
      <c r="J138" s="17"/>
      <c r="K138" s="17"/>
      <c r="L138" s="17"/>
      <c r="M138" s="17"/>
      <c r="N138" s="17"/>
      <c r="O138" s="5"/>
      <c r="Q138" s="5"/>
      <c r="R138" s="5"/>
      <c r="S138" s="5"/>
      <c r="Y138" s="10"/>
      <c r="Z138" s="10"/>
      <c r="AA138" s="10"/>
    </row>
    <row r="139" spans="2:27">
      <c r="B139" s="5"/>
      <c r="C139" s="5"/>
      <c r="D139" s="17"/>
      <c r="E139" s="17"/>
      <c r="F139" s="17"/>
      <c r="G139" s="17"/>
      <c r="H139" s="17"/>
      <c r="I139" s="5"/>
      <c r="J139" s="17"/>
      <c r="K139" s="17"/>
      <c r="L139" s="17"/>
      <c r="M139" s="17"/>
      <c r="N139" s="17"/>
      <c r="O139" s="5"/>
      <c r="Q139" s="5"/>
      <c r="R139" s="5"/>
      <c r="S139" s="5"/>
    </row>
    <row r="140" spans="2:27">
      <c r="B140" s="5"/>
      <c r="C140" s="17"/>
      <c r="D140" s="17"/>
      <c r="E140" s="17"/>
      <c r="F140" s="17"/>
      <c r="G140" s="17"/>
      <c r="H140" s="17"/>
      <c r="I140" s="5"/>
      <c r="J140" s="17"/>
      <c r="K140" s="17"/>
      <c r="L140" s="17"/>
      <c r="M140" s="17"/>
      <c r="N140" s="17"/>
      <c r="O140" s="5"/>
      <c r="Q140" s="5"/>
      <c r="R140" s="5"/>
      <c r="S140" s="5"/>
    </row>
    <row r="141" spans="2:27">
      <c r="B141" s="5"/>
      <c r="C141" s="5"/>
      <c r="D141" s="5"/>
      <c r="E141" s="5"/>
      <c r="F141" s="5"/>
      <c r="G141" s="5"/>
      <c r="H141" s="5"/>
      <c r="I141" s="5"/>
      <c r="J141" s="5"/>
      <c r="K141" s="5"/>
      <c r="L141" s="5"/>
      <c r="M141" s="5"/>
      <c r="N141" s="5"/>
      <c r="O141" s="5"/>
      <c r="Q141" s="5"/>
      <c r="R141" s="5"/>
      <c r="S141" s="5"/>
    </row>
    <row r="142" spans="2:27">
      <c r="B142" s="5"/>
      <c r="C142" s="5"/>
      <c r="D142" s="5"/>
      <c r="E142" s="5"/>
      <c r="F142" s="5"/>
      <c r="G142" s="5"/>
      <c r="H142" s="5"/>
      <c r="I142" s="5"/>
      <c r="J142" s="5"/>
      <c r="K142" s="5"/>
      <c r="L142" s="5"/>
      <c r="M142" s="5"/>
      <c r="N142" s="5"/>
      <c r="O142" s="5"/>
      <c r="Q142" s="5"/>
      <c r="R142" s="5"/>
      <c r="S142" s="5"/>
    </row>
    <row r="143" spans="2:27">
      <c r="B143" s="5"/>
      <c r="C143" s="5"/>
      <c r="D143" s="5"/>
      <c r="E143" s="5"/>
      <c r="F143" s="5"/>
      <c r="G143" s="5"/>
      <c r="H143" s="5"/>
      <c r="I143" s="5"/>
      <c r="J143" s="5"/>
      <c r="K143" s="5"/>
      <c r="L143" s="5"/>
      <c r="M143" s="5"/>
      <c r="N143" s="5"/>
      <c r="O143" s="5"/>
      <c r="Q143" s="5"/>
      <c r="R143" s="5"/>
      <c r="S143" s="5"/>
    </row>
    <row r="144" spans="2:27">
      <c r="B144" s="5"/>
      <c r="C144" s="5"/>
      <c r="D144" s="5"/>
      <c r="E144" s="5"/>
      <c r="F144" s="5"/>
      <c r="G144" s="5"/>
      <c r="H144" s="5"/>
      <c r="I144" s="5"/>
      <c r="J144" s="5"/>
      <c r="K144" s="5"/>
      <c r="L144" s="5"/>
      <c r="M144" s="5"/>
      <c r="N144" s="5"/>
      <c r="O144" s="5"/>
      <c r="Q144" s="5"/>
      <c r="R144" s="5"/>
      <c r="S144" s="5"/>
    </row>
    <row r="145" spans="2:19">
      <c r="B145" s="5"/>
      <c r="C145" s="5"/>
      <c r="D145" s="5"/>
      <c r="E145" s="5"/>
      <c r="F145" s="5"/>
      <c r="G145" s="5"/>
      <c r="H145" s="5"/>
      <c r="I145" s="5"/>
      <c r="J145" s="5"/>
      <c r="K145" s="5"/>
      <c r="L145" s="5"/>
      <c r="M145" s="5"/>
      <c r="N145" s="5"/>
      <c r="O145" s="5"/>
      <c r="Q145" s="5"/>
      <c r="R145" s="5"/>
      <c r="S145" s="5"/>
    </row>
    <row r="146" spans="2:19">
      <c r="B146" s="5"/>
      <c r="C146" s="5"/>
      <c r="D146" s="5"/>
      <c r="E146" s="5"/>
      <c r="F146" s="5"/>
      <c r="G146" s="5"/>
      <c r="H146" s="5"/>
      <c r="I146" s="5"/>
      <c r="J146" s="5"/>
      <c r="K146" s="5"/>
      <c r="L146" s="5"/>
      <c r="M146" s="5"/>
      <c r="N146" s="5"/>
      <c r="O146" s="5"/>
      <c r="Q146" s="5"/>
      <c r="R146" s="5"/>
      <c r="S146" s="5"/>
    </row>
    <row r="147" spans="2:19">
      <c r="B147" s="5"/>
      <c r="C147" s="5"/>
      <c r="D147" s="5"/>
      <c r="E147" s="5"/>
      <c r="F147" s="5"/>
      <c r="G147" s="5"/>
      <c r="H147" s="5"/>
      <c r="I147" s="5"/>
      <c r="J147" s="5"/>
      <c r="K147" s="5"/>
      <c r="L147" s="5"/>
      <c r="M147" s="5"/>
      <c r="N147" s="5"/>
      <c r="O147" s="5"/>
      <c r="Q147" s="5"/>
      <c r="R147" s="5"/>
      <c r="S147" s="5"/>
    </row>
    <row r="148" spans="2:19">
      <c r="B148" s="5"/>
      <c r="C148" s="5"/>
      <c r="D148" s="5"/>
      <c r="E148" s="5"/>
      <c r="F148" s="5"/>
      <c r="G148" s="5"/>
      <c r="H148" s="5"/>
      <c r="I148" s="5"/>
      <c r="J148" s="5"/>
      <c r="K148" s="5"/>
      <c r="L148" s="5"/>
      <c r="M148" s="5"/>
      <c r="N148" s="5"/>
      <c r="O148" s="5"/>
      <c r="Q148" s="5"/>
      <c r="R148" s="5"/>
      <c r="S148" s="5"/>
    </row>
    <row r="149" spans="2:19">
      <c r="B149" s="5"/>
      <c r="C149" s="5"/>
      <c r="D149" s="5"/>
      <c r="E149" s="5"/>
      <c r="F149" s="5"/>
      <c r="G149" s="5"/>
      <c r="H149" s="5"/>
      <c r="J149" s="5"/>
      <c r="K149" s="5"/>
      <c r="L149" s="5"/>
      <c r="M149" s="5"/>
      <c r="N149" s="5"/>
      <c r="O149" s="5"/>
      <c r="Q149" s="5"/>
      <c r="R149" s="5"/>
      <c r="S149" s="5"/>
    </row>
    <row r="150" spans="2:19">
      <c r="B150" s="5"/>
      <c r="C150" s="5"/>
      <c r="D150" s="5"/>
      <c r="E150" s="5"/>
      <c r="F150" s="5"/>
      <c r="G150" s="5"/>
      <c r="H150" s="5"/>
      <c r="J150" s="5"/>
      <c r="K150" s="5"/>
      <c r="L150" s="5"/>
      <c r="M150" s="5"/>
      <c r="N150" s="5"/>
      <c r="O150" s="5"/>
      <c r="Q150" s="5"/>
      <c r="R150" s="5"/>
      <c r="S150" s="5"/>
    </row>
    <row r="151" spans="2:19">
      <c r="Q151" s="5"/>
      <c r="R151" s="5"/>
      <c r="S151" s="5"/>
    </row>
    <row r="152" spans="2:19">
      <c r="Q152" s="5"/>
      <c r="R152" s="5"/>
      <c r="S152" s="5"/>
    </row>
    <row r="153" spans="2:19">
      <c r="C153" s="263"/>
      <c r="Q153" s="5"/>
      <c r="R153" s="5"/>
      <c r="S153" s="5"/>
    </row>
    <row r="154" spans="2:19">
      <c r="Q154" s="5"/>
      <c r="R154" s="5"/>
      <c r="S154" s="5"/>
    </row>
    <row r="155" spans="2:19">
      <c r="Q155" s="5"/>
      <c r="R155" s="5"/>
      <c r="S155" s="5"/>
    </row>
    <row r="156" spans="2:19">
      <c r="Q156" s="5"/>
      <c r="R156" s="5"/>
      <c r="S156" s="5"/>
    </row>
    <row r="157" spans="2:19">
      <c r="Q157" s="5"/>
      <c r="R157" s="5"/>
      <c r="S157" s="5"/>
    </row>
    <row r="158" spans="2:19">
      <c r="Q158" s="5"/>
      <c r="R158" s="5"/>
      <c r="S158" s="5"/>
    </row>
    <row r="159" spans="2:19">
      <c r="Q159" s="5"/>
      <c r="R159" s="5"/>
      <c r="S159" s="5"/>
    </row>
    <row r="160" spans="2:19">
      <c r="Q160" s="5"/>
      <c r="R160" s="5"/>
      <c r="S160" s="5"/>
    </row>
    <row r="161" spans="17:19">
      <c r="Q161" s="5"/>
      <c r="R161" s="5"/>
      <c r="S161" s="5"/>
    </row>
    <row r="162" spans="17:19">
      <c r="Q162" s="5"/>
      <c r="R162" s="5"/>
      <c r="S162" s="5"/>
    </row>
    <row r="163" spans="17:19">
      <c r="Q163" s="5"/>
      <c r="R163" s="5"/>
      <c r="S163" s="5"/>
    </row>
    <row r="164" spans="17:19">
      <c r="Q164" s="5"/>
      <c r="R164" s="5"/>
      <c r="S164" s="5"/>
    </row>
    <row r="165" spans="17:19">
      <c r="Q165" s="5"/>
      <c r="R165" s="5"/>
      <c r="S165" s="5"/>
    </row>
  </sheetData>
  <pageMargins left="0.75" right="0.75" top="1" bottom="1" header="0.5" footer="0.5"/>
  <pageSetup scale="71" orientation="landscape" r:id="rId1"/>
  <headerFooter alignWithMargins="0"/>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Sheet3"/>
  <dimension ref="B1:AR168"/>
  <sheetViews>
    <sheetView showGridLines="0" zoomScale="80" zoomScaleNormal="80" workbookViewId="0"/>
  </sheetViews>
  <sheetFormatPr defaultColWidth="9.109375" defaultRowHeight="12"/>
  <cols>
    <col min="1" max="1" width="2.33203125" style="39" customWidth="1"/>
    <col min="2" max="2" width="26.5546875" style="39" customWidth="1"/>
    <col min="3" max="9" width="10" style="39" customWidth="1"/>
    <col min="10" max="10" width="26.6640625" style="39" customWidth="1"/>
    <col min="11" max="16" width="10" style="39" customWidth="1"/>
    <col min="17" max="19" width="8.6640625" style="39" customWidth="1"/>
    <col min="20" max="28" width="8.6640625" style="5" customWidth="1"/>
    <col min="29" max="44" width="9.109375" style="5"/>
    <col min="45" max="16384" width="9.109375" style="39"/>
  </cols>
  <sheetData>
    <row r="1" spans="2:44" s="312" customFormat="1">
      <c r="T1" s="149"/>
      <c r="U1" s="149"/>
      <c r="V1" s="149"/>
      <c r="W1" s="149"/>
      <c r="X1" s="149"/>
      <c r="Y1" s="149"/>
      <c r="Z1" s="149"/>
      <c r="AA1" s="149"/>
      <c r="AB1" s="149"/>
      <c r="AC1" s="149"/>
      <c r="AD1" s="149"/>
      <c r="AE1" s="149"/>
      <c r="AF1" s="149"/>
      <c r="AG1" s="149"/>
      <c r="AH1" s="149"/>
      <c r="AI1" s="149"/>
      <c r="AJ1" s="149"/>
      <c r="AK1" s="149"/>
      <c r="AL1" s="149"/>
      <c r="AM1" s="149"/>
      <c r="AN1" s="149"/>
      <c r="AO1" s="149"/>
      <c r="AP1" s="149"/>
      <c r="AQ1" s="149"/>
      <c r="AR1" s="149"/>
    </row>
    <row r="2" spans="2:44" s="149" customFormat="1"/>
    <row r="3" spans="2:44" s="149" customFormat="1">
      <c r="H3" s="153"/>
      <c r="P3" s="153"/>
    </row>
    <row r="4" spans="2:44" s="156" customFormat="1" ht="21">
      <c r="B4" s="129" t="s">
        <v>622</v>
      </c>
      <c r="H4" s="222"/>
      <c r="P4" s="222"/>
    </row>
    <row r="5" spans="2:44" s="149" customFormat="1">
      <c r="C5" s="153"/>
      <c r="D5" s="153" t="str" cm="1">
        <f t="array" ref="D5:H5">headings</f>
        <v>2023E</v>
      </c>
      <c r="E5" s="153" t="str">
        <v>2024E</v>
      </c>
      <c r="F5" s="153" t="str">
        <v>2025E</v>
      </c>
      <c r="G5" s="153" t="str">
        <v>2026E</v>
      </c>
      <c r="H5" s="153" t="str">
        <v>23E-26E</v>
      </c>
      <c r="I5" s="153"/>
      <c r="J5" s="153"/>
      <c r="K5" s="153"/>
      <c r="L5" s="153" t="str" cm="1">
        <f t="array" ref="L5:P5">headings</f>
        <v>2023E</v>
      </c>
      <c r="M5" s="153" t="str">
        <v>2024E</v>
      </c>
      <c r="N5" s="153" t="str">
        <v>2025E</v>
      </c>
      <c r="O5" s="153" t="str">
        <v>2026E</v>
      </c>
      <c r="P5" s="153" t="str">
        <v>23E-26E</v>
      </c>
      <c r="Q5" s="162"/>
      <c r="R5" s="162"/>
      <c r="S5" s="162"/>
      <c r="T5" s="162"/>
      <c r="U5" s="162"/>
      <c r="V5" s="162"/>
      <c r="W5" s="162"/>
      <c r="X5" s="162"/>
      <c r="Y5" s="162"/>
    </row>
    <row r="6" spans="2:44">
      <c r="I6" s="5"/>
      <c r="J6" s="5"/>
      <c r="K6" s="5"/>
      <c r="L6" s="5"/>
      <c r="M6" s="5"/>
      <c r="N6" s="5"/>
      <c r="O6" s="49"/>
    </row>
    <row r="7" spans="2:44" ht="12.6" thickBot="1">
      <c r="B7" s="306" t="s">
        <v>271</v>
      </c>
      <c r="C7" s="265"/>
      <c r="D7" s="265" t="str">
        <f>D5</f>
        <v>2023E</v>
      </c>
      <c r="E7" s="265" t="str">
        <f t="shared" ref="E7:H7" si="0">E5</f>
        <v>2024E</v>
      </c>
      <c r="F7" s="265" t="str">
        <f t="shared" si="0"/>
        <v>2025E</v>
      </c>
      <c r="G7" s="265" t="str">
        <f t="shared" si="0"/>
        <v>2026E</v>
      </c>
      <c r="H7" s="265" t="str">
        <f t="shared" si="0"/>
        <v>23E-26E</v>
      </c>
      <c r="I7" s="49"/>
      <c r="J7" s="306" t="s">
        <v>380</v>
      </c>
      <c r="K7" s="306"/>
      <c r="L7" s="265" t="str">
        <f>L5</f>
        <v>2023E</v>
      </c>
      <c r="M7" s="265" t="str">
        <f t="shared" ref="M7:P7" si="1">M5</f>
        <v>2024E</v>
      </c>
      <c r="N7" s="265" t="str">
        <f t="shared" si="1"/>
        <v>2025E</v>
      </c>
      <c r="O7" s="265" t="str">
        <f t="shared" si="1"/>
        <v>2026E</v>
      </c>
      <c r="P7" s="265" t="str">
        <f t="shared" si="1"/>
        <v>23E-26E</v>
      </c>
    </row>
    <row r="8" spans="2:44" ht="12.6" thickTop="1">
      <c r="B8" s="5"/>
      <c r="C8" s="5"/>
      <c r="D8" s="5"/>
      <c r="E8" s="5"/>
      <c r="F8" s="5"/>
      <c r="G8" s="5"/>
      <c r="H8" s="5"/>
      <c r="I8" s="5"/>
      <c r="J8" s="5"/>
      <c r="K8" s="5"/>
      <c r="L8" s="5"/>
      <c r="M8" s="5"/>
      <c r="N8" s="5"/>
      <c r="S8" s="88"/>
      <c r="T8" s="42"/>
      <c r="U8" s="42"/>
      <c r="V8" s="42"/>
      <c r="W8" s="42"/>
      <c r="X8" s="42"/>
      <c r="Y8" s="42"/>
      <c r="Z8" s="42"/>
      <c r="AA8" s="42"/>
    </row>
    <row r="9" spans="2:44">
      <c r="B9" s="41" t="s">
        <v>623</v>
      </c>
      <c r="C9" s="267">
        <f>Prices!C111</f>
        <v>17.75</v>
      </c>
      <c r="D9" s="535">
        <v>0</v>
      </c>
      <c r="E9" s="536">
        <v>0</v>
      </c>
      <c r="F9" s="536">
        <v>0</v>
      </c>
      <c r="G9" s="536">
        <v>0</v>
      </c>
      <c r="H9" s="249"/>
      <c r="I9" s="249"/>
      <c r="J9" s="5" t="s">
        <v>273</v>
      </c>
      <c r="L9" s="529">
        <f>'EMEA CELLULAR'!D37</f>
        <v>3.0372013947638039</v>
      </c>
      <c r="M9" s="529">
        <f>'EMEA CELLULAR'!E37</f>
        <v>3.0765788213213532</v>
      </c>
      <c r="N9" s="529">
        <f>'EMEA CELLULAR'!F37</f>
        <v>2.7986180316483407</v>
      </c>
      <c r="O9" s="529">
        <f>'EMEA CELLULAR'!G37</f>
        <v>2.565989431468322</v>
      </c>
      <c r="P9" s="286">
        <f>'EMEA CELLULAR'!H37</f>
        <v>4.2716103268778172E-2</v>
      </c>
      <c r="S9" s="88"/>
      <c r="T9" s="42"/>
      <c r="U9" s="42"/>
      <c r="V9" s="42"/>
      <c r="W9" s="42"/>
      <c r="X9" s="42"/>
      <c r="Y9" s="42"/>
      <c r="Z9" s="42"/>
      <c r="AA9" s="42"/>
    </row>
    <row r="10" spans="2:44">
      <c r="B10" s="5" t="s">
        <v>274</v>
      </c>
      <c r="C10" s="5"/>
      <c r="D10" s="531">
        <v>40065.4</v>
      </c>
      <c r="E10" s="531">
        <v>40065.4</v>
      </c>
      <c r="F10" s="531">
        <v>40065.4</v>
      </c>
      <c r="G10" s="531">
        <v>40065.4</v>
      </c>
      <c r="H10" s="247"/>
      <c r="I10" s="247"/>
      <c r="J10" s="5" t="s">
        <v>184</v>
      </c>
      <c r="L10" s="529">
        <f>'EMEA CELLULAR'!D38</f>
        <v>7.2238222733245729</v>
      </c>
      <c r="M10" s="529">
        <f>'EMEA CELLULAR'!E38</f>
        <v>7.4237558505709842</v>
      </c>
      <c r="N10" s="529">
        <f>'EMEA CELLULAR'!F38</f>
        <v>6.674196011969129</v>
      </c>
      <c r="O10" s="529">
        <f>'EMEA CELLULAR'!G38</f>
        <v>6.0998043636708204</v>
      </c>
      <c r="P10" s="286">
        <f>'EMEA CELLULAR'!H38</f>
        <v>4.2902128020809061E-2</v>
      </c>
      <c r="S10" s="88"/>
      <c r="T10" s="42"/>
      <c r="U10" s="42"/>
      <c r="V10" s="42"/>
      <c r="W10" s="288"/>
      <c r="X10" s="288"/>
      <c r="Y10" s="288"/>
      <c r="Z10" s="288"/>
      <c r="AA10" s="42"/>
    </row>
    <row r="11" spans="2:44">
      <c r="B11" s="41" t="s">
        <v>275</v>
      </c>
      <c r="C11" s="5"/>
      <c r="D11" s="532">
        <f>$C$9*D10</f>
        <v>711160.85</v>
      </c>
      <c r="E11" s="532">
        <f>$C$9*E10</f>
        <v>711160.85</v>
      </c>
      <c r="F11" s="532">
        <f>$C$9*F10</f>
        <v>711160.85</v>
      </c>
      <c r="G11" s="532">
        <f>$C$9*G10</f>
        <v>711160.85</v>
      </c>
      <c r="H11" s="249"/>
      <c r="I11" s="249"/>
      <c r="J11" s="5" t="s">
        <v>185</v>
      </c>
      <c r="L11" s="529">
        <f>'EMEA CELLULAR'!D39</f>
        <v>13.934000165140167</v>
      </c>
      <c r="M11" s="529">
        <f>'EMEA CELLULAR'!E39</f>
        <v>14.181691463921256</v>
      </c>
      <c r="N11" s="529">
        <f>'EMEA CELLULAR'!F39</f>
        <v>12.081890560836975</v>
      </c>
      <c r="O11" s="529">
        <f>'EMEA CELLULAR'!G39</f>
        <v>10.645257413209695</v>
      </c>
      <c r="P11" s="286">
        <f>'EMEA CELLULAR'!H39</f>
        <v>7.8283731285485381E-2</v>
      </c>
      <c r="S11" s="88"/>
      <c r="T11" s="42"/>
      <c r="U11" s="42"/>
      <c r="V11" s="42"/>
      <c r="W11" s="288"/>
      <c r="X11" s="288"/>
      <c r="Y11" s="288"/>
      <c r="Z11" s="288"/>
      <c r="AA11" s="42"/>
    </row>
    <row r="12" spans="2:44">
      <c r="B12" s="5" t="s">
        <v>24</v>
      </c>
      <c r="C12" s="249"/>
      <c r="D12" s="533">
        <v>115607.31500682788</v>
      </c>
      <c r="E12" s="533">
        <v>134209.18771282941</v>
      </c>
      <c r="F12" s="533">
        <v>135087.54616091397</v>
      </c>
      <c r="G12" s="533">
        <v>121209.50210698078</v>
      </c>
      <c r="H12" s="247"/>
      <c r="I12" s="247"/>
      <c r="J12" s="5" t="s">
        <v>466</v>
      </c>
      <c r="L12" s="529">
        <f>'EMEA CELLULAR'!D40</f>
        <v>20.693503485744461</v>
      </c>
      <c r="M12" s="529">
        <f>'EMEA CELLULAR'!E40</f>
        <v>20.954826177285547</v>
      </c>
      <c r="N12" s="529">
        <f>'EMEA CELLULAR'!F40</f>
        <v>17.986415749594904</v>
      </c>
      <c r="O12" s="529">
        <f>'EMEA CELLULAR'!G40</f>
        <v>15.937236715818882</v>
      </c>
      <c r="P12" s="286">
        <f>'EMEA CELLULAR'!H40</f>
        <v>7.539209226558885E-2</v>
      </c>
      <c r="S12" s="88"/>
      <c r="T12" s="42"/>
      <c r="U12" s="42"/>
      <c r="V12" s="42"/>
      <c r="W12" s="288"/>
      <c r="X12" s="288"/>
      <c r="Y12" s="288"/>
      <c r="Z12" s="288"/>
      <c r="AA12" s="42"/>
    </row>
    <row r="13" spans="2:44">
      <c r="B13" s="5" t="s">
        <v>529</v>
      </c>
      <c r="C13" s="257"/>
      <c r="D13" s="533">
        <v>0</v>
      </c>
      <c r="E13" s="533">
        <v>0</v>
      </c>
      <c r="F13" s="533">
        <v>0</v>
      </c>
      <c r="G13" s="533">
        <v>0</v>
      </c>
      <c r="H13" s="247"/>
      <c r="I13" s="247"/>
      <c r="J13" s="5" t="s">
        <v>530</v>
      </c>
      <c r="L13" s="529">
        <f>'EMEA CELLULAR'!D41</f>
        <v>2.9063718801101484</v>
      </c>
      <c r="M13" s="529">
        <f>'EMEA CELLULAR'!E41</f>
        <v>2.8096465424917763</v>
      </c>
      <c r="N13" s="529">
        <f>'EMEA CELLULAR'!F41</f>
        <v>2.6770412504562215</v>
      </c>
      <c r="O13" s="529">
        <f>'EMEA CELLULAR'!G41</f>
        <v>2.5396311085256196</v>
      </c>
      <c r="P13" s="286">
        <f>'EMEA CELLULAR'!H41</f>
        <v>3.1066523451782402E-2</v>
      </c>
      <c r="S13" s="88"/>
      <c r="T13" s="42"/>
      <c r="U13" s="42"/>
      <c r="V13" s="42"/>
      <c r="W13" s="42"/>
      <c r="X13" s="42"/>
      <c r="Y13" s="42"/>
      <c r="Z13" s="42"/>
      <c r="AA13" s="42"/>
    </row>
    <row r="14" spans="2:44">
      <c r="B14" s="5" t="s">
        <v>532</v>
      </c>
      <c r="C14" s="257"/>
      <c r="D14" s="533">
        <v>0</v>
      </c>
      <c r="E14" s="533">
        <v>0</v>
      </c>
      <c r="F14" s="533">
        <v>0</v>
      </c>
      <c r="G14" s="533">
        <v>0</v>
      </c>
      <c r="H14" s="247"/>
      <c r="I14" s="247"/>
      <c r="J14" s="5" t="s">
        <v>593</v>
      </c>
      <c r="L14" s="529">
        <f>'EMEA CELLULAR'!D42</f>
        <v>4.1985652011209735</v>
      </c>
      <c r="M14" s="529">
        <f>'EMEA CELLULAR'!E42</f>
        <v>4.0862699766964772</v>
      </c>
      <c r="N14" s="529">
        <f>'EMEA CELLULAR'!F42</f>
        <v>3.913769934902958</v>
      </c>
      <c r="O14" s="529">
        <f>'EMEA CELLULAR'!G42</f>
        <v>3.7199710824883767</v>
      </c>
      <c r="P14" s="286">
        <f>'EMEA CELLULAR'!H42</f>
        <v>2.6314073359182233E-2</v>
      </c>
      <c r="S14" s="88"/>
      <c r="T14" s="42"/>
      <c r="U14" s="42"/>
      <c r="V14" s="42"/>
      <c r="W14" s="42"/>
      <c r="X14" s="42"/>
      <c r="Y14" s="42"/>
      <c r="Z14" s="42"/>
      <c r="AA14" s="42"/>
    </row>
    <row r="15" spans="2:44">
      <c r="B15" s="5" t="s">
        <v>531</v>
      </c>
      <c r="C15" s="274"/>
      <c r="D15" s="533">
        <v>0</v>
      </c>
      <c r="E15" s="533">
        <v>0</v>
      </c>
      <c r="F15" s="533">
        <v>0</v>
      </c>
      <c r="G15" s="533">
        <v>0</v>
      </c>
      <c r="H15" s="247"/>
      <c r="I15" s="247"/>
      <c r="J15" s="5" t="s">
        <v>475</v>
      </c>
      <c r="L15" s="529">
        <f>'EMEA CELLULAR'!D43</f>
        <v>31.153660262051059</v>
      </c>
      <c r="M15" s="529">
        <f>'EMEA CELLULAR'!E43</f>
        <v>40.589413647062131</v>
      </c>
      <c r="N15" s="529">
        <f>'EMEA CELLULAR'!F43</f>
        <v>28.94936800421025</v>
      </c>
      <c r="O15" s="529">
        <f>'EMEA CELLULAR'!G43</f>
        <v>25.752132437276039</v>
      </c>
      <c r="P15" s="286">
        <f>'EMEA CELLULAR'!H43</f>
        <v>6.5529048867266182E-2</v>
      </c>
      <c r="S15" s="88"/>
      <c r="T15" s="42"/>
      <c r="U15" s="42"/>
      <c r="V15" s="42"/>
      <c r="W15" s="42"/>
      <c r="X15" s="42"/>
      <c r="Y15" s="42"/>
      <c r="Z15" s="42"/>
      <c r="AA15" s="42"/>
      <c r="AB15" s="39"/>
      <c r="AC15" s="39"/>
      <c r="AD15" s="39"/>
      <c r="AE15" s="39"/>
      <c r="AF15" s="39"/>
      <c r="AG15" s="39"/>
      <c r="AH15" s="39"/>
      <c r="AI15" s="39"/>
      <c r="AJ15" s="39"/>
      <c r="AK15" s="39"/>
      <c r="AL15" s="39"/>
      <c r="AM15" s="39"/>
      <c r="AN15" s="39"/>
      <c r="AO15" s="39"/>
      <c r="AP15" s="39"/>
      <c r="AQ15" s="39"/>
      <c r="AR15" s="39"/>
    </row>
    <row r="16" spans="2:44">
      <c r="B16" s="5" t="s">
        <v>534</v>
      </c>
      <c r="C16" s="257"/>
      <c r="D16" s="533">
        <v>122690.1</v>
      </c>
      <c r="E16" s="533">
        <v>167563.348</v>
      </c>
      <c r="F16" s="533">
        <v>208539.62377801986</v>
      </c>
      <c r="G16" s="533">
        <v>263534.03038069175</v>
      </c>
      <c r="H16" s="247"/>
      <c r="I16" s="247"/>
      <c r="J16" s="5" t="s">
        <v>533</v>
      </c>
      <c r="L16" s="529">
        <f>'EMEA CELLULAR'!D44</f>
        <v>27.614186259633261</v>
      </c>
      <c r="M16" s="529">
        <f>'EMEA CELLULAR'!E44</f>
        <v>26.587472010710737</v>
      </c>
      <c r="N16" s="529">
        <f>'EMEA CELLULAR'!F44</f>
        <v>20.63478491648139</v>
      </c>
      <c r="O16" s="529">
        <f>'EMEA CELLULAR'!G44</f>
        <v>18.214851681953164</v>
      </c>
      <c r="P16" s="286">
        <f>'EMEA CELLULAR'!H44</f>
        <v>0.14827356589829632</v>
      </c>
      <c r="S16" s="88"/>
      <c r="T16" s="42"/>
      <c r="U16" s="42"/>
      <c r="V16" s="42"/>
      <c r="W16" s="42"/>
      <c r="X16" s="42"/>
      <c r="Y16" s="42"/>
      <c r="Z16" s="42"/>
      <c r="AA16" s="42"/>
      <c r="AB16" s="39"/>
      <c r="AC16" s="39"/>
      <c r="AD16" s="39"/>
      <c r="AE16" s="39"/>
      <c r="AF16" s="39"/>
      <c r="AG16" s="39"/>
      <c r="AH16" s="39"/>
      <c r="AI16" s="39"/>
      <c r="AJ16" s="39"/>
      <c r="AK16" s="39"/>
      <c r="AL16" s="39"/>
      <c r="AM16" s="39"/>
      <c r="AN16" s="39"/>
      <c r="AO16" s="39"/>
      <c r="AP16" s="39"/>
      <c r="AQ16" s="39"/>
      <c r="AR16" s="39"/>
    </row>
    <row r="17" spans="2:44">
      <c r="B17" s="5" t="s">
        <v>6</v>
      </c>
      <c r="C17" s="257"/>
      <c r="D17" s="533">
        <v>0</v>
      </c>
      <c r="E17" s="533">
        <v>0</v>
      </c>
      <c r="F17" s="533">
        <v>0</v>
      </c>
      <c r="G17" s="533">
        <v>0</v>
      </c>
      <c r="H17" s="247"/>
      <c r="I17" s="247"/>
      <c r="J17" s="5" t="s">
        <v>580</v>
      </c>
      <c r="L17" s="248">
        <f>'EMEA CELLULAR'!D45</f>
        <v>2.0041910197939054E-2</v>
      </c>
      <c r="M17" s="248">
        <f>'EMEA CELLULAR'!E45</f>
        <v>2.2662064400045302E-2</v>
      </c>
      <c r="N17" s="248">
        <f>'EMEA CELLULAR'!F45</f>
        <v>2.6655091715603346E-2</v>
      </c>
      <c r="O17" s="248">
        <f>'EMEA CELLULAR'!G45</f>
        <v>2.9169701214626476E-2</v>
      </c>
      <c r="P17" s="286">
        <f>'EMEA CELLULAR'!H45</f>
        <v>0.13276751641400475</v>
      </c>
      <c r="S17" s="88"/>
      <c r="T17" s="42"/>
      <c r="U17" s="42"/>
      <c r="V17" s="42"/>
      <c r="W17" s="42"/>
      <c r="X17" s="42"/>
      <c r="Y17" s="42"/>
      <c r="Z17" s="42"/>
      <c r="AA17" s="42"/>
      <c r="AB17" s="39"/>
      <c r="AC17" s="39"/>
      <c r="AD17" s="39"/>
      <c r="AE17" s="39"/>
      <c r="AF17" s="39"/>
      <c r="AG17" s="39"/>
      <c r="AH17" s="39"/>
      <c r="AI17" s="39"/>
      <c r="AJ17" s="39"/>
      <c r="AK17" s="39"/>
      <c r="AL17" s="39"/>
      <c r="AM17" s="39"/>
      <c r="AN17" s="39"/>
      <c r="AO17" s="39"/>
      <c r="AP17" s="39"/>
      <c r="AQ17" s="39"/>
      <c r="AR17" s="39"/>
    </row>
    <row r="18" spans="2:44" ht="12.6" thickBot="1">
      <c r="B18" s="41" t="s">
        <v>583</v>
      </c>
      <c r="C18" s="249"/>
      <c r="D18" s="534">
        <f>D11+D12+D13-D14+D15-D16-D17</f>
        <v>704078.06500682782</v>
      </c>
      <c r="E18" s="534">
        <f>E11+E12+E13-E14+E15-E16-E17</f>
        <v>677806.68971282942</v>
      </c>
      <c r="F18" s="534">
        <f>F11+F12+F13-F14+F15-F16-F17</f>
        <v>637708.77238289407</v>
      </c>
      <c r="G18" s="534">
        <f>G11+G12+G13-G14+G15-G16-G17</f>
        <v>568836.321726289</v>
      </c>
      <c r="H18" s="276">
        <f>IF(D18=0,"nm",IF(G18=0,"nm",(G18/D18)^(1/3)-1))</f>
        <v>-6.8630164232526658E-2</v>
      </c>
      <c r="I18" s="254"/>
      <c r="J18" s="5" t="s">
        <v>36</v>
      </c>
      <c r="L18" s="248">
        <f>'EMEA CELLULAR'!D46</f>
        <v>2.1131796481131483E-2</v>
      </c>
      <c r="M18" s="248">
        <f>'EMEA CELLULAR'!E46</f>
        <v>1.7391477966924081E-2</v>
      </c>
      <c r="N18" s="248">
        <f>'EMEA CELLULAR'!F46</f>
        <v>3.2252261934863267E-2</v>
      </c>
      <c r="O18" s="248">
        <f>'EMEA CELLULAR'!G46</f>
        <v>2.8815660020290752E-2</v>
      </c>
      <c r="P18" s="286">
        <f>'EMEA CELLULAR'!H46</f>
        <v>0.10842730164220327</v>
      </c>
      <c r="S18" s="88"/>
      <c r="T18" s="42"/>
      <c r="U18" s="42"/>
      <c r="V18" s="42"/>
      <c r="W18" s="42"/>
      <c r="X18" s="42"/>
      <c r="Y18" s="42"/>
      <c r="Z18" s="42"/>
      <c r="AA18" s="42"/>
      <c r="AB18" s="39"/>
      <c r="AC18" s="39"/>
      <c r="AD18" s="39"/>
      <c r="AE18" s="39"/>
      <c r="AF18" s="39"/>
      <c r="AG18" s="39"/>
      <c r="AH18" s="39"/>
      <c r="AI18" s="39"/>
      <c r="AJ18" s="39"/>
      <c r="AK18" s="39"/>
      <c r="AL18" s="39"/>
      <c r="AM18" s="39"/>
      <c r="AN18" s="39"/>
      <c r="AO18" s="39"/>
      <c r="AP18" s="39"/>
      <c r="AQ18" s="39"/>
      <c r="AR18" s="39"/>
    </row>
    <row r="19" spans="2:44" ht="12.6" thickTop="1">
      <c r="B19" s="41"/>
      <c r="C19" s="249"/>
      <c r="D19" s="229"/>
      <c r="E19" s="229"/>
      <c r="F19" s="229"/>
      <c r="G19" s="229"/>
      <c r="H19" s="276"/>
      <c r="I19" s="254"/>
      <c r="J19" s="5" t="s">
        <v>581</v>
      </c>
      <c r="L19" s="248">
        <f>'EMEA CELLULAR'!D47</f>
        <v>3.2098956963272834E-2</v>
      </c>
      <c r="M19" s="248">
        <f>'EMEA CELLULAR'!E47</f>
        <v>2.4636965901880678E-2</v>
      </c>
      <c r="N19" s="248">
        <f>'EMEA CELLULAR'!F47</f>
        <v>3.4543068430874381E-2</v>
      </c>
      <c r="O19" s="248">
        <f>'EMEA CELLULAR'!G47</f>
        <v>3.8831735679974472E-2</v>
      </c>
      <c r="P19" s="286">
        <f>'EMEA CELLULAR'!H47</f>
        <v>6.5529048867266182E-2</v>
      </c>
      <c r="S19" s="88"/>
      <c r="T19" s="42"/>
      <c r="U19" s="42"/>
      <c r="V19" s="42"/>
      <c r="W19" s="42"/>
      <c r="X19" s="42"/>
      <c r="Y19" s="42"/>
      <c r="Z19" s="42"/>
      <c r="AA19" s="42"/>
      <c r="AB19" s="39"/>
      <c r="AC19" s="39"/>
      <c r="AD19" s="39"/>
      <c r="AE19" s="39"/>
      <c r="AF19" s="39"/>
      <c r="AG19" s="39"/>
      <c r="AH19" s="39"/>
      <c r="AI19" s="39"/>
      <c r="AJ19" s="39"/>
      <c r="AK19" s="39"/>
      <c r="AL19" s="39"/>
      <c r="AM19" s="39"/>
      <c r="AN19" s="39"/>
      <c r="AO19" s="39"/>
      <c r="AP19" s="39"/>
      <c r="AQ19" s="39"/>
      <c r="AR19" s="39"/>
    </row>
    <row r="20" spans="2:44">
      <c r="H20" s="277"/>
      <c r="I20" s="17"/>
      <c r="J20" s="5" t="s">
        <v>604</v>
      </c>
      <c r="L20" s="305">
        <f>'EMEA CELLULAR'!D48</f>
        <v>0.66646495357608038</v>
      </c>
      <c r="M20" s="305">
        <f>'EMEA CELLULAR'!E48</f>
        <v>0.98055252685916661</v>
      </c>
      <c r="N20" s="305">
        <f>'EMEA CELLULAR'!F48</f>
        <v>0.8225795047533091</v>
      </c>
      <c r="O20" s="305">
        <f>'EMEA CELLULAR'!G48</f>
        <v>0.80076262408893306</v>
      </c>
      <c r="P20" s="286" t="str">
        <f>'EMEA CELLULAR'!H48</f>
        <v>nm</v>
      </c>
      <c r="S20" s="88"/>
      <c r="T20" s="42"/>
      <c r="U20" s="42"/>
      <c r="V20" s="42"/>
      <c r="W20" s="42"/>
      <c r="X20" s="42"/>
      <c r="Y20" s="42"/>
      <c r="Z20" s="42"/>
      <c r="AA20" s="42"/>
      <c r="AB20" s="39"/>
      <c r="AC20" s="39"/>
      <c r="AD20" s="39"/>
      <c r="AE20" s="39"/>
      <c r="AF20" s="39"/>
      <c r="AG20" s="39"/>
      <c r="AH20" s="39"/>
      <c r="AI20" s="39"/>
      <c r="AJ20" s="39"/>
      <c r="AK20" s="39"/>
      <c r="AL20" s="39"/>
      <c r="AM20" s="39"/>
      <c r="AN20" s="39"/>
      <c r="AO20" s="39"/>
      <c r="AP20" s="39"/>
      <c r="AQ20" s="39"/>
      <c r="AR20" s="39"/>
    </row>
    <row r="21" spans="2:44" ht="12.6" thickBot="1">
      <c r="B21" s="306" t="s">
        <v>949</v>
      </c>
      <c r="C21" s="265"/>
      <c r="D21" s="265" t="str">
        <f>D5</f>
        <v>2023E</v>
      </c>
      <c r="E21" s="265" t="str">
        <f t="shared" ref="E21:H21" si="2">E5</f>
        <v>2024E</v>
      </c>
      <c r="F21" s="265" t="str">
        <f t="shared" si="2"/>
        <v>2025E</v>
      </c>
      <c r="G21" s="265" t="str">
        <f t="shared" si="2"/>
        <v>2026E</v>
      </c>
      <c r="H21" s="265" t="str">
        <f t="shared" si="2"/>
        <v>23E-26E</v>
      </c>
      <c r="I21" s="49"/>
      <c r="J21" s="41"/>
      <c r="L21" s="250"/>
      <c r="M21" s="250"/>
      <c r="N21" s="250"/>
      <c r="O21" s="250"/>
      <c r="P21" s="286"/>
      <c r="S21" s="88"/>
      <c r="T21" s="42"/>
      <c r="U21" s="42"/>
      <c r="V21" s="42"/>
      <c r="W21" s="42"/>
      <c r="X21" s="42"/>
      <c r="Y21" s="42"/>
      <c r="Z21" s="42"/>
      <c r="AA21" s="42"/>
      <c r="AB21" s="39"/>
      <c r="AC21" s="39"/>
      <c r="AD21" s="39"/>
      <c r="AE21" s="39"/>
      <c r="AF21" s="39"/>
      <c r="AG21" s="39"/>
      <c r="AH21" s="39"/>
      <c r="AI21" s="39"/>
      <c r="AJ21" s="39"/>
      <c r="AK21" s="39"/>
      <c r="AL21" s="39"/>
      <c r="AM21" s="39"/>
      <c r="AN21" s="39"/>
      <c r="AO21" s="39"/>
      <c r="AP21" s="39"/>
      <c r="AQ21" s="39"/>
      <c r="AR21" s="39"/>
    </row>
    <row r="22" spans="2:44" ht="12.6" thickTop="1">
      <c r="B22" s="5"/>
      <c r="C22" s="257"/>
      <c r="D22" s="17"/>
      <c r="E22" s="17"/>
      <c r="F22" s="17"/>
      <c r="G22" s="17"/>
      <c r="H22" s="17"/>
      <c r="I22" s="17"/>
      <c r="P22" s="277"/>
      <c r="S22" s="88"/>
      <c r="T22" s="42"/>
      <c r="U22" s="42"/>
      <c r="V22" s="42"/>
      <c r="W22" s="42"/>
      <c r="X22" s="42"/>
      <c r="Y22" s="42"/>
      <c r="Z22" s="42"/>
      <c r="AA22" s="42"/>
      <c r="AB22" s="39"/>
      <c r="AC22" s="39"/>
      <c r="AD22" s="39"/>
      <c r="AE22" s="39"/>
      <c r="AF22" s="39"/>
      <c r="AG22" s="39"/>
      <c r="AH22" s="39"/>
      <c r="AI22" s="39"/>
      <c r="AJ22" s="39"/>
      <c r="AK22" s="39"/>
      <c r="AL22" s="39"/>
      <c r="AM22" s="39"/>
      <c r="AN22" s="39"/>
      <c r="AO22" s="39"/>
      <c r="AP22" s="39"/>
      <c r="AQ22" s="39"/>
      <c r="AR22" s="39"/>
    </row>
    <row r="23" spans="2:44" ht="12.6" thickBot="1">
      <c r="B23" s="5" t="s">
        <v>584</v>
      </c>
      <c r="C23" s="548">
        <v>310904.8</v>
      </c>
      <c r="D23" s="540">
        <v>329319.87720890978</v>
      </c>
      <c r="E23" s="540">
        <v>355784.31304878771</v>
      </c>
      <c r="F23" s="540">
        <v>381558.85652638238</v>
      </c>
      <c r="G23" s="540">
        <v>405369.9035739635</v>
      </c>
      <c r="H23" s="279">
        <f t="shared" ref="H23:H32" si="3">IF(D23=0,"nm",IF(G23=0,"nm",(G23/D23)^(1/3)-1))</f>
        <v>7.1711404607406992E-2</v>
      </c>
      <c r="I23" s="247"/>
      <c r="J23" s="306" t="s">
        <v>9</v>
      </c>
      <c r="K23" s="306"/>
      <c r="L23" s="265" t="str">
        <f>D21</f>
        <v>2023E</v>
      </c>
      <c r="M23" s="265" t="str">
        <f t="shared" ref="M23:P23" si="4">E21</f>
        <v>2024E</v>
      </c>
      <c r="N23" s="265" t="str">
        <f t="shared" si="4"/>
        <v>2025E</v>
      </c>
      <c r="O23" s="265" t="str">
        <f t="shared" si="4"/>
        <v>2026E</v>
      </c>
      <c r="P23" s="265" t="str">
        <f t="shared" si="4"/>
        <v>23E-26E</v>
      </c>
      <c r="S23" s="88"/>
      <c r="T23" s="42"/>
      <c r="U23" s="42"/>
      <c r="V23" s="42"/>
      <c r="W23" s="42"/>
      <c r="X23" s="42"/>
      <c r="Y23" s="42"/>
      <c r="Z23" s="42"/>
      <c r="AA23" s="42"/>
      <c r="AB23" s="39"/>
      <c r="AC23" s="39"/>
      <c r="AD23" s="39"/>
      <c r="AE23" s="39"/>
      <c r="AF23" s="39"/>
      <c r="AG23" s="39"/>
      <c r="AH23" s="39"/>
      <c r="AI23" s="39"/>
      <c r="AJ23" s="39"/>
      <c r="AK23" s="39"/>
      <c r="AL23" s="39"/>
      <c r="AM23" s="39"/>
      <c r="AN23" s="39"/>
      <c r="AO23" s="39"/>
      <c r="AP23" s="39"/>
      <c r="AQ23" s="39"/>
      <c r="AR23" s="39"/>
    </row>
    <row r="24" spans="2:44" ht="12.6" thickTop="1">
      <c r="B24" s="5" t="s">
        <v>483</v>
      </c>
      <c r="C24" s="549">
        <v>139862.39999999999</v>
      </c>
      <c r="D24" s="540">
        <v>166344.4971583242</v>
      </c>
      <c r="E24" s="540">
        <v>180463.69936964969</v>
      </c>
      <c r="F24" s="540">
        <v>197221.42693674724</v>
      </c>
      <c r="G24" s="540">
        <v>208423.91934972297</v>
      </c>
      <c r="H24" s="279">
        <f t="shared" si="3"/>
        <v>7.8068541407177117E-2</v>
      </c>
      <c r="I24" s="249"/>
      <c r="J24" s="17"/>
      <c r="K24" s="17"/>
      <c r="L24" s="17"/>
      <c r="M24" s="17"/>
      <c r="N24" s="17"/>
      <c r="O24" s="248"/>
      <c r="S24" s="88"/>
      <c r="T24" s="42"/>
      <c r="U24" s="42"/>
      <c r="V24" s="42"/>
      <c r="W24" s="42" t="s">
        <v>414</v>
      </c>
      <c r="X24" s="42" t="s">
        <v>513</v>
      </c>
      <c r="Y24" s="42"/>
      <c r="Z24" s="42"/>
      <c r="AA24" s="42"/>
      <c r="AB24" s="39"/>
      <c r="AC24" s="39"/>
      <c r="AD24" s="39"/>
      <c r="AE24" s="39"/>
      <c r="AF24" s="39"/>
      <c r="AG24" s="39"/>
      <c r="AH24" s="39"/>
      <c r="AI24" s="39"/>
      <c r="AJ24" s="39"/>
      <c r="AK24" s="39"/>
      <c r="AL24" s="39"/>
      <c r="AM24" s="39"/>
      <c r="AN24" s="39"/>
      <c r="AO24" s="39"/>
      <c r="AP24" s="39"/>
      <c r="AQ24" s="39"/>
      <c r="AR24" s="39"/>
    </row>
    <row r="25" spans="2:44">
      <c r="B25" s="5" t="s">
        <v>183</v>
      </c>
      <c r="C25" s="548">
        <v>43696.2</v>
      </c>
      <c r="D25" s="540">
        <v>77136.744914808631</v>
      </c>
      <c r="E25" s="540">
        <v>68789.930408563989</v>
      </c>
      <c r="F25" s="540">
        <v>105252.83642317035</v>
      </c>
      <c r="G25" s="540">
        <v>134136.05590784285</v>
      </c>
      <c r="H25" s="279">
        <f>IF(D25=0,"nm",IF(G25=0,"nm",(G25/D25)^(1/3)-1))</f>
        <v>0.20252673734908933</v>
      </c>
      <c r="I25" s="248"/>
      <c r="J25" s="247" t="s">
        <v>10</v>
      </c>
      <c r="K25" s="247"/>
      <c r="L25" s="321">
        <v>0</v>
      </c>
      <c r="M25" s="321">
        <v>0</v>
      </c>
      <c r="N25" s="321">
        <v>0</v>
      </c>
      <c r="O25" s="321">
        <v>0</v>
      </c>
      <c r="P25" s="279" t="str">
        <f>IF(L25=0,"nm",IF(O25=0,"nm",(O25/L25)^(1/3)-1))</f>
        <v>nm</v>
      </c>
      <c r="S25" s="88"/>
      <c r="T25" s="42"/>
      <c r="U25" s="42"/>
      <c r="V25" s="147" t="s">
        <v>273</v>
      </c>
      <c r="W25" s="288">
        <f>D37/L9</f>
        <v>0.70392968339971973</v>
      </c>
      <c r="X25" s="288">
        <v>1</v>
      </c>
      <c r="Y25" s="42"/>
      <c r="Z25" s="42"/>
      <c r="AA25" s="42"/>
      <c r="AB25" s="39"/>
      <c r="AC25" s="39"/>
      <c r="AD25" s="39"/>
      <c r="AE25" s="39"/>
      <c r="AF25" s="39"/>
      <c r="AG25" s="39"/>
      <c r="AH25" s="39"/>
      <c r="AI25" s="39"/>
      <c r="AJ25" s="39"/>
      <c r="AK25" s="39"/>
      <c r="AL25" s="39"/>
      <c r="AM25" s="39"/>
      <c r="AN25" s="39"/>
      <c r="AO25" s="39"/>
      <c r="AP25" s="39"/>
      <c r="AQ25" s="39"/>
      <c r="AR25" s="39"/>
    </row>
    <row r="26" spans="2:44">
      <c r="B26" s="5" t="s">
        <v>586</v>
      </c>
      <c r="C26" s="548">
        <v>30587.339999999997</v>
      </c>
      <c r="D26" s="540">
        <v>53995.72144036604</v>
      </c>
      <c r="E26" s="540">
        <v>48152.951285994786</v>
      </c>
      <c r="F26" s="540">
        <v>73676.985496219233</v>
      </c>
      <c r="G26" s="540">
        <v>93895.239135489988</v>
      </c>
      <c r="H26" s="279">
        <f>IF(D26=0,"nm",IF(G26=0,"nm",(G26/D26)^(1/3)-1))</f>
        <v>0.20252673734908933</v>
      </c>
      <c r="I26" s="249"/>
      <c r="J26" s="249" t="s">
        <v>11</v>
      </c>
      <c r="K26" s="249"/>
      <c r="L26" s="281">
        <f>D11+L25</f>
        <v>711160.85</v>
      </c>
      <c r="M26" s="281">
        <f>E11+M25</f>
        <v>711160.85</v>
      </c>
      <c r="N26" s="281">
        <f>F11+N25</f>
        <v>711160.85</v>
      </c>
      <c r="O26" s="281">
        <f>G11+O25</f>
        <v>711160.85</v>
      </c>
      <c r="P26" s="279">
        <f>IF(L26=0,"nm",IF(O26=0,"nm",(O26/L26)^(1/3)-1))</f>
        <v>0</v>
      </c>
      <c r="Q26" s="5"/>
      <c r="S26" s="88"/>
      <c r="T26" s="42"/>
      <c r="U26" s="42"/>
      <c r="V26" s="147" t="s">
        <v>184</v>
      </c>
      <c r="W26" s="288">
        <f t="shared" ref="W26:W33" si="5">D38/L10</f>
        <v>0.58592944494579702</v>
      </c>
      <c r="X26" s="288">
        <v>1</v>
      </c>
      <c r="Y26" s="42"/>
      <c r="Z26" s="42"/>
      <c r="AA26" s="42"/>
      <c r="AB26" s="39"/>
      <c r="AC26" s="39"/>
      <c r="AD26" s="39"/>
      <c r="AE26" s="39"/>
      <c r="AF26" s="39"/>
      <c r="AG26" s="39"/>
      <c r="AH26" s="39"/>
      <c r="AI26" s="39"/>
      <c r="AJ26" s="39"/>
      <c r="AK26" s="39"/>
      <c r="AL26" s="39"/>
      <c r="AM26" s="39"/>
      <c r="AN26" s="39"/>
      <c r="AO26" s="39"/>
      <c r="AP26" s="39"/>
      <c r="AQ26" s="39"/>
      <c r="AR26" s="39"/>
    </row>
    <row r="27" spans="2:44">
      <c r="B27" s="5" t="s">
        <v>587</v>
      </c>
      <c r="C27" s="549">
        <v>210529.00000000003</v>
      </c>
      <c r="D27" s="540">
        <v>326781.36608214444</v>
      </c>
      <c r="E27" s="540">
        <v>426503.50512776879</v>
      </c>
      <c r="F27" s="540">
        <v>531044.34127623576</v>
      </c>
      <c r="G27" s="540">
        <v>619700.2804444033</v>
      </c>
      <c r="H27" s="279">
        <f t="shared" si="3"/>
        <v>0.23777432397007026</v>
      </c>
      <c r="I27" s="249"/>
      <c r="J27" s="248"/>
      <c r="K27" s="248"/>
      <c r="L27" s="248"/>
      <c r="M27" s="248"/>
      <c r="N27" s="248"/>
      <c r="O27" s="248"/>
      <c r="Q27" s="41"/>
      <c r="S27" s="88"/>
      <c r="T27" s="42"/>
      <c r="U27" s="42"/>
      <c r="V27" s="147" t="s">
        <v>185</v>
      </c>
      <c r="W27" s="288">
        <f t="shared" si="5"/>
        <v>0.65506394285425562</v>
      </c>
      <c r="X27" s="288">
        <v>1</v>
      </c>
      <c r="Y27" s="42"/>
      <c r="Z27" s="42"/>
      <c r="AA27" s="42"/>
      <c r="AB27" s="39"/>
      <c r="AC27" s="39"/>
      <c r="AD27" s="39"/>
      <c r="AE27" s="39"/>
      <c r="AF27" s="39"/>
      <c r="AG27" s="39"/>
      <c r="AH27" s="39"/>
      <c r="AI27" s="39"/>
      <c r="AJ27" s="39"/>
      <c r="AK27" s="39"/>
      <c r="AL27" s="39"/>
      <c r="AM27" s="39"/>
      <c r="AN27" s="39"/>
      <c r="AO27" s="39"/>
      <c r="AP27" s="39"/>
      <c r="AQ27" s="39"/>
      <c r="AR27" s="39"/>
    </row>
    <row r="28" spans="2:44" ht="12.6" thickBot="1">
      <c r="B28" s="5" t="s">
        <v>592</v>
      </c>
      <c r="C28" s="548">
        <v>221987.6</v>
      </c>
      <c r="D28" s="540">
        <v>265545.72261128447</v>
      </c>
      <c r="E28" s="540">
        <v>281023.96868593432</v>
      </c>
      <c r="F28" s="540">
        <v>285145.98987395456</v>
      </c>
      <c r="G28" s="540">
        <v>285860.99681478203</v>
      </c>
      <c r="H28" s="279">
        <f t="shared" si="3"/>
        <v>2.4877277502107997E-2</v>
      </c>
      <c r="I28" s="248"/>
      <c r="J28" s="306" t="s">
        <v>1362</v>
      </c>
      <c r="K28" s="306"/>
      <c r="L28" s="306"/>
      <c r="M28" s="306"/>
      <c r="N28" s="266"/>
      <c r="O28" s="266"/>
      <c r="P28" s="266"/>
      <c r="Q28" s="5"/>
      <c r="S28" s="88"/>
      <c r="T28" s="42"/>
      <c r="U28" s="42"/>
      <c r="V28" s="147" t="s">
        <v>466</v>
      </c>
      <c r="W28" s="288">
        <f t="shared" si="5"/>
        <v>0.63012606100519275</v>
      </c>
      <c r="X28" s="288">
        <v>1</v>
      </c>
      <c r="Y28" s="42"/>
      <c r="Z28" s="42"/>
      <c r="AA28" s="42"/>
      <c r="AB28" s="39"/>
      <c r="AC28" s="39"/>
      <c r="AD28" s="39"/>
      <c r="AE28" s="39"/>
      <c r="AF28" s="39"/>
      <c r="AG28" s="39"/>
      <c r="AH28" s="39"/>
      <c r="AI28" s="39"/>
      <c r="AJ28" s="39"/>
      <c r="AK28" s="39"/>
      <c r="AL28" s="39"/>
      <c r="AM28" s="39"/>
      <c r="AN28" s="39"/>
      <c r="AO28" s="39"/>
      <c r="AP28" s="39"/>
      <c r="AQ28" s="39"/>
      <c r="AR28" s="39"/>
    </row>
    <row r="29" spans="2:44" ht="12.6" thickTop="1">
      <c r="B29" s="5" t="s">
        <v>588</v>
      </c>
      <c r="C29" s="548">
        <v>29385.599999999991</v>
      </c>
      <c r="D29" s="540">
        <v>54077.498388288222</v>
      </c>
      <c r="E29" s="540">
        <v>41791.394062692212</v>
      </c>
      <c r="F29" s="540">
        <v>73137.84418672169</v>
      </c>
      <c r="G29" s="540">
        <v>95924.882576064789</v>
      </c>
      <c r="H29" s="279">
        <f>IF(D29=0,"nm",IF(G29=0,"nm",(G29/D29)^(1/3)-1))</f>
        <v>0.21051886246874441</v>
      </c>
      <c r="I29" s="252"/>
      <c r="J29" s="249"/>
      <c r="K29" s="249"/>
      <c r="L29" s="249"/>
      <c r="M29" s="249"/>
      <c r="N29" s="249"/>
      <c r="O29" s="251"/>
      <c r="Q29" s="5"/>
      <c r="S29" s="88"/>
      <c r="T29" s="42"/>
      <c r="U29" s="42"/>
      <c r="V29" s="147" t="s">
        <v>530</v>
      </c>
      <c r="W29" s="288">
        <f t="shared" si="5"/>
        <v>0.74133131790273277</v>
      </c>
      <c r="X29" s="288">
        <v>1</v>
      </c>
      <c r="Y29" s="42"/>
      <c r="Z29" s="42"/>
      <c r="AA29" s="42"/>
      <c r="AB29" s="39"/>
      <c r="AC29" s="39"/>
      <c r="AD29" s="39"/>
      <c r="AE29" s="39"/>
      <c r="AF29" s="39"/>
      <c r="AG29" s="39"/>
      <c r="AH29" s="39"/>
      <c r="AI29" s="39"/>
      <c r="AJ29" s="39"/>
      <c r="AK29" s="39"/>
      <c r="AL29" s="39"/>
      <c r="AM29" s="39"/>
      <c r="AN29" s="39"/>
      <c r="AO29" s="39"/>
      <c r="AP29" s="39"/>
      <c r="AQ29" s="39"/>
      <c r="AR29" s="39"/>
    </row>
    <row r="30" spans="2:44">
      <c r="B30" s="5" t="s">
        <v>589</v>
      </c>
      <c r="C30" s="549">
        <v>62268.899999999994</v>
      </c>
      <c r="D30" s="540">
        <v>65532.197996753879</v>
      </c>
      <c r="E30" s="540">
        <v>64986.877003339861</v>
      </c>
      <c r="F30" s="540">
        <v>70135.688793696172</v>
      </c>
      <c r="G30" s="540">
        <v>75346.231946245302</v>
      </c>
      <c r="H30" s="279">
        <f t="shared" si="3"/>
        <v>4.7616350087195558E-2</v>
      </c>
      <c r="I30" s="254"/>
      <c r="J30" s="248"/>
      <c r="K30" s="248"/>
      <c r="L30" s="248"/>
      <c r="M30" s="248"/>
      <c r="N30" s="248"/>
      <c r="O30" s="5"/>
      <c r="Q30" s="5"/>
      <c r="S30" s="88"/>
      <c r="T30" s="42"/>
      <c r="U30" s="42"/>
      <c r="V30" s="147" t="s">
        <v>593</v>
      </c>
      <c r="W30" s="288">
        <f t="shared" si="5"/>
        <v>0.63151053841597271</v>
      </c>
      <c r="X30" s="288">
        <v>1</v>
      </c>
      <c r="Y30" s="42"/>
      <c r="Z30" s="42"/>
      <c r="AA30" s="42"/>
      <c r="AB30" s="39"/>
      <c r="AC30" s="39"/>
      <c r="AD30" s="39"/>
      <c r="AE30" s="39"/>
      <c r="AF30" s="39"/>
      <c r="AG30" s="39"/>
      <c r="AH30" s="39"/>
      <c r="AI30" s="39"/>
      <c r="AJ30" s="39"/>
      <c r="AK30" s="39"/>
      <c r="AL30" s="39"/>
      <c r="AM30" s="39"/>
      <c r="AN30" s="39"/>
      <c r="AO30" s="39"/>
      <c r="AP30" s="39"/>
      <c r="AQ30" s="39"/>
      <c r="AR30" s="39"/>
    </row>
    <row r="31" spans="2:44">
      <c r="B31" s="5" t="s">
        <v>590</v>
      </c>
      <c r="C31" s="549">
        <v>48078.48</v>
      </c>
      <c r="D31" s="540">
        <v>39974.640778019864</v>
      </c>
      <c r="E31" s="540">
        <v>51989.501602671895</v>
      </c>
      <c r="F31" s="540">
        <v>63122.119914326548</v>
      </c>
      <c r="G31" s="540">
        <v>71578.920348933039</v>
      </c>
      <c r="H31" s="279">
        <f>IF(D31=0,"nm",IF(G31=0,"nm",(G31/D31)^(1/3)-1))</f>
        <v>0.21432105304348426</v>
      </c>
      <c r="I31" s="254"/>
      <c r="J31" s="252"/>
      <c r="K31" s="252"/>
      <c r="L31" s="252"/>
      <c r="M31" s="252"/>
      <c r="N31" s="252"/>
      <c r="O31" s="5"/>
      <c r="Q31" s="5"/>
      <c r="S31" s="88"/>
      <c r="T31" s="42"/>
      <c r="U31" s="42"/>
      <c r="V31" s="147" t="s">
        <v>475</v>
      </c>
      <c r="W31" s="288">
        <f t="shared" si="5"/>
        <v>0.42212606349147197</v>
      </c>
      <c r="X31" s="288">
        <v>1</v>
      </c>
      <c r="Y31" s="42"/>
      <c r="Z31" s="42"/>
      <c r="AA31" s="42"/>
      <c r="AB31" s="39"/>
      <c r="AC31" s="39"/>
      <c r="AD31" s="39"/>
      <c r="AE31" s="39"/>
      <c r="AF31" s="39"/>
      <c r="AG31" s="39"/>
      <c r="AH31" s="39"/>
      <c r="AI31" s="39"/>
      <c r="AJ31" s="39"/>
      <c r="AK31" s="39"/>
      <c r="AL31" s="39"/>
      <c r="AM31" s="39"/>
      <c r="AN31" s="39"/>
      <c r="AO31" s="39"/>
      <c r="AP31" s="39"/>
      <c r="AQ31" s="39"/>
      <c r="AR31" s="39"/>
    </row>
    <row r="32" spans="2:44">
      <c r="B32" s="5" t="s">
        <v>606</v>
      </c>
      <c r="C32" s="550">
        <v>0</v>
      </c>
      <c r="D32" s="540">
        <v>0</v>
      </c>
      <c r="E32" s="540">
        <v>0</v>
      </c>
      <c r="F32" s="540">
        <v>0</v>
      </c>
      <c r="G32" s="540">
        <v>0</v>
      </c>
      <c r="H32" s="279" t="str">
        <f t="shared" si="3"/>
        <v>nm</v>
      </c>
      <c r="I32" s="254"/>
      <c r="J32" s="254"/>
      <c r="K32" s="254"/>
      <c r="L32" s="254"/>
      <c r="M32" s="254"/>
      <c r="N32" s="254"/>
      <c r="O32" s="251"/>
      <c r="Q32" s="5"/>
      <c r="S32" s="88"/>
      <c r="T32" s="42"/>
      <c r="U32" s="42"/>
      <c r="V32" s="147" t="s">
        <v>533</v>
      </c>
      <c r="W32" s="288">
        <f t="shared" si="5"/>
        <v>0.39298941746799043</v>
      </c>
      <c r="X32" s="288">
        <v>1</v>
      </c>
      <c r="Y32" s="42"/>
      <c r="Z32" s="42"/>
      <c r="AA32" s="42"/>
      <c r="AB32" s="39"/>
      <c r="AC32" s="39"/>
      <c r="AD32" s="39"/>
      <c r="AE32" s="39"/>
      <c r="AF32" s="39"/>
      <c r="AG32" s="39"/>
      <c r="AH32" s="39"/>
      <c r="AI32" s="39"/>
      <c r="AJ32" s="39"/>
      <c r="AK32" s="39"/>
      <c r="AL32" s="39"/>
      <c r="AM32" s="39"/>
      <c r="AN32" s="39"/>
      <c r="AO32" s="39"/>
      <c r="AP32" s="39"/>
      <c r="AQ32" s="39"/>
      <c r="AR32" s="39"/>
    </row>
    <row r="33" spans="2:44">
      <c r="B33" s="5" t="s">
        <v>5</v>
      </c>
      <c r="C33" s="549">
        <v>9098.7999999999993</v>
      </c>
      <c r="D33" s="540">
        <v>13183.151441594298</v>
      </c>
      <c r="E33" s="540">
        <v>14967.929543996705</v>
      </c>
      <c r="F33" s="540">
        <v>15601.654400209301</v>
      </c>
      <c r="G33" s="540">
        <v>15258.340266083447</v>
      </c>
      <c r="H33" s="279">
        <f>IF(D33=0,"nm",IF(G33=0,"nm",(G33/D33)^(1/3)-1))</f>
        <v>4.9935656357972036E-2</v>
      </c>
      <c r="I33" s="5"/>
      <c r="J33" s="254"/>
      <c r="K33" s="254"/>
      <c r="L33" s="254"/>
      <c r="M33" s="254"/>
      <c r="N33" s="254"/>
      <c r="O33" s="251"/>
      <c r="Q33" s="5"/>
      <c r="S33" s="88"/>
      <c r="T33" s="42"/>
      <c r="U33" s="42"/>
      <c r="V33" s="147" t="s">
        <v>580</v>
      </c>
      <c r="W33" s="288">
        <f t="shared" si="5"/>
        <v>2.804643189419715</v>
      </c>
      <c r="X33" s="288">
        <v>1</v>
      </c>
      <c r="Y33" s="42"/>
      <c r="Z33" s="42"/>
      <c r="AA33" s="42"/>
      <c r="AB33" s="39"/>
      <c r="AC33" s="39"/>
      <c r="AD33" s="39"/>
      <c r="AE33" s="39"/>
      <c r="AF33" s="39"/>
      <c r="AG33" s="39"/>
      <c r="AH33" s="39"/>
      <c r="AI33" s="39"/>
      <c r="AJ33" s="39"/>
      <c r="AK33" s="39"/>
      <c r="AL33" s="39"/>
      <c r="AM33" s="39"/>
      <c r="AN33" s="39"/>
      <c r="AO33" s="39"/>
      <c r="AP33" s="39"/>
      <c r="AQ33" s="39"/>
      <c r="AR33" s="39"/>
    </row>
    <row r="34" spans="2:44">
      <c r="B34" s="5"/>
      <c r="C34" s="5"/>
      <c r="D34" s="5"/>
      <c r="E34" s="5"/>
      <c r="F34" s="5"/>
      <c r="G34" s="5"/>
      <c r="H34" s="5"/>
      <c r="I34" s="49"/>
      <c r="J34" s="254"/>
      <c r="K34" s="254"/>
      <c r="L34" s="254"/>
      <c r="M34" s="254"/>
      <c r="N34" s="254"/>
      <c r="O34" s="251"/>
      <c r="Q34" s="5"/>
      <c r="S34" s="88"/>
      <c r="T34" s="42"/>
      <c r="U34" s="42"/>
      <c r="V34" s="147" t="s">
        <v>581</v>
      </c>
      <c r="W34" s="288">
        <f>D47/L19</f>
        <v>2.3689605700459255</v>
      </c>
      <c r="X34" s="288">
        <v>1</v>
      </c>
      <c r="Y34" s="288"/>
      <c r="Z34" s="288"/>
      <c r="AA34" s="42"/>
      <c r="AB34" s="39"/>
      <c r="AC34" s="39"/>
      <c r="AD34" s="39"/>
      <c r="AE34" s="39"/>
      <c r="AF34" s="39"/>
      <c r="AG34" s="39"/>
      <c r="AH34" s="39"/>
      <c r="AI34" s="39"/>
      <c r="AJ34" s="39"/>
      <c r="AK34" s="39"/>
      <c r="AL34" s="39"/>
      <c r="AM34" s="39"/>
      <c r="AN34" s="39"/>
      <c r="AO34" s="39"/>
      <c r="AP34" s="39"/>
      <c r="AQ34" s="39"/>
      <c r="AR34" s="39"/>
    </row>
    <row r="35" spans="2:44" ht="12.6" thickBot="1">
      <c r="B35" s="306" t="s">
        <v>648</v>
      </c>
      <c r="C35" s="265"/>
      <c r="D35" s="265" t="str">
        <f>D5</f>
        <v>2023E</v>
      </c>
      <c r="E35" s="265" t="str">
        <f t="shared" ref="E35:H35" si="6">E5</f>
        <v>2024E</v>
      </c>
      <c r="F35" s="265" t="str">
        <f t="shared" si="6"/>
        <v>2025E</v>
      </c>
      <c r="G35" s="265" t="str">
        <f t="shared" si="6"/>
        <v>2026E</v>
      </c>
      <c r="H35" s="265" t="str">
        <f t="shared" si="6"/>
        <v>23E-26E</v>
      </c>
      <c r="I35" s="254"/>
      <c r="J35" s="5"/>
      <c r="K35" s="5"/>
      <c r="L35" s="5"/>
      <c r="M35" s="5"/>
      <c r="N35" s="5"/>
      <c r="O35" s="5"/>
      <c r="Q35" s="5"/>
      <c r="S35" s="88"/>
      <c r="T35" s="42"/>
      <c r="U35" s="42"/>
      <c r="V35" s="42"/>
      <c r="W35" s="42"/>
      <c r="X35" s="42"/>
      <c r="Y35" s="288"/>
      <c r="Z35" s="288"/>
      <c r="AA35" s="42"/>
      <c r="AB35" s="39"/>
      <c r="AC35" s="39"/>
      <c r="AD35" s="39"/>
      <c r="AE35" s="39"/>
      <c r="AF35" s="39"/>
      <c r="AG35" s="39"/>
      <c r="AH35" s="39"/>
      <c r="AI35" s="39"/>
      <c r="AJ35" s="39"/>
      <c r="AK35" s="39"/>
      <c r="AL35" s="39"/>
      <c r="AM35" s="39"/>
      <c r="AN35" s="39"/>
      <c r="AO35" s="39"/>
      <c r="AP35" s="39"/>
      <c r="AQ35" s="39"/>
      <c r="AR35" s="39"/>
    </row>
    <row r="36" spans="2:44" ht="12.6" thickTop="1">
      <c r="B36" s="41"/>
      <c r="C36" s="249"/>
      <c r="D36" s="254"/>
      <c r="E36" s="254"/>
      <c r="F36" s="254"/>
      <c r="G36" s="254"/>
      <c r="H36" s="254"/>
      <c r="I36" s="17"/>
      <c r="J36" s="49"/>
      <c r="K36" s="49"/>
      <c r="L36" s="49"/>
      <c r="M36" s="49"/>
      <c r="N36" s="49"/>
      <c r="O36" s="49"/>
      <c r="Q36" s="5"/>
      <c r="S36" s="88"/>
      <c r="T36" s="42"/>
      <c r="U36" s="42"/>
      <c r="V36" s="42"/>
      <c r="W36" s="42"/>
      <c r="X36" s="42"/>
      <c r="Y36" s="288"/>
      <c r="Z36" s="288"/>
      <c r="AA36" s="42"/>
      <c r="AB36" s="39"/>
      <c r="AC36" s="39"/>
      <c r="AD36" s="39"/>
      <c r="AE36" s="39"/>
      <c r="AF36" s="39"/>
      <c r="AG36" s="39"/>
      <c r="AH36" s="39"/>
      <c r="AI36" s="39"/>
      <c r="AJ36" s="39"/>
      <c r="AK36" s="39"/>
      <c r="AL36" s="39"/>
      <c r="AM36" s="39"/>
      <c r="AN36" s="39"/>
      <c r="AO36" s="39"/>
      <c r="AP36" s="39"/>
      <c r="AQ36" s="39"/>
      <c r="AR36" s="39"/>
    </row>
    <row r="37" spans="2:44">
      <c r="B37" s="5" t="s">
        <v>273</v>
      </c>
      <c r="C37" s="247"/>
      <c r="D37" s="529">
        <f>D$18/D23</f>
        <v>2.1379762162372717</v>
      </c>
      <c r="E37" s="529">
        <f t="shared" ref="E37:G41" si="7">E$18/E23</f>
        <v>1.9051056071150716</v>
      </c>
      <c r="F37" s="529">
        <f t="shared" si="7"/>
        <v>1.6713247811581082</v>
      </c>
      <c r="G37" s="529">
        <f t="shared" si="7"/>
        <v>1.403252478072782</v>
      </c>
      <c r="H37" s="17">
        <f t="shared" ref="H37:H44" si="8">H23</f>
        <v>7.1711404607406992E-2</v>
      </c>
      <c r="I37" s="5"/>
      <c r="J37" s="259"/>
      <c r="K37" s="259"/>
      <c r="L37" s="259"/>
      <c r="M37" s="259"/>
      <c r="N37" s="259"/>
      <c r="O37" s="18"/>
      <c r="Q37" s="5"/>
      <c r="R37" s="5"/>
      <c r="S37" s="42"/>
      <c r="T37" s="42"/>
      <c r="U37" s="42"/>
      <c r="V37" s="42"/>
      <c r="W37" s="42"/>
      <c r="X37" s="42"/>
      <c r="Y37" s="42"/>
      <c r="Z37" s="42"/>
      <c r="AA37" s="42"/>
      <c r="AB37" s="39"/>
      <c r="AC37" s="39"/>
      <c r="AD37" s="39"/>
      <c r="AE37" s="39"/>
      <c r="AF37" s="39"/>
      <c r="AG37" s="39"/>
      <c r="AH37" s="39"/>
      <c r="AI37" s="39"/>
      <c r="AJ37" s="39"/>
      <c r="AK37" s="39"/>
      <c r="AL37" s="39"/>
      <c r="AM37" s="39"/>
      <c r="AN37" s="39"/>
      <c r="AO37" s="39"/>
      <c r="AP37" s="39"/>
      <c r="AQ37" s="39"/>
      <c r="AR37" s="39"/>
    </row>
    <row r="38" spans="2:44">
      <c r="B38" s="5" t="s">
        <v>184</v>
      </c>
      <c r="C38" s="247"/>
      <c r="D38" s="529">
        <f>D$18/D24</f>
        <v>4.2326501749961523</v>
      </c>
      <c r="E38" s="529">
        <f t="shared" si="7"/>
        <v>3.7559170740729182</v>
      </c>
      <c r="F38" s="529">
        <f t="shared" si="7"/>
        <v>3.2334659691282921</v>
      </c>
      <c r="G38" s="529">
        <f t="shared" si="7"/>
        <v>2.7292276409590754</v>
      </c>
      <c r="H38" s="17">
        <f t="shared" si="8"/>
        <v>7.8068541407177117E-2</v>
      </c>
      <c r="I38" s="259"/>
      <c r="J38" s="17"/>
      <c r="K38" s="17"/>
      <c r="L38" s="17"/>
      <c r="M38" s="17"/>
      <c r="N38" s="17"/>
      <c r="O38" s="5"/>
      <c r="Q38" s="5"/>
      <c r="R38" s="5"/>
      <c r="S38" s="42"/>
      <c r="T38" s="42"/>
      <c r="U38" s="42"/>
      <c r="V38" s="42"/>
      <c r="W38" s="42"/>
      <c r="X38" s="42"/>
      <c r="Y38" s="42"/>
      <c r="Z38" s="42"/>
      <c r="AA38" s="42"/>
      <c r="AB38" s="39"/>
      <c r="AC38" s="39"/>
      <c r="AD38" s="39"/>
      <c r="AE38" s="39"/>
      <c r="AF38" s="39"/>
      <c r="AG38" s="39"/>
      <c r="AH38" s="39"/>
      <c r="AI38" s="39"/>
      <c r="AJ38" s="39"/>
      <c r="AK38" s="39"/>
      <c r="AL38" s="39"/>
      <c r="AM38" s="39"/>
      <c r="AN38" s="39"/>
      <c r="AO38" s="39"/>
      <c r="AP38" s="39"/>
      <c r="AQ38" s="39"/>
      <c r="AR38" s="39"/>
    </row>
    <row r="39" spans="2:44">
      <c r="B39" s="5" t="s">
        <v>185</v>
      </c>
      <c r="C39" s="247"/>
      <c r="D39" s="529">
        <f>D$18/D25</f>
        <v>9.1276610879085673</v>
      </c>
      <c r="E39" s="529">
        <f t="shared" si="7"/>
        <v>9.8532835501814375</v>
      </c>
      <c r="F39" s="529">
        <f t="shared" si="7"/>
        <v>6.0588274297803997</v>
      </c>
      <c r="G39" s="529">
        <f t="shared" si="7"/>
        <v>4.2407413717092117</v>
      </c>
      <c r="H39" s="17">
        <f t="shared" si="8"/>
        <v>0.20252673734908933</v>
      </c>
      <c r="I39" s="17"/>
      <c r="J39" s="5"/>
      <c r="K39" s="5"/>
      <c r="L39" s="5"/>
      <c r="M39" s="5"/>
      <c r="N39" s="5"/>
      <c r="O39" s="5"/>
      <c r="Q39" s="5"/>
      <c r="R39" s="5"/>
      <c r="S39" s="42"/>
      <c r="T39" s="42"/>
      <c r="U39" s="42"/>
      <c r="V39" s="42"/>
      <c r="W39" s="42"/>
      <c r="X39" s="42"/>
      <c r="Y39" s="42"/>
      <c r="Z39" s="42"/>
      <c r="AA39" s="42"/>
      <c r="AB39" s="39"/>
      <c r="AC39" s="39"/>
      <c r="AD39" s="39"/>
      <c r="AE39" s="39"/>
      <c r="AF39" s="39"/>
      <c r="AG39" s="39"/>
      <c r="AH39" s="39"/>
      <c r="AI39" s="39"/>
      <c r="AJ39" s="39"/>
      <c r="AK39" s="39"/>
      <c r="AL39" s="39"/>
      <c r="AM39" s="39"/>
      <c r="AN39" s="39"/>
      <c r="AO39" s="39"/>
      <c r="AP39" s="39"/>
      <c r="AQ39" s="39"/>
      <c r="AR39" s="39"/>
    </row>
    <row r="40" spans="2:44">
      <c r="B40" s="5" t="s">
        <v>466</v>
      </c>
      <c r="C40" s="247"/>
      <c r="D40" s="529">
        <f>D$18/D26</f>
        <v>13.039515839869383</v>
      </c>
      <c r="E40" s="529">
        <f t="shared" si="7"/>
        <v>14.076119357402055</v>
      </c>
      <c r="F40" s="529">
        <f t="shared" si="7"/>
        <v>8.6554677568291449</v>
      </c>
      <c r="G40" s="529">
        <f t="shared" si="7"/>
        <v>6.0582019595845882</v>
      </c>
      <c r="H40" s="17">
        <f>H26</f>
        <v>0.20252673734908933</v>
      </c>
      <c r="I40" s="5"/>
      <c r="J40" s="259"/>
      <c r="K40" s="259"/>
      <c r="L40" s="259"/>
      <c r="M40" s="259"/>
      <c r="N40" s="259"/>
      <c r="O40" s="18"/>
      <c r="Q40" s="5"/>
      <c r="R40" s="5"/>
      <c r="S40" s="42"/>
      <c r="T40" s="42"/>
      <c r="U40" s="42"/>
      <c r="V40" s="42"/>
      <c r="W40" s="288"/>
      <c r="X40" s="288"/>
      <c r="Y40" s="42"/>
      <c r="Z40" s="42"/>
      <c r="AA40" s="42"/>
      <c r="AB40" s="39"/>
      <c r="AC40" s="39"/>
      <c r="AD40" s="39"/>
      <c r="AE40" s="39"/>
      <c r="AF40" s="39"/>
      <c r="AG40" s="39"/>
      <c r="AH40" s="39"/>
      <c r="AI40" s="39"/>
      <c r="AJ40" s="39"/>
      <c r="AK40" s="39"/>
      <c r="AL40" s="39"/>
      <c r="AM40" s="39"/>
      <c r="AN40" s="39"/>
      <c r="AO40" s="39"/>
      <c r="AP40" s="39"/>
      <c r="AQ40" s="39"/>
      <c r="AR40" s="39"/>
    </row>
    <row r="41" spans="2:44">
      <c r="B41" s="5" t="s">
        <v>530</v>
      </c>
      <c r="C41" s="247"/>
      <c r="D41" s="529">
        <f>D$18/D27</f>
        <v>2.1545844961974994</v>
      </c>
      <c r="E41" s="529">
        <f t="shared" si="7"/>
        <v>1.5892171613215162</v>
      </c>
      <c r="F41" s="529">
        <f t="shared" si="7"/>
        <v>1.2008578621708241</v>
      </c>
      <c r="G41" s="529">
        <f t="shared" si="7"/>
        <v>0.91792167871597796</v>
      </c>
      <c r="H41" s="17">
        <f t="shared" si="8"/>
        <v>0.23777432397007026</v>
      </c>
      <c r="I41" s="247"/>
      <c r="J41" s="17"/>
      <c r="K41" s="17"/>
      <c r="L41" s="17"/>
      <c r="M41" s="17"/>
      <c r="N41" s="17"/>
      <c r="O41" s="5"/>
      <c r="Q41" s="5"/>
      <c r="R41" s="5"/>
      <c r="S41" s="42"/>
      <c r="T41" s="42"/>
      <c r="U41" s="42"/>
      <c r="V41" s="42"/>
      <c r="W41" s="288"/>
      <c r="X41" s="288"/>
      <c r="Y41" s="288"/>
      <c r="Z41" s="288"/>
      <c r="AA41" s="42"/>
      <c r="AB41" s="39"/>
      <c r="AC41" s="39"/>
      <c r="AD41" s="39"/>
      <c r="AE41" s="39"/>
      <c r="AF41" s="39"/>
      <c r="AG41" s="39"/>
      <c r="AH41" s="39"/>
      <c r="AI41" s="39"/>
      <c r="AJ41" s="39"/>
      <c r="AK41" s="39"/>
      <c r="AL41" s="39"/>
      <c r="AM41" s="39"/>
      <c r="AN41" s="39"/>
      <c r="AO41" s="39"/>
      <c r="AP41" s="39"/>
      <c r="AQ41" s="39"/>
      <c r="AR41" s="39"/>
    </row>
    <row r="42" spans="2:44">
      <c r="B42" s="5" t="s">
        <v>593</v>
      </c>
      <c r="C42" s="247"/>
      <c r="D42" s="529">
        <f>D18/D28</f>
        <v>2.651438170734473</v>
      </c>
      <c r="E42" s="529">
        <f>E18/E28</f>
        <v>2.4119177196245847</v>
      </c>
      <c r="F42" s="529">
        <f>F18/F28</f>
        <v>2.2364290399622515</v>
      </c>
      <c r="G42" s="529">
        <f>G18/G28</f>
        <v>1.9899053318381004</v>
      </c>
      <c r="H42" s="17">
        <f t="shared" si="8"/>
        <v>2.4877277502107997E-2</v>
      </c>
      <c r="I42" s="248"/>
      <c r="J42" s="5"/>
      <c r="K42" s="5"/>
      <c r="L42" s="5"/>
      <c r="M42" s="5"/>
      <c r="N42" s="5"/>
      <c r="O42" s="5"/>
      <c r="Q42" s="5"/>
      <c r="R42" s="5"/>
      <c r="S42" s="42"/>
      <c r="T42" s="42"/>
      <c r="U42" s="42"/>
      <c r="V42" s="42"/>
      <c r="W42" s="288"/>
      <c r="X42" s="288"/>
      <c r="Y42" s="288"/>
      <c r="Z42" s="288"/>
      <c r="AA42" s="42"/>
      <c r="AB42" s="39"/>
      <c r="AC42" s="39"/>
      <c r="AD42" s="39"/>
      <c r="AE42" s="39"/>
      <c r="AF42" s="39"/>
      <c r="AG42" s="39"/>
      <c r="AH42" s="39"/>
      <c r="AI42" s="39"/>
      <c r="AJ42" s="39"/>
      <c r="AK42" s="39"/>
      <c r="AL42" s="39"/>
      <c r="AM42" s="39"/>
      <c r="AN42" s="39"/>
      <c r="AO42" s="39"/>
      <c r="AP42" s="39"/>
      <c r="AQ42" s="39"/>
      <c r="AR42" s="39"/>
    </row>
    <row r="43" spans="2:44">
      <c r="B43" s="5" t="s">
        <v>475</v>
      </c>
      <c r="C43" s="247"/>
      <c r="D43" s="529">
        <f>L26/D29</f>
        <v>13.150771969770313</v>
      </c>
      <c r="E43" s="529">
        <f>M26/E29</f>
        <v>17.016920970216297</v>
      </c>
      <c r="F43" s="529">
        <f>N26/F29</f>
        <v>9.7235686655515678</v>
      </c>
      <c r="G43" s="529">
        <f>O26/G29</f>
        <v>7.4137265629288258</v>
      </c>
      <c r="H43" s="17">
        <f t="shared" si="8"/>
        <v>0.21051886246874441</v>
      </c>
      <c r="I43" s="247"/>
      <c r="J43" s="247"/>
      <c r="K43" s="247"/>
      <c r="L43" s="247"/>
      <c r="M43" s="247"/>
      <c r="N43" s="247"/>
      <c r="O43" s="18"/>
      <c r="Q43" s="5"/>
      <c r="R43" s="5"/>
      <c r="S43" s="42"/>
      <c r="T43" s="42"/>
      <c r="U43" s="42"/>
      <c r="V43" s="42"/>
      <c r="W43" s="288"/>
      <c r="X43" s="288"/>
      <c r="Y43" s="288"/>
      <c r="Z43" s="288"/>
      <c r="AA43" s="42"/>
      <c r="AB43" s="39"/>
      <c r="AC43" s="39"/>
      <c r="AD43" s="39"/>
      <c r="AE43" s="39"/>
      <c r="AF43" s="39"/>
      <c r="AG43" s="39"/>
      <c r="AH43" s="39"/>
      <c r="AI43" s="39"/>
      <c r="AJ43" s="39"/>
      <c r="AK43" s="39"/>
      <c r="AL43" s="39"/>
      <c r="AM43" s="39"/>
      <c r="AN43" s="39"/>
      <c r="AO43" s="39"/>
      <c r="AP43" s="39"/>
      <c r="AQ43" s="39"/>
      <c r="AR43" s="39"/>
    </row>
    <row r="44" spans="2:44">
      <c r="B44" s="5" t="s">
        <v>533</v>
      </c>
      <c r="C44" s="69"/>
      <c r="D44" s="529">
        <f>D11/D30</f>
        <v>10.85208297202586</v>
      </c>
      <c r="E44" s="529">
        <f>E11/E30</f>
        <v>10.943145490180292</v>
      </c>
      <c r="F44" s="529">
        <f>F11/F30</f>
        <v>10.139785638833271</v>
      </c>
      <c r="G44" s="529">
        <f>G11/G30</f>
        <v>9.4385721970458665</v>
      </c>
      <c r="H44" s="17">
        <f t="shared" si="8"/>
        <v>4.7616350087195558E-2</v>
      </c>
      <c r="I44" s="247"/>
      <c r="J44" s="248"/>
      <c r="K44" s="248"/>
      <c r="L44" s="248"/>
      <c r="M44" s="248"/>
      <c r="N44" s="248"/>
      <c r="O44" s="248"/>
      <c r="Q44" s="5"/>
      <c r="R44" s="5"/>
      <c r="S44" s="42"/>
      <c r="T44" s="42"/>
      <c r="U44" s="42"/>
      <c r="V44" s="42"/>
      <c r="W44" s="325"/>
      <c r="X44" s="325"/>
      <c r="Y44" s="288"/>
      <c r="Z44" s="288"/>
      <c r="AA44" s="42"/>
      <c r="AB44" s="39"/>
      <c r="AC44" s="39"/>
      <c r="AD44" s="39"/>
      <c r="AE44" s="39"/>
      <c r="AF44" s="39"/>
      <c r="AG44" s="39"/>
      <c r="AH44" s="39"/>
      <c r="AI44" s="39"/>
      <c r="AJ44" s="39"/>
      <c r="AK44" s="39"/>
      <c r="AL44" s="39"/>
      <c r="AM44" s="39"/>
      <c r="AN44" s="39"/>
      <c r="AO44" s="39"/>
      <c r="AP44" s="39"/>
      <c r="AQ44" s="39"/>
      <c r="AR44" s="39"/>
    </row>
    <row r="45" spans="2:44">
      <c r="B45" s="5" t="s">
        <v>580</v>
      </c>
      <c r="C45" s="247"/>
      <c r="D45" s="248">
        <f>D31/D11</f>
        <v>5.6210406939611296E-2</v>
      </c>
      <c r="E45" s="248">
        <f>E31/E11</f>
        <v>7.3105123268065023E-2</v>
      </c>
      <c r="F45" s="248">
        <f>F31/F11</f>
        <v>8.8759272834446026E-2</v>
      </c>
      <c r="G45" s="248">
        <f>G31/G11</f>
        <v>0.10065081668786048</v>
      </c>
      <c r="H45" s="17">
        <f>H31</f>
        <v>0.21432105304348426</v>
      </c>
      <c r="I45" s="248"/>
      <c r="J45" s="247"/>
      <c r="K45" s="247"/>
      <c r="L45" s="247"/>
      <c r="M45" s="247"/>
      <c r="N45" s="247"/>
      <c r="O45" s="248"/>
      <c r="Q45" s="5"/>
      <c r="R45" s="5"/>
      <c r="S45" s="42"/>
      <c r="T45" s="42"/>
      <c r="U45" s="42"/>
      <c r="V45" s="42"/>
      <c r="W45" s="42"/>
      <c r="X45" s="42"/>
      <c r="Y45" s="325"/>
      <c r="Z45" s="325"/>
      <c r="AA45" s="42"/>
      <c r="AB45" s="39"/>
      <c r="AC45" s="39"/>
      <c r="AD45" s="39"/>
      <c r="AE45" s="39"/>
      <c r="AF45" s="39"/>
      <c r="AG45" s="39"/>
      <c r="AH45" s="39"/>
      <c r="AI45" s="39"/>
      <c r="AJ45" s="39"/>
      <c r="AK45" s="39"/>
      <c r="AL45" s="39"/>
      <c r="AM45" s="39"/>
      <c r="AN45" s="39"/>
      <c r="AO45" s="39"/>
      <c r="AP45" s="39"/>
      <c r="AQ45" s="39"/>
      <c r="AR45" s="39"/>
    </row>
    <row r="46" spans="2:44">
      <c r="B46" s="5" t="s">
        <v>605</v>
      </c>
      <c r="C46" s="247"/>
      <c r="D46" s="248">
        <f>(D31+D32)/D11</f>
        <v>5.6210406939611296E-2</v>
      </c>
      <c r="E46" s="248">
        <f>(E31+E32)/E11</f>
        <v>7.3105123268065023E-2</v>
      </c>
      <c r="F46" s="248">
        <f>(F31+F32)/F11</f>
        <v>8.8759272834446026E-2</v>
      </c>
      <c r="G46" s="248">
        <f>(G31+G32)/G11</f>
        <v>0.10065081668786048</v>
      </c>
      <c r="H46" s="279">
        <f>((G31+G32)/(D31+D32))^(1/3)-1</f>
        <v>0.21432105304348426</v>
      </c>
      <c r="I46" s="247"/>
      <c r="J46" s="247"/>
      <c r="K46" s="247"/>
      <c r="L46" s="247"/>
      <c r="M46" s="247"/>
      <c r="N46" s="247"/>
      <c r="O46" s="18"/>
      <c r="Q46" s="5"/>
      <c r="R46" s="5"/>
      <c r="S46" s="42"/>
      <c r="T46" s="42"/>
      <c r="U46" s="42"/>
      <c r="V46" s="42"/>
      <c r="W46" s="42"/>
      <c r="X46" s="42"/>
      <c r="Y46" s="42"/>
      <c r="Z46" s="42"/>
      <c r="AA46" s="326"/>
      <c r="AB46" s="39"/>
      <c r="AC46" s="39"/>
      <c r="AD46" s="39"/>
      <c r="AE46" s="39"/>
      <c r="AF46" s="39"/>
      <c r="AG46" s="39"/>
      <c r="AH46" s="39"/>
      <c r="AI46" s="39"/>
      <c r="AJ46" s="39"/>
      <c r="AK46" s="39"/>
      <c r="AL46" s="39"/>
      <c r="AM46" s="39"/>
      <c r="AN46" s="39"/>
      <c r="AO46" s="39"/>
      <c r="AP46" s="39"/>
      <c r="AQ46" s="39"/>
      <c r="AR46" s="39"/>
    </row>
    <row r="47" spans="2:44">
      <c r="B47" s="5" t="s">
        <v>581</v>
      </c>
      <c r="C47" s="5"/>
      <c r="D47" s="248">
        <f>1/D43</f>
        <v>7.604116338559444E-2</v>
      </c>
      <c r="E47" s="248">
        <f>1/E43</f>
        <v>5.8765037561744594E-2</v>
      </c>
      <c r="F47" s="248">
        <f>1/F43</f>
        <v>0.10284290000879787</v>
      </c>
      <c r="G47" s="248">
        <f>1/G43</f>
        <v>0.13488493155390202</v>
      </c>
      <c r="H47" s="17">
        <f>H29</f>
        <v>0.21051886246874441</v>
      </c>
      <c r="I47" s="17"/>
      <c r="J47" s="248"/>
      <c r="K47" s="248"/>
      <c r="L47" s="248"/>
      <c r="M47" s="248"/>
      <c r="N47" s="248"/>
      <c r="O47" s="248"/>
      <c r="Q47" s="5"/>
      <c r="R47" s="5"/>
      <c r="S47" s="42"/>
      <c r="T47" s="42"/>
      <c r="U47" s="42"/>
      <c r="V47" s="42"/>
      <c r="W47" s="42"/>
      <c r="X47" s="42"/>
      <c r="Y47" s="42"/>
      <c r="Z47" s="42"/>
      <c r="AA47" s="326"/>
      <c r="AB47" s="39"/>
      <c r="AC47" s="39"/>
      <c r="AD47" s="39"/>
      <c r="AE47" s="39"/>
      <c r="AF47" s="39"/>
      <c r="AG47" s="39"/>
      <c r="AH47" s="39"/>
      <c r="AI47" s="39"/>
      <c r="AJ47" s="39"/>
      <c r="AK47" s="39"/>
      <c r="AL47" s="39"/>
      <c r="AM47" s="39"/>
      <c r="AN47" s="39"/>
      <c r="AO47" s="39"/>
      <c r="AP47" s="39"/>
      <c r="AQ47" s="39"/>
      <c r="AR47" s="39"/>
    </row>
    <row r="48" spans="2:44">
      <c r="B48" s="5" t="s">
        <v>618</v>
      </c>
      <c r="C48" s="5"/>
      <c r="D48" s="305">
        <f>D31/D29</f>
        <v>0.7392102439908228</v>
      </c>
      <c r="E48" s="305">
        <f>E31/E29</f>
        <v>1.2440241051705829</v>
      </c>
      <c r="F48" s="305">
        <f>F31/F29</f>
        <v>0.86305688411016201</v>
      </c>
      <c r="G48" s="305">
        <f>G31/G29</f>
        <v>0.74619763325927113</v>
      </c>
      <c r="H48" s="279" t="s">
        <v>607</v>
      </c>
      <c r="I48" s="247"/>
      <c r="J48" s="247"/>
      <c r="K48" s="247"/>
      <c r="L48" s="247"/>
      <c r="M48" s="247"/>
      <c r="N48" s="247"/>
      <c r="O48" s="248"/>
      <c r="Q48" s="5"/>
      <c r="R48" s="5"/>
      <c r="S48" s="42"/>
      <c r="T48" s="42"/>
      <c r="U48" s="42"/>
      <c r="V48" s="42"/>
      <c r="W48" s="42"/>
      <c r="X48" s="42"/>
      <c r="Y48" s="42"/>
      <c r="Z48" s="42"/>
      <c r="AA48" s="326"/>
      <c r="AB48" s="39"/>
      <c r="AC48" s="39"/>
      <c r="AD48" s="39"/>
      <c r="AE48" s="39"/>
      <c r="AF48" s="39"/>
      <c r="AG48" s="39"/>
      <c r="AH48" s="39"/>
      <c r="AI48" s="39"/>
      <c r="AJ48" s="39"/>
      <c r="AK48" s="39"/>
      <c r="AL48" s="39"/>
      <c r="AM48" s="39"/>
      <c r="AN48" s="39"/>
      <c r="AO48" s="39"/>
      <c r="AP48" s="39"/>
      <c r="AQ48" s="39"/>
      <c r="AR48" s="39"/>
    </row>
    <row r="49" spans="2:44">
      <c r="B49" s="41"/>
      <c r="C49" s="17"/>
      <c r="D49" s="17"/>
      <c r="E49" s="17"/>
      <c r="F49" s="17"/>
      <c r="G49" s="17"/>
      <c r="H49" s="17"/>
      <c r="I49" s="254"/>
      <c r="J49" s="17"/>
      <c r="K49" s="17"/>
      <c r="L49" s="17"/>
      <c r="M49" s="17"/>
      <c r="N49" s="17"/>
      <c r="O49" s="248"/>
      <c r="Q49" s="5"/>
      <c r="R49" s="5"/>
      <c r="S49" s="42"/>
      <c r="T49" s="42"/>
      <c r="U49" s="42"/>
      <c r="V49" s="42"/>
      <c r="W49" s="42"/>
      <c r="X49" s="42"/>
      <c r="Y49" s="42"/>
      <c r="Z49" s="42"/>
      <c r="AA49" s="326"/>
      <c r="AB49" s="39"/>
      <c r="AC49" s="39"/>
      <c r="AD49" s="39"/>
      <c r="AE49" s="39"/>
      <c r="AF49" s="39"/>
      <c r="AG49" s="39"/>
      <c r="AH49" s="39"/>
      <c r="AI49" s="39"/>
      <c r="AJ49" s="39"/>
      <c r="AK49" s="39"/>
      <c r="AL49" s="39"/>
      <c r="AM49" s="39"/>
      <c r="AN49" s="39"/>
      <c r="AO49" s="39"/>
      <c r="AP49" s="39"/>
      <c r="AQ49" s="39"/>
      <c r="AR49" s="39"/>
    </row>
    <row r="50" spans="2:44">
      <c r="B50" s="5"/>
      <c r="C50" s="257"/>
      <c r="D50" s="257"/>
      <c r="E50" s="257"/>
      <c r="F50" s="5"/>
      <c r="G50" s="41"/>
      <c r="H50" s="249"/>
      <c r="I50" s="17"/>
      <c r="J50" s="249"/>
      <c r="K50" s="249"/>
      <c r="L50" s="249"/>
      <c r="M50" s="249"/>
      <c r="N50" s="249"/>
      <c r="O50" s="250"/>
      <c r="Q50" s="5"/>
      <c r="R50" s="5"/>
      <c r="S50" s="42"/>
      <c r="T50" s="42"/>
      <c r="U50" s="42"/>
      <c r="V50" s="42"/>
      <c r="W50" s="288"/>
      <c r="X50" s="288"/>
      <c r="Y50" s="42"/>
      <c r="Z50" s="42"/>
      <c r="AA50" s="326"/>
      <c r="AB50" s="39"/>
      <c r="AC50" s="39"/>
      <c r="AD50" s="39"/>
      <c r="AE50" s="39"/>
      <c r="AF50" s="39"/>
      <c r="AG50" s="39"/>
      <c r="AH50" s="39"/>
      <c r="AI50" s="39"/>
      <c r="AJ50" s="39"/>
      <c r="AK50" s="39"/>
      <c r="AL50" s="39"/>
      <c r="AM50" s="39"/>
      <c r="AN50" s="39"/>
      <c r="AO50" s="39"/>
      <c r="AP50" s="39"/>
      <c r="AQ50" s="39"/>
      <c r="AR50" s="39"/>
    </row>
    <row r="51" spans="2:44">
      <c r="B51" s="41"/>
      <c r="C51" s="249"/>
      <c r="D51" s="254"/>
      <c r="E51" s="254"/>
      <c r="F51" s="254"/>
      <c r="G51" s="254"/>
      <c r="H51" s="254"/>
      <c r="I51" s="259"/>
      <c r="J51" s="254"/>
      <c r="K51" s="254"/>
      <c r="L51" s="254"/>
      <c r="M51" s="254"/>
      <c r="N51" s="254"/>
      <c r="O51" s="251"/>
      <c r="Q51" s="5"/>
      <c r="R51" s="5"/>
      <c r="S51" s="42"/>
      <c r="T51" s="42"/>
      <c r="U51" s="42"/>
      <c r="V51" s="42"/>
      <c r="W51" s="288"/>
      <c r="X51" s="288"/>
      <c r="Y51" s="288"/>
      <c r="Z51" s="288"/>
      <c r="AA51" s="42"/>
      <c r="AB51" s="39"/>
      <c r="AC51" s="39"/>
      <c r="AD51" s="39"/>
      <c r="AE51" s="39"/>
      <c r="AF51" s="39"/>
      <c r="AG51" s="39"/>
      <c r="AH51" s="39"/>
      <c r="AI51" s="39"/>
      <c r="AJ51" s="39"/>
      <c r="AK51" s="39"/>
      <c r="AL51" s="39"/>
      <c r="AM51" s="39"/>
      <c r="AN51" s="39"/>
      <c r="AO51" s="39"/>
      <c r="AP51" s="39"/>
      <c r="AQ51" s="39"/>
      <c r="AR51" s="39"/>
    </row>
    <row r="52" spans="2:44">
      <c r="B52" s="5"/>
      <c r="C52" s="257"/>
      <c r="D52" s="17"/>
      <c r="E52" s="17"/>
      <c r="F52" s="17"/>
      <c r="G52" s="17"/>
      <c r="H52" s="17"/>
      <c r="I52" s="254"/>
      <c r="J52" s="17"/>
      <c r="K52" s="17"/>
      <c r="L52" s="17"/>
      <c r="M52" s="17"/>
      <c r="N52" s="17"/>
      <c r="O52" s="248"/>
      <c r="Q52" s="5"/>
      <c r="R52" s="5"/>
      <c r="S52" s="5"/>
      <c r="Y52" s="10"/>
      <c r="Z52" s="10"/>
      <c r="AB52" s="39"/>
      <c r="AC52" s="39"/>
      <c r="AD52" s="39"/>
      <c r="AE52" s="39"/>
      <c r="AF52" s="39"/>
      <c r="AG52" s="39"/>
      <c r="AH52" s="39"/>
      <c r="AI52" s="39"/>
      <c r="AJ52" s="39"/>
      <c r="AK52" s="39"/>
      <c r="AL52" s="39"/>
      <c r="AM52" s="39"/>
      <c r="AN52" s="39"/>
      <c r="AO52" s="39"/>
      <c r="AP52" s="39"/>
      <c r="AQ52" s="39"/>
      <c r="AR52" s="39"/>
    </row>
    <row r="53" spans="2:44">
      <c r="B53" s="5"/>
      <c r="C53" s="257"/>
      <c r="D53" s="257"/>
      <c r="E53" s="257"/>
      <c r="F53" s="5"/>
      <c r="G53" s="5"/>
      <c r="H53" s="259"/>
      <c r="I53" s="17"/>
      <c r="J53" s="259"/>
      <c r="K53" s="259"/>
      <c r="L53" s="259"/>
      <c r="M53" s="259"/>
      <c r="N53" s="259"/>
      <c r="O53" s="18"/>
      <c r="Q53" s="5"/>
      <c r="R53" s="5"/>
      <c r="S53" s="5"/>
      <c r="AB53" s="39"/>
      <c r="AC53" s="39"/>
      <c r="AD53" s="39"/>
      <c r="AE53" s="39"/>
      <c r="AF53" s="39"/>
      <c r="AG53" s="39"/>
      <c r="AH53" s="39"/>
      <c r="AI53" s="39"/>
      <c r="AJ53" s="39"/>
      <c r="AK53" s="39"/>
      <c r="AL53" s="39"/>
      <c r="AM53" s="39"/>
      <c r="AN53" s="39"/>
      <c r="AO53" s="39"/>
      <c r="AP53" s="39"/>
      <c r="AQ53" s="39"/>
      <c r="AR53" s="39"/>
    </row>
    <row r="54" spans="2:44">
      <c r="B54" s="41"/>
      <c r="C54" s="249"/>
      <c r="D54" s="254"/>
      <c r="E54" s="254"/>
      <c r="F54" s="254"/>
      <c r="G54" s="254"/>
      <c r="H54" s="254"/>
      <c r="I54" s="259"/>
      <c r="J54" s="254"/>
      <c r="K54" s="254"/>
      <c r="L54" s="254"/>
      <c r="M54" s="254"/>
      <c r="N54" s="254"/>
      <c r="O54" s="251"/>
      <c r="Q54" s="5"/>
      <c r="R54" s="5"/>
      <c r="S54" s="5"/>
      <c r="AB54" s="39"/>
      <c r="AC54" s="39"/>
      <c r="AD54" s="39"/>
      <c r="AE54" s="39"/>
      <c r="AF54" s="39"/>
      <c r="AG54" s="39"/>
      <c r="AH54" s="39"/>
      <c r="AI54" s="39"/>
      <c r="AJ54" s="39"/>
      <c r="AK54" s="39"/>
      <c r="AL54" s="39"/>
      <c r="AM54" s="39"/>
      <c r="AN54" s="39"/>
      <c r="AO54" s="39"/>
      <c r="AP54" s="39"/>
      <c r="AQ54" s="39"/>
      <c r="AR54" s="39"/>
    </row>
    <row r="55" spans="2:44">
      <c r="B55" s="5"/>
      <c r="C55" s="257"/>
      <c r="D55" s="17"/>
      <c r="E55" s="17"/>
      <c r="F55" s="17"/>
      <c r="G55" s="17"/>
      <c r="H55" s="17"/>
      <c r="I55" s="249"/>
      <c r="J55" s="17"/>
      <c r="K55" s="17"/>
      <c r="L55" s="17"/>
      <c r="M55" s="17"/>
      <c r="N55" s="17"/>
      <c r="O55" s="18"/>
      <c r="Q55" s="5"/>
      <c r="R55" s="5"/>
      <c r="S55" s="5"/>
      <c r="AB55" s="39"/>
      <c r="AC55" s="39"/>
      <c r="AD55" s="39"/>
      <c r="AE55" s="39"/>
      <c r="AF55" s="39"/>
      <c r="AG55" s="39"/>
      <c r="AH55" s="39"/>
      <c r="AI55" s="39"/>
      <c r="AJ55" s="39"/>
      <c r="AK55" s="39"/>
      <c r="AL55" s="39"/>
      <c r="AM55" s="39"/>
      <c r="AN55" s="39"/>
      <c r="AO55" s="39"/>
      <c r="AP55" s="39"/>
      <c r="AQ55" s="39"/>
      <c r="AR55" s="39"/>
    </row>
    <row r="56" spans="2:44">
      <c r="B56" s="5"/>
      <c r="C56" s="248"/>
      <c r="D56" s="248"/>
      <c r="E56" s="248"/>
      <c r="F56" s="5"/>
      <c r="G56" s="5"/>
      <c r="H56" s="259"/>
      <c r="I56" s="248"/>
      <c r="J56" s="259"/>
      <c r="K56" s="259"/>
      <c r="L56" s="259"/>
      <c r="M56" s="259"/>
      <c r="N56" s="259"/>
      <c r="O56" s="18"/>
      <c r="Q56" s="5"/>
      <c r="R56" s="5"/>
      <c r="S56" s="5"/>
      <c r="AB56" s="39"/>
      <c r="AC56" s="39"/>
      <c r="AD56" s="39"/>
      <c r="AE56" s="39"/>
      <c r="AF56" s="39"/>
      <c r="AG56" s="39"/>
      <c r="AH56" s="39"/>
      <c r="AI56" s="39"/>
      <c r="AJ56" s="39"/>
      <c r="AK56" s="39"/>
      <c r="AL56" s="39"/>
      <c r="AM56" s="39"/>
      <c r="AN56" s="39"/>
      <c r="AO56" s="39"/>
      <c r="AP56" s="39"/>
      <c r="AQ56" s="39"/>
      <c r="AR56" s="39"/>
    </row>
    <row r="57" spans="2:44">
      <c r="B57" s="41"/>
      <c r="C57" s="249"/>
      <c r="D57" s="249"/>
      <c r="E57" s="249"/>
      <c r="F57" s="249"/>
      <c r="G57" s="249"/>
      <c r="H57" s="249"/>
      <c r="I57" s="5"/>
      <c r="J57" s="249"/>
      <c r="K57" s="249"/>
      <c r="L57" s="249"/>
      <c r="M57" s="249"/>
      <c r="N57" s="249"/>
      <c r="O57" s="251"/>
      <c r="Q57" s="5"/>
      <c r="R57" s="5"/>
      <c r="S57" s="5"/>
      <c r="AB57" s="39"/>
      <c r="AC57" s="39"/>
      <c r="AD57" s="39"/>
      <c r="AE57" s="39"/>
      <c r="AF57" s="39"/>
      <c r="AG57" s="39"/>
      <c r="AH57" s="39"/>
      <c r="AI57" s="39"/>
      <c r="AJ57" s="39"/>
      <c r="AK57" s="39"/>
      <c r="AL57" s="39"/>
      <c r="AM57" s="39"/>
      <c r="AN57" s="39"/>
      <c r="AO57" s="39"/>
      <c r="AP57" s="39"/>
      <c r="AQ57" s="39"/>
      <c r="AR57" s="39"/>
    </row>
    <row r="58" spans="2:44">
      <c r="B58" s="5"/>
      <c r="C58" s="5"/>
      <c r="D58" s="248"/>
      <c r="E58" s="248"/>
      <c r="F58" s="248"/>
      <c r="G58" s="248"/>
      <c r="H58" s="248"/>
      <c r="I58" s="17"/>
      <c r="J58" s="248"/>
      <c r="K58" s="248"/>
      <c r="L58" s="248"/>
      <c r="M58" s="248"/>
      <c r="N58" s="248"/>
      <c r="O58" s="18"/>
      <c r="Q58" s="5"/>
      <c r="R58" s="5"/>
      <c r="S58" s="5"/>
      <c r="AB58" s="39"/>
      <c r="AC58" s="39"/>
      <c r="AD58" s="39"/>
      <c r="AE58" s="39"/>
      <c r="AF58" s="39"/>
      <c r="AG58" s="39"/>
      <c r="AH58" s="39"/>
      <c r="AI58" s="39"/>
      <c r="AJ58" s="39"/>
      <c r="AK58" s="39"/>
      <c r="AL58" s="39"/>
      <c r="AM58" s="39"/>
      <c r="AN58" s="39"/>
      <c r="AO58" s="39"/>
      <c r="AP58" s="39"/>
      <c r="AQ58" s="39"/>
      <c r="AR58" s="39"/>
    </row>
    <row r="59" spans="2:44">
      <c r="B59" s="5"/>
      <c r="C59" s="5"/>
      <c r="D59" s="5"/>
      <c r="E59" s="5"/>
      <c r="F59" s="5"/>
      <c r="G59" s="5"/>
      <c r="H59" s="5"/>
      <c r="I59" s="5"/>
      <c r="J59" s="5"/>
      <c r="K59" s="5"/>
      <c r="L59" s="5"/>
      <c r="M59" s="5"/>
      <c r="N59" s="5"/>
      <c r="O59" s="5"/>
      <c r="Q59" s="5"/>
      <c r="R59" s="5"/>
      <c r="S59" s="5"/>
      <c r="AB59" s="39"/>
      <c r="AC59" s="39"/>
      <c r="AD59" s="39"/>
      <c r="AE59" s="39"/>
      <c r="AF59" s="39"/>
      <c r="AG59" s="39"/>
      <c r="AH59" s="39"/>
      <c r="AI59" s="39"/>
      <c r="AJ59" s="39"/>
      <c r="AK59" s="39"/>
      <c r="AL59" s="39"/>
      <c r="AM59" s="39"/>
      <c r="AN59" s="39"/>
      <c r="AO59" s="39"/>
      <c r="AP59" s="39"/>
      <c r="AQ59" s="39"/>
      <c r="AR59" s="39"/>
    </row>
    <row r="60" spans="2:44">
      <c r="B60" s="41"/>
      <c r="C60" s="17"/>
      <c r="D60" s="17"/>
      <c r="E60" s="17"/>
      <c r="F60" s="17"/>
      <c r="G60" s="17"/>
      <c r="H60" s="17"/>
      <c r="I60" s="249"/>
      <c r="J60" s="17"/>
      <c r="K60" s="17"/>
      <c r="L60" s="17"/>
      <c r="M60" s="17"/>
      <c r="N60" s="17"/>
      <c r="O60" s="251"/>
      <c r="Q60" s="5"/>
      <c r="R60" s="5"/>
      <c r="S60" s="5"/>
      <c r="AB60" s="39"/>
      <c r="AC60" s="39"/>
      <c r="AD60" s="39"/>
      <c r="AE60" s="39"/>
      <c r="AF60" s="39"/>
      <c r="AG60" s="39"/>
      <c r="AH60" s="39"/>
      <c r="AI60" s="39"/>
      <c r="AJ60" s="39"/>
      <c r="AK60" s="39"/>
      <c r="AL60" s="39"/>
      <c r="AM60" s="39"/>
      <c r="AN60" s="39"/>
      <c r="AO60" s="39"/>
      <c r="AP60" s="39"/>
      <c r="AQ60" s="39"/>
      <c r="AR60" s="39"/>
    </row>
    <row r="61" spans="2:44">
      <c r="B61" s="5"/>
      <c r="C61" s="5"/>
      <c r="D61" s="5"/>
      <c r="E61" s="5"/>
      <c r="F61" s="5"/>
      <c r="G61" s="5"/>
      <c r="H61" s="5"/>
      <c r="I61" s="5"/>
      <c r="J61" s="5"/>
      <c r="K61" s="5"/>
      <c r="L61" s="5"/>
      <c r="M61" s="5"/>
      <c r="N61" s="5"/>
      <c r="O61" s="5"/>
      <c r="Q61" s="41"/>
      <c r="R61" s="5"/>
      <c r="S61" s="5"/>
      <c r="AB61" s="39"/>
      <c r="AC61" s="39"/>
      <c r="AD61" s="39"/>
      <c r="AE61" s="39"/>
      <c r="AF61" s="39"/>
      <c r="AG61" s="39"/>
      <c r="AH61" s="39"/>
      <c r="AI61" s="39"/>
      <c r="AJ61" s="39"/>
      <c r="AK61" s="39"/>
      <c r="AL61" s="39"/>
      <c r="AM61" s="39"/>
      <c r="AN61" s="39"/>
      <c r="AO61" s="39"/>
      <c r="AP61" s="39"/>
      <c r="AQ61" s="39"/>
      <c r="AR61" s="39"/>
    </row>
    <row r="62" spans="2:44">
      <c r="B62" s="41"/>
      <c r="C62" s="249"/>
      <c r="D62" s="249"/>
      <c r="E62" s="249"/>
      <c r="F62" s="249"/>
      <c r="G62" s="249"/>
      <c r="H62" s="249"/>
      <c r="I62" s="5"/>
      <c r="J62" s="249"/>
      <c r="K62" s="249"/>
      <c r="L62" s="249"/>
      <c r="M62" s="249"/>
      <c r="N62" s="249"/>
      <c r="O62" s="251"/>
      <c r="Q62" s="5"/>
      <c r="R62" s="5"/>
      <c r="S62" s="5"/>
      <c r="AB62" s="39"/>
      <c r="AC62" s="39"/>
      <c r="AD62" s="39"/>
      <c r="AE62" s="39"/>
      <c r="AF62" s="39"/>
      <c r="AG62" s="39"/>
      <c r="AH62" s="39"/>
      <c r="AI62" s="39"/>
      <c r="AJ62" s="39"/>
      <c r="AK62" s="39"/>
      <c r="AL62" s="39"/>
      <c r="AM62" s="39"/>
      <c r="AN62" s="39"/>
      <c r="AO62" s="39"/>
      <c r="AP62" s="39"/>
      <c r="AQ62" s="39"/>
      <c r="AR62" s="39"/>
    </row>
    <row r="63" spans="2:44">
      <c r="B63" s="5"/>
      <c r="C63" s="5"/>
      <c r="D63" s="5"/>
      <c r="E63" s="5"/>
      <c r="F63" s="5"/>
      <c r="G63" s="5"/>
      <c r="H63" s="5"/>
      <c r="I63" s="254"/>
      <c r="J63" s="5"/>
      <c r="K63" s="5"/>
      <c r="L63" s="5"/>
      <c r="M63" s="5"/>
      <c r="N63" s="5"/>
      <c r="O63" s="5"/>
      <c r="Q63" s="5"/>
      <c r="R63" s="5"/>
      <c r="S63" s="5"/>
      <c r="AA63" s="39"/>
      <c r="AB63" s="39"/>
      <c r="AC63" s="39"/>
      <c r="AD63" s="39"/>
      <c r="AE63" s="39"/>
      <c r="AF63" s="39"/>
      <c r="AG63" s="39"/>
      <c r="AH63" s="39"/>
      <c r="AI63" s="39"/>
      <c r="AJ63" s="39"/>
      <c r="AK63" s="39"/>
      <c r="AL63" s="39"/>
      <c r="AM63" s="39"/>
      <c r="AN63" s="39"/>
      <c r="AO63" s="39"/>
      <c r="AP63" s="39"/>
      <c r="AQ63" s="39"/>
      <c r="AR63" s="39"/>
    </row>
    <row r="64" spans="2:44">
      <c r="B64" s="5"/>
      <c r="C64" s="5"/>
      <c r="D64" s="5"/>
      <c r="E64" s="5"/>
      <c r="F64" s="5"/>
      <c r="G64" s="5"/>
      <c r="H64" s="5"/>
      <c r="I64" s="17"/>
      <c r="J64" s="5"/>
      <c r="K64" s="5"/>
      <c r="L64" s="5"/>
      <c r="M64" s="5"/>
      <c r="N64" s="5"/>
      <c r="O64" s="5"/>
      <c r="Q64" s="5"/>
      <c r="R64" s="5"/>
      <c r="S64" s="5"/>
      <c r="AA64" s="39"/>
      <c r="AB64" s="39"/>
      <c r="AC64" s="39"/>
      <c r="AD64" s="39"/>
      <c r="AE64" s="39"/>
      <c r="AF64" s="39"/>
      <c r="AG64" s="39"/>
      <c r="AH64" s="39"/>
      <c r="AI64" s="39"/>
      <c r="AJ64" s="39"/>
      <c r="AK64" s="39"/>
      <c r="AL64" s="39"/>
      <c r="AM64" s="39"/>
      <c r="AN64" s="39"/>
      <c r="AO64" s="39"/>
      <c r="AP64" s="39"/>
      <c r="AQ64" s="39"/>
      <c r="AR64" s="39"/>
    </row>
    <row r="65" spans="2:44">
      <c r="B65" s="41"/>
      <c r="C65" s="249"/>
      <c r="D65" s="254"/>
      <c r="E65" s="254"/>
      <c r="F65" s="254"/>
      <c r="G65" s="254"/>
      <c r="H65" s="254"/>
      <c r="I65" s="254"/>
      <c r="J65" s="254"/>
      <c r="K65" s="254"/>
      <c r="L65" s="254"/>
      <c r="M65" s="254"/>
      <c r="N65" s="254"/>
      <c r="O65" s="251"/>
      <c r="Q65" s="5"/>
      <c r="R65" s="5"/>
      <c r="S65" s="5"/>
      <c r="AA65" s="39"/>
      <c r="AB65" s="39"/>
      <c r="AC65" s="39"/>
      <c r="AD65" s="39"/>
      <c r="AE65" s="39"/>
      <c r="AF65" s="39"/>
      <c r="AG65" s="39"/>
      <c r="AH65" s="39"/>
      <c r="AI65" s="39"/>
      <c r="AJ65" s="39"/>
      <c r="AK65" s="39"/>
      <c r="AL65" s="39"/>
      <c r="AM65" s="39"/>
      <c r="AN65" s="39"/>
      <c r="AO65" s="39"/>
      <c r="AP65" s="39"/>
      <c r="AQ65" s="39"/>
      <c r="AR65" s="39"/>
    </row>
    <row r="66" spans="2:44">
      <c r="B66" s="5"/>
      <c r="C66" s="5"/>
      <c r="D66" s="17"/>
      <c r="E66" s="17"/>
      <c r="F66" s="17"/>
      <c r="G66" s="17"/>
      <c r="H66" s="17"/>
      <c r="I66" s="248"/>
      <c r="J66" s="17"/>
      <c r="K66" s="17"/>
      <c r="L66" s="17"/>
      <c r="M66" s="17"/>
      <c r="N66" s="17"/>
      <c r="O66" s="5"/>
      <c r="Q66" s="5"/>
      <c r="R66" s="5"/>
      <c r="S66" s="5"/>
      <c r="AA66" s="39"/>
      <c r="AB66" s="39"/>
      <c r="AC66" s="39"/>
      <c r="AD66" s="39"/>
      <c r="AE66" s="39"/>
      <c r="AF66" s="39"/>
      <c r="AG66" s="39"/>
      <c r="AH66" s="39"/>
      <c r="AI66" s="39"/>
      <c r="AJ66" s="39"/>
      <c r="AK66" s="39"/>
      <c r="AL66" s="39"/>
      <c r="AM66" s="39"/>
      <c r="AN66" s="39"/>
      <c r="AO66" s="39"/>
      <c r="AP66" s="39"/>
      <c r="AQ66" s="39"/>
      <c r="AR66" s="39"/>
    </row>
    <row r="67" spans="2:44">
      <c r="B67" s="41"/>
      <c r="C67" s="249"/>
      <c r="D67" s="254"/>
      <c r="E67" s="254"/>
      <c r="F67" s="254"/>
      <c r="G67" s="254"/>
      <c r="H67" s="254"/>
      <c r="I67" s="5"/>
      <c r="J67" s="254"/>
      <c r="K67" s="254"/>
      <c r="L67" s="254"/>
      <c r="M67" s="254"/>
      <c r="N67" s="254"/>
      <c r="O67" s="251"/>
      <c r="Q67" s="41"/>
      <c r="R67" s="5"/>
      <c r="S67" s="5"/>
      <c r="AA67" s="39"/>
      <c r="AB67" s="39"/>
      <c r="AC67" s="39"/>
      <c r="AD67" s="39"/>
      <c r="AE67" s="39"/>
      <c r="AF67" s="39"/>
      <c r="AG67" s="39"/>
      <c r="AH67" s="39"/>
      <c r="AI67" s="39"/>
      <c r="AJ67" s="39"/>
      <c r="AK67" s="39"/>
      <c r="AL67" s="39"/>
      <c r="AM67" s="39"/>
      <c r="AN67" s="39"/>
      <c r="AO67" s="39"/>
      <c r="AP67" s="39"/>
      <c r="AQ67" s="39"/>
      <c r="AR67" s="39"/>
    </row>
    <row r="68" spans="2:44">
      <c r="B68" s="5"/>
      <c r="C68" s="5"/>
      <c r="D68" s="248"/>
      <c r="E68" s="248"/>
      <c r="F68" s="248"/>
      <c r="G68" s="248"/>
      <c r="H68" s="248"/>
      <c r="I68" s="245"/>
      <c r="J68" s="248"/>
      <c r="K68" s="248"/>
      <c r="L68" s="248"/>
      <c r="M68" s="248"/>
      <c r="N68" s="248"/>
      <c r="O68" s="5"/>
      <c r="Q68" s="5"/>
      <c r="R68" s="5"/>
      <c r="S68" s="5"/>
      <c r="AA68" s="39"/>
      <c r="AB68" s="39"/>
      <c r="AC68" s="39"/>
      <c r="AD68" s="39"/>
      <c r="AE68" s="39"/>
      <c r="AF68" s="39"/>
      <c r="AG68" s="39"/>
      <c r="AH68" s="39"/>
      <c r="AI68" s="39"/>
      <c r="AJ68" s="39"/>
      <c r="AK68" s="39"/>
      <c r="AL68" s="39"/>
      <c r="AM68" s="39"/>
      <c r="AN68" s="39"/>
      <c r="AO68" s="39"/>
      <c r="AP68" s="39"/>
      <c r="AQ68" s="39"/>
      <c r="AR68" s="39"/>
    </row>
    <row r="69" spans="2:44">
      <c r="B69" s="41"/>
      <c r="C69" s="5"/>
      <c r="D69" s="5"/>
      <c r="E69" s="5"/>
      <c r="F69" s="5"/>
      <c r="G69" s="5"/>
      <c r="H69" s="5"/>
      <c r="I69" s="248"/>
      <c r="J69" s="5"/>
      <c r="K69" s="5"/>
      <c r="L69" s="5"/>
      <c r="M69" s="5"/>
      <c r="N69" s="5"/>
      <c r="O69" s="5"/>
      <c r="Q69" s="5"/>
      <c r="R69" s="5"/>
      <c r="S69" s="5"/>
      <c r="AA69" s="39"/>
      <c r="AB69" s="39"/>
      <c r="AC69" s="39"/>
      <c r="AD69" s="39"/>
      <c r="AE69" s="39"/>
      <c r="AF69" s="39"/>
      <c r="AG69" s="39"/>
      <c r="AH69" s="39"/>
      <c r="AI69" s="39"/>
      <c r="AJ69" s="39"/>
      <c r="AK69" s="39"/>
      <c r="AL69" s="39"/>
      <c r="AM69" s="39"/>
      <c r="AN69" s="39"/>
      <c r="AO69" s="39"/>
      <c r="AP69" s="39"/>
      <c r="AQ69" s="39"/>
      <c r="AR69" s="39"/>
    </row>
    <row r="70" spans="2:44">
      <c r="B70" s="41"/>
      <c r="C70" s="245"/>
      <c r="D70" s="245"/>
      <c r="E70" s="245"/>
      <c r="F70" s="245"/>
      <c r="G70" s="245"/>
      <c r="H70" s="245"/>
      <c r="I70" s="5"/>
      <c r="J70" s="245"/>
      <c r="K70" s="245"/>
      <c r="L70" s="245"/>
      <c r="M70" s="245"/>
      <c r="N70" s="245"/>
      <c r="O70" s="251"/>
      <c r="Q70" s="5"/>
      <c r="R70" s="5"/>
      <c r="S70" s="5"/>
      <c r="W70" s="76"/>
      <c r="X70" s="76"/>
      <c r="AA70" s="39"/>
      <c r="AB70" s="39"/>
      <c r="AC70" s="39"/>
      <c r="AD70" s="39"/>
      <c r="AE70" s="39"/>
      <c r="AF70" s="39"/>
      <c r="AG70" s="39"/>
      <c r="AH70" s="39"/>
      <c r="AI70" s="39"/>
      <c r="AJ70" s="39"/>
      <c r="AK70" s="39"/>
      <c r="AL70" s="39"/>
      <c r="AM70" s="39"/>
      <c r="AN70" s="39"/>
      <c r="AO70" s="39"/>
      <c r="AP70" s="39"/>
      <c r="AQ70" s="39"/>
      <c r="AR70" s="39"/>
    </row>
    <row r="71" spans="2:44">
      <c r="B71" s="5"/>
      <c r="C71" s="5"/>
      <c r="D71" s="248"/>
      <c r="E71" s="248"/>
      <c r="F71" s="248"/>
      <c r="G71" s="248"/>
      <c r="H71" s="248"/>
      <c r="I71" s="245"/>
      <c r="J71" s="248"/>
      <c r="K71" s="248"/>
      <c r="L71" s="248"/>
      <c r="M71" s="248"/>
      <c r="N71" s="248"/>
      <c r="O71" s="5"/>
      <c r="Q71" s="5"/>
      <c r="R71" s="5"/>
      <c r="S71" s="5"/>
      <c r="W71" s="76"/>
      <c r="X71" s="76"/>
      <c r="Y71" s="76"/>
      <c r="Z71" s="76"/>
      <c r="AA71" s="39"/>
      <c r="AB71" s="39"/>
      <c r="AC71" s="39"/>
      <c r="AD71" s="39"/>
      <c r="AE71" s="39"/>
      <c r="AF71" s="39"/>
      <c r="AG71" s="39"/>
      <c r="AH71" s="39"/>
      <c r="AI71" s="39"/>
      <c r="AJ71" s="39"/>
      <c r="AK71" s="39"/>
      <c r="AL71" s="39"/>
      <c r="AM71" s="39"/>
      <c r="AN71" s="39"/>
      <c r="AO71" s="39"/>
      <c r="AP71" s="39"/>
      <c r="AQ71" s="39"/>
      <c r="AR71" s="39"/>
    </row>
    <row r="72" spans="2:44">
      <c r="B72" s="41"/>
      <c r="C72" s="5"/>
      <c r="D72" s="5"/>
      <c r="E72" s="5"/>
      <c r="F72" s="5"/>
      <c r="G72" s="5"/>
      <c r="H72" s="5"/>
      <c r="I72" s="18"/>
      <c r="J72" s="5"/>
      <c r="K72" s="5"/>
      <c r="L72" s="5"/>
      <c r="M72" s="5"/>
      <c r="N72" s="5"/>
      <c r="O72" s="5"/>
      <c r="Q72" s="5"/>
      <c r="R72" s="5"/>
      <c r="S72" s="5"/>
      <c r="Y72" s="76"/>
      <c r="Z72" s="76"/>
      <c r="AA72" s="39"/>
      <c r="AB72" s="39"/>
      <c r="AC72" s="39"/>
      <c r="AD72" s="39"/>
      <c r="AE72" s="39"/>
      <c r="AF72" s="39"/>
      <c r="AG72" s="39"/>
      <c r="AH72" s="39"/>
      <c r="AI72" s="39"/>
      <c r="AJ72" s="39"/>
      <c r="AK72" s="39"/>
      <c r="AL72" s="39"/>
      <c r="AM72" s="39"/>
      <c r="AN72" s="39"/>
      <c r="AO72" s="39"/>
      <c r="AP72" s="39"/>
      <c r="AQ72" s="39"/>
      <c r="AR72" s="39"/>
    </row>
    <row r="73" spans="2:44">
      <c r="B73" s="41"/>
      <c r="C73" s="245"/>
      <c r="D73" s="245"/>
      <c r="E73" s="245"/>
      <c r="F73" s="245"/>
      <c r="G73" s="245"/>
      <c r="H73" s="245"/>
      <c r="I73" s="5"/>
      <c r="J73" s="245"/>
      <c r="K73" s="245"/>
      <c r="L73" s="245"/>
      <c r="M73" s="245"/>
      <c r="N73" s="245"/>
      <c r="O73" s="251"/>
      <c r="Q73" s="5"/>
      <c r="R73" s="5"/>
      <c r="S73" s="5"/>
      <c r="AA73" s="39"/>
      <c r="AB73" s="39"/>
      <c r="AC73" s="39"/>
      <c r="AD73" s="39"/>
      <c r="AE73" s="39"/>
      <c r="AF73" s="39"/>
      <c r="AG73" s="39"/>
      <c r="AH73" s="39"/>
      <c r="AI73" s="39"/>
      <c r="AJ73" s="39"/>
      <c r="AK73" s="39"/>
      <c r="AL73" s="39"/>
      <c r="AM73" s="39"/>
      <c r="AN73" s="39"/>
      <c r="AO73" s="39"/>
      <c r="AP73" s="39"/>
      <c r="AQ73" s="39"/>
      <c r="AR73" s="39"/>
    </row>
    <row r="74" spans="2:44">
      <c r="B74" s="5"/>
      <c r="C74" s="5"/>
      <c r="D74" s="18"/>
      <c r="E74" s="18"/>
      <c r="F74" s="18"/>
      <c r="G74" s="18"/>
      <c r="H74" s="18"/>
      <c r="I74" s="249"/>
      <c r="J74" s="18"/>
      <c r="K74" s="18"/>
      <c r="L74" s="18"/>
      <c r="M74" s="18"/>
      <c r="N74" s="18"/>
      <c r="O74" s="5"/>
      <c r="Q74" s="5"/>
      <c r="R74" s="5"/>
      <c r="S74" s="5"/>
      <c r="AA74" s="39"/>
      <c r="AB74" s="39"/>
      <c r="AC74" s="39"/>
      <c r="AD74" s="39"/>
      <c r="AE74" s="39"/>
      <c r="AF74" s="39"/>
      <c r="AG74" s="39"/>
      <c r="AH74" s="39"/>
      <c r="AI74" s="39"/>
      <c r="AJ74" s="39"/>
      <c r="AK74" s="39"/>
      <c r="AL74" s="39"/>
      <c r="AM74" s="39"/>
      <c r="AN74" s="39"/>
      <c r="AO74" s="39"/>
      <c r="AP74" s="39"/>
      <c r="AQ74" s="39"/>
      <c r="AR74" s="39"/>
    </row>
    <row r="75" spans="2:44">
      <c r="B75" s="41"/>
      <c r="C75" s="5"/>
      <c r="D75" s="5"/>
      <c r="E75" s="5"/>
      <c r="F75" s="5"/>
      <c r="G75" s="5"/>
      <c r="H75" s="5"/>
      <c r="I75" s="248"/>
      <c r="J75" s="5"/>
      <c r="K75" s="5"/>
      <c r="L75" s="5"/>
      <c r="M75" s="5"/>
      <c r="N75" s="5"/>
      <c r="O75" s="5"/>
      <c r="Q75" s="5"/>
      <c r="R75" s="5"/>
      <c r="S75" s="5"/>
      <c r="AA75" s="39"/>
      <c r="AB75" s="39"/>
      <c r="AC75" s="39"/>
      <c r="AD75" s="39"/>
      <c r="AE75" s="39"/>
      <c r="AF75" s="39"/>
      <c r="AG75" s="39"/>
      <c r="AH75" s="39"/>
      <c r="AI75" s="39"/>
      <c r="AJ75" s="39"/>
      <c r="AK75" s="39"/>
      <c r="AL75" s="39"/>
      <c r="AM75" s="39"/>
      <c r="AN75" s="39"/>
      <c r="AO75" s="39"/>
      <c r="AP75" s="39"/>
      <c r="AQ75" s="39"/>
      <c r="AR75" s="39"/>
    </row>
    <row r="76" spans="2:44">
      <c r="B76" s="41"/>
      <c r="C76" s="249"/>
      <c r="D76" s="249"/>
      <c r="E76" s="249"/>
      <c r="F76" s="249"/>
      <c r="G76" s="249"/>
      <c r="H76" s="249"/>
      <c r="I76" s="5"/>
      <c r="J76" s="249"/>
      <c r="K76" s="249"/>
      <c r="L76" s="249"/>
      <c r="M76" s="249"/>
      <c r="N76" s="249"/>
      <c r="O76" s="251"/>
      <c r="Q76" s="5"/>
      <c r="R76" s="5"/>
      <c r="S76" s="5"/>
      <c r="AA76" s="39"/>
      <c r="AB76" s="39"/>
      <c r="AC76" s="39"/>
      <c r="AD76" s="39"/>
      <c r="AE76" s="39"/>
      <c r="AF76" s="39"/>
      <c r="AG76" s="39"/>
      <c r="AH76" s="39"/>
      <c r="AI76" s="39"/>
      <c r="AJ76" s="39"/>
      <c r="AK76" s="39"/>
      <c r="AL76" s="39"/>
      <c r="AM76" s="39"/>
      <c r="AN76" s="39"/>
      <c r="AO76" s="39"/>
      <c r="AP76" s="39"/>
      <c r="AQ76" s="39"/>
      <c r="AR76" s="39"/>
    </row>
    <row r="77" spans="2:44">
      <c r="B77" s="5"/>
      <c r="C77" s="5"/>
      <c r="D77" s="248"/>
      <c r="E77" s="248"/>
      <c r="F77" s="248"/>
      <c r="G77" s="248"/>
      <c r="H77" s="248"/>
      <c r="I77" s="245"/>
      <c r="J77" s="248"/>
      <c r="K77" s="248"/>
      <c r="L77" s="248"/>
      <c r="M77" s="248"/>
      <c r="N77" s="248"/>
      <c r="O77" s="5"/>
      <c r="Q77" s="5"/>
      <c r="R77" s="5"/>
      <c r="S77" s="5"/>
      <c r="AA77" s="39"/>
      <c r="AB77" s="39"/>
      <c r="AC77" s="39"/>
      <c r="AD77" s="39"/>
      <c r="AE77" s="39"/>
      <c r="AF77" s="39"/>
      <c r="AG77" s="39"/>
      <c r="AH77" s="39"/>
      <c r="AI77" s="39"/>
      <c r="AJ77" s="39"/>
      <c r="AK77" s="39"/>
      <c r="AL77" s="39"/>
      <c r="AM77" s="39"/>
      <c r="AN77" s="39"/>
      <c r="AO77" s="39"/>
      <c r="AP77" s="39"/>
      <c r="AQ77" s="39"/>
      <c r="AR77" s="39"/>
    </row>
    <row r="78" spans="2:44">
      <c r="B78" s="41"/>
      <c r="C78" s="5"/>
      <c r="D78" s="5"/>
      <c r="E78" s="5"/>
      <c r="F78" s="5"/>
      <c r="G78" s="5"/>
      <c r="H78" s="5"/>
      <c r="I78" s="248"/>
      <c r="J78" s="5"/>
      <c r="K78" s="5"/>
      <c r="L78" s="5"/>
      <c r="M78" s="5"/>
      <c r="N78" s="5"/>
      <c r="O78" s="5"/>
      <c r="Q78" s="5"/>
      <c r="R78" s="5"/>
      <c r="S78" s="5"/>
      <c r="AA78" s="39"/>
      <c r="AB78" s="39"/>
      <c r="AC78" s="39"/>
      <c r="AD78" s="39"/>
      <c r="AE78" s="39"/>
      <c r="AF78" s="39"/>
      <c r="AG78" s="39"/>
      <c r="AH78" s="39"/>
      <c r="AI78" s="39"/>
      <c r="AJ78" s="39"/>
      <c r="AK78" s="39"/>
      <c r="AL78" s="39"/>
      <c r="AM78" s="39"/>
      <c r="AN78" s="39"/>
      <c r="AO78" s="39"/>
      <c r="AP78" s="39"/>
      <c r="AQ78" s="39"/>
      <c r="AR78" s="39"/>
    </row>
    <row r="79" spans="2:44">
      <c r="B79" s="41"/>
      <c r="C79" s="245"/>
      <c r="D79" s="245"/>
      <c r="E79" s="245"/>
      <c r="F79" s="245"/>
      <c r="G79" s="245"/>
      <c r="H79" s="245"/>
      <c r="I79" s="5"/>
      <c r="J79" s="245"/>
      <c r="K79" s="245"/>
      <c r="L79" s="245"/>
      <c r="M79" s="245"/>
      <c r="N79" s="245"/>
      <c r="O79" s="251"/>
      <c r="Q79" s="5"/>
      <c r="R79" s="5"/>
      <c r="S79" s="5"/>
      <c r="AA79" s="39"/>
      <c r="AB79" s="39"/>
      <c r="AC79" s="39"/>
      <c r="AD79" s="39"/>
      <c r="AE79" s="39"/>
      <c r="AF79" s="39"/>
      <c r="AG79" s="39"/>
      <c r="AH79" s="39"/>
      <c r="AI79" s="39"/>
      <c r="AJ79" s="39"/>
      <c r="AK79" s="39"/>
      <c r="AL79" s="39"/>
      <c r="AM79" s="39"/>
      <c r="AN79" s="39"/>
      <c r="AO79" s="39"/>
      <c r="AP79" s="39"/>
      <c r="AQ79" s="39"/>
      <c r="AR79" s="39"/>
    </row>
    <row r="80" spans="2:44">
      <c r="B80" s="5"/>
      <c r="C80" s="5"/>
      <c r="D80" s="248"/>
      <c r="E80" s="248"/>
      <c r="F80" s="248"/>
      <c r="G80" s="248"/>
      <c r="H80" s="248"/>
      <c r="I80" s="249"/>
      <c r="J80" s="248"/>
      <c r="K80" s="248"/>
      <c r="L80" s="248"/>
      <c r="M80" s="248"/>
      <c r="N80" s="248"/>
      <c r="O80" s="5"/>
      <c r="Q80" s="5"/>
      <c r="R80" s="5"/>
      <c r="S80" s="5"/>
      <c r="AA80" s="39"/>
      <c r="AB80" s="39"/>
      <c r="AC80" s="39"/>
      <c r="AD80" s="39"/>
      <c r="AE80" s="39"/>
      <c r="AF80" s="39"/>
      <c r="AG80" s="39"/>
      <c r="AH80" s="39"/>
      <c r="AI80" s="39"/>
      <c r="AJ80" s="39"/>
      <c r="AK80" s="39"/>
      <c r="AL80" s="39"/>
      <c r="AM80" s="39"/>
      <c r="AN80" s="39"/>
      <c r="AO80" s="39"/>
      <c r="AP80" s="39"/>
      <c r="AQ80" s="39"/>
      <c r="AR80" s="39"/>
    </row>
    <row r="81" spans="2:44">
      <c r="B81" s="41"/>
      <c r="C81" s="5"/>
      <c r="D81" s="5"/>
      <c r="E81" s="5"/>
      <c r="F81" s="5"/>
      <c r="G81" s="5"/>
      <c r="H81" s="5"/>
      <c r="I81" s="248"/>
      <c r="J81" s="5"/>
      <c r="K81" s="5"/>
      <c r="L81" s="5"/>
      <c r="M81" s="5"/>
      <c r="N81" s="5"/>
      <c r="O81" s="5"/>
      <c r="Q81" s="5"/>
      <c r="R81" s="5"/>
      <c r="S81" s="5"/>
      <c r="AA81" s="39"/>
      <c r="AB81" s="39"/>
      <c r="AC81" s="39"/>
      <c r="AD81" s="39"/>
      <c r="AE81" s="39"/>
      <c r="AF81" s="39"/>
      <c r="AG81" s="39"/>
      <c r="AH81" s="39"/>
      <c r="AI81" s="39"/>
      <c r="AJ81" s="39"/>
      <c r="AK81" s="39"/>
      <c r="AL81" s="39"/>
      <c r="AM81" s="39"/>
      <c r="AN81" s="39"/>
      <c r="AO81" s="39"/>
      <c r="AP81" s="39"/>
      <c r="AQ81" s="39"/>
      <c r="AR81" s="39"/>
    </row>
    <row r="82" spans="2:44">
      <c r="B82" s="41"/>
      <c r="C82" s="249"/>
      <c r="D82" s="249"/>
      <c r="E82" s="249"/>
      <c r="F82" s="249"/>
      <c r="G82" s="249"/>
      <c r="H82" s="249"/>
      <c r="I82" s="259"/>
      <c r="J82" s="249"/>
      <c r="K82" s="249"/>
      <c r="L82" s="249"/>
      <c r="M82" s="249"/>
      <c r="N82" s="249"/>
      <c r="O82" s="251"/>
      <c r="Q82" s="5"/>
      <c r="R82" s="5"/>
      <c r="S82" s="5"/>
      <c r="AA82" s="39"/>
      <c r="AB82" s="39"/>
      <c r="AC82" s="39"/>
      <c r="AD82" s="39"/>
      <c r="AE82" s="39"/>
      <c r="AF82" s="39"/>
      <c r="AG82" s="39"/>
      <c r="AH82" s="39"/>
      <c r="AI82" s="39"/>
      <c r="AJ82" s="39"/>
      <c r="AK82" s="39"/>
      <c r="AL82" s="39"/>
      <c r="AM82" s="39"/>
      <c r="AN82" s="39"/>
      <c r="AO82" s="39"/>
      <c r="AP82" s="39"/>
      <c r="AQ82" s="39"/>
      <c r="AR82" s="39"/>
    </row>
    <row r="83" spans="2:44">
      <c r="B83" s="5"/>
      <c r="C83" s="5"/>
      <c r="D83" s="248"/>
      <c r="E83" s="248"/>
      <c r="F83" s="248"/>
      <c r="G83" s="248"/>
      <c r="H83" s="248"/>
      <c r="I83" s="5"/>
      <c r="J83" s="248"/>
      <c r="K83" s="248"/>
      <c r="L83" s="248"/>
      <c r="M83" s="248"/>
      <c r="N83" s="248"/>
      <c r="O83" s="5"/>
      <c r="Q83" s="5"/>
      <c r="R83" s="5"/>
      <c r="S83" s="5"/>
      <c r="AA83" s="39"/>
      <c r="AB83" s="39"/>
      <c r="AC83" s="39"/>
      <c r="AD83" s="39"/>
      <c r="AE83" s="39"/>
      <c r="AF83" s="39"/>
      <c r="AG83" s="39"/>
      <c r="AH83" s="39"/>
      <c r="AI83" s="39"/>
      <c r="AJ83" s="39"/>
      <c r="AK83" s="39"/>
      <c r="AL83" s="39"/>
      <c r="AM83" s="39"/>
      <c r="AN83" s="39"/>
      <c r="AO83" s="39"/>
      <c r="AP83" s="39"/>
      <c r="AQ83" s="39"/>
      <c r="AR83" s="39"/>
    </row>
    <row r="84" spans="2:44">
      <c r="B84" s="5"/>
      <c r="C84" s="259"/>
      <c r="D84" s="259"/>
      <c r="E84" s="259"/>
      <c r="F84" s="259"/>
      <c r="G84" s="259"/>
      <c r="H84" s="259"/>
      <c r="I84" s="245"/>
      <c r="J84" s="259"/>
      <c r="K84" s="259"/>
      <c r="L84" s="259"/>
      <c r="M84" s="259"/>
      <c r="N84" s="259"/>
      <c r="O84" s="251"/>
      <c r="Q84" s="5"/>
      <c r="R84" s="5"/>
      <c r="S84" s="5"/>
      <c r="AA84" s="39"/>
      <c r="AB84" s="39"/>
      <c r="AC84" s="39"/>
      <c r="AD84" s="39"/>
      <c r="AE84" s="39"/>
      <c r="AF84" s="39"/>
      <c r="AG84" s="39"/>
      <c r="AH84" s="39"/>
      <c r="AI84" s="39"/>
      <c r="AJ84" s="39"/>
      <c r="AK84" s="39"/>
      <c r="AL84" s="39"/>
      <c r="AM84" s="39"/>
      <c r="AN84" s="39"/>
      <c r="AO84" s="39"/>
      <c r="AP84" s="39"/>
      <c r="AQ84" s="39"/>
      <c r="AR84" s="39"/>
    </row>
    <row r="85" spans="2:44">
      <c r="B85" s="41"/>
      <c r="C85" s="5"/>
      <c r="D85" s="5"/>
      <c r="E85" s="5"/>
      <c r="F85" s="5"/>
      <c r="G85" s="5"/>
      <c r="H85" s="5"/>
      <c r="I85" s="248"/>
      <c r="J85" s="5"/>
      <c r="K85" s="5"/>
      <c r="L85" s="5"/>
      <c r="M85" s="5"/>
      <c r="N85" s="5"/>
      <c r="O85" s="5"/>
      <c r="Q85" s="5"/>
      <c r="R85" s="5"/>
      <c r="S85" s="5"/>
      <c r="AA85" s="39"/>
      <c r="AB85" s="39"/>
      <c r="AC85" s="39"/>
      <c r="AD85" s="39"/>
      <c r="AE85" s="39"/>
      <c r="AF85" s="39"/>
      <c r="AG85" s="39"/>
      <c r="AH85" s="39"/>
      <c r="AI85" s="39"/>
      <c r="AJ85" s="39"/>
      <c r="AK85" s="39"/>
      <c r="AL85" s="39"/>
      <c r="AM85" s="39"/>
      <c r="AN85" s="39"/>
      <c r="AO85" s="39"/>
      <c r="AP85" s="39"/>
      <c r="AQ85" s="39"/>
      <c r="AR85" s="39"/>
    </row>
    <row r="86" spans="2:44">
      <c r="B86" s="41"/>
      <c r="C86" s="245"/>
      <c r="D86" s="245"/>
      <c r="E86" s="245"/>
      <c r="F86" s="245"/>
      <c r="G86" s="245"/>
      <c r="H86" s="245"/>
      <c r="I86" s="5"/>
      <c r="J86" s="245"/>
      <c r="K86" s="245"/>
      <c r="L86" s="245"/>
      <c r="M86" s="245"/>
      <c r="N86" s="245"/>
      <c r="O86" s="251"/>
      <c r="Q86" s="5"/>
      <c r="R86" s="5"/>
      <c r="S86" s="5"/>
      <c r="AA86" s="39"/>
      <c r="AB86" s="39"/>
      <c r="AC86" s="39"/>
      <c r="AD86" s="39"/>
      <c r="AE86" s="39"/>
      <c r="AF86" s="39"/>
      <c r="AG86" s="39"/>
      <c r="AH86" s="39"/>
      <c r="AI86" s="39"/>
      <c r="AJ86" s="39"/>
      <c r="AK86" s="39"/>
      <c r="AL86" s="39"/>
      <c r="AM86" s="39"/>
      <c r="AN86" s="39"/>
      <c r="AO86" s="39"/>
      <c r="AP86" s="39"/>
      <c r="AQ86" s="39"/>
      <c r="AR86" s="39"/>
    </row>
    <row r="87" spans="2:44">
      <c r="B87" s="5"/>
      <c r="C87" s="5"/>
      <c r="D87" s="248"/>
      <c r="E87" s="248"/>
      <c r="F87" s="248"/>
      <c r="G87" s="248"/>
      <c r="H87" s="248"/>
      <c r="I87" s="5"/>
      <c r="J87" s="248"/>
      <c r="K87" s="248"/>
      <c r="L87" s="248"/>
      <c r="M87" s="248"/>
      <c r="N87" s="248"/>
      <c r="O87" s="5"/>
      <c r="Q87" s="5"/>
      <c r="R87" s="5"/>
      <c r="S87" s="5"/>
      <c r="AA87" s="39"/>
      <c r="AB87" s="39"/>
      <c r="AC87" s="39"/>
      <c r="AD87" s="39"/>
      <c r="AE87" s="39"/>
      <c r="AF87" s="39"/>
      <c r="AG87" s="39"/>
      <c r="AH87" s="39"/>
      <c r="AI87" s="39"/>
      <c r="AJ87" s="39"/>
      <c r="AK87" s="39"/>
      <c r="AL87" s="39"/>
      <c r="AM87" s="39"/>
      <c r="AN87" s="39"/>
      <c r="AO87" s="39"/>
      <c r="AP87" s="39"/>
      <c r="AQ87" s="39"/>
      <c r="AR87" s="39"/>
    </row>
    <row r="88" spans="2:44">
      <c r="B88" s="41"/>
      <c r="C88" s="5"/>
      <c r="D88" s="5"/>
      <c r="E88" s="5"/>
      <c r="F88" s="5"/>
      <c r="G88" s="5"/>
      <c r="H88" s="5"/>
      <c r="I88" s="5"/>
      <c r="J88" s="5"/>
      <c r="K88" s="5"/>
      <c r="L88" s="5"/>
      <c r="M88" s="5"/>
      <c r="N88" s="5"/>
      <c r="O88" s="5"/>
      <c r="Q88" s="5"/>
      <c r="R88" s="5"/>
      <c r="S88" s="5"/>
      <c r="AA88" s="39"/>
      <c r="AB88" s="39"/>
      <c r="AC88" s="39"/>
      <c r="AD88" s="39"/>
      <c r="AE88" s="39"/>
      <c r="AF88" s="39"/>
      <c r="AG88" s="39"/>
      <c r="AH88" s="39"/>
      <c r="AI88" s="39"/>
      <c r="AJ88" s="39"/>
      <c r="AK88" s="39"/>
      <c r="AL88" s="39"/>
      <c r="AM88" s="39"/>
      <c r="AN88" s="39"/>
      <c r="AO88" s="39"/>
      <c r="AP88" s="39"/>
      <c r="AQ88" s="39"/>
      <c r="AR88" s="39"/>
    </row>
    <row r="89" spans="2:44">
      <c r="B89" s="41"/>
      <c r="C89" s="5"/>
      <c r="D89" s="5"/>
      <c r="E89" s="5"/>
      <c r="F89" s="5"/>
      <c r="G89" s="5"/>
      <c r="H89" s="5"/>
      <c r="I89" s="5"/>
      <c r="J89" s="5"/>
      <c r="K89" s="5"/>
      <c r="L89" s="5"/>
      <c r="M89" s="5"/>
      <c r="N89" s="5"/>
      <c r="O89" s="5"/>
      <c r="Q89" s="5"/>
      <c r="R89" s="5"/>
      <c r="S89" s="5"/>
      <c r="AA89" s="39"/>
      <c r="AB89" s="39"/>
      <c r="AC89" s="39"/>
      <c r="AD89" s="39"/>
      <c r="AE89" s="39"/>
      <c r="AF89" s="39"/>
      <c r="AG89" s="39"/>
      <c r="AH89" s="39"/>
      <c r="AI89" s="39"/>
      <c r="AJ89" s="39"/>
      <c r="AK89" s="39"/>
      <c r="AL89" s="39"/>
      <c r="AM89" s="39"/>
      <c r="AN89" s="39"/>
      <c r="AO89" s="39"/>
      <c r="AP89" s="39"/>
      <c r="AQ89" s="39"/>
      <c r="AR89" s="39"/>
    </row>
    <row r="90" spans="2:44">
      <c r="B90" s="41"/>
      <c r="C90" s="5"/>
      <c r="D90" s="5"/>
      <c r="E90" s="5"/>
      <c r="F90" s="5"/>
      <c r="G90" s="5"/>
      <c r="H90" s="5"/>
      <c r="I90" s="49"/>
      <c r="J90" s="5"/>
      <c r="K90" s="5"/>
      <c r="L90" s="5"/>
      <c r="M90" s="5"/>
      <c r="N90" s="5"/>
      <c r="O90" s="5"/>
      <c r="Q90" s="41"/>
      <c r="R90" s="5"/>
      <c r="S90" s="5"/>
      <c r="AA90" s="39"/>
      <c r="AB90" s="39"/>
      <c r="AC90" s="39"/>
      <c r="AD90" s="39"/>
      <c r="AE90" s="39"/>
      <c r="AF90" s="39"/>
      <c r="AG90" s="39"/>
      <c r="AH90" s="39"/>
      <c r="AI90" s="39"/>
      <c r="AJ90" s="39"/>
      <c r="AK90" s="39"/>
      <c r="AL90" s="39"/>
      <c r="AM90" s="39"/>
      <c r="AN90" s="39"/>
      <c r="AO90" s="39"/>
      <c r="AP90" s="39"/>
      <c r="AQ90" s="39"/>
      <c r="AR90" s="39"/>
    </row>
    <row r="91" spans="2:44">
      <c r="B91" s="5"/>
      <c r="C91" s="5"/>
      <c r="D91" s="5"/>
      <c r="E91" s="5"/>
      <c r="F91" s="5"/>
      <c r="G91" s="5"/>
      <c r="H91" s="5"/>
      <c r="I91" s="5"/>
      <c r="J91" s="5"/>
      <c r="K91" s="5"/>
      <c r="L91" s="5"/>
      <c r="M91" s="5"/>
      <c r="N91" s="5"/>
      <c r="O91" s="5"/>
      <c r="Q91" s="5"/>
      <c r="R91" s="5"/>
      <c r="S91" s="5"/>
      <c r="AA91" s="39"/>
      <c r="AB91" s="39"/>
      <c r="AC91" s="39"/>
      <c r="AD91" s="39"/>
      <c r="AE91" s="39"/>
      <c r="AF91" s="39"/>
      <c r="AG91" s="39"/>
      <c r="AH91" s="39"/>
      <c r="AI91" s="39"/>
      <c r="AJ91" s="39"/>
      <c r="AK91" s="39"/>
      <c r="AL91" s="39"/>
      <c r="AM91" s="39"/>
      <c r="AN91" s="39"/>
      <c r="AO91" s="39"/>
      <c r="AP91" s="39"/>
      <c r="AQ91" s="39"/>
      <c r="AR91" s="39"/>
    </row>
    <row r="92" spans="2:44">
      <c r="B92" s="41"/>
      <c r="C92" s="49"/>
      <c r="D92" s="49"/>
      <c r="E92" s="49"/>
      <c r="F92" s="49"/>
      <c r="G92" s="49"/>
      <c r="H92" s="49"/>
      <c r="I92" s="247"/>
      <c r="J92" s="49"/>
      <c r="K92" s="49"/>
      <c r="L92" s="49"/>
      <c r="M92" s="49"/>
      <c r="N92" s="49"/>
      <c r="O92" s="49"/>
      <c r="Q92" s="5"/>
      <c r="R92" s="5"/>
      <c r="S92" s="5"/>
      <c r="W92" s="21"/>
      <c r="X92" s="21"/>
      <c r="AA92" s="39"/>
      <c r="AB92" s="39"/>
      <c r="AC92" s="39"/>
      <c r="AD92" s="39"/>
      <c r="AE92" s="39"/>
      <c r="AF92" s="39"/>
      <c r="AG92" s="39"/>
      <c r="AH92" s="39"/>
      <c r="AI92" s="39"/>
      <c r="AJ92" s="39"/>
      <c r="AK92" s="39"/>
      <c r="AL92" s="39"/>
      <c r="AM92" s="39"/>
      <c r="AN92" s="39"/>
      <c r="AO92" s="39"/>
      <c r="AP92" s="39"/>
      <c r="AQ92" s="39"/>
      <c r="AR92" s="39"/>
    </row>
    <row r="93" spans="2:44">
      <c r="B93" s="5"/>
      <c r="C93" s="5"/>
      <c r="D93" s="5"/>
      <c r="E93" s="5"/>
      <c r="F93" s="5"/>
      <c r="G93" s="5"/>
      <c r="H93" s="5"/>
      <c r="I93" s="247"/>
      <c r="J93" s="5"/>
      <c r="K93" s="5"/>
      <c r="L93" s="5"/>
      <c r="M93" s="5"/>
      <c r="N93" s="5"/>
      <c r="O93" s="5"/>
      <c r="Q93" s="5"/>
      <c r="R93" s="5"/>
      <c r="S93" s="5"/>
      <c r="W93" s="21"/>
      <c r="X93" s="21"/>
      <c r="Y93" s="21"/>
      <c r="Z93" s="21"/>
      <c r="AA93" s="39"/>
      <c r="AB93" s="39"/>
      <c r="AC93" s="39"/>
      <c r="AD93" s="39"/>
      <c r="AE93" s="39"/>
      <c r="AF93" s="39"/>
      <c r="AG93" s="39"/>
      <c r="AH93" s="39"/>
      <c r="AI93" s="39"/>
      <c r="AJ93" s="39"/>
      <c r="AK93" s="39"/>
      <c r="AL93" s="39"/>
      <c r="AM93" s="39"/>
      <c r="AN93" s="39"/>
      <c r="AO93" s="39"/>
      <c r="AP93" s="39"/>
      <c r="AQ93" s="39"/>
      <c r="AR93" s="39"/>
    </row>
    <row r="94" spans="2:44">
      <c r="B94" s="5"/>
      <c r="C94" s="259"/>
      <c r="D94" s="247"/>
      <c r="E94" s="247"/>
      <c r="F94" s="247"/>
      <c r="G94" s="247"/>
      <c r="H94" s="247"/>
      <c r="I94" s="247"/>
      <c r="J94" s="247"/>
      <c r="K94" s="247"/>
      <c r="L94" s="247"/>
      <c r="M94" s="247"/>
      <c r="N94" s="247"/>
      <c r="O94" s="248"/>
      <c r="Q94" s="5"/>
      <c r="R94" s="5"/>
      <c r="S94" s="5"/>
      <c r="Y94" s="21"/>
      <c r="Z94" s="21"/>
      <c r="AA94" s="39"/>
      <c r="AB94" s="39"/>
      <c r="AC94" s="39"/>
      <c r="AD94" s="39"/>
      <c r="AE94" s="39"/>
      <c r="AF94" s="39"/>
      <c r="AG94" s="39"/>
      <c r="AH94" s="39"/>
      <c r="AI94" s="39"/>
      <c r="AJ94" s="39"/>
      <c r="AK94" s="39"/>
      <c r="AL94" s="39"/>
      <c r="AM94" s="39"/>
      <c r="AN94" s="39"/>
      <c r="AO94" s="39"/>
      <c r="AP94" s="39"/>
      <c r="AQ94" s="39"/>
      <c r="AR94" s="39"/>
    </row>
    <row r="95" spans="2:44">
      <c r="B95" s="5"/>
      <c r="C95" s="259"/>
      <c r="D95" s="247"/>
      <c r="E95" s="247"/>
      <c r="F95" s="247"/>
      <c r="G95" s="247"/>
      <c r="H95" s="247"/>
      <c r="I95" s="248"/>
      <c r="J95" s="247"/>
      <c r="K95" s="247"/>
      <c r="L95" s="247"/>
      <c r="M95" s="247"/>
      <c r="N95" s="247"/>
      <c r="O95" s="248"/>
      <c r="Q95" s="5"/>
      <c r="R95" s="5"/>
      <c r="S95" s="5"/>
    </row>
    <row r="96" spans="2:44">
      <c r="B96" s="5"/>
      <c r="C96" s="259"/>
      <c r="D96" s="247"/>
      <c r="E96" s="247"/>
      <c r="F96" s="247"/>
      <c r="G96" s="247"/>
      <c r="H96" s="247"/>
      <c r="I96" s="247"/>
      <c r="J96" s="247"/>
      <c r="K96" s="247"/>
      <c r="L96" s="247"/>
      <c r="M96" s="247"/>
      <c r="N96" s="247"/>
      <c r="O96" s="248"/>
      <c r="Q96" s="5"/>
      <c r="R96" s="5"/>
      <c r="S96" s="5"/>
    </row>
    <row r="97" spans="2:44">
      <c r="B97" s="5"/>
      <c r="C97" s="259"/>
      <c r="D97" s="248"/>
      <c r="E97" s="248"/>
      <c r="F97" s="248"/>
      <c r="G97" s="248"/>
      <c r="H97" s="248"/>
      <c r="I97" s="249"/>
      <c r="J97" s="248"/>
      <c r="K97" s="248"/>
      <c r="L97" s="248"/>
      <c r="M97" s="248"/>
      <c r="N97" s="248"/>
      <c r="O97" s="248"/>
      <c r="Q97" s="5"/>
      <c r="R97" s="5"/>
      <c r="S97" s="5"/>
    </row>
    <row r="98" spans="2:44">
      <c r="B98" s="5"/>
      <c r="C98" s="259"/>
      <c r="D98" s="247"/>
      <c r="E98" s="247"/>
      <c r="F98" s="247"/>
      <c r="G98" s="247"/>
      <c r="H98" s="247"/>
      <c r="I98" s="248"/>
      <c r="J98" s="247"/>
      <c r="K98" s="247"/>
      <c r="L98" s="247"/>
      <c r="M98" s="247"/>
      <c r="N98" s="247"/>
      <c r="O98" s="248"/>
      <c r="Q98" s="5"/>
      <c r="R98" s="5"/>
      <c r="S98" s="5"/>
    </row>
    <row r="99" spans="2:44">
      <c r="B99" s="41"/>
      <c r="C99" s="249"/>
      <c r="D99" s="249"/>
      <c r="E99" s="249"/>
      <c r="F99" s="249"/>
      <c r="G99" s="249"/>
      <c r="H99" s="249"/>
      <c r="I99" s="5"/>
      <c r="J99" s="249"/>
      <c r="K99" s="249"/>
      <c r="L99" s="249"/>
      <c r="M99" s="249"/>
      <c r="N99" s="249"/>
      <c r="O99" s="248"/>
      <c r="Q99" s="5"/>
      <c r="R99" s="5"/>
      <c r="S99" s="5"/>
    </row>
    <row r="100" spans="2:44">
      <c r="B100" s="41"/>
      <c r="C100" s="257"/>
      <c r="D100" s="248"/>
      <c r="E100" s="248"/>
      <c r="F100" s="248"/>
      <c r="G100" s="248"/>
      <c r="H100" s="248"/>
      <c r="I100" s="259"/>
      <c r="J100" s="248"/>
      <c r="K100" s="248"/>
      <c r="L100" s="248"/>
      <c r="M100" s="248"/>
      <c r="N100" s="248"/>
      <c r="O100" s="248"/>
      <c r="Q100" s="5"/>
      <c r="R100" s="5"/>
      <c r="S100" s="5"/>
    </row>
    <row r="101" spans="2:44" s="5" customFormat="1">
      <c r="B101" s="41"/>
      <c r="I101" s="259"/>
      <c r="O101" s="248"/>
      <c r="P101" s="39"/>
    </row>
    <row r="102" spans="2:44">
      <c r="B102" s="5"/>
      <c r="C102" s="259"/>
      <c r="D102" s="259"/>
      <c r="E102" s="259"/>
      <c r="F102" s="259"/>
      <c r="G102" s="259"/>
      <c r="H102" s="259"/>
      <c r="I102" s="247"/>
      <c r="J102" s="259"/>
      <c r="K102" s="259"/>
      <c r="L102" s="259"/>
      <c r="M102" s="259"/>
      <c r="N102" s="259"/>
      <c r="O102" s="5"/>
      <c r="Q102" s="5"/>
      <c r="R102" s="5"/>
      <c r="S102" s="5"/>
    </row>
    <row r="103" spans="2:44">
      <c r="B103" s="5"/>
      <c r="C103" s="259"/>
      <c r="D103" s="259"/>
      <c r="E103" s="259"/>
      <c r="F103" s="259"/>
      <c r="G103" s="259"/>
      <c r="H103" s="259"/>
      <c r="I103" s="5"/>
      <c r="J103" s="259"/>
      <c r="K103" s="259"/>
      <c r="L103" s="259"/>
      <c r="M103" s="259"/>
      <c r="N103" s="259"/>
      <c r="O103" s="5"/>
      <c r="P103" s="5"/>
      <c r="Q103" s="5"/>
      <c r="R103" s="5"/>
      <c r="S103" s="5"/>
    </row>
    <row r="104" spans="2:44">
      <c r="B104" s="5"/>
      <c r="C104" s="247"/>
      <c r="D104" s="247"/>
      <c r="E104" s="247"/>
      <c r="F104" s="247"/>
      <c r="G104" s="247"/>
      <c r="H104" s="247"/>
      <c r="I104" s="247"/>
      <c r="J104" s="247"/>
      <c r="K104" s="247"/>
      <c r="L104" s="247"/>
      <c r="M104" s="247"/>
      <c r="N104" s="247"/>
      <c r="O104" s="5"/>
      <c r="Q104" s="5"/>
      <c r="R104" s="5"/>
      <c r="S104" s="5"/>
    </row>
    <row r="105" spans="2:44" s="5" customFormat="1">
      <c r="P105" s="39"/>
    </row>
    <row r="106" spans="2:44" s="5" customFormat="1">
      <c r="C106" s="259"/>
      <c r="D106" s="247"/>
      <c r="E106" s="247"/>
      <c r="F106" s="247"/>
      <c r="G106" s="247"/>
      <c r="H106" s="247"/>
      <c r="I106" s="259"/>
      <c r="J106" s="247"/>
      <c r="K106" s="247"/>
      <c r="L106" s="247"/>
      <c r="M106" s="247"/>
      <c r="N106" s="247"/>
      <c r="P106" s="39"/>
    </row>
    <row r="107" spans="2:44">
      <c r="B107" s="5"/>
      <c r="C107" s="259"/>
      <c r="D107" s="5"/>
      <c r="E107" s="5"/>
      <c r="F107" s="5"/>
      <c r="G107" s="5"/>
      <c r="H107" s="5"/>
      <c r="I107" s="247"/>
      <c r="J107" s="5"/>
      <c r="K107" s="5"/>
      <c r="L107" s="5"/>
      <c r="M107" s="5"/>
      <c r="N107" s="5"/>
      <c r="O107" s="5"/>
      <c r="P107" s="5"/>
      <c r="Q107" s="5"/>
      <c r="R107" s="5"/>
      <c r="S107" s="5"/>
    </row>
    <row r="108" spans="2:44">
      <c r="B108" s="5"/>
      <c r="C108" s="259"/>
      <c r="D108" s="259"/>
      <c r="E108" s="259"/>
      <c r="F108" s="259"/>
      <c r="G108" s="259"/>
      <c r="H108" s="259"/>
      <c r="I108" s="249"/>
      <c r="J108" s="259"/>
      <c r="K108" s="259"/>
      <c r="L108" s="259"/>
      <c r="M108" s="259"/>
      <c r="N108" s="259"/>
      <c r="O108" s="5"/>
      <c r="P108" s="5"/>
      <c r="Q108" s="5"/>
      <c r="R108" s="5"/>
      <c r="S108" s="5"/>
    </row>
    <row r="109" spans="2:44">
      <c r="B109" s="5"/>
      <c r="C109" s="247"/>
      <c r="D109" s="247"/>
      <c r="E109" s="247"/>
      <c r="F109" s="247"/>
      <c r="G109" s="247"/>
      <c r="H109" s="247"/>
      <c r="I109" s="249"/>
      <c r="J109" s="247"/>
      <c r="K109" s="247"/>
      <c r="L109" s="247"/>
      <c r="M109" s="247"/>
      <c r="N109" s="247"/>
      <c r="O109" s="5"/>
      <c r="Q109" s="5"/>
      <c r="R109" s="5"/>
      <c r="S109" s="5"/>
    </row>
    <row r="110" spans="2:44">
      <c r="B110" s="41"/>
      <c r="C110" s="249"/>
      <c r="D110" s="249"/>
      <c r="E110" s="249"/>
      <c r="F110" s="249"/>
      <c r="G110" s="249"/>
      <c r="H110" s="249"/>
      <c r="I110" s="247"/>
      <c r="J110" s="249"/>
      <c r="K110" s="249"/>
      <c r="L110" s="249"/>
      <c r="M110" s="249"/>
      <c r="N110" s="249"/>
      <c r="O110" s="5"/>
      <c r="Q110" s="5"/>
      <c r="R110" s="5"/>
      <c r="S110" s="5"/>
    </row>
    <row r="111" spans="2:44">
      <c r="B111" s="5"/>
      <c r="C111" s="249"/>
      <c r="D111" s="249"/>
      <c r="E111" s="249"/>
      <c r="F111" s="249"/>
      <c r="G111" s="249"/>
      <c r="H111" s="249"/>
      <c r="I111" s="5"/>
      <c r="J111" s="249"/>
      <c r="K111" s="249"/>
      <c r="L111" s="249"/>
      <c r="M111" s="249"/>
      <c r="N111" s="249"/>
      <c r="O111" s="5"/>
      <c r="Q111" s="5"/>
      <c r="R111" s="5"/>
      <c r="S111" s="5"/>
      <c r="V111" s="39"/>
      <c r="W111" s="39"/>
      <c r="X111" s="39"/>
      <c r="Y111" s="39"/>
      <c r="Z111" s="39"/>
      <c r="AA111" s="39"/>
      <c r="AB111" s="39"/>
      <c r="AC111" s="39"/>
      <c r="AD111" s="39"/>
      <c r="AE111" s="39"/>
      <c r="AF111" s="39"/>
      <c r="AG111" s="39"/>
      <c r="AH111" s="39"/>
      <c r="AI111" s="39"/>
      <c r="AJ111" s="39"/>
      <c r="AK111" s="39"/>
      <c r="AL111" s="39"/>
      <c r="AM111" s="39"/>
      <c r="AN111" s="39"/>
      <c r="AO111" s="39"/>
      <c r="AP111" s="39"/>
      <c r="AQ111" s="39"/>
      <c r="AR111" s="39"/>
    </row>
    <row r="112" spans="2:44">
      <c r="B112" s="5"/>
      <c r="C112" s="247"/>
      <c r="D112" s="247"/>
      <c r="E112" s="247"/>
      <c r="F112" s="247"/>
      <c r="G112" s="247"/>
      <c r="H112" s="247"/>
      <c r="I112" s="5"/>
      <c r="J112" s="247"/>
      <c r="K112" s="247"/>
      <c r="L112" s="247"/>
      <c r="M112" s="247"/>
      <c r="N112" s="247"/>
      <c r="O112" s="5"/>
      <c r="Q112" s="5"/>
      <c r="R112" s="5"/>
      <c r="S112" s="5"/>
      <c r="V112" s="39"/>
      <c r="W112" s="39"/>
      <c r="X112" s="39"/>
      <c r="Y112" s="39"/>
      <c r="Z112" s="39"/>
      <c r="AA112" s="39"/>
      <c r="AB112" s="39"/>
      <c r="AC112" s="39"/>
      <c r="AD112" s="39"/>
      <c r="AE112" s="39"/>
      <c r="AF112" s="39"/>
      <c r="AG112" s="39"/>
      <c r="AH112" s="39"/>
      <c r="AI112" s="39"/>
      <c r="AJ112" s="39"/>
      <c r="AK112" s="39"/>
      <c r="AL112" s="39"/>
      <c r="AM112" s="39"/>
      <c r="AN112" s="39"/>
      <c r="AO112" s="39"/>
      <c r="AP112" s="39"/>
      <c r="AQ112" s="39"/>
      <c r="AR112" s="39"/>
    </row>
    <row r="113" spans="2:44">
      <c r="B113" s="5"/>
      <c r="C113" s="5"/>
      <c r="D113" s="5"/>
      <c r="E113" s="5"/>
      <c r="F113" s="5"/>
      <c r="G113" s="5"/>
      <c r="H113" s="5"/>
      <c r="I113" s="5"/>
      <c r="J113" s="5"/>
      <c r="K113" s="5"/>
      <c r="L113" s="5"/>
      <c r="M113" s="5"/>
      <c r="N113" s="5"/>
      <c r="O113" s="5"/>
      <c r="Q113" s="5"/>
      <c r="R113" s="5"/>
      <c r="S113" s="5"/>
      <c r="V113" s="39"/>
      <c r="W113" s="39"/>
      <c r="X113" s="39"/>
      <c r="Y113" s="39"/>
      <c r="Z113" s="39"/>
      <c r="AA113" s="39"/>
      <c r="AB113" s="39"/>
      <c r="AC113" s="39"/>
      <c r="AD113" s="39"/>
      <c r="AE113" s="39"/>
      <c r="AF113" s="39"/>
      <c r="AG113" s="39"/>
      <c r="AH113" s="39"/>
      <c r="AI113" s="39"/>
      <c r="AJ113" s="39"/>
      <c r="AK113" s="39"/>
      <c r="AL113" s="39"/>
      <c r="AM113" s="39"/>
      <c r="AN113" s="39"/>
      <c r="AO113" s="39"/>
      <c r="AP113" s="39"/>
      <c r="AQ113" s="39"/>
      <c r="AR113" s="39"/>
    </row>
    <row r="114" spans="2:44">
      <c r="B114" s="5"/>
      <c r="C114" s="5"/>
      <c r="D114" s="5"/>
      <c r="E114" s="5"/>
      <c r="F114" s="5"/>
      <c r="G114" s="5"/>
      <c r="H114" s="5"/>
      <c r="I114" s="5"/>
      <c r="J114" s="5"/>
      <c r="K114" s="5"/>
      <c r="L114" s="5"/>
      <c r="M114" s="5"/>
      <c r="N114" s="5"/>
      <c r="O114" s="5"/>
      <c r="Q114" s="5"/>
      <c r="R114" s="5"/>
      <c r="S114" s="5"/>
      <c r="V114" s="39"/>
      <c r="W114" s="39"/>
      <c r="X114" s="39"/>
      <c r="Y114" s="39"/>
      <c r="Z114" s="39"/>
      <c r="AA114" s="39"/>
      <c r="AB114" s="39"/>
      <c r="AC114" s="39"/>
      <c r="AD114" s="39"/>
      <c r="AE114" s="39"/>
      <c r="AF114" s="39"/>
      <c r="AG114" s="39"/>
      <c r="AH114" s="39"/>
      <c r="AI114" s="39"/>
      <c r="AJ114" s="39"/>
      <c r="AK114" s="39"/>
      <c r="AL114" s="39"/>
      <c r="AM114" s="39"/>
      <c r="AN114" s="39"/>
      <c r="AO114" s="39"/>
      <c r="AP114" s="39"/>
      <c r="AQ114" s="39"/>
      <c r="AR114" s="39"/>
    </row>
    <row r="115" spans="2:44">
      <c r="B115" s="5"/>
      <c r="C115" s="5"/>
      <c r="D115" s="5"/>
      <c r="E115" s="5"/>
      <c r="F115" s="5"/>
      <c r="G115" s="5"/>
      <c r="H115" s="5"/>
      <c r="I115" s="49"/>
      <c r="J115" s="5"/>
      <c r="K115" s="5"/>
      <c r="L115" s="5"/>
      <c r="M115" s="5"/>
      <c r="N115" s="5"/>
      <c r="O115" s="5"/>
      <c r="Q115" s="41"/>
      <c r="R115" s="5"/>
      <c r="S115" s="5"/>
      <c r="V115" s="39"/>
      <c r="W115" s="39"/>
      <c r="X115" s="39"/>
      <c r="Y115" s="39"/>
      <c r="Z115" s="39"/>
      <c r="AA115" s="39"/>
      <c r="AB115" s="39"/>
      <c r="AC115" s="39"/>
      <c r="AD115" s="39"/>
      <c r="AE115" s="39"/>
      <c r="AF115" s="39"/>
      <c r="AG115" s="39"/>
      <c r="AH115" s="39"/>
      <c r="AI115" s="39"/>
      <c r="AJ115" s="39"/>
      <c r="AK115" s="39"/>
      <c r="AL115" s="39"/>
      <c r="AM115" s="39"/>
      <c r="AN115" s="39"/>
      <c r="AO115" s="39"/>
      <c r="AP115" s="39"/>
      <c r="AQ115" s="39"/>
      <c r="AR115" s="39"/>
    </row>
    <row r="116" spans="2:44">
      <c r="B116" s="5"/>
      <c r="C116" s="5"/>
      <c r="D116" s="5"/>
      <c r="E116" s="5"/>
      <c r="F116" s="5"/>
      <c r="G116" s="5"/>
      <c r="H116" s="5"/>
      <c r="I116" s="5"/>
      <c r="J116" s="5"/>
      <c r="K116" s="5"/>
      <c r="L116" s="5"/>
      <c r="M116" s="5"/>
      <c r="N116" s="5"/>
      <c r="O116" s="5"/>
      <c r="Q116" s="5"/>
      <c r="R116" s="5"/>
      <c r="S116" s="5"/>
      <c r="V116" s="39"/>
      <c r="W116" s="39"/>
      <c r="X116" s="39"/>
      <c r="Y116" s="39"/>
      <c r="Z116" s="39"/>
      <c r="AA116" s="39"/>
      <c r="AB116" s="39"/>
      <c r="AC116" s="39"/>
      <c r="AD116" s="39"/>
      <c r="AE116" s="39"/>
      <c r="AF116" s="39"/>
      <c r="AG116" s="39"/>
      <c r="AH116" s="39"/>
      <c r="AI116" s="39"/>
      <c r="AJ116" s="39"/>
      <c r="AK116" s="39"/>
      <c r="AL116" s="39"/>
      <c r="AM116" s="39"/>
      <c r="AN116" s="39"/>
      <c r="AO116" s="39"/>
      <c r="AP116" s="39"/>
      <c r="AQ116" s="39"/>
      <c r="AR116" s="39"/>
    </row>
    <row r="117" spans="2:44">
      <c r="B117" s="41"/>
      <c r="C117" s="49"/>
      <c r="D117" s="49"/>
      <c r="E117" s="49"/>
      <c r="F117" s="49"/>
      <c r="G117" s="49"/>
      <c r="H117" s="49"/>
      <c r="I117" s="254"/>
      <c r="J117" s="49"/>
      <c r="K117" s="49"/>
      <c r="L117" s="49"/>
      <c r="M117" s="49"/>
      <c r="N117" s="49"/>
      <c r="O117" s="49"/>
      <c r="Q117" s="5"/>
      <c r="R117" s="5"/>
      <c r="S117" s="5"/>
      <c r="V117" s="39"/>
      <c r="W117" s="39"/>
      <c r="X117" s="39"/>
      <c r="Y117" s="39"/>
      <c r="Z117" s="39"/>
      <c r="AA117" s="39"/>
      <c r="AB117" s="39"/>
      <c r="AC117" s="39"/>
      <c r="AD117" s="39"/>
      <c r="AE117" s="39"/>
      <c r="AF117" s="39"/>
      <c r="AG117" s="39"/>
      <c r="AH117" s="39"/>
      <c r="AI117" s="39"/>
      <c r="AJ117" s="39"/>
      <c r="AK117" s="39"/>
      <c r="AL117" s="39"/>
      <c r="AM117" s="39"/>
      <c r="AN117" s="39"/>
      <c r="AO117" s="39"/>
      <c r="AP117" s="39"/>
      <c r="AQ117" s="39"/>
      <c r="AR117" s="39"/>
    </row>
    <row r="118" spans="2:44">
      <c r="B118" s="5"/>
      <c r="C118" s="5"/>
      <c r="D118" s="5"/>
      <c r="E118" s="5"/>
      <c r="F118" s="5"/>
      <c r="G118" s="5"/>
      <c r="H118" s="5"/>
      <c r="I118" s="249"/>
      <c r="J118" s="5"/>
      <c r="K118" s="5"/>
      <c r="L118" s="5"/>
      <c r="M118" s="5"/>
      <c r="N118" s="5"/>
      <c r="O118" s="5"/>
      <c r="Q118" s="5"/>
      <c r="R118" s="5"/>
      <c r="S118" s="5"/>
      <c r="V118" s="39"/>
      <c r="W118" s="39"/>
      <c r="X118" s="39"/>
      <c r="Y118" s="39"/>
      <c r="Z118" s="39"/>
      <c r="AA118" s="39"/>
      <c r="AB118" s="39"/>
      <c r="AC118" s="39"/>
      <c r="AD118" s="39"/>
      <c r="AE118" s="39"/>
      <c r="AF118" s="39"/>
      <c r="AG118" s="39"/>
      <c r="AH118" s="39"/>
      <c r="AI118" s="39"/>
      <c r="AJ118" s="39"/>
      <c r="AK118" s="39"/>
      <c r="AL118" s="39"/>
      <c r="AM118" s="39"/>
      <c r="AN118" s="39"/>
      <c r="AO118" s="39"/>
      <c r="AP118" s="39"/>
      <c r="AQ118" s="39"/>
      <c r="AR118" s="39"/>
    </row>
    <row r="119" spans="2:44">
      <c r="B119" s="41"/>
      <c r="C119" s="254"/>
      <c r="D119" s="254"/>
      <c r="E119" s="254"/>
      <c r="F119" s="254"/>
      <c r="G119" s="254"/>
      <c r="H119" s="254"/>
      <c r="I119" s="254"/>
      <c r="J119" s="254"/>
      <c r="K119" s="254"/>
      <c r="L119" s="254"/>
      <c r="M119" s="254"/>
      <c r="N119" s="254"/>
      <c r="O119" s="248"/>
      <c r="Q119" s="5"/>
      <c r="R119" s="5"/>
      <c r="S119" s="5"/>
      <c r="V119" s="39"/>
      <c r="W119" s="39"/>
      <c r="X119" s="39"/>
      <c r="Y119" s="39"/>
      <c r="Z119" s="39"/>
      <c r="AA119" s="39"/>
      <c r="AB119" s="39"/>
      <c r="AC119" s="39"/>
      <c r="AD119" s="39"/>
      <c r="AE119" s="39"/>
      <c r="AF119" s="39"/>
      <c r="AG119" s="39"/>
      <c r="AH119" s="39"/>
      <c r="AI119" s="39"/>
      <c r="AJ119" s="39"/>
      <c r="AK119" s="39"/>
      <c r="AL119" s="39"/>
      <c r="AM119" s="39"/>
      <c r="AN119" s="39"/>
      <c r="AO119" s="39"/>
      <c r="AP119" s="39"/>
      <c r="AQ119" s="39"/>
      <c r="AR119" s="39"/>
    </row>
    <row r="120" spans="2:44">
      <c r="B120" s="41"/>
      <c r="C120" s="254"/>
      <c r="D120" s="249"/>
      <c r="E120" s="249"/>
      <c r="F120" s="249"/>
      <c r="G120" s="249"/>
      <c r="H120" s="249"/>
      <c r="I120" s="254"/>
      <c r="J120" s="249"/>
      <c r="K120" s="249"/>
      <c r="L120" s="249"/>
      <c r="M120" s="249"/>
      <c r="N120" s="249"/>
      <c r="O120" s="248"/>
      <c r="Q120" s="5"/>
      <c r="R120" s="5"/>
      <c r="S120" s="5"/>
      <c r="V120" s="39"/>
      <c r="W120" s="39"/>
      <c r="X120" s="39"/>
      <c r="Y120" s="39"/>
      <c r="Z120" s="39"/>
      <c r="AA120" s="39"/>
      <c r="AB120" s="39"/>
      <c r="AC120" s="39"/>
      <c r="AD120" s="39"/>
      <c r="AE120" s="39"/>
      <c r="AF120" s="39"/>
      <c r="AG120" s="39"/>
      <c r="AH120" s="39"/>
      <c r="AI120" s="39"/>
      <c r="AJ120" s="39"/>
      <c r="AK120" s="39"/>
      <c r="AL120" s="39"/>
      <c r="AM120" s="39"/>
      <c r="AN120" s="39"/>
      <c r="AO120" s="39"/>
      <c r="AP120" s="39"/>
      <c r="AQ120" s="39"/>
      <c r="AR120" s="39"/>
    </row>
    <row r="121" spans="2:44">
      <c r="B121" s="41"/>
      <c r="C121" s="254"/>
      <c r="D121" s="254"/>
      <c r="E121" s="254"/>
      <c r="F121" s="254"/>
      <c r="G121" s="254"/>
      <c r="H121" s="254"/>
      <c r="I121" s="254"/>
      <c r="J121" s="254"/>
      <c r="K121" s="254"/>
      <c r="L121" s="254"/>
      <c r="M121" s="254"/>
      <c r="N121" s="254"/>
      <c r="O121" s="248"/>
      <c r="Q121" s="5"/>
      <c r="R121" s="5"/>
      <c r="S121" s="5"/>
      <c r="V121" s="39"/>
      <c r="W121" s="39"/>
      <c r="X121" s="39"/>
      <c r="Y121" s="39"/>
      <c r="Z121" s="39"/>
      <c r="AA121" s="39"/>
      <c r="AB121" s="39"/>
      <c r="AC121" s="39"/>
      <c r="AD121" s="39"/>
      <c r="AE121" s="39"/>
      <c r="AF121" s="39"/>
      <c r="AG121" s="39"/>
      <c r="AH121" s="39"/>
      <c r="AI121" s="39"/>
      <c r="AJ121" s="39"/>
      <c r="AK121" s="39"/>
      <c r="AL121" s="39"/>
      <c r="AM121" s="39"/>
      <c r="AN121" s="39"/>
      <c r="AO121" s="39"/>
      <c r="AP121" s="39"/>
      <c r="AQ121" s="39"/>
      <c r="AR121" s="39"/>
    </row>
    <row r="122" spans="2:44">
      <c r="B122" s="41"/>
      <c r="C122" s="254"/>
      <c r="D122" s="254"/>
      <c r="E122" s="254"/>
      <c r="F122" s="254"/>
      <c r="G122" s="254"/>
      <c r="H122" s="254"/>
      <c r="I122" s="254"/>
      <c r="J122" s="254"/>
      <c r="K122" s="254"/>
      <c r="L122" s="254"/>
      <c r="M122" s="254"/>
      <c r="N122" s="254"/>
      <c r="O122" s="248"/>
      <c r="Q122" s="5"/>
      <c r="R122" s="5"/>
      <c r="S122" s="5"/>
      <c r="V122" s="39"/>
      <c r="W122" s="39"/>
      <c r="X122" s="39"/>
      <c r="Y122" s="39"/>
      <c r="Z122" s="39"/>
      <c r="AA122" s="39"/>
      <c r="AB122" s="39"/>
      <c r="AC122" s="39"/>
      <c r="AD122" s="39"/>
      <c r="AE122" s="39"/>
      <c r="AF122" s="39"/>
      <c r="AG122" s="39"/>
      <c r="AH122" s="39"/>
      <c r="AI122" s="39"/>
      <c r="AJ122" s="39"/>
      <c r="AK122" s="39"/>
      <c r="AL122" s="39"/>
      <c r="AM122" s="39"/>
      <c r="AN122" s="39"/>
      <c r="AO122" s="39"/>
      <c r="AP122" s="39"/>
      <c r="AQ122" s="39"/>
      <c r="AR122" s="39"/>
    </row>
    <row r="123" spans="2:44">
      <c r="B123" s="41"/>
      <c r="C123" s="254"/>
      <c r="D123" s="254"/>
      <c r="E123" s="254"/>
      <c r="F123" s="254"/>
      <c r="G123" s="254"/>
      <c r="H123" s="254"/>
      <c r="I123" s="254"/>
      <c r="J123" s="254"/>
      <c r="K123" s="254"/>
      <c r="L123" s="254"/>
      <c r="M123" s="254"/>
      <c r="N123" s="254"/>
      <c r="O123" s="248"/>
      <c r="Q123" s="5"/>
      <c r="R123" s="5"/>
      <c r="S123" s="5"/>
      <c r="V123" s="39"/>
      <c r="W123" s="39"/>
      <c r="X123" s="39"/>
      <c r="Y123" s="39"/>
      <c r="Z123" s="39"/>
      <c r="AA123" s="39"/>
      <c r="AB123" s="39"/>
      <c r="AC123" s="39"/>
      <c r="AD123" s="39"/>
      <c r="AE123" s="39"/>
      <c r="AF123" s="39"/>
      <c r="AG123" s="39"/>
      <c r="AH123" s="39"/>
      <c r="AI123" s="39"/>
      <c r="AJ123" s="39"/>
      <c r="AK123" s="39"/>
      <c r="AL123" s="39"/>
      <c r="AM123" s="39"/>
      <c r="AN123" s="39"/>
      <c r="AO123" s="39"/>
      <c r="AP123" s="39"/>
      <c r="AQ123" s="39"/>
      <c r="AR123" s="39"/>
    </row>
    <row r="124" spans="2:44">
      <c r="B124" s="41"/>
      <c r="C124" s="254"/>
      <c r="D124" s="254"/>
      <c r="E124" s="254"/>
      <c r="F124" s="254"/>
      <c r="G124" s="254"/>
      <c r="H124" s="254"/>
      <c r="I124" s="254"/>
      <c r="J124" s="254"/>
      <c r="K124" s="254"/>
      <c r="L124" s="254"/>
      <c r="M124" s="254"/>
      <c r="N124" s="254"/>
      <c r="O124" s="248"/>
      <c r="Q124" s="5"/>
      <c r="R124" s="5"/>
      <c r="S124" s="5"/>
      <c r="V124" s="39"/>
      <c r="W124" s="39"/>
      <c r="X124" s="39"/>
      <c r="Y124" s="39"/>
      <c r="Z124" s="39"/>
      <c r="AA124" s="39"/>
      <c r="AB124" s="39"/>
      <c r="AC124" s="39"/>
      <c r="AD124" s="39"/>
      <c r="AE124" s="39"/>
      <c r="AF124" s="39"/>
      <c r="AG124" s="39"/>
      <c r="AH124" s="39"/>
      <c r="AI124" s="39"/>
      <c r="AJ124" s="39"/>
      <c r="AK124" s="39"/>
      <c r="AL124" s="39"/>
      <c r="AM124" s="39"/>
      <c r="AN124" s="39"/>
      <c r="AO124" s="39"/>
      <c r="AP124" s="39"/>
      <c r="AQ124" s="39"/>
      <c r="AR124" s="39"/>
    </row>
    <row r="125" spans="2:44">
      <c r="B125" s="41"/>
      <c r="C125" s="254"/>
      <c r="D125" s="254"/>
      <c r="E125" s="254"/>
      <c r="F125" s="254"/>
      <c r="G125" s="254"/>
      <c r="H125" s="254"/>
      <c r="I125" s="254"/>
      <c r="J125" s="254"/>
      <c r="K125" s="254"/>
      <c r="L125" s="254"/>
      <c r="M125" s="254"/>
      <c r="N125" s="254"/>
      <c r="O125" s="5"/>
      <c r="Q125" s="5"/>
      <c r="R125" s="5"/>
      <c r="S125" s="5"/>
      <c r="V125" s="39"/>
      <c r="W125" s="39"/>
      <c r="X125" s="39"/>
      <c r="Y125" s="39"/>
      <c r="Z125" s="39"/>
      <c r="AA125" s="39"/>
      <c r="AB125" s="39"/>
      <c r="AC125" s="39"/>
      <c r="AD125" s="39"/>
      <c r="AE125" s="39"/>
      <c r="AF125" s="39"/>
      <c r="AG125" s="39"/>
      <c r="AH125" s="39"/>
      <c r="AI125" s="39"/>
      <c r="AJ125" s="39"/>
      <c r="AK125" s="39"/>
      <c r="AL125" s="39"/>
      <c r="AM125" s="39"/>
      <c r="AN125" s="39"/>
      <c r="AO125" s="39"/>
      <c r="AP125" s="39"/>
      <c r="AQ125" s="39"/>
      <c r="AR125" s="39"/>
    </row>
    <row r="126" spans="2:44">
      <c r="B126" s="41"/>
      <c r="C126" s="254"/>
      <c r="D126" s="254"/>
      <c r="E126" s="254"/>
      <c r="F126" s="254"/>
      <c r="G126" s="254"/>
      <c r="H126" s="254"/>
      <c r="I126" s="254"/>
      <c r="J126" s="254"/>
      <c r="K126" s="254"/>
      <c r="L126" s="254"/>
      <c r="M126" s="254"/>
      <c r="N126" s="254"/>
      <c r="O126" s="5"/>
      <c r="Q126" s="5"/>
      <c r="R126" s="5"/>
      <c r="S126" s="5"/>
      <c r="V126" s="39"/>
      <c r="W126" s="39"/>
      <c r="X126" s="39"/>
      <c r="Y126" s="39"/>
      <c r="Z126" s="39"/>
      <c r="AA126" s="39"/>
      <c r="AB126" s="39"/>
      <c r="AC126" s="39"/>
      <c r="AD126" s="39"/>
      <c r="AE126" s="39"/>
      <c r="AF126" s="39"/>
      <c r="AG126" s="39"/>
      <c r="AH126" s="39"/>
      <c r="AI126" s="39"/>
      <c r="AJ126" s="39"/>
      <c r="AK126" s="39"/>
      <c r="AL126" s="39"/>
      <c r="AM126" s="39"/>
      <c r="AN126" s="39"/>
      <c r="AO126" s="39"/>
      <c r="AP126" s="39"/>
      <c r="AQ126" s="39"/>
      <c r="AR126" s="39"/>
    </row>
    <row r="127" spans="2:44">
      <c r="B127" s="41"/>
      <c r="C127" s="254"/>
      <c r="D127" s="254"/>
      <c r="E127" s="254"/>
      <c r="F127" s="254"/>
      <c r="G127" s="254"/>
      <c r="H127" s="254"/>
      <c r="I127" s="18"/>
      <c r="J127" s="254"/>
      <c r="K127" s="254"/>
      <c r="L127" s="254"/>
      <c r="M127" s="254"/>
      <c r="N127" s="254"/>
      <c r="O127" s="5"/>
      <c r="Q127" s="5"/>
      <c r="R127" s="5"/>
      <c r="S127" s="5"/>
      <c r="AB127" s="39"/>
      <c r="AC127" s="39"/>
      <c r="AD127" s="39"/>
      <c r="AE127" s="39"/>
      <c r="AF127" s="39"/>
      <c r="AG127" s="39"/>
      <c r="AH127" s="39"/>
      <c r="AI127" s="39"/>
      <c r="AJ127" s="39"/>
      <c r="AK127" s="39"/>
      <c r="AL127" s="39"/>
      <c r="AM127" s="39"/>
      <c r="AN127" s="39"/>
      <c r="AO127" s="39"/>
      <c r="AP127" s="39"/>
      <c r="AQ127" s="39"/>
      <c r="AR127" s="39"/>
    </row>
    <row r="128" spans="2:44">
      <c r="B128" s="41"/>
      <c r="C128" s="254"/>
      <c r="D128" s="254"/>
      <c r="E128" s="254"/>
      <c r="F128" s="254"/>
      <c r="G128" s="254"/>
      <c r="H128" s="254"/>
      <c r="I128" s="5"/>
      <c r="J128" s="254"/>
      <c r="K128" s="254"/>
      <c r="L128" s="254"/>
      <c r="M128" s="254"/>
      <c r="N128" s="254"/>
      <c r="O128" s="5"/>
      <c r="Q128" s="5"/>
      <c r="R128" s="5"/>
      <c r="S128" s="5"/>
      <c r="AB128" s="39"/>
      <c r="AC128" s="39"/>
      <c r="AD128" s="39"/>
      <c r="AE128" s="39"/>
      <c r="AF128" s="39"/>
      <c r="AG128" s="39"/>
      <c r="AH128" s="39"/>
      <c r="AI128" s="39"/>
      <c r="AJ128" s="39"/>
      <c r="AK128" s="39"/>
      <c r="AL128" s="39"/>
      <c r="AM128" s="39"/>
      <c r="AN128" s="39"/>
      <c r="AO128" s="39"/>
      <c r="AP128" s="39"/>
      <c r="AQ128" s="39"/>
      <c r="AR128" s="39"/>
    </row>
    <row r="129" spans="2:44">
      <c r="B129" s="5"/>
      <c r="C129" s="5"/>
      <c r="D129" s="18"/>
      <c r="E129" s="18"/>
      <c r="F129" s="18"/>
      <c r="G129" s="18"/>
      <c r="H129" s="18"/>
      <c r="I129" s="254"/>
      <c r="J129" s="18"/>
      <c r="K129" s="18"/>
      <c r="L129" s="18"/>
      <c r="M129" s="18"/>
      <c r="N129" s="18"/>
      <c r="O129" s="5"/>
      <c r="Q129" s="5"/>
      <c r="R129" s="5"/>
      <c r="S129" s="5"/>
      <c r="AB129" s="39"/>
      <c r="AC129" s="39"/>
      <c r="AD129" s="39"/>
      <c r="AE129" s="39"/>
      <c r="AF129" s="39"/>
      <c r="AG129" s="39"/>
      <c r="AH129" s="39"/>
      <c r="AI129" s="39"/>
      <c r="AJ129" s="39"/>
      <c r="AK129" s="39"/>
      <c r="AL129" s="39"/>
      <c r="AM129" s="39"/>
      <c r="AN129" s="39"/>
      <c r="AO129" s="39"/>
      <c r="AP129" s="39"/>
      <c r="AQ129" s="39"/>
      <c r="AR129" s="39"/>
    </row>
    <row r="130" spans="2:44">
      <c r="B130" s="5"/>
      <c r="C130" s="5"/>
      <c r="D130" s="5"/>
      <c r="E130" s="5"/>
      <c r="F130" s="5"/>
      <c r="G130" s="5"/>
      <c r="H130" s="5"/>
      <c r="I130" s="18"/>
      <c r="J130" s="5"/>
      <c r="K130" s="5"/>
      <c r="L130" s="5"/>
      <c r="M130" s="5"/>
      <c r="N130" s="5"/>
      <c r="O130" s="5"/>
      <c r="Q130" s="5"/>
      <c r="R130" s="5"/>
      <c r="S130" s="5"/>
      <c r="AB130" s="39"/>
      <c r="AC130" s="39"/>
      <c r="AD130" s="39"/>
      <c r="AE130" s="39"/>
      <c r="AF130" s="39"/>
      <c r="AG130" s="39"/>
      <c r="AH130" s="39"/>
      <c r="AI130" s="39"/>
      <c r="AJ130" s="39"/>
      <c r="AK130" s="39"/>
      <c r="AL130" s="39"/>
      <c r="AM130" s="39"/>
      <c r="AN130" s="39"/>
      <c r="AO130" s="39"/>
      <c r="AP130" s="39"/>
      <c r="AQ130" s="39"/>
      <c r="AR130" s="39"/>
    </row>
    <row r="131" spans="2:44">
      <c r="B131" s="41"/>
      <c r="C131" s="254"/>
      <c r="D131" s="254"/>
      <c r="E131" s="254"/>
      <c r="F131" s="254"/>
      <c r="G131" s="254"/>
      <c r="H131" s="254"/>
      <c r="I131" s="5"/>
      <c r="J131" s="254"/>
      <c r="K131" s="254"/>
      <c r="L131" s="254"/>
      <c r="M131" s="254"/>
      <c r="N131" s="254"/>
      <c r="O131" s="5"/>
      <c r="Q131" s="5"/>
      <c r="R131" s="5"/>
      <c r="S131" s="5"/>
      <c r="AB131" s="39"/>
      <c r="AC131" s="39"/>
      <c r="AD131" s="39"/>
      <c r="AE131" s="39"/>
      <c r="AF131" s="39"/>
      <c r="AG131" s="39"/>
      <c r="AH131" s="39"/>
      <c r="AI131" s="39"/>
      <c r="AJ131" s="39"/>
      <c r="AK131" s="39"/>
      <c r="AL131" s="39"/>
      <c r="AM131" s="39"/>
      <c r="AN131" s="39"/>
      <c r="AO131" s="39"/>
      <c r="AP131" s="39"/>
      <c r="AQ131" s="39"/>
      <c r="AR131" s="39"/>
    </row>
    <row r="132" spans="2:44">
      <c r="B132" s="5"/>
      <c r="C132" s="259"/>
      <c r="D132" s="18"/>
      <c r="E132" s="18"/>
      <c r="F132" s="18"/>
      <c r="G132" s="18"/>
      <c r="H132" s="18"/>
      <c r="I132" s="5"/>
      <c r="J132" s="18"/>
      <c r="K132" s="18"/>
      <c r="L132" s="18"/>
      <c r="M132" s="18"/>
      <c r="N132" s="18"/>
      <c r="O132" s="5"/>
      <c r="Q132" s="5"/>
      <c r="R132" s="5"/>
      <c r="S132" s="5"/>
      <c r="AB132" s="39"/>
      <c r="AC132" s="39"/>
      <c r="AD132" s="39"/>
      <c r="AE132" s="39"/>
      <c r="AF132" s="39"/>
      <c r="AG132" s="39"/>
      <c r="AH132" s="39"/>
      <c r="AI132" s="39"/>
      <c r="AJ132" s="39"/>
      <c r="AK132" s="39"/>
      <c r="AL132" s="39"/>
      <c r="AM132" s="39"/>
      <c r="AN132" s="39"/>
      <c r="AO132" s="39"/>
      <c r="AP132" s="39"/>
      <c r="AQ132" s="39"/>
      <c r="AR132" s="39"/>
    </row>
    <row r="133" spans="2:44">
      <c r="B133" s="5"/>
      <c r="C133" s="5"/>
      <c r="D133" s="5"/>
      <c r="E133" s="5"/>
      <c r="F133" s="5"/>
      <c r="G133" s="5"/>
      <c r="H133" s="5"/>
      <c r="I133" s="17"/>
      <c r="J133" s="5"/>
      <c r="K133" s="5"/>
      <c r="L133" s="5"/>
      <c r="M133" s="5"/>
      <c r="N133" s="5"/>
      <c r="O133" s="5"/>
      <c r="Q133" s="5"/>
      <c r="R133" s="5"/>
      <c r="S133" s="5"/>
      <c r="AB133" s="39"/>
      <c r="AC133" s="39"/>
      <c r="AD133" s="39"/>
      <c r="AE133" s="39"/>
      <c r="AF133" s="39"/>
      <c r="AG133" s="39"/>
      <c r="AH133" s="39"/>
      <c r="AI133" s="39"/>
      <c r="AJ133" s="39"/>
      <c r="AK133" s="39"/>
      <c r="AL133" s="39"/>
      <c r="AM133" s="39"/>
      <c r="AN133" s="39"/>
      <c r="AO133" s="39"/>
      <c r="AP133" s="39"/>
      <c r="AQ133" s="39"/>
      <c r="AR133" s="39"/>
    </row>
    <row r="134" spans="2:44">
      <c r="B134" s="41"/>
      <c r="C134" s="5"/>
      <c r="D134" s="5"/>
      <c r="E134" s="5"/>
      <c r="F134" s="5"/>
      <c r="G134" s="5"/>
      <c r="H134" s="5"/>
      <c r="I134" s="17"/>
      <c r="J134" s="5"/>
      <c r="K134" s="5"/>
      <c r="L134" s="5"/>
      <c r="M134" s="5"/>
      <c r="N134" s="5"/>
      <c r="O134" s="5"/>
      <c r="Q134" s="5"/>
      <c r="R134" s="5"/>
      <c r="S134" s="5"/>
      <c r="AB134" s="39"/>
      <c r="AC134" s="39"/>
      <c r="AD134" s="39"/>
      <c r="AE134" s="39"/>
      <c r="AF134" s="39"/>
      <c r="AG134" s="39"/>
      <c r="AH134" s="39"/>
      <c r="AI134" s="39"/>
      <c r="AJ134" s="39"/>
      <c r="AK134" s="39"/>
      <c r="AL134" s="39"/>
      <c r="AM134" s="39"/>
      <c r="AN134" s="39"/>
      <c r="AO134" s="39"/>
      <c r="AP134" s="39"/>
      <c r="AQ134" s="39"/>
      <c r="AR134" s="39"/>
    </row>
    <row r="135" spans="2:44">
      <c r="B135" s="5"/>
      <c r="C135" s="17"/>
      <c r="D135" s="17"/>
      <c r="E135" s="17"/>
      <c r="F135" s="17"/>
      <c r="G135" s="17"/>
      <c r="H135" s="17"/>
      <c r="I135" s="17"/>
      <c r="J135" s="17"/>
      <c r="K135" s="17"/>
      <c r="L135" s="17"/>
      <c r="M135" s="17"/>
      <c r="N135" s="17"/>
      <c r="O135" s="5"/>
      <c r="Q135" s="41"/>
      <c r="R135" s="5"/>
      <c r="S135" s="5"/>
      <c r="AB135" s="39"/>
      <c r="AC135" s="39"/>
      <c r="AD135" s="39"/>
      <c r="AE135" s="39"/>
      <c r="AF135" s="39"/>
      <c r="AG135" s="39"/>
      <c r="AH135" s="39"/>
      <c r="AI135" s="39"/>
      <c r="AJ135" s="39"/>
      <c r="AK135" s="39"/>
      <c r="AL135" s="39"/>
      <c r="AM135" s="39"/>
      <c r="AN135" s="39"/>
      <c r="AO135" s="39"/>
      <c r="AP135" s="39"/>
      <c r="AQ135" s="39"/>
      <c r="AR135" s="39"/>
    </row>
    <row r="136" spans="2:44">
      <c r="B136" s="5"/>
      <c r="C136" s="17"/>
      <c r="D136" s="17"/>
      <c r="E136" s="17"/>
      <c r="F136" s="17"/>
      <c r="G136" s="17"/>
      <c r="H136" s="17"/>
      <c r="I136" s="17"/>
      <c r="J136" s="17"/>
      <c r="K136" s="17"/>
      <c r="L136" s="17"/>
      <c r="M136" s="17"/>
      <c r="N136" s="17"/>
      <c r="O136" s="5"/>
      <c r="Q136" s="5"/>
      <c r="R136" s="5"/>
      <c r="S136" s="5"/>
      <c r="X136" s="304"/>
      <c r="AB136" s="39"/>
      <c r="AC136" s="39"/>
      <c r="AD136" s="39"/>
      <c r="AE136" s="39"/>
      <c r="AF136" s="39"/>
      <c r="AG136" s="39"/>
      <c r="AH136" s="39"/>
      <c r="AI136" s="39"/>
      <c r="AJ136" s="39"/>
      <c r="AK136" s="39"/>
      <c r="AL136" s="39"/>
      <c r="AM136" s="39"/>
      <c r="AN136" s="39"/>
      <c r="AO136" s="39"/>
      <c r="AP136" s="39"/>
      <c r="AQ136" s="39"/>
      <c r="AR136" s="39"/>
    </row>
    <row r="137" spans="2:44">
      <c r="B137" s="5"/>
      <c r="C137" s="5"/>
      <c r="D137" s="17"/>
      <c r="E137" s="17"/>
      <c r="F137" s="17"/>
      <c r="G137" s="17"/>
      <c r="H137" s="17"/>
      <c r="I137" s="17"/>
      <c r="J137" s="17"/>
      <c r="K137" s="17"/>
      <c r="L137" s="17"/>
      <c r="M137" s="17"/>
      <c r="N137" s="17"/>
      <c r="O137" s="5"/>
      <c r="Q137" s="5"/>
      <c r="R137" s="5"/>
      <c r="S137" s="5"/>
      <c r="X137" s="10"/>
      <c r="Y137" s="304"/>
      <c r="Z137" s="304"/>
      <c r="AA137" s="304"/>
      <c r="AB137" s="39"/>
      <c r="AC137" s="39"/>
      <c r="AD137" s="39"/>
      <c r="AE137" s="39"/>
      <c r="AF137" s="39"/>
      <c r="AG137" s="39"/>
      <c r="AH137" s="39"/>
      <c r="AI137" s="39"/>
      <c r="AJ137" s="39"/>
      <c r="AK137" s="39"/>
      <c r="AL137" s="39"/>
      <c r="AM137" s="39"/>
      <c r="AN137" s="39"/>
      <c r="AO137" s="39"/>
      <c r="AP137" s="39"/>
      <c r="AQ137" s="39"/>
      <c r="AR137" s="39"/>
    </row>
    <row r="138" spans="2:44">
      <c r="B138" s="5"/>
      <c r="C138" s="5"/>
      <c r="D138" s="17"/>
      <c r="E138" s="17"/>
      <c r="F138" s="17"/>
      <c r="G138" s="17"/>
      <c r="H138" s="17"/>
      <c r="I138" s="17"/>
      <c r="J138" s="17"/>
      <c r="K138" s="17"/>
      <c r="L138" s="17"/>
      <c r="M138" s="17"/>
      <c r="N138" s="17"/>
      <c r="O138" s="5"/>
      <c r="Q138" s="5"/>
      <c r="R138" s="5"/>
      <c r="S138" s="5"/>
      <c r="Y138" s="10"/>
      <c r="Z138" s="10"/>
      <c r="AA138" s="10"/>
      <c r="AB138" s="39"/>
      <c r="AC138" s="39"/>
      <c r="AD138" s="39"/>
      <c r="AE138" s="39"/>
      <c r="AF138" s="39"/>
      <c r="AG138" s="39"/>
      <c r="AH138" s="39"/>
      <c r="AI138" s="39"/>
      <c r="AJ138" s="39"/>
      <c r="AK138" s="39"/>
      <c r="AL138" s="39"/>
      <c r="AM138" s="39"/>
      <c r="AN138" s="39"/>
      <c r="AO138" s="39"/>
      <c r="AP138" s="39"/>
      <c r="AQ138" s="39"/>
      <c r="AR138" s="39"/>
    </row>
    <row r="139" spans="2:44">
      <c r="B139" s="5"/>
      <c r="C139" s="5"/>
      <c r="D139" s="17"/>
      <c r="E139" s="17"/>
      <c r="F139" s="17"/>
      <c r="G139" s="17"/>
      <c r="H139" s="17"/>
      <c r="I139" s="5"/>
      <c r="J139" s="17"/>
      <c r="K139" s="17"/>
      <c r="L139" s="17"/>
      <c r="M139" s="17"/>
      <c r="N139" s="17"/>
      <c r="O139" s="5"/>
      <c r="Q139" s="5"/>
      <c r="R139" s="5"/>
      <c r="S139" s="5"/>
      <c r="AB139" s="39"/>
      <c r="AC139" s="39"/>
      <c r="AD139" s="39"/>
      <c r="AE139" s="39"/>
      <c r="AF139" s="39"/>
      <c r="AG139" s="39"/>
      <c r="AH139" s="39"/>
      <c r="AI139" s="39"/>
      <c r="AJ139" s="39"/>
      <c r="AK139" s="39"/>
      <c r="AL139" s="39"/>
      <c r="AM139" s="39"/>
      <c r="AN139" s="39"/>
      <c r="AO139" s="39"/>
      <c r="AP139" s="39"/>
      <c r="AQ139" s="39"/>
      <c r="AR139" s="39"/>
    </row>
    <row r="140" spans="2:44">
      <c r="B140" s="5"/>
      <c r="C140" s="17"/>
      <c r="D140" s="17"/>
      <c r="E140" s="17"/>
      <c r="F140" s="17"/>
      <c r="G140" s="17"/>
      <c r="H140" s="17"/>
      <c r="I140" s="5"/>
      <c r="J140" s="17"/>
      <c r="K140" s="17"/>
      <c r="L140" s="17"/>
      <c r="M140" s="17"/>
      <c r="N140" s="17"/>
      <c r="O140" s="5"/>
      <c r="Q140" s="5"/>
      <c r="R140" s="5"/>
      <c r="S140" s="5"/>
      <c r="AB140" s="39"/>
      <c r="AC140" s="39"/>
      <c r="AD140" s="39"/>
      <c r="AE140" s="39"/>
      <c r="AF140" s="39"/>
      <c r="AG140" s="39"/>
      <c r="AH140" s="39"/>
      <c r="AI140" s="39"/>
      <c r="AJ140" s="39"/>
      <c r="AK140" s="39"/>
      <c r="AL140" s="39"/>
      <c r="AM140" s="39"/>
      <c r="AN140" s="39"/>
      <c r="AO140" s="39"/>
      <c r="AP140" s="39"/>
      <c r="AQ140" s="39"/>
      <c r="AR140" s="39"/>
    </row>
    <row r="141" spans="2:44">
      <c r="B141" s="5"/>
      <c r="C141" s="5"/>
      <c r="D141" s="5"/>
      <c r="E141" s="5"/>
      <c r="F141" s="5"/>
      <c r="G141" s="5"/>
      <c r="H141" s="5"/>
      <c r="I141" s="5"/>
      <c r="J141" s="5"/>
      <c r="K141" s="5"/>
      <c r="L141" s="5"/>
      <c r="M141" s="5"/>
      <c r="N141" s="5"/>
      <c r="O141" s="5"/>
      <c r="Q141" s="5"/>
      <c r="R141" s="5"/>
      <c r="S141" s="5"/>
      <c r="AB141" s="39"/>
      <c r="AC141" s="39"/>
      <c r="AD141" s="39"/>
      <c r="AE141" s="39"/>
      <c r="AF141" s="39"/>
      <c r="AG141" s="39"/>
      <c r="AH141" s="39"/>
      <c r="AI141" s="39"/>
      <c r="AJ141" s="39"/>
      <c r="AK141" s="39"/>
      <c r="AL141" s="39"/>
      <c r="AM141" s="39"/>
      <c r="AN141" s="39"/>
      <c r="AO141" s="39"/>
      <c r="AP141" s="39"/>
      <c r="AQ141" s="39"/>
      <c r="AR141" s="39"/>
    </row>
    <row r="142" spans="2:44">
      <c r="B142" s="5"/>
      <c r="C142" s="5"/>
      <c r="D142" s="5"/>
      <c r="E142" s="5"/>
      <c r="F142" s="5"/>
      <c r="G142" s="5"/>
      <c r="H142" s="5"/>
      <c r="I142" s="5"/>
      <c r="J142" s="5"/>
      <c r="K142" s="5"/>
      <c r="L142" s="5"/>
      <c r="M142" s="5"/>
      <c r="N142" s="5"/>
      <c r="O142" s="5"/>
      <c r="Q142" s="5"/>
      <c r="R142" s="5"/>
      <c r="S142" s="5"/>
      <c r="AB142" s="39"/>
      <c r="AC142" s="39"/>
      <c r="AD142" s="39"/>
      <c r="AE142" s="39"/>
      <c r="AF142" s="39"/>
      <c r="AG142" s="39"/>
      <c r="AH142" s="39"/>
      <c r="AI142" s="39"/>
      <c r="AJ142" s="39"/>
      <c r="AK142" s="39"/>
      <c r="AL142" s="39"/>
      <c r="AM142" s="39"/>
      <c r="AN142" s="39"/>
      <c r="AO142" s="39"/>
      <c r="AP142" s="39"/>
      <c r="AQ142" s="39"/>
      <c r="AR142" s="39"/>
    </row>
    <row r="143" spans="2:44">
      <c r="B143" s="5"/>
      <c r="C143" s="5"/>
      <c r="D143" s="5"/>
      <c r="E143" s="5"/>
      <c r="F143" s="5"/>
      <c r="G143" s="5"/>
      <c r="H143" s="5"/>
      <c r="I143" s="5"/>
      <c r="J143" s="5"/>
      <c r="K143" s="5"/>
      <c r="L143" s="5"/>
      <c r="M143" s="5"/>
      <c r="N143" s="5"/>
      <c r="O143" s="5"/>
      <c r="Q143" s="5"/>
      <c r="R143" s="5"/>
      <c r="S143" s="5"/>
      <c r="V143" s="39"/>
      <c r="W143" s="39"/>
      <c r="X143" s="39"/>
      <c r="Y143" s="39"/>
      <c r="Z143" s="39"/>
      <c r="AA143" s="39"/>
      <c r="AB143" s="39"/>
      <c r="AC143" s="39"/>
      <c r="AD143" s="39"/>
      <c r="AE143" s="39"/>
      <c r="AF143" s="39"/>
      <c r="AG143" s="39"/>
      <c r="AH143" s="39"/>
      <c r="AI143" s="39"/>
      <c r="AJ143" s="39"/>
      <c r="AK143" s="39"/>
      <c r="AL143" s="39"/>
      <c r="AM143" s="39"/>
      <c r="AN143" s="39"/>
      <c r="AO143" s="39"/>
      <c r="AP143" s="39"/>
      <c r="AQ143" s="39"/>
      <c r="AR143" s="39"/>
    </row>
    <row r="144" spans="2:44">
      <c r="B144" s="5"/>
      <c r="C144" s="5"/>
      <c r="D144" s="5"/>
      <c r="E144" s="5"/>
      <c r="F144" s="5"/>
      <c r="G144" s="5"/>
      <c r="H144" s="5"/>
      <c r="I144" s="5"/>
      <c r="J144" s="5"/>
      <c r="K144" s="5"/>
      <c r="L144" s="5"/>
      <c r="M144" s="5"/>
      <c r="N144" s="5"/>
      <c r="O144" s="5"/>
      <c r="Q144" s="5"/>
      <c r="R144" s="5"/>
      <c r="S144" s="5"/>
      <c r="V144" s="39"/>
      <c r="W144" s="39"/>
      <c r="X144" s="39"/>
      <c r="Y144" s="39"/>
      <c r="Z144" s="39"/>
      <c r="AA144" s="39"/>
      <c r="AB144" s="39"/>
      <c r="AC144" s="39"/>
      <c r="AD144" s="39"/>
      <c r="AE144" s="39"/>
      <c r="AF144" s="39"/>
      <c r="AG144" s="39"/>
      <c r="AH144" s="39"/>
      <c r="AI144" s="39"/>
      <c r="AJ144" s="39"/>
      <c r="AK144" s="39"/>
      <c r="AL144" s="39"/>
      <c r="AM144" s="39"/>
      <c r="AN144" s="39"/>
      <c r="AO144" s="39"/>
      <c r="AP144" s="39"/>
      <c r="AQ144" s="39"/>
      <c r="AR144" s="39"/>
    </row>
    <row r="145" spans="2:44">
      <c r="B145" s="5"/>
      <c r="C145" s="5"/>
      <c r="D145" s="5"/>
      <c r="E145" s="5"/>
      <c r="F145" s="5"/>
      <c r="G145" s="5"/>
      <c r="H145" s="5"/>
      <c r="I145" s="5"/>
      <c r="J145" s="5"/>
      <c r="K145" s="5"/>
      <c r="L145" s="5"/>
      <c r="M145" s="5"/>
      <c r="N145" s="5"/>
      <c r="O145" s="5"/>
      <c r="Q145" s="5"/>
      <c r="R145" s="5"/>
      <c r="S145" s="5"/>
      <c r="V145" s="39"/>
      <c r="W145" s="39"/>
      <c r="X145" s="39"/>
      <c r="Y145" s="39"/>
      <c r="Z145" s="39"/>
      <c r="AA145" s="39"/>
      <c r="AB145" s="39"/>
      <c r="AC145" s="39"/>
      <c r="AD145" s="39"/>
      <c r="AE145" s="39"/>
      <c r="AF145" s="39"/>
      <c r="AG145" s="39"/>
      <c r="AH145" s="39"/>
      <c r="AI145" s="39"/>
      <c r="AJ145" s="39"/>
      <c r="AK145" s="39"/>
      <c r="AL145" s="39"/>
      <c r="AM145" s="39"/>
      <c r="AN145" s="39"/>
      <c r="AO145" s="39"/>
      <c r="AP145" s="39"/>
      <c r="AQ145" s="39"/>
      <c r="AR145" s="39"/>
    </row>
    <row r="146" spans="2:44">
      <c r="B146" s="5"/>
      <c r="C146" s="5"/>
      <c r="D146" s="5"/>
      <c r="E146" s="5"/>
      <c r="F146" s="5"/>
      <c r="G146" s="5"/>
      <c r="H146" s="5"/>
      <c r="I146" s="5"/>
      <c r="J146" s="5"/>
      <c r="K146" s="5"/>
      <c r="L146" s="5"/>
      <c r="M146" s="5"/>
      <c r="N146" s="5"/>
      <c r="O146" s="5"/>
      <c r="Q146" s="5"/>
      <c r="R146" s="5"/>
      <c r="S146" s="5"/>
      <c r="V146" s="39"/>
      <c r="W146" s="39"/>
      <c r="X146" s="39"/>
      <c r="Y146" s="39"/>
      <c r="Z146" s="39"/>
      <c r="AA146" s="39"/>
      <c r="AB146" s="39"/>
      <c r="AC146" s="39"/>
      <c r="AD146" s="39"/>
      <c r="AE146" s="39"/>
      <c r="AF146" s="39"/>
      <c r="AG146" s="39"/>
      <c r="AH146" s="39"/>
      <c r="AI146" s="39"/>
      <c r="AJ146" s="39"/>
      <c r="AK146" s="39"/>
      <c r="AL146" s="39"/>
      <c r="AM146" s="39"/>
      <c r="AN146" s="39"/>
      <c r="AO146" s="39"/>
      <c r="AP146" s="39"/>
      <c r="AQ146" s="39"/>
      <c r="AR146" s="39"/>
    </row>
    <row r="147" spans="2:44">
      <c r="B147" s="5"/>
      <c r="C147" s="5"/>
      <c r="D147" s="5"/>
      <c r="E147" s="5"/>
      <c r="F147" s="5"/>
      <c r="G147" s="5"/>
      <c r="H147" s="5"/>
      <c r="I147" s="5"/>
      <c r="J147" s="5"/>
      <c r="K147" s="5"/>
      <c r="L147" s="5"/>
      <c r="M147" s="5"/>
      <c r="N147" s="5"/>
      <c r="O147" s="5"/>
      <c r="Q147" s="5"/>
      <c r="R147" s="5"/>
      <c r="S147" s="5"/>
      <c r="V147" s="39"/>
      <c r="W147" s="39"/>
      <c r="X147" s="39"/>
      <c r="Y147" s="39"/>
      <c r="Z147" s="39"/>
      <c r="AA147" s="39"/>
      <c r="AB147" s="39"/>
      <c r="AC147" s="39"/>
      <c r="AD147" s="39"/>
      <c r="AE147" s="39"/>
      <c r="AF147" s="39"/>
      <c r="AG147" s="39"/>
      <c r="AH147" s="39"/>
      <c r="AI147" s="39"/>
      <c r="AJ147" s="39"/>
      <c r="AK147" s="39"/>
      <c r="AL147" s="39"/>
      <c r="AM147" s="39"/>
      <c r="AN147" s="39"/>
      <c r="AO147" s="39"/>
      <c r="AP147" s="39"/>
      <c r="AQ147" s="39"/>
      <c r="AR147" s="39"/>
    </row>
    <row r="148" spans="2:44">
      <c r="B148" s="5"/>
      <c r="C148" s="5"/>
      <c r="D148" s="5"/>
      <c r="E148" s="5"/>
      <c r="F148" s="5"/>
      <c r="G148" s="5"/>
      <c r="H148" s="5"/>
      <c r="I148" s="5"/>
      <c r="J148" s="5"/>
      <c r="K148" s="5"/>
      <c r="L148" s="5"/>
      <c r="M148" s="5"/>
      <c r="N148" s="5"/>
      <c r="O148" s="5"/>
      <c r="Q148" s="5"/>
      <c r="R148" s="5"/>
      <c r="S148" s="5"/>
      <c r="V148" s="39"/>
      <c r="W148" s="39"/>
      <c r="X148" s="39"/>
      <c r="Y148" s="39"/>
      <c r="Z148" s="39"/>
      <c r="AA148" s="39"/>
      <c r="AB148" s="39"/>
      <c r="AC148" s="39"/>
      <c r="AD148" s="39"/>
      <c r="AE148" s="39"/>
      <c r="AF148" s="39"/>
      <c r="AG148" s="39"/>
      <c r="AH148" s="39"/>
      <c r="AI148" s="39"/>
      <c r="AJ148" s="39"/>
      <c r="AK148" s="39"/>
      <c r="AL148" s="39"/>
      <c r="AM148" s="39"/>
      <c r="AN148" s="39"/>
      <c r="AO148" s="39"/>
      <c r="AP148" s="39"/>
      <c r="AQ148" s="39"/>
      <c r="AR148" s="39"/>
    </row>
    <row r="149" spans="2:44">
      <c r="B149" s="5"/>
      <c r="C149" s="5"/>
      <c r="D149" s="5"/>
      <c r="E149" s="5"/>
      <c r="F149" s="5"/>
      <c r="G149" s="5"/>
      <c r="H149" s="5"/>
      <c r="J149" s="5"/>
      <c r="K149" s="5"/>
      <c r="L149" s="5"/>
      <c r="M149" s="5"/>
      <c r="N149" s="5"/>
      <c r="O149" s="5"/>
      <c r="Q149" s="5"/>
      <c r="R149" s="5"/>
      <c r="S149" s="5"/>
      <c r="V149" s="39"/>
      <c r="W149" s="39"/>
      <c r="X149" s="39"/>
      <c r="Y149" s="39"/>
      <c r="Z149" s="39"/>
      <c r="AA149" s="39"/>
      <c r="AB149" s="39"/>
      <c r="AC149" s="39"/>
      <c r="AD149" s="39"/>
      <c r="AE149" s="39"/>
      <c r="AF149" s="39"/>
      <c r="AG149" s="39"/>
      <c r="AH149" s="39"/>
      <c r="AI149" s="39"/>
      <c r="AJ149" s="39"/>
      <c r="AK149" s="39"/>
      <c r="AL149" s="39"/>
      <c r="AM149" s="39"/>
      <c r="AN149" s="39"/>
      <c r="AO149" s="39"/>
      <c r="AP149" s="39"/>
      <c r="AQ149" s="39"/>
      <c r="AR149" s="39"/>
    </row>
    <row r="150" spans="2:44">
      <c r="B150" s="5"/>
      <c r="C150" s="5"/>
      <c r="D150" s="5"/>
      <c r="E150" s="5"/>
      <c r="F150" s="5"/>
      <c r="G150" s="5"/>
      <c r="H150" s="5"/>
      <c r="J150" s="5"/>
      <c r="K150" s="5"/>
      <c r="L150" s="5"/>
      <c r="M150" s="5"/>
      <c r="N150" s="5"/>
      <c r="O150" s="5"/>
      <c r="Q150" s="5"/>
      <c r="R150" s="5"/>
      <c r="S150" s="5"/>
      <c r="V150" s="39"/>
      <c r="W150" s="39"/>
      <c r="X150" s="39"/>
      <c r="Y150" s="39"/>
      <c r="Z150" s="39"/>
      <c r="AA150" s="39"/>
      <c r="AB150" s="39"/>
      <c r="AC150" s="39"/>
      <c r="AD150" s="39"/>
      <c r="AE150" s="39"/>
      <c r="AF150" s="39"/>
      <c r="AG150" s="39"/>
      <c r="AH150" s="39"/>
      <c r="AI150" s="39"/>
      <c r="AJ150" s="39"/>
      <c r="AK150" s="39"/>
      <c r="AL150" s="39"/>
      <c r="AM150" s="39"/>
      <c r="AN150" s="39"/>
      <c r="AO150" s="39"/>
      <c r="AP150" s="39"/>
      <c r="AQ150" s="39"/>
      <c r="AR150" s="39"/>
    </row>
    <row r="151" spans="2:44">
      <c r="Q151" s="5"/>
      <c r="R151" s="5"/>
      <c r="S151" s="5"/>
      <c r="V151" s="39"/>
      <c r="W151" s="39"/>
      <c r="X151" s="39"/>
      <c r="Y151" s="39"/>
      <c r="Z151" s="39"/>
      <c r="AA151" s="39"/>
      <c r="AB151" s="39"/>
      <c r="AC151" s="39"/>
      <c r="AD151" s="39"/>
      <c r="AE151" s="39"/>
      <c r="AF151" s="39"/>
      <c r="AG151" s="39"/>
      <c r="AH151" s="39"/>
      <c r="AI151" s="39"/>
      <c r="AJ151" s="39"/>
      <c r="AK151" s="39"/>
      <c r="AL151" s="39"/>
      <c r="AM151" s="39"/>
      <c r="AN151" s="39"/>
      <c r="AO151" s="39"/>
      <c r="AP151" s="39"/>
      <c r="AQ151" s="39"/>
      <c r="AR151" s="39"/>
    </row>
    <row r="152" spans="2:44">
      <c r="Q152" s="5"/>
      <c r="R152" s="5"/>
      <c r="S152" s="5"/>
      <c r="V152" s="39"/>
      <c r="W152" s="39"/>
      <c r="X152" s="39"/>
      <c r="Y152" s="39"/>
      <c r="Z152" s="39"/>
      <c r="AA152" s="39"/>
      <c r="AB152" s="39"/>
      <c r="AC152" s="39"/>
      <c r="AD152" s="39"/>
      <c r="AE152" s="39"/>
      <c r="AF152" s="39"/>
      <c r="AG152" s="39"/>
      <c r="AH152" s="39"/>
      <c r="AI152" s="39"/>
      <c r="AJ152" s="39"/>
      <c r="AK152" s="39"/>
      <c r="AL152" s="39"/>
      <c r="AM152" s="39"/>
      <c r="AN152" s="39"/>
      <c r="AO152" s="39"/>
      <c r="AP152" s="39"/>
      <c r="AQ152" s="39"/>
      <c r="AR152" s="39"/>
    </row>
    <row r="153" spans="2:44">
      <c r="C153" s="263"/>
      <c r="Q153" s="5"/>
      <c r="R153" s="5"/>
      <c r="S153" s="5"/>
      <c r="V153" s="39"/>
      <c r="W153" s="39"/>
      <c r="X153" s="39"/>
      <c r="Y153" s="39"/>
      <c r="Z153" s="39"/>
      <c r="AA153" s="39"/>
      <c r="AB153" s="39"/>
      <c r="AC153" s="39"/>
      <c r="AD153" s="39"/>
      <c r="AE153" s="39"/>
      <c r="AF153" s="39"/>
      <c r="AG153" s="39"/>
      <c r="AH153" s="39"/>
      <c r="AI153" s="39"/>
      <c r="AJ153" s="39"/>
      <c r="AK153" s="39"/>
      <c r="AL153" s="39"/>
      <c r="AM153" s="39"/>
      <c r="AN153" s="39"/>
      <c r="AO153" s="39"/>
      <c r="AP153" s="39"/>
      <c r="AQ153" s="39"/>
      <c r="AR153" s="39"/>
    </row>
    <row r="154" spans="2:44">
      <c r="Q154" s="5"/>
      <c r="R154" s="5"/>
      <c r="S154" s="5"/>
      <c r="V154" s="39"/>
      <c r="W154" s="39"/>
      <c r="X154" s="39"/>
      <c r="Y154" s="39"/>
      <c r="Z154" s="39"/>
      <c r="AA154" s="39"/>
      <c r="AB154" s="39"/>
      <c r="AC154" s="39"/>
      <c r="AD154" s="39"/>
      <c r="AE154" s="39"/>
      <c r="AF154" s="39"/>
      <c r="AG154" s="39"/>
      <c r="AH154" s="39"/>
      <c r="AI154" s="39"/>
      <c r="AJ154" s="39"/>
      <c r="AK154" s="39"/>
      <c r="AL154" s="39"/>
      <c r="AM154" s="39"/>
      <c r="AN154" s="39"/>
      <c r="AO154" s="39"/>
      <c r="AP154" s="39"/>
      <c r="AQ154" s="39"/>
      <c r="AR154" s="39"/>
    </row>
    <row r="155" spans="2:44">
      <c r="Q155" s="5"/>
      <c r="R155" s="5"/>
      <c r="S155" s="5"/>
      <c r="V155" s="39"/>
      <c r="W155" s="39"/>
      <c r="X155" s="39"/>
      <c r="Y155" s="39"/>
      <c r="Z155" s="39"/>
      <c r="AA155" s="39"/>
      <c r="AB155" s="39"/>
      <c r="AC155" s="39"/>
      <c r="AD155" s="39"/>
      <c r="AE155" s="39"/>
      <c r="AF155" s="39"/>
      <c r="AG155" s="39"/>
      <c r="AH155" s="39"/>
      <c r="AI155" s="39"/>
      <c r="AJ155" s="39"/>
      <c r="AK155" s="39"/>
      <c r="AL155" s="39"/>
      <c r="AM155" s="39"/>
      <c r="AN155" s="39"/>
      <c r="AO155" s="39"/>
      <c r="AP155" s="39"/>
      <c r="AQ155" s="39"/>
      <c r="AR155" s="39"/>
    </row>
    <row r="156" spans="2:44">
      <c r="Q156" s="5"/>
      <c r="R156" s="5"/>
      <c r="S156" s="5"/>
      <c r="V156" s="39"/>
      <c r="W156" s="39"/>
      <c r="X156" s="39"/>
      <c r="Y156" s="39"/>
      <c r="Z156" s="39"/>
      <c r="AA156" s="39"/>
      <c r="AB156" s="39"/>
      <c r="AC156" s="39"/>
      <c r="AD156" s="39"/>
      <c r="AE156" s="39"/>
      <c r="AF156" s="39"/>
      <c r="AG156" s="39"/>
      <c r="AH156" s="39"/>
      <c r="AI156" s="39"/>
      <c r="AJ156" s="39"/>
      <c r="AK156" s="39"/>
      <c r="AL156" s="39"/>
      <c r="AM156" s="39"/>
      <c r="AN156" s="39"/>
      <c r="AO156" s="39"/>
      <c r="AP156" s="39"/>
      <c r="AQ156" s="39"/>
      <c r="AR156" s="39"/>
    </row>
    <row r="157" spans="2:44">
      <c r="Q157" s="5"/>
      <c r="R157" s="5"/>
      <c r="S157" s="5"/>
      <c r="V157" s="39"/>
      <c r="W157" s="39"/>
      <c r="X157" s="39"/>
      <c r="Y157" s="39"/>
      <c r="Z157" s="39"/>
      <c r="AA157" s="39"/>
      <c r="AB157" s="39"/>
      <c r="AC157" s="39"/>
      <c r="AD157" s="39"/>
      <c r="AE157" s="39"/>
      <c r="AF157" s="39"/>
      <c r="AG157" s="39"/>
      <c r="AH157" s="39"/>
      <c r="AI157" s="39"/>
      <c r="AJ157" s="39"/>
      <c r="AK157" s="39"/>
      <c r="AL157" s="39"/>
      <c r="AM157" s="39"/>
      <c r="AN157" s="39"/>
      <c r="AO157" s="39"/>
      <c r="AP157" s="39"/>
      <c r="AQ157" s="39"/>
      <c r="AR157" s="39"/>
    </row>
    <row r="158" spans="2:44">
      <c r="Q158" s="5"/>
      <c r="R158" s="5"/>
      <c r="S158" s="5"/>
      <c r="V158" s="39"/>
      <c r="W158" s="39"/>
      <c r="X158" s="39"/>
      <c r="Y158" s="39"/>
      <c r="Z158" s="39"/>
      <c r="AA158" s="39"/>
      <c r="AB158" s="39"/>
      <c r="AC158" s="39"/>
      <c r="AD158" s="39"/>
      <c r="AE158" s="39"/>
      <c r="AF158" s="39"/>
      <c r="AG158" s="39"/>
      <c r="AH158" s="39"/>
      <c r="AI158" s="39"/>
      <c r="AJ158" s="39"/>
      <c r="AK158" s="39"/>
      <c r="AL158" s="39"/>
      <c r="AM158" s="39"/>
      <c r="AN158" s="39"/>
      <c r="AO158" s="39"/>
      <c r="AP158" s="39"/>
      <c r="AQ158" s="39"/>
      <c r="AR158" s="39"/>
    </row>
    <row r="159" spans="2:44">
      <c r="Q159" s="5"/>
      <c r="R159" s="5"/>
      <c r="S159" s="5"/>
      <c r="V159" s="39"/>
      <c r="W159" s="39"/>
      <c r="X159" s="39"/>
      <c r="Y159" s="39"/>
      <c r="Z159" s="39"/>
      <c r="AA159" s="39"/>
      <c r="AB159" s="39"/>
      <c r="AC159" s="39"/>
      <c r="AD159" s="39"/>
      <c r="AE159" s="39"/>
      <c r="AF159" s="39"/>
      <c r="AG159" s="39"/>
      <c r="AH159" s="39"/>
      <c r="AI159" s="39"/>
      <c r="AJ159" s="39"/>
      <c r="AK159" s="39"/>
      <c r="AL159" s="39"/>
      <c r="AM159" s="39"/>
      <c r="AN159" s="39"/>
      <c r="AO159" s="39"/>
      <c r="AP159" s="39"/>
      <c r="AQ159" s="39"/>
      <c r="AR159" s="39"/>
    </row>
    <row r="160" spans="2:44">
      <c r="Q160" s="5"/>
      <c r="R160" s="5"/>
      <c r="S160" s="5"/>
      <c r="V160" s="39"/>
      <c r="W160" s="39"/>
      <c r="X160" s="39"/>
      <c r="Y160" s="39"/>
      <c r="Z160" s="39"/>
      <c r="AA160" s="39"/>
      <c r="AB160" s="39"/>
      <c r="AC160" s="39"/>
      <c r="AD160" s="39"/>
      <c r="AE160" s="39"/>
      <c r="AF160" s="39"/>
      <c r="AG160" s="39"/>
      <c r="AH160" s="39"/>
      <c r="AI160" s="39"/>
      <c r="AJ160" s="39"/>
      <c r="AK160" s="39"/>
      <c r="AL160" s="39"/>
      <c r="AM160" s="39"/>
      <c r="AN160" s="39"/>
      <c r="AO160" s="39"/>
      <c r="AP160" s="39"/>
      <c r="AQ160" s="39"/>
      <c r="AR160" s="39"/>
    </row>
    <row r="161" spans="17:44">
      <c r="Q161" s="5"/>
      <c r="R161" s="5"/>
      <c r="S161" s="5"/>
      <c r="V161" s="39"/>
      <c r="W161" s="39"/>
      <c r="X161" s="39"/>
      <c r="Y161" s="39"/>
      <c r="Z161" s="39"/>
      <c r="AA161" s="39"/>
      <c r="AB161" s="39"/>
      <c r="AC161" s="39"/>
      <c r="AD161" s="39"/>
      <c r="AE161" s="39"/>
      <c r="AF161" s="39"/>
      <c r="AG161" s="39"/>
      <c r="AH161" s="39"/>
      <c r="AI161" s="39"/>
      <c r="AJ161" s="39"/>
      <c r="AK161" s="39"/>
      <c r="AL161" s="39"/>
      <c r="AM161" s="39"/>
      <c r="AN161" s="39"/>
      <c r="AO161" s="39"/>
      <c r="AP161" s="39"/>
      <c r="AQ161" s="39"/>
      <c r="AR161" s="39"/>
    </row>
    <row r="162" spans="17:44">
      <c r="Q162" s="5"/>
      <c r="R162" s="5"/>
      <c r="S162" s="5"/>
      <c r="V162" s="39"/>
      <c r="W162" s="39"/>
      <c r="X162" s="39"/>
      <c r="Y162" s="39"/>
      <c r="Z162" s="39"/>
      <c r="AA162" s="39"/>
      <c r="AB162" s="39"/>
      <c r="AC162" s="39"/>
      <c r="AD162" s="39"/>
      <c r="AE162" s="39"/>
      <c r="AF162" s="39"/>
      <c r="AG162" s="39"/>
      <c r="AH162" s="39"/>
      <c r="AI162" s="39"/>
      <c r="AJ162" s="39"/>
      <c r="AK162" s="39"/>
      <c r="AL162" s="39"/>
      <c r="AM162" s="39"/>
      <c r="AN162" s="39"/>
      <c r="AO162" s="39"/>
      <c r="AP162" s="39"/>
      <c r="AQ162" s="39"/>
      <c r="AR162" s="39"/>
    </row>
    <row r="163" spans="17:44">
      <c r="Q163" s="5"/>
      <c r="R163" s="5"/>
      <c r="S163" s="5"/>
      <c r="V163" s="39"/>
      <c r="W163" s="39"/>
      <c r="X163" s="39"/>
      <c r="Y163" s="39"/>
      <c r="Z163" s="39"/>
      <c r="AA163" s="39"/>
      <c r="AB163" s="39"/>
      <c r="AC163" s="39"/>
      <c r="AD163" s="39"/>
      <c r="AE163" s="39"/>
      <c r="AF163" s="39"/>
      <c r="AG163" s="39"/>
      <c r="AH163" s="39"/>
      <c r="AI163" s="39"/>
      <c r="AJ163" s="39"/>
      <c r="AK163" s="39"/>
      <c r="AL163" s="39"/>
      <c r="AM163" s="39"/>
      <c r="AN163" s="39"/>
      <c r="AO163" s="39"/>
      <c r="AP163" s="39"/>
      <c r="AQ163" s="39"/>
      <c r="AR163" s="39"/>
    </row>
    <row r="164" spans="17:44">
      <c r="Q164" s="5"/>
      <c r="R164" s="5"/>
      <c r="S164" s="5"/>
      <c r="V164" s="39"/>
      <c r="W164" s="39"/>
      <c r="X164" s="39"/>
      <c r="Y164" s="39"/>
      <c r="Z164" s="39"/>
      <c r="AA164" s="39"/>
      <c r="AB164" s="39"/>
      <c r="AC164" s="39"/>
      <c r="AD164" s="39"/>
      <c r="AE164" s="39"/>
      <c r="AF164" s="39"/>
      <c r="AG164" s="39"/>
      <c r="AH164" s="39"/>
      <c r="AI164" s="39"/>
      <c r="AJ164" s="39"/>
      <c r="AK164" s="39"/>
      <c r="AL164" s="39"/>
      <c r="AM164" s="39"/>
      <c r="AN164" s="39"/>
      <c r="AO164" s="39"/>
      <c r="AP164" s="39"/>
      <c r="AQ164" s="39"/>
      <c r="AR164" s="39"/>
    </row>
    <row r="165" spans="17:44">
      <c r="Q165" s="5"/>
      <c r="R165" s="5"/>
      <c r="S165" s="5"/>
      <c r="V165" s="39"/>
      <c r="W165" s="39"/>
      <c r="X165" s="39"/>
      <c r="Y165" s="39"/>
      <c r="Z165" s="39"/>
      <c r="AA165" s="39"/>
      <c r="AB165" s="39"/>
      <c r="AC165" s="39"/>
      <c r="AD165" s="39"/>
      <c r="AE165" s="39"/>
      <c r="AF165" s="39"/>
      <c r="AG165" s="39"/>
      <c r="AH165" s="39"/>
      <c r="AI165" s="39"/>
      <c r="AJ165" s="39"/>
      <c r="AK165" s="39"/>
      <c r="AL165" s="39"/>
      <c r="AM165" s="39"/>
      <c r="AN165" s="39"/>
      <c r="AO165" s="39"/>
      <c r="AP165" s="39"/>
      <c r="AQ165" s="39"/>
      <c r="AR165" s="39"/>
    </row>
    <row r="166" spans="17:44">
      <c r="V166" s="39"/>
      <c r="W166" s="39"/>
      <c r="X166" s="39"/>
      <c r="Y166" s="39"/>
      <c r="Z166" s="39"/>
      <c r="AA166" s="39"/>
      <c r="AB166" s="39"/>
      <c r="AC166" s="39"/>
      <c r="AD166" s="39"/>
      <c r="AE166" s="39"/>
      <c r="AF166" s="39"/>
      <c r="AG166" s="39"/>
      <c r="AH166" s="39"/>
      <c r="AI166" s="39"/>
      <c r="AJ166" s="39"/>
      <c r="AK166" s="39"/>
      <c r="AL166" s="39"/>
      <c r="AM166" s="39"/>
      <c r="AN166" s="39"/>
      <c r="AO166" s="39"/>
      <c r="AP166" s="39"/>
      <c r="AQ166" s="39"/>
      <c r="AR166" s="39"/>
    </row>
    <row r="167" spans="17:44">
      <c r="V167" s="39"/>
      <c r="W167" s="39"/>
      <c r="X167" s="39"/>
      <c r="Y167" s="39"/>
      <c r="Z167" s="39"/>
      <c r="AA167" s="39"/>
      <c r="AB167" s="39"/>
      <c r="AC167" s="39"/>
      <c r="AD167" s="39"/>
      <c r="AE167" s="39"/>
      <c r="AF167" s="39"/>
      <c r="AG167" s="39"/>
      <c r="AH167" s="39"/>
      <c r="AI167" s="39"/>
      <c r="AJ167" s="39"/>
      <c r="AK167" s="39"/>
      <c r="AL167" s="39"/>
      <c r="AM167" s="39"/>
      <c r="AN167" s="39"/>
      <c r="AO167" s="39"/>
      <c r="AP167" s="39"/>
      <c r="AQ167" s="39"/>
      <c r="AR167" s="39"/>
    </row>
    <row r="168" spans="17:44">
      <c r="V168" s="39"/>
      <c r="W168" s="39"/>
      <c r="X168" s="39"/>
      <c r="Y168" s="39"/>
      <c r="Z168" s="39"/>
      <c r="AA168" s="39"/>
      <c r="AB168" s="39"/>
      <c r="AC168" s="39"/>
      <c r="AD168" s="39"/>
      <c r="AE168" s="39"/>
      <c r="AF168" s="39"/>
      <c r="AG168" s="39"/>
      <c r="AH168" s="39"/>
      <c r="AI168" s="39"/>
      <c r="AJ168" s="39"/>
      <c r="AK168" s="39"/>
      <c r="AL168" s="39"/>
      <c r="AM168" s="39"/>
      <c r="AN168" s="39"/>
      <c r="AO168" s="39"/>
      <c r="AP168" s="39"/>
      <c r="AQ168" s="39"/>
      <c r="AR168" s="39"/>
    </row>
  </sheetData>
  <pageMargins left="0.7" right="0.7" top="0.75" bottom="0.75" header="0.3" footer="0.3"/>
  <drawing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80">
    <pageSetUpPr fitToPage="1"/>
  </sheetPr>
  <dimension ref="B1:AR165"/>
  <sheetViews>
    <sheetView showGridLines="0" zoomScale="80" zoomScaleNormal="80" workbookViewId="0"/>
  </sheetViews>
  <sheetFormatPr defaultColWidth="9.109375" defaultRowHeight="12"/>
  <cols>
    <col min="1" max="1" width="2.33203125" style="39" customWidth="1"/>
    <col min="2" max="2" width="26.5546875" style="39" customWidth="1"/>
    <col min="3" max="9" width="10" style="39" customWidth="1"/>
    <col min="10" max="10" width="26.6640625" style="39" customWidth="1"/>
    <col min="11" max="16" width="10" style="39" customWidth="1"/>
    <col min="17" max="19" width="8.6640625" style="39" customWidth="1"/>
    <col min="20" max="28" width="8.6640625" style="5" customWidth="1"/>
    <col min="29" max="44" width="9.109375" style="5"/>
    <col min="45" max="16384" width="9.109375" style="39"/>
  </cols>
  <sheetData>
    <row r="1" spans="2:44" s="312" customFormat="1">
      <c r="T1" s="149"/>
      <c r="U1" s="149"/>
      <c r="V1" s="149"/>
      <c r="W1" s="149"/>
      <c r="X1" s="149"/>
      <c r="Y1" s="149"/>
      <c r="Z1" s="149"/>
      <c r="AA1" s="149"/>
      <c r="AB1" s="149"/>
      <c r="AC1" s="149"/>
      <c r="AD1" s="149"/>
      <c r="AE1" s="149"/>
      <c r="AF1" s="149"/>
      <c r="AG1" s="149"/>
      <c r="AH1" s="149"/>
      <c r="AI1" s="149"/>
      <c r="AJ1" s="149"/>
      <c r="AK1" s="149"/>
      <c r="AL1" s="149"/>
      <c r="AM1" s="149"/>
      <c r="AN1" s="149"/>
      <c r="AO1" s="149"/>
      <c r="AP1" s="149"/>
      <c r="AQ1" s="149"/>
      <c r="AR1" s="149"/>
    </row>
    <row r="2" spans="2:44" s="149" customFormat="1"/>
    <row r="3" spans="2:44" s="149" customFormat="1">
      <c r="H3" s="153"/>
      <c r="P3" s="153"/>
    </row>
    <row r="4" spans="2:44" s="156" customFormat="1" ht="21">
      <c r="B4" s="129" t="s">
        <v>1623</v>
      </c>
      <c r="H4" s="222"/>
      <c r="P4" s="222"/>
    </row>
    <row r="5" spans="2:44" s="149" customFormat="1">
      <c r="C5" s="153"/>
      <c r="D5" s="153" t="str" cm="1">
        <f t="array" ref="D5:H5">headings</f>
        <v>2023E</v>
      </c>
      <c r="E5" s="153" t="str">
        <v>2024E</v>
      </c>
      <c r="F5" s="153" t="str">
        <v>2025E</v>
      </c>
      <c r="G5" s="153" t="str">
        <v>2026E</v>
      </c>
      <c r="H5" s="153" t="str">
        <v>23E-26E</v>
      </c>
      <c r="I5" s="153"/>
      <c r="J5" s="153"/>
      <c r="K5" s="153"/>
      <c r="L5" s="153" t="str" cm="1">
        <f t="array" ref="L5:P5">headings</f>
        <v>2023E</v>
      </c>
      <c r="M5" s="153" t="str">
        <v>2024E</v>
      </c>
      <c r="N5" s="153" t="str">
        <v>2025E</v>
      </c>
      <c r="O5" s="153" t="str">
        <v>2026E</v>
      </c>
      <c r="P5" s="153" t="str">
        <v>23E-26E</v>
      </c>
      <c r="Q5" s="162"/>
      <c r="R5" s="162"/>
      <c r="S5" s="162"/>
      <c r="T5" s="162"/>
      <c r="U5" s="162"/>
      <c r="V5" s="162"/>
      <c r="W5" s="162"/>
      <c r="X5" s="162"/>
      <c r="Y5" s="162"/>
    </row>
    <row r="6" spans="2:44">
      <c r="I6" s="5"/>
      <c r="J6" s="5"/>
      <c r="K6" s="5"/>
      <c r="L6" s="5"/>
      <c r="M6" s="5"/>
      <c r="N6" s="5"/>
      <c r="O6" s="49"/>
    </row>
    <row r="7" spans="2:44" ht="12.6" thickBot="1">
      <c r="B7" s="306" t="s">
        <v>271</v>
      </c>
      <c r="C7" s="265"/>
      <c r="D7" s="265" t="str">
        <f>D5</f>
        <v>2023E</v>
      </c>
      <c r="E7" s="265" t="str">
        <f t="shared" ref="E7:H7" si="0">E5</f>
        <v>2024E</v>
      </c>
      <c r="F7" s="265" t="str">
        <f t="shared" si="0"/>
        <v>2025E</v>
      </c>
      <c r="G7" s="265" t="str">
        <f t="shared" si="0"/>
        <v>2026E</v>
      </c>
      <c r="H7" s="265" t="str">
        <f t="shared" si="0"/>
        <v>23E-26E</v>
      </c>
      <c r="I7" s="49"/>
      <c r="J7" s="306" t="s">
        <v>181</v>
      </c>
      <c r="K7" s="306"/>
      <c r="L7" s="265" t="str">
        <f>L5</f>
        <v>2023E</v>
      </c>
      <c r="M7" s="265" t="str">
        <f t="shared" ref="M7:P7" si="1">M5</f>
        <v>2024E</v>
      </c>
      <c r="N7" s="265" t="str">
        <f t="shared" si="1"/>
        <v>2025E</v>
      </c>
      <c r="O7" s="265" t="str">
        <f t="shared" si="1"/>
        <v>2026E</v>
      </c>
      <c r="P7" s="265" t="str">
        <f t="shared" si="1"/>
        <v>23E-26E</v>
      </c>
    </row>
    <row r="8" spans="2:44" ht="12.6" thickTop="1">
      <c r="B8" s="5"/>
      <c r="C8" s="5"/>
      <c r="D8" s="5"/>
      <c r="E8" s="5"/>
      <c r="F8" s="5"/>
      <c r="G8" s="5"/>
      <c r="H8" s="5"/>
      <c r="I8" s="5"/>
      <c r="J8" s="5"/>
      <c r="K8" s="5"/>
      <c r="L8" s="5"/>
      <c r="M8" s="5"/>
      <c r="N8" s="5"/>
      <c r="S8" s="88"/>
      <c r="T8" s="42"/>
      <c r="U8" s="42"/>
      <c r="V8" s="42"/>
      <c r="W8" s="42"/>
      <c r="X8" s="42"/>
      <c r="Y8" s="42"/>
      <c r="Z8" s="42"/>
      <c r="AA8" s="42"/>
    </row>
    <row r="9" spans="2:44">
      <c r="B9" s="41" t="s">
        <v>117</v>
      </c>
      <c r="C9" s="267">
        <f>Prices!C48</f>
        <v>18.489999999999998</v>
      </c>
      <c r="D9" s="535">
        <v>0</v>
      </c>
      <c r="E9" s="536">
        <v>0</v>
      </c>
      <c r="F9" s="536">
        <v>0</v>
      </c>
      <c r="G9" s="536">
        <v>0</v>
      </c>
      <c r="H9" s="249"/>
      <c r="I9" s="249"/>
      <c r="J9" s="5" t="s">
        <v>273</v>
      </c>
      <c r="L9" s="529" t="e">
        <f>#REF!</f>
        <v>#REF!</v>
      </c>
      <c r="M9" s="529" t="e">
        <f>#REF!</f>
        <v>#REF!</v>
      </c>
      <c r="N9" s="529" t="e">
        <f>#REF!</f>
        <v>#REF!</v>
      </c>
      <c r="O9" s="529" t="e">
        <f>#REF!</f>
        <v>#REF!</v>
      </c>
      <c r="P9" s="18" t="e">
        <f>#REF!</f>
        <v>#REF!</v>
      </c>
      <c r="S9" s="88"/>
      <c r="T9" s="42"/>
      <c r="U9" s="42"/>
      <c r="V9" s="42"/>
      <c r="W9" s="42"/>
      <c r="X9" s="42"/>
      <c r="Y9" s="42"/>
      <c r="Z9" s="42"/>
      <c r="AA9" s="42"/>
    </row>
    <row r="10" spans="2:44">
      <c r="B10" s="5" t="s">
        <v>274</v>
      </c>
      <c r="C10" s="5"/>
      <c r="D10" s="531">
        <v>271.23024781799995</v>
      </c>
      <c r="E10" s="531">
        <v>271.23024781799995</v>
      </c>
      <c r="F10" s="531">
        <v>271.23024781799995</v>
      </c>
      <c r="G10" s="531">
        <v>271.23024781799995</v>
      </c>
      <c r="H10" s="247"/>
      <c r="I10" s="247"/>
      <c r="J10" s="5" t="s">
        <v>184</v>
      </c>
      <c r="L10" s="529" t="e">
        <f>#REF!</f>
        <v>#REF!</v>
      </c>
      <c r="M10" s="529" t="e">
        <f>#REF!</f>
        <v>#REF!</v>
      </c>
      <c r="N10" s="529" t="e">
        <f>#REF!</f>
        <v>#REF!</v>
      </c>
      <c r="O10" s="529" t="e">
        <f>#REF!</f>
        <v>#REF!</v>
      </c>
      <c r="P10" s="18" t="e">
        <f>#REF!</f>
        <v>#REF!</v>
      </c>
      <c r="S10" s="88"/>
      <c r="T10" s="42"/>
      <c r="U10" s="42"/>
      <c r="V10" s="42"/>
      <c r="W10" s="288"/>
      <c r="X10" s="288"/>
      <c r="Y10" s="288"/>
      <c r="Z10" s="288"/>
      <c r="AA10" s="42"/>
    </row>
    <row r="11" spans="2:44">
      <c r="B11" s="41" t="s">
        <v>275</v>
      </c>
      <c r="C11" s="5"/>
      <c r="D11" s="532">
        <f>$C$9*D10</f>
        <v>5015.0472821548183</v>
      </c>
      <c r="E11" s="532">
        <f>$C$9*E10</f>
        <v>5015.0472821548183</v>
      </c>
      <c r="F11" s="532">
        <f>$C$9*F10</f>
        <v>5015.0472821548183</v>
      </c>
      <c r="G11" s="532">
        <f>$C$9*G10</f>
        <v>5015.0472821548183</v>
      </c>
      <c r="H11" s="249"/>
      <c r="I11" s="249"/>
      <c r="J11" s="5" t="s">
        <v>185</v>
      </c>
      <c r="L11" s="529" t="e">
        <f>#REF!</f>
        <v>#REF!</v>
      </c>
      <c r="M11" s="529" t="e">
        <f>#REF!</f>
        <v>#REF!</v>
      </c>
      <c r="N11" s="529" t="e">
        <f>#REF!</f>
        <v>#REF!</v>
      </c>
      <c r="O11" s="529" t="e">
        <f>#REF!</f>
        <v>#REF!</v>
      </c>
      <c r="P11" s="18" t="e">
        <f>#REF!</f>
        <v>#REF!</v>
      </c>
      <c r="S11" s="88"/>
      <c r="T11" s="42"/>
      <c r="U11" s="42"/>
      <c r="V11" s="42"/>
      <c r="W11" s="288"/>
      <c r="X11" s="288"/>
      <c r="Y11" s="288"/>
      <c r="Z11" s="288"/>
      <c r="AA11" s="42"/>
    </row>
    <row r="12" spans="2:44">
      <c r="B12" s="5" t="s">
        <v>24</v>
      </c>
      <c r="C12" s="249"/>
      <c r="D12" s="533">
        <v>20254.722332354584</v>
      </c>
      <c r="E12" s="533">
        <v>19733.047830269737</v>
      </c>
      <c r="F12" s="533">
        <v>18811.713063872314</v>
      </c>
      <c r="G12" s="533">
        <v>14576.255951042933</v>
      </c>
      <c r="H12" s="247"/>
      <c r="I12" s="247"/>
      <c r="J12" s="5" t="s">
        <v>466</v>
      </c>
      <c r="L12" s="529" t="e">
        <f>#REF!</f>
        <v>#REF!</v>
      </c>
      <c r="M12" s="529" t="e">
        <f>#REF!</f>
        <v>#REF!</v>
      </c>
      <c r="N12" s="529" t="e">
        <f>#REF!</f>
        <v>#REF!</v>
      </c>
      <c r="O12" s="529" t="e">
        <f>#REF!</f>
        <v>#REF!</v>
      </c>
      <c r="P12" s="18" t="e">
        <f>#REF!</f>
        <v>#REF!</v>
      </c>
      <c r="S12" s="88"/>
      <c r="T12" s="42"/>
      <c r="U12" s="42"/>
      <c r="V12" s="42"/>
      <c r="W12" s="288"/>
      <c r="X12" s="288"/>
      <c r="Y12" s="288"/>
      <c r="Z12" s="288"/>
      <c r="AA12" s="42"/>
    </row>
    <row r="13" spans="2:44">
      <c r="B13" s="5" t="s">
        <v>529</v>
      </c>
      <c r="C13" s="257"/>
      <c r="D13" s="533">
        <v>0</v>
      </c>
      <c r="E13" s="533">
        <v>0</v>
      </c>
      <c r="F13" s="533">
        <v>0</v>
      </c>
      <c r="G13" s="533">
        <v>0</v>
      </c>
      <c r="H13" s="247"/>
      <c r="I13" s="247"/>
      <c r="J13" s="5" t="s">
        <v>530</v>
      </c>
      <c r="L13" s="529" t="e">
        <f>#REF!</f>
        <v>#REF!</v>
      </c>
      <c r="M13" s="529" t="e">
        <f>#REF!</f>
        <v>#REF!</v>
      </c>
      <c r="N13" s="529" t="e">
        <f>#REF!</f>
        <v>#REF!</v>
      </c>
      <c r="O13" s="529" t="e">
        <f>#REF!</f>
        <v>#REF!</v>
      </c>
      <c r="P13" s="18" t="e">
        <f>#REF!</f>
        <v>#REF!</v>
      </c>
      <c r="S13" s="88"/>
      <c r="T13" s="42"/>
      <c r="U13" s="42"/>
      <c r="V13" s="42"/>
      <c r="W13" s="42"/>
      <c r="X13" s="42"/>
      <c r="Y13" s="42"/>
      <c r="Z13" s="42"/>
      <c r="AA13" s="42"/>
    </row>
    <row r="14" spans="2:44">
      <c r="B14" s="5" t="s">
        <v>532</v>
      </c>
      <c r="C14" s="257"/>
      <c r="D14" s="533">
        <v>136.45500000000001</v>
      </c>
      <c r="E14" s="533">
        <v>136.45500000000001</v>
      </c>
      <c r="F14" s="533">
        <v>136.45500000000001</v>
      </c>
      <c r="G14" s="533">
        <v>136.45500000000001</v>
      </c>
      <c r="H14" s="247"/>
      <c r="I14" s="247"/>
      <c r="J14" s="5" t="s">
        <v>593</v>
      </c>
      <c r="L14" s="529" t="e">
        <f>#REF!</f>
        <v>#REF!</v>
      </c>
      <c r="M14" s="529" t="e">
        <f>#REF!</f>
        <v>#REF!</v>
      </c>
      <c r="N14" s="529" t="e">
        <f>#REF!</f>
        <v>#REF!</v>
      </c>
      <c r="O14" s="529" t="e">
        <f>#REF!</f>
        <v>#REF!</v>
      </c>
      <c r="P14" s="18" t="e">
        <f>#REF!</f>
        <v>#REF!</v>
      </c>
      <c r="S14" s="88"/>
      <c r="T14" s="42"/>
      <c r="U14" s="42"/>
      <c r="V14" s="42"/>
      <c r="W14" s="42"/>
      <c r="X14" s="42"/>
      <c r="Y14" s="42"/>
      <c r="Z14" s="42"/>
      <c r="AA14" s="42"/>
    </row>
    <row r="15" spans="2:44">
      <c r="B15" s="5" t="s">
        <v>531</v>
      </c>
      <c r="C15" s="274"/>
      <c r="D15" s="533">
        <v>529.053</v>
      </c>
      <c r="E15" s="533">
        <v>529.053</v>
      </c>
      <c r="F15" s="533">
        <v>529.053</v>
      </c>
      <c r="G15" s="533">
        <v>529.053</v>
      </c>
      <c r="H15" s="247"/>
      <c r="I15" s="247"/>
      <c r="J15" s="5" t="s">
        <v>475</v>
      </c>
      <c r="L15" s="529" t="e">
        <f>#REF!</f>
        <v>#REF!</v>
      </c>
      <c r="M15" s="529" t="e">
        <f>#REF!</f>
        <v>#REF!</v>
      </c>
      <c r="N15" s="529" t="e">
        <f>#REF!</f>
        <v>#REF!</v>
      </c>
      <c r="O15" s="529" t="e">
        <f>#REF!</f>
        <v>#REF!</v>
      </c>
      <c r="P15" s="18" t="e">
        <f>#REF!</f>
        <v>#REF!</v>
      </c>
      <c r="S15" s="88"/>
      <c r="T15" s="42"/>
      <c r="U15" s="42"/>
      <c r="V15" s="42"/>
      <c r="W15" s="42"/>
      <c r="X15" s="42"/>
      <c r="Y15" s="42"/>
      <c r="Z15" s="42"/>
      <c r="AA15" s="42"/>
    </row>
    <row r="16" spans="2:44">
      <c r="B16" s="5" t="s">
        <v>534</v>
      </c>
      <c r="C16" s="257"/>
      <c r="D16" s="533">
        <v>0</v>
      </c>
      <c r="E16" s="533">
        <v>0</v>
      </c>
      <c r="F16" s="533">
        <v>0</v>
      </c>
      <c r="G16" s="533">
        <v>0</v>
      </c>
      <c r="H16" s="247"/>
      <c r="I16" s="247"/>
      <c r="J16" s="5" t="s">
        <v>533</v>
      </c>
      <c r="L16" s="529" t="e">
        <f>#REF!</f>
        <v>#REF!</v>
      </c>
      <c r="M16" s="529" t="e">
        <f>#REF!</f>
        <v>#REF!</v>
      </c>
      <c r="N16" s="529" t="e">
        <f>#REF!</f>
        <v>#REF!</v>
      </c>
      <c r="O16" s="529" t="e">
        <f>#REF!</f>
        <v>#REF!</v>
      </c>
      <c r="P16" s="18" t="e">
        <f>#REF!</f>
        <v>#REF!</v>
      </c>
      <c r="S16" s="88"/>
      <c r="T16" s="42"/>
      <c r="U16" s="42"/>
      <c r="V16" s="42"/>
      <c r="W16" s="42"/>
      <c r="X16" s="42"/>
      <c r="Y16" s="42"/>
      <c r="Z16" s="42"/>
      <c r="AA16" s="42"/>
    </row>
    <row r="17" spans="2:27">
      <c r="B17" s="5" t="s">
        <v>6</v>
      </c>
      <c r="C17" s="257"/>
      <c r="D17" s="533">
        <v>0</v>
      </c>
      <c r="E17" s="533">
        <v>0</v>
      </c>
      <c r="F17" s="533">
        <v>0</v>
      </c>
      <c r="G17" s="533">
        <v>0</v>
      </c>
      <c r="H17" s="247"/>
      <c r="I17" s="247"/>
      <c r="J17" s="5" t="s">
        <v>580</v>
      </c>
      <c r="L17" s="18" t="e">
        <f>#REF!</f>
        <v>#REF!</v>
      </c>
      <c r="M17" s="18" t="e">
        <f>#REF!</f>
        <v>#REF!</v>
      </c>
      <c r="N17" s="18" t="e">
        <f>#REF!</f>
        <v>#REF!</v>
      </c>
      <c r="O17" s="18" t="e">
        <f>#REF!</f>
        <v>#REF!</v>
      </c>
      <c r="P17" s="18" t="e">
        <f>#REF!</f>
        <v>#REF!</v>
      </c>
      <c r="S17" s="88"/>
      <c r="T17" s="42"/>
      <c r="U17" s="42"/>
      <c r="V17" s="42"/>
      <c r="W17" s="42"/>
      <c r="X17" s="42"/>
      <c r="Y17" s="42"/>
      <c r="Z17" s="42"/>
      <c r="AA17" s="42"/>
    </row>
    <row r="18" spans="2:27" ht="12.6" thickBot="1">
      <c r="B18" s="41" t="s">
        <v>583</v>
      </c>
      <c r="C18" s="249"/>
      <c r="D18" s="534">
        <f>D11+D12+D13-D14+D15-D16-D17</f>
        <v>25662.3676145094</v>
      </c>
      <c r="E18" s="534">
        <f>E11+E12+E13-E14+E15-E16-E17</f>
        <v>25140.693112424553</v>
      </c>
      <c r="F18" s="534">
        <f>F11+F12+F13-F14+F15-F16-F17</f>
        <v>24219.358346027129</v>
      </c>
      <c r="G18" s="534">
        <f>G11+G12+G13-G14+G15-G16-G17</f>
        <v>19983.90123319775</v>
      </c>
      <c r="H18" s="276">
        <f>IF(D18=0,"nm",IF(G18=0,"nm",(G18/D18)^(1/3)-1))</f>
        <v>-7.9985827512810137E-2</v>
      </c>
      <c r="I18" s="254"/>
      <c r="J18" s="5" t="s">
        <v>36</v>
      </c>
      <c r="L18" s="18" t="e">
        <f>#REF!</f>
        <v>#REF!</v>
      </c>
      <c r="M18" s="18" t="e">
        <f>#REF!</f>
        <v>#REF!</v>
      </c>
      <c r="N18" s="18" t="e">
        <f>#REF!</f>
        <v>#REF!</v>
      </c>
      <c r="O18" s="18" t="e">
        <f>#REF!</f>
        <v>#REF!</v>
      </c>
      <c r="P18" s="18" t="e">
        <f>#REF!</f>
        <v>#REF!</v>
      </c>
      <c r="S18" s="88"/>
      <c r="T18" s="42"/>
      <c r="U18" s="42"/>
      <c r="V18" s="42"/>
      <c r="W18" s="42"/>
      <c r="X18" s="42"/>
      <c r="Y18" s="42"/>
      <c r="Z18" s="42"/>
      <c r="AA18" s="42"/>
    </row>
    <row r="19" spans="2:27" ht="12.6" thickTop="1">
      <c r="B19" s="41"/>
      <c r="C19" s="249"/>
      <c r="D19" s="229"/>
      <c r="E19" s="229"/>
      <c r="F19" s="229"/>
      <c r="G19" s="229"/>
      <c r="H19" s="276"/>
      <c r="I19" s="254"/>
      <c r="J19" s="5" t="s">
        <v>581</v>
      </c>
      <c r="L19" s="18" t="e">
        <f>#REF!</f>
        <v>#REF!</v>
      </c>
      <c r="M19" s="18" t="e">
        <f>#REF!</f>
        <v>#REF!</v>
      </c>
      <c r="N19" s="18" t="e">
        <f>#REF!</f>
        <v>#REF!</v>
      </c>
      <c r="O19" s="18" t="e">
        <f>#REF!</f>
        <v>#REF!</v>
      </c>
      <c r="P19" s="18" t="e">
        <f>#REF!</f>
        <v>#REF!</v>
      </c>
      <c r="S19" s="88"/>
      <c r="T19" s="42"/>
      <c r="U19" s="42"/>
      <c r="V19" s="42"/>
      <c r="W19" s="42"/>
      <c r="X19" s="42"/>
      <c r="Y19" s="42"/>
      <c r="Z19" s="42"/>
      <c r="AA19" s="42"/>
    </row>
    <row r="20" spans="2:27">
      <c r="H20" s="277"/>
      <c r="I20" s="17"/>
      <c r="J20" s="5" t="s">
        <v>604</v>
      </c>
      <c r="L20" s="552" t="e">
        <f>#REF!</f>
        <v>#REF!</v>
      </c>
      <c r="M20" s="552" t="e">
        <f>#REF!</f>
        <v>#REF!</v>
      </c>
      <c r="N20" s="552" t="e">
        <f>#REF!</f>
        <v>#REF!</v>
      </c>
      <c r="O20" s="552" t="e">
        <f>#REF!</f>
        <v>#REF!</v>
      </c>
      <c r="P20" s="18" t="e">
        <f>#REF!</f>
        <v>#REF!</v>
      </c>
      <c r="S20" s="88"/>
      <c r="T20" s="42"/>
      <c r="U20" s="42"/>
      <c r="V20" s="42"/>
      <c r="W20" s="42"/>
      <c r="X20" s="42"/>
      <c r="Y20" s="42"/>
      <c r="Z20" s="42"/>
      <c r="AA20" s="42"/>
    </row>
    <row r="21" spans="2:27" ht="12.6" thickBot="1">
      <c r="B21" s="306" t="s">
        <v>927</v>
      </c>
      <c r="C21" s="265"/>
      <c r="D21" s="265" t="str">
        <f>D5</f>
        <v>2023E</v>
      </c>
      <c r="E21" s="265" t="str">
        <f t="shared" ref="E21:H21" si="2">E5</f>
        <v>2024E</v>
      </c>
      <c r="F21" s="265" t="str">
        <f t="shared" si="2"/>
        <v>2025E</v>
      </c>
      <c r="G21" s="265" t="str">
        <f t="shared" si="2"/>
        <v>2026E</v>
      </c>
      <c r="H21" s="265" t="str">
        <f t="shared" si="2"/>
        <v>23E-26E</v>
      </c>
      <c r="I21" s="49"/>
      <c r="J21" s="41"/>
      <c r="L21" s="251"/>
      <c r="M21" s="251"/>
      <c r="N21" s="251"/>
      <c r="O21" s="251"/>
      <c r="P21" s="18"/>
      <c r="S21" s="88"/>
      <c r="T21" s="42"/>
      <c r="U21" s="42"/>
      <c r="V21" s="42"/>
      <c r="W21" s="42"/>
      <c r="X21" s="42"/>
      <c r="Y21" s="42"/>
      <c r="Z21" s="42"/>
      <c r="AA21" s="42"/>
    </row>
    <row r="22" spans="2:27" ht="12.6" thickTop="1">
      <c r="B22" s="5"/>
      <c r="C22" s="257"/>
      <c r="D22" s="17"/>
      <c r="E22" s="17"/>
      <c r="F22" s="17"/>
      <c r="G22" s="17"/>
      <c r="H22" s="17"/>
      <c r="I22" s="17"/>
      <c r="P22" s="277"/>
      <c r="S22" s="88"/>
      <c r="T22" s="42"/>
      <c r="U22" s="42"/>
      <c r="V22" s="42"/>
      <c r="W22" s="42"/>
      <c r="X22" s="42"/>
      <c r="Y22" s="42"/>
      <c r="Z22" s="42"/>
      <c r="AA22" s="42"/>
    </row>
    <row r="23" spans="2:27" ht="12.6" thickBot="1">
      <c r="B23" s="5" t="s">
        <v>584</v>
      </c>
      <c r="C23" s="548">
        <v>18677.500017999999</v>
      </c>
      <c r="D23" s="533">
        <v>17050.867909793284</v>
      </c>
      <c r="E23" s="533">
        <v>16778.544150165802</v>
      </c>
      <c r="F23" s="533">
        <v>17363.784962951569</v>
      </c>
      <c r="G23" s="533">
        <v>17938.872403527814</v>
      </c>
      <c r="H23" s="279">
        <f>IF(D23=0,"nm",IF(G23=0,"nm",(G23/D23)^(1/3)-1))</f>
        <v>1.7066969438098267E-2</v>
      </c>
      <c r="I23" s="247"/>
      <c r="J23" s="306" t="s">
        <v>9</v>
      </c>
      <c r="K23" s="306"/>
      <c r="L23" s="265" t="str">
        <f>D21</f>
        <v>2023E</v>
      </c>
      <c r="M23" s="265" t="str">
        <f t="shared" ref="M23:P23" si="3">E21</f>
        <v>2024E</v>
      </c>
      <c r="N23" s="265" t="str">
        <f t="shared" si="3"/>
        <v>2025E</v>
      </c>
      <c r="O23" s="265" t="str">
        <f t="shared" si="3"/>
        <v>2026E</v>
      </c>
      <c r="P23" s="265" t="str">
        <f t="shared" si="3"/>
        <v>23E-26E</v>
      </c>
      <c r="S23" s="88"/>
      <c r="T23" s="42"/>
      <c r="U23" s="42"/>
      <c r="V23" s="42"/>
      <c r="W23" s="42"/>
      <c r="X23" s="42"/>
      <c r="Y23" s="42"/>
      <c r="Z23" s="42"/>
      <c r="AA23" s="42"/>
    </row>
    <row r="24" spans="2:27" ht="12.6" thickTop="1">
      <c r="B24" s="5" t="s">
        <v>483</v>
      </c>
      <c r="C24" s="549">
        <v>3410.7150450000008</v>
      </c>
      <c r="D24" s="533">
        <v>1609.1040411941676</v>
      </c>
      <c r="E24" s="533">
        <v>2177.9885110085174</v>
      </c>
      <c r="F24" s="533">
        <v>2697.2885683288573</v>
      </c>
      <c r="G24" s="533">
        <v>3176.2441087560883</v>
      </c>
      <c r="H24" s="279">
        <f>IF(D24=0,"nm",IF(G24=0,"nm",(G24/D24)^(1/3)-1))</f>
        <v>0.25442080694157521</v>
      </c>
      <c r="I24" s="249"/>
      <c r="J24" s="17"/>
      <c r="K24" s="17"/>
      <c r="L24" s="17"/>
      <c r="M24" s="17"/>
      <c r="N24" s="17"/>
      <c r="O24" s="248"/>
      <c r="S24" s="88"/>
      <c r="T24" s="42"/>
      <c r="U24" s="42"/>
      <c r="V24" s="42"/>
      <c r="W24" s="42" t="s">
        <v>277</v>
      </c>
      <c r="X24" s="42" t="s">
        <v>77</v>
      </c>
      <c r="Y24" s="42"/>
      <c r="Z24" s="42"/>
      <c r="AA24" s="42"/>
    </row>
    <row r="25" spans="2:27">
      <c r="B25" s="5" t="s">
        <v>183</v>
      </c>
      <c r="C25" s="548">
        <v>334.4170450000006</v>
      </c>
      <c r="D25" s="533">
        <v>-1322.5929340637254</v>
      </c>
      <c r="E25" s="533">
        <v>1087.3550041923213</v>
      </c>
      <c r="F25" s="533">
        <v>1507.0542075683825</v>
      </c>
      <c r="G25" s="533">
        <v>2316.8048417612704</v>
      </c>
      <c r="H25" s="279">
        <f>IF(D25=0,"nm",IF(G25=0,"nm",(G25/D25)^(1/3)-1))</f>
        <v>-2.2054644798041032</v>
      </c>
      <c r="I25" s="248"/>
      <c r="J25" s="247" t="s">
        <v>10</v>
      </c>
      <c r="K25" s="247"/>
      <c r="L25" s="321">
        <v>0</v>
      </c>
      <c r="M25" s="321">
        <v>0</v>
      </c>
      <c r="N25" s="321">
        <v>0</v>
      </c>
      <c r="O25" s="321">
        <v>0</v>
      </c>
      <c r="P25" s="279" t="str">
        <f>IF(L25=0,"nm",IF(O25=0,"nm",(O25/L25)^(1/3)-1))</f>
        <v>nm</v>
      </c>
      <c r="S25" s="88"/>
      <c r="T25" s="42"/>
      <c r="U25" s="42"/>
      <c r="V25" s="147" t="s">
        <v>273</v>
      </c>
      <c r="W25" s="288" t="e">
        <f>D37/L9</f>
        <v>#REF!</v>
      </c>
      <c r="X25" s="288">
        <v>1</v>
      </c>
      <c r="Y25" s="42"/>
      <c r="Z25" s="42"/>
      <c r="AA25" s="42"/>
    </row>
    <row r="26" spans="2:27">
      <c r="B26" s="5" t="s">
        <v>586</v>
      </c>
      <c r="C26" s="548">
        <v>545.4070459999989</v>
      </c>
      <c r="D26" s="533">
        <v>-824.1683383545851</v>
      </c>
      <c r="E26" s="533">
        <v>1756.6245437515126</v>
      </c>
      <c r="F26" s="533">
        <v>2028.1296830640904</v>
      </c>
      <c r="G26" s="533">
        <v>2547.7267169960496</v>
      </c>
      <c r="H26" s="279">
        <f>IF(D26=0,"nm",IF(G26=0,"nm",(G26/D26)^(1/3)-1))</f>
        <v>-2.4567296895147916</v>
      </c>
      <c r="I26" s="249"/>
      <c r="J26" s="249" t="s">
        <v>11</v>
      </c>
      <c r="K26" s="249"/>
      <c r="L26" s="281">
        <f>D11+L25</f>
        <v>5015.0472821548183</v>
      </c>
      <c r="M26" s="281">
        <f>E11+M25</f>
        <v>5015.0472821548183</v>
      </c>
      <c r="N26" s="281">
        <f>F11+N25</f>
        <v>5015.0472821548183</v>
      </c>
      <c r="O26" s="281">
        <f>G11+O25</f>
        <v>5015.0472821548183</v>
      </c>
      <c r="P26" s="279">
        <f>IF(L26=0,"nm",IF(O26=0,"nm",(O26/L26)^(1/3)-1))</f>
        <v>0</v>
      </c>
      <c r="Q26" s="5"/>
      <c r="S26" s="88"/>
      <c r="T26" s="42"/>
      <c r="U26" s="42"/>
      <c r="V26" s="147" t="s">
        <v>184</v>
      </c>
      <c r="W26" s="288" t="e">
        <f t="shared" ref="W26:W32" si="4">D38/L10</f>
        <v>#REF!</v>
      </c>
      <c r="X26" s="288">
        <v>1</v>
      </c>
      <c r="Y26" s="42"/>
      <c r="Z26" s="42"/>
      <c r="AA26" s="42"/>
    </row>
    <row r="27" spans="2:27">
      <c r="B27" s="5" t="s">
        <v>587</v>
      </c>
      <c r="C27" s="549">
        <v>36768.281999999999</v>
      </c>
      <c r="D27" s="533">
        <v>37133.631000000001</v>
      </c>
      <c r="E27" s="533">
        <v>37192.249000000003</v>
      </c>
      <c r="F27" s="533">
        <v>36991.059000000001</v>
      </c>
      <c r="G27" s="533">
        <v>36469.794234944442</v>
      </c>
      <c r="H27" s="279">
        <f>IF(ISERROR((G27/D27)^(1/3)-1),"na",(G27/D27)^(1/3)-1)</f>
        <v>-5.9948561048273064E-3</v>
      </c>
      <c r="I27" s="249"/>
      <c r="J27" s="248"/>
      <c r="K27" s="248"/>
      <c r="L27" s="248"/>
      <c r="M27" s="248"/>
      <c r="N27" s="248"/>
      <c r="O27" s="248"/>
      <c r="Q27" s="41"/>
      <c r="S27" s="88"/>
      <c r="T27" s="42"/>
      <c r="U27" s="42"/>
      <c r="V27" s="147" t="s">
        <v>185</v>
      </c>
      <c r="W27" s="288" t="e">
        <f t="shared" si="4"/>
        <v>#REF!</v>
      </c>
      <c r="X27" s="288">
        <v>1</v>
      </c>
      <c r="Y27" s="42"/>
      <c r="Z27" s="42"/>
      <c r="AA27" s="42"/>
    </row>
    <row r="28" spans="2:27" ht="12.6" thickBot="1">
      <c r="B28" s="5" t="s">
        <v>592</v>
      </c>
      <c r="C28" s="548">
        <v>7877.7359999999999</v>
      </c>
      <c r="D28" s="533">
        <v>8477.56</v>
      </c>
      <c r="E28" s="533">
        <v>9106.99</v>
      </c>
      <c r="F28" s="533">
        <v>9369.5830000000005</v>
      </c>
      <c r="G28" s="533">
        <v>9688.7359004712489</v>
      </c>
      <c r="H28" s="279">
        <f>IF(ISERROR((G28/D28)^(1/3)-1),"na",(G28/D28)^(1/3)-1)</f>
        <v>4.5519366726737731E-2</v>
      </c>
      <c r="I28" s="248"/>
      <c r="J28" s="306" t="s">
        <v>1362</v>
      </c>
      <c r="K28" s="306"/>
      <c r="L28" s="306"/>
      <c r="M28" s="306"/>
      <c r="N28" s="266"/>
      <c r="O28" s="266"/>
      <c r="P28" s="266"/>
      <c r="Q28" s="5"/>
      <c r="S28" s="88"/>
      <c r="T28" s="42"/>
      <c r="U28" s="42"/>
      <c r="V28" s="147" t="s">
        <v>466</v>
      </c>
      <c r="W28" s="288" t="e">
        <f t="shared" si="4"/>
        <v>#REF!</v>
      </c>
      <c r="X28" s="288">
        <v>1</v>
      </c>
      <c r="Y28" s="42"/>
      <c r="Z28" s="42"/>
      <c r="AA28" s="42"/>
    </row>
    <row r="29" spans="2:27" ht="12.6" thickTop="1">
      <c r="B29" s="5" t="s">
        <v>588</v>
      </c>
      <c r="C29" s="548">
        <v>578.68004600000086</v>
      </c>
      <c r="D29" s="533">
        <v>-1622.0476685268056</v>
      </c>
      <c r="E29" s="533">
        <v>627.54404992495506</v>
      </c>
      <c r="F29" s="533">
        <v>1013.444902848029</v>
      </c>
      <c r="G29" s="533">
        <v>1723.6604079565818</v>
      </c>
      <c r="H29" s="279">
        <f>IF(ISERROR((G29/D29)^(1/3)-1),"na",(G29/D29)^(1/3)-1)</f>
        <v>-2.0204601059978318</v>
      </c>
      <c r="I29" s="252"/>
      <c r="J29" s="249"/>
      <c r="K29" s="249"/>
      <c r="L29" s="249"/>
      <c r="M29" s="249"/>
      <c r="N29" s="249"/>
      <c r="O29" s="251"/>
      <c r="Q29" s="5"/>
      <c r="S29" s="88"/>
      <c r="T29" s="42"/>
      <c r="U29" s="42"/>
      <c r="V29" s="147" t="s">
        <v>530</v>
      </c>
      <c r="W29" s="288" t="e">
        <f t="shared" si="4"/>
        <v>#REF!</v>
      </c>
      <c r="X29" s="288">
        <v>1</v>
      </c>
      <c r="Y29" s="42"/>
      <c r="Z29" s="42"/>
      <c r="AA29" s="42"/>
    </row>
    <row r="30" spans="2:27">
      <c r="B30" s="5" t="s">
        <v>589</v>
      </c>
      <c r="C30" s="548">
        <v>2480.2840440000014</v>
      </c>
      <c r="D30" s="533">
        <v>-218.61376705555608</v>
      </c>
      <c r="E30" s="533">
        <v>7.5303190141318339</v>
      </c>
      <c r="F30" s="533">
        <v>256.21256048685109</v>
      </c>
      <c r="G30" s="533">
        <v>216.74587922683421</v>
      </c>
      <c r="H30" s="279">
        <f>IF(D30=0,"nm",IF(G30=0,"nm",(G30/D30)^(1/3)-1))</f>
        <v>-1.99714377073437</v>
      </c>
      <c r="I30" s="254"/>
      <c r="J30" s="248"/>
      <c r="K30" s="248"/>
      <c r="L30" s="248"/>
      <c r="M30" s="248"/>
      <c r="N30" s="248"/>
      <c r="O30" s="5"/>
      <c r="Q30" s="5"/>
      <c r="S30" s="88"/>
      <c r="T30" s="42"/>
      <c r="U30" s="42"/>
      <c r="V30" s="147" t="s">
        <v>593</v>
      </c>
      <c r="W30" s="288" t="e">
        <f t="shared" si="4"/>
        <v>#REF!</v>
      </c>
      <c r="X30" s="288">
        <v>1</v>
      </c>
      <c r="Y30" s="42"/>
      <c r="Z30" s="42"/>
      <c r="AA30" s="42"/>
    </row>
    <row r="31" spans="2:27">
      <c r="B31" s="5" t="s">
        <v>590</v>
      </c>
      <c r="C31" s="549">
        <v>0</v>
      </c>
      <c r="D31" s="533">
        <v>0</v>
      </c>
      <c r="E31" s="533">
        <v>0</v>
      </c>
      <c r="F31" s="533">
        <v>0</v>
      </c>
      <c r="G31" s="533">
        <v>0</v>
      </c>
      <c r="H31" s="279" t="str">
        <f>IF(D31=0,"nm",IF(G31=0,"nm",(G31/D31)^(1/3)-1))</f>
        <v>nm</v>
      </c>
      <c r="I31" s="254"/>
      <c r="J31" s="252"/>
      <c r="K31" s="252"/>
      <c r="L31" s="252"/>
      <c r="M31" s="252"/>
      <c r="N31" s="252"/>
      <c r="O31" s="5"/>
      <c r="Q31" s="5"/>
      <c r="S31" s="88"/>
      <c r="T31" s="42"/>
      <c r="U31" s="42"/>
      <c r="V31" s="147" t="s">
        <v>144</v>
      </c>
      <c r="W31" s="288" t="e">
        <f t="shared" si="4"/>
        <v>#REF!</v>
      </c>
      <c r="X31" s="288">
        <v>1</v>
      </c>
      <c r="Y31" s="42"/>
      <c r="Z31" s="42"/>
      <c r="AA31" s="42"/>
    </row>
    <row r="32" spans="2:27">
      <c r="B32" s="5" t="s">
        <v>606</v>
      </c>
      <c r="C32" s="550">
        <v>0</v>
      </c>
      <c r="D32" s="533">
        <v>0</v>
      </c>
      <c r="E32" s="533">
        <v>0</v>
      </c>
      <c r="F32" s="533">
        <v>0</v>
      </c>
      <c r="G32" s="533">
        <v>0</v>
      </c>
      <c r="H32" s="279" t="str">
        <f>IF(D32=0,"nm",IF(G32=0,"nm",(G32/D32)^(1/3)-1))</f>
        <v>nm</v>
      </c>
      <c r="I32" s="254"/>
      <c r="J32" s="254"/>
      <c r="K32" s="254"/>
      <c r="L32" s="254"/>
      <c r="M32" s="254"/>
      <c r="N32" s="254"/>
      <c r="O32" s="251"/>
      <c r="Q32" s="5"/>
      <c r="S32" s="88"/>
      <c r="T32" s="42"/>
      <c r="U32" s="42"/>
      <c r="V32" s="147" t="s">
        <v>533</v>
      </c>
      <c r="W32" s="288" t="e">
        <f t="shared" si="4"/>
        <v>#REF!</v>
      </c>
      <c r="X32" s="288">
        <v>1</v>
      </c>
      <c r="Y32" s="42"/>
      <c r="Z32" s="42"/>
      <c r="AA32" s="42"/>
    </row>
    <row r="33" spans="2:27">
      <c r="B33" s="5" t="s">
        <v>5</v>
      </c>
      <c r="C33" s="549">
        <v>1036.1310000000001</v>
      </c>
      <c r="D33" s="533">
        <v>1286.2462499999999</v>
      </c>
      <c r="E33" s="533">
        <v>1320.283375</v>
      </c>
      <c r="F33" s="533">
        <v>1192.12825</v>
      </c>
      <c r="G33" s="533">
        <v>1147.6029375000001</v>
      </c>
      <c r="H33" s="279">
        <f>IF(ISERROR((G33/D33)^(1/3)-1),"na",(G33/D33)^(1/3)-1)</f>
        <v>-3.7303979570146306E-2</v>
      </c>
      <c r="I33" s="5"/>
      <c r="J33" s="254"/>
      <c r="K33" s="254"/>
      <c r="L33" s="254"/>
      <c r="M33" s="254"/>
      <c r="N33" s="254"/>
      <c r="O33" s="251"/>
      <c r="Q33" s="5"/>
      <c r="S33" s="88"/>
      <c r="T33" s="42"/>
      <c r="U33" s="42"/>
      <c r="V33" s="147" t="s">
        <v>580</v>
      </c>
      <c r="W33" s="288">
        <v>0</v>
      </c>
      <c r="X33" s="288">
        <v>1</v>
      </c>
      <c r="Y33" s="42"/>
      <c r="Z33" s="42"/>
      <c r="AA33" s="42"/>
    </row>
    <row r="34" spans="2:27">
      <c r="D34" s="5"/>
      <c r="E34" s="5"/>
      <c r="F34" s="5"/>
      <c r="G34" s="5"/>
      <c r="I34" s="49"/>
      <c r="J34" s="254"/>
      <c r="K34" s="254"/>
      <c r="L34" s="254"/>
      <c r="M34" s="254"/>
      <c r="N34" s="254"/>
      <c r="O34" s="251"/>
      <c r="Q34" s="5"/>
      <c r="S34" s="88"/>
      <c r="T34" s="42"/>
      <c r="U34" s="42"/>
      <c r="V34" s="147" t="s">
        <v>145</v>
      </c>
      <c r="W34" s="288" t="e">
        <f>D47/L19</f>
        <v>#REF!</v>
      </c>
      <c r="X34" s="288">
        <v>1</v>
      </c>
      <c r="Y34" s="288"/>
      <c r="Z34" s="288"/>
      <c r="AA34" s="42"/>
    </row>
    <row r="35" spans="2:27" ht="12.6" thickBot="1">
      <c r="B35" s="306" t="s">
        <v>641</v>
      </c>
      <c r="C35" s="265"/>
      <c r="D35" s="265" t="str">
        <f>D5</f>
        <v>2023E</v>
      </c>
      <c r="E35" s="265" t="str">
        <f t="shared" ref="E35:H35" si="5">E5</f>
        <v>2024E</v>
      </c>
      <c r="F35" s="265" t="str">
        <f t="shared" si="5"/>
        <v>2025E</v>
      </c>
      <c r="G35" s="265" t="str">
        <f t="shared" si="5"/>
        <v>2026E</v>
      </c>
      <c r="H35" s="265" t="str">
        <f t="shared" si="5"/>
        <v>23E-26E</v>
      </c>
      <c r="I35" s="254"/>
      <c r="J35" s="5"/>
      <c r="K35" s="5"/>
      <c r="L35" s="5"/>
      <c r="M35" s="5"/>
      <c r="N35" s="5"/>
      <c r="O35" s="5"/>
      <c r="Q35" s="5"/>
      <c r="S35" s="88"/>
      <c r="T35" s="42"/>
      <c r="U35" s="42"/>
      <c r="V35" s="42"/>
      <c r="W35" s="42"/>
      <c r="X35" s="42"/>
      <c r="Y35" s="288"/>
      <c r="Z35" s="288"/>
      <c r="AA35" s="42"/>
    </row>
    <row r="36" spans="2:27" ht="12.6" thickTop="1">
      <c r="B36" s="41"/>
      <c r="C36" s="249"/>
      <c r="D36" s="254"/>
      <c r="E36" s="254"/>
      <c r="F36" s="254"/>
      <c r="G36" s="254"/>
      <c r="H36" s="254"/>
      <c r="I36" s="17"/>
      <c r="J36" s="49"/>
      <c r="K36" s="49"/>
      <c r="L36" s="49"/>
      <c r="M36" s="49"/>
      <c r="N36" s="49"/>
      <c r="O36" s="49"/>
      <c r="Q36" s="5"/>
      <c r="S36" s="88"/>
      <c r="T36" s="42"/>
      <c r="U36" s="42"/>
      <c r="V36" s="42"/>
      <c r="W36" s="42"/>
      <c r="X36" s="42"/>
      <c r="Y36" s="288"/>
      <c r="Z36" s="288"/>
      <c r="AA36" s="42"/>
    </row>
    <row r="37" spans="2:27">
      <c r="B37" s="5" t="s">
        <v>273</v>
      </c>
      <c r="C37" s="247"/>
      <c r="D37" s="529">
        <f>D$18/D23</f>
        <v>1.5050475876228002</v>
      </c>
      <c r="E37" s="529">
        <f t="shared" ref="E37:G41" si="6">E$18/E23</f>
        <v>1.4983834644662015</v>
      </c>
      <c r="F37" s="529">
        <f t="shared" si="6"/>
        <v>1.3948202190768331</v>
      </c>
      <c r="G37" s="529">
        <f t="shared" si="6"/>
        <v>1.1139998537069569</v>
      </c>
      <c r="H37" s="17">
        <f t="shared" ref="H37:H46" si="7">H23</f>
        <v>1.7066969438098267E-2</v>
      </c>
      <c r="I37" s="5"/>
      <c r="J37" s="259"/>
      <c r="K37" s="259"/>
      <c r="L37" s="259"/>
      <c r="M37" s="259"/>
      <c r="N37" s="259"/>
      <c r="O37" s="18"/>
      <c r="Q37" s="5"/>
      <c r="R37" s="5"/>
      <c r="S37" s="42"/>
      <c r="T37" s="42"/>
      <c r="U37" s="42"/>
      <c r="V37" s="42"/>
      <c r="W37" s="42"/>
      <c r="X37" s="42"/>
      <c r="Y37" s="42"/>
      <c r="Z37" s="42"/>
      <c r="AA37" s="42"/>
    </row>
    <row r="38" spans="2:27">
      <c r="B38" s="5" t="s">
        <v>184</v>
      </c>
      <c r="C38" s="247"/>
      <c r="D38" s="529">
        <f>D$18/D24</f>
        <v>15.948233897582243</v>
      </c>
      <c r="E38" s="529">
        <f>E$18/E24</f>
        <v>11.543078847915114</v>
      </c>
      <c r="F38" s="529">
        <f>F$18/F24</f>
        <v>8.9791498879308165</v>
      </c>
      <c r="G38" s="529">
        <f t="shared" si="6"/>
        <v>6.2916767568674183</v>
      </c>
      <c r="H38" s="17">
        <f t="shared" si="7"/>
        <v>0.25442080694157521</v>
      </c>
      <c r="I38" s="259"/>
      <c r="J38" s="17"/>
      <c r="K38" s="17"/>
      <c r="L38" s="17"/>
      <c r="M38" s="17"/>
      <c r="N38" s="17"/>
      <c r="O38" s="5"/>
      <c r="Q38" s="5"/>
      <c r="R38" s="5"/>
      <c r="S38" s="42"/>
      <c r="T38" s="42"/>
      <c r="U38" s="42"/>
      <c r="V38" s="42"/>
      <c r="W38" s="42"/>
      <c r="X38" s="42"/>
      <c r="Y38" s="42"/>
      <c r="Z38" s="42"/>
      <c r="AA38" s="42"/>
    </row>
    <row r="39" spans="2:27">
      <c r="B39" s="5" t="s">
        <v>185</v>
      </c>
      <c r="C39" s="247"/>
      <c r="D39" s="529">
        <f>D$18/D25</f>
        <v>-19.403073276416681</v>
      </c>
      <c r="E39" s="529">
        <f t="shared" si="6"/>
        <v>23.120961429794367</v>
      </c>
      <c r="F39" s="529">
        <f t="shared" si="6"/>
        <v>16.070661708383291</v>
      </c>
      <c r="G39" s="529">
        <f t="shared" si="6"/>
        <v>8.6256299507755188</v>
      </c>
      <c r="H39" s="17">
        <f t="shared" si="7"/>
        <v>-2.2054644798041032</v>
      </c>
      <c r="I39" s="17"/>
      <c r="J39" s="5"/>
      <c r="K39" s="5"/>
      <c r="L39" s="5"/>
      <c r="M39" s="5"/>
      <c r="N39" s="5"/>
      <c r="O39" s="5"/>
      <c r="Q39" s="5"/>
      <c r="R39" s="5"/>
      <c r="S39" s="42"/>
      <c r="T39" s="42"/>
      <c r="U39" s="42"/>
      <c r="V39" s="42"/>
      <c r="W39" s="42"/>
      <c r="X39" s="42"/>
      <c r="Y39" s="42"/>
      <c r="Z39" s="42"/>
      <c r="AA39" s="42"/>
    </row>
    <row r="40" spans="2:27">
      <c r="B40" s="5" t="s">
        <v>466</v>
      </c>
      <c r="C40" s="247"/>
      <c r="D40" s="529">
        <f>D$18/D26</f>
        <v>-31.137288852594313</v>
      </c>
      <c r="E40" s="529">
        <f t="shared" si="6"/>
        <v>14.311933191331343</v>
      </c>
      <c r="F40" s="529">
        <f t="shared" si="6"/>
        <v>11.94172076286395</v>
      </c>
      <c r="G40" s="529">
        <f t="shared" si="6"/>
        <v>7.8438166463788495</v>
      </c>
      <c r="H40" s="17">
        <f t="shared" si="7"/>
        <v>-2.4567296895147916</v>
      </c>
      <c r="I40" s="5"/>
      <c r="J40" s="259"/>
      <c r="K40" s="259"/>
      <c r="L40" s="259"/>
      <c r="M40" s="259"/>
      <c r="N40" s="259"/>
      <c r="O40" s="18"/>
      <c r="Q40" s="5"/>
      <c r="R40" s="5"/>
      <c r="S40" s="42"/>
      <c r="T40" s="42"/>
      <c r="U40" s="42"/>
      <c r="V40" s="42"/>
      <c r="W40" s="288"/>
      <c r="X40" s="288"/>
      <c r="Y40" s="42"/>
      <c r="Z40" s="42"/>
      <c r="AA40" s="42"/>
    </row>
    <row r="41" spans="2:27">
      <c r="B41" s="5" t="s">
        <v>530</v>
      </c>
      <c r="C41" s="247"/>
      <c r="D41" s="529">
        <f>D$18/D27</f>
        <v>0.69108155931504245</v>
      </c>
      <c r="E41" s="529">
        <f t="shared" si="6"/>
        <v>0.675965928073469</v>
      </c>
      <c r="F41" s="529">
        <f t="shared" si="6"/>
        <v>0.65473546853652198</v>
      </c>
      <c r="G41" s="529">
        <f t="shared" si="6"/>
        <v>0.54795760854745046</v>
      </c>
      <c r="H41" s="17">
        <f t="shared" si="7"/>
        <v>-5.9948561048273064E-3</v>
      </c>
      <c r="I41" s="247"/>
      <c r="J41" s="17"/>
      <c r="K41" s="17"/>
      <c r="L41" s="17"/>
      <c r="M41" s="17"/>
      <c r="N41" s="17"/>
      <c r="O41" s="5"/>
      <c r="Q41" s="5"/>
      <c r="R41" s="5"/>
      <c r="S41" s="42"/>
      <c r="T41" s="42"/>
      <c r="U41" s="42"/>
      <c r="V41" s="42"/>
      <c r="W41" s="288"/>
      <c r="X41" s="288"/>
      <c r="Y41" s="288"/>
      <c r="Z41" s="288"/>
      <c r="AA41" s="42"/>
    </row>
    <row r="42" spans="2:27">
      <c r="B42" s="5" t="s">
        <v>593</v>
      </c>
      <c r="C42" s="247"/>
      <c r="D42" s="529">
        <f>D18/D28</f>
        <v>3.0270935993976336</v>
      </c>
      <c r="E42" s="529">
        <f>E18/E28</f>
        <v>2.7605930293570711</v>
      </c>
      <c r="F42" s="529">
        <f>F18/F28</f>
        <v>2.5848918085284187</v>
      </c>
      <c r="G42" s="529">
        <f>G18/G28</f>
        <v>2.0625911820164027</v>
      </c>
      <c r="H42" s="17">
        <f t="shared" si="7"/>
        <v>4.5519366726737731E-2</v>
      </c>
      <c r="I42" s="248"/>
      <c r="J42" s="5"/>
      <c r="K42" s="5"/>
      <c r="L42" s="5"/>
      <c r="M42" s="5"/>
      <c r="N42" s="5"/>
      <c r="O42" s="5"/>
      <c r="Q42" s="5"/>
      <c r="R42" s="5"/>
      <c r="S42" s="42"/>
      <c r="T42" s="42"/>
      <c r="U42" s="42"/>
      <c r="V42" s="42"/>
      <c r="W42" s="288"/>
      <c r="X42" s="288"/>
      <c r="Y42" s="288"/>
      <c r="Z42" s="288"/>
      <c r="AA42" s="42"/>
    </row>
    <row r="43" spans="2:27">
      <c r="B43" s="5" t="s">
        <v>475</v>
      </c>
      <c r="C43" s="247"/>
      <c r="D43" s="529">
        <f>L26/D29</f>
        <v>-3.0918001853235553</v>
      </c>
      <c r="E43" s="529">
        <f>M26/E29</f>
        <v>7.9915462233361039</v>
      </c>
      <c r="F43" s="529">
        <f>N26/F29</f>
        <v>4.9485149790198797</v>
      </c>
      <c r="G43" s="529">
        <f>O26/G29</f>
        <v>2.9095332578301845</v>
      </c>
      <c r="H43" s="17">
        <f t="shared" si="7"/>
        <v>-2.0204601059978318</v>
      </c>
      <c r="I43" s="247"/>
      <c r="J43" s="247"/>
      <c r="K43" s="247"/>
      <c r="L43" s="247"/>
      <c r="M43" s="247"/>
      <c r="N43" s="247"/>
      <c r="O43" s="18"/>
      <c r="Q43" s="5"/>
      <c r="R43" s="5"/>
      <c r="S43" s="42"/>
      <c r="T43" s="42"/>
      <c r="U43" s="42"/>
      <c r="V43" s="42"/>
      <c r="W43" s="288"/>
      <c r="X43" s="288"/>
      <c r="Y43" s="288"/>
      <c r="Z43" s="288"/>
      <c r="AA43" s="42"/>
    </row>
    <row r="44" spans="2:27">
      <c r="B44" s="5" t="s">
        <v>533</v>
      </c>
      <c r="C44" s="69"/>
      <c r="D44" s="529">
        <f>D11/D30</f>
        <v>-22.940217122192262</v>
      </c>
      <c r="E44" s="529">
        <f>E11/E30</f>
        <v>665.98072043737977</v>
      </c>
      <c r="F44" s="529">
        <f>F11/F30</f>
        <v>19.573776057759634</v>
      </c>
      <c r="G44" s="529">
        <f>G11/G30</f>
        <v>23.137912933082102</v>
      </c>
      <c r="H44" s="17">
        <f t="shared" si="7"/>
        <v>-1.99714377073437</v>
      </c>
      <c r="I44" s="247"/>
      <c r="J44" s="248"/>
      <c r="K44" s="248"/>
      <c r="L44" s="248"/>
      <c r="M44" s="248"/>
      <c r="N44" s="248"/>
      <c r="O44" s="248"/>
      <c r="Q44" s="5"/>
      <c r="R44" s="5"/>
      <c r="S44" s="42"/>
      <c r="T44" s="42"/>
      <c r="U44" s="42"/>
      <c r="V44" s="42"/>
      <c r="W44" s="325"/>
      <c r="X44" s="325"/>
      <c r="Y44" s="288"/>
      <c r="Z44" s="288"/>
      <c r="AA44" s="42"/>
    </row>
    <row r="45" spans="2:27">
      <c r="B45" s="5" t="s">
        <v>580</v>
      </c>
      <c r="C45" s="247"/>
      <c r="D45" s="248">
        <f>D31/D11</f>
        <v>0</v>
      </c>
      <c r="E45" s="248">
        <f>E31/E11</f>
        <v>0</v>
      </c>
      <c r="F45" s="248">
        <f>F31/F11</f>
        <v>0</v>
      </c>
      <c r="G45" s="248">
        <f>G31/G11</f>
        <v>0</v>
      </c>
      <c r="H45" s="17" t="str">
        <f t="shared" si="7"/>
        <v>nm</v>
      </c>
      <c r="I45" s="248"/>
      <c r="J45" s="247"/>
      <c r="K45" s="247"/>
      <c r="L45" s="247"/>
      <c r="M45" s="247"/>
      <c r="N45" s="247"/>
      <c r="O45" s="248"/>
      <c r="Q45" s="5"/>
      <c r="R45" s="5"/>
      <c r="S45" s="42"/>
      <c r="T45" s="42"/>
      <c r="U45" s="42"/>
      <c r="V45" s="42"/>
      <c r="W45" s="42"/>
      <c r="X45" s="42"/>
      <c r="Y45" s="325"/>
      <c r="Z45" s="325"/>
      <c r="AA45" s="42"/>
    </row>
    <row r="46" spans="2:27">
      <c r="B46" s="5" t="s">
        <v>605</v>
      </c>
      <c r="C46" s="247"/>
      <c r="D46" s="248">
        <f>(D31+D32)/D11</f>
        <v>0</v>
      </c>
      <c r="E46" s="248">
        <f>(E31+E32)/E11</f>
        <v>0</v>
      </c>
      <c r="F46" s="248">
        <f>(F31+F32)/F11</f>
        <v>0</v>
      </c>
      <c r="G46" s="248">
        <f>(G31+G32)/G11</f>
        <v>0</v>
      </c>
      <c r="H46" s="17" t="str">
        <f t="shared" si="7"/>
        <v>nm</v>
      </c>
      <c r="I46" s="247"/>
      <c r="J46" s="247"/>
      <c r="K46" s="247"/>
      <c r="L46" s="247"/>
      <c r="M46" s="247"/>
      <c r="N46" s="247"/>
      <c r="O46" s="18"/>
      <c r="Q46" s="5"/>
      <c r="R46" s="5"/>
      <c r="S46" s="42"/>
      <c r="T46" s="42"/>
      <c r="U46" s="42"/>
      <c r="V46" s="42"/>
      <c r="W46" s="42"/>
      <c r="X46" s="42"/>
      <c r="Y46" s="42"/>
      <c r="Z46" s="42"/>
      <c r="AA46" s="326"/>
    </row>
    <row r="47" spans="2:27">
      <c r="B47" s="5" t="s">
        <v>581</v>
      </c>
      <c r="C47" s="5"/>
      <c r="D47" s="248">
        <f>1/D43</f>
        <v>-0.32343616665361913</v>
      </c>
      <c r="E47" s="248">
        <f>1/E43</f>
        <v>0.1251322299907246</v>
      </c>
      <c r="F47" s="248">
        <f>1/F43</f>
        <v>0.20208082712484049</v>
      </c>
      <c r="G47" s="248">
        <f>1/G43</f>
        <v>0.34369773822271438</v>
      </c>
      <c r="H47" s="17">
        <f>H29</f>
        <v>-2.0204601059978318</v>
      </c>
      <c r="I47" s="17"/>
      <c r="J47" s="248"/>
      <c r="K47" s="248"/>
      <c r="L47" s="248"/>
      <c r="M47" s="248"/>
      <c r="N47" s="248"/>
      <c r="O47" s="248"/>
      <c r="Q47" s="5"/>
      <c r="R47" s="5"/>
      <c r="S47" s="42"/>
      <c r="T47" s="42"/>
      <c r="U47" s="42"/>
      <c r="V47" s="42"/>
      <c r="W47" s="42"/>
      <c r="X47" s="42"/>
      <c r="Y47" s="42"/>
      <c r="Z47" s="42"/>
      <c r="AA47" s="326"/>
    </row>
    <row r="48" spans="2:27">
      <c r="B48" s="5" t="s">
        <v>618</v>
      </c>
      <c r="C48" s="5"/>
      <c r="D48" s="305">
        <f>D31/D29</f>
        <v>0</v>
      </c>
      <c r="E48" s="305">
        <f>E31/E29</f>
        <v>0</v>
      </c>
      <c r="F48" s="305">
        <f>F31/F29</f>
        <v>0</v>
      </c>
      <c r="G48" s="305">
        <f>G31/G29</f>
        <v>0</v>
      </c>
      <c r="H48" s="279" t="s">
        <v>607</v>
      </c>
      <c r="I48" s="247"/>
      <c r="J48" s="247"/>
      <c r="K48" s="247"/>
      <c r="L48" s="247"/>
      <c r="M48" s="247"/>
      <c r="N48" s="247"/>
      <c r="O48" s="248"/>
      <c r="Q48" s="5"/>
      <c r="R48" s="5"/>
      <c r="S48" s="42"/>
      <c r="T48" s="42"/>
      <c r="U48" s="42"/>
      <c r="V48" s="42"/>
      <c r="W48" s="42"/>
      <c r="X48" s="42"/>
      <c r="Y48" s="42"/>
      <c r="Z48" s="42"/>
      <c r="AA48" s="326"/>
    </row>
    <row r="49" spans="2:27">
      <c r="B49" s="41"/>
      <c r="C49" s="17"/>
      <c r="D49" s="17"/>
      <c r="E49" s="17"/>
      <c r="F49" s="17"/>
      <c r="G49" s="17"/>
      <c r="H49" s="17"/>
      <c r="I49" s="254"/>
      <c r="J49" s="17"/>
      <c r="K49" s="17"/>
      <c r="L49" s="17"/>
      <c r="M49" s="17"/>
      <c r="N49" s="17"/>
      <c r="O49" s="248"/>
      <c r="Q49" s="5"/>
      <c r="R49" s="5"/>
      <c r="S49" s="42"/>
      <c r="T49" s="42"/>
      <c r="U49" s="42"/>
      <c r="V49" s="42"/>
      <c r="W49" s="42"/>
      <c r="X49" s="42"/>
      <c r="Y49" s="42"/>
      <c r="Z49" s="42"/>
      <c r="AA49" s="326"/>
    </row>
    <row r="50" spans="2:27">
      <c r="B50" s="5"/>
      <c r="C50" s="257"/>
      <c r="D50" s="257"/>
      <c r="E50" s="257"/>
      <c r="F50" s="5"/>
      <c r="G50" s="41"/>
      <c r="H50" s="249"/>
      <c r="I50" s="17"/>
      <c r="J50" s="249"/>
      <c r="K50" s="249"/>
      <c r="L50" s="249"/>
      <c r="M50" s="249"/>
      <c r="N50" s="249"/>
      <c r="O50" s="250"/>
      <c r="Q50" s="5"/>
      <c r="R50" s="5"/>
      <c r="S50" s="42"/>
      <c r="T50" s="42"/>
      <c r="U50" s="42"/>
      <c r="V50" s="42"/>
      <c r="W50" s="288"/>
      <c r="X50" s="288"/>
      <c r="Y50" s="42"/>
      <c r="Z50" s="42"/>
      <c r="AA50" s="326"/>
    </row>
    <row r="51" spans="2:27">
      <c r="B51" s="41"/>
      <c r="C51" s="249"/>
      <c r="D51" s="254"/>
      <c r="E51" s="254"/>
      <c r="F51" s="254"/>
      <c r="G51" s="254"/>
      <c r="H51" s="254"/>
      <c r="I51" s="259"/>
      <c r="J51" s="254"/>
      <c r="K51" s="254"/>
      <c r="L51" s="254"/>
      <c r="M51" s="254"/>
      <c r="N51" s="254"/>
      <c r="O51" s="251"/>
      <c r="Q51" s="5"/>
      <c r="R51" s="5"/>
      <c r="S51" s="42"/>
      <c r="T51" s="42"/>
      <c r="U51" s="42"/>
      <c r="V51" s="42"/>
      <c r="W51" s="288"/>
      <c r="X51" s="288"/>
      <c r="Y51" s="288"/>
      <c r="Z51" s="288"/>
      <c r="AA51" s="42"/>
    </row>
    <row r="52" spans="2:27">
      <c r="B52" s="5"/>
      <c r="C52" s="257"/>
      <c r="D52" s="17"/>
      <c r="E52" s="17"/>
      <c r="F52" s="17"/>
      <c r="G52" s="17"/>
      <c r="H52" s="17"/>
      <c r="I52" s="254"/>
      <c r="J52" s="17"/>
      <c r="K52" s="17"/>
      <c r="L52" s="17"/>
      <c r="M52" s="17"/>
      <c r="N52" s="17"/>
      <c r="O52" s="248"/>
      <c r="Q52" s="5"/>
      <c r="R52" s="5"/>
      <c r="S52" s="5"/>
      <c r="Y52" s="10"/>
      <c r="Z52" s="10"/>
    </row>
    <row r="53" spans="2:27">
      <c r="B53" s="5"/>
      <c r="C53" s="257"/>
      <c r="D53" s="257"/>
      <c r="E53" s="257"/>
      <c r="F53" s="5"/>
      <c r="G53" s="5"/>
      <c r="H53" s="259"/>
      <c r="I53" s="17"/>
      <c r="J53" s="259"/>
      <c r="K53" s="259"/>
      <c r="L53" s="259"/>
      <c r="M53" s="259"/>
      <c r="N53" s="259"/>
      <c r="O53" s="18"/>
      <c r="Q53" s="5"/>
      <c r="R53" s="5"/>
      <c r="S53" s="5"/>
    </row>
    <row r="54" spans="2:27">
      <c r="B54" s="41"/>
      <c r="C54" s="249"/>
      <c r="D54" s="254"/>
      <c r="E54" s="254"/>
      <c r="F54" s="254"/>
      <c r="G54" s="254"/>
      <c r="H54" s="254"/>
      <c r="I54" s="259"/>
      <c r="J54" s="254"/>
      <c r="K54" s="254"/>
      <c r="L54" s="254"/>
      <c r="M54" s="254"/>
      <c r="N54" s="254"/>
      <c r="O54" s="251"/>
      <c r="Q54" s="5"/>
      <c r="R54" s="5"/>
      <c r="S54" s="5"/>
    </row>
    <row r="55" spans="2:27">
      <c r="B55" s="5"/>
      <c r="C55" s="257"/>
      <c r="D55" s="17"/>
      <c r="E55" s="17"/>
      <c r="F55" s="17"/>
      <c r="G55" s="17"/>
      <c r="H55" s="17"/>
      <c r="I55" s="249"/>
      <c r="J55" s="17"/>
      <c r="K55" s="17"/>
      <c r="L55" s="17"/>
      <c r="M55" s="17"/>
      <c r="N55" s="17"/>
      <c r="O55" s="18"/>
      <c r="Q55" s="5"/>
      <c r="R55" s="5"/>
      <c r="S55" s="5"/>
    </row>
    <row r="56" spans="2:27">
      <c r="B56" s="5"/>
      <c r="C56" s="248"/>
      <c r="D56" s="248"/>
      <c r="E56" s="248"/>
      <c r="F56" s="5"/>
      <c r="G56" s="5"/>
      <c r="H56" s="259"/>
      <c r="I56" s="248"/>
      <c r="J56" s="259"/>
      <c r="K56" s="259"/>
      <c r="L56" s="259"/>
      <c r="M56" s="259"/>
      <c r="N56" s="259"/>
      <c r="O56" s="18"/>
      <c r="Q56" s="5"/>
      <c r="R56" s="5"/>
      <c r="S56" s="5"/>
    </row>
    <row r="57" spans="2:27">
      <c r="B57" s="41"/>
      <c r="C57" s="249"/>
      <c r="D57" s="249"/>
      <c r="E57" s="249"/>
      <c r="F57" s="249"/>
      <c r="G57" s="249"/>
      <c r="H57" s="249"/>
      <c r="I57" s="5"/>
      <c r="J57" s="249"/>
      <c r="K57" s="249"/>
      <c r="L57" s="249"/>
      <c r="M57" s="249"/>
      <c r="N57" s="249"/>
      <c r="O57" s="251"/>
      <c r="Q57" s="5"/>
      <c r="R57" s="5"/>
      <c r="S57" s="5"/>
    </row>
    <row r="58" spans="2:27">
      <c r="B58" s="5"/>
      <c r="C58" s="5"/>
      <c r="D58" s="248"/>
      <c r="E58" s="248"/>
      <c r="F58" s="248"/>
      <c r="G58" s="248"/>
      <c r="H58" s="248"/>
      <c r="I58" s="17"/>
      <c r="J58" s="248"/>
      <c r="K58" s="248"/>
      <c r="L58" s="248"/>
      <c r="M58" s="248"/>
      <c r="N58" s="248"/>
      <c r="O58" s="18"/>
      <c r="Q58" s="5"/>
      <c r="R58" s="5"/>
      <c r="S58" s="5"/>
    </row>
    <row r="59" spans="2:27">
      <c r="B59" s="5"/>
      <c r="C59" s="5"/>
      <c r="D59" s="5"/>
      <c r="E59" s="5"/>
      <c r="F59" s="5"/>
      <c r="G59" s="5"/>
      <c r="H59" s="5"/>
      <c r="I59" s="5"/>
      <c r="J59" s="5"/>
      <c r="K59" s="5"/>
      <c r="L59" s="5"/>
      <c r="M59" s="5"/>
      <c r="N59" s="5"/>
      <c r="O59" s="5"/>
      <c r="Q59" s="5"/>
      <c r="R59" s="5"/>
      <c r="S59" s="5"/>
    </row>
    <row r="60" spans="2:27">
      <c r="B60" s="41"/>
      <c r="C60" s="17"/>
      <c r="D60" s="17"/>
      <c r="E60" s="17"/>
      <c r="F60" s="17"/>
      <c r="G60" s="17"/>
      <c r="H60" s="17"/>
      <c r="I60" s="249"/>
      <c r="J60" s="17"/>
      <c r="K60" s="17"/>
      <c r="L60" s="17"/>
      <c r="M60" s="17"/>
      <c r="N60" s="17"/>
      <c r="O60" s="251"/>
      <c r="Q60" s="5"/>
      <c r="R60" s="5"/>
      <c r="S60" s="5"/>
    </row>
    <row r="61" spans="2:27">
      <c r="B61" s="5"/>
      <c r="C61" s="5"/>
      <c r="D61" s="5"/>
      <c r="E61" s="5"/>
      <c r="F61" s="5"/>
      <c r="G61" s="5"/>
      <c r="H61" s="5"/>
      <c r="I61" s="5"/>
      <c r="J61" s="5"/>
      <c r="K61" s="5"/>
      <c r="L61" s="5"/>
      <c r="M61" s="5"/>
      <c r="N61" s="5"/>
      <c r="O61" s="5"/>
      <c r="Q61" s="41"/>
      <c r="R61" s="5"/>
      <c r="S61" s="5"/>
    </row>
    <row r="62" spans="2:27">
      <c r="B62" s="41"/>
      <c r="C62" s="249"/>
      <c r="D62" s="249"/>
      <c r="E62" s="249"/>
      <c r="F62" s="249"/>
      <c r="G62" s="249"/>
      <c r="H62" s="249"/>
      <c r="I62" s="5"/>
      <c r="J62" s="249"/>
      <c r="K62" s="249"/>
      <c r="L62" s="249"/>
      <c r="M62" s="249"/>
      <c r="N62" s="249"/>
      <c r="O62" s="251"/>
      <c r="Q62" s="5"/>
      <c r="R62" s="5"/>
      <c r="S62" s="5"/>
    </row>
    <row r="63" spans="2:27">
      <c r="B63" s="5"/>
      <c r="C63" s="5"/>
      <c r="D63" s="5"/>
      <c r="E63" s="5"/>
      <c r="F63" s="5"/>
      <c r="G63" s="5"/>
      <c r="H63" s="5"/>
      <c r="I63" s="254"/>
      <c r="J63" s="5"/>
      <c r="K63" s="5"/>
      <c r="L63" s="5"/>
      <c r="M63" s="5"/>
      <c r="N63" s="5"/>
      <c r="O63" s="5"/>
      <c r="Q63" s="5"/>
      <c r="R63" s="5"/>
      <c r="S63" s="5"/>
    </row>
    <row r="64" spans="2:27">
      <c r="B64" s="5"/>
      <c r="C64" s="5"/>
      <c r="D64" s="5"/>
      <c r="E64" s="5"/>
      <c r="F64" s="5"/>
      <c r="G64" s="5"/>
      <c r="H64" s="5"/>
      <c r="I64" s="17"/>
      <c r="J64" s="5"/>
      <c r="K64" s="5"/>
      <c r="L64" s="5"/>
      <c r="M64" s="5"/>
      <c r="N64" s="5"/>
      <c r="O64" s="5"/>
      <c r="Q64" s="5"/>
      <c r="R64" s="5"/>
      <c r="S64" s="5"/>
    </row>
    <row r="65" spans="2:26">
      <c r="B65" s="41"/>
      <c r="C65" s="249"/>
      <c r="D65" s="254"/>
      <c r="E65" s="254"/>
      <c r="F65" s="254"/>
      <c r="G65" s="254"/>
      <c r="H65" s="254"/>
      <c r="I65" s="254"/>
      <c r="J65" s="254"/>
      <c r="K65" s="254"/>
      <c r="L65" s="254"/>
      <c r="M65" s="254"/>
      <c r="N65" s="254"/>
      <c r="O65" s="251"/>
      <c r="Q65" s="5"/>
      <c r="R65" s="5"/>
      <c r="S65" s="5"/>
    </row>
    <row r="66" spans="2:26">
      <c r="B66" s="5"/>
      <c r="C66" s="5"/>
      <c r="D66" s="17"/>
      <c r="E66" s="17"/>
      <c r="F66" s="17"/>
      <c r="G66" s="17"/>
      <c r="H66" s="17"/>
      <c r="I66" s="248"/>
      <c r="J66" s="17"/>
      <c r="K66" s="17"/>
      <c r="L66" s="17"/>
      <c r="M66" s="17"/>
      <c r="N66" s="17"/>
      <c r="O66" s="5"/>
      <c r="Q66" s="5"/>
      <c r="R66" s="5"/>
      <c r="S66" s="5"/>
    </row>
    <row r="67" spans="2:26">
      <c r="B67" s="41"/>
      <c r="C67" s="249"/>
      <c r="D67" s="254"/>
      <c r="E67" s="254"/>
      <c r="F67" s="254"/>
      <c r="G67" s="254"/>
      <c r="H67" s="254"/>
      <c r="I67" s="5"/>
      <c r="J67" s="254"/>
      <c r="K67" s="254"/>
      <c r="L67" s="254"/>
      <c r="M67" s="254"/>
      <c r="N67" s="254"/>
      <c r="O67" s="251"/>
      <c r="Q67" s="41"/>
      <c r="R67" s="5"/>
      <c r="S67" s="5"/>
    </row>
    <row r="68" spans="2:26">
      <c r="B68" s="5"/>
      <c r="C68" s="5"/>
      <c r="D68" s="248"/>
      <c r="E68" s="248"/>
      <c r="F68" s="248"/>
      <c r="G68" s="248"/>
      <c r="H68" s="248"/>
      <c r="I68" s="245"/>
      <c r="J68" s="248"/>
      <c r="K68" s="248"/>
      <c r="L68" s="248"/>
      <c r="M68" s="248"/>
      <c r="N68" s="248"/>
      <c r="O68" s="5"/>
      <c r="Q68" s="5"/>
      <c r="R68" s="5"/>
      <c r="S68" s="5"/>
    </row>
    <row r="69" spans="2:26">
      <c r="B69" s="41"/>
      <c r="C69" s="5"/>
      <c r="D69" s="5"/>
      <c r="E69" s="5"/>
      <c r="F69" s="5"/>
      <c r="G69" s="5"/>
      <c r="H69" s="5"/>
      <c r="I69" s="248"/>
      <c r="J69" s="5"/>
      <c r="K69" s="5"/>
      <c r="L69" s="5"/>
      <c r="M69" s="5"/>
      <c r="N69" s="5"/>
      <c r="O69" s="5"/>
      <c r="Q69" s="5"/>
      <c r="R69" s="5"/>
      <c r="S69" s="5"/>
    </row>
    <row r="70" spans="2:26">
      <c r="B70" s="41"/>
      <c r="C70" s="245"/>
      <c r="D70" s="245"/>
      <c r="E70" s="245"/>
      <c r="F70" s="245"/>
      <c r="G70" s="245"/>
      <c r="H70" s="245"/>
      <c r="I70" s="5"/>
      <c r="J70" s="245"/>
      <c r="K70" s="245"/>
      <c r="L70" s="245"/>
      <c r="M70" s="245"/>
      <c r="N70" s="245"/>
      <c r="O70" s="251"/>
      <c r="Q70" s="5"/>
      <c r="R70" s="5"/>
      <c r="S70" s="5"/>
      <c r="W70" s="76"/>
      <c r="X70" s="76"/>
    </row>
    <row r="71" spans="2:26">
      <c r="B71" s="5"/>
      <c r="C71" s="5"/>
      <c r="D71" s="248"/>
      <c r="E71" s="248"/>
      <c r="F71" s="248"/>
      <c r="G71" s="248"/>
      <c r="H71" s="248"/>
      <c r="I71" s="245"/>
      <c r="J71" s="248"/>
      <c r="K71" s="248"/>
      <c r="L71" s="248"/>
      <c r="M71" s="248"/>
      <c r="N71" s="248"/>
      <c r="O71" s="5"/>
      <c r="Q71" s="5"/>
      <c r="R71" s="5"/>
      <c r="S71" s="5"/>
      <c r="W71" s="76"/>
      <c r="X71" s="76"/>
      <c r="Y71" s="76"/>
      <c r="Z71" s="76"/>
    </row>
    <row r="72" spans="2:26">
      <c r="B72" s="41"/>
      <c r="C72" s="5"/>
      <c r="D72" s="5"/>
      <c r="E72" s="5"/>
      <c r="F72" s="5"/>
      <c r="G72" s="5"/>
      <c r="H72" s="5"/>
      <c r="I72" s="18"/>
      <c r="J72" s="5"/>
      <c r="K72" s="5"/>
      <c r="L72" s="5"/>
      <c r="M72" s="5"/>
      <c r="N72" s="5"/>
      <c r="O72" s="5"/>
      <c r="Q72" s="5"/>
      <c r="R72" s="5"/>
      <c r="S72" s="5"/>
      <c r="Y72" s="76"/>
      <c r="Z72" s="76"/>
    </row>
    <row r="73" spans="2:26">
      <c r="B73" s="41"/>
      <c r="C73" s="245"/>
      <c r="D73" s="245"/>
      <c r="E73" s="245"/>
      <c r="F73" s="245"/>
      <c r="G73" s="245"/>
      <c r="H73" s="245"/>
      <c r="I73" s="5"/>
      <c r="J73" s="245"/>
      <c r="K73" s="245"/>
      <c r="L73" s="245"/>
      <c r="M73" s="245"/>
      <c r="N73" s="245"/>
      <c r="O73" s="251"/>
      <c r="Q73" s="5"/>
      <c r="R73" s="5"/>
      <c r="S73" s="5"/>
    </row>
    <row r="74" spans="2:26">
      <c r="B74" s="5"/>
      <c r="C74" s="5"/>
      <c r="D74" s="18"/>
      <c r="E74" s="18"/>
      <c r="F74" s="18"/>
      <c r="G74" s="18"/>
      <c r="H74" s="18"/>
      <c r="I74" s="249"/>
      <c r="J74" s="18"/>
      <c r="K74" s="18"/>
      <c r="L74" s="18"/>
      <c r="M74" s="18"/>
      <c r="N74" s="18"/>
      <c r="O74" s="5"/>
      <c r="Q74" s="5"/>
      <c r="R74" s="5"/>
      <c r="S74" s="5"/>
    </row>
    <row r="75" spans="2:26">
      <c r="B75" s="41"/>
      <c r="C75" s="5"/>
      <c r="D75" s="5"/>
      <c r="E75" s="5"/>
      <c r="F75" s="5"/>
      <c r="G75" s="5"/>
      <c r="H75" s="5"/>
      <c r="I75" s="248"/>
      <c r="J75" s="5"/>
      <c r="K75" s="5"/>
      <c r="L75" s="5"/>
      <c r="M75" s="5"/>
      <c r="N75" s="5"/>
      <c r="O75" s="5"/>
      <c r="Q75" s="5"/>
      <c r="R75" s="5"/>
      <c r="S75" s="5"/>
    </row>
    <row r="76" spans="2:26">
      <c r="B76" s="41"/>
      <c r="C76" s="249"/>
      <c r="D76" s="249"/>
      <c r="E76" s="249"/>
      <c r="F76" s="249"/>
      <c r="G76" s="249"/>
      <c r="H76" s="249"/>
      <c r="I76" s="5"/>
      <c r="J76" s="249"/>
      <c r="K76" s="249"/>
      <c r="L76" s="249"/>
      <c r="M76" s="249"/>
      <c r="N76" s="249"/>
      <c r="O76" s="251"/>
      <c r="Q76" s="5"/>
      <c r="R76" s="5"/>
      <c r="S76" s="5"/>
    </row>
    <row r="77" spans="2:26">
      <c r="B77" s="5"/>
      <c r="C77" s="5"/>
      <c r="D77" s="248"/>
      <c r="E77" s="248"/>
      <c r="F77" s="248"/>
      <c r="G77" s="248"/>
      <c r="H77" s="248"/>
      <c r="I77" s="245"/>
      <c r="J77" s="248"/>
      <c r="K77" s="248"/>
      <c r="L77" s="248"/>
      <c r="M77" s="248"/>
      <c r="N77" s="248"/>
      <c r="O77" s="5"/>
      <c r="Q77" s="5"/>
      <c r="R77" s="5"/>
      <c r="S77" s="5"/>
    </row>
    <row r="78" spans="2:26">
      <c r="B78" s="41"/>
      <c r="C78" s="5"/>
      <c r="D78" s="5"/>
      <c r="E78" s="5"/>
      <c r="F78" s="5"/>
      <c r="G78" s="5"/>
      <c r="H78" s="5"/>
      <c r="I78" s="248"/>
      <c r="J78" s="5"/>
      <c r="K78" s="5"/>
      <c r="L78" s="5"/>
      <c r="M78" s="5"/>
      <c r="N78" s="5"/>
      <c r="O78" s="5"/>
      <c r="Q78" s="5"/>
      <c r="R78" s="5"/>
      <c r="S78" s="5"/>
    </row>
    <row r="79" spans="2:26">
      <c r="B79" s="41"/>
      <c r="C79" s="245"/>
      <c r="D79" s="245"/>
      <c r="E79" s="245"/>
      <c r="F79" s="245"/>
      <c r="G79" s="245"/>
      <c r="H79" s="245"/>
      <c r="I79" s="5"/>
      <c r="J79" s="245"/>
      <c r="K79" s="245"/>
      <c r="L79" s="245"/>
      <c r="M79" s="245"/>
      <c r="N79" s="245"/>
      <c r="O79" s="251"/>
      <c r="Q79" s="5"/>
      <c r="R79" s="5"/>
      <c r="S79" s="5"/>
    </row>
    <row r="80" spans="2:26">
      <c r="B80" s="5"/>
      <c r="C80" s="5"/>
      <c r="D80" s="248"/>
      <c r="E80" s="248"/>
      <c r="F80" s="248"/>
      <c r="G80" s="248"/>
      <c r="H80" s="248"/>
      <c r="I80" s="249"/>
      <c r="J80" s="248"/>
      <c r="K80" s="248"/>
      <c r="L80" s="248"/>
      <c r="M80" s="248"/>
      <c r="N80" s="248"/>
      <c r="O80" s="5"/>
      <c r="Q80" s="5"/>
      <c r="R80" s="5"/>
      <c r="S80" s="5"/>
    </row>
    <row r="81" spans="2:26">
      <c r="B81" s="41"/>
      <c r="C81" s="5"/>
      <c r="D81" s="5"/>
      <c r="E81" s="5"/>
      <c r="F81" s="5"/>
      <c r="G81" s="5"/>
      <c r="H81" s="5"/>
      <c r="I81" s="248"/>
      <c r="J81" s="5"/>
      <c r="K81" s="5"/>
      <c r="L81" s="5"/>
      <c r="M81" s="5"/>
      <c r="N81" s="5"/>
      <c r="O81" s="5"/>
      <c r="Q81" s="5"/>
      <c r="R81" s="5"/>
      <c r="S81" s="5"/>
    </row>
    <row r="82" spans="2:26">
      <c r="B82" s="41"/>
      <c r="C82" s="249"/>
      <c r="D82" s="249"/>
      <c r="E82" s="249"/>
      <c r="F82" s="249"/>
      <c r="G82" s="249"/>
      <c r="H82" s="249"/>
      <c r="I82" s="259"/>
      <c r="J82" s="249"/>
      <c r="K82" s="249"/>
      <c r="L82" s="249"/>
      <c r="M82" s="249"/>
      <c r="N82" s="249"/>
      <c r="O82" s="251"/>
      <c r="Q82" s="5"/>
      <c r="R82" s="5"/>
      <c r="S82" s="5"/>
    </row>
    <row r="83" spans="2:26">
      <c r="B83" s="5"/>
      <c r="C83" s="5"/>
      <c r="D83" s="248"/>
      <c r="E83" s="248"/>
      <c r="F83" s="248"/>
      <c r="G83" s="248"/>
      <c r="H83" s="248"/>
      <c r="I83" s="5"/>
      <c r="J83" s="248"/>
      <c r="K83" s="248"/>
      <c r="L83" s="248"/>
      <c r="M83" s="248"/>
      <c r="N83" s="248"/>
      <c r="O83" s="5"/>
      <c r="Q83" s="5"/>
      <c r="R83" s="5"/>
      <c r="S83" s="5"/>
    </row>
    <row r="84" spans="2:26">
      <c r="B84" s="5"/>
      <c r="C84" s="259"/>
      <c r="D84" s="259"/>
      <c r="E84" s="259"/>
      <c r="F84" s="259"/>
      <c r="G84" s="259"/>
      <c r="H84" s="259"/>
      <c r="I84" s="245"/>
      <c r="J84" s="259"/>
      <c r="K84" s="259"/>
      <c r="L84" s="259"/>
      <c r="M84" s="259"/>
      <c r="N84" s="259"/>
      <c r="O84" s="251"/>
      <c r="Q84" s="5"/>
      <c r="R84" s="5"/>
      <c r="S84" s="5"/>
    </row>
    <row r="85" spans="2:26">
      <c r="B85" s="41"/>
      <c r="C85" s="5"/>
      <c r="D85" s="5"/>
      <c r="E85" s="5"/>
      <c r="F85" s="5"/>
      <c r="G85" s="5"/>
      <c r="H85" s="5"/>
      <c r="I85" s="248"/>
      <c r="J85" s="5"/>
      <c r="K85" s="5"/>
      <c r="L85" s="5"/>
      <c r="M85" s="5"/>
      <c r="N85" s="5"/>
      <c r="O85" s="5"/>
      <c r="Q85" s="5"/>
      <c r="R85" s="5"/>
      <c r="S85" s="5"/>
    </row>
    <row r="86" spans="2:26">
      <c r="B86" s="41"/>
      <c r="C86" s="245"/>
      <c r="D86" s="245"/>
      <c r="E86" s="245"/>
      <c r="F86" s="245"/>
      <c r="G86" s="245"/>
      <c r="H86" s="245"/>
      <c r="I86" s="5"/>
      <c r="J86" s="245"/>
      <c r="K86" s="245"/>
      <c r="L86" s="245"/>
      <c r="M86" s="245"/>
      <c r="N86" s="245"/>
      <c r="O86" s="251"/>
      <c r="Q86" s="5"/>
      <c r="R86" s="5"/>
      <c r="S86" s="5"/>
    </row>
    <row r="87" spans="2:26">
      <c r="B87" s="5"/>
      <c r="C87" s="5"/>
      <c r="D87" s="248"/>
      <c r="E87" s="248"/>
      <c r="F87" s="248"/>
      <c r="G87" s="248"/>
      <c r="H87" s="248"/>
      <c r="I87" s="5"/>
      <c r="J87" s="248"/>
      <c r="K87" s="248"/>
      <c r="L87" s="248"/>
      <c r="M87" s="248"/>
      <c r="N87" s="248"/>
      <c r="O87" s="5"/>
      <c r="Q87" s="5"/>
      <c r="R87" s="5"/>
      <c r="S87" s="5"/>
    </row>
    <row r="88" spans="2:26">
      <c r="B88" s="41"/>
      <c r="C88" s="5"/>
      <c r="D88" s="5"/>
      <c r="E88" s="5"/>
      <c r="F88" s="5"/>
      <c r="G88" s="5"/>
      <c r="H88" s="5"/>
      <c r="I88" s="5"/>
      <c r="J88" s="5"/>
      <c r="K88" s="5"/>
      <c r="L88" s="5"/>
      <c r="M88" s="5"/>
      <c r="N88" s="5"/>
      <c r="O88" s="5"/>
      <c r="Q88" s="5"/>
      <c r="R88" s="5"/>
      <c r="S88" s="5"/>
    </row>
    <row r="89" spans="2:26">
      <c r="B89" s="41"/>
      <c r="C89" s="5"/>
      <c r="D89" s="5"/>
      <c r="E89" s="5"/>
      <c r="F89" s="5"/>
      <c r="G89" s="5"/>
      <c r="H89" s="5"/>
      <c r="I89" s="5"/>
      <c r="J89" s="5"/>
      <c r="K89" s="5"/>
      <c r="L89" s="5"/>
      <c r="M89" s="5"/>
      <c r="N89" s="5"/>
      <c r="O89" s="5"/>
      <c r="Q89" s="5"/>
      <c r="R89" s="5"/>
      <c r="S89" s="5"/>
    </row>
    <row r="90" spans="2:26">
      <c r="B90" s="41"/>
      <c r="C90" s="5"/>
      <c r="D90" s="5"/>
      <c r="E90" s="5"/>
      <c r="F90" s="5"/>
      <c r="G90" s="5"/>
      <c r="H90" s="5"/>
      <c r="I90" s="49"/>
      <c r="J90" s="5"/>
      <c r="K90" s="5"/>
      <c r="L90" s="5"/>
      <c r="M90" s="5"/>
      <c r="N90" s="5"/>
      <c r="O90" s="5"/>
      <c r="Q90" s="41"/>
      <c r="R90" s="5"/>
      <c r="S90" s="5"/>
    </row>
    <row r="91" spans="2:26">
      <c r="B91" s="5"/>
      <c r="C91" s="5"/>
      <c r="D91" s="5"/>
      <c r="E91" s="5"/>
      <c r="F91" s="5"/>
      <c r="G91" s="5"/>
      <c r="H91" s="5"/>
      <c r="I91" s="5"/>
      <c r="J91" s="5"/>
      <c r="K91" s="5"/>
      <c r="L91" s="5"/>
      <c r="M91" s="5"/>
      <c r="N91" s="5"/>
      <c r="O91" s="5"/>
      <c r="Q91" s="5"/>
      <c r="R91" s="5"/>
      <c r="S91" s="5"/>
    </row>
    <row r="92" spans="2:26">
      <c r="B92" s="41"/>
      <c r="C92" s="49"/>
      <c r="D92" s="49"/>
      <c r="E92" s="49"/>
      <c r="F92" s="49"/>
      <c r="G92" s="49"/>
      <c r="H92" s="49"/>
      <c r="I92" s="247"/>
      <c r="J92" s="49"/>
      <c r="K92" s="49"/>
      <c r="L92" s="49"/>
      <c r="M92" s="49"/>
      <c r="N92" s="49"/>
      <c r="O92" s="49"/>
      <c r="Q92" s="5"/>
      <c r="R92" s="5"/>
      <c r="S92" s="5"/>
      <c r="W92" s="21"/>
      <c r="X92" s="21"/>
    </row>
    <row r="93" spans="2:26">
      <c r="B93" s="5"/>
      <c r="C93" s="5"/>
      <c r="D93" s="5"/>
      <c r="E93" s="5"/>
      <c r="F93" s="5"/>
      <c r="G93" s="5"/>
      <c r="H93" s="5"/>
      <c r="I93" s="247"/>
      <c r="J93" s="5"/>
      <c r="K93" s="5"/>
      <c r="L93" s="5"/>
      <c r="M93" s="5"/>
      <c r="N93" s="5"/>
      <c r="O93" s="5"/>
      <c r="Q93" s="5"/>
      <c r="R93" s="5"/>
      <c r="S93" s="5"/>
      <c r="W93" s="21"/>
      <c r="X93" s="21"/>
      <c r="Y93" s="21"/>
      <c r="Z93" s="21"/>
    </row>
    <row r="94" spans="2:26">
      <c r="B94" s="5"/>
      <c r="C94" s="259"/>
      <c r="D94" s="247"/>
      <c r="E94" s="247"/>
      <c r="F94" s="247"/>
      <c r="G94" s="247"/>
      <c r="H94" s="247"/>
      <c r="I94" s="247"/>
      <c r="J94" s="247"/>
      <c r="K94" s="247"/>
      <c r="L94" s="247"/>
      <c r="M94" s="247"/>
      <c r="N94" s="247"/>
      <c r="O94" s="248"/>
      <c r="Q94" s="5"/>
      <c r="R94" s="5"/>
      <c r="S94" s="5"/>
      <c r="Y94" s="21"/>
      <c r="Z94" s="21"/>
    </row>
    <row r="95" spans="2:26">
      <c r="B95" s="5"/>
      <c r="C95" s="259"/>
      <c r="D95" s="247"/>
      <c r="E95" s="247"/>
      <c r="F95" s="247"/>
      <c r="G95" s="247"/>
      <c r="H95" s="247"/>
      <c r="I95" s="248"/>
      <c r="J95" s="247"/>
      <c r="K95" s="247"/>
      <c r="L95" s="247"/>
      <c r="M95" s="247"/>
      <c r="N95" s="247"/>
      <c r="O95" s="248"/>
      <c r="Q95" s="5"/>
      <c r="R95" s="5"/>
      <c r="S95" s="5"/>
    </row>
    <row r="96" spans="2:26">
      <c r="B96" s="5"/>
      <c r="C96" s="259"/>
      <c r="D96" s="247"/>
      <c r="E96" s="247"/>
      <c r="F96" s="247"/>
      <c r="G96" s="247"/>
      <c r="H96" s="247"/>
      <c r="I96" s="247"/>
      <c r="J96" s="247"/>
      <c r="K96" s="247"/>
      <c r="L96" s="247"/>
      <c r="M96" s="247"/>
      <c r="N96" s="247"/>
      <c r="O96" s="248"/>
      <c r="Q96" s="5"/>
      <c r="R96" s="5"/>
      <c r="S96" s="5"/>
    </row>
    <row r="97" spans="2:19">
      <c r="B97" s="5"/>
      <c r="C97" s="259"/>
      <c r="D97" s="248"/>
      <c r="E97" s="248"/>
      <c r="F97" s="248"/>
      <c r="G97" s="248"/>
      <c r="H97" s="248"/>
      <c r="I97" s="249"/>
      <c r="J97" s="248"/>
      <c r="K97" s="248"/>
      <c r="L97" s="248"/>
      <c r="M97" s="248"/>
      <c r="N97" s="248"/>
      <c r="O97" s="248"/>
      <c r="Q97" s="5"/>
      <c r="R97" s="5"/>
      <c r="S97" s="5"/>
    </row>
    <row r="98" spans="2:19">
      <c r="B98" s="5"/>
      <c r="C98" s="259"/>
      <c r="D98" s="247"/>
      <c r="E98" s="247"/>
      <c r="F98" s="247"/>
      <c r="G98" s="247"/>
      <c r="H98" s="247"/>
      <c r="I98" s="248"/>
      <c r="J98" s="247"/>
      <c r="K98" s="247"/>
      <c r="L98" s="247"/>
      <c r="M98" s="247"/>
      <c r="N98" s="247"/>
      <c r="O98" s="248"/>
      <c r="Q98" s="5"/>
      <c r="R98" s="5"/>
      <c r="S98" s="5"/>
    </row>
    <row r="99" spans="2:19">
      <c r="B99" s="41"/>
      <c r="C99" s="249"/>
      <c r="D99" s="249"/>
      <c r="E99" s="249"/>
      <c r="F99" s="249"/>
      <c r="G99" s="249"/>
      <c r="H99" s="249"/>
      <c r="I99" s="5"/>
      <c r="J99" s="249"/>
      <c r="K99" s="249"/>
      <c r="L99" s="249"/>
      <c r="M99" s="249"/>
      <c r="N99" s="249"/>
      <c r="O99" s="248"/>
      <c r="Q99" s="5"/>
      <c r="R99" s="5"/>
      <c r="S99" s="5"/>
    </row>
    <row r="100" spans="2:19">
      <c r="B100" s="41"/>
      <c r="C100" s="257"/>
      <c r="D100" s="248"/>
      <c r="E100" s="248"/>
      <c r="F100" s="248"/>
      <c r="G100" s="248"/>
      <c r="H100" s="248"/>
      <c r="I100" s="259"/>
      <c r="J100" s="248"/>
      <c r="K100" s="248"/>
      <c r="L100" s="248"/>
      <c r="M100" s="248"/>
      <c r="N100" s="248"/>
      <c r="O100" s="248"/>
      <c r="Q100" s="5"/>
      <c r="R100" s="5"/>
      <c r="S100" s="5"/>
    </row>
    <row r="101" spans="2:19" s="5" customFormat="1">
      <c r="B101" s="41"/>
      <c r="I101" s="259"/>
      <c r="O101" s="248"/>
      <c r="P101" s="39"/>
    </row>
    <row r="102" spans="2:19">
      <c r="B102" s="5"/>
      <c r="C102" s="259"/>
      <c r="D102" s="259"/>
      <c r="E102" s="259"/>
      <c r="F102" s="259"/>
      <c r="G102" s="259"/>
      <c r="H102" s="259"/>
      <c r="I102" s="247"/>
      <c r="J102" s="259"/>
      <c r="K102" s="259"/>
      <c r="L102" s="259"/>
      <c r="M102" s="259"/>
      <c r="N102" s="259"/>
      <c r="O102" s="5"/>
      <c r="Q102" s="5"/>
      <c r="R102" s="5"/>
      <c r="S102" s="5"/>
    </row>
    <row r="103" spans="2:19">
      <c r="B103" s="5"/>
      <c r="C103" s="259"/>
      <c r="D103" s="259"/>
      <c r="E103" s="259"/>
      <c r="F103" s="259"/>
      <c r="G103" s="259"/>
      <c r="H103" s="259"/>
      <c r="I103" s="5"/>
      <c r="J103" s="259"/>
      <c r="K103" s="259"/>
      <c r="L103" s="259"/>
      <c r="M103" s="259"/>
      <c r="N103" s="259"/>
      <c r="O103" s="5"/>
      <c r="P103" s="5"/>
      <c r="Q103" s="5"/>
      <c r="R103" s="5"/>
      <c r="S103" s="5"/>
    </row>
    <row r="104" spans="2:19">
      <c r="B104" s="5"/>
      <c r="C104" s="247"/>
      <c r="D104" s="247"/>
      <c r="E104" s="247"/>
      <c r="F104" s="247"/>
      <c r="G104" s="247"/>
      <c r="H104" s="247"/>
      <c r="I104" s="247"/>
      <c r="J104" s="247"/>
      <c r="K104" s="247"/>
      <c r="L104" s="247"/>
      <c r="M104" s="247"/>
      <c r="N104" s="247"/>
      <c r="O104" s="5"/>
      <c r="Q104" s="5"/>
      <c r="R104" s="5"/>
      <c r="S104" s="5"/>
    </row>
    <row r="105" spans="2:19" s="5" customFormat="1">
      <c r="P105" s="39"/>
    </row>
    <row r="106" spans="2:19" s="5" customFormat="1">
      <c r="C106" s="259"/>
      <c r="D106" s="247"/>
      <c r="E106" s="247"/>
      <c r="F106" s="247"/>
      <c r="G106" s="247"/>
      <c r="H106" s="247"/>
      <c r="I106" s="259"/>
      <c r="J106" s="247"/>
      <c r="K106" s="247"/>
      <c r="L106" s="247"/>
      <c r="M106" s="247"/>
      <c r="N106" s="247"/>
      <c r="P106" s="39"/>
    </row>
    <row r="107" spans="2:19">
      <c r="B107" s="5"/>
      <c r="C107" s="259"/>
      <c r="D107" s="5"/>
      <c r="E107" s="5"/>
      <c r="F107" s="5"/>
      <c r="G107" s="5"/>
      <c r="H107" s="5"/>
      <c r="I107" s="247"/>
      <c r="J107" s="5"/>
      <c r="K107" s="5"/>
      <c r="L107" s="5"/>
      <c r="M107" s="5"/>
      <c r="N107" s="5"/>
      <c r="O107" s="5"/>
      <c r="P107" s="5"/>
      <c r="Q107" s="5"/>
      <c r="R107" s="5"/>
      <c r="S107" s="5"/>
    </row>
    <row r="108" spans="2:19">
      <c r="B108" s="5"/>
      <c r="C108" s="259"/>
      <c r="D108" s="259"/>
      <c r="E108" s="259"/>
      <c r="F108" s="259"/>
      <c r="G108" s="259"/>
      <c r="H108" s="259"/>
      <c r="I108" s="249"/>
      <c r="J108" s="259"/>
      <c r="K108" s="259"/>
      <c r="L108" s="259"/>
      <c r="M108" s="259"/>
      <c r="N108" s="259"/>
      <c r="O108" s="5"/>
      <c r="P108" s="5"/>
      <c r="Q108" s="5"/>
      <c r="R108" s="5"/>
      <c r="S108" s="5"/>
    </row>
    <row r="109" spans="2:19">
      <c r="B109" s="5"/>
      <c r="C109" s="247"/>
      <c r="D109" s="247"/>
      <c r="E109" s="247"/>
      <c r="F109" s="247"/>
      <c r="G109" s="247"/>
      <c r="H109" s="247"/>
      <c r="I109" s="249"/>
      <c r="J109" s="247"/>
      <c r="K109" s="247"/>
      <c r="L109" s="247"/>
      <c r="M109" s="247"/>
      <c r="N109" s="247"/>
      <c r="O109" s="5"/>
      <c r="Q109" s="5"/>
      <c r="R109" s="5"/>
      <c r="S109" s="5"/>
    </row>
    <row r="110" spans="2:19">
      <c r="B110" s="41"/>
      <c r="C110" s="249"/>
      <c r="D110" s="249"/>
      <c r="E110" s="249"/>
      <c r="F110" s="249"/>
      <c r="G110" s="249"/>
      <c r="H110" s="249"/>
      <c r="I110" s="247"/>
      <c r="J110" s="249"/>
      <c r="K110" s="249"/>
      <c r="L110" s="249"/>
      <c r="M110" s="249"/>
      <c r="N110" s="249"/>
      <c r="O110" s="5"/>
      <c r="Q110" s="5"/>
      <c r="R110" s="5"/>
      <c r="S110" s="5"/>
    </row>
    <row r="111" spans="2:19">
      <c r="B111" s="5"/>
      <c r="C111" s="249"/>
      <c r="D111" s="249"/>
      <c r="E111" s="249"/>
      <c r="F111" s="249"/>
      <c r="G111" s="249"/>
      <c r="H111" s="249"/>
      <c r="I111" s="5"/>
      <c r="J111" s="249"/>
      <c r="K111" s="249"/>
      <c r="L111" s="249"/>
      <c r="M111" s="249"/>
      <c r="N111" s="249"/>
      <c r="O111" s="5"/>
      <c r="Q111" s="5"/>
      <c r="R111" s="5"/>
      <c r="S111" s="5"/>
    </row>
    <row r="112" spans="2:19">
      <c r="B112" s="5"/>
      <c r="C112" s="247"/>
      <c r="D112" s="247"/>
      <c r="E112" s="247"/>
      <c r="F112" s="247"/>
      <c r="G112" s="247"/>
      <c r="H112" s="247"/>
      <c r="I112" s="5"/>
      <c r="J112" s="247"/>
      <c r="K112" s="247"/>
      <c r="L112" s="247"/>
      <c r="M112" s="247"/>
      <c r="N112" s="247"/>
      <c r="O112" s="5"/>
      <c r="Q112" s="5"/>
      <c r="R112" s="5"/>
      <c r="S112" s="5"/>
    </row>
    <row r="113" spans="2:19">
      <c r="B113" s="5"/>
      <c r="C113" s="5"/>
      <c r="D113" s="5"/>
      <c r="E113" s="5"/>
      <c r="F113" s="5"/>
      <c r="G113" s="5"/>
      <c r="H113" s="5"/>
      <c r="I113" s="5"/>
      <c r="J113" s="5"/>
      <c r="K113" s="5"/>
      <c r="L113" s="5"/>
      <c r="M113" s="5"/>
      <c r="N113" s="5"/>
      <c r="O113" s="5"/>
      <c r="Q113" s="5"/>
      <c r="R113" s="5"/>
      <c r="S113" s="5"/>
    </row>
    <row r="114" spans="2:19">
      <c r="B114" s="5"/>
      <c r="C114" s="5"/>
      <c r="D114" s="5"/>
      <c r="E114" s="5"/>
      <c r="F114" s="5"/>
      <c r="G114" s="5"/>
      <c r="H114" s="5"/>
      <c r="I114" s="5"/>
      <c r="J114" s="5"/>
      <c r="K114" s="5"/>
      <c r="L114" s="5"/>
      <c r="M114" s="5"/>
      <c r="N114" s="5"/>
      <c r="O114" s="5"/>
      <c r="Q114" s="5"/>
      <c r="R114" s="5"/>
      <c r="S114" s="5"/>
    </row>
    <row r="115" spans="2:19">
      <c r="B115" s="5"/>
      <c r="C115" s="5"/>
      <c r="D115" s="5"/>
      <c r="E115" s="5"/>
      <c r="F115" s="5"/>
      <c r="G115" s="5"/>
      <c r="H115" s="5"/>
      <c r="I115" s="49"/>
      <c r="J115" s="5"/>
      <c r="K115" s="5"/>
      <c r="L115" s="5"/>
      <c r="M115" s="5"/>
      <c r="N115" s="5"/>
      <c r="O115" s="5"/>
      <c r="Q115" s="41"/>
      <c r="R115" s="5"/>
      <c r="S115" s="5"/>
    </row>
    <row r="116" spans="2:19">
      <c r="B116" s="5"/>
      <c r="C116" s="5"/>
      <c r="D116" s="5"/>
      <c r="E116" s="5"/>
      <c r="F116" s="5"/>
      <c r="G116" s="5"/>
      <c r="H116" s="5"/>
      <c r="I116" s="5"/>
      <c r="J116" s="5"/>
      <c r="K116" s="5"/>
      <c r="L116" s="5"/>
      <c r="M116" s="5"/>
      <c r="N116" s="5"/>
      <c r="O116" s="5"/>
      <c r="Q116" s="5"/>
      <c r="R116" s="5"/>
      <c r="S116" s="5"/>
    </row>
    <row r="117" spans="2:19">
      <c r="B117" s="41"/>
      <c r="C117" s="49"/>
      <c r="D117" s="49"/>
      <c r="E117" s="49"/>
      <c r="F117" s="49"/>
      <c r="G117" s="49"/>
      <c r="H117" s="49"/>
      <c r="I117" s="254"/>
      <c r="J117" s="49"/>
      <c r="K117" s="49"/>
      <c r="L117" s="49"/>
      <c r="M117" s="49"/>
      <c r="N117" s="49"/>
      <c r="O117" s="49"/>
      <c r="Q117" s="5"/>
      <c r="R117" s="5"/>
      <c r="S117" s="5"/>
    </row>
    <row r="118" spans="2:19">
      <c r="B118" s="5"/>
      <c r="C118" s="5"/>
      <c r="D118" s="5"/>
      <c r="E118" s="5"/>
      <c r="F118" s="5"/>
      <c r="G118" s="5"/>
      <c r="H118" s="5"/>
      <c r="I118" s="249"/>
      <c r="J118" s="5"/>
      <c r="K118" s="5"/>
      <c r="L118" s="5"/>
      <c r="M118" s="5"/>
      <c r="N118" s="5"/>
      <c r="O118" s="5"/>
      <c r="Q118" s="5"/>
      <c r="R118" s="5"/>
      <c r="S118" s="5"/>
    </row>
    <row r="119" spans="2:19">
      <c r="B119" s="41"/>
      <c r="C119" s="254"/>
      <c r="D119" s="254"/>
      <c r="E119" s="254"/>
      <c r="F119" s="254"/>
      <c r="G119" s="254"/>
      <c r="H119" s="254"/>
      <c r="I119" s="254"/>
      <c r="J119" s="254"/>
      <c r="K119" s="254"/>
      <c r="L119" s="254"/>
      <c r="M119" s="254"/>
      <c r="N119" s="254"/>
      <c r="O119" s="248"/>
      <c r="Q119" s="5"/>
      <c r="R119" s="5"/>
      <c r="S119" s="5"/>
    </row>
    <row r="120" spans="2:19">
      <c r="B120" s="41"/>
      <c r="C120" s="254"/>
      <c r="D120" s="249"/>
      <c r="E120" s="249"/>
      <c r="F120" s="249"/>
      <c r="G120" s="249"/>
      <c r="H120" s="249"/>
      <c r="I120" s="254"/>
      <c r="J120" s="249"/>
      <c r="K120" s="249"/>
      <c r="L120" s="249"/>
      <c r="M120" s="249"/>
      <c r="N120" s="249"/>
      <c r="O120" s="248"/>
      <c r="Q120" s="5"/>
      <c r="R120" s="5"/>
      <c r="S120" s="5"/>
    </row>
    <row r="121" spans="2:19">
      <c r="B121" s="41"/>
      <c r="C121" s="254"/>
      <c r="D121" s="254"/>
      <c r="E121" s="254"/>
      <c r="F121" s="254"/>
      <c r="G121" s="254"/>
      <c r="H121" s="254"/>
      <c r="I121" s="254"/>
      <c r="J121" s="254"/>
      <c r="K121" s="254"/>
      <c r="L121" s="254"/>
      <c r="M121" s="254"/>
      <c r="N121" s="254"/>
      <c r="O121" s="248"/>
      <c r="Q121" s="5"/>
      <c r="R121" s="5"/>
      <c r="S121" s="5"/>
    </row>
    <row r="122" spans="2:19">
      <c r="B122" s="41"/>
      <c r="C122" s="254"/>
      <c r="D122" s="254"/>
      <c r="E122" s="254"/>
      <c r="F122" s="254"/>
      <c r="G122" s="254"/>
      <c r="H122" s="254"/>
      <c r="I122" s="254"/>
      <c r="J122" s="254"/>
      <c r="K122" s="254"/>
      <c r="L122" s="254"/>
      <c r="M122" s="254"/>
      <c r="N122" s="254"/>
      <c r="O122" s="248"/>
      <c r="Q122" s="5"/>
      <c r="R122" s="5"/>
      <c r="S122" s="5"/>
    </row>
    <row r="123" spans="2:19">
      <c r="B123" s="41"/>
      <c r="C123" s="254"/>
      <c r="D123" s="254"/>
      <c r="E123" s="254"/>
      <c r="F123" s="254"/>
      <c r="G123" s="254"/>
      <c r="H123" s="254"/>
      <c r="I123" s="254"/>
      <c r="J123" s="254"/>
      <c r="K123" s="254"/>
      <c r="L123" s="254"/>
      <c r="M123" s="254"/>
      <c r="N123" s="254"/>
      <c r="O123" s="248"/>
      <c r="Q123" s="5"/>
      <c r="R123" s="5"/>
      <c r="S123" s="5"/>
    </row>
    <row r="124" spans="2:19">
      <c r="B124" s="41"/>
      <c r="C124" s="254"/>
      <c r="D124" s="254"/>
      <c r="E124" s="254"/>
      <c r="F124" s="254"/>
      <c r="G124" s="254"/>
      <c r="H124" s="254"/>
      <c r="I124" s="254"/>
      <c r="J124" s="254"/>
      <c r="K124" s="254"/>
      <c r="L124" s="254"/>
      <c r="M124" s="254"/>
      <c r="N124" s="254"/>
      <c r="O124" s="248"/>
      <c r="Q124" s="5"/>
      <c r="R124" s="5"/>
      <c r="S124" s="5"/>
    </row>
    <row r="125" spans="2:19">
      <c r="B125" s="41"/>
      <c r="C125" s="254"/>
      <c r="D125" s="254"/>
      <c r="E125" s="254"/>
      <c r="F125" s="254"/>
      <c r="G125" s="254"/>
      <c r="H125" s="254"/>
      <c r="I125" s="254"/>
      <c r="J125" s="254"/>
      <c r="K125" s="254"/>
      <c r="L125" s="254"/>
      <c r="M125" s="254"/>
      <c r="N125" s="254"/>
      <c r="O125" s="5"/>
      <c r="Q125" s="5"/>
      <c r="R125" s="5"/>
      <c r="S125" s="5"/>
    </row>
    <row r="126" spans="2:19">
      <c r="B126" s="41"/>
      <c r="C126" s="254"/>
      <c r="D126" s="254"/>
      <c r="E126" s="254"/>
      <c r="F126" s="254"/>
      <c r="G126" s="254"/>
      <c r="H126" s="254"/>
      <c r="I126" s="254"/>
      <c r="J126" s="254"/>
      <c r="K126" s="254"/>
      <c r="L126" s="254"/>
      <c r="M126" s="254"/>
      <c r="N126" s="254"/>
      <c r="O126" s="5"/>
      <c r="Q126" s="5"/>
      <c r="R126" s="5"/>
      <c r="S126" s="5"/>
    </row>
    <row r="127" spans="2:19">
      <c r="B127" s="41"/>
      <c r="C127" s="254"/>
      <c r="D127" s="254"/>
      <c r="E127" s="254"/>
      <c r="F127" s="254"/>
      <c r="G127" s="254"/>
      <c r="H127" s="254"/>
      <c r="I127" s="18"/>
      <c r="J127" s="254"/>
      <c r="K127" s="254"/>
      <c r="L127" s="254"/>
      <c r="M127" s="254"/>
      <c r="N127" s="254"/>
      <c r="O127" s="5"/>
      <c r="Q127" s="5"/>
      <c r="R127" s="5"/>
      <c r="S127" s="5"/>
    </row>
    <row r="128" spans="2:19">
      <c r="B128" s="41"/>
      <c r="C128" s="254"/>
      <c r="D128" s="254"/>
      <c r="E128" s="254"/>
      <c r="F128" s="254"/>
      <c r="G128" s="254"/>
      <c r="H128" s="254"/>
      <c r="I128" s="5"/>
      <c r="J128" s="254"/>
      <c r="K128" s="254"/>
      <c r="L128" s="254"/>
      <c r="M128" s="254"/>
      <c r="N128" s="254"/>
      <c r="O128" s="5"/>
      <c r="Q128" s="5"/>
      <c r="R128" s="5"/>
      <c r="S128" s="5"/>
    </row>
    <row r="129" spans="2:27">
      <c r="B129" s="5"/>
      <c r="C129" s="5"/>
      <c r="D129" s="18"/>
      <c r="E129" s="18"/>
      <c r="F129" s="18"/>
      <c r="G129" s="18"/>
      <c r="H129" s="18"/>
      <c r="I129" s="254"/>
      <c r="J129" s="18"/>
      <c r="K129" s="18"/>
      <c r="L129" s="18"/>
      <c r="M129" s="18"/>
      <c r="N129" s="18"/>
      <c r="O129" s="5"/>
      <c r="Q129" s="5"/>
      <c r="R129" s="5"/>
      <c r="S129" s="5"/>
    </row>
    <row r="130" spans="2:27">
      <c r="B130" s="5"/>
      <c r="C130" s="5"/>
      <c r="D130" s="5"/>
      <c r="E130" s="5"/>
      <c r="F130" s="5"/>
      <c r="G130" s="5"/>
      <c r="H130" s="5"/>
      <c r="I130" s="18"/>
      <c r="J130" s="5"/>
      <c r="K130" s="5"/>
      <c r="L130" s="5"/>
      <c r="M130" s="5"/>
      <c r="N130" s="5"/>
      <c r="O130" s="5"/>
      <c r="Q130" s="5"/>
      <c r="R130" s="5"/>
      <c r="S130" s="5"/>
    </row>
    <row r="131" spans="2:27">
      <c r="B131" s="41"/>
      <c r="C131" s="254"/>
      <c r="D131" s="254"/>
      <c r="E131" s="254"/>
      <c r="F131" s="254"/>
      <c r="G131" s="254"/>
      <c r="H131" s="254"/>
      <c r="I131" s="5"/>
      <c r="J131" s="254"/>
      <c r="K131" s="254"/>
      <c r="L131" s="254"/>
      <c r="M131" s="254"/>
      <c r="N131" s="254"/>
      <c r="O131" s="5"/>
      <c r="Q131" s="5"/>
      <c r="R131" s="5"/>
      <c r="S131" s="5"/>
    </row>
    <row r="132" spans="2:27">
      <c r="B132" s="5"/>
      <c r="C132" s="259"/>
      <c r="D132" s="18"/>
      <c r="E132" s="18"/>
      <c r="F132" s="18"/>
      <c r="G132" s="18"/>
      <c r="H132" s="18"/>
      <c r="I132" s="5"/>
      <c r="J132" s="18"/>
      <c r="K132" s="18"/>
      <c r="L132" s="18"/>
      <c r="M132" s="18"/>
      <c r="N132" s="18"/>
      <c r="O132" s="5"/>
      <c r="Q132" s="5"/>
      <c r="R132" s="5"/>
      <c r="S132" s="5"/>
    </row>
    <row r="133" spans="2:27">
      <c r="B133" s="5"/>
      <c r="C133" s="5"/>
      <c r="D133" s="5"/>
      <c r="E133" s="5"/>
      <c r="F133" s="5"/>
      <c r="G133" s="5"/>
      <c r="H133" s="5"/>
      <c r="I133" s="17"/>
      <c r="J133" s="5"/>
      <c r="K133" s="5"/>
      <c r="L133" s="5"/>
      <c r="M133" s="5"/>
      <c r="N133" s="5"/>
      <c r="O133" s="5"/>
      <c r="Q133" s="5"/>
      <c r="R133" s="5"/>
      <c r="S133" s="5"/>
    </row>
    <row r="134" spans="2:27">
      <c r="B134" s="41"/>
      <c r="C134" s="5"/>
      <c r="D134" s="5"/>
      <c r="E134" s="5"/>
      <c r="F134" s="5"/>
      <c r="G134" s="5"/>
      <c r="H134" s="5"/>
      <c r="I134" s="17"/>
      <c r="J134" s="5"/>
      <c r="K134" s="5"/>
      <c r="L134" s="5"/>
      <c r="M134" s="5"/>
      <c r="N134" s="5"/>
      <c r="O134" s="5"/>
      <c r="Q134" s="5"/>
      <c r="R134" s="5"/>
      <c r="S134" s="5"/>
    </row>
    <row r="135" spans="2:27">
      <c r="B135" s="5"/>
      <c r="C135" s="17"/>
      <c r="D135" s="17"/>
      <c r="E135" s="17"/>
      <c r="F135" s="17"/>
      <c r="G135" s="17"/>
      <c r="H135" s="17"/>
      <c r="I135" s="17"/>
      <c r="J135" s="17"/>
      <c r="K135" s="17"/>
      <c r="L135" s="17"/>
      <c r="M135" s="17"/>
      <c r="N135" s="17"/>
      <c r="O135" s="5"/>
      <c r="Q135" s="41"/>
      <c r="R135" s="5"/>
      <c r="S135" s="5"/>
    </row>
    <row r="136" spans="2:27">
      <c r="B136" s="5"/>
      <c r="C136" s="17"/>
      <c r="D136" s="17"/>
      <c r="E136" s="17"/>
      <c r="F136" s="17"/>
      <c r="G136" s="17"/>
      <c r="H136" s="17"/>
      <c r="I136" s="17"/>
      <c r="J136" s="17"/>
      <c r="K136" s="17"/>
      <c r="L136" s="17"/>
      <c r="M136" s="17"/>
      <c r="N136" s="17"/>
      <c r="O136" s="5"/>
      <c r="Q136" s="5"/>
      <c r="R136" s="5"/>
      <c r="S136" s="5"/>
      <c r="X136" s="304"/>
    </row>
    <row r="137" spans="2:27">
      <c r="B137" s="5"/>
      <c r="C137" s="5"/>
      <c r="D137" s="17"/>
      <c r="E137" s="17"/>
      <c r="F137" s="17"/>
      <c r="G137" s="17"/>
      <c r="H137" s="17"/>
      <c r="I137" s="17"/>
      <c r="J137" s="17"/>
      <c r="K137" s="17"/>
      <c r="L137" s="17"/>
      <c r="M137" s="17"/>
      <c r="N137" s="17"/>
      <c r="O137" s="5"/>
      <c r="Q137" s="5"/>
      <c r="R137" s="5"/>
      <c r="S137" s="5"/>
      <c r="X137" s="10"/>
      <c r="Y137" s="304"/>
      <c r="Z137" s="304"/>
      <c r="AA137" s="304"/>
    </row>
    <row r="138" spans="2:27">
      <c r="B138" s="5"/>
      <c r="C138" s="5"/>
      <c r="D138" s="17"/>
      <c r="E138" s="17"/>
      <c r="F138" s="17"/>
      <c r="G138" s="17"/>
      <c r="H138" s="17"/>
      <c r="I138" s="17"/>
      <c r="J138" s="17"/>
      <c r="K138" s="17"/>
      <c r="L138" s="17"/>
      <c r="M138" s="17"/>
      <c r="N138" s="17"/>
      <c r="O138" s="5"/>
      <c r="Q138" s="5"/>
      <c r="R138" s="5"/>
      <c r="S138" s="5"/>
      <c r="Y138" s="10"/>
      <c r="Z138" s="10"/>
      <c r="AA138" s="10"/>
    </row>
    <row r="139" spans="2:27">
      <c r="B139" s="5"/>
      <c r="C139" s="5"/>
      <c r="D139" s="17"/>
      <c r="E139" s="17"/>
      <c r="F139" s="17"/>
      <c r="G139" s="17"/>
      <c r="H139" s="17"/>
      <c r="I139" s="5"/>
      <c r="J139" s="17"/>
      <c r="K139" s="17"/>
      <c r="L139" s="17"/>
      <c r="M139" s="17"/>
      <c r="N139" s="17"/>
      <c r="O139" s="5"/>
      <c r="Q139" s="5"/>
      <c r="R139" s="5"/>
      <c r="S139" s="5"/>
    </row>
    <row r="140" spans="2:27">
      <c r="B140" s="5"/>
      <c r="C140" s="17"/>
      <c r="D140" s="17"/>
      <c r="E140" s="17"/>
      <c r="F140" s="17"/>
      <c r="G140" s="17"/>
      <c r="H140" s="17"/>
      <c r="I140" s="5"/>
      <c r="J140" s="17"/>
      <c r="K140" s="17"/>
      <c r="L140" s="17"/>
      <c r="M140" s="17"/>
      <c r="N140" s="17"/>
      <c r="O140" s="5"/>
      <c r="Q140" s="5"/>
      <c r="R140" s="5"/>
      <c r="S140" s="5"/>
    </row>
    <row r="141" spans="2:27">
      <c r="B141" s="5"/>
      <c r="C141" s="5"/>
      <c r="D141" s="5"/>
      <c r="E141" s="5"/>
      <c r="F141" s="5"/>
      <c r="G141" s="5"/>
      <c r="H141" s="5"/>
      <c r="I141" s="5"/>
      <c r="J141" s="5"/>
      <c r="K141" s="5"/>
      <c r="L141" s="5"/>
      <c r="M141" s="5"/>
      <c r="N141" s="5"/>
      <c r="O141" s="5"/>
      <c r="Q141" s="5"/>
      <c r="R141" s="5"/>
      <c r="S141" s="5"/>
    </row>
    <row r="142" spans="2:27">
      <c r="B142" s="5"/>
      <c r="C142" s="5"/>
      <c r="D142" s="5"/>
      <c r="E142" s="5"/>
      <c r="F142" s="5"/>
      <c r="G142" s="5"/>
      <c r="H142" s="5"/>
      <c r="I142" s="5"/>
      <c r="J142" s="5"/>
      <c r="K142" s="5"/>
      <c r="L142" s="5"/>
      <c r="M142" s="5"/>
      <c r="N142" s="5"/>
      <c r="O142" s="5"/>
      <c r="Q142" s="5"/>
      <c r="R142" s="5"/>
      <c r="S142" s="5"/>
    </row>
    <row r="143" spans="2:27">
      <c r="B143" s="5"/>
      <c r="C143" s="5"/>
      <c r="D143" s="5"/>
      <c r="E143" s="5"/>
      <c r="F143" s="5"/>
      <c r="G143" s="5"/>
      <c r="H143" s="5"/>
      <c r="I143" s="5"/>
      <c r="J143" s="5"/>
      <c r="K143" s="5"/>
      <c r="L143" s="5"/>
      <c r="M143" s="5"/>
      <c r="N143" s="5"/>
      <c r="O143" s="5"/>
      <c r="Q143" s="5"/>
      <c r="R143" s="5"/>
      <c r="S143" s="5"/>
    </row>
    <row r="144" spans="2:27">
      <c r="B144" s="5"/>
      <c r="C144" s="5"/>
      <c r="D144" s="5"/>
      <c r="E144" s="5"/>
      <c r="F144" s="5"/>
      <c r="G144" s="5"/>
      <c r="H144" s="5"/>
      <c r="I144" s="5"/>
      <c r="J144" s="5"/>
      <c r="K144" s="5"/>
      <c r="L144" s="5"/>
      <c r="M144" s="5"/>
      <c r="N144" s="5"/>
      <c r="O144" s="5"/>
      <c r="Q144" s="5"/>
      <c r="R144" s="5"/>
      <c r="S144" s="5"/>
    </row>
    <row r="145" spans="2:19">
      <c r="B145" s="5"/>
      <c r="C145" s="5"/>
      <c r="D145" s="5"/>
      <c r="E145" s="5"/>
      <c r="F145" s="5"/>
      <c r="G145" s="5"/>
      <c r="H145" s="5"/>
      <c r="I145" s="5"/>
      <c r="J145" s="5"/>
      <c r="K145" s="5"/>
      <c r="L145" s="5"/>
      <c r="M145" s="5"/>
      <c r="N145" s="5"/>
      <c r="O145" s="5"/>
      <c r="Q145" s="5"/>
      <c r="R145" s="5"/>
      <c r="S145" s="5"/>
    </row>
    <row r="146" spans="2:19">
      <c r="B146" s="5"/>
      <c r="C146" s="5"/>
      <c r="D146" s="5"/>
      <c r="E146" s="5"/>
      <c r="F146" s="5"/>
      <c r="G146" s="5"/>
      <c r="H146" s="5"/>
      <c r="I146" s="5"/>
      <c r="J146" s="5"/>
      <c r="K146" s="5"/>
      <c r="L146" s="5"/>
      <c r="M146" s="5"/>
      <c r="N146" s="5"/>
      <c r="O146" s="5"/>
      <c r="Q146" s="5"/>
      <c r="R146" s="5"/>
      <c r="S146" s="5"/>
    </row>
    <row r="147" spans="2:19">
      <c r="B147" s="5"/>
      <c r="C147" s="5"/>
      <c r="D147" s="5"/>
      <c r="E147" s="5"/>
      <c r="F147" s="5"/>
      <c r="G147" s="5"/>
      <c r="H147" s="5"/>
      <c r="I147" s="5"/>
      <c r="J147" s="5"/>
      <c r="K147" s="5"/>
      <c r="L147" s="5"/>
      <c r="M147" s="5"/>
      <c r="N147" s="5"/>
      <c r="O147" s="5"/>
      <c r="Q147" s="5"/>
      <c r="R147" s="5"/>
      <c r="S147" s="5"/>
    </row>
    <row r="148" spans="2:19">
      <c r="B148" s="5"/>
      <c r="C148" s="5"/>
      <c r="D148" s="5"/>
      <c r="E148" s="5"/>
      <c r="F148" s="5"/>
      <c r="G148" s="5"/>
      <c r="H148" s="5"/>
      <c r="I148" s="5"/>
      <c r="J148" s="5"/>
      <c r="K148" s="5"/>
      <c r="L148" s="5"/>
      <c r="M148" s="5"/>
      <c r="N148" s="5"/>
      <c r="O148" s="5"/>
      <c r="Q148" s="5"/>
      <c r="R148" s="5"/>
      <c r="S148" s="5"/>
    </row>
    <row r="149" spans="2:19">
      <c r="B149" s="5"/>
      <c r="C149" s="5"/>
      <c r="D149" s="5"/>
      <c r="E149" s="5"/>
      <c r="F149" s="5"/>
      <c r="G149" s="5"/>
      <c r="H149" s="5"/>
      <c r="J149" s="5"/>
      <c r="K149" s="5"/>
      <c r="L149" s="5"/>
      <c r="M149" s="5"/>
      <c r="N149" s="5"/>
      <c r="O149" s="5"/>
      <c r="Q149" s="5"/>
      <c r="R149" s="5"/>
      <c r="S149" s="5"/>
    </row>
    <row r="150" spans="2:19">
      <c r="B150" s="5"/>
      <c r="C150" s="5"/>
      <c r="D150" s="5"/>
      <c r="E150" s="5"/>
      <c r="F150" s="5"/>
      <c r="G150" s="5"/>
      <c r="H150" s="5"/>
      <c r="J150" s="5"/>
      <c r="K150" s="5"/>
      <c r="L150" s="5"/>
      <c r="M150" s="5"/>
      <c r="N150" s="5"/>
      <c r="O150" s="5"/>
      <c r="Q150" s="5"/>
      <c r="R150" s="5"/>
      <c r="S150" s="5"/>
    </row>
    <row r="151" spans="2:19">
      <c r="Q151" s="5"/>
      <c r="R151" s="5"/>
      <c r="S151" s="5"/>
    </row>
    <row r="152" spans="2:19">
      <c r="Q152" s="5"/>
      <c r="R152" s="5"/>
      <c r="S152" s="5"/>
    </row>
    <row r="153" spans="2:19">
      <c r="C153" s="263"/>
      <c r="Q153" s="5"/>
      <c r="R153" s="5"/>
      <c r="S153" s="5"/>
    </row>
    <row r="154" spans="2:19">
      <c r="Q154" s="5"/>
      <c r="R154" s="5"/>
      <c r="S154" s="5"/>
    </row>
    <row r="155" spans="2:19">
      <c r="Q155" s="5"/>
      <c r="R155" s="5"/>
      <c r="S155" s="5"/>
    </row>
    <row r="156" spans="2:19">
      <c r="Q156" s="5"/>
      <c r="R156" s="5"/>
      <c r="S156" s="5"/>
    </row>
    <row r="157" spans="2:19">
      <c r="Q157" s="5"/>
      <c r="R157" s="5"/>
      <c r="S157" s="5"/>
    </row>
    <row r="158" spans="2:19">
      <c r="Q158" s="5"/>
      <c r="R158" s="5"/>
      <c r="S158" s="5"/>
    </row>
    <row r="159" spans="2:19">
      <c r="Q159" s="5"/>
      <c r="R159" s="5"/>
      <c r="S159" s="5"/>
    </row>
    <row r="160" spans="2:19">
      <c r="Q160" s="5"/>
      <c r="R160" s="5"/>
      <c r="S160" s="5"/>
    </row>
    <row r="161" spans="17:19">
      <c r="Q161" s="5"/>
      <c r="R161" s="5"/>
      <c r="S161" s="5"/>
    </row>
    <row r="162" spans="17:19">
      <c r="Q162" s="5"/>
      <c r="R162" s="5"/>
      <c r="S162" s="5"/>
    </row>
    <row r="163" spans="17:19">
      <c r="Q163" s="5"/>
      <c r="R163" s="5"/>
      <c r="S163" s="5"/>
    </row>
    <row r="164" spans="17:19">
      <c r="Q164" s="5"/>
      <c r="R164" s="5"/>
      <c r="S164" s="5"/>
    </row>
    <row r="165" spans="17:19">
      <c r="Q165" s="5"/>
      <c r="R165" s="5"/>
      <c r="S165" s="5"/>
    </row>
  </sheetData>
  <phoneticPr fontId="7" type="noConversion"/>
  <pageMargins left="0.75" right="0.75" top="1" bottom="1" header="0.5" footer="0.5"/>
  <pageSetup scale="21" orientation="landscape" r:id="rId1"/>
  <headerFooter alignWithMargins="0"/>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Sheet166">
    <pageSetUpPr fitToPage="1"/>
  </sheetPr>
  <dimension ref="B1:AR165"/>
  <sheetViews>
    <sheetView showGridLines="0" zoomScale="80" zoomScaleNormal="80" workbookViewId="0"/>
  </sheetViews>
  <sheetFormatPr defaultColWidth="9.109375" defaultRowHeight="12"/>
  <cols>
    <col min="1" max="1" width="2.33203125" style="39" customWidth="1"/>
    <col min="2" max="2" width="26.5546875" style="39" customWidth="1"/>
    <col min="3" max="9" width="10" style="39" customWidth="1"/>
    <col min="10" max="10" width="26.6640625" style="39" customWidth="1"/>
    <col min="11" max="16" width="10" style="39" customWidth="1"/>
    <col min="17" max="19" width="8.6640625" style="39" customWidth="1"/>
    <col min="20" max="28" width="8.6640625" style="5" customWidth="1"/>
    <col min="29" max="44" width="9.109375" style="5"/>
    <col min="45" max="16384" width="9.109375" style="39"/>
  </cols>
  <sheetData>
    <row r="1" spans="2:44" s="312" customFormat="1">
      <c r="T1" s="149"/>
      <c r="U1" s="149"/>
      <c r="V1" s="149"/>
      <c r="W1" s="149"/>
      <c r="X1" s="149"/>
      <c r="Y1" s="149"/>
      <c r="Z1" s="149"/>
      <c r="AA1" s="149"/>
      <c r="AB1" s="149"/>
      <c r="AC1" s="149"/>
      <c r="AD1" s="149"/>
      <c r="AE1" s="149"/>
      <c r="AF1" s="149"/>
      <c r="AG1" s="149"/>
      <c r="AH1" s="149"/>
      <c r="AI1" s="149"/>
      <c r="AJ1" s="149"/>
      <c r="AK1" s="149"/>
      <c r="AL1" s="149"/>
      <c r="AM1" s="149"/>
      <c r="AN1" s="149"/>
      <c r="AO1" s="149"/>
      <c r="AP1" s="149"/>
      <c r="AQ1" s="149"/>
      <c r="AR1" s="149"/>
    </row>
    <row r="2" spans="2:44" s="149" customFormat="1"/>
    <row r="3" spans="2:44" s="149" customFormat="1">
      <c r="H3" s="153"/>
      <c r="P3" s="153"/>
    </row>
    <row r="4" spans="2:44" s="156" customFormat="1" ht="21">
      <c r="B4" s="129" t="s">
        <v>709</v>
      </c>
      <c r="H4" s="222"/>
      <c r="P4" s="222"/>
    </row>
    <row r="5" spans="2:44" s="149" customFormat="1">
      <c r="C5" s="153"/>
      <c r="D5" s="153" t="str" cm="1">
        <f t="array" ref="D5:H5">headings</f>
        <v>2023E</v>
      </c>
      <c r="E5" s="153" t="str">
        <v>2024E</v>
      </c>
      <c r="F5" s="153" t="str">
        <v>2025E</v>
      </c>
      <c r="G5" s="153" t="str">
        <v>2026E</v>
      </c>
      <c r="H5" s="153" t="str">
        <v>23E-26E</v>
      </c>
      <c r="I5" s="153"/>
      <c r="J5" s="153"/>
      <c r="K5" s="153"/>
      <c r="L5" s="153" t="str" cm="1">
        <f t="array" ref="L5:P5">headings</f>
        <v>2023E</v>
      </c>
      <c r="M5" s="153" t="str">
        <v>2024E</v>
      </c>
      <c r="N5" s="153" t="str">
        <v>2025E</v>
      </c>
      <c r="O5" s="153" t="str">
        <v>2026E</v>
      </c>
      <c r="P5" s="153" t="str">
        <v>23E-26E</v>
      </c>
      <c r="Q5" s="162"/>
      <c r="R5" s="162"/>
      <c r="S5" s="162"/>
      <c r="T5" s="162"/>
      <c r="U5" s="162"/>
      <c r="V5" s="162"/>
      <c r="W5" s="162"/>
      <c r="X5" s="162"/>
      <c r="Y5" s="162"/>
    </row>
    <row r="6" spans="2:44">
      <c r="I6" s="5"/>
      <c r="J6" s="5"/>
      <c r="K6" s="5"/>
      <c r="L6" s="5"/>
      <c r="M6" s="5"/>
      <c r="N6" s="5"/>
      <c r="O6" s="49"/>
    </row>
    <row r="7" spans="2:44" ht="12.6" thickBot="1">
      <c r="B7" s="306" t="s">
        <v>271</v>
      </c>
      <c r="C7" s="265"/>
      <c r="D7" s="265" t="str">
        <f>D5</f>
        <v>2023E</v>
      </c>
      <c r="E7" s="265" t="str">
        <f t="shared" ref="E7:H7" si="0">E5</f>
        <v>2024E</v>
      </c>
      <c r="F7" s="265" t="str">
        <f t="shared" si="0"/>
        <v>2025E</v>
      </c>
      <c r="G7" s="265" t="str">
        <f t="shared" si="0"/>
        <v>2026E</v>
      </c>
      <c r="H7" s="265" t="str">
        <f t="shared" si="0"/>
        <v>23E-26E</v>
      </c>
      <c r="I7" s="49"/>
      <c r="J7" s="306" t="s">
        <v>702</v>
      </c>
      <c r="K7" s="306"/>
      <c r="L7" s="265" t="str">
        <f>L5</f>
        <v>2023E</v>
      </c>
      <c r="M7" s="265" t="str">
        <f t="shared" ref="M7:P7" si="1">M5</f>
        <v>2024E</v>
      </c>
      <c r="N7" s="265" t="str">
        <f t="shared" si="1"/>
        <v>2025E</v>
      </c>
      <c r="O7" s="265" t="str">
        <f t="shared" si="1"/>
        <v>2026E</v>
      </c>
      <c r="P7" s="265" t="str">
        <f t="shared" si="1"/>
        <v>23E-26E</v>
      </c>
    </row>
    <row r="8" spans="2:44" ht="12.6" thickTop="1">
      <c r="I8" s="5"/>
      <c r="J8" s="5"/>
      <c r="K8" s="5"/>
      <c r="L8" s="5"/>
      <c r="M8" s="5"/>
      <c r="N8" s="5"/>
      <c r="S8" s="88"/>
      <c r="T8" s="42"/>
      <c r="U8" s="42"/>
      <c r="V8" s="42"/>
      <c r="W8" s="42"/>
      <c r="X8" s="42"/>
      <c r="Y8" s="42"/>
      <c r="Z8" s="42"/>
      <c r="AA8" s="42"/>
    </row>
    <row r="9" spans="2:44">
      <c r="B9" s="41" t="s">
        <v>15</v>
      </c>
      <c r="C9" s="287">
        <f>Prices!C53</f>
        <v>188.09</v>
      </c>
      <c r="D9" s="535">
        <v>0</v>
      </c>
      <c r="E9" s="536">
        <v>0</v>
      </c>
      <c r="F9" s="536">
        <v>0</v>
      </c>
      <c r="G9" s="536">
        <v>0</v>
      </c>
      <c r="H9" s="249"/>
      <c r="I9" s="249"/>
      <c r="J9" s="5" t="s">
        <v>273</v>
      </c>
      <c r="L9" s="529">
        <f>'US TOWERS'!D37</f>
        <v>10.049628801880935</v>
      </c>
      <c r="M9" s="529">
        <f>'US TOWERS'!E37</f>
        <v>9.7351031194405895</v>
      </c>
      <c r="N9" s="529">
        <f>'US TOWERS'!F37</f>
        <v>9.1333592657890534</v>
      </c>
      <c r="O9" s="529">
        <f>'US TOWERS'!G37</f>
        <v>8.5692328791541694</v>
      </c>
      <c r="P9" s="279">
        <f>'US TOWERS'!H37</f>
        <v>2.6157777948455641E-2</v>
      </c>
      <c r="S9" s="88"/>
      <c r="T9" s="42"/>
      <c r="U9" s="42"/>
      <c r="V9" s="42"/>
      <c r="W9" s="42"/>
      <c r="X9" s="42"/>
      <c r="Y9" s="42"/>
      <c r="Z9" s="42"/>
      <c r="AA9" s="42"/>
    </row>
    <row r="10" spans="2:44">
      <c r="B10" s="5" t="s">
        <v>274</v>
      </c>
      <c r="C10" s="5"/>
      <c r="D10" s="531">
        <v>128.88513875167186</v>
      </c>
      <c r="E10" s="531">
        <v>128.88513875167186</v>
      </c>
      <c r="F10" s="531">
        <v>128.88513875167186</v>
      </c>
      <c r="G10" s="531">
        <v>128.88513875167186</v>
      </c>
      <c r="H10" s="247"/>
      <c r="I10" s="247"/>
      <c r="J10" s="5" t="s">
        <v>184</v>
      </c>
      <c r="L10" s="529">
        <f>'US TOWERS'!D38</f>
        <v>15.736689477497261</v>
      </c>
      <c r="M10" s="529">
        <f>'US TOWERS'!E38</f>
        <v>15.269044129286291</v>
      </c>
      <c r="N10" s="529">
        <f>'US TOWERS'!F38</f>
        <v>14.30460796962047</v>
      </c>
      <c r="O10" s="529">
        <f>'US TOWERS'!G38</f>
        <v>13.247105771845881</v>
      </c>
      <c r="P10" s="279">
        <f>'US TOWERS'!H38</f>
        <v>3.0565437622663838E-2</v>
      </c>
      <c r="S10" s="88"/>
      <c r="T10" s="42"/>
      <c r="U10" s="42"/>
      <c r="V10" s="42"/>
      <c r="W10" s="288"/>
      <c r="X10" s="288"/>
      <c r="Y10" s="288"/>
      <c r="Z10" s="288"/>
      <c r="AA10" s="42"/>
    </row>
    <row r="11" spans="2:44">
      <c r="B11" s="41" t="s">
        <v>442</v>
      </c>
      <c r="C11" s="5"/>
      <c r="D11" s="532">
        <f>$C$9*D10</f>
        <v>24242.005747801959</v>
      </c>
      <c r="E11" s="532">
        <f>$C$9*E10</f>
        <v>24242.005747801959</v>
      </c>
      <c r="F11" s="532">
        <f>$C$9*F10</f>
        <v>24242.005747801959</v>
      </c>
      <c r="G11" s="532">
        <f>$C$9*G10</f>
        <v>24242.005747801959</v>
      </c>
      <c r="H11" s="249"/>
      <c r="I11" s="249"/>
      <c r="J11" s="5" t="s">
        <v>185</v>
      </c>
      <c r="L11" s="529">
        <f>'US TOWERS'!D39</f>
        <v>21.482219098117994</v>
      </c>
      <c r="M11" s="529">
        <f>'US TOWERS'!E39</f>
        <v>20.224913419292644</v>
      </c>
      <c r="N11" s="529">
        <f>'US TOWERS'!F39</f>
        <v>18.695415999878062</v>
      </c>
      <c r="O11" s="529">
        <f>'US TOWERS'!G39</f>
        <v>17.033255039378986</v>
      </c>
      <c r="P11" s="279">
        <f>'US TOWERS'!H39</f>
        <v>5.1328926157078847E-2</v>
      </c>
      <c r="S11" s="88"/>
      <c r="T11" s="42"/>
      <c r="U11" s="42"/>
      <c r="V11" s="42"/>
      <c r="W11" s="288"/>
      <c r="X11" s="288"/>
      <c r="Y11" s="288"/>
      <c r="Z11" s="288"/>
      <c r="AA11" s="42"/>
    </row>
    <row r="12" spans="2:44">
      <c r="B12" s="5" t="s">
        <v>24</v>
      </c>
      <c r="C12" s="249"/>
      <c r="D12" s="533">
        <v>8411.6080000000002</v>
      </c>
      <c r="E12" s="533">
        <v>8411.6080000000002</v>
      </c>
      <c r="F12" s="533">
        <v>8411.6080000000002</v>
      </c>
      <c r="G12" s="533">
        <v>8411.6080000000002</v>
      </c>
      <c r="H12" s="247"/>
      <c r="I12" s="247"/>
      <c r="J12" s="5" t="s">
        <v>466</v>
      </c>
      <c r="L12" s="529">
        <f>'US TOWERS'!D40</f>
        <v>23.869132331242216</v>
      </c>
      <c r="M12" s="529">
        <f>'US TOWERS'!E40</f>
        <v>22.472126021436274</v>
      </c>
      <c r="N12" s="529">
        <f>'US TOWERS'!F40</f>
        <v>20.772684444308958</v>
      </c>
      <c r="O12" s="529">
        <f>'US TOWERS'!G40</f>
        <v>18.92583893264332</v>
      </c>
      <c r="P12" s="279">
        <f>'US TOWERS'!H40</f>
        <v>5.1328926157078847E-2</v>
      </c>
      <c r="S12" s="88"/>
      <c r="T12" s="42"/>
      <c r="U12" s="42"/>
      <c r="V12" s="42"/>
      <c r="W12" s="288"/>
      <c r="X12" s="288"/>
      <c r="Y12" s="288"/>
      <c r="Z12" s="288"/>
      <c r="AA12" s="42"/>
    </row>
    <row r="13" spans="2:44">
      <c r="B13" s="5" t="s">
        <v>529</v>
      </c>
      <c r="C13" s="257"/>
      <c r="D13" s="533">
        <v>0</v>
      </c>
      <c r="E13" s="533">
        <v>0</v>
      </c>
      <c r="F13" s="533">
        <v>0</v>
      </c>
      <c r="G13" s="533">
        <v>0</v>
      </c>
      <c r="H13" s="247"/>
      <c r="I13" s="247"/>
      <c r="J13" s="5" t="s">
        <v>530</v>
      </c>
      <c r="L13" s="529">
        <f>'US TOWERS'!D41</f>
        <v>2.6552669895509275</v>
      </c>
      <c r="M13" s="529">
        <f>'US TOWERS'!E41</f>
        <v>3.0390215885874743</v>
      </c>
      <c r="N13" s="529">
        <f>'US TOWERS'!F41</f>
        <v>3.3873618764573186</v>
      </c>
      <c r="O13" s="529">
        <f>'US TOWERS'!G41</f>
        <v>3.856768018445595</v>
      </c>
      <c r="P13" s="279">
        <f>'US TOWERS'!H41</f>
        <v>-0.14077611221633957</v>
      </c>
      <c r="S13" s="88"/>
      <c r="T13" s="42"/>
      <c r="U13" s="42"/>
      <c r="V13" s="42"/>
      <c r="W13" s="42"/>
      <c r="X13" s="42"/>
      <c r="Y13" s="42"/>
      <c r="Z13" s="42"/>
      <c r="AA13" s="42"/>
    </row>
    <row r="14" spans="2:44">
      <c r="B14" s="5" t="s">
        <v>532</v>
      </c>
      <c r="C14" s="257"/>
      <c r="D14" s="533">
        <v>0</v>
      </c>
      <c r="E14" s="533">
        <v>0</v>
      </c>
      <c r="F14" s="533">
        <v>0</v>
      </c>
      <c r="G14" s="533">
        <v>0</v>
      </c>
      <c r="H14" s="247"/>
      <c r="I14" s="247"/>
      <c r="J14" s="5" t="s">
        <v>593</v>
      </c>
      <c r="L14" s="529">
        <f>'US TOWERS'!D42</f>
        <v>5.629030544483359</v>
      </c>
      <c r="M14" s="529">
        <f>'US TOWERS'!E42</f>
        <v>5.7413499241655757</v>
      </c>
      <c r="N14" s="529">
        <f>'US TOWERS'!F42</f>
        <v>5.6898129286182373</v>
      </c>
      <c r="O14" s="529">
        <f>'US TOWERS'!G42</f>
        <v>5.954156438061303</v>
      </c>
      <c r="P14" s="279">
        <f>'US TOWERS'!H42</f>
        <v>-4.4972440556020565E-2</v>
      </c>
      <c r="S14" s="88"/>
      <c r="T14" s="42"/>
      <c r="U14" s="42"/>
      <c r="V14" s="42"/>
      <c r="W14" s="42"/>
      <c r="X14" s="42"/>
      <c r="Y14" s="42"/>
      <c r="Z14" s="42"/>
      <c r="AA14" s="42"/>
    </row>
    <row r="15" spans="2:44">
      <c r="B15" s="5" t="s">
        <v>531</v>
      </c>
      <c r="C15" s="274"/>
      <c r="D15" s="533">
        <v>0</v>
      </c>
      <c r="E15" s="533">
        <v>0</v>
      </c>
      <c r="F15" s="533">
        <v>0</v>
      </c>
      <c r="G15" s="533">
        <v>0</v>
      </c>
      <c r="H15" s="247"/>
      <c r="I15" s="247"/>
      <c r="J15" s="5" t="s">
        <v>475</v>
      </c>
      <c r="L15" s="529">
        <f>'US TOWERS'!D43</f>
        <v>21.563312134699952</v>
      </c>
      <c r="M15" s="529">
        <f>'US TOWERS'!E43</f>
        <v>20.238721964226091</v>
      </c>
      <c r="N15" s="529">
        <f>'US TOWERS'!F43</f>
        <v>19.113054405118561</v>
      </c>
      <c r="O15" s="529">
        <f>'US TOWERS'!G43</f>
        <v>17.187842414839761</v>
      </c>
      <c r="P15" s="279">
        <f>'US TOWERS'!H43</f>
        <v>6.3471221095444452E-2</v>
      </c>
      <c r="S15" s="88"/>
      <c r="T15" s="42"/>
      <c r="U15" s="42"/>
      <c r="V15" s="42"/>
      <c r="W15" s="42"/>
      <c r="X15" s="42"/>
      <c r="Y15" s="42"/>
      <c r="Z15" s="42"/>
      <c r="AA15" s="42"/>
    </row>
    <row r="16" spans="2:44">
      <c r="B16" s="5" t="s">
        <v>534</v>
      </c>
      <c r="C16" s="257"/>
      <c r="D16" s="533">
        <v>0</v>
      </c>
      <c r="E16" s="533">
        <v>0</v>
      </c>
      <c r="F16" s="533">
        <v>0</v>
      </c>
      <c r="G16" s="533">
        <v>0</v>
      </c>
      <c r="H16" s="247"/>
      <c r="I16" s="247"/>
      <c r="J16" s="5" t="s">
        <v>533</v>
      </c>
      <c r="L16" s="529">
        <f>'US TOWERS'!D44</f>
        <v>29.749179976206118</v>
      </c>
      <c r="M16" s="529">
        <f>'US TOWERS'!E44</f>
        <v>27.588612434162371</v>
      </c>
      <c r="N16" s="529">
        <f>'US TOWERS'!F44</f>
        <v>25.011802504439171</v>
      </c>
      <c r="O16" s="529">
        <f>'US TOWERS'!G44</f>
        <v>21.118696321382231</v>
      </c>
      <c r="P16" s="279">
        <f>'US TOWERS'!H44</f>
        <v>0.1053428450222762</v>
      </c>
      <c r="S16" s="88"/>
      <c r="T16" s="42"/>
      <c r="U16" s="42"/>
      <c r="V16" s="42"/>
      <c r="W16" s="42"/>
      <c r="X16" s="42"/>
      <c r="Y16" s="42"/>
      <c r="Z16" s="42"/>
      <c r="AA16" s="42"/>
    </row>
    <row r="17" spans="2:27">
      <c r="B17" s="5" t="s">
        <v>6</v>
      </c>
      <c r="C17" s="257"/>
      <c r="D17" s="533">
        <v>528.55199756305979</v>
      </c>
      <c r="E17" s="533">
        <v>528.55199756305979</v>
      </c>
      <c r="F17" s="533">
        <v>528.55199756305979</v>
      </c>
      <c r="G17" s="533">
        <v>520.90143247519075</v>
      </c>
      <c r="H17" s="247"/>
      <c r="I17" s="247"/>
      <c r="J17" s="5" t="s">
        <v>580</v>
      </c>
      <c r="L17" s="529">
        <f>'US TOWERS'!D45</f>
        <v>3.9356420501378997E-2</v>
      </c>
      <c r="M17" s="529">
        <f>'US TOWERS'!E45</f>
        <v>5.6640235372662065E-2</v>
      </c>
      <c r="N17" s="529">
        <f>'US TOWERS'!F45</f>
        <v>6.0987888738166893E-2</v>
      </c>
      <c r="O17" s="529">
        <f>'US TOWERS'!G45</f>
        <v>6.5010714903985786E-2</v>
      </c>
      <c r="P17" s="279">
        <f>'US TOWERS'!H45</f>
        <v>0.16560344677482641</v>
      </c>
      <c r="S17" s="88"/>
      <c r="T17" s="42"/>
      <c r="U17" s="42"/>
      <c r="V17" s="42"/>
      <c r="W17" s="42"/>
      <c r="X17" s="42"/>
      <c r="Y17" s="42"/>
      <c r="Z17" s="42"/>
      <c r="AA17" s="42"/>
    </row>
    <row r="18" spans="2:27" ht="12.6" thickBot="1">
      <c r="B18" s="41" t="s">
        <v>518</v>
      </c>
      <c r="C18" s="249"/>
      <c r="D18" s="534">
        <f>D11+D12+D13-D14+D15-D16-D17</f>
        <v>32125.0617502389</v>
      </c>
      <c r="E18" s="534">
        <f>E11+E12+E13-E14+E15-E16-E17</f>
        <v>32125.0617502389</v>
      </c>
      <c r="F18" s="534">
        <f>F11+F12+F13-F14+F15-F16-F17</f>
        <v>32125.0617502389</v>
      </c>
      <c r="G18" s="534">
        <f>G11+G12+G13-G14+G15-G16-G17</f>
        <v>32132.712315326768</v>
      </c>
      <c r="H18" s="276">
        <f>IF(D18=0,"nm",IF(G18=0,"nm",(G18/D18)^(1/3)-1))</f>
        <v>7.9376841895628658E-5</v>
      </c>
      <c r="I18" s="254"/>
      <c r="J18" s="5" t="s">
        <v>36</v>
      </c>
      <c r="L18" s="529">
        <f>'US TOWERS'!D46</f>
        <v>3.5028279468803276E-2</v>
      </c>
      <c r="M18" s="529">
        <f>'US TOWERS'!E46</f>
        <v>0.10623594315908216</v>
      </c>
      <c r="N18" s="529">
        <f>'US TOWERS'!F46</f>
        <v>0.1048156411226375</v>
      </c>
      <c r="O18" s="529">
        <f>'US TOWERS'!G46</f>
        <v>0.11958787568615957</v>
      </c>
      <c r="P18" s="279">
        <f>'US TOWERS'!H46</f>
        <v>0.48474027103495088</v>
      </c>
      <c r="S18" s="88"/>
      <c r="T18" s="42"/>
      <c r="U18" s="42"/>
      <c r="V18" s="42"/>
      <c r="W18" s="42"/>
      <c r="X18" s="42"/>
      <c r="Y18" s="42"/>
      <c r="Z18" s="42"/>
      <c r="AA18" s="42"/>
    </row>
    <row r="19" spans="2:27" ht="12.6" thickTop="1">
      <c r="B19" s="41"/>
      <c r="C19" s="249"/>
      <c r="D19" s="229"/>
      <c r="E19" s="229"/>
      <c r="F19" s="229"/>
      <c r="G19" s="229"/>
      <c r="H19" s="276"/>
      <c r="I19" s="254"/>
      <c r="J19" s="5" t="s">
        <v>581</v>
      </c>
      <c r="L19" s="529">
        <f>'US TOWERS'!D47</f>
        <v>4.637506491364967E-2</v>
      </c>
      <c r="M19" s="529">
        <f>'US TOWERS'!E47</f>
        <v>4.9410234587322126E-2</v>
      </c>
      <c r="N19" s="529">
        <f>'US TOWERS'!F47</f>
        <v>5.2320261262490605E-2</v>
      </c>
      <c r="O19" s="529">
        <f>'US TOWERS'!G47</f>
        <v>5.8180659088229301E-2</v>
      </c>
      <c r="P19" s="279">
        <f>'US TOWERS'!H47</f>
        <v>6.3471221095444452E-2</v>
      </c>
      <c r="S19" s="88"/>
      <c r="T19" s="42"/>
      <c r="U19" s="42"/>
      <c r="V19" s="42"/>
      <c r="W19" s="42"/>
      <c r="X19" s="42"/>
      <c r="Y19" s="42"/>
      <c r="Z19" s="42"/>
      <c r="AA19" s="42"/>
    </row>
    <row r="20" spans="2:27">
      <c r="H20" s="277"/>
      <c r="I20" s="17"/>
      <c r="J20" s="5" t="s">
        <v>604</v>
      </c>
      <c r="L20" s="552">
        <f>'US TOWERS'!D48</f>
        <v>0.84865477977573978</v>
      </c>
      <c r="M20" s="552">
        <f>'US TOWERS'!E48</f>
        <v>1.1463259756956312</v>
      </c>
      <c r="N20" s="552">
        <f>'US TOWERS'!F48</f>
        <v>1.1656648355059014</v>
      </c>
      <c r="O20" s="552">
        <f>'US TOWERS'!G48</f>
        <v>1.1173939230457823</v>
      </c>
      <c r="P20" s="279" t="str">
        <f>'US TOWERS'!H48</f>
        <v>nm</v>
      </c>
      <c r="S20" s="88"/>
      <c r="T20" s="42"/>
      <c r="U20" s="42"/>
      <c r="V20" s="42"/>
      <c r="W20" s="42"/>
      <c r="X20" s="42"/>
      <c r="Y20" s="42"/>
      <c r="Z20" s="42"/>
      <c r="AA20" s="42"/>
    </row>
    <row r="21" spans="2:27" ht="12.6" thickBot="1">
      <c r="B21" s="306" t="s">
        <v>924</v>
      </c>
      <c r="C21" s="265"/>
      <c r="D21" s="265" t="str">
        <f>D5</f>
        <v>2023E</v>
      </c>
      <c r="E21" s="265" t="str">
        <f t="shared" ref="E21:H21" si="2">E5</f>
        <v>2024E</v>
      </c>
      <c r="F21" s="265" t="str">
        <f t="shared" si="2"/>
        <v>2025E</v>
      </c>
      <c r="G21" s="265" t="str">
        <f t="shared" si="2"/>
        <v>2026E</v>
      </c>
      <c r="H21" s="265" t="str">
        <f t="shared" si="2"/>
        <v>23E-26E</v>
      </c>
      <c r="I21" s="49"/>
      <c r="J21" s="41"/>
      <c r="L21" s="250"/>
      <c r="M21" s="250"/>
      <c r="N21" s="250"/>
      <c r="O21" s="250"/>
      <c r="P21" s="279"/>
      <c r="S21" s="88"/>
      <c r="T21" s="42"/>
      <c r="U21" s="42"/>
      <c r="V21" s="42"/>
      <c r="W21" s="42"/>
      <c r="X21" s="42"/>
      <c r="Y21" s="42"/>
      <c r="Z21" s="42"/>
      <c r="AA21" s="42"/>
    </row>
    <row r="22" spans="2:27" ht="12.6" thickTop="1">
      <c r="B22" s="5"/>
      <c r="C22" s="257"/>
      <c r="D22" s="17"/>
      <c r="E22" s="17"/>
      <c r="F22" s="17"/>
      <c r="G22" s="17"/>
      <c r="H22" s="17"/>
      <c r="I22" s="17"/>
      <c r="P22" s="277"/>
      <c r="S22" s="88"/>
      <c r="T22" s="42"/>
      <c r="U22" s="42"/>
      <c r="V22" s="42"/>
      <c r="W22" s="42"/>
      <c r="X22" s="42"/>
      <c r="Y22" s="42"/>
      <c r="Z22" s="42"/>
      <c r="AA22" s="42"/>
    </row>
    <row r="23" spans="2:27" ht="12.6" thickBot="1">
      <c r="B23" s="5" t="s">
        <v>584</v>
      </c>
      <c r="C23" s="548">
        <v>2633.4539999999997</v>
      </c>
      <c r="D23" s="533">
        <v>2710.7335905255736</v>
      </c>
      <c r="E23" s="533">
        <v>2856.4837522351918</v>
      </c>
      <c r="F23" s="533">
        <v>3001.5270632225611</v>
      </c>
      <c r="G23" s="533">
        <v>2922.8641103756295</v>
      </c>
      <c r="H23" s="279">
        <f t="shared" ref="H23:H32" si="3">IF(D23=0,"nm",IF(G23=0,"nm",(G23/D23)^(1/3)-1))</f>
        <v>2.5432935794639455E-2</v>
      </c>
      <c r="I23" s="247"/>
      <c r="J23" s="306" t="s">
        <v>9</v>
      </c>
      <c r="K23" s="306"/>
      <c r="L23" s="265" t="str">
        <f>L5</f>
        <v>2023E</v>
      </c>
      <c r="M23" s="265" t="str">
        <f t="shared" ref="M23:P23" si="4">M5</f>
        <v>2024E</v>
      </c>
      <c r="N23" s="265" t="str">
        <f t="shared" si="4"/>
        <v>2025E</v>
      </c>
      <c r="O23" s="265" t="str">
        <f t="shared" si="4"/>
        <v>2026E</v>
      </c>
      <c r="P23" s="265" t="str">
        <f t="shared" si="4"/>
        <v>23E-26E</v>
      </c>
      <c r="S23" s="88"/>
      <c r="T23" s="42"/>
      <c r="U23" s="42"/>
      <c r="V23" s="42"/>
      <c r="W23" s="42"/>
      <c r="X23" s="42"/>
      <c r="Y23" s="42"/>
      <c r="Z23" s="42"/>
      <c r="AA23" s="42"/>
    </row>
    <row r="24" spans="2:27" ht="12.6" thickTop="1">
      <c r="B24" s="5" t="s">
        <v>483</v>
      </c>
      <c r="C24" s="549">
        <v>1768.9860000000001</v>
      </c>
      <c r="D24" s="533">
        <v>1872.7382492151698</v>
      </c>
      <c r="E24" s="533">
        <v>1979.788166988835</v>
      </c>
      <c r="F24" s="533">
        <v>2074.3038302693117</v>
      </c>
      <c r="G24" s="533">
        <v>2072.8056701724236</v>
      </c>
      <c r="H24" s="279">
        <f t="shared" si="3"/>
        <v>3.4412680489974479E-2</v>
      </c>
      <c r="I24" s="249"/>
      <c r="J24" s="17"/>
      <c r="K24" s="17"/>
      <c r="L24" s="17"/>
      <c r="M24" s="17"/>
      <c r="N24" s="17"/>
      <c r="O24" s="248"/>
      <c r="S24" s="88"/>
      <c r="T24" s="42"/>
      <c r="U24" s="42"/>
      <c r="V24" s="42"/>
      <c r="W24" s="42" t="s">
        <v>711</v>
      </c>
      <c r="X24" s="42" t="s">
        <v>704</v>
      </c>
      <c r="Y24" s="42"/>
      <c r="Z24" s="42"/>
      <c r="AA24" s="42"/>
    </row>
    <row r="25" spans="2:27">
      <c r="B25" s="5" t="s">
        <v>183</v>
      </c>
      <c r="C25" s="548">
        <v>1554.5430000000001</v>
      </c>
      <c r="D25" s="533">
        <v>1583.6515160510803</v>
      </c>
      <c r="E25" s="533">
        <v>1630.0347165124867</v>
      </c>
      <c r="F25" s="533">
        <v>1716.3843892110153</v>
      </c>
      <c r="G25" s="533">
        <v>1717.8811918304505</v>
      </c>
      <c r="H25" s="279">
        <f t="shared" si="3"/>
        <v>2.7490546146475392E-2</v>
      </c>
      <c r="I25" s="248"/>
      <c r="J25" s="247" t="s">
        <v>10</v>
      </c>
      <c r="K25" s="247"/>
      <c r="L25" s="321">
        <v>0</v>
      </c>
      <c r="M25" s="321">
        <v>0</v>
      </c>
      <c r="N25" s="321">
        <v>0</v>
      </c>
      <c r="O25" s="321">
        <v>0</v>
      </c>
      <c r="P25" s="279" t="str">
        <f>IF(L25=0,"nm",IF(O25=0,"nm",(O25/L25)^(1/3)-1))</f>
        <v>nm</v>
      </c>
      <c r="S25" s="88"/>
      <c r="T25" s="42"/>
      <c r="U25" s="42"/>
      <c r="V25" s="147" t="s">
        <v>273</v>
      </c>
      <c r="W25" s="288">
        <f>D37/L9</f>
        <v>1.1792533345233027</v>
      </c>
      <c r="X25" s="288">
        <v>1</v>
      </c>
      <c r="Y25" s="42"/>
      <c r="Z25" s="42"/>
      <c r="AA25" s="42"/>
    </row>
    <row r="26" spans="2:27">
      <c r="B26" s="5" t="s">
        <v>586</v>
      </c>
      <c r="C26" s="548">
        <v>1399.0887000000002</v>
      </c>
      <c r="D26" s="533">
        <v>1425.2863644459724</v>
      </c>
      <c r="E26" s="533">
        <v>1467.0312448612381</v>
      </c>
      <c r="F26" s="533">
        <v>1544.7459502899139</v>
      </c>
      <c r="G26" s="533">
        <v>1546.0930726474055</v>
      </c>
      <c r="H26" s="279">
        <f>IF(D26=0,"nm",IF(G26=0,"nm",(G26/D26)^(1/3)-1))</f>
        <v>2.7490546146475392E-2</v>
      </c>
      <c r="I26" s="249"/>
      <c r="J26" s="249" t="s">
        <v>11</v>
      </c>
      <c r="K26" s="249"/>
      <c r="L26" s="281">
        <f>D11+L25</f>
        <v>24242.005747801959</v>
      </c>
      <c r="M26" s="281">
        <f>E11+M25</f>
        <v>24242.005747801959</v>
      </c>
      <c r="N26" s="281">
        <f>F11+N25</f>
        <v>24242.005747801959</v>
      </c>
      <c r="O26" s="281">
        <f>G11+O25</f>
        <v>24242.005747801959</v>
      </c>
      <c r="P26" s="279">
        <f>IF(L26=0,"nm",IF(O26=0,"nm",(O26/L26)^(1/3)-1))</f>
        <v>0</v>
      </c>
      <c r="Q26" s="5"/>
      <c r="S26" s="88"/>
      <c r="T26" s="42"/>
      <c r="U26" s="42"/>
      <c r="V26" s="147" t="s">
        <v>184</v>
      </c>
      <c r="W26" s="288">
        <f t="shared" ref="W26:W33" si="5">D38/L10</f>
        <v>1.0900678104910884</v>
      </c>
      <c r="X26" s="288">
        <v>1</v>
      </c>
      <c r="Y26" s="42"/>
      <c r="Z26" s="42"/>
      <c r="AA26" s="42"/>
    </row>
    <row r="27" spans="2:27">
      <c r="B27" s="5" t="s">
        <v>587</v>
      </c>
      <c r="C27" s="549">
        <v>3167.0280000000002</v>
      </c>
      <c r="D27" s="533">
        <v>3126.1382815884408</v>
      </c>
      <c r="E27" s="533">
        <v>1457.0764235115857</v>
      </c>
      <c r="F27" s="533">
        <v>302.93625986688585</v>
      </c>
      <c r="G27" s="533">
        <v>-209.53757871161542</v>
      </c>
      <c r="H27" s="279">
        <f t="shared" si="3"/>
        <v>-1.4062105938549376</v>
      </c>
      <c r="I27" s="249"/>
      <c r="J27" s="248"/>
      <c r="K27" s="248"/>
      <c r="L27" s="248"/>
      <c r="M27" s="248"/>
      <c r="N27" s="248"/>
      <c r="O27" s="248"/>
      <c r="Q27" s="41"/>
      <c r="S27" s="88"/>
      <c r="T27" s="42"/>
      <c r="U27" s="42"/>
      <c r="V27" s="147" t="s">
        <v>185</v>
      </c>
      <c r="W27" s="288">
        <f t="shared" si="5"/>
        <v>0.94428960439557585</v>
      </c>
      <c r="X27" s="288">
        <v>1</v>
      </c>
      <c r="Y27" s="42"/>
      <c r="Z27" s="42"/>
      <c r="AA27" s="42"/>
    </row>
    <row r="28" spans="2:27">
      <c r="B28" s="5" t="s">
        <v>592</v>
      </c>
      <c r="C28" s="548">
        <v>2713.7269999999999</v>
      </c>
      <c r="D28" s="533">
        <v>2747.4187799342699</v>
      </c>
      <c r="E28" s="533">
        <v>3152.1598619073079</v>
      </c>
      <c r="F28" s="533">
        <v>3551.7487282376392</v>
      </c>
      <c r="G28" s="533">
        <v>2152.1000569492712</v>
      </c>
      <c r="H28" s="279">
        <f t="shared" si="3"/>
        <v>-7.8180553884486526E-2</v>
      </c>
      <c r="I28" s="248"/>
      <c r="Q28" s="5"/>
      <c r="S28" s="88"/>
      <c r="T28" s="42"/>
      <c r="U28" s="42"/>
      <c r="V28" s="147" t="s">
        <v>466</v>
      </c>
      <c r="W28" s="288">
        <f t="shared" si="5"/>
        <v>0.94428960439557585</v>
      </c>
      <c r="X28" s="288">
        <v>1</v>
      </c>
      <c r="Y28" s="42"/>
      <c r="Z28" s="42"/>
      <c r="AA28" s="42"/>
    </row>
    <row r="29" spans="2:27" ht="12.6" thickBot="1">
      <c r="B29" s="5" t="s">
        <v>588</v>
      </c>
      <c r="C29" s="548">
        <v>1134.748</v>
      </c>
      <c r="D29" s="533">
        <v>1092.2561706880099</v>
      </c>
      <c r="E29" s="533">
        <v>1116.9512991503798</v>
      </c>
      <c r="F29" s="533">
        <v>1062.8056765339429</v>
      </c>
      <c r="G29" s="533">
        <v>1083.7814779765372</v>
      </c>
      <c r="H29" s="279">
        <f t="shared" si="3"/>
        <v>-2.5930137303528111E-3</v>
      </c>
      <c r="I29" s="252"/>
      <c r="J29" s="306" t="s">
        <v>1363</v>
      </c>
      <c r="K29" s="306"/>
      <c r="L29" s="265" t="str">
        <f>L$5</f>
        <v>2023E</v>
      </c>
      <c r="M29" s="265" t="str">
        <f t="shared" ref="M29:P29" si="6">M$5</f>
        <v>2024E</v>
      </c>
      <c r="N29" s="265" t="str">
        <f t="shared" si="6"/>
        <v>2025E</v>
      </c>
      <c r="O29" s="265" t="str">
        <f t="shared" si="6"/>
        <v>2026E</v>
      </c>
      <c r="P29" s="265" t="str">
        <f t="shared" si="6"/>
        <v>23E-26E</v>
      </c>
      <c r="Q29" s="5"/>
      <c r="S29" s="88"/>
      <c r="T29" s="42"/>
      <c r="U29" s="42"/>
      <c r="V29" s="147" t="s">
        <v>530</v>
      </c>
      <c r="W29" s="288">
        <f t="shared" si="5"/>
        <v>3.8701481491850895</v>
      </c>
      <c r="X29" s="288">
        <v>1</v>
      </c>
      <c r="Y29" s="42"/>
      <c r="Z29" s="42"/>
      <c r="AA29" s="42"/>
    </row>
    <row r="30" spans="2:27" ht="12.6" thickTop="1">
      <c r="B30" s="5" t="s">
        <v>589</v>
      </c>
      <c r="C30" s="549">
        <v>641.61500000000001</v>
      </c>
      <c r="D30" s="533">
        <v>681.51427069885779</v>
      </c>
      <c r="E30" s="533">
        <v>758.30785919182449</v>
      </c>
      <c r="F30" s="533">
        <v>708.72371113696352</v>
      </c>
      <c r="G30" s="533">
        <v>790.48522233190795</v>
      </c>
      <c r="H30" s="279">
        <f t="shared" si="3"/>
        <v>5.0685971571733379E-2</v>
      </c>
      <c r="I30" s="254"/>
      <c r="J30" s="248"/>
      <c r="K30" s="248"/>
      <c r="L30" s="248"/>
      <c r="M30" s="248"/>
      <c r="N30" s="248"/>
      <c r="O30" s="5"/>
      <c r="Q30" s="5"/>
      <c r="S30" s="88"/>
      <c r="T30" s="42"/>
      <c r="U30" s="42"/>
      <c r="V30" s="147" t="s">
        <v>593</v>
      </c>
      <c r="W30" s="288">
        <f t="shared" si="5"/>
        <v>2.0772343867888816</v>
      </c>
      <c r="X30" s="288">
        <v>1</v>
      </c>
      <c r="Y30" s="42"/>
      <c r="Z30" s="42"/>
      <c r="AA30" s="42"/>
    </row>
    <row r="31" spans="2:27">
      <c r="B31" s="5" t="s">
        <v>590</v>
      </c>
      <c r="C31" s="549">
        <v>306.76599999999996</v>
      </c>
      <c r="D31" s="533">
        <v>374.59631898135274</v>
      </c>
      <c r="E31" s="533">
        <v>441.4781781524635</v>
      </c>
      <c r="F31" s="533">
        <v>487.61906324941845</v>
      </c>
      <c r="G31" s="533">
        <v>500.58968521138905</v>
      </c>
      <c r="H31" s="279">
        <f t="shared" si="3"/>
        <v>0.10147031450609711</v>
      </c>
      <c r="I31" s="254"/>
      <c r="J31" s="5" t="s">
        <v>737</v>
      </c>
      <c r="K31" s="247"/>
      <c r="L31" s="322">
        <v>33477.564951384637</v>
      </c>
      <c r="M31" s="322">
        <v>34766.656375767634</v>
      </c>
      <c r="N31" s="322">
        <v>36049.680681114653</v>
      </c>
      <c r="O31" s="322">
        <v>36049.680681114653</v>
      </c>
      <c r="Q31" s="5"/>
      <c r="S31" s="88"/>
      <c r="T31" s="42"/>
      <c r="U31" s="42"/>
      <c r="V31" s="147" t="s">
        <v>475</v>
      </c>
      <c r="W31" s="288">
        <f t="shared" si="5"/>
        <v>1.029268243440765</v>
      </c>
      <c r="X31" s="288">
        <v>1</v>
      </c>
      <c r="Y31" s="42"/>
      <c r="Z31" s="42"/>
      <c r="AA31" s="42"/>
    </row>
    <row r="32" spans="2:27">
      <c r="B32" s="5" t="s">
        <v>606</v>
      </c>
      <c r="C32" s="550">
        <v>431.66699999999997</v>
      </c>
      <c r="D32" s="533">
        <v>120.82578180583124</v>
      </c>
      <c r="E32" s="533">
        <v>1791.7008624925127</v>
      </c>
      <c r="F32" s="533">
        <v>1177.9350673461249</v>
      </c>
      <c r="G32" s="533">
        <v>1983.6091663727739</v>
      </c>
      <c r="H32" s="279">
        <f t="shared" si="3"/>
        <v>1.5415510115475457</v>
      </c>
      <c r="I32" s="254"/>
      <c r="J32" s="5" t="s">
        <v>1361</v>
      </c>
      <c r="K32" s="254"/>
      <c r="L32" s="322">
        <v>63502.418477710802</v>
      </c>
      <c r="M32" s="322">
        <v>71702.982056305744</v>
      </c>
      <c r="N32" s="322">
        <v>77967.272835650947</v>
      </c>
      <c r="O32" s="322">
        <v>77967.272835650947</v>
      </c>
      <c r="Q32" s="5"/>
      <c r="S32" s="88"/>
      <c r="T32" s="42"/>
      <c r="U32" s="42"/>
      <c r="V32" s="147" t="s">
        <v>533</v>
      </c>
      <c r="W32" s="288">
        <f t="shared" si="5"/>
        <v>1.1956899984340523</v>
      </c>
      <c r="X32" s="288">
        <v>1</v>
      </c>
      <c r="Y32" s="42"/>
      <c r="Z32" s="42"/>
      <c r="AA32" s="42"/>
    </row>
    <row r="33" spans="2:27">
      <c r="B33" s="5" t="s">
        <v>5</v>
      </c>
      <c r="C33" s="549">
        <v>-389.76300000000003</v>
      </c>
      <c r="D33" s="533">
        <v>-444.68542063065678</v>
      </c>
      <c r="E33" s="533">
        <v>-495.04022740464256</v>
      </c>
      <c r="F33" s="533">
        <v>-638.14521472249544</v>
      </c>
      <c r="G33" s="533">
        <v>-602.36022846802325</v>
      </c>
      <c r="H33" s="279">
        <f>IF(D33=0,"nm",IF(G33=0,"nm",(G33/D33)^(1/3)-1))</f>
        <v>0.10645680999133544</v>
      </c>
      <c r="I33" s="5"/>
      <c r="Q33" s="5"/>
      <c r="S33" s="88"/>
      <c r="T33" s="42"/>
      <c r="U33" s="42"/>
      <c r="V33" s="147" t="s">
        <v>580</v>
      </c>
      <c r="W33" s="288">
        <f t="shared" si="5"/>
        <v>0.39262627835065839</v>
      </c>
      <c r="X33" s="288">
        <v>1</v>
      </c>
      <c r="Y33" s="42"/>
      <c r="Z33" s="42"/>
      <c r="AA33" s="42"/>
    </row>
    <row r="34" spans="2:27">
      <c r="H34" s="277"/>
      <c r="I34" s="49"/>
      <c r="J34" s="245"/>
      <c r="K34" s="245"/>
      <c r="L34" s="245"/>
      <c r="M34" s="245"/>
      <c r="N34" s="245"/>
      <c r="O34" s="251"/>
      <c r="Q34" s="5"/>
      <c r="S34" s="88"/>
      <c r="T34" s="42"/>
      <c r="U34" s="42"/>
      <c r="V34" s="147" t="s">
        <v>581</v>
      </c>
      <c r="W34" s="288">
        <f>D47/L19</f>
        <v>0.97156402752413362</v>
      </c>
      <c r="X34" s="288">
        <v>1</v>
      </c>
      <c r="Y34" s="288"/>
      <c r="Z34" s="288"/>
      <c r="AA34" s="42"/>
    </row>
    <row r="35" spans="2:27" ht="12.6" thickBot="1">
      <c r="B35" s="306" t="s">
        <v>710</v>
      </c>
      <c r="C35" s="265"/>
      <c r="D35" s="265" t="str">
        <f>D5</f>
        <v>2023E</v>
      </c>
      <c r="E35" s="265" t="str">
        <f t="shared" ref="E35:H35" si="7">E5</f>
        <v>2024E</v>
      </c>
      <c r="F35" s="265" t="str">
        <f t="shared" si="7"/>
        <v>2025E</v>
      </c>
      <c r="G35" s="265" t="str">
        <f t="shared" si="7"/>
        <v>2026E</v>
      </c>
      <c r="H35" s="265" t="str">
        <f t="shared" si="7"/>
        <v>23E-26E</v>
      </c>
      <c r="I35" s="254"/>
      <c r="J35" s="306" t="s">
        <v>1362</v>
      </c>
      <c r="K35" s="306"/>
      <c r="L35" s="306"/>
      <c r="M35" s="306"/>
      <c r="N35" s="266"/>
      <c r="O35" s="266"/>
      <c r="P35" s="266"/>
      <c r="Q35" s="5"/>
      <c r="S35" s="88"/>
      <c r="T35" s="42"/>
      <c r="U35" s="42"/>
      <c r="V35" s="42"/>
      <c r="W35" s="42"/>
      <c r="X35" s="42"/>
      <c r="Y35" s="288"/>
      <c r="Z35" s="288"/>
      <c r="AA35" s="42"/>
    </row>
    <row r="36" spans="2:27" ht="12.6" thickTop="1">
      <c r="B36" s="41"/>
      <c r="C36" s="249"/>
      <c r="D36" s="254"/>
      <c r="E36" s="254"/>
      <c r="F36" s="254"/>
      <c r="G36" s="254"/>
      <c r="H36" s="254"/>
      <c r="I36" s="17"/>
      <c r="J36" s="249"/>
      <c r="K36" s="249"/>
      <c r="L36" s="249"/>
      <c r="M36" s="249"/>
      <c r="N36" s="249"/>
      <c r="O36" s="251"/>
      <c r="Q36" s="5"/>
      <c r="S36" s="88"/>
      <c r="T36" s="42"/>
      <c r="U36" s="42"/>
      <c r="V36" s="42"/>
      <c r="W36" s="42"/>
      <c r="X36" s="42"/>
      <c r="Y36" s="288"/>
      <c r="Z36" s="288"/>
      <c r="AA36" s="42"/>
    </row>
    <row r="37" spans="2:27">
      <c r="B37" s="5" t="s">
        <v>273</v>
      </c>
      <c r="C37" s="247"/>
      <c r="D37" s="529">
        <f>D$18/D23</f>
        <v>11.851058275339517</v>
      </c>
      <c r="E37" s="529">
        <f t="shared" ref="E37:G41" si="8">E$18/E23</f>
        <v>11.246365999841979</v>
      </c>
      <c r="F37" s="529">
        <f t="shared" si="8"/>
        <v>10.702905912082009</v>
      </c>
      <c r="G37" s="529">
        <f t="shared" si="8"/>
        <v>10.993570382304656</v>
      </c>
      <c r="H37" s="17">
        <f t="shared" ref="H37:H45" si="9">H23</f>
        <v>2.5432935794639455E-2</v>
      </c>
      <c r="I37" s="5"/>
      <c r="J37" s="248"/>
      <c r="K37" s="248"/>
      <c r="L37" s="248"/>
      <c r="M37" s="248"/>
      <c r="N37" s="248"/>
      <c r="O37" s="5"/>
      <c r="Q37" s="5"/>
      <c r="R37" s="5"/>
      <c r="S37" s="42"/>
      <c r="T37" s="42"/>
      <c r="U37" s="42"/>
      <c r="V37" s="42"/>
      <c r="W37" s="42"/>
      <c r="X37" s="42"/>
      <c r="Y37" s="42"/>
      <c r="Z37" s="42"/>
      <c r="AA37" s="42"/>
    </row>
    <row r="38" spans="2:27">
      <c r="B38" s="5" t="s">
        <v>184</v>
      </c>
      <c r="C38" s="247"/>
      <c r="D38" s="529">
        <f>D$18/D24</f>
        <v>17.15405864311359</v>
      </c>
      <c r="E38" s="529">
        <f t="shared" si="8"/>
        <v>16.22651467762817</v>
      </c>
      <c r="F38" s="529">
        <f t="shared" si="8"/>
        <v>15.48715346394941</v>
      </c>
      <c r="G38" s="529">
        <f t="shared" si="8"/>
        <v>15.502038023976388</v>
      </c>
      <c r="H38" s="17">
        <f t="shared" si="9"/>
        <v>3.4412680489974479E-2</v>
      </c>
      <c r="I38" s="259"/>
      <c r="J38" s="252"/>
      <c r="K38" s="252"/>
      <c r="L38" s="252"/>
      <c r="M38" s="252"/>
      <c r="N38" s="252"/>
      <c r="O38" s="5"/>
      <c r="Q38" s="5"/>
      <c r="R38" s="5"/>
      <c r="S38" s="42"/>
      <c r="T38" s="42"/>
      <c r="U38" s="42"/>
      <c r="V38" s="42"/>
      <c r="W38" s="42"/>
      <c r="X38" s="42"/>
      <c r="Y38" s="42"/>
      <c r="Z38" s="42"/>
      <c r="AA38" s="42"/>
    </row>
    <row r="39" spans="2:27">
      <c r="B39" s="5" t="s">
        <v>185</v>
      </c>
      <c r="C39" s="247"/>
      <c r="D39" s="529">
        <f>D$18/D25</f>
        <v>20.285436173700926</v>
      </c>
      <c r="E39" s="529">
        <f t="shared" si="8"/>
        <v>19.708207085902767</v>
      </c>
      <c r="F39" s="529">
        <f t="shared" si="8"/>
        <v>18.716705856900791</v>
      </c>
      <c r="G39" s="529">
        <f t="shared" si="8"/>
        <v>18.704851341371555</v>
      </c>
      <c r="H39" s="17">
        <f t="shared" si="9"/>
        <v>2.7490546146475392E-2</v>
      </c>
      <c r="I39" s="17"/>
      <c r="J39" s="259"/>
      <c r="K39" s="259"/>
      <c r="L39" s="259"/>
      <c r="M39" s="259"/>
      <c r="N39" s="259"/>
      <c r="O39" s="18"/>
      <c r="Q39" s="5"/>
      <c r="R39" s="5"/>
      <c r="S39" s="42"/>
      <c r="T39" s="42"/>
      <c r="U39" s="42"/>
      <c r="V39" s="42"/>
      <c r="W39" s="42"/>
      <c r="X39" s="42"/>
      <c r="Y39" s="42"/>
      <c r="Z39" s="42"/>
      <c r="AA39" s="42"/>
    </row>
    <row r="40" spans="2:27">
      <c r="B40" s="5" t="s">
        <v>466</v>
      </c>
      <c r="C40" s="247"/>
      <c r="D40" s="529">
        <f>D$18/D26</f>
        <v>22.539373526334362</v>
      </c>
      <c r="E40" s="529">
        <f t="shared" si="8"/>
        <v>21.898007873225296</v>
      </c>
      <c r="F40" s="529">
        <f t="shared" si="8"/>
        <v>20.796339841000879</v>
      </c>
      <c r="G40" s="529">
        <f t="shared" si="8"/>
        <v>20.783168157079505</v>
      </c>
      <c r="H40" s="17">
        <f t="shared" si="9"/>
        <v>2.7490546146475392E-2</v>
      </c>
      <c r="I40" s="5"/>
      <c r="J40" s="259"/>
      <c r="K40" s="259"/>
      <c r="L40" s="259"/>
      <c r="M40" s="259"/>
      <c r="N40" s="259"/>
      <c r="O40" s="18"/>
      <c r="Q40" s="5"/>
      <c r="R40" s="5"/>
      <c r="S40" s="42"/>
      <c r="T40" s="42"/>
      <c r="U40" s="42"/>
      <c r="V40" s="42"/>
      <c r="W40" s="288"/>
      <c r="X40" s="288"/>
      <c r="Y40" s="42"/>
      <c r="Z40" s="42"/>
      <c r="AA40" s="42"/>
    </row>
    <row r="41" spans="2:27">
      <c r="B41" s="5" t="s">
        <v>530</v>
      </c>
      <c r="C41" s="247"/>
      <c r="D41" s="529">
        <f>D$18/D27</f>
        <v>10.276276625202787</v>
      </c>
      <c r="E41" s="529">
        <f t="shared" si="8"/>
        <v>22.047616193539668</v>
      </c>
      <c r="F41" s="529">
        <f t="shared" si="8"/>
        <v>106.04561423038322</v>
      </c>
      <c r="G41" s="529">
        <f t="shared" si="8"/>
        <v>-153.35059473771392</v>
      </c>
      <c r="H41" s="17">
        <f t="shared" si="9"/>
        <v>-1.4062105938549376</v>
      </c>
      <c r="I41" s="247"/>
      <c r="J41" s="259"/>
      <c r="K41" s="259"/>
      <c r="L41" s="259"/>
      <c r="M41" s="259"/>
      <c r="N41" s="259"/>
      <c r="O41" s="18"/>
      <c r="Q41" s="5"/>
      <c r="R41" s="5"/>
      <c r="S41" s="42"/>
      <c r="T41" s="42"/>
      <c r="U41" s="42"/>
      <c r="V41" s="42"/>
      <c r="W41" s="288"/>
      <c r="X41" s="288"/>
      <c r="Y41" s="288"/>
      <c r="Z41" s="288"/>
      <c r="AA41" s="42"/>
    </row>
    <row r="42" spans="2:27">
      <c r="B42" s="5" t="s">
        <v>593</v>
      </c>
      <c r="C42" s="247"/>
      <c r="D42" s="529">
        <f>D18/D28</f>
        <v>11.692815811285774</v>
      </c>
      <c r="E42" s="529">
        <f>E18/E28</f>
        <v>10.191444329476576</v>
      </c>
      <c r="F42" s="529">
        <f>F18/F28</f>
        <v>9.0448576766800741</v>
      </c>
      <c r="G42" s="529">
        <f>G18/G28</f>
        <v>14.930863558861098</v>
      </c>
      <c r="H42" s="17">
        <f t="shared" si="9"/>
        <v>-7.8180553884486526E-2</v>
      </c>
      <c r="I42" s="248"/>
      <c r="J42" s="5"/>
      <c r="K42" s="5"/>
      <c r="L42" s="5"/>
      <c r="M42" s="5"/>
      <c r="N42" s="5"/>
      <c r="O42" s="5"/>
      <c r="Q42" s="5"/>
      <c r="R42" s="5"/>
      <c r="S42" s="42"/>
      <c r="T42" s="42"/>
      <c r="U42" s="42"/>
      <c r="V42" s="42"/>
      <c r="W42" s="288"/>
      <c r="X42" s="288"/>
      <c r="Y42" s="288"/>
      <c r="Z42" s="288"/>
      <c r="AA42" s="42"/>
    </row>
    <row r="43" spans="2:27">
      <c r="B43" s="5" t="s">
        <v>475</v>
      </c>
      <c r="C43" s="247"/>
      <c r="D43" s="529">
        <f>L26/D29</f>
        <v>22.194432403647554</v>
      </c>
      <c r="E43" s="529">
        <f>M26/E29</f>
        <v>21.703726712383865</v>
      </c>
      <c r="F43" s="529">
        <f>N26/F29</f>
        <v>22.809443234120458</v>
      </c>
      <c r="G43" s="529">
        <f>O26/G29</f>
        <v>22.367983067087234</v>
      </c>
      <c r="H43" s="17">
        <f t="shared" si="9"/>
        <v>-2.5930137303528111E-3</v>
      </c>
      <c r="I43" s="247"/>
      <c r="J43" s="69"/>
      <c r="K43" s="69"/>
      <c r="L43" s="69"/>
      <c r="M43" s="69"/>
      <c r="N43" s="69"/>
      <c r="O43" s="69"/>
      <c r="Q43" s="5"/>
      <c r="R43" s="5"/>
      <c r="S43" s="42"/>
      <c r="T43" s="42"/>
      <c r="U43" s="42"/>
      <c r="V43" s="42"/>
      <c r="W43" s="288"/>
      <c r="X43" s="288"/>
      <c r="Y43" s="288"/>
      <c r="Z43" s="288"/>
      <c r="AA43" s="42"/>
    </row>
    <row r="44" spans="2:27">
      <c r="B44" s="5" t="s">
        <v>533</v>
      </c>
      <c r="C44" s="69"/>
      <c r="D44" s="529">
        <f>D11/D30</f>
        <v>35.570796959164234</v>
      </c>
      <c r="E44" s="529">
        <f>E11/E30</f>
        <v>31.968554003433596</v>
      </c>
      <c r="F44" s="529">
        <f>F11/F30</f>
        <v>34.205156913562192</v>
      </c>
      <c r="G44" s="529">
        <f>G11/G30</f>
        <v>30.667247233653224</v>
      </c>
      <c r="H44" s="17">
        <f t="shared" si="9"/>
        <v>5.0685971571733379E-2</v>
      </c>
      <c r="I44" s="247"/>
      <c r="J44" s="259"/>
      <c r="K44" s="259"/>
      <c r="L44" s="259"/>
      <c r="M44" s="259"/>
      <c r="N44" s="259"/>
      <c r="O44" s="18"/>
      <c r="Q44" s="5"/>
      <c r="R44" s="5"/>
      <c r="S44" s="42"/>
      <c r="T44" s="42"/>
      <c r="U44" s="42"/>
      <c r="V44" s="42"/>
      <c r="W44" s="325"/>
      <c r="X44" s="325"/>
      <c r="Y44" s="288"/>
      <c r="Z44" s="288"/>
      <c r="AA44" s="42"/>
    </row>
    <row r="45" spans="2:27">
      <c r="B45" s="5" t="s">
        <v>580</v>
      </c>
      <c r="C45" s="247"/>
      <c r="D45" s="248">
        <f>D31/D11</f>
        <v>1.5452364910659988E-2</v>
      </c>
      <c r="E45" s="248">
        <f>E31/E11</f>
        <v>1.8211289228511656E-2</v>
      </c>
      <c r="F45" s="248">
        <f>F31/F11</f>
        <v>2.0114633596010564E-2</v>
      </c>
      <c r="G45" s="248">
        <f>G31/G11</f>
        <v>2.0649680988413178E-2</v>
      </c>
      <c r="H45" s="17">
        <f t="shared" si="9"/>
        <v>0.10147031450609711</v>
      </c>
      <c r="I45" s="248"/>
      <c r="J45" s="17"/>
      <c r="K45" s="17"/>
      <c r="L45" s="17"/>
      <c r="M45" s="17"/>
      <c r="N45" s="17"/>
      <c r="O45" s="5"/>
      <c r="Q45" s="5"/>
      <c r="R45" s="5"/>
      <c r="S45" s="42"/>
      <c r="T45" s="42"/>
      <c r="U45" s="42"/>
      <c r="V45" s="42"/>
      <c r="W45" s="42"/>
      <c r="X45" s="42"/>
      <c r="Y45" s="325"/>
      <c r="Z45" s="325"/>
      <c r="AA45" s="42"/>
    </row>
    <row r="46" spans="2:27">
      <c r="B46" s="5" t="s">
        <v>605</v>
      </c>
      <c r="C46" s="247"/>
      <c r="D46" s="248">
        <f>(D31+D32)/D11</f>
        <v>2.0436514451041422E-2</v>
      </c>
      <c r="E46" s="248">
        <f>(E31+E32)/E11</f>
        <v>9.2120225689141272E-2</v>
      </c>
      <c r="F46" s="248">
        <f>(F31+F32)/F11</f>
        <v>6.870529393990267E-2</v>
      </c>
      <c r="G46" s="248">
        <f>(G31+G32)/G11</f>
        <v>0.10247497164335947</v>
      </c>
      <c r="H46" s="279" t="s">
        <v>607</v>
      </c>
      <c r="I46" s="247"/>
      <c r="J46" s="5"/>
      <c r="K46" s="5"/>
      <c r="L46" s="5"/>
      <c r="M46" s="5"/>
      <c r="N46" s="5"/>
      <c r="O46" s="5"/>
      <c r="Q46" s="5"/>
      <c r="R46" s="5"/>
      <c r="S46" s="42"/>
      <c r="T46" s="42"/>
      <c r="U46" s="42"/>
      <c r="V46" s="42"/>
      <c r="W46" s="42"/>
      <c r="X46" s="42"/>
      <c r="Y46" s="42"/>
      <c r="Z46" s="42"/>
      <c r="AA46" s="326"/>
    </row>
    <row r="47" spans="2:27">
      <c r="B47" s="5" t="s">
        <v>581</v>
      </c>
      <c r="C47" s="5"/>
      <c r="D47" s="248">
        <f>1/D43</f>
        <v>4.5056344844198612E-2</v>
      </c>
      <c r="E47" s="248">
        <f>1/E43</f>
        <v>4.6075036478846414E-2</v>
      </c>
      <c r="F47" s="248">
        <f>1/F43</f>
        <v>4.3841490988438869E-2</v>
      </c>
      <c r="G47" s="248">
        <f>1/G43</f>
        <v>4.4706757734961945E-2</v>
      </c>
      <c r="H47" s="17">
        <f>H29</f>
        <v>-2.5930137303528111E-3</v>
      </c>
      <c r="I47" s="17"/>
      <c r="J47" s="259"/>
      <c r="K47" s="259"/>
      <c r="L47" s="259"/>
      <c r="M47" s="259"/>
      <c r="N47" s="259"/>
      <c r="O47" s="18"/>
      <c r="Q47" s="5"/>
      <c r="R47" s="5"/>
      <c r="S47" s="42"/>
      <c r="T47" s="42"/>
      <c r="U47" s="42"/>
      <c r="V47" s="42"/>
      <c r="W47" s="42"/>
      <c r="X47" s="42"/>
      <c r="Y47" s="42"/>
      <c r="Z47" s="42"/>
      <c r="AA47" s="326"/>
    </row>
    <row r="48" spans="2:27">
      <c r="B48" s="5" t="s">
        <v>618</v>
      </c>
      <c r="C48" s="5"/>
      <c r="D48" s="305">
        <f>D31/D29</f>
        <v>0.34295646848613848</v>
      </c>
      <c r="E48" s="305">
        <f>E31/E29</f>
        <v>0.39525284449579701</v>
      </c>
      <c r="F48" s="305">
        <f>F31/F29</f>
        <v>0.45880359318333513</v>
      </c>
      <c r="G48" s="305">
        <f>G31/G29</f>
        <v>0.46189171468957907</v>
      </c>
      <c r="H48" s="279" t="s">
        <v>607</v>
      </c>
      <c r="I48" s="247"/>
      <c r="J48" s="17"/>
      <c r="K48" s="17"/>
      <c r="L48" s="17"/>
      <c r="M48" s="17"/>
      <c r="N48" s="17"/>
      <c r="O48" s="5"/>
      <c r="Q48" s="5"/>
      <c r="R48" s="5"/>
      <c r="S48" s="42"/>
      <c r="T48" s="42"/>
      <c r="U48" s="42"/>
      <c r="V48" s="42"/>
      <c r="W48" s="42"/>
      <c r="X48" s="42"/>
      <c r="Y48" s="42"/>
      <c r="Z48" s="42"/>
      <c r="AA48" s="326"/>
    </row>
    <row r="49" spans="2:27">
      <c r="B49" s="41"/>
      <c r="C49" s="17"/>
      <c r="D49" s="17"/>
      <c r="E49" s="17"/>
      <c r="F49" s="17"/>
      <c r="G49" s="17"/>
      <c r="H49" s="17"/>
      <c r="I49" s="254"/>
      <c r="J49" s="5"/>
      <c r="K49" s="5"/>
      <c r="L49" s="5"/>
      <c r="M49" s="5"/>
      <c r="N49" s="5"/>
      <c r="O49" s="5"/>
      <c r="Q49" s="5"/>
      <c r="R49" s="5"/>
      <c r="S49" s="42"/>
      <c r="T49" s="42"/>
      <c r="U49" s="42"/>
      <c r="V49" s="42"/>
      <c r="W49" s="42"/>
      <c r="X49" s="42"/>
      <c r="Y49" s="42"/>
      <c r="Z49" s="42"/>
      <c r="AA49" s="326"/>
    </row>
    <row r="50" spans="2:27">
      <c r="B50" s="5"/>
      <c r="C50" s="257"/>
      <c r="D50" s="257"/>
      <c r="E50" s="257"/>
      <c r="F50" s="5"/>
      <c r="G50" s="41"/>
      <c r="H50" s="249"/>
      <c r="I50" s="17"/>
      <c r="J50" s="249"/>
      <c r="K50" s="249"/>
      <c r="L50" s="249"/>
      <c r="M50" s="249"/>
      <c r="N50" s="249"/>
      <c r="O50" s="251"/>
      <c r="Q50" s="5"/>
      <c r="R50" s="5"/>
      <c r="S50" s="42"/>
      <c r="T50" s="42"/>
      <c r="U50" s="42"/>
      <c r="V50" s="42"/>
      <c r="W50" s="288"/>
      <c r="X50" s="288"/>
      <c r="Y50" s="42"/>
      <c r="Z50" s="42"/>
      <c r="AA50" s="326"/>
    </row>
    <row r="51" spans="2:27">
      <c r="B51" s="41"/>
      <c r="C51" s="249"/>
      <c r="D51" s="254"/>
      <c r="E51" s="254"/>
      <c r="F51" s="254"/>
      <c r="G51" s="254"/>
      <c r="H51" s="254"/>
      <c r="I51" s="259"/>
      <c r="J51" s="248"/>
      <c r="K51" s="248"/>
      <c r="L51" s="248"/>
      <c r="M51" s="248"/>
      <c r="N51" s="248"/>
      <c r="O51" s="248"/>
      <c r="Q51" s="5"/>
      <c r="R51" s="5"/>
      <c r="S51" s="42"/>
      <c r="T51" s="42"/>
      <c r="U51" s="42"/>
      <c r="V51" s="42"/>
      <c r="W51" s="288"/>
      <c r="X51" s="288"/>
      <c r="Y51" s="288"/>
      <c r="Z51" s="288"/>
      <c r="AA51" s="42"/>
    </row>
    <row r="52" spans="2:27">
      <c r="B52" s="5"/>
      <c r="C52" s="257"/>
      <c r="D52" s="17"/>
      <c r="E52" s="17"/>
      <c r="F52" s="17"/>
      <c r="G52" s="17"/>
      <c r="H52" s="17"/>
      <c r="I52" s="254"/>
      <c r="J52" s="247"/>
      <c r="K52" s="247"/>
      <c r="L52" s="247"/>
      <c r="M52" s="247"/>
      <c r="N52" s="247"/>
      <c r="O52" s="248"/>
      <c r="Q52" s="5"/>
      <c r="R52" s="5"/>
      <c r="S52" s="5"/>
      <c r="Y52" s="10"/>
      <c r="Z52" s="10"/>
    </row>
    <row r="53" spans="2:27">
      <c r="B53" s="5"/>
      <c r="C53" s="257"/>
      <c r="D53" s="257"/>
      <c r="E53" s="257"/>
      <c r="F53" s="5"/>
      <c r="G53" s="5"/>
      <c r="H53" s="259"/>
      <c r="I53" s="17"/>
      <c r="J53" s="249"/>
      <c r="K53" s="249"/>
      <c r="L53" s="249"/>
      <c r="M53" s="249"/>
      <c r="N53" s="249"/>
      <c r="O53" s="251"/>
      <c r="Q53" s="5"/>
      <c r="R53" s="5"/>
      <c r="S53" s="5"/>
    </row>
    <row r="54" spans="2:27">
      <c r="B54" s="41"/>
      <c r="C54" s="249"/>
      <c r="D54" s="254"/>
      <c r="E54" s="254"/>
      <c r="F54" s="254"/>
      <c r="G54" s="254"/>
      <c r="H54" s="254"/>
      <c r="I54" s="259"/>
      <c r="J54" s="248"/>
      <c r="K54" s="248"/>
      <c r="L54" s="248"/>
      <c r="M54" s="248"/>
      <c r="N54" s="248"/>
      <c r="O54" s="248"/>
      <c r="Q54" s="5"/>
      <c r="R54" s="5"/>
      <c r="S54" s="5"/>
    </row>
    <row r="55" spans="2:27">
      <c r="B55" s="5"/>
      <c r="C55" s="257"/>
      <c r="D55" s="17"/>
      <c r="E55" s="17"/>
      <c r="F55" s="17"/>
      <c r="G55" s="17"/>
      <c r="H55" s="17"/>
      <c r="I55" s="249"/>
      <c r="J55" s="247"/>
      <c r="K55" s="247"/>
      <c r="L55" s="247"/>
      <c r="M55" s="247"/>
      <c r="N55" s="247"/>
      <c r="O55" s="248"/>
      <c r="Q55" s="5"/>
      <c r="R55" s="5"/>
      <c r="S55" s="5"/>
    </row>
    <row r="56" spans="2:27">
      <c r="B56" s="5"/>
      <c r="C56" s="248"/>
      <c r="D56" s="248"/>
      <c r="E56" s="248"/>
      <c r="F56" s="5"/>
      <c r="G56" s="5"/>
      <c r="H56" s="259"/>
      <c r="I56" s="248"/>
      <c r="J56" s="17"/>
      <c r="K56" s="17"/>
      <c r="L56" s="17"/>
      <c r="M56" s="17"/>
      <c r="N56" s="17"/>
      <c r="O56" s="248"/>
      <c r="Q56" s="5"/>
      <c r="R56" s="5"/>
      <c r="S56" s="5"/>
    </row>
    <row r="57" spans="2:27">
      <c r="B57" s="41"/>
      <c r="C57" s="249"/>
      <c r="D57" s="249"/>
      <c r="E57" s="249"/>
      <c r="F57" s="249"/>
      <c r="G57" s="249"/>
      <c r="H57" s="249"/>
      <c r="I57" s="5"/>
      <c r="J57" s="249"/>
      <c r="K57" s="249"/>
      <c r="L57" s="249"/>
      <c r="M57" s="249"/>
      <c r="N57" s="249"/>
      <c r="O57" s="250"/>
      <c r="Q57" s="5"/>
      <c r="R57" s="5"/>
      <c r="S57" s="5"/>
    </row>
    <row r="58" spans="2:27">
      <c r="B58" s="5"/>
      <c r="C58" s="5"/>
      <c r="D58" s="248"/>
      <c r="E58" s="248"/>
      <c r="F58" s="248"/>
      <c r="G58" s="248"/>
      <c r="H58" s="248"/>
      <c r="I58" s="17"/>
      <c r="J58" s="254"/>
      <c r="K58" s="254"/>
      <c r="L58" s="254"/>
      <c r="M58" s="254"/>
      <c r="N58" s="254"/>
      <c r="O58" s="251"/>
      <c r="Q58" s="5"/>
      <c r="R58" s="5"/>
      <c r="S58" s="5"/>
    </row>
    <row r="59" spans="2:27">
      <c r="B59" s="5"/>
      <c r="C59" s="5"/>
      <c r="D59" s="5"/>
      <c r="E59" s="5"/>
      <c r="F59" s="5"/>
      <c r="G59" s="5"/>
      <c r="H59" s="5"/>
      <c r="I59" s="5"/>
      <c r="J59" s="17"/>
      <c r="K59" s="17"/>
      <c r="L59" s="17"/>
      <c r="M59" s="17"/>
      <c r="N59" s="17"/>
      <c r="O59" s="248"/>
      <c r="Q59" s="5"/>
      <c r="R59" s="5"/>
      <c r="S59" s="5"/>
    </row>
    <row r="60" spans="2:27">
      <c r="B60" s="41"/>
      <c r="C60" s="17"/>
      <c r="D60" s="17"/>
      <c r="E60" s="17"/>
      <c r="F60" s="17"/>
      <c r="G60" s="17"/>
      <c r="H60" s="17"/>
      <c r="I60" s="249"/>
      <c r="J60" s="259"/>
      <c r="K60" s="259"/>
      <c r="L60" s="259"/>
      <c r="M60" s="259"/>
      <c r="N60" s="259"/>
      <c r="O60" s="18"/>
      <c r="Q60" s="5"/>
      <c r="R60" s="5"/>
      <c r="S60" s="5"/>
    </row>
    <row r="61" spans="2:27">
      <c r="B61" s="5"/>
      <c r="C61" s="5"/>
      <c r="D61" s="5"/>
      <c r="E61" s="5"/>
      <c r="F61" s="5"/>
      <c r="G61" s="5"/>
      <c r="H61" s="5"/>
      <c r="I61" s="5"/>
      <c r="J61" s="5"/>
      <c r="K61" s="5"/>
      <c r="L61" s="5"/>
      <c r="M61" s="5"/>
      <c r="N61" s="5"/>
      <c r="O61" s="5"/>
      <c r="Q61" s="41"/>
      <c r="R61" s="5"/>
      <c r="S61" s="5"/>
    </row>
    <row r="62" spans="2:27">
      <c r="B62" s="41"/>
      <c r="C62" s="249"/>
      <c r="D62" s="249"/>
      <c r="E62" s="249"/>
      <c r="F62" s="249"/>
      <c r="G62" s="249"/>
      <c r="H62" s="249"/>
      <c r="I62" s="5"/>
      <c r="J62" s="249"/>
      <c r="K62" s="249"/>
      <c r="L62" s="249"/>
      <c r="M62" s="249"/>
      <c r="N62" s="249"/>
      <c r="O62" s="251"/>
      <c r="Q62" s="5"/>
      <c r="R62" s="5"/>
      <c r="S62" s="5"/>
    </row>
    <row r="63" spans="2:27">
      <c r="B63" s="5"/>
      <c r="C63" s="5"/>
      <c r="D63" s="5"/>
      <c r="E63" s="5"/>
      <c r="F63" s="5"/>
      <c r="G63" s="5"/>
      <c r="H63" s="5"/>
      <c r="I63" s="254"/>
      <c r="J63" s="5"/>
      <c r="K63" s="5"/>
      <c r="L63" s="5"/>
      <c r="M63" s="5"/>
      <c r="N63" s="5"/>
      <c r="O63" s="5"/>
      <c r="Q63" s="5"/>
      <c r="R63" s="5"/>
      <c r="S63" s="5"/>
    </row>
    <row r="64" spans="2:27">
      <c r="B64" s="5"/>
      <c r="C64" s="5"/>
      <c r="D64" s="5"/>
      <c r="E64" s="5"/>
      <c r="F64" s="5"/>
      <c r="G64" s="5"/>
      <c r="H64" s="5"/>
      <c r="I64" s="17"/>
      <c r="J64" s="5"/>
      <c r="K64" s="5"/>
      <c r="L64" s="5"/>
      <c r="M64" s="5"/>
      <c r="N64" s="5"/>
      <c r="O64" s="5"/>
      <c r="Q64" s="5"/>
      <c r="R64" s="5"/>
      <c r="S64" s="5"/>
    </row>
    <row r="65" spans="2:26">
      <c r="B65" s="41"/>
      <c r="C65" s="249"/>
      <c r="D65" s="254"/>
      <c r="E65" s="254"/>
      <c r="F65" s="254"/>
      <c r="G65" s="254"/>
      <c r="H65" s="254"/>
      <c r="I65" s="254"/>
      <c r="Q65" s="5"/>
      <c r="R65" s="5"/>
      <c r="S65" s="5"/>
    </row>
    <row r="66" spans="2:26">
      <c r="B66" s="5"/>
      <c r="C66" s="5"/>
      <c r="D66" s="17"/>
      <c r="E66" s="17"/>
      <c r="F66" s="17"/>
      <c r="G66" s="17"/>
      <c r="H66" s="17"/>
      <c r="I66" s="248"/>
      <c r="Q66" s="5"/>
      <c r="R66" s="5"/>
      <c r="S66" s="5"/>
    </row>
    <row r="67" spans="2:26">
      <c r="B67" s="41"/>
      <c r="C67" s="249"/>
      <c r="D67" s="254"/>
      <c r="E67" s="254"/>
      <c r="F67" s="254"/>
      <c r="G67" s="254"/>
      <c r="H67" s="254"/>
      <c r="I67" s="5"/>
      <c r="Q67" s="41"/>
      <c r="R67" s="5"/>
      <c r="S67" s="5"/>
    </row>
    <row r="68" spans="2:26">
      <c r="B68" s="5"/>
      <c r="C68" s="5"/>
      <c r="D68" s="248"/>
      <c r="E68" s="248"/>
      <c r="F68" s="248"/>
      <c r="G68" s="248"/>
      <c r="H68" s="248"/>
      <c r="I68" s="245"/>
      <c r="Q68" s="5"/>
      <c r="R68" s="5"/>
      <c r="S68" s="5"/>
    </row>
    <row r="69" spans="2:26">
      <c r="B69" s="41"/>
      <c r="C69" s="5"/>
      <c r="D69" s="5"/>
      <c r="E69" s="5"/>
      <c r="F69" s="5"/>
      <c r="G69" s="5"/>
      <c r="H69" s="5"/>
      <c r="I69" s="248"/>
      <c r="Q69" s="5"/>
      <c r="R69" s="5"/>
      <c r="S69" s="5"/>
    </row>
    <row r="70" spans="2:26">
      <c r="B70" s="41"/>
      <c r="C70" s="245"/>
      <c r="D70" s="245"/>
      <c r="E70" s="245"/>
      <c r="F70" s="245"/>
      <c r="G70" s="245"/>
      <c r="H70" s="245"/>
      <c r="I70" s="5"/>
      <c r="Q70" s="5"/>
      <c r="R70" s="5"/>
      <c r="S70" s="5"/>
      <c r="W70" s="76"/>
      <c r="X70" s="76"/>
    </row>
    <row r="71" spans="2:26">
      <c r="B71" s="5"/>
      <c r="C71" s="5"/>
      <c r="D71" s="248"/>
      <c r="E71" s="248"/>
      <c r="F71" s="248"/>
      <c r="G71" s="248"/>
      <c r="H71" s="248"/>
      <c r="I71" s="245"/>
      <c r="J71" s="248"/>
      <c r="K71" s="248"/>
      <c r="L71" s="248"/>
      <c r="M71" s="248"/>
      <c r="N71" s="248"/>
      <c r="O71" s="5"/>
      <c r="Q71" s="5"/>
      <c r="R71" s="5"/>
      <c r="S71" s="5"/>
      <c r="W71" s="76"/>
      <c r="X71" s="76"/>
      <c r="Y71" s="76"/>
      <c r="Z71" s="76"/>
    </row>
    <row r="72" spans="2:26">
      <c r="B72" s="41"/>
      <c r="C72" s="5"/>
      <c r="D72" s="5"/>
      <c r="E72" s="5"/>
      <c r="F72" s="5"/>
      <c r="G72" s="5"/>
      <c r="H72" s="5"/>
      <c r="I72" s="18"/>
      <c r="J72" s="5"/>
      <c r="K72" s="5"/>
      <c r="L72" s="5"/>
      <c r="M72" s="5"/>
      <c r="N72" s="5"/>
      <c r="O72" s="5"/>
      <c r="Q72" s="5"/>
      <c r="R72" s="5"/>
      <c r="S72" s="5"/>
      <c r="Y72" s="76"/>
      <c r="Z72" s="76"/>
    </row>
    <row r="73" spans="2:26">
      <c r="B73" s="41"/>
      <c r="C73" s="245"/>
      <c r="D73" s="245"/>
      <c r="E73" s="245"/>
      <c r="F73" s="245"/>
      <c r="G73" s="245"/>
      <c r="H73" s="245"/>
      <c r="I73" s="5"/>
      <c r="J73" s="245"/>
      <c r="K73" s="245"/>
      <c r="L73" s="245"/>
      <c r="M73" s="245"/>
      <c r="N73" s="245"/>
      <c r="O73" s="251"/>
      <c r="Q73" s="5"/>
      <c r="R73" s="5"/>
      <c r="S73" s="5"/>
    </row>
    <row r="74" spans="2:26">
      <c r="B74" s="5"/>
      <c r="C74" s="5"/>
      <c r="D74" s="18"/>
      <c r="E74" s="18"/>
      <c r="F74" s="18"/>
      <c r="G74" s="18"/>
      <c r="H74" s="18"/>
      <c r="I74" s="249"/>
      <c r="J74" s="18"/>
      <c r="K74" s="18"/>
      <c r="L74" s="18"/>
      <c r="M74" s="18"/>
      <c r="N74" s="18"/>
      <c r="O74" s="5"/>
      <c r="Q74" s="5"/>
      <c r="R74" s="5"/>
      <c r="S74" s="5"/>
    </row>
    <row r="75" spans="2:26">
      <c r="B75" s="41"/>
      <c r="C75" s="5"/>
      <c r="D75" s="5"/>
      <c r="E75" s="5"/>
      <c r="F75" s="5"/>
      <c r="G75" s="5"/>
      <c r="H75" s="5"/>
      <c r="I75" s="248"/>
      <c r="J75" s="5"/>
      <c r="K75" s="5"/>
      <c r="L75" s="5"/>
      <c r="M75" s="5"/>
      <c r="N75" s="5"/>
      <c r="O75" s="5"/>
      <c r="Q75" s="5"/>
      <c r="R75" s="5"/>
      <c r="S75" s="5"/>
    </row>
    <row r="76" spans="2:26">
      <c r="B76" s="41"/>
      <c r="C76" s="249"/>
      <c r="D76" s="249"/>
      <c r="E76" s="249"/>
      <c r="F76" s="249"/>
      <c r="G76" s="249"/>
      <c r="H76" s="249"/>
      <c r="I76" s="5"/>
      <c r="J76" s="249"/>
      <c r="K76" s="249"/>
      <c r="L76" s="249"/>
      <c r="M76" s="249"/>
      <c r="N76" s="249"/>
      <c r="O76" s="251"/>
      <c r="Q76" s="5"/>
      <c r="R76" s="5"/>
      <c r="S76" s="5"/>
    </row>
    <row r="77" spans="2:26">
      <c r="B77" s="5"/>
      <c r="C77" s="5"/>
      <c r="D77" s="248"/>
      <c r="E77" s="248"/>
      <c r="F77" s="248"/>
      <c r="G77" s="248"/>
      <c r="H77" s="248"/>
      <c r="I77" s="245"/>
      <c r="J77" s="248"/>
      <c r="K77" s="248"/>
      <c r="L77" s="248"/>
      <c r="M77" s="248"/>
      <c r="N77" s="248"/>
      <c r="O77" s="5"/>
      <c r="Q77" s="5"/>
      <c r="R77" s="5"/>
      <c r="S77" s="5"/>
    </row>
    <row r="78" spans="2:26">
      <c r="B78" s="41"/>
      <c r="C78" s="5"/>
      <c r="D78" s="5"/>
      <c r="E78" s="5"/>
      <c r="F78" s="5"/>
      <c r="G78" s="5"/>
      <c r="H78" s="5"/>
      <c r="I78" s="248"/>
      <c r="J78" s="5"/>
      <c r="K78" s="5"/>
      <c r="L78" s="5"/>
      <c r="M78" s="5"/>
      <c r="N78" s="5"/>
      <c r="O78" s="5"/>
      <c r="Q78" s="5"/>
      <c r="R78" s="5"/>
      <c r="S78" s="5"/>
    </row>
    <row r="79" spans="2:26">
      <c r="B79" s="41"/>
      <c r="C79" s="245"/>
      <c r="D79" s="245"/>
      <c r="E79" s="245"/>
      <c r="F79" s="245"/>
      <c r="G79" s="245"/>
      <c r="H79" s="245"/>
      <c r="I79" s="5"/>
      <c r="J79" s="245"/>
      <c r="K79" s="245"/>
      <c r="L79" s="245"/>
      <c r="M79" s="245"/>
      <c r="N79" s="245"/>
      <c r="O79" s="251"/>
      <c r="Q79" s="5"/>
      <c r="R79" s="5"/>
      <c r="S79" s="5"/>
    </row>
    <row r="80" spans="2:26">
      <c r="B80" s="5"/>
      <c r="C80" s="5"/>
      <c r="D80" s="248"/>
      <c r="E80" s="248"/>
      <c r="F80" s="248"/>
      <c r="G80" s="248"/>
      <c r="H80" s="248"/>
      <c r="I80" s="249"/>
      <c r="J80" s="248"/>
      <c r="K80" s="248"/>
      <c r="L80" s="248"/>
      <c r="M80" s="248"/>
      <c r="N80" s="248"/>
      <c r="O80" s="5"/>
      <c r="Q80" s="5"/>
      <c r="R80" s="5"/>
      <c r="S80" s="5"/>
    </row>
    <row r="81" spans="2:26">
      <c r="B81" s="41"/>
      <c r="C81" s="5"/>
      <c r="D81" s="5"/>
      <c r="E81" s="5"/>
      <c r="F81" s="5"/>
      <c r="G81" s="5"/>
      <c r="H81" s="5"/>
      <c r="I81" s="248"/>
      <c r="J81" s="5"/>
      <c r="K81" s="5"/>
      <c r="L81" s="5"/>
      <c r="M81" s="5"/>
      <c r="N81" s="5"/>
      <c r="O81" s="5"/>
      <c r="Q81" s="5"/>
      <c r="R81" s="5"/>
      <c r="S81" s="5"/>
    </row>
    <row r="82" spans="2:26">
      <c r="B82" s="41"/>
      <c r="C82" s="249"/>
      <c r="D82" s="249"/>
      <c r="E82" s="249"/>
      <c r="F82" s="249"/>
      <c r="G82" s="249"/>
      <c r="H82" s="249"/>
      <c r="I82" s="259"/>
      <c r="J82" s="249"/>
      <c r="K82" s="249"/>
      <c r="L82" s="249"/>
      <c r="M82" s="249"/>
      <c r="N82" s="249"/>
      <c r="O82" s="251"/>
      <c r="Q82" s="5"/>
      <c r="R82" s="5"/>
      <c r="S82" s="5"/>
    </row>
    <row r="83" spans="2:26">
      <c r="B83" s="5"/>
      <c r="C83" s="5"/>
      <c r="D83" s="248"/>
      <c r="E83" s="248"/>
      <c r="F83" s="248"/>
      <c r="G83" s="248"/>
      <c r="H83" s="248"/>
      <c r="I83" s="5"/>
      <c r="J83" s="248"/>
      <c r="K83" s="248"/>
      <c r="L83" s="248"/>
      <c r="M83" s="248"/>
      <c r="N83" s="248"/>
      <c r="O83" s="5"/>
      <c r="Q83" s="5"/>
      <c r="R83" s="5"/>
      <c r="S83" s="5"/>
    </row>
    <row r="84" spans="2:26">
      <c r="B84" s="5"/>
      <c r="C84" s="259"/>
      <c r="D84" s="259"/>
      <c r="E84" s="259"/>
      <c r="F84" s="259"/>
      <c r="G84" s="259"/>
      <c r="H84" s="259"/>
      <c r="I84" s="245"/>
      <c r="J84" s="259"/>
      <c r="K84" s="259"/>
      <c r="L84" s="259"/>
      <c r="M84" s="259"/>
      <c r="N84" s="259"/>
      <c r="O84" s="251"/>
      <c r="Q84" s="5"/>
      <c r="R84" s="5"/>
      <c r="S84" s="5"/>
    </row>
    <row r="85" spans="2:26">
      <c r="B85" s="41"/>
      <c r="C85" s="5"/>
      <c r="D85" s="5"/>
      <c r="E85" s="5"/>
      <c r="F85" s="5"/>
      <c r="G85" s="5"/>
      <c r="H85" s="5"/>
      <c r="I85" s="248"/>
      <c r="J85" s="5"/>
      <c r="K85" s="5"/>
      <c r="L85" s="5"/>
      <c r="M85" s="5"/>
      <c r="N85" s="5"/>
      <c r="O85" s="5"/>
      <c r="Q85" s="5"/>
      <c r="R85" s="5"/>
      <c r="S85" s="5"/>
    </row>
    <row r="86" spans="2:26">
      <c r="B86" s="41"/>
      <c r="C86" s="245"/>
      <c r="D86" s="245"/>
      <c r="E86" s="245"/>
      <c r="F86" s="245"/>
      <c r="G86" s="245"/>
      <c r="H86" s="245"/>
      <c r="I86" s="5"/>
      <c r="J86" s="245"/>
      <c r="K86" s="245"/>
      <c r="L86" s="245"/>
      <c r="M86" s="245"/>
      <c r="N86" s="245"/>
      <c r="O86" s="251"/>
      <c r="Q86" s="5"/>
      <c r="R86" s="5"/>
      <c r="S86" s="5"/>
    </row>
    <row r="87" spans="2:26">
      <c r="B87" s="5"/>
      <c r="C87" s="5"/>
      <c r="D87" s="248"/>
      <c r="E87" s="248"/>
      <c r="F87" s="248"/>
      <c r="G87" s="248"/>
      <c r="H87" s="248"/>
      <c r="I87" s="5"/>
      <c r="J87" s="248"/>
      <c r="K87" s="248"/>
      <c r="L87" s="248"/>
      <c r="M87" s="248"/>
      <c r="N87" s="248"/>
      <c r="O87" s="5"/>
      <c r="Q87" s="5"/>
      <c r="R87" s="5"/>
      <c r="S87" s="5"/>
    </row>
    <row r="88" spans="2:26">
      <c r="B88" s="41"/>
      <c r="C88" s="5"/>
      <c r="D88" s="5"/>
      <c r="E88" s="5"/>
      <c r="F88" s="5"/>
      <c r="G88" s="5"/>
      <c r="H88" s="5"/>
      <c r="I88" s="5"/>
      <c r="J88" s="5"/>
      <c r="K88" s="5"/>
      <c r="L88" s="5"/>
      <c r="M88" s="5"/>
      <c r="N88" s="5"/>
      <c r="O88" s="5"/>
      <c r="Q88" s="5"/>
      <c r="R88" s="5"/>
      <c r="S88" s="5"/>
    </row>
    <row r="89" spans="2:26">
      <c r="B89" s="41"/>
      <c r="C89" s="5"/>
      <c r="D89" s="5"/>
      <c r="E89" s="5"/>
      <c r="F89" s="5"/>
      <c r="G89" s="5"/>
      <c r="H89" s="5"/>
      <c r="I89" s="5"/>
      <c r="J89" s="5"/>
      <c r="K89" s="5"/>
      <c r="L89" s="5"/>
      <c r="M89" s="5"/>
      <c r="N89" s="5"/>
      <c r="O89" s="5"/>
      <c r="Q89" s="5"/>
      <c r="R89" s="5"/>
      <c r="S89" s="5"/>
    </row>
    <row r="90" spans="2:26">
      <c r="B90" s="41"/>
      <c r="C90" s="5"/>
      <c r="D90" s="5"/>
      <c r="E90" s="5"/>
      <c r="F90" s="5"/>
      <c r="G90" s="5"/>
      <c r="H90" s="5"/>
      <c r="I90" s="49"/>
      <c r="J90" s="5"/>
      <c r="K90" s="5"/>
      <c r="L90" s="5"/>
      <c r="M90" s="5"/>
      <c r="N90" s="5"/>
      <c r="O90" s="5"/>
      <c r="Q90" s="41"/>
      <c r="R90" s="5"/>
      <c r="S90" s="5"/>
    </row>
    <row r="91" spans="2:26">
      <c r="B91" s="5"/>
      <c r="C91" s="5"/>
      <c r="D91" s="5"/>
      <c r="E91" s="5"/>
      <c r="F91" s="5"/>
      <c r="G91" s="5"/>
      <c r="H91" s="5"/>
      <c r="I91" s="5"/>
      <c r="J91" s="5"/>
      <c r="K91" s="5"/>
      <c r="L91" s="5"/>
      <c r="M91" s="5"/>
      <c r="N91" s="5"/>
      <c r="O91" s="5"/>
      <c r="Q91" s="5"/>
      <c r="R91" s="5"/>
      <c r="S91" s="5"/>
    </row>
    <row r="92" spans="2:26">
      <c r="B92" s="41"/>
      <c r="C92" s="49"/>
      <c r="D92" s="49"/>
      <c r="E92" s="49"/>
      <c r="F92" s="49"/>
      <c r="G92" s="49"/>
      <c r="H92" s="49"/>
      <c r="I92" s="247"/>
      <c r="J92" s="49"/>
      <c r="K92" s="49"/>
      <c r="L92" s="49"/>
      <c r="M92" s="49"/>
      <c r="N92" s="49"/>
      <c r="O92" s="49"/>
      <c r="Q92" s="5"/>
      <c r="R92" s="5"/>
      <c r="S92" s="5"/>
      <c r="W92" s="21"/>
      <c r="X92" s="21"/>
    </row>
    <row r="93" spans="2:26">
      <c r="B93" s="5"/>
      <c r="C93" s="5"/>
      <c r="D93" s="5"/>
      <c r="E93" s="5"/>
      <c r="F93" s="5"/>
      <c r="G93" s="5"/>
      <c r="H93" s="5"/>
      <c r="I93" s="247"/>
      <c r="J93" s="5"/>
      <c r="K93" s="5"/>
      <c r="L93" s="5"/>
      <c r="M93" s="5"/>
      <c r="N93" s="5"/>
      <c r="O93" s="5"/>
      <c r="Q93" s="5"/>
      <c r="R93" s="5"/>
      <c r="S93" s="5"/>
      <c r="W93" s="21"/>
      <c r="X93" s="21"/>
      <c r="Y93" s="21"/>
      <c r="Z93" s="21"/>
    </row>
    <row r="94" spans="2:26">
      <c r="B94" s="5"/>
      <c r="C94" s="259"/>
      <c r="D94" s="247"/>
      <c r="E94" s="247"/>
      <c r="F94" s="247"/>
      <c r="G94" s="247"/>
      <c r="H94" s="247"/>
      <c r="I94" s="247"/>
      <c r="J94" s="247"/>
      <c r="K94" s="247"/>
      <c r="L94" s="247"/>
      <c r="M94" s="247"/>
      <c r="N94" s="247"/>
      <c r="O94" s="248"/>
      <c r="Q94" s="5"/>
      <c r="R94" s="5"/>
      <c r="S94" s="5"/>
      <c r="Y94" s="21"/>
      <c r="Z94" s="21"/>
    </row>
    <row r="95" spans="2:26">
      <c r="B95" s="5"/>
      <c r="C95" s="259"/>
      <c r="D95" s="247"/>
      <c r="E95" s="247"/>
      <c r="F95" s="247"/>
      <c r="G95" s="247"/>
      <c r="H95" s="247"/>
      <c r="I95" s="248"/>
      <c r="J95" s="247"/>
      <c r="K95" s="247"/>
      <c r="L95" s="247"/>
      <c r="M95" s="247"/>
      <c r="N95" s="247"/>
      <c r="O95" s="248"/>
      <c r="Q95" s="5"/>
      <c r="R95" s="5"/>
      <c r="S95" s="5"/>
    </row>
    <row r="96" spans="2:26">
      <c r="B96" s="5"/>
      <c r="C96" s="259"/>
      <c r="D96" s="247"/>
      <c r="E96" s="247"/>
      <c r="F96" s="247"/>
      <c r="G96" s="247"/>
      <c r="H96" s="247"/>
      <c r="I96" s="247"/>
      <c r="J96" s="247"/>
      <c r="K96" s="247"/>
      <c r="L96" s="247"/>
      <c r="M96" s="247"/>
      <c r="N96" s="247"/>
      <c r="O96" s="248"/>
      <c r="Q96" s="5"/>
      <c r="R96" s="5"/>
      <c r="S96" s="5"/>
    </row>
    <row r="97" spans="2:19">
      <c r="B97" s="5"/>
      <c r="C97" s="259"/>
      <c r="D97" s="248"/>
      <c r="E97" s="248"/>
      <c r="F97" s="248"/>
      <c r="G97" s="248"/>
      <c r="H97" s="248"/>
      <c r="I97" s="249"/>
      <c r="J97" s="248"/>
      <c r="K97" s="248"/>
      <c r="L97" s="248"/>
      <c r="M97" s="248"/>
      <c r="N97" s="248"/>
      <c r="O97" s="248"/>
      <c r="Q97" s="5"/>
      <c r="R97" s="5"/>
      <c r="S97" s="5"/>
    </row>
    <row r="98" spans="2:19">
      <c r="B98" s="5"/>
      <c r="C98" s="259"/>
      <c r="D98" s="247"/>
      <c r="E98" s="247"/>
      <c r="F98" s="247"/>
      <c r="G98" s="247"/>
      <c r="H98" s="247"/>
      <c r="I98" s="248"/>
      <c r="J98" s="247"/>
      <c r="K98" s="247"/>
      <c r="L98" s="247"/>
      <c r="M98" s="247"/>
      <c r="N98" s="247"/>
      <c r="O98" s="248"/>
      <c r="Q98" s="5"/>
      <c r="R98" s="5"/>
      <c r="S98" s="5"/>
    </row>
    <row r="99" spans="2:19">
      <c r="B99" s="41"/>
      <c r="C99" s="249"/>
      <c r="D99" s="249"/>
      <c r="E99" s="249"/>
      <c r="F99" s="249"/>
      <c r="G99" s="249"/>
      <c r="H99" s="249"/>
      <c r="I99" s="5"/>
      <c r="J99" s="249"/>
      <c r="K99" s="249"/>
      <c r="L99" s="249"/>
      <c r="M99" s="249"/>
      <c r="N99" s="249"/>
      <c r="O99" s="248"/>
      <c r="Q99" s="5"/>
      <c r="R99" s="5"/>
      <c r="S99" s="5"/>
    </row>
    <row r="100" spans="2:19">
      <c r="B100" s="41"/>
      <c r="C100" s="257"/>
      <c r="D100" s="248"/>
      <c r="E100" s="248"/>
      <c r="F100" s="248"/>
      <c r="G100" s="248"/>
      <c r="H100" s="248"/>
      <c r="I100" s="259"/>
      <c r="J100" s="248"/>
      <c r="K100" s="248"/>
      <c r="L100" s="248"/>
      <c r="M100" s="248"/>
      <c r="N100" s="248"/>
      <c r="O100" s="248"/>
      <c r="Q100" s="5"/>
      <c r="R100" s="5"/>
      <c r="S100" s="5"/>
    </row>
    <row r="101" spans="2:19" s="5" customFormat="1">
      <c r="B101" s="41"/>
      <c r="I101" s="259"/>
      <c r="O101" s="248"/>
      <c r="P101" s="39"/>
    </row>
    <row r="102" spans="2:19">
      <c r="B102" s="5"/>
      <c r="C102" s="259"/>
      <c r="D102" s="259"/>
      <c r="E102" s="259"/>
      <c r="F102" s="259"/>
      <c r="G102" s="259"/>
      <c r="H102" s="259"/>
      <c r="I102" s="247"/>
      <c r="J102" s="259"/>
      <c r="K102" s="259"/>
      <c r="L102" s="259"/>
      <c r="M102" s="259"/>
      <c r="N102" s="259"/>
      <c r="O102" s="5"/>
      <c r="Q102" s="5"/>
      <c r="R102" s="5"/>
      <c r="S102" s="5"/>
    </row>
    <row r="103" spans="2:19">
      <c r="B103" s="5"/>
      <c r="C103" s="259"/>
      <c r="D103" s="259"/>
      <c r="E103" s="259"/>
      <c r="F103" s="259"/>
      <c r="G103" s="259"/>
      <c r="H103" s="259"/>
      <c r="I103" s="5"/>
      <c r="J103" s="259"/>
      <c r="K103" s="259"/>
      <c r="L103" s="259"/>
      <c r="M103" s="259"/>
      <c r="N103" s="259"/>
      <c r="O103" s="5"/>
      <c r="P103" s="5"/>
      <c r="Q103" s="5"/>
      <c r="R103" s="5"/>
      <c r="S103" s="5"/>
    </row>
    <row r="104" spans="2:19">
      <c r="B104" s="5"/>
      <c r="C104" s="247"/>
      <c r="D104" s="247"/>
      <c r="E104" s="247"/>
      <c r="F104" s="247"/>
      <c r="G104" s="247"/>
      <c r="H104" s="247"/>
      <c r="I104" s="247"/>
      <c r="J104" s="247"/>
      <c r="K104" s="247"/>
      <c r="L104" s="247"/>
      <c r="M104" s="247"/>
      <c r="N104" s="247"/>
      <c r="O104" s="5"/>
      <c r="Q104" s="5"/>
      <c r="R104" s="5"/>
      <c r="S104" s="5"/>
    </row>
    <row r="105" spans="2:19" s="5" customFormat="1">
      <c r="P105" s="39"/>
    </row>
    <row r="106" spans="2:19" s="5" customFormat="1">
      <c r="C106" s="259"/>
      <c r="D106" s="247"/>
      <c r="E106" s="247"/>
      <c r="F106" s="247"/>
      <c r="G106" s="247"/>
      <c r="H106" s="247"/>
      <c r="I106" s="259"/>
      <c r="J106" s="247"/>
      <c r="K106" s="247"/>
      <c r="L106" s="247"/>
      <c r="M106" s="247"/>
      <c r="N106" s="247"/>
      <c r="P106" s="39"/>
    </row>
    <row r="107" spans="2:19">
      <c r="B107" s="5"/>
      <c r="C107" s="259"/>
      <c r="D107" s="5"/>
      <c r="E107" s="5"/>
      <c r="F107" s="5"/>
      <c r="G107" s="5"/>
      <c r="H107" s="5"/>
      <c r="I107" s="247"/>
      <c r="J107" s="5"/>
      <c r="K107" s="5"/>
      <c r="L107" s="5"/>
      <c r="M107" s="5"/>
      <c r="N107" s="5"/>
      <c r="O107" s="5"/>
      <c r="P107" s="5"/>
      <c r="Q107" s="5"/>
      <c r="R107" s="5"/>
      <c r="S107" s="5"/>
    </row>
    <row r="108" spans="2:19">
      <c r="B108" s="5"/>
      <c r="C108" s="259"/>
      <c r="D108" s="259"/>
      <c r="E108" s="259"/>
      <c r="F108" s="259"/>
      <c r="G108" s="259"/>
      <c r="H108" s="259"/>
      <c r="I108" s="249"/>
      <c r="J108" s="259"/>
      <c r="K108" s="259"/>
      <c r="L108" s="259"/>
      <c r="M108" s="259"/>
      <c r="N108" s="259"/>
      <c r="O108" s="5"/>
      <c r="P108" s="5"/>
      <c r="Q108" s="5"/>
      <c r="R108" s="5"/>
      <c r="S108" s="5"/>
    </row>
    <row r="109" spans="2:19">
      <c r="B109" s="5"/>
      <c r="C109" s="247"/>
      <c r="D109" s="247"/>
      <c r="E109" s="247"/>
      <c r="F109" s="247"/>
      <c r="G109" s="247"/>
      <c r="H109" s="247"/>
      <c r="I109" s="249"/>
      <c r="J109" s="247"/>
      <c r="K109" s="247"/>
      <c r="L109" s="247"/>
      <c r="M109" s="247"/>
      <c r="N109" s="247"/>
      <c r="O109" s="5"/>
      <c r="Q109" s="5"/>
      <c r="R109" s="5"/>
      <c r="S109" s="5"/>
    </row>
    <row r="110" spans="2:19">
      <c r="B110" s="41"/>
      <c r="C110" s="249"/>
      <c r="D110" s="249"/>
      <c r="E110" s="249"/>
      <c r="F110" s="249"/>
      <c r="G110" s="249"/>
      <c r="H110" s="249"/>
      <c r="I110" s="247"/>
      <c r="J110" s="249"/>
      <c r="K110" s="249"/>
      <c r="L110" s="249"/>
      <c r="M110" s="249"/>
      <c r="N110" s="249"/>
      <c r="O110" s="5"/>
      <c r="Q110" s="5"/>
      <c r="R110" s="5"/>
      <c r="S110" s="5"/>
    </row>
    <row r="111" spans="2:19">
      <c r="B111" s="5"/>
      <c r="C111" s="249"/>
      <c r="D111" s="249"/>
      <c r="E111" s="249"/>
      <c r="F111" s="249"/>
      <c r="G111" s="249"/>
      <c r="H111" s="249"/>
      <c r="I111" s="5"/>
      <c r="J111" s="249"/>
      <c r="K111" s="249"/>
      <c r="L111" s="249"/>
      <c r="M111" s="249"/>
      <c r="N111" s="249"/>
      <c r="O111" s="5"/>
      <c r="Q111" s="5"/>
      <c r="R111" s="5"/>
      <c r="S111" s="5"/>
    </row>
    <row r="112" spans="2:19">
      <c r="B112" s="5"/>
      <c r="C112" s="247"/>
      <c r="D112" s="247"/>
      <c r="E112" s="247"/>
      <c r="F112" s="247"/>
      <c r="G112" s="247"/>
      <c r="H112" s="247"/>
      <c r="I112" s="5"/>
      <c r="J112" s="247"/>
      <c r="K112" s="247"/>
      <c r="L112" s="247"/>
      <c r="M112" s="247"/>
      <c r="N112" s="247"/>
      <c r="O112" s="5"/>
      <c r="Q112" s="5"/>
      <c r="R112" s="5"/>
      <c r="S112" s="5"/>
    </row>
    <row r="113" spans="2:19">
      <c r="B113" s="5"/>
      <c r="C113" s="5"/>
      <c r="D113" s="5"/>
      <c r="E113" s="5"/>
      <c r="F113" s="5"/>
      <c r="G113" s="5"/>
      <c r="H113" s="5"/>
      <c r="I113" s="5"/>
      <c r="J113" s="5"/>
      <c r="K113" s="5"/>
      <c r="L113" s="5"/>
      <c r="M113" s="5"/>
      <c r="N113" s="5"/>
      <c r="O113" s="5"/>
      <c r="Q113" s="5"/>
      <c r="R113" s="5"/>
      <c r="S113" s="5"/>
    </row>
    <row r="114" spans="2:19">
      <c r="B114" s="5"/>
      <c r="C114" s="5"/>
      <c r="D114" s="5"/>
      <c r="E114" s="5"/>
      <c r="F114" s="5"/>
      <c r="G114" s="5"/>
      <c r="H114" s="5"/>
      <c r="I114" s="5"/>
      <c r="J114" s="5"/>
      <c r="K114" s="5"/>
      <c r="L114" s="5"/>
      <c r="M114" s="5"/>
      <c r="N114" s="5"/>
      <c r="O114" s="5"/>
      <c r="Q114" s="5"/>
      <c r="R114" s="5"/>
      <c r="S114" s="5"/>
    </row>
    <row r="115" spans="2:19">
      <c r="B115" s="5"/>
      <c r="C115" s="5"/>
      <c r="D115" s="5"/>
      <c r="E115" s="5"/>
      <c r="F115" s="5"/>
      <c r="G115" s="5"/>
      <c r="H115" s="5"/>
      <c r="I115" s="49"/>
      <c r="J115" s="5"/>
      <c r="K115" s="5"/>
      <c r="L115" s="5"/>
      <c r="M115" s="5"/>
      <c r="N115" s="5"/>
      <c r="O115" s="5"/>
      <c r="Q115" s="41"/>
      <c r="R115" s="5"/>
      <c r="S115" s="5"/>
    </row>
    <row r="116" spans="2:19">
      <c r="B116" s="5"/>
      <c r="C116" s="5"/>
      <c r="D116" s="5"/>
      <c r="E116" s="5"/>
      <c r="F116" s="5"/>
      <c r="G116" s="5"/>
      <c r="H116" s="5"/>
      <c r="I116" s="5"/>
      <c r="J116" s="5"/>
      <c r="K116" s="5"/>
      <c r="L116" s="5"/>
      <c r="M116" s="5"/>
      <c r="N116" s="5"/>
      <c r="O116" s="5"/>
      <c r="Q116" s="5"/>
      <c r="R116" s="5"/>
      <c r="S116" s="5"/>
    </row>
    <row r="117" spans="2:19">
      <c r="B117" s="41"/>
      <c r="C117" s="49"/>
      <c r="D117" s="49"/>
      <c r="E117" s="49"/>
      <c r="F117" s="49"/>
      <c r="G117" s="49"/>
      <c r="H117" s="49"/>
      <c r="I117" s="254"/>
      <c r="J117" s="49"/>
      <c r="K117" s="49"/>
      <c r="L117" s="49"/>
      <c r="M117" s="49"/>
      <c r="N117" s="49"/>
      <c r="O117" s="49"/>
      <c r="Q117" s="5"/>
      <c r="R117" s="5"/>
      <c r="S117" s="5"/>
    </row>
    <row r="118" spans="2:19">
      <c r="B118" s="5"/>
      <c r="C118" s="5"/>
      <c r="D118" s="5"/>
      <c r="E118" s="5"/>
      <c r="F118" s="5"/>
      <c r="G118" s="5"/>
      <c r="H118" s="5"/>
      <c r="I118" s="249"/>
      <c r="J118" s="5"/>
      <c r="K118" s="5"/>
      <c r="L118" s="5"/>
      <c r="M118" s="5"/>
      <c r="N118" s="5"/>
      <c r="O118" s="5"/>
      <c r="Q118" s="5"/>
      <c r="R118" s="5"/>
      <c r="S118" s="5"/>
    </row>
    <row r="119" spans="2:19">
      <c r="B119" s="41"/>
      <c r="C119" s="254"/>
      <c r="D119" s="254"/>
      <c r="E119" s="254"/>
      <c r="F119" s="254"/>
      <c r="G119" s="254"/>
      <c r="H119" s="254"/>
      <c r="I119" s="254"/>
      <c r="J119" s="254"/>
      <c r="K119" s="254"/>
      <c r="L119" s="254"/>
      <c r="M119" s="254"/>
      <c r="N119" s="254"/>
      <c r="O119" s="248"/>
      <c r="Q119" s="5"/>
      <c r="R119" s="5"/>
      <c r="S119" s="5"/>
    </row>
    <row r="120" spans="2:19">
      <c r="B120" s="41"/>
      <c r="C120" s="254"/>
      <c r="D120" s="249"/>
      <c r="E120" s="249"/>
      <c r="F120" s="249"/>
      <c r="G120" s="249"/>
      <c r="H120" s="249"/>
      <c r="I120" s="254"/>
      <c r="J120" s="249"/>
      <c r="K120" s="249"/>
      <c r="L120" s="249"/>
      <c r="M120" s="249"/>
      <c r="N120" s="249"/>
      <c r="O120" s="248"/>
      <c r="Q120" s="5"/>
      <c r="R120" s="5"/>
      <c r="S120" s="5"/>
    </row>
    <row r="121" spans="2:19">
      <c r="B121" s="41"/>
      <c r="C121" s="254"/>
      <c r="D121" s="254"/>
      <c r="E121" s="254"/>
      <c r="F121" s="254"/>
      <c r="G121" s="254"/>
      <c r="H121" s="254"/>
      <c r="I121" s="254"/>
      <c r="J121" s="254"/>
      <c r="K121" s="254"/>
      <c r="L121" s="254"/>
      <c r="M121" s="254"/>
      <c r="N121" s="254"/>
      <c r="O121" s="248"/>
      <c r="Q121" s="5"/>
      <c r="R121" s="5"/>
      <c r="S121" s="5"/>
    </row>
    <row r="122" spans="2:19">
      <c r="B122" s="41"/>
      <c r="C122" s="254"/>
      <c r="D122" s="254"/>
      <c r="E122" s="254"/>
      <c r="F122" s="254"/>
      <c r="G122" s="254"/>
      <c r="H122" s="254"/>
      <c r="I122" s="254"/>
      <c r="J122" s="254"/>
      <c r="K122" s="254"/>
      <c r="L122" s="254"/>
      <c r="M122" s="254"/>
      <c r="N122" s="254"/>
      <c r="O122" s="248"/>
      <c r="Q122" s="5"/>
      <c r="R122" s="5"/>
      <c r="S122" s="5"/>
    </row>
    <row r="123" spans="2:19">
      <c r="B123" s="41"/>
      <c r="C123" s="254"/>
      <c r="D123" s="254"/>
      <c r="E123" s="254"/>
      <c r="F123" s="254"/>
      <c r="G123" s="254"/>
      <c r="H123" s="254"/>
      <c r="I123" s="254"/>
      <c r="J123" s="254"/>
      <c r="K123" s="254"/>
      <c r="L123" s="254"/>
      <c r="M123" s="254"/>
      <c r="N123" s="254"/>
      <c r="O123" s="248"/>
      <c r="Q123" s="5"/>
      <c r="R123" s="5"/>
      <c r="S123" s="5"/>
    </row>
    <row r="124" spans="2:19">
      <c r="B124" s="41"/>
      <c r="C124" s="254"/>
      <c r="D124" s="254"/>
      <c r="E124" s="254"/>
      <c r="F124" s="254"/>
      <c r="G124" s="254"/>
      <c r="H124" s="254"/>
      <c r="I124" s="254"/>
      <c r="J124" s="254"/>
      <c r="K124" s="254"/>
      <c r="L124" s="254"/>
      <c r="M124" s="254"/>
      <c r="N124" s="254"/>
      <c r="O124" s="248"/>
      <c r="Q124" s="5"/>
      <c r="R124" s="5"/>
      <c r="S124" s="5"/>
    </row>
    <row r="125" spans="2:19">
      <c r="B125" s="41"/>
      <c r="C125" s="254"/>
      <c r="D125" s="254"/>
      <c r="E125" s="254"/>
      <c r="F125" s="254"/>
      <c r="G125" s="254"/>
      <c r="H125" s="254"/>
      <c r="I125" s="254"/>
      <c r="J125" s="254"/>
      <c r="K125" s="254"/>
      <c r="L125" s="254"/>
      <c r="M125" s="254"/>
      <c r="N125" s="254"/>
      <c r="O125" s="5"/>
      <c r="Q125" s="5"/>
      <c r="R125" s="5"/>
      <c r="S125" s="5"/>
    </row>
    <row r="126" spans="2:19">
      <c r="B126" s="41"/>
      <c r="C126" s="254"/>
      <c r="D126" s="254"/>
      <c r="E126" s="254"/>
      <c r="F126" s="254"/>
      <c r="G126" s="254"/>
      <c r="H126" s="254"/>
      <c r="I126" s="254"/>
      <c r="J126" s="254"/>
      <c r="K126" s="254"/>
      <c r="L126" s="254"/>
      <c r="M126" s="254"/>
      <c r="N126" s="254"/>
      <c r="O126" s="5"/>
      <c r="Q126" s="5"/>
      <c r="R126" s="5"/>
      <c r="S126" s="5"/>
    </row>
    <row r="127" spans="2:19">
      <c r="B127" s="41"/>
      <c r="C127" s="254"/>
      <c r="D127" s="254"/>
      <c r="E127" s="254"/>
      <c r="F127" s="254"/>
      <c r="G127" s="254"/>
      <c r="H127" s="254"/>
      <c r="I127" s="18"/>
      <c r="J127" s="254"/>
      <c r="K127" s="254"/>
      <c r="L127" s="254"/>
      <c r="M127" s="254"/>
      <c r="N127" s="254"/>
      <c r="O127" s="5"/>
      <c r="Q127" s="5"/>
      <c r="R127" s="5"/>
      <c r="S127" s="5"/>
    </row>
    <row r="128" spans="2:19">
      <c r="B128" s="41"/>
      <c r="C128" s="254"/>
      <c r="D128" s="254"/>
      <c r="E128" s="254"/>
      <c r="F128" s="254"/>
      <c r="G128" s="254"/>
      <c r="H128" s="254"/>
      <c r="I128" s="5"/>
      <c r="J128" s="254"/>
      <c r="K128" s="254"/>
      <c r="L128" s="254"/>
      <c r="M128" s="254"/>
      <c r="N128" s="254"/>
      <c r="O128" s="5"/>
      <c r="Q128" s="5"/>
      <c r="R128" s="5"/>
      <c r="S128" s="5"/>
    </row>
    <row r="129" spans="2:27">
      <c r="B129" s="5"/>
      <c r="C129" s="5"/>
      <c r="D129" s="18"/>
      <c r="E129" s="18"/>
      <c r="F129" s="18"/>
      <c r="G129" s="18"/>
      <c r="H129" s="18"/>
      <c r="I129" s="254"/>
      <c r="J129" s="18"/>
      <c r="K129" s="18"/>
      <c r="L129" s="18"/>
      <c r="M129" s="18"/>
      <c r="N129" s="18"/>
      <c r="O129" s="5"/>
      <c r="Q129" s="5"/>
      <c r="R129" s="5"/>
      <c r="S129" s="5"/>
    </row>
    <row r="130" spans="2:27">
      <c r="B130" s="5"/>
      <c r="C130" s="5"/>
      <c r="D130" s="5"/>
      <c r="E130" s="5"/>
      <c r="F130" s="5"/>
      <c r="G130" s="5"/>
      <c r="H130" s="5"/>
      <c r="I130" s="18"/>
      <c r="J130" s="5"/>
      <c r="K130" s="5"/>
      <c r="L130" s="5"/>
      <c r="M130" s="5"/>
      <c r="N130" s="5"/>
      <c r="O130" s="5"/>
      <c r="Q130" s="5"/>
      <c r="R130" s="5"/>
      <c r="S130" s="5"/>
    </row>
    <row r="131" spans="2:27">
      <c r="B131" s="41"/>
      <c r="C131" s="254"/>
      <c r="D131" s="254"/>
      <c r="E131" s="254"/>
      <c r="F131" s="254"/>
      <c r="G131" s="254"/>
      <c r="H131" s="254"/>
      <c r="I131" s="5"/>
      <c r="J131" s="254"/>
      <c r="K131" s="254"/>
      <c r="L131" s="254"/>
      <c r="M131" s="254"/>
      <c r="N131" s="254"/>
      <c r="O131" s="5"/>
      <c r="Q131" s="5"/>
      <c r="R131" s="5"/>
      <c r="S131" s="5"/>
    </row>
    <row r="132" spans="2:27">
      <c r="B132" s="5"/>
      <c r="C132" s="259"/>
      <c r="D132" s="18"/>
      <c r="E132" s="18"/>
      <c r="F132" s="18"/>
      <c r="G132" s="18"/>
      <c r="H132" s="18"/>
      <c r="I132" s="5"/>
      <c r="J132" s="18"/>
      <c r="K132" s="18"/>
      <c r="L132" s="18"/>
      <c r="M132" s="18"/>
      <c r="N132" s="18"/>
      <c r="O132" s="5"/>
      <c r="Q132" s="5"/>
      <c r="R132" s="5"/>
      <c r="S132" s="5"/>
    </row>
    <row r="133" spans="2:27">
      <c r="B133" s="5"/>
      <c r="C133" s="5"/>
      <c r="D133" s="5"/>
      <c r="E133" s="5"/>
      <c r="F133" s="5"/>
      <c r="G133" s="5"/>
      <c r="H133" s="5"/>
      <c r="I133" s="17"/>
      <c r="J133" s="5"/>
      <c r="K133" s="5"/>
      <c r="L133" s="5"/>
      <c r="M133" s="5"/>
      <c r="N133" s="5"/>
      <c r="O133" s="5"/>
      <c r="Q133" s="5"/>
      <c r="R133" s="5"/>
      <c r="S133" s="5"/>
    </row>
    <row r="134" spans="2:27">
      <c r="B134" s="41"/>
      <c r="C134" s="5"/>
      <c r="D134" s="5"/>
      <c r="E134" s="5"/>
      <c r="F134" s="5"/>
      <c r="G134" s="5"/>
      <c r="H134" s="5"/>
      <c r="I134" s="17"/>
      <c r="J134" s="5"/>
      <c r="K134" s="5"/>
      <c r="L134" s="5"/>
      <c r="M134" s="5"/>
      <c r="N134" s="5"/>
      <c r="O134" s="5"/>
      <c r="Q134" s="5"/>
      <c r="R134" s="5"/>
      <c r="S134" s="5"/>
    </row>
    <row r="135" spans="2:27">
      <c r="B135" s="5"/>
      <c r="C135" s="17"/>
      <c r="D135" s="17"/>
      <c r="E135" s="17"/>
      <c r="F135" s="17"/>
      <c r="G135" s="17"/>
      <c r="H135" s="17"/>
      <c r="I135" s="17"/>
      <c r="J135" s="17"/>
      <c r="K135" s="17"/>
      <c r="L135" s="17"/>
      <c r="M135" s="17"/>
      <c r="N135" s="17"/>
      <c r="O135" s="5"/>
      <c r="Q135" s="41"/>
      <c r="R135" s="5"/>
      <c r="S135" s="5"/>
    </row>
    <row r="136" spans="2:27">
      <c r="B136" s="5"/>
      <c r="C136" s="17"/>
      <c r="D136" s="17"/>
      <c r="E136" s="17"/>
      <c r="F136" s="17"/>
      <c r="G136" s="17"/>
      <c r="H136" s="17"/>
      <c r="I136" s="17"/>
      <c r="J136" s="17"/>
      <c r="K136" s="17"/>
      <c r="L136" s="17"/>
      <c r="M136" s="17"/>
      <c r="N136" s="17"/>
      <c r="O136" s="5"/>
      <c r="Q136" s="5"/>
      <c r="R136" s="5"/>
      <c r="S136" s="5"/>
      <c r="X136" s="304"/>
    </row>
    <row r="137" spans="2:27">
      <c r="B137" s="5"/>
      <c r="C137" s="5"/>
      <c r="D137" s="17"/>
      <c r="E137" s="17"/>
      <c r="F137" s="17"/>
      <c r="G137" s="17"/>
      <c r="H137" s="17"/>
      <c r="I137" s="17"/>
      <c r="J137" s="17"/>
      <c r="K137" s="17"/>
      <c r="L137" s="17"/>
      <c r="M137" s="17"/>
      <c r="N137" s="17"/>
      <c r="O137" s="5"/>
      <c r="Q137" s="5"/>
      <c r="R137" s="5"/>
      <c r="S137" s="5"/>
      <c r="X137" s="10"/>
      <c r="Y137" s="304"/>
      <c r="Z137" s="304"/>
      <c r="AA137" s="304"/>
    </row>
    <row r="138" spans="2:27">
      <c r="B138" s="5"/>
      <c r="C138" s="5"/>
      <c r="D138" s="17"/>
      <c r="E138" s="17"/>
      <c r="F138" s="17"/>
      <c r="G138" s="17"/>
      <c r="H138" s="17"/>
      <c r="I138" s="17"/>
      <c r="J138" s="17"/>
      <c r="K138" s="17"/>
      <c r="L138" s="17"/>
      <c r="M138" s="17"/>
      <c r="N138" s="17"/>
      <c r="O138" s="5"/>
      <c r="Q138" s="5"/>
      <c r="R138" s="5"/>
      <c r="S138" s="5"/>
      <c r="Y138" s="10"/>
      <c r="Z138" s="10"/>
      <c r="AA138" s="10"/>
    </row>
    <row r="139" spans="2:27">
      <c r="B139" s="5"/>
      <c r="C139" s="5"/>
      <c r="D139" s="17"/>
      <c r="E139" s="17"/>
      <c r="F139" s="17"/>
      <c r="G139" s="17"/>
      <c r="H139" s="17"/>
      <c r="I139" s="5"/>
      <c r="J139" s="17"/>
      <c r="K139" s="17"/>
      <c r="L139" s="17"/>
      <c r="M139" s="17"/>
      <c r="N139" s="17"/>
      <c r="O139" s="5"/>
      <c r="Q139" s="5"/>
      <c r="R139" s="5"/>
      <c r="S139" s="5"/>
    </row>
    <row r="140" spans="2:27">
      <c r="B140" s="5"/>
      <c r="C140" s="17"/>
      <c r="D140" s="17"/>
      <c r="E140" s="17"/>
      <c r="F140" s="17"/>
      <c r="G140" s="17"/>
      <c r="H140" s="17"/>
      <c r="I140" s="5"/>
      <c r="J140" s="17"/>
      <c r="K140" s="17"/>
      <c r="L140" s="17"/>
      <c r="M140" s="17"/>
      <c r="N140" s="17"/>
      <c r="O140" s="5"/>
      <c r="Q140" s="5"/>
      <c r="R140" s="5"/>
      <c r="S140" s="5"/>
    </row>
    <row r="141" spans="2:27">
      <c r="B141" s="5"/>
      <c r="C141" s="5"/>
      <c r="D141" s="5"/>
      <c r="E141" s="5"/>
      <c r="F141" s="5"/>
      <c r="G141" s="5"/>
      <c r="H141" s="5"/>
      <c r="I141" s="5"/>
      <c r="J141" s="5"/>
      <c r="K141" s="5"/>
      <c r="L141" s="5"/>
      <c r="M141" s="5"/>
      <c r="N141" s="5"/>
      <c r="O141" s="5"/>
      <c r="Q141" s="5"/>
      <c r="R141" s="5"/>
      <c r="S141" s="5"/>
    </row>
    <row r="142" spans="2:27">
      <c r="B142" s="5"/>
      <c r="C142" s="5"/>
      <c r="D142" s="5"/>
      <c r="E142" s="5"/>
      <c r="F142" s="5"/>
      <c r="G142" s="5"/>
      <c r="H142" s="5"/>
      <c r="I142" s="5"/>
      <c r="J142" s="5"/>
      <c r="K142" s="5"/>
      <c r="L142" s="5"/>
      <c r="M142" s="5"/>
      <c r="N142" s="5"/>
      <c r="O142" s="5"/>
      <c r="Q142" s="5"/>
      <c r="R142" s="5"/>
      <c r="S142" s="5"/>
    </row>
    <row r="143" spans="2:27">
      <c r="B143" s="5"/>
      <c r="C143" s="5"/>
      <c r="D143" s="5"/>
      <c r="E143" s="5"/>
      <c r="F143" s="5"/>
      <c r="G143" s="5"/>
      <c r="H143" s="5"/>
      <c r="I143" s="5"/>
      <c r="J143" s="5"/>
      <c r="K143" s="5"/>
      <c r="L143" s="5"/>
      <c r="M143" s="5"/>
      <c r="N143" s="5"/>
      <c r="O143" s="5"/>
      <c r="Q143" s="5"/>
      <c r="R143" s="5"/>
      <c r="S143" s="5"/>
    </row>
    <row r="144" spans="2:27">
      <c r="B144" s="5"/>
      <c r="C144" s="5"/>
      <c r="D144" s="5"/>
      <c r="E144" s="5"/>
      <c r="F144" s="5"/>
      <c r="G144" s="5"/>
      <c r="H144" s="5"/>
      <c r="I144" s="5"/>
      <c r="J144" s="5"/>
      <c r="K144" s="5"/>
      <c r="L144" s="5"/>
      <c r="M144" s="5"/>
      <c r="N144" s="5"/>
      <c r="O144" s="5"/>
      <c r="Q144" s="5"/>
      <c r="R144" s="5"/>
      <c r="S144" s="5"/>
    </row>
    <row r="145" spans="2:19">
      <c r="B145" s="5"/>
      <c r="C145" s="5"/>
      <c r="D145" s="5"/>
      <c r="E145" s="5"/>
      <c r="F145" s="5"/>
      <c r="G145" s="5"/>
      <c r="H145" s="5"/>
      <c r="I145" s="5"/>
      <c r="J145" s="5"/>
      <c r="K145" s="5"/>
      <c r="L145" s="5"/>
      <c r="M145" s="5"/>
      <c r="N145" s="5"/>
      <c r="O145" s="5"/>
      <c r="Q145" s="5"/>
      <c r="R145" s="5"/>
      <c r="S145" s="5"/>
    </row>
    <row r="146" spans="2:19">
      <c r="B146" s="5"/>
      <c r="C146" s="5"/>
      <c r="D146" s="5"/>
      <c r="E146" s="5"/>
      <c r="F146" s="5"/>
      <c r="G146" s="5"/>
      <c r="H146" s="5"/>
      <c r="I146" s="5"/>
      <c r="J146" s="5"/>
      <c r="K146" s="5"/>
      <c r="L146" s="5"/>
      <c r="M146" s="5"/>
      <c r="N146" s="5"/>
      <c r="O146" s="5"/>
      <c r="Q146" s="5"/>
      <c r="R146" s="5"/>
      <c r="S146" s="5"/>
    </row>
    <row r="147" spans="2:19">
      <c r="B147" s="5"/>
      <c r="C147" s="5"/>
      <c r="D147" s="5"/>
      <c r="E147" s="5"/>
      <c r="F147" s="5"/>
      <c r="G147" s="5"/>
      <c r="H147" s="5"/>
      <c r="I147" s="5"/>
      <c r="J147" s="5"/>
      <c r="K147" s="5"/>
      <c r="L147" s="5"/>
      <c r="M147" s="5"/>
      <c r="N147" s="5"/>
      <c r="O147" s="5"/>
      <c r="Q147" s="5"/>
      <c r="R147" s="5"/>
      <c r="S147" s="5"/>
    </row>
    <row r="148" spans="2:19">
      <c r="B148" s="5"/>
      <c r="C148" s="5"/>
      <c r="D148" s="5"/>
      <c r="E148" s="5"/>
      <c r="F148" s="5"/>
      <c r="G148" s="5"/>
      <c r="H148" s="5"/>
      <c r="I148" s="5"/>
      <c r="J148" s="5"/>
      <c r="K148" s="5"/>
      <c r="L148" s="5"/>
      <c r="M148" s="5"/>
      <c r="N148" s="5"/>
      <c r="O148" s="5"/>
      <c r="Q148" s="5"/>
      <c r="R148" s="5"/>
      <c r="S148" s="5"/>
    </row>
    <row r="149" spans="2:19">
      <c r="B149" s="5"/>
      <c r="C149" s="5"/>
      <c r="D149" s="5"/>
      <c r="E149" s="5"/>
      <c r="F149" s="5"/>
      <c r="G149" s="5"/>
      <c r="H149" s="5"/>
      <c r="J149" s="5"/>
      <c r="K149" s="5"/>
      <c r="L149" s="5"/>
      <c r="M149" s="5"/>
      <c r="N149" s="5"/>
      <c r="O149" s="5"/>
      <c r="Q149" s="5"/>
      <c r="R149" s="5"/>
      <c r="S149" s="5"/>
    </row>
    <row r="150" spans="2:19">
      <c r="B150" s="5"/>
      <c r="C150" s="5"/>
      <c r="D150" s="5"/>
      <c r="E150" s="5"/>
      <c r="F150" s="5"/>
      <c r="G150" s="5"/>
      <c r="H150" s="5"/>
      <c r="J150" s="5"/>
      <c r="K150" s="5"/>
      <c r="L150" s="5"/>
      <c r="M150" s="5"/>
      <c r="N150" s="5"/>
      <c r="O150" s="5"/>
      <c r="Q150" s="5"/>
      <c r="R150" s="5"/>
      <c r="S150" s="5"/>
    </row>
    <row r="151" spans="2:19">
      <c r="Q151" s="5"/>
      <c r="R151" s="5"/>
      <c r="S151" s="5"/>
    </row>
    <row r="152" spans="2:19">
      <c r="Q152" s="5"/>
      <c r="R152" s="5"/>
      <c r="S152" s="5"/>
    </row>
    <row r="153" spans="2:19">
      <c r="C153" s="263"/>
      <c r="Q153" s="5"/>
      <c r="R153" s="5"/>
      <c r="S153" s="5"/>
    </row>
    <row r="154" spans="2:19">
      <c r="Q154" s="5"/>
      <c r="R154" s="5"/>
      <c r="S154" s="5"/>
    </row>
    <row r="155" spans="2:19">
      <c r="Q155" s="5"/>
      <c r="R155" s="5"/>
      <c r="S155" s="5"/>
    </row>
    <row r="156" spans="2:19">
      <c r="Q156" s="5"/>
      <c r="R156" s="5"/>
      <c r="S156" s="5"/>
    </row>
    <row r="157" spans="2:19">
      <c r="Q157" s="5"/>
      <c r="R157" s="5"/>
      <c r="S157" s="5"/>
    </row>
    <row r="158" spans="2:19">
      <c r="Q158" s="5"/>
      <c r="R158" s="5"/>
      <c r="S158" s="5"/>
    </row>
    <row r="159" spans="2:19">
      <c r="Q159" s="5"/>
      <c r="R159" s="5"/>
      <c r="S159" s="5"/>
    </row>
    <row r="160" spans="2:19">
      <c r="Q160" s="5"/>
      <c r="R160" s="5"/>
      <c r="S160" s="5"/>
    </row>
    <row r="161" spans="17:19">
      <c r="Q161" s="5"/>
      <c r="R161" s="5"/>
      <c r="S161" s="5"/>
    </row>
    <row r="162" spans="17:19">
      <c r="Q162" s="5"/>
      <c r="R162" s="5"/>
      <c r="S162" s="5"/>
    </row>
    <row r="163" spans="17:19">
      <c r="Q163" s="5"/>
      <c r="R163" s="5"/>
      <c r="S163" s="5"/>
    </row>
    <row r="164" spans="17:19">
      <c r="Q164" s="5"/>
      <c r="R164" s="5"/>
      <c r="S164" s="5"/>
    </row>
    <row r="165" spans="17:19">
      <c r="Q165" s="5"/>
      <c r="R165" s="5"/>
      <c r="S165" s="5"/>
    </row>
  </sheetData>
  <pageMargins left="0.75" right="0.75" top="1" bottom="1" header="0.5" footer="0.5"/>
  <pageSetup scale="71" orientation="landscape" r:id="rId1"/>
  <headerFooter alignWithMargins="0"/>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codeName="Sheet133">
    <pageSetUpPr fitToPage="1"/>
  </sheetPr>
  <dimension ref="B1:AR165"/>
  <sheetViews>
    <sheetView showGridLines="0" zoomScale="80" zoomScaleNormal="80" workbookViewId="0"/>
  </sheetViews>
  <sheetFormatPr defaultColWidth="9.109375" defaultRowHeight="12"/>
  <cols>
    <col min="1" max="1" width="2.33203125" style="39" customWidth="1"/>
    <col min="2" max="2" width="26.5546875" style="39" customWidth="1"/>
    <col min="3" max="9" width="10" style="39" customWidth="1"/>
    <col min="10" max="10" width="26.6640625" style="39" customWidth="1"/>
    <col min="11" max="16" width="10" style="39" customWidth="1"/>
    <col min="17" max="19" width="8.6640625" style="39" customWidth="1"/>
    <col min="20" max="28" width="8.6640625" style="5" customWidth="1"/>
    <col min="29" max="44" width="9.109375" style="5"/>
    <col min="45" max="16384" width="9.109375" style="39"/>
  </cols>
  <sheetData>
    <row r="1" spans="2:44" s="312" customFormat="1">
      <c r="T1" s="149"/>
      <c r="U1" s="149"/>
      <c r="V1" s="149"/>
      <c r="W1" s="149"/>
      <c r="X1" s="149"/>
      <c r="Y1" s="149"/>
      <c r="Z1" s="149"/>
      <c r="AA1" s="149"/>
      <c r="AB1" s="149"/>
      <c r="AC1" s="149"/>
      <c r="AD1" s="149"/>
      <c r="AE1" s="149"/>
      <c r="AF1" s="149"/>
      <c r="AG1" s="149"/>
      <c r="AH1" s="149"/>
      <c r="AI1" s="149"/>
      <c r="AJ1" s="149"/>
      <c r="AK1" s="149"/>
      <c r="AL1" s="149"/>
      <c r="AM1" s="149"/>
      <c r="AN1" s="149"/>
      <c r="AO1" s="149"/>
      <c r="AP1" s="149"/>
      <c r="AQ1" s="149"/>
      <c r="AR1" s="149"/>
    </row>
    <row r="2" spans="2:44" s="149" customFormat="1"/>
    <row r="3" spans="2:44" s="149" customFormat="1">
      <c r="H3" s="153"/>
      <c r="P3" s="153"/>
    </row>
    <row r="4" spans="2:44" s="156" customFormat="1" ht="21">
      <c r="B4" s="129" t="s">
        <v>1047</v>
      </c>
      <c r="H4" s="222"/>
      <c r="P4" s="222"/>
    </row>
    <row r="5" spans="2:44" s="149" customFormat="1">
      <c r="C5" s="153"/>
      <c r="D5" s="153" t="str" cm="1">
        <f t="array" ref="D5:H5">headings</f>
        <v>2023E</v>
      </c>
      <c r="E5" s="153" t="str">
        <v>2024E</v>
      </c>
      <c r="F5" s="153" t="str">
        <v>2025E</v>
      </c>
      <c r="G5" s="153" t="str">
        <v>2026E</v>
      </c>
      <c r="H5" s="153" t="str">
        <v>23E-26E</v>
      </c>
      <c r="I5" s="153"/>
      <c r="J5" s="153"/>
      <c r="K5" s="153"/>
      <c r="L5" s="153" t="str" cm="1">
        <f t="array" ref="L5:P5">headings</f>
        <v>2023E</v>
      </c>
      <c r="M5" s="153" t="str">
        <v>2024E</v>
      </c>
      <c r="N5" s="153" t="str">
        <v>2025E</v>
      </c>
      <c r="O5" s="153" t="str">
        <v>2026E</v>
      </c>
      <c r="P5" s="153" t="str">
        <v>23E-26E</v>
      </c>
      <c r="Q5" s="162"/>
      <c r="R5" s="162"/>
      <c r="S5" s="162"/>
      <c r="T5" s="162"/>
      <c r="U5" s="162"/>
      <c r="V5" s="162"/>
      <c r="W5" s="162"/>
      <c r="X5" s="162"/>
      <c r="Y5" s="162"/>
    </row>
    <row r="6" spans="2:44">
      <c r="I6" s="5"/>
      <c r="J6" s="5"/>
      <c r="K6" s="5"/>
      <c r="L6" s="5"/>
      <c r="M6" s="5"/>
      <c r="N6" s="5"/>
      <c r="O6" s="49"/>
    </row>
    <row r="7" spans="2:44" ht="12.6" thickBot="1">
      <c r="B7" s="306" t="s">
        <v>271</v>
      </c>
      <c r="C7" s="265"/>
      <c r="D7" s="265" t="str">
        <f>D5</f>
        <v>2023E</v>
      </c>
      <c r="E7" s="265" t="str">
        <f t="shared" ref="E7:H7" si="0">E5</f>
        <v>2024E</v>
      </c>
      <c r="F7" s="265" t="str">
        <f t="shared" si="0"/>
        <v>2025E</v>
      </c>
      <c r="G7" s="265" t="str">
        <f t="shared" si="0"/>
        <v>2026E</v>
      </c>
      <c r="H7" s="265" t="str">
        <f t="shared" si="0"/>
        <v>23E-26E</v>
      </c>
      <c r="I7" s="49"/>
      <c r="J7" s="306" t="s">
        <v>74</v>
      </c>
      <c r="K7" s="306"/>
      <c r="L7" s="265" t="str">
        <f>L5</f>
        <v>2023E</v>
      </c>
      <c r="M7" s="265" t="str">
        <f t="shared" ref="M7:P7" si="1">M5</f>
        <v>2024E</v>
      </c>
      <c r="N7" s="265" t="str">
        <f t="shared" si="1"/>
        <v>2025E</v>
      </c>
      <c r="O7" s="265" t="str">
        <f t="shared" si="1"/>
        <v>2026E</v>
      </c>
      <c r="P7" s="265" t="str">
        <f t="shared" si="1"/>
        <v>23E-26E</v>
      </c>
    </row>
    <row r="8" spans="2:44" ht="12.6" thickTop="1">
      <c r="B8" s="5"/>
      <c r="C8" s="5"/>
      <c r="D8" s="5"/>
      <c r="E8" s="5"/>
      <c r="F8" s="5"/>
      <c r="G8" s="5"/>
      <c r="H8" s="5"/>
      <c r="I8" s="5"/>
      <c r="J8" s="5"/>
      <c r="K8" s="5"/>
      <c r="L8" s="5"/>
      <c r="M8" s="5"/>
      <c r="N8" s="5"/>
      <c r="S8" s="88"/>
      <c r="T8" s="42"/>
      <c r="U8" s="42"/>
      <c r="V8" s="42"/>
      <c r="W8" s="42"/>
      <c r="X8" s="42"/>
      <c r="Y8" s="42"/>
      <c r="Z8" s="42"/>
      <c r="AA8" s="42"/>
    </row>
    <row r="9" spans="2:44">
      <c r="B9" s="41" t="s">
        <v>972</v>
      </c>
      <c r="C9" s="285">
        <f>Prices!C65</f>
        <v>1897.5</v>
      </c>
      <c r="D9" s="533">
        <v>0</v>
      </c>
      <c r="E9" s="533">
        <v>0</v>
      </c>
      <c r="F9" s="533">
        <v>0</v>
      </c>
      <c r="G9" s="533">
        <v>0</v>
      </c>
      <c r="H9" s="249"/>
      <c r="I9" s="249"/>
      <c r="J9" s="5" t="s">
        <v>273</v>
      </c>
      <c r="L9" s="529">
        <f>'AGG ASIA CELLULAR'!D37</f>
        <v>2.0832818906884643</v>
      </c>
      <c r="M9" s="529">
        <f>'AGG ASIA CELLULAR'!E37</f>
        <v>1.9180381131180324</v>
      </c>
      <c r="N9" s="529">
        <f>'AGG ASIA CELLULAR'!F37</f>
        <v>1.6973984727138696</v>
      </c>
      <c r="O9" s="529">
        <f>'AGG ASIA CELLULAR'!G37</f>
        <v>1.4849146547081604</v>
      </c>
      <c r="P9" s="286">
        <f>'AGG ASIA CELLULAR'!H37</f>
        <v>5.2823672985303771E-2</v>
      </c>
      <c r="S9" s="88"/>
      <c r="T9" s="42"/>
      <c r="U9" s="42"/>
      <c r="V9" s="42"/>
      <c r="W9" s="42"/>
      <c r="X9" s="42"/>
      <c r="Y9" s="42"/>
      <c r="Z9" s="42"/>
      <c r="AA9" s="42"/>
    </row>
    <row r="10" spans="2:44">
      <c r="B10" s="5" t="s">
        <v>274</v>
      </c>
      <c r="C10" s="5"/>
      <c r="D10" s="531">
        <v>4728.3987090000001</v>
      </c>
      <c r="E10" s="531">
        <v>4727.833320041771</v>
      </c>
      <c r="F10" s="531">
        <v>4726.5807336203261</v>
      </c>
      <c r="G10" s="531">
        <v>4724.2324297460364</v>
      </c>
      <c r="H10" s="249"/>
      <c r="I10" s="247"/>
      <c r="J10" s="5" t="s">
        <v>184</v>
      </c>
      <c r="L10" s="529">
        <f>'AGG ASIA CELLULAR'!D38</f>
        <v>6.3578764048835863</v>
      </c>
      <c r="M10" s="529">
        <f>'AGG ASIA CELLULAR'!E38</f>
        <v>5.8349432944863064</v>
      </c>
      <c r="N10" s="529">
        <f>'AGG ASIA CELLULAR'!F38</f>
        <v>5.103853656504258</v>
      </c>
      <c r="O10" s="529">
        <f>'AGG ASIA CELLULAR'!G38</f>
        <v>4.4165179955724438</v>
      </c>
      <c r="P10" s="286">
        <f>'AGG ASIA CELLULAR'!H38</f>
        <v>6.1901299000113985E-2</v>
      </c>
      <c r="S10" s="88"/>
      <c r="T10" s="42"/>
      <c r="U10" s="42"/>
      <c r="V10" s="42"/>
      <c r="W10" s="288"/>
      <c r="X10" s="288"/>
      <c r="Y10" s="288"/>
      <c r="Z10" s="288"/>
      <c r="AA10" s="42"/>
    </row>
    <row r="11" spans="2:44">
      <c r="B11" s="41" t="s">
        <v>876</v>
      </c>
      <c r="C11" s="5"/>
      <c r="D11" s="532">
        <f>($C$9*D10)/1000</f>
        <v>8972.136550327501</v>
      </c>
      <c r="E11" s="532">
        <f t="shared" ref="E11:G11" si="2">($C$9*E10)/1000</f>
        <v>8971.063724779262</v>
      </c>
      <c r="F11" s="532">
        <f t="shared" si="2"/>
        <v>8968.6869420445692</v>
      </c>
      <c r="G11" s="532">
        <f t="shared" si="2"/>
        <v>8964.2310354431047</v>
      </c>
      <c r="H11" s="249"/>
      <c r="I11" s="249"/>
      <c r="J11" s="5" t="s">
        <v>185</v>
      </c>
      <c r="L11" s="529">
        <f>'AGG ASIA CELLULAR'!D39</f>
        <v>12.256315794878686</v>
      </c>
      <c r="M11" s="529">
        <f>'AGG ASIA CELLULAR'!E39</f>
        <v>10.532349001792122</v>
      </c>
      <c r="N11" s="529">
        <f>'AGG ASIA CELLULAR'!F39</f>
        <v>8.8097379743624202</v>
      </c>
      <c r="O11" s="529">
        <f>'AGG ASIA CELLULAR'!G39</f>
        <v>7.3400525025099741</v>
      </c>
      <c r="P11" s="286">
        <f>'AGG ASIA CELLULAR'!H39</f>
        <v>0.11573327430771596</v>
      </c>
      <c r="S11" s="88"/>
      <c r="T11" s="42"/>
      <c r="U11" s="42"/>
      <c r="V11" s="42"/>
      <c r="W11" s="288"/>
      <c r="X11" s="288"/>
      <c r="Y11" s="288"/>
      <c r="Z11" s="288"/>
      <c r="AA11" s="42"/>
    </row>
    <row r="12" spans="2:44">
      <c r="B12" s="5" t="s">
        <v>24</v>
      </c>
      <c r="C12" s="249"/>
      <c r="D12" s="533">
        <v>4604.6122425575104</v>
      </c>
      <c r="E12" s="533">
        <v>4227.8938881710656</v>
      </c>
      <c r="F12" s="533">
        <v>3832.5074005155907</v>
      </c>
      <c r="G12" s="533">
        <v>3403.7959162637621</v>
      </c>
      <c r="H12" s="247"/>
      <c r="I12" s="247"/>
      <c r="J12" s="5" t="s">
        <v>466</v>
      </c>
      <c r="L12" s="529">
        <f>'AGG ASIA CELLULAR'!D40</f>
        <v>15.951300793811486</v>
      </c>
      <c r="M12" s="529">
        <f>'AGG ASIA CELLULAR'!E40</f>
        <v>13.847183646795452</v>
      </c>
      <c r="N12" s="529">
        <f>'AGG ASIA CELLULAR'!F40</f>
        <v>11.626709680654198</v>
      </c>
      <c r="O12" s="529">
        <f>'AGG ASIA CELLULAR'!G40</f>
        <v>9.7078389032116537</v>
      </c>
      <c r="P12" s="286">
        <f>'AGG ASIA CELLULAR'!H40</f>
        <v>0.10976572550111241</v>
      </c>
      <c r="S12" s="88"/>
      <c r="T12" s="42"/>
      <c r="U12" s="42"/>
      <c r="V12" s="42"/>
      <c r="W12" s="288"/>
      <c r="X12" s="288"/>
      <c r="Y12" s="288"/>
      <c r="Z12" s="288"/>
      <c r="AA12" s="42"/>
    </row>
    <row r="13" spans="2:44">
      <c r="B13" s="5" t="s">
        <v>529</v>
      </c>
      <c r="C13" s="257"/>
      <c r="D13" s="533">
        <v>0</v>
      </c>
      <c r="E13" s="533">
        <v>0</v>
      </c>
      <c r="F13" s="533">
        <v>0</v>
      </c>
      <c r="G13" s="533">
        <v>0</v>
      </c>
      <c r="H13" s="247"/>
      <c r="I13" s="247"/>
      <c r="J13" s="5" t="s">
        <v>530</v>
      </c>
      <c r="L13" s="529">
        <f>'AGG ASIA CELLULAR'!D41</f>
        <v>1.4274445412547272</v>
      </c>
      <c r="M13" s="529">
        <f>'AGG ASIA CELLULAR'!E41</f>
        <v>1.4179696737537477</v>
      </c>
      <c r="N13" s="529">
        <f>'AGG ASIA CELLULAR'!F41</f>
        <v>1.3450707920768976</v>
      </c>
      <c r="O13" s="529">
        <f>'AGG ASIA CELLULAR'!G41</f>
        <v>1.2618986136137988</v>
      </c>
      <c r="P13" s="286">
        <f>'AGG ASIA CELLULAR'!H41</f>
        <v>-2.0092563683029918E-2</v>
      </c>
      <c r="S13" s="88"/>
      <c r="T13" s="42"/>
      <c r="U13" s="42"/>
      <c r="V13" s="42"/>
      <c r="W13" s="42"/>
      <c r="X13" s="42"/>
      <c r="Y13" s="42"/>
      <c r="Z13" s="42"/>
      <c r="AA13" s="42"/>
    </row>
    <row r="14" spans="2:44">
      <c r="B14" s="5" t="s">
        <v>532</v>
      </c>
      <c r="C14" s="257"/>
      <c r="D14" s="533">
        <v>0</v>
      </c>
      <c r="E14" s="533">
        <f t="shared" ref="E14:G15" si="3">D14</f>
        <v>0</v>
      </c>
      <c r="F14" s="533">
        <f t="shared" si="3"/>
        <v>0</v>
      </c>
      <c r="G14" s="533">
        <f t="shared" si="3"/>
        <v>0</v>
      </c>
      <c r="H14" s="249"/>
      <c r="I14" s="247"/>
      <c r="J14" s="5" t="s">
        <v>593</v>
      </c>
      <c r="L14" s="529">
        <f>'AGG ASIA CELLULAR'!D42</f>
        <v>2.9130695199933734</v>
      </c>
      <c r="M14" s="529">
        <f>'AGG ASIA CELLULAR'!E42</f>
        <v>2.8146219035099969</v>
      </c>
      <c r="N14" s="529">
        <f>'AGG ASIA CELLULAR'!F42</f>
        <v>2.5888583636405476</v>
      </c>
      <c r="O14" s="529">
        <f>'AGG ASIA CELLULAR'!G42</f>
        <v>2.3605815546209548</v>
      </c>
      <c r="P14" s="286">
        <f>'AGG ASIA CELLULAR'!H42</f>
        <v>8.7512202951403051E-3</v>
      </c>
      <c r="S14" s="88"/>
      <c r="T14" s="42"/>
      <c r="U14" s="42"/>
      <c r="V14" s="42"/>
      <c r="W14" s="42"/>
      <c r="X14" s="42"/>
      <c r="Y14" s="42"/>
      <c r="Z14" s="42"/>
      <c r="AA14" s="42"/>
    </row>
    <row r="15" spans="2:44">
      <c r="B15" s="5" t="s">
        <v>531</v>
      </c>
      <c r="C15" s="274"/>
      <c r="D15" s="533">
        <v>0</v>
      </c>
      <c r="E15" s="533">
        <f t="shared" si="3"/>
        <v>0</v>
      </c>
      <c r="F15" s="533">
        <f t="shared" si="3"/>
        <v>0</v>
      </c>
      <c r="G15" s="533">
        <f t="shared" si="3"/>
        <v>0</v>
      </c>
      <c r="H15" s="247"/>
      <c r="I15" s="247"/>
      <c r="J15" s="5" t="s">
        <v>475</v>
      </c>
      <c r="L15" s="529">
        <f>'AGG ASIA CELLULAR'!D43</f>
        <v>19.278364274513134</v>
      </c>
      <c r="M15" s="529">
        <f>'AGG ASIA CELLULAR'!E43</f>
        <v>15.523038202411636</v>
      </c>
      <c r="N15" s="529">
        <f>'AGG ASIA CELLULAR'!F43</f>
        <v>13.257386088679914</v>
      </c>
      <c r="O15" s="529">
        <f>'AGG ASIA CELLULAR'!G43</f>
        <v>11.466142328229227</v>
      </c>
      <c r="P15" s="286">
        <f>'AGG ASIA CELLULAR'!H43</f>
        <v>0.18831027118838706</v>
      </c>
      <c r="S15" s="88"/>
      <c r="T15" s="42"/>
      <c r="U15" s="42"/>
      <c r="V15" s="42"/>
      <c r="W15" s="42"/>
      <c r="X15" s="42"/>
      <c r="Y15" s="42"/>
      <c r="Z15" s="42"/>
      <c r="AA15" s="42"/>
    </row>
    <row r="16" spans="2:44">
      <c r="B16" s="5" t="s">
        <v>534</v>
      </c>
      <c r="C16" s="257"/>
      <c r="D16" s="533">
        <v>0</v>
      </c>
      <c r="E16" s="533">
        <v>406.59366552359234</v>
      </c>
      <c r="F16" s="533">
        <v>822.53277008218106</v>
      </c>
      <c r="G16" s="533">
        <v>1272.9373862165533</v>
      </c>
      <c r="H16" s="247"/>
      <c r="I16" s="247"/>
      <c r="J16" s="5" t="s">
        <v>533</v>
      </c>
      <c r="L16" s="529">
        <f>'AGG ASIA CELLULAR'!D44</f>
        <v>20.50009040888548</v>
      </c>
      <c r="M16" s="529">
        <f>'AGG ASIA CELLULAR'!E44</f>
        <v>17.31807909095523</v>
      </c>
      <c r="N16" s="529">
        <f>'AGG ASIA CELLULAR'!F44</f>
        <v>14.883294016253318</v>
      </c>
      <c r="O16" s="529">
        <f>'AGG ASIA CELLULAR'!G44</f>
        <v>13.16548576425039</v>
      </c>
      <c r="P16" s="286">
        <f>'AGG ASIA CELLULAR'!H44</f>
        <v>0.15839482711139796</v>
      </c>
      <c r="S16" s="88"/>
      <c r="T16" s="42"/>
      <c r="U16" s="42"/>
      <c r="V16" s="42"/>
      <c r="W16" s="42"/>
      <c r="X16" s="42"/>
      <c r="Y16" s="42"/>
      <c r="Z16" s="42"/>
      <c r="AA16" s="42"/>
    </row>
    <row r="17" spans="2:27">
      <c r="B17" s="5" t="s">
        <v>6</v>
      </c>
      <c r="C17" s="257"/>
      <c r="D17" s="533">
        <v>0</v>
      </c>
      <c r="E17" s="533">
        <v>0</v>
      </c>
      <c r="F17" s="533">
        <v>0</v>
      </c>
      <c r="G17" s="533">
        <v>0</v>
      </c>
      <c r="H17" s="247"/>
      <c r="I17" s="247"/>
      <c r="J17" s="5" t="s">
        <v>580</v>
      </c>
      <c r="L17" s="248">
        <f>'AGG ASIA CELLULAR'!D45</f>
        <v>4.174038595528512E-2</v>
      </c>
      <c r="M17" s="248">
        <f>'AGG ASIA CELLULAR'!E45</f>
        <v>4.4792872771489058E-2</v>
      </c>
      <c r="N17" s="248">
        <f>'AGG ASIA CELLULAR'!F45</f>
        <v>5.1203391440393167E-2</v>
      </c>
      <c r="O17" s="248">
        <f>'AGG ASIA CELLULAR'!G45</f>
        <v>5.7913719466381006E-2</v>
      </c>
      <c r="P17" s="286">
        <f>'AGG ASIA CELLULAR'!H45</f>
        <v>0.11470165475568339</v>
      </c>
      <c r="S17" s="88"/>
      <c r="T17" s="42"/>
      <c r="U17" s="42"/>
      <c r="V17" s="42"/>
      <c r="W17" s="42"/>
      <c r="X17" s="42"/>
      <c r="Y17" s="42"/>
      <c r="Z17" s="42"/>
      <c r="AA17" s="42"/>
    </row>
    <row r="18" spans="2:27" ht="12.6" thickBot="1">
      <c r="B18" s="41" t="s">
        <v>1057</v>
      </c>
      <c r="C18" s="249"/>
      <c r="D18" s="534">
        <f>D11+D12+D13-SBKK!D14+D15-D16-D17</f>
        <v>13576.748792885011</v>
      </c>
      <c r="E18" s="534">
        <f>E11+E12+E13-E14+E15-E16-E17</f>
        <v>12792.363947426735</v>
      </c>
      <c r="F18" s="534">
        <f>F11+F12+F13-F14+F15-F16-F17</f>
        <v>11978.661572477979</v>
      </c>
      <c r="G18" s="534">
        <f>G11+G12+G13-G14+G15-G16-G17</f>
        <v>11095.089565490312</v>
      </c>
      <c r="H18" s="276">
        <f>IF(D18=0,"nm",IF(G18=0,"nm",(G18/D18)^(1/3)-1))</f>
        <v>-6.5071619507616862E-2</v>
      </c>
      <c r="I18" s="254"/>
      <c r="J18" s="5" t="s">
        <v>36</v>
      </c>
      <c r="L18" s="248" t="e">
        <f>'AGG ASIA CELLULAR'!D46</f>
        <v>#VALUE!</v>
      </c>
      <c r="M18" s="248" t="e">
        <f>'AGG ASIA CELLULAR'!E46</f>
        <v>#VALUE!</v>
      </c>
      <c r="N18" s="248" t="e">
        <f>'AGG ASIA CELLULAR'!F46</f>
        <v>#VALUE!</v>
      </c>
      <c r="O18" s="248" t="e">
        <f>'AGG ASIA CELLULAR'!G46</f>
        <v>#VALUE!</v>
      </c>
      <c r="P18" s="286" t="e">
        <f>'AGG ASIA CELLULAR'!H46</f>
        <v>#VALUE!</v>
      </c>
      <c r="S18" s="88"/>
      <c r="T18" s="42"/>
      <c r="U18" s="42"/>
      <c r="V18" s="42"/>
      <c r="W18" s="42"/>
      <c r="X18" s="42"/>
      <c r="Y18" s="42"/>
      <c r="Z18" s="42"/>
      <c r="AA18" s="42"/>
    </row>
    <row r="19" spans="2:27" ht="12.6" thickTop="1">
      <c r="B19" s="41"/>
      <c r="C19" s="249"/>
      <c r="D19" s="229"/>
      <c r="E19" s="229"/>
      <c r="F19" s="229"/>
      <c r="G19" s="229"/>
      <c r="H19" s="276"/>
      <c r="I19" s="254"/>
      <c r="J19" s="5" t="s">
        <v>581</v>
      </c>
      <c r="L19" s="248">
        <f>'AGG ASIA CELLULAR'!D47</f>
        <v>5.1871620732991598E-2</v>
      </c>
      <c r="M19" s="248">
        <f>'AGG ASIA CELLULAR'!E47</f>
        <v>6.4420378727447922E-2</v>
      </c>
      <c r="N19" s="248">
        <f>'AGG ASIA CELLULAR'!F47</f>
        <v>7.5429650559386677E-2</v>
      </c>
      <c r="O19" s="248">
        <f>'AGG ASIA CELLULAR'!G47</f>
        <v>8.7213290344219457E-2</v>
      </c>
      <c r="P19" s="286">
        <f>'AGG ASIA CELLULAR'!H47</f>
        <v>0.18831027118838706</v>
      </c>
      <c r="S19" s="88"/>
      <c r="T19" s="42"/>
      <c r="U19" s="42"/>
      <c r="V19" s="42"/>
      <c r="W19" s="42"/>
      <c r="X19" s="42"/>
      <c r="Y19" s="42"/>
      <c r="Z19" s="42"/>
      <c r="AA19" s="42"/>
    </row>
    <row r="20" spans="2:27">
      <c r="H20" s="277"/>
      <c r="I20" s="17"/>
      <c r="J20" s="5" t="s">
        <v>604</v>
      </c>
      <c r="L20" s="305">
        <f>'AGG ASIA CELLULAR'!D48</f>
        <v>0.92045377326476352</v>
      </c>
      <c r="M20" s="305">
        <f>'AGG ASIA CELLULAR'!E48</f>
        <v>0.79490390762892493</v>
      </c>
      <c r="N20" s="305">
        <f>'AGG ASIA CELLULAR'!F48</f>
        <v>0.7763724496707467</v>
      </c>
      <c r="O20" s="305">
        <f>'AGG ASIA CELLULAR'!G48</f>
        <v>0.75978089170129071</v>
      </c>
      <c r="P20" s="286" t="str">
        <f>'AGG ASIA CELLULAR'!H48</f>
        <v>nm</v>
      </c>
      <c r="S20" s="88"/>
      <c r="T20" s="42"/>
      <c r="U20" s="42"/>
      <c r="V20" s="42"/>
      <c r="W20" s="42"/>
      <c r="X20" s="42"/>
      <c r="Y20" s="42"/>
      <c r="Z20" s="42"/>
      <c r="AA20" s="42"/>
    </row>
    <row r="21" spans="2:27" ht="12.6" thickBot="1">
      <c r="B21" s="306" t="s">
        <v>973</v>
      </c>
      <c r="C21" s="265"/>
      <c r="D21" s="265" t="str">
        <f>D5</f>
        <v>2023E</v>
      </c>
      <c r="E21" s="265" t="str">
        <f t="shared" ref="E21:H21" si="4">E5</f>
        <v>2024E</v>
      </c>
      <c r="F21" s="265" t="str">
        <f t="shared" si="4"/>
        <v>2025E</v>
      </c>
      <c r="G21" s="265" t="str">
        <f t="shared" si="4"/>
        <v>2026E</v>
      </c>
      <c r="H21" s="265" t="str">
        <f t="shared" si="4"/>
        <v>23E-26E</v>
      </c>
      <c r="I21" s="49"/>
      <c r="J21" s="41"/>
      <c r="L21" s="250"/>
      <c r="M21" s="250"/>
      <c r="N21" s="250"/>
      <c r="O21" s="250"/>
      <c r="P21" s="286"/>
      <c r="S21" s="88"/>
      <c r="T21" s="42"/>
      <c r="U21" s="42"/>
      <c r="V21" s="42"/>
      <c r="W21" s="42"/>
      <c r="X21" s="42"/>
      <c r="Y21" s="42"/>
      <c r="Z21" s="42"/>
      <c r="AA21" s="42"/>
    </row>
    <row r="22" spans="2:27" ht="12.6" thickTop="1">
      <c r="B22" s="5"/>
      <c r="C22" s="257"/>
      <c r="D22" s="17"/>
      <c r="E22" s="17"/>
      <c r="F22" s="17"/>
      <c r="G22" s="17"/>
      <c r="H22" s="17"/>
      <c r="I22" s="17"/>
      <c r="P22" s="277"/>
      <c r="S22" s="88"/>
      <c r="T22" s="42"/>
      <c r="U22" s="42"/>
      <c r="V22" s="42"/>
      <c r="W22" s="42"/>
      <c r="X22" s="42"/>
      <c r="Y22" s="42"/>
      <c r="Z22" s="42"/>
      <c r="AA22" s="42"/>
    </row>
    <row r="23" spans="2:27" ht="12.6" thickBot="1">
      <c r="B23" s="5" t="s">
        <v>584</v>
      </c>
      <c r="C23" s="548">
        <v>5912</v>
      </c>
      <c r="D23" s="540">
        <v>6084</v>
      </c>
      <c r="E23" s="540">
        <v>6484.6274764868394</v>
      </c>
      <c r="F23" s="540">
        <v>6855.5578128399347</v>
      </c>
      <c r="G23" s="540">
        <v>7263.8189341723819</v>
      </c>
      <c r="H23" s="279">
        <f t="shared" ref="H23:H32" si="5">IF(D23=0,"nm",IF(G23=0,"nm",(G23/D23)^(1/3)-1))</f>
        <v>6.0861287290907562E-2</v>
      </c>
      <c r="I23" s="247"/>
      <c r="J23" s="306" t="s">
        <v>9</v>
      </c>
      <c r="K23" s="306"/>
      <c r="L23" s="265" t="str">
        <f>D21</f>
        <v>2023E</v>
      </c>
      <c r="M23" s="265" t="str">
        <f t="shared" ref="M23:P23" si="6">E21</f>
        <v>2024E</v>
      </c>
      <c r="N23" s="265" t="str">
        <f t="shared" si="6"/>
        <v>2025E</v>
      </c>
      <c r="O23" s="265" t="str">
        <f t="shared" si="6"/>
        <v>2026E</v>
      </c>
      <c r="P23" s="265" t="str">
        <f t="shared" si="6"/>
        <v>23E-26E</v>
      </c>
      <c r="S23" s="88"/>
      <c r="T23" s="42"/>
      <c r="U23" s="42"/>
      <c r="V23" s="42"/>
      <c r="W23" s="42"/>
      <c r="X23" s="42"/>
      <c r="Y23" s="42"/>
      <c r="Z23" s="42"/>
      <c r="AA23" s="42"/>
    </row>
    <row r="24" spans="2:27" ht="12.6" thickTop="1">
      <c r="B24" s="5" t="s">
        <v>483</v>
      </c>
      <c r="C24" s="549">
        <v>1566.3999999999999</v>
      </c>
      <c r="D24" s="540">
        <v>1667.6</v>
      </c>
      <c r="E24" s="540">
        <v>1677.0249024080167</v>
      </c>
      <c r="F24" s="540">
        <v>1779.016192610384</v>
      </c>
      <c r="G24" s="540">
        <v>1898.2571466732613</v>
      </c>
      <c r="H24" s="279">
        <f t="shared" si="5"/>
        <v>4.4129547060272056E-2</v>
      </c>
      <c r="I24" s="249"/>
      <c r="J24" s="17"/>
      <c r="K24" s="17"/>
      <c r="L24" s="17"/>
      <c r="M24" s="17"/>
      <c r="N24" s="17"/>
      <c r="O24" s="248"/>
      <c r="S24" s="88"/>
      <c r="T24" s="42"/>
      <c r="U24" s="42"/>
      <c r="V24" s="42"/>
      <c r="W24" s="42" t="s">
        <v>1045</v>
      </c>
      <c r="X24" s="42" t="s">
        <v>257</v>
      </c>
      <c r="Y24" s="42"/>
      <c r="Z24" s="42"/>
      <c r="AA24" s="42"/>
    </row>
    <row r="25" spans="2:27">
      <c r="B25" s="5" t="s">
        <v>183</v>
      </c>
      <c r="C25" s="548">
        <v>958.89999999999986</v>
      </c>
      <c r="D25" s="540">
        <v>1115.3999999999999</v>
      </c>
      <c r="E25" s="540">
        <v>1151.3440133318636</v>
      </c>
      <c r="F25" s="540">
        <v>1247.0512590804233</v>
      </c>
      <c r="G25" s="540">
        <v>1359.6939664668025</v>
      </c>
      <c r="H25" s="279">
        <f t="shared" si="5"/>
        <v>6.8243297881073861E-2</v>
      </c>
      <c r="I25" s="248"/>
      <c r="J25" s="247" t="s">
        <v>10</v>
      </c>
      <c r="K25" s="247"/>
      <c r="L25" s="321">
        <v>0</v>
      </c>
      <c r="M25" s="321">
        <v>0</v>
      </c>
      <c r="N25" s="321">
        <v>0</v>
      </c>
      <c r="O25" s="321">
        <v>0</v>
      </c>
      <c r="P25" s="279" t="str">
        <f>IF(L25=0,"nm",IF(O25=0,"nm",(O25/L25)^(1/3)-1))</f>
        <v>nm</v>
      </c>
      <c r="S25" s="88"/>
      <c r="T25" s="42"/>
      <c r="U25" s="42"/>
      <c r="V25" s="147" t="s">
        <v>273</v>
      </c>
      <c r="W25" s="288">
        <f>D37/L9</f>
        <v>1.0711703388259712</v>
      </c>
      <c r="X25" s="288">
        <v>1</v>
      </c>
      <c r="Y25" s="42"/>
      <c r="Z25" s="42"/>
      <c r="AA25" s="42"/>
    </row>
    <row r="26" spans="2:27">
      <c r="B26" s="5" t="s">
        <v>586</v>
      </c>
      <c r="C26" s="548">
        <v>693.23799999999983</v>
      </c>
      <c r="D26" s="540">
        <v>899.75299999999993</v>
      </c>
      <c r="E26" s="540">
        <v>920.36173759749431</v>
      </c>
      <c r="F26" s="540">
        <v>968.78352218674263</v>
      </c>
      <c r="G26" s="540">
        <v>1031.5179304453873</v>
      </c>
      <c r="H26" s="279">
        <f t="shared" si="5"/>
        <v>4.6609066792197007E-2</v>
      </c>
      <c r="I26" s="249"/>
      <c r="J26" s="249" t="s">
        <v>11</v>
      </c>
      <c r="K26" s="249"/>
      <c r="L26" s="281">
        <f>D11+L25</f>
        <v>8972.136550327501</v>
      </c>
      <c r="M26" s="281">
        <f>E11+M25</f>
        <v>8971.063724779262</v>
      </c>
      <c r="N26" s="281">
        <f>F11+N25</f>
        <v>8968.6869420445692</v>
      </c>
      <c r="O26" s="281">
        <f>G11+O25</f>
        <v>8964.2310354431047</v>
      </c>
      <c r="P26" s="279">
        <f>IF(L26=0,"nm",IF(O26=0,"nm",(O26/L26)^(1/3)-1))</f>
        <v>-2.9379244938265714E-4</v>
      </c>
      <c r="Q26" s="5"/>
      <c r="S26" s="88"/>
      <c r="T26" s="42"/>
      <c r="U26" s="42"/>
      <c r="V26" s="147" t="s">
        <v>184</v>
      </c>
      <c r="W26" s="288">
        <f t="shared" ref="W26:W33" si="7">D38/L10</f>
        <v>1.2805360662648722</v>
      </c>
      <c r="X26" s="288">
        <v>1</v>
      </c>
      <c r="Y26" s="42"/>
      <c r="Z26" s="42"/>
      <c r="AA26" s="42"/>
    </row>
    <row r="27" spans="2:27">
      <c r="B27" s="5" t="s">
        <v>587</v>
      </c>
      <c r="C27" s="549">
        <v>4469.8130000000001</v>
      </c>
      <c r="D27" s="540">
        <v>4604.6122425575104</v>
      </c>
      <c r="E27" s="540">
        <v>4227.8938881710656</v>
      </c>
      <c r="F27" s="540">
        <v>3832.5074005155907</v>
      </c>
      <c r="G27" s="540">
        <v>3403.7959162637621</v>
      </c>
      <c r="H27" s="279">
        <f t="shared" si="5"/>
        <v>-9.5816002813980838E-2</v>
      </c>
      <c r="I27" s="249"/>
      <c r="J27" s="248"/>
      <c r="K27" s="248"/>
      <c r="L27" s="248"/>
      <c r="M27" s="248"/>
      <c r="N27" s="248"/>
      <c r="O27" s="248"/>
      <c r="Q27" s="41"/>
      <c r="S27" s="88"/>
      <c r="T27" s="42"/>
      <c r="U27" s="42"/>
      <c r="V27" s="147" t="s">
        <v>185</v>
      </c>
      <c r="W27" s="288">
        <f t="shared" si="7"/>
        <v>0.99312793920038034</v>
      </c>
      <c r="X27" s="288">
        <v>1</v>
      </c>
      <c r="Y27" s="42"/>
      <c r="Z27" s="42"/>
      <c r="AA27" s="42"/>
    </row>
    <row r="28" spans="2:27" ht="12.6" thickBot="1">
      <c r="B28" s="5" t="s">
        <v>592</v>
      </c>
      <c r="C28" s="548">
        <v>1673.7049999999999</v>
      </c>
      <c r="D28" s="540">
        <v>1576.105</v>
      </c>
      <c r="E28" s="540">
        <v>1384.2774841115161</v>
      </c>
      <c r="F28" s="540">
        <v>1195.7699201100409</v>
      </c>
      <c r="G28" s="540">
        <v>1009.0312681329697</v>
      </c>
      <c r="H28" s="279">
        <f t="shared" si="5"/>
        <v>-0.13813384628468717</v>
      </c>
      <c r="I28" s="248"/>
      <c r="J28" s="306" t="s">
        <v>1362</v>
      </c>
      <c r="K28" s="306"/>
      <c r="L28" s="306"/>
      <c r="M28" s="306"/>
      <c r="N28" s="266"/>
      <c r="O28" s="266"/>
      <c r="P28" s="266"/>
      <c r="Q28" s="5"/>
      <c r="S28" s="88"/>
      <c r="T28" s="42"/>
      <c r="U28" s="42"/>
      <c r="V28" s="147" t="s">
        <v>466</v>
      </c>
      <c r="W28" s="288">
        <f t="shared" si="7"/>
        <v>0.94596784540826706</v>
      </c>
      <c r="X28" s="288">
        <v>1</v>
      </c>
      <c r="Y28" s="42"/>
      <c r="Z28" s="42"/>
      <c r="AA28" s="42"/>
    </row>
    <row r="29" spans="2:27" ht="12.6" thickTop="1">
      <c r="B29" s="5" t="s">
        <v>588</v>
      </c>
      <c r="C29" s="548">
        <v>688.11000000000013</v>
      </c>
      <c r="D29" s="540">
        <v>685.3</v>
      </c>
      <c r="E29" s="540">
        <v>757.92165779477375</v>
      </c>
      <c r="F29" s="540">
        <v>820.07763990760975</v>
      </c>
      <c r="G29" s="540">
        <v>876.57756965250417</v>
      </c>
      <c r="H29" s="279">
        <f t="shared" si="5"/>
        <v>8.5516778400446913E-2</v>
      </c>
      <c r="I29" s="252"/>
      <c r="J29" s="249"/>
      <c r="K29" s="249"/>
      <c r="L29" s="249"/>
      <c r="M29" s="249"/>
      <c r="N29" s="249"/>
      <c r="O29" s="251"/>
      <c r="Q29" s="5"/>
      <c r="S29" s="88"/>
      <c r="T29" s="42"/>
      <c r="U29" s="42"/>
      <c r="V29" s="147" t="s">
        <v>530</v>
      </c>
      <c r="W29" s="288">
        <f t="shared" si="7"/>
        <v>2.0655869182024649</v>
      </c>
      <c r="X29" s="288">
        <v>1</v>
      </c>
      <c r="Y29" s="42"/>
      <c r="Z29" s="42"/>
      <c r="AA29" s="42"/>
    </row>
    <row r="30" spans="2:27">
      <c r="B30" s="5" t="s">
        <v>589</v>
      </c>
      <c r="C30" s="549">
        <v>531.4</v>
      </c>
      <c r="D30" s="540">
        <v>489</v>
      </c>
      <c r="E30" s="540">
        <v>517.78805640601513</v>
      </c>
      <c r="F30" s="540">
        <v>563.28562698089615</v>
      </c>
      <c r="G30" s="540">
        <v>598.65582133739167</v>
      </c>
      <c r="H30" s="279">
        <f t="shared" si="5"/>
        <v>6.9767624563328301E-2</v>
      </c>
      <c r="I30" s="254"/>
      <c r="J30" s="248"/>
      <c r="K30" s="248"/>
      <c r="L30" s="248"/>
      <c r="M30" s="248"/>
      <c r="N30" s="248"/>
      <c r="O30" s="5"/>
      <c r="Q30" s="5"/>
      <c r="S30" s="88"/>
      <c r="T30" s="42"/>
      <c r="U30" s="42"/>
      <c r="V30" s="147" t="s">
        <v>593</v>
      </c>
      <c r="W30" s="288">
        <f t="shared" si="7"/>
        <v>2.9570576161434405</v>
      </c>
      <c r="X30" s="288">
        <v>1</v>
      </c>
      <c r="Y30" s="42"/>
      <c r="Z30" s="42"/>
      <c r="AA30" s="42"/>
    </row>
    <row r="31" spans="2:27">
      <c r="B31" s="5" t="s">
        <v>590</v>
      </c>
      <c r="C31" s="549">
        <v>406.08915520600004</v>
      </c>
      <c r="D31" s="540">
        <v>406.64228897400005</v>
      </c>
      <c r="E31" s="540">
        <v>416.04933216367584</v>
      </c>
      <c r="F31" s="540">
        <v>450.6285015847169</v>
      </c>
      <c r="G31" s="540">
        <v>478.92465706991334</v>
      </c>
      <c r="H31" s="279">
        <f t="shared" si="5"/>
        <v>5.6050983129868115E-2</v>
      </c>
      <c r="I31" s="254"/>
      <c r="J31" s="252"/>
      <c r="K31" s="252"/>
      <c r="L31" s="252"/>
      <c r="M31" s="252"/>
      <c r="N31" s="252"/>
      <c r="O31" s="5"/>
      <c r="Q31" s="5"/>
      <c r="S31" s="88"/>
      <c r="T31" s="42"/>
      <c r="U31" s="42"/>
      <c r="V31" s="147" t="s">
        <v>475</v>
      </c>
      <c r="W31" s="288">
        <f t="shared" si="7"/>
        <v>0.67911756063504991</v>
      </c>
      <c r="X31" s="288">
        <v>1</v>
      </c>
      <c r="Y31" s="42"/>
      <c r="Z31" s="42"/>
      <c r="AA31" s="42"/>
    </row>
    <row r="32" spans="2:27">
      <c r="B32" s="5" t="s">
        <v>606</v>
      </c>
      <c r="C32" s="550">
        <v>0</v>
      </c>
      <c r="D32" s="540">
        <v>0</v>
      </c>
      <c r="E32" s="540">
        <v>526.82600000000002</v>
      </c>
      <c r="F32" s="540">
        <v>67</v>
      </c>
      <c r="G32" s="540">
        <v>0</v>
      </c>
      <c r="H32" s="279" t="str">
        <f t="shared" si="5"/>
        <v>nm</v>
      </c>
      <c r="I32" s="254"/>
      <c r="J32" s="254"/>
      <c r="K32" s="254"/>
      <c r="L32" s="254"/>
      <c r="M32" s="254"/>
      <c r="N32" s="254"/>
      <c r="O32" s="251"/>
      <c r="Q32" s="5"/>
      <c r="S32" s="88"/>
      <c r="T32" s="42"/>
      <c r="U32" s="42"/>
      <c r="V32" s="147" t="s">
        <v>533</v>
      </c>
      <c r="W32" s="288">
        <f t="shared" si="7"/>
        <v>0.89501690674639922</v>
      </c>
      <c r="X32" s="288">
        <v>1</v>
      </c>
      <c r="Y32" s="42"/>
      <c r="Z32" s="42"/>
      <c r="AA32" s="42"/>
    </row>
    <row r="33" spans="2:27">
      <c r="B33" s="5" t="s">
        <v>5</v>
      </c>
      <c r="C33" s="549">
        <v>-105.307</v>
      </c>
      <c r="D33" s="540">
        <v>-48.494</v>
      </c>
      <c r="E33" s="540">
        <v>-50.720501815811367</v>
      </c>
      <c r="F33" s="540">
        <v>-45.715325830672754</v>
      </c>
      <c r="G33" s="540">
        <v>-40.139843889060849</v>
      </c>
      <c r="H33" s="279">
        <f>IF(D33=0,"nm",IF(G33=0,"nm",(G33/D33)^(1/3)-1))</f>
        <v>-6.107863026707161E-2</v>
      </c>
      <c r="I33" s="5"/>
      <c r="J33" s="254"/>
      <c r="K33" s="254"/>
      <c r="L33" s="254"/>
      <c r="M33" s="254"/>
      <c r="N33" s="254"/>
      <c r="O33" s="251"/>
      <c r="Q33" s="5"/>
      <c r="S33" s="88"/>
      <c r="T33" s="42"/>
      <c r="U33" s="42"/>
      <c r="V33" s="147" t="s">
        <v>580</v>
      </c>
      <c r="W33" s="288">
        <f t="shared" si="7"/>
        <v>1.0858259240207477</v>
      </c>
      <c r="X33" s="288">
        <v>1</v>
      </c>
      <c r="Y33" s="42"/>
      <c r="Z33" s="42"/>
      <c r="AA33" s="42"/>
    </row>
    <row r="34" spans="2:27">
      <c r="B34" s="5"/>
      <c r="H34" s="277"/>
      <c r="I34" s="49"/>
      <c r="J34" s="254"/>
      <c r="K34" s="254"/>
      <c r="L34" s="254"/>
      <c r="M34" s="254"/>
      <c r="N34" s="254"/>
      <c r="O34" s="251"/>
      <c r="Q34" s="5"/>
      <c r="S34" s="88"/>
      <c r="T34" s="42"/>
      <c r="U34" s="42"/>
      <c r="V34" s="147" t="s">
        <v>581</v>
      </c>
      <c r="W34" s="288">
        <f>D47/L19</f>
        <v>1.4724991046688434</v>
      </c>
      <c r="X34" s="288">
        <v>1</v>
      </c>
      <c r="Y34" s="288"/>
      <c r="Z34" s="288"/>
      <c r="AA34" s="42"/>
    </row>
    <row r="35" spans="2:27" ht="12.6" thickBot="1">
      <c r="B35" s="306" t="s">
        <v>1048</v>
      </c>
      <c r="C35" s="265"/>
      <c r="D35" s="265" t="str">
        <f>D5</f>
        <v>2023E</v>
      </c>
      <c r="E35" s="265" t="str">
        <f t="shared" ref="E35:H35" si="8">E5</f>
        <v>2024E</v>
      </c>
      <c r="F35" s="265" t="str">
        <f t="shared" si="8"/>
        <v>2025E</v>
      </c>
      <c r="G35" s="265" t="str">
        <f t="shared" si="8"/>
        <v>2026E</v>
      </c>
      <c r="H35" s="265" t="str">
        <f t="shared" si="8"/>
        <v>23E-26E</v>
      </c>
      <c r="I35" s="254"/>
      <c r="J35" s="5"/>
      <c r="K35" s="5"/>
      <c r="L35" s="5"/>
      <c r="M35" s="5"/>
      <c r="N35" s="5"/>
      <c r="O35" s="5"/>
      <c r="Q35" s="5"/>
      <c r="S35" s="88"/>
      <c r="T35" s="42"/>
      <c r="U35" s="42"/>
      <c r="V35" s="42"/>
      <c r="W35" s="42"/>
      <c r="X35" s="42"/>
      <c r="Y35" s="288"/>
      <c r="Z35" s="288"/>
      <c r="AA35" s="42"/>
    </row>
    <row r="36" spans="2:27" ht="12.6" thickTop="1">
      <c r="B36" s="41"/>
      <c r="C36" s="249"/>
      <c r="D36" s="254"/>
      <c r="E36" s="254"/>
      <c r="F36" s="254"/>
      <c r="G36" s="254"/>
      <c r="H36" s="254"/>
      <c r="I36" s="17"/>
      <c r="J36" s="49"/>
      <c r="K36" s="49"/>
      <c r="L36" s="49"/>
      <c r="M36" s="49"/>
      <c r="N36" s="49"/>
      <c r="O36" s="49"/>
      <c r="Q36" s="5"/>
      <c r="S36" s="88"/>
      <c r="T36" s="42"/>
      <c r="U36" s="42"/>
      <c r="V36" s="42"/>
      <c r="W36" s="42"/>
      <c r="X36" s="42"/>
      <c r="Y36" s="288"/>
      <c r="Z36" s="288"/>
      <c r="AA36" s="42"/>
    </row>
    <row r="37" spans="2:27">
      <c r="B37" s="5" t="s">
        <v>273</v>
      </c>
      <c r="C37" s="247"/>
      <c r="D37" s="529">
        <f>D$18/D23</f>
        <v>2.2315497687187724</v>
      </c>
      <c r="E37" s="529">
        <f t="shared" ref="E37:G41" si="9">E$18/E23</f>
        <v>1.9727214853608248</v>
      </c>
      <c r="F37" s="529">
        <f t="shared" si="9"/>
        <v>1.7472920365492159</v>
      </c>
      <c r="G37" s="529">
        <f t="shared" si="9"/>
        <v>1.5274457783210773</v>
      </c>
      <c r="H37" s="17">
        <f t="shared" ref="H37:H45" si="10">H23</f>
        <v>6.0861287290907562E-2</v>
      </c>
      <c r="I37" s="5"/>
      <c r="J37" s="259"/>
      <c r="K37" s="259"/>
      <c r="L37" s="259"/>
      <c r="M37" s="259"/>
      <c r="N37" s="259"/>
      <c r="O37" s="18"/>
      <c r="Q37" s="5"/>
      <c r="R37" s="5"/>
      <c r="S37" s="42"/>
      <c r="T37" s="42"/>
      <c r="U37" s="42"/>
      <c r="V37" s="42"/>
      <c r="W37" s="42"/>
      <c r="X37" s="42"/>
      <c r="Y37" s="42"/>
      <c r="Z37" s="42"/>
      <c r="AA37" s="42"/>
    </row>
    <row r="38" spans="2:27">
      <c r="B38" s="5" t="s">
        <v>184</v>
      </c>
      <c r="C38" s="247"/>
      <c r="D38" s="529">
        <f>D$18/D24</f>
        <v>8.1414900413078755</v>
      </c>
      <c r="E38" s="529">
        <f t="shared" si="9"/>
        <v>7.6280107284384133</v>
      </c>
      <c r="F38" s="529">
        <f t="shared" si="9"/>
        <v>6.7333066569233768</v>
      </c>
      <c r="G38" s="529">
        <f t="shared" si="9"/>
        <v>5.8448822831694374</v>
      </c>
      <c r="H38" s="17">
        <f t="shared" si="10"/>
        <v>4.4129547060272056E-2</v>
      </c>
      <c r="I38" s="259"/>
      <c r="J38" s="17"/>
      <c r="K38" s="17"/>
      <c r="L38" s="17"/>
      <c r="M38" s="17"/>
      <c r="N38" s="17"/>
      <c r="O38" s="5"/>
      <c r="Q38" s="5"/>
      <c r="R38" s="5"/>
      <c r="S38" s="42"/>
      <c r="T38" s="42"/>
      <c r="U38" s="42"/>
      <c r="V38" s="42"/>
      <c r="W38" s="42"/>
      <c r="X38" s="42"/>
      <c r="Y38" s="42"/>
      <c r="Z38" s="42"/>
      <c r="AA38" s="42"/>
    </row>
    <row r="39" spans="2:27">
      <c r="B39" s="5" t="s">
        <v>185</v>
      </c>
      <c r="C39" s="247"/>
      <c r="D39" s="529">
        <f>D$18/D25</f>
        <v>12.172089647556941</v>
      </c>
      <c r="E39" s="529">
        <f t="shared" si="9"/>
        <v>11.110809453385729</v>
      </c>
      <c r="F39" s="529">
        <f t="shared" si="9"/>
        <v>9.6055887721175583</v>
      </c>
      <c r="G39" s="529">
        <f t="shared" si="9"/>
        <v>8.159990291286773</v>
      </c>
      <c r="H39" s="17">
        <f t="shared" si="10"/>
        <v>6.8243297881073861E-2</v>
      </c>
      <c r="I39" s="17"/>
      <c r="J39" s="5"/>
      <c r="K39" s="5"/>
      <c r="L39" s="5"/>
      <c r="M39" s="5"/>
      <c r="N39" s="5"/>
      <c r="O39" s="5"/>
      <c r="Q39" s="5"/>
      <c r="R39" s="5"/>
      <c r="S39" s="42"/>
      <c r="T39" s="42"/>
      <c r="U39" s="42"/>
      <c r="V39" s="42"/>
      <c r="W39" s="42"/>
      <c r="X39" s="42"/>
      <c r="Y39" s="42"/>
      <c r="Z39" s="42"/>
      <c r="AA39" s="42"/>
    </row>
    <row r="40" spans="2:27">
      <c r="B40" s="5" t="s">
        <v>466</v>
      </c>
      <c r="C40" s="247"/>
      <c r="D40" s="529">
        <f>D$18/D26</f>
        <v>15.089417643381031</v>
      </c>
      <c r="E40" s="529">
        <f t="shared" si="9"/>
        <v>13.899278321608447</v>
      </c>
      <c r="F40" s="529">
        <f t="shared" si="9"/>
        <v>12.364642149816595</v>
      </c>
      <c r="G40" s="529">
        <f t="shared" si="9"/>
        <v>10.756080178557527</v>
      </c>
      <c r="H40" s="17">
        <f t="shared" si="10"/>
        <v>4.6609066792197007E-2</v>
      </c>
      <c r="I40" s="5"/>
      <c r="J40" s="259"/>
      <c r="K40" s="259"/>
      <c r="L40" s="259"/>
      <c r="M40" s="259"/>
      <c r="N40" s="259"/>
      <c r="O40" s="18"/>
      <c r="Q40" s="5"/>
      <c r="R40" s="5"/>
      <c r="S40" s="42"/>
      <c r="T40" s="42"/>
      <c r="U40" s="42"/>
      <c r="V40" s="42"/>
      <c r="W40" s="288"/>
      <c r="X40" s="288"/>
      <c r="Y40" s="42"/>
      <c r="Z40" s="42"/>
      <c r="AA40" s="42"/>
    </row>
    <row r="41" spans="2:27">
      <c r="B41" s="5" t="s">
        <v>530</v>
      </c>
      <c r="C41" s="247"/>
      <c r="D41" s="529">
        <f>D$18/D27</f>
        <v>2.9485107708752833</v>
      </c>
      <c r="E41" s="529">
        <f t="shared" si="9"/>
        <v>3.0257060100816657</v>
      </c>
      <c r="F41" s="529">
        <f t="shared" si="9"/>
        <v>3.125541667803819</v>
      </c>
      <c r="G41" s="529">
        <f t="shared" si="9"/>
        <v>3.2596224445997448</v>
      </c>
      <c r="H41" s="17">
        <f t="shared" si="10"/>
        <v>-9.5816002813980838E-2</v>
      </c>
      <c r="I41" s="247"/>
      <c r="J41" s="17"/>
      <c r="K41" s="17"/>
      <c r="L41" s="17"/>
      <c r="M41" s="17"/>
      <c r="N41" s="17"/>
      <c r="O41" s="5"/>
      <c r="Q41" s="5"/>
      <c r="R41" s="5"/>
      <c r="S41" s="42"/>
      <c r="T41" s="42"/>
      <c r="U41" s="42"/>
      <c r="V41" s="42"/>
      <c r="W41" s="288"/>
      <c r="X41" s="288"/>
      <c r="Y41" s="288"/>
      <c r="Z41" s="288"/>
      <c r="AA41" s="42"/>
    </row>
    <row r="42" spans="2:27">
      <c r="B42" s="5" t="s">
        <v>593</v>
      </c>
      <c r="C42" s="247"/>
      <c r="D42" s="529">
        <f>D18/D28</f>
        <v>8.6141144104517213</v>
      </c>
      <c r="E42" s="529">
        <f>E18/E28</f>
        <v>9.2411847294022689</v>
      </c>
      <c r="F42" s="529">
        <f>F18/F28</f>
        <v>10.017530438778424</v>
      </c>
      <c r="G42" s="529">
        <f>G18/G28</f>
        <v>10.995783694612134</v>
      </c>
      <c r="H42" s="17">
        <f t="shared" si="10"/>
        <v>-0.13813384628468717</v>
      </c>
      <c r="I42" s="248"/>
      <c r="J42" s="5"/>
      <c r="K42" s="5"/>
      <c r="L42" s="5"/>
      <c r="M42" s="5"/>
      <c r="N42" s="5"/>
      <c r="O42" s="5"/>
      <c r="Q42" s="5"/>
      <c r="R42" s="5"/>
      <c r="S42" s="42"/>
      <c r="T42" s="42"/>
      <c r="U42" s="42"/>
      <c r="V42" s="42"/>
      <c r="W42" s="288"/>
      <c r="X42" s="288"/>
      <c r="Y42" s="288"/>
      <c r="Z42" s="288"/>
      <c r="AA42" s="42"/>
    </row>
    <row r="43" spans="2:27">
      <c r="B43" s="5" t="s">
        <v>475</v>
      </c>
      <c r="C43" s="247"/>
      <c r="D43" s="529">
        <f>L26/D29</f>
        <v>13.092275719141254</v>
      </c>
      <c r="E43" s="529">
        <f>M26/E29</f>
        <v>11.836399755195282</v>
      </c>
      <c r="F43" s="529">
        <f>N26/F29</f>
        <v>10.936387612098514</v>
      </c>
      <c r="G43" s="529">
        <f>O26/G29</f>
        <v>10.226397920490637</v>
      </c>
      <c r="H43" s="17">
        <f t="shared" si="10"/>
        <v>8.5516778400446913E-2</v>
      </c>
      <c r="I43" s="247"/>
      <c r="J43" s="247"/>
      <c r="K43" s="247"/>
      <c r="L43" s="247"/>
      <c r="M43" s="247"/>
      <c r="N43" s="247"/>
      <c r="O43" s="18"/>
      <c r="Q43" s="5"/>
      <c r="R43" s="5"/>
      <c r="S43" s="42"/>
      <c r="T43" s="42"/>
      <c r="U43" s="42"/>
      <c r="V43" s="42"/>
      <c r="W43" s="288"/>
      <c r="X43" s="288"/>
      <c r="Y43" s="288"/>
      <c r="Z43" s="288"/>
      <c r="AA43" s="42"/>
    </row>
    <row r="44" spans="2:27">
      <c r="B44" s="5" t="s">
        <v>533</v>
      </c>
      <c r="C44" s="69"/>
      <c r="D44" s="529">
        <f>D11/D30</f>
        <v>18.347927505782209</v>
      </c>
      <c r="E44" s="529">
        <f>E11/E30</f>
        <v>17.325744798069941</v>
      </c>
      <c r="F44" s="529">
        <f>F11/F30</f>
        <v>15.922094426792009</v>
      </c>
      <c r="G44" s="529">
        <f>G11/G30</f>
        <v>14.973931123591338</v>
      </c>
      <c r="H44" s="17">
        <f t="shared" si="10"/>
        <v>6.9767624563328301E-2</v>
      </c>
      <c r="I44" s="247"/>
      <c r="J44" s="248"/>
      <c r="K44" s="248"/>
      <c r="L44" s="248"/>
      <c r="M44" s="248"/>
      <c r="N44" s="248"/>
      <c r="O44" s="248"/>
      <c r="Q44" s="5"/>
      <c r="R44" s="5"/>
      <c r="S44" s="42"/>
      <c r="T44" s="42"/>
      <c r="U44" s="42"/>
      <c r="V44" s="42"/>
      <c r="W44" s="325"/>
      <c r="X44" s="325"/>
      <c r="Y44" s="288"/>
      <c r="Z44" s="288"/>
      <c r="AA44" s="42"/>
    </row>
    <row r="45" spans="2:27">
      <c r="B45" s="5" t="s">
        <v>580</v>
      </c>
      <c r="C45" s="247"/>
      <c r="D45" s="248">
        <f>D31/D11</f>
        <v>4.5322793148880103E-2</v>
      </c>
      <c r="E45" s="248">
        <f t="shared" ref="E45:G45" si="11">E31/E11</f>
        <v>4.6376811594202892E-2</v>
      </c>
      <c r="F45" s="248">
        <f t="shared" si="11"/>
        <v>5.0244646122299397E-2</v>
      </c>
      <c r="G45" s="248">
        <f t="shared" si="11"/>
        <v>5.3426184039247038E-2</v>
      </c>
      <c r="H45" s="17">
        <f t="shared" si="10"/>
        <v>5.6050983129868115E-2</v>
      </c>
      <c r="I45" s="248"/>
      <c r="J45" s="247"/>
      <c r="K45" s="247"/>
      <c r="L45" s="247"/>
      <c r="M45" s="247"/>
      <c r="N45" s="247"/>
      <c r="O45" s="248"/>
      <c r="Q45" s="5"/>
      <c r="R45" s="5"/>
      <c r="S45" s="42"/>
      <c r="T45" s="42"/>
      <c r="U45" s="42"/>
      <c r="V45" s="42"/>
      <c r="W45" s="42"/>
      <c r="X45" s="42"/>
      <c r="Y45" s="325"/>
      <c r="Z45" s="325"/>
      <c r="AA45" s="42"/>
    </row>
    <row r="46" spans="2:27">
      <c r="B46" s="5" t="s">
        <v>605</v>
      </c>
      <c r="C46" s="247"/>
      <c r="D46" s="248">
        <f>(D31+D32)/D11</f>
        <v>4.5322793148880103E-2</v>
      </c>
      <c r="E46" s="248">
        <f t="shared" ref="E46:G46" si="12">(E31+E32)/E11</f>
        <v>0.1051018431135797</v>
      </c>
      <c r="F46" s="248">
        <f t="shared" si="12"/>
        <v>5.7715081921090497E-2</v>
      </c>
      <c r="G46" s="248">
        <f t="shared" si="12"/>
        <v>5.3426184039247038E-2</v>
      </c>
      <c r="H46" s="279">
        <f>((G31+G32)/(D31+D32))^(1/3)-1</f>
        <v>5.6050983129868115E-2</v>
      </c>
      <c r="I46" s="247"/>
      <c r="J46" s="247"/>
      <c r="K46" s="247"/>
      <c r="L46" s="247"/>
      <c r="M46" s="247"/>
      <c r="N46" s="247"/>
      <c r="O46" s="18"/>
      <c r="Q46" s="5"/>
      <c r="R46" s="5"/>
      <c r="S46" s="42"/>
      <c r="T46" s="42"/>
      <c r="U46" s="42"/>
      <c r="V46" s="42"/>
      <c r="W46" s="42"/>
      <c r="X46" s="42"/>
      <c r="Y46" s="42"/>
      <c r="Z46" s="42"/>
      <c r="AA46" s="326"/>
    </row>
    <row r="47" spans="2:27">
      <c r="B47" s="5" t="s">
        <v>581</v>
      </c>
      <c r="C47" s="5"/>
      <c r="D47" s="248">
        <f>1/D43</f>
        <v>7.6380915087051943E-2</v>
      </c>
      <c r="E47" s="248">
        <f>1/E43</f>
        <v>8.4485149258420059E-2</v>
      </c>
      <c r="F47" s="248">
        <f>1/F43</f>
        <v>9.1437871029163009E-2</v>
      </c>
      <c r="G47" s="248">
        <f>1/G43</f>
        <v>9.778614207807225E-2</v>
      </c>
      <c r="H47" s="17">
        <f>H29</f>
        <v>8.5516778400446913E-2</v>
      </c>
      <c r="I47" s="17"/>
      <c r="J47" s="248"/>
      <c r="K47" s="248"/>
      <c r="L47" s="248"/>
      <c r="M47" s="248"/>
      <c r="N47" s="248"/>
      <c r="O47" s="248"/>
      <c r="Q47" s="5"/>
      <c r="R47" s="5"/>
      <c r="S47" s="42"/>
      <c r="T47" s="42"/>
      <c r="U47" s="42"/>
      <c r="V47" s="42"/>
      <c r="W47" s="42"/>
      <c r="X47" s="42"/>
      <c r="Y47" s="42"/>
      <c r="Z47" s="42"/>
      <c r="AA47" s="326"/>
    </row>
    <row r="48" spans="2:27">
      <c r="B48" s="5" t="s">
        <v>618</v>
      </c>
      <c r="C48" s="5"/>
      <c r="D48" s="305">
        <f>D31/1000/D29</f>
        <v>5.9337850426674466E-4</v>
      </c>
      <c r="E48" s="305">
        <f t="shared" ref="E48:G48" si="13">E31/1000/E29</f>
        <v>5.4893448140036082E-4</v>
      </c>
      <c r="F48" s="305">
        <f t="shared" si="13"/>
        <v>5.4949492542618879E-4</v>
      </c>
      <c r="G48" s="305">
        <f t="shared" si="13"/>
        <v>5.4635741735870589E-4</v>
      </c>
      <c r="H48" s="279" t="s">
        <v>607</v>
      </c>
      <c r="I48" s="247"/>
      <c r="J48" s="247"/>
      <c r="K48" s="247"/>
      <c r="L48" s="247"/>
      <c r="M48" s="247"/>
      <c r="N48" s="247"/>
      <c r="O48" s="248"/>
      <c r="Q48" s="5"/>
      <c r="R48" s="5"/>
      <c r="S48" s="42"/>
      <c r="T48" s="42"/>
      <c r="U48" s="42"/>
      <c r="V48" s="42"/>
      <c r="W48" s="42"/>
      <c r="X48" s="42"/>
      <c r="Y48" s="42"/>
      <c r="Z48" s="42"/>
      <c r="AA48" s="326"/>
    </row>
    <row r="49" spans="2:27">
      <c r="B49" s="41"/>
      <c r="C49" s="17"/>
      <c r="D49" s="17"/>
      <c r="E49" s="17"/>
      <c r="F49" s="17"/>
      <c r="G49" s="17"/>
      <c r="H49" s="17"/>
      <c r="I49" s="254"/>
      <c r="J49" s="17"/>
      <c r="K49" s="17"/>
      <c r="L49" s="17"/>
      <c r="M49" s="17"/>
      <c r="N49" s="17"/>
      <c r="O49" s="248"/>
      <c r="Q49" s="5"/>
      <c r="R49" s="5"/>
      <c r="S49" s="42"/>
      <c r="T49" s="42"/>
      <c r="U49" s="42"/>
      <c r="V49" s="42"/>
      <c r="W49" s="42"/>
      <c r="X49" s="42"/>
      <c r="Y49" s="42"/>
      <c r="Z49" s="42"/>
      <c r="AA49" s="326"/>
    </row>
    <row r="50" spans="2:27">
      <c r="B50" s="5"/>
      <c r="C50" s="257"/>
      <c r="D50" s="257"/>
      <c r="E50" s="257"/>
      <c r="F50" s="5"/>
      <c r="G50" s="41"/>
      <c r="H50" s="249"/>
      <c r="I50" s="17"/>
      <c r="J50" s="249"/>
      <c r="K50" s="249"/>
      <c r="L50" s="249"/>
      <c r="M50" s="249"/>
      <c r="N50" s="249"/>
      <c r="O50" s="250"/>
      <c r="Q50" s="5"/>
      <c r="R50" s="5"/>
      <c r="S50" s="42"/>
      <c r="T50" s="42"/>
      <c r="U50" s="42"/>
      <c r="V50" s="42"/>
      <c r="W50" s="288"/>
      <c r="X50" s="288"/>
      <c r="Y50" s="42"/>
      <c r="Z50" s="42"/>
      <c r="AA50" s="326"/>
    </row>
    <row r="51" spans="2:27">
      <c r="B51" s="41"/>
      <c r="C51" s="249"/>
      <c r="D51" s="254"/>
      <c r="E51" s="254"/>
      <c r="F51" s="254"/>
      <c r="G51" s="254"/>
      <c r="H51" s="254"/>
      <c r="I51" s="259"/>
      <c r="J51" s="254"/>
      <c r="K51" s="254"/>
      <c r="L51" s="254"/>
      <c r="M51" s="254"/>
      <c r="N51" s="254"/>
      <c r="O51" s="251"/>
      <c r="Q51" s="5"/>
      <c r="R51" s="5"/>
      <c r="S51" s="42"/>
      <c r="T51" s="42"/>
      <c r="U51" s="42"/>
      <c r="V51" s="42"/>
      <c r="W51" s="288"/>
      <c r="X51" s="288"/>
      <c r="Y51" s="288"/>
      <c r="Z51" s="288"/>
      <c r="AA51" s="42"/>
    </row>
    <row r="52" spans="2:27">
      <c r="B52" s="5"/>
      <c r="C52" s="257"/>
      <c r="D52" s="17"/>
      <c r="E52" s="17"/>
      <c r="F52" s="17"/>
      <c r="G52" s="17"/>
      <c r="H52" s="17"/>
      <c r="I52" s="254"/>
      <c r="J52" s="17"/>
      <c r="K52" s="17"/>
      <c r="L52" s="17"/>
      <c r="M52" s="17"/>
      <c r="N52" s="17"/>
      <c r="O52" s="248"/>
      <c r="Q52" s="5"/>
      <c r="R52" s="5"/>
      <c r="S52" s="5"/>
      <c r="Y52" s="10"/>
      <c r="Z52" s="10"/>
    </row>
    <row r="53" spans="2:27">
      <c r="B53" s="5"/>
      <c r="C53" s="257"/>
      <c r="D53" s="257"/>
      <c r="E53" s="257"/>
      <c r="F53" s="5"/>
      <c r="G53" s="5"/>
      <c r="H53" s="259"/>
      <c r="I53" s="17"/>
      <c r="J53" s="259"/>
      <c r="K53" s="259"/>
      <c r="L53" s="259"/>
      <c r="M53" s="259"/>
      <c r="N53" s="259"/>
      <c r="O53" s="18"/>
      <c r="Q53" s="5"/>
      <c r="R53" s="5"/>
      <c r="S53" s="5"/>
    </row>
    <row r="54" spans="2:27">
      <c r="B54" s="41"/>
      <c r="C54" s="249"/>
      <c r="D54" s="254"/>
      <c r="E54" s="254"/>
      <c r="F54" s="254"/>
      <c r="G54" s="254"/>
      <c r="H54" s="254"/>
      <c r="I54" s="259"/>
      <c r="J54" s="254"/>
      <c r="K54" s="254"/>
      <c r="L54" s="254"/>
      <c r="M54" s="254"/>
      <c r="N54" s="254"/>
      <c r="O54" s="251"/>
      <c r="Q54" s="5"/>
      <c r="R54" s="5"/>
      <c r="S54" s="5"/>
    </row>
    <row r="55" spans="2:27">
      <c r="B55" s="5"/>
      <c r="C55" s="257"/>
      <c r="D55" s="17"/>
      <c r="E55" s="17"/>
      <c r="F55" s="17"/>
      <c r="G55" s="17"/>
      <c r="H55" s="17"/>
      <c r="I55" s="249"/>
      <c r="J55" s="17"/>
      <c r="K55" s="17"/>
      <c r="L55" s="17"/>
      <c r="M55" s="17"/>
      <c r="N55" s="17"/>
      <c r="O55" s="18"/>
      <c r="Q55" s="5"/>
      <c r="R55" s="5"/>
      <c r="S55" s="5"/>
    </row>
    <row r="56" spans="2:27">
      <c r="B56" s="5"/>
      <c r="C56" s="248"/>
      <c r="D56" s="248"/>
      <c r="E56" s="248"/>
      <c r="F56" s="5"/>
      <c r="G56" s="5"/>
      <c r="H56" s="259"/>
      <c r="I56" s="248"/>
      <c r="J56" s="259"/>
      <c r="K56" s="259"/>
      <c r="L56" s="259"/>
      <c r="M56" s="259"/>
      <c r="N56" s="259"/>
      <c r="O56" s="18"/>
      <c r="Q56" s="5"/>
      <c r="R56" s="5"/>
      <c r="S56" s="5"/>
    </row>
    <row r="57" spans="2:27">
      <c r="B57" s="41"/>
      <c r="C57" s="249"/>
      <c r="D57" s="249"/>
      <c r="E57" s="249"/>
      <c r="F57" s="249"/>
      <c r="G57" s="249"/>
      <c r="H57" s="249"/>
      <c r="I57" s="5"/>
      <c r="J57" s="249"/>
      <c r="K57" s="249"/>
      <c r="L57" s="249"/>
      <c r="M57" s="249"/>
      <c r="N57" s="249"/>
      <c r="O57" s="251"/>
      <c r="Q57" s="5"/>
      <c r="R57" s="5"/>
      <c r="S57" s="5"/>
    </row>
    <row r="58" spans="2:27">
      <c r="B58" s="5"/>
      <c r="C58" s="5"/>
      <c r="D58" s="248"/>
      <c r="E58" s="248"/>
      <c r="F58" s="248"/>
      <c r="G58" s="248"/>
      <c r="H58" s="248"/>
      <c r="I58" s="17"/>
      <c r="J58" s="248"/>
      <c r="K58" s="248"/>
      <c r="L58" s="248"/>
      <c r="M58" s="248"/>
      <c r="N58" s="248"/>
      <c r="O58" s="18"/>
      <c r="Q58" s="5"/>
      <c r="R58" s="5"/>
      <c r="S58" s="5"/>
    </row>
    <row r="59" spans="2:27">
      <c r="B59" s="5"/>
      <c r="C59" s="5"/>
      <c r="D59" s="5"/>
      <c r="E59" s="5"/>
      <c r="F59" s="5"/>
      <c r="G59" s="5"/>
      <c r="H59" s="5"/>
      <c r="I59" s="5"/>
      <c r="J59" s="5"/>
      <c r="K59" s="5"/>
      <c r="L59" s="5"/>
      <c r="M59" s="5"/>
      <c r="N59" s="5"/>
      <c r="O59" s="5"/>
      <c r="Q59" s="5"/>
      <c r="R59" s="5"/>
      <c r="S59" s="5"/>
    </row>
    <row r="60" spans="2:27">
      <c r="B60" s="41"/>
      <c r="C60" s="17"/>
      <c r="D60" s="17"/>
      <c r="E60" s="17"/>
      <c r="F60" s="17"/>
      <c r="G60" s="17"/>
      <c r="H60" s="17"/>
      <c r="I60" s="249"/>
      <c r="J60" s="17"/>
      <c r="K60" s="17"/>
      <c r="L60" s="17"/>
      <c r="M60" s="17"/>
      <c r="N60" s="17"/>
      <c r="O60" s="251"/>
      <c r="Q60" s="5"/>
      <c r="R60" s="5"/>
      <c r="S60" s="5"/>
    </row>
    <row r="61" spans="2:27">
      <c r="B61" s="5"/>
      <c r="C61" s="5"/>
      <c r="D61" s="5"/>
      <c r="E61" s="5"/>
      <c r="F61" s="5"/>
      <c r="G61" s="5"/>
      <c r="H61" s="5"/>
      <c r="I61" s="5"/>
      <c r="J61" s="5"/>
      <c r="K61" s="5"/>
      <c r="L61" s="5"/>
      <c r="M61" s="5"/>
      <c r="N61" s="5"/>
      <c r="O61" s="5"/>
      <c r="Q61" s="41"/>
      <c r="R61" s="5"/>
      <c r="S61" s="5"/>
    </row>
    <row r="62" spans="2:27">
      <c r="B62" s="41"/>
      <c r="C62" s="249"/>
      <c r="D62" s="249"/>
      <c r="E62" s="249"/>
      <c r="F62" s="249"/>
      <c r="G62" s="249"/>
      <c r="H62" s="249"/>
      <c r="I62" s="5"/>
      <c r="J62" s="249"/>
      <c r="K62" s="249"/>
      <c r="L62" s="249"/>
      <c r="M62" s="249"/>
      <c r="N62" s="249"/>
      <c r="O62" s="251"/>
      <c r="Q62" s="5"/>
      <c r="R62" s="5"/>
      <c r="S62" s="5"/>
    </row>
    <row r="63" spans="2:27">
      <c r="B63" s="5"/>
      <c r="C63" s="5"/>
      <c r="D63" s="5"/>
      <c r="E63" s="5"/>
      <c r="F63" s="5"/>
      <c r="G63" s="5"/>
      <c r="H63" s="5"/>
      <c r="I63" s="254"/>
      <c r="J63" s="5"/>
      <c r="K63" s="5"/>
      <c r="L63" s="5"/>
      <c r="M63" s="5"/>
      <c r="N63" s="5"/>
      <c r="O63" s="5"/>
      <c r="Q63" s="5"/>
      <c r="R63" s="5"/>
      <c r="S63" s="5"/>
    </row>
    <row r="64" spans="2:27">
      <c r="B64" s="5"/>
      <c r="C64" s="5"/>
      <c r="D64" s="5"/>
      <c r="E64" s="5"/>
      <c r="F64" s="5"/>
      <c r="G64" s="5"/>
      <c r="H64" s="5"/>
      <c r="I64" s="17"/>
      <c r="J64" s="5"/>
      <c r="K64" s="5"/>
      <c r="L64" s="5"/>
      <c r="M64" s="5"/>
      <c r="N64" s="5"/>
      <c r="O64" s="5"/>
      <c r="Q64" s="5"/>
      <c r="R64" s="5"/>
      <c r="S64" s="5"/>
    </row>
    <row r="65" spans="2:26">
      <c r="B65" s="41"/>
      <c r="C65" s="249"/>
      <c r="D65" s="254"/>
      <c r="E65" s="254"/>
      <c r="F65" s="254"/>
      <c r="G65" s="254"/>
      <c r="H65" s="254"/>
      <c r="I65" s="254"/>
      <c r="J65" s="254"/>
      <c r="K65" s="254"/>
      <c r="L65" s="254"/>
      <c r="M65" s="254"/>
      <c r="N65" s="254"/>
      <c r="O65" s="251"/>
      <c r="Q65" s="5"/>
      <c r="R65" s="5"/>
      <c r="S65" s="5"/>
    </row>
    <row r="66" spans="2:26">
      <c r="B66" s="5"/>
      <c r="C66" s="5"/>
      <c r="D66" s="17"/>
      <c r="E66" s="17"/>
      <c r="F66" s="17"/>
      <c r="G66" s="17"/>
      <c r="H66" s="17"/>
      <c r="I66" s="248"/>
      <c r="J66" s="17"/>
      <c r="K66" s="17"/>
      <c r="L66" s="17"/>
      <c r="M66" s="17"/>
      <c r="N66" s="17"/>
      <c r="O66" s="5"/>
      <c r="Q66" s="5"/>
      <c r="R66" s="5"/>
      <c r="S66" s="5"/>
    </row>
    <row r="67" spans="2:26">
      <c r="B67" s="41"/>
      <c r="C67" s="249"/>
      <c r="D67" s="254"/>
      <c r="E67" s="254"/>
      <c r="F67" s="254"/>
      <c r="G67" s="254"/>
      <c r="H67" s="254"/>
      <c r="I67" s="5"/>
      <c r="J67" s="254"/>
      <c r="K67" s="254"/>
      <c r="L67" s="254"/>
      <c r="M67" s="254"/>
      <c r="N67" s="254"/>
      <c r="O67" s="251"/>
      <c r="Q67" s="41"/>
      <c r="R67" s="5"/>
      <c r="S67" s="5"/>
    </row>
    <row r="68" spans="2:26">
      <c r="B68" s="5"/>
      <c r="C68" s="5"/>
      <c r="D68" s="248"/>
      <c r="E68" s="248"/>
      <c r="F68" s="248"/>
      <c r="G68" s="248"/>
      <c r="H68" s="248"/>
      <c r="I68" s="245"/>
      <c r="J68" s="248"/>
      <c r="K68" s="248"/>
      <c r="L68" s="248"/>
      <c r="M68" s="248"/>
      <c r="N68" s="248"/>
      <c r="O68" s="5"/>
      <c r="Q68" s="5"/>
      <c r="R68" s="5"/>
      <c r="S68" s="5"/>
    </row>
    <row r="69" spans="2:26">
      <c r="B69" s="41"/>
      <c r="C69" s="5"/>
      <c r="D69" s="5"/>
      <c r="E69" s="5"/>
      <c r="F69" s="5"/>
      <c r="G69" s="5"/>
      <c r="H69" s="5"/>
      <c r="I69" s="248"/>
      <c r="J69" s="5"/>
      <c r="K69" s="5"/>
      <c r="L69" s="5"/>
      <c r="M69" s="5"/>
      <c r="N69" s="5"/>
      <c r="O69" s="5"/>
      <c r="Q69" s="5"/>
      <c r="R69" s="5"/>
      <c r="S69" s="5"/>
    </row>
    <row r="70" spans="2:26">
      <c r="B70" s="41"/>
      <c r="C70" s="245"/>
      <c r="D70" s="245"/>
      <c r="E70" s="245"/>
      <c r="F70" s="245"/>
      <c r="G70" s="245"/>
      <c r="H70" s="245"/>
      <c r="I70" s="5"/>
      <c r="J70" s="245"/>
      <c r="K70" s="245"/>
      <c r="L70" s="245"/>
      <c r="M70" s="245"/>
      <c r="N70" s="245"/>
      <c r="O70" s="251"/>
      <c r="Q70" s="5"/>
      <c r="R70" s="5"/>
      <c r="S70" s="5"/>
      <c r="W70" s="76"/>
      <c r="X70" s="76"/>
    </row>
    <row r="71" spans="2:26">
      <c r="B71" s="5"/>
      <c r="C71" s="5"/>
      <c r="D71" s="248"/>
      <c r="E71" s="248"/>
      <c r="F71" s="248"/>
      <c r="G71" s="248"/>
      <c r="H71" s="248"/>
      <c r="I71" s="245"/>
      <c r="J71" s="248"/>
      <c r="K71" s="248"/>
      <c r="L71" s="248"/>
      <c r="M71" s="248"/>
      <c r="N71" s="248"/>
      <c r="O71" s="5"/>
      <c r="Q71" s="5"/>
      <c r="R71" s="5"/>
      <c r="S71" s="5"/>
      <c r="W71" s="76"/>
      <c r="X71" s="76"/>
      <c r="Y71" s="76"/>
      <c r="Z71" s="76"/>
    </row>
    <row r="72" spans="2:26">
      <c r="B72" s="41"/>
      <c r="C72" s="5"/>
      <c r="D72" s="5"/>
      <c r="E72" s="5"/>
      <c r="F72" s="5"/>
      <c r="G72" s="5"/>
      <c r="H72" s="5"/>
      <c r="I72" s="18"/>
      <c r="J72" s="5"/>
      <c r="K72" s="5"/>
      <c r="L72" s="5"/>
      <c r="M72" s="5"/>
      <c r="N72" s="5"/>
      <c r="O72" s="5"/>
      <c r="Q72" s="5"/>
      <c r="R72" s="5"/>
      <c r="S72" s="5"/>
      <c r="Y72" s="76"/>
      <c r="Z72" s="76"/>
    </row>
    <row r="73" spans="2:26">
      <c r="B73" s="41"/>
      <c r="C73" s="245"/>
      <c r="D73" s="245"/>
      <c r="E73" s="245"/>
      <c r="F73" s="245"/>
      <c r="G73" s="245"/>
      <c r="H73" s="245"/>
      <c r="I73" s="5"/>
      <c r="J73" s="245"/>
      <c r="K73" s="245"/>
      <c r="L73" s="245"/>
      <c r="M73" s="245"/>
      <c r="N73" s="245"/>
      <c r="O73" s="251"/>
      <c r="Q73" s="5"/>
      <c r="R73" s="5"/>
      <c r="S73" s="5"/>
    </row>
    <row r="74" spans="2:26">
      <c r="B74" s="5"/>
      <c r="C74" s="5"/>
      <c r="D74" s="18"/>
      <c r="E74" s="18"/>
      <c r="F74" s="18"/>
      <c r="G74" s="18"/>
      <c r="H74" s="18"/>
      <c r="I74" s="249"/>
      <c r="J74" s="18"/>
      <c r="K74" s="18"/>
      <c r="L74" s="18"/>
      <c r="M74" s="18"/>
      <c r="N74" s="18"/>
      <c r="O74" s="5"/>
      <c r="Q74" s="5"/>
      <c r="R74" s="5"/>
      <c r="S74" s="5"/>
    </row>
    <row r="75" spans="2:26">
      <c r="B75" s="41"/>
      <c r="C75" s="5"/>
      <c r="D75" s="5"/>
      <c r="E75" s="5"/>
      <c r="F75" s="5"/>
      <c r="G75" s="5"/>
      <c r="H75" s="5"/>
      <c r="I75" s="248"/>
      <c r="J75" s="5"/>
      <c r="K75" s="5"/>
      <c r="L75" s="5"/>
      <c r="M75" s="5"/>
      <c r="N75" s="5"/>
      <c r="O75" s="5"/>
      <c r="Q75" s="5"/>
      <c r="R75" s="5"/>
      <c r="S75" s="5"/>
    </row>
    <row r="76" spans="2:26">
      <c r="B76" s="41"/>
      <c r="C76" s="249"/>
      <c r="D76" s="249"/>
      <c r="E76" s="249"/>
      <c r="F76" s="249"/>
      <c r="G76" s="249"/>
      <c r="H76" s="249"/>
      <c r="I76" s="5"/>
      <c r="J76" s="249"/>
      <c r="K76" s="249"/>
      <c r="L76" s="249"/>
      <c r="M76" s="249"/>
      <c r="N76" s="249"/>
      <c r="O76" s="251"/>
      <c r="Q76" s="5"/>
      <c r="R76" s="5"/>
      <c r="S76" s="5"/>
    </row>
    <row r="77" spans="2:26">
      <c r="B77" s="5"/>
      <c r="C77" s="5"/>
      <c r="D77" s="248"/>
      <c r="E77" s="248"/>
      <c r="F77" s="248"/>
      <c r="G77" s="248"/>
      <c r="H77" s="248"/>
      <c r="I77" s="245"/>
      <c r="J77" s="248"/>
      <c r="K77" s="248"/>
      <c r="L77" s="248"/>
      <c r="M77" s="248"/>
      <c r="N77" s="248"/>
      <c r="O77" s="5"/>
      <c r="Q77" s="5"/>
      <c r="R77" s="5"/>
      <c r="S77" s="5"/>
    </row>
    <row r="78" spans="2:26">
      <c r="B78" s="41"/>
      <c r="C78" s="5"/>
      <c r="D78" s="5"/>
      <c r="E78" s="5"/>
      <c r="F78" s="5"/>
      <c r="G78" s="5"/>
      <c r="H78" s="5"/>
      <c r="I78" s="248"/>
      <c r="J78" s="5"/>
      <c r="K78" s="5"/>
      <c r="L78" s="5"/>
      <c r="M78" s="5"/>
      <c r="N78" s="5"/>
      <c r="O78" s="5"/>
      <c r="Q78" s="5"/>
      <c r="R78" s="5"/>
      <c r="S78" s="5"/>
    </row>
    <row r="79" spans="2:26">
      <c r="B79" s="41"/>
      <c r="C79" s="245"/>
      <c r="D79" s="245"/>
      <c r="E79" s="245"/>
      <c r="F79" s="245"/>
      <c r="G79" s="245"/>
      <c r="H79" s="245"/>
      <c r="I79" s="5"/>
      <c r="J79" s="245"/>
      <c r="K79" s="245"/>
      <c r="L79" s="245"/>
      <c r="M79" s="245"/>
      <c r="N79" s="245"/>
      <c r="O79" s="251"/>
      <c r="Q79" s="5"/>
      <c r="R79" s="5"/>
      <c r="S79" s="5"/>
    </row>
    <row r="80" spans="2:26">
      <c r="B80" s="5"/>
      <c r="C80" s="5"/>
      <c r="D80" s="248"/>
      <c r="E80" s="248"/>
      <c r="F80" s="248"/>
      <c r="G80" s="248"/>
      <c r="H80" s="248"/>
      <c r="I80" s="249"/>
      <c r="J80" s="248"/>
      <c r="K80" s="248"/>
      <c r="L80" s="248"/>
      <c r="M80" s="248"/>
      <c r="N80" s="248"/>
      <c r="O80" s="5"/>
      <c r="Q80" s="5"/>
      <c r="R80" s="5"/>
      <c r="S80" s="5"/>
    </row>
    <row r="81" spans="2:26">
      <c r="B81" s="41"/>
      <c r="C81" s="5"/>
      <c r="D81" s="5"/>
      <c r="E81" s="5"/>
      <c r="F81" s="5"/>
      <c r="G81" s="5"/>
      <c r="H81" s="5"/>
      <c r="I81" s="248"/>
      <c r="J81" s="5"/>
      <c r="K81" s="5"/>
      <c r="L81" s="5"/>
      <c r="M81" s="5"/>
      <c r="N81" s="5"/>
      <c r="O81" s="5"/>
      <c r="Q81" s="5"/>
      <c r="R81" s="5"/>
      <c r="S81" s="5"/>
    </row>
    <row r="82" spans="2:26">
      <c r="B82" s="41"/>
      <c r="C82" s="249"/>
      <c r="D82" s="249"/>
      <c r="E82" s="249"/>
      <c r="F82" s="249"/>
      <c r="G82" s="249"/>
      <c r="H82" s="249"/>
      <c r="I82" s="259"/>
      <c r="J82" s="249"/>
      <c r="K82" s="249"/>
      <c r="L82" s="249"/>
      <c r="M82" s="249"/>
      <c r="N82" s="249"/>
      <c r="O82" s="251"/>
      <c r="Q82" s="5"/>
      <c r="R82" s="5"/>
      <c r="S82" s="5"/>
    </row>
    <row r="83" spans="2:26">
      <c r="B83" s="5"/>
      <c r="C83" s="5"/>
      <c r="D83" s="248"/>
      <c r="E83" s="248"/>
      <c r="F83" s="248"/>
      <c r="G83" s="248"/>
      <c r="H83" s="248"/>
      <c r="I83" s="5"/>
      <c r="J83" s="248"/>
      <c r="K83" s="248"/>
      <c r="L83" s="248"/>
      <c r="M83" s="248"/>
      <c r="N83" s="248"/>
      <c r="O83" s="5"/>
      <c r="Q83" s="5"/>
      <c r="R83" s="5"/>
      <c r="S83" s="5"/>
    </row>
    <row r="84" spans="2:26">
      <c r="B84" s="5"/>
      <c r="C84" s="259"/>
      <c r="D84" s="259"/>
      <c r="E84" s="259"/>
      <c r="F84" s="259"/>
      <c r="G84" s="259"/>
      <c r="H84" s="259"/>
      <c r="I84" s="245"/>
      <c r="J84" s="259"/>
      <c r="K84" s="259"/>
      <c r="L84" s="259"/>
      <c r="M84" s="259"/>
      <c r="N84" s="259"/>
      <c r="O84" s="251"/>
      <c r="Q84" s="5"/>
      <c r="R84" s="5"/>
      <c r="S84" s="5"/>
    </row>
    <row r="85" spans="2:26">
      <c r="B85" s="41"/>
      <c r="C85" s="5"/>
      <c r="D85" s="5"/>
      <c r="E85" s="5"/>
      <c r="F85" s="5"/>
      <c r="G85" s="5"/>
      <c r="H85" s="5"/>
      <c r="I85" s="248"/>
      <c r="J85" s="5"/>
      <c r="K85" s="5"/>
      <c r="L85" s="5"/>
      <c r="M85" s="5"/>
      <c r="N85" s="5"/>
      <c r="O85" s="5"/>
      <c r="Q85" s="5"/>
      <c r="R85" s="5"/>
      <c r="S85" s="5"/>
    </row>
    <row r="86" spans="2:26">
      <c r="B86" s="41"/>
      <c r="C86" s="245"/>
      <c r="D86" s="245"/>
      <c r="E86" s="245"/>
      <c r="F86" s="245"/>
      <c r="G86" s="245"/>
      <c r="H86" s="245"/>
      <c r="I86" s="5"/>
      <c r="J86" s="245"/>
      <c r="K86" s="245"/>
      <c r="L86" s="245"/>
      <c r="M86" s="245"/>
      <c r="N86" s="245"/>
      <c r="O86" s="251"/>
      <c r="Q86" s="5"/>
      <c r="R86" s="5"/>
      <c r="S86" s="5"/>
    </row>
    <row r="87" spans="2:26">
      <c r="B87" s="5"/>
      <c r="C87" s="5"/>
      <c r="D87" s="248"/>
      <c r="E87" s="248"/>
      <c r="F87" s="248"/>
      <c r="G87" s="248"/>
      <c r="H87" s="248"/>
      <c r="I87" s="5"/>
      <c r="J87" s="248"/>
      <c r="K87" s="248"/>
      <c r="L87" s="248"/>
      <c r="M87" s="248"/>
      <c r="N87" s="248"/>
      <c r="O87" s="5"/>
      <c r="Q87" s="5"/>
      <c r="R87" s="5"/>
      <c r="S87" s="5"/>
    </row>
    <row r="88" spans="2:26">
      <c r="B88" s="41"/>
      <c r="C88" s="5"/>
      <c r="D88" s="5"/>
      <c r="E88" s="5"/>
      <c r="F88" s="5"/>
      <c r="G88" s="5"/>
      <c r="H88" s="5"/>
      <c r="I88" s="5"/>
      <c r="J88" s="5"/>
      <c r="K88" s="5"/>
      <c r="L88" s="5"/>
      <c r="M88" s="5"/>
      <c r="N88" s="5"/>
      <c r="O88" s="5"/>
      <c r="Q88" s="5"/>
      <c r="R88" s="5"/>
      <c r="S88" s="5"/>
    </row>
    <row r="89" spans="2:26">
      <c r="B89" s="41"/>
      <c r="C89" s="5"/>
      <c r="D89" s="5"/>
      <c r="E89" s="5"/>
      <c r="F89" s="5"/>
      <c r="G89" s="5"/>
      <c r="H89" s="5"/>
      <c r="I89" s="5"/>
      <c r="J89" s="5"/>
      <c r="K89" s="5"/>
      <c r="L89" s="5"/>
      <c r="M89" s="5"/>
      <c r="N89" s="5"/>
      <c r="O89" s="5"/>
      <c r="Q89" s="5"/>
      <c r="R89" s="5"/>
      <c r="S89" s="5"/>
    </row>
    <row r="90" spans="2:26">
      <c r="B90" s="41"/>
      <c r="C90" s="5"/>
      <c r="D90" s="5"/>
      <c r="E90" s="5"/>
      <c r="F90" s="5"/>
      <c r="G90" s="5"/>
      <c r="H90" s="5"/>
      <c r="I90" s="49"/>
      <c r="J90" s="5"/>
      <c r="K90" s="5"/>
      <c r="L90" s="5"/>
      <c r="M90" s="5"/>
      <c r="N90" s="5"/>
      <c r="O90" s="5"/>
      <c r="Q90" s="41"/>
      <c r="R90" s="5"/>
      <c r="S90" s="5"/>
    </row>
    <row r="91" spans="2:26">
      <c r="B91" s="5"/>
      <c r="C91" s="5"/>
      <c r="D91" s="5"/>
      <c r="E91" s="5"/>
      <c r="F91" s="5"/>
      <c r="G91" s="5"/>
      <c r="H91" s="5"/>
      <c r="I91" s="5"/>
      <c r="J91" s="5"/>
      <c r="K91" s="5"/>
      <c r="L91" s="5"/>
      <c r="M91" s="5"/>
      <c r="N91" s="5"/>
      <c r="O91" s="5"/>
      <c r="Q91" s="5"/>
      <c r="R91" s="5"/>
      <c r="S91" s="5"/>
    </row>
    <row r="92" spans="2:26">
      <c r="B92" s="41"/>
      <c r="C92" s="49"/>
      <c r="D92" s="49"/>
      <c r="E92" s="49"/>
      <c r="F92" s="49"/>
      <c r="G92" s="49"/>
      <c r="H92" s="49"/>
      <c r="I92" s="247"/>
      <c r="J92" s="49"/>
      <c r="K92" s="49"/>
      <c r="L92" s="49"/>
      <c r="M92" s="49"/>
      <c r="N92" s="49"/>
      <c r="O92" s="49"/>
      <c r="Q92" s="5"/>
      <c r="R92" s="5"/>
      <c r="S92" s="5"/>
      <c r="W92" s="21"/>
      <c r="X92" s="21"/>
    </row>
    <row r="93" spans="2:26">
      <c r="B93" s="5"/>
      <c r="C93" s="5"/>
      <c r="D93" s="5"/>
      <c r="E93" s="5"/>
      <c r="F93" s="5"/>
      <c r="G93" s="5"/>
      <c r="H93" s="5"/>
      <c r="I93" s="247"/>
      <c r="J93" s="5"/>
      <c r="K93" s="5"/>
      <c r="L93" s="5"/>
      <c r="M93" s="5"/>
      <c r="N93" s="5"/>
      <c r="O93" s="5"/>
      <c r="Q93" s="5"/>
      <c r="R93" s="5"/>
      <c r="S93" s="5"/>
      <c r="W93" s="21"/>
      <c r="X93" s="21"/>
      <c r="Y93" s="21"/>
      <c r="Z93" s="21"/>
    </row>
    <row r="94" spans="2:26">
      <c r="B94" s="5"/>
      <c r="C94" s="259"/>
      <c r="D94" s="247"/>
      <c r="E94" s="247"/>
      <c r="F94" s="247"/>
      <c r="G94" s="247"/>
      <c r="H94" s="247"/>
      <c r="I94" s="247"/>
      <c r="J94" s="247"/>
      <c r="K94" s="247"/>
      <c r="L94" s="247"/>
      <c r="M94" s="247"/>
      <c r="N94" s="247"/>
      <c r="O94" s="248"/>
      <c r="Q94" s="5"/>
      <c r="R94" s="5"/>
      <c r="S94" s="5"/>
      <c r="Y94" s="21"/>
      <c r="Z94" s="21"/>
    </row>
    <row r="95" spans="2:26">
      <c r="B95" s="5"/>
      <c r="C95" s="259"/>
      <c r="D95" s="247"/>
      <c r="E95" s="247"/>
      <c r="F95" s="247"/>
      <c r="G95" s="247"/>
      <c r="H95" s="247"/>
      <c r="I95" s="248"/>
      <c r="J95" s="247"/>
      <c r="K95" s="247"/>
      <c r="L95" s="247"/>
      <c r="M95" s="247"/>
      <c r="N95" s="247"/>
      <c r="O95" s="248"/>
      <c r="Q95" s="5"/>
      <c r="R95" s="5"/>
      <c r="S95" s="5"/>
    </row>
    <row r="96" spans="2:26">
      <c r="B96" s="5"/>
      <c r="C96" s="259"/>
      <c r="D96" s="247"/>
      <c r="E96" s="247"/>
      <c r="F96" s="247"/>
      <c r="G96" s="247"/>
      <c r="H96" s="247"/>
      <c r="I96" s="247"/>
      <c r="J96" s="247"/>
      <c r="K96" s="247"/>
      <c r="L96" s="247"/>
      <c r="M96" s="247"/>
      <c r="N96" s="247"/>
      <c r="O96" s="248"/>
      <c r="Q96" s="5"/>
      <c r="R96" s="5"/>
      <c r="S96" s="5"/>
    </row>
    <row r="97" spans="2:19">
      <c r="B97" s="5"/>
      <c r="C97" s="259"/>
      <c r="D97" s="248"/>
      <c r="E97" s="248"/>
      <c r="F97" s="248"/>
      <c r="G97" s="248"/>
      <c r="H97" s="248"/>
      <c r="I97" s="249"/>
      <c r="J97" s="248"/>
      <c r="K97" s="248"/>
      <c r="L97" s="248"/>
      <c r="M97" s="248"/>
      <c r="N97" s="248"/>
      <c r="O97" s="248"/>
      <c r="Q97" s="5"/>
      <c r="R97" s="5"/>
      <c r="S97" s="5"/>
    </row>
    <row r="98" spans="2:19">
      <c r="B98" s="5"/>
      <c r="C98" s="259"/>
      <c r="D98" s="247"/>
      <c r="E98" s="247"/>
      <c r="F98" s="247"/>
      <c r="G98" s="247"/>
      <c r="H98" s="247"/>
      <c r="I98" s="248"/>
      <c r="J98" s="247"/>
      <c r="K98" s="247"/>
      <c r="L98" s="247"/>
      <c r="M98" s="247"/>
      <c r="N98" s="247"/>
      <c r="O98" s="248"/>
      <c r="Q98" s="5"/>
      <c r="R98" s="5"/>
      <c r="S98" s="5"/>
    </row>
    <row r="99" spans="2:19">
      <c r="B99" s="41"/>
      <c r="C99" s="249"/>
      <c r="D99" s="249"/>
      <c r="E99" s="249"/>
      <c r="F99" s="249"/>
      <c r="G99" s="249"/>
      <c r="H99" s="249"/>
      <c r="I99" s="5"/>
      <c r="J99" s="249"/>
      <c r="K99" s="249"/>
      <c r="L99" s="249"/>
      <c r="M99" s="249"/>
      <c r="N99" s="249"/>
      <c r="O99" s="248"/>
      <c r="Q99" s="5"/>
      <c r="R99" s="5"/>
      <c r="S99" s="5"/>
    </row>
    <row r="100" spans="2:19">
      <c r="B100" s="41"/>
      <c r="C100" s="257"/>
      <c r="D100" s="248"/>
      <c r="E100" s="248"/>
      <c r="F100" s="248"/>
      <c r="G100" s="248"/>
      <c r="H100" s="248"/>
      <c r="I100" s="259"/>
      <c r="J100" s="248"/>
      <c r="K100" s="248"/>
      <c r="L100" s="248"/>
      <c r="M100" s="248"/>
      <c r="N100" s="248"/>
      <c r="O100" s="248"/>
      <c r="Q100" s="5"/>
      <c r="R100" s="5"/>
      <c r="S100" s="5"/>
    </row>
    <row r="101" spans="2:19" s="5" customFormat="1">
      <c r="B101" s="41"/>
      <c r="I101" s="259"/>
      <c r="O101" s="248"/>
      <c r="P101" s="39"/>
    </row>
    <row r="102" spans="2:19">
      <c r="B102" s="5"/>
      <c r="C102" s="259"/>
      <c r="D102" s="259"/>
      <c r="E102" s="259"/>
      <c r="F102" s="259"/>
      <c r="G102" s="259"/>
      <c r="H102" s="259"/>
      <c r="I102" s="247"/>
      <c r="J102" s="259"/>
      <c r="K102" s="259"/>
      <c r="L102" s="259"/>
      <c r="M102" s="259"/>
      <c r="N102" s="259"/>
      <c r="O102" s="5"/>
      <c r="Q102" s="5"/>
      <c r="R102" s="5"/>
      <c r="S102" s="5"/>
    </row>
    <row r="103" spans="2:19">
      <c r="B103" s="5"/>
      <c r="C103" s="259"/>
      <c r="D103" s="259"/>
      <c r="E103" s="259"/>
      <c r="F103" s="259"/>
      <c r="G103" s="259"/>
      <c r="H103" s="259"/>
      <c r="I103" s="5"/>
      <c r="J103" s="259"/>
      <c r="K103" s="259"/>
      <c r="L103" s="259"/>
      <c r="M103" s="259"/>
      <c r="N103" s="259"/>
      <c r="O103" s="5"/>
      <c r="P103" s="5"/>
      <c r="Q103" s="5"/>
      <c r="R103" s="5"/>
      <c r="S103" s="5"/>
    </row>
    <row r="104" spans="2:19">
      <c r="B104" s="5"/>
      <c r="C104" s="247"/>
      <c r="D104" s="247"/>
      <c r="E104" s="247"/>
      <c r="F104" s="247"/>
      <c r="G104" s="247"/>
      <c r="H104" s="247"/>
      <c r="I104" s="247"/>
      <c r="J104" s="247"/>
      <c r="K104" s="247"/>
      <c r="L104" s="247"/>
      <c r="M104" s="247"/>
      <c r="N104" s="247"/>
      <c r="O104" s="5"/>
      <c r="Q104" s="5"/>
      <c r="R104" s="5"/>
      <c r="S104" s="5"/>
    </row>
    <row r="105" spans="2:19" s="5" customFormat="1">
      <c r="P105" s="39"/>
    </row>
    <row r="106" spans="2:19" s="5" customFormat="1">
      <c r="C106" s="259"/>
      <c r="D106" s="247"/>
      <c r="E106" s="247"/>
      <c r="F106" s="247"/>
      <c r="G106" s="247"/>
      <c r="H106" s="247"/>
      <c r="I106" s="259"/>
      <c r="J106" s="247"/>
      <c r="K106" s="247"/>
      <c r="L106" s="247"/>
      <c r="M106" s="247"/>
      <c r="N106" s="247"/>
      <c r="P106" s="39"/>
    </row>
    <row r="107" spans="2:19">
      <c r="B107" s="5"/>
      <c r="C107" s="259"/>
      <c r="D107" s="5"/>
      <c r="E107" s="5"/>
      <c r="F107" s="5"/>
      <c r="G107" s="5"/>
      <c r="H107" s="5"/>
      <c r="I107" s="247"/>
      <c r="J107" s="5"/>
      <c r="K107" s="5"/>
      <c r="L107" s="5"/>
      <c r="M107" s="5"/>
      <c r="N107" s="5"/>
      <c r="O107" s="5"/>
      <c r="P107" s="5"/>
      <c r="Q107" s="5"/>
      <c r="R107" s="5"/>
      <c r="S107" s="5"/>
    </row>
    <row r="108" spans="2:19">
      <c r="B108" s="5"/>
      <c r="C108" s="259"/>
      <c r="D108" s="259"/>
      <c r="E108" s="259"/>
      <c r="F108" s="259"/>
      <c r="G108" s="259"/>
      <c r="H108" s="259"/>
      <c r="I108" s="249"/>
      <c r="J108" s="259"/>
      <c r="K108" s="259"/>
      <c r="L108" s="259"/>
      <c r="M108" s="259"/>
      <c r="N108" s="259"/>
      <c r="O108" s="5"/>
      <c r="P108" s="5"/>
      <c r="Q108" s="5"/>
      <c r="R108" s="5"/>
      <c r="S108" s="5"/>
    </row>
    <row r="109" spans="2:19">
      <c r="B109" s="5"/>
      <c r="C109" s="247"/>
      <c r="D109" s="247"/>
      <c r="E109" s="247"/>
      <c r="F109" s="247"/>
      <c r="G109" s="247"/>
      <c r="H109" s="247"/>
      <c r="I109" s="249"/>
      <c r="J109" s="247"/>
      <c r="K109" s="247"/>
      <c r="L109" s="247"/>
      <c r="M109" s="247"/>
      <c r="N109" s="247"/>
      <c r="O109" s="5"/>
      <c r="Q109" s="5"/>
      <c r="R109" s="5"/>
      <c r="S109" s="5"/>
    </row>
    <row r="110" spans="2:19">
      <c r="B110" s="41"/>
      <c r="C110" s="249"/>
      <c r="D110" s="249"/>
      <c r="E110" s="249"/>
      <c r="F110" s="249"/>
      <c r="G110" s="249"/>
      <c r="H110" s="249"/>
      <c r="I110" s="247"/>
      <c r="J110" s="249"/>
      <c r="K110" s="249"/>
      <c r="L110" s="249"/>
      <c r="M110" s="249"/>
      <c r="N110" s="249"/>
      <c r="O110" s="5"/>
      <c r="Q110" s="5"/>
      <c r="R110" s="5"/>
      <c r="S110" s="5"/>
    </row>
    <row r="111" spans="2:19">
      <c r="B111" s="5"/>
      <c r="C111" s="249"/>
      <c r="D111" s="249"/>
      <c r="E111" s="249"/>
      <c r="F111" s="249"/>
      <c r="G111" s="249"/>
      <c r="H111" s="249"/>
      <c r="I111" s="5"/>
      <c r="J111" s="249"/>
      <c r="K111" s="249"/>
      <c r="L111" s="249"/>
      <c r="M111" s="249"/>
      <c r="N111" s="249"/>
      <c r="O111" s="5"/>
      <c r="Q111" s="5"/>
      <c r="R111" s="5"/>
      <c r="S111" s="5"/>
    </row>
    <row r="112" spans="2:19">
      <c r="B112" s="5"/>
      <c r="C112" s="247"/>
      <c r="D112" s="247"/>
      <c r="E112" s="247"/>
      <c r="F112" s="247"/>
      <c r="G112" s="247"/>
      <c r="H112" s="247"/>
      <c r="I112" s="5"/>
      <c r="J112" s="247"/>
      <c r="K112" s="247"/>
      <c r="L112" s="247"/>
      <c r="M112" s="247"/>
      <c r="N112" s="247"/>
      <c r="O112" s="5"/>
      <c r="Q112" s="5"/>
      <c r="R112" s="5"/>
      <c r="S112" s="5"/>
    </row>
    <row r="113" spans="2:19">
      <c r="B113" s="5"/>
      <c r="C113" s="5"/>
      <c r="D113" s="5"/>
      <c r="E113" s="5"/>
      <c r="F113" s="5"/>
      <c r="G113" s="5"/>
      <c r="H113" s="5"/>
      <c r="I113" s="5"/>
      <c r="J113" s="5"/>
      <c r="K113" s="5"/>
      <c r="L113" s="5"/>
      <c r="M113" s="5"/>
      <c r="N113" s="5"/>
      <c r="O113" s="5"/>
      <c r="Q113" s="5"/>
      <c r="R113" s="5"/>
      <c r="S113" s="5"/>
    </row>
    <row r="114" spans="2:19">
      <c r="B114" s="5"/>
      <c r="C114" s="5"/>
      <c r="D114" s="5"/>
      <c r="E114" s="5"/>
      <c r="F114" s="5"/>
      <c r="G114" s="5"/>
      <c r="H114" s="5"/>
      <c r="I114" s="5"/>
      <c r="J114" s="5"/>
      <c r="K114" s="5"/>
      <c r="L114" s="5"/>
      <c r="M114" s="5"/>
      <c r="N114" s="5"/>
      <c r="O114" s="5"/>
      <c r="Q114" s="5"/>
      <c r="R114" s="5"/>
      <c r="S114" s="5"/>
    </row>
    <row r="115" spans="2:19">
      <c r="B115" s="5"/>
      <c r="C115" s="5"/>
      <c r="D115" s="5"/>
      <c r="E115" s="5"/>
      <c r="F115" s="5"/>
      <c r="G115" s="5"/>
      <c r="H115" s="5"/>
      <c r="I115" s="49"/>
      <c r="J115" s="5"/>
      <c r="K115" s="5"/>
      <c r="L115" s="5"/>
      <c r="M115" s="5"/>
      <c r="N115" s="5"/>
      <c r="O115" s="5"/>
      <c r="Q115" s="41"/>
      <c r="R115" s="5"/>
      <c r="S115" s="5"/>
    </row>
    <row r="116" spans="2:19">
      <c r="B116" s="5"/>
      <c r="C116" s="5"/>
      <c r="D116" s="5"/>
      <c r="E116" s="5"/>
      <c r="F116" s="5"/>
      <c r="G116" s="5"/>
      <c r="H116" s="5"/>
      <c r="I116" s="5"/>
      <c r="J116" s="5"/>
      <c r="K116" s="5"/>
      <c r="L116" s="5"/>
      <c r="M116" s="5"/>
      <c r="N116" s="5"/>
      <c r="O116" s="5"/>
      <c r="Q116" s="5"/>
      <c r="R116" s="5"/>
      <c r="S116" s="5"/>
    </row>
    <row r="117" spans="2:19">
      <c r="B117" s="41"/>
      <c r="C117" s="49"/>
      <c r="D117" s="49"/>
      <c r="E117" s="49"/>
      <c r="F117" s="49"/>
      <c r="G117" s="49"/>
      <c r="H117" s="49"/>
      <c r="I117" s="254"/>
      <c r="J117" s="49"/>
      <c r="K117" s="49"/>
      <c r="L117" s="49"/>
      <c r="M117" s="49"/>
      <c r="N117" s="49"/>
      <c r="O117" s="49"/>
      <c r="Q117" s="5"/>
      <c r="R117" s="5"/>
      <c r="S117" s="5"/>
    </row>
    <row r="118" spans="2:19">
      <c r="B118" s="5"/>
      <c r="C118" s="5"/>
      <c r="D118" s="5"/>
      <c r="E118" s="5"/>
      <c r="F118" s="5"/>
      <c r="G118" s="5"/>
      <c r="H118" s="5"/>
      <c r="I118" s="249"/>
      <c r="J118" s="5"/>
      <c r="K118" s="5"/>
      <c r="L118" s="5"/>
      <c r="M118" s="5"/>
      <c r="N118" s="5"/>
      <c r="O118" s="5"/>
      <c r="Q118" s="5"/>
      <c r="R118" s="5"/>
      <c r="S118" s="5"/>
    </row>
    <row r="119" spans="2:19">
      <c r="B119" s="41"/>
      <c r="C119" s="254"/>
      <c r="D119" s="254"/>
      <c r="E119" s="254"/>
      <c r="F119" s="254"/>
      <c r="G119" s="254"/>
      <c r="H119" s="254"/>
      <c r="I119" s="254"/>
      <c r="J119" s="254"/>
      <c r="K119" s="254"/>
      <c r="L119" s="254"/>
      <c r="M119" s="254"/>
      <c r="N119" s="254"/>
      <c r="O119" s="248"/>
      <c r="Q119" s="5"/>
      <c r="R119" s="5"/>
      <c r="S119" s="5"/>
    </row>
    <row r="120" spans="2:19">
      <c r="B120" s="41"/>
      <c r="C120" s="254"/>
      <c r="D120" s="249"/>
      <c r="E120" s="249"/>
      <c r="F120" s="249"/>
      <c r="G120" s="249"/>
      <c r="H120" s="249"/>
      <c r="I120" s="254"/>
      <c r="J120" s="249"/>
      <c r="K120" s="249"/>
      <c r="L120" s="249"/>
      <c r="M120" s="249"/>
      <c r="N120" s="249"/>
      <c r="O120" s="248"/>
      <c r="Q120" s="5"/>
      <c r="R120" s="5"/>
      <c r="S120" s="5"/>
    </row>
    <row r="121" spans="2:19">
      <c r="B121" s="41"/>
      <c r="C121" s="254"/>
      <c r="D121" s="254"/>
      <c r="E121" s="254"/>
      <c r="F121" s="254"/>
      <c r="G121" s="254"/>
      <c r="H121" s="254"/>
      <c r="I121" s="254"/>
      <c r="J121" s="254"/>
      <c r="K121" s="254"/>
      <c r="L121" s="254"/>
      <c r="M121" s="254"/>
      <c r="N121" s="254"/>
      <c r="O121" s="248"/>
      <c r="Q121" s="5"/>
      <c r="R121" s="5"/>
      <c r="S121" s="5"/>
    </row>
    <row r="122" spans="2:19">
      <c r="B122" s="41"/>
      <c r="C122" s="254"/>
      <c r="D122" s="254"/>
      <c r="E122" s="254"/>
      <c r="F122" s="254"/>
      <c r="G122" s="254"/>
      <c r="H122" s="254"/>
      <c r="I122" s="254"/>
      <c r="J122" s="254"/>
      <c r="K122" s="254"/>
      <c r="L122" s="254"/>
      <c r="M122" s="254"/>
      <c r="N122" s="254"/>
      <c r="O122" s="248"/>
      <c r="Q122" s="5"/>
      <c r="R122" s="5"/>
      <c r="S122" s="5"/>
    </row>
    <row r="123" spans="2:19">
      <c r="B123" s="41"/>
      <c r="C123" s="254"/>
      <c r="D123" s="254"/>
      <c r="E123" s="254"/>
      <c r="F123" s="254"/>
      <c r="G123" s="254"/>
      <c r="H123" s="254"/>
      <c r="I123" s="254"/>
      <c r="J123" s="254"/>
      <c r="K123" s="254"/>
      <c r="L123" s="254"/>
      <c r="M123" s="254"/>
      <c r="N123" s="254"/>
      <c r="O123" s="248"/>
      <c r="Q123" s="5"/>
      <c r="R123" s="5"/>
      <c r="S123" s="5"/>
    </row>
    <row r="124" spans="2:19">
      <c r="B124" s="41"/>
      <c r="C124" s="254"/>
      <c r="D124" s="254"/>
      <c r="E124" s="254"/>
      <c r="F124" s="254"/>
      <c r="G124" s="254"/>
      <c r="H124" s="254"/>
      <c r="I124" s="254"/>
      <c r="J124" s="254"/>
      <c r="K124" s="254"/>
      <c r="L124" s="254"/>
      <c r="M124" s="254"/>
      <c r="N124" s="254"/>
      <c r="O124" s="248"/>
      <c r="Q124" s="5"/>
      <c r="R124" s="5"/>
      <c r="S124" s="5"/>
    </row>
    <row r="125" spans="2:19">
      <c r="B125" s="41"/>
      <c r="C125" s="254"/>
      <c r="D125" s="254"/>
      <c r="E125" s="254"/>
      <c r="F125" s="254"/>
      <c r="G125" s="254"/>
      <c r="H125" s="254"/>
      <c r="I125" s="254"/>
      <c r="J125" s="254"/>
      <c r="K125" s="254"/>
      <c r="L125" s="254"/>
      <c r="M125" s="254"/>
      <c r="N125" s="254"/>
      <c r="O125" s="5"/>
      <c r="Q125" s="5"/>
      <c r="R125" s="5"/>
      <c r="S125" s="5"/>
    </row>
    <row r="126" spans="2:19">
      <c r="B126" s="41"/>
      <c r="C126" s="254"/>
      <c r="D126" s="254"/>
      <c r="E126" s="254"/>
      <c r="F126" s="254"/>
      <c r="G126" s="254"/>
      <c r="H126" s="254"/>
      <c r="I126" s="254"/>
      <c r="J126" s="254"/>
      <c r="K126" s="254"/>
      <c r="L126" s="254"/>
      <c r="M126" s="254"/>
      <c r="N126" s="254"/>
      <c r="O126" s="5"/>
      <c r="Q126" s="5"/>
      <c r="R126" s="5"/>
      <c r="S126" s="5"/>
    </row>
    <row r="127" spans="2:19">
      <c r="B127" s="41"/>
      <c r="C127" s="254"/>
      <c r="D127" s="254"/>
      <c r="E127" s="254"/>
      <c r="F127" s="254"/>
      <c r="G127" s="254"/>
      <c r="H127" s="254"/>
      <c r="I127" s="18"/>
      <c r="J127" s="254"/>
      <c r="K127" s="254"/>
      <c r="L127" s="254"/>
      <c r="M127" s="254"/>
      <c r="N127" s="254"/>
      <c r="O127" s="5"/>
      <c r="Q127" s="5"/>
      <c r="R127" s="5"/>
      <c r="S127" s="5"/>
    </row>
    <row r="128" spans="2:19">
      <c r="B128" s="41"/>
      <c r="C128" s="254"/>
      <c r="D128" s="254"/>
      <c r="E128" s="254"/>
      <c r="F128" s="254"/>
      <c r="G128" s="254"/>
      <c r="H128" s="254"/>
      <c r="I128" s="5"/>
      <c r="J128" s="254"/>
      <c r="K128" s="254"/>
      <c r="L128" s="254"/>
      <c r="M128" s="254"/>
      <c r="N128" s="254"/>
      <c r="O128" s="5"/>
      <c r="Q128" s="5"/>
      <c r="R128" s="5"/>
      <c r="S128" s="5"/>
    </row>
    <row r="129" spans="2:27">
      <c r="B129" s="5"/>
      <c r="C129" s="5"/>
      <c r="D129" s="18"/>
      <c r="E129" s="18"/>
      <c r="F129" s="18"/>
      <c r="G129" s="18"/>
      <c r="H129" s="18"/>
      <c r="I129" s="254"/>
      <c r="J129" s="18"/>
      <c r="K129" s="18"/>
      <c r="L129" s="18"/>
      <c r="M129" s="18"/>
      <c r="N129" s="18"/>
      <c r="O129" s="5"/>
      <c r="Q129" s="5"/>
      <c r="R129" s="5"/>
      <c r="S129" s="5"/>
    </row>
    <row r="130" spans="2:27">
      <c r="B130" s="5"/>
      <c r="C130" s="5"/>
      <c r="D130" s="5"/>
      <c r="E130" s="5"/>
      <c r="F130" s="5"/>
      <c r="G130" s="5"/>
      <c r="H130" s="5"/>
      <c r="I130" s="18"/>
      <c r="J130" s="5"/>
      <c r="K130" s="5"/>
      <c r="L130" s="5"/>
      <c r="M130" s="5"/>
      <c r="N130" s="5"/>
      <c r="O130" s="5"/>
      <c r="Q130" s="5"/>
      <c r="R130" s="5"/>
      <c r="S130" s="5"/>
    </row>
    <row r="131" spans="2:27">
      <c r="B131" s="41"/>
      <c r="C131" s="254"/>
      <c r="D131" s="254"/>
      <c r="E131" s="254"/>
      <c r="F131" s="254"/>
      <c r="G131" s="254"/>
      <c r="H131" s="254"/>
      <c r="I131" s="5"/>
      <c r="J131" s="254"/>
      <c r="K131" s="254"/>
      <c r="L131" s="254"/>
      <c r="M131" s="254"/>
      <c r="N131" s="254"/>
      <c r="O131" s="5"/>
      <c r="Q131" s="5"/>
      <c r="R131" s="5"/>
      <c r="S131" s="5"/>
    </row>
    <row r="132" spans="2:27">
      <c r="B132" s="5"/>
      <c r="C132" s="259"/>
      <c r="D132" s="18"/>
      <c r="E132" s="18"/>
      <c r="F132" s="18"/>
      <c r="G132" s="18"/>
      <c r="H132" s="18"/>
      <c r="I132" s="5"/>
      <c r="J132" s="18"/>
      <c r="K132" s="18"/>
      <c r="L132" s="18"/>
      <c r="M132" s="18"/>
      <c r="N132" s="18"/>
      <c r="O132" s="5"/>
      <c r="Q132" s="5"/>
      <c r="R132" s="5"/>
      <c r="S132" s="5"/>
    </row>
    <row r="133" spans="2:27">
      <c r="B133" s="5"/>
      <c r="C133" s="5"/>
      <c r="D133" s="5"/>
      <c r="E133" s="5"/>
      <c r="F133" s="5"/>
      <c r="G133" s="5"/>
      <c r="H133" s="5"/>
      <c r="I133" s="17"/>
      <c r="J133" s="5"/>
      <c r="K133" s="5"/>
      <c r="L133" s="5"/>
      <c r="M133" s="5"/>
      <c r="N133" s="5"/>
      <c r="O133" s="5"/>
      <c r="Q133" s="5"/>
      <c r="R133" s="5"/>
      <c r="S133" s="5"/>
    </row>
    <row r="134" spans="2:27">
      <c r="B134" s="41"/>
      <c r="C134" s="5"/>
      <c r="D134" s="5"/>
      <c r="E134" s="5"/>
      <c r="F134" s="5"/>
      <c r="G134" s="5"/>
      <c r="H134" s="5"/>
      <c r="I134" s="17"/>
      <c r="J134" s="5"/>
      <c r="K134" s="5"/>
      <c r="L134" s="5"/>
      <c r="M134" s="5"/>
      <c r="N134" s="5"/>
      <c r="O134" s="5"/>
      <c r="Q134" s="5"/>
      <c r="R134" s="5"/>
      <c r="S134" s="5"/>
    </row>
    <row r="135" spans="2:27">
      <c r="B135" s="5"/>
      <c r="C135" s="17"/>
      <c r="D135" s="17"/>
      <c r="E135" s="17"/>
      <c r="F135" s="17"/>
      <c r="G135" s="17"/>
      <c r="H135" s="17"/>
      <c r="I135" s="17"/>
      <c r="J135" s="17"/>
      <c r="K135" s="17"/>
      <c r="L135" s="17"/>
      <c r="M135" s="17"/>
      <c r="N135" s="17"/>
      <c r="O135" s="5"/>
      <c r="Q135" s="41"/>
      <c r="R135" s="5"/>
      <c r="S135" s="5"/>
    </row>
    <row r="136" spans="2:27">
      <c r="B136" s="5"/>
      <c r="C136" s="17"/>
      <c r="D136" s="17"/>
      <c r="E136" s="17"/>
      <c r="F136" s="17"/>
      <c r="G136" s="17"/>
      <c r="H136" s="17"/>
      <c r="I136" s="17"/>
      <c r="J136" s="17"/>
      <c r="K136" s="17"/>
      <c r="L136" s="17"/>
      <c r="M136" s="17"/>
      <c r="N136" s="17"/>
      <c r="O136" s="5"/>
      <c r="Q136" s="5"/>
      <c r="R136" s="5"/>
      <c r="S136" s="5"/>
      <c r="X136" s="304"/>
    </row>
    <row r="137" spans="2:27">
      <c r="B137" s="5"/>
      <c r="C137" s="5"/>
      <c r="D137" s="17"/>
      <c r="E137" s="17"/>
      <c r="F137" s="17"/>
      <c r="G137" s="17"/>
      <c r="H137" s="17"/>
      <c r="I137" s="17"/>
      <c r="J137" s="17"/>
      <c r="K137" s="17"/>
      <c r="L137" s="17"/>
      <c r="M137" s="17"/>
      <c r="N137" s="17"/>
      <c r="O137" s="5"/>
      <c r="Q137" s="5"/>
      <c r="R137" s="5"/>
      <c r="S137" s="5"/>
      <c r="X137" s="10"/>
      <c r="Y137" s="304"/>
      <c r="Z137" s="304"/>
      <c r="AA137" s="304"/>
    </row>
    <row r="138" spans="2:27">
      <c r="B138" s="5"/>
      <c r="C138" s="5"/>
      <c r="D138" s="17"/>
      <c r="E138" s="17"/>
      <c r="F138" s="17"/>
      <c r="G138" s="17"/>
      <c r="H138" s="17"/>
      <c r="I138" s="17"/>
      <c r="J138" s="17"/>
      <c r="K138" s="17"/>
      <c r="L138" s="17"/>
      <c r="M138" s="17"/>
      <c r="N138" s="17"/>
      <c r="O138" s="5"/>
      <c r="Q138" s="5"/>
      <c r="R138" s="5"/>
      <c r="S138" s="5"/>
      <c r="Y138" s="10"/>
      <c r="Z138" s="10"/>
      <c r="AA138" s="10"/>
    </row>
    <row r="139" spans="2:27">
      <c r="B139" s="5"/>
      <c r="C139" s="5"/>
      <c r="D139" s="17"/>
      <c r="E139" s="17"/>
      <c r="F139" s="17"/>
      <c r="G139" s="17"/>
      <c r="H139" s="17"/>
      <c r="I139" s="5"/>
      <c r="J139" s="17"/>
      <c r="K139" s="17"/>
      <c r="L139" s="17"/>
      <c r="M139" s="17"/>
      <c r="N139" s="17"/>
      <c r="O139" s="5"/>
      <c r="Q139" s="5"/>
      <c r="R139" s="5"/>
      <c r="S139" s="5"/>
    </row>
    <row r="140" spans="2:27">
      <c r="B140" s="5"/>
      <c r="C140" s="17"/>
      <c r="D140" s="17"/>
      <c r="E140" s="17"/>
      <c r="F140" s="17"/>
      <c r="G140" s="17"/>
      <c r="H140" s="17"/>
      <c r="I140" s="5"/>
      <c r="J140" s="17"/>
      <c r="K140" s="17"/>
      <c r="L140" s="17"/>
      <c r="M140" s="17"/>
      <c r="N140" s="17"/>
      <c r="O140" s="5"/>
      <c r="Q140" s="5"/>
      <c r="R140" s="5"/>
      <c r="S140" s="5"/>
    </row>
    <row r="141" spans="2:27">
      <c r="B141" s="5"/>
      <c r="C141" s="5"/>
      <c r="D141" s="5"/>
      <c r="E141" s="5"/>
      <c r="F141" s="5"/>
      <c r="G141" s="5"/>
      <c r="H141" s="5"/>
      <c r="I141" s="5"/>
      <c r="J141" s="5"/>
      <c r="K141" s="5"/>
      <c r="L141" s="5"/>
      <c r="M141" s="5"/>
      <c r="N141" s="5"/>
      <c r="O141" s="5"/>
      <c r="Q141" s="5"/>
      <c r="R141" s="5"/>
      <c r="S141" s="5"/>
    </row>
    <row r="142" spans="2:27">
      <c r="B142" s="5"/>
      <c r="C142" s="5"/>
      <c r="D142" s="5"/>
      <c r="E142" s="5"/>
      <c r="F142" s="5"/>
      <c r="G142" s="5"/>
      <c r="H142" s="5"/>
      <c r="I142" s="5"/>
      <c r="J142" s="5"/>
      <c r="K142" s="5"/>
      <c r="L142" s="5"/>
      <c r="M142" s="5"/>
      <c r="N142" s="5"/>
      <c r="O142" s="5"/>
      <c r="Q142" s="5"/>
      <c r="R142" s="5"/>
      <c r="S142" s="5"/>
    </row>
    <row r="143" spans="2:27">
      <c r="B143" s="5"/>
      <c r="C143" s="5"/>
      <c r="D143" s="5"/>
      <c r="E143" s="5"/>
      <c r="F143" s="5"/>
      <c r="G143" s="5"/>
      <c r="H143" s="5"/>
      <c r="I143" s="5"/>
      <c r="J143" s="5"/>
      <c r="K143" s="5"/>
      <c r="L143" s="5"/>
      <c r="M143" s="5"/>
      <c r="N143" s="5"/>
      <c r="O143" s="5"/>
      <c r="Q143" s="5"/>
      <c r="R143" s="5"/>
      <c r="S143" s="5"/>
    </row>
    <row r="144" spans="2:27">
      <c r="B144" s="5"/>
      <c r="C144" s="5"/>
      <c r="D144" s="5"/>
      <c r="E144" s="5"/>
      <c r="F144" s="5"/>
      <c r="G144" s="5"/>
      <c r="H144" s="5"/>
      <c r="I144" s="5"/>
      <c r="J144" s="5"/>
      <c r="K144" s="5"/>
      <c r="L144" s="5"/>
      <c r="M144" s="5"/>
      <c r="N144" s="5"/>
      <c r="O144" s="5"/>
      <c r="Q144" s="5"/>
      <c r="R144" s="5"/>
      <c r="S144" s="5"/>
    </row>
    <row r="145" spans="2:19">
      <c r="B145" s="5"/>
      <c r="C145" s="5"/>
      <c r="D145" s="5"/>
      <c r="E145" s="5"/>
      <c r="F145" s="5"/>
      <c r="G145" s="5"/>
      <c r="H145" s="5"/>
      <c r="I145" s="5"/>
      <c r="J145" s="5"/>
      <c r="K145" s="5"/>
      <c r="L145" s="5"/>
      <c r="M145" s="5"/>
      <c r="N145" s="5"/>
      <c r="O145" s="5"/>
      <c r="Q145" s="5"/>
      <c r="R145" s="5"/>
      <c r="S145" s="5"/>
    </row>
    <row r="146" spans="2:19">
      <c r="B146" s="5"/>
      <c r="C146" s="5"/>
      <c r="D146" s="5"/>
      <c r="E146" s="5"/>
      <c r="F146" s="5"/>
      <c r="G146" s="5"/>
      <c r="H146" s="5"/>
      <c r="I146" s="5"/>
      <c r="J146" s="5"/>
      <c r="K146" s="5"/>
      <c r="L146" s="5"/>
      <c r="M146" s="5"/>
      <c r="N146" s="5"/>
      <c r="O146" s="5"/>
      <c r="Q146" s="5"/>
      <c r="R146" s="5"/>
      <c r="S146" s="5"/>
    </row>
    <row r="147" spans="2:19">
      <c r="B147" s="5"/>
      <c r="C147" s="5"/>
      <c r="D147" s="5"/>
      <c r="E147" s="5"/>
      <c r="F147" s="5"/>
      <c r="G147" s="5"/>
      <c r="H147" s="5"/>
      <c r="I147" s="5"/>
      <c r="J147" s="5"/>
      <c r="K147" s="5"/>
      <c r="L147" s="5"/>
      <c r="M147" s="5"/>
      <c r="N147" s="5"/>
      <c r="O147" s="5"/>
      <c r="Q147" s="5"/>
      <c r="R147" s="5"/>
      <c r="S147" s="5"/>
    </row>
    <row r="148" spans="2:19">
      <c r="B148" s="5"/>
      <c r="C148" s="5"/>
      <c r="D148" s="5"/>
      <c r="E148" s="5"/>
      <c r="F148" s="5"/>
      <c r="G148" s="5"/>
      <c r="H148" s="5"/>
      <c r="I148" s="5"/>
      <c r="J148" s="5"/>
      <c r="K148" s="5"/>
      <c r="L148" s="5"/>
      <c r="M148" s="5"/>
      <c r="N148" s="5"/>
      <c r="O148" s="5"/>
      <c r="Q148" s="5"/>
      <c r="R148" s="5"/>
      <c r="S148" s="5"/>
    </row>
    <row r="149" spans="2:19">
      <c r="B149" s="5"/>
      <c r="C149" s="5"/>
      <c r="D149" s="5"/>
      <c r="E149" s="5"/>
      <c r="F149" s="5"/>
      <c r="G149" s="5"/>
      <c r="H149" s="5"/>
      <c r="J149" s="5"/>
      <c r="K149" s="5"/>
      <c r="L149" s="5"/>
      <c r="M149" s="5"/>
      <c r="N149" s="5"/>
      <c r="O149" s="5"/>
      <c r="Q149" s="5"/>
      <c r="R149" s="5"/>
      <c r="S149" s="5"/>
    </row>
    <row r="150" spans="2:19">
      <c r="B150" s="5"/>
      <c r="C150" s="5"/>
      <c r="D150" s="5"/>
      <c r="E150" s="5"/>
      <c r="F150" s="5"/>
      <c r="G150" s="5"/>
      <c r="H150" s="5"/>
      <c r="J150" s="5"/>
      <c r="K150" s="5"/>
      <c r="L150" s="5"/>
      <c r="M150" s="5"/>
      <c r="N150" s="5"/>
      <c r="O150" s="5"/>
      <c r="Q150" s="5"/>
      <c r="R150" s="5"/>
      <c r="S150" s="5"/>
    </row>
    <row r="151" spans="2:19">
      <c r="Q151" s="5"/>
      <c r="R151" s="5"/>
      <c r="S151" s="5"/>
    </row>
    <row r="152" spans="2:19">
      <c r="Q152" s="5"/>
      <c r="R152" s="5"/>
      <c r="S152" s="5"/>
    </row>
    <row r="153" spans="2:19">
      <c r="C153" s="263"/>
      <c r="Q153" s="5"/>
      <c r="R153" s="5"/>
      <c r="S153" s="5"/>
    </row>
    <row r="154" spans="2:19">
      <c r="Q154" s="5"/>
      <c r="R154" s="5"/>
      <c r="S154" s="5"/>
    </row>
    <row r="155" spans="2:19">
      <c r="Q155" s="5"/>
      <c r="R155" s="5"/>
      <c r="S155" s="5"/>
    </row>
    <row r="156" spans="2:19">
      <c r="Q156" s="5"/>
      <c r="R156" s="5"/>
      <c r="S156" s="5"/>
    </row>
    <row r="157" spans="2:19">
      <c r="Q157" s="5"/>
      <c r="R157" s="5"/>
      <c r="S157" s="5"/>
    </row>
    <row r="158" spans="2:19">
      <c r="Q158" s="5"/>
      <c r="R158" s="5"/>
      <c r="S158" s="5"/>
    </row>
    <row r="159" spans="2:19">
      <c r="Q159" s="5"/>
      <c r="R159" s="5"/>
      <c r="S159" s="5"/>
    </row>
    <row r="160" spans="2:19">
      <c r="Q160" s="5"/>
      <c r="R160" s="5"/>
      <c r="S160" s="5"/>
    </row>
    <row r="161" spans="17:19">
      <c r="Q161" s="5"/>
      <c r="R161" s="5"/>
      <c r="S161" s="5"/>
    </row>
    <row r="162" spans="17:19">
      <c r="Q162" s="5"/>
      <c r="R162" s="5"/>
      <c r="S162" s="5"/>
    </row>
    <row r="163" spans="17:19">
      <c r="Q163" s="5"/>
      <c r="R163" s="5"/>
      <c r="S163" s="5"/>
    </row>
    <row r="164" spans="17:19">
      <c r="Q164" s="5"/>
      <c r="R164" s="5"/>
      <c r="S164" s="5"/>
    </row>
    <row r="165" spans="17:19">
      <c r="Q165" s="5"/>
      <c r="R165" s="5"/>
      <c r="S165" s="5"/>
    </row>
  </sheetData>
  <phoneticPr fontId="7" type="noConversion"/>
  <pageMargins left="0.75" right="0.75" top="1" bottom="1" header="0.5" footer="0.5"/>
  <pageSetup scale="71" orientation="landscape" r:id="rId1"/>
  <headerFooter alignWithMargins="0"/>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Sheet122">
    <pageSetUpPr fitToPage="1"/>
  </sheetPr>
  <dimension ref="B1:AR165"/>
  <sheetViews>
    <sheetView showGridLines="0" zoomScale="80" zoomScaleNormal="80" workbookViewId="0"/>
  </sheetViews>
  <sheetFormatPr defaultColWidth="9.109375" defaultRowHeight="12"/>
  <cols>
    <col min="1" max="1" width="2.33203125" style="39" customWidth="1"/>
    <col min="2" max="2" width="26.5546875" style="39" customWidth="1"/>
    <col min="3" max="9" width="10" style="39" customWidth="1"/>
    <col min="10" max="10" width="26.6640625" style="39" customWidth="1"/>
    <col min="11" max="16" width="10" style="39" customWidth="1"/>
    <col min="17" max="19" width="8.6640625" style="39" customWidth="1"/>
    <col min="20" max="28" width="8.6640625" style="5" customWidth="1"/>
    <col min="29" max="44" width="9.109375" style="5"/>
    <col min="45" max="16384" width="9.109375" style="39"/>
  </cols>
  <sheetData>
    <row r="1" spans="2:44" s="312" customFormat="1">
      <c r="T1" s="149"/>
      <c r="U1" s="149"/>
      <c r="V1" s="149"/>
      <c r="W1" s="149"/>
      <c r="X1" s="149"/>
      <c r="Y1" s="149"/>
      <c r="Z1" s="149"/>
      <c r="AA1" s="149"/>
      <c r="AB1" s="149"/>
      <c r="AC1" s="149"/>
      <c r="AD1" s="149"/>
      <c r="AE1" s="149"/>
      <c r="AF1" s="149"/>
      <c r="AG1" s="149"/>
      <c r="AH1" s="149"/>
      <c r="AI1" s="149"/>
      <c r="AJ1" s="149"/>
      <c r="AK1" s="149"/>
      <c r="AL1" s="149"/>
      <c r="AM1" s="149"/>
      <c r="AN1" s="149"/>
      <c r="AO1" s="149"/>
      <c r="AP1" s="149"/>
      <c r="AQ1" s="149"/>
      <c r="AR1" s="149"/>
    </row>
    <row r="2" spans="2:44" s="149" customFormat="1"/>
    <row r="3" spans="2:44" s="149" customFormat="1">
      <c r="H3" s="153"/>
      <c r="P3" s="153"/>
    </row>
    <row r="4" spans="2:44" s="156" customFormat="1" ht="21">
      <c r="B4" s="129" t="s">
        <v>553</v>
      </c>
      <c r="H4" s="222"/>
      <c r="P4" s="222"/>
    </row>
    <row r="5" spans="2:44" s="149" customFormat="1">
      <c r="C5" s="153"/>
      <c r="D5" s="153" t="str" cm="1">
        <f t="array" ref="D5:H5">headings</f>
        <v>2023E</v>
      </c>
      <c r="E5" s="153" t="str">
        <v>2024E</v>
      </c>
      <c r="F5" s="153" t="str">
        <v>2025E</v>
      </c>
      <c r="G5" s="153" t="str">
        <v>2026E</v>
      </c>
      <c r="H5" s="153" t="str">
        <v>23E-26E</v>
      </c>
      <c r="I5" s="153"/>
      <c r="J5" s="153"/>
      <c r="K5" s="153"/>
      <c r="L5" s="153" t="str" cm="1">
        <f t="array" ref="L5:P5">headings</f>
        <v>2023E</v>
      </c>
      <c r="M5" s="153" t="str">
        <v>2024E</v>
      </c>
      <c r="N5" s="153" t="str">
        <v>2025E</v>
      </c>
      <c r="O5" s="153" t="str">
        <v>2026E</v>
      </c>
      <c r="P5" s="153" t="str">
        <v>23E-26E</v>
      </c>
      <c r="Q5" s="162"/>
      <c r="R5" s="162"/>
      <c r="S5" s="162"/>
      <c r="T5" s="162"/>
      <c r="U5" s="162"/>
      <c r="V5" s="162"/>
      <c r="W5" s="162"/>
      <c r="X5" s="162"/>
      <c r="Y5" s="162"/>
    </row>
    <row r="6" spans="2:44">
      <c r="I6" s="5"/>
      <c r="J6" s="5"/>
      <c r="K6" s="5"/>
      <c r="L6" s="5"/>
      <c r="M6" s="5"/>
      <c r="N6" s="5"/>
      <c r="O6" s="49"/>
    </row>
    <row r="7" spans="2:44" ht="12.6" thickBot="1">
      <c r="B7" s="306" t="s">
        <v>271</v>
      </c>
      <c r="C7" s="265"/>
      <c r="D7" s="265" t="str">
        <f>D5</f>
        <v>2023E</v>
      </c>
      <c r="E7" s="265" t="str">
        <f t="shared" ref="E7:H7" si="0">E5</f>
        <v>2024E</v>
      </c>
      <c r="F7" s="265" t="str">
        <f t="shared" si="0"/>
        <v>2025E</v>
      </c>
      <c r="G7" s="265" t="str">
        <f t="shared" si="0"/>
        <v>2026E</v>
      </c>
      <c r="H7" s="265" t="str">
        <f t="shared" si="0"/>
        <v>23E-26E</v>
      </c>
      <c r="I7" s="49"/>
      <c r="J7" s="306" t="s">
        <v>75</v>
      </c>
      <c r="K7" s="306"/>
      <c r="L7" s="265" t="str">
        <f>L5</f>
        <v>2023E</v>
      </c>
      <c r="M7" s="265" t="str">
        <f t="shared" ref="M7:P7" si="1">M5</f>
        <v>2024E</v>
      </c>
      <c r="N7" s="265" t="str">
        <f t="shared" si="1"/>
        <v>2025E</v>
      </c>
      <c r="O7" s="265" t="str">
        <f t="shared" si="1"/>
        <v>2026E</v>
      </c>
      <c r="P7" s="265" t="str">
        <f t="shared" si="1"/>
        <v>23E-26E</v>
      </c>
    </row>
    <row r="8" spans="2:44" ht="12.6" thickTop="1">
      <c r="B8" s="5"/>
      <c r="C8" s="5"/>
      <c r="D8" s="5"/>
      <c r="E8" s="5"/>
      <c r="F8" s="5"/>
      <c r="G8" s="5"/>
      <c r="H8" s="5"/>
      <c r="I8" s="5"/>
      <c r="J8" s="5"/>
      <c r="K8" s="5"/>
      <c r="L8" s="5"/>
      <c r="M8" s="5"/>
      <c r="N8" s="5"/>
      <c r="S8" s="88"/>
      <c r="T8" s="42"/>
      <c r="U8" s="42"/>
      <c r="V8" s="42"/>
      <c r="W8" s="42"/>
      <c r="X8" s="42"/>
      <c r="Y8" s="42"/>
      <c r="Z8" s="42"/>
      <c r="AA8" s="42"/>
    </row>
    <row r="9" spans="2:44">
      <c r="B9" s="41" t="s">
        <v>203</v>
      </c>
      <c r="C9" s="267">
        <f>Prices!C58</f>
        <v>2.42</v>
      </c>
      <c r="D9" s="533">
        <v>0</v>
      </c>
      <c r="E9" s="533">
        <v>0</v>
      </c>
      <c r="F9" s="533">
        <v>0</v>
      </c>
      <c r="G9" s="533">
        <v>0</v>
      </c>
      <c r="H9" s="249"/>
      <c r="I9" s="249"/>
      <c r="J9" s="5" t="s">
        <v>273</v>
      </c>
      <c r="L9" s="529">
        <f>'AGG ASIA INCUMB'!D37</f>
        <v>63.142675059472978</v>
      </c>
      <c r="M9" s="529">
        <f>'AGG ASIA INCUMB'!E37</f>
        <v>59.736062869091825</v>
      </c>
      <c r="N9" s="529">
        <f>'AGG ASIA INCUMB'!F37</f>
        <v>51.606570083263385</v>
      </c>
      <c r="O9" s="529">
        <f>'AGG ASIA INCUMB'!G37</f>
        <v>43.869121174935444</v>
      </c>
      <c r="P9" s="286">
        <f>'AGG ASIA INCUMB'!H37</f>
        <v>3.6933170504085622E-2</v>
      </c>
      <c r="S9" s="88"/>
      <c r="T9" s="42"/>
      <c r="U9" s="42"/>
      <c r="V9" s="42"/>
      <c r="W9" s="42"/>
      <c r="X9" s="42"/>
      <c r="Y9" s="42"/>
      <c r="Z9" s="42"/>
      <c r="AA9" s="42"/>
    </row>
    <row r="10" spans="2:44">
      <c r="B10" s="5" t="s">
        <v>274</v>
      </c>
      <c r="C10" s="5"/>
      <c r="D10" s="531">
        <v>16555.546999999999</v>
      </c>
      <c r="E10" s="531">
        <v>16555.546999999999</v>
      </c>
      <c r="F10" s="531">
        <v>16555.546999999999</v>
      </c>
      <c r="G10" s="531">
        <v>16555.546999999999</v>
      </c>
      <c r="H10" s="249"/>
      <c r="I10" s="247"/>
      <c r="J10" s="5" t="s">
        <v>184</v>
      </c>
      <c r="L10" s="529">
        <f>'AGG ASIA INCUMB'!D38</f>
        <v>229.28172666156038</v>
      </c>
      <c r="M10" s="529">
        <f>'AGG ASIA INCUMB'!E38</f>
        <v>211.1756819494743</v>
      </c>
      <c r="N10" s="529">
        <f>'AGG ASIA INCUMB'!F38</f>
        <v>182.52911660300191</v>
      </c>
      <c r="O10" s="529">
        <f>'AGG ASIA INCUMB'!G38</f>
        <v>154.31631948299164</v>
      </c>
      <c r="P10" s="286">
        <f>'AGG ASIA INCUMB'!H38</f>
        <v>4.7969433190576227E-2</v>
      </c>
      <c r="S10" s="88"/>
      <c r="T10" s="42"/>
      <c r="U10" s="42"/>
      <c r="V10" s="42"/>
      <c r="W10" s="288"/>
      <c r="X10" s="288"/>
      <c r="Y10" s="288"/>
      <c r="Z10" s="288"/>
      <c r="AA10" s="42"/>
    </row>
    <row r="11" spans="2:44">
      <c r="B11" s="41" t="s">
        <v>314</v>
      </c>
      <c r="C11" s="5"/>
      <c r="D11" s="532">
        <f>($C$9*D10)</f>
        <v>40064.423739999998</v>
      </c>
      <c r="E11" s="532">
        <f>($C$9*E10)</f>
        <v>40064.423739999998</v>
      </c>
      <c r="F11" s="532">
        <f>($C$9*F10)</f>
        <v>40064.423739999998</v>
      </c>
      <c r="G11" s="532">
        <f>($C$9*G10)</f>
        <v>40064.423739999998</v>
      </c>
      <c r="H11" s="249"/>
      <c r="I11" s="249"/>
      <c r="J11" s="5" t="s">
        <v>185</v>
      </c>
      <c r="L11" s="529">
        <f>'AGG ASIA INCUMB'!D39</f>
        <v>576.60457523629475</v>
      </c>
      <c r="M11" s="529">
        <f>'AGG ASIA INCUMB'!E39</f>
        <v>450.01446269285191</v>
      </c>
      <c r="N11" s="529">
        <f>'AGG ASIA INCUMB'!F39</f>
        <v>375.00938731825471</v>
      </c>
      <c r="O11" s="529">
        <f>'AGG ASIA INCUMB'!G39</f>
        <v>307.67151192274292</v>
      </c>
      <c r="P11" s="286">
        <f>'AGG ASIA INCUMB'!H39</f>
        <v>0.13229525132442088</v>
      </c>
      <c r="S11" s="88"/>
      <c r="T11" s="42"/>
      <c r="U11" s="42"/>
      <c r="V11" s="42"/>
      <c r="W11" s="288"/>
      <c r="X11" s="288"/>
      <c r="Y11" s="288"/>
      <c r="Z11" s="288"/>
      <c r="AA11" s="42"/>
    </row>
    <row r="12" spans="2:44">
      <c r="B12" s="5" t="s">
        <v>24</v>
      </c>
      <c r="C12" s="249"/>
      <c r="D12" s="533">
        <v>7397.3167728575645</v>
      </c>
      <c r="E12" s="533">
        <v>7152.0041583971533</v>
      </c>
      <c r="F12" s="533">
        <v>6932.1152129109933</v>
      </c>
      <c r="G12" s="533">
        <v>7169.0689789992739</v>
      </c>
      <c r="H12" s="247"/>
      <c r="I12" s="247"/>
      <c r="J12" s="5" t="s">
        <v>466</v>
      </c>
      <c r="L12" s="529">
        <f>'AGG ASIA INCUMB'!D40</f>
        <v>774.44294579435359</v>
      </c>
      <c r="M12" s="529">
        <f>'AGG ASIA INCUMB'!E40</f>
        <v>607.6245935692682</v>
      </c>
      <c r="N12" s="529">
        <f>'AGG ASIA INCUMB'!F40</f>
        <v>506.11175808827261</v>
      </c>
      <c r="O12" s="529">
        <f>'AGG ASIA INCUMB'!G40</f>
        <v>415.18806643723337</v>
      </c>
      <c r="P12" s="286">
        <f>'AGG ASIA INCUMB'!H40</f>
        <v>0.13051833042761229</v>
      </c>
      <c r="S12" s="88"/>
      <c r="T12" s="42"/>
      <c r="U12" s="42"/>
      <c r="V12" s="42"/>
      <c r="W12" s="288"/>
      <c r="X12" s="288"/>
      <c r="Y12" s="288"/>
      <c r="Z12" s="288"/>
      <c r="AA12" s="42"/>
    </row>
    <row r="13" spans="2:44">
      <c r="B13" s="5" t="s">
        <v>529</v>
      </c>
      <c r="C13" s="257"/>
      <c r="D13" s="533">
        <v>656.55</v>
      </c>
      <c r="E13" s="533">
        <v>656.55</v>
      </c>
      <c r="F13" s="533">
        <v>656.55</v>
      </c>
      <c r="G13" s="533">
        <v>656.55</v>
      </c>
      <c r="H13" s="247"/>
      <c r="I13" s="247"/>
      <c r="J13" s="5" t="s">
        <v>530</v>
      </c>
      <c r="L13" s="529">
        <f>'AGG ASIA INCUMB'!D41</f>
        <v>56.922651872950347</v>
      </c>
      <c r="M13" s="529">
        <f>'AGG ASIA INCUMB'!E41</f>
        <v>54.508702219086139</v>
      </c>
      <c r="N13" s="529">
        <f>'AGG ASIA INCUMB'!F41</f>
        <v>47.665724006779691</v>
      </c>
      <c r="O13" s="529">
        <f>'AGG ASIA INCUMB'!G41</f>
        <v>40.716506606725353</v>
      </c>
      <c r="P13" s="286">
        <f>'AGG ASIA INCUMB'!H41</f>
        <v>2.6914512786078149E-2</v>
      </c>
      <c r="S13" s="88"/>
      <c r="T13" s="42"/>
      <c r="U13" s="42"/>
      <c r="V13" s="42"/>
      <c r="W13" s="42"/>
      <c r="X13" s="42"/>
      <c r="Y13" s="42"/>
      <c r="Z13" s="42"/>
      <c r="AA13" s="42"/>
    </row>
    <row r="14" spans="2:44">
      <c r="B14" s="5" t="s">
        <v>532</v>
      </c>
      <c r="C14" s="302"/>
      <c r="D14" s="538">
        <v>2767</v>
      </c>
      <c r="E14" s="530">
        <f>D14</f>
        <v>2767</v>
      </c>
      <c r="F14" s="530">
        <f t="shared" ref="F14:G14" si="2">E14</f>
        <v>2767</v>
      </c>
      <c r="G14" s="530">
        <f t="shared" si="2"/>
        <v>2767</v>
      </c>
      <c r="H14" s="249"/>
      <c r="I14" s="247"/>
      <c r="J14" s="5" t="s">
        <v>593</v>
      </c>
      <c r="L14" s="529">
        <f>'AGG ASIA INCUMB'!D42</f>
        <v>75.778591370066351</v>
      </c>
      <c r="M14" s="529">
        <f>'AGG ASIA INCUMB'!E42</f>
        <v>75.255645616199331</v>
      </c>
      <c r="N14" s="529">
        <f>'AGG ASIA INCUMB'!F42</f>
        <v>68.487733798446982</v>
      </c>
      <c r="O14" s="529">
        <f>'AGG ASIA INCUMB'!G42</f>
        <v>63.398335594210266</v>
      </c>
      <c r="P14" s="286">
        <f>'AGG ASIA INCUMB'!H42</f>
        <v>-2.5341868686917124E-2</v>
      </c>
      <c r="S14" s="88"/>
      <c r="T14" s="42"/>
      <c r="U14" s="42"/>
      <c r="V14" s="42"/>
      <c r="W14" s="42"/>
      <c r="X14" s="42"/>
      <c r="Y14" s="42"/>
      <c r="Z14" s="42"/>
      <c r="AA14" s="42"/>
    </row>
    <row r="15" spans="2:44">
      <c r="B15" s="5" t="s">
        <v>531</v>
      </c>
      <c r="C15" s="274"/>
      <c r="D15" s="538">
        <v>0</v>
      </c>
      <c r="E15" s="530">
        <f>D15</f>
        <v>0</v>
      </c>
      <c r="F15" s="530">
        <f>E15</f>
        <v>0</v>
      </c>
      <c r="G15" s="530">
        <f>F15</f>
        <v>0</v>
      </c>
      <c r="H15" s="247"/>
      <c r="I15" s="247"/>
      <c r="J15" s="5" t="s">
        <v>475</v>
      </c>
      <c r="L15" s="529">
        <f>'AGG ASIA INCUMB'!D43</f>
        <v>14.482023584121089</v>
      </c>
      <c r="M15" s="529">
        <f>'AGG ASIA INCUMB'!E43</f>
        <v>10.697579793360875</v>
      </c>
      <c r="N15" s="529">
        <f>'AGG ASIA INCUMB'!F43</f>
        <v>9.7604819510674972</v>
      </c>
      <c r="O15" s="529">
        <f>'AGG ASIA INCUMB'!G43</f>
        <v>8.8384338816404213</v>
      </c>
      <c r="P15" s="286">
        <f>'AGG ASIA INCUMB'!H43</f>
        <v>0.1612622626724487</v>
      </c>
      <c r="S15" s="88"/>
      <c r="T15" s="42"/>
      <c r="U15" s="42"/>
      <c r="V15" s="42"/>
      <c r="W15" s="42"/>
      <c r="X15" s="42"/>
      <c r="Y15" s="42"/>
      <c r="Z15" s="42"/>
      <c r="AA15" s="42"/>
    </row>
    <row r="16" spans="2:44">
      <c r="B16" s="5" t="s">
        <v>534</v>
      </c>
      <c r="C16" s="257"/>
      <c r="D16" s="533">
        <v>0</v>
      </c>
      <c r="E16" s="533">
        <v>1942.37472765027</v>
      </c>
      <c r="F16" s="533">
        <v>4330.3533269337222</v>
      </c>
      <c r="G16" s="533">
        <v>7262.5928410711713</v>
      </c>
      <c r="H16" s="247"/>
      <c r="I16" s="247"/>
      <c r="J16" s="5" t="s">
        <v>533</v>
      </c>
      <c r="L16" s="529">
        <f>'AGG ASIA INCUMB'!D44</f>
        <v>401.27153945230202</v>
      </c>
      <c r="M16" s="529">
        <f>'AGG ASIA INCUMB'!E44</f>
        <v>386.42961390608417</v>
      </c>
      <c r="N16" s="529">
        <f>'AGG ASIA INCUMB'!F44</f>
        <v>362.49401680734263</v>
      </c>
      <c r="O16" s="529">
        <f>'AGG ASIA INCUMB'!G44</f>
        <v>331.65705725544359</v>
      </c>
      <c r="P16" s="286">
        <f>'AGG ASIA INCUMB'!H44</f>
        <v>7.2549113858280556E-2</v>
      </c>
      <c r="S16" s="88"/>
      <c r="T16" s="42"/>
      <c r="U16" s="42"/>
      <c r="V16" s="42"/>
      <c r="W16" s="42"/>
      <c r="X16" s="42"/>
      <c r="Y16" s="42"/>
      <c r="Z16" s="42"/>
      <c r="AA16" s="42"/>
    </row>
    <row r="17" spans="2:27">
      <c r="B17" s="5" t="s">
        <v>6</v>
      </c>
      <c r="C17" s="257"/>
      <c r="D17" s="533">
        <v>0</v>
      </c>
      <c r="E17" s="533">
        <v>0</v>
      </c>
      <c r="F17" s="533">
        <v>0</v>
      </c>
      <c r="G17" s="533">
        <v>0</v>
      </c>
      <c r="H17" s="247"/>
      <c r="I17" s="247"/>
      <c r="J17" s="5" t="s">
        <v>580</v>
      </c>
      <c r="L17" s="248">
        <f>'AGG ASIA INCUMB'!D45</f>
        <v>1.4187232142027291E-3</v>
      </c>
      <c r="M17" s="248">
        <f>'AGG ASIA INCUMB'!E45</f>
        <v>1.5917039348975377E-3</v>
      </c>
      <c r="N17" s="248">
        <f>'AGG ASIA INCUMB'!F45</f>
        <v>1.8207439648114264E-3</v>
      </c>
      <c r="O17" s="248">
        <f>'AGG ASIA INCUMB'!G45</f>
        <v>2.0820127660327939E-3</v>
      </c>
      <c r="P17" s="286">
        <f>'AGG ASIA INCUMB'!H45</f>
        <v>0.14383326100984517</v>
      </c>
      <c r="S17" s="88"/>
      <c r="T17" s="42"/>
      <c r="U17" s="42"/>
      <c r="V17" s="42"/>
      <c r="W17" s="42"/>
      <c r="X17" s="42"/>
      <c r="Y17" s="42"/>
      <c r="Z17" s="42"/>
      <c r="AA17" s="42"/>
    </row>
    <row r="18" spans="2:27" ht="12.6" thickBot="1">
      <c r="B18" s="41" t="s">
        <v>204</v>
      </c>
      <c r="C18" s="249"/>
      <c r="D18" s="534">
        <f>D11+D12+D13-D14+D15-D16-D17</f>
        <v>45351.290512857566</v>
      </c>
      <c r="E18" s="534">
        <f>E11+E12+E13-E14+E15-E16-E17</f>
        <v>43163.603170746886</v>
      </c>
      <c r="F18" s="534">
        <f>F11+F12+F13-F14+F15-F16-F17</f>
        <v>40555.735625977271</v>
      </c>
      <c r="G18" s="534">
        <f>G11+G12+G13-G14+G15-G16-G17</f>
        <v>37860.449877928106</v>
      </c>
      <c r="H18" s="276">
        <f>IF(D18=0,"nm",IF(G18=0,"nm",(G18/D18)^(1/3)-1))</f>
        <v>-5.8402333721232824E-2</v>
      </c>
      <c r="I18" s="254"/>
      <c r="J18" s="5" t="s">
        <v>36</v>
      </c>
      <c r="L18" s="248">
        <f>'AGG ASIA INCUMB'!D46</f>
        <v>1.4197854397789587E-3</v>
      </c>
      <c r="M18" s="248">
        <f>'AGG ASIA INCUMB'!E46</f>
        <v>1.5927452418075944E-3</v>
      </c>
      <c r="N18" s="248">
        <f>'AGG ASIA INCUMB'!F46</f>
        <v>1.8306775739935764E-3</v>
      </c>
      <c r="O18" s="248">
        <f>'AGG ASIA INCUMB'!G46</f>
        <v>2.0980698589589679E-3</v>
      </c>
      <c r="P18" s="286">
        <f>'AGG ASIA INCUMB'!H46</f>
        <v>0.14648020039593046</v>
      </c>
      <c r="S18" s="88"/>
      <c r="T18" s="42"/>
      <c r="U18" s="42"/>
      <c r="V18" s="42"/>
      <c r="W18" s="42"/>
      <c r="X18" s="42"/>
      <c r="Y18" s="42"/>
      <c r="Z18" s="42"/>
      <c r="AA18" s="42"/>
    </row>
    <row r="19" spans="2:27" ht="12.6" thickTop="1">
      <c r="B19" s="41"/>
      <c r="C19" s="249"/>
      <c r="D19" s="229"/>
      <c r="E19" s="229"/>
      <c r="F19" s="229"/>
      <c r="G19" s="229"/>
      <c r="H19" s="276"/>
      <c r="I19" s="254"/>
      <c r="J19" s="5" t="s">
        <v>581</v>
      </c>
      <c r="L19" s="248">
        <f>'AGG ASIA INCUMB'!D47</f>
        <v>6.9051123566492234E-2</v>
      </c>
      <c r="M19" s="248">
        <f>'AGG ASIA INCUMB'!E47</f>
        <v>9.3479087729789065E-2</v>
      </c>
      <c r="N19" s="248">
        <f>'AGG ASIA INCUMB'!F47</f>
        <v>0.10245395719323375</v>
      </c>
      <c r="O19" s="248">
        <f>'AGG ASIA INCUMB'!G47</f>
        <v>0.11314221652743744</v>
      </c>
      <c r="P19" s="286">
        <f>'AGG ASIA INCUMB'!H47</f>
        <v>0.1612622626724487</v>
      </c>
      <c r="S19" s="88"/>
      <c r="T19" s="42"/>
      <c r="U19" s="42"/>
      <c r="V19" s="42"/>
      <c r="W19" s="42"/>
      <c r="X19" s="42"/>
      <c r="Y19" s="42"/>
      <c r="Z19" s="42"/>
      <c r="AA19" s="42"/>
    </row>
    <row r="20" spans="2:27">
      <c r="H20" s="277"/>
      <c r="I20" s="17"/>
      <c r="J20" s="5" t="s">
        <v>604</v>
      </c>
      <c r="L20" s="305">
        <f>'AGG ASIA INCUMB'!D48</f>
        <v>0.58020270145274866</v>
      </c>
      <c r="M20" s="305">
        <f>'AGG ASIA INCUMB'!E48</f>
        <v>0.49738583643750317</v>
      </c>
      <c r="N20" s="305">
        <f>'AGG ASIA INCUMB'!F48</f>
        <v>0.5269471278406761</v>
      </c>
      <c r="O20" s="305">
        <f>'AGG ASIA INCUMB'!G48</f>
        <v>0.55446861753269805</v>
      </c>
      <c r="P20" s="286" t="str">
        <f>'AGG ASIA INCUMB'!H48</f>
        <v>nm</v>
      </c>
      <c r="S20" s="88"/>
      <c r="T20" s="42"/>
      <c r="U20" s="42"/>
      <c r="V20" s="42"/>
      <c r="W20" s="42"/>
      <c r="X20" s="42"/>
      <c r="Y20" s="42"/>
      <c r="Z20" s="42"/>
      <c r="AA20" s="42"/>
    </row>
    <row r="21" spans="2:27" ht="12.6" thickBot="1">
      <c r="B21" s="306" t="s">
        <v>946</v>
      </c>
      <c r="C21" s="265"/>
      <c r="D21" s="265" t="str">
        <f>D5</f>
        <v>2023E</v>
      </c>
      <c r="E21" s="265" t="str">
        <f t="shared" ref="E21:H21" si="3">E5</f>
        <v>2024E</v>
      </c>
      <c r="F21" s="265" t="str">
        <f t="shared" si="3"/>
        <v>2025E</v>
      </c>
      <c r="G21" s="265" t="str">
        <f t="shared" si="3"/>
        <v>2026E</v>
      </c>
      <c r="H21" s="265" t="str">
        <f t="shared" si="3"/>
        <v>23E-26E</v>
      </c>
      <c r="I21" s="49"/>
      <c r="J21" s="41"/>
      <c r="L21" s="250"/>
      <c r="M21" s="250"/>
      <c r="N21" s="250"/>
      <c r="O21" s="250"/>
      <c r="P21" s="286"/>
      <c r="S21" s="88"/>
      <c r="T21" s="42"/>
      <c r="U21" s="42"/>
      <c r="V21" s="42"/>
      <c r="W21" s="42"/>
      <c r="X21" s="42"/>
      <c r="Y21" s="42"/>
      <c r="Z21" s="42"/>
      <c r="AA21" s="42"/>
    </row>
    <row r="22" spans="2:27" ht="12.6" thickTop="1">
      <c r="B22" s="5"/>
      <c r="C22" s="257"/>
      <c r="D22" s="17"/>
      <c r="E22" s="17"/>
      <c r="F22" s="17"/>
      <c r="G22" s="17"/>
      <c r="H22" s="17"/>
      <c r="I22" s="17"/>
      <c r="P22" s="277"/>
      <c r="S22" s="88"/>
      <c r="T22" s="42"/>
      <c r="U22" s="42"/>
      <c r="V22" s="42"/>
      <c r="W22" s="42"/>
      <c r="X22" s="42"/>
      <c r="Y22" s="42"/>
      <c r="Z22" s="42"/>
      <c r="AA22" s="42"/>
    </row>
    <row r="23" spans="2:27" ht="12.6" thickBot="1">
      <c r="B23" s="5" t="s">
        <v>584</v>
      </c>
      <c r="C23" s="548">
        <v>14624</v>
      </c>
      <c r="D23" s="540">
        <v>14314.515719942527</v>
      </c>
      <c r="E23" s="540">
        <v>14981.521441798412</v>
      </c>
      <c r="F23" s="540">
        <v>15781.883482386949</v>
      </c>
      <c r="G23" s="540">
        <v>16272.671193933013</v>
      </c>
      <c r="H23" s="279">
        <f t="shared" ref="H23:H32" si="4">IF(D23=0,"nm",IF(G23=0,"nm",(G23/D23)^(1/3)-1))</f>
        <v>4.3664063799779385E-2</v>
      </c>
      <c r="I23" s="247"/>
      <c r="J23" s="306" t="s">
        <v>9</v>
      </c>
      <c r="K23" s="306"/>
      <c r="L23" s="265" t="str">
        <f>D21</f>
        <v>2023E</v>
      </c>
      <c r="M23" s="265" t="str">
        <f t="shared" ref="M23:P23" si="5">E21</f>
        <v>2024E</v>
      </c>
      <c r="N23" s="265" t="str">
        <f t="shared" si="5"/>
        <v>2025E</v>
      </c>
      <c r="O23" s="265" t="str">
        <f t="shared" si="5"/>
        <v>2026E</v>
      </c>
      <c r="P23" s="265" t="str">
        <f t="shared" si="5"/>
        <v>23E-26E</v>
      </c>
      <c r="S23" s="88"/>
      <c r="T23" s="42"/>
      <c r="U23" s="42"/>
      <c r="V23" s="42"/>
      <c r="W23" s="42"/>
      <c r="X23" s="42"/>
      <c r="Y23" s="42"/>
      <c r="Z23" s="42"/>
      <c r="AA23" s="42"/>
    </row>
    <row r="24" spans="2:27" ht="12.6" thickTop="1">
      <c r="B24" s="5" t="s">
        <v>483</v>
      </c>
      <c r="C24" s="549">
        <v>3686</v>
      </c>
      <c r="D24" s="540">
        <v>3591.3644372124672</v>
      </c>
      <c r="E24" s="540">
        <v>3959.2483642174775</v>
      </c>
      <c r="F24" s="540">
        <v>4320.260012422259</v>
      </c>
      <c r="G24" s="540">
        <v>4394.1976883387397</v>
      </c>
      <c r="H24" s="279">
        <f>IF(D24=0,"nm",IF(G24=0,"nm",(G24/D24)^(1/3)-1))</f>
        <v>6.95638219918715E-2</v>
      </c>
      <c r="I24" s="249"/>
      <c r="J24" s="17"/>
      <c r="K24" s="17"/>
      <c r="L24" s="17"/>
      <c r="M24" s="17"/>
      <c r="N24" s="17"/>
      <c r="O24" s="248"/>
      <c r="S24" s="88"/>
      <c r="T24" s="42"/>
      <c r="U24" s="42"/>
      <c r="V24" s="42"/>
      <c r="W24" s="42" t="s">
        <v>261</v>
      </c>
      <c r="X24" s="42" t="s">
        <v>260</v>
      </c>
      <c r="Y24" s="42"/>
      <c r="Z24" s="42"/>
      <c r="AA24" s="42"/>
    </row>
    <row r="25" spans="2:27">
      <c r="B25" s="5" t="s">
        <v>183</v>
      </c>
      <c r="C25" s="548">
        <v>1524</v>
      </c>
      <c r="D25" s="540">
        <v>1560.9044609922503</v>
      </c>
      <c r="E25" s="540">
        <v>1959.3233492058685</v>
      </c>
      <c r="F25" s="540">
        <v>2369.9580681887446</v>
      </c>
      <c r="G25" s="540">
        <v>2398.4511386699114</v>
      </c>
      <c r="H25" s="279">
        <f t="shared" si="4"/>
        <v>0.15394431312538903</v>
      </c>
      <c r="I25" s="248"/>
      <c r="J25" s="247" t="s">
        <v>10</v>
      </c>
      <c r="K25" s="247"/>
      <c r="L25" s="321">
        <v>59642.925880281196</v>
      </c>
      <c r="M25" s="321">
        <v>55333.220396198332</v>
      </c>
      <c r="N25" s="321">
        <v>50783.323072044266</v>
      </c>
      <c r="O25" s="321">
        <v>45873.557174640729</v>
      </c>
      <c r="P25" s="279">
        <f>IF(L25=0,"nm",IF(O25=0,"nm",(O25/L25)^(1/3)-1))</f>
        <v>-8.3777064320756489E-2</v>
      </c>
      <c r="S25" s="88"/>
      <c r="T25" s="42"/>
      <c r="U25" s="42"/>
      <c r="V25" s="147" t="s">
        <v>273</v>
      </c>
      <c r="W25" s="288">
        <f>D37/L9</f>
        <v>5.0175304067382673E-2</v>
      </c>
      <c r="X25" s="288">
        <v>1</v>
      </c>
      <c r="Y25" s="42"/>
      <c r="Z25" s="42"/>
      <c r="AA25" s="42"/>
    </row>
    <row r="26" spans="2:27">
      <c r="B26" s="5" t="s">
        <v>586</v>
      </c>
      <c r="C26" s="548">
        <v>1219.2</v>
      </c>
      <c r="D26" s="540">
        <v>1248.7235687938003</v>
      </c>
      <c r="E26" s="540">
        <v>1567.4586793646949</v>
      </c>
      <c r="F26" s="540">
        <v>1895.9664545509959</v>
      </c>
      <c r="G26" s="540">
        <v>1918.7609109359291</v>
      </c>
      <c r="H26" s="279">
        <f t="shared" si="4"/>
        <v>0.15394431312538903</v>
      </c>
      <c r="I26" s="249"/>
      <c r="J26" s="249" t="s">
        <v>11</v>
      </c>
      <c r="K26" s="249"/>
      <c r="L26" s="281">
        <f>D11+L25</f>
        <v>99707.349620281195</v>
      </c>
      <c r="M26" s="281">
        <f>E11+M25</f>
        <v>95397.644136198331</v>
      </c>
      <c r="N26" s="281">
        <f>F11+N25</f>
        <v>90847.746812044265</v>
      </c>
      <c r="O26" s="281">
        <f>G11+O25</f>
        <v>85937.980914640735</v>
      </c>
      <c r="P26" s="279">
        <f>IF(L26=0,"nm",IF(O26=0,"nm",(O26/L26)^(1/3)-1))</f>
        <v>-4.8330849791731856E-2</v>
      </c>
      <c r="Q26" s="5"/>
      <c r="S26" s="88"/>
      <c r="T26" s="42"/>
      <c r="U26" s="42"/>
      <c r="V26" s="147" t="s">
        <v>184</v>
      </c>
      <c r="W26" s="288">
        <f t="shared" ref="W26:W33" si="6">D38/L10</f>
        <v>2.3410106352584659E-2</v>
      </c>
      <c r="X26" s="288">
        <v>1</v>
      </c>
      <c r="Y26" s="42"/>
      <c r="Z26" s="42"/>
      <c r="AA26" s="42"/>
    </row>
    <row r="27" spans="2:27">
      <c r="B27" s="5" t="s">
        <v>587</v>
      </c>
      <c r="C27" s="549">
        <v>33330</v>
      </c>
      <c r="D27" s="540">
        <v>33381.801409546402</v>
      </c>
      <c r="E27" s="540">
        <v>33715.672583629479</v>
      </c>
      <c r="F27" s="540">
        <v>34305.262561164083</v>
      </c>
      <c r="G27" s="540">
        <v>35238.619282098494</v>
      </c>
      <c r="H27" s="279">
        <f t="shared" si="4"/>
        <v>1.8207687070573186E-2</v>
      </c>
      <c r="I27" s="249"/>
      <c r="J27" s="248"/>
      <c r="K27" s="248"/>
      <c r="L27" s="248"/>
      <c r="M27" s="248"/>
      <c r="N27" s="248"/>
      <c r="O27" s="248"/>
      <c r="Q27" s="41"/>
      <c r="S27" s="88"/>
      <c r="T27" s="42"/>
      <c r="U27" s="42"/>
      <c r="V27" s="147" t="s">
        <v>185</v>
      </c>
      <c r="W27" s="288">
        <f t="shared" si="6"/>
        <v>1.7633341793874945E-2</v>
      </c>
      <c r="X27" s="288">
        <v>1</v>
      </c>
      <c r="Y27" s="42"/>
      <c r="Z27" s="42"/>
      <c r="AA27" s="42"/>
    </row>
    <row r="28" spans="2:27" ht="12.6" thickBot="1">
      <c r="B28" s="5" t="s">
        <v>592</v>
      </c>
      <c r="C28" s="548">
        <v>18121</v>
      </c>
      <c r="D28" s="540">
        <v>17630.68567367618</v>
      </c>
      <c r="E28" s="540">
        <v>17327.212637110311</v>
      </c>
      <c r="F28" s="540">
        <v>16996.326443387254</v>
      </c>
      <c r="G28" s="540">
        <v>16840.895174606318</v>
      </c>
      <c r="H28" s="279">
        <f t="shared" si="4"/>
        <v>-1.516080769823569E-2</v>
      </c>
      <c r="I28" s="248"/>
      <c r="J28" s="306" t="s">
        <v>1362</v>
      </c>
      <c r="K28" s="306"/>
      <c r="L28" s="306"/>
      <c r="M28" s="306"/>
      <c r="N28" s="266"/>
      <c r="O28" s="266"/>
      <c r="P28" s="266"/>
      <c r="Q28" s="5"/>
      <c r="S28" s="88"/>
      <c r="T28" s="42"/>
      <c r="U28" s="42"/>
      <c r="V28" s="147" t="s">
        <v>466</v>
      </c>
      <c r="W28" s="288">
        <f t="shared" si="6"/>
        <v>1.6375116272342786E-2</v>
      </c>
      <c r="X28" s="288">
        <v>1</v>
      </c>
      <c r="Y28" s="42"/>
      <c r="Z28" s="42"/>
      <c r="AA28" s="42"/>
    </row>
    <row r="29" spans="2:27" ht="12.6" thickTop="1">
      <c r="B29" s="5" t="s">
        <v>588</v>
      </c>
      <c r="C29" s="548">
        <v>1975</v>
      </c>
      <c r="D29" s="540">
        <v>1663.6035895191267</v>
      </c>
      <c r="E29" s="540">
        <v>2205.1178297956726</v>
      </c>
      <c r="F29" s="540">
        <v>2626.1826984791255</v>
      </c>
      <c r="G29" s="540">
        <v>2712.8321079655543</v>
      </c>
      <c r="H29" s="279">
        <f t="shared" si="4"/>
        <v>0.17703946001327164</v>
      </c>
      <c r="I29" s="252"/>
      <c r="J29" s="249"/>
      <c r="K29" s="249"/>
      <c r="L29" s="249"/>
      <c r="M29" s="249"/>
      <c r="N29" s="249"/>
      <c r="O29" s="251"/>
      <c r="Q29" s="5"/>
      <c r="S29" s="88"/>
      <c r="T29" s="42"/>
      <c r="U29" s="42"/>
      <c r="V29" s="147" t="s">
        <v>530</v>
      </c>
      <c r="W29" s="288">
        <f t="shared" si="6"/>
        <v>2.3866830904523611E-2</v>
      </c>
      <c r="X29" s="288">
        <v>1</v>
      </c>
      <c r="Y29" s="42"/>
      <c r="Z29" s="42"/>
      <c r="AA29" s="42"/>
    </row>
    <row r="30" spans="2:27">
      <c r="B30" s="5" t="s">
        <v>589</v>
      </c>
      <c r="C30" s="549">
        <v>2226</v>
      </c>
      <c r="D30" s="540">
        <v>3154.1205788114107</v>
      </c>
      <c r="E30" s="540">
        <v>2963.0863355363153</v>
      </c>
      <c r="F30" s="540">
        <v>3642.9747408324511</v>
      </c>
      <c r="G30" s="540">
        <v>4078.3627104209927</v>
      </c>
      <c r="H30" s="279">
        <f t="shared" si="4"/>
        <v>8.9437997211970099E-2</v>
      </c>
      <c r="I30" s="254"/>
      <c r="J30" s="248"/>
      <c r="K30" s="248"/>
      <c r="L30" s="248"/>
      <c r="M30" s="248"/>
      <c r="N30" s="248"/>
      <c r="O30" s="5"/>
      <c r="Q30" s="5"/>
      <c r="S30" s="88"/>
      <c r="T30" s="42"/>
      <c r="U30" s="42"/>
      <c r="V30" s="147" t="s">
        <v>593</v>
      </c>
      <c r="W30" s="288">
        <f t="shared" si="6"/>
        <v>3.39448519669329E-2</v>
      </c>
      <c r="X30" s="288">
        <v>1</v>
      </c>
      <c r="Y30" s="42"/>
      <c r="Z30" s="42"/>
      <c r="AA30" s="42"/>
    </row>
    <row r="31" spans="2:27">
      <c r="B31" s="5" t="s">
        <v>590</v>
      </c>
      <c r="C31" s="549">
        <v>2466.7765029999996</v>
      </c>
      <c r="D31" s="540">
        <v>1930.9912725543609</v>
      </c>
      <c r="E31" s="540">
        <v>2377.5892498048815</v>
      </c>
      <c r="F31" s="540">
        <v>2923.1337194723483</v>
      </c>
      <c r="G31" s="540">
        <v>3272.4903155233123</v>
      </c>
      <c r="H31" s="279">
        <f t="shared" si="4"/>
        <v>0.19224639983662173</v>
      </c>
      <c r="I31" s="254"/>
      <c r="J31" s="252"/>
      <c r="K31" s="252"/>
      <c r="L31" s="252"/>
      <c r="M31" s="252"/>
      <c r="N31" s="252"/>
      <c r="O31" s="5"/>
      <c r="Q31" s="5"/>
      <c r="S31" s="88"/>
      <c r="T31" s="42"/>
      <c r="U31" s="42"/>
      <c r="V31" s="147" t="s">
        <v>475</v>
      </c>
      <c r="W31" s="288">
        <f t="shared" si="6"/>
        <v>4.1385487278899156</v>
      </c>
      <c r="X31" s="288">
        <v>1</v>
      </c>
      <c r="Y31" s="42"/>
      <c r="Z31" s="42"/>
      <c r="AA31" s="42"/>
    </row>
    <row r="32" spans="2:27">
      <c r="B32" s="5" t="s">
        <v>606</v>
      </c>
      <c r="C32" s="550">
        <v>0</v>
      </c>
      <c r="D32" s="540">
        <v>0</v>
      </c>
      <c r="E32" s="540">
        <v>0</v>
      </c>
      <c r="F32" s="540">
        <v>0</v>
      </c>
      <c r="G32" s="540">
        <v>0</v>
      </c>
      <c r="H32" s="279" t="str">
        <f t="shared" si="4"/>
        <v>nm</v>
      </c>
      <c r="I32" s="254"/>
      <c r="J32" s="254"/>
      <c r="K32" s="254"/>
      <c r="L32" s="254"/>
      <c r="M32" s="254"/>
      <c r="N32" s="254"/>
      <c r="O32" s="251"/>
      <c r="Q32" s="5"/>
      <c r="S32" s="88"/>
      <c r="T32" s="42"/>
      <c r="U32" s="42"/>
      <c r="V32" s="147" t="s">
        <v>533</v>
      </c>
      <c r="W32" s="288">
        <f t="shared" si="6"/>
        <v>3.1654995088806759E-2</v>
      </c>
      <c r="X32" s="288">
        <v>1</v>
      </c>
      <c r="Y32" s="42"/>
      <c r="Z32" s="42"/>
      <c r="AA32" s="42"/>
    </row>
    <row r="33" spans="2:27">
      <c r="B33" s="5" t="s">
        <v>5</v>
      </c>
      <c r="C33" s="549">
        <v>-359</v>
      </c>
      <c r="D33" s="540">
        <v>-337.68299999999999</v>
      </c>
      <c r="E33" s="540">
        <v>-307.70653568935501</v>
      </c>
      <c r="F33" s="540">
        <v>-302.46026448966842</v>
      </c>
      <c r="G33" s="540">
        <v>-298.47365250199567</v>
      </c>
      <c r="H33" s="279">
        <f>IF(D33=0,"nm",IF(G33=0,"nm",(G33/D33)^(1/3)-1))</f>
        <v>-4.0307131471511437E-2</v>
      </c>
      <c r="I33" s="5"/>
      <c r="J33" s="254"/>
      <c r="K33" s="254"/>
      <c r="L33" s="254"/>
      <c r="M33" s="254"/>
      <c r="N33" s="254"/>
      <c r="O33" s="251"/>
      <c r="Q33" s="5"/>
      <c r="S33" s="88"/>
      <c r="T33" s="42"/>
      <c r="U33" s="42"/>
      <c r="V33" s="147" t="s">
        <v>580</v>
      </c>
      <c r="W33" s="288">
        <f t="shared" si="6"/>
        <v>33.972204941408101</v>
      </c>
      <c r="X33" s="288">
        <v>1</v>
      </c>
      <c r="Y33" s="42"/>
      <c r="Z33" s="42"/>
      <c r="AA33" s="42"/>
    </row>
    <row r="34" spans="2:27">
      <c r="B34" s="5"/>
      <c r="H34" s="277"/>
      <c r="I34" s="49"/>
      <c r="J34" s="254"/>
      <c r="K34" s="254"/>
      <c r="L34" s="254"/>
      <c r="M34" s="254"/>
      <c r="N34" s="254"/>
      <c r="O34" s="251"/>
      <c r="Q34" s="5"/>
      <c r="S34" s="88"/>
      <c r="T34" s="42"/>
      <c r="U34" s="42"/>
      <c r="V34" s="147" t="s">
        <v>581</v>
      </c>
      <c r="W34" s="288">
        <f>D47/L19</f>
        <v>0.24163059704019985</v>
      </c>
      <c r="X34" s="288">
        <v>1</v>
      </c>
      <c r="Y34" s="288"/>
      <c r="Z34" s="288"/>
      <c r="AA34" s="42"/>
    </row>
    <row r="35" spans="2:27" ht="12.6" thickBot="1">
      <c r="B35" s="306" t="s">
        <v>554</v>
      </c>
      <c r="C35" s="265"/>
      <c r="D35" s="265" t="str">
        <f>D5</f>
        <v>2023E</v>
      </c>
      <c r="E35" s="265" t="str">
        <f t="shared" ref="E35:H35" si="7">E5</f>
        <v>2024E</v>
      </c>
      <c r="F35" s="265" t="str">
        <f t="shared" si="7"/>
        <v>2025E</v>
      </c>
      <c r="G35" s="265" t="str">
        <f t="shared" si="7"/>
        <v>2026E</v>
      </c>
      <c r="H35" s="265" t="str">
        <f t="shared" si="7"/>
        <v>23E-26E</v>
      </c>
      <c r="I35" s="254"/>
      <c r="J35" s="5"/>
      <c r="K35" s="5"/>
      <c r="L35" s="5"/>
      <c r="M35" s="5"/>
      <c r="N35" s="5"/>
      <c r="O35" s="5"/>
      <c r="Q35" s="5"/>
      <c r="S35" s="88"/>
      <c r="T35" s="42"/>
      <c r="U35" s="42"/>
      <c r="V35" s="42"/>
      <c r="W35" s="42"/>
      <c r="X35" s="42"/>
      <c r="Y35" s="288"/>
      <c r="Z35" s="288"/>
      <c r="AA35" s="42"/>
    </row>
    <row r="36" spans="2:27" ht="12.6" thickTop="1">
      <c r="B36" s="41"/>
      <c r="C36" s="249"/>
      <c r="D36" s="254"/>
      <c r="E36" s="254"/>
      <c r="F36" s="254"/>
      <c r="G36" s="254"/>
      <c r="H36" s="254"/>
      <c r="I36" s="17"/>
      <c r="J36" s="49"/>
      <c r="K36" s="49"/>
      <c r="L36" s="49"/>
      <c r="M36" s="49"/>
      <c r="N36" s="49"/>
      <c r="O36" s="49"/>
      <c r="Q36" s="5"/>
      <c r="S36" s="88"/>
      <c r="T36" s="42"/>
      <c r="U36" s="42"/>
      <c r="V36" s="42"/>
      <c r="W36" s="42"/>
      <c r="X36" s="42"/>
      <c r="Y36" s="288"/>
      <c r="Z36" s="288"/>
      <c r="AA36" s="42"/>
    </row>
    <row r="37" spans="2:27">
      <c r="B37" s="5" t="s">
        <v>273</v>
      </c>
      <c r="C37" s="247"/>
      <c r="D37" s="529">
        <f>D$18/D23</f>
        <v>3.1682029207369968</v>
      </c>
      <c r="E37" s="529">
        <f>E$18/E23</f>
        <v>2.8811228110864984</v>
      </c>
      <c r="F37" s="529">
        <f>F$18/F23</f>
        <v>2.5697652419775294</v>
      </c>
      <c r="G37" s="529">
        <f>G$18/G23</f>
        <v>2.3266278428856677</v>
      </c>
      <c r="H37" s="17">
        <f t="shared" ref="H37:H45" si="8">H23</f>
        <v>4.3664063799779385E-2</v>
      </c>
      <c r="I37" s="5"/>
      <c r="J37" s="259"/>
      <c r="K37" s="259"/>
      <c r="L37" s="259"/>
      <c r="M37" s="259"/>
      <c r="N37" s="259"/>
      <c r="O37" s="18"/>
      <c r="Q37" s="5"/>
      <c r="R37" s="5"/>
      <c r="S37" s="42"/>
      <c r="T37" s="42"/>
      <c r="U37" s="42"/>
      <c r="V37" s="42"/>
      <c r="W37" s="42"/>
      <c r="X37" s="42"/>
      <c r="Y37" s="42"/>
      <c r="Z37" s="42"/>
      <c r="AA37" s="42"/>
    </row>
    <row r="38" spans="2:27">
      <c r="B38" s="5" t="s">
        <v>846</v>
      </c>
      <c r="C38" s="247"/>
      <c r="D38" s="529">
        <f>PROPORTIONATES!G67</f>
        <v>5.3675096058513745</v>
      </c>
      <c r="E38" s="529">
        <f>PROPORTIONATES!H67</f>
        <v>4.6145811302216524</v>
      </c>
      <c r="F38" s="529">
        <f>PROPORTIONATES!I67</f>
        <v>3.9596642611131734</v>
      </c>
      <c r="G38" s="529">
        <f>PROPORTIONATES!J67</f>
        <v>3.3360386013576599</v>
      </c>
      <c r="H38" s="17">
        <f t="shared" si="8"/>
        <v>6.95638219918715E-2</v>
      </c>
      <c r="I38" s="259"/>
      <c r="J38" s="17"/>
      <c r="K38" s="17"/>
      <c r="L38" s="17"/>
      <c r="M38" s="17"/>
      <c r="N38" s="17"/>
      <c r="O38" s="5"/>
      <c r="Q38" s="5"/>
      <c r="R38" s="5"/>
      <c r="S38" s="42"/>
      <c r="T38" s="42"/>
      <c r="U38" s="42"/>
      <c r="V38" s="42"/>
      <c r="W38" s="42"/>
      <c r="X38" s="42"/>
      <c r="Y38" s="42"/>
      <c r="Z38" s="42"/>
      <c r="AA38" s="42"/>
    </row>
    <row r="39" spans="2:27">
      <c r="B39" s="5" t="s">
        <v>847</v>
      </c>
      <c r="C39" s="247"/>
      <c r="D39" s="529">
        <f>PROPORTIONATES!G68</f>
        <v>10.167465555053667</v>
      </c>
      <c r="E39" s="529">
        <f>PROPORTIONATES!H68</f>
        <v>7.9845391429862937</v>
      </c>
      <c r="F39" s="529">
        <f>PROPORTIONATES!I68</f>
        <v>6.470935376540635</v>
      </c>
      <c r="G39" s="529">
        <f>PROPORTIONATES!J68</f>
        <v>5.293618266421154</v>
      </c>
      <c r="H39" s="17">
        <f t="shared" si="8"/>
        <v>0.15394431312538903</v>
      </c>
      <c r="I39" s="17"/>
      <c r="J39" s="5"/>
      <c r="K39" s="5"/>
      <c r="L39" s="5"/>
      <c r="M39" s="5"/>
      <c r="N39" s="5"/>
      <c r="O39" s="5"/>
      <c r="Q39" s="5"/>
      <c r="R39" s="5"/>
      <c r="S39" s="42"/>
      <c r="T39" s="42"/>
      <c r="U39" s="42"/>
      <c r="V39" s="42"/>
      <c r="W39" s="42"/>
      <c r="X39" s="42"/>
      <c r="Y39" s="42"/>
      <c r="Z39" s="42"/>
      <c r="AA39" s="42"/>
    </row>
    <row r="40" spans="2:27">
      <c r="B40" s="5" t="s">
        <v>848</v>
      </c>
      <c r="C40" s="247"/>
      <c r="D40" s="529">
        <f>PROPORTIONATES!G69</f>
        <v>12.6815932836782</v>
      </c>
      <c r="E40" s="529">
        <f>PROPORTIONATES!H69</f>
        <v>10.118068845590448</v>
      </c>
      <c r="F40" s="529">
        <f>PROPORTIONATES!I69</f>
        <v>8.2408995220001255</v>
      </c>
      <c r="G40" s="529">
        <f>PROPORTIONATES!J69</f>
        <v>6.3785947508744893</v>
      </c>
      <c r="H40" s="17">
        <f t="shared" si="8"/>
        <v>0.15394431312538903</v>
      </c>
      <c r="I40" s="5"/>
      <c r="J40" s="259"/>
      <c r="K40" s="259"/>
      <c r="L40" s="259"/>
      <c r="M40" s="259"/>
      <c r="N40" s="259"/>
      <c r="O40" s="18"/>
      <c r="Q40" s="5"/>
      <c r="R40" s="5"/>
      <c r="S40" s="42"/>
      <c r="T40" s="42"/>
      <c r="U40" s="42"/>
      <c r="V40" s="42"/>
      <c r="W40" s="288"/>
      <c r="X40" s="288"/>
      <c r="Y40" s="42"/>
      <c r="Z40" s="42"/>
      <c r="AA40" s="42"/>
    </row>
    <row r="41" spans="2:27">
      <c r="B41" s="5" t="s">
        <v>530</v>
      </c>
      <c r="C41" s="247"/>
      <c r="D41" s="529">
        <f>D$18/D27</f>
        <v>1.3585633068887701</v>
      </c>
      <c r="E41" s="529">
        <f>E$18/E27</f>
        <v>1.280223702009279</v>
      </c>
      <c r="F41" s="529">
        <f>F$18/F27</f>
        <v>1.1822015806953523</v>
      </c>
      <c r="G41" s="529">
        <f>G$18/G27</f>
        <v>1.0744021942188162</v>
      </c>
      <c r="H41" s="17">
        <f t="shared" si="8"/>
        <v>1.8207687070573186E-2</v>
      </c>
      <c r="I41" s="247"/>
      <c r="J41" s="17"/>
      <c r="K41" s="17"/>
      <c r="L41" s="17"/>
      <c r="M41" s="17"/>
      <c r="N41" s="17"/>
      <c r="O41" s="5"/>
      <c r="Q41" s="5"/>
      <c r="R41" s="5"/>
      <c r="S41" s="42"/>
      <c r="T41" s="42"/>
      <c r="U41" s="42"/>
      <c r="V41" s="42"/>
      <c r="W41" s="288"/>
      <c r="X41" s="288"/>
      <c r="Y41" s="288"/>
      <c r="Z41" s="288"/>
      <c r="AA41" s="42"/>
    </row>
    <row r="42" spans="2:27">
      <c r="B42" s="5" t="s">
        <v>593</v>
      </c>
      <c r="C42" s="247"/>
      <c r="D42" s="529">
        <f>D18/D28</f>
        <v>2.5722930663196011</v>
      </c>
      <c r="E42" s="529">
        <f>E18/E28</f>
        <v>2.4910875208111576</v>
      </c>
      <c r="F42" s="529">
        <f>F18/F28</f>
        <v>2.3861471336799522</v>
      </c>
      <c r="G42" s="529">
        <f>G18/G28</f>
        <v>2.2481257371054895</v>
      </c>
      <c r="H42" s="17">
        <f t="shared" si="8"/>
        <v>-1.516080769823569E-2</v>
      </c>
      <c r="I42" s="248"/>
      <c r="J42" s="5"/>
      <c r="K42" s="5"/>
      <c r="L42" s="5"/>
      <c r="M42" s="5"/>
      <c r="N42" s="5"/>
      <c r="O42" s="5"/>
      <c r="Q42" s="5"/>
      <c r="R42" s="5"/>
      <c r="S42" s="42"/>
      <c r="T42" s="42"/>
      <c r="U42" s="42"/>
      <c r="V42" s="42"/>
      <c r="W42" s="288"/>
      <c r="X42" s="288"/>
      <c r="Y42" s="288"/>
      <c r="Z42" s="288"/>
      <c r="AA42" s="42"/>
    </row>
    <row r="43" spans="2:27">
      <c r="B43" s="5" t="s">
        <v>475</v>
      </c>
      <c r="C43" s="247"/>
      <c r="D43" s="529">
        <f>L26/D29</f>
        <v>59.93456028133609</v>
      </c>
      <c r="E43" s="529">
        <f>M26/E29</f>
        <v>43.261925892204104</v>
      </c>
      <c r="F43" s="529">
        <f>N26/F29</f>
        <v>34.593079477926651</v>
      </c>
      <c r="G43" s="529">
        <f>O26/G29</f>
        <v>31.67832637423647</v>
      </c>
      <c r="H43" s="17">
        <f t="shared" si="8"/>
        <v>0.17703946001327164</v>
      </c>
      <c r="I43" s="247"/>
      <c r="J43" s="247"/>
      <c r="K43" s="247"/>
      <c r="L43" s="247"/>
      <c r="M43" s="247"/>
      <c r="N43" s="247"/>
      <c r="O43" s="18"/>
      <c r="Q43" s="5"/>
      <c r="R43" s="5"/>
      <c r="S43" s="42"/>
      <c r="T43" s="42"/>
      <c r="U43" s="42"/>
      <c r="V43" s="42"/>
      <c r="W43" s="288"/>
      <c r="X43" s="288"/>
      <c r="Y43" s="288"/>
      <c r="Z43" s="288"/>
      <c r="AA43" s="42"/>
    </row>
    <row r="44" spans="2:27">
      <c r="B44" s="5" t="s">
        <v>533</v>
      </c>
      <c r="C44" s="69"/>
      <c r="D44" s="529">
        <f>D11/D30</f>
        <v>12.702248610640547</v>
      </c>
      <c r="E44" s="529">
        <f>E11/E30</f>
        <v>13.521180014064079</v>
      </c>
      <c r="F44" s="529">
        <f>F11/F30</f>
        <v>10.997722078864848</v>
      </c>
      <c r="G44" s="529">
        <f>G11/G30</f>
        <v>9.8236538985676223</v>
      </c>
      <c r="H44" s="17">
        <f t="shared" si="8"/>
        <v>8.9437997211970099E-2</v>
      </c>
      <c r="I44" s="247"/>
      <c r="J44" s="248"/>
      <c r="K44" s="248"/>
      <c r="L44" s="248"/>
      <c r="M44" s="248"/>
      <c r="N44" s="248"/>
      <c r="O44" s="248"/>
      <c r="Q44" s="5"/>
      <c r="R44" s="5"/>
      <c r="S44" s="42"/>
      <c r="T44" s="42"/>
      <c r="U44" s="42"/>
      <c r="V44" s="42"/>
      <c r="W44" s="325"/>
      <c r="X44" s="325"/>
      <c r="Y44" s="288"/>
      <c r="Z44" s="288"/>
      <c r="AA44" s="42"/>
    </row>
    <row r="45" spans="2:27">
      <c r="B45" s="5" t="s">
        <v>580</v>
      </c>
      <c r="C45" s="247"/>
      <c r="D45" s="248">
        <f>D31/D11</f>
        <v>4.8197155788028335E-2</v>
      </c>
      <c r="E45" s="248">
        <f>E31/E11</f>
        <v>5.9344151939744877E-2</v>
      </c>
      <c r="F45" s="248">
        <f>F31/F11</f>
        <v>7.2960832743836898E-2</v>
      </c>
      <c r="G45" s="248">
        <f>G31/G11</f>
        <v>8.1680703477985742E-2</v>
      </c>
      <c r="H45" s="17">
        <f t="shared" si="8"/>
        <v>0.19224639983662173</v>
      </c>
      <c r="I45" s="248"/>
      <c r="J45" s="247"/>
      <c r="K45" s="247"/>
      <c r="L45" s="247"/>
      <c r="M45" s="247"/>
      <c r="N45" s="247"/>
      <c r="O45" s="248"/>
      <c r="Q45" s="5"/>
      <c r="R45" s="5"/>
      <c r="S45" s="42"/>
      <c r="T45" s="42"/>
      <c r="U45" s="42"/>
      <c r="V45" s="42"/>
      <c r="W45" s="42"/>
      <c r="X45" s="42"/>
      <c r="Y45" s="325"/>
      <c r="Z45" s="325"/>
      <c r="AA45" s="42"/>
    </row>
    <row r="46" spans="2:27">
      <c r="B46" s="5" t="s">
        <v>605</v>
      </c>
      <c r="C46" s="247"/>
      <c r="D46" s="248">
        <f>(D31+D32)/D11</f>
        <v>4.8197155788028335E-2</v>
      </c>
      <c r="E46" s="248">
        <f>(E31+E32)/E11</f>
        <v>5.9344151939744877E-2</v>
      </c>
      <c r="F46" s="248">
        <f>(F31+F32)/F11</f>
        <v>7.2960832743836898E-2</v>
      </c>
      <c r="G46" s="248">
        <f>(G31+G32)/G11</f>
        <v>8.1680703477985742E-2</v>
      </c>
      <c r="H46" s="279">
        <f>((G31+G32)/(D31+D32))^(1/3)-1</f>
        <v>0.19224639983662173</v>
      </c>
      <c r="I46" s="247"/>
      <c r="J46" s="247"/>
      <c r="K46" s="247"/>
      <c r="L46" s="247"/>
      <c r="M46" s="247"/>
      <c r="N46" s="247"/>
      <c r="O46" s="18"/>
      <c r="Q46" s="5"/>
      <c r="R46" s="5"/>
      <c r="S46" s="42"/>
      <c r="T46" s="42"/>
      <c r="U46" s="42"/>
      <c r="V46" s="42"/>
      <c r="W46" s="42"/>
      <c r="X46" s="42"/>
      <c r="Y46" s="42"/>
      <c r="Z46" s="42"/>
      <c r="AA46" s="326"/>
    </row>
    <row r="47" spans="2:27">
      <c r="B47" s="5" t="s">
        <v>581</v>
      </c>
      <c r="C47" s="5"/>
      <c r="D47" s="248">
        <f>1/D43</f>
        <v>1.6684864213668132E-2</v>
      </c>
      <c r="E47" s="248">
        <f>1/E43</f>
        <v>2.3115013476092201E-2</v>
      </c>
      <c r="F47" s="248">
        <f>1/F43</f>
        <v>2.8907516043435385E-2</v>
      </c>
      <c r="G47" s="248">
        <f>1/G43</f>
        <v>3.1567324238861487E-2</v>
      </c>
      <c r="H47" s="17">
        <f>H29</f>
        <v>0.17703946001327164</v>
      </c>
      <c r="I47" s="17"/>
      <c r="J47" s="248"/>
      <c r="K47" s="248"/>
      <c r="L47" s="248"/>
      <c r="M47" s="248"/>
      <c r="N47" s="248"/>
      <c r="O47" s="248"/>
      <c r="Q47" s="5"/>
      <c r="R47" s="5"/>
      <c r="S47" s="42"/>
      <c r="T47" s="42"/>
      <c r="U47" s="42"/>
      <c r="V47" s="42"/>
      <c r="W47" s="42"/>
      <c r="X47" s="42"/>
      <c r="Y47" s="42"/>
      <c r="Z47" s="42"/>
      <c r="AA47" s="326"/>
    </row>
    <row r="48" spans="2:27">
      <c r="B48" s="5" t="s">
        <v>618</v>
      </c>
      <c r="C48" s="5"/>
      <c r="D48" s="305">
        <f>D31/D29</f>
        <v>1.1607280031852565</v>
      </c>
      <c r="E48" s="305">
        <f>E31/E29</f>
        <v>1.0782141514973784</v>
      </c>
      <c r="F48" s="305">
        <f>F31/F29</f>
        <v>1.1130732531157079</v>
      </c>
      <c r="G48" s="305">
        <f>G31/G29</f>
        <v>1.206300347859516</v>
      </c>
      <c r="H48" s="279" t="s">
        <v>607</v>
      </c>
      <c r="I48" s="247"/>
      <c r="J48" s="247"/>
      <c r="K48" s="247"/>
      <c r="L48" s="247"/>
      <c r="M48" s="247"/>
      <c r="N48" s="247"/>
      <c r="O48" s="248"/>
      <c r="Q48" s="5"/>
      <c r="R48" s="5"/>
      <c r="S48" s="42"/>
      <c r="T48" s="42"/>
      <c r="U48" s="42"/>
      <c r="V48" s="42"/>
      <c r="W48" s="42"/>
      <c r="X48" s="42"/>
      <c r="Y48" s="42"/>
      <c r="Z48" s="42"/>
      <c r="AA48" s="326"/>
    </row>
    <row r="49" spans="2:27">
      <c r="B49" s="41"/>
      <c r="C49" s="17"/>
      <c r="D49" s="17"/>
      <c r="E49" s="17"/>
      <c r="F49" s="17"/>
      <c r="G49" s="17"/>
      <c r="H49" s="17"/>
      <c r="I49" s="254"/>
      <c r="J49" s="17"/>
      <c r="K49" s="17"/>
      <c r="L49" s="17"/>
      <c r="M49" s="17"/>
      <c r="N49" s="17"/>
      <c r="O49" s="248"/>
      <c r="Q49" s="5"/>
      <c r="R49" s="5"/>
      <c r="S49" s="42"/>
      <c r="T49" s="42"/>
      <c r="U49" s="42"/>
      <c r="V49" s="42"/>
      <c r="W49" s="42"/>
      <c r="X49" s="42"/>
      <c r="Y49" s="42"/>
      <c r="Z49" s="42"/>
      <c r="AA49" s="326"/>
    </row>
    <row r="50" spans="2:27">
      <c r="B50" s="5"/>
      <c r="C50" s="257"/>
      <c r="D50" s="257"/>
      <c r="E50" s="257"/>
      <c r="F50" s="5"/>
      <c r="G50" s="41"/>
      <c r="H50" s="249"/>
      <c r="I50" s="17"/>
      <c r="J50" s="249"/>
      <c r="K50" s="249"/>
      <c r="L50" s="249"/>
      <c r="M50" s="249"/>
      <c r="N50" s="249"/>
      <c r="O50" s="250"/>
      <c r="Q50" s="5"/>
      <c r="R50" s="5"/>
      <c r="S50" s="42"/>
      <c r="T50" s="42"/>
      <c r="U50" s="42"/>
      <c r="V50" s="42"/>
      <c r="W50" s="288"/>
      <c r="X50" s="288"/>
      <c r="Y50" s="42"/>
      <c r="Z50" s="42"/>
      <c r="AA50" s="326"/>
    </row>
    <row r="51" spans="2:27">
      <c r="B51" s="41"/>
      <c r="C51" s="249"/>
      <c r="D51" s="254"/>
      <c r="E51" s="254"/>
      <c r="F51" s="254"/>
      <c r="G51" s="254"/>
      <c r="H51" s="254"/>
      <c r="I51" s="259"/>
      <c r="J51" s="254"/>
      <c r="K51" s="254"/>
      <c r="L51" s="254"/>
      <c r="M51" s="254"/>
      <c r="N51" s="254"/>
      <c r="O51" s="251"/>
      <c r="Q51" s="5"/>
      <c r="R51" s="5"/>
      <c r="S51" s="42"/>
      <c r="T51" s="42"/>
      <c r="U51" s="42"/>
      <c r="V51" s="42"/>
      <c r="W51" s="288"/>
      <c r="X51" s="288"/>
      <c r="Y51" s="288"/>
      <c r="Z51" s="288"/>
      <c r="AA51" s="42"/>
    </row>
    <row r="52" spans="2:27">
      <c r="B52" s="5"/>
      <c r="C52" s="257"/>
      <c r="D52" s="17"/>
      <c r="E52" s="17"/>
      <c r="F52" s="17"/>
      <c r="G52" s="17"/>
      <c r="H52" s="17"/>
      <c r="I52" s="254"/>
      <c r="J52" s="17"/>
      <c r="K52" s="17"/>
      <c r="L52" s="17"/>
      <c r="M52" s="17"/>
      <c r="N52" s="17"/>
      <c r="O52" s="248"/>
      <c r="Q52" s="5"/>
      <c r="R52" s="5"/>
      <c r="S52" s="5"/>
      <c r="Y52" s="10"/>
      <c r="Z52" s="10"/>
    </row>
    <row r="53" spans="2:27">
      <c r="B53" s="5"/>
      <c r="C53" s="257"/>
      <c r="D53" s="257"/>
      <c r="E53" s="257"/>
      <c r="F53" s="5"/>
      <c r="G53" s="5"/>
      <c r="H53" s="259"/>
      <c r="I53" s="17"/>
      <c r="J53" s="259"/>
      <c r="K53" s="259"/>
      <c r="L53" s="259"/>
      <c r="M53" s="259"/>
      <c r="N53" s="259"/>
      <c r="O53" s="18"/>
      <c r="Q53" s="5"/>
      <c r="R53" s="5"/>
      <c r="S53" s="5"/>
    </row>
    <row r="54" spans="2:27">
      <c r="B54" s="41"/>
      <c r="C54" s="249"/>
      <c r="D54" s="254"/>
      <c r="E54" s="254"/>
      <c r="F54" s="254"/>
      <c r="G54" s="254"/>
      <c r="H54" s="254"/>
      <c r="I54" s="259"/>
      <c r="J54" s="254"/>
      <c r="K54" s="254"/>
      <c r="L54" s="254"/>
      <c r="M54" s="254"/>
      <c r="N54" s="254"/>
      <c r="O54" s="251"/>
      <c r="Q54" s="5"/>
      <c r="R54" s="5"/>
      <c r="S54" s="5"/>
    </row>
    <row r="55" spans="2:27">
      <c r="B55" s="5"/>
      <c r="C55" s="257"/>
      <c r="D55" s="17"/>
      <c r="E55" s="17"/>
      <c r="F55" s="17"/>
      <c r="G55" s="17"/>
      <c r="H55" s="17"/>
      <c r="I55" s="249"/>
      <c r="J55" s="17"/>
      <c r="K55" s="17"/>
      <c r="L55" s="17"/>
      <c r="M55" s="17"/>
      <c r="N55" s="17"/>
      <c r="O55" s="18"/>
      <c r="Q55" s="5"/>
      <c r="R55" s="5"/>
      <c r="S55" s="5"/>
    </row>
    <row r="56" spans="2:27">
      <c r="B56" s="5"/>
      <c r="C56" s="248"/>
      <c r="D56" s="248"/>
      <c r="E56" s="248"/>
      <c r="F56" s="5"/>
      <c r="G56" s="5"/>
      <c r="H56" s="259"/>
      <c r="I56" s="248"/>
      <c r="J56" s="259"/>
      <c r="K56" s="259"/>
      <c r="L56" s="259"/>
      <c r="M56" s="259"/>
      <c r="N56" s="259"/>
      <c r="O56" s="18"/>
      <c r="Q56" s="5"/>
      <c r="R56" s="5"/>
      <c r="S56" s="5"/>
    </row>
    <row r="57" spans="2:27">
      <c r="B57" s="41"/>
      <c r="C57" s="249"/>
      <c r="D57" s="249"/>
      <c r="E57" s="249"/>
      <c r="F57" s="249"/>
      <c r="G57" s="249"/>
      <c r="H57" s="249"/>
      <c r="I57" s="5"/>
      <c r="J57" s="249"/>
      <c r="K57" s="249"/>
      <c r="L57" s="249"/>
      <c r="M57" s="249"/>
      <c r="N57" s="249"/>
      <c r="O57" s="251"/>
      <c r="Q57" s="5"/>
      <c r="R57" s="5"/>
      <c r="S57" s="5"/>
    </row>
    <row r="58" spans="2:27">
      <c r="B58" s="5"/>
      <c r="C58" s="5"/>
      <c r="D58" s="248"/>
      <c r="E58" s="248"/>
      <c r="F58" s="248"/>
      <c r="G58" s="248"/>
      <c r="H58" s="248"/>
      <c r="I58" s="17"/>
      <c r="J58" s="248"/>
      <c r="K58" s="248"/>
      <c r="L58" s="248"/>
      <c r="M58" s="248"/>
      <c r="N58" s="248"/>
      <c r="O58" s="18"/>
      <c r="Q58" s="5"/>
      <c r="R58" s="5"/>
      <c r="S58" s="5"/>
    </row>
    <row r="59" spans="2:27">
      <c r="B59" s="5"/>
      <c r="C59" s="5"/>
      <c r="D59" s="5"/>
      <c r="E59" s="5"/>
      <c r="F59" s="5"/>
      <c r="G59" s="5"/>
      <c r="H59" s="5"/>
      <c r="I59" s="5"/>
      <c r="J59" s="5"/>
      <c r="K59" s="5"/>
      <c r="L59" s="5"/>
      <c r="M59" s="5"/>
      <c r="N59" s="5"/>
      <c r="O59" s="5"/>
      <c r="Q59" s="5"/>
      <c r="R59" s="5"/>
      <c r="S59" s="5"/>
    </row>
    <row r="60" spans="2:27">
      <c r="B60" s="41"/>
      <c r="C60" s="17"/>
      <c r="D60" s="17"/>
      <c r="E60" s="17"/>
      <c r="F60" s="17"/>
      <c r="G60" s="17"/>
      <c r="H60" s="17"/>
      <c r="I60" s="249"/>
      <c r="J60" s="17"/>
      <c r="K60" s="17"/>
      <c r="L60" s="17"/>
      <c r="M60" s="17"/>
      <c r="N60" s="17"/>
      <c r="O60" s="251"/>
      <c r="Q60" s="5"/>
      <c r="R60" s="5"/>
      <c r="S60" s="5"/>
    </row>
    <row r="61" spans="2:27">
      <c r="B61" s="5"/>
      <c r="C61" s="5"/>
      <c r="D61" s="5"/>
      <c r="E61" s="5"/>
      <c r="F61" s="5"/>
      <c r="G61" s="5"/>
      <c r="H61" s="5"/>
      <c r="I61" s="5"/>
      <c r="J61" s="5"/>
      <c r="K61" s="5"/>
      <c r="L61" s="5"/>
      <c r="M61" s="5"/>
      <c r="N61" s="5"/>
      <c r="O61" s="5"/>
      <c r="Q61" s="41"/>
      <c r="R61" s="5"/>
      <c r="S61" s="5"/>
    </row>
    <row r="62" spans="2:27">
      <c r="B62" s="41"/>
      <c r="C62" s="249"/>
      <c r="D62" s="249"/>
      <c r="E62" s="249"/>
      <c r="F62" s="249"/>
      <c r="G62" s="249"/>
      <c r="H62" s="249"/>
      <c r="I62" s="5"/>
      <c r="J62" s="249"/>
      <c r="K62" s="249"/>
      <c r="L62" s="249"/>
      <c r="M62" s="249"/>
      <c r="N62" s="249"/>
      <c r="O62" s="251"/>
      <c r="Q62" s="5"/>
      <c r="R62" s="5"/>
      <c r="S62" s="5"/>
    </row>
    <row r="63" spans="2:27">
      <c r="B63" s="5"/>
      <c r="C63" s="5"/>
      <c r="D63" s="5"/>
      <c r="E63" s="5"/>
      <c r="F63" s="5"/>
      <c r="G63" s="5"/>
      <c r="H63" s="5"/>
      <c r="I63" s="254"/>
      <c r="J63" s="5"/>
      <c r="K63" s="5"/>
      <c r="L63" s="5"/>
      <c r="M63" s="5"/>
      <c r="N63" s="5"/>
      <c r="O63" s="5"/>
      <c r="Q63" s="5"/>
      <c r="R63" s="5"/>
      <c r="S63" s="5"/>
    </row>
    <row r="64" spans="2:27">
      <c r="B64" s="5"/>
      <c r="C64" s="5"/>
      <c r="D64" s="5"/>
      <c r="E64" s="5"/>
      <c r="F64" s="5"/>
      <c r="G64" s="5"/>
      <c r="H64" s="5"/>
      <c r="I64" s="17"/>
      <c r="J64" s="5"/>
      <c r="K64" s="5"/>
      <c r="L64" s="5"/>
      <c r="M64" s="5"/>
      <c r="N64" s="5"/>
      <c r="O64" s="5"/>
      <c r="Q64" s="5"/>
      <c r="R64" s="5"/>
      <c r="S64" s="5"/>
    </row>
    <row r="65" spans="2:26">
      <c r="B65" s="41"/>
      <c r="C65" s="249"/>
      <c r="D65" s="254"/>
      <c r="E65" s="254"/>
      <c r="F65" s="254"/>
      <c r="G65" s="254"/>
      <c r="H65" s="254"/>
      <c r="I65" s="254"/>
      <c r="J65" s="254"/>
      <c r="K65" s="254"/>
      <c r="L65" s="254"/>
      <c r="M65" s="254"/>
      <c r="N65" s="254"/>
      <c r="O65" s="251"/>
      <c r="Q65" s="5"/>
      <c r="R65" s="5"/>
      <c r="S65" s="5"/>
    </row>
    <row r="66" spans="2:26">
      <c r="B66" s="5"/>
      <c r="C66" s="5"/>
      <c r="D66" s="17"/>
      <c r="E66" s="17"/>
      <c r="F66" s="17"/>
      <c r="G66" s="17"/>
      <c r="H66" s="17"/>
      <c r="I66" s="248"/>
      <c r="J66" s="17"/>
      <c r="K66" s="17"/>
      <c r="L66" s="17"/>
      <c r="M66" s="17"/>
      <c r="N66" s="17"/>
      <c r="O66" s="5"/>
      <c r="Q66" s="5"/>
      <c r="R66" s="5"/>
      <c r="S66" s="5"/>
    </row>
    <row r="67" spans="2:26">
      <c r="B67" s="41"/>
      <c r="C67" s="249"/>
      <c r="D67" s="254"/>
      <c r="E67" s="254"/>
      <c r="F67" s="254"/>
      <c r="G67" s="254"/>
      <c r="H67" s="254"/>
      <c r="I67" s="5"/>
      <c r="J67" s="254"/>
      <c r="K67" s="254"/>
      <c r="L67" s="254"/>
      <c r="M67" s="254"/>
      <c r="N67" s="254"/>
      <c r="O67" s="251"/>
      <c r="Q67" s="41"/>
      <c r="R67" s="5"/>
      <c r="S67" s="5"/>
    </row>
    <row r="68" spans="2:26">
      <c r="B68" s="5"/>
      <c r="C68" s="5"/>
      <c r="D68" s="248"/>
      <c r="E68" s="248"/>
      <c r="F68" s="248"/>
      <c r="G68" s="248"/>
      <c r="H68" s="248"/>
      <c r="I68" s="245"/>
      <c r="J68" s="248"/>
      <c r="K68" s="248"/>
      <c r="L68" s="248"/>
      <c r="M68" s="248"/>
      <c r="N68" s="248"/>
      <c r="O68" s="5"/>
      <c r="Q68" s="5"/>
      <c r="R68" s="5"/>
      <c r="S68" s="5"/>
    </row>
    <row r="69" spans="2:26">
      <c r="B69" s="41"/>
      <c r="C69" s="5"/>
      <c r="D69" s="5"/>
      <c r="E69" s="5"/>
      <c r="F69" s="5"/>
      <c r="G69" s="5"/>
      <c r="H69" s="5"/>
      <c r="I69" s="248"/>
      <c r="J69" s="5"/>
      <c r="K69" s="5"/>
      <c r="L69" s="5"/>
      <c r="M69" s="5"/>
      <c r="N69" s="5"/>
      <c r="O69" s="5"/>
      <c r="Q69" s="5"/>
      <c r="R69" s="5"/>
      <c r="S69" s="5"/>
    </row>
    <row r="70" spans="2:26">
      <c r="B70" s="41"/>
      <c r="C70" s="245"/>
      <c r="D70" s="245"/>
      <c r="E70" s="245"/>
      <c r="F70" s="245"/>
      <c r="G70" s="245"/>
      <c r="H70" s="245"/>
      <c r="I70" s="5"/>
      <c r="J70" s="245"/>
      <c r="K70" s="245"/>
      <c r="L70" s="245"/>
      <c r="M70" s="245"/>
      <c r="N70" s="245"/>
      <c r="O70" s="251"/>
      <c r="Q70" s="5"/>
      <c r="R70" s="5"/>
      <c r="S70" s="5"/>
      <c r="W70" s="76"/>
      <c r="X70" s="76"/>
    </row>
    <row r="71" spans="2:26">
      <c r="B71" s="5"/>
      <c r="C71" s="5"/>
      <c r="D71" s="248"/>
      <c r="E71" s="248"/>
      <c r="F71" s="248"/>
      <c r="G71" s="248"/>
      <c r="H71" s="248"/>
      <c r="I71" s="245"/>
      <c r="J71" s="248"/>
      <c r="K71" s="248"/>
      <c r="L71" s="248"/>
      <c r="M71" s="248"/>
      <c r="N71" s="248"/>
      <c r="O71" s="5"/>
      <c r="Q71" s="5"/>
      <c r="R71" s="5"/>
      <c r="S71" s="5"/>
      <c r="W71" s="76"/>
      <c r="X71" s="76"/>
      <c r="Y71" s="76"/>
      <c r="Z71" s="76"/>
    </row>
    <row r="72" spans="2:26">
      <c r="B72" s="41"/>
      <c r="C72" s="5"/>
      <c r="D72" s="5"/>
      <c r="E72" s="5"/>
      <c r="F72" s="5"/>
      <c r="G72" s="5"/>
      <c r="H72" s="5"/>
      <c r="I72" s="18"/>
      <c r="J72" s="5"/>
      <c r="K72" s="5"/>
      <c r="L72" s="5"/>
      <c r="M72" s="5"/>
      <c r="N72" s="5"/>
      <c r="O72" s="5"/>
      <c r="Q72" s="5"/>
      <c r="R72" s="5"/>
      <c r="S72" s="5"/>
      <c r="Y72" s="76"/>
      <c r="Z72" s="76"/>
    </row>
    <row r="73" spans="2:26">
      <c r="B73" s="41"/>
      <c r="C73" s="245"/>
      <c r="D73" s="245"/>
      <c r="E73" s="245"/>
      <c r="F73" s="245"/>
      <c r="G73" s="245"/>
      <c r="H73" s="245"/>
      <c r="I73" s="5"/>
      <c r="J73" s="245"/>
      <c r="K73" s="245"/>
      <c r="L73" s="245"/>
      <c r="M73" s="245"/>
      <c r="N73" s="245"/>
      <c r="O73" s="251"/>
      <c r="Q73" s="5"/>
      <c r="R73" s="5"/>
      <c r="S73" s="5"/>
    </row>
    <row r="74" spans="2:26">
      <c r="B74" s="5"/>
      <c r="C74" s="5"/>
      <c r="D74" s="18"/>
      <c r="E74" s="18"/>
      <c r="F74" s="18"/>
      <c r="G74" s="18"/>
      <c r="H74" s="18"/>
      <c r="I74" s="249"/>
      <c r="J74" s="18"/>
      <c r="K74" s="18"/>
      <c r="L74" s="18"/>
      <c r="M74" s="18"/>
      <c r="N74" s="18"/>
      <c r="O74" s="5"/>
      <c r="Q74" s="5"/>
      <c r="R74" s="5"/>
      <c r="S74" s="5"/>
    </row>
    <row r="75" spans="2:26">
      <c r="B75" s="41"/>
      <c r="C75" s="5"/>
      <c r="D75" s="5"/>
      <c r="E75" s="5"/>
      <c r="F75" s="5"/>
      <c r="G75" s="5"/>
      <c r="H75" s="5"/>
      <c r="I75" s="248"/>
      <c r="J75" s="5"/>
      <c r="K75" s="5"/>
      <c r="L75" s="5"/>
      <c r="M75" s="5"/>
      <c r="N75" s="5"/>
      <c r="O75" s="5"/>
      <c r="Q75" s="5"/>
      <c r="R75" s="5"/>
      <c r="S75" s="5"/>
    </row>
    <row r="76" spans="2:26">
      <c r="B76" s="41"/>
      <c r="C76" s="249"/>
      <c r="D76" s="249"/>
      <c r="E76" s="249"/>
      <c r="F76" s="249"/>
      <c r="G76" s="249"/>
      <c r="H76" s="249"/>
      <c r="I76" s="5"/>
      <c r="J76" s="249"/>
      <c r="K76" s="249"/>
      <c r="L76" s="249"/>
      <c r="M76" s="249"/>
      <c r="N76" s="249"/>
      <c r="O76" s="251"/>
      <c r="Q76" s="5"/>
      <c r="R76" s="5"/>
      <c r="S76" s="5"/>
    </row>
    <row r="77" spans="2:26">
      <c r="B77" s="5"/>
      <c r="C77" s="5"/>
      <c r="D77" s="248"/>
      <c r="E77" s="248"/>
      <c r="F77" s="248"/>
      <c r="G77" s="248"/>
      <c r="H77" s="248"/>
      <c r="I77" s="245"/>
      <c r="J77" s="248"/>
      <c r="K77" s="248"/>
      <c r="L77" s="248"/>
      <c r="M77" s="248"/>
      <c r="N77" s="248"/>
      <c r="O77" s="5"/>
      <c r="Q77" s="5"/>
      <c r="R77" s="5"/>
      <c r="S77" s="5"/>
    </row>
    <row r="78" spans="2:26">
      <c r="B78" s="41"/>
      <c r="C78" s="5"/>
      <c r="D78" s="5"/>
      <c r="E78" s="5"/>
      <c r="F78" s="5"/>
      <c r="G78" s="5"/>
      <c r="H78" s="5"/>
      <c r="I78" s="248"/>
      <c r="J78" s="5"/>
      <c r="K78" s="5"/>
      <c r="L78" s="5"/>
      <c r="M78" s="5"/>
      <c r="N78" s="5"/>
      <c r="O78" s="5"/>
      <c r="Q78" s="5"/>
      <c r="R78" s="5"/>
      <c r="S78" s="5"/>
    </row>
    <row r="79" spans="2:26">
      <c r="B79" s="41"/>
      <c r="C79" s="245"/>
      <c r="D79" s="245"/>
      <c r="E79" s="245"/>
      <c r="F79" s="245"/>
      <c r="G79" s="245"/>
      <c r="H79" s="245"/>
      <c r="I79" s="5"/>
      <c r="J79" s="245"/>
      <c r="K79" s="245"/>
      <c r="L79" s="245"/>
      <c r="M79" s="245"/>
      <c r="N79" s="245"/>
      <c r="O79" s="251"/>
      <c r="Q79" s="5"/>
      <c r="R79" s="5"/>
      <c r="S79" s="5"/>
    </row>
    <row r="80" spans="2:26">
      <c r="B80" s="5"/>
      <c r="C80" s="5"/>
      <c r="D80" s="248"/>
      <c r="E80" s="248"/>
      <c r="F80" s="248"/>
      <c r="G80" s="248"/>
      <c r="H80" s="248"/>
      <c r="I80" s="249"/>
      <c r="J80" s="248"/>
      <c r="K80" s="248"/>
      <c r="L80" s="248"/>
      <c r="M80" s="248"/>
      <c r="N80" s="248"/>
      <c r="O80" s="5"/>
      <c r="Q80" s="5"/>
      <c r="R80" s="5"/>
      <c r="S80" s="5"/>
    </row>
    <row r="81" spans="2:26">
      <c r="B81" s="41"/>
      <c r="C81" s="5"/>
      <c r="D81" s="5"/>
      <c r="E81" s="5"/>
      <c r="F81" s="5"/>
      <c r="G81" s="5"/>
      <c r="H81" s="5"/>
      <c r="I81" s="248"/>
      <c r="J81" s="5"/>
      <c r="K81" s="5"/>
      <c r="L81" s="5"/>
      <c r="M81" s="5"/>
      <c r="N81" s="5"/>
      <c r="O81" s="5"/>
      <c r="Q81" s="5"/>
      <c r="R81" s="5"/>
      <c r="S81" s="5"/>
    </row>
    <row r="82" spans="2:26">
      <c r="B82" s="41"/>
      <c r="C82" s="249"/>
      <c r="D82" s="249"/>
      <c r="E82" s="249"/>
      <c r="F82" s="249"/>
      <c r="G82" s="249"/>
      <c r="H82" s="249"/>
      <c r="I82" s="259"/>
      <c r="J82" s="249"/>
      <c r="K82" s="249"/>
      <c r="L82" s="249"/>
      <c r="M82" s="249"/>
      <c r="N82" s="249"/>
      <c r="O82" s="251"/>
      <c r="Q82" s="5"/>
      <c r="R82" s="5"/>
      <c r="S82" s="5"/>
    </row>
    <row r="83" spans="2:26">
      <c r="B83" s="5"/>
      <c r="C83" s="5"/>
      <c r="D83" s="248"/>
      <c r="E83" s="248"/>
      <c r="F83" s="248"/>
      <c r="G83" s="248"/>
      <c r="H83" s="248"/>
      <c r="I83" s="5"/>
      <c r="J83" s="248"/>
      <c r="K83" s="248"/>
      <c r="L83" s="248"/>
      <c r="M83" s="248"/>
      <c r="N83" s="248"/>
      <c r="O83" s="5"/>
      <c r="Q83" s="5"/>
      <c r="R83" s="5"/>
      <c r="S83" s="5"/>
    </row>
    <row r="84" spans="2:26">
      <c r="B84" s="5"/>
      <c r="C84" s="259"/>
      <c r="D84" s="259"/>
      <c r="E84" s="259"/>
      <c r="F84" s="259"/>
      <c r="G84" s="259"/>
      <c r="H84" s="259"/>
      <c r="I84" s="245"/>
      <c r="J84" s="259"/>
      <c r="K84" s="259"/>
      <c r="L84" s="259"/>
      <c r="M84" s="259"/>
      <c r="N84" s="259"/>
      <c r="O84" s="251"/>
      <c r="Q84" s="5"/>
      <c r="R84" s="5"/>
      <c r="S84" s="5"/>
    </row>
    <row r="85" spans="2:26">
      <c r="B85" s="41"/>
      <c r="C85" s="5"/>
      <c r="D85" s="5"/>
      <c r="E85" s="5"/>
      <c r="F85" s="5"/>
      <c r="G85" s="5"/>
      <c r="H85" s="5"/>
      <c r="I85" s="248"/>
      <c r="J85" s="5"/>
      <c r="K85" s="5"/>
      <c r="L85" s="5"/>
      <c r="M85" s="5"/>
      <c r="N85" s="5"/>
      <c r="O85" s="5"/>
      <c r="Q85" s="5"/>
      <c r="R85" s="5"/>
      <c r="S85" s="5"/>
    </row>
    <row r="86" spans="2:26">
      <c r="B86" s="41"/>
      <c r="C86" s="245"/>
      <c r="D86" s="245"/>
      <c r="E86" s="245"/>
      <c r="F86" s="245"/>
      <c r="G86" s="245"/>
      <c r="H86" s="245"/>
      <c r="I86" s="5"/>
      <c r="J86" s="245"/>
      <c r="K86" s="245"/>
      <c r="L86" s="245"/>
      <c r="M86" s="245"/>
      <c r="N86" s="245"/>
      <c r="O86" s="251"/>
      <c r="Q86" s="5"/>
      <c r="R86" s="5"/>
      <c r="S86" s="5"/>
    </row>
    <row r="87" spans="2:26">
      <c r="B87" s="5"/>
      <c r="C87" s="5"/>
      <c r="D87" s="248"/>
      <c r="E87" s="248"/>
      <c r="F87" s="248"/>
      <c r="G87" s="248"/>
      <c r="H87" s="248"/>
      <c r="I87" s="5"/>
      <c r="J87" s="248"/>
      <c r="K87" s="248"/>
      <c r="L87" s="248"/>
      <c r="M87" s="248"/>
      <c r="N87" s="248"/>
      <c r="O87" s="5"/>
      <c r="Q87" s="5"/>
      <c r="R87" s="5"/>
      <c r="S87" s="5"/>
    </row>
    <row r="88" spans="2:26">
      <c r="B88" s="41"/>
      <c r="C88" s="5"/>
      <c r="D88" s="5"/>
      <c r="E88" s="5"/>
      <c r="F88" s="5"/>
      <c r="G88" s="5"/>
      <c r="H88" s="5"/>
      <c r="I88" s="5"/>
      <c r="J88" s="5"/>
      <c r="K88" s="5"/>
      <c r="L88" s="5"/>
      <c r="M88" s="5"/>
      <c r="N88" s="5"/>
      <c r="O88" s="5"/>
      <c r="Q88" s="5"/>
      <c r="R88" s="5"/>
      <c r="S88" s="5"/>
    </row>
    <row r="89" spans="2:26">
      <c r="B89" s="41"/>
      <c r="C89" s="5"/>
      <c r="D89" s="5"/>
      <c r="E89" s="5"/>
      <c r="F89" s="5"/>
      <c r="G89" s="5"/>
      <c r="H89" s="5"/>
      <c r="I89" s="5"/>
      <c r="J89" s="5"/>
      <c r="K89" s="5"/>
      <c r="L89" s="5"/>
      <c r="M89" s="5"/>
      <c r="N89" s="5"/>
      <c r="O89" s="5"/>
      <c r="Q89" s="5"/>
      <c r="R89" s="5"/>
      <c r="S89" s="5"/>
    </row>
    <row r="90" spans="2:26">
      <c r="B90" s="41"/>
      <c r="C90" s="5"/>
      <c r="D90" s="5"/>
      <c r="E90" s="5"/>
      <c r="F90" s="5"/>
      <c r="G90" s="5"/>
      <c r="H90" s="5"/>
      <c r="I90" s="49"/>
      <c r="J90" s="5"/>
      <c r="K90" s="5"/>
      <c r="L90" s="5"/>
      <c r="M90" s="5"/>
      <c r="N90" s="5"/>
      <c r="O90" s="5"/>
      <c r="Q90" s="41"/>
      <c r="R90" s="5"/>
      <c r="S90" s="5"/>
    </row>
    <row r="91" spans="2:26">
      <c r="B91" s="5"/>
      <c r="C91" s="5"/>
      <c r="D91" s="5"/>
      <c r="E91" s="5"/>
      <c r="F91" s="5"/>
      <c r="G91" s="5"/>
      <c r="H91" s="5"/>
      <c r="I91" s="5"/>
      <c r="J91" s="5"/>
      <c r="K91" s="5"/>
      <c r="L91" s="5"/>
      <c r="M91" s="5"/>
      <c r="N91" s="5"/>
      <c r="O91" s="5"/>
      <c r="Q91" s="5"/>
      <c r="R91" s="5"/>
      <c r="S91" s="5"/>
    </row>
    <row r="92" spans="2:26">
      <c r="B92" s="41"/>
      <c r="C92" s="49"/>
      <c r="D92" s="49"/>
      <c r="E92" s="49"/>
      <c r="F92" s="49"/>
      <c r="G92" s="49"/>
      <c r="H92" s="49"/>
      <c r="I92" s="247"/>
      <c r="J92" s="49"/>
      <c r="K92" s="49"/>
      <c r="L92" s="49"/>
      <c r="M92" s="49"/>
      <c r="N92" s="49"/>
      <c r="O92" s="49"/>
      <c r="Q92" s="5"/>
      <c r="R92" s="5"/>
      <c r="S92" s="5"/>
      <c r="W92" s="21"/>
      <c r="X92" s="21"/>
    </row>
    <row r="93" spans="2:26">
      <c r="B93" s="5"/>
      <c r="C93" s="5"/>
      <c r="D93" s="5"/>
      <c r="E93" s="5"/>
      <c r="F93" s="5"/>
      <c r="G93" s="5"/>
      <c r="H93" s="5"/>
      <c r="I93" s="247"/>
      <c r="J93" s="5"/>
      <c r="K93" s="5"/>
      <c r="L93" s="5"/>
      <c r="M93" s="5"/>
      <c r="N93" s="5"/>
      <c r="O93" s="5"/>
      <c r="Q93" s="5"/>
      <c r="R93" s="5"/>
      <c r="S93" s="5"/>
      <c r="W93" s="21"/>
      <c r="X93" s="21"/>
      <c r="Y93" s="21"/>
      <c r="Z93" s="21"/>
    </row>
    <row r="94" spans="2:26">
      <c r="B94" s="5"/>
      <c r="C94" s="259"/>
      <c r="D94" s="247"/>
      <c r="E94" s="247"/>
      <c r="F94" s="247"/>
      <c r="G94" s="247"/>
      <c r="H94" s="247"/>
      <c r="I94" s="247"/>
      <c r="J94" s="247"/>
      <c r="K94" s="247"/>
      <c r="L94" s="247"/>
      <c r="M94" s="247"/>
      <c r="N94" s="247"/>
      <c r="O94" s="248"/>
      <c r="Q94" s="5"/>
      <c r="R94" s="5"/>
      <c r="S94" s="5"/>
      <c r="Y94" s="21"/>
      <c r="Z94" s="21"/>
    </row>
    <row r="95" spans="2:26">
      <c r="B95" s="5"/>
      <c r="C95" s="259"/>
      <c r="D95" s="247"/>
      <c r="E95" s="247"/>
      <c r="F95" s="247"/>
      <c r="G95" s="247"/>
      <c r="H95" s="247"/>
      <c r="I95" s="248"/>
      <c r="J95" s="247"/>
      <c r="K95" s="247"/>
      <c r="L95" s="247"/>
      <c r="M95" s="247"/>
      <c r="N95" s="247"/>
      <c r="O95" s="248"/>
      <c r="Q95" s="5"/>
      <c r="R95" s="5"/>
      <c r="S95" s="5"/>
    </row>
    <row r="96" spans="2:26">
      <c r="B96" s="5"/>
      <c r="C96" s="259"/>
      <c r="D96" s="247"/>
      <c r="E96" s="247"/>
      <c r="F96" s="247"/>
      <c r="G96" s="247"/>
      <c r="H96" s="247"/>
      <c r="I96" s="247"/>
      <c r="J96" s="247"/>
      <c r="K96" s="247"/>
      <c r="L96" s="247"/>
      <c r="M96" s="247"/>
      <c r="N96" s="247"/>
      <c r="O96" s="248"/>
      <c r="Q96" s="5"/>
      <c r="R96" s="5"/>
      <c r="S96" s="5"/>
    </row>
    <row r="97" spans="2:19">
      <c r="B97" s="5"/>
      <c r="C97" s="259"/>
      <c r="D97" s="248"/>
      <c r="E97" s="248"/>
      <c r="F97" s="248"/>
      <c r="G97" s="248"/>
      <c r="H97" s="248"/>
      <c r="I97" s="249"/>
      <c r="J97" s="248"/>
      <c r="K97" s="248"/>
      <c r="L97" s="248"/>
      <c r="M97" s="248"/>
      <c r="N97" s="248"/>
      <c r="O97" s="248"/>
      <c r="Q97" s="5"/>
      <c r="R97" s="5"/>
      <c r="S97" s="5"/>
    </row>
    <row r="98" spans="2:19">
      <c r="B98" s="5"/>
      <c r="C98" s="259"/>
      <c r="D98" s="247"/>
      <c r="E98" s="247"/>
      <c r="F98" s="247"/>
      <c r="G98" s="247"/>
      <c r="H98" s="247"/>
      <c r="I98" s="248"/>
      <c r="J98" s="247"/>
      <c r="K98" s="247"/>
      <c r="L98" s="247"/>
      <c r="M98" s="247"/>
      <c r="N98" s="247"/>
      <c r="O98" s="248"/>
      <c r="Q98" s="5"/>
      <c r="R98" s="5"/>
      <c r="S98" s="5"/>
    </row>
    <row r="99" spans="2:19">
      <c r="B99" s="41"/>
      <c r="C99" s="249"/>
      <c r="D99" s="249"/>
      <c r="E99" s="249"/>
      <c r="F99" s="249"/>
      <c r="G99" s="249"/>
      <c r="H99" s="249"/>
      <c r="I99" s="5"/>
      <c r="J99" s="249"/>
      <c r="K99" s="249"/>
      <c r="L99" s="249"/>
      <c r="M99" s="249"/>
      <c r="N99" s="249"/>
      <c r="O99" s="248"/>
      <c r="Q99" s="5"/>
      <c r="R99" s="5"/>
      <c r="S99" s="5"/>
    </row>
    <row r="100" spans="2:19">
      <c r="B100" s="41"/>
      <c r="C100" s="257"/>
      <c r="D100" s="248"/>
      <c r="E100" s="248"/>
      <c r="F100" s="248"/>
      <c r="G100" s="248"/>
      <c r="H100" s="248"/>
      <c r="I100" s="259"/>
      <c r="J100" s="248"/>
      <c r="K100" s="248"/>
      <c r="L100" s="248"/>
      <c r="M100" s="248"/>
      <c r="N100" s="248"/>
      <c r="O100" s="248"/>
      <c r="Q100" s="5"/>
      <c r="R100" s="5"/>
      <c r="S100" s="5"/>
    </row>
    <row r="101" spans="2:19" s="5" customFormat="1">
      <c r="B101" s="41"/>
      <c r="I101" s="259"/>
      <c r="O101" s="248"/>
      <c r="P101" s="39"/>
    </row>
    <row r="102" spans="2:19">
      <c r="B102" s="5"/>
      <c r="C102" s="259"/>
      <c r="D102" s="259"/>
      <c r="E102" s="259"/>
      <c r="F102" s="259"/>
      <c r="G102" s="259"/>
      <c r="H102" s="259"/>
      <c r="I102" s="247"/>
      <c r="J102" s="259"/>
      <c r="K102" s="259"/>
      <c r="L102" s="259"/>
      <c r="M102" s="259"/>
      <c r="N102" s="259"/>
      <c r="O102" s="5"/>
      <c r="Q102" s="5"/>
      <c r="R102" s="5"/>
      <c r="S102" s="5"/>
    </row>
    <row r="103" spans="2:19">
      <c r="B103" s="5"/>
      <c r="C103" s="259"/>
      <c r="D103" s="259"/>
      <c r="E103" s="259"/>
      <c r="F103" s="259"/>
      <c r="G103" s="259"/>
      <c r="H103" s="259"/>
      <c r="I103" s="5"/>
      <c r="J103" s="259"/>
      <c r="K103" s="259"/>
      <c r="L103" s="259"/>
      <c r="M103" s="259"/>
      <c r="N103" s="259"/>
      <c r="O103" s="5"/>
      <c r="P103" s="5"/>
      <c r="Q103" s="5"/>
      <c r="R103" s="5"/>
      <c r="S103" s="5"/>
    </row>
    <row r="104" spans="2:19">
      <c r="B104" s="5"/>
      <c r="C104" s="247"/>
      <c r="D104" s="247"/>
      <c r="E104" s="247"/>
      <c r="F104" s="247"/>
      <c r="G104" s="247"/>
      <c r="H104" s="247"/>
      <c r="I104" s="247"/>
      <c r="J104" s="247"/>
      <c r="K104" s="247"/>
      <c r="L104" s="247"/>
      <c r="M104" s="247"/>
      <c r="N104" s="247"/>
      <c r="O104" s="5"/>
      <c r="Q104" s="5"/>
      <c r="R104" s="5"/>
      <c r="S104" s="5"/>
    </row>
    <row r="105" spans="2:19" s="5" customFormat="1">
      <c r="P105" s="39"/>
    </row>
    <row r="106" spans="2:19" s="5" customFormat="1">
      <c r="C106" s="259"/>
      <c r="D106" s="247"/>
      <c r="E106" s="247"/>
      <c r="F106" s="247"/>
      <c r="G106" s="247"/>
      <c r="H106" s="247"/>
      <c r="I106" s="259"/>
      <c r="J106" s="247"/>
      <c r="K106" s="247"/>
      <c r="L106" s="247"/>
      <c r="M106" s="247"/>
      <c r="N106" s="247"/>
      <c r="P106" s="39"/>
    </row>
    <row r="107" spans="2:19">
      <c r="B107" s="5"/>
      <c r="C107" s="259"/>
      <c r="D107" s="5"/>
      <c r="E107" s="5"/>
      <c r="F107" s="5"/>
      <c r="G107" s="5"/>
      <c r="H107" s="5"/>
      <c r="I107" s="247"/>
      <c r="J107" s="5"/>
      <c r="K107" s="5"/>
      <c r="L107" s="5"/>
      <c r="M107" s="5"/>
      <c r="N107" s="5"/>
      <c r="O107" s="5"/>
      <c r="P107" s="5"/>
      <c r="Q107" s="5"/>
      <c r="R107" s="5"/>
      <c r="S107" s="5"/>
    </row>
    <row r="108" spans="2:19">
      <c r="B108" s="5"/>
      <c r="C108" s="259"/>
      <c r="D108" s="259"/>
      <c r="E108" s="259"/>
      <c r="F108" s="259"/>
      <c r="G108" s="259"/>
      <c r="H108" s="259"/>
      <c r="I108" s="249"/>
      <c r="J108" s="259"/>
      <c r="K108" s="259"/>
      <c r="L108" s="259"/>
      <c r="M108" s="259"/>
      <c r="N108" s="259"/>
      <c r="O108" s="5"/>
      <c r="P108" s="5"/>
      <c r="Q108" s="5"/>
      <c r="R108" s="5"/>
      <c r="S108" s="5"/>
    </row>
    <row r="109" spans="2:19">
      <c r="B109" s="5"/>
      <c r="C109" s="247"/>
      <c r="D109" s="247"/>
      <c r="E109" s="247"/>
      <c r="F109" s="247"/>
      <c r="G109" s="247"/>
      <c r="H109" s="247"/>
      <c r="I109" s="249"/>
      <c r="J109" s="247"/>
      <c r="K109" s="247"/>
      <c r="L109" s="247"/>
      <c r="M109" s="247"/>
      <c r="N109" s="247"/>
      <c r="O109" s="5"/>
      <c r="Q109" s="5"/>
      <c r="R109" s="5"/>
      <c r="S109" s="5"/>
    </row>
    <row r="110" spans="2:19">
      <c r="B110" s="41"/>
      <c r="C110" s="249"/>
      <c r="D110" s="249"/>
      <c r="E110" s="249"/>
      <c r="F110" s="249"/>
      <c r="G110" s="249"/>
      <c r="H110" s="249"/>
      <c r="I110" s="247"/>
      <c r="J110" s="249"/>
      <c r="K110" s="249"/>
      <c r="L110" s="249"/>
      <c r="M110" s="249"/>
      <c r="N110" s="249"/>
      <c r="O110" s="5"/>
      <c r="Q110" s="5"/>
      <c r="R110" s="5"/>
      <c r="S110" s="5"/>
    </row>
    <row r="111" spans="2:19">
      <c r="B111" s="5"/>
      <c r="C111" s="249"/>
      <c r="D111" s="249"/>
      <c r="E111" s="249"/>
      <c r="F111" s="249"/>
      <c r="G111" s="249"/>
      <c r="H111" s="249"/>
      <c r="I111" s="5"/>
      <c r="J111" s="249"/>
      <c r="K111" s="249"/>
      <c r="L111" s="249"/>
      <c r="M111" s="249"/>
      <c r="N111" s="249"/>
      <c r="O111" s="5"/>
      <c r="Q111" s="5"/>
      <c r="R111" s="5"/>
      <c r="S111" s="5"/>
    </row>
    <row r="112" spans="2:19">
      <c r="B112" s="5"/>
      <c r="C112" s="247"/>
      <c r="D112" s="247"/>
      <c r="E112" s="247"/>
      <c r="F112" s="247"/>
      <c r="G112" s="247"/>
      <c r="H112" s="247"/>
      <c r="I112" s="5"/>
      <c r="J112" s="247"/>
      <c r="K112" s="247"/>
      <c r="L112" s="247"/>
      <c r="M112" s="247"/>
      <c r="N112" s="247"/>
      <c r="O112" s="5"/>
      <c r="Q112" s="5"/>
      <c r="R112" s="5"/>
      <c r="S112" s="5"/>
    </row>
    <row r="113" spans="2:19">
      <c r="B113" s="5"/>
      <c r="C113" s="5"/>
      <c r="D113" s="5"/>
      <c r="E113" s="5"/>
      <c r="F113" s="5"/>
      <c r="G113" s="5"/>
      <c r="H113" s="5"/>
      <c r="I113" s="5"/>
      <c r="J113" s="5"/>
      <c r="K113" s="5"/>
      <c r="L113" s="5"/>
      <c r="M113" s="5"/>
      <c r="N113" s="5"/>
      <c r="O113" s="5"/>
      <c r="Q113" s="5"/>
      <c r="R113" s="5"/>
      <c r="S113" s="5"/>
    </row>
    <row r="114" spans="2:19">
      <c r="B114" s="5"/>
      <c r="C114" s="5"/>
      <c r="D114" s="5"/>
      <c r="E114" s="5"/>
      <c r="F114" s="5"/>
      <c r="G114" s="5"/>
      <c r="H114" s="5"/>
      <c r="I114" s="5"/>
      <c r="J114" s="5"/>
      <c r="K114" s="5"/>
      <c r="L114" s="5"/>
      <c r="M114" s="5"/>
      <c r="N114" s="5"/>
      <c r="O114" s="5"/>
      <c r="Q114" s="5"/>
      <c r="R114" s="5"/>
      <c r="S114" s="5"/>
    </row>
    <row r="115" spans="2:19">
      <c r="B115" s="5"/>
      <c r="C115" s="5"/>
      <c r="D115" s="5"/>
      <c r="E115" s="5"/>
      <c r="F115" s="5"/>
      <c r="G115" s="5"/>
      <c r="H115" s="5"/>
      <c r="I115" s="49"/>
      <c r="J115" s="5"/>
      <c r="K115" s="5"/>
      <c r="L115" s="5"/>
      <c r="M115" s="5"/>
      <c r="N115" s="5"/>
      <c r="O115" s="5"/>
      <c r="Q115" s="41"/>
      <c r="R115" s="5"/>
      <c r="S115" s="5"/>
    </row>
    <row r="116" spans="2:19">
      <c r="B116" s="5"/>
      <c r="C116" s="5"/>
      <c r="D116" s="5"/>
      <c r="E116" s="5"/>
      <c r="F116" s="5"/>
      <c r="G116" s="5"/>
      <c r="H116" s="5"/>
      <c r="I116" s="5"/>
      <c r="J116" s="5"/>
      <c r="K116" s="5"/>
      <c r="L116" s="5"/>
      <c r="M116" s="5"/>
      <c r="N116" s="5"/>
      <c r="O116" s="5"/>
      <c r="Q116" s="5"/>
      <c r="R116" s="5"/>
      <c r="S116" s="5"/>
    </row>
    <row r="117" spans="2:19">
      <c r="B117" s="41"/>
      <c r="C117" s="49"/>
      <c r="D117" s="49"/>
      <c r="E117" s="49"/>
      <c r="F117" s="49"/>
      <c r="G117" s="49"/>
      <c r="H117" s="49"/>
      <c r="I117" s="254"/>
      <c r="J117" s="49"/>
      <c r="K117" s="49"/>
      <c r="L117" s="49"/>
      <c r="M117" s="49"/>
      <c r="N117" s="49"/>
      <c r="O117" s="49"/>
      <c r="Q117" s="5"/>
      <c r="R117" s="5"/>
      <c r="S117" s="5"/>
    </row>
    <row r="118" spans="2:19">
      <c r="B118" s="5"/>
      <c r="C118" s="5"/>
      <c r="D118" s="5"/>
      <c r="E118" s="5"/>
      <c r="F118" s="5"/>
      <c r="G118" s="5"/>
      <c r="H118" s="5"/>
      <c r="I118" s="249"/>
      <c r="J118" s="5"/>
      <c r="K118" s="5"/>
      <c r="L118" s="5"/>
      <c r="M118" s="5"/>
      <c r="N118" s="5"/>
      <c r="O118" s="5"/>
      <c r="Q118" s="5"/>
      <c r="R118" s="5"/>
      <c r="S118" s="5"/>
    </row>
    <row r="119" spans="2:19">
      <c r="B119" s="41"/>
      <c r="C119" s="254"/>
      <c r="D119" s="254"/>
      <c r="E119" s="254"/>
      <c r="F119" s="254"/>
      <c r="G119" s="254"/>
      <c r="H119" s="254"/>
      <c r="I119" s="254"/>
      <c r="J119" s="254"/>
      <c r="K119" s="254"/>
      <c r="L119" s="254"/>
      <c r="M119" s="254"/>
      <c r="N119" s="254"/>
      <c r="O119" s="248"/>
      <c r="Q119" s="5"/>
      <c r="R119" s="5"/>
      <c r="S119" s="5"/>
    </row>
    <row r="120" spans="2:19">
      <c r="B120" s="41"/>
      <c r="C120" s="254"/>
      <c r="D120" s="249"/>
      <c r="E120" s="249"/>
      <c r="F120" s="249"/>
      <c r="G120" s="249"/>
      <c r="H120" s="249"/>
      <c r="I120" s="254"/>
      <c r="J120" s="249"/>
      <c r="K120" s="249"/>
      <c r="L120" s="249"/>
      <c r="M120" s="249"/>
      <c r="N120" s="249"/>
      <c r="O120" s="248"/>
      <c r="Q120" s="5"/>
      <c r="R120" s="5"/>
      <c r="S120" s="5"/>
    </row>
    <row r="121" spans="2:19">
      <c r="B121" s="41"/>
      <c r="C121" s="254"/>
      <c r="D121" s="254"/>
      <c r="E121" s="254"/>
      <c r="F121" s="254"/>
      <c r="G121" s="254"/>
      <c r="H121" s="254"/>
      <c r="I121" s="254"/>
      <c r="J121" s="254"/>
      <c r="K121" s="254"/>
      <c r="L121" s="254"/>
      <c r="M121" s="254"/>
      <c r="N121" s="254"/>
      <c r="O121" s="248"/>
      <c r="Q121" s="5"/>
      <c r="R121" s="5"/>
      <c r="S121" s="5"/>
    </row>
    <row r="122" spans="2:19">
      <c r="B122" s="41"/>
      <c r="C122" s="254"/>
      <c r="D122" s="254"/>
      <c r="E122" s="254"/>
      <c r="F122" s="254"/>
      <c r="G122" s="254"/>
      <c r="H122" s="254"/>
      <c r="I122" s="254"/>
      <c r="J122" s="254"/>
      <c r="K122" s="254"/>
      <c r="L122" s="254"/>
      <c r="M122" s="254"/>
      <c r="N122" s="254"/>
      <c r="O122" s="248"/>
      <c r="Q122" s="5"/>
      <c r="R122" s="5"/>
      <c r="S122" s="5"/>
    </row>
    <row r="123" spans="2:19">
      <c r="B123" s="41"/>
      <c r="C123" s="254"/>
      <c r="D123" s="254"/>
      <c r="E123" s="254"/>
      <c r="F123" s="254"/>
      <c r="G123" s="254"/>
      <c r="H123" s="254"/>
      <c r="I123" s="254"/>
      <c r="J123" s="254"/>
      <c r="K123" s="254"/>
      <c r="L123" s="254"/>
      <c r="M123" s="254"/>
      <c r="N123" s="254"/>
      <c r="O123" s="248"/>
      <c r="Q123" s="5"/>
      <c r="R123" s="5"/>
      <c r="S123" s="5"/>
    </row>
    <row r="124" spans="2:19">
      <c r="B124" s="41"/>
      <c r="C124" s="254"/>
      <c r="D124" s="254"/>
      <c r="E124" s="254"/>
      <c r="F124" s="254"/>
      <c r="G124" s="254"/>
      <c r="H124" s="254"/>
      <c r="I124" s="254"/>
      <c r="J124" s="254"/>
      <c r="K124" s="254"/>
      <c r="L124" s="254"/>
      <c r="M124" s="254"/>
      <c r="N124" s="254"/>
      <c r="O124" s="248"/>
      <c r="Q124" s="5"/>
      <c r="R124" s="5"/>
      <c r="S124" s="5"/>
    </row>
    <row r="125" spans="2:19">
      <c r="B125" s="41"/>
      <c r="C125" s="254"/>
      <c r="D125" s="254"/>
      <c r="E125" s="254"/>
      <c r="F125" s="254"/>
      <c r="G125" s="254"/>
      <c r="H125" s="254"/>
      <c r="I125" s="254"/>
      <c r="J125" s="254"/>
      <c r="K125" s="254"/>
      <c r="L125" s="254"/>
      <c r="M125" s="254"/>
      <c r="N125" s="254"/>
      <c r="O125" s="5"/>
      <c r="Q125" s="5"/>
      <c r="R125" s="5"/>
      <c r="S125" s="5"/>
    </row>
    <row r="126" spans="2:19">
      <c r="B126" s="41"/>
      <c r="C126" s="254"/>
      <c r="D126" s="254"/>
      <c r="E126" s="254"/>
      <c r="F126" s="254"/>
      <c r="G126" s="254"/>
      <c r="H126" s="254"/>
      <c r="I126" s="254"/>
      <c r="J126" s="254"/>
      <c r="K126" s="254"/>
      <c r="L126" s="254"/>
      <c r="M126" s="254"/>
      <c r="N126" s="254"/>
      <c r="O126" s="5"/>
      <c r="Q126" s="5"/>
      <c r="R126" s="5"/>
      <c r="S126" s="5"/>
    </row>
    <row r="127" spans="2:19">
      <c r="B127" s="41"/>
      <c r="C127" s="254"/>
      <c r="D127" s="254"/>
      <c r="E127" s="254"/>
      <c r="F127" s="254"/>
      <c r="G127" s="254"/>
      <c r="H127" s="254"/>
      <c r="I127" s="18"/>
      <c r="J127" s="254"/>
      <c r="K127" s="254"/>
      <c r="L127" s="254"/>
      <c r="M127" s="254"/>
      <c r="N127" s="254"/>
      <c r="O127" s="5"/>
      <c r="Q127" s="5"/>
      <c r="R127" s="5"/>
      <c r="S127" s="5"/>
    </row>
    <row r="128" spans="2:19">
      <c r="B128" s="41"/>
      <c r="C128" s="254"/>
      <c r="D128" s="254"/>
      <c r="E128" s="254"/>
      <c r="F128" s="254"/>
      <c r="G128" s="254"/>
      <c r="H128" s="254"/>
      <c r="I128" s="5"/>
      <c r="J128" s="254"/>
      <c r="K128" s="254"/>
      <c r="L128" s="254"/>
      <c r="M128" s="254"/>
      <c r="N128" s="254"/>
      <c r="O128" s="5"/>
      <c r="Q128" s="5"/>
      <c r="R128" s="5"/>
      <c r="S128" s="5"/>
    </row>
    <row r="129" spans="2:27">
      <c r="B129" s="5"/>
      <c r="C129" s="5"/>
      <c r="D129" s="18"/>
      <c r="E129" s="18"/>
      <c r="F129" s="18"/>
      <c r="G129" s="18"/>
      <c r="H129" s="18"/>
      <c r="I129" s="254"/>
      <c r="J129" s="18"/>
      <c r="K129" s="18"/>
      <c r="L129" s="18"/>
      <c r="M129" s="18"/>
      <c r="N129" s="18"/>
      <c r="O129" s="5"/>
      <c r="Q129" s="5"/>
      <c r="R129" s="5"/>
      <c r="S129" s="5"/>
    </row>
    <row r="130" spans="2:27">
      <c r="B130" s="5"/>
      <c r="C130" s="5"/>
      <c r="D130" s="5"/>
      <c r="E130" s="5"/>
      <c r="F130" s="5"/>
      <c r="G130" s="5"/>
      <c r="H130" s="5"/>
      <c r="I130" s="18"/>
      <c r="J130" s="5"/>
      <c r="K130" s="5"/>
      <c r="L130" s="5"/>
      <c r="M130" s="5"/>
      <c r="N130" s="5"/>
      <c r="O130" s="5"/>
      <c r="Q130" s="5"/>
      <c r="R130" s="5"/>
      <c r="S130" s="5"/>
    </row>
    <row r="131" spans="2:27">
      <c r="B131" s="41"/>
      <c r="C131" s="254"/>
      <c r="D131" s="254"/>
      <c r="E131" s="254"/>
      <c r="F131" s="254"/>
      <c r="G131" s="254"/>
      <c r="H131" s="254"/>
      <c r="I131" s="5"/>
      <c r="J131" s="254"/>
      <c r="K131" s="254"/>
      <c r="L131" s="254"/>
      <c r="M131" s="254"/>
      <c r="N131" s="254"/>
      <c r="O131" s="5"/>
      <c r="Q131" s="5"/>
      <c r="R131" s="5"/>
      <c r="S131" s="5"/>
    </row>
    <row r="132" spans="2:27">
      <c r="B132" s="5"/>
      <c r="C132" s="259"/>
      <c r="D132" s="18"/>
      <c r="E132" s="18"/>
      <c r="F132" s="18"/>
      <c r="G132" s="18"/>
      <c r="H132" s="18"/>
      <c r="I132" s="5"/>
      <c r="J132" s="18"/>
      <c r="K132" s="18"/>
      <c r="L132" s="18"/>
      <c r="M132" s="18"/>
      <c r="N132" s="18"/>
      <c r="O132" s="5"/>
      <c r="Q132" s="5"/>
      <c r="R132" s="5"/>
      <c r="S132" s="5"/>
    </row>
    <row r="133" spans="2:27">
      <c r="B133" s="5"/>
      <c r="C133" s="5"/>
      <c r="D133" s="5"/>
      <c r="E133" s="5"/>
      <c r="F133" s="5"/>
      <c r="G133" s="5"/>
      <c r="H133" s="5"/>
      <c r="I133" s="17"/>
      <c r="J133" s="5"/>
      <c r="K133" s="5"/>
      <c r="L133" s="5"/>
      <c r="M133" s="5"/>
      <c r="N133" s="5"/>
      <c r="O133" s="5"/>
      <c r="Q133" s="5"/>
      <c r="R133" s="5"/>
      <c r="S133" s="5"/>
    </row>
    <row r="134" spans="2:27">
      <c r="B134" s="41"/>
      <c r="C134" s="5"/>
      <c r="D134" s="5"/>
      <c r="E134" s="5"/>
      <c r="F134" s="5"/>
      <c r="G134" s="5"/>
      <c r="H134" s="5"/>
      <c r="I134" s="17"/>
      <c r="J134" s="5"/>
      <c r="K134" s="5"/>
      <c r="L134" s="5"/>
      <c r="M134" s="5"/>
      <c r="N134" s="5"/>
      <c r="O134" s="5"/>
      <c r="Q134" s="5"/>
      <c r="R134" s="5"/>
      <c r="S134" s="5"/>
    </row>
    <row r="135" spans="2:27">
      <c r="B135" s="5"/>
      <c r="C135" s="17"/>
      <c r="D135" s="17"/>
      <c r="E135" s="17"/>
      <c r="F135" s="17"/>
      <c r="G135" s="17"/>
      <c r="H135" s="17"/>
      <c r="I135" s="17"/>
      <c r="J135" s="17"/>
      <c r="K135" s="17"/>
      <c r="L135" s="17"/>
      <c r="M135" s="17"/>
      <c r="N135" s="17"/>
      <c r="O135" s="5"/>
      <c r="Q135" s="41"/>
      <c r="R135" s="5"/>
      <c r="S135" s="5"/>
    </row>
    <row r="136" spans="2:27">
      <c r="B136" s="5"/>
      <c r="C136" s="17"/>
      <c r="D136" s="17"/>
      <c r="E136" s="17"/>
      <c r="F136" s="17"/>
      <c r="G136" s="17"/>
      <c r="H136" s="17"/>
      <c r="I136" s="17"/>
      <c r="J136" s="17"/>
      <c r="K136" s="17"/>
      <c r="L136" s="17"/>
      <c r="M136" s="17"/>
      <c r="N136" s="17"/>
      <c r="O136" s="5"/>
      <c r="Q136" s="5"/>
      <c r="R136" s="5"/>
      <c r="S136" s="5"/>
      <c r="X136" s="304"/>
    </row>
    <row r="137" spans="2:27">
      <c r="B137" s="5"/>
      <c r="C137" s="5"/>
      <c r="D137" s="17"/>
      <c r="E137" s="17"/>
      <c r="F137" s="17"/>
      <c r="G137" s="17"/>
      <c r="H137" s="17"/>
      <c r="I137" s="17"/>
      <c r="J137" s="17"/>
      <c r="K137" s="17"/>
      <c r="L137" s="17"/>
      <c r="M137" s="17"/>
      <c r="N137" s="17"/>
      <c r="O137" s="5"/>
      <c r="Q137" s="5"/>
      <c r="R137" s="5"/>
      <c r="S137" s="5"/>
      <c r="X137" s="10"/>
      <c r="Y137" s="304"/>
      <c r="Z137" s="304"/>
      <c r="AA137" s="304"/>
    </row>
    <row r="138" spans="2:27">
      <c r="B138" s="5"/>
      <c r="C138" s="5"/>
      <c r="D138" s="17"/>
      <c r="E138" s="17"/>
      <c r="F138" s="17"/>
      <c r="G138" s="17"/>
      <c r="H138" s="17"/>
      <c r="I138" s="17"/>
      <c r="J138" s="17"/>
      <c r="K138" s="17"/>
      <c r="L138" s="17"/>
      <c r="M138" s="17"/>
      <c r="N138" s="17"/>
      <c r="O138" s="5"/>
      <c r="Q138" s="5"/>
      <c r="R138" s="5"/>
      <c r="S138" s="5"/>
      <c r="Y138" s="10"/>
      <c r="Z138" s="10"/>
      <c r="AA138" s="10"/>
    </row>
    <row r="139" spans="2:27">
      <c r="B139" s="5"/>
      <c r="C139" s="5"/>
      <c r="D139" s="17"/>
      <c r="E139" s="17"/>
      <c r="F139" s="17"/>
      <c r="G139" s="17"/>
      <c r="H139" s="17"/>
      <c r="I139" s="5"/>
      <c r="J139" s="17"/>
      <c r="K139" s="17"/>
      <c r="L139" s="17"/>
      <c r="M139" s="17"/>
      <c r="N139" s="17"/>
      <c r="O139" s="5"/>
      <c r="Q139" s="5"/>
      <c r="R139" s="5"/>
      <c r="S139" s="5"/>
    </row>
    <row r="140" spans="2:27">
      <c r="B140" s="5"/>
      <c r="C140" s="17"/>
      <c r="D140" s="17"/>
      <c r="E140" s="17"/>
      <c r="F140" s="17"/>
      <c r="G140" s="17"/>
      <c r="H140" s="17"/>
      <c r="I140" s="5"/>
      <c r="J140" s="17"/>
      <c r="K140" s="17"/>
      <c r="L140" s="17"/>
      <c r="M140" s="17"/>
      <c r="N140" s="17"/>
      <c r="O140" s="5"/>
      <c r="Q140" s="5"/>
      <c r="R140" s="5"/>
      <c r="S140" s="5"/>
    </row>
    <row r="141" spans="2:27">
      <c r="B141" s="5"/>
      <c r="C141" s="5"/>
      <c r="D141" s="5"/>
      <c r="E141" s="5"/>
      <c r="F141" s="5"/>
      <c r="G141" s="5"/>
      <c r="H141" s="5"/>
      <c r="I141" s="5"/>
      <c r="J141" s="5"/>
      <c r="K141" s="5"/>
      <c r="L141" s="5"/>
      <c r="M141" s="5"/>
      <c r="N141" s="5"/>
      <c r="O141" s="5"/>
      <c r="Q141" s="5"/>
      <c r="R141" s="5"/>
      <c r="S141" s="5"/>
    </row>
    <row r="142" spans="2:27">
      <c r="B142" s="5"/>
      <c r="C142" s="5"/>
      <c r="D142" s="5"/>
      <c r="E142" s="5"/>
      <c r="F142" s="5"/>
      <c r="G142" s="5"/>
      <c r="H142" s="5"/>
      <c r="I142" s="5"/>
      <c r="J142" s="5"/>
      <c r="K142" s="5"/>
      <c r="L142" s="5"/>
      <c r="M142" s="5"/>
      <c r="N142" s="5"/>
      <c r="O142" s="5"/>
      <c r="Q142" s="5"/>
      <c r="R142" s="5"/>
      <c r="S142" s="5"/>
    </row>
    <row r="143" spans="2:27">
      <c r="B143" s="5"/>
      <c r="C143" s="5"/>
      <c r="D143" s="5"/>
      <c r="E143" s="5"/>
      <c r="F143" s="5"/>
      <c r="G143" s="5"/>
      <c r="H143" s="5"/>
      <c r="I143" s="5"/>
      <c r="J143" s="5"/>
      <c r="K143" s="5"/>
      <c r="L143" s="5"/>
      <c r="M143" s="5"/>
      <c r="N143" s="5"/>
      <c r="O143" s="5"/>
      <c r="Q143" s="5"/>
      <c r="R143" s="5"/>
      <c r="S143" s="5"/>
    </row>
    <row r="144" spans="2:27">
      <c r="B144" s="5"/>
      <c r="C144" s="5"/>
      <c r="D144" s="5"/>
      <c r="E144" s="5"/>
      <c r="F144" s="5"/>
      <c r="G144" s="5"/>
      <c r="H144" s="5"/>
      <c r="I144" s="5"/>
      <c r="J144" s="5"/>
      <c r="K144" s="5"/>
      <c r="L144" s="5"/>
      <c r="M144" s="5"/>
      <c r="N144" s="5"/>
      <c r="O144" s="5"/>
      <c r="Q144" s="5"/>
      <c r="R144" s="5"/>
      <c r="S144" s="5"/>
    </row>
    <row r="145" spans="2:19">
      <c r="B145" s="5"/>
      <c r="C145" s="5"/>
      <c r="D145" s="5"/>
      <c r="E145" s="5"/>
      <c r="F145" s="5"/>
      <c r="G145" s="5"/>
      <c r="H145" s="5"/>
      <c r="I145" s="5"/>
      <c r="J145" s="5"/>
      <c r="K145" s="5"/>
      <c r="L145" s="5"/>
      <c r="M145" s="5"/>
      <c r="N145" s="5"/>
      <c r="O145" s="5"/>
      <c r="Q145" s="5"/>
      <c r="R145" s="5"/>
      <c r="S145" s="5"/>
    </row>
    <row r="146" spans="2:19">
      <c r="B146" s="5"/>
      <c r="C146" s="5"/>
      <c r="D146" s="5"/>
      <c r="E146" s="5"/>
      <c r="F146" s="5"/>
      <c r="G146" s="5"/>
      <c r="H146" s="5"/>
      <c r="I146" s="5"/>
      <c r="J146" s="5"/>
      <c r="K146" s="5"/>
      <c r="L146" s="5"/>
      <c r="M146" s="5"/>
      <c r="N146" s="5"/>
      <c r="O146" s="5"/>
      <c r="Q146" s="5"/>
      <c r="R146" s="5"/>
      <c r="S146" s="5"/>
    </row>
    <row r="147" spans="2:19">
      <c r="B147" s="5"/>
      <c r="C147" s="5"/>
      <c r="D147" s="5"/>
      <c r="E147" s="5"/>
      <c r="F147" s="5"/>
      <c r="G147" s="5"/>
      <c r="H147" s="5"/>
      <c r="I147" s="5"/>
      <c r="J147" s="5"/>
      <c r="K147" s="5"/>
      <c r="L147" s="5"/>
      <c r="M147" s="5"/>
      <c r="N147" s="5"/>
      <c r="O147" s="5"/>
      <c r="Q147" s="5"/>
      <c r="R147" s="5"/>
      <c r="S147" s="5"/>
    </row>
    <row r="148" spans="2:19">
      <c r="B148" s="5"/>
      <c r="C148" s="5"/>
      <c r="D148" s="5"/>
      <c r="E148" s="5"/>
      <c r="F148" s="5"/>
      <c r="G148" s="5"/>
      <c r="H148" s="5"/>
      <c r="I148" s="5"/>
      <c r="J148" s="5"/>
      <c r="K148" s="5"/>
      <c r="L148" s="5"/>
      <c r="M148" s="5"/>
      <c r="N148" s="5"/>
      <c r="O148" s="5"/>
      <c r="Q148" s="5"/>
      <c r="R148" s="5"/>
      <c r="S148" s="5"/>
    </row>
    <row r="149" spans="2:19">
      <c r="B149" s="5"/>
      <c r="C149" s="5"/>
      <c r="D149" s="5"/>
      <c r="E149" s="5"/>
      <c r="F149" s="5"/>
      <c r="G149" s="5"/>
      <c r="H149" s="5"/>
      <c r="J149" s="5"/>
      <c r="K149" s="5"/>
      <c r="L149" s="5"/>
      <c r="M149" s="5"/>
      <c r="N149" s="5"/>
      <c r="O149" s="5"/>
      <c r="Q149" s="5"/>
      <c r="R149" s="5"/>
      <c r="S149" s="5"/>
    </row>
    <row r="150" spans="2:19">
      <c r="B150" s="5"/>
      <c r="C150" s="5"/>
      <c r="D150" s="5"/>
      <c r="E150" s="5"/>
      <c r="F150" s="5"/>
      <c r="G150" s="5"/>
      <c r="H150" s="5"/>
      <c r="J150" s="5"/>
      <c r="K150" s="5"/>
      <c r="L150" s="5"/>
      <c r="M150" s="5"/>
      <c r="N150" s="5"/>
      <c r="O150" s="5"/>
      <c r="Q150" s="5"/>
      <c r="R150" s="5"/>
      <c r="S150" s="5"/>
    </row>
    <row r="151" spans="2:19">
      <c r="Q151" s="5"/>
      <c r="R151" s="5"/>
      <c r="S151" s="5"/>
    </row>
    <row r="152" spans="2:19">
      <c r="Q152" s="5"/>
      <c r="R152" s="5"/>
      <c r="S152" s="5"/>
    </row>
    <row r="153" spans="2:19">
      <c r="C153" s="263"/>
      <c r="Q153" s="5"/>
      <c r="R153" s="5"/>
      <c r="S153" s="5"/>
    </row>
    <row r="154" spans="2:19">
      <c r="Q154" s="5"/>
      <c r="R154" s="5"/>
      <c r="S154" s="5"/>
    </row>
    <row r="155" spans="2:19">
      <c r="Q155" s="5"/>
      <c r="R155" s="5"/>
      <c r="S155" s="5"/>
    </row>
    <row r="156" spans="2:19">
      <c r="Q156" s="5"/>
      <c r="R156" s="5"/>
      <c r="S156" s="5"/>
    </row>
    <row r="157" spans="2:19">
      <c r="Q157" s="5"/>
      <c r="R157" s="5"/>
      <c r="S157" s="5"/>
    </row>
    <row r="158" spans="2:19">
      <c r="Q158" s="5"/>
      <c r="R158" s="5"/>
      <c r="S158" s="5"/>
    </row>
    <row r="159" spans="2:19">
      <c r="Q159" s="5"/>
      <c r="R159" s="5"/>
      <c r="S159" s="5"/>
    </row>
    <row r="160" spans="2:19">
      <c r="Q160" s="5"/>
      <c r="R160" s="5"/>
      <c r="S160" s="5"/>
    </row>
    <row r="161" spans="17:19">
      <c r="Q161" s="5"/>
      <c r="R161" s="5"/>
      <c r="S161" s="5"/>
    </row>
    <row r="162" spans="17:19">
      <c r="Q162" s="5"/>
      <c r="R162" s="5"/>
      <c r="S162" s="5"/>
    </row>
    <row r="163" spans="17:19">
      <c r="Q163" s="5"/>
      <c r="R163" s="5"/>
      <c r="S163" s="5"/>
    </row>
    <row r="164" spans="17:19">
      <c r="Q164" s="5"/>
      <c r="R164" s="5"/>
      <c r="S164" s="5"/>
    </row>
    <row r="165" spans="17:19">
      <c r="Q165" s="5"/>
      <c r="R165" s="5"/>
      <c r="S165" s="5"/>
    </row>
  </sheetData>
  <phoneticPr fontId="7" type="noConversion"/>
  <hyperlinks>
    <hyperlink ref="C2" location="SINGTELSOP!A1" display="Jump to Singtel SOP" xr:uid="{00000000-0004-0000-4E00-000001000000}"/>
  </hyperlinks>
  <pageMargins left="0.75" right="0.75" top="1" bottom="1" header="0.5" footer="0.5"/>
  <pageSetup scale="71" orientation="landscape" r:id="rId1"/>
  <headerFooter alignWithMargins="0"/>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codeName="Sheet219">
    <pageSetUpPr fitToPage="1"/>
  </sheetPr>
  <dimension ref="B1:AR165"/>
  <sheetViews>
    <sheetView showGridLines="0" zoomScale="80" zoomScaleNormal="80" workbookViewId="0"/>
  </sheetViews>
  <sheetFormatPr defaultColWidth="9.109375" defaultRowHeight="12"/>
  <cols>
    <col min="1" max="1" width="2.33203125" style="39" customWidth="1"/>
    <col min="2" max="2" width="26.5546875" style="39" customWidth="1"/>
    <col min="3" max="9" width="10" style="39" customWidth="1"/>
    <col min="10" max="10" width="26.6640625" style="39" customWidth="1"/>
    <col min="11" max="16" width="10" style="39" customWidth="1"/>
    <col min="17" max="19" width="8.6640625" style="39" customWidth="1"/>
    <col min="20" max="28" width="8.6640625" style="5" customWidth="1"/>
    <col min="29" max="44" width="9.109375" style="5"/>
    <col min="45" max="16384" width="9.109375" style="39"/>
  </cols>
  <sheetData>
    <row r="1" spans="2:44" s="312" customFormat="1">
      <c r="T1" s="149"/>
      <c r="U1" s="149"/>
      <c r="V1" s="149"/>
      <c r="W1" s="149"/>
      <c r="X1" s="149"/>
      <c r="Y1" s="149"/>
      <c r="Z1" s="149"/>
      <c r="AA1" s="149"/>
      <c r="AB1" s="149"/>
      <c r="AC1" s="149"/>
      <c r="AD1" s="149"/>
      <c r="AE1" s="149"/>
      <c r="AF1" s="149"/>
      <c r="AG1" s="149"/>
      <c r="AH1" s="149"/>
      <c r="AI1" s="149"/>
      <c r="AJ1" s="149"/>
      <c r="AK1" s="149"/>
      <c r="AL1" s="149"/>
      <c r="AM1" s="149"/>
      <c r="AN1" s="149"/>
      <c r="AO1" s="149"/>
      <c r="AP1" s="149"/>
      <c r="AQ1" s="149"/>
      <c r="AR1" s="149"/>
    </row>
    <row r="2" spans="2:44" s="149" customFormat="1"/>
    <row r="3" spans="2:44" s="149" customFormat="1">
      <c r="H3" s="153"/>
      <c r="P3" s="153"/>
    </row>
    <row r="4" spans="2:44" s="156" customFormat="1" ht="21">
      <c r="B4" s="129" t="s">
        <v>879</v>
      </c>
      <c r="H4" s="222"/>
      <c r="P4" s="222"/>
    </row>
    <row r="5" spans="2:44" s="149" customFormat="1">
      <c r="C5" s="153"/>
      <c r="D5" s="153" t="str" cm="1">
        <f t="array" ref="D5:H5">headings</f>
        <v>2023E</v>
      </c>
      <c r="E5" s="153" t="str">
        <v>2024E</v>
      </c>
      <c r="F5" s="153" t="str">
        <v>2025E</v>
      </c>
      <c r="G5" s="153" t="str">
        <v>2026E</v>
      </c>
      <c r="H5" s="153" t="str">
        <v>23E-26E</v>
      </c>
      <c r="I5" s="153"/>
      <c r="J5" s="153"/>
      <c r="K5" s="153"/>
      <c r="L5" s="153" t="str" cm="1">
        <f t="array" ref="L5:P5">headings</f>
        <v>2023E</v>
      </c>
      <c r="M5" s="153" t="str">
        <v>2024E</v>
      </c>
      <c r="N5" s="153" t="str">
        <v>2025E</v>
      </c>
      <c r="O5" s="153" t="str">
        <v>2026E</v>
      </c>
      <c r="P5" s="153" t="str">
        <v>23E-26E</v>
      </c>
      <c r="Q5" s="162"/>
      <c r="R5" s="162"/>
      <c r="S5" s="162"/>
      <c r="T5" s="162"/>
      <c r="U5" s="162"/>
      <c r="V5" s="162"/>
      <c r="W5" s="162"/>
      <c r="X5" s="162"/>
      <c r="Y5" s="162"/>
    </row>
    <row r="6" spans="2:44">
      <c r="I6" s="5"/>
      <c r="J6" s="5"/>
      <c r="K6" s="5"/>
      <c r="L6" s="5"/>
      <c r="M6" s="5"/>
      <c r="N6" s="5"/>
      <c r="O6" s="49"/>
    </row>
    <row r="7" spans="2:44" ht="12.6" thickBot="1">
      <c r="B7" s="306" t="s">
        <v>880</v>
      </c>
      <c r="C7" s="265"/>
      <c r="D7" s="265" t="str">
        <f>D5</f>
        <v>2023E</v>
      </c>
      <c r="E7" s="265" t="str">
        <f t="shared" ref="E7:H7" si="0">E5</f>
        <v>2024E</v>
      </c>
      <c r="F7" s="265" t="str">
        <f t="shared" si="0"/>
        <v>2025E</v>
      </c>
      <c r="G7" s="265" t="str">
        <f t="shared" si="0"/>
        <v>2026E</v>
      </c>
      <c r="H7" s="265" t="str">
        <f t="shared" si="0"/>
        <v>23E-26E</v>
      </c>
      <c r="I7" s="49"/>
      <c r="J7" s="306" t="s">
        <v>778</v>
      </c>
      <c r="K7" s="306"/>
      <c r="L7" s="265" t="str">
        <f>L5</f>
        <v>2023E</v>
      </c>
      <c r="M7" s="265" t="str">
        <f t="shared" ref="M7:P7" si="1">M5</f>
        <v>2024E</v>
      </c>
      <c r="N7" s="265" t="str">
        <f t="shared" si="1"/>
        <v>2025E</v>
      </c>
      <c r="O7" s="265" t="str">
        <f t="shared" si="1"/>
        <v>2026E</v>
      </c>
      <c r="P7" s="265" t="str">
        <f t="shared" si="1"/>
        <v>23E-26E</v>
      </c>
    </row>
    <row r="8" spans="2:44" ht="12.6" thickTop="1">
      <c r="B8" s="5"/>
      <c r="C8" s="5"/>
      <c r="D8" s="5"/>
      <c r="E8" s="5"/>
      <c r="F8" s="5"/>
      <c r="G8" s="5"/>
      <c r="H8" s="5"/>
      <c r="I8" s="5"/>
      <c r="J8" s="5"/>
      <c r="K8" s="5"/>
      <c r="L8" s="5"/>
      <c r="M8" s="5"/>
      <c r="N8" s="5"/>
      <c r="S8" s="88"/>
      <c r="T8" s="42"/>
      <c r="U8" s="42"/>
      <c r="V8" s="42"/>
      <c r="W8" s="42"/>
      <c r="X8" s="42"/>
      <c r="Y8" s="42"/>
      <c r="Z8" s="42"/>
      <c r="AA8" s="42"/>
    </row>
    <row r="9" spans="2:44">
      <c r="B9" s="41" t="s">
        <v>883</v>
      </c>
      <c r="C9" s="285">
        <f>Prices!C141</f>
        <v>19.260000000000002</v>
      </c>
      <c r="D9" s="535">
        <v>0</v>
      </c>
      <c r="E9" s="536">
        <v>0</v>
      </c>
      <c r="F9" s="536">
        <v>0</v>
      </c>
      <c r="G9" s="536">
        <v>0</v>
      </c>
      <c r="H9" s="249"/>
      <c r="I9" s="249"/>
      <c r="J9" s="5" t="s">
        <v>273</v>
      </c>
      <c r="L9" s="529">
        <f>'EM TOWERS'!D37</f>
        <v>2.6715013852627854</v>
      </c>
      <c r="M9" s="529">
        <f>'EM TOWERS'!E37</f>
        <v>2.4664165959079525</v>
      </c>
      <c r="N9" s="529">
        <f>'EM TOWERS'!F37</f>
        <v>2.131979937672341</v>
      </c>
      <c r="O9" s="529">
        <f>'EM TOWERS'!G37</f>
        <v>1.8017346387407094</v>
      </c>
      <c r="P9" s="279">
        <f t="shared" ref="P9:P20" si="2">IF(L9=0,"nm",IF(O9=0,"nm",(O9/L9)^(1/3)-1))</f>
        <v>-0.1230426451570753</v>
      </c>
      <c r="S9" s="88"/>
      <c r="T9" s="42"/>
      <c r="U9" s="42"/>
      <c r="V9" s="42"/>
      <c r="W9" s="42"/>
      <c r="X9" s="42"/>
      <c r="Y9" s="42"/>
      <c r="Z9" s="42"/>
      <c r="AA9" s="42"/>
    </row>
    <row r="10" spans="2:44">
      <c r="B10" s="5" t="s">
        <v>274</v>
      </c>
      <c r="C10" s="5"/>
      <c r="D10" s="531">
        <v>3144</v>
      </c>
      <c r="E10" s="531">
        <v>3094</v>
      </c>
      <c r="F10" s="531">
        <v>3044</v>
      </c>
      <c r="G10" s="531">
        <v>2994</v>
      </c>
      <c r="H10" s="247"/>
      <c r="I10" s="247"/>
      <c r="J10" s="5" t="s">
        <v>184</v>
      </c>
      <c r="L10" s="529">
        <f>'EM TOWERS'!D38</f>
        <v>4.1489124394973578</v>
      </c>
      <c r="M10" s="529">
        <f>'EM TOWERS'!E38</f>
        <v>3.7837744083979801</v>
      </c>
      <c r="N10" s="529">
        <f>'EM TOWERS'!F38</f>
        <v>3.2477275158639292</v>
      </c>
      <c r="O10" s="529">
        <f>'EM TOWERS'!G38</f>
        <v>2.7428587919433522</v>
      </c>
      <c r="P10" s="279">
        <f t="shared" si="2"/>
        <v>-0.12885644723509337</v>
      </c>
      <c r="S10" s="88"/>
      <c r="T10" s="42"/>
      <c r="U10" s="42"/>
      <c r="V10" s="42"/>
      <c r="W10" s="288"/>
      <c r="X10" s="288"/>
      <c r="Y10" s="288"/>
      <c r="Z10" s="288"/>
      <c r="AA10" s="42"/>
    </row>
    <row r="11" spans="2:44">
      <c r="B11" s="41" t="s">
        <v>884</v>
      </c>
      <c r="C11" s="5"/>
      <c r="D11" s="532">
        <f>$C$9*D10</f>
        <v>60553.440000000002</v>
      </c>
      <c r="E11" s="532">
        <f>$C$9*E10</f>
        <v>59590.44</v>
      </c>
      <c r="F11" s="532">
        <f>$C$9*F10</f>
        <v>58627.44</v>
      </c>
      <c r="G11" s="532">
        <f>$C$9*G10</f>
        <v>57664.44</v>
      </c>
      <c r="H11" s="249"/>
      <c r="I11" s="249"/>
      <c r="J11" s="5" t="s">
        <v>185</v>
      </c>
      <c r="L11" s="529">
        <f>'EM TOWERS'!D39</f>
        <v>6.1861038573799814</v>
      </c>
      <c r="M11" s="529">
        <f>'EM TOWERS'!E39</f>
        <v>5.4605168948171618</v>
      </c>
      <c r="N11" s="529">
        <f>'EM TOWERS'!F39</f>
        <v>4.6533902775737461</v>
      </c>
      <c r="O11" s="529">
        <f>'EM TOWERS'!G39</f>
        <v>3.9147674085760911</v>
      </c>
      <c r="P11" s="279">
        <f t="shared" si="2"/>
        <v>-0.14145528527581241</v>
      </c>
      <c r="S11" s="88"/>
      <c r="T11" s="42"/>
      <c r="U11" s="42"/>
      <c r="V11" s="42"/>
      <c r="W11" s="288"/>
      <c r="X11" s="288"/>
      <c r="Y11" s="288"/>
      <c r="Z11" s="288"/>
      <c r="AA11" s="42"/>
    </row>
    <row r="12" spans="2:44">
      <c r="B12" s="5" t="s">
        <v>24</v>
      </c>
      <c r="C12" s="249"/>
      <c r="D12" s="533">
        <v>28655.983149837521</v>
      </c>
      <c r="E12" s="533">
        <v>25591.993983587894</v>
      </c>
      <c r="F12" s="533">
        <v>22169.85693920558</v>
      </c>
      <c r="G12" s="533">
        <v>18237.337074315376</v>
      </c>
      <c r="H12" s="247"/>
      <c r="I12" s="247"/>
      <c r="J12" s="5" t="s">
        <v>466</v>
      </c>
      <c r="L12" s="529">
        <f>'EM TOWERS'!D40</f>
        <v>6.9439536333859468</v>
      </c>
      <c r="M12" s="529">
        <f>'EM TOWERS'!E40</f>
        <v>6.0970821330239104</v>
      </c>
      <c r="N12" s="529">
        <f>'EM TOWERS'!F40</f>
        <v>5.1683449334617251</v>
      </c>
      <c r="O12" s="529">
        <f>'EM TOWERS'!G40</f>
        <v>4.3328952437227697</v>
      </c>
      <c r="P12" s="279">
        <f t="shared" si="2"/>
        <v>-0.14547692954330249</v>
      </c>
      <c r="S12" s="88"/>
      <c r="T12" s="42"/>
      <c r="U12" s="42"/>
      <c r="V12" s="42"/>
      <c r="W12" s="288"/>
      <c r="X12" s="288"/>
      <c r="Y12" s="288"/>
      <c r="Z12" s="288"/>
      <c r="AA12" s="42"/>
    </row>
    <row r="13" spans="2:44">
      <c r="B13" s="5" t="s">
        <v>529</v>
      </c>
      <c r="C13" s="257"/>
      <c r="D13" s="533">
        <v>0</v>
      </c>
      <c r="E13" s="533">
        <v>0</v>
      </c>
      <c r="F13" s="533">
        <v>0</v>
      </c>
      <c r="G13" s="533">
        <v>0</v>
      </c>
      <c r="H13" s="247"/>
      <c r="I13" s="247"/>
      <c r="J13" s="5" t="s">
        <v>530</v>
      </c>
      <c r="L13" s="529">
        <f>'EM TOWERS'!D41</f>
        <v>1.1753130739039299</v>
      </c>
      <c r="M13" s="529">
        <f>'EM TOWERS'!E41</f>
        <v>1.1757567202913304</v>
      </c>
      <c r="N13" s="529">
        <f>'EM TOWERS'!F41</f>
        <v>1.1263024096489058</v>
      </c>
      <c r="O13" s="529">
        <f>'EM TOWERS'!G41</f>
        <v>1.0471547147878779</v>
      </c>
      <c r="P13" s="279">
        <f t="shared" si="2"/>
        <v>-3.7754781388833702E-2</v>
      </c>
      <c r="S13" s="88"/>
      <c r="T13" s="42"/>
      <c r="U13" s="42"/>
      <c r="V13" s="42"/>
      <c r="W13" s="42"/>
      <c r="X13" s="42"/>
      <c r="Y13" s="42"/>
      <c r="Z13" s="42"/>
      <c r="AA13" s="42"/>
    </row>
    <row r="14" spans="2:44">
      <c r="B14" s="5" t="s">
        <v>531</v>
      </c>
      <c r="C14" s="257"/>
      <c r="D14" s="533">
        <v>0</v>
      </c>
      <c r="E14" s="533">
        <v>0</v>
      </c>
      <c r="F14" s="533">
        <v>0</v>
      </c>
      <c r="G14" s="533">
        <v>0</v>
      </c>
      <c r="H14" s="247"/>
      <c r="I14" s="247"/>
      <c r="J14" s="5" t="s">
        <v>593</v>
      </c>
      <c r="L14" s="529">
        <f>'EM TOWERS'!D42</f>
        <v>1.6549220743785771</v>
      </c>
      <c r="M14" s="529">
        <f>'EM TOWERS'!E42</f>
        <v>1.784519754580798</v>
      </c>
      <c r="N14" s="529">
        <f>'EM TOWERS'!F42</f>
        <v>1.8716160063762746</v>
      </c>
      <c r="O14" s="529">
        <f>'EM TOWERS'!G42</f>
        <v>1.9406589591487502</v>
      </c>
      <c r="P14" s="279">
        <f t="shared" si="2"/>
        <v>5.4525835391403765E-2</v>
      </c>
      <c r="S14" s="88"/>
      <c r="T14" s="42"/>
      <c r="U14" s="42"/>
      <c r="V14" s="42"/>
      <c r="W14" s="42"/>
      <c r="X14" s="42"/>
      <c r="Y14" s="42"/>
      <c r="Z14" s="42"/>
      <c r="AA14" s="42"/>
    </row>
    <row r="15" spans="2:44">
      <c r="B15" s="41" t="s">
        <v>532</v>
      </c>
      <c r="C15" s="274"/>
      <c r="D15" s="533">
        <v>0</v>
      </c>
      <c r="E15" s="533">
        <v>0</v>
      </c>
      <c r="F15" s="533">
        <v>0</v>
      </c>
      <c r="G15" s="533">
        <v>0</v>
      </c>
      <c r="H15" s="249"/>
      <c r="I15" s="247"/>
      <c r="J15" s="5" t="s">
        <v>475</v>
      </c>
      <c r="L15" s="529">
        <f>'EM TOWERS'!D43</f>
        <v>5.976608052052339</v>
      </c>
      <c r="M15" s="529">
        <f>'EM TOWERS'!E43</f>
        <v>5.4088146449510912</v>
      </c>
      <c r="N15" s="529">
        <f>'EM TOWERS'!F43</f>
        <v>5.0599476755573729</v>
      </c>
      <c r="O15" s="529">
        <f>'EM TOWERS'!G43</f>
        <v>4.7743105797072269</v>
      </c>
      <c r="P15" s="279">
        <f t="shared" si="2"/>
        <v>-7.2133922628982217E-2</v>
      </c>
      <c r="S15" s="88"/>
      <c r="T15" s="42"/>
      <c r="U15" s="42"/>
      <c r="V15" s="42"/>
      <c r="W15" s="42"/>
      <c r="X15" s="42"/>
      <c r="Y15" s="42"/>
      <c r="Z15" s="42"/>
      <c r="AA15" s="42"/>
    </row>
    <row r="16" spans="2:44">
      <c r="B16" s="5" t="s">
        <v>534</v>
      </c>
      <c r="C16" s="257"/>
      <c r="D16" s="533">
        <v>0</v>
      </c>
      <c r="E16" s="533">
        <v>0</v>
      </c>
      <c r="F16" s="533">
        <v>0</v>
      </c>
      <c r="G16" s="533">
        <v>0</v>
      </c>
      <c r="H16" s="247"/>
      <c r="I16" s="247"/>
      <c r="J16" s="5" t="s">
        <v>533</v>
      </c>
      <c r="L16" s="529">
        <f>'EM TOWERS'!D44</f>
        <v>14.893977546972051</v>
      </c>
      <c r="M16" s="529">
        <f>'EM TOWERS'!E44</f>
        <v>11.840472853769791</v>
      </c>
      <c r="N16" s="529">
        <f>'EM TOWERS'!F44</f>
        <v>9.5746290752304422</v>
      </c>
      <c r="O16" s="529">
        <f>'EM TOWERS'!G44</f>
        <v>8.1150344654722684</v>
      </c>
      <c r="P16" s="279">
        <f>IF(L16=0,"nm",IF(O16=0,"nm",(O16/L16)^(1/3)-1))</f>
        <v>-0.18324232419472375</v>
      </c>
      <c r="S16" s="88"/>
      <c r="T16" s="42"/>
      <c r="U16" s="42"/>
      <c r="V16" s="42"/>
      <c r="W16" s="42"/>
      <c r="X16" s="42"/>
      <c r="Y16" s="42"/>
      <c r="Z16" s="42"/>
      <c r="AA16" s="42"/>
    </row>
    <row r="17" spans="2:27">
      <c r="B17" s="5" t="s">
        <v>6</v>
      </c>
      <c r="C17" s="257"/>
      <c r="D17" s="533">
        <v>0</v>
      </c>
      <c r="E17" s="533">
        <v>0</v>
      </c>
      <c r="F17" s="533">
        <v>0</v>
      </c>
      <c r="G17" s="533">
        <v>0</v>
      </c>
      <c r="H17" s="247"/>
      <c r="I17" s="247"/>
      <c r="J17" s="5" t="s">
        <v>580</v>
      </c>
      <c r="L17" s="529">
        <f>'EM TOWERS'!D45</f>
        <v>3.4154898105313747E-2</v>
      </c>
      <c r="M17" s="529">
        <f>'EM TOWERS'!E45</f>
        <v>4.4073955051740152E-2</v>
      </c>
      <c r="N17" s="529">
        <f>'EM TOWERS'!F45</f>
        <v>5.4312748525084206E-2</v>
      </c>
      <c r="O17" s="529">
        <f>'EM TOWERS'!G45</f>
        <v>6.3843538763397198E-2</v>
      </c>
      <c r="P17" s="279">
        <f t="shared" si="2"/>
        <v>0.23184099320949048</v>
      </c>
      <c r="S17" s="88"/>
      <c r="T17" s="42"/>
      <c r="U17" s="42"/>
      <c r="V17" s="42"/>
      <c r="W17" s="42"/>
      <c r="X17" s="42"/>
      <c r="Y17" s="42"/>
      <c r="Z17" s="42"/>
      <c r="AA17" s="42"/>
    </row>
    <row r="18" spans="2:27" ht="12.6" thickBot="1">
      <c r="B18" s="41" t="s">
        <v>583</v>
      </c>
      <c r="C18" s="249"/>
      <c r="D18" s="534">
        <f>D11+D12+D13-D14+D15-D16-D17</f>
        <v>89209.42314983753</v>
      </c>
      <c r="E18" s="534">
        <f>E11+E12+E13-E14+E15-E16-E17</f>
        <v>85182.433983587893</v>
      </c>
      <c r="F18" s="534">
        <f>F11+F12+F13-F14+F15-F16-F17</f>
        <v>80797.296939205582</v>
      </c>
      <c r="G18" s="534">
        <f>G11+G12+G13-G14+G15-G16-G17</f>
        <v>75901.777074315381</v>
      </c>
      <c r="H18" s="276">
        <f>IF(D18=0,"nm",IF(G18=0,"nm",(G18/D18)^(1/3)-1))</f>
        <v>-5.2424686906056839E-2</v>
      </c>
      <c r="I18" s="254"/>
      <c r="J18" s="5" t="s">
        <v>36</v>
      </c>
      <c r="L18" s="529">
        <f>'EM TOWERS'!D46</f>
        <v>2.9269707798486252E-2</v>
      </c>
      <c r="M18" s="529">
        <f>'EM TOWERS'!E46</f>
        <v>3.8525771742588415E-2</v>
      </c>
      <c r="N18" s="529">
        <f>'EM TOWERS'!F46</f>
        <v>4.8168804565408389E-2</v>
      </c>
      <c r="O18" s="529">
        <f>'EM TOWERS'!G46</f>
        <v>5.7376762666392481E-2</v>
      </c>
      <c r="P18" s="279">
        <f t="shared" si="2"/>
        <v>0.25152410262424696</v>
      </c>
      <c r="S18" s="88"/>
      <c r="T18" s="42"/>
      <c r="U18" s="42"/>
      <c r="V18" s="42"/>
      <c r="W18" s="42"/>
      <c r="X18" s="42"/>
      <c r="Y18" s="42"/>
      <c r="Z18" s="42"/>
      <c r="AA18" s="42"/>
    </row>
    <row r="19" spans="2:27" ht="12.6" thickTop="1">
      <c r="B19" s="41"/>
      <c r="C19" s="249"/>
      <c r="D19" s="229"/>
      <c r="E19" s="229"/>
      <c r="F19" s="229"/>
      <c r="G19" s="229"/>
      <c r="H19" s="276"/>
      <c r="I19" s="254"/>
      <c r="J19" s="5" t="s">
        <v>581</v>
      </c>
      <c r="L19" s="529">
        <f>'EM TOWERS'!D47</f>
        <v>0.1673189861691875</v>
      </c>
      <c r="M19" s="529">
        <f>'EM TOWERS'!E47</f>
        <v>0.18488339232209766</v>
      </c>
      <c r="N19" s="529">
        <f>'EM TOWERS'!F47</f>
        <v>0.19763050215531056</v>
      </c>
      <c r="O19" s="529">
        <f>'EM TOWERS'!G47</f>
        <v>0.20945432503918138</v>
      </c>
      <c r="P19" s="279">
        <f t="shared" si="2"/>
        <v>7.7741739231769191E-2</v>
      </c>
      <c r="S19" s="88"/>
      <c r="T19" s="42"/>
      <c r="U19" s="42"/>
      <c r="V19" s="42"/>
      <c r="W19" s="42"/>
      <c r="X19" s="42"/>
      <c r="Y19" s="42"/>
      <c r="Z19" s="42"/>
      <c r="AA19" s="42"/>
    </row>
    <row r="20" spans="2:27">
      <c r="H20" s="277"/>
      <c r="I20" s="17"/>
      <c r="J20" s="5" t="s">
        <v>604</v>
      </c>
      <c r="L20" s="529">
        <f>'EM TOWERS'!D48</f>
        <v>0.20413043903324535</v>
      </c>
      <c r="M20" s="529">
        <f>'EM TOWERS'!E48</f>
        <v>0.2383878535447683</v>
      </c>
      <c r="N20" s="529">
        <f>'EM TOWERS'!F48</f>
        <v>0.27481966565263194</v>
      </c>
      <c r="O20" s="529">
        <f>'EM TOWERS'!G48</f>
        <v>0.30480888256403571</v>
      </c>
      <c r="P20" s="279">
        <f t="shared" si="2"/>
        <v>0.14298347031410863</v>
      </c>
      <c r="S20" s="88"/>
      <c r="T20" s="42"/>
      <c r="U20" s="42"/>
      <c r="V20" s="42"/>
      <c r="W20" s="42"/>
      <c r="X20" s="42"/>
      <c r="Y20" s="42"/>
      <c r="Z20" s="42"/>
      <c r="AA20" s="42"/>
    </row>
    <row r="21" spans="2:27" ht="12.6" thickBot="1">
      <c r="B21" s="306" t="s">
        <v>950</v>
      </c>
      <c r="C21" s="265"/>
      <c r="D21" s="265" t="str">
        <f>D5</f>
        <v>2023E</v>
      </c>
      <c r="E21" s="265" t="str">
        <f t="shared" ref="E21:H21" si="3">E5</f>
        <v>2024E</v>
      </c>
      <c r="F21" s="265" t="str">
        <f t="shared" si="3"/>
        <v>2025E</v>
      </c>
      <c r="G21" s="265" t="str">
        <f t="shared" si="3"/>
        <v>2026E</v>
      </c>
      <c r="H21" s="265" t="str">
        <f t="shared" si="3"/>
        <v>23E-26E</v>
      </c>
      <c r="I21" s="49"/>
      <c r="J21" s="41"/>
      <c r="L21" s="250"/>
      <c r="M21" s="250"/>
      <c r="N21" s="250"/>
      <c r="O21" s="250"/>
      <c r="P21" s="286"/>
      <c r="S21" s="88"/>
      <c r="T21" s="42"/>
      <c r="U21" s="42"/>
      <c r="V21" s="42"/>
      <c r="W21" s="42"/>
      <c r="X21" s="42"/>
      <c r="Y21" s="42"/>
      <c r="Z21" s="42"/>
      <c r="AA21" s="42"/>
    </row>
    <row r="22" spans="2:27" ht="12.6" thickTop="1">
      <c r="B22" s="5"/>
      <c r="C22" s="257"/>
      <c r="D22" s="17"/>
      <c r="E22" s="17"/>
      <c r="F22" s="17"/>
      <c r="G22" s="17"/>
      <c r="H22" s="17"/>
      <c r="I22" s="17"/>
      <c r="P22" s="277"/>
      <c r="S22" s="88"/>
      <c r="T22" s="42"/>
      <c r="U22" s="42"/>
      <c r="V22" s="42"/>
      <c r="W22" s="42"/>
      <c r="X22" s="42"/>
      <c r="Y22" s="42"/>
      <c r="Z22" s="42"/>
      <c r="AA22" s="42"/>
    </row>
    <row r="23" spans="2:27" ht="12.6" thickBot="1">
      <c r="B23" s="5" t="s">
        <v>584</v>
      </c>
      <c r="C23" s="548">
        <v>10183.890274880365</v>
      </c>
      <c r="D23" s="540">
        <v>11182.684323098265</v>
      </c>
      <c r="E23" s="540">
        <v>12031.032137506247</v>
      </c>
      <c r="F23" s="540">
        <v>12900.703112535084</v>
      </c>
      <c r="G23" s="540">
        <v>13796.284741663085</v>
      </c>
      <c r="H23" s="279">
        <f t="shared" ref="H23:H32" si="4">IF(D23=0,"nm",IF(G23=0,"nm",(G23/D23)^(1/3)-1))</f>
        <v>7.2519905596792222E-2</v>
      </c>
      <c r="I23" s="247"/>
      <c r="J23" s="306" t="s">
        <v>9</v>
      </c>
      <c r="K23" s="306"/>
      <c r="L23" s="265" t="str">
        <f>D21</f>
        <v>2023E</v>
      </c>
      <c r="M23" s="265" t="str">
        <f t="shared" ref="M23:P23" si="5">E21</f>
        <v>2024E</v>
      </c>
      <c r="N23" s="265" t="str">
        <f t="shared" si="5"/>
        <v>2025E</v>
      </c>
      <c r="O23" s="265" t="str">
        <f t="shared" si="5"/>
        <v>2026E</v>
      </c>
      <c r="P23" s="265" t="str">
        <f t="shared" si="5"/>
        <v>23E-26E</v>
      </c>
      <c r="S23" s="88"/>
      <c r="T23" s="42"/>
      <c r="U23" s="42"/>
      <c r="V23" s="42"/>
      <c r="W23" s="42"/>
      <c r="X23" s="42"/>
      <c r="Y23" s="42"/>
      <c r="Z23" s="42"/>
      <c r="AA23" s="42"/>
    </row>
    <row r="24" spans="2:27" ht="12.6" thickTop="1">
      <c r="B24" s="5" t="s">
        <v>483</v>
      </c>
      <c r="C24" s="549">
        <v>9710.839811853135</v>
      </c>
      <c r="D24" s="540">
        <v>10644.156062298553</v>
      </c>
      <c r="E24" s="540">
        <v>11434.343183160136</v>
      </c>
      <c r="F24" s="540">
        <v>12241.631762434616</v>
      </c>
      <c r="G24" s="540">
        <v>13070.368858033233</v>
      </c>
      <c r="H24" s="279">
        <f t="shared" si="4"/>
        <v>7.0842345970307363E-2</v>
      </c>
      <c r="I24" s="249"/>
      <c r="J24" s="17"/>
      <c r="K24" s="17"/>
      <c r="L24" s="17"/>
      <c r="M24" s="17"/>
      <c r="N24" s="17"/>
      <c r="O24" s="248"/>
      <c r="S24" s="88"/>
      <c r="T24" s="42"/>
      <c r="U24" s="42"/>
      <c r="V24" s="42"/>
      <c r="W24" s="42" t="s">
        <v>879</v>
      </c>
      <c r="X24" s="42" t="s">
        <v>882</v>
      </c>
      <c r="Y24" s="42"/>
      <c r="Z24" s="42"/>
      <c r="AA24" s="42"/>
    </row>
    <row r="25" spans="2:27">
      <c r="B25" s="5" t="s">
        <v>183</v>
      </c>
      <c r="C25" s="548">
        <v>8347.6572467356909</v>
      </c>
      <c r="D25" s="540">
        <v>9446.2094653645181</v>
      </c>
      <c r="E25" s="540">
        <v>10110.19792130275</v>
      </c>
      <c r="F25" s="540">
        <v>10890.632869030795</v>
      </c>
      <c r="G25" s="540">
        <v>11829.932303250804</v>
      </c>
      <c r="H25" s="279">
        <f t="shared" si="4"/>
        <v>7.7891124547657009E-2</v>
      </c>
      <c r="I25" s="248"/>
      <c r="J25" s="247" t="s">
        <v>10</v>
      </c>
      <c r="K25" s="247"/>
      <c r="L25" s="321">
        <v>0</v>
      </c>
      <c r="M25" s="321">
        <v>0</v>
      </c>
      <c r="N25" s="321">
        <v>0</v>
      </c>
      <c r="O25" s="321">
        <v>0</v>
      </c>
      <c r="P25" s="279" t="str">
        <f>IF(L25=0,"nm",IF(O25=0,"nm",(O25/L25)^(1/3)-1))</f>
        <v>nm</v>
      </c>
      <c r="S25" s="88"/>
      <c r="T25" s="42"/>
      <c r="U25" s="42"/>
      <c r="V25" s="147" t="s">
        <v>273</v>
      </c>
      <c r="W25" s="288">
        <f t="shared" ref="W25:W28" si="6">E37/M9</f>
        <v>2.8706531694118769</v>
      </c>
      <c r="X25" s="288">
        <v>1</v>
      </c>
      <c r="Y25" s="42"/>
      <c r="Z25" s="42"/>
      <c r="AA25" s="42"/>
    </row>
    <row r="26" spans="2:27">
      <c r="B26" s="5" t="s">
        <v>586</v>
      </c>
      <c r="C26" s="548">
        <v>5843.3600727149833</v>
      </c>
      <c r="D26" s="540">
        <v>6612.3466257551627</v>
      </c>
      <c r="E26" s="540">
        <v>7077.1385449119243</v>
      </c>
      <c r="F26" s="540">
        <v>7623.4430083215557</v>
      </c>
      <c r="G26" s="540">
        <v>8280.9526122755615</v>
      </c>
      <c r="H26" s="279">
        <f t="shared" si="4"/>
        <v>7.7891124547656787E-2</v>
      </c>
      <c r="I26" s="249"/>
      <c r="J26" s="249" t="s">
        <v>11</v>
      </c>
      <c r="K26" s="249"/>
      <c r="L26" s="281">
        <f>D11+L25</f>
        <v>60553.440000000002</v>
      </c>
      <c r="M26" s="281">
        <f>E11+M25</f>
        <v>59590.44</v>
      </c>
      <c r="N26" s="281">
        <f>F11+N25</f>
        <v>58627.44</v>
      </c>
      <c r="O26" s="281">
        <f>G11+O25</f>
        <v>57664.44</v>
      </c>
      <c r="P26" s="279">
        <f>IF(L26=0,"nm",IF(O26=0,"nm",(O26/L26)^(1/3)-1))</f>
        <v>-1.6163147705316461E-2</v>
      </c>
      <c r="Q26" s="5"/>
      <c r="S26" s="88"/>
      <c r="T26" s="42"/>
      <c r="U26" s="42"/>
      <c r="V26" s="147" t="s">
        <v>184</v>
      </c>
      <c r="W26" s="288">
        <f t="shared" si="6"/>
        <v>1.9688543391173501</v>
      </c>
      <c r="X26" s="288">
        <v>1</v>
      </c>
      <c r="Y26" s="42"/>
      <c r="Z26" s="42"/>
      <c r="AA26" s="42"/>
    </row>
    <row r="27" spans="2:27">
      <c r="B27" s="5" t="s">
        <v>587</v>
      </c>
      <c r="C27" s="549">
        <v>31479.248294395904</v>
      </c>
      <c r="D27" s="540">
        <v>28655.983149837521</v>
      </c>
      <c r="E27" s="540">
        <v>25591.993983587894</v>
      </c>
      <c r="F27" s="540">
        <v>22169.85693920558</v>
      </c>
      <c r="G27" s="540">
        <v>18237.337074315376</v>
      </c>
      <c r="H27" s="279">
        <f t="shared" si="4"/>
        <v>-0.13983446498599739</v>
      </c>
      <c r="I27" s="249"/>
      <c r="J27" s="248"/>
      <c r="K27" s="248"/>
      <c r="L27" s="248"/>
      <c r="M27" s="248"/>
      <c r="N27" s="248"/>
      <c r="O27" s="248"/>
      <c r="Q27" s="41"/>
      <c r="S27" s="88"/>
      <c r="T27" s="42"/>
      <c r="U27" s="42"/>
      <c r="V27" s="147" t="s">
        <v>185</v>
      </c>
      <c r="W27" s="288">
        <f t="shared" si="6"/>
        <v>1.5429669817165885</v>
      </c>
      <c r="X27" s="288">
        <v>1</v>
      </c>
      <c r="Y27" s="42"/>
      <c r="Z27" s="42"/>
      <c r="AA27" s="42"/>
    </row>
    <row r="28" spans="2:27">
      <c r="B28" s="5" t="s">
        <v>592</v>
      </c>
      <c r="C28" s="548">
        <v>36164.911765117446</v>
      </c>
      <c r="D28" s="540">
        <v>33746.367185539741</v>
      </c>
      <c r="E28" s="540">
        <v>31695.875728843152</v>
      </c>
      <c r="F28" s="540">
        <v>29877.287049362654</v>
      </c>
      <c r="G28" s="540">
        <v>28129.994899208821</v>
      </c>
      <c r="H28" s="279">
        <f t="shared" si="4"/>
        <v>-5.8874497743415466E-2</v>
      </c>
      <c r="I28" s="248"/>
      <c r="Q28" s="5"/>
      <c r="S28" s="88"/>
      <c r="T28" s="42"/>
      <c r="U28" s="42"/>
      <c r="V28" s="147" t="s">
        <v>466</v>
      </c>
      <c r="W28" s="288">
        <f t="shared" si="6"/>
        <v>1.9741052448148231</v>
      </c>
      <c r="X28" s="288">
        <v>1</v>
      </c>
      <c r="Y28" s="42"/>
      <c r="Z28" s="42"/>
      <c r="AA28" s="42"/>
    </row>
    <row r="29" spans="2:27" ht="12.6" thickBot="1">
      <c r="B29" s="5" t="s">
        <v>588</v>
      </c>
      <c r="C29" s="548">
        <v>3005.1517056040993</v>
      </c>
      <c r="D29" s="540">
        <v>3880.5401445583843</v>
      </c>
      <c r="E29" s="540">
        <v>4272.4544912496258</v>
      </c>
      <c r="F29" s="540">
        <v>4803.4129108573152</v>
      </c>
      <c r="G29" s="540">
        <v>5511.3181802711288</v>
      </c>
      <c r="H29" s="279">
        <f t="shared" si="4"/>
        <v>0.12405553365825539</v>
      </c>
      <c r="I29" s="252"/>
      <c r="J29" s="306" t="s">
        <v>1363</v>
      </c>
      <c r="K29" s="306"/>
      <c r="L29" s="265" t="str">
        <f>L$5</f>
        <v>2023E</v>
      </c>
      <c r="M29" s="265" t="str">
        <f t="shared" ref="M29:P29" si="7">M$5</f>
        <v>2024E</v>
      </c>
      <c r="N29" s="265" t="str">
        <f t="shared" si="7"/>
        <v>2025E</v>
      </c>
      <c r="O29" s="265" t="str">
        <f t="shared" si="7"/>
        <v>2026E</v>
      </c>
      <c r="P29" s="265" t="str">
        <f t="shared" si="7"/>
        <v>23E-26E</v>
      </c>
      <c r="Q29" s="5"/>
      <c r="S29" s="88"/>
      <c r="T29" s="42"/>
      <c r="U29" s="42"/>
      <c r="V29" s="147" t="s">
        <v>475</v>
      </c>
      <c r="W29" s="288">
        <f>E43/M15</f>
        <v>2.5786776008336227</v>
      </c>
      <c r="X29" s="288">
        <v>1</v>
      </c>
      <c r="Y29" s="42"/>
      <c r="Z29" s="42"/>
      <c r="AA29" s="42"/>
    </row>
    <row r="30" spans="2:27" ht="12.6" thickTop="1">
      <c r="B30" s="5" t="s">
        <v>589</v>
      </c>
      <c r="C30" s="549">
        <v>854.60587072154317</v>
      </c>
      <c r="D30" s="540">
        <v>1744.4998849806734</v>
      </c>
      <c r="E30" s="540">
        <v>2447.9664905530394</v>
      </c>
      <c r="F30" s="540">
        <v>3165.6269961768221</v>
      </c>
      <c r="G30" s="540">
        <v>3908.6682419572912</v>
      </c>
      <c r="H30" s="279">
        <f t="shared" si="4"/>
        <v>0.30853684274174431</v>
      </c>
      <c r="I30" s="254"/>
      <c r="J30" s="248"/>
      <c r="K30" s="248"/>
      <c r="L30" s="248"/>
      <c r="M30" s="248"/>
      <c r="N30" s="248"/>
      <c r="O30" s="5"/>
      <c r="Q30" s="5"/>
      <c r="S30" s="88"/>
      <c r="T30" s="42"/>
      <c r="U30" s="42"/>
      <c r="V30" s="147" t="s">
        <v>533</v>
      </c>
      <c r="W30" s="288">
        <f>E44/M16</f>
        <v>2.0559004287663933</v>
      </c>
      <c r="X30" s="288">
        <v>1</v>
      </c>
      <c r="Y30" s="42"/>
      <c r="Z30" s="42"/>
      <c r="AA30" s="42"/>
    </row>
    <row r="31" spans="2:27">
      <c r="B31" s="5" t="s">
        <v>590</v>
      </c>
      <c r="C31" s="549">
        <v>0</v>
      </c>
      <c r="D31" s="540">
        <v>0</v>
      </c>
      <c r="E31" s="540">
        <v>0</v>
      </c>
      <c r="F31" s="540">
        <v>0</v>
      </c>
      <c r="G31" s="540">
        <v>0</v>
      </c>
      <c r="H31" s="279" t="str">
        <f t="shared" si="4"/>
        <v>nm</v>
      </c>
      <c r="I31" s="254"/>
      <c r="J31" s="5" t="s">
        <v>737</v>
      </c>
      <c r="K31" s="247"/>
      <c r="L31" s="322">
        <v>21842</v>
      </c>
      <c r="M31" s="322">
        <v>22742</v>
      </c>
      <c r="N31" s="322">
        <v>23642</v>
      </c>
      <c r="O31" s="322">
        <v>24392</v>
      </c>
      <c r="Q31" s="5"/>
      <c r="S31" s="88"/>
      <c r="T31" s="42"/>
      <c r="U31" s="42"/>
      <c r="V31" s="147" t="s">
        <v>580</v>
      </c>
      <c r="W31" s="288">
        <f>E45/M17</f>
        <v>0</v>
      </c>
      <c r="X31" s="288">
        <v>1</v>
      </c>
      <c r="Y31" s="42"/>
      <c r="Z31" s="42"/>
      <c r="AA31" s="42"/>
    </row>
    <row r="32" spans="2:27">
      <c r="B32" s="5" t="s">
        <v>606</v>
      </c>
      <c r="C32" s="550">
        <v>-1155.1517056040975</v>
      </c>
      <c r="D32" s="540">
        <v>-2823.2651445583833</v>
      </c>
      <c r="E32" s="540">
        <v>-3063.9891662496266</v>
      </c>
      <c r="F32" s="540">
        <v>-3422.1370443823143</v>
      </c>
      <c r="G32" s="540">
        <v>-3932.5198648902042</v>
      </c>
      <c r="H32" s="279">
        <f t="shared" si="4"/>
        <v>0.11679403648626341</v>
      </c>
      <c r="I32" s="254"/>
      <c r="J32" s="5" t="s">
        <v>1361</v>
      </c>
      <c r="K32" s="254"/>
      <c r="L32" s="322">
        <v>25490.229595072102</v>
      </c>
      <c r="M32" s="322">
        <v>26493.16919014421</v>
      </c>
      <c r="N32" s="322">
        <v>27619.750785216314</v>
      </c>
      <c r="O32" s="322">
        <v>28580.675781109734</v>
      </c>
      <c r="Q32" s="5"/>
      <c r="S32" s="88"/>
      <c r="T32" s="42"/>
      <c r="U32" s="42"/>
      <c r="V32" s="147" t="s">
        <v>581</v>
      </c>
      <c r="W32" s="288">
        <f>E47/M19</f>
        <v>0.38779566692506451</v>
      </c>
      <c r="X32" s="288">
        <v>1</v>
      </c>
      <c r="Y32" s="42"/>
      <c r="Z32" s="42"/>
      <c r="AA32" s="42"/>
    </row>
    <row r="33" spans="2:27">
      <c r="B33" s="5" t="s">
        <v>5</v>
      </c>
      <c r="C33" s="549">
        <v>1436.6230434782608</v>
      </c>
      <c r="D33" s="540">
        <v>1385.7712564380804</v>
      </c>
      <c r="E33" s="540">
        <v>1261.486214748282</v>
      </c>
      <c r="F33" s="540">
        <v>1126.6040829731626</v>
      </c>
      <c r="G33" s="540">
        <v>975.9556587367673</v>
      </c>
      <c r="H33" s="279">
        <f>IF(D33=0,"nm",IF(G33=0,"nm",(G33/D33)^(1/3)-1))</f>
        <v>-0.11029469693665261</v>
      </c>
      <c r="I33" s="5"/>
      <c r="Q33" s="5"/>
      <c r="S33" s="88"/>
      <c r="T33" s="42"/>
      <c r="U33" s="42"/>
      <c r="V33" s="42"/>
      <c r="W33" s="42"/>
      <c r="X33" s="42"/>
      <c r="Y33" s="42"/>
      <c r="Z33" s="42"/>
      <c r="AA33" s="42"/>
    </row>
    <row r="34" spans="2:27">
      <c r="I34" s="49"/>
      <c r="Q34" s="5"/>
      <c r="S34" s="88"/>
      <c r="T34" s="42"/>
      <c r="U34" s="42"/>
      <c r="V34" s="42"/>
      <c r="W34" s="42"/>
      <c r="X34" s="42"/>
      <c r="Y34" s="288"/>
      <c r="Z34" s="288"/>
      <c r="AA34" s="42"/>
    </row>
    <row r="35" spans="2:27" ht="12.6" thickBot="1">
      <c r="B35" s="306" t="s">
        <v>881</v>
      </c>
      <c r="C35" s="265"/>
      <c r="D35" s="265" t="str">
        <f>D5</f>
        <v>2023E</v>
      </c>
      <c r="E35" s="265" t="str">
        <f t="shared" ref="E35:H35" si="8">E5</f>
        <v>2024E</v>
      </c>
      <c r="F35" s="265" t="str">
        <f t="shared" si="8"/>
        <v>2025E</v>
      </c>
      <c r="G35" s="265" t="str">
        <f t="shared" si="8"/>
        <v>2026E</v>
      </c>
      <c r="H35" s="265" t="str">
        <f t="shared" si="8"/>
        <v>23E-26E</v>
      </c>
      <c r="I35" s="254"/>
      <c r="J35" s="306" t="s">
        <v>1362</v>
      </c>
      <c r="K35" s="306"/>
      <c r="L35" s="306"/>
      <c r="M35" s="306"/>
      <c r="N35" s="266"/>
      <c r="O35" s="266"/>
      <c r="P35" s="266"/>
      <c r="Q35" s="5"/>
      <c r="S35" s="88"/>
      <c r="T35" s="42"/>
      <c r="U35" s="42"/>
      <c r="V35" s="42"/>
      <c r="W35" s="42"/>
      <c r="X35" s="42"/>
      <c r="Y35" s="288"/>
      <c r="Z35" s="288"/>
      <c r="AA35" s="42"/>
    </row>
    <row r="36" spans="2:27" ht="12.6" thickTop="1">
      <c r="B36" s="41"/>
      <c r="C36" s="249"/>
      <c r="D36" s="254"/>
      <c r="E36" s="254"/>
      <c r="F36" s="254"/>
      <c r="G36" s="254"/>
      <c r="H36" s="254"/>
      <c r="I36" s="17"/>
      <c r="J36" s="249"/>
      <c r="K36" s="249"/>
      <c r="L36" s="249"/>
      <c r="M36" s="249"/>
      <c r="N36" s="249"/>
      <c r="O36" s="251"/>
      <c r="Q36" s="5"/>
      <c r="S36" s="88"/>
      <c r="T36" s="42"/>
      <c r="U36" s="42"/>
      <c r="V36" s="42"/>
      <c r="W36" s="42"/>
      <c r="X36" s="42"/>
      <c r="Y36" s="288"/>
      <c r="Z36" s="288"/>
      <c r="AA36" s="42"/>
    </row>
    <row r="37" spans="2:27">
      <c r="B37" s="5" t="s">
        <v>273</v>
      </c>
      <c r="C37" s="247"/>
      <c r="D37" s="529">
        <f>D$18/D23</f>
        <v>7.9774605606609166</v>
      </c>
      <c r="E37" s="529">
        <f t="shared" ref="E37:G40" si="9">E$18/E23</f>
        <v>7.0802266181332163</v>
      </c>
      <c r="F37" s="529">
        <f t="shared" si="9"/>
        <v>6.2630149871985008</v>
      </c>
      <c r="G37" s="529">
        <f t="shared" si="9"/>
        <v>5.5016099258303459</v>
      </c>
      <c r="H37" s="17">
        <f t="shared" ref="H37:H40" si="10">H23</f>
        <v>7.2519905596792222E-2</v>
      </c>
      <c r="I37" s="5"/>
      <c r="J37" s="248"/>
      <c r="K37" s="248"/>
      <c r="L37" s="248"/>
      <c r="M37" s="248"/>
      <c r="N37" s="248"/>
      <c r="O37" s="5"/>
      <c r="Q37" s="5"/>
      <c r="R37" s="5"/>
      <c r="S37" s="42"/>
      <c r="T37" s="42"/>
      <c r="U37" s="42"/>
      <c r="V37" s="42"/>
      <c r="W37" s="42"/>
      <c r="X37" s="42"/>
      <c r="Y37" s="42"/>
      <c r="Z37" s="42"/>
      <c r="AA37" s="42"/>
    </row>
    <row r="38" spans="2:27">
      <c r="B38" s="5" t="s">
        <v>184</v>
      </c>
      <c r="C38" s="247"/>
      <c r="D38" s="529">
        <f>D$18/D24</f>
        <v>8.3810705731585458</v>
      </c>
      <c r="E38" s="529">
        <f>E$18/E24</f>
        <v>7.4497006622155473</v>
      </c>
      <c r="F38" s="529">
        <f t="shared" si="9"/>
        <v>6.6002064518183658</v>
      </c>
      <c r="G38" s="529">
        <f t="shared" si="9"/>
        <v>5.8071641205186859</v>
      </c>
      <c r="H38" s="17">
        <f t="shared" si="10"/>
        <v>7.0842345970307363E-2</v>
      </c>
      <c r="I38" s="259"/>
      <c r="J38" s="252"/>
      <c r="K38" s="252"/>
      <c r="L38" s="252"/>
      <c r="M38" s="252"/>
      <c r="N38" s="252"/>
      <c r="O38" s="5"/>
      <c r="Q38" s="5"/>
      <c r="R38" s="5"/>
      <c r="S38" s="42"/>
      <c r="T38" s="42"/>
      <c r="U38" s="42"/>
      <c r="V38" s="42"/>
      <c r="W38" s="42"/>
      <c r="X38" s="42"/>
      <c r="Y38" s="42"/>
      <c r="Z38" s="42"/>
      <c r="AA38" s="42"/>
    </row>
    <row r="39" spans="2:27">
      <c r="B39" s="5" t="s">
        <v>185</v>
      </c>
      <c r="C39" s="247"/>
      <c r="D39" s="529">
        <f>D$18/D25</f>
        <v>9.4439387012253864</v>
      </c>
      <c r="E39" s="529">
        <f t="shared" si="9"/>
        <v>8.4253972718084746</v>
      </c>
      <c r="F39" s="529">
        <f t="shared" si="9"/>
        <v>7.4189716897872149</v>
      </c>
      <c r="G39" s="529">
        <f t="shared" si="9"/>
        <v>6.4160787338958798</v>
      </c>
      <c r="H39" s="17">
        <f t="shared" si="10"/>
        <v>7.7891124547657009E-2</v>
      </c>
      <c r="I39" s="17"/>
      <c r="J39" s="259"/>
      <c r="K39" s="259"/>
      <c r="L39" s="259"/>
      <c r="M39" s="259"/>
      <c r="N39" s="259"/>
      <c r="O39" s="18"/>
      <c r="Q39" s="5"/>
      <c r="R39" s="5"/>
      <c r="S39" s="42"/>
      <c r="T39" s="42"/>
      <c r="U39" s="42"/>
      <c r="V39" s="42"/>
      <c r="W39" s="42"/>
      <c r="X39" s="42"/>
      <c r="Y39" s="42"/>
      <c r="Z39" s="42"/>
      <c r="AA39" s="42"/>
    </row>
    <row r="40" spans="2:27">
      <c r="B40" s="5" t="s">
        <v>466</v>
      </c>
      <c r="C40" s="247"/>
      <c r="D40" s="529">
        <f>D$18/D26</f>
        <v>13.49134100175055</v>
      </c>
      <c r="E40" s="529">
        <f t="shared" si="9"/>
        <v>12.03628181686925</v>
      </c>
      <c r="F40" s="529">
        <f t="shared" si="9"/>
        <v>10.598530985410308</v>
      </c>
      <c r="G40" s="529">
        <f t="shared" si="9"/>
        <v>9.1658267627084005</v>
      </c>
      <c r="H40" s="17">
        <f t="shared" si="10"/>
        <v>7.7891124547656787E-2</v>
      </c>
      <c r="I40" s="5"/>
      <c r="J40" s="259"/>
      <c r="K40" s="259"/>
      <c r="L40" s="259"/>
      <c r="M40" s="259"/>
      <c r="N40" s="259"/>
      <c r="O40" s="18"/>
      <c r="Q40" s="5"/>
      <c r="R40" s="5"/>
      <c r="S40" s="42"/>
      <c r="T40" s="42"/>
      <c r="U40" s="42"/>
      <c r="V40" s="42"/>
      <c r="W40" s="288"/>
      <c r="X40" s="288"/>
      <c r="Y40" s="42"/>
      <c r="Z40" s="42"/>
      <c r="AA40" s="42"/>
    </row>
    <row r="41" spans="2:27">
      <c r="B41" s="5" t="s">
        <v>871</v>
      </c>
      <c r="D41" s="529">
        <f>D18/D27</f>
        <v>3.1131168204341768</v>
      </c>
      <c r="E41" s="529">
        <f>E18/E27</f>
        <v>3.3284797596551194</v>
      </c>
      <c r="F41" s="529">
        <f>F18/F27</f>
        <v>3.6444663202279024</v>
      </c>
      <c r="G41" s="529">
        <f>G18/G27</f>
        <v>4.1618892475926179</v>
      </c>
      <c r="H41" s="17">
        <f>H27</f>
        <v>-0.13983446498599739</v>
      </c>
      <c r="I41" s="247"/>
      <c r="J41" s="259"/>
      <c r="K41" s="259"/>
      <c r="L41" s="259"/>
      <c r="M41" s="259"/>
      <c r="N41" s="259"/>
      <c r="O41" s="18"/>
      <c r="Q41" s="5"/>
      <c r="R41" s="5"/>
      <c r="S41" s="42"/>
      <c r="T41" s="42"/>
      <c r="U41" s="42"/>
      <c r="V41" s="42"/>
      <c r="W41" s="288"/>
      <c r="X41" s="288"/>
      <c r="Y41" s="288"/>
      <c r="Z41" s="288"/>
      <c r="AA41" s="42"/>
    </row>
    <row r="42" spans="2:27">
      <c r="B42" s="5" t="s">
        <v>593</v>
      </c>
      <c r="D42" s="529">
        <f>IFERROR(D18/D28,"na")</f>
        <v>2.6435267138343592</v>
      </c>
      <c r="E42" s="529">
        <f>IFERROR(E18/E28,"na")</f>
        <v>2.6874926792469762</v>
      </c>
      <c r="F42" s="529">
        <f>IFERROR(F18/F28,"na")</f>
        <v>2.7043050061979828</v>
      </c>
      <c r="G42" s="529">
        <f>IFERROR(G18/G28,"na")</f>
        <v>2.698250651885123</v>
      </c>
      <c r="H42" s="17">
        <f>H28</f>
        <v>-5.8874497743415466E-2</v>
      </c>
      <c r="I42" s="248"/>
      <c r="J42" s="5"/>
      <c r="K42" s="5"/>
      <c r="L42" s="5"/>
      <c r="M42" s="5"/>
      <c r="N42" s="5"/>
      <c r="O42" s="5"/>
      <c r="Q42" s="5"/>
      <c r="R42" s="5"/>
      <c r="S42" s="42"/>
      <c r="T42" s="42"/>
      <c r="U42" s="42"/>
      <c r="V42" s="42"/>
      <c r="W42" s="288"/>
      <c r="X42" s="288"/>
      <c r="Y42" s="288"/>
      <c r="Z42" s="288"/>
      <c r="AA42" s="42"/>
    </row>
    <row r="43" spans="2:27">
      <c r="B43" s="5" t="s">
        <v>475</v>
      </c>
      <c r="C43" s="247"/>
      <c r="D43" s="529">
        <f>L26/D29</f>
        <v>15.604384375436256</v>
      </c>
      <c r="E43" s="529">
        <f>M26/E29</f>
        <v>13.947589171996244</v>
      </c>
      <c r="F43" s="529">
        <f>N26/F29</f>
        <v>12.205371698835725</v>
      </c>
      <c r="G43" s="529">
        <f>O26/G29</f>
        <v>10.462912521803124</v>
      </c>
      <c r="H43" s="17">
        <f>H29</f>
        <v>0.12405553365825539</v>
      </c>
      <c r="I43" s="247"/>
      <c r="J43" s="69"/>
      <c r="K43" s="69"/>
      <c r="L43" s="69"/>
      <c r="M43" s="69"/>
      <c r="N43" s="69"/>
      <c r="O43" s="69"/>
      <c r="Q43" s="5"/>
      <c r="R43" s="5"/>
      <c r="S43" s="42"/>
      <c r="T43" s="42"/>
      <c r="U43" s="42"/>
      <c r="V43" s="42"/>
      <c r="W43" s="288"/>
      <c r="X43" s="288"/>
      <c r="Y43" s="288"/>
      <c r="Z43" s="288"/>
      <c r="AA43" s="42"/>
    </row>
    <row r="44" spans="2:27">
      <c r="B44" s="5" t="s">
        <v>533</v>
      </c>
      <c r="C44" s="69"/>
      <c r="D44" s="529">
        <f>D11/D30</f>
        <v>34.711059898218821</v>
      </c>
      <c r="E44" s="529">
        <f>E11/E30</f>
        <v>24.342833216862154</v>
      </c>
      <c r="F44" s="529">
        <f>F11/F30</f>
        <v>18.5200088547404</v>
      </c>
      <c r="G44" s="529">
        <f>G11/G30</f>
        <v>14.752963523740801</v>
      </c>
      <c r="H44" s="17">
        <f>H30</f>
        <v>0.30853684274174431</v>
      </c>
      <c r="I44" s="247"/>
      <c r="J44" s="259"/>
      <c r="K44" s="259"/>
      <c r="L44" s="259"/>
      <c r="M44" s="259"/>
      <c r="N44" s="259"/>
      <c r="O44" s="18"/>
      <c r="Q44" s="5"/>
      <c r="R44" s="5"/>
      <c r="S44" s="42"/>
      <c r="T44" s="42"/>
      <c r="U44" s="42"/>
      <c r="V44" s="42"/>
      <c r="W44" s="325"/>
      <c r="X44" s="325"/>
      <c r="Y44" s="288"/>
      <c r="Z44" s="288"/>
      <c r="AA44" s="42"/>
    </row>
    <row r="45" spans="2:27">
      <c r="B45" s="5" t="s">
        <v>580</v>
      </c>
      <c r="C45" s="247"/>
      <c r="D45" s="248">
        <f>D31/D11</f>
        <v>0</v>
      </c>
      <c r="E45" s="248">
        <f>E31/E11</f>
        <v>0</v>
      </c>
      <c r="F45" s="248">
        <f>F31/F11</f>
        <v>0</v>
      </c>
      <c r="G45" s="248">
        <f>G31/G11</f>
        <v>0</v>
      </c>
      <c r="H45" s="17" t="str">
        <f>H31</f>
        <v>nm</v>
      </c>
      <c r="I45" s="248"/>
      <c r="J45" s="17"/>
      <c r="K45" s="17"/>
      <c r="L45" s="17"/>
      <c r="M45" s="17"/>
      <c r="N45" s="17"/>
      <c r="O45" s="5"/>
      <c r="Q45" s="5"/>
      <c r="R45" s="5"/>
      <c r="S45" s="42"/>
      <c r="T45" s="42"/>
      <c r="U45" s="42"/>
      <c r="V45" s="42"/>
      <c r="W45" s="42"/>
      <c r="X45" s="42"/>
      <c r="Y45" s="325"/>
      <c r="Z45" s="325"/>
      <c r="AA45" s="42"/>
    </row>
    <row r="46" spans="2:27">
      <c r="B46" s="5" t="s">
        <v>605</v>
      </c>
      <c r="C46" s="247"/>
      <c r="D46" s="248">
        <f>(D31+D32)/D11</f>
        <v>-4.6624356016080726E-2</v>
      </c>
      <c r="E46" s="248">
        <f>(E31+E32)/E11</f>
        <v>-5.1417461697708999E-2</v>
      </c>
      <c r="F46" s="248">
        <f>(F31+F32)/F11</f>
        <v>-5.8370910351574525E-2</v>
      </c>
      <c r="G46" s="248">
        <f>(G31+G32)/G11</f>
        <v>-6.8196619353109195E-2</v>
      </c>
      <c r="H46" s="279">
        <f>((G31+G32)/(D31+D32))^(1/3)-1</f>
        <v>0.11679403648626341</v>
      </c>
      <c r="I46" s="247"/>
      <c r="J46" s="5"/>
      <c r="K46" s="5"/>
      <c r="L46" s="5"/>
      <c r="M46" s="5"/>
      <c r="N46" s="5"/>
      <c r="O46" s="5"/>
      <c r="Q46" s="5"/>
      <c r="R46" s="5"/>
      <c r="S46" s="42"/>
      <c r="T46" s="42"/>
      <c r="U46" s="42"/>
      <c r="V46" s="42"/>
      <c r="W46" s="42"/>
      <c r="X46" s="42"/>
      <c r="Y46" s="42"/>
      <c r="Z46" s="42"/>
      <c r="AA46" s="326"/>
    </row>
    <row r="47" spans="2:27">
      <c r="B47" s="5" t="s">
        <v>581</v>
      </c>
      <c r="C47" s="5"/>
      <c r="D47" s="248">
        <f>1/D43</f>
        <v>6.408455315764694E-2</v>
      </c>
      <c r="E47" s="248">
        <f>1/E43</f>
        <v>7.1696978428916217E-2</v>
      </c>
      <c r="F47" s="248">
        <f>1/F43</f>
        <v>8.1931138573632323E-2</v>
      </c>
      <c r="G47" s="248">
        <f>1/G43</f>
        <v>9.5575682002133872E-2</v>
      </c>
      <c r="H47" s="17">
        <f>H29</f>
        <v>0.12405553365825539</v>
      </c>
      <c r="I47" s="17"/>
      <c r="J47" s="259"/>
      <c r="K47" s="259"/>
      <c r="L47" s="259"/>
      <c r="M47" s="259"/>
      <c r="N47" s="259"/>
      <c r="O47" s="18"/>
      <c r="Q47" s="5"/>
      <c r="R47" s="5"/>
      <c r="S47" s="42"/>
      <c r="T47" s="42"/>
      <c r="U47" s="42"/>
      <c r="V47" s="42"/>
      <c r="W47" s="42"/>
      <c r="X47" s="42"/>
      <c r="Y47" s="42"/>
      <c r="Z47" s="42"/>
      <c r="AA47" s="326"/>
    </row>
    <row r="48" spans="2:27">
      <c r="B48" s="5" t="s">
        <v>618</v>
      </c>
      <c r="C48" s="5"/>
      <c r="D48" s="305">
        <f>D31/D29</f>
        <v>0</v>
      </c>
      <c r="E48" s="305">
        <f>E31/E29</f>
        <v>0</v>
      </c>
      <c r="F48" s="305">
        <f>F31/F29</f>
        <v>0</v>
      </c>
      <c r="G48" s="305">
        <f>G31/G29</f>
        <v>0</v>
      </c>
      <c r="H48" s="279" t="s">
        <v>607</v>
      </c>
      <c r="I48" s="247"/>
      <c r="J48" s="17"/>
      <c r="K48" s="17"/>
      <c r="L48" s="17"/>
      <c r="M48" s="17"/>
      <c r="N48" s="17"/>
      <c r="O48" s="5"/>
      <c r="Q48" s="5"/>
      <c r="R48" s="5"/>
      <c r="S48" s="42"/>
      <c r="T48" s="42"/>
      <c r="U48" s="42"/>
      <c r="V48" s="42"/>
      <c r="W48" s="42"/>
      <c r="X48" s="42"/>
      <c r="Y48" s="42"/>
      <c r="Z48" s="42"/>
      <c r="AA48" s="326"/>
    </row>
    <row r="49" spans="2:27">
      <c r="I49" s="254"/>
      <c r="J49" s="5"/>
      <c r="K49" s="5"/>
      <c r="L49" s="5"/>
      <c r="M49" s="5"/>
      <c r="N49" s="5"/>
      <c r="O49" s="5"/>
      <c r="Q49" s="5"/>
      <c r="R49" s="5"/>
      <c r="S49" s="42"/>
      <c r="T49" s="42"/>
      <c r="U49" s="42"/>
      <c r="V49" s="42"/>
      <c r="W49" s="42"/>
      <c r="X49" s="42"/>
      <c r="Y49" s="42"/>
      <c r="Z49" s="42"/>
      <c r="AA49" s="326"/>
    </row>
    <row r="50" spans="2:27">
      <c r="I50" s="17"/>
      <c r="J50" s="249"/>
      <c r="K50" s="249"/>
      <c r="L50" s="249"/>
      <c r="M50" s="249"/>
      <c r="N50" s="249"/>
      <c r="O50" s="251"/>
      <c r="Q50" s="5"/>
      <c r="R50" s="5"/>
      <c r="S50" s="42"/>
      <c r="T50" s="42"/>
      <c r="U50" s="42"/>
      <c r="V50" s="42"/>
      <c r="W50" s="288"/>
      <c r="X50" s="288"/>
      <c r="Y50" s="42"/>
      <c r="Z50" s="42"/>
      <c r="AA50" s="326"/>
    </row>
    <row r="51" spans="2:27">
      <c r="B51" s="301"/>
      <c r="C51" s="301"/>
      <c r="D51" s="254"/>
      <c r="E51" s="254"/>
      <c r="F51" s="254"/>
      <c r="G51" s="254"/>
      <c r="H51" s="254"/>
      <c r="I51" s="259"/>
      <c r="J51" s="248"/>
      <c r="K51" s="248"/>
      <c r="L51" s="248"/>
      <c r="M51" s="248"/>
      <c r="N51" s="248"/>
      <c r="O51" s="248"/>
      <c r="Q51" s="5"/>
      <c r="R51" s="5"/>
      <c r="S51" s="42"/>
      <c r="T51" s="42"/>
      <c r="U51" s="42"/>
      <c r="V51" s="42"/>
      <c r="W51" s="288"/>
      <c r="X51" s="288"/>
      <c r="Y51" s="288"/>
      <c r="Z51" s="288"/>
      <c r="AA51" s="42"/>
    </row>
    <row r="52" spans="2:27">
      <c r="B52" s="5"/>
      <c r="C52" s="257"/>
      <c r="D52" s="17"/>
      <c r="E52" s="17"/>
      <c r="F52" s="17"/>
      <c r="G52" s="17"/>
      <c r="H52" s="17"/>
      <c r="I52" s="254"/>
      <c r="J52" s="247"/>
      <c r="K52" s="247"/>
      <c r="L52" s="247"/>
      <c r="M52" s="247"/>
      <c r="N52" s="247"/>
      <c r="O52" s="248"/>
      <c r="Q52" s="5"/>
      <c r="R52" s="5"/>
      <c r="S52" s="5"/>
      <c r="Y52" s="10"/>
      <c r="Z52" s="10"/>
    </row>
    <row r="53" spans="2:27">
      <c r="B53" s="5"/>
      <c r="C53" s="257"/>
      <c r="D53" s="257"/>
      <c r="E53" s="257"/>
      <c r="F53" s="5"/>
      <c r="G53" s="5"/>
      <c r="H53" s="259"/>
      <c r="I53" s="17"/>
      <c r="J53" s="249"/>
      <c r="K53" s="249"/>
      <c r="L53" s="249"/>
      <c r="M53" s="249"/>
      <c r="N53" s="249"/>
      <c r="O53" s="251"/>
      <c r="Q53" s="5"/>
      <c r="R53" s="5"/>
      <c r="S53" s="5"/>
    </row>
    <row r="54" spans="2:27">
      <c r="B54" s="41"/>
      <c r="C54" s="249"/>
      <c r="D54" s="254"/>
      <c r="E54" s="254"/>
      <c r="F54" s="254"/>
      <c r="G54" s="254"/>
      <c r="H54" s="254"/>
      <c r="I54" s="259"/>
      <c r="J54" s="248"/>
      <c r="K54" s="248"/>
      <c r="L54" s="248"/>
      <c r="M54" s="248"/>
      <c r="N54" s="248"/>
      <c r="O54" s="248"/>
      <c r="Q54" s="5"/>
      <c r="R54" s="5"/>
      <c r="S54" s="5"/>
    </row>
    <row r="55" spans="2:27">
      <c r="B55" s="5"/>
      <c r="C55" s="257"/>
      <c r="D55" s="17"/>
      <c r="E55" s="17"/>
      <c r="F55" s="17"/>
      <c r="G55" s="17"/>
      <c r="H55" s="17"/>
      <c r="I55" s="249"/>
      <c r="J55" s="247"/>
      <c r="K55" s="247"/>
      <c r="L55" s="247"/>
      <c r="M55" s="247"/>
      <c r="N55" s="247"/>
      <c r="O55" s="248"/>
      <c r="Q55" s="5"/>
      <c r="R55" s="5"/>
      <c r="S55" s="5"/>
    </row>
    <row r="56" spans="2:27">
      <c r="B56" s="5"/>
      <c r="C56" s="248"/>
      <c r="D56" s="248"/>
      <c r="E56" s="248"/>
      <c r="F56" s="5"/>
      <c r="G56" s="5"/>
      <c r="H56" s="259"/>
      <c r="I56" s="248"/>
      <c r="J56" s="17"/>
      <c r="K56" s="17"/>
      <c r="L56" s="17"/>
      <c r="M56" s="17"/>
      <c r="N56" s="17"/>
      <c r="O56" s="248"/>
      <c r="Q56" s="5"/>
      <c r="R56" s="5"/>
      <c r="S56" s="5"/>
    </row>
    <row r="57" spans="2:27">
      <c r="B57" s="41"/>
      <c r="C57" s="249"/>
      <c r="D57" s="249"/>
      <c r="E57" s="249"/>
      <c r="F57" s="249"/>
      <c r="G57" s="249"/>
      <c r="H57" s="249"/>
      <c r="I57" s="5"/>
      <c r="J57" s="249"/>
      <c r="K57" s="249"/>
      <c r="L57" s="249"/>
      <c r="M57" s="249"/>
      <c r="N57" s="249"/>
      <c r="O57" s="251"/>
      <c r="Q57" s="5"/>
      <c r="R57" s="5"/>
      <c r="S57" s="5"/>
    </row>
    <row r="58" spans="2:27">
      <c r="B58" s="5"/>
      <c r="C58" s="5"/>
      <c r="D58" s="248"/>
      <c r="E58" s="248"/>
      <c r="F58" s="248"/>
      <c r="G58" s="248"/>
      <c r="H58" s="248"/>
      <c r="I58" s="17"/>
      <c r="J58" s="248"/>
      <c r="K58" s="248"/>
      <c r="L58" s="248"/>
      <c r="M58" s="248"/>
      <c r="N58" s="248"/>
      <c r="O58" s="18"/>
      <c r="Q58" s="5"/>
      <c r="R58" s="5"/>
      <c r="S58" s="5"/>
    </row>
    <row r="59" spans="2:27">
      <c r="B59" s="5"/>
      <c r="C59" s="5"/>
      <c r="D59" s="5"/>
      <c r="E59" s="5"/>
      <c r="F59" s="5"/>
      <c r="G59" s="5"/>
      <c r="H59" s="5"/>
      <c r="I59" s="5"/>
      <c r="J59" s="5"/>
      <c r="K59" s="5"/>
      <c r="L59" s="5"/>
      <c r="M59" s="5"/>
      <c r="N59" s="5"/>
      <c r="O59" s="5"/>
      <c r="Q59" s="5"/>
      <c r="R59" s="5"/>
      <c r="S59" s="5"/>
    </row>
    <row r="60" spans="2:27">
      <c r="B60" s="41"/>
      <c r="C60" s="17"/>
      <c r="D60" s="17"/>
      <c r="E60" s="17"/>
      <c r="F60" s="17"/>
      <c r="G60" s="17"/>
      <c r="H60" s="17"/>
      <c r="I60" s="249"/>
      <c r="J60" s="17"/>
      <c r="K60" s="17"/>
      <c r="L60" s="17"/>
      <c r="M60" s="17"/>
      <c r="N60" s="17"/>
      <c r="O60" s="251"/>
      <c r="Q60" s="5"/>
      <c r="R60" s="5"/>
      <c r="S60" s="5"/>
    </row>
    <row r="61" spans="2:27">
      <c r="B61" s="5"/>
      <c r="C61" s="5"/>
      <c r="D61" s="5"/>
      <c r="E61" s="5"/>
      <c r="F61" s="5"/>
      <c r="G61" s="5"/>
      <c r="H61" s="5"/>
      <c r="I61" s="5"/>
      <c r="J61" s="5"/>
      <c r="K61" s="5"/>
      <c r="L61" s="5"/>
      <c r="M61" s="5"/>
      <c r="N61" s="5"/>
      <c r="O61" s="5"/>
      <c r="Q61" s="41"/>
      <c r="R61" s="5"/>
      <c r="S61" s="5"/>
    </row>
    <row r="62" spans="2:27">
      <c r="B62" s="41"/>
      <c r="C62" s="249"/>
      <c r="D62" s="249"/>
      <c r="E62" s="249"/>
      <c r="F62" s="249"/>
      <c r="G62" s="249"/>
      <c r="H62" s="249"/>
      <c r="I62" s="5"/>
      <c r="J62" s="249"/>
      <c r="K62" s="249"/>
      <c r="L62" s="249"/>
      <c r="M62" s="249"/>
      <c r="N62" s="249"/>
      <c r="O62" s="251"/>
      <c r="Q62" s="5"/>
      <c r="R62" s="5"/>
      <c r="S62" s="5"/>
    </row>
    <row r="63" spans="2:27">
      <c r="B63" s="5"/>
      <c r="C63" s="5"/>
      <c r="D63" s="5"/>
      <c r="E63" s="5"/>
      <c r="F63" s="5"/>
      <c r="G63" s="5"/>
      <c r="H63" s="5"/>
      <c r="I63" s="254"/>
      <c r="J63" s="5"/>
      <c r="K63" s="5"/>
      <c r="L63" s="5"/>
      <c r="M63" s="5"/>
      <c r="N63" s="5"/>
      <c r="O63" s="5"/>
      <c r="Q63" s="5"/>
      <c r="R63" s="5"/>
      <c r="S63" s="5"/>
    </row>
    <row r="64" spans="2:27">
      <c r="B64" s="5"/>
      <c r="C64" s="5"/>
      <c r="D64" s="5"/>
      <c r="E64" s="5"/>
      <c r="F64" s="5"/>
      <c r="G64" s="5"/>
      <c r="H64" s="5"/>
      <c r="I64" s="17"/>
      <c r="J64" s="5"/>
      <c r="K64" s="5"/>
      <c r="L64" s="5"/>
      <c r="M64" s="5"/>
      <c r="N64" s="5"/>
      <c r="O64" s="5"/>
      <c r="Q64" s="5"/>
      <c r="R64" s="5"/>
      <c r="S64" s="5"/>
    </row>
    <row r="65" spans="2:26">
      <c r="B65" s="41"/>
      <c r="C65" s="249"/>
      <c r="D65" s="254"/>
      <c r="E65" s="254"/>
      <c r="F65" s="254"/>
      <c r="G65" s="254"/>
      <c r="H65" s="254"/>
      <c r="I65" s="254"/>
      <c r="J65" s="254"/>
      <c r="K65" s="254"/>
      <c r="L65" s="254"/>
      <c r="M65" s="254"/>
      <c r="N65" s="254"/>
      <c r="O65" s="251"/>
      <c r="Q65" s="5"/>
      <c r="R65" s="5"/>
      <c r="S65" s="5"/>
    </row>
    <row r="66" spans="2:26">
      <c r="B66" s="5"/>
      <c r="C66" s="5"/>
      <c r="D66" s="17"/>
      <c r="E66" s="17"/>
      <c r="F66" s="17"/>
      <c r="G66" s="17"/>
      <c r="H66" s="17"/>
      <c r="I66" s="248"/>
      <c r="J66" s="17"/>
      <c r="K66" s="17"/>
      <c r="L66" s="17"/>
      <c r="M66" s="17"/>
      <c r="N66" s="17"/>
      <c r="O66" s="5"/>
      <c r="Q66" s="5"/>
      <c r="R66" s="5"/>
      <c r="S66" s="5"/>
    </row>
    <row r="67" spans="2:26">
      <c r="B67" s="41"/>
      <c r="C67" s="249"/>
      <c r="D67" s="254"/>
      <c r="E67" s="254"/>
      <c r="F67" s="254"/>
      <c r="G67" s="254"/>
      <c r="H67" s="254"/>
      <c r="I67" s="5"/>
      <c r="J67" s="254"/>
      <c r="K67" s="254"/>
      <c r="L67" s="254"/>
      <c r="M67" s="254"/>
      <c r="N67" s="254"/>
      <c r="O67" s="251"/>
      <c r="Q67" s="41"/>
      <c r="R67" s="5"/>
      <c r="S67" s="5"/>
    </row>
    <row r="68" spans="2:26">
      <c r="B68" s="5"/>
      <c r="C68" s="5"/>
      <c r="D68" s="248"/>
      <c r="E68" s="248"/>
      <c r="F68" s="248"/>
      <c r="G68" s="248"/>
      <c r="H68" s="248"/>
      <c r="I68" s="245"/>
      <c r="J68" s="248"/>
      <c r="K68" s="248"/>
      <c r="L68" s="248"/>
      <c r="M68" s="248"/>
      <c r="N68" s="248"/>
      <c r="O68" s="5"/>
      <c r="Q68" s="5"/>
      <c r="R68" s="5"/>
      <c r="S68" s="5"/>
    </row>
    <row r="69" spans="2:26">
      <c r="B69" s="41"/>
      <c r="C69" s="5"/>
      <c r="D69" s="5"/>
      <c r="E69" s="5"/>
      <c r="F69" s="5"/>
      <c r="G69" s="5"/>
      <c r="H69" s="5"/>
      <c r="I69" s="248"/>
      <c r="J69" s="5"/>
      <c r="K69" s="5"/>
      <c r="L69" s="5"/>
      <c r="M69" s="5"/>
      <c r="N69" s="5"/>
      <c r="O69" s="5"/>
      <c r="Q69" s="5"/>
      <c r="R69" s="5"/>
      <c r="S69" s="5"/>
    </row>
    <row r="70" spans="2:26">
      <c r="B70" s="41"/>
      <c r="C70" s="245"/>
      <c r="D70" s="245"/>
      <c r="E70" s="245"/>
      <c r="F70" s="245"/>
      <c r="G70" s="245"/>
      <c r="H70" s="245"/>
      <c r="I70" s="5"/>
      <c r="J70" s="245"/>
      <c r="K70" s="245"/>
      <c r="L70" s="245"/>
      <c r="M70" s="245"/>
      <c r="N70" s="245"/>
      <c r="O70" s="251"/>
      <c r="Q70" s="5"/>
      <c r="R70" s="5"/>
      <c r="S70" s="5"/>
      <c r="W70" s="76"/>
      <c r="X70" s="76"/>
    </row>
    <row r="71" spans="2:26">
      <c r="B71" s="5"/>
      <c r="C71" s="5"/>
      <c r="D71" s="248"/>
      <c r="E71" s="248"/>
      <c r="F71" s="248"/>
      <c r="G71" s="248"/>
      <c r="H71" s="248"/>
      <c r="I71" s="245"/>
      <c r="J71" s="248"/>
      <c r="K71" s="248"/>
      <c r="L71" s="248"/>
      <c r="M71" s="248"/>
      <c r="N71" s="248"/>
      <c r="O71" s="5"/>
      <c r="Q71" s="5"/>
      <c r="R71" s="5"/>
      <c r="S71" s="5"/>
      <c r="W71" s="76"/>
      <c r="X71" s="76"/>
      <c r="Y71" s="76"/>
      <c r="Z71" s="76"/>
    </row>
    <row r="72" spans="2:26">
      <c r="B72" s="41"/>
      <c r="C72" s="5"/>
      <c r="D72" s="5"/>
      <c r="E72" s="5"/>
      <c r="F72" s="5"/>
      <c r="G72" s="5"/>
      <c r="H72" s="5"/>
      <c r="I72" s="18"/>
      <c r="J72" s="5"/>
      <c r="K72" s="5"/>
      <c r="L72" s="5"/>
      <c r="M72" s="5"/>
      <c r="N72" s="5"/>
      <c r="O72" s="5"/>
      <c r="Q72" s="5"/>
      <c r="R72" s="5"/>
      <c r="S72" s="5"/>
      <c r="Y72" s="76"/>
      <c r="Z72" s="76"/>
    </row>
    <row r="73" spans="2:26">
      <c r="B73" s="41"/>
      <c r="C73" s="245"/>
      <c r="D73" s="245"/>
      <c r="E73" s="245"/>
      <c r="F73" s="245"/>
      <c r="G73" s="245"/>
      <c r="H73" s="245"/>
      <c r="I73" s="5"/>
      <c r="J73" s="245"/>
      <c r="K73" s="245"/>
      <c r="L73" s="245"/>
      <c r="M73" s="245"/>
      <c r="N73" s="245"/>
      <c r="O73" s="251"/>
      <c r="Q73" s="5"/>
      <c r="R73" s="5"/>
      <c r="S73" s="5"/>
    </row>
    <row r="74" spans="2:26">
      <c r="B74" s="5"/>
      <c r="C74" s="5"/>
      <c r="D74" s="18"/>
      <c r="E74" s="18"/>
      <c r="F74" s="18"/>
      <c r="G74" s="18"/>
      <c r="H74" s="18"/>
      <c r="I74" s="249"/>
      <c r="J74" s="18"/>
      <c r="K74" s="18"/>
      <c r="L74" s="18"/>
      <c r="M74" s="18"/>
      <c r="N74" s="18"/>
      <c r="O74" s="5"/>
      <c r="Q74" s="5"/>
      <c r="R74" s="5"/>
      <c r="S74" s="5"/>
    </row>
    <row r="75" spans="2:26">
      <c r="B75" s="41"/>
      <c r="C75" s="5"/>
      <c r="D75" s="5"/>
      <c r="E75" s="5"/>
      <c r="F75" s="5"/>
      <c r="G75" s="5"/>
      <c r="H75" s="5"/>
      <c r="I75" s="248"/>
      <c r="J75" s="5"/>
      <c r="K75" s="5"/>
      <c r="L75" s="5"/>
      <c r="M75" s="5"/>
      <c r="N75" s="5"/>
      <c r="O75" s="5"/>
      <c r="Q75" s="5"/>
      <c r="R75" s="5"/>
      <c r="S75" s="5"/>
    </row>
    <row r="76" spans="2:26">
      <c r="B76" s="41"/>
      <c r="C76" s="249"/>
      <c r="D76" s="249"/>
      <c r="E76" s="249"/>
      <c r="F76" s="249"/>
      <c r="G76" s="249"/>
      <c r="H76" s="249"/>
      <c r="I76" s="5"/>
      <c r="J76" s="249"/>
      <c r="K76" s="249"/>
      <c r="L76" s="249"/>
      <c r="M76" s="249"/>
      <c r="N76" s="249"/>
      <c r="O76" s="251"/>
      <c r="Q76" s="5"/>
      <c r="R76" s="5"/>
      <c r="S76" s="5"/>
    </row>
    <row r="77" spans="2:26">
      <c r="B77" s="5"/>
      <c r="C77" s="5"/>
      <c r="D77" s="248"/>
      <c r="E77" s="248"/>
      <c r="F77" s="248"/>
      <c r="G77" s="248"/>
      <c r="H77" s="248"/>
      <c r="I77" s="245"/>
      <c r="J77" s="248"/>
      <c r="K77" s="248"/>
      <c r="L77" s="248"/>
      <c r="M77" s="248"/>
      <c r="N77" s="248"/>
      <c r="O77" s="5"/>
      <c r="Q77" s="5"/>
      <c r="R77" s="5"/>
      <c r="S77" s="5"/>
    </row>
    <row r="78" spans="2:26">
      <c r="B78" s="41"/>
      <c r="C78" s="5"/>
      <c r="D78" s="5"/>
      <c r="E78" s="5"/>
      <c r="F78" s="5"/>
      <c r="G78" s="5"/>
      <c r="H78" s="5"/>
      <c r="I78" s="248"/>
      <c r="J78" s="5"/>
      <c r="K78" s="5"/>
      <c r="L78" s="5"/>
      <c r="M78" s="5"/>
      <c r="N78" s="5"/>
      <c r="O78" s="5"/>
      <c r="Q78" s="5"/>
      <c r="R78" s="5"/>
      <c r="S78" s="5"/>
    </row>
    <row r="79" spans="2:26">
      <c r="B79" s="41"/>
      <c r="C79" s="245"/>
      <c r="D79" s="245"/>
      <c r="E79" s="245"/>
      <c r="F79" s="245"/>
      <c r="G79" s="245"/>
      <c r="H79" s="245"/>
      <c r="I79" s="5"/>
      <c r="J79" s="245"/>
      <c r="K79" s="245"/>
      <c r="L79" s="245"/>
      <c r="M79" s="245"/>
      <c r="N79" s="245"/>
      <c r="O79" s="251"/>
      <c r="Q79" s="5"/>
      <c r="R79" s="5"/>
      <c r="S79" s="5"/>
    </row>
    <row r="80" spans="2:26">
      <c r="B80" s="5"/>
      <c r="C80" s="5"/>
      <c r="D80" s="248"/>
      <c r="E80" s="248"/>
      <c r="F80" s="248"/>
      <c r="G80" s="248"/>
      <c r="H80" s="248"/>
      <c r="I80" s="249"/>
      <c r="J80" s="248"/>
      <c r="K80" s="248"/>
      <c r="L80" s="248"/>
      <c r="M80" s="248"/>
      <c r="N80" s="248"/>
      <c r="O80" s="5"/>
      <c r="Q80" s="5"/>
      <c r="R80" s="5"/>
      <c r="S80" s="5"/>
    </row>
    <row r="81" spans="2:26">
      <c r="B81" s="41"/>
      <c r="C81" s="5"/>
      <c r="D81" s="5"/>
      <c r="E81" s="5"/>
      <c r="F81" s="5"/>
      <c r="G81" s="5"/>
      <c r="H81" s="5"/>
      <c r="I81" s="248"/>
      <c r="J81" s="5"/>
      <c r="K81" s="5"/>
      <c r="L81" s="5"/>
      <c r="M81" s="5"/>
      <c r="N81" s="5"/>
      <c r="O81" s="5"/>
      <c r="Q81" s="5"/>
      <c r="R81" s="5"/>
      <c r="S81" s="5"/>
    </row>
    <row r="82" spans="2:26">
      <c r="B82" s="41"/>
      <c r="C82" s="249"/>
      <c r="D82" s="249"/>
      <c r="E82" s="249"/>
      <c r="F82" s="249"/>
      <c r="G82" s="249"/>
      <c r="H82" s="249"/>
      <c r="I82" s="259"/>
      <c r="J82" s="249"/>
      <c r="K82" s="249"/>
      <c r="L82" s="249"/>
      <c r="M82" s="249"/>
      <c r="N82" s="249"/>
      <c r="O82" s="251"/>
      <c r="Q82" s="5"/>
      <c r="R82" s="5"/>
      <c r="S82" s="5"/>
    </row>
    <row r="83" spans="2:26">
      <c r="B83" s="5"/>
      <c r="C83" s="5"/>
      <c r="D83" s="248"/>
      <c r="E83" s="248"/>
      <c r="F83" s="248"/>
      <c r="G83" s="248"/>
      <c r="H83" s="248"/>
      <c r="I83" s="5"/>
      <c r="J83" s="248"/>
      <c r="K83" s="248"/>
      <c r="L83" s="248"/>
      <c r="M83" s="248"/>
      <c r="N83" s="248"/>
      <c r="O83" s="5"/>
      <c r="Q83" s="5"/>
      <c r="R83" s="5"/>
      <c r="S83" s="5"/>
    </row>
    <row r="84" spans="2:26">
      <c r="B84" s="5"/>
      <c r="C84" s="259"/>
      <c r="D84" s="259"/>
      <c r="E84" s="259"/>
      <c r="F84" s="259"/>
      <c r="G84" s="259"/>
      <c r="H84" s="259"/>
      <c r="I84" s="245"/>
      <c r="J84" s="259"/>
      <c r="K84" s="259"/>
      <c r="L84" s="259"/>
      <c r="M84" s="259"/>
      <c r="N84" s="259"/>
      <c r="O84" s="251"/>
      <c r="Q84" s="5"/>
      <c r="R84" s="5"/>
      <c r="S84" s="5"/>
    </row>
    <row r="85" spans="2:26">
      <c r="B85" s="41"/>
      <c r="C85" s="5"/>
      <c r="D85" s="5"/>
      <c r="E85" s="5"/>
      <c r="F85" s="5"/>
      <c r="G85" s="5"/>
      <c r="H85" s="5"/>
      <c r="I85" s="248"/>
      <c r="J85" s="5"/>
      <c r="K85" s="5"/>
      <c r="L85" s="5"/>
      <c r="M85" s="5"/>
      <c r="N85" s="5"/>
      <c r="O85" s="5"/>
      <c r="Q85" s="5"/>
      <c r="R85" s="5"/>
      <c r="S85" s="5"/>
    </row>
    <row r="86" spans="2:26">
      <c r="B86" s="41"/>
      <c r="C86" s="245"/>
      <c r="D86" s="245"/>
      <c r="E86" s="245"/>
      <c r="F86" s="245"/>
      <c r="G86" s="245"/>
      <c r="H86" s="245"/>
      <c r="I86" s="5"/>
      <c r="J86" s="245"/>
      <c r="K86" s="245"/>
      <c r="L86" s="245"/>
      <c r="M86" s="245"/>
      <c r="N86" s="245"/>
      <c r="O86" s="251"/>
      <c r="Q86" s="5"/>
      <c r="R86" s="5"/>
      <c r="S86" s="5"/>
    </row>
    <row r="87" spans="2:26">
      <c r="B87" s="5"/>
      <c r="C87" s="5"/>
      <c r="D87" s="248"/>
      <c r="E87" s="248"/>
      <c r="F87" s="248"/>
      <c r="G87" s="248"/>
      <c r="H87" s="248"/>
      <c r="I87" s="5"/>
      <c r="J87" s="248"/>
      <c r="K87" s="248"/>
      <c r="L87" s="248"/>
      <c r="M87" s="248"/>
      <c r="N87" s="248"/>
      <c r="O87" s="5"/>
      <c r="Q87" s="5"/>
      <c r="R87" s="5"/>
      <c r="S87" s="5"/>
    </row>
    <row r="88" spans="2:26">
      <c r="B88" s="41"/>
      <c r="C88" s="5"/>
      <c r="D88" s="5"/>
      <c r="E88" s="5"/>
      <c r="F88" s="5"/>
      <c r="G88" s="5"/>
      <c r="H88" s="5"/>
      <c r="I88" s="5"/>
      <c r="J88" s="5"/>
      <c r="K88" s="5"/>
      <c r="L88" s="5"/>
      <c r="M88" s="5"/>
      <c r="N88" s="5"/>
      <c r="O88" s="5"/>
      <c r="Q88" s="5"/>
      <c r="R88" s="5"/>
      <c r="S88" s="5"/>
    </row>
    <row r="89" spans="2:26">
      <c r="B89" s="41"/>
      <c r="C89" s="5"/>
      <c r="D89" s="5"/>
      <c r="E89" s="5"/>
      <c r="F89" s="5"/>
      <c r="G89" s="5"/>
      <c r="H89" s="5"/>
      <c r="I89" s="5"/>
      <c r="J89" s="5"/>
      <c r="K89" s="5"/>
      <c r="L89" s="5"/>
      <c r="M89" s="5"/>
      <c r="N89" s="5"/>
      <c r="O89" s="5"/>
      <c r="Q89" s="5"/>
      <c r="R89" s="5"/>
      <c r="S89" s="5"/>
    </row>
    <row r="90" spans="2:26">
      <c r="B90" s="41"/>
      <c r="C90" s="5"/>
      <c r="D90" s="5"/>
      <c r="E90" s="5"/>
      <c r="F90" s="5"/>
      <c r="G90" s="5"/>
      <c r="H90" s="5"/>
      <c r="I90" s="49"/>
      <c r="J90" s="5"/>
      <c r="K90" s="5"/>
      <c r="L90" s="5"/>
      <c r="M90" s="5"/>
      <c r="N90" s="5"/>
      <c r="O90" s="5"/>
      <c r="Q90" s="41"/>
      <c r="R90" s="5"/>
      <c r="S90" s="5"/>
    </row>
    <row r="91" spans="2:26">
      <c r="B91" s="5"/>
      <c r="C91" s="5"/>
      <c r="D91" s="5"/>
      <c r="E91" s="5"/>
      <c r="F91" s="5"/>
      <c r="G91" s="5"/>
      <c r="H91" s="5"/>
      <c r="I91" s="5"/>
      <c r="J91" s="5"/>
      <c r="K91" s="5"/>
      <c r="L91" s="5"/>
      <c r="M91" s="5"/>
      <c r="N91" s="5"/>
      <c r="O91" s="5"/>
      <c r="Q91" s="5"/>
      <c r="R91" s="5"/>
      <c r="S91" s="5"/>
    </row>
    <row r="92" spans="2:26">
      <c r="B92" s="41"/>
      <c r="C92" s="49"/>
      <c r="D92" s="49"/>
      <c r="E92" s="49"/>
      <c r="F92" s="49"/>
      <c r="G92" s="49"/>
      <c r="H92" s="49"/>
      <c r="I92" s="247"/>
      <c r="J92" s="49"/>
      <c r="K92" s="49"/>
      <c r="L92" s="49"/>
      <c r="M92" s="49"/>
      <c r="N92" s="49"/>
      <c r="O92" s="49"/>
      <c r="Q92" s="5"/>
      <c r="R92" s="5"/>
      <c r="S92" s="5"/>
      <c r="W92" s="21"/>
      <c r="X92" s="21"/>
    </row>
    <row r="93" spans="2:26">
      <c r="B93" s="5"/>
      <c r="C93" s="5"/>
      <c r="D93" s="5"/>
      <c r="E93" s="5"/>
      <c r="F93" s="5"/>
      <c r="G93" s="5"/>
      <c r="H93" s="5"/>
      <c r="I93" s="247"/>
      <c r="J93" s="5"/>
      <c r="K93" s="5"/>
      <c r="L93" s="5"/>
      <c r="M93" s="5"/>
      <c r="N93" s="5"/>
      <c r="O93" s="5"/>
      <c r="Q93" s="5"/>
      <c r="R93" s="5"/>
      <c r="S93" s="5"/>
      <c r="W93" s="21"/>
      <c r="X93" s="21"/>
      <c r="Y93" s="21"/>
      <c r="Z93" s="21"/>
    </row>
    <row r="94" spans="2:26">
      <c r="B94" s="5"/>
      <c r="C94" s="259"/>
      <c r="D94" s="247"/>
      <c r="E94" s="247"/>
      <c r="F94" s="247"/>
      <c r="G94" s="247"/>
      <c r="H94" s="247"/>
      <c r="I94" s="247"/>
      <c r="J94" s="247"/>
      <c r="K94" s="247"/>
      <c r="L94" s="247"/>
      <c r="M94" s="247"/>
      <c r="N94" s="247"/>
      <c r="O94" s="248"/>
      <c r="Q94" s="5"/>
      <c r="R94" s="5"/>
      <c r="S94" s="5"/>
      <c r="Y94" s="21"/>
      <c r="Z94" s="21"/>
    </row>
    <row r="95" spans="2:26">
      <c r="B95" s="5"/>
      <c r="C95" s="259"/>
      <c r="D95" s="247"/>
      <c r="E95" s="247"/>
      <c r="F95" s="247"/>
      <c r="G95" s="247"/>
      <c r="H95" s="247"/>
      <c r="I95" s="248"/>
      <c r="J95" s="247"/>
      <c r="K95" s="247"/>
      <c r="L95" s="247"/>
      <c r="M95" s="247"/>
      <c r="N95" s="247"/>
      <c r="O95" s="248"/>
      <c r="Q95" s="5"/>
      <c r="R95" s="5"/>
      <c r="S95" s="5"/>
    </row>
    <row r="96" spans="2:26">
      <c r="B96" s="5"/>
      <c r="C96" s="259"/>
      <c r="D96" s="247"/>
      <c r="E96" s="247"/>
      <c r="F96" s="247"/>
      <c r="G96" s="247"/>
      <c r="H96" s="247"/>
      <c r="I96" s="247"/>
      <c r="J96" s="247"/>
      <c r="K96" s="247"/>
      <c r="L96" s="247"/>
      <c r="M96" s="247"/>
      <c r="N96" s="247"/>
      <c r="O96" s="248"/>
      <c r="Q96" s="5"/>
      <c r="R96" s="5"/>
      <c r="S96" s="5"/>
    </row>
    <row r="97" spans="2:19">
      <c r="B97" s="5"/>
      <c r="C97" s="259"/>
      <c r="D97" s="248"/>
      <c r="E97" s="248"/>
      <c r="F97" s="248"/>
      <c r="G97" s="248"/>
      <c r="H97" s="248"/>
      <c r="I97" s="249"/>
      <c r="J97" s="248"/>
      <c r="K97" s="248"/>
      <c r="L97" s="248"/>
      <c r="M97" s="248"/>
      <c r="N97" s="248"/>
      <c r="O97" s="248"/>
      <c r="Q97" s="5"/>
      <c r="R97" s="5"/>
      <c r="S97" s="5"/>
    </row>
    <row r="98" spans="2:19">
      <c r="B98" s="5"/>
      <c r="C98" s="259"/>
      <c r="D98" s="247"/>
      <c r="E98" s="247"/>
      <c r="F98" s="247"/>
      <c r="G98" s="247"/>
      <c r="H98" s="247"/>
      <c r="I98" s="248"/>
      <c r="J98" s="247"/>
      <c r="K98" s="247"/>
      <c r="L98" s="247"/>
      <c r="M98" s="247"/>
      <c r="N98" s="247"/>
      <c r="O98" s="248"/>
      <c r="Q98" s="5"/>
      <c r="R98" s="5"/>
      <c r="S98" s="5"/>
    </row>
    <row r="99" spans="2:19">
      <c r="B99" s="41"/>
      <c r="C99" s="249"/>
      <c r="D99" s="249"/>
      <c r="E99" s="249"/>
      <c r="F99" s="249"/>
      <c r="G99" s="249"/>
      <c r="H99" s="249"/>
      <c r="I99" s="5"/>
      <c r="J99" s="249"/>
      <c r="K99" s="249"/>
      <c r="L99" s="249"/>
      <c r="M99" s="249"/>
      <c r="N99" s="249"/>
      <c r="O99" s="248"/>
      <c r="Q99" s="5"/>
      <c r="R99" s="5"/>
      <c r="S99" s="5"/>
    </row>
    <row r="100" spans="2:19">
      <c r="B100" s="41"/>
      <c r="C100" s="257"/>
      <c r="D100" s="248"/>
      <c r="E100" s="248"/>
      <c r="F100" s="248"/>
      <c r="G100" s="248"/>
      <c r="H100" s="248"/>
      <c r="I100" s="259"/>
      <c r="J100" s="248"/>
      <c r="K100" s="248"/>
      <c r="L100" s="248"/>
      <c r="M100" s="248"/>
      <c r="N100" s="248"/>
      <c r="O100" s="248"/>
      <c r="Q100" s="5"/>
      <c r="R100" s="5"/>
      <c r="S100" s="5"/>
    </row>
    <row r="101" spans="2:19" s="5" customFormat="1">
      <c r="B101" s="41"/>
      <c r="I101" s="259"/>
      <c r="O101" s="248"/>
      <c r="P101" s="39"/>
    </row>
    <row r="102" spans="2:19">
      <c r="B102" s="5"/>
      <c r="C102" s="259"/>
      <c r="D102" s="259"/>
      <c r="E102" s="259"/>
      <c r="F102" s="259"/>
      <c r="G102" s="259"/>
      <c r="H102" s="259"/>
      <c r="I102" s="247"/>
      <c r="J102" s="259"/>
      <c r="K102" s="259"/>
      <c r="L102" s="259"/>
      <c r="M102" s="259"/>
      <c r="N102" s="259"/>
      <c r="O102" s="5"/>
      <c r="Q102" s="5"/>
      <c r="R102" s="5"/>
      <c r="S102" s="5"/>
    </row>
    <row r="103" spans="2:19">
      <c r="B103" s="5"/>
      <c r="C103" s="259"/>
      <c r="D103" s="259"/>
      <c r="E103" s="259"/>
      <c r="F103" s="259"/>
      <c r="G103" s="259"/>
      <c r="H103" s="259"/>
      <c r="I103" s="5"/>
      <c r="J103" s="259"/>
      <c r="K103" s="259"/>
      <c r="L103" s="259"/>
      <c r="M103" s="259"/>
      <c r="N103" s="259"/>
      <c r="O103" s="5"/>
      <c r="P103" s="5"/>
      <c r="Q103" s="5"/>
      <c r="R103" s="5"/>
      <c r="S103" s="5"/>
    </row>
    <row r="104" spans="2:19">
      <c r="B104" s="5"/>
      <c r="C104" s="247"/>
      <c r="D104" s="247"/>
      <c r="E104" s="247"/>
      <c r="F104" s="247"/>
      <c r="G104" s="247"/>
      <c r="H104" s="247"/>
      <c r="I104" s="247"/>
      <c r="J104" s="247"/>
      <c r="K104" s="247"/>
      <c r="L104" s="247"/>
      <c r="M104" s="247"/>
      <c r="N104" s="247"/>
      <c r="O104" s="5"/>
      <c r="Q104" s="5"/>
      <c r="R104" s="5"/>
      <c r="S104" s="5"/>
    </row>
    <row r="105" spans="2:19" s="5" customFormat="1">
      <c r="P105" s="39"/>
    </row>
    <row r="106" spans="2:19" s="5" customFormat="1">
      <c r="C106" s="259"/>
      <c r="D106" s="247"/>
      <c r="E106" s="247"/>
      <c r="F106" s="247"/>
      <c r="G106" s="247"/>
      <c r="H106" s="247"/>
      <c r="I106" s="259"/>
      <c r="J106" s="247"/>
      <c r="K106" s="247"/>
      <c r="L106" s="247"/>
      <c r="M106" s="247"/>
      <c r="N106" s="247"/>
      <c r="P106" s="39"/>
    </row>
    <row r="107" spans="2:19">
      <c r="B107" s="5"/>
      <c r="C107" s="259"/>
      <c r="D107" s="5"/>
      <c r="E107" s="5"/>
      <c r="F107" s="5"/>
      <c r="G107" s="5"/>
      <c r="H107" s="5"/>
      <c r="I107" s="247"/>
      <c r="J107" s="5"/>
      <c r="K107" s="5"/>
      <c r="L107" s="5"/>
      <c r="M107" s="5"/>
      <c r="N107" s="5"/>
      <c r="O107" s="5"/>
      <c r="P107" s="5"/>
      <c r="Q107" s="5"/>
      <c r="R107" s="5"/>
      <c r="S107" s="5"/>
    </row>
    <row r="108" spans="2:19">
      <c r="B108" s="5"/>
      <c r="C108" s="259"/>
      <c r="D108" s="259"/>
      <c r="E108" s="259"/>
      <c r="F108" s="259"/>
      <c r="G108" s="259"/>
      <c r="H108" s="259"/>
      <c r="I108" s="249"/>
      <c r="J108" s="259"/>
      <c r="K108" s="259"/>
      <c r="L108" s="259"/>
      <c r="M108" s="259"/>
      <c r="N108" s="259"/>
      <c r="O108" s="5"/>
      <c r="P108" s="5"/>
      <c r="Q108" s="5"/>
      <c r="R108" s="5"/>
      <c r="S108" s="5"/>
    </row>
    <row r="109" spans="2:19">
      <c r="B109" s="5"/>
      <c r="C109" s="247"/>
      <c r="D109" s="247"/>
      <c r="E109" s="247"/>
      <c r="F109" s="247"/>
      <c r="G109" s="247"/>
      <c r="H109" s="247"/>
      <c r="I109" s="249"/>
      <c r="J109" s="247"/>
      <c r="K109" s="247"/>
      <c r="L109" s="247"/>
      <c r="M109" s="247"/>
      <c r="N109" s="247"/>
      <c r="O109" s="5"/>
      <c r="Q109" s="5"/>
      <c r="R109" s="5"/>
      <c r="S109" s="5"/>
    </row>
    <row r="110" spans="2:19">
      <c r="B110" s="41"/>
      <c r="C110" s="249"/>
      <c r="D110" s="249"/>
      <c r="E110" s="249"/>
      <c r="F110" s="249"/>
      <c r="G110" s="249"/>
      <c r="H110" s="249"/>
      <c r="I110" s="247"/>
      <c r="J110" s="249"/>
      <c r="K110" s="249"/>
      <c r="L110" s="249"/>
      <c r="M110" s="249"/>
      <c r="N110" s="249"/>
      <c r="O110" s="5"/>
      <c r="Q110" s="5"/>
      <c r="R110" s="5"/>
      <c r="S110" s="5"/>
    </row>
    <row r="111" spans="2:19">
      <c r="B111" s="5"/>
      <c r="C111" s="249"/>
      <c r="D111" s="249"/>
      <c r="E111" s="249"/>
      <c r="F111" s="249"/>
      <c r="G111" s="249"/>
      <c r="H111" s="249"/>
      <c r="I111" s="5"/>
      <c r="J111" s="249"/>
      <c r="K111" s="249"/>
      <c r="L111" s="249"/>
      <c r="M111" s="249"/>
      <c r="N111" s="249"/>
      <c r="O111" s="5"/>
      <c r="Q111" s="5"/>
      <c r="R111" s="5"/>
      <c r="S111" s="5"/>
    </row>
    <row r="112" spans="2:19">
      <c r="B112" s="5"/>
      <c r="C112" s="247"/>
      <c r="D112" s="247"/>
      <c r="E112" s="247"/>
      <c r="F112" s="247"/>
      <c r="G112" s="247"/>
      <c r="H112" s="247"/>
      <c r="I112" s="5"/>
      <c r="J112" s="247"/>
      <c r="K112" s="247"/>
      <c r="L112" s="247"/>
      <c r="M112" s="247"/>
      <c r="N112" s="247"/>
      <c r="O112" s="5"/>
      <c r="Q112" s="5"/>
      <c r="R112" s="5"/>
      <c r="S112" s="5"/>
    </row>
    <row r="113" spans="2:19">
      <c r="B113" s="5"/>
      <c r="C113" s="5"/>
      <c r="D113" s="5"/>
      <c r="E113" s="5"/>
      <c r="F113" s="5"/>
      <c r="G113" s="5"/>
      <c r="H113" s="5"/>
      <c r="I113" s="5"/>
      <c r="J113" s="5"/>
      <c r="K113" s="5"/>
      <c r="L113" s="5"/>
      <c r="M113" s="5"/>
      <c r="N113" s="5"/>
      <c r="O113" s="5"/>
      <c r="Q113" s="5"/>
      <c r="R113" s="5"/>
      <c r="S113" s="5"/>
    </row>
    <row r="114" spans="2:19">
      <c r="B114" s="5"/>
      <c r="C114" s="5"/>
      <c r="D114" s="5"/>
      <c r="E114" s="5"/>
      <c r="F114" s="5"/>
      <c r="G114" s="5"/>
      <c r="H114" s="5"/>
      <c r="I114" s="5"/>
      <c r="J114" s="5"/>
      <c r="K114" s="5"/>
      <c r="L114" s="5"/>
      <c r="M114" s="5"/>
      <c r="N114" s="5"/>
      <c r="O114" s="5"/>
      <c r="Q114" s="5"/>
      <c r="R114" s="5"/>
      <c r="S114" s="5"/>
    </row>
    <row r="115" spans="2:19">
      <c r="B115" s="5"/>
      <c r="C115" s="5"/>
      <c r="D115" s="5"/>
      <c r="E115" s="5"/>
      <c r="F115" s="5"/>
      <c r="G115" s="5"/>
      <c r="H115" s="5"/>
      <c r="I115" s="49"/>
      <c r="J115" s="5"/>
      <c r="K115" s="5"/>
      <c r="L115" s="5"/>
      <c r="M115" s="5"/>
      <c r="N115" s="5"/>
      <c r="O115" s="5"/>
      <c r="Q115" s="41"/>
      <c r="R115" s="5"/>
      <c r="S115" s="5"/>
    </row>
    <row r="116" spans="2:19">
      <c r="B116" s="5"/>
      <c r="C116" s="5"/>
      <c r="D116" s="5"/>
      <c r="E116" s="5"/>
      <c r="F116" s="5"/>
      <c r="G116" s="5"/>
      <c r="H116" s="5"/>
      <c r="I116" s="5"/>
      <c r="J116" s="5"/>
      <c r="K116" s="5"/>
      <c r="L116" s="5"/>
      <c r="M116" s="5"/>
      <c r="N116" s="5"/>
      <c r="O116" s="5"/>
      <c r="Q116" s="5"/>
      <c r="R116" s="5"/>
      <c r="S116" s="5"/>
    </row>
    <row r="117" spans="2:19">
      <c r="B117" s="41"/>
      <c r="C117" s="49"/>
      <c r="D117" s="49"/>
      <c r="E117" s="49"/>
      <c r="F117" s="49"/>
      <c r="G117" s="49"/>
      <c r="H117" s="49"/>
      <c r="I117" s="254"/>
      <c r="J117" s="49"/>
      <c r="K117" s="49"/>
      <c r="L117" s="49"/>
      <c r="M117" s="49"/>
      <c r="N117" s="49"/>
      <c r="O117" s="49"/>
      <c r="Q117" s="5"/>
      <c r="R117" s="5"/>
      <c r="S117" s="5"/>
    </row>
    <row r="118" spans="2:19">
      <c r="B118" s="5"/>
      <c r="C118" s="5"/>
      <c r="D118" s="5"/>
      <c r="E118" s="5"/>
      <c r="F118" s="5"/>
      <c r="G118" s="5"/>
      <c r="H118" s="5"/>
      <c r="I118" s="249"/>
      <c r="J118" s="5"/>
      <c r="K118" s="5"/>
      <c r="L118" s="5"/>
      <c r="M118" s="5"/>
      <c r="N118" s="5"/>
      <c r="O118" s="5"/>
      <c r="Q118" s="5"/>
      <c r="R118" s="5"/>
      <c r="S118" s="5"/>
    </row>
    <row r="119" spans="2:19">
      <c r="B119" s="41"/>
      <c r="C119" s="254"/>
      <c r="D119" s="254"/>
      <c r="E119" s="254"/>
      <c r="F119" s="254"/>
      <c r="G119" s="254"/>
      <c r="H119" s="254"/>
      <c r="I119" s="254"/>
      <c r="J119" s="254"/>
      <c r="K119" s="254"/>
      <c r="L119" s="254"/>
      <c r="M119" s="254"/>
      <c r="N119" s="254"/>
      <c r="O119" s="248"/>
      <c r="Q119" s="5"/>
      <c r="R119" s="5"/>
      <c r="S119" s="5"/>
    </row>
    <row r="120" spans="2:19">
      <c r="B120" s="41"/>
      <c r="C120" s="254"/>
      <c r="D120" s="249"/>
      <c r="E120" s="249"/>
      <c r="F120" s="249"/>
      <c r="G120" s="249"/>
      <c r="H120" s="249"/>
      <c r="I120" s="254"/>
      <c r="J120" s="249"/>
      <c r="K120" s="249"/>
      <c r="L120" s="249"/>
      <c r="M120" s="249"/>
      <c r="N120" s="249"/>
      <c r="O120" s="248"/>
      <c r="Q120" s="5"/>
      <c r="R120" s="5"/>
      <c r="S120" s="5"/>
    </row>
    <row r="121" spans="2:19">
      <c r="B121" s="41"/>
      <c r="C121" s="254"/>
      <c r="D121" s="254"/>
      <c r="E121" s="254"/>
      <c r="F121" s="254"/>
      <c r="G121" s="254"/>
      <c r="H121" s="254"/>
      <c r="I121" s="254"/>
      <c r="J121" s="254"/>
      <c r="K121" s="254"/>
      <c r="L121" s="254"/>
      <c r="M121" s="254"/>
      <c r="N121" s="254"/>
      <c r="O121" s="248"/>
      <c r="Q121" s="5"/>
      <c r="R121" s="5"/>
      <c r="S121" s="5"/>
    </row>
    <row r="122" spans="2:19">
      <c r="B122" s="41"/>
      <c r="C122" s="254"/>
      <c r="D122" s="254"/>
      <c r="E122" s="254"/>
      <c r="F122" s="254"/>
      <c r="G122" s="254"/>
      <c r="H122" s="254"/>
      <c r="I122" s="254"/>
      <c r="J122" s="254"/>
      <c r="K122" s="254"/>
      <c r="L122" s="254"/>
      <c r="M122" s="254"/>
      <c r="N122" s="254"/>
      <c r="O122" s="248"/>
      <c r="Q122" s="5"/>
      <c r="R122" s="5"/>
      <c r="S122" s="5"/>
    </row>
    <row r="123" spans="2:19">
      <c r="B123" s="41"/>
      <c r="C123" s="254"/>
      <c r="D123" s="254"/>
      <c r="E123" s="254"/>
      <c r="F123" s="254"/>
      <c r="G123" s="254"/>
      <c r="H123" s="254"/>
      <c r="I123" s="254"/>
      <c r="J123" s="254"/>
      <c r="K123" s="254"/>
      <c r="L123" s="254"/>
      <c r="M123" s="254"/>
      <c r="N123" s="254"/>
      <c r="O123" s="248"/>
      <c r="Q123" s="5"/>
      <c r="R123" s="5"/>
      <c r="S123" s="5"/>
    </row>
    <row r="124" spans="2:19">
      <c r="B124" s="41"/>
      <c r="C124" s="254"/>
      <c r="D124" s="254"/>
      <c r="E124" s="254"/>
      <c r="F124" s="254"/>
      <c r="G124" s="254"/>
      <c r="H124" s="254"/>
      <c r="I124" s="254"/>
      <c r="J124" s="254"/>
      <c r="K124" s="254"/>
      <c r="L124" s="254"/>
      <c r="M124" s="254"/>
      <c r="N124" s="254"/>
      <c r="O124" s="248"/>
      <c r="Q124" s="5"/>
      <c r="R124" s="5"/>
      <c r="S124" s="5"/>
    </row>
    <row r="125" spans="2:19">
      <c r="B125" s="41"/>
      <c r="C125" s="254"/>
      <c r="D125" s="254"/>
      <c r="E125" s="254"/>
      <c r="F125" s="254"/>
      <c r="G125" s="254"/>
      <c r="H125" s="254"/>
      <c r="I125" s="254"/>
      <c r="J125" s="254"/>
      <c r="K125" s="254"/>
      <c r="L125" s="254"/>
      <c r="M125" s="254"/>
      <c r="N125" s="254"/>
      <c r="O125" s="5"/>
      <c r="Q125" s="5"/>
      <c r="R125" s="5"/>
      <c r="S125" s="5"/>
    </row>
    <row r="126" spans="2:19">
      <c r="B126" s="41"/>
      <c r="C126" s="254"/>
      <c r="D126" s="254"/>
      <c r="E126" s="254"/>
      <c r="F126" s="254"/>
      <c r="G126" s="254"/>
      <c r="H126" s="254"/>
      <c r="I126" s="254"/>
      <c r="J126" s="254"/>
      <c r="K126" s="254"/>
      <c r="L126" s="254"/>
      <c r="M126" s="254"/>
      <c r="N126" s="254"/>
      <c r="O126" s="5"/>
      <c r="Q126" s="5"/>
      <c r="R126" s="5"/>
      <c r="S126" s="5"/>
    </row>
    <row r="127" spans="2:19">
      <c r="B127" s="41"/>
      <c r="C127" s="254"/>
      <c r="D127" s="254"/>
      <c r="E127" s="254"/>
      <c r="F127" s="254"/>
      <c r="G127" s="254"/>
      <c r="H127" s="254"/>
      <c r="I127" s="18"/>
      <c r="J127" s="254"/>
      <c r="K127" s="254"/>
      <c r="L127" s="254"/>
      <c r="M127" s="254"/>
      <c r="N127" s="254"/>
      <c r="O127" s="5"/>
      <c r="Q127" s="5"/>
      <c r="R127" s="5"/>
      <c r="S127" s="5"/>
    </row>
    <row r="128" spans="2:19">
      <c r="B128" s="41"/>
      <c r="C128" s="254"/>
      <c r="D128" s="254"/>
      <c r="E128" s="254"/>
      <c r="F128" s="254"/>
      <c r="G128" s="254"/>
      <c r="H128" s="254"/>
      <c r="I128" s="5"/>
      <c r="J128" s="254"/>
      <c r="K128" s="254"/>
      <c r="L128" s="254"/>
      <c r="M128" s="254"/>
      <c r="N128" s="254"/>
      <c r="O128" s="5"/>
      <c r="Q128" s="5"/>
      <c r="R128" s="5"/>
      <c r="S128" s="5"/>
    </row>
    <row r="129" spans="2:27">
      <c r="B129" s="5"/>
      <c r="C129" s="5"/>
      <c r="D129" s="18"/>
      <c r="E129" s="18"/>
      <c r="F129" s="18"/>
      <c r="G129" s="18"/>
      <c r="H129" s="18"/>
      <c r="I129" s="254"/>
      <c r="J129" s="18"/>
      <c r="K129" s="18"/>
      <c r="L129" s="18"/>
      <c r="M129" s="18"/>
      <c r="N129" s="18"/>
      <c r="O129" s="5"/>
      <c r="Q129" s="5"/>
      <c r="R129" s="5"/>
      <c r="S129" s="5"/>
    </row>
    <row r="130" spans="2:27">
      <c r="B130" s="5"/>
      <c r="C130" s="5"/>
      <c r="D130" s="5"/>
      <c r="E130" s="5"/>
      <c r="F130" s="5"/>
      <c r="G130" s="5"/>
      <c r="H130" s="5"/>
      <c r="I130" s="18"/>
      <c r="J130" s="5"/>
      <c r="K130" s="5"/>
      <c r="L130" s="5"/>
      <c r="M130" s="5"/>
      <c r="N130" s="5"/>
      <c r="O130" s="5"/>
      <c r="Q130" s="5"/>
      <c r="R130" s="5"/>
      <c r="S130" s="5"/>
    </row>
    <row r="131" spans="2:27">
      <c r="B131" s="41"/>
      <c r="C131" s="254"/>
      <c r="D131" s="254"/>
      <c r="E131" s="254"/>
      <c r="F131" s="254"/>
      <c r="G131" s="254"/>
      <c r="H131" s="254"/>
      <c r="I131" s="5"/>
      <c r="J131" s="254"/>
      <c r="K131" s="254"/>
      <c r="L131" s="254"/>
      <c r="M131" s="254"/>
      <c r="N131" s="254"/>
      <c r="O131" s="5"/>
      <c r="Q131" s="5"/>
      <c r="R131" s="5"/>
      <c r="S131" s="5"/>
    </row>
    <row r="132" spans="2:27">
      <c r="B132" s="5"/>
      <c r="C132" s="259"/>
      <c r="D132" s="18"/>
      <c r="E132" s="18"/>
      <c r="F132" s="18"/>
      <c r="G132" s="18"/>
      <c r="H132" s="18"/>
      <c r="I132" s="5"/>
      <c r="J132" s="18"/>
      <c r="K132" s="18"/>
      <c r="L132" s="18"/>
      <c r="M132" s="18"/>
      <c r="N132" s="18"/>
      <c r="O132" s="5"/>
      <c r="Q132" s="5"/>
      <c r="R132" s="5"/>
      <c r="S132" s="5"/>
    </row>
    <row r="133" spans="2:27">
      <c r="B133" s="5"/>
      <c r="C133" s="5"/>
      <c r="D133" s="5"/>
      <c r="E133" s="5"/>
      <c r="F133" s="5"/>
      <c r="G133" s="5"/>
      <c r="H133" s="5"/>
      <c r="I133" s="17"/>
      <c r="J133" s="5"/>
      <c r="K133" s="5"/>
      <c r="L133" s="5"/>
      <c r="M133" s="5"/>
      <c r="N133" s="5"/>
      <c r="O133" s="5"/>
      <c r="Q133" s="5"/>
      <c r="R133" s="5"/>
      <c r="S133" s="5"/>
    </row>
    <row r="134" spans="2:27">
      <c r="B134" s="41"/>
      <c r="C134" s="5"/>
      <c r="D134" s="5"/>
      <c r="E134" s="5"/>
      <c r="F134" s="5"/>
      <c r="G134" s="5"/>
      <c r="H134" s="5"/>
      <c r="I134" s="17"/>
      <c r="J134" s="5"/>
      <c r="K134" s="5"/>
      <c r="L134" s="5"/>
      <c r="M134" s="5"/>
      <c r="N134" s="5"/>
      <c r="O134" s="5"/>
      <c r="Q134" s="5"/>
      <c r="R134" s="5"/>
      <c r="S134" s="5"/>
    </row>
    <row r="135" spans="2:27">
      <c r="B135" s="5"/>
      <c r="C135" s="17"/>
      <c r="D135" s="17"/>
      <c r="E135" s="17"/>
      <c r="F135" s="17"/>
      <c r="G135" s="17"/>
      <c r="H135" s="17"/>
      <c r="I135" s="17"/>
      <c r="J135" s="17"/>
      <c r="K135" s="17"/>
      <c r="L135" s="17"/>
      <c r="M135" s="17"/>
      <c r="N135" s="17"/>
      <c r="O135" s="5"/>
      <c r="Q135" s="41"/>
      <c r="R135" s="5"/>
      <c r="S135" s="5"/>
    </row>
    <row r="136" spans="2:27">
      <c r="B136" s="5"/>
      <c r="C136" s="17"/>
      <c r="D136" s="17"/>
      <c r="E136" s="17"/>
      <c r="F136" s="17"/>
      <c r="G136" s="17"/>
      <c r="H136" s="17"/>
      <c r="I136" s="17"/>
      <c r="J136" s="17"/>
      <c r="K136" s="17"/>
      <c r="L136" s="17"/>
      <c r="M136" s="17"/>
      <c r="N136" s="17"/>
      <c r="O136" s="5"/>
      <c r="Q136" s="5"/>
      <c r="R136" s="5"/>
      <c r="S136" s="5"/>
      <c r="X136" s="304"/>
    </row>
    <row r="137" spans="2:27">
      <c r="B137" s="5"/>
      <c r="C137" s="5"/>
      <c r="D137" s="17"/>
      <c r="E137" s="17"/>
      <c r="F137" s="17"/>
      <c r="G137" s="17"/>
      <c r="H137" s="17"/>
      <c r="I137" s="17"/>
      <c r="J137" s="17"/>
      <c r="K137" s="17"/>
      <c r="L137" s="17"/>
      <c r="M137" s="17"/>
      <c r="N137" s="17"/>
      <c r="O137" s="5"/>
      <c r="Q137" s="5"/>
      <c r="R137" s="5"/>
      <c r="S137" s="5"/>
      <c r="X137" s="10"/>
      <c r="Y137" s="304"/>
      <c r="Z137" s="304"/>
      <c r="AA137" s="304"/>
    </row>
    <row r="138" spans="2:27">
      <c r="B138" s="5"/>
      <c r="C138" s="5"/>
      <c r="D138" s="17"/>
      <c r="E138" s="17"/>
      <c r="F138" s="17"/>
      <c r="G138" s="17"/>
      <c r="H138" s="17"/>
      <c r="I138" s="17"/>
      <c r="J138" s="17"/>
      <c r="K138" s="17"/>
      <c r="L138" s="17"/>
      <c r="M138" s="17"/>
      <c r="N138" s="17"/>
      <c r="O138" s="5"/>
      <c r="Q138" s="5"/>
      <c r="R138" s="5"/>
      <c r="S138" s="5"/>
      <c r="Y138" s="10"/>
      <c r="Z138" s="10"/>
      <c r="AA138" s="10"/>
    </row>
    <row r="139" spans="2:27">
      <c r="B139" s="5"/>
      <c r="C139" s="5"/>
      <c r="D139" s="17"/>
      <c r="E139" s="17"/>
      <c r="F139" s="17"/>
      <c r="G139" s="17"/>
      <c r="H139" s="17"/>
      <c r="I139" s="5"/>
      <c r="J139" s="17"/>
      <c r="K139" s="17"/>
      <c r="L139" s="17"/>
      <c r="M139" s="17"/>
      <c r="N139" s="17"/>
      <c r="O139" s="5"/>
      <c r="Q139" s="5"/>
      <c r="R139" s="5"/>
      <c r="S139" s="5"/>
    </row>
    <row r="140" spans="2:27">
      <c r="B140" s="5"/>
      <c r="C140" s="17"/>
      <c r="D140" s="17"/>
      <c r="E140" s="17"/>
      <c r="F140" s="17"/>
      <c r="G140" s="17"/>
      <c r="H140" s="17"/>
      <c r="I140" s="5"/>
      <c r="J140" s="17"/>
      <c r="K140" s="17"/>
      <c r="L140" s="17"/>
      <c r="M140" s="17"/>
      <c r="N140" s="17"/>
      <c r="O140" s="5"/>
      <c r="Q140" s="5"/>
      <c r="R140" s="5"/>
      <c r="S140" s="5"/>
    </row>
    <row r="141" spans="2:27">
      <c r="B141" s="5"/>
      <c r="C141" s="5"/>
      <c r="D141" s="5"/>
      <c r="E141" s="5"/>
      <c r="F141" s="5"/>
      <c r="G141" s="5"/>
      <c r="H141" s="5"/>
      <c r="I141" s="5"/>
      <c r="J141" s="5"/>
      <c r="K141" s="5"/>
      <c r="L141" s="5"/>
      <c r="M141" s="5"/>
      <c r="N141" s="5"/>
      <c r="O141" s="5"/>
      <c r="Q141" s="5"/>
      <c r="R141" s="5"/>
      <c r="S141" s="5"/>
    </row>
    <row r="142" spans="2:27">
      <c r="B142" s="5"/>
      <c r="C142" s="5"/>
      <c r="D142" s="5"/>
      <c r="E142" s="5"/>
      <c r="F142" s="5"/>
      <c r="G142" s="5"/>
      <c r="H142" s="5"/>
      <c r="I142" s="5"/>
      <c r="J142" s="5"/>
      <c r="K142" s="5"/>
      <c r="L142" s="5"/>
      <c r="M142" s="5"/>
      <c r="N142" s="5"/>
      <c r="O142" s="5"/>
      <c r="Q142" s="5"/>
      <c r="R142" s="5"/>
      <c r="S142" s="5"/>
    </row>
    <row r="143" spans="2:27">
      <c r="B143" s="5"/>
      <c r="C143" s="5"/>
      <c r="D143" s="5"/>
      <c r="E143" s="5"/>
      <c r="F143" s="5"/>
      <c r="G143" s="5"/>
      <c r="H143" s="5"/>
      <c r="I143" s="5"/>
      <c r="J143" s="5"/>
      <c r="K143" s="5"/>
      <c r="L143" s="5"/>
      <c r="M143" s="5"/>
      <c r="N143" s="5"/>
      <c r="O143" s="5"/>
      <c r="Q143" s="5"/>
      <c r="R143" s="5"/>
      <c r="S143" s="5"/>
    </row>
    <row r="144" spans="2:27">
      <c r="B144" s="5"/>
      <c r="C144" s="5"/>
      <c r="D144" s="5"/>
      <c r="E144" s="5"/>
      <c r="F144" s="5"/>
      <c r="G144" s="5"/>
      <c r="H144" s="5"/>
      <c r="I144" s="5"/>
      <c r="J144" s="5"/>
      <c r="K144" s="5"/>
      <c r="L144" s="5"/>
      <c r="M144" s="5"/>
      <c r="N144" s="5"/>
      <c r="O144" s="5"/>
      <c r="Q144" s="5"/>
      <c r="R144" s="5"/>
      <c r="S144" s="5"/>
    </row>
    <row r="145" spans="2:19">
      <c r="B145" s="5"/>
      <c r="C145" s="5"/>
      <c r="D145" s="5"/>
      <c r="E145" s="5"/>
      <c r="F145" s="5"/>
      <c r="G145" s="5"/>
      <c r="H145" s="5"/>
      <c r="I145" s="5"/>
      <c r="J145" s="5"/>
      <c r="K145" s="5"/>
      <c r="L145" s="5"/>
      <c r="M145" s="5"/>
      <c r="N145" s="5"/>
      <c r="O145" s="5"/>
      <c r="Q145" s="5"/>
      <c r="R145" s="5"/>
      <c r="S145" s="5"/>
    </row>
    <row r="146" spans="2:19">
      <c r="B146" s="5"/>
      <c r="C146" s="5"/>
      <c r="D146" s="5"/>
      <c r="E146" s="5"/>
      <c r="F146" s="5"/>
      <c r="G146" s="5"/>
      <c r="H146" s="5"/>
      <c r="I146" s="5"/>
      <c r="J146" s="5"/>
      <c r="K146" s="5"/>
      <c r="L146" s="5"/>
      <c r="M146" s="5"/>
      <c r="N146" s="5"/>
      <c r="O146" s="5"/>
      <c r="Q146" s="5"/>
      <c r="R146" s="5"/>
      <c r="S146" s="5"/>
    </row>
    <row r="147" spans="2:19">
      <c r="B147" s="5"/>
      <c r="C147" s="5"/>
      <c r="D147" s="5"/>
      <c r="E147" s="5"/>
      <c r="F147" s="5"/>
      <c r="G147" s="5"/>
      <c r="H147" s="5"/>
      <c r="I147" s="5"/>
      <c r="J147" s="5"/>
      <c r="K147" s="5"/>
      <c r="L147" s="5"/>
      <c r="M147" s="5"/>
      <c r="N147" s="5"/>
      <c r="O147" s="5"/>
      <c r="Q147" s="5"/>
      <c r="R147" s="5"/>
      <c r="S147" s="5"/>
    </row>
    <row r="148" spans="2:19">
      <c r="B148" s="5"/>
      <c r="C148" s="5"/>
      <c r="D148" s="5"/>
      <c r="E148" s="5"/>
      <c r="F148" s="5"/>
      <c r="G148" s="5"/>
      <c r="H148" s="5"/>
      <c r="I148" s="5"/>
      <c r="J148" s="5"/>
      <c r="K148" s="5"/>
      <c r="L148" s="5"/>
      <c r="M148" s="5"/>
      <c r="N148" s="5"/>
      <c r="O148" s="5"/>
      <c r="Q148" s="5"/>
      <c r="R148" s="5"/>
      <c r="S148" s="5"/>
    </row>
    <row r="149" spans="2:19">
      <c r="B149" s="5"/>
      <c r="C149" s="5"/>
      <c r="D149" s="5"/>
      <c r="E149" s="5"/>
      <c r="F149" s="5"/>
      <c r="G149" s="5"/>
      <c r="H149" s="5"/>
      <c r="J149" s="5"/>
      <c r="K149" s="5"/>
      <c r="L149" s="5"/>
      <c r="M149" s="5"/>
      <c r="N149" s="5"/>
      <c r="O149" s="5"/>
      <c r="Q149" s="5"/>
      <c r="R149" s="5"/>
      <c r="S149" s="5"/>
    </row>
    <row r="150" spans="2:19">
      <c r="B150" s="5"/>
      <c r="C150" s="5"/>
      <c r="D150" s="5"/>
      <c r="E150" s="5"/>
      <c r="F150" s="5"/>
      <c r="G150" s="5"/>
      <c r="H150" s="5"/>
      <c r="J150" s="5"/>
      <c r="K150" s="5"/>
      <c r="L150" s="5"/>
      <c r="M150" s="5"/>
      <c r="N150" s="5"/>
      <c r="O150" s="5"/>
      <c r="Q150" s="5"/>
      <c r="R150" s="5"/>
      <c r="S150" s="5"/>
    </row>
    <row r="151" spans="2:19">
      <c r="Q151" s="5"/>
      <c r="R151" s="5"/>
      <c r="S151" s="5"/>
    </row>
    <row r="152" spans="2:19">
      <c r="Q152" s="5"/>
      <c r="R152" s="5"/>
      <c r="S152" s="5"/>
    </row>
    <row r="153" spans="2:19">
      <c r="C153" s="263"/>
      <c r="Q153" s="5"/>
      <c r="R153" s="5"/>
      <c r="S153" s="5"/>
    </row>
    <row r="154" spans="2:19">
      <c r="Q154" s="5"/>
      <c r="R154" s="5"/>
      <c r="S154" s="5"/>
    </row>
    <row r="155" spans="2:19">
      <c r="Q155" s="5"/>
      <c r="R155" s="5"/>
      <c r="S155" s="5"/>
    </row>
    <row r="156" spans="2:19">
      <c r="Q156" s="5"/>
      <c r="R156" s="5"/>
      <c r="S156" s="5"/>
    </row>
    <row r="157" spans="2:19">
      <c r="Q157" s="5"/>
      <c r="R157" s="5"/>
      <c r="S157" s="5"/>
    </row>
    <row r="158" spans="2:19">
      <c r="Q158" s="5"/>
      <c r="R158" s="5"/>
      <c r="S158" s="5"/>
    </row>
    <row r="159" spans="2:19">
      <c r="Q159" s="5"/>
      <c r="R159" s="5"/>
      <c r="S159" s="5"/>
    </row>
    <row r="160" spans="2:19">
      <c r="Q160" s="5"/>
      <c r="R160" s="5"/>
      <c r="S160" s="5"/>
    </row>
    <row r="161" spans="17:19">
      <c r="Q161" s="5"/>
      <c r="R161" s="5"/>
      <c r="S161" s="5"/>
    </row>
    <row r="162" spans="17:19">
      <c r="Q162" s="5"/>
      <c r="R162" s="5"/>
      <c r="S162" s="5"/>
    </row>
    <row r="163" spans="17:19">
      <c r="Q163" s="5"/>
      <c r="R163" s="5"/>
      <c r="S163" s="5"/>
    </row>
    <row r="164" spans="17:19">
      <c r="Q164" s="5"/>
      <c r="R164" s="5"/>
      <c r="S164" s="5"/>
    </row>
    <row r="165" spans="17:19">
      <c r="Q165" s="5"/>
      <c r="R165" s="5"/>
      <c r="S165" s="5"/>
    </row>
  </sheetData>
  <pageMargins left="0.75" right="0.75" top="1" bottom="1" header="0.5" footer="0.5"/>
  <pageSetup scale="71" orientation="landscape"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tabColor theme="3" tint="0.79998168889431442"/>
    <pageSetUpPr fitToPage="1"/>
  </sheetPr>
  <dimension ref="A1:BQ46"/>
  <sheetViews>
    <sheetView showGridLines="0" zoomScale="80" zoomScaleNormal="80" zoomScaleSheetLayoutView="80" workbookViewId="0"/>
  </sheetViews>
  <sheetFormatPr defaultColWidth="8.88671875" defaultRowHeight="12"/>
  <cols>
    <col min="1" max="1" width="2.33203125" style="39" customWidth="1"/>
    <col min="2" max="2" width="20.6640625" style="39" customWidth="1"/>
    <col min="3" max="7" width="11.109375" style="177" customWidth="1"/>
    <col min="8" max="8" width="2.33203125" style="177" customWidth="1"/>
    <col min="9" max="11" width="11.109375" style="177" customWidth="1"/>
    <col min="12" max="12" width="2.33203125" style="177" customWidth="1"/>
    <col min="13" max="16" width="11.109375" style="177" customWidth="1"/>
    <col min="17" max="17" width="2.33203125" style="177" customWidth="1"/>
    <col min="18" max="22" width="11.109375" style="177" customWidth="1"/>
    <col min="23" max="23" width="6.44140625" style="39" customWidth="1"/>
    <col min="24" max="24" width="7.44140625" style="39" customWidth="1"/>
    <col min="25" max="25" width="6.5546875" style="39" customWidth="1"/>
    <col min="26" max="26" width="8.88671875" style="39"/>
    <col min="27" max="27" width="16.5546875" style="39" customWidth="1"/>
    <col min="28" max="28" width="11.6640625" style="39" bestFit="1" customWidth="1"/>
    <col min="29" max="16384" width="8.88671875" style="39"/>
  </cols>
  <sheetData>
    <row r="1" spans="1:69" s="131" customFormat="1">
      <c r="C1" s="153"/>
      <c r="D1" s="153"/>
      <c r="E1" s="153"/>
      <c r="F1" s="221"/>
      <c r="G1" s="153"/>
      <c r="H1" s="153"/>
      <c r="I1" s="153"/>
      <c r="J1" s="153"/>
      <c r="K1" s="153"/>
      <c r="L1" s="153"/>
      <c r="M1" s="153"/>
      <c r="N1" s="153"/>
      <c r="O1" s="153"/>
      <c r="P1" s="153"/>
      <c r="Q1" s="153"/>
      <c r="R1" s="153"/>
      <c r="S1" s="153"/>
      <c r="T1" s="153"/>
      <c r="U1" s="153"/>
      <c r="V1" s="153"/>
      <c r="AB1" s="160"/>
      <c r="AC1" s="160"/>
    </row>
    <row r="2" spans="1:69" s="131" customFormat="1">
      <c r="C2" s="153"/>
      <c r="D2" s="153"/>
      <c r="E2" s="153"/>
      <c r="F2" s="153"/>
      <c r="G2" s="153"/>
      <c r="H2" s="153"/>
      <c r="I2" s="153"/>
      <c r="J2" s="153"/>
      <c r="K2" s="153"/>
      <c r="L2" s="153"/>
      <c r="M2" s="153"/>
      <c r="N2" s="153"/>
      <c r="O2" s="153"/>
      <c r="P2" s="153"/>
      <c r="Q2" s="153"/>
      <c r="R2" s="153"/>
      <c r="S2" s="153"/>
      <c r="T2" s="153"/>
      <c r="U2" s="153"/>
      <c r="V2" s="153"/>
      <c r="AB2" s="160"/>
      <c r="AC2" s="160"/>
    </row>
    <row r="3" spans="1:69" s="131" customFormat="1">
      <c r="C3" s="153"/>
      <c r="D3" s="153"/>
      <c r="E3" s="153"/>
      <c r="F3" s="153"/>
      <c r="G3" s="153"/>
      <c r="H3" s="153"/>
      <c r="I3" s="153"/>
      <c r="J3" s="153"/>
      <c r="K3" s="153"/>
      <c r="L3" s="153"/>
      <c r="M3" s="153"/>
      <c r="N3" s="153"/>
      <c r="O3" s="153"/>
      <c r="P3" s="153"/>
      <c r="Q3" s="153"/>
      <c r="R3" s="153"/>
      <c r="S3" s="153"/>
      <c r="T3" s="153"/>
      <c r="U3" s="153"/>
      <c r="V3" s="153"/>
      <c r="AB3" s="160"/>
      <c r="AC3" s="160"/>
    </row>
    <row r="4" spans="1:69" s="128" customFormat="1" ht="21">
      <c r="B4" s="155" t="s">
        <v>747</v>
      </c>
      <c r="C4" s="222"/>
      <c r="D4" s="222"/>
      <c r="E4" s="222"/>
      <c r="F4" s="222"/>
      <c r="G4" s="222"/>
      <c r="H4" s="222"/>
      <c r="I4" s="222"/>
      <c r="J4" s="222"/>
      <c r="K4" s="222"/>
      <c r="L4" s="222"/>
      <c r="M4" s="222"/>
      <c r="N4" s="222"/>
      <c r="O4" s="222"/>
      <c r="P4" s="222"/>
      <c r="Q4" s="222"/>
      <c r="R4" s="222"/>
      <c r="S4" s="222"/>
      <c r="T4" s="222"/>
      <c r="U4" s="222"/>
      <c r="V4" s="222"/>
      <c r="AB4" s="203"/>
      <c r="AC4" s="203"/>
    </row>
    <row r="5" spans="1:69" s="131" customFormat="1">
      <c r="C5" s="153"/>
      <c r="D5" s="153"/>
      <c r="E5" s="153"/>
      <c r="F5" s="153"/>
      <c r="G5" s="153"/>
      <c r="H5" s="153"/>
      <c r="I5" s="153"/>
      <c r="J5" s="153"/>
      <c r="K5" s="153"/>
      <c r="L5" s="153"/>
      <c r="M5" s="159"/>
      <c r="N5" s="153"/>
      <c r="O5" s="153"/>
      <c r="P5" s="153"/>
      <c r="Q5" s="153"/>
      <c r="R5" s="153"/>
      <c r="S5" s="159"/>
      <c r="T5" s="153"/>
      <c r="U5" s="153"/>
      <c r="V5" s="223"/>
      <c r="Z5" s="153"/>
      <c r="AC5" s="161"/>
      <c r="AD5" s="162"/>
      <c r="AE5" s="162"/>
      <c r="AF5" s="162"/>
      <c r="AG5" s="162"/>
      <c r="AH5" s="162"/>
      <c r="AI5" s="162"/>
      <c r="AJ5" s="162"/>
      <c r="AK5" s="162"/>
      <c r="AL5" s="162"/>
      <c r="AM5" s="162"/>
      <c r="AN5" s="162"/>
      <c r="AO5" s="162"/>
      <c r="AP5" s="162"/>
      <c r="AQ5" s="162"/>
      <c r="AR5" s="162"/>
      <c r="AS5" s="162"/>
      <c r="AT5" s="162"/>
      <c r="AU5" s="162"/>
      <c r="AV5" s="162"/>
      <c r="AW5" s="162"/>
      <c r="BC5" s="163"/>
      <c r="BD5" s="163"/>
      <c r="BE5" s="163"/>
      <c r="BG5" s="163"/>
      <c r="BH5" s="163"/>
      <c r="BI5" s="163"/>
      <c r="BK5" s="163"/>
      <c r="BL5" s="163"/>
      <c r="BM5" s="163"/>
      <c r="BO5" s="163"/>
      <c r="BP5" s="163"/>
      <c r="BQ5" s="163"/>
    </row>
    <row r="6" spans="1:69">
      <c r="A6" s="5"/>
      <c r="B6" s="5"/>
      <c r="C6" s="224"/>
      <c r="D6" s="69"/>
      <c r="E6" s="69"/>
      <c r="F6" s="69"/>
      <c r="G6" s="69"/>
      <c r="H6" s="69"/>
      <c r="I6" s="69"/>
      <c r="J6" s="69"/>
      <c r="K6" s="69"/>
      <c r="L6" s="49"/>
      <c r="M6" s="49"/>
      <c r="N6" s="49"/>
      <c r="O6" s="49"/>
      <c r="P6" s="212"/>
      <c r="Q6" s="69"/>
      <c r="R6" s="49"/>
      <c r="S6" s="49"/>
      <c r="T6" s="49"/>
      <c r="U6" s="49"/>
      <c r="V6" s="212"/>
    </row>
    <row r="7" spans="1:69" ht="12" customHeight="1">
      <c r="B7" s="200"/>
      <c r="C7" s="225" t="str">
        <f>INDEX(headings,1,3)</f>
        <v>2025E</v>
      </c>
      <c r="D7" s="225" t="str">
        <f>INDEX(headings,1,3)</f>
        <v>2025E</v>
      </c>
      <c r="E7" s="225" t="str">
        <f>INDEX(headings,1,3)</f>
        <v>2025E</v>
      </c>
      <c r="F7" s="225" t="str">
        <f>INDEX(headings,1,3)</f>
        <v>2025E</v>
      </c>
      <c r="G7" s="225" t="str">
        <f>INDEX(headings,1,3)</f>
        <v>2025E</v>
      </c>
      <c r="I7" s="220" t="str">
        <f>INDEX(headings,1,5)</f>
        <v>23E-26E</v>
      </c>
      <c r="J7" s="220"/>
      <c r="K7" s="220"/>
      <c r="M7" s="225"/>
      <c r="N7" s="225"/>
      <c r="O7" s="225"/>
      <c r="P7" s="225"/>
      <c r="R7" s="225" t="str">
        <f>INDEX(headings,1,3)</f>
        <v>2025E</v>
      </c>
      <c r="S7" s="225" t="str">
        <f>INDEX(headings,1,3)</f>
        <v>2025E</v>
      </c>
      <c r="T7" s="225" t="str">
        <f>INDEX(headings,1,3)</f>
        <v>2025E</v>
      </c>
      <c r="U7" s="225" t="str">
        <f>INDEX(headings,1,3)</f>
        <v>2025E</v>
      </c>
      <c r="V7" s="225" t="str">
        <f>INDEX(headings,1,3)</f>
        <v>2025E</v>
      </c>
      <c r="AA7" s="592" t="str">
        <f>INDEX(headings,1,5)</f>
        <v>23E-26E</v>
      </c>
    </row>
    <row r="8" spans="1:69" ht="21.75" customHeight="1">
      <c r="C8" s="195" t="s">
        <v>733</v>
      </c>
      <c r="D8" s="195" t="s">
        <v>483</v>
      </c>
      <c r="E8" s="195" t="s">
        <v>756</v>
      </c>
      <c r="F8" s="195" t="s">
        <v>586</v>
      </c>
      <c r="G8" s="195" t="s">
        <v>590</v>
      </c>
      <c r="H8" s="195"/>
      <c r="I8" s="195" t="s">
        <v>733</v>
      </c>
      <c r="J8" s="195" t="s">
        <v>483</v>
      </c>
      <c r="K8" s="195" t="s">
        <v>756</v>
      </c>
      <c r="L8" s="195"/>
      <c r="M8" s="195" t="s">
        <v>734</v>
      </c>
      <c r="N8" s="195" t="s">
        <v>85</v>
      </c>
      <c r="O8" s="195" t="s">
        <v>735</v>
      </c>
      <c r="P8" s="231" t="s">
        <v>736</v>
      </c>
      <c r="Q8" s="195"/>
      <c r="R8" s="231" t="s">
        <v>1564</v>
      </c>
      <c r="S8" s="231" t="s">
        <v>389</v>
      </c>
      <c r="T8" s="231" t="s">
        <v>1565</v>
      </c>
      <c r="U8" s="231" t="s">
        <v>1566</v>
      </c>
      <c r="V8" s="231" t="s">
        <v>1567</v>
      </c>
      <c r="AA8" s="592" t="s">
        <v>313</v>
      </c>
    </row>
    <row r="9" spans="1:69">
      <c r="B9" s="219"/>
      <c r="C9" s="232" t="s">
        <v>732</v>
      </c>
      <c r="D9" s="232" t="s">
        <v>732</v>
      </c>
      <c r="E9" s="232" t="s">
        <v>732</v>
      </c>
      <c r="F9" s="232" t="s">
        <v>732</v>
      </c>
      <c r="G9" s="232" t="s">
        <v>732</v>
      </c>
      <c r="H9" s="195"/>
      <c r="I9" s="226"/>
      <c r="J9" s="226"/>
      <c r="K9" s="226"/>
      <c r="L9" s="195"/>
      <c r="M9" s="232" t="s">
        <v>732</v>
      </c>
      <c r="N9" s="232" t="s">
        <v>732</v>
      </c>
      <c r="O9" s="232" t="s">
        <v>732</v>
      </c>
      <c r="P9" s="226"/>
      <c r="Q9" s="39"/>
      <c r="R9" s="226"/>
      <c r="S9" s="226"/>
      <c r="T9" s="226"/>
      <c r="U9" s="232"/>
      <c r="V9" s="232"/>
      <c r="AA9" s="593" t="s">
        <v>746</v>
      </c>
    </row>
    <row r="10" spans="1:69">
      <c r="B10" s="213" t="s">
        <v>161</v>
      </c>
      <c r="C10" s="188">
        <f>'W.EUR INCUMB'!$F$23*Prices!$C$155/1000</f>
        <v>316.14885433932471</v>
      </c>
      <c r="D10" s="188">
        <f>'W.EUR INCUMB'!$F$24*Prices!$C$155/1000</f>
        <v>107.40784674950943</v>
      </c>
      <c r="E10" s="188">
        <f>'W.EUR INCUMB'!$F$30*Prices!$C$155/1000</f>
        <v>23.678644603473437</v>
      </c>
      <c r="F10" s="188">
        <f>'W.EUR INCUMB'!$F$26*Prices!$C$155/1000</f>
        <v>43.234789345460648</v>
      </c>
      <c r="G10" s="188">
        <f>'W.EUR INCUMB'!$F$31*Prices!$C$155/1000</f>
        <v>14.781189702014343</v>
      </c>
      <c r="H10" s="195"/>
      <c r="I10" s="68">
        <f>'W.EUR INCUMB'!$H$23</f>
        <v>1.5546449189376421E-2</v>
      </c>
      <c r="J10" s="68">
        <f>'W.EUR INCUMB'!$H$24</f>
        <v>3.1953936851226938E-2</v>
      </c>
      <c r="K10" s="68">
        <f>'W.EUR INCUMB'!$H$30</f>
        <v>9.2323853476973694E-2</v>
      </c>
      <c r="L10" s="195"/>
      <c r="M10" s="228">
        <f>'W.EUR INCUMB'!$F$11*Prices!$C$155/1000</f>
        <v>269.47333732667181</v>
      </c>
      <c r="N10" s="228">
        <f>'W.EUR INCUMB'!$F$12*Prices!$C$155/1000</f>
        <v>234.75824814148797</v>
      </c>
      <c r="O10" s="228">
        <f>'W.EUR INCUMB'!$F$18*Prices!$C$155/1000</f>
        <v>634.63013195518351</v>
      </c>
      <c r="P10" s="188">
        <f t="shared" ref="P10:P13" si="0">N10/D10</f>
        <v>2.1856713009895636</v>
      </c>
      <c r="Q10" s="195"/>
      <c r="R10" s="188">
        <f t="shared" ref="R10:R13" si="1">O10/D10</f>
        <v>5.9086011977805715</v>
      </c>
      <c r="S10" s="188">
        <f t="shared" ref="S10:S13" si="2">M10/E10</f>
        <v>11.380437598490861</v>
      </c>
      <c r="T10" s="188">
        <f>S10/(AA10*100)</f>
        <v>1.2960908277705672</v>
      </c>
      <c r="U10" s="68">
        <f t="shared" ref="U10:U13" si="3">F10/O10</f>
        <v>6.812596372041442E-2</v>
      </c>
      <c r="V10" s="68">
        <f t="shared" ref="V10:V13" si="4">G10/M10</f>
        <v>5.4852141769022936E-2</v>
      </c>
      <c r="Z10" s="217"/>
      <c r="AA10" s="594">
        <f>('W.EUR INCUMB'!$G$30/'W.EUR INCUMB'!$E$30)^(1/2)-1</f>
        <v>8.7805864794727295E-2</v>
      </c>
    </row>
    <row r="11" spans="1:69">
      <c r="B11" s="213" t="s">
        <v>141</v>
      </c>
      <c r="C11" s="188">
        <f>'W.EUR OTHER'!$F$23*Prices!$C$155/1000</f>
        <v>70.393477612545666</v>
      </c>
      <c r="D11" s="188">
        <f>'W.EUR OTHER'!$F$24*Prices!$C$155/1000</f>
        <v>21.56321180777087</v>
      </c>
      <c r="E11" s="188">
        <f>'W.EUR OTHER'!$F$30*Prices!$C$155/1000</f>
        <v>5.0267036547434696</v>
      </c>
      <c r="F11" s="188">
        <f>'W.EUR OTHER'!$F$26*Prices!$C$155/1000</f>
        <v>7.1100709833644311</v>
      </c>
      <c r="G11" s="188">
        <f>'W.EUR OTHER'!$F$31*Prices!$C$155/1000</f>
        <v>2.3178311428242573</v>
      </c>
      <c r="H11" s="195"/>
      <c r="I11" s="68">
        <f>'W.EUR OTHER'!$H$23</f>
        <v>1.5716493135688125E-2</v>
      </c>
      <c r="J11" s="68">
        <f>'W.EUR OTHER'!$H$24</f>
        <v>2.0325446875936182E-2</v>
      </c>
      <c r="K11" s="68">
        <f>'W.EUR OTHER'!$H$30</f>
        <v>0.16793708979658639</v>
      </c>
      <c r="L11" s="195"/>
      <c r="M11" s="228">
        <f>'W.EUR OTHER'!$F$11*Prices!$C$155/1000</f>
        <v>49.13766690396578</v>
      </c>
      <c r="N11" s="228">
        <f>'W.EUR OTHER'!$F$12*Prices!$C$155/1000</f>
        <v>54.391844148510387</v>
      </c>
      <c r="O11" s="228">
        <f>'W.EUR OTHER'!$F$18*Prices!$C$155/1000</f>
        <v>97.411414163696278</v>
      </c>
      <c r="P11" s="188">
        <f t="shared" si="0"/>
        <v>2.5224370392219981</v>
      </c>
      <c r="Q11" s="195"/>
      <c r="R11" s="188">
        <f t="shared" si="1"/>
        <v>4.5174816735135677</v>
      </c>
      <c r="S11" s="188">
        <f t="shared" si="2"/>
        <v>9.7753259947195854</v>
      </c>
      <c r="T11" s="188">
        <f>S11/(AA11*100)</f>
        <v>0.63931562702946654</v>
      </c>
      <c r="U11" s="68">
        <f t="shared" si="3"/>
        <v>7.2990121788153284E-2</v>
      </c>
      <c r="V11" s="68">
        <f t="shared" si="4"/>
        <v>4.7170150494817056E-2</v>
      </c>
      <c r="Z11" s="217"/>
      <c r="AA11" s="594">
        <f>('W.EUR OTHER'!$G$30/'W.EUR OTHER'!$E$30)^(1/2)-1</f>
        <v>0.15290297282642573</v>
      </c>
    </row>
    <row r="12" spans="1:69">
      <c r="B12" s="213" t="s">
        <v>737</v>
      </c>
      <c r="C12" s="188">
        <f>'W.EUR TOWER'!$F$23*Prices!$C$155/1000</f>
        <v>6.3549563260542712</v>
      </c>
      <c r="D12" s="188">
        <f>'W.EUR TOWER'!$F$24*Prices!$C$155/1000</f>
        <v>3.5207769048002895</v>
      </c>
      <c r="E12" s="188">
        <f>'W.EUR TOWER'!$F$30*Prices!$C$155/1000</f>
        <v>0.41129013417062338</v>
      </c>
      <c r="F12" s="188">
        <f>'W.EUR TOWER'!$F$26*Prices!$C$155/1000</f>
        <v>1.0282614195222786</v>
      </c>
      <c r="G12" s="188">
        <f>'W.EUR TOWER'!$F$31*Prices!$C$155/1000</f>
        <v>0.60609957536202275</v>
      </c>
      <c r="H12" s="195"/>
      <c r="I12" s="68">
        <f>'W.EUR TOWER'!$H$23</f>
        <v>4.624876336206829E-2</v>
      </c>
      <c r="J12" s="68">
        <f>'W.EUR TOWER'!$H$24</f>
        <v>8.6748891100800751E-2</v>
      </c>
      <c r="K12" s="68">
        <f>'W.EUR TOWER'!$H$30</f>
        <v>1.3368969852446151</v>
      </c>
      <c r="L12" s="195"/>
      <c r="M12" s="228">
        <f>'W.EUR TOWER'!$F$11*Prices!$C$155/1000</f>
        <v>35.473631996098618</v>
      </c>
      <c r="N12" s="228">
        <f>'W.EUR TOWER'!$F$12*Prices!$C$155/1000</f>
        <v>23.88877730893752</v>
      </c>
      <c r="O12" s="228">
        <f>'W.EUR TOWER'!$F$18*Prices!$C$155/1000</f>
        <v>60.174819290930429</v>
      </c>
      <c r="P12" s="188">
        <f t="shared" si="0"/>
        <v>6.7850869154382201</v>
      </c>
      <c r="Q12" s="195"/>
      <c r="R12" s="188">
        <f t="shared" si="1"/>
        <v>17.091346858384302</v>
      </c>
      <c r="S12" s="188">
        <f>M12/E12</f>
        <v>86.249654559869427</v>
      </c>
      <c r="T12" s="188">
        <f>IFERROR(S12/(AA12*100),"")</f>
        <v>1.3009947504599602</v>
      </c>
      <c r="U12" s="68">
        <f t="shared" si="3"/>
        <v>1.7087902076629226E-2</v>
      </c>
      <c r="V12" s="68">
        <f t="shared" si="4"/>
        <v>1.7085918223109533E-2</v>
      </c>
      <c r="AA12" s="594">
        <f>('W.EUR TOWER'!$G$30/'W.EUR TOWER'!$E$30)^(1/2)-1</f>
        <v>0.66295159553392735</v>
      </c>
    </row>
    <row r="13" spans="1:69">
      <c r="B13" s="209" t="s">
        <v>108</v>
      </c>
      <c r="C13" s="235">
        <f>'W.EUR AGG'!$F$23*Prices!$C$155/1000</f>
        <v>392.89728827792459</v>
      </c>
      <c r="D13" s="235">
        <f>'W.EUR AGG'!$F$24*Prices!$C$155/1000</f>
        <v>132.49183546208062</v>
      </c>
      <c r="E13" s="235">
        <f>'W.EUR AGG'!$F$30*Prices!$C$155/1000</f>
        <v>29.116638392387525</v>
      </c>
      <c r="F13" s="235">
        <f>'W.EUR AGG'!$F$26*Prices!$C$155/1000</f>
        <v>51.373121748347351</v>
      </c>
      <c r="G13" s="235">
        <f>'W.EUR AGG'!$F$31*Prices!$C$155/1000</f>
        <v>17.705120420200622</v>
      </c>
      <c r="H13" s="195"/>
      <c r="I13" s="234">
        <f>'W.EUR AGG'!$H$23</f>
        <v>1.6058866854969933E-2</v>
      </c>
      <c r="J13" s="234">
        <f>'W.EUR AGG'!$H$24</f>
        <v>3.1375875113297758E-2</v>
      </c>
      <c r="K13" s="234">
        <f>'W.EUR AGG'!$H$30</f>
        <v>0.11057345490940995</v>
      </c>
      <c r="L13" s="195"/>
      <c r="M13" s="233">
        <f>'W.EUR AGG'!$F$11*Prices!$C$155/1000</f>
        <v>354.08463622673617</v>
      </c>
      <c r="N13" s="233">
        <f>'W.EUR AGG'!$F$12*Prices!$C$155/1000</f>
        <v>313.03886959893583</v>
      </c>
      <c r="O13" s="233">
        <f>'W.EUR AGG'!$F$18*Prices!$C$155/1000</f>
        <v>792.21636540981024</v>
      </c>
      <c r="P13" s="235">
        <f t="shared" si="0"/>
        <v>2.3627030941731357</v>
      </c>
      <c r="Q13" s="195"/>
      <c r="R13" s="235">
        <f t="shared" si="1"/>
        <v>5.9793598801530976</v>
      </c>
      <c r="S13" s="235">
        <f t="shared" si="2"/>
        <v>12.160903722983033</v>
      </c>
      <c r="T13" s="235">
        <f>S13/(AA13*100)</f>
        <v>1.1649225686307825</v>
      </c>
      <c r="U13" s="234">
        <f t="shared" si="3"/>
        <v>6.4847337156147045E-2</v>
      </c>
      <c r="V13" s="234">
        <f t="shared" si="4"/>
        <v>5.0002509594523167E-2</v>
      </c>
      <c r="AA13" s="595">
        <f>('W.EUR AGG'!$G$30/'W.EUR AGG'!$E$30)^(1/2)-1</f>
        <v>0.10439237808978685</v>
      </c>
    </row>
    <row r="14" spans="1:69">
      <c r="B14" s="218"/>
      <c r="C14" s="188"/>
      <c r="D14" s="188"/>
      <c r="E14" s="188"/>
      <c r="F14" s="188"/>
      <c r="G14" s="188"/>
      <c r="H14" s="195"/>
      <c r="I14" s="227"/>
      <c r="J14" s="227"/>
      <c r="K14" s="227"/>
      <c r="L14" s="195"/>
      <c r="M14" s="188"/>
      <c r="N14" s="195"/>
      <c r="O14" s="188"/>
      <c r="P14" s="195"/>
      <c r="Q14" s="195"/>
      <c r="R14" s="188"/>
      <c r="S14" s="188"/>
      <c r="T14" s="188"/>
      <c r="U14" s="68"/>
      <c r="V14" s="68"/>
      <c r="AA14" s="593"/>
    </row>
    <row r="15" spans="1:69">
      <c r="B15" s="213" t="s">
        <v>1626</v>
      </c>
      <c r="C15" s="188">
        <f>'US TELCO'!$F$23/1000</f>
        <v>347.14135079817532</v>
      </c>
      <c r="D15" s="188">
        <f>'US TELCO'!$F$24/1000</f>
        <v>128.68137167179202</v>
      </c>
      <c r="E15" s="188">
        <f>'US TELCO'!$F$30/1000</f>
        <v>48.633501393522685</v>
      </c>
      <c r="F15" s="188">
        <f>'US TELCO'!$F$26/1000</f>
        <v>53.917140273478488</v>
      </c>
      <c r="G15" s="188">
        <f>'US TELCO'!$F$31/1000</f>
        <v>22.702909999999999</v>
      </c>
      <c r="H15" s="227"/>
      <c r="I15" s="68">
        <f>'US TELCO'!$H$23</f>
        <v>1.8592642260168768E-2</v>
      </c>
      <c r="J15" s="68">
        <f>'US TELCO'!$H$24</f>
        <v>3.1183334923203576E-2</v>
      </c>
      <c r="K15" s="68">
        <f>'US TELCO'!$H$30</f>
        <v>3.9965241834319487E-2</v>
      </c>
      <c r="L15" s="195"/>
      <c r="M15" s="228">
        <f>'US TELCO'!$F$11/1000</f>
        <v>498.01878942545727</v>
      </c>
      <c r="N15" s="228">
        <f>'US TELCO'!$F$12/1000</f>
        <v>300.41697928856405</v>
      </c>
      <c r="O15" s="228">
        <f>'US TELCO'!$F$18/1000</f>
        <v>743.07274871402126</v>
      </c>
      <c r="P15" s="188">
        <f>N15/D15</f>
        <v>2.334580175713326</v>
      </c>
      <c r="Q15" s="195"/>
      <c r="R15" s="188">
        <f>O15/D15</f>
        <v>5.7745168477785871</v>
      </c>
      <c r="S15" s="188">
        <f>M15/E15</f>
        <v>10.240241297777226</v>
      </c>
      <c r="T15" s="188">
        <f>S15/(AA15*100)</f>
        <v>1.7085854784877066</v>
      </c>
      <c r="U15" s="68">
        <f>F15/O15</f>
        <v>7.2559706121357204E-2</v>
      </c>
      <c r="V15" s="68">
        <f>G15/M15</f>
        <v>4.558645272438689E-2</v>
      </c>
      <c r="AA15" s="594">
        <f>('US TELCO'!$G$30/'US TELCO'!$E$30)^(1/2)-1</f>
        <v>5.9934029796630428E-2</v>
      </c>
    </row>
    <row r="16" spans="1:69">
      <c r="B16" s="213" t="s">
        <v>141</v>
      </c>
      <c r="C16" s="188">
        <f>'US OTHER'!$F$23/1000</f>
        <v>208.62871940047481</v>
      </c>
      <c r="D16" s="188">
        <f>'US OTHER'!$F$24/1000</f>
        <v>69.809882072670092</v>
      </c>
      <c r="E16" s="188">
        <f>'US OTHER'!$F$30/1000</f>
        <v>24.486650625674898</v>
      </c>
      <c r="F16" s="188">
        <f>'US OTHER'!$F$26/1000</f>
        <v>28.259416730743226</v>
      </c>
      <c r="G16" s="188">
        <f>'US OTHER'!$F$31/1000</f>
        <v>4.9883623036079836</v>
      </c>
      <c r="H16" s="227"/>
      <c r="I16" s="68">
        <f>'US OTHER'!$H$23</f>
        <v>6.8251004257615655E-3</v>
      </c>
      <c r="J16" s="68">
        <f>'US OTHER'!$H$24</f>
        <v>2.9926645487549974E-2</v>
      </c>
      <c r="K16" s="68">
        <f>'US OTHER'!$H$30</f>
        <v>0.10233723564171293</v>
      </c>
      <c r="L16" s="195"/>
      <c r="M16" s="228">
        <f>'US OTHER'!$F$11/1000</f>
        <v>193.84953129020292</v>
      </c>
      <c r="N16" s="228">
        <f>'US OTHER'!$F$12/1000</f>
        <v>251.49667330499119</v>
      </c>
      <c r="O16" s="228">
        <f>'US OTHER'!$F$18/1000</f>
        <v>389.50804530534316</v>
      </c>
      <c r="P16" s="188">
        <f>N16/D16</f>
        <v>3.602594157703781</v>
      </c>
      <c r="Q16" s="195"/>
      <c r="R16" s="188">
        <f>O16/D16</f>
        <v>5.5795545521746677</v>
      </c>
      <c r="S16" s="188">
        <f>M16/E16</f>
        <v>7.9165392708689435</v>
      </c>
      <c r="T16" s="188">
        <f>S16/(AA16*100)</f>
        <v>0.80594726905084713</v>
      </c>
      <c r="U16" s="68">
        <f>F16/O16</f>
        <v>7.2551561055921462E-2</v>
      </c>
      <c r="V16" s="68">
        <f>G16/M16</f>
        <v>2.573316670103341E-2</v>
      </c>
      <c r="AA16" s="594">
        <f>('US OTHER'!$G$30/'US OTHER'!$E$30)^(1/2)-1</f>
        <v>9.8226516484039239E-2</v>
      </c>
    </row>
    <row r="17" spans="2:27">
      <c r="B17" s="213" t="s">
        <v>737</v>
      </c>
      <c r="C17" s="188">
        <f>'US TOWERS'!$F$23/1000</f>
        <v>21.963717227889795</v>
      </c>
      <c r="D17" s="188">
        <f>'US TOWERS'!$F$24/1000</f>
        <v>14.023629356396848</v>
      </c>
      <c r="E17" s="188">
        <f>'US TOWERS'!$F$30/1000</f>
        <v>6.0045241615517808</v>
      </c>
      <c r="F17" s="188">
        <f>'US TOWERS'!$F$26/1000</f>
        <v>9.6570340146613329</v>
      </c>
      <c r="G17" s="188">
        <f>'US TOWERS'!$F$31/1000</f>
        <v>9.1594034027602245</v>
      </c>
      <c r="H17" s="227"/>
      <c r="I17" s="68">
        <f>'US TOWERS'!$H$23</f>
        <v>2.6157777948455641E-2</v>
      </c>
      <c r="J17" s="68">
        <f>'US TOWERS'!$H$24</f>
        <v>3.0565437622663838E-2</v>
      </c>
      <c r="K17" s="68">
        <f>'US TOWERS'!$H$30</f>
        <v>0.1053428450222762</v>
      </c>
      <c r="L17" s="195"/>
      <c r="M17" s="228">
        <f>'US TOWERS'!$F$11/1000</f>
        <v>150.18397246186632</v>
      </c>
      <c r="N17" s="228">
        <f>'US TOWERS'!$F$12/1000</f>
        <v>69.151624129725477</v>
      </c>
      <c r="O17" s="228">
        <f>'US TOWERS'!$F$18/1000</f>
        <v>200.60252025451794</v>
      </c>
      <c r="P17" s="188">
        <f>N17/D17</f>
        <v>4.9310789933407726</v>
      </c>
      <c r="Q17" s="195"/>
      <c r="R17" s="188">
        <f>O17/D17</f>
        <v>14.30460796962047</v>
      </c>
      <c r="S17" s="188">
        <f>M17/E17</f>
        <v>25.011802504439167</v>
      </c>
      <c r="T17" s="188">
        <f>S17/(AA17*100)</f>
        <v>2.0435206533867736</v>
      </c>
      <c r="U17" s="68">
        <f>F17/O17</f>
        <v>4.8140143017190426E-2</v>
      </c>
      <c r="V17" s="68">
        <f>G17/M17</f>
        <v>6.09878887381669E-2</v>
      </c>
      <c r="AA17" s="594">
        <f>('US TOWERS'!$G$30/'US TOWERS'!$E$30)^(1/2)-1</f>
        <v>0.12239564333732833</v>
      </c>
    </row>
    <row r="18" spans="2:27">
      <c r="B18" s="209" t="s">
        <v>738</v>
      </c>
      <c r="C18" s="235">
        <f>'US AGG'!$F$23/1000</f>
        <v>577.73378742653995</v>
      </c>
      <c r="D18" s="235">
        <f>'US AGG'!$F$24/1000</f>
        <v>212.51488310085898</v>
      </c>
      <c r="E18" s="235">
        <f>'US AGG'!$F$30/1000</f>
        <v>79.124676180749375</v>
      </c>
      <c r="F18" s="235">
        <f>'US AGG'!$F$26/1000</f>
        <v>91.833591018883041</v>
      </c>
      <c r="G18" s="235">
        <f>'US AGG'!$F$31/1000</f>
        <v>36.850675706368207</v>
      </c>
      <c r="H18" s="227"/>
      <c r="I18" s="234">
        <f>'US AGG'!$H$23</f>
        <v>1.456704127626085E-2</v>
      </c>
      <c r="J18" s="234">
        <f>'US AGG'!$H$24</f>
        <v>3.0723349651247567E-2</v>
      </c>
      <c r="K18" s="234">
        <f>'US AGG'!$H$30</f>
        <v>6.3334119736071282E-2</v>
      </c>
      <c r="L18" s="195"/>
      <c r="M18" s="233">
        <f>'US AGG'!$F$11/1000</f>
        <v>842.05229317752651</v>
      </c>
      <c r="N18" s="233">
        <f>'US AGG'!$F$12/1000</f>
        <v>621.06527672328082</v>
      </c>
      <c r="O18" s="233">
        <f>'US AGG'!$F$18/1000</f>
        <v>1333.1833142738824</v>
      </c>
      <c r="P18" s="235">
        <f>N18/D18</f>
        <v>2.9224554424667044</v>
      </c>
      <c r="Q18" s="195"/>
      <c r="R18" s="235">
        <f>O18/D18</f>
        <v>6.2733644572138374</v>
      </c>
      <c r="S18" s="235">
        <f>M18/E18</f>
        <v>10.642094651407792</v>
      </c>
      <c r="T18" s="235">
        <f>S18/(AA18*100)</f>
        <v>1.3909737075984214</v>
      </c>
      <c r="U18" s="234">
        <f>F18/O18</f>
        <v>6.8882943579968339E-2</v>
      </c>
      <c r="V18" s="234">
        <f>G18/M18</f>
        <v>4.3762930170655238E-2</v>
      </c>
      <c r="AA18" s="595">
        <f>('US AGG'!$G$30/'US AGG'!$E$30)^(1/2)-1</f>
        <v>7.6508237310839222E-2</v>
      </c>
    </row>
    <row r="19" spans="2:27">
      <c r="B19" s="218"/>
      <c r="C19" s="188"/>
      <c r="D19" s="188"/>
      <c r="E19" s="188"/>
      <c r="F19" s="188"/>
      <c r="G19" s="188"/>
      <c r="H19" s="227"/>
      <c r="I19" s="227"/>
      <c r="J19" s="227"/>
      <c r="K19" s="227"/>
      <c r="L19" s="227"/>
      <c r="M19" s="227"/>
      <c r="N19" s="227"/>
      <c r="O19" s="227"/>
      <c r="P19" s="227"/>
      <c r="Q19" s="195"/>
      <c r="R19" s="188"/>
      <c r="S19" s="188"/>
      <c r="T19" s="188"/>
      <c r="U19" s="68"/>
      <c r="V19" s="68"/>
      <c r="AA19" s="593"/>
    </row>
    <row r="20" spans="2:27">
      <c r="B20" s="213" t="s">
        <v>161</v>
      </c>
      <c r="C20" s="188">
        <f>'DM ASIA INCUMB'!$F$23/1000</f>
        <v>125.45520289831109</v>
      </c>
      <c r="D20" s="188">
        <f>'DM ASIA INCUMB'!$F$24/1000</f>
        <v>36.766548415962127</v>
      </c>
      <c r="E20" s="188">
        <f>'DM ASIA INCUMB'!$F$30/1000</f>
        <v>14.451086847943804</v>
      </c>
      <c r="F20" s="188">
        <f>'DM ASIA INCUMB'!$F$26/1000</f>
        <v>15.153715866379363</v>
      </c>
      <c r="G20" s="188">
        <f>'DM ASIA INCUMB'!$F$31/1000</f>
        <v>7.8975287644845453</v>
      </c>
      <c r="H20" s="227"/>
      <c r="I20" s="68">
        <f>'DM ASIA INCUMB'!$H$23</f>
        <v>2.5846978212288318E-2</v>
      </c>
      <c r="J20" s="68">
        <f>'DM ASIA INCUMB'!$H$24</f>
        <v>5.6121155713759308E-2</v>
      </c>
      <c r="K20" s="68">
        <f>'DM ASIA INCUMB'!$H$30</f>
        <v>5.0714191793177044E-2</v>
      </c>
      <c r="L20" s="195"/>
      <c r="M20" s="228">
        <f>'DM ASIA INCUMB'!$F$11/1000</f>
        <v>148.28598972680118</v>
      </c>
      <c r="N20" s="228">
        <f>'DM ASIA INCUMB'!$F$12/1000</f>
        <v>53.408949714531474</v>
      </c>
      <c r="O20" s="228">
        <f>'DM ASIA INCUMB'!$F$18/1000</f>
        <v>203.08213652427489</v>
      </c>
      <c r="P20" s="188">
        <f>N20/D20</f>
        <v>1.4526506298683202</v>
      </c>
      <c r="Q20" s="195"/>
      <c r="R20" s="188">
        <f>O20/D20</f>
        <v>5.5235572898136711</v>
      </c>
      <c r="S20" s="188">
        <f>M20/E20</f>
        <v>10.261234416973993</v>
      </c>
      <c r="T20" s="188">
        <f>S20/(AA20*100)</f>
        <v>1.7246049261596283</v>
      </c>
      <c r="U20" s="68">
        <f>F20/O20</f>
        <v>7.4618654923240893E-2</v>
      </c>
      <c r="V20" s="68">
        <f>G20/M20</f>
        <v>5.32587655720866E-2</v>
      </c>
      <c r="AA20" s="594">
        <f>('DM ASIA INCUMB'!$G$30/'DM ASIA INCUMB'!$E$30)^(1/2)-1</f>
        <v>5.9499043875653523E-2</v>
      </c>
    </row>
    <row r="21" spans="2:27">
      <c r="B21" s="213" t="s">
        <v>141</v>
      </c>
      <c r="C21" s="188">
        <f>'DM ASIA OTHER'!$F$23/1000</f>
        <v>104.54346477029522</v>
      </c>
      <c r="D21" s="188">
        <f>'DM ASIA OTHER'!$F$24/1000</f>
        <v>25.87937304572878</v>
      </c>
      <c r="E21" s="188">
        <f>'DM ASIA OTHER'!$F$30/1000</f>
        <v>7.4590151643871705</v>
      </c>
      <c r="F21" s="188">
        <f>'DM ASIA OTHER'!$F$26/1000</f>
        <v>11.361949327958593</v>
      </c>
      <c r="G21" s="188">
        <f>'DM ASIA OTHER'!$F$31/1000</f>
        <v>5.4013897413668985</v>
      </c>
      <c r="H21" s="227"/>
      <c r="I21" s="68">
        <f>'DM ASIA OTHER'!$H$23</f>
        <v>5.3559427902102774E-2</v>
      </c>
      <c r="J21" s="68">
        <f>'DM ASIA OTHER'!$H$24</f>
        <v>5.4696749337629358E-2</v>
      </c>
      <c r="K21" s="68">
        <f>'DM ASIA OTHER'!$H$30</f>
        <v>0.14585153350726876</v>
      </c>
      <c r="L21" s="195"/>
      <c r="M21" s="228">
        <f>'DM ASIA OTHER'!$F$11/1000</f>
        <v>126.63985100388281</v>
      </c>
      <c r="N21" s="228">
        <f>'DM ASIA OTHER'!$F$12/1000</f>
        <v>34.7117574929581</v>
      </c>
      <c r="O21" s="228">
        <f>'DM ASIA OTHER'!$F$18/1000</f>
        <v>152.66332087397302</v>
      </c>
      <c r="P21" s="188">
        <f>N21/D21</f>
        <v>1.3412905108490272</v>
      </c>
      <c r="Q21" s="195"/>
      <c r="R21" s="188">
        <f>O21/D21</f>
        <v>5.8990347488023511</v>
      </c>
      <c r="S21" s="188">
        <f>M21/E21</f>
        <v>16.97809271236245</v>
      </c>
      <c r="T21" s="188">
        <f>S21/(AA21*100)</f>
        <v>1.6890554980160761</v>
      </c>
      <c r="U21" s="68">
        <f>F21/O21</f>
        <v>7.4424879944398267E-2</v>
      </c>
      <c r="V21" s="68">
        <f>G21/M21</f>
        <v>4.2651580040166746E-2</v>
      </c>
      <c r="AA21" s="594">
        <f>('DM ASIA OTHER'!$G$30/'DM ASIA OTHER'!$E$30)^(1/2)-1</f>
        <v>0.10051826439275979</v>
      </c>
    </row>
    <row r="22" spans="2:27">
      <c r="B22" s="209" t="s">
        <v>545</v>
      </c>
      <c r="C22" s="235">
        <f>'AGG DM ASIA'!$F$23/1000</f>
        <v>229.99866766860629</v>
      </c>
      <c r="D22" s="235">
        <f>'AGG DM ASIA'!$F$24/1000</f>
        <v>62.645921461690904</v>
      </c>
      <c r="E22" s="235">
        <f>'AGG DM ASIA'!$F$30/1000</f>
        <v>21.910102012330974</v>
      </c>
      <c r="F22" s="235">
        <f>'AGG DM ASIA'!$F$26/1000</f>
        <v>26.515665194337956</v>
      </c>
      <c r="G22" s="235">
        <f>'AGG DM ASIA'!$F$31/1000</f>
        <v>13.298918505851445</v>
      </c>
      <c r="H22" s="227"/>
      <c r="I22" s="234">
        <f>'AGG DM ASIA'!$H$23</f>
        <v>3.8204826160942229E-2</v>
      </c>
      <c r="J22" s="234">
        <f>'AGG DM ASIA'!$H$24</f>
        <v>5.5522275281963074E-2</v>
      </c>
      <c r="K22" s="234">
        <f>'AGG DM ASIA'!$H$30</f>
        <v>8.005825594684679E-2</v>
      </c>
      <c r="L22" s="195"/>
      <c r="M22" s="233">
        <f>'AGG DM ASIA'!$F$11/1000</f>
        <v>274.925840730684</v>
      </c>
      <c r="N22" s="233">
        <f>'AGG DM ASIA'!$F$12/1000</f>
        <v>88.120707207489588</v>
      </c>
      <c r="O22" s="233">
        <f>'AGG DM ASIA'!$F$18/1000</f>
        <v>355.74545739824788</v>
      </c>
      <c r="P22" s="235">
        <f>N22/D22</f>
        <v>1.4066471551763664</v>
      </c>
      <c r="Q22" s="195"/>
      <c r="R22" s="235">
        <f>O22/D22</f>
        <v>5.678669083282502</v>
      </c>
      <c r="S22" s="235">
        <f>M22/E22</f>
        <v>12.547903272013802</v>
      </c>
      <c r="T22" s="235">
        <f>S22/(AA22*100)</f>
        <v>1.7145818116581946</v>
      </c>
      <c r="U22" s="234">
        <f>F22/O22</f>
        <v>7.4535499028605595E-2</v>
      </c>
      <c r="V22" s="234">
        <f>G22/M22</f>
        <v>4.837274834008419E-2</v>
      </c>
      <c r="AA22" s="595">
        <f>('AGG DM ASIA'!$G$30/'AGG DM ASIA'!$E$30)^(1/2)-1</f>
        <v>7.3183461918790327E-2</v>
      </c>
    </row>
    <row r="23" spans="2:27">
      <c r="B23" s="218"/>
      <c r="C23" s="188"/>
      <c r="D23" s="188"/>
      <c r="E23" s="188"/>
      <c r="F23" s="188"/>
      <c r="G23" s="188"/>
      <c r="R23" s="188"/>
      <c r="S23" s="188"/>
      <c r="T23" s="188"/>
      <c r="U23" s="68"/>
      <c r="V23" s="68"/>
      <c r="AA23" s="593"/>
    </row>
    <row r="24" spans="2:27">
      <c r="B24" s="209" t="s">
        <v>739</v>
      </c>
      <c r="C24" s="235">
        <f>'AGG DM'!$F$23/1000</f>
        <v>1200.6297433730708</v>
      </c>
      <c r="D24" s="235">
        <f>'AGG DM'!$F$24/1000</f>
        <v>407.65264002463044</v>
      </c>
      <c r="E24" s="235">
        <f>'AGG DM'!$F$30/1000</f>
        <v>130.15141658546787</v>
      </c>
      <c r="F24" s="235">
        <f>'AGG DM'!$F$26/1000</f>
        <v>169.72237796156836</v>
      </c>
      <c r="G24" s="235">
        <f>'AGG DM'!$F$31/1000</f>
        <v>67.854714632420283</v>
      </c>
      <c r="H24" s="227"/>
      <c r="I24" s="234">
        <f>'AGG DM'!$H$23</f>
        <v>1.9501934659983178E-2</v>
      </c>
      <c r="J24" s="234">
        <f>'AGG DM'!$H$24</f>
        <v>3.4656651554389573E-2</v>
      </c>
      <c r="K24" s="234">
        <f>'AGG DM'!$H$30</f>
        <v>7.6119307301105277E-2</v>
      </c>
      <c r="L24" s="195"/>
      <c r="M24" s="233">
        <f>'AGG DM'!$F$11/1000</f>
        <v>1471.0627701349467</v>
      </c>
      <c r="N24" s="233">
        <f>'AGG DM'!$F$12/1000</f>
        <v>1022.2248535297061</v>
      </c>
      <c r="O24" s="233">
        <f>'AGG DM'!$F$18/1000</f>
        <v>2481.1451370819404</v>
      </c>
      <c r="P24" s="235">
        <f>N24/D24</f>
        <v>2.5075879637819667</v>
      </c>
      <c r="Q24" s="195"/>
      <c r="R24" s="235">
        <f>O24/D24</f>
        <v>6.0864198915332164</v>
      </c>
      <c r="S24" s="235">
        <f>M24/E24</f>
        <v>11.302702719097404</v>
      </c>
      <c r="T24" s="235">
        <f>S24/(AA24*100)</f>
        <v>1.3774284220068953</v>
      </c>
      <c r="U24" s="234">
        <f>F24/O24</f>
        <v>6.8404856864269462E-2</v>
      </c>
      <c r="V24" s="234">
        <f>G24/M24</f>
        <v>4.6126321738259805E-2</v>
      </c>
      <c r="AA24" s="595">
        <f>('AGG DM'!$G$30/'AGG DM'!$E$30)^(1/2)-1</f>
        <v>8.2056552184610165E-2</v>
      </c>
    </row>
    <row r="25" spans="2:27">
      <c r="B25" s="218"/>
      <c r="C25" s="188"/>
      <c r="D25" s="188"/>
      <c r="E25" s="188"/>
      <c r="F25" s="188"/>
      <c r="G25" s="188"/>
      <c r="R25" s="188"/>
      <c r="S25" s="188"/>
      <c r="T25" s="188"/>
      <c r="U25" s="68"/>
      <c r="V25" s="68"/>
      <c r="AA25" s="593"/>
    </row>
    <row r="26" spans="2:27">
      <c r="B26" s="213" t="s">
        <v>740</v>
      </c>
      <c r="C26" s="188">
        <f>'EMEA INCUMB'!$F$23/1000</f>
        <v>2.769578287713061</v>
      </c>
      <c r="D26" s="188">
        <f>'EMEA INCUMB'!$F$24/1000</f>
        <v>0.71784268514602456</v>
      </c>
      <c r="E26" s="188">
        <f>'EMEA INCUMB'!$F$30/1000</f>
        <v>0.19708649833643463</v>
      </c>
      <c r="F26" s="188">
        <f>'EMEA INCUMB'!$F$26/1000</f>
        <v>0.23346849755432214</v>
      </c>
      <c r="G26" s="188">
        <f>'EMEA INCUMB'!$F$31/1000</f>
        <v>0.11687091191207956</v>
      </c>
      <c r="H26" s="227"/>
      <c r="I26" s="68">
        <f>'EMEA INCUMB'!$H$23</f>
        <v>1.947512825024833E-2</v>
      </c>
      <c r="J26" s="68">
        <f>'EMEA INCUMB'!$H$24</f>
        <v>6.71694721895566E-3</v>
      </c>
      <c r="K26" s="68">
        <f>'EMEA INCUMB'!$H$30</f>
        <v>-3.031445748740591E-3</v>
      </c>
      <c r="L26" s="195"/>
      <c r="M26" s="228">
        <f>'EMEA INCUMB'!$F$11/1000</f>
        <v>0.67864518097564297</v>
      </c>
      <c r="N26" s="228">
        <f>'EMEA INCUMB'!$F$12/1000</f>
        <v>0.58803064692260398</v>
      </c>
      <c r="O26" s="228">
        <f>'EMEA INCUMB'!$F$18/1000</f>
        <v>0.76622000922506617</v>
      </c>
      <c r="P26" s="188">
        <f>N26/D26</f>
        <v>0.81916366787659889</v>
      </c>
      <c r="Q26" s="195"/>
      <c r="R26" s="188">
        <f>O26/D26</f>
        <v>1.067392654519006</v>
      </c>
      <c r="S26" s="188">
        <f>M26/E26</f>
        <v>3.443387480643997</v>
      </c>
      <c r="T26" s="188">
        <f>S26/(AA26*100)</f>
        <v>2.3354703399732588</v>
      </c>
      <c r="U26" s="68">
        <f>F26/O26</f>
        <v>0.30470164540657946</v>
      </c>
      <c r="V26" s="68">
        <f>G26/M26</f>
        <v>0.17221210020833277</v>
      </c>
      <c r="AA26" s="594">
        <f>('EMEA INCUMB'!$G$30/'EMEA INCUMB'!$E$30)^(1/2)-1</f>
        <v>1.4743871594975699E-2</v>
      </c>
    </row>
    <row r="27" spans="2:27">
      <c r="B27" s="213" t="s">
        <v>162</v>
      </c>
      <c r="C27" s="188">
        <f>'EMEA CELLULAR'!$F$23/1000</f>
        <v>38.474658846271964</v>
      </c>
      <c r="D27" s="188">
        <f>'EMEA CELLULAR'!$F$24/1000</f>
        <v>16.133160281117785</v>
      </c>
      <c r="E27" s="188">
        <f>'EMEA CELLULAR'!$F$30/1000</f>
        <v>4.4323570818989184</v>
      </c>
      <c r="F27" s="188">
        <f>'EMEA CELLULAR'!$F$26/1000</f>
        <v>5.9865109039926532</v>
      </c>
      <c r="G27" s="188">
        <f>'EMEA CELLULAR'!$F$31/1000</f>
        <v>2.4378942813482154</v>
      </c>
      <c r="H27" s="227"/>
      <c r="I27" s="68">
        <f>'EMEA CELLULAR'!$H$23</f>
        <v>4.2716103268778172E-2</v>
      </c>
      <c r="J27" s="68">
        <f>'EMEA CELLULAR'!$H$24</f>
        <v>4.2902128020809061E-2</v>
      </c>
      <c r="K27" s="68">
        <f>'EMEA CELLULAR'!$H$30</f>
        <v>0.14827356589829632</v>
      </c>
      <c r="L27" s="195"/>
      <c r="M27" s="228">
        <f>'EMEA CELLULAR'!$F$11/1000</f>
        <v>91.460735058027282</v>
      </c>
      <c r="N27" s="228">
        <f>'EMEA CELLULAR'!$F$12/1000</f>
        <v>23.082341726436049</v>
      </c>
      <c r="O27" s="228">
        <f>'EMEA CELLULAR'!$F$18/1000</f>
        <v>107.67587400869508</v>
      </c>
      <c r="P27" s="188">
        <f>N27/D27</f>
        <v>1.4307390073754842</v>
      </c>
      <c r="Q27" s="195"/>
      <c r="R27" s="188">
        <f>O27/D27</f>
        <v>6.674196011969129</v>
      </c>
      <c r="S27" s="188">
        <f>M27/E27</f>
        <v>20.634784916481394</v>
      </c>
      <c r="T27" s="188">
        <f>S27/(AA27*100)</f>
        <v>0.99127786937210027</v>
      </c>
      <c r="U27" s="68">
        <f>F27/O27</f>
        <v>5.5597513919499075E-2</v>
      </c>
      <c r="V27" s="68">
        <f>G27/M27</f>
        <v>2.6655091715603346E-2</v>
      </c>
      <c r="AA27" s="594">
        <f>('EMEA CELLULAR'!$G$30/'EMEA CELLULAR'!$E$30)^(1/2)-1</f>
        <v>0.20816347821375225</v>
      </c>
    </row>
    <row r="28" spans="2:27">
      <c r="B28" s="209" t="s">
        <v>741</v>
      </c>
      <c r="C28" s="235">
        <f>'EMEA AGG'!$F$23/1000</f>
        <v>41.244237133985031</v>
      </c>
      <c r="D28" s="235">
        <f>'EMEA AGG'!$F$24/1000</f>
        <v>16.851002966263813</v>
      </c>
      <c r="E28" s="235">
        <f>'EMEA AGG'!$F$30/1000</f>
        <v>4.6294435802353524</v>
      </c>
      <c r="F28" s="235">
        <f>'EMEA AGG'!$F$26/1000</f>
        <v>6.2199794015469756</v>
      </c>
      <c r="G28" s="235">
        <f>'EMEA AGG'!$F$31/1000</f>
        <v>2.5547651932602951</v>
      </c>
      <c r="H28" s="227"/>
      <c r="I28" s="234">
        <f>'EMEA AGG'!$H$23</f>
        <v>4.1153694472270574E-2</v>
      </c>
      <c r="J28" s="234">
        <f>'EMEA AGG'!$H$24</f>
        <v>4.1325188452830064E-2</v>
      </c>
      <c r="K28" s="234">
        <f>'EMEA AGG'!$H$30</f>
        <v>0.1405925766795979</v>
      </c>
      <c r="L28" s="195"/>
      <c r="M28" s="233">
        <f>'EMEA AGG'!$F$11/1000</f>
        <v>92.139380239002918</v>
      </c>
      <c r="N28" s="233">
        <f>'EMEA AGG'!$F$12/1000</f>
        <v>23.670372373358653</v>
      </c>
      <c r="O28" s="233">
        <f>'EMEA AGG'!$F$18/1000</f>
        <v>108.44209401792014</v>
      </c>
      <c r="P28" s="235">
        <f>N28/D28</f>
        <v>1.4046862623398388</v>
      </c>
      <c r="Q28" s="195"/>
      <c r="R28" s="235">
        <f>O28/D28</f>
        <v>6.4353495299374339</v>
      </c>
      <c r="S28" s="235">
        <f>M28/E28</f>
        <v>19.90290596312197</v>
      </c>
      <c r="T28" s="235">
        <f>S28/(AA28*100)</f>
        <v>1.0023579654015322</v>
      </c>
      <c r="U28" s="234">
        <f>F28/O28</f>
        <v>5.7357610602015108E-2</v>
      </c>
      <c r="V28" s="234">
        <f>G28/M28</f>
        <v>2.7727180133330809E-2</v>
      </c>
      <c r="AA28" s="595">
        <f>('EMEA AGG'!$G$30/'EMEA AGG'!$E$30)^(1/2)-1</f>
        <v>0.19856085999325712</v>
      </c>
    </row>
    <row r="29" spans="2:27">
      <c r="B29" s="218"/>
      <c r="C29" s="188"/>
      <c r="D29" s="188"/>
      <c r="E29" s="188"/>
      <c r="F29" s="188"/>
      <c r="G29" s="188"/>
      <c r="R29" s="188"/>
      <c r="S29" s="188"/>
      <c r="T29" s="188"/>
      <c r="U29" s="68"/>
      <c r="V29" s="68"/>
      <c r="AA29" s="593"/>
    </row>
    <row r="30" spans="2:27">
      <c r="B30" s="213" t="s">
        <v>740</v>
      </c>
      <c r="C30" s="188">
        <f>'LATAM INCUMB'!$F$23/1000</f>
        <v>69.395297185834536</v>
      </c>
      <c r="D30" s="188">
        <f>'LATAM INCUMB'!$F$24/1000</f>
        <v>27.365865522036152</v>
      </c>
      <c r="E30" s="188">
        <f>'LATAM INCUMB'!$F$30/1000</f>
        <v>7.7118171739253141</v>
      </c>
      <c r="F30" s="188">
        <f>'LATAM INCUMB'!$F$26/1000</f>
        <v>11.264946825721836</v>
      </c>
      <c r="G30" s="188">
        <f>'LATAM INCUMB'!$F$31/1000</f>
        <v>2.948305767949249</v>
      </c>
      <c r="H30" s="227"/>
      <c r="I30" s="68">
        <f>'LATAM INCUMB'!$H$23</f>
        <v>3.2286309728766227E-2</v>
      </c>
      <c r="J30" s="68">
        <f>'LATAM INCUMB'!$H$24</f>
        <v>5.2545313573403529E-2</v>
      </c>
      <c r="K30" s="68">
        <f>'LATAM INCUMB'!$H$30</f>
        <v>0.2809349860711805</v>
      </c>
      <c r="L30" s="195"/>
      <c r="M30" s="228">
        <f>'LATAM INCUMB'!$F$11/1000</f>
        <v>63.952893063529537</v>
      </c>
      <c r="N30" s="228">
        <f>'LATAM INCUMB'!$F$12/1000</f>
        <v>37.327828471314618</v>
      </c>
      <c r="O30" s="228">
        <f>'LATAM INCUMB'!$F$18/1000</f>
        <v>97.520377874672917</v>
      </c>
      <c r="P30" s="188">
        <f>N30/D30</f>
        <v>1.3640287913151028</v>
      </c>
      <c r="Q30" s="195"/>
      <c r="R30" s="188">
        <f>O30/D30</f>
        <v>3.5635773257800083</v>
      </c>
      <c r="S30" s="188">
        <f>M30/E30</f>
        <v>8.2928435180962055</v>
      </c>
      <c r="T30" s="188">
        <f>S30/(AA30*100)</f>
        <v>0.33021538378122661</v>
      </c>
      <c r="U30" s="68">
        <f>F30/O30</f>
        <v>0.11551377333872558</v>
      </c>
      <c r="V30" s="68">
        <f>G30/M30</f>
        <v>4.6101210230168325E-2</v>
      </c>
      <c r="AA30" s="594">
        <f>('LATAM INCUMB'!$G$30/'LATAM INCUMB'!$E$30)^(1/2)-1</f>
        <v>0.25113437851188536</v>
      </c>
    </row>
    <row r="31" spans="2:27">
      <c r="B31" s="213" t="s">
        <v>162</v>
      </c>
      <c r="C31" s="188">
        <f>'LATAM CELLULAR'!$F$23/1000</f>
        <v>13.871656614192659</v>
      </c>
      <c r="D31" s="188">
        <f>'LATAM CELLULAR'!$F$24/1000</f>
        <v>5.8057084700552002</v>
      </c>
      <c r="E31" s="188">
        <f>'LATAM CELLULAR'!$F$30/1000</f>
        <v>1.6983491047794397</v>
      </c>
      <c r="F31" s="188">
        <f>'LATAM CELLULAR'!$F$26/1000</f>
        <v>2.8015039242344364</v>
      </c>
      <c r="G31" s="188">
        <f>'LATAM CELLULAR'!$F$31/1000</f>
        <v>0.68207979827524834</v>
      </c>
      <c r="H31" s="227"/>
      <c r="I31" s="68">
        <f>'LATAM CELLULAR'!$H$23</f>
        <v>3.5265696156160375E-2</v>
      </c>
      <c r="J31" s="68">
        <f>'LATAM CELLULAR'!$H$24</f>
        <v>5.2100575988367481E-2</v>
      </c>
      <c r="K31" s="68">
        <f>'LATAM CELLULAR'!$H$30</f>
        <v>0.26086654067969706</v>
      </c>
      <c r="L31" s="195"/>
      <c r="M31" s="228">
        <f>'LATAM CELLULAR'!$F$11/1000</f>
        <v>11.147668001459834</v>
      </c>
      <c r="N31" s="228">
        <f>'LATAM CELLULAR'!$F$12/1000</f>
        <v>10.295359327493415</v>
      </c>
      <c r="O31" s="228">
        <f>'LATAM CELLULAR'!$F$18/1000</f>
        <v>25.111137663535519</v>
      </c>
      <c r="P31" s="188">
        <f>N31/D31</f>
        <v>1.7733166211488272</v>
      </c>
      <c r="Q31" s="195"/>
      <c r="R31" s="188">
        <f>O31/D31</f>
        <v>4.3252495010822969</v>
      </c>
      <c r="S31" s="188">
        <f>M31/E31</f>
        <v>6.5638259943661899</v>
      </c>
      <c r="T31" s="188">
        <f>S31/(AA31*100)</f>
        <v>0.28454428358062767</v>
      </c>
      <c r="U31" s="68">
        <f>F31/O31</f>
        <v>0.11156419759916202</v>
      </c>
      <c r="V31" s="68">
        <f>G31/M31</f>
        <v>6.1185872972349654E-2</v>
      </c>
      <c r="AA31" s="594">
        <f>('LATAM CELLULAR'!$G$30/'LATAM CELLULAR'!$E$30)^(1/2)-1</f>
        <v>0.23067854014738209</v>
      </c>
    </row>
    <row r="32" spans="2:27">
      <c r="B32" s="213" t="s">
        <v>1131</v>
      </c>
      <c r="C32" s="188">
        <f>'LATAM ALTNET &amp; CABLE'!$F$23/1000</f>
        <v>6.8909998173190052</v>
      </c>
      <c r="D32" s="188">
        <f>'LATAM ALTNET &amp; CABLE'!$F$24/1000</f>
        <v>2.7953465134074813</v>
      </c>
      <c r="E32" s="188">
        <f>'LATAM ALTNET &amp; CABLE'!$F$30/1000</f>
        <v>0.95012627435007746</v>
      </c>
      <c r="F32" s="188">
        <f>'LATAM ALTNET &amp; CABLE'!$F$26/1000</f>
        <v>1.0107951972856684</v>
      </c>
      <c r="G32" s="188">
        <f>'LATAM ALTNET &amp; CABLE'!$F$31/1000</f>
        <v>0.18410069334429666</v>
      </c>
      <c r="H32" s="227"/>
      <c r="I32" s="68">
        <f>'LATAM ALTNET &amp; CABLE'!$H$23</f>
        <v>3.0779883338322822E-2</v>
      </c>
      <c r="J32" s="68">
        <f>'LATAM ALTNET &amp; CABLE'!$H$24</f>
        <v>5.1882999030477217E-2</v>
      </c>
      <c r="K32" s="68">
        <f>'LATAM ALTNET &amp; CABLE'!$H$30</f>
        <v>0.22600233239872392</v>
      </c>
      <c r="L32" s="195"/>
      <c r="M32" s="228">
        <f>'LATAM ALTNET &amp; CABLE'!$F$11/1000</f>
        <v>4.6588948495290774</v>
      </c>
      <c r="N32" s="228">
        <f>'LATAM ALTNET &amp; CABLE'!$F$12/1000</f>
        <v>8.0599304260560682</v>
      </c>
      <c r="O32" s="228">
        <f>'LATAM ALTNET &amp; CABLE'!$F$18/1000</f>
        <v>13.832803034254338</v>
      </c>
      <c r="P32" s="188">
        <f>N32/D32</f>
        <v>2.8833385726591536</v>
      </c>
      <c r="Q32" s="195"/>
      <c r="R32" s="188">
        <f>O32/D32</f>
        <v>4.9485110228400195</v>
      </c>
      <c r="S32" s="188">
        <f>M32/E32</f>
        <v>4.9034480734846939</v>
      </c>
      <c r="T32" s="188">
        <f>S32/(AA32*100)</f>
        <v>1.0465066458061625</v>
      </c>
      <c r="U32" s="68">
        <f>F32/O32</f>
        <v>7.3072333552543473E-2</v>
      </c>
      <c r="V32" s="68">
        <f>G32/M32</f>
        <v>3.9515958030884861E-2</v>
      </c>
      <c r="AA32" s="594">
        <f>('LATAM ALTNET &amp; CABLE'!$G$30/'LATAM ALTNET &amp; CABLE'!$E$30)^(1/2)-1</f>
        <v>4.6855393543223878E-2</v>
      </c>
    </row>
    <row r="33" spans="2:27">
      <c r="B33" s="209" t="s">
        <v>743</v>
      </c>
      <c r="C33" s="235">
        <f>'LATAM AGG'!$F$23/1000</f>
        <v>90.157953617346209</v>
      </c>
      <c r="D33" s="235">
        <f>'LATAM AGG'!$F$24/1000</f>
        <v>35.966920505498827</v>
      </c>
      <c r="E33" s="235">
        <f>'LATAM AGG'!$F$30/1000</f>
        <v>10.360292553054832</v>
      </c>
      <c r="F33" s="235">
        <f>'LATAM AGG'!$F$26/1000</f>
        <v>15.07724594724194</v>
      </c>
      <c r="G33" s="235">
        <f>'LATAM AGG'!$F$31/1000</f>
        <v>3.8144862595687941</v>
      </c>
      <c r="H33" s="227"/>
      <c r="I33" s="234">
        <f>'LATAM AGG'!$H$23</f>
        <v>3.2631114257633875E-2</v>
      </c>
      <c r="J33" s="234">
        <f>'LATAM AGG'!$H$24</f>
        <v>5.2422730877842438E-2</v>
      </c>
      <c r="K33" s="234">
        <f>'LATAM AGG'!$H$30</f>
        <v>0.27294383402184597</v>
      </c>
      <c r="L33" s="195"/>
      <c r="M33" s="233">
        <f>'LATAM AGG'!$F$11/1000</f>
        <v>79.759455914518455</v>
      </c>
      <c r="N33" s="233">
        <f>'LATAM AGG'!$F$12/1000</f>
        <v>55.683118224864103</v>
      </c>
      <c r="O33" s="233">
        <f>'LATAM AGG'!$F$18/1000</f>
        <v>136.46431857246279</v>
      </c>
      <c r="P33" s="235">
        <f>N33/D33</f>
        <v>1.5481758638844532</v>
      </c>
      <c r="Q33" s="195"/>
      <c r="R33" s="235">
        <f>O33/D33</f>
        <v>3.7941618758158442</v>
      </c>
      <c r="S33" s="235">
        <f>M33/E33</f>
        <v>7.6985717831877842</v>
      </c>
      <c r="T33" s="235">
        <f>S33/(AA33*100)</f>
        <v>0.33891567860609961</v>
      </c>
      <c r="U33" s="234">
        <f>F33/O33</f>
        <v>0.11048489528224842</v>
      </c>
      <c r="V33" s="234">
        <f>G33/M33</f>
        <v>4.7824878139300982E-2</v>
      </c>
      <c r="AA33" s="595">
        <f>('LATAM AGG'!$G$30/'LATAM AGG'!$E$30)^(1/2)-1</f>
        <v>0.22715301383667619</v>
      </c>
    </row>
    <row r="34" spans="2:27">
      <c r="B34" s="218"/>
      <c r="C34" s="188"/>
      <c r="D34" s="188"/>
      <c r="E34" s="188"/>
      <c r="F34" s="188"/>
      <c r="G34" s="188"/>
      <c r="R34" s="188"/>
      <c r="S34" s="188"/>
      <c r="T34" s="188"/>
      <c r="U34" s="68"/>
      <c r="V34" s="68"/>
      <c r="AA34" s="593"/>
    </row>
    <row r="35" spans="2:27">
      <c r="B35" s="213" t="s">
        <v>740</v>
      </c>
      <c r="C35" s="188">
        <f>'EM ASIA INCUMB'!$F$23/1000</f>
        <v>172.90479656562749</v>
      </c>
      <c r="D35" s="188">
        <f>'EM ASIA INCUMB'!$F$24/1000</f>
        <v>47.588958852870761</v>
      </c>
      <c r="E35" s="188">
        <f>'EM ASIA INCUMB'!$F$30/1000</f>
        <v>11.528359292196274</v>
      </c>
      <c r="F35" s="188">
        <f>'EM ASIA INCUMB'!$F$26/1000</f>
        <v>15.269083004246109</v>
      </c>
      <c r="G35" s="188">
        <f>'EM ASIA INCUMB'!$F$31/1000</f>
        <v>9.2491341352077026</v>
      </c>
      <c r="H35" s="227"/>
      <c r="I35" s="68">
        <f>'EM ASIA INCUMB'!$H$23</f>
        <v>4.5226973833718986E-2</v>
      </c>
      <c r="J35" s="68">
        <f>'EM ASIA INCUMB'!$H$24</f>
        <v>4.1866648394238704E-2</v>
      </c>
      <c r="K35" s="68">
        <f>'EM ASIA INCUMB'!$H$30</f>
        <v>0.10071798166920032</v>
      </c>
      <c r="L35" s="195"/>
      <c r="M35" s="228">
        <f>'EM ASIA INCUMB'!$F$11/1000</f>
        <v>9269.1077960425901</v>
      </c>
      <c r="N35" s="228">
        <f>'EM ASIA INCUMB'!$F$12/1000</f>
        <v>5752.5419912706757</v>
      </c>
      <c r="O35" s="228">
        <f>'EM ASIA INCUMB'!$F$18/1000</f>
        <v>15194.254085853898</v>
      </c>
      <c r="P35" s="188">
        <f>N35/D35</f>
        <v>120.87976139708421</v>
      </c>
      <c r="Q35" s="195"/>
      <c r="R35" s="188">
        <f>O35/D35</f>
        <v>319.28107805067725</v>
      </c>
      <c r="S35" s="188">
        <f>M35/E35</f>
        <v>804.02662348639615</v>
      </c>
      <c r="T35" s="188">
        <f>S35/(AA35*100)</f>
        <v>77.347470604029951</v>
      </c>
      <c r="U35" s="68">
        <f>F35/O35</f>
        <v>1.0049248168399316E-3</v>
      </c>
      <c r="V35" s="68">
        <f>G35/M35</f>
        <v>9.9784513663295454E-4</v>
      </c>
      <c r="AA35" s="594">
        <f>('EM ASIA INCUMB'!$G$30/'EM ASIA INCUMB'!$E$30)^(1/2)-1</f>
        <v>0.10394995689031683</v>
      </c>
    </row>
    <row r="36" spans="2:27">
      <c r="B36" s="213" t="s">
        <v>162</v>
      </c>
      <c r="C36" s="188">
        <f>'EM ASIA CELLULAR'!$F$23/1000</f>
        <v>243.37154652927134</v>
      </c>
      <c r="D36" s="188">
        <f>'EM ASIA CELLULAR'!$F$24/1000</f>
        <v>89.827394537923695</v>
      </c>
      <c r="E36" s="188">
        <f>'EM ASIA CELLULAR'!$F$30/1000</f>
        <v>27.658333389912659</v>
      </c>
      <c r="F36" s="188">
        <f>'EM ASIA CELLULAR'!$F$26/1000</f>
        <v>39.430615811664346</v>
      </c>
      <c r="G36" s="188">
        <f>'EM ASIA CELLULAR'!$F$31/1000</f>
        <v>21.360668203624154</v>
      </c>
      <c r="H36" s="227"/>
      <c r="I36" s="68">
        <f>'EM ASIA CELLULAR'!$H$23</f>
        <v>5.2507700166190885E-2</v>
      </c>
      <c r="J36" s="68">
        <f>'EM ASIA CELLULAR'!$H$24</f>
        <v>6.4031099626415955E-2</v>
      </c>
      <c r="K36" s="68">
        <f>'EM ASIA CELLULAR'!$H$30</f>
        <v>0.16172761825523807</v>
      </c>
      <c r="L36" s="195"/>
      <c r="M36" s="228">
        <f>'EM ASIA CELLULAR'!$F$11/1000</f>
        <v>396.02197260100996</v>
      </c>
      <c r="N36" s="228">
        <f>'EM ASIA CELLULAR'!$F$12/1000</f>
        <v>62.553049023826532</v>
      </c>
      <c r="O36" s="228">
        <f>'EM ASIA CELLULAR'!$F$18/1000</f>
        <v>437.88708794013996</v>
      </c>
      <c r="P36" s="188">
        <f>N36/D36</f>
        <v>0.69636940206940579</v>
      </c>
      <c r="Q36" s="195"/>
      <c r="R36" s="188">
        <f>O36/D36</f>
        <v>4.874761092567045</v>
      </c>
      <c r="S36" s="188">
        <f>M36/E36</f>
        <v>14.3183599321803</v>
      </c>
      <c r="T36" s="188">
        <f>S36/(AA36*100)</f>
        <v>0.92053568080921355</v>
      </c>
      <c r="U36" s="68">
        <f>F36/O36</f>
        <v>9.0047450353353625E-2</v>
      </c>
      <c r="V36" s="68">
        <f>G36/M36</f>
        <v>5.3938088493753637E-2</v>
      </c>
      <c r="AA36" s="594">
        <f>('EM ASIA CELLULAR'!$G$30/'EM ASIA CELLULAR'!$E$30)^(1/2)-1</f>
        <v>0.15554377989556567</v>
      </c>
    </row>
    <row r="37" spans="2:27">
      <c r="B37" s="209" t="s">
        <v>744</v>
      </c>
      <c r="C37" s="235">
        <f>'AGG EM ASIA'!$F$23/1000</f>
        <v>416.27634309489883</v>
      </c>
      <c r="D37" s="235">
        <f>'AGG EM ASIA'!$F$24/1000</f>
        <v>137.41635339079446</v>
      </c>
      <c r="E37" s="235">
        <f>'AGG EM ASIA'!$F$30/1000</f>
        <v>39.186692682108927</v>
      </c>
      <c r="F37" s="235">
        <f>'AGG EM ASIA'!$F$26/1000</f>
        <v>54.699698815910459</v>
      </c>
      <c r="G37" s="235">
        <f>'AGG EM ASIA'!$F$31/1000</f>
        <v>30.609802338831859</v>
      </c>
      <c r="H37" s="227"/>
      <c r="I37" s="234">
        <f>'AGG EM ASIA'!$H$23</f>
        <v>4.9476557311922686E-2</v>
      </c>
      <c r="J37" s="234">
        <f>'AGG EM ASIA'!$H$24</f>
        <v>5.6218810807975972E-2</v>
      </c>
      <c r="K37" s="234">
        <f>'AGG EM ASIA'!$H$30</f>
        <v>0.14243906748114865</v>
      </c>
      <c r="L37" s="195"/>
      <c r="M37" s="233">
        <f>'AGG EM ASIA'!$F$11/1000</f>
        <v>9665.1297686435992</v>
      </c>
      <c r="N37" s="233">
        <f>'AGG EM ASIA'!$F$12/1000</f>
        <v>5815.0950402945018</v>
      </c>
      <c r="O37" s="233">
        <f>'AGG EM ASIA'!$F$18/1000</f>
        <v>15632.141173794036</v>
      </c>
      <c r="P37" s="235">
        <f>N37/D37</f>
        <v>42.317343582514653</v>
      </c>
      <c r="Q37" s="195"/>
      <c r="R37" s="235">
        <f>O37/D37</f>
        <v>113.75750256840418</v>
      </c>
      <c r="S37" s="235">
        <f>M37/E37</f>
        <v>246.64316141832276</v>
      </c>
      <c r="T37" s="235">
        <f>S37/(AA37*100)</f>
        <v>17.658864003147979</v>
      </c>
      <c r="U37" s="234">
        <f>F37/O37</f>
        <v>3.4991814753829041E-3</v>
      </c>
      <c r="V37" s="234">
        <f>G37/M37</f>
        <v>3.1670348015542089E-3</v>
      </c>
      <c r="AA37" s="595">
        <f>('AGG EM ASIA'!$G$30/'AGG EM ASIA'!$E$30)^(1/2)-1</f>
        <v>0.13967102378406371</v>
      </c>
    </row>
    <row r="38" spans="2:27">
      <c r="B38" s="218"/>
      <c r="C38" s="188"/>
      <c r="D38" s="188"/>
      <c r="E38" s="188"/>
      <c r="F38" s="188"/>
      <c r="G38" s="188"/>
      <c r="H38" s="227"/>
      <c r="L38" s="195"/>
      <c r="Q38" s="195"/>
      <c r="R38" s="188"/>
      <c r="S38" s="188"/>
      <c r="T38" s="188"/>
      <c r="U38" s="68"/>
      <c r="V38" s="68"/>
      <c r="AA38" s="593"/>
    </row>
    <row r="39" spans="2:27">
      <c r="B39" s="209" t="s">
        <v>742</v>
      </c>
      <c r="C39" s="235">
        <f>'AGG EM'!$F$23/1000</f>
        <v>547.67853384623004</v>
      </c>
      <c r="D39" s="235">
        <f>'AGG EM'!$F$24/1000</f>
        <v>190.2342768625571</v>
      </c>
      <c r="E39" s="235">
        <f>'AGG EM'!$F$30/1000</f>
        <v>54.176428815399113</v>
      </c>
      <c r="F39" s="235">
        <f>'AGG EM'!$F$26/1000</f>
        <v>75.996924164699379</v>
      </c>
      <c r="G39" s="235">
        <f>'AGG EM'!$F$31/1000</f>
        <v>36.979053791660945</v>
      </c>
      <c r="H39" s="227"/>
      <c r="I39" s="234">
        <f>'AGG EM'!$H$23</f>
        <v>4.6033064370190946E-2</v>
      </c>
      <c r="J39" s="234">
        <f>'AGG EM'!$H$24</f>
        <v>5.4135753422354771E-2</v>
      </c>
      <c r="K39" s="234">
        <f>'AGG EM'!$H$30</f>
        <v>0.16397795492835376</v>
      </c>
      <c r="L39" s="195"/>
      <c r="M39" s="233">
        <f>'AGG EM'!$F$11/1000</f>
        <v>9837.0286047971204</v>
      </c>
      <c r="N39" s="233">
        <f>'AGG EM'!$F$12/1000</f>
        <v>5894.4485308927251</v>
      </c>
      <c r="O39" s="233">
        <f>'AGG EM'!$F$18/1000</f>
        <v>15877.047586384419</v>
      </c>
      <c r="P39" s="235">
        <f>N39/D39</f>
        <v>30.985207440567727</v>
      </c>
      <c r="Q39" s="195"/>
      <c r="R39" s="235">
        <f>O39/D39</f>
        <v>83.460498540205094</v>
      </c>
      <c r="S39" s="235">
        <f>M39/E39</f>
        <v>181.57395789810795</v>
      </c>
      <c r="T39" s="235">
        <f>S39/(AA39*100)</f>
        <v>11.324083218752047</v>
      </c>
      <c r="U39" s="234">
        <f>F39/O39</f>
        <v>4.7865904382545024E-3</v>
      </c>
      <c r="V39" s="234">
        <f>G39/M39</f>
        <v>3.7591690821787141E-3</v>
      </c>
      <c r="AA39" s="595">
        <f>('AGG EM'!$G$30/'AGG EM'!$E$30)^(1/2)-1</f>
        <v>0.16034318574896345</v>
      </c>
    </row>
    <row r="40" spans="2:27">
      <c r="B40" s="218"/>
      <c r="C40" s="188"/>
      <c r="D40" s="188"/>
      <c r="E40" s="188"/>
      <c r="F40" s="188"/>
      <c r="G40" s="188"/>
      <c r="H40" s="227"/>
      <c r="L40" s="195"/>
      <c r="M40" s="230"/>
      <c r="N40" s="230"/>
      <c r="O40" s="230"/>
      <c r="P40" s="230"/>
      <c r="Q40" s="195"/>
      <c r="R40" s="188"/>
      <c r="S40" s="188"/>
      <c r="T40" s="188"/>
      <c r="U40" s="68"/>
      <c r="V40" s="68"/>
      <c r="AA40" s="593"/>
    </row>
    <row r="41" spans="2:27">
      <c r="B41" s="238" t="s">
        <v>745</v>
      </c>
      <c r="C41" s="237">
        <f>SUM(C24+C39)</f>
        <v>1748.3082772193009</v>
      </c>
      <c r="D41" s="237">
        <f>SUM(D24+D39)</f>
        <v>597.88691688718757</v>
      </c>
      <c r="E41" s="237">
        <f>SUM(E24+E39)</f>
        <v>184.32784540086698</v>
      </c>
      <c r="F41" s="237">
        <f>SUM(F24+F39)</f>
        <v>245.71930212626773</v>
      </c>
      <c r="G41" s="237">
        <f>SUM(G24+G39)</f>
        <v>104.83376842408123</v>
      </c>
      <c r="H41" s="227"/>
      <c r="I41" s="55">
        <f>(('AGG DM'!$G$23+'AGG EM'!$G$23)/('AGG DM'!$D$23+'AGG EM'!$D$23))^(1/3)-1</f>
        <v>2.7638767468391778E-2</v>
      </c>
      <c r="J41" s="55">
        <f>(('AGG DM'!$G$24+'AGG EM'!$G$24)/('AGG DM'!$D$24+'AGG EM'!$D$24))^(1/3)-1</f>
        <v>4.0770126859129396E-2</v>
      </c>
      <c r="K41" s="55">
        <f>(('AGG DM'!$G$30+'AGG EM'!$G$30)/('AGG DM'!$D$30+'AGG EM'!$D$30))^(1/3)-1</f>
        <v>0.10012564545493818</v>
      </c>
      <c r="L41" s="195"/>
      <c r="M41" s="236">
        <f>SUM(M24+M39)</f>
        <v>11308.091374932068</v>
      </c>
      <c r="N41" s="236">
        <f>SUM(N24+N39)</f>
        <v>6916.6733844224309</v>
      </c>
      <c r="O41" s="236">
        <f>SUM(O24+O39)</f>
        <v>18358.19272346636</v>
      </c>
      <c r="P41" s="237">
        <f>N41/D41</f>
        <v>11.568531086836785</v>
      </c>
      <c r="Q41" s="195"/>
      <c r="R41" s="237">
        <f>O41/D41</f>
        <v>30.705125342172824</v>
      </c>
      <c r="S41" s="237">
        <f>M41/E41</f>
        <v>61.347710924194857</v>
      </c>
      <c r="T41" s="237">
        <f>S41/(AA41*100)</f>
        <v>5.8842194852084759</v>
      </c>
      <c r="U41" s="55">
        <f>F41/O41</f>
        <v>1.3384721787574277E-2</v>
      </c>
      <c r="V41" s="55">
        <f>G41/M41</f>
        <v>9.2706863561854615E-3</v>
      </c>
      <c r="AA41" s="595">
        <f>(('AGG DM'!$G$30+'AGG EM'!$G$30)/('AGG DM'!$E$30+'AGG EM'!$E$30))^(1/2)-1</f>
        <v>0.1042580261977113</v>
      </c>
    </row>
    <row r="42" spans="2:27">
      <c r="B42" s="39" t="s">
        <v>1096</v>
      </c>
      <c r="H42" s="227"/>
      <c r="L42" s="195"/>
      <c r="Q42" s="195"/>
    </row>
    <row r="43" spans="2:27">
      <c r="H43" s="227"/>
      <c r="L43" s="195"/>
      <c r="Q43" s="195"/>
    </row>
    <row r="44" spans="2:27">
      <c r="H44" s="227"/>
      <c r="L44" s="195"/>
      <c r="Q44" s="195"/>
    </row>
    <row r="45" spans="2:27">
      <c r="H45" s="227"/>
      <c r="Q45" s="195"/>
    </row>
    <row r="46" spans="2:27">
      <c r="H46" s="227"/>
      <c r="Q46" s="195"/>
    </row>
  </sheetData>
  <conditionalFormatting sqref="B10:G41 I10:K41 M10:P41 R10:V41">
    <cfRule type="expression" dxfId="0" priority="1">
      <formula>EVEN(ROW())=ROW()</formula>
    </cfRule>
  </conditionalFormatting>
  <hyperlinks>
    <hyperlink ref="Y1" location="Prices!A1" display="Jump to Prices" xr:uid="{DC71BE00-3BD0-4B0C-B38A-9ADCB54F42B4}"/>
  </hyperlinks>
  <pageMargins left="0.70866141732283472" right="0.70866141732283472" top="0.74803149606299213" bottom="0.74803149606299213" header="0.31496062992125984" footer="0.31496062992125984"/>
  <pageSetup paperSize="9" scale="62" orientation="landscape"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codeName="Sheet115">
    <pageSetUpPr fitToPage="1"/>
  </sheetPr>
  <dimension ref="B1:AR165"/>
  <sheetViews>
    <sheetView showGridLines="0" zoomScale="80" zoomScaleNormal="80" workbookViewId="0">
      <selection activeCell="D16" sqref="D16:G16"/>
    </sheetView>
  </sheetViews>
  <sheetFormatPr defaultColWidth="9.109375" defaultRowHeight="12"/>
  <cols>
    <col min="1" max="1" width="2.33203125" style="39" customWidth="1"/>
    <col min="2" max="2" width="26.5546875" style="39" customWidth="1"/>
    <col min="3" max="9" width="10" style="39" customWidth="1"/>
    <col min="10" max="10" width="26.6640625" style="39" customWidth="1"/>
    <col min="11" max="16" width="10" style="39" customWidth="1"/>
    <col min="17" max="18" width="8.6640625" style="39" customWidth="1"/>
    <col min="19" max="28" width="8.6640625" style="5" customWidth="1"/>
    <col min="29" max="44" width="9.109375" style="5"/>
    <col min="45" max="16384" width="9.109375" style="39"/>
  </cols>
  <sheetData>
    <row r="1" spans="2:44" s="312" customFormat="1">
      <c r="S1" s="149"/>
      <c r="T1" s="149"/>
      <c r="U1" s="149"/>
      <c r="V1" s="149"/>
      <c r="W1" s="149"/>
      <c r="X1" s="149"/>
      <c r="Y1" s="149"/>
      <c r="Z1" s="149"/>
      <c r="AA1" s="149"/>
      <c r="AB1" s="149"/>
      <c r="AC1" s="149"/>
      <c r="AD1" s="149"/>
      <c r="AE1" s="149"/>
      <c r="AF1" s="149"/>
      <c r="AG1" s="149"/>
      <c r="AH1" s="149"/>
      <c r="AI1" s="149"/>
      <c r="AJ1" s="149"/>
      <c r="AK1" s="149"/>
      <c r="AL1" s="149"/>
      <c r="AM1" s="149"/>
      <c r="AN1" s="149"/>
      <c r="AO1" s="149"/>
      <c r="AP1" s="149"/>
      <c r="AQ1" s="149"/>
      <c r="AR1" s="149"/>
    </row>
    <row r="2" spans="2:44" s="149" customFormat="1"/>
    <row r="3" spans="2:44" s="149" customFormat="1">
      <c r="H3" s="153"/>
      <c r="P3" s="153"/>
    </row>
    <row r="4" spans="2:44" s="156" customFormat="1" ht="21">
      <c r="B4" s="129" t="s">
        <v>238</v>
      </c>
      <c r="H4" s="222"/>
      <c r="P4" s="222"/>
    </row>
    <row r="5" spans="2:44" s="149" customFormat="1">
      <c r="C5" s="153"/>
      <c r="D5" s="153" t="str" cm="1">
        <f t="array" ref="D5:H5">headings</f>
        <v>2023E</v>
      </c>
      <c r="E5" s="153" t="str">
        <v>2024E</v>
      </c>
      <c r="F5" s="153" t="str">
        <v>2025E</v>
      </c>
      <c r="G5" s="153" t="str">
        <v>2026E</v>
      </c>
      <c r="H5" s="153" t="str">
        <v>23E-26E</v>
      </c>
      <c r="I5" s="153"/>
      <c r="J5" s="153"/>
      <c r="K5" s="153"/>
      <c r="L5" s="153" t="str" cm="1">
        <f t="array" ref="L5:P5">headings</f>
        <v>2023E</v>
      </c>
      <c r="M5" s="153" t="str">
        <v>2024E</v>
      </c>
      <c r="N5" s="153" t="str">
        <v>2025E</v>
      </c>
      <c r="O5" s="153" t="str">
        <v>2026E</v>
      </c>
      <c r="P5" s="153" t="str">
        <v>23E-26E</v>
      </c>
      <c r="Q5" s="162"/>
      <c r="R5" s="162"/>
      <c r="S5" s="162"/>
      <c r="T5" s="162"/>
      <c r="U5" s="162"/>
      <c r="V5" s="162"/>
      <c r="W5" s="162"/>
      <c r="X5" s="162"/>
      <c r="Y5" s="162"/>
    </row>
    <row r="6" spans="2:44">
      <c r="I6" s="5"/>
      <c r="J6" s="5"/>
      <c r="K6" s="5"/>
      <c r="L6" s="5"/>
      <c r="M6" s="5"/>
      <c r="N6" s="5"/>
      <c r="O6" s="49"/>
    </row>
    <row r="7" spans="2:44" ht="12.6" thickBot="1">
      <c r="B7" s="306" t="s">
        <v>271</v>
      </c>
      <c r="C7" s="265"/>
      <c r="D7" s="265" t="str">
        <f>D5</f>
        <v>2023E</v>
      </c>
      <c r="E7" s="265" t="str">
        <f t="shared" ref="E7:H7" si="0">E5</f>
        <v>2024E</v>
      </c>
      <c r="F7" s="265" t="str">
        <f t="shared" si="0"/>
        <v>2025E</v>
      </c>
      <c r="G7" s="265" t="str">
        <f t="shared" si="0"/>
        <v>2026E</v>
      </c>
      <c r="H7" s="265" t="str">
        <f t="shared" si="0"/>
        <v>23E-26E</v>
      </c>
      <c r="I7" s="49"/>
      <c r="J7" s="306" t="s">
        <v>73</v>
      </c>
      <c r="K7" s="306"/>
      <c r="L7" s="265" t="str">
        <f>L5</f>
        <v>2023E</v>
      </c>
      <c r="M7" s="265" t="str">
        <f t="shared" ref="M7:P7" si="1">M5</f>
        <v>2024E</v>
      </c>
      <c r="N7" s="265" t="str">
        <f t="shared" si="1"/>
        <v>2025E</v>
      </c>
      <c r="O7" s="265" t="str">
        <f t="shared" si="1"/>
        <v>2026E</v>
      </c>
      <c r="P7" s="265" t="str">
        <f t="shared" si="1"/>
        <v>23E-26E</v>
      </c>
    </row>
    <row r="8" spans="2:44" ht="12.6" thickTop="1">
      <c r="B8" s="5"/>
      <c r="C8" s="5"/>
      <c r="D8" s="5"/>
      <c r="E8" s="5"/>
      <c r="F8" s="5"/>
      <c r="G8" s="5"/>
      <c r="H8" s="5"/>
      <c r="I8" s="5"/>
      <c r="J8" s="5"/>
      <c r="K8" s="5"/>
      <c r="L8" s="5"/>
      <c r="M8" s="5"/>
      <c r="N8" s="5"/>
      <c r="S8" s="42"/>
      <c r="T8" s="42"/>
      <c r="U8" s="42"/>
      <c r="V8" s="42"/>
      <c r="W8" s="42"/>
      <c r="X8" s="42"/>
      <c r="Y8" s="42"/>
      <c r="Z8" s="42"/>
      <c r="AA8" s="42"/>
    </row>
    <row r="9" spans="2:44">
      <c r="B9" s="41" t="s">
        <v>237</v>
      </c>
      <c r="C9" s="285">
        <f>Prices!C91</f>
        <v>51800</v>
      </c>
      <c r="D9" s="535">
        <v>218.833144</v>
      </c>
      <c r="E9" s="536">
        <v>218.833144</v>
      </c>
      <c r="F9" s="536">
        <v>218.833144</v>
      </c>
      <c r="G9" s="536">
        <v>218.833144</v>
      </c>
      <c r="H9" s="249"/>
      <c r="I9" s="249"/>
      <c r="J9" s="5" t="s">
        <v>273</v>
      </c>
      <c r="L9" s="529">
        <f>'AGG ASIA CELLULAR'!D37</f>
        <v>2.0832818906884643</v>
      </c>
      <c r="M9" s="529">
        <f>'AGG ASIA CELLULAR'!E37</f>
        <v>1.9180381131180324</v>
      </c>
      <c r="N9" s="529">
        <f>'AGG ASIA CELLULAR'!F37</f>
        <v>1.6973984727138696</v>
      </c>
      <c r="O9" s="529">
        <f>'AGG ASIA CELLULAR'!G37</f>
        <v>1.4849146547081604</v>
      </c>
      <c r="P9" s="286">
        <f>'AGG ASIA CELLULAR'!H37</f>
        <v>5.2823672985303771E-2</v>
      </c>
      <c r="S9" s="42"/>
      <c r="T9" s="42"/>
      <c r="U9" s="42"/>
      <c r="V9" s="42"/>
      <c r="W9" s="42"/>
      <c r="X9" s="42"/>
      <c r="Y9" s="42"/>
      <c r="Z9" s="42"/>
      <c r="AA9" s="42"/>
    </row>
    <row r="10" spans="2:44">
      <c r="B10" s="5" t="s">
        <v>274</v>
      </c>
      <c r="C10" s="5"/>
      <c r="D10" s="531">
        <v>215.3658915</v>
      </c>
      <c r="E10" s="531">
        <v>212.69973000000002</v>
      </c>
      <c r="F10" s="531">
        <v>212.69973000000002</v>
      </c>
      <c r="G10" s="531">
        <v>212.69973000000002</v>
      </c>
      <c r="H10" s="247"/>
      <c r="I10" s="247"/>
      <c r="J10" s="5" t="s">
        <v>184</v>
      </c>
      <c r="L10" s="529">
        <f>'AGG ASIA CELLULAR'!D38</f>
        <v>6.3578764048835863</v>
      </c>
      <c r="M10" s="529">
        <f>'AGG ASIA CELLULAR'!E38</f>
        <v>5.8349432944863064</v>
      </c>
      <c r="N10" s="529">
        <f>'AGG ASIA CELLULAR'!F38</f>
        <v>5.103853656504258</v>
      </c>
      <c r="O10" s="529">
        <f>'AGG ASIA CELLULAR'!G38</f>
        <v>4.4165179955724438</v>
      </c>
      <c r="P10" s="286">
        <f>'AGG ASIA CELLULAR'!H38</f>
        <v>6.1901299000113985E-2</v>
      </c>
      <c r="S10" s="42"/>
      <c r="T10" s="42"/>
      <c r="U10" s="42"/>
      <c r="V10" s="42"/>
      <c r="W10" s="288"/>
      <c r="X10" s="288"/>
      <c r="Y10" s="288"/>
      <c r="Z10" s="288"/>
      <c r="AA10" s="42"/>
    </row>
    <row r="11" spans="2:44">
      <c r="B11" s="41" t="s">
        <v>876</v>
      </c>
      <c r="C11" s="5"/>
      <c r="D11" s="532">
        <f>$C$9*D10/1000</f>
        <v>11155.9531797</v>
      </c>
      <c r="E11" s="532">
        <f>$C$9*E10/1000</f>
        <v>11017.846014000001</v>
      </c>
      <c r="F11" s="532">
        <f>$C$9*F10/1000</f>
        <v>11017.846014000001</v>
      </c>
      <c r="G11" s="532">
        <f>$C$9*G10/1000</f>
        <v>11017.846014000001</v>
      </c>
      <c r="H11" s="249"/>
      <c r="I11" s="249"/>
      <c r="J11" s="5" t="s">
        <v>185</v>
      </c>
      <c r="L11" s="529">
        <f>'AGG ASIA CELLULAR'!D39</f>
        <v>12.256315794878686</v>
      </c>
      <c r="M11" s="529">
        <f>'AGG ASIA CELLULAR'!E39</f>
        <v>10.532349001792122</v>
      </c>
      <c r="N11" s="529">
        <f>'AGG ASIA CELLULAR'!F39</f>
        <v>8.8097379743624202</v>
      </c>
      <c r="O11" s="529">
        <f>'AGG ASIA CELLULAR'!G39</f>
        <v>7.3400525025099741</v>
      </c>
      <c r="P11" s="286">
        <f>'AGG ASIA CELLULAR'!H39</f>
        <v>0.11573327430771596</v>
      </c>
      <c r="S11" s="42"/>
      <c r="T11" s="42"/>
      <c r="U11" s="42"/>
      <c r="V11" s="42"/>
      <c r="W11" s="288"/>
      <c r="X11" s="288"/>
      <c r="Y11" s="288"/>
      <c r="Z11" s="288"/>
      <c r="AA11" s="42"/>
    </row>
    <row r="12" spans="2:44">
      <c r="B12" s="5" t="s">
        <v>24</v>
      </c>
      <c r="C12" s="249"/>
      <c r="D12" s="533">
        <v>9220.8197948920006</v>
      </c>
      <c r="E12" s="533">
        <v>8553.9192227347339</v>
      </c>
      <c r="F12" s="533">
        <v>7944.9067050193153</v>
      </c>
      <c r="G12" s="533">
        <v>6942.8127589009027</v>
      </c>
      <c r="H12" s="247"/>
      <c r="I12" s="247"/>
      <c r="J12" s="5" t="s">
        <v>466</v>
      </c>
      <c r="L12" s="529">
        <f>'AGG ASIA CELLULAR'!D40</f>
        <v>15.951300793811486</v>
      </c>
      <c r="M12" s="529">
        <f>'AGG ASIA CELLULAR'!E40</f>
        <v>13.847183646795452</v>
      </c>
      <c r="N12" s="529">
        <f>'AGG ASIA CELLULAR'!F40</f>
        <v>11.626709680654198</v>
      </c>
      <c r="O12" s="529">
        <f>'AGG ASIA CELLULAR'!G40</f>
        <v>9.7078389032116537</v>
      </c>
      <c r="P12" s="286">
        <f>'AGG ASIA CELLULAR'!H40</f>
        <v>0.10976572550111241</v>
      </c>
      <c r="S12" s="42"/>
      <c r="T12" s="42"/>
      <c r="U12" s="42"/>
      <c r="V12" s="42"/>
      <c r="W12" s="288"/>
      <c r="X12" s="288"/>
      <c r="Y12" s="288"/>
      <c r="Z12" s="288"/>
      <c r="AA12" s="42"/>
    </row>
    <row r="13" spans="2:44">
      <c r="B13" s="5" t="s">
        <v>529</v>
      </c>
      <c r="C13" s="257"/>
      <c r="D13" s="533">
        <v>2878.2674990530522</v>
      </c>
      <c r="E13" s="533">
        <v>2437.7444792081396</v>
      </c>
      <c r="F13" s="533">
        <v>1968.9887878323632</v>
      </c>
      <c r="G13" s="533">
        <v>1469.6091176470586</v>
      </c>
      <c r="H13" s="247"/>
      <c r="I13" s="247"/>
      <c r="J13" s="5" t="s">
        <v>530</v>
      </c>
      <c r="L13" s="529">
        <f>'AGG ASIA CELLULAR'!D41</f>
        <v>1.4274445412547272</v>
      </c>
      <c r="M13" s="529">
        <f>'AGG ASIA CELLULAR'!E41</f>
        <v>1.4179696737537477</v>
      </c>
      <c r="N13" s="529">
        <f>'AGG ASIA CELLULAR'!F41</f>
        <v>1.3450707920768976</v>
      </c>
      <c r="O13" s="529">
        <f>'AGG ASIA CELLULAR'!G41</f>
        <v>1.2618986136137988</v>
      </c>
      <c r="P13" s="286">
        <f>'AGG ASIA CELLULAR'!H41</f>
        <v>-2.0092563683029918E-2</v>
      </c>
      <c r="S13" s="42"/>
      <c r="T13" s="42"/>
      <c r="U13" s="42"/>
      <c r="V13" s="42"/>
      <c r="W13" s="42"/>
      <c r="X13" s="42"/>
      <c r="Y13" s="42"/>
      <c r="Z13" s="42"/>
      <c r="AA13" s="42"/>
    </row>
    <row r="14" spans="2:44">
      <c r="B14" s="5" t="s">
        <v>532</v>
      </c>
      <c r="C14" s="257"/>
      <c r="D14" s="533">
        <v>0</v>
      </c>
      <c r="E14" s="533">
        <v>0</v>
      </c>
      <c r="F14" s="533">
        <v>0</v>
      </c>
      <c r="G14" s="533">
        <v>0</v>
      </c>
      <c r="H14" s="247"/>
      <c r="I14" s="247"/>
      <c r="J14" s="5" t="s">
        <v>593</v>
      </c>
      <c r="L14" s="529">
        <f>'AGG ASIA CELLULAR'!D42</f>
        <v>2.9130695199933734</v>
      </c>
      <c r="M14" s="529">
        <f>'AGG ASIA CELLULAR'!E42</f>
        <v>2.8146219035099969</v>
      </c>
      <c r="N14" s="529">
        <f>'AGG ASIA CELLULAR'!F42</f>
        <v>2.5888583636405476</v>
      </c>
      <c r="O14" s="529">
        <f>'AGG ASIA CELLULAR'!G42</f>
        <v>2.3605815546209548</v>
      </c>
      <c r="P14" s="286">
        <f>'AGG ASIA CELLULAR'!H42</f>
        <v>8.7512202951403051E-3</v>
      </c>
      <c r="S14" s="42"/>
      <c r="T14" s="42"/>
      <c r="U14" s="42"/>
      <c r="V14" s="42"/>
      <c r="W14" s="42"/>
      <c r="X14" s="42"/>
      <c r="Y14" s="42"/>
      <c r="Z14" s="42"/>
      <c r="AA14" s="42"/>
    </row>
    <row r="15" spans="2:44">
      <c r="B15" s="5" t="s">
        <v>531</v>
      </c>
      <c r="C15" s="274"/>
      <c r="D15" s="538">
        <v>0</v>
      </c>
      <c r="E15" s="530">
        <f t="shared" ref="E15:G15" si="2">D15</f>
        <v>0</v>
      </c>
      <c r="F15" s="530">
        <f t="shared" si="2"/>
        <v>0</v>
      </c>
      <c r="G15" s="530">
        <f t="shared" si="2"/>
        <v>0</v>
      </c>
      <c r="H15" s="247"/>
      <c r="I15" s="247"/>
      <c r="J15" s="5" t="s">
        <v>475</v>
      </c>
      <c r="L15" s="529">
        <f>'AGG ASIA CELLULAR'!D43</f>
        <v>19.278364274513134</v>
      </c>
      <c r="M15" s="529">
        <f>'AGG ASIA CELLULAR'!E43</f>
        <v>15.523038202411636</v>
      </c>
      <c r="N15" s="529">
        <f>'AGG ASIA CELLULAR'!F43</f>
        <v>13.257386088679914</v>
      </c>
      <c r="O15" s="529">
        <f>'AGG ASIA CELLULAR'!G43</f>
        <v>11.466142328229227</v>
      </c>
      <c r="P15" s="286">
        <f>'AGG ASIA CELLULAR'!H43</f>
        <v>0.18831027118838706</v>
      </c>
      <c r="S15" s="42"/>
      <c r="T15" s="42"/>
      <c r="U15" s="42"/>
      <c r="V15" s="42"/>
      <c r="W15" s="42"/>
      <c r="X15" s="42"/>
      <c r="Y15" s="42"/>
      <c r="Z15" s="42"/>
      <c r="AA15" s="42"/>
    </row>
    <row r="16" spans="2:44">
      <c r="B16" s="5" t="s">
        <v>534</v>
      </c>
      <c r="C16" s="257"/>
      <c r="D16" s="533">
        <v>0</v>
      </c>
      <c r="E16" s="533">
        <v>0</v>
      </c>
      <c r="F16" s="533">
        <v>0</v>
      </c>
      <c r="G16" s="533">
        <v>0</v>
      </c>
      <c r="H16" s="247"/>
      <c r="I16" s="247"/>
      <c r="J16" s="5" t="s">
        <v>533</v>
      </c>
      <c r="L16" s="529">
        <f>'AGG ASIA CELLULAR'!D44</f>
        <v>20.50009040888548</v>
      </c>
      <c r="M16" s="529">
        <f>'AGG ASIA CELLULAR'!E44</f>
        <v>17.31807909095523</v>
      </c>
      <c r="N16" s="529">
        <f>'AGG ASIA CELLULAR'!F44</f>
        <v>14.883294016253318</v>
      </c>
      <c r="O16" s="529">
        <f>'AGG ASIA CELLULAR'!G44</f>
        <v>13.16548576425039</v>
      </c>
      <c r="P16" s="286">
        <f>'AGG ASIA CELLULAR'!H44</f>
        <v>0.15839482711139796</v>
      </c>
      <c r="S16" s="42"/>
      <c r="T16" s="42"/>
      <c r="U16" s="42"/>
      <c r="V16" s="42"/>
      <c r="W16" s="42"/>
      <c r="X16" s="42"/>
      <c r="Y16" s="42"/>
      <c r="Z16" s="42"/>
      <c r="AA16" s="42"/>
    </row>
    <row r="17" spans="2:27">
      <c r="B17" s="5" t="s">
        <v>6</v>
      </c>
      <c r="C17" s="257"/>
      <c r="D17" s="533">
        <v>0</v>
      </c>
      <c r="E17" s="533">
        <v>0</v>
      </c>
      <c r="F17" s="533">
        <v>0</v>
      </c>
      <c r="G17" s="533">
        <v>0</v>
      </c>
      <c r="H17" s="247"/>
      <c r="I17" s="247"/>
      <c r="J17" s="5" t="s">
        <v>580</v>
      </c>
      <c r="L17" s="248">
        <f>'AGG ASIA CELLULAR'!D45</f>
        <v>4.174038595528512E-2</v>
      </c>
      <c r="M17" s="248">
        <f>'AGG ASIA CELLULAR'!E45</f>
        <v>4.4792872771489058E-2</v>
      </c>
      <c r="N17" s="248">
        <f>'AGG ASIA CELLULAR'!F45</f>
        <v>5.1203391440393167E-2</v>
      </c>
      <c r="O17" s="248">
        <f>'AGG ASIA CELLULAR'!G45</f>
        <v>5.7913719466381006E-2</v>
      </c>
      <c r="P17" s="286">
        <f>'AGG ASIA CELLULAR'!H45</f>
        <v>0.11470165475568339</v>
      </c>
      <c r="S17" s="42"/>
      <c r="T17" s="42"/>
      <c r="U17" s="42"/>
      <c r="V17" s="42"/>
      <c r="W17" s="42"/>
      <c r="X17" s="42"/>
      <c r="Y17" s="42"/>
      <c r="Z17" s="42"/>
      <c r="AA17" s="42"/>
    </row>
    <row r="18" spans="2:27" ht="12.6" thickBot="1">
      <c r="B18" s="41" t="s">
        <v>583</v>
      </c>
      <c r="C18" s="249"/>
      <c r="D18" s="534">
        <f>D11+D12+D13-D14+D15-D16-D17</f>
        <v>23255.040473645051</v>
      </c>
      <c r="E18" s="534">
        <f>E11+E12+E13-E14+E15-E16-E17</f>
        <v>22009.509715942873</v>
      </c>
      <c r="F18" s="534">
        <f>F11+F12+F13-F14+F15-F16-F17</f>
        <v>20931.741506851678</v>
      </c>
      <c r="G18" s="534">
        <f>G11+G12+G13-G14+G15-G16-G17</f>
        <v>19430.267890547962</v>
      </c>
      <c r="H18" s="276">
        <f>IF(D18=0,"nm",IF(G18=0,"nm",(G18/D18)^(1/3)-1))</f>
        <v>-5.8138099359934414E-2</v>
      </c>
      <c r="I18" s="254"/>
      <c r="J18" s="5" t="s">
        <v>36</v>
      </c>
      <c r="L18" s="248" t="e">
        <f>'AGG ASIA CELLULAR'!D46</f>
        <v>#VALUE!</v>
      </c>
      <c r="M18" s="248" t="e">
        <f>'AGG ASIA CELLULAR'!E46</f>
        <v>#VALUE!</v>
      </c>
      <c r="N18" s="248" t="e">
        <f>'AGG ASIA CELLULAR'!F46</f>
        <v>#VALUE!</v>
      </c>
      <c r="O18" s="248" t="e">
        <f>'AGG ASIA CELLULAR'!G46</f>
        <v>#VALUE!</v>
      </c>
      <c r="P18" s="286" t="e">
        <f>'AGG ASIA CELLULAR'!H46</f>
        <v>#VALUE!</v>
      </c>
      <c r="S18" s="42"/>
      <c r="T18" s="42"/>
      <c r="U18" s="42"/>
      <c r="V18" s="42"/>
      <c r="W18" s="42"/>
      <c r="X18" s="42"/>
      <c r="Y18" s="42"/>
      <c r="Z18" s="42"/>
      <c r="AA18" s="42"/>
    </row>
    <row r="19" spans="2:27" ht="12.6" thickTop="1">
      <c r="B19" s="41"/>
      <c r="C19" s="249"/>
      <c r="D19" s="229"/>
      <c r="E19" s="229"/>
      <c r="F19" s="229"/>
      <c r="G19" s="229"/>
      <c r="H19" s="276"/>
      <c r="I19" s="254"/>
      <c r="J19" s="5" t="s">
        <v>581</v>
      </c>
      <c r="L19" s="248">
        <f>'AGG ASIA CELLULAR'!D47</f>
        <v>5.1871620732991598E-2</v>
      </c>
      <c r="M19" s="248">
        <f>'AGG ASIA CELLULAR'!E47</f>
        <v>6.4420378727447922E-2</v>
      </c>
      <c r="N19" s="248">
        <f>'AGG ASIA CELLULAR'!F47</f>
        <v>7.5429650559386677E-2</v>
      </c>
      <c r="O19" s="248">
        <f>'AGG ASIA CELLULAR'!G47</f>
        <v>8.7213290344219457E-2</v>
      </c>
      <c r="P19" s="286">
        <f>'AGG ASIA CELLULAR'!H47</f>
        <v>0.18831027118838706</v>
      </c>
      <c r="S19" s="42"/>
      <c r="T19" s="42"/>
      <c r="U19" s="42"/>
      <c r="V19" s="42"/>
      <c r="W19" s="42"/>
      <c r="X19" s="42"/>
      <c r="Y19" s="42"/>
      <c r="Z19" s="42"/>
      <c r="AA19" s="42"/>
    </row>
    <row r="20" spans="2:27">
      <c r="H20" s="277"/>
      <c r="I20" s="17"/>
      <c r="J20" s="5" t="s">
        <v>604</v>
      </c>
      <c r="L20" s="305">
        <f>'AGG ASIA CELLULAR'!D48</f>
        <v>0.92045377326476352</v>
      </c>
      <c r="M20" s="305">
        <f>'AGG ASIA CELLULAR'!E48</f>
        <v>0.79490390762892493</v>
      </c>
      <c r="N20" s="305">
        <f>'AGG ASIA CELLULAR'!F48</f>
        <v>0.7763724496707467</v>
      </c>
      <c r="O20" s="305">
        <f>'AGG ASIA CELLULAR'!G48</f>
        <v>0.75978089170129071</v>
      </c>
      <c r="P20" s="286" t="str">
        <f>'AGG ASIA CELLULAR'!H48</f>
        <v>nm</v>
      </c>
      <c r="S20" s="42"/>
      <c r="T20" s="42"/>
      <c r="U20" s="42"/>
      <c r="V20" s="42"/>
      <c r="W20" s="42"/>
      <c r="X20" s="42"/>
      <c r="Y20" s="42"/>
      <c r="Z20" s="42"/>
      <c r="AA20" s="42"/>
    </row>
    <row r="21" spans="2:27" ht="12.6" thickBot="1">
      <c r="B21" s="306" t="s">
        <v>943</v>
      </c>
      <c r="C21" s="265"/>
      <c r="D21" s="265" t="str">
        <f>D5</f>
        <v>2023E</v>
      </c>
      <c r="E21" s="265" t="str">
        <f t="shared" ref="E21:H21" si="3">E5</f>
        <v>2024E</v>
      </c>
      <c r="F21" s="265" t="str">
        <f t="shared" si="3"/>
        <v>2025E</v>
      </c>
      <c r="G21" s="265" t="str">
        <f t="shared" si="3"/>
        <v>2026E</v>
      </c>
      <c r="H21" s="265" t="str">
        <f t="shared" si="3"/>
        <v>23E-26E</v>
      </c>
      <c r="I21" s="49"/>
      <c r="J21" s="41"/>
      <c r="L21" s="250"/>
      <c r="M21" s="250"/>
      <c r="N21" s="250"/>
      <c r="O21" s="250"/>
      <c r="P21" s="286"/>
      <c r="S21" s="42"/>
      <c r="T21" s="42"/>
      <c r="U21" s="42"/>
      <c r="V21" s="42"/>
      <c r="W21" s="42"/>
      <c r="X21" s="42"/>
      <c r="Y21" s="42"/>
      <c r="Z21" s="42"/>
      <c r="AA21" s="42"/>
    </row>
    <row r="22" spans="2:27" ht="12.6" thickTop="1">
      <c r="B22" s="5"/>
      <c r="C22" s="257"/>
      <c r="D22" s="17"/>
      <c r="E22" s="17"/>
      <c r="F22" s="17"/>
      <c r="G22" s="17"/>
      <c r="H22" s="17"/>
      <c r="I22" s="17"/>
      <c r="P22" s="277"/>
      <c r="S22" s="42"/>
      <c r="T22" s="42"/>
      <c r="U22" s="42"/>
      <c r="V22" s="42"/>
      <c r="W22" s="42"/>
      <c r="X22" s="42"/>
      <c r="Y22" s="42"/>
      <c r="Z22" s="42"/>
      <c r="AA22" s="42"/>
    </row>
    <row r="23" spans="2:27" ht="12.6" thickBot="1">
      <c r="B23" s="5" t="s">
        <v>584</v>
      </c>
      <c r="C23" s="548">
        <v>17304.973291426999</v>
      </c>
      <c r="D23" s="540">
        <v>17608.527229097992</v>
      </c>
      <c r="E23" s="540">
        <v>18015.64097891151</v>
      </c>
      <c r="F23" s="540">
        <v>18436.383611056252</v>
      </c>
      <c r="G23" s="540">
        <v>18873.977877871457</v>
      </c>
      <c r="H23" s="279">
        <f t="shared" ref="H23:H32" si="4">IF(D23=0,"nm",IF(G23=0,"nm",(G23/D23)^(1/3)-1))</f>
        <v>2.3403275899132492E-2</v>
      </c>
      <c r="I23" s="247"/>
      <c r="J23" s="306" t="s">
        <v>9</v>
      </c>
      <c r="K23" s="306"/>
      <c r="L23" s="265" t="str">
        <f>D21</f>
        <v>2023E</v>
      </c>
      <c r="M23" s="265" t="str">
        <f t="shared" ref="M23:P23" si="5">E21</f>
        <v>2024E</v>
      </c>
      <c r="N23" s="265" t="str">
        <f t="shared" si="5"/>
        <v>2025E</v>
      </c>
      <c r="O23" s="265" t="str">
        <f t="shared" si="5"/>
        <v>2026E</v>
      </c>
      <c r="P23" s="265" t="str">
        <f t="shared" si="5"/>
        <v>23E-26E</v>
      </c>
      <c r="S23" s="42"/>
      <c r="T23" s="42"/>
      <c r="U23" s="42"/>
      <c r="V23" s="42"/>
      <c r="W23" s="42"/>
      <c r="X23" s="42"/>
      <c r="Y23" s="42"/>
      <c r="Z23" s="42"/>
      <c r="AA23" s="42"/>
    </row>
    <row r="24" spans="2:27" ht="12.6" thickTop="1">
      <c r="B24" s="5" t="s">
        <v>483</v>
      </c>
      <c r="C24" s="549">
        <v>5367.3812576719902</v>
      </c>
      <c r="D24" s="540">
        <v>5502.843969111992</v>
      </c>
      <c r="E24" s="540">
        <v>5705.9701078553016</v>
      </c>
      <c r="F24" s="540">
        <v>5928.816531055495</v>
      </c>
      <c r="G24" s="540">
        <v>6158.7301709860703</v>
      </c>
      <c r="H24" s="279">
        <f t="shared" si="4"/>
        <v>3.824853286608465E-2</v>
      </c>
      <c r="I24" s="249"/>
      <c r="J24" s="17"/>
      <c r="K24" s="17"/>
      <c r="L24" s="17"/>
      <c r="M24" s="17"/>
      <c r="N24" s="17"/>
      <c r="O24" s="248"/>
      <c r="S24" s="42"/>
      <c r="T24" s="42"/>
      <c r="U24" s="42"/>
      <c r="V24" s="42"/>
      <c r="W24" s="42" t="s">
        <v>577</v>
      </c>
      <c r="X24" s="42" t="s">
        <v>257</v>
      </c>
      <c r="Y24" s="42"/>
      <c r="Z24" s="42"/>
      <c r="AA24" s="42"/>
    </row>
    <row r="25" spans="2:27">
      <c r="B25" s="5" t="s">
        <v>183</v>
      </c>
      <c r="C25" s="548">
        <v>2331.9812576719901</v>
      </c>
      <c r="D25" s="540">
        <v>2760.843969111992</v>
      </c>
      <c r="E25" s="540">
        <v>2942.3857116512036</v>
      </c>
      <c r="F25" s="540">
        <v>3240.2188697484153</v>
      </c>
      <c r="G25" s="540">
        <v>3504.7473892855924</v>
      </c>
      <c r="H25" s="279">
        <f t="shared" si="4"/>
        <v>8.2775164891126574E-2</v>
      </c>
      <c r="I25" s="248"/>
      <c r="J25" s="247" t="s">
        <v>10</v>
      </c>
      <c r="K25" s="247"/>
      <c r="L25" s="321">
        <v>0</v>
      </c>
      <c r="M25" s="321">
        <v>0</v>
      </c>
      <c r="N25" s="321">
        <v>0</v>
      </c>
      <c r="O25" s="321">
        <v>0</v>
      </c>
      <c r="P25" s="279" t="str">
        <f>IF(L25=0,"nm",IF(O25=0,"nm",(O25/L25)^(1/3)-1))</f>
        <v>nm</v>
      </c>
      <c r="S25" s="42"/>
      <c r="T25" s="42"/>
      <c r="U25" s="42"/>
      <c r="V25" s="147" t="s">
        <v>273</v>
      </c>
      <c r="W25" s="288">
        <f>D37/L9</f>
        <v>0.63393689413224186</v>
      </c>
      <c r="X25" s="288">
        <v>1</v>
      </c>
      <c r="Y25" s="42"/>
      <c r="Z25" s="42"/>
      <c r="AA25" s="42"/>
    </row>
    <row r="26" spans="2:27">
      <c r="B26" s="5" t="s">
        <v>586</v>
      </c>
      <c r="C26" s="548">
        <v>1690.6864118121928</v>
      </c>
      <c r="D26" s="540">
        <v>2001.6118776061942</v>
      </c>
      <c r="E26" s="540">
        <v>2133.2296409471223</v>
      </c>
      <c r="F26" s="540">
        <v>2349.1586805676011</v>
      </c>
      <c r="G26" s="540">
        <v>2540.9418572320542</v>
      </c>
      <c r="H26" s="279">
        <f t="shared" si="4"/>
        <v>8.2775164891126574E-2</v>
      </c>
      <c r="I26" s="249"/>
      <c r="J26" s="249" t="s">
        <v>11</v>
      </c>
      <c r="K26" s="249"/>
      <c r="L26" s="281">
        <f>D11+L25</f>
        <v>11155.9531797</v>
      </c>
      <c r="M26" s="281">
        <f>E11+M25</f>
        <v>11017.846014000001</v>
      </c>
      <c r="N26" s="281">
        <f>F11+N25</f>
        <v>11017.846014000001</v>
      </c>
      <c r="O26" s="281">
        <f>G11+O25</f>
        <v>11017.846014000001</v>
      </c>
      <c r="P26" s="279">
        <f>IF(L26=0,"nm",IF(O26=0,"nm",(O26/L26)^(1/3)-1))</f>
        <v>-4.14370764979477E-3</v>
      </c>
      <c r="Q26" s="5"/>
      <c r="S26" s="42"/>
      <c r="T26" s="42"/>
      <c r="U26" s="42"/>
      <c r="V26" s="147" t="s">
        <v>184</v>
      </c>
      <c r="W26" s="288">
        <f t="shared" ref="W26:W33" si="6">D38/L10</f>
        <v>0.66468797180102179</v>
      </c>
      <c r="X26" s="288">
        <v>1</v>
      </c>
      <c r="Y26" s="42"/>
      <c r="Z26" s="42"/>
      <c r="AA26" s="42"/>
    </row>
    <row r="27" spans="2:27">
      <c r="B27" s="5" t="s">
        <v>587</v>
      </c>
      <c r="C27" s="549">
        <v>8965.34</v>
      </c>
      <c r="D27" s="540">
        <v>9220.8197948920006</v>
      </c>
      <c r="E27" s="540">
        <v>8553.9192227347357</v>
      </c>
      <c r="F27" s="540">
        <v>7944.9067050193162</v>
      </c>
      <c r="G27" s="540">
        <v>6942.8127589009036</v>
      </c>
      <c r="H27" s="279">
        <f t="shared" si="4"/>
        <v>-9.0250191627807674E-2</v>
      </c>
      <c r="I27" s="249"/>
      <c r="J27" s="248"/>
      <c r="K27" s="248"/>
      <c r="L27" s="248"/>
      <c r="M27" s="248"/>
      <c r="N27" s="248"/>
      <c r="O27" s="248"/>
      <c r="Q27" s="41"/>
      <c r="S27" s="42"/>
      <c r="T27" s="42"/>
      <c r="U27" s="42"/>
      <c r="V27" s="147" t="s">
        <v>185</v>
      </c>
      <c r="W27" s="288">
        <f t="shared" si="6"/>
        <v>0.68725086382091649</v>
      </c>
      <c r="X27" s="288">
        <v>1</v>
      </c>
      <c r="Y27" s="42"/>
      <c r="Z27" s="42"/>
      <c r="AA27" s="42"/>
    </row>
    <row r="28" spans="2:27" ht="12.6" thickBot="1">
      <c r="B28" s="5" t="s">
        <v>592</v>
      </c>
      <c r="C28" s="548">
        <v>18747.547864666994</v>
      </c>
      <c r="D28" s="540">
        <v>17977.153587509998</v>
      </c>
      <c r="E28" s="540">
        <v>16057.207345964434</v>
      </c>
      <c r="F28" s="540">
        <v>15088.729065389925</v>
      </c>
      <c r="G28" s="540">
        <v>14160.633686579196</v>
      </c>
      <c r="H28" s="279">
        <f t="shared" si="4"/>
        <v>-7.646380714546297E-2</v>
      </c>
      <c r="I28" s="248"/>
      <c r="J28" s="306" t="s">
        <v>1362</v>
      </c>
      <c r="K28" s="306"/>
      <c r="L28" s="306"/>
      <c r="M28" s="306"/>
      <c r="N28" s="266"/>
      <c r="O28" s="266"/>
      <c r="P28" s="266"/>
      <c r="Q28" s="5"/>
      <c r="S28" s="42"/>
      <c r="T28" s="42"/>
      <c r="U28" s="42"/>
      <c r="V28" s="147" t="s">
        <v>466</v>
      </c>
      <c r="W28" s="288">
        <f t="shared" si="6"/>
        <v>0.7283516788808887</v>
      </c>
      <c r="X28" s="288">
        <v>1</v>
      </c>
      <c r="Y28" s="42"/>
      <c r="Z28" s="42"/>
      <c r="AA28" s="42"/>
    </row>
    <row r="29" spans="2:27" ht="12.6" thickTop="1">
      <c r="B29" s="5" t="s">
        <v>588</v>
      </c>
      <c r="C29" s="548">
        <v>592.42873864300043</v>
      </c>
      <c r="D29" s="540">
        <v>1051.2112761469855</v>
      </c>
      <c r="E29" s="540">
        <v>1586.5888971053544</v>
      </c>
      <c r="F29" s="540">
        <v>1603.5101088895931</v>
      </c>
      <c r="G29" s="540">
        <v>2059.5437484533845</v>
      </c>
      <c r="H29" s="279">
        <f t="shared" si="4"/>
        <v>0.25129680862682613</v>
      </c>
      <c r="I29" s="252"/>
      <c r="J29" s="249"/>
      <c r="K29" s="249"/>
      <c r="L29" s="249"/>
      <c r="M29" s="249"/>
      <c r="N29" s="249"/>
      <c r="O29" s="251"/>
      <c r="Q29" s="5"/>
      <c r="S29" s="42"/>
      <c r="T29" s="42"/>
      <c r="U29" s="42"/>
      <c r="V29" s="147" t="s">
        <v>530</v>
      </c>
      <c r="W29" s="288">
        <f t="shared" si="6"/>
        <v>1.7668037851343801</v>
      </c>
      <c r="X29" s="288">
        <v>1</v>
      </c>
      <c r="Y29" s="42"/>
      <c r="Z29" s="42"/>
      <c r="AA29" s="42"/>
    </row>
    <row r="30" spans="2:27">
      <c r="B30" s="5" t="s">
        <v>589</v>
      </c>
      <c r="C30" s="549">
        <v>667.69287606300009</v>
      </c>
      <c r="D30" s="540">
        <v>936.0312355709932</v>
      </c>
      <c r="E30" s="540">
        <v>1118.8088620487133</v>
      </c>
      <c r="F30" s="540">
        <v>1363.8939803770936</v>
      </c>
      <c r="G30" s="540">
        <v>1583.059337739415</v>
      </c>
      <c r="H30" s="279">
        <f t="shared" si="4"/>
        <v>0.19143115060956228</v>
      </c>
      <c r="I30" s="254"/>
      <c r="J30" s="248"/>
      <c r="K30" s="248"/>
      <c r="L30" s="248"/>
      <c r="M30" s="248"/>
      <c r="N30" s="248"/>
      <c r="O30" s="5"/>
      <c r="Q30" s="5"/>
      <c r="S30" s="42"/>
      <c r="T30" s="42"/>
      <c r="U30" s="42"/>
      <c r="V30" s="147" t="s">
        <v>593</v>
      </c>
      <c r="W30" s="288">
        <f t="shared" si="6"/>
        <v>0.44406374963264256</v>
      </c>
      <c r="X30" s="288">
        <v>1</v>
      </c>
      <c r="Y30" s="42"/>
      <c r="Z30" s="42"/>
      <c r="AA30" s="42"/>
    </row>
    <row r="31" spans="2:27">
      <c r="B31" s="5" t="s">
        <v>590</v>
      </c>
      <c r="C31" s="549">
        <v>723.11958029999994</v>
      </c>
      <c r="D31" s="540">
        <v>762.39525591000006</v>
      </c>
      <c r="E31" s="540">
        <v>839.81230740556282</v>
      </c>
      <c r="F31" s="540">
        <v>1030.0451062558332</v>
      </c>
      <c r="G31" s="540">
        <v>1200.5132069054898</v>
      </c>
      <c r="H31" s="279">
        <f t="shared" si="4"/>
        <v>0.16339962365598204</v>
      </c>
      <c r="I31" s="254"/>
      <c r="J31" s="252"/>
      <c r="K31" s="252"/>
      <c r="L31" s="252"/>
      <c r="M31" s="252"/>
      <c r="N31" s="252"/>
      <c r="O31" s="5"/>
      <c r="Q31" s="5"/>
      <c r="S31" s="42"/>
      <c r="T31" s="42"/>
      <c r="U31" s="42"/>
      <c r="V31" s="147" t="s">
        <v>475</v>
      </c>
      <c r="W31" s="288">
        <f t="shared" si="6"/>
        <v>0.55048626796835898</v>
      </c>
      <c r="X31" s="288">
        <v>1</v>
      </c>
      <c r="Y31" s="42"/>
      <c r="Z31" s="42"/>
      <c r="AA31" s="42"/>
    </row>
    <row r="32" spans="2:27">
      <c r="B32" s="5" t="s">
        <v>606</v>
      </c>
      <c r="C32" s="550">
        <v>0</v>
      </c>
      <c r="D32" s="540">
        <v>0</v>
      </c>
      <c r="E32" s="540">
        <v>0</v>
      </c>
      <c r="F32" s="540">
        <v>426.66399999999999</v>
      </c>
      <c r="G32" s="540">
        <v>76.111000000000004</v>
      </c>
      <c r="H32" s="279" t="str">
        <f t="shared" si="4"/>
        <v>nm</v>
      </c>
      <c r="I32" s="254"/>
      <c r="J32" s="254"/>
      <c r="K32" s="254"/>
      <c r="L32" s="254"/>
      <c r="M32" s="254"/>
      <c r="N32" s="254"/>
      <c r="O32" s="251"/>
      <c r="Q32" s="5"/>
      <c r="S32" s="42"/>
      <c r="T32" s="42"/>
      <c r="U32" s="42"/>
      <c r="V32" s="147" t="s">
        <v>533</v>
      </c>
      <c r="W32" s="288">
        <f t="shared" si="6"/>
        <v>0.58138063920399696</v>
      </c>
      <c r="X32" s="288">
        <v>1</v>
      </c>
      <c r="Y32" s="42"/>
      <c r="Z32" s="42"/>
      <c r="AA32" s="42"/>
    </row>
    <row r="33" spans="2:27">
      <c r="B33" s="5" t="s">
        <v>5</v>
      </c>
      <c r="C33" s="549">
        <v>456.327</v>
      </c>
      <c r="D33" s="540">
        <v>527.40099999999995</v>
      </c>
      <c r="E33" s="540">
        <v>260.53775721920368</v>
      </c>
      <c r="F33" s="540">
        <v>252.53410596538711</v>
      </c>
      <c r="G33" s="540">
        <v>229.8287273301076</v>
      </c>
      <c r="H33" s="279">
        <f>IF(D33=0,"nm",IF(G33=0,"nm",(G33/D33)^(1/3)-1))</f>
        <v>-0.24185119561793522</v>
      </c>
      <c r="I33" s="5"/>
      <c r="J33" s="254"/>
      <c r="K33" s="254"/>
      <c r="L33" s="254"/>
      <c r="M33" s="254"/>
      <c r="N33" s="254"/>
      <c r="O33" s="251"/>
      <c r="Q33" s="5"/>
      <c r="S33" s="42"/>
      <c r="T33" s="42"/>
      <c r="U33" s="42"/>
      <c r="V33" s="147" t="s">
        <v>580</v>
      </c>
      <c r="W33" s="288">
        <f t="shared" si="6"/>
        <v>1.637257700802722</v>
      </c>
      <c r="X33" s="288">
        <v>1</v>
      </c>
      <c r="Y33" s="42"/>
      <c r="Z33" s="42"/>
      <c r="AA33" s="42"/>
    </row>
    <row r="34" spans="2:27">
      <c r="I34" s="49"/>
      <c r="J34" s="254"/>
      <c r="K34" s="254"/>
      <c r="L34" s="254"/>
      <c r="M34" s="254"/>
      <c r="N34" s="254"/>
      <c r="O34" s="251"/>
      <c r="Q34" s="5"/>
      <c r="S34" s="42"/>
      <c r="T34" s="42"/>
      <c r="U34" s="42"/>
      <c r="V34" s="147" t="s">
        <v>581</v>
      </c>
      <c r="W34" s="288">
        <f>D47/L19</f>
        <v>1.816575740736694</v>
      </c>
      <c r="X34" s="288">
        <v>1</v>
      </c>
      <c r="Y34" s="288"/>
      <c r="Z34" s="288"/>
      <c r="AA34" s="42"/>
    </row>
    <row r="35" spans="2:27" ht="12.6" thickBot="1">
      <c r="B35" s="306" t="s">
        <v>383</v>
      </c>
      <c r="C35" s="265"/>
      <c r="D35" s="265" t="str">
        <f>D5</f>
        <v>2023E</v>
      </c>
      <c r="E35" s="265" t="str">
        <f t="shared" ref="E35:H35" si="7">E5</f>
        <v>2024E</v>
      </c>
      <c r="F35" s="265" t="str">
        <f t="shared" si="7"/>
        <v>2025E</v>
      </c>
      <c r="G35" s="265" t="str">
        <f t="shared" si="7"/>
        <v>2026E</v>
      </c>
      <c r="H35" s="265" t="str">
        <f t="shared" si="7"/>
        <v>23E-26E</v>
      </c>
      <c r="I35" s="254"/>
      <c r="J35" s="5"/>
      <c r="K35" s="5"/>
      <c r="L35" s="5"/>
      <c r="M35" s="5"/>
      <c r="N35" s="5"/>
      <c r="O35" s="5"/>
      <c r="Q35" s="5"/>
      <c r="S35" s="42"/>
      <c r="T35" s="42"/>
      <c r="U35" s="42"/>
      <c r="V35" s="42"/>
      <c r="W35" s="42"/>
      <c r="X35" s="42"/>
      <c r="Y35" s="288"/>
      <c r="Z35" s="288"/>
      <c r="AA35" s="42"/>
    </row>
    <row r="36" spans="2:27" ht="12.6" thickTop="1">
      <c r="B36" s="41"/>
      <c r="C36" s="249"/>
      <c r="D36" s="254"/>
      <c r="E36" s="254"/>
      <c r="F36" s="254"/>
      <c r="G36" s="254"/>
      <c r="H36" s="254"/>
      <c r="I36" s="17"/>
      <c r="J36" s="49"/>
      <c r="K36" s="49"/>
      <c r="L36" s="49"/>
      <c r="M36" s="49"/>
      <c r="N36" s="49"/>
      <c r="O36" s="49"/>
      <c r="Q36" s="5"/>
      <c r="S36" s="42"/>
      <c r="T36" s="42"/>
      <c r="U36" s="42"/>
      <c r="V36" s="42"/>
      <c r="W36" s="42"/>
      <c r="X36" s="42"/>
      <c r="Y36" s="288"/>
      <c r="Z36" s="288"/>
      <c r="AA36" s="42"/>
    </row>
    <row r="37" spans="2:27">
      <c r="B37" s="5" t="s">
        <v>273</v>
      </c>
      <c r="C37" s="247"/>
      <c r="D37" s="529">
        <f>D$18/D23</f>
        <v>1.3206692513849896</v>
      </c>
      <c r="E37" s="529">
        <f t="shared" ref="E37:G41" si="8">E$18/E23</f>
        <v>1.2216889613700923</v>
      </c>
      <c r="F37" s="529">
        <f t="shared" si="8"/>
        <v>1.1353496406040806</v>
      </c>
      <c r="G37" s="529">
        <f t="shared" si="8"/>
        <v>1.029473914628708</v>
      </c>
      <c r="H37" s="17">
        <f t="shared" ref="H37:H45" si="9">H23</f>
        <v>2.3403275899132492E-2</v>
      </c>
      <c r="I37" s="5"/>
      <c r="J37" s="259"/>
      <c r="K37" s="259"/>
      <c r="L37" s="259"/>
      <c r="M37" s="259"/>
      <c r="N37" s="259"/>
      <c r="O37" s="18"/>
      <c r="Q37" s="5"/>
      <c r="R37" s="5"/>
      <c r="S37" s="42"/>
      <c r="T37" s="42"/>
      <c r="U37" s="42"/>
      <c r="V37" s="42"/>
      <c r="W37" s="42"/>
      <c r="X37" s="42"/>
      <c r="Y37" s="42"/>
      <c r="Z37" s="42"/>
      <c r="AA37" s="42"/>
    </row>
    <row r="38" spans="2:27">
      <c r="B38" s="5" t="s">
        <v>184</v>
      </c>
      <c r="C38" s="247"/>
      <c r="D38" s="529">
        <f>D$18/D24</f>
        <v>4.2260039725236433</v>
      </c>
      <c r="E38" s="529">
        <f t="shared" si="8"/>
        <v>3.8572774304658197</v>
      </c>
      <c r="F38" s="529">
        <f t="shared" si="8"/>
        <v>3.5305092335392683</v>
      </c>
      <c r="G38" s="529">
        <f t="shared" si="8"/>
        <v>3.1549146254343849</v>
      </c>
      <c r="H38" s="17">
        <f t="shared" si="9"/>
        <v>3.824853286608465E-2</v>
      </c>
      <c r="I38" s="259"/>
      <c r="J38" s="17"/>
      <c r="K38" s="17"/>
      <c r="L38" s="17"/>
      <c r="M38" s="17"/>
      <c r="N38" s="17"/>
      <c r="O38" s="5"/>
      <c r="Q38" s="5"/>
      <c r="R38" s="5"/>
      <c r="S38" s="42"/>
      <c r="T38" s="42"/>
      <c r="U38" s="42"/>
      <c r="V38" s="42"/>
      <c r="W38" s="42"/>
      <c r="X38" s="42"/>
      <c r="Y38" s="42"/>
      <c r="Z38" s="42"/>
      <c r="AA38" s="42"/>
    </row>
    <row r="39" spans="2:27">
      <c r="B39" s="5" t="s">
        <v>185</v>
      </c>
      <c r="C39" s="247"/>
      <c r="D39" s="529">
        <f>D$18/D25</f>
        <v>8.4231636172923192</v>
      </c>
      <c r="E39" s="529">
        <f t="shared" si="8"/>
        <v>7.4801578966313054</v>
      </c>
      <c r="F39" s="529">
        <f t="shared" si="8"/>
        <v>6.4599776583848207</v>
      </c>
      <c r="G39" s="529">
        <f t="shared" si="8"/>
        <v>5.5439852669406307</v>
      </c>
      <c r="H39" s="17">
        <f t="shared" si="9"/>
        <v>8.2775164891126574E-2</v>
      </c>
      <c r="I39" s="17"/>
      <c r="J39" s="5"/>
      <c r="K39" s="5"/>
      <c r="L39" s="5"/>
      <c r="M39" s="5"/>
      <c r="N39" s="5"/>
      <c r="O39" s="5"/>
      <c r="Q39" s="5"/>
      <c r="R39" s="5"/>
      <c r="S39" s="42"/>
      <c r="T39" s="42"/>
      <c r="U39" s="42"/>
      <c r="V39" s="42"/>
      <c r="W39" s="42"/>
      <c r="X39" s="42"/>
      <c r="Y39" s="42"/>
      <c r="Z39" s="42"/>
      <c r="AA39" s="42"/>
    </row>
    <row r="40" spans="2:27">
      <c r="B40" s="5" t="s">
        <v>466</v>
      </c>
      <c r="C40" s="247"/>
      <c r="D40" s="529">
        <f>D$18/D26</f>
        <v>11.618156713506648</v>
      </c>
      <c r="E40" s="529">
        <f t="shared" si="8"/>
        <v>10.31745916776732</v>
      </c>
      <c r="F40" s="529">
        <f t="shared" si="8"/>
        <v>8.9103140115652693</v>
      </c>
      <c r="G40" s="529">
        <f t="shared" si="8"/>
        <v>7.6468762302629392</v>
      </c>
      <c r="H40" s="17">
        <f t="shared" si="9"/>
        <v>8.2775164891126574E-2</v>
      </c>
      <c r="I40" s="5"/>
      <c r="J40" s="259"/>
      <c r="K40" s="259"/>
      <c r="L40" s="259"/>
      <c r="M40" s="259"/>
      <c r="N40" s="259"/>
      <c r="O40" s="18"/>
      <c r="Q40" s="5"/>
      <c r="R40" s="5"/>
      <c r="S40" s="42"/>
      <c r="T40" s="42"/>
      <c r="U40" s="42"/>
      <c r="V40" s="42"/>
      <c r="W40" s="288"/>
      <c r="X40" s="288"/>
      <c r="Y40" s="42"/>
      <c r="Z40" s="42"/>
      <c r="AA40" s="42"/>
    </row>
    <row r="41" spans="2:27">
      <c r="B41" s="5" t="s">
        <v>530</v>
      </c>
      <c r="C41" s="247"/>
      <c r="D41" s="529">
        <f>D$18/D27</f>
        <v>2.5220144185582609</v>
      </c>
      <c r="E41" s="529">
        <f t="shared" si="8"/>
        <v>2.5730322139874393</v>
      </c>
      <c r="F41" s="529">
        <f t="shared" si="8"/>
        <v>2.634611365999771</v>
      </c>
      <c r="G41" s="529">
        <f t="shared" si="8"/>
        <v>2.7986161466961281</v>
      </c>
      <c r="H41" s="17">
        <f t="shared" si="9"/>
        <v>-9.0250191627807674E-2</v>
      </c>
      <c r="I41" s="247"/>
      <c r="J41" s="17"/>
      <c r="K41" s="17"/>
      <c r="L41" s="17"/>
      <c r="M41" s="17"/>
      <c r="N41" s="17"/>
      <c r="O41" s="5"/>
      <c r="Q41" s="5"/>
      <c r="R41" s="5"/>
      <c r="S41" s="42"/>
      <c r="T41" s="42"/>
      <c r="U41" s="42"/>
      <c r="V41" s="42"/>
      <c r="W41" s="288"/>
      <c r="X41" s="288"/>
      <c r="Y41" s="288"/>
      <c r="Z41" s="288"/>
      <c r="AA41" s="42"/>
    </row>
    <row r="42" spans="2:27">
      <c r="B42" s="5" t="s">
        <v>593</v>
      </c>
      <c r="C42" s="247"/>
      <c r="D42" s="529">
        <f>D18/D28</f>
        <v>1.2935885739888195</v>
      </c>
      <c r="E42" s="529">
        <f>E18/E28</f>
        <v>1.3706934986720711</v>
      </c>
      <c r="F42" s="529">
        <f>F18/F28</f>
        <v>1.3872435124350055</v>
      </c>
      <c r="G42" s="529">
        <f>G18/G28</f>
        <v>1.3721326545550772</v>
      </c>
      <c r="H42" s="17">
        <f t="shared" si="9"/>
        <v>-7.646380714546297E-2</v>
      </c>
      <c r="I42" s="248"/>
      <c r="J42" s="5"/>
      <c r="K42" s="5"/>
      <c r="L42" s="5"/>
      <c r="M42" s="5"/>
      <c r="N42" s="5"/>
      <c r="O42" s="5"/>
      <c r="Q42" s="5"/>
      <c r="R42" s="5"/>
      <c r="S42" s="42"/>
      <c r="T42" s="42"/>
      <c r="U42" s="42"/>
      <c r="V42" s="42"/>
      <c r="W42" s="288"/>
      <c r="X42" s="288"/>
      <c r="Y42" s="288"/>
      <c r="Z42" s="288"/>
      <c r="AA42" s="42"/>
    </row>
    <row r="43" spans="2:27">
      <c r="B43" s="5" t="s">
        <v>475</v>
      </c>
      <c r="C43" s="247"/>
      <c r="D43" s="529">
        <f>L26/D29</f>
        <v>10.612474802011276</v>
      </c>
      <c r="E43" s="529">
        <f>M26/E29</f>
        <v>6.9443609709493526</v>
      </c>
      <c r="F43" s="529">
        <f>N26/F29</f>
        <v>6.8710798596896252</v>
      </c>
      <c r="G43" s="529">
        <f>O26/G29</f>
        <v>5.3496537872884993</v>
      </c>
      <c r="H43" s="17">
        <f t="shared" si="9"/>
        <v>0.25129680862682613</v>
      </c>
      <c r="I43" s="247"/>
      <c r="J43" s="247"/>
      <c r="K43" s="247"/>
      <c r="L43" s="247"/>
      <c r="M43" s="247"/>
      <c r="N43" s="247"/>
      <c r="O43" s="18"/>
      <c r="Q43" s="5"/>
      <c r="R43" s="5"/>
      <c r="S43" s="42"/>
      <c r="T43" s="42"/>
      <c r="U43" s="42"/>
      <c r="V43" s="42"/>
      <c r="W43" s="288"/>
      <c r="X43" s="288"/>
      <c r="Y43" s="288"/>
      <c r="Z43" s="288"/>
      <c r="AA43" s="42"/>
    </row>
    <row r="44" spans="2:27">
      <c r="B44" s="5" t="s">
        <v>533</v>
      </c>
      <c r="C44" s="69"/>
      <c r="D44" s="529">
        <f>D11/D30</f>
        <v>11.918355665657568</v>
      </c>
      <c r="E44" s="529">
        <f>E11/E30</f>
        <v>9.8478358437603077</v>
      </c>
      <c r="F44" s="529">
        <f>F11/F30</f>
        <v>8.0782276133763364</v>
      </c>
      <c r="G44" s="529">
        <f>G11/G30</f>
        <v>6.9598439877391582</v>
      </c>
      <c r="H44" s="17">
        <f t="shared" si="9"/>
        <v>0.19143115060956228</v>
      </c>
      <c r="I44" s="247"/>
      <c r="J44" s="248"/>
      <c r="K44" s="248"/>
      <c r="L44" s="248"/>
      <c r="M44" s="248"/>
      <c r="N44" s="248"/>
      <c r="O44" s="248"/>
      <c r="Q44" s="5"/>
      <c r="R44" s="5"/>
      <c r="S44" s="42"/>
      <c r="T44" s="42"/>
      <c r="U44" s="42"/>
      <c r="V44" s="42"/>
      <c r="W44" s="325"/>
      <c r="X44" s="325"/>
      <c r="Y44" s="288"/>
      <c r="Z44" s="288"/>
      <c r="AA44" s="42"/>
    </row>
    <row r="45" spans="2:27">
      <c r="B45" s="5" t="s">
        <v>580</v>
      </c>
      <c r="C45" s="247"/>
      <c r="D45" s="248">
        <f>D31/D11</f>
        <v>6.8339768339768348E-2</v>
      </c>
      <c r="E45" s="248">
        <f>E31/E11</f>
        <v>7.6222912022771233E-2</v>
      </c>
      <c r="F45" s="248">
        <f>F31/F11</f>
        <v>9.3488791270724791E-2</v>
      </c>
      <c r="G45" s="248">
        <f>G31/G11</f>
        <v>0.10896079010180744</v>
      </c>
      <c r="H45" s="17">
        <f t="shared" si="9"/>
        <v>0.16339962365598204</v>
      </c>
      <c r="I45" s="248"/>
      <c r="J45" s="247"/>
      <c r="K45" s="247"/>
      <c r="L45" s="247"/>
      <c r="M45" s="247"/>
      <c r="N45" s="247"/>
      <c r="O45" s="248"/>
      <c r="Q45" s="5"/>
      <c r="R45" s="5"/>
      <c r="S45" s="42"/>
      <c r="T45" s="42"/>
      <c r="U45" s="42"/>
      <c r="V45" s="42"/>
      <c r="W45" s="42"/>
      <c r="X45" s="42"/>
      <c r="Y45" s="325"/>
      <c r="Z45" s="325"/>
      <c r="AA45" s="42"/>
    </row>
    <row r="46" spans="2:27">
      <c r="B46" s="5" t="s">
        <v>605</v>
      </c>
      <c r="C46" s="247"/>
      <c r="D46" s="248">
        <f>(D31+D32)/D11</f>
        <v>6.8339768339768348E-2</v>
      </c>
      <c r="E46" s="248">
        <f>(E31+E32)/E11</f>
        <v>7.6222912022771233E-2</v>
      </c>
      <c r="F46" s="248">
        <f>(F31+F32)/F11</f>
        <v>0.13221360186054903</v>
      </c>
      <c r="G46" s="248">
        <f>(G31+G32)/G11</f>
        <v>0.11586876466446591</v>
      </c>
      <c r="H46" s="279">
        <f>((G31+G32)/(D31+D32))^(1/3)-1</f>
        <v>0.18748362612180114</v>
      </c>
      <c r="I46" s="247"/>
      <c r="J46" s="247"/>
      <c r="K46" s="247"/>
      <c r="L46" s="247"/>
      <c r="M46" s="247"/>
      <c r="N46" s="247"/>
      <c r="O46" s="18"/>
      <c r="Q46" s="5"/>
      <c r="R46" s="5"/>
      <c r="S46" s="42"/>
      <c r="T46" s="42"/>
      <c r="U46" s="42"/>
      <c r="V46" s="42"/>
      <c r="W46" s="42"/>
      <c r="X46" s="42"/>
      <c r="Y46" s="42"/>
      <c r="Z46" s="42"/>
      <c r="AA46" s="326"/>
    </row>
    <row r="47" spans="2:27">
      <c r="B47" s="5" t="s">
        <v>581</v>
      </c>
      <c r="C47" s="5"/>
      <c r="D47" s="248">
        <f>1/D43</f>
        <v>9.4228727856247071E-2</v>
      </c>
      <c r="E47" s="248">
        <f>1/E43</f>
        <v>0.14400173092720028</v>
      </c>
      <c r="F47" s="248">
        <f>1/F43</f>
        <v>0.14553753127898753</v>
      </c>
      <c r="G47" s="248">
        <f>1/G43</f>
        <v>0.18692798445688863</v>
      </c>
      <c r="H47" s="17">
        <f>H29</f>
        <v>0.25129680862682613</v>
      </c>
      <c r="I47" s="17"/>
      <c r="J47" s="248"/>
      <c r="K47" s="248"/>
      <c r="L47" s="248"/>
      <c r="M47" s="248"/>
      <c r="N47" s="248"/>
      <c r="O47" s="248"/>
      <c r="Q47" s="5"/>
      <c r="R47" s="5"/>
      <c r="S47" s="42"/>
      <c r="T47" s="42"/>
      <c r="U47" s="42"/>
      <c r="V47" s="42"/>
      <c r="W47" s="42"/>
      <c r="X47" s="42"/>
      <c r="Y47" s="42"/>
      <c r="Z47" s="42"/>
      <c r="AA47" s="326"/>
    </row>
    <row r="48" spans="2:27">
      <c r="B48" s="5" t="s">
        <v>618</v>
      </c>
      <c r="C48" s="5"/>
      <c r="D48" s="305">
        <f>D31/D29</f>
        <v>0.72525406948107951</v>
      </c>
      <c r="E48" s="305">
        <f>E31/E29</f>
        <v>0.52931941534303872</v>
      </c>
      <c r="F48" s="305">
        <f>F31/F29</f>
        <v>0.64236895080700429</v>
      </c>
      <c r="G48" s="305">
        <f>G31/G29</f>
        <v>0.58290250343408134</v>
      </c>
      <c r="H48" s="279" t="s">
        <v>607</v>
      </c>
      <c r="I48" s="247"/>
      <c r="J48" s="247"/>
      <c r="K48" s="247"/>
      <c r="L48" s="247"/>
      <c r="M48" s="247"/>
      <c r="N48" s="247"/>
      <c r="O48" s="248"/>
      <c r="Q48" s="5"/>
      <c r="R48" s="5"/>
      <c r="S48" s="42"/>
      <c r="T48" s="42"/>
      <c r="U48" s="42"/>
      <c r="V48" s="42"/>
      <c r="W48" s="42"/>
      <c r="X48" s="42"/>
      <c r="Y48" s="42"/>
      <c r="Z48" s="42"/>
      <c r="AA48" s="326"/>
    </row>
    <row r="49" spans="2:27">
      <c r="B49" s="41"/>
      <c r="C49" s="17"/>
      <c r="D49" s="17"/>
      <c r="E49" s="17"/>
      <c r="F49" s="17"/>
      <c r="G49" s="17"/>
      <c r="H49" s="17"/>
      <c r="I49" s="254"/>
      <c r="J49" s="17"/>
      <c r="K49" s="17"/>
      <c r="L49" s="17"/>
      <c r="M49" s="17"/>
      <c r="N49" s="17"/>
      <c r="O49" s="248"/>
      <c r="Q49" s="5"/>
      <c r="R49" s="5"/>
      <c r="S49" s="42"/>
      <c r="T49" s="42"/>
      <c r="U49" s="42"/>
      <c r="V49" s="42"/>
      <c r="W49" s="42"/>
      <c r="X49" s="42"/>
      <c r="Y49" s="42"/>
      <c r="Z49" s="42"/>
      <c r="AA49" s="326"/>
    </row>
    <row r="50" spans="2:27">
      <c r="B50" s="5"/>
      <c r="C50" s="257"/>
      <c r="D50" s="257"/>
      <c r="E50" s="257"/>
      <c r="F50" s="5"/>
      <c r="G50" s="41"/>
      <c r="H50" s="249"/>
      <c r="I50" s="17"/>
      <c r="J50" s="249"/>
      <c r="K50" s="249"/>
      <c r="L50" s="249"/>
      <c r="M50" s="249"/>
      <c r="N50" s="249"/>
      <c r="O50" s="250"/>
      <c r="Q50" s="5"/>
      <c r="R50" s="5"/>
      <c r="S50" s="42"/>
      <c r="T50" s="42"/>
      <c r="U50" s="42"/>
      <c r="V50" s="42"/>
      <c r="W50" s="288"/>
      <c r="X50" s="288"/>
      <c r="Y50" s="42"/>
      <c r="Z50" s="42"/>
      <c r="AA50" s="326"/>
    </row>
    <row r="51" spans="2:27">
      <c r="B51" s="41"/>
      <c r="C51" s="249"/>
      <c r="D51" s="254"/>
      <c r="E51" s="254"/>
      <c r="F51" s="254"/>
      <c r="G51" s="254"/>
      <c r="H51" s="254"/>
      <c r="I51" s="259"/>
      <c r="J51" s="254"/>
      <c r="K51" s="254"/>
      <c r="L51" s="254"/>
      <c r="M51" s="254"/>
      <c r="N51" s="254"/>
      <c r="O51" s="251"/>
      <c r="Q51" s="5"/>
      <c r="R51" s="5"/>
      <c r="S51" s="42"/>
      <c r="T51" s="42"/>
      <c r="U51" s="42"/>
      <c r="V51" s="42"/>
      <c r="W51" s="288"/>
      <c r="X51" s="288"/>
      <c r="Y51" s="288"/>
      <c r="Z51" s="288"/>
      <c r="AA51" s="42"/>
    </row>
    <row r="52" spans="2:27">
      <c r="B52" s="5"/>
      <c r="C52" s="257"/>
      <c r="D52" s="17"/>
      <c r="E52" s="17"/>
      <c r="F52" s="17"/>
      <c r="G52" s="17"/>
      <c r="H52" s="17"/>
      <c r="I52" s="254"/>
      <c r="J52" s="17"/>
      <c r="K52" s="17"/>
      <c r="L52" s="17"/>
      <c r="M52" s="17"/>
      <c r="N52" s="17"/>
      <c r="O52" s="248"/>
      <c r="Q52" s="5"/>
      <c r="R52" s="5"/>
      <c r="Y52" s="10"/>
      <c r="Z52" s="10"/>
    </row>
    <row r="53" spans="2:27">
      <c r="B53" s="5"/>
      <c r="C53" s="257"/>
      <c r="D53" s="257"/>
      <c r="E53" s="257"/>
      <c r="F53" s="5"/>
      <c r="G53" s="5"/>
      <c r="H53" s="259"/>
      <c r="I53" s="17"/>
      <c r="J53" s="259"/>
      <c r="K53" s="259"/>
      <c r="L53" s="259"/>
      <c r="M53" s="259"/>
      <c r="N53" s="259"/>
      <c r="O53" s="18"/>
      <c r="Q53" s="5"/>
      <c r="R53" s="5"/>
    </row>
    <row r="54" spans="2:27">
      <c r="B54" s="41"/>
      <c r="C54" s="249"/>
      <c r="D54" s="254"/>
      <c r="E54" s="254"/>
      <c r="F54" s="254"/>
      <c r="G54" s="254"/>
      <c r="H54" s="254"/>
      <c r="I54" s="259"/>
      <c r="J54" s="254"/>
      <c r="K54" s="254"/>
      <c r="L54" s="254"/>
      <c r="M54" s="254"/>
      <c r="N54" s="254"/>
      <c r="O54" s="251"/>
      <c r="Q54" s="5"/>
      <c r="R54" s="5"/>
    </row>
    <row r="55" spans="2:27">
      <c r="B55" s="5"/>
      <c r="C55" s="257"/>
      <c r="D55" s="17"/>
      <c r="E55" s="17"/>
      <c r="F55" s="17"/>
      <c r="G55" s="17"/>
      <c r="H55" s="17"/>
      <c r="I55" s="249"/>
      <c r="J55" s="17"/>
      <c r="K55" s="17"/>
      <c r="L55" s="17"/>
      <c r="M55" s="17"/>
      <c r="N55" s="17"/>
      <c r="O55" s="18"/>
      <c r="Q55" s="5"/>
      <c r="R55" s="5"/>
    </row>
    <row r="56" spans="2:27">
      <c r="B56" s="5"/>
      <c r="C56" s="248"/>
      <c r="D56" s="248"/>
      <c r="E56" s="248"/>
      <c r="F56" s="5"/>
      <c r="G56" s="5"/>
      <c r="H56" s="259"/>
      <c r="I56" s="248"/>
      <c r="J56" s="259"/>
      <c r="K56" s="259"/>
      <c r="L56" s="259"/>
      <c r="M56" s="259"/>
      <c r="N56" s="259"/>
      <c r="O56" s="18"/>
      <c r="Q56" s="5"/>
      <c r="R56" s="5"/>
    </row>
    <row r="57" spans="2:27">
      <c r="B57" s="41"/>
      <c r="C57" s="249"/>
      <c r="D57" s="249"/>
      <c r="E57" s="249"/>
      <c r="F57" s="249"/>
      <c r="G57" s="249"/>
      <c r="H57" s="249"/>
      <c r="I57" s="5"/>
      <c r="J57" s="249"/>
      <c r="K57" s="249"/>
      <c r="L57" s="249"/>
      <c r="M57" s="249"/>
      <c r="N57" s="249"/>
      <c r="O57" s="251"/>
      <c r="Q57" s="5"/>
      <c r="R57" s="5"/>
    </row>
    <row r="58" spans="2:27">
      <c r="B58" s="5"/>
      <c r="C58" s="5"/>
      <c r="D58" s="248"/>
      <c r="E58" s="248"/>
      <c r="F58" s="248"/>
      <c r="G58" s="248"/>
      <c r="H58" s="248"/>
      <c r="I58" s="17"/>
      <c r="J58" s="248"/>
      <c r="K58" s="248"/>
      <c r="L58" s="248"/>
      <c r="M58" s="248"/>
      <c r="N58" s="248"/>
      <c r="O58" s="18"/>
      <c r="Q58" s="5"/>
      <c r="R58" s="5"/>
    </row>
    <row r="59" spans="2:27">
      <c r="B59" s="5"/>
      <c r="C59" s="5"/>
      <c r="D59" s="5"/>
      <c r="E59" s="5"/>
      <c r="F59" s="5"/>
      <c r="G59" s="5"/>
      <c r="H59" s="5"/>
      <c r="I59" s="5"/>
      <c r="J59" s="5"/>
      <c r="K59" s="5"/>
      <c r="L59" s="5"/>
      <c r="M59" s="5"/>
      <c r="N59" s="5"/>
      <c r="O59" s="5"/>
      <c r="Q59" s="5"/>
      <c r="R59" s="5"/>
    </row>
    <row r="60" spans="2:27">
      <c r="B60" s="41"/>
      <c r="C60" s="17"/>
      <c r="D60" s="17"/>
      <c r="E60" s="17"/>
      <c r="F60" s="17"/>
      <c r="G60" s="17"/>
      <c r="H60" s="17"/>
      <c r="I60" s="249"/>
      <c r="J60" s="17"/>
      <c r="K60" s="17"/>
      <c r="L60" s="17"/>
      <c r="M60" s="17"/>
      <c r="N60" s="17"/>
      <c r="O60" s="251"/>
      <c r="Q60" s="5"/>
      <c r="R60" s="5"/>
    </row>
    <row r="61" spans="2:27">
      <c r="B61" s="5"/>
      <c r="C61" s="5"/>
      <c r="D61" s="5"/>
      <c r="E61" s="5"/>
      <c r="F61" s="5"/>
      <c r="G61" s="5"/>
      <c r="H61" s="5"/>
      <c r="I61" s="5"/>
      <c r="J61" s="5"/>
      <c r="K61" s="5"/>
      <c r="L61" s="5"/>
      <c r="M61" s="5"/>
      <c r="N61" s="5"/>
      <c r="O61" s="5"/>
      <c r="Q61" s="41"/>
      <c r="R61" s="5"/>
    </row>
    <row r="62" spans="2:27">
      <c r="B62" s="41"/>
      <c r="C62" s="249"/>
      <c r="D62" s="249"/>
      <c r="E62" s="249"/>
      <c r="F62" s="249"/>
      <c r="G62" s="249"/>
      <c r="H62" s="249"/>
      <c r="I62" s="5"/>
      <c r="J62" s="249"/>
      <c r="K62" s="249"/>
      <c r="L62" s="249"/>
      <c r="M62" s="249"/>
      <c r="N62" s="249"/>
      <c r="O62" s="251"/>
      <c r="Q62" s="5"/>
      <c r="R62" s="5"/>
    </row>
    <row r="63" spans="2:27">
      <c r="B63" s="5"/>
      <c r="C63" s="5"/>
      <c r="D63" s="5"/>
      <c r="E63" s="5"/>
      <c r="F63" s="5"/>
      <c r="G63" s="5"/>
      <c r="H63" s="5"/>
      <c r="I63" s="254"/>
      <c r="J63" s="5"/>
      <c r="K63" s="5"/>
      <c r="L63" s="5"/>
      <c r="M63" s="5"/>
      <c r="N63" s="5"/>
      <c r="O63" s="5"/>
      <c r="Q63" s="5"/>
      <c r="R63" s="5"/>
    </row>
    <row r="64" spans="2:27">
      <c r="B64" s="5"/>
      <c r="C64" s="5"/>
      <c r="D64" s="5"/>
      <c r="E64" s="5"/>
      <c r="F64" s="5"/>
      <c r="G64" s="5"/>
      <c r="H64" s="5"/>
      <c r="I64" s="17"/>
      <c r="J64" s="5"/>
      <c r="K64" s="5"/>
      <c r="L64" s="5"/>
      <c r="M64" s="5"/>
      <c r="N64" s="5"/>
      <c r="O64" s="5"/>
      <c r="Q64" s="5"/>
      <c r="R64" s="5"/>
    </row>
    <row r="65" spans="2:26">
      <c r="B65" s="41"/>
      <c r="C65" s="249"/>
      <c r="D65" s="254"/>
      <c r="E65" s="254"/>
      <c r="F65" s="254"/>
      <c r="G65" s="254"/>
      <c r="H65" s="254"/>
      <c r="I65" s="254"/>
      <c r="J65" s="254"/>
      <c r="K65" s="254"/>
      <c r="L65" s="254"/>
      <c r="M65" s="254"/>
      <c r="N65" s="254"/>
      <c r="O65" s="251"/>
      <c r="Q65" s="5"/>
      <c r="R65" s="5"/>
    </row>
    <row r="66" spans="2:26">
      <c r="B66" s="5"/>
      <c r="C66" s="5"/>
      <c r="D66" s="17"/>
      <c r="E66" s="17"/>
      <c r="F66" s="17"/>
      <c r="G66" s="17"/>
      <c r="H66" s="17"/>
      <c r="I66" s="248"/>
      <c r="J66" s="17"/>
      <c r="K66" s="17"/>
      <c r="L66" s="17"/>
      <c r="M66" s="17"/>
      <c r="N66" s="17"/>
      <c r="O66" s="5"/>
      <c r="Q66" s="5"/>
      <c r="R66" s="5"/>
    </row>
    <row r="67" spans="2:26">
      <c r="B67" s="41"/>
      <c r="C67" s="249"/>
      <c r="D67" s="254"/>
      <c r="E67" s="254"/>
      <c r="F67" s="254"/>
      <c r="G67" s="254"/>
      <c r="H67" s="254"/>
      <c r="I67" s="5"/>
      <c r="J67" s="254"/>
      <c r="K67" s="254"/>
      <c r="L67" s="254"/>
      <c r="M67" s="254"/>
      <c r="N67" s="254"/>
      <c r="O67" s="251"/>
      <c r="Q67" s="41"/>
      <c r="R67" s="5"/>
    </row>
    <row r="68" spans="2:26">
      <c r="B68" s="5"/>
      <c r="C68" s="5"/>
      <c r="D68" s="248"/>
      <c r="E68" s="248"/>
      <c r="F68" s="248"/>
      <c r="G68" s="248"/>
      <c r="H68" s="248"/>
      <c r="I68" s="245"/>
      <c r="J68" s="248"/>
      <c r="K68" s="248"/>
      <c r="L68" s="248"/>
      <c r="M68" s="248"/>
      <c r="N68" s="248"/>
      <c r="O68" s="5"/>
      <c r="Q68" s="5"/>
      <c r="R68" s="5"/>
    </row>
    <row r="69" spans="2:26">
      <c r="B69" s="41"/>
      <c r="C69" s="5"/>
      <c r="D69" s="5"/>
      <c r="E69" s="5"/>
      <c r="F69" s="5"/>
      <c r="G69" s="5"/>
      <c r="H69" s="5"/>
      <c r="I69" s="248"/>
      <c r="J69" s="5"/>
      <c r="K69" s="5"/>
      <c r="L69" s="5"/>
      <c r="M69" s="5"/>
      <c r="N69" s="5"/>
      <c r="O69" s="5"/>
      <c r="Q69" s="5"/>
      <c r="R69" s="5"/>
    </row>
    <row r="70" spans="2:26">
      <c r="B70" s="41"/>
      <c r="C70" s="245"/>
      <c r="D70" s="245"/>
      <c r="E70" s="245"/>
      <c r="F70" s="245"/>
      <c r="G70" s="245"/>
      <c r="H70" s="245"/>
      <c r="I70" s="5"/>
      <c r="J70" s="245"/>
      <c r="K70" s="245"/>
      <c r="L70" s="245"/>
      <c r="M70" s="245"/>
      <c r="N70" s="245"/>
      <c r="O70" s="251"/>
      <c r="Q70" s="5"/>
      <c r="R70" s="5"/>
      <c r="W70" s="76"/>
      <c r="X70" s="76"/>
    </row>
    <row r="71" spans="2:26">
      <c r="B71" s="5"/>
      <c r="C71" s="5"/>
      <c r="D71" s="248"/>
      <c r="E71" s="248"/>
      <c r="F71" s="248"/>
      <c r="G71" s="248"/>
      <c r="H71" s="248"/>
      <c r="I71" s="245"/>
      <c r="J71" s="248"/>
      <c r="K71" s="248"/>
      <c r="L71" s="248"/>
      <c r="M71" s="248"/>
      <c r="N71" s="248"/>
      <c r="O71" s="5"/>
      <c r="Q71" s="5"/>
      <c r="R71" s="5"/>
      <c r="W71" s="76"/>
      <c r="X71" s="76"/>
      <c r="Y71" s="76"/>
      <c r="Z71" s="76"/>
    </row>
    <row r="72" spans="2:26">
      <c r="B72" s="41"/>
      <c r="C72" s="5"/>
      <c r="D72" s="5"/>
      <c r="E72" s="5"/>
      <c r="F72" s="5"/>
      <c r="G72" s="5"/>
      <c r="H72" s="5"/>
      <c r="I72" s="18"/>
      <c r="J72" s="5"/>
      <c r="K72" s="5"/>
      <c r="L72" s="5"/>
      <c r="M72" s="5"/>
      <c r="N72" s="5"/>
      <c r="O72" s="5"/>
      <c r="Q72" s="5"/>
      <c r="R72" s="5"/>
      <c r="Y72" s="76"/>
      <c r="Z72" s="76"/>
    </row>
    <row r="73" spans="2:26">
      <c r="B73" s="41"/>
      <c r="C73" s="245"/>
      <c r="D73" s="245"/>
      <c r="E73" s="245"/>
      <c r="F73" s="245"/>
      <c r="G73" s="245"/>
      <c r="H73" s="245"/>
      <c r="I73" s="5"/>
      <c r="J73" s="245"/>
      <c r="K73" s="245"/>
      <c r="L73" s="245"/>
      <c r="M73" s="245"/>
      <c r="N73" s="245"/>
      <c r="O73" s="251"/>
      <c r="Q73" s="5"/>
      <c r="R73" s="5"/>
    </row>
    <row r="74" spans="2:26">
      <c r="B74" s="5"/>
      <c r="C74" s="5"/>
      <c r="D74" s="18"/>
      <c r="E74" s="18"/>
      <c r="F74" s="18"/>
      <c r="G74" s="18"/>
      <c r="H74" s="18"/>
      <c r="I74" s="249"/>
      <c r="J74" s="18"/>
      <c r="K74" s="18"/>
      <c r="L74" s="18"/>
      <c r="M74" s="18"/>
      <c r="N74" s="18"/>
      <c r="O74" s="5"/>
      <c r="Q74" s="5"/>
      <c r="R74" s="5"/>
    </row>
    <row r="75" spans="2:26">
      <c r="B75" s="41"/>
      <c r="C75" s="5"/>
      <c r="D75" s="5"/>
      <c r="E75" s="5"/>
      <c r="F75" s="5"/>
      <c r="G75" s="5"/>
      <c r="H75" s="5"/>
      <c r="I75" s="248"/>
      <c r="J75" s="5"/>
      <c r="K75" s="5"/>
      <c r="L75" s="5"/>
      <c r="M75" s="5"/>
      <c r="N75" s="5"/>
      <c r="O75" s="5"/>
      <c r="Q75" s="5"/>
      <c r="R75" s="5"/>
    </row>
    <row r="76" spans="2:26">
      <c r="B76" s="41"/>
      <c r="C76" s="249"/>
      <c r="D76" s="249"/>
      <c r="E76" s="249"/>
      <c r="F76" s="249"/>
      <c r="G76" s="249"/>
      <c r="H76" s="249"/>
      <c r="I76" s="5"/>
      <c r="J76" s="249"/>
      <c r="K76" s="249"/>
      <c r="L76" s="249"/>
      <c r="M76" s="249"/>
      <c r="N76" s="249"/>
      <c r="O76" s="251"/>
      <c r="Q76" s="5"/>
      <c r="R76" s="5"/>
    </row>
    <row r="77" spans="2:26">
      <c r="B77" s="5"/>
      <c r="C77" s="5"/>
      <c r="D77" s="248"/>
      <c r="E77" s="248"/>
      <c r="F77" s="248"/>
      <c r="G77" s="248"/>
      <c r="H77" s="248"/>
      <c r="I77" s="245"/>
      <c r="J77" s="248"/>
      <c r="K77" s="248"/>
      <c r="L77" s="248"/>
      <c r="M77" s="248"/>
      <c r="N77" s="248"/>
      <c r="O77" s="5"/>
      <c r="Q77" s="5"/>
      <c r="R77" s="5"/>
    </row>
    <row r="78" spans="2:26">
      <c r="B78" s="41"/>
      <c r="C78" s="5"/>
      <c r="D78" s="5"/>
      <c r="E78" s="5"/>
      <c r="F78" s="5"/>
      <c r="G78" s="5"/>
      <c r="H78" s="5"/>
      <c r="I78" s="248"/>
      <c r="J78" s="5"/>
      <c r="K78" s="5"/>
      <c r="L78" s="5"/>
      <c r="M78" s="5"/>
      <c r="N78" s="5"/>
      <c r="O78" s="5"/>
      <c r="Q78" s="5"/>
      <c r="R78" s="5"/>
    </row>
    <row r="79" spans="2:26">
      <c r="B79" s="41"/>
      <c r="C79" s="245"/>
      <c r="D79" s="245"/>
      <c r="E79" s="245"/>
      <c r="F79" s="245"/>
      <c r="G79" s="245"/>
      <c r="H79" s="245"/>
      <c r="I79" s="5"/>
      <c r="J79" s="245"/>
      <c r="K79" s="245"/>
      <c r="L79" s="245"/>
      <c r="M79" s="245"/>
      <c r="N79" s="245"/>
      <c r="O79" s="251"/>
      <c r="Q79" s="5"/>
      <c r="R79" s="5"/>
    </row>
    <row r="80" spans="2:26">
      <c r="B80" s="5"/>
      <c r="C80" s="5"/>
      <c r="D80" s="248"/>
      <c r="E80" s="248"/>
      <c r="F80" s="248"/>
      <c r="G80" s="248"/>
      <c r="H80" s="248"/>
      <c r="I80" s="249"/>
      <c r="J80" s="248"/>
      <c r="K80" s="248"/>
      <c r="L80" s="248"/>
      <c r="M80" s="248"/>
      <c r="N80" s="248"/>
      <c r="O80" s="5"/>
      <c r="Q80" s="5"/>
      <c r="R80" s="5"/>
    </row>
    <row r="81" spans="2:26">
      <c r="B81" s="41"/>
      <c r="C81" s="5"/>
      <c r="D81" s="5"/>
      <c r="E81" s="5"/>
      <c r="F81" s="5"/>
      <c r="G81" s="5"/>
      <c r="H81" s="5"/>
      <c r="I81" s="248"/>
      <c r="J81" s="5"/>
      <c r="K81" s="5"/>
      <c r="L81" s="5"/>
      <c r="M81" s="5"/>
      <c r="N81" s="5"/>
      <c r="O81" s="5"/>
      <c r="Q81" s="5"/>
      <c r="R81" s="5"/>
    </row>
    <row r="82" spans="2:26">
      <c r="B82" s="41"/>
      <c r="C82" s="249"/>
      <c r="D82" s="249"/>
      <c r="E82" s="249"/>
      <c r="F82" s="249"/>
      <c r="G82" s="249"/>
      <c r="H82" s="249"/>
      <c r="I82" s="259"/>
      <c r="J82" s="249"/>
      <c r="K82" s="249"/>
      <c r="L82" s="249"/>
      <c r="M82" s="249"/>
      <c r="N82" s="249"/>
      <c r="O82" s="251"/>
      <c r="Q82" s="5"/>
      <c r="R82" s="5"/>
    </row>
    <row r="83" spans="2:26">
      <c r="B83" s="5"/>
      <c r="C83" s="5"/>
      <c r="D83" s="248"/>
      <c r="E83" s="248"/>
      <c r="F83" s="248"/>
      <c r="G83" s="248"/>
      <c r="H83" s="248"/>
      <c r="I83" s="5"/>
      <c r="J83" s="248"/>
      <c r="K83" s="248"/>
      <c r="L83" s="248"/>
      <c r="M83" s="248"/>
      <c r="N83" s="248"/>
      <c r="O83" s="5"/>
      <c r="Q83" s="5"/>
      <c r="R83" s="5"/>
    </row>
    <row r="84" spans="2:26">
      <c r="B84" s="5"/>
      <c r="C84" s="259"/>
      <c r="D84" s="259"/>
      <c r="E84" s="259"/>
      <c r="F84" s="259"/>
      <c r="G84" s="259"/>
      <c r="H84" s="259"/>
      <c r="I84" s="245"/>
      <c r="J84" s="259"/>
      <c r="K84" s="259"/>
      <c r="L84" s="259"/>
      <c r="M84" s="259"/>
      <c r="N84" s="259"/>
      <c r="O84" s="251"/>
      <c r="Q84" s="5"/>
      <c r="R84" s="5"/>
    </row>
    <row r="85" spans="2:26">
      <c r="B85" s="41"/>
      <c r="C85" s="5"/>
      <c r="D85" s="5"/>
      <c r="E85" s="5"/>
      <c r="F85" s="5"/>
      <c r="G85" s="5"/>
      <c r="H85" s="5"/>
      <c r="I85" s="248"/>
      <c r="J85" s="5"/>
      <c r="K85" s="5"/>
      <c r="L85" s="5"/>
      <c r="M85" s="5"/>
      <c r="N85" s="5"/>
      <c r="O85" s="5"/>
      <c r="Q85" s="5"/>
      <c r="R85" s="5"/>
    </row>
    <row r="86" spans="2:26">
      <c r="B86" s="41"/>
      <c r="C86" s="245"/>
      <c r="D86" s="245"/>
      <c r="E86" s="245"/>
      <c r="F86" s="245"/>
      <c r="G86" s="245"/>
      <c r="H86" s="245"/>
      <c r="I86" s="5"/>
      <c r="J86" s="245"/>
      <c r="K86" s="245"/>
      <c r="L86" s="245"/>
      <c r="M86" s="245"/>
      <c r="N86" s="245"/>
      <c r="O86" s="251"/>
      <c r="Q86" s="5"/>
      <c r="R86" s="5"/>
    </row>
    <row r="87" spans="2:26">
      <c r="B87" s="5"/>
      <c r="C87" s="5"/>
      <c r="D87" s="248"/>
      <c r="E87" s="248"/>
      <c r="F87" s="248"/>
      <c r="G87" s="248"/>
      <c r="H87" s="248"/>
      <c r="I87" s="5"/>
      <c r="J87" s="248"/>
      <c r="K87" s="248"/>
      <c r="L87" s="248"/>
      <c r="M87" s="248"/>
      <c r="N87" s="248"/>
      <c r="O87" s="5"/>
      <c r="Q87" s="5"/>
      <c r="R87" s="5"/>
    </row>
    <row r="88" spans="2:26">
      <c r="B88" s="41"/>
      <c r="C88" s="5"/>
      <c r="D88" s="5"/>
      <c r="E88" s="5"/>
      <c r="F88" s="5"/>
      <c r="G88" s="5"/>
      <c r="H88" s="5"/>
      <c r="I88" s="5"/>
      <c r="J88" s="5"/>
      <c r="K88" s="5"/>
      <c r="L88" s="5"/>
      <c r="M88" s="5"/>
      <c r="N88" s="5"/>
      <c r="O88" s="5"/>
      <c r="Q88" s="5"/>
      <c r="R88" s="5"/>
    </row>
    <row r="89" spans="2:26">
      <c r="B89" s="41"/>
      <c r="C89" s="5"/>
      <c r="D89" s="5"/>
      <c r="E89" s="5"/>
      <c r="F89" s="5"/>
      <c r="G89" s="5"/>
      <c r="H89" s="5"/>
      <c r="I89" s="5"/>
      <c r="J89" s="5"/>
      <c r="K89" s="5"/>
      <c r="L89" s="5"/>
      <c r="M89" s="5"/>
      <c r="N89" s="5"/>
      <c r="O89" s="5"/>
      <c r="Q89" s="5"/>
      <c r="R89" s="5"/>
    </row>
    <row r="90" spans="2:26">
      <c r="B90" s="41"/>
      <c r="C90" s="5"/>
      <c r="D90" s="5"/>
      <c r="E90" s="5"/>
      <c r="F90" s="5"/>
      <c r="G90" s="5"/>
      <c r="H90" s="5"/>
      <c r="I90" s="49"/>
      <c r="J90" s="5"/>
      <c r="K90" s="5"/>
      <c r="L90" s="5"/>
      <c r="M90" s="5"/>
      <c r="N90" s="5"/>
      <c r="O90" s="5"/>
      <c r="Q90" s="41"/>
      <c r="R90" s="5"/>
    </row>
    <row r="91" spans="2:26">
      <c r="B91" s="5"/>
      <c r="C91" s="5"/>
      <c r="D91" s="5"/>
      <c r="E91" s="5"/>
      <c r="F91" s="5"/>
      <c r="G91" s="5"/>
      <c r="H91" s="5"/>
      <c r="I91" s="5"/>
      <c r="J91" s="5"/>
      <c r="K91" s="5"/>
      <c r="L91" s="5"/>
      <c r="M91" s="5"/>
      <c r="N91" s="5"/>
      <c r="O91" s="5"/>
      <c r="Q91" s="5"/>
      <c r="R91" s="5"/>
    </row>
    <row r="92" spans="2:26">
      <c r="B92" s="41"/>
      <c r="C92" s="49"/>
      <c r="D92" s="49"/>
      <c r="E92" s="49"/>
      <c r="F92" s="49"/>
      <c r="G92" s="49"/>
      <c r="H92" s="49"/>
      <c r="I92" s="247"/>
      <c r="J92" s="49"/>
      <c r="K92" s="49"/>
      <c r="L92" s="49"/>
      <c r="M92" s="49"/>
      <c r="N92" s="49"/>
      <c r="O92" s="49"/>
      <c r="Q92" s="5"/>
      <c r="R92" s="5"/>
      <c r="W92" s="21"/>
      <c r="X92" s="21"/>
    </row>
    <row r="93" spans="2:26">
      <c r="B93" s="5"/>
      <c r="C93" s="5"/>
      <c r="D93" s="5"/>
      <c r="E93" s="5"/>
      <c r="F93" s="5"/>
      <c r="G93" s="5"/>
      <c r="H93" s="5"/>
      <c r="I93" s="247"/>
      <c r="J93" s="5"/>
      <c r="K93" s="5"/>
      <c r="L93" s="5"/>
      <c r="M93" s="5"/>
      <c r="N93" s="5"/>
      <c r="O93" s="5"/>
      <c r="Q93" s="5"/>
      <c r="R93" s="5"/>
      <c r="W93" s="21"/>
      <c r="X93" s="21"/>
      <c r="Y93" s="21"/>
      <c r="Z93" s="21"/>
    </row>
    <row r="94" spans="2:26">
      <c r="B94" s="5"/>
      <c r="C94" s="259"/>
      <c r="D94" s="247"/>
      <c r="E94" s="247"/>
      <c r="F94" s="247"/>
      <c r="G94" s="247"/>
      <c r="H94" s="247"/>
      <c r="I94" s="247"/>
      <c r="J94" s="247"/>
      <c r="K94" s="247"/>
      <c r="L94" s="247"/>
      <c r="M94" s="247"/>
      <c r="N94" s="247"/>
      <c r="O94" s="248"/>
      <c r="Q94" s="5"/>
      <c r="R94" s="5"/>
      <c r="Y94" s="21"/>
      <c r="Z94" s="21"/>
    </row>
    <row r="95" spans="2:26">
      <c r="B95" s="5"/>
      <c r="C95" s="259"/>
      <c r="D95" s="247"/>
      <c r="E95" s="247"/>
      <c r="F95" s="247"/>
      <c r="G95" s="247"/>
      <c r="H95" s="247"/>
      <c r="I95" s="248"/>
      <c r="J95" s="247"/>
      <c r="K95" s="247"/>
      <c r="L95" s="247"/>
      <c r="M95" s="247"/>
      <c r="N95" s="247"/>
      <c r="O95" s="248"/>
      <c r="Q95" s="5"/>
      <c r="R95" s="5"/>
    </row>
    <row r="96" spans="2:26">
      <c r="B96" s="5"/>
      <c r="C96" s="259"/>
      <c r="D96" s="247"/>
      <c r="E96" s="247"/>
      <c r="F96" s="247"/>
      <c r="G96" s="247"/>
      <c r="H96" s="247"/>
      <c r="I96" s="247"/>
      <c r="J96" s="247"/>
      <c r="K96" s="247"/>
      <c r="L96" s="247"/>
      <c r="M96" s="247"/>
      <c r="N96" s="247"/>
      <c r="O96" s="248"/>
      <c r="Q96" s="5"/>
      <c r="R96" s="5"/>
    </row>
    <row r="97" spans="2:18">
      <c r="B97" s="5"/>
      <c r="C97" s="259"/>
      <c r="D97" s="248"/>
      <c r="E97" s="248"/>
      <c r="F97" s="248"/>
      <c r="G97" s="248"/>
      <c r="H97" s="248"/>
      <c r="I97" s="249"/>
      <c r="J97" s="248"/>
      <c r="K97" s="248"/>
      <c r="L97" s="248"/>
      <c r="M97" s="248"/>
      <c r="N97" s="248"/>
      <c r="O97" s="248"/>
      <c r="Q97" s="5"/>
      <c r="R97" s="5"/>
    </row>
    <row r="98" spans="2:18">
      <c r="B98" s="5"/>
      <c r="C98" s="259"/>
      <c r="D98" s="247"/>
      <c r="E98" s="247"/>
      <c r="F98" s="247"/>
      <c r="G98" s="247"/>
      <c r="H98" s="247"/>
      <c r="I98" s="248"/>
      <c r="J98" s="247"/>
      <c r="K98" s="247"/>
      <c r="L98" s="247"/>
      <c r="M98" s="247"/>
      <c r="N98" s="247"/>
      <c r="O98" s="248"/>
      <c r="Q98" s="5"/>
      <c r="R98" s="5"/>
    </row>
    <row r="99" spans="2:18">
      <c r="B99" s="41"/>
      <c r="C99" s="249"/>
      <c r="D99" s="249"/>
      <c r="E99" s="249"/>
      <c r="F99" s="249"/>
      <c r="G99" s="249"/>
      <c r="H99" s="249"/>
      <c r="I99" s="5"/>
      <c r="J99" s="249"/>
      <c r="K99" s="249"/>
      <c r="L99" s="249"/>
      <c r="M99" s="249"/>
      <c r="N99" s="249"/>
      <c r="O99" s="248"/>
      <c r="Q99" s="5"/>
      <c r="R99" s="5"/>
    </row>
    <row r="100" spans="2:18">
      <c r="B100" s="41"/>
      <c r="C100" s="257"/>
      <c r="D100" s="248"/>
      <c r="E100" s="248"/>
      <c r="F100" s="248"/>
      <c r="G100" s="248"/>
      <c r="H100" s="248"/>
      <c r="I100" s="259"/>
      <c r="J100" s="248"/>
      <c r="K100" s="248"/>
      <c r="L100" s="248"/>
      <c r="M100" s="248"/>
      <c r="N100" s="248"/>
      <c r="O100" s="248"/>
      <c r="Q100" s="5"/>
      <c r="R100" s="5"/>
    </row>
    <row r="101" spans="2:18" s="5" customFormat="1">
      <c r="B101" s="41"/>
      <c r="I101" s="259"/>
      <c r="O101" s="248"/>
      <c r="P101" s="39"/>
    </row>
    <row r="102" spans="2:18">
      <c r="B102" s="5"/>
      <c r="C102" s="259"/>
      <c r="D102" s="259"/>
      <c r="E102" s="259"/>
      <c r="F102" s="259"/>
      <c r="G102" s="259"/>
      <c r="H102" s="259"/>
      <c r="I102" s="247"/>
      <c r="J102" s="259"/>
      <c r="K102" s="259"/>
      <c r="L102" s="259"/>
      <c r="M102" s="259"/>
      <c r="N102" s="259"/>
      <c r="O102" s="5"/>
      <c r="Q102" s="5"/>
      <c r="R102" s="5"/>
    </row>
    <row r="103" spans="2:18">
      <c r="B103" s="5"/>
      <c r="C103" s="259"/>
      <c r="D103" s="259"/>
      <c r="E103" s="259"/>
      <c r="F103" s="259"/>
      <c r="G103" s="259"/>
      <c r="H103" s="259"/>
      <c r="I103" s="5"/>
      <c r="J103" s="259"/>
      <c r="K103" s="259"/>
      <c r="L103" s="259"/>
      <c r="M103" s="259"/>
      <c r="N103" s="259"/>
      <c r="O103" s="5"/>
      <c r="P103" s="5"/>
      <c r="Q103" s="5"/>
      <c r="R103" s="5"/>
    </row>
    <row r="104" spans="2:18">
      <c r="B104" s="5"/>
      <c r="C104" s="247"/>
      <c r="D104" s="247"/>
      <c r="E104" s="247"/>
      <c r="F104" s="247"/>
      <c r="G104" s="247"/>
      <c r="H104" s="247"/>
      <c r="I104" s="247"/>
      <c r="J104" s="247"/>
      <c r="K104" s="247"/>
      <c r="L104" s="247"/>
      <c r="M104" s="247"/>
      <c r="N104" s="247"/>
      <c r="O104" s="5"/>
      <c r="Q104" s="5"/>
      <c r="R104" s="5"/>
    </row>
    <row r="105" spans="2:18" s="5" customFormat="1">
      <c r="P105" s="39"/>
    </row>
    <row r="106" spans="2:18" s="5" customFormat="1">
      <c r="C106" s="259"/>
      <c r="D106" s="247"/>
      <c r="E106" s="247"/>
      <c r="F106" s="247"/>
      <c r="G106" s="247"/>
      <c r="H106" s="247"/>
      <c r="I106" s="259"/>
      <c r="J106" s="247"/>
      <c r="K106" s="247"/>
      <c r="L106" s="247"/>
      <c r="M106" s="247"/>
      <c r="N106" s="247"/>
      <c r="P106" s="39"/>
    </row>
    <row r="107" spans="2:18">
      <c r="B107" s="5"/>
      <c r="C107" s="259"/>
      <c r="D107" s="5"/>
      <c r="E107" s="5"/>
      <c r="F107" s="5"/>
      <c r="G107" s="5"/>
      <c r="H107" s="5"/>
      <c r="I107" s="247"/>
      <c r="J107" s="5"/>
      <c r="K107" s="5"/>
      <c r="L107" s="5"/>
      <c r="M107" s="5"/>
      <c r="N107" s="5"/>
      <c r="O107" s="5"/>
      <c r="P107" s="5"/>
      <c r="Q107" s="5"/>
      <c r="R107" s="5"/>
    </row>
    <row r="108" spans="2:18">
      <c r="B108" s="5"/>
      <c r="C108" s="259"/>
      <c r="D108" s="259"/>
      <c r="E108" s="259"/>
      <c r="F108" s="259"/>
      <c r="G108" s="259"/>
      <c r="H108" s="259"/>
      <c r="I108" s="249"/>
      <c r="J108" s="259"/>
      <c r="K108" s="259"/>
      <c r="L108" s="259"/>
      <c r="M108" s="259"/>
      <c r="N108" s="259"/>
      <c r="O108" s="5"/>
      <c r="P108" s="5"/>
      <c r="Q108" s="5"/>
      <c r="R108" s="5"/>
    </row>
    <row r="109" spans="2:18">
      <c r="B109" s="5"/>
      <c r="C109" s="247"/>
      <c r="D109" s="247"/>
      <c r="E109" s="247"/>
      <c r="F109" s="247"/>
      <c r="G109" s="247"/>
      <c r="H109" s="247"/>
      <c r="I109" s="249"/>
      <c r="J109" s="247"/>
      <c r="K109" s="247"/>
      <c r="L109" s="247"/>
      <c r="M109" s="247"/>
      <c r="N109" s="247"/>
      <c r="O109" s="5"/>
      <c r="Q109" s="5"/>
      <c r="R109" s="5"/>
    </row>
    <row r="110" spans="2:18">
      <c r="B110" s="41"/>
      <c r="C110" s="249"/>
      <c r="D110" s="249"/>
      <c r="E110" s="249"/>
      <c r="F110" s="249"/>
      <c r="G110" s="249"/>
      <c r="H110" s="249"/>
      <c r="I110" s="247"/>
      <c r="J110" s="249"/>
      <c r="K110" s="249"/>
      <c r="L110" s="249"/>
      <c r="M110" s="249"/>
      <c r="N110" s="249"/>
      <c r="O110" s="5"/>
      <c r="Q110" s="5"/>
      <c r="R110" s="5"/>
    </row>
    <row r="111" spans="2:18">
      <c r="B111" s="5"/>
      <c r="C111" s="249"/>
      <c r="D111" s="249"/>
      <c r="E111" s="249"/>
      <c r="F111" s="249"/>
      <c r="G111" s="249"/>
      <c r="H111" s="249"/>
      <c r="I111" s="5"/>
      <c r="J111" s="249"/>
      <c r="K111" s="249"/>
      <c r="L111" s="249"/>
      <c r="M111" s="249"/>
      <c r="N111" s="249"/>
      <c r="O111" s="5"/>
      <c r="Q111" s="5"/>
      <c r="R111" s="5"/>
    </row>
    <row r="112" spans="2:18">
      <c r="B112" s="5"/>
      <c r="C112" s="247"/>
      <c r="D112" s="247"/>
      <c r="E112" s="247"/>
      <c r="F112" s="247"/>
      <c r="G112" s="247"/>
      <c r="H112" s="247"/>
      <c r="I112" s="5"/>
      <c r="J112" s="247"/>
      <c r="K112" s="247"/>
      <c r="L112" s="247"/>
      <c r="M112" s="247"/>
      <c r="N112" s="247"/>
      <c r="O112" s="5"/>
      <c r="Q112" s="5"/>
      <c r="R112" s="5"/>
    </row>
    <row r="113" spans="2:18">
      <c r="B113" s="5"/>
      <c r="C113" s="5"/>
      <c r="D113" s="5"/>
      <c r="E113" s="5"/>
      <c r="F113" s="5"/>
      <c r="G113" s="5"/>
      <c r="H113" s="5"/>
      <c r="I113" s="5"/>
      <c r="J113" s="5"/>
      <c r="K113" s="5"/>
      <c r="L113" s="5"/>
      <c r="M113" s="5"/>
      <c r="N113" s="5"/>
      <c r="O113" s="5"/>
      <c r="Q113" s="5"/>
      <c r="R113" s="5"/>
    </row>
    <row r="114" spans="2:18">
      <c r="B114" s="5"/>
      <c r="C114" s="5"/>
      <c r="D114" s="5"/>
      <c r="E114" s="5"/>
      <c r="F114" s="5"/>
      <c r="G114" s="5"/>
      <c r="H114" s="5"/>
      <c r="I114" s="5"/>
      <c r="J114" s="5"/>
      <c r="K114" s="5"/>
      <c r="L114" s="5"/>
      <c r="M114" s="5"/>
      <c r="N114" s="5"/>
      <c r="O114" s="5"/>
      <c r="Q114" s="5"/>
      <c r="R114" s="5"/>
    </row>
    <row r="115" spans="2:18">
      <c r="B115" s="5"/>
      <c r="C115" s="5"/>
      <c r="D115" s="5"/>
      <c r="E115" s="5"/>
      <c r="F115" s="5"/>
      <c r="G115" s="5"/>
      <c r="H115" s="5"/>
      <c r="I115" s="49"/>
      <c r="J115" s="5"/>
      <c r="K115" s="5"/>
      <c r="L115" s="5"/>
      <c r="M115" s="5"/>
      <c r="N115" s="5"/>
      <c r="O115" s="5"/>
      <c r="Q115" s="41"/>
      <c r="R115" s="5"/>
    </row>
    <row r="116" spans="2:18">
      <c r="B116" s="5"/>
      <c r="C116" s="5"/>
      <c r="D116" s="5"/>
      <c r="E116" s="5"/>
      <c r="F116" s="5"/>
      <c r="G116" s="5"/>
      <c r="H116" s="5"/>
      <c r="I116" s="5"/>
      <c r="J116" s="5"/>
      <c r="K116" s="5"/>
      <c r="L116" s="5"/>
      <c r="M116" s="5"/>
      <c r="N116" s="5"/>
      <c r="O116" s="5"/>
      <c r="Q116" s="5"/>
      <c r="R116" s="5"/>
    </row>
    <row r="117" spans="2:18">
      <c r="B117" s="41"/>
      <c r="C117" s="49"/>
      <c r="D117" s="49"/>
      <c r="E117" s="49"/>
      <c r="F117" s="49"/>
      <c r="G117" s="49"/>
      <c r="H117" s="49"/>
      <c r="I117" s="254"/>
      <c r="J117" s="49"/>
      <c r="K117" s="49"/>
      <c r="L117" s="49"/>
      <c r="M117" s="49"/>
      <c r="N117" s="49"/>
      <c r="O117" s="49"/>
      <c r="Q117" s="5"/>
      <c r="R117" s="5"/>
    </row>
    <row r="118" spans="2:18">
      <c r="B118" s="5"/>
      <c r="C118" s="5"/>
      <c r="D118" s="5"/>
      <c r="E118" s="5"/>
      <c r="F118" s="5"/>
      <c r="G118" s="5"/>
      <c r="H118" s="5"/>
      <c r="I118" s="249"/>
      <c r="J118" s="5"/>
      <c r="K118" s="5"/>
      <c r="L118" s="5"/>
      <c r="M118" s="5"/>
      <c r="N118" s="5"/>
      <c r="O118" s="5"/>
      <c r="Q118" s="5"/>
      <c r="R118" s="5"/>
    </row>
    <row r="119" spans="2:18">
      <c r="B119" s="41"/>
      <c r="C119" s="254"/>
      <c r="D119" s="254"/>
      <c r="E119" s="254"/>
      <c r="F119" s="254"/>
      <c r="G119" s="254"/>
      <c r="H119" s="254"/>
      <c r="I119" s="254"/>
      <c r="J119" s="254"/>
      <c r="K119" s="254"/>
      <c r="L119" s="254"/>
      <c r="M119" s="254"/>
      <c r="N119" s="254"/>
      <c r="O119" s="248"/>
      <c r="Q119" s="5"/>
      <c r="R119" s="5"/>
    </row>
    <row r="120" spans="2:18">
      <c r="B120" s="41"/>
      <c r="C120" s="254"/>
      <c r="D120" s="249"/>
      <c r="E120" s="249"/>
      <c r="F120" s="249"/>
      <c r="G120" s="249"/>
      <c r="H120" s="249"/>
      <c r="I120" s="254"/>
      <c r="J120" s="249"/>
      <c r="K120" s="249"/>
      <c r="L120" s="249"/>
      <c r="M120" s="249"/>
      <c r="N120" s="249"/>
      <c r="O120" s="248"/>
      <c r="Q120" s="5"/>
      <c r="R120" s="5"/>
    </row>
    <row r="121" spans="2:18">
      <c r="B121" s="41"/>
      <c r="C121" s="254"/>
      <c r="D121" s="254"/>
      <c r="E121" s="254"/>
      <c r="F121" s="254"/>
      <c r="G121" s="254"/>
      <c r="H121" s="254"/>
      <c r="I121" s="254"/>
      <c r="J121" s="254"/>
      <c r="K121" s="254"/>
      <c r="L121" s="254"/>
      <c r="M121" s="254"/>
      <c r="N121" s="254"/>
      <c r="O121" s="248"/>
      <c r="Q121" s="5"/>
      <c r="R121" s="5"/>
    </row>
    <row r="122" spans="2:18">
      <c r="B122" s="41"/>
      <c r="C122" s="254"/>
      <c r="D122" s="254"/>
      <c r="E122" s="254"/>
      <c r="F122" s="254"/>
      <c r="G122" s="254"/>
      <c r="H122" s="254"/>
      <c r="I122" s="254"/>
      <c r="J122" s="254"/>
      <c r="K122" s="254"/>
      <c r="L122" s="254"/>
      <c r="M122" s="254"/>
      <c r="N122" s="254"/>
      <c r="O122" s="248"/>
      <c r="Q122" s="5"/>
      <c r="R122" s="5"/>
    </row>
    <row r="123" spans="2:18">
      <c r="B123" s="41"/>
      <c r="C123" s="254"/>
      <c r="D123" s="254"/>
      <c r="E123" s="254"/>
      <c r="F123" s="254"/>
      <c r="G123" s="254"/>
      <c r="H123" s="254"/>
      <c r="I123" s="254"/>
      <c r="J123" s="254"/>
      <c r="K123" s="254"/>
      <c r="L123" s="254"/>
      <c r="M123" s="254"/>
      <c r="N123" s="254"/>
      <c r="O123" s="248"/>
      <c r="Q123" s="5"/>
      <c r="R123" s="5"/>
    </row>
    <row r="124" spans="2:18">
      <c r="B124" s="41"/>
      <c r="C124" s="254"/>
      <c r="D124" s="254"/>
      <c r="E124" s="254"/>
      <c r="F124" s="254"/>
      <c r="G124" s="254"/>
      <c r="H124" s="254"/>
      <c r="I124" s="254"/>
      <c r="J124" s="254"/>
      <c r="K124" s="254"/>
      <c r="L124" s="254"/>
      <c r="M124" s="254"/>
      <c r="N124" s="254"/>
      <c r="O124" s="248"/>
      <c r="Q124" s="5"/>
      <c r="R124" s="5"/>
    </row>
    <row r="125" spans="2:18">
      <c r="B125" s="41"/>
      <c r="C125" s="254"/>
      <c r="D125" s="254"/>
      <c r="E125" s="254"/>
      <c r="F125" s="254"/>
      <c r="G125" s="254"/>
      <c r="H125" s="254"/>
      <c r="I125" s="254"/>
      <c r="J125" s="254"/>
      <c r="K125" s="254"/>
      <c r="L125" s="254"/>
      <c r="M125" s="254"/>
      <c r="N125" s="254"/>
      <c r="O125" s="5"/>
      <c r="Q125" s="5"/>
      <c r="R125" s="5"/>
    </row>
    <row r="126" spans="2:18">
      <c r="B126" s="41"/>
      <c r="C126" s="254"/>
      <c r="D126" s="254"/>
      <c r="E126" s="254"/>
      <c r="F126" s="254"/>
      <c r="G126" s="254"/>
      <c r="H126" s="254"/>
      <c r="I126" s="254"/>
      <c r="J126" s="254"/>
      <c r="K126" s="254"/>
      <c r="L126" s="254"/>
      <c r="M126" s="254"/>
      <c r="N126" s="254"/>
      <c r="O126" s="5"/>
      <c r="Q126" s="5"/>
      <c r="R126" s="5"/>
    </row>
    <row r="127" spans="2:18">
      <c r="B127" s="41"/>
      <c r="C127" s="254"/>
      <c r="D127" s="254"/>
      <c r="E127" s="254"/>
      <c r="F127" s="254"/>
      <c r="G127" s="254"/>
      <c r="H127" s="254"/>
      <c r="I127" s="18"/>
      <c r="J127" s="254"/>
      <c r="K127" s="254"/>
      <c r="L127" s="254"/>
      <c r="M127" s="254"/>
      <c r="N127" s="254"/>
      <c r="O127" s="5"/>
      <c r="Q127" s="5"/>
      <c r="R127" s="5"/>
    </row>
    <row r="128" spans="2:18">
      <c r="B128" s="41"/>
      <c r="C128" s="254"/>
      <c r="D128" s="254"/>
      <c r="E128" s="254"/>
      <c r="F128" s="254"/>
      <c r="G128" s="254"/>
      <c r="H128" s="254"/>
      <c r="I128" s="5"/>
      <c r="J128" s="254"/>
      <c r="K128" s="254"/>
      <c r="L128" s="254"/>
      <c r="M128" s="254"/>
      <c r="N128" s="254"/>
      <c r="O128" s="5"/>
      <c r="Q128" s="5"/>
      <c r="R128" s="5"/>
    </row>
    <row r="129" spans="2:27">
      <c r="B129" s="5"/>
      <c r="C129" s="5"/>
      <c r="D129" s="18"/>
      <c r="E129" s="18"/>
      <c r="F129" s="18"/>
      <c r="G129" s="18"/>
      <c r="H129" s="18"/>
      <c r="I129" s="254"/>
      <c r="J129" s="18"/>
      <c r="K129" s="18"/>
      <c r="L129" s="18"/>
      <c r="M129" s="18"/>
      <c r="N129" s="18"/>
      <c r="O129" s="5"/>
      <c r="Q129" s="5"/>
      <c r="R129" s="5"/>
    </row>
    <row r="130" spans="2:27">
      <c r="B130" s="5"/>
      <c r="C130" s="5"/>
      <c r="D130" s="5"/>
      <c r="E130" s="5"/>
      <c r="F130" s="5"/>
      <c r="G130" s="5"/>
      <c r="H130" s="5"/>
      <c r="I130" s="18"/>
      <c r="J130" s="5"/>
      <c r="K130" s="5"/>
      <c r="L130" s="5"/>
      <c r="M130" s="5"/>
      <c r="N130" s="5"/>
      <c r="O130" s="5"/>
      <c r="Q130" s="5"/>
      <c r="R130" s="5"/>
    </row>
    <row r="131" spans="2:27">
      <c r="B131" s="41"/>
      <c r="C131" s="254"/>
      <c r="D131" s="254"/>
      <c r="E131" s="254"/>
      <c r="F131" s="254"/>
      <c r="G131" s="254"/>
      <c r="H131" s="254"/>
      <c r="I131" s="5"/>
      <c r="J131" s="254"/>
      <c r="K131" s="254"/>
      <c r="L131" s="254"/>
      <c r="M131" s="254"/>
      <c r="N131" s="254"/>
      <c r="O131" s="5"/>
      <c r="Q131" s="5"/>
      <c r="R131" s="5"/>
    </row>
    <row r="132" spans="2:27">
      <c r="B132" s="5"/>
      <c r="C132" s="259"/>
      <c r="D132" s="18"/>
      <c r="E132" s="18"/>
      <c r="F132" s="18"/>
      <c r="G132" s="18"/>
      <c r="H132" s="18"/>
      <c r="I132" s="5"/>
      <c r="J132" s="18"/>
      <c r="K132" s="18"/>
      <c r="L132" s="18"/>
      <c r="M132" s="18"/>
      <c r="N132" s="18"/>
      <c r="O132" s="5"/>
      <c r="Q132" s="5"/>
      <c r="R132" s="5"/>
    </row>
    <row r="133" spans="2:27">
      <c r="B133" s="5"/>
      <c r="C133" s="5"/>
      <c r="D133" s="5"/>
      <c r="E133" s="5"/>
      <c r="F133" s="5"/>
      <c r="G133" s="5"/>
      <c r="H133" s="5"/>
      <c r="I133" s="17"/>
      <c r="J133" s="5"/>
      <c r="K133" s="5"/>
      <c r="L133" s="5"/>
      <c r="M133" s="5"/>
      <c r="N133" s="5"/>
      <c r="O133" s="5"/>
      <c r="Q133" s="5"/>
      <c r="R133" s="5"/>
    </row>
    <row r="134" spans="2:27">
      <c r="B134" s="41"/>
      <c r="C134" s="5"/>
      <c r="D134" s="5"/>
      <c r="E134" s="5"/>
      <c r="F134" s="5"/>
      <c r="G134" s="5"/>
      <c r="H134" s="5"/>
      <c r="I134" s="17"/>
      <c r="J134" s="5"/>
      <c r="K134" s="5"/>
      <c r="L134" s="5"/>
      <c r="M134" s="5"/>
      <c r="N134" s="5"/>
      <c r="O134" s="5"/>
      <c r="Q134" s="5"/>
      <c r="R134" s="5"/>
    </row>
    <row r="135" spans="2:27">
      <c r="B135" s="5"/>
      <c r="C135" s="17"/>
      <c r="D135" s="17"/>
      <c r="E135" s="17"/>
      <c r="F135" s="17"/>
      <c r="G135" s="17"/>
      <c r="H135" s="17"/>
      <c r="I135" s="17"/>
      <c r="J135" s="17"/>
      <c r="K135" s="17"/>
      <c r="L135" s="17"/>
      <c r="M135" s="17"/>
      <c r="N135" s="17"/>
      <c r="O135" s="5"/>
      <c r="Q135" s="41"/>
      <c r="R135" s="5"/>
    </row>
    <row r="136" spans="2:27">
      <c r="B136" s="5"/>
      <c r="C136" s="17"/>
      <c r="D136" s="17"/>
      <c r="E136" s="17"/>
      <c r="F136" s="17"/>
      <c r="G136" s="17"/>
      <c r="H136" s="17"/>
      <c r="I136" s="17"/>
      <c r="J136" s="17"/>
      <c r="K136" s="17"/>
      <c r="L136" s="17"/>
      <c r="M136" s="17"/>
      <c r="N136" s="17"/>
      <c r="O136" s="5"/>
      <c r="Q136" s="5"/>
      <c r="R136" s="5"/>
      <c r="X136" s="304"/>
    </row>
    <row r="137" spans="2:27">
      <c r="B137" s="5"/>
      <c r="C137" s="5"/>
      <c r="D137" s="17"/>
      <c r="E137" s="17"/>
      <c r="F137" s="17"/>
      <c r="G137" s="17"/>
      <c r="H137" s="17"/>
      <c r="I137" s="17"/>
      <c r="J137" s="17"/>
      <c r="K137" s="17"/>
      <c r="L137" s="17"/>
      <c r="M137" s="17"/>
      <c r="N137" s="17"/>
      <c r="O137" s="5"/>
      <c r="Q137" s="5"/>
      <c r="R137" s="5"/>
      <c r="X137" s="10"/>
      <c r="Y137" s="304"/>
      <c r="Z137" s="304"/>
      <c r="AA137" s="304"/>
    </row>
    <row r="138" spans="2:27">
      <c r="B138" s="5"/>
      <c r="C138" s="5"/>
      <c r="D138" s="17"/>
      <c r="E138" s="17"/>
      <c r="F138" s="17"/>
      <c r="G138" s="17"/>
      <c r="H138" s="17"/>
      <c r="I138" s="17"/>
      <c r="J138" s="17"/>
      <c r="K138" s="17"/>
      <c r="L138" s="17"/>
      <c r="M138" s="17"/>
      <c r="N138" s="17"/>
      <c r="O138" s="5"/>
      <c r="Q138" s="5"/>
      <c r="R138" s="5"/>
      <c r="Y138" s="10"/>
      <c r="Z138" s="10"/>
      <c r="AA138" s="10"/>
    </row>
    <row r="139" spans="2:27">
      <c r="B139" s="5"/>
      <c r="C139" s="5"/>
      <c r="D139" s="17"/>
      <c r="E139" s="17"/>
      <c r="F139" s="17"/>
      <c r="G139" s="17"/>
      <c r="H139" s="17"/>
      <c r="I139" s="5"/>
      <c r="J139" s="17"/>
      <c r="K139" s="17"/>
      <c r="L139" s="17"/>
      <c r="M139" s="17"/>
      <c r="N139" s="17"/>
      <c r="O139" s="5"/>
      <c r="Q139" s="5"/>
      <c r="R139" s="5"/>
    </row>
    <row r="140" spans="2:27">
      <c r="B140" s="5"/>
      <c r="C140" s="17"/>
      <c r="D140" s="17"/>
      <c r="E140" s="17"/>
      <c r="F140" s="17"/>
      <c r="G140" s="17"/>
      <c r="H140" s="17"/>
      <c r="I140" s="5"/>
      <c r="J140" s="17"/>
      <c r="K140" s="17"/>
      <c r="L140" s="17"/>
      <c r="M140" s="17"/>
      <c r="N140" s="17"/>
      <c r="O140" s="5"/>
      <c r="Q140" s="5"/>
      <c r="R140" s="5"/>
    </row>
    <row r="141" spans="2:27">
      <c r="B141" s="5"/>
      <c r="C141" s="5"/>
      <c r="D141" s="5"/>
      <c r="E141" s="5"/>
      <c r="F141" s="5"/>
      <c r="G141" s="5"/>
      <c r="H141" s="5"/>
      <c r="I141" s="5"/>
      <c r="J141" s="5"/>
      <c r="K141" s="5"/>
      <c r="L141" s="5"/>
      <c r="M141" s="5"/>
      <c r="N141" s="5"/>
      <c r="O141" s="5"/>
      <c r="Q141" s="5"/>
      <c r="R141" s="5"/>
    </row>
    <row r="142" spans="2:27">
      <c r="B142" s="5"/>
      <c r="C142" s="5"/>
      <c r="D142" s="5"/>
      <c r="E142" s="5"/>
      <c r="F142" s="5"/>
      <c r="G142" s="5"/>
      <c r="H142" s="5"/>
      <c r="I142" s="5"/>
      <c r="J142" s="5"/>
      <c r="K142" s="5"/>
      <c r="L142" s="5"/>
      <c r="M142" s="5"/>
      <c r="N142" s="5"/>
      <c r="O142" s="5"/>
      <c r="Q142" s="5"/>
      <c r="R142" s="5"/>
    </row>
    <row r="143" spans="2:27">
      <c r="B143" s="5"/>
      <c r="C143" s="5"/>
      <c r="D143" s="5"/>
      <c r="E143" s="5"/>
      <c r="F143" s="5"/>
      <c r="G143" s="5"/>
      <c r="H143" s="5"/>
      <c r="I143" s="5"/>
      <c r="J143" s="5"/>
      <c r="K143" s="5"/>
      <c r="L143" s="5"/>
      <c r="M143" s="5"/>
      <c r="N143" s="5"/>
      <c r="O143" s="5"/>
      <c r="Q143" s="5"/>
      <c r="R143" s="5"/>
    </row>
    <row r="144" spans="2:27">
      <c r="B144" s="5"/>
      <c r="C144" s="5"/>
      <c r="D144" s="5"/>
      <c r="E144" s="5"/>
      <c r="F144" s="5"/>
      <c r="G144" s="5"/>
      <c r="H144" s="5"/>
      <c r="I144" s="5"/>
      <c r="J144" s="5"/>
      <c r="K144" s="5"/>
      <c r="L144" s="5"/>
      <c r="M144" s="5"/>
      <c r="N144" s="5"/>
      <c r="O144" s="5"/>
      <c r="Q144" s="5"/>
      <c r="R144" s="5"/>
    </row>
    <row r="145" spans="2:18">
      <c r="B145" s="5"/>
      <c r="C145" s="5"/>
      <c r="D145" s="5"/>
      <c r="E145" s="5"/>
      <c r="F145" s="5"/>
      <c r="G145" s="5"/>
      <c r="H145" s="5"/>
      <c r="I145" s="5"/>
      <c r="J145" s="5"/>
      <c r="K145" s="5"/>
      <c r="L145" s="5"/>
      <c r="M145" s="5"/>
      <c r="N145" s="5"/>
      <c r="O145" s="5"/>
      <c r="Q145" s="5"/>
      <c r="R145" s="5"/>
    </row>
    <row r="146" spans="2:18">
      <c r="B146" s="5"/>
      <c r="C146" s="5"/>
      <c r="D146" s="5"/>
      <c r="E146" s="5"/>
      <c r="F146" s="5"/>
      <c r="G146" s="5"/>
      <c r="H146" s="5"/>
      <c r="I146" s="5"/>
      <c r="J146" s="5"/>
      <c r="K146" s="5"/>
      <c r="L146" s="5"/>
      <c r="M146" s="5"/>
      <c r="N146" s="5"/>
      <c r="O146" s="5"/>
      <c r="Q146" s="5"/>
      <c r="R146" s="5"/>
    </row>
    <row r="147" spans="2:18">
      <c r="B147" s="5"/>
      <c r="C147" s="5"/>
      <c r="D147" s="5"/>
      <c r="E147" s="5"/>
      <c r="F147" s="5"/>
      <c r="G147" s="5"/>
      <c r="H147" s="5"/>
      <c r="I147" s="5"/>
      <c r="J147" s="5"/>
      <c r="K147" s="5"/>
      <c r="L147" s="5"/>
      <c r="M147" s="5"/>
      <c r="N147" s="5"/>
      <c r="O147" s="5"/>
      <c r="Q147" s="5"/>
      <c r="R147" s="5"/>
    </row>
    <row r="148" spans="2:18">
      <c r="B148" s="5"/>
      <c r="C148" s="5"/>
      <c r="D148" s="5"/>
      <c r="E148" s="5"/>
      <c r="F148" s="5"/>
      <c r="G148" s="5"/>
      <c r="H148" s="5"/>
      <c r="I148" s="5"/>
      <c r="J148" s="5"/>
      <c r="K148" s="5"/>
      <c r="L148" s="5"/>
      <c r="M148" s="5"/>
      <c r="N148" s="5"/>
      <c r="O148" s="5"/>
      <c r="Q148" s="5"/>
      <c r="R148" s="5"/>
    </row>
    <row r="149" spans="2:18">
      <c r="B149" s="5"/>
      <c r="C149" s="5"/>
      <c r="D149" s="5"/>
      <c r="E149" s="5"/>
      <c r="F149" s="5"/>
      <c r="G149" s="5"/>
      <c r="H149" s="5"/>
      <c r="J149" s="5"/>
      <c r="K149" s="5"/>
      <c r="L149" s="5"/>
      <c r="M149" s="5"/>
      <c r="N149" s="5"/>
      <c r="O149" s="5"/>
      <c r="Q149" s="5"/>
      <c r="R149" s="5"/>
    </row>
    <row r="150" spans="2:18">
      <c r="B150" s="5"/>
      <c r="C150" s="5"/>
      <c r="D150" s="5"/>
      <c r="E150" s="5"/>
      <c r="F150" s="5"/>
      <c r="G150" s="5"/>
      <c r="H150" s="5"/>
      <c r="J150" s="5"/>
      <c r="K150" s="5"/>
      <c r="L150" s="5"/>
      <c r="M150" s="5"/>
      <c r="N150" s="5"/>
      <c r="O150" s="5"/>
      <c r="Q150" s="5"/>
      <c r="R150" s="5"/>
    </row>
    <row r="151" spans="2:18">
      <c r="Q151" s="5"/>
      <c r="R151" s="5"/>
    </row>
    <row r="152" spans="2:18">
      <c r="Q152" s="5"/>
      <c r="R152" s="5"/>
    </row>
    <row r="153" spans="2:18">
      <c r="C153" s="263"/>
      <c r="Q153" s="5"/>
      <c r="R153" s="5"/>
    </row>
    <row r="154" spans="2:18">
      <c r="Q154" s="5"/>
      <c r="R154" s="5"/>
    </row>
    <row r="155" spans="2:18">
      <c r="Q155" s="5"/>
      <c r="R155" s="5"/>
    </row>
    <row r="156" spans="2:18">
      <c r="Q156" s="5"/>
      <c r="R156" s="5"/>
    </row>
    <row r="157" spans="2:18">
      <c r="Q157" s="5"/>
      <c r="R157" s="5"/>
    </row>
    <row r="158" spans="2:18">
      <c r="Q158" s="5"/>
      <c r="R158" s="5"/>
    </row>
    <row r="159" spans="2:18">
      <c r="Q159" s="5"/>
      <c r="R159" s="5"/>
    </row>
    <row r="160" spans="2:18">
      <c r="Q160" s="5"/>
      <c r="R160" s="5"/>
    </row>
    <row r="161" spans="17:18">
      <c r="Q161" s="5"/>
      <c r="R161" s="5"/>
    </row>
    <row r="162" spans="17:18">
      <c r="Q162" s="5"/>
      <c r="R162" s="5"/>
    </row>
    <row r="163" spans="17:18">
      <c r="Q163" s="5"/>
      <c r="R163" s="5"/>
    </row>
    <row r="164" spans="17:18">
      <c r="Q164" s="5"/>
      <c r="R164" s="5"/>
    </row>
    <row r="165" spans="17:18">
      <c r="Q165" s="5"/>
      <c r="R165" s="5"/>
    </row>
  </sheetData>
  <phoneticPr fontId="7" type="noConversion"/>
  <hyperlinks>
    <hyperlink ref="C2" location="SKTSOP!A1" display="Jump to SKT SOP" xr:uid="{00000000-0004-0000-5600-000001000000}"/>
  </hyperlinks>
  <pageMargins left="0.75" right="0.75" top="1" bottom="1" header="0.5" footer="0.5"/>
  <pageSetup scale="71" orientation="landscape" r:id="rId1"/>
  <headerFooter alignWithMargins="0"/>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codeName="Sheet220">
    <pageSetUpPr fitToPage="1"/>
  </sheetPr>
  <dimension ref="B1:AR165"/>
  <sheetViews>
    <sheetView showGridLines="0" zoomScale="80" zoomScaleNormal="80" workbookViewId="0"/>
  </sheetViews>
  <sheetFormatPr defaultColWidth="9.109375" defaultRowHeight="12"/>
  <cols>
    <col min="1" max="1" width="2.33203125" style="39" customWidth="1"/>
    <col min="2" max="2" width="26.5546875" style="39" customWidth="1"/>
    <col min="3" max="9" width="10" style="39" customWidth="1"/>
    <col min="10" max="10" width="26.6640625" style="39" customWidth="1"/>
    <col min="11" max="16" width="10" style="39" customWidth="1"/>
    <col min="17" max="19" width="8.6640625" style="39" customWidth="1"/>
    <col min="20" max="28" width="8.6640625" style="5" customWidth="1"/>
    <col min="29" max="44" width="9.109375" style="5"/>
    <col min="45" max="16384" width="9.109375" style="39"/>
  </cols>
  <sheetData>
    <row r="1" spans="2:44" s="312" customFormat="1">
      <c r="T1" s="149"/>
      <c r="U1" s="149"/>
      <c r="V1" s="149"/>
      <c r="W1" s="149"/>
      <c r="X1" s="149"/>
      <c r="Y1" s="149"/>
      <c r="Z1" s="149"/>
      <c r="AA1" s="149"/>
      <c r="AB1" s="149"/>
      <c r="AC1" s="149"/>
      <c r="AD1" s="149"/>
      <c r="AE1" s="149"/>
      <c r="AF1" s="149"/>
      <c r="AG1" s="149"/>
      <c r="AH1" s="149"/>
      <c r="AI1" s="149"/>
      <c r="AJ1" s="149"/>
      <c r="AK1" s="149"/>
      <c r="AL1" s="149"/>
      <c r="AM1" s="149"/>
      <c r="AN1" s="149"/>
      <c r="AO1" s="149"/>
      <c r="AP1" s="149"/>
      <c r="AQ1" s="149"/>
      <c r="AR1" s="149"/>
    </row>
    <row r="2" spans="2:44" s="149" customFormat="1"/>
    <row r="3" spans="2:44" s="149" customFormat="1">
      <c r="H3" s="153"/>
      <c r="P3" s="153"/>
    </row>
    <row r="4" spans="2:44" s="156" customFormat="1" ht="21">
      <c r="B4" s="129" t="s">
        <v>892</v>
      </c>
      <c r="H4" s="222"/>
      <c r="P4" s="222"/>
    </row>
    <row r="5" spans="2:44" s="149" customFormat="1">
      <c r="C5" s="153"/>
      <c r="D5" s="153" t="str" cm="1">
        <f t="array" ref="D5:H5">headings</f>
        <v>2023E</v>
      </c>
      <c r="E5" s="153" t="str">
        <v>2024E</v>
      </c>
      <c r="F5" s="153" t="str">
        <v>2025E</v>
      </c>
      <c r="G5" s="153" t="str">
        <v>2026E</v>
      </c>
      <c r="H5" s="153" t="str">
        <v>23E-26E</v>
      </c>
      <c r="I5" s="153"/>
      <c r="J5" s="153"/>
      <c r="K5" s="153"/>
      <c r="L5" s="153" t="str" cm="1">
        <f t="array" ref="L5:P5">headings</f>
        <v>2023E</v>
      </c>
      <c r="M5" s="153" t="str">
        <v>2024E</v>
      </c>
      <c r="N5" s="153" t="str">
        <v>2025E</v>
      </c>
      <c r="O5" s="153" t="str">
        <v>2026E</v>
      </c>
      <c r="P5" s="153" t="str">
        <v>23E-26E</v>
      </c>
      <c r="Q5" s="162"/>
      <c r="R5" s="162"/>
      <c r="S5" s="162"/>
      <c r="T5" s="162"/>
      <c r="U5" s="162"/>
      <c r="V5" s="162"/>
      <c r="W5" s="162"/>
      <c r="X5" s="162"/>
      <c r="Y5" s="162"/>
    </row>
    <row r="6" spans="2:44">
      <c r="I6" s="5"/>
      <c r="J6" s="5"/>
      <c r="K6" s="5"/>
      <c r="L6" s="5"/>
      <c r="M6" s="5"/>
      <c r="N6" s="5"/>
      <c r="O6" s="49"/>
    </row>
    <row r="7" spans="2:44" ht="12.6" thickBot="1">
      <c r="B7" s="306" t="s">
        <v>271</v>
      </c>
      <c r="C7" s="265"/>
      <c r="D7" s="265" t="str">
        <f>D5</f>
        <v>2023E</v>
      </c>
      <c r="E7" s="265" t="str">
        <f t="shared" ref="E7:H7" si="0">E5</f>
        <v>2024E</v>
      </c>
      <c r="F7" s="265" t="str">
        <f t="shared" si="0"/>
        <v>2025E</v>
      </c>
      <c r="G7" s="265" t="str">
        <f t="shared" si="0"/>
        <v>2026E</v>
      </c>
      <c r="H7" s="265" t="str">
        <f t="shared" si="0"/>
        <v>23E-26E</v>
      </c>
      <c r="I7" s="49"/>
      <c r="J7" s="306" t="s">
        <v>75</v>
      </c>
      <c r="K7" s="306"/>
      <c r="L7" s="265" t="str">
        <f>L5</f>
        <v>2023E</v>
      </c>
      <c r="M7" s="265" t="str">
        <f t="shared" ref="M7:P7" si="1">M5</f>
        <v>2024E</v>
      </c>
      <c r="N7" s="265" t="str">
        <f t="shared" si="1"/>
        <v>2025E</v>
      </c>
      <c r="O7" s="265" t="str">
        <f t="shared" si="1"/>
        <v>2026E</v>
      </c>
      <c r="P7" s="265" t="str">
        <f t="shared" si="1"/>
        <v>23E-26E</v>
      </c>
    </row>
    <row r="8" spans="2:44" ht="12.6" thickTop="1">
      <c r="B8" s="5"/>
      <c r="C8" s="5"/>
      <c r="D8" s="5"/>
      <c r="E8" s="5"/>
      <c r="F8" s="5"/>
      <c r="G8" s="5"/>
      <c r="H8" s="5"/>
      <c r="I8" s="5"/>
      <c r="J8" s="5"/>
      <c r="K8" s="5"/>
      <c r="L8" s="5"/>
      <c r="M8" s="5"/>
      <c r="N8" s="5"/>
      <c r="S8" s="88"/>
      <c r="T8" s="42"/>
      <c r="U8" s="42"/>
      <c r="V8" s="42"/>
      <c r="W8" s="42"/>
      <c r="X8" s="42"/>
      <c r="Y8" s="42"/>
      <c r="Z8" s="42"/>
      <c r="AA8" s="42"/>
    </row>
    <row r="9" spans="2:44">
      <c r="B9" s="41" t="s">
        <v>895</v>
      </c>
      <c r="C9" s="287">
        <f>Prices!C57</f>
        <v>4.1900000000000004</v>
      </c>
      <c r="D9" s="543">
        <v>1840.860175</v>
      </c>
      <c r="E9" s="543">
        <v>1843.782371</v>
      </c>
      <c r="F9" s="543">
        <v>1846.829567</v>
      </c>
      <c r="G9" s="543">
        <v>1850.001763</v>
      </c>
      <c r="H9" s="249"/>
      <c r="I9" s="249"/>
      <c r="J9" s="5" t="s">
        <v>273</v>
      </c>
      <c r="L9" s="529">
        <f>'AGG ASIA INCUMB'!D37</f>
        <v>63.142675059472978</v>
      </c>
      <c r="M9" s="529">
        <f>'AGG ASIA INCUMB'!E37</f>
        <v>59.736062869091825</v>
      </c>
      <c r="N9" s="529">
        <f>'AGG ASIA INCUMB'!F37</f>
        <v>51.606570083263385</v>
      </c>
      <c r="O9" s="529">
        <f>'AGG ASIA INCUMB'!G37</f>
        <v>43.869121174935444</v>
      </c>
      <c r="P9" s="286">
        <f>'AGG ASIA CELLULAR'!H37</f>
        <v>5.2823672985303771E-2</v>
      </c>
      <c r="S9" s="88"/>
      <c r="T9" s="42"/>
      <c r="U9" s="42"/>
      <c r="V9" s="42"/>
      <c r="W9" s="42"/>
      <c r="X9" s="42"/>
      <c r="Y9" s="42"/>
      <c r="Z9" s="42"/>
      <c r="AA9" s="42"/>
    </row>
    <row r="10" spans="2:44">
      <c r="B10" s="5" t="s">
        <v>274</v>
      </c>
      <c r="C10" s="5"/>
      <c r="D10" s="531">
        <v>1840.860175</v>
      </c>
      <c r="E10" s="531">
        <v>1843.782371</v>
      </c>
      <c r="F10" s="531">
        <v>1846.829567</v>
      </c>
      <c r="G10" s="531">
        <v>1850.001763</v>
      </c>
      <c r="H10" s="247"/>
      <c r="I10" s="247"/>
      <c r="J10" s="5" t="s">
        <v>184</v>
      </c>
      <c r="L10" s="529">
        <f>'AGG ASIA INCUMB'!D38</f>
        <v>229.28172666156038</v>
      </c>
      <c r="M10" s="529">
        <f>'AGG ASIA INCUMB'!E38</f>
        <v>211.1756819494743</v>
      </c>
      <c r="N10" s="529">
        <f>'AGG ASIA INCUMB'!F38</f>
        <v>182.52911660300191</v>
      </c>
      <c r="O10" s="529">
        <f>'AGG ASIA INCUMB'!G38</f>
        <v>154.31631948299164</v>
      </c>
      <c r="P10" s="286">
        <f>'AGG ASIA CELLULAR'!H38</f>
        <v>6.1901299000113985E-2</v>
      </c>
      <c r="S10" s="88"/>
      <c r="T10" s="42"/>
      <c r="U10" s="42"/>
      <c r="V10" s="42"/>
      <c r="W10" s="288"/>
      <c r="X10" s="288"/>
      <c r="Y10" s="288"/>
      <c r="Z10" s="288"/>
      <c r="AA10" s="42"/>
    </row>
    <row r="11" spans="2:44">
      <c r="B11" s="41" t="s">
        <v>888</v>
      </c>
      <c r="C11" s="5"/>
      <c r="D11" s="532">
        <f>D10*C9</f>
        <v>7713.2041332500012</v>
      </c>
      <c r="E11" s="532">
        <f>E10*$C$9</f>
        <v>7725.4481344900005</v>
      </c>
      <c r="F11" s="532">
        <f t="shared" ref="F11:G11" si="2">F10*$C$9</f>
        <v>7738.215885730001</v>
      </c>
      <c r="G11" s="532">
        <f t="shared" si="2"/>
        <v>7751.5073869700009</v>
      </c>
      <c r="H11" s="249"/>
      <c r="I11" s="249"/>
      <c r="J11" s="5" t="s">
        <v>185</v>
      </c>
      <c r="L11" s="529">
        <f>'AGG ASIA INCUMB'!D39</f>
        <v>576.60457523629475</v>
      </c>
      <c r="M11" s="529">
        <f>'AGG ASIA INCUMB'!E39</f>
        <v>450.01446269285191</v>
      </c>
      <c r="N11" s="529">
        <f>'AGG ASIA INCUMB'!F39</f>
        <v>375.00938731825471</v>
      </c>
      <c r="O11" s="529">
        <f>'AGG ASIA INCUMB'!G39</f>
        <v>307.67151192274292</v>
      </c>
      <c r="P11" s="286">
        <f>'AGG ASIA CELLULAR'!H39</f>
        <v>0.11573327430771596</v>
      </c>
      <c r="S11" s="88"/>
      <c r="T11" s="42"/>
      <c r="U11" s="42"/>
      <c r="V11" s="42"/>
      <c r="W11" s="288"/>
      <c r="X11" s="288"/>
      <c r="Y11" s="288"/>
      <c r="Z11" s="288"/>
      <c r="AA11" s="42"/>
    </row>
    <row r="12" spans="2:44">
      <c r="B12" s="5" t="s">
        <v>24</v>
      </c>
      <c r="C12" s="249"/>
      <c r="D12" s="533">
        <v>1100.2052746095771</v>
      </c>
      <c r="E12" s="533">
        <v>1051.557217294865</v>
      </c>
      <c r="F12" s="533">
        <v>1003.1240833749541</v>
      </c>
      <c r="G12" s="533">
        <v>952.90057166497706</v>
      </c>
      <c r="H12" s="247"/>
      <c r="I12" s="247"/>
      <c r="J12" s="5" t="s">
        <v>466</v>
      </c>
      <c r="L12" s="529">
        <f>'AGG ASIA INCUMB'!D40</f>
        <v>774.44294579435359</v>
      </c>
      <c r="M12" s="529">
        <f>'AGG ASIA INCUMB'!E40</f>
        <v>607.6245935692682</v>
      </c>
      <c r="N12" s="529">
        <f>'AGG ASIA INCUMB'!F40</f>
        <v>506.11175808827261</v>
      </c>
      <c r="O12" s="529">
        <f>'AGG ASIA INCUMB'!G40</f>
        <v>415.18806643723337</v>
      </c>
      <c r="P12" s="286">
        <f>'AGG ASIA CELLULAR'!H40</f>
        <v>0.10976572550111241</v>
      </c>
      <c r="S12" s="88"/>
      <c r="T12" s="42"/>
      <c r="U12" s="42"/>
      <c r="V12" s="42"/>
      <c r="W12" s="288"/>
      <c r="X12" s="288"/>
      <c r="Y12" s="288"/>
      <c r="Z12" s="288"/>
      <c r="AA12" s="42"/>
    </row>
    <row r="13" spans="2:44">
      <c r="B13" s="5" t="s">
        <v>529</v>
      </c>
      <c r="C13" s="257"/>
      <c r="D13" s="533">
        <v>0</v>
      </c>
      <c r="E13" s="533">
        <v>0</v>
      </c>
      <c r="F13" s="533">
        <v>0</v>
      </c>
      <c r="G13" s="533">
        <v>0</v>
      </c>
      <c r="H13" s="247"/>
      <c r="I13" s="247"/>
      <c r="J13" s="5" t="s">
        <v>530</v>
      </c>
      <c r="L13" s="529">
        <f>'AGG ASIA INCUMB'!D41</f>
        <v>56.922651872950347</v>
      </c>
      <c r="M13" s="529">
        <f>'AGG ASIA INCUMB'!E41</f>
        <v>54.508702219086139</v>
      </c>
      <c r="N13" s="529">
        <f>'AGG ASIA INCUMB'!F41</f>
        <v>47.665724006779691</v>
      </c>
      <c r="O13" s="529">
        <f>'AGG ASIA INCUMB'!G41</f>
        <v>40.716506606725353</v>
      </c>
      <c r="P13" s="286">
        <f>'AGG ASIA CELLULAR'!H41</f>
        <v>-2.0092563683029918E-2</v>
      </c>
      <c r="S13" s="88"/>
      <c r="T13" s="42"/>
      <c r="U13" s="42"/>
      <c r="V13" s="42"/>
      <c r="W13" s="42"/>
      <c r="X13" s="42"/>
      <c r="Y13" s="42"/>
      <c r="Z13" s="42"/>
      <c r="AA13" s="42"/>
    </row>
    <row r="14" spans="2:44">
      <c r="B14" s="5" t="s">
        <v>532</v>
      </c>
      <c r="C14" s="257"/>
      <c r="D14" s="533">
        <v>98</v>
      </c>
      <c r="E14" s="533">
        <v>98</v>
      </c>
      <c r="F14" s="533">
        <v>98</v>
      </c>
      <c r="G14" s="533">
        <v>98</v>
      </c>
      <c r="H14" s="247"/>
      <c r="I14" s="247"/>
      <c r="J14" s="5" t="s">
        <v>593</v>
      </c>
      <c r="L14" s="529">
        <f>'AGG ASIA INCUMB'!D42</f>
        <v>75.778591370066351</v>
      </c>
      <c r="M14" s="529">
        <f>'AGG ASIA INCUMB'!E42</f>
        <v>75.255645616199331</v>
      </c>
      <c r="N14" s="529">
        <f>'AGG ASIA INCUMB'!F42</f>
        <v>68.487733798446982</v>
      </c>
      <c r="O14" s="529">
        <f>'AGG ASIA INCUMB'!G42</f>
        <v>63.398335594210266</v>
      </c>
      <c r="P14" s="286">
        <f>'AGG ASIA CELLULAR'!H42</f>
        <v>8.7512202951403051E-3</v>
      </c>
      <c r="S14" s="88"/>
      <c r="T14" s="42"/>
      <c r="U14" s="42"/>
      <c r="V14" s="42"/>
      <c r="W14" s="42"/>
      <c r="X14" s="42"/>
      <c r="Y14" s="42"/>
      <c r="Z14" s="42"/>
      <c r="AA14" s="42"/>
    </row>
    <row r="15" spans="2:44">
      <c r="B15" s="5" t="s">
        <v>531</v>
      </c>
      <c r="C15" s="274"/>
      <c r="D15" s="533">
        <v>0</v>
      </c>
      <c r="E15" s="533">
        <v>0</v>
      </c>
      <c r="F15" s="533">
        <v>0</v>
      </c>
      <c r="G15" s="533">
        <v>0</v>
      </c>
      <c r="H15" s="247"/>
      <c r="I15" s="247"/>
      <c r="J15" s="5" t="s">
        <v>475</v>
      </c>
      <c r="L15" s="529">
        <f>'AGG ASIA INCUMB'!D43</f>
        <v>14.482023584121089</v>
      </c>
      <c r="M15" s="529">
        <f>'AGG ASIA INCUMB'!E43</f>
        <v>10.697579793360875</v>
      </c>
      <c r="N15" s="529">
        <f>'AGG ASIA INCUMB'!F43</f>
        <v>9.7604819510674972</v>
      </c>
      <c r="O15" s="529">
        <f>'AGG ASIA INCUMB'!G43</f>
        <v>8.8384338816404213</v>
      </c>
      <c r="P15" s="286">
        <f>'AGG ASIA CELLULAR'!H43</f>
        <v>0.18831027118838706</v>
      </c>
      <c r="S15" s="88"/>
      <c r="T15" s="42"/>
      <c r="U15" s="42"/>
      <c r="V15" s="42"/>
      <c r="W15" s="42"/>
      <c r="X15" s="42"/>
      <c r="Y15" s="42"/>
      <c r="Z15" s="42"/>
      <c r="AA15" s="42"/>
    </row>
    <row r="16" spans="2:44">
      <c r="B16" s="5" t="s">
        <v>534</v>
      </c>
      <c r="C16" s="257"/>
      <c r="D16" s="533">
        <v>1726.43637764</v>
      </c>
      <c r="E16" s="533">
        <v>2187.3819703899999</v>
      </c>
      <c r="F16" s="533">
        <v>2649.08936214</v>
      </c>
      <c r="G16" s="533">
        <v>3130.0898205200001</v>
      </c>
      <c r="H16" s="247"/>
      <c r="I16" s="247"/>
      <c r="J16" s="5" t="s">
        <v>533</v>
      </c>
      <c r="L16" s="529">
        <f>'AGG ASIA INCUMB'!D44</f>
        <v>401.27153945230202</v>
      </c>
      <c r="M16" s="529">
        <f>'AGG ASIA INCUMB'!E44</f>
        <v>386.42961390608417</v>
      </c>
      <c r="N16" s="529">
        <f>'AGG ASIA INCUMB'!F44</f>
        <v>362.49401680734263</v>
      </c>
      <c r="O16" s="529">
        <f>'AGG ASIA INCUMB'!G44</f>
        <v>331.65705725544359</v>
      </c>
      <c r="P16" s="286">
        <f>'AGG ASIA CELLULAR'!H44</f>
        <v>0.15839482711139796</v>
      </c>
      <c r="S16" s="88"/>
      <c r="T16" s="42"/>
      <c r="U16" s="42"/>
      <c r="V16" s="42"/>
      <c r="W16" s="42"/>
      <c r="X16" s="42"/>
      <c r="Y16" s="42"/>
      <c r="Z16" s="42"/>
      <c r="AA16" s="42"/>
    </row>
    <row r="17" spans="2:27">
      <c r="B17" s="5" t="s">
        <v>6</v>
      </c>
      <c r="C17" s="257"/>
      <c r="D17" s="533">
        <v>0</v>
      </c>
      <c r="E17" s="533">
        <v>0</v>
      </c>
      <c r="F17" s="533">
        <v>0</v>
      </c>
      <c r="G17" s="533">
        <v>0</v>
      </c>
      <c r="H17" s="247"/>
      <c r="I17" s="247"/>
      <c r="J17" s="5" t="s">
        <v>580</v>
      </c>
      <c r="L17" s="248">
        <f>'AGG ASIA INCUMB'!D45</f>
        <v>1.4187232142027291E-3</v>
      </c>
      <c r="M17" s="248">
        <f>'AGG ASIA INCUMB'!E45</f>
        <v>1.5917039348975377E-3</v>
      </c>
      <c r="N17" s="248">
        <f>'AGG ASIA INCUMB'!F45</f>
        <v>1.8207439648114264E-3</v>
      </c>
      <c r="O17" s="248">
        <f>'AGG ASIA INCUMB'!G45</f>
        <v>2.0820127660327939E-3</v>
      </c>
      <c r="P17" s="286">
        <f>'AGG ASIA CELLULAR'!H45</f>
        <v>0.11470165475568339</v>
      </c>
      <c r="S17" s="88"/>
      <c r="T17" s="42"/>
      <c r="U17" s="42"/>
      <c r="V17" s="42"/>
      <c r="W17" s="42"/>
      <c r="X17" s="42"/>
      <c r="Y17" s="42"/>
      <c r="Z17" s="42"/>
      <c r="AA17" s="42"/>
    </row>
    <row r="18" spans="2:27" ht="12.6" thickBot="1">
      <c r="B18" s="41" t="s">
        <v>583</v>
      </c>
      <c r="C18" s="249"/>
      <c r="D18" s="534">
        <f>D11+D12+D13-D14+D15-D16-D17</f>
        <v>6988.9730302195785</v>
      </c>
      <c r="E18" s="534">
        <f>E11+E12+E13-E14+E15-E16-E17</f>
        <v>6491.6233813948647</v>
      </c>
      <c r="F18" s="534">
        <f>F11+F12+F13-F14+F15-F16-F17</f>
        <v>5994.2506069649544</v>
      </c>
      <c r="G18" s="534">
        <f>G11+G12+G13-G14+G15-G16-G17</f>
        <v>5476.318138114978</v>
      </c>
      <c r="H18" s="276">
        <f>IF(D18=0,"nm",IF(G18=0,"nm",(G18/D18)^(1/3)-1))</f>
        <v>-7.8083116635720651E-2</v>
      </c>
      <c r="I18" s="254"/>
      <c r="J18" s="5" t="s">
        <v>36</v>
      </c>
      <c r="L18" s="248">
        <f>'AGG ASIA INCUMB'!D46</f>
        <v>1.4197854397789587E-3</v>
      </c>
      <c r="M18" s="248">
        <f>'AGG ASIA INCUMB'!E46</f>
        <v>1.5927452418075944E-3</v>
      </c>
      <c r="N18" s="248">
        <f>'AGG ASIA INCUMB'!F46</f>
        <v>1.8306775739935764E-3</v>
      </c>
      <c r="O18" s="248">
        <f>'AGG ASIA INCUMB'!G46</f>
        <v>2.0980698589589679E-3</v>
      </c>
      <c r="P18" s="286" t="e">
        <f>'AGG ASIA CELLULAR'!H46</f>
        <v>#VALUE!</v>
      </c>
      <c r="S18" s="88"/>
      <c r="T18" s="42"/>
      <c r="U18" s="42"/>
      <c r="V18" s="42"/>
      <c r="W18" s="42"/>
      <c r="X18" s="42"/>
      <c r="Y18" s="42"/>
      <c r="Z18" s="42"/>
      <c r="AA18" s="42"/>
    </row>
    <row r="19" spans="2:27" ht="12.6" thickTop="1">
      <c r="B19" s="41"/>
      <c r="C19" s="249"/>
      <c r="D19" s="229"/>
      <c r="E19" s="229"/>
      <c r="F19" s="229"/>
      <c r="G19" s="229"/>
      <c r="H19" s="276"/>
      <c r="I19" s="254"/>
      <c r="J19" s="5" t="s">
        <v>581</v>
      </c>
      <c r="L19" s="248">
        <f>'AGG ASIA INCUMB'!D47</f>
        <v>6.9051123566492234E-2</v>
      </c>
      <c r="M19" s="248">
        <f>'AGG ASIA INCUMB'!E47</f>
        <v>9.3479087729789065E-2</v>
      </c>
      <c r="N19" s="248">
        <f>'AGG ASIA INCUMB'!F47</f>
        <v>0.10245395719323375</v>
      </c>
      <c r="O19" s="248">
        <f>'AGG ASIA INCUMB'!G47</f>
        <v>0.11314221652743744</v>
      </c>
      <c r="P19" s="286">
        <f>'AGG ASIA CELLULAR'!H47</f>
        <v>0.18831027118838706</v>
      </c>
      <c r="S19" s="88"/>
      <c r="T19" s="42"/>
      <c r="U19" s="42"/>
      <c r="V19" s="42"/>
      <c r="W19" s="42"/>
      <c r="X19" s="42"/>
      <c r="Y19" s="42"/>
      <c r="Z19" s="42"/>
      <c r="AA19" s="42"/>
    </row>
    <row r="20" spans="2:27">
      <c r="H20" s="277"/>
      <c r="I20" s="17"/>
      <c r="J20" s="5" t="s">
        <v>604</v>
      </c>
      <c r="L20" s="305">
        <f>'AGG ASIA INCUMB'!D48</f>
        <v>0.58020270145274866</v>
      </c>
      <c r="M20" s="305">
        <f>'AGG ASIA INCUMB'!E48</f>
        <v>0.49738583643750317</v>
      </c>
      <c r="N20" s="305">
        <f>'AGG ASIA INCUMB'!F48</f>
        <v>0.5269471278406761</v>
      </c>
      <c r="O20" s="305">
        <f>'AGG ASIA INCUMB'!G48</f>
        <v>0.55446861753269805</v>
      </c>
      <c r="P20" s="286" t="str">
        <f>'AGG ASIA CELLULAR'!H48</f>
        <v>nm</v>
      </c>
      <c r="S20" s="88"/>
      <c r="T20" s="42"/>
      <c r="U20" s="42"/>
      <c r="V20" s="42"/>
      <c r="W20" s="42"/>
      <c r="X20" s="42"/>
      <c r="Y20" s="42"/>
      <c r="Z20" s="42"/>
      <c r="AA20" s="42"/>
    </row>
    <row r="21" spans="2:27" ht="12.6" thickBot="1">
      <c r="B21" s="306" t="s">
        <v>933</v>
      </c>
      <c r="C21" s="265"/>
      <c r="D21" s="265" t="str">
        <f>D5</f>
        <v>2023E</v>
      </c>
      <c r="E21" s="265" t="str">
        <f t="shared" ref="E21:H21" si="3">E5</f>
        <v>2024E</v>
      </c>
      <c r="F21" s="265" t="str">
        <f t="shared" si="3"/>
        <v>2025E</v>
      </c>
      <c r="G21" s="265" t="str">
        <f t="shared" si="3"/>
        <v>2026E</v>
      </c>
      <c r="H21" s="265" t="str">
        <f t="shared" si="3"/>
        <v>23E-26E</v>
      </c>
      <c r="I21" s="49"/>
      <c r="J21" s="41"/>
      <c r="L21" s="250"/>
      <c r="M21" s="250"/>
      <c r="N21" s="250"/>
      <c r="O21" s="250"/>
      <c r="P21" s="286"/>
      <c r="S21" s="88"/>
      <c r="T21" s="42"/>
      <c r="U21" s="42"/>
      <c r="V21" s="42"/>
      <c r="W21" s="42"/>
      <c r="X21" s="42"/>
      <c r="Y21" s="42"/>
      <c r="Z21" s="42"/>
      <c r="AA21" s="42"/>
    </row>
    <row r="22" spans="2:27" ht="12.6" thickTop="1">
      <c r="B22" s="5"/>
      <c r="C22" s="257"/>
      <c r="D22" s="17"/>
      <c r="E22" s="17"/>
      <c r="F22" s="17"/>
      <c r="G22" s="17"/>
      <c r="H22" s="17"/>
      <c r="I22" s="17"/>
      <c r="P22" s="277"/>
      <c r="S22" s="88"/>
      <c r="T22" s="42"/>
      <c r="U22" s="42"/>
      <c r="V22" s="42"/>
      <c r="W22" s="42"/>
      <c r="X22" s="42"/>
      <c r="Y22" s="42"/>
      <c r="Z22" s="42"/>
      <c r="AA22" s="42"/>
    </row>
    <row r="23" spans="2:27" ht="12.6" thickBot="1">
      <c r="B23" s="5" t="s">
        <v>584</v>
      </c>
      <c r="C23" s="548">
        <v>3533.6477060000002</v>
      </c>
      <c r="D23" s="540">
        <v>3573.4093500000004</v>
      </c>
      <c r="E23" s="540">
        <v>3652.8841640000005</v>
      </c>
      <c r="F23" s="540">
        <v>3758.1000192220004</v>
      </c>
      <c r="G23" s="540">
        <v>3854.1582200221078</v>
      </c>
      <c r="H23" s="279">
        <f>IF(D23=0,"nm",IF(G23=0,"nm",(G23/D23)^(1/3)-1))</f>
        <v>2.5531307948985615E-2</v>
      </c>
      <c r="I23" s="247"/>
      <c r="J23" s="306" t="s">
        <v>9</v>
      </c>
      <c r="K23" s="306"/>
      <c r="L23" s="265" t="str">
        <f>D21</f>
        <v>2023E</v>
      </c>
      <c r="M23" s="265" t="str">
        <f t="shared" ref="M23:P23" si="4">E21</f>
        <v>2024E</v>
      </c>
      <c r="N23" s="265" t="str">
        <f t="shared" si="4"/>
        <v>2025E</v>
      </c>
      <c r="O23" s="265" t="str">
        <f t="shared" si="4"/>
        <v>2026E</v>
      </c>
      <c r="P23" s="265" t="str">
        <f t="shared" si="4"/>
        <v>23E-26E</v>
      </c>
      <c r="S23" s="88"/>
      <c r="T23" s="42"/>
      <c r="U23" s="42"/>
      <c r="V23" s="42"/>
      <c r="W23" s="42"/>
      <c r="X23" s="42"/>
      <c r="Y23" s="42"/>
      <c r="Z23" s="42"/>
      <c r="AA23" s="42"/>
    </row>
    <row r="24" spans="2:27" ht="12.6" thickTop="1">
      <c r="B24" s="5" t="s">
        <v>483</v>
      </c>
      <c r="C24" s="549">
        <v>1069.80789925</v>
      </c>
      <c r="D24" s="540">
        <v>1110.5493088000007</v>
      </c>
      <c r="E24" s="540">
        <v>1123.8751603560004</v>
      </c>
      <c r="F24" s="540">
        <v>1133.1276362838985</v>
      </c>
      <c r="G24" s="540">
        <v>1174.9581144204835</v>
      </c>
      <c r="H24" s="279">
        <f>IF(D24=0,"nm",IF(G24=0,"nm",(G24/D24)^(1/3)-1))</f>
        <v>1.897026982795702E-2</v>
      </c>
      <c r="I24" s="249"/>
      <c r="J24" s="17"/>
      <c r="K24" s="17"/>
      <c r="L24" s="17"/>
      <c r="M24" s="17"/>
      <c r="N24" s="17"/>
      <c r="O24" s="248"/>
      <c r="S24" s="88"/>
      <c r="T24" s="42"/>
      <c r="U24" s="42"/>
      <c r="V24" s="42"/>
      <c r="W24" s="42" t="s">
        <v>306</v>
      </c>
      <c r="X24" s="42" t="s">
        <v>259</v>
      </c>
      <c r="Y24" s="42"/>
      <c r="Z24" s="42"/>
      <c r="AA24" s="42"/>
    </row>
    <row r="25" spans="2:27">
      <c r="B25" s="5" t="s">
        <v>183</v>
      </c>
      <c r="C25" s="548">
        <v>658.09029793982063</v>
      </c>
      <c r="D25" s="540">
        <v>697.7723492144487</v>
      </c>
      <c r="E25" s="540">
        <v>701.91778820826949</v>
      </c>
      <c r="F25" s="540">
        <v>699.01641425083858</v>
      </c>
      <c r="G25" s="540">
        <v>729.75087505889496</v>
      </c>
      <c r="H25" s="279">
        <f>IF(D25=0,"nm",IF(G25=0,"nm",(G25/D25)^(1/3)-1))</f>
        <v>1.5048879877651355E-2</v>
      </c>
      <c r="I25" s="248"/>
      <c r="J25" s="247" t="s">
        <v>10</v>
      </c>
      <c r="K25" s="247"/>
      <c r="L25" s="321">
        <v>0</v>
      </c>
      <c r="M25" s="321">
        <v>0</v>
      </c>
      <c r="N25" s="321">
        <v>0</v>
      </c>
      <c r="O25" s="321">
        <v>0</v>
      </c>
      <c r="P25" s="279" t="str">
        <f>IF(L25=0,"nm",IF(O25=0,"nm",(O25/L25)^(1/3)-1))</f>
        <v>nm</v>
      </c>
      <c r="S25" s="88"/>
      <c r="T25" s="42"/>
      <c r="U25" s="42"/>
      <c r="V25" s="147" t="s">
        <v>273</v>
      </c>
      <c r="W25" s="288">
        <f>D37/L9</f>
        <v>3.0974736331107085E-2</v>
      </c>
      <c r="X25" s="288">
        <v>1</v>
      </c>
      <c r="Y25" s="42"/>
      <c r="Z25" s="42"/>
      <c r="AA25" s="42"/>
    </row>
    <row r="26" spans="2:27">
      <c r="B26" s="5" t="s">
        <v>586</v>
      </c>
      <c r="C26" s="548">
        <v>473.82501451667082</v>
      </c>
      <c r="D26" s="540">
        <v>502.39609143440305</v>
      </c>
      <c r="E26" s="540">
        <v>505.38080750995402</v>
      </c>
      <c r="F26" s="540">
        <v>503.29181826060375</v>
      </c>
      <c r="G26" s="540">
        <v>525.42063004240435</v>
      </c>
      <c r="H26" s="279">
        <f>IF(D26=0,"nm",IF(G26=0,"nm",(G26/D26)^(1/3)-1))</f>
        <v>1.5048879877651355E-2</v>
      </c>
      <c r="I26" s="249"/>
      <c r="J26" s="249" t="s">
        <v>11</v>
      </c>
      <c r="K26" s="249"/>
      <c r="L26" s="281">
        <f>D11+L25</f>
        <v>7713.2041332500012</v>
      </c>
      <c r="M26" s="281">
        <f>E11+M25</f>
        <v>7725.4481344900005</v>
      </c>
      <c r="N26" s="281">
        <f>F11+N25</f>
        <v>7738.215885730001</v>
      </c>
      <c r="O26" s="281">
        <f>G11+O25</f>
        <v>7751.5073869700009</v>
      </c>
      <c r="P26" s="279">
        <f>IF(L26=0,"nm",IF(O26=0,"nm",(O26/L26)^(1/3)-1))</f>
        <v>1.6525784273671018E-3</v>
      </c>
      <c r="Q26" s="5"/>
      <c r="S26" s="88"/>
      <c r="T26" s="42"/>
      <c r="U26" s="42"/>
      <c r="V26" s="147" t="s">
        <v>184</v>
      </c>
      <c r="W26" s="288">
        <f t="shared" ref="W26:W33" si="5">D38/L10</f>
        <v>2.7447707363762574E-2</v>
      </c>
      <c r="X26" s="288">
        <v>1</v>
      </c>
      <c r="Y26" s="42"/>
      <c r="Z26" s="42"/>
      <c r="AA26" s="42"/>
    </row>
    <row r="27" spans="2:27">
      <c r="B27" s="5" t="s">
        <v>587</v>
      </c>
      <c r="C27" s="549">
        <v>2643.4533247423142</v>
      </c>
      <c r="D27" s="540">
        <v>3352.2395737337401</v>
      </c>
      <c r="E27" s="540">
        <v>3319.3098318206585</v>
      </c>
      <c r="F27" s="540">
        <v>3301.4220301646183</v>
      </c>
      <c r="G27" s="540">
        <v>3296.8327432276665</v>
      </c>
      <c r="H27" s="279">
        <f>IF(ISERROR((G27/D27)^(1/3)-1),"na",(G27/D27)^(1/3)-1)</f>
        <v>-5.5400699397566422E-3</v>
      </c>
      <c r="I27" s="249"/>
      <c r="J27" s="248"/>
      <c r="K27" s="248"/>
      <c r="L27" s="248"/>
      <c r="M27" s="248"/>
      <c r="N27" s="248"/>
      <c r="O27" s="248"/>
      <c r="Q27" s="41"/>
      <c r="S27" s="88"/>
      <c r="T27" s="42"/>
      <c r="U27" s="42"/>
      <c r="V27" s="147" t="s">
        <v>185</v>
      </c>
      <c r="W27" s="288">
        <f t="shared" si="5"/>
        <v>1.7370868191242426E-2</v>
      </c>
      <c r="X27" s="288">
        <v>1</v>
      </c>
      <c r="Y27" s="42"/>
      <c r="Z27" s="42"/>
      <c r="AA27" s="42"/>
    </row>
    <row r="28" spans="2:27" ht="12.6" thickBot="1">
      <c r="B28" s="5" t="s">
        <v>592</v>
      </c>
      <c r="C28" s="548">
        <v>962.08007715950873</v>
      </c>
      <c r="D28" s="540">
        <v>974.27926864603535</v>
      </c>
      <c r="E28" s="540">
        <v>993.46582711762892</v>
      </c>
      <c r="F28" s="540">
        <v>1020.5312041323688</v>
      </c>
      <c r="G28" s="540">
        <v>1048.5802710764629</v>
      </c>
      <c r="H28" s="279">
        <f>IF(ISERROR((G28/D28)^(1/3)-1),"na",(G28/D28)^(1/3)-1)</f>
        <v>2.4800684779147764E-2</v>
      </c>
      <c r="I28" s="248"/>
      <c r="J28" s="306" t="s">
        <v>1362</v>
      </c>
      <c r="K28" s="306"/>
      <c r="L28" s="306"/>
      <c r="M28" s="306"/>
      <c r="N28" s="266"/>
      <c r="O28" s="266"/>
      <c r="P28" s="266"/>
      <c r="Q28" s="5"/>
      <c r="S28" s="88"/>
      <c r="T28" s="42"/>
      <c r="U28" s="42"/>
      <c r="V28" s="147" t="s">
        <v>466</v>
      </c>
      <c r="W28" s="288">
        <f t="shared" si="5"/>
        <v>1.7962950963818558E-2</v>
      </c>
      <c r="X28" s="288">
        <v>1</v>
      </c>
      <c r="Y28" s="42"/>
      <c r="Z28" s="42"/>
      <c r="AA28" s="42"/>
    </row>
    <row r="29" spans="2:27" ht="12.6" thickTop="1">
      <c r="B29" s="5" t="s">
        <v>588</v>
      </c>
      <c r="C29" s="548">
        <v>456.78989486057418</v>
      </c>
      <c r="D29" s="540">
        <v>492.73561902984881</v>
      </c>
      <c r="E29" s="540">
        <v>503.59365006471211</v>
      </c>
      <c r="F29" s="540">
        <v>504.14052566991091</v>
      </c>
      <c r="G29" s="540">
        <v>525.223970089977</v>
      </c>
      <c r="H29" s="279">
        <f>IF(D29=0,"nm",IF(G29=0,"nm",(G29/D29)^(1/3)-1))</f>
        <v>2.1512126981468205E-2</v>
      </c>
      <c r="I29" s="252"/>
      <c r="J29" s="249"/>
      <c r="K29" s="249"/>
      <c r="L29" s="249"/>
      <c r="M29" s="249"/>
      <c r="N29" s="249"/>
      <c r="O29" s="251"/>
      <c r="Q29" s="5"/>
      <c r="S29" s="88"/>
      <c r="T29" s="42"/>
      <c r="U29" s="42"/>
      <c r="V29" s="147" t="s">
        <v>530</v>
      </c>
      <c r="W29" s="288">
        <f t="shared" si="5"/>
        <v>3.6626312066047842E-2</v>
      </c>
      <c r="X29" s="288">
        <v>1</v>
      </c>
      <c r="Y29" s="42"/>
      <c r="Z29" s="42"/>
      <c r="AA29" s="42"/>
    </row>
    <row r="30" spans="2:27">
      <c r="B30" s="5" t="s">
        <v>589</v>
      </c>
      <c r="C30" s="549">
        <v>408.24321960288864</v>
      </c>
      <c r="D30" s="540">
        <v>450.52186802127437</v>
      </c>
      <c r="E30" s="540">
        <v>470.66390815163072</v>
      </c>
      <c r="F30" s="540">
        <v>486.25272401387019</v>
      </c>
      <c r="G30" s="540">
        <v>520.63468315302521</v>
      </c>
      <c r="H30" s="279">
        <f>IF(D30=0,"nm",IF(G30=0,"nm",(G30/D30)^(1/3)-1))</f>
        <v>4.9395199877763529E-2</v>
      </c>
      <c r="I30" s="254"/>
      <c r="J30" s="248"/>
      <c r="K30" s="248"/>
      <c r="L30" s="248"/>
      <c r="M30" s="248"/>
      <c r="N30" s="248"/>
      <c r="O30" s="5"/>
      <c r="Q30" s="5"/>
      <c r="S30" s="88"/>
      <c r="T30" s="42"/>
      <c r="U30" s="42"/>
      <c r="V30" s="147" t="s">
        <v>593</v>
      </c>
      <c r="W30" s="288">
        <f t="shared" si="5"/>
        <v>9.4663678187815431E-2</v>
      </c>
      <c r="X30" s="288">
        <v>1</v>
      </c>
      <c r="Y30" s="42"/>
      <c r="Z30" s="42"/>
      <c r="AA30" s="42"/>
    </row>
    <row r="31" spans="2:27">
      <c r="B31" s="5" t="s">
        <v>590</v>
      </c>
      <c r="C31" s="549">
        <v>459.51574475000001</v>
      </c>
      <c r="D31" s="540">
        <v>460.21504375000006</v>
      </c>
      <c r="E31" s="540">
        <v>460.94559275</v>
      </c>
      <c r="F31" s="540">
        <v>461.70739175</v>
      </c>
      <c r="G31" s="540">
        <v>481.00045838</v>
      </c>
      <c r="H31" s="279">
        <f>IF(D31=0,"nm",IF(G31=0,"nm",(G31/D31)^(1/3)-1))</f>
        <v>1.4833729194414724E-2</v>
      </c>
      <c r="I31" s="254"/>
      <c r="J31" s="252"/>
      <c r="K31" s="252"/>
      <c r="L31" s="252"/>
      <c r="M31" s="252"/>
      <c r="N31" s="252"/>
      <c r="O31" s="5"/>
      <c r="Q31" s="5"/>
      <c r="S31" s="88"/>
      <c r="T31" s="42"/>
      <c r="U31" s="42"/>
      <c r="V31" s="147" t="s">
        <v>475</v>
      </c>
      <c r="W31" s="288">
        <f t="shared" si="5"/>
        <v>1.0809151827653043</v>
      </c>
      <c r="X31" s="288">
        <v>1</v>
      </c>
      <c r="Y31" s="42"/>
      <c r="Z31" s="42"/>
      <c r="AA31" s="42"/>
    </row>
    <row r="32" spans="2:27">
      <c r="B32" s="5" t="s">
        <v>606</v>
      </c>
      <c r="C32" s="550">
        <v>6</v>
      </c>
      <c r="D32" s="540">
        <v>6</v>
      </c>
      <c r="E32" s="540">
        <v>6</v>
      </c>
      <c r="F32" s="540">
        <v>6</v>
      </c>
      <c r="G32" s="540">
        <v>6</v>
      </c>
      <c r="H32" s="279">
        <f>IF(D32=0,"nm",IF(G32=0,"nm",(G32/D32)^(1/3)-1))</f>
        <v>0</v>
      </c>
      <c r="I32" s="254"/>
      <c r="J32" s="254"/>
      <c r="K32" s="254"/>
      <c r="L32" s="254"/>
      <c r="M32" s="254"/>
      <c r="N32" s="254"/>
      <c r="O32" s="251"/>
      <c r="Q32" s="5"/>
      <c r="S32" s="88"/>
      <c r="T32" s="42"/>
      <c r="U32" s="42"/>
      <c r="V32" s="147" t="s">
        <v>533</v>
      </c>
      <c r="W32" s="288">
        <f t="shared" si="5"/>
        <v>4.2665868552472619E-2</v>
      </c>
      <c r="X32" s="288">
        <v>1</v>
      </c>
      <c r="Y32" s="42"/>
      <c r="Z32" s="42"/>
      <c r="AA32" s="42"/>
    </row>
    <row r="33" spans="2:27">
      <c r="B33" s="5" t="s">
        <v>5</v>
      </c>
      <c r="C33" s="549">
        <v>25.555903428650709</v>
      </c>
      <c r="D33" s="540">
        <v>19.356024004760627</v>
      </c>
      <c r="E33" s="540">
        <v>10.949565247042557</v>
      </c>
      <c r="F33" s="540">
        <v>1.6150148607588619</v>
      </c>
      <c r="G33" s="540">
        <v>-8.0345052205350669</v>
      </c>
      <c r="H33" s="279">
        <f>IF(ISERROR((G33/D33)^(1/3)-1),"na",(G33/D33)^(1/3)-1)</f>
        <v>-1.7459579184559912</v>
      </c>
      <c r="I33" s="5"/>
      <c r="J33" s="254"/>
      <c r="K33" s="254"/>
      <c r="L33" s="254"/>
      <c r="M33" s="254"/>
      <c r="N33" s="254"/>
      <c r="O33" s="251"/>
      <c r="Q33" s="5"/>
      <c r="S33" s="88"/>
      <c r="T33" s="42"/>
      <c r="U33" s="42"/>
      <c r="V33" s="147" t="s">
        <v>580</v>
      </c>
      <c r="W33" s="288">
        <f t="shared" si="5"/>
        <v>42.056033569062606</v>
      </c>
      <c r="X33" s="288">
        <v>1</v>
      </c>
      <c r="Y33" s="42"/>
      <c r="Z33" s="42"/>
      <c r="AA33" s="42"/>
    </row>
    <row r="34" spans="2:27">
      <c r="D34" s="5"/>
      <c r="E34" s="5"/>
      <c r="F34" s="5"/>
      <c r="G34" s="5"/>
      <c r="I34" s="49"/>
      <c r="J34" s="254"/>
      <c r="K34" s="254"/>
      <c r="L34" s="254"/>
      <c r="M34" s="254"/>
      <c r="N34" s="254"/>
      <c r="O34" s="251"/>
      <c r="Q34" s="5"/>
      <c r="S34" s="88"/>
      <c r="T34" s="42"/>
      <c r="U34" s="42"/>
      <c r="V34" s="147" t="s">
        <v>581</v>
      </c>
      <c r="W34" s="288">
        <f>D47/L19</f>
        <v>0.92514196853235131</v>
      </c>
      <c r="X34" s="288">
        <v>1</v>
      </c>
      <c r="Y34" s="288"/>
      <c r="Z34" s="288"/>
      <c r="AA34" s="42"/>
    </row>
    <row r="35" spans="2:27" ht="12.6" thickBot="1">
      <c r="B35" s="306" t="s">
        <v>906</v>
      </c>
      <c r="C35" s="265"/>
      <c r="D35" s="265" t="str">
        <f>D5</f>
        <v>2023E</v>
      </c>
      <c r="E35" s="265" t="str">
        <f t="shared" ref="E35:H35" si="6">E5</f>
        <v>2024E</v>
      </c>
      <c r="F35" s="265" t="str">
        <f t="shared" si="6"/>
        <v>2025E</v>
      </c>
      <c r="G35" s="265" t="str">
        <f t="shared" si="6"/>
        <v>2026E</v>
      </c>
      <c r="H35" s="265" t="str">
        <f t="shared" si="6"/>
        <v>23E-26E</v>
      </c>
      <c r="I35" s="254"/>
      <c r="J35" s="5"/>
      <c r="K35" s="5"/>
      <c r="L35" s="5"/>
      <c r="M35" s="5"/>
      <c r="N35" s="5"/>
      <c r="O35" s="5"/>
      <c r="Q35" s="5"/>
      <c r="S35" s="88"/>
      <c r="T35" s="42"/>
      <c r="U35" s="42"/>
      <c r="V35" s="42"/>
      <c r="W35" s="42"/>
      <c r="X35" s="42"/>
      <c r="Y35" s="288"/>
      <c r="Z35" s="288"/>
      <c r="AA35" s="42"/>
    </row>
    <row r="36" spans="2:27" ht="12.6" thickTop="1">
      <c r="B36" s="41"/>
      <c r="C36" s="249"/>
      <c r="D36" s="254"/>
      <c r="E36" s="254"/>
      <c r="F36" s="254"/>
      <c r="G36" s="254"/>
      <c r="H36" s="254"/>
      <c r="I36" s="17"/>
      <c r="J36" s="49"/>
      <c r="K36" s="49"/>
      <c r="L36" s="49"/>
      <c r="M36" s="49"/>
      <c r="N36" s="49"/>
      <c r="O36" s="49"/>
      <c r="Q36" s="5"/>
      <c r="S36" s="88"/>
      <c r="T36" s="42"/>
      <c r="U36" s="42"/>
      <c r="V36" s="42"/>
      <c r="W36" s="42"/>
      <c r="X36" s="42"/>
      <c r="Y36" s="288"/>
      <c r="Z36" s="288"/>
      <c r="AA36" s="42"/>
    </row>
    <row r="37" spans="2:27">
      <c r="B37" s="5" t="s">
        <v>273</v>
      </c>
      <c r="C37" s="247"/>
      <c r="D37" s="529">
        <f>D$18/D23</f>
        <v>1.955827711207947</v>
      </c>
      <c r="E37" s="529">
        <f t="shared" ref="E37:G40" si="7">E$18/E23</f>
        <v>1.777122703580716</v>
      </c>
      <c r="F37" s="529">
        <f t="shared" si="7"/>
        <v>1.5950215737488223</v>
      </c>
      <c r="G37" s="529">
        <f t="shared" si="7"/>
        <v>1.4208856579021203</v>
      </c>
      <c r="H37" s="17">
        <f t="shared" ref="H37:H45" si="8">H23</f>
        <v>2.5531307948985615E-2</v>
      </c>
      <c r="I37" s="5"/>
      <c r="J37" s="259"/>
      <c r="K37" s="259"/>
      <c r="L37" s="259"/>
      <c r="M37" s="259"/>
      <c r="N37" s="259"/>
      <c r="O37" s="18"/>
      <c r="Q37" s="5"/>
      <c r="R37" s="5"/>
      <c r="S37" s="42"/>
      <c r="T37" s="42"/>
      <c r="U37" s="42"/>
      <c r="V37" s="42"/>
      <c r="W37" s="42"/>
      <c r="X37" s="42"/>
      <c r="Y37" s="42"/>
      <c r="Z37" s="42"/>
      <c r="AA37" s="42"/>
    </row>
    <row r="38" spans="2:27">
      <c r="B38" s="5" t="s">
        <v>184</v>
      </c>
      <c r="C38" s="247"/>
      <c r="D38" s="529">
        <f>D$18/D24</f>
        <v>6.2932577372647085</v>
      </c>
      <c r="E38" s="529">
        <f t="shared" si="7"/>
        <v>5.776107178433028</v>
      </c>
      <c r="F38" s="529">
        <f t="shared" si="7"/>
        <v>5.290004775298879</v>
      </c>
      <c r="G38" s="529">
        <f t="shared" si="7"/>
        <v>4.6608624349269032</v>
      </c>
      <c r="H38" s="17">
        <f t="shared" si="8"/>
        <v>1.897026982795702E-2</v>
      </c>
      <c r="I38" s="259"/>
      <c r="J38" s="17"/>
      <c r="K38" s="17"/>
      <c r="L38" s="17"/>
      <c r="M38" s="17"/>
      <c r="N38" s="17"/>
      <c r="O38" s="5"/>
      <c r="Q38" s="5"/>
      <c r="R38" s="5"/>
      <c r="S38" s="42"/>
      <c r="T38" s="42"/>
      <c r="U38" s="42"/>
      <c r="V38" s="42"/>
      <c r="W38" s="42"/>
      <c r="X38" s="42"/>
      <c r="Y38" s="42"/>
      <c r="Z38" s="42"/>
      <c r="AA38" s="42"/>
    </row>
    <row r="39" spans="2:27">
      <c r="B39" s="5" t="s">
        <v>185</v>
      </c>
      <c r="C39" s="247"/>
      <c r="D39" s="529">
        <f>D$18/D25</f>
        <v>10.016122074897002</v>
      </c>
      <c r="E39" s="529">
        <f t="shared" si="7"/>
        <v>9.2484098429326362</v>
      </c>
      <c r="F39" s="529">
        <f t="shared" si="7"/>
        <v>8.575264449818695</v>
      </c>
      <c r="G39" s="529">
        <f t="shared" si="7"/>
        <v>7.504366661667941</v>
      </c>
      <c r="H39" s="17">
        <f t="shared" si="8"/>
        <v>1.5048879877651355E-2</v>
      </c>
      <c r="I39" s="17"/>
      <c r="J39" s="5"/>
      <c r="K39" s="5"/>
      <c r="L39" s="5"/>
      <c r="M39" s="5"/>
      <c r="N39" s="5"/>
      <c r="O39" s="5"/>
      <c r="Q39" s="5"/>
      <c r="R39" s="5"/>
      <c r="S39" s="42"/>
      <c r="T39" s="42"/>
      <c r="U39" s="42"/>
      <c r="V39" s="42"/>
      <c r="W39" s="42"/>
      <c r="X39" s="42"/>
      <c r="Y39" s="42"/>
      <c r="Z39" s="42"/>
      <c r="AA39" s="42"/>
    </row>
    <row r="40" spans="2:27">
      <c r="B40" s="5" t="s">
        <v>466</v>
      </c>
      <c r="C40" s="247"/>
      <c r="D40" s="529">
        <f>D$18/D26</f>
        <v>13.911280659579168</v>
      </c>
      <c r="E40" s="529">
        <f t="shared" si="7"/>
        <v>12.845013670739773</v>
      </c>
      <c r="F40" s="529">
        <f t="shared" si="7"/>
        <v>11.910089513637077</v>
      </c>
      <c r="G40" s="529">
        <f t="shared" si="7"/>
        <v>10.422731474538807</v>
      </c>
      <c r="H40" s="17">
        <f t="shared" si="8"/>
        <v>1.5048879877651355E-2</v>
      </c>
      <c r="I40" s="5"/>
      <c r="J40" s="259"/>
      <c r="K40" s="259"/>
      <c r="L40" s="259"/>
      <c r="M40" s="259"/>
      <c r="N40" s="259"/>
      <c r="O40" s="18"/>
      <c r="Q40" s="5"/>
      <c r="R40" s="5"/>
      <c r="S40" s="42"/>
      <c r="T40" s="42"/>
      <c r="U40" s="42"/>
      <c r="V40" s="42"/>
      <c r="W40" s="288"/>
      <c r="X40" s="288"/>
      <c r="Y40" s="42"/>
      <c r="Z40" s="42"/>
      <c r="AA40" s="42"/>
    </row>
    <row r="41" spans="2:27">
      <c r="B41" s="5" t="s">
        <v>530</v>
      </c>
      <c r="C41" s="247"/>
      <c r="D41" s="529">
        <f>D18/D27</f>
        <v>2.0848668111256821</v>
      </c>
      <c r="E41" s="529">
        <f t="shared" ref="E41:G41" si="9">E18/E27</f>
        <v>1.9557148052775104</v>
      </c>
      <c r="F41" s="529">
        <f t="shared" si="9"/>
        <v>1.8156571780876085</v>
      </c>
      <c r="G41" s="529">
        <f t="shared" si="9"/>
        <v>1.661084612000532</v>
      </c>
      <c r="H41" s="17">
        <f t="shared" si="8"/>
        <v>-5.5400699397566422E-3</v>
      </c>
      <c r="I41" s="247"/>
      <c r="J41" s="17"/>
      <c r="K41" s="17"/>
      <c r="L41" s="17"/>
      <c r="M41" s="17"/>
      <c r="N41" s="17"/>
      <c r="O41" s="5"/>
      <c r="Q41" s="5"/>
      <c r="R41" s="5"/>
      <c r="S41" s="42"/>
      <c r="T41" s="42"/>
      <c r="U41" s="42"/>
      <c r="V41" s="42"/>
      <c r="W41" s="288"/>
      <c r="X41" s="288"/>
      <c r="Y41" s="288"/>
      <c r="Z41" s="288"/>
      <c r="AA41" s="42"/>
    </row>
    <row r="42" spans="2:27">
      <c r="B42" s="5" t="s">
        <v>593</v>
      </c>
      <c r="C42" s="247"/>
      <c r="D42" s="529">
        <f>D18/D28</f>
        <v>7.1734801869819291</v>
      </c>
      <c r="E42" s="529">
        <f t="shared" ref="E42:G42" si="10">E18/E28</f>
        <v>6.5343197563515583</v>
      </c>
      <c r="F42" s="529">
        <f t="shared" si="10"/>
        <v>5.8736573489304744</v>
      </c>
      <c r="G42" s="529">
        <f t="shared" si="10"/>
        <v>5.2226026840015214</v>
      </c>
      <c r="H42" s="17">
        <f t="shared" si="8"/>
        <v>2.4800684779147764E-2</v>
      </c>
      <c r="I42" s="248"/>
      <c r="J42" s="5"/>
      <c r="K42" s="5"/>
      <c r="L42" s="5"/>
      <c r="M42" s="5"/>
      <c r="N42" s="5"/>
      <c r="O42" s="5"/>
      <c r="Q42" s="5"/>
      <c r="R42" s="5"/>
      <c r="S42" s="42"/>
      <c r="T42" s="42"/>
      <c r="U42" s="42"/>
      <c r="V42" s="42"/>
      <c r="W42" s="288"/>
      <c r="X42" s="288"/>
      <c r="Y42" s="288"/>
      <c r="Z42" s="288"/>
      <c r="AA42" s="42"/>
    </row>
    <row r="43" spans="2:27">
      <c r="B43" s="5" t="s">
        <v>475</v>
      </c>
      <c r="C43" s="247"/>
      <c r="D43" s="529">
        <f>L26/D29</f>
        <v>15.653839169241696</v>
      </c>
      <c r="E43" s="529">
        <f>M26/E29</f>
        <v>15.340638495932733</v>
      </c>
      <c r="F43" s="529">
        <f>N26/F29</f>
        <v>15.349323237697112</v>
      </c>
      <c r="G43" s="529">
        <f>O26/G29</f>
        <v>14.758479864584393</v>
      </c>
      <c r="H43" s="17">
        <f t="shared" si="8"/>
        <v>2.1512126981468205E-2</v>
      </c>
      <c r="I43" s="247"/>
      <c r="J43" s="247"/>
      <c r="K43" s="247"/>
      <c r="L43" s="247"/>
      <c r="M43" s="247"/>
      <c r="N43" s="247"/>
      <c r="O43" s="18"/>
      <c r="Q43" s="5"/>
      <c r="R43" s="5"/>
      <c r="S43" s="42"/>
      <c r="T43" s="42"/>
      <c r="U43" s="42"/>
      <c r="V43" s="42"/>
      <c r="W43" s="288"/>
      <c r="X43" s="288"/>
      <c r="Y43" s="288"/>
      <c r="Z43" s="288"/>
      <c r="AA43" s="42"/>
    </row>
    <row r="44" spans="2:27">
      <c r="B44" s="5" t="s">
        <v>533</v>
      </c>
      <c r="C44" s="69"/>
      <c r="D44" s="529">
        <f>D11/D30</f>
        <v>17.120598756120248</v>
      </c>
      <c r="E44" s="529">
        <f>E11/E30</f>
        <v>16.413937845434162</v>
      </c>
      <c r="F44" s="529">
        <f>F11/F30</f>
        <v>15.913979508131806</v>
      </c>
      <c r="G44" s="529">
        <f>G11/G30</f>
        <v>14.888572808914603</v>
      </c>
      <c r="H44" s="17">
        <f t="shared" si="8"/>
        <v>4.9395199877763529E-2</v>
      </c>
      <c r="I44" s="247"/>
      <c r="J44" s="248"/>
      <c r="K44" s="248"/>
      <c r="L44" s="248"/>
      <c r="M44" s="248"/>
      <c r="N44" s="248"/>
      <c r="O44" s="248"/>
      <c r="Q44" s="5"/>
      <c r="R44" s="5"/>
      <c r="S44" s="42"/>
      <c r="T44" s="42"/>
      <c r="U44" s="42"/>
      <c r="V44" s="42"/>
      <c r="W44" s="325"/>
      <c r="X44" s="325"/>
      <c r="Y44" s="288"/>
      <c r="Z44" s="288"/>
      <c r="AA44" s="42"/>
    </row>
    <row r="45" spans="2:27">
      <c r="B45" s="5" t="s">
        <v>580</v>
      </c>
      <c r="C45" s="247"/>
      <c r="D45" s="248">
        <f>D31/D11</f>
        <v>5.9665871121718374E-2</v>
      </c>
      <c r="E45" s="248">
        <f>E31/E11</f>
        <v>5.9665871121718374E-2</v>
      </c>
      <c r="F45" s="248">
        <f>F31/F11</f>
        <v>5.9665871121718367E-2</v>
      </c>
      <c r="G45" s="248">
        <f>G31/G11</f>
        <v>6.2052505966587103E-2</v>
      </c>
      <c r="H45" s="17">
        <f t="shared" si="8"/>
        <v>1.4833729194414724E-2</v>
      </c>
      <c r="I45" s="248"/>
      <c r="J45" s="247"/>
      <c r="K45" s="247"/>
      <c r="L45" s="247"/>
      <c r="M45" s="247"/>
      <c r="N45" s="247"/>
      <c r="O45" s="248"/>
      <c r="Q45" s="5"/>
      <c r="R45" s="5"/>
      <c r="S45" s="42"/>
      <c r="T45" s="42"/>
      <c r="U45" s="42"/>
      <c r="V45" s="42"/>
      <c r="W45" s="42"/>
      <c r="X45" s="42"/>
      <c r="Y45" s="325"/>
      <c r="Z45" s="325"/>
      <c r="AA45" s="42"/>
    </row>
    <row r="46" spans="2:27">
      <c r="B46" s="5" t="s">
        <v>605</v>
      </c>
      <c r="C46" s="247"/>
      <c r="D46" s="248">
        <f>(D31+D32)/D11</f>
        <v>6.0443757963081129E-2</v>
      </c>
      <c r="E46" s="248">
        <f>(E31+E32)/E11</f>
        <v>6.0442525096419619E-2</v>
      </c>
      <c r="F46" s="248">
        <f>(F31+F32)/F11</f>
        <v>6.0441243647970135E-2</v>
      </c>
      <c r="G46" s="248">
        <f>(G31+G32)/G11</f>
        <v>6.282654896241599E-2</v>
      </c>
      <c r="H46" s="279">
        <f>((G31+G32)/(D31+D32))^(1/3)-1</f>
        <v>1.4645567015539651E-2</v>
      </c>
      <c r="I46" s="247"/>
      <c r="J46" s="247"/>
      <c r="K46" s="247"/>
      <c r="L46" s="247"/>
      <c r="M46" s="247"/>
      <c r="N46" s="247"/>
      <c r="O46" s="18"/>
      <c r="Q46" s="5"/>
      <c r="R46" s="5"/>
      <c r="S46" s="42"/>
      <c r="T46" s="42"/>
      <c r="U46" s="42"/>
      <c r="V46" s="42"/>
      <c r="W46" s="42"/>
      <c r="X46" s="42"/>
      <c r="Y46" s="42"/>
      <c r="Z46" s="42"/>
      <c r="AA46" s="326"/>
    </row>
    <row r="47" spans="2:27">
      <c r="B47" s="5" t="s">
        <v>581</v>
      </c>
      <c r="C47" s="5"/>
      <c r="D47" s="248">
        <f>1/D43</f>
        <v>6.3882092385675257E-2</v>
      </c>
      <c r="E47" s="248">
        <f>1/E43</f>
        <v>6.5186334992844666E-2</v>
      </c>
      <c r="F47" s="248">
        <f>1/F43</f>
        <v>6.5149452162428498E-2</v>
      </c>
      <c r="G47" s="248">
        <f>1/G43</f>
        <v>6.7757655881597836E-2</v>
      </c>
      <c r="H47" s="17">
        <f>H29</f>
        <v>2.1512126981468205E-2</v>
      </c>
      <c r="I47" s="17"/>
      <c r="J47" s="248"/>
      <c r="K47" s="248"/>
      <c r="L47" s="248"/>
      <c r="M47" s="248"/>
      <c r="N47" s="248"/>
      <c r="O47" s="248"/>
      <c r="Q47" s="5"/>
      <c r="R47" s="5"/>
      <c r="S47" s="42"/>
      <c r="T47" s="42"/>
      <c r="U47" s="42"/>
      <c r="V47" s="42"/>
      <c r="W47" s="42"/>
      <c r="X47" s="42"/>
      <c r="Y47" s="42"/>
      <c r="Z47" s="42"/>
      <c r="AA47" s="326"/>
    </row>
    <row r="48" spans="2:27">
      <c r="B48" s="5" t="s">
        <v>618</v>
      </c>
      <c r="C48" s="5"/>
      <c r="D48" s="305">
        <f>D31/D29</f>
        <v>0.93399995043208206</v>
      </c>
      <c r="E48" s="305">
        <f>E31/E29</f>
        <v>0.91531255942319412</v>
      </c>
      <c r="F48" s="305">
        <f>F31/F29</f>
        <v>0.91583074210603277</v>
      </c>
      <c r="G48" s="305">
        <f>G31/G29</f>
        <v>0.91580065985487868</v>
      </c>
      <c r="H48" s="279" t="s">
        <v>607</v>
      </c>
      <c r="I48" s="247"/>
      <c r="J48" s="247"/>
      <c r="K48" s="247"/>
      <c r="L48" s="247"/>
      <c r="M48" s="247"/>
      <c r="N48" s="247"/>
      <c r="O48" s="248"/>
      <c r="Q48" s="5"/>
      <c r="R48" s="5"/>
      <c r="S48" s="42"/>
      <c r="T48" s="42"/>
      <c r="U48" s="42"/>
      <c r="V48" s="42"/>
      <c r="W48" s="42"/>
      <c r="X48" s="42"/>
      <c r="Y48" s="42"/>
      <c r="Z48" s="42"/>
      <c r="AA48" s="326"/>
    </row>
    <row r="49" spans="2:27">
      <c r="B49" s="41"/>
      <c r="C49" s="17"/>
      <c r="D49" s="17"/>
      <c r="E49" s="17"/>
      <c r="F49" s="17"/>
      <c r="G49" s="17"/>
      <c r="H49" s="17"/>
      <c r="I49" s="254"/>
      <c r="J49" s="17"/>
      <c r="K49" s="17"/>
      <c r="L49" s="17"/>
      <c r="M49" s="17"/>
      <c r="N49" s="17"/>
      <c r="O49" s="248"/>
      <c r="Q49" s="5"/>
      <c r="R49" s="5"/>
      <c r="S49" s="42"/>
      <c r="T49" s="42"/>
      <c r="U49" s="42"/>
      <c r="V49" s="42"/>
      <c r="W49" s="42"/>
      <c r="X49" s="42"/>
      <c r="Y49" s="42"/>
      <c r="Z49" s="42"/>
      <c r="AA49" s="326"/>
    </row>
    <row r="50" spans="2:27">
      <c r="B50" s="5"/>
      <c r="C50" s="257"/>
      <c r="D50" s="257"/>
      <c r="E50" s="257"/>
      <c r="F50" s="5"/>
      <c r="G50" s="41"/>
      <c r="H50" s="249"/>
      <c r="I50" s="17"/>
      <c r="J50" s="249"/>
      <c r="K50" s="249"/>
      <c r="L50" s="249"/>
      <c r="M50" s="249"/>
      <c r="N50" s="249"/>
      <c r="O50" s="250"/>
      <c r="Q50" s="5"/>
      <c r="R50" s="5"/>
      <c r="S50" s="42"/>
      <c r="T50" s="42"/>
      <c r="U50" s="42"/>
      <c r="V50" s="42"/>
      <c r="W50" s="288"/>
      <c r="X50" s="288"/>
      <c r="Y50" s="42"/>
      <c r="Z50" s="42"/>
      <c r="AA50" s="326"/>
    </row>
    <row r="51" spans="2:27">
      <c r="B51" s="41"/>
      <c r="C51" s="249"/>
      <c r="D51" s="254"/>
      <c r="E51" s="254"/>
      <c r="F51" s="254"/>
      <c r="G51" s="254"/>
      <c r="H51" s="254"/>
      <c r="I51" s="259"/>
      <c r="J51" s="254"/>
      <c r="K51" s="254"/>
      <c r="L51" s="254"/>
      <c r="M51" s="254"/>
      <c r="N51" s="254"/>
      <c r="O51" s="251"/>
      <c r="Q51" s="5"/>
      <c r="R51" s="5"/>
      <c r="S51" s="42"/>
      <c r="T51" s="42"/>
      <c r="U51" s="42"/>
      <c r="V51" s="42"/>
      <c r="W51" s="288"/>
      <c r="X51" s="288"/>
      <c r="Y51" s="288"/>
      <c r="Z51" s="288"/>
      <c r="AA51" s="42"/>
    </row>
    <row r="52" spans="2:27">
      <c r="B52" s="5"/>
      <c r="C52" s="257"/>
      <c r="D52" s="17"/>
      <c r="E52" s="17"/>
      <c r="F52" s="17"/>
      <c r="G52" s="17"/>
      <c r="H52" s="17"/>
      <c r="I52" s="254"/>
      <c r="J52" s="17"/>
      <c r="K52" s="17"/>
      <c r="L52" s="17"/>
      <c r="M52" s="17"/>
      <c r="N52" s="17"/>
      <c r="O52" s="248"/>
      <c r="Q52" s="5"/>
      <c r="R52" s="5"/>
      <c r="S52" s="5"/>
      <c r="Y52" s="10"/>
      <c r="Z52" s="10"/>
    </row>
    <row r="53" spans="2:27">
      <c r="B53" s="5"/>
      <c r="C53" s="257"/>
      <c r="D53" s="257"/>
      <c r="E53" s="257"/>
      <c r="F53" s="5"/>
      <c r="G53" s="5"/>
      <c r="H53" s="259"/>
      <c r="I53" s="17"/>
      <c r="J53" s="259"/>
      <c r="K53" s="259"/>
      <c r="L53" s="259"/>
      <c r="M53" s="259"/>
      <c r="N53" s="259"/>
      <c r="O53" s="18"/>
      <c r="Q53" s="5"/>
      <c r="R53" s="5"/>
      <c r="S53" s="5"/>
    </row>
    <row r="54" spans="2:27">
      <c r="B54" s="41"/>
      <c r="C54" s="249"/>
      <c r="D54" s="254"/>
      <c r="E54" s="254"/>
      <c r="F54" s="254"/>
      <c r="G54" s="254"/>
      <c r="H54" s="254"/>
      <c r="I54" s="259"/>
      <c r="J54" s="254"/>
      <c r="K54" s="254"/>
      <c r="L54" s="254"/>
      <c r="M54" s="254"/>
      <c r="N54" s="254"/>
      <c r="O54" s="251"/>
      <c r="Q54" s="5"/>
      <c r="R54" s="5"/>
      <c r="S54" s="5"/>
    </row>
    <row r="55" spans="2:27">
      <c r="B55" s="5"/>
      <c r="C55" s="257"/>
      <c r="D55" s="17"/>
      <c r="E55" s="17"/>
      <c r="F55" s="17"/>
      <c r="G55" s="17"/>
      <c r="H55" s="17"/>
      <c r="I55" s="249"/>
      <c r="J55" s="17"/>
      <c r="K55" s="17"/>
      <c r="L55" s="17"/>
      <c r="M55" s="17"/>
      <c r="N55" s="17"/>
      <c r="O55" s="18"/>
      <c r="Q55" s="5"/>
      <c r="R55" s="5"/>
      <c r="S55" s="5"/>
    </row>
    <row r="56" spans="2:27">
      <c r="B56" s="5"/>
      <c r="C56" s="248"/>
      <c r="D56" s="248"/>
      <c r="E56" s="248"/>
      <c r="F56" s="5"/>
      <c r="G56" s="5"/>
      <c r="H56" s="259"/>
      <c r="I56" s="248"/>
      <c r="J56" s="259"/>
      <c r="K56" s="259"/>
      <c r="L56" s="259"/>
      <c r="M56" s="259"/>
      <c r="N56" s="259"/>
      <c r="O56" s="18"/>
      <c r="Q56" s="5"/>
      <c r="R56" s="5"/>
      <c r="S56" s="5"/>
    </row>
    <row r="57" spans="2:27">
      <c r="B57" s="41"/>
      <c r="C57" s="249"/>
      <c r="D57" s="249"/>
      <c r="E57" s="249"/>
      <c r="F57" s="249"/>
      <c r="G57" s="249"/>
      <c r="H57" s="249"/>
      <c r="I57" s="5"/>
      <c r="J57" s="249"/>
      <c r="K57" s="249"/>
      <c r="L57" s="249"/>
      <c r="M57" s="249"/>
      <c r="N57" s="249"/>
      <c r="O57" s="251"/>
      <c r="Q57" s="5"/>
      <c r="R57" s="5"/>
      <c r="S57" s="5"/>
    </row>
    <row r="58" spans="2:27">
      <c r="B58" s="5"/>
      <c r="C58" s="5"/>
      <c r="D58" s="248"/>
      <c r="E58" s="248"/>
      <c r="F58" s="248"/>
      <c r="G58" s="248"/>
      <c r="H58" s="248"/>
      <c r="I58" s="17"/>
      <c r="J58" s="248"/>
      <c r="K58" s="248"/>
      <c r="L58" s="248"/>
      <c r="M58" s="248"/>
      <c r="N58" s="248"/>
      <c r="O58" s="18"/>
      <c r="Q58" s="5"/>
      <c r="R58" s="5"/>
      <c r="S58" s="5"/>
    </row>
    <row r="59" spans="2:27">
      <c r="B59" s="5"/>
      <c r="C59" s="5"/>
      <c r="D59" s="5"/>
      <c r="E59" s="5"/>
      <c r="F59" s="5"/>
      <c r="G59" s="5"/>
      <c r="H59" s="5"/>
      <c r="I59" s="5"/>
      <c r="J59" s="5"/>
      <c r="K59" s="5"/>
      <c r="L59" s="5"/>
      <c r="M59" s="5"/>
      <c r="N59" s="5"/>
      <c r="O59" s="5"/>
      <c r="Q59" s="5"/>
      <c r="R59" s="5"/>
      <c r="S59" s="5"/>
    </row>
    <row r="60" spans="2:27">
      <c r="B60" s="41"/>
      <c r="C60" s="17"/>
      <c r="D60" s="17"/>
      <c r="E60" s="17"/>
      <c r="F60" s="17"/>
      <c r="G60" s="17"/>
      <c r="H60" s="17"/>
      <c r="I60" s="249"/>
      <c r="J60" s="17"/>
      <c r="K60" s="17"/>
      <c r="L60" s="17"/>
      <c r="M60" s="17"/>
      <c r="N60" s="17"/>
      <c r="O60" s="251"/>
      <c r="Q60" s="5"/>
      <c r="R60" s="5"/>
      <c r="S60" s="5"/>
    </row>
    <row r="61" spans="2:27">
      <c r="B61" s="5"/>
      <c r="C61" s="5"/>
      <c r="D61" s="5"/>
      <c r="E61" s="5"/>
      <c r="F61" s="5"/>
      <c r="G61" s="5"/>
      <c r="H61" s="5"/>
      <c r="I61" s="5"/>
      <c r="J61" s="5"/>
      <c r="K61" s="5"/>
      <c r="L61" s="5"/>
      <c r="M61" s="5"/>
      <c r="N61" s="5"/>
      <c r="O61" s="5"/>
      <c r="Q61" s="41"/>
      <c r="R61" s="5"/>
      <c r="S61" s="5"/>
    </row>
    <row r="62" spans="2:27">
      <c r="B62" s="41"/>
      <c r="C62" s="249"/>
      <c r="D62" s="249"/>
      <c r="E62" s="249"/>
      <c r="F62" s="249"/>
      <c r="G62" s="249"/>
      <c r="H62" s="249"/>
      <c r="I62" s="5"/>
      <c r="J62" s="249"/>
      <c r="K62" s="249"/>
      <c r="L62" s="249"/>
      <c r="M62" s="249"/>
      <c r="N62" s="249"/>
      <c r="O62" s="251"/>
      <c r="Q62" s="5"/>
      <c r="R62" s="5"/>
      <c r="S62" s="5"/>
    </row>
    <row r="63" spans="2:27">
      <c r="B63" s="5"/>
      <c r="C63" s="5"/>
      <c r="D63" s="5"/>
      <c r="E63" s="5"/>
      <c r="F63" s="5"/>
      <c r="G63" s="5"/>
      <c r="H63" s="5"/>
      <c r="I63" s="254"/>
      <c r="J63" s="5"/>
      <c r="K63" s="5"/>
      <c r="L63" s="5"/>
      <c r="M63" s="5"/>
      <c r="N63" s="5"/>
      <c r="O63" s="5"/>
      <c r="Q63" s="5"/>
      <c r="R63" s="5"/>
      <c r="S63" s="5"/>
    </row>
    <row r="64" spans="2:27">
      <c r="B64" s="5"/>
      <c r="C64" s="5"/>
      <c r="D64" s="5"/>
      <c r="E64" s="5"/>
      <c r="F64" s="5"/>
      <c r="G64" s="5"/>
      <c r="H64" s="5"/>
      <c r="I64" s="17"/>
      <c r="J64" s="5"/>
      <c r="K64" s="5"/>
      <c r="L64" s="5"/>
      <c r="M64" s="5"/>
      <c r="N64" s="5"/>
      <c r="O64" s="5"/>
      <c r="Q64" s="5"/>
      <c r="R64" s="5"/>
      <c r="S64" s="5"/>
    </row>
    <row r="65" spans="2:26">
      <c r="B65" s="41"/>
      <c r="C65" s="249"/>
      <c r="D65" s="254"/>
      <c r="E65" s="254"/>
      <c r="F65" s="254"/>
      <c r="G65" s="254"/>
      <c r="H65" s="254"/>
      <c r="I65" s="254"/>
      <c r="J65" s="254"/>
      <c r="K65" s="254"/>
      <c r="L65" s="254"/>
      <c r="M65" s="254"/>
      <c r="N65" s="254"/>
      <c r="O65" s="251"/>
      <c r="Q65" s="5"/>
      <c r="R65" s="5"/>
      <c r="S65" s="5"/>
    </row>
    <row r="66" spans="2:26">
      <c r="B66" s="5"/>
      <c r="C66" s="5"/>
      <c r="D66" s="17"/>
      <c r="E66" s="17"/>
      <c r="F66" s="17"/>
      <c r="G66" s="17"/>
      <c r="H66" s="17"/>
      <c r="I66" s="248"/>
      <c r="J66" s="17"/>
      <c r="K66" s="17"/>
      <c r="L66" s="17"/>
      <c r="M66" s="17"/>
      <c r="N66" s="17"/>
      <c r="O66" s="5"/>
      <c r="Q66" s="5"/>
      <c r="R66" s="5"/>
      <c r="S66" s="5"/>
    </row>
    <row r="67" spans="2:26">
      <c r="B67" s="41"/>
      <c r="C67" s="249"/>
      <c r="D67" s="254"/>
      <c r="E67" s="254"/>
      <c r="F67" s="254"/>
      <c r="G67" s="254"/>
      <c r="H67" s="254"/>
      <c r="I67" s="5"/>
      <c r="J67" s="254"/>
      <c r="K67" s="254"/>
      <c r="L67" s="254"/>
      <c r="M67" s="254"/>
      <c r="N67" s="254"/>
      <c r="O67" s="251"/>
      <c r="Q67" s="41"/>
      <c r="R67" s="5"/>
      <c r="S67" s="5"/>
    </row>
    <row r="68" spans="2:26">
      <c r="B68" s="5"/>
      <c r="C68" s="5"/>
      <c r="D68" s="248"/>
      <c r="E68" s="248"/>
      <c r="F68" s="248"/>
      <c r="G68" s="248"/>
      <c r="H68" s="248"/>
      <c r="I68" s="245"/>
      <c r="J68" s="248"/>
      <c r="K68" s="248"/>
      <c r="L68" s="248"/>
      <c r="M68" s="248"/>
      <c r="N68" s="248"/>
      <c r="O68" s="5"/>
      <c r="Q68" s="5"/>
      <c r="R68" s="5"/>
      <c r="S68" s="5"/>
    </row>
    <row r="69" spans="2:26">
      <c r="B69" s="41"/>
      <c r="C69" s="5"/>
      <c r="D69" s="5"/>
      <c r="E69" s="5"/>
      <c r="F69" s="5"/>
      <c r="G69" s="5"/>
      <c r="H69" s="5"/>
      <c r="I69" s="248"/>
      <c r="J69" s="5"/>
      <c r="K69" s="5"/>
      <c r="L69" s="5"/>
      <c r="M69" s="5"/>
      <c r="N69" s="5"/>
      <c r="O69" s="5"/>
      <c r="Q69" s="5"/>
      <c r="R69" s="5"/>
      <c r="S69" s="5"/>
    </row>
    <row r="70" spans="2:26">
      <c r="B70" s="41"/>
      <c r="C70" s="245"/>
      <c r="D70" s="245"/>
      <c r="E70" s="245"/>
      <c r="F70" s="245"/>
      <c r="G70" s="245"/>
      <c r="H70" s="245"/>
      <c r="I70" s="5"/>
      <c r="J70" s="245"/>
      <c r="K70" s="245"/>
      <c r="L70" s="245"/>
      <c r="M70" s="245"/>
      <c r="N70" s="245"/>
      <c r="O70" s="251"/>
      <c r="Q70" s="5"/>
      <c r="R70" s="5"/>
      <c r="S70" s="5"/>
      <c r="W70" s="76"/>
      <c r="X70" s="76"/>
    </row>
    <row r="71" spans="2:26">
      <c r="B71" s="5"/>
      <c r="C71" s="5"/>
      <c r="D71" s="248"/>
      <c r="E71" s="248"/>
      <c r="F71" s="248"/>
      <c r="G71" s="248"/>
      <c r="H71" s="248"/>
      <c r="I71" s="245"/>
      <c r="J71" s="248"/>
      <c r="K71" s="248"/>
      <c r="L71" s="248"/>
      <c r="M71" s="248"/>
      <c r="N71" s="248"/>
      <c r="O71" s="5"/>
      <c r="Q71" s="5"/>
      <c r="R71" s="5"/>
      <c r="S71" s="5"/>
      <c r="W71" s="76"/>
      <c r="X71" s="76"/>
      <c r="Y71" s="76"/>
      <c r="Z71" s="76"/>
    </row>
    <row r="72" spans="2:26">
      <c r="B72" s="41"/>
      <c r="C72" s="5"/>
      <c r="D72" s="5"/>
      <c r="E72" s="5"/>
      <c r="F72" s="5"/>
      <c r="G72" s="5"/>
      <c r="H72" s="5"/>
      <c r="I72" s="18"/>
      <c r="J72" s="5"/>
      <c r="K72" s="5"/>
      <c r="L72" s="5"/>
      <c r="M72" s="5"/>
      <c r="N72" s="5"/>
      <c r="O72" s="5"/>
      <c r="Q72" s="5"/>
      <c r="R72" s="5"/>
      <c r="S72" s="5"/>
      <c r="Y72" s="76"/>
      <c r="Z72" s="76"/>
    </row>
    <row r="73" spans="2:26">
      <c r="B73" s="41"/>
      <c r="C73" s="245"/>
      <c r="D73" s="245"/>
      <c r="E73" s="245"/>
      <c r="F73" s="245"/>
      <c r="G73" s="245"/>
      <c r="H73" s="245"/>
      <c r="I73" s="5"/>
      <c r="J73" s="245"/>
      <c r="K73" s="245"/>
      <c r="L73" s="245"/>
      <c r="M73" s="245"/>
      <c r="N73" s="245"/>
      <c r="O73" s="251"/>
      <c r="Q73" s="5"/>
      <c r="R73" s="5"/>
      <c r="S73" s="5"/>
    </row>
    <row r="74" spans="2:26">
      <c r="B74" s="5"/>
      <c r="C74" s="5"/>
      <c r="D74" s="18"/>
      <c r="E74" s="18"/>
      <c r="F74" s="18"/>
      <c r="G74" s="18"/>
      <c r="H74" s="18"/>
      <c r="I74" s="249"/>
      <c r="J74" s="18"/>
      <c r="K74" s="18"/>
      <c r="L74" s="18"/>
      <c r="M74" s="18"/>
      <c r="N74" s="18"/>
      <c r="O74" s="5"/>
      <c r="Q74" s="5"/>
      <c r="R74" s="5"/>
      <c r="S74" s="5"/>
    </row>
    <row r="75" spans="2:26">
      <c r="B75" s="41"/>
      <c r="C75" s="5"/>
      <c r="D75" s="5"/>
      <c r="E75" s="5"/>
      <c r="F75" s="5"/>
      <c r="G75" s="5"/>
      <c r="H75" s="5"/>
      <c r="I75" s="248"/>
      <c r="J75" s="5"/>
      <c r="K75" s="5"/>
      <c r="L75" s="5"/>
      <c r="M75" s="5"/>
      <c r="N75" s="5"/>
      <c r="O75" s="5"/>
      <c r="Q75" s="5"/>
      <c r="R75" s="5"/>
      <c r="S75" s="5"/>
    </row>
    <row r="76" spans="2:26">
      <c r="B76" s="41"/>
      <c r="C76" s="249"/>
      <c r="D76" s="249"/>
      <c r="E76" s="249"/>
      <c r="F76" s="249"/>
      <c r="G76" s="249"/>
      <c r="H76" s="249"/>
      <c r="I76" s="5"/>
      <c r="J76" s="249"/>
      <c r="K76" s="249"/>
      <c r="L76" s="249"/>
      <c r="M76" s="249"/>
      <c r="N76" s="249"/>
      <c r="O76" s="251"/>
      <c r="Q76" s="5"/>
      <c r="R76" s="5"/>
      <c r="S76" s="5"/>
    </row>
    <row r="77" spans="2:26">
      <c r="B77" s="5"/>
      <c r="C77" s="5"/>
      <c r="D77" s="248"/>
      <c r="E77" s="248"/>
      <c r="F77" s="248"/>
      <c r="G77" s="248"/>
      <c r="H77" s="248"/>
      <c r="I77" s="245"/>
      <c r="J77" s="248"/>
      <c r="K77" s="248"/>
      <c r="L77" s="248"/>
      <c r="M77" s="248"/>
      <c r="N77" s="248"/>
      <c r="O77" s="5"/>
      <c r="Q77" s="5"/>
      <c r="R77" s="5"/>
      <c r="S77" s="5"/>
    </row>
    <row r="78" spans="2:26">
      <c r="B78" s="41"/>
      <c r="C78" s="5"/>
      <c r="D78" s="5"/>
      <c r="E78" s="5"/>
      <c r="F78" s="5"/>
      <c r="G78" s="5"/>
      <c r="H78" s="5"/>
      <c r="I78" s="248"/>
      <c r="J78" s="5"/>
      <c r="K78" s="5"/>
      <c r="L78" s="5"/>
      <c r="M78" s="5"/>
      <c r="N78" s="5"/>
      <c r="O78" s="5"/>
      <c r="Q78" s="5"/>
      <c r="R78" s="5"/>
      <c r="S78" s="5"/>
    </row>
    <row r="79" spans="2:26">
      <c r="B79" s="41"/>
      <c r="C79" s="245"/>
      <c r="D79" s="245"/>
      <c r="E79" s="245"/>
      <c r="F79" s="245"/>
      <c r="G79" s="245"/>
      <c r="H79" s="245"/>
      <c r="I79" s="5"/>
      <c r="J79" s="245"/>
      <c r="K79" s="245"/>
      <c r="L79" s="245"/>
      <c r="M79" s="245"/>
      <c r="N79" s="245"/>
      <c r="O79" s="251"/>
      <c r="Q79" s="5"/>
      <c r="R79" s="5"/>
      <c r="S79" s="5"/>
    </row>
    <row r="80" spans="2:26">
      <c r="B80" s="5"/>
      <c r="C80" s="5"/>
      <c r="D80" s="248"/>
      <c r="E80" s="248"/>
      <c r="F80" s="248"/>
      <c r="G80" s="248"/>
      <c r="H80" s="248"/>
      <c r="I80" s="249"/>
      <c r="J80" s="248"/>
      <c r="K80" s="248"/>
      <c r="L80" s="248"/>
      <c r="M80" s="248"/>
      <c r="N80" s="248"/>
      <c r="O80" s="5"/>
      <c r="Q80" s="5"/>
      <c r="R80" s="5"/>
      <c r="S80" s="5"/>
    </row>
    <row r="81" spans="2:26">
      <c r="B81" s="41"/>
      <c r="C81" s="5"/>
      <c r="D81" s="5"/>
      <c r="E81" s="5"/>
      <c r="F81" s="5"/>
      <c r="G81" s="5"/>
      <c r="H81" s="5"/>
      <c r="I81" s="248"/>
      <c r="J81" s="5"/>
      <c r="K81" s="5"/>
      <c r="L81" s="5"/>
      <c r="M81" s="5"/>
      <c r="N81" s="5"/>
      <c r="O81" s="5"/>
      <c r="Q81" s="5"/>
      <c r="R81" s="5"/>
      <c r="S81" s="5"/>
    </row>
    <row r="82" spans="2:26">
      <c r="B82" s="41"/>
      <c r="C82" s="249"/>
      <c r="D82" s="249"/>
      <c r="E82" s="249"/>
      <c r="F82" s="249"/>
      <c r="G82" s="249"/>
      <c r="H82" s="249"/>
      <c r="I82" s="259"/>
      <c r="J82" s="249"/>
      <c r="K82" s="249"/>
      <c r="L82" s="249"/>
      <c r="M82" s="249"/>
      <c r="N82" s="249"/>
      <c r="O82" s="251"/>
      <c r="Q82" s="5"/>
      <c r="R82" s="5"/>
      <c r="S82" s="5"/>
    </row>
    <row r="83" spans="2:26">
      <c r="B83" s="5"/>
      <c r="C83" s="5"/>
      <c r="D83" s="248"/>
      <c r="E83" s="248"/>
      <c r="F83" s="248"/>
      <c r="G83" s="248"/>
      <c r="H83" s="248"/>
      <c r="I83" s="5"/>
      <c r="J83" s="248"/>
      <c r="K83" s="248"/>
      <c r="L83" s="248"/>
      <c r="M83" s="248"/>
      <c r="N83" s="248"/>
      <c r="O83" s="5"/>
      <c r="Q83" s="5"/>
      <c r="R83" s="5"/>
      <c r="S83" s="5"/>
    </row>
    <row r="84" spans="2:26">
      <c r="B84" s="5"/>
      <c r="C84" s="259"/>
      <c r="D84" s="259"/>
      <c r="E84" s="259"/>
      <c r="F84" s="259"/>
      <c r="G84" s="259"/>
      <c r="H84" s="259"/>
      <c r="I84" s="245"/>
      <c r="J84" s="259"/>
      <c r="K84" s="259"/>
      <c r="L84" s="259"/>
      <c r="M84" s="259"/>
      <c r="N84" s="259"/>
      <c r="O84" s="251"/>
      <c r="Q84" s="5"/>
      <c r="R84" s="5"/>
      <c r="S84" s="5"/>
    </row>
    <row r="85" spans="2:26">
      <c r="B85" s="41"/>
      <c r="C85" s="5"/>
      <c r="D85" s="5"/>
      <c r="E85" s="5"/>
      <c r="F85" s="5"/>
      <c r="G85" s="5"/>
      <c r="H85" s="5"/>
      <c r="I85" s="248"/>
      <c r="J85" s="5"/>
      <c r="K85" s="5"/>
      <c r="L85" s="5"/>
      <c r="M85" s="5"/>
      <c r="N85" s="5"/>
      <c r="O85" s="5"/>
      <c r="Q85" s="5"/>
      <c r="R85" s="5"/>
      <c r="S85" s="5"/>
    </row>
    <row r="86" spans="2:26">
      <c r="B86" s="41"/>
      <c r="C86" s="245"/>
      <c r="D86" s="245"/>
      <c r="E86" s="245"/>
      <c r="F86" s="245"/>
      <c r="G86" s="245"/>
      <c r="H86" s="245"/>
      <c r="I86" s="5"/>
      <c r="J86" s="245"/>
      <c r="K86" s="245"/>
      <c r="L86" s="245"/>
      <c r="M86" s="245"/>
      <c r="N86" s="245"/>
      <c r="O86" s="251"/>
      <c r="Q86" s="5"/>
      <c r="R86" s="5"/>
      <c r="S86" s="5"/>
    </row>
    <row r="87" spans="2:26">
      <c r="B87" s="5"/>
      <c r="C87" s="5"/>
      <c r="D87" s="248"/>
      <c r="E87" s="248"/>
      <c r="F87" s="248"/>
      <c r="G87" s="248"/>
      <c r="H87" s="248"/>
      <c r="I87" s="5"/>
      <c r="J87" s="248"/>
      <c r="K87" s="248"/>
      <c r="L87" s="248"/>
      <c r="M87" s="248"/>
      <c r="N87" s="248"/>
      <c r="O87" s="5"/>
      <c r="Q87" s="5"/>
      <c r="R87" s="5"/>
      <c r="S87" s="5"/>
    </row>
    <row r="88" spans="2:26">
      <c r="B88" s="41"/>
      <c r="C88" s="5"/>
      <c r="D88" s="5"/>
      <c r="E88" s="5"/>
      <c r="F88" s="5"/>
      <c r="G88" s="5"/>
      <c r="H88" s="5"/>
      <c r="I88" s="5"/>
      <c r="J88" s="5"/>
      <c r="K88" s="5"/>
      <c r="L88" s="5"/>
      <c r="M88" s="5"/>
      <c r="N88" s="5"/>
      <c r="O88" s="5"/>
      <c r="Q88" s="5"/>
      <c r="R88" s="5"/>
      <c r="S88" s="5"/>
    </row>
    <row r="89" spans="2:26">
      <c r="B89" s="41"/>
      <c r="C89" s="5"/>
      <c r="D89" s="5"/>
      <c r="E89" s="5"/>
      <c r="F89" s="5"/>
      <c r="G89" s="5"/>
      <c r="H89" s="5"/>
      <c r="I89" s="5"/>
      <c r="J89" s="5"/>
      <c r="K89" s="5"/>
      <c r="L89" s="5"/>
      <c r="M89" s="5"/>
      <c r="N89" s="5"/>
      <c r="O89" s="5"/>
      <c r="Q89" s="5"/>
      <c r="R89" s="5"/>
      <c r="S89" s="5"/>
    </row>
    <row r="90" spans="2:26">
      <c r="B90" s="41"/>
      <c r="C90" s="5"/>
      <c r="D90" s="5"/>
      <c r="E90" s="5"/>
      <c r="F90" s="5"/>
      <c r="G90" s="5"/>
      <c r="H90" s="5"/>
      <c r="I90" s="49"/>
      <c r="J90" s="5"/>
      <c r="K90" s="5"/>
      <c r="L90" s="5"/>
      <c r="M90" s="5"/>
      <c r="N90" s="5"/>
      <c r="O90" s="5"/>
      <c r="Q90" s="41"/>
      <c r="R90" s="5"/>
      <c r="S90" s="5"/>
    </row>
    <row r="91" spans="2:26">
      <c r="B91" s="5"/>
      <c r="C91" s="5"/>
      <c r="D91" s="5"/>
      <c r="E91" s="5"/>
      <c r="F91" s="5"/>
      <c r="G91" s="5"/>
      <c r="H91" s="5"/>
      <c r="I91" s="5"/>
      <c r="J91" s="5"/>
      <c r="K91" s="5"/>
      <c r="L91" s="5"/>
      <c r="M91" s="5"/>
      <c r="N91" s="5"/>
      <c r="O91" s="5"/>
      <c r="Q91" s="5"/>
      <c r="R91" s="5"/>
      <c r="S91" s="5"/>
    </row>
    <row r="92" spans="2:26">
      <c r="B92" s="41"/>
      <c r="C92" s="49"/>
      <c r="D92" s="49"/>
      <c r="E92" s="49"/>
      <c r="F92" s="49"/>
      <c r="G92" s="49"/>
      <c r="H92" s="49"/>
      <c r="I92" s="247"/>
      <c r="J92" s="49"/>
      <c r="K92" s="49"/>
      <c r="L92" s="49"/>
      <c r="M92" s="49"/>
      <c r="N92" s="49"/>
      <c r="O92" s="49"/>
      <c r="Q92" s="5"/>
      <c r="R92" s="5"/>
      <c r="S92" s="5"/>
      <c r="W92" s="21"/>
      <c r="X92" s="21"/>
    </row>
    <row r="93" spans="2:26">
      <c r="B93" s="5"/>
      <c r="C93" s="5"/>
      <c r="D93" s="5"/>
      <c r="E93" s="5"/>
      <c r="F93" s="5"/>
      <c r="G93" s="5"/>
      <c r="H93" s="5"/>
      <c r="I93" s="247"/>
      <c r="J93" s="5"/>
      <c r="K93" s="5"/>
      <c r="L93" s="5"/>
      <c r="M93" s="5"/>
      <c r="N93" s="5"/>
      <c r="O93" s="5"/>
      <c r="Q93" s="5"/>
      <c r="R93" s="5"/>
      <c r="S93" s="5"/>
      <c r="W93" s="21"/>
      <c r="X93" s="21"/>
      <c r="Y93" s="21"/>
      <c r="Z93" s="21"/>
    </row>
    <row r="94" spans="2:26">
      <c r="B94" s="5"/>
      <c r="C94" s="259"/>
      <c r="D94" s="247"/>
      <c r="E94" s="247"/>
      <c r="F94" s="247"/>
      <c r="G94" s="247"/>
      <c r="H94" s="247"/>
      <c r="I94" s="247"/>
      <c r="J94" s="247"/>
      <c r="K94" s="247"/>
      <c r="L94" s="247"/>
      <c r="M94" s="247"/>
      <c r="N94" s="247"/>
      <c r="O94" s="248"/>
      <c r="Q94" s="5"/>
      <c r="R94" s="5"/>
      <c r="S94" s="5"/>
      <c r="Y94" s="21"/>
      <c r="Z94" s="21"/>
    </row>
    <row r="95" spans="2:26">
      <c r="B95" s="5"/>
      <c r="C95" s="259"/>
      <c r="D95" s="247"/>
      <c r="E95" s="247"/>
      <c r="F95" s="247"/>
      <c r="G95" s="247"/>
      <c r="H95" s="247"/>
      <c r="I95" s="248"/>
      <c r="J95" s="247"/>
      <c r="K95" s="247"/>
      <c r="L95" s="247"/>
      <c r="M95" s="247"/>
      <c r="N95" s="247"/>
      <c r="O95" s="248"/>
      <c r="Q95" s="5"/>
      <c r="R95" s="5"/>
      <c r="S95" s="5"/>
    </row>
    <row r="96" spans="2:26">
      <c r="B96" s="5"/>
      <c r="C96" s="259"/>
      <c r="D96" s="247"/>
      <c r="E96" s="247"/>
      <c r="F96" s="247"/>
      <c r="G96" s="247"/>
      <c r="H96" s="247"/>
      <c r="I96" s="247"/>
      <c r="J96" s="247"/>
      <c r="K96" s="247"/>
      <c r="L96" s="247"/>
      <c r="M96" s="247"/>
      <c r="N96" s="247"/>
      <c r="O96" s="248"/>
      <c r="Q96" s="5"/>
      <c r="R96" s="5"/>
      <c r="S96" s="5"/>
    </row>
    <row r="97" spans="2:19">
      <c r="B97" s="5"/>
      <c r="C97" s="259"/>
      <c r="D97" s="248"/>
      <c r="E97" s="248"/>
      <c r="F97" s="248"/>
      <c r="G97" s="248"/>
      <c r="H97" s="248"/>
      <c r="I97" s="249"/>
      <c r="J97" s="248"/>
      <c r="K97" s="248"/>
      <c r="L97" s="248"/>
      <c r="M97" s="248"/>
      <c r="N97" s="248"/>
      <c r="O97" s="248"/>
      <c r="Q97" s="5"/>
      <c r="R97" s="5"/>
      <c r="S97" s="5"/>
    </row>
    <row r="98" spans="2:19">
      <c r="B98" s="5"/>
      <c r="C98" s="259"/>
      <c r="D98" s="247"/>
      <c r="E98" s="247"/>
      <c r="F98" s="247"/>
      <c r="G98" s="247"/>
      <c r="H98" s="247"/>
      <c r="I98" s="248"/>
      <c r="J98" s="247"/>
      <c r="K98" s="247"/>
      <c r="L98" s="247"/>
      <c r="M98" s="247"/>
      <c r="N98" s="247"/>
      <c r="O98" s="248"/>
      <c r="Q98" s="5"/>
      <c r="R98" s="5"/>
      <c r="S98" s="5"/>
    </row>
    <row r="99" spans="2:19">
      <c r="B99" s="41"/>
      <c r="C99" s="249"/>
      <c r="D99" s="249"/>
      <c r="E99" s="249"/>
      <c r="F99" s="249"/>
      <c r="G99" s="249"/>
      <c r="H99" s="249"/>
      <c r="I99" s="5"/>
      <c r="J99" s="249"/>
      <c r="K99" s="249"/>
      <c r="L99" s="249"/>
      <c r="M99" s="249"/>
      <c r="N99" s="249"/>
      <c r="O99" s="248"/>
      <c r="Q99" s="5"/>
      <c r="R99" s="5"/>
      <c r="S99" s="5"/>
    </row>
    <row r="100" spans="2:19">
      <c r="B100" s="41"/>
      <c r="C100" s="257"/>
      <c r="D100" s="248"/>
      <c r="E100" s="248"/>
      <c r="F100" s="248"/>
      <c r="G100" s="248"/>
      <c r="H100" s="248"/>
      <c r="I100" s="259"/>
      <c r="J100" s="248"/>
      <c r="K100" s="248"/>
      <c r="L100" s="248"/>
      <c r="M100" s="248"/>
      <c r="N100" s="248"/>
      <c r="O100" s="248"/>
      <c r="Q100" s="5"/>
      <c r="R100" s="5"/>
      <c r="S100" s="5"/>
    </row>
    <row r="101" spans="2:19" s="5" customFormat="1">
      <c r="B101" s="41"/>
      <c r="I101" s="259"/>
      <c r="O101" s="248"/>
      <c r="P101" s="39"/>
    </row>
    <row r="102" spans="2:19">
      <c r="B102" s="5"/>
      <c r="C102" s="259"/>
      <c r="D102" s="259"/>
      <c r="E102" s="259"/>
      <c r="F102" s="259"/>
      <c r="G102" s="259"/>
      <c r="H102" s="259"/>
      <c r="I102" s="247"/>
      <c r="J102" s="259"/>
      <c r="K102" s="259"/>
      <c r="L102" s="259"/>
      <c r="M102" s="259"/>
      <c r="N102" s="259"/>
      <c r="O102" s="5"/>
      <c r="Q102" s="5"/>
      <c r="R102" s="5"/>
      <c r="S102" s="5"/>
    </row>
    <row r="103" spans="2:19">
      <c r="B103" s="5"/>
      <c r="C103" s="259"/>
      <c r="D103" s="259"/>
      <c r="E103" s="259"/>
      <c r="F103" s="259"/>
      <c r="G103" s="259"/>
      <c r="H103" s="259"/>
      <c r="I103" s="5"/>
      <c r="J103" s="259"/>
      <c r="K103" s="259"/>
      <c r="L103" s="259"/>
      <c r="M103" s="259"/>
      <c r="N103" s="259"/>
      <c r="O103" s="5"/>
      <c r="P103" s="5"/>
      <c r="Q103" s="5"/>
      <c r="R103" s="5"/>
      <c r="S103" s="5"/>
    </row>
    <row r="104" spans="2:19">
      <c r="B104" s="5"/>
      <c r="C104" s="247"/>
      <c r="D104" s="247"/>
      <c r="E104" s="247"/>
      <c r="F104" s="247"/>
      <c r="G104" s="247"/>
      <c r="H104" s="247"/>
      <c r="I104" s="247"/>
      <c r="J104" s="247"/>
      <c r="K104" s="247"/>
      <c r="L104" s="247"/>
      <c r="M104" s="247"/>
      <c r="N104" s="247"/>
      <c r="O104" s="5"/>
      <c r="Q104" s="5"/>
      <c r="R104" s="5"/>
      <c r="S104" s="5"/>
    </row>
    <row r="105" spans="2:19" s="5" customFormat="1">
      <c r="P105" s="39"/>
    </row>
    <row r="106" spans="2:19" s="5" customFormat="1">
      <c r="C106" s="259"/>
      <c r="D106" s="247"/>
      <c r="E106" s="247"/>
      <c r="F106" s="247"/>
      <c r="G106" s="247"/>
      <c r="H106" s="247"/>
      <c r="I106" s="259"/>
      <c r="J106" s="247"/>
      <c r="K106" s="247"/>
      <c r="L106" s="247"/>
      <c r="M106" s="247"/>
      <c r="N106" s="247"/>
      <c r="P106" s="39"/>
    </row>
    <row r="107" spans="2:19">
      <c r="B107" s="5"/>
      <c r="C107" s="259"/>
      <c r="D107" s="5"/>
      <c r="E107" s="5"/>
      <c r="F107" s="5"/>
      <c r="G107" s="5"/>
      <c r="H107" s="5"/>
      <c r="I107" s="247"/>
      <c r="J107" s="5"/>
      <c r="K107" s="5"/>
      <c r="L107" s="5"/>
      <c r="M107" s="5"/>
      <c r="N107" s="5"/>
      <c r="O107" s="5"/>
      <c r="P107" s="5"/>
      <c r="Q107" s="5"/>
      <c r="R107" s="5"/>
      <c r="S107" s="5"/>
    </row>
    <row r="108" spans="2:19">
      <c r="B108" s="5"/>
      <c r="C108" s="259"/>
      <c r="D108" s="259"/>
      <c r="E108" s="259"/>
      <c r="F108" s="259"/>
      <c r="G108" s="259"/>
      <c r="H108" s="259"/>
      <c r="I108" s="249"/>
      <c r="J108" s="259"/>
      <c r="K108" s="259"/>
      <c r="L108" s="259"/>
      <c r="M108" s="259"/>
      <c r="N108" s="259"/>
      <c r="O108" s="5"/>
      <c r="P108" s="5"/>
      <c r="Q108" s="5"/>
      <c r="R108" s="5"/>
      <c r="S108" s="5"/>
    </row>
    <row r="109" spans="2:19">
      <c r="B109" s="5"/>
      <c r="C109" s="247"/>
      <c r="D109" s="247"/>
      <c r="E109" s="247"/>
      <c r="F109" s="247"/>
      <c r="G109" s="247"/>
      <c r="H109" s="247"/>
      <c r="I109" s="249"/>
      <c r="J109" s="247"/>
      <c r="K109" s="247"/>
      <c r="L109" s="247"/>
      <c r="M109" s="247"/>
      <c r="N109" s="247"/>
      <c r="O109" s="5"/>
      <c r="Q109" s="5"/>
      <c r="R109" s="5"/>
      <c r="S109" s="5"/>
    </row>
    <row r="110" spans="2:19">
      <c r="B110" s="41"/>
      <c r="C110" s="249"/>
      <c r="D110" s="249"/>
      <c r="E110" s="249"/>
      <c r="F110" s="249"/>
      <c r="G110" s="249"/>
      <c r="H110" s="249"/>
      <c r="I110" s="247"/>
      <c r="J110" s="249"/>
      <c r="K110" s="249"/>
      <c r="L110" s="249"/>
      <c r="M110" s="249"/>
      <c r="N110" s="249"/>
      <c r="O110" s="5"/>
      <c r="Q110" s="5"/>
      <c r="R110" s="5"/>
      <c r="S110" s="5"/>
    </row>
    <row r="111" spans="2:19">
      <c r="B111" s="5"/>
      <c r="C111" s="249"/>
      <c r="D111" s="249"/>
      <c r="E111" s="249"/>
      <c r="F111" s="249"/>
      <c r="G111" s="249"/>
      <c r="H111" s="249"/>
      <c r="I111" s="5"/>
      <c r="J111" s="249"/>
      <c r="K111" s="249"/>
      <c r="L111" s="249"/>
      <c r="M111" s="249"/>
      <c r="N111" s="249"/>
      <c r="O111" s="5"/>
      <c r="Q111" s="5"/>
      <c r="R111" s="5"/>
      <c r="S111" s="5"/>
    </row>
    <row r="112" spans="2:19">
      <c r="B112" s="5"/>
      <c r="C112" s="247"/>
      <c r="D112" s="247"/>
      <c r="E112" s="247"/>
      <c r="F112" s="247"/>
      <c r="G112" s="247"/>
      <c r="H112" s="247"/>
      <c r="I112" s="5"/>
      <c r="J112" s="247"/>
      <c r="K112" s="247"/>
      <c r="L112" s="247"/>
      <c r="M112" s="247"/>
      <c r="N112" s="247"/>
      <c r="O112" s="5"/>
      <c r="Q112" s="5"/>
      <c r="R112" s="5"/>
      <c r="S112" s="5"/>
    </row>
    <row r="113" spans="2:19">
      <c r="B113" s="5"/>
      <c r="C113" s="5"/>
      <c r="D113" s="5"/>
      <c r="E113" s="5"/>
      <c r="F113" s="5"/>
      <c r="G113" s="5"/>
      <c r="H113" s="5"/>
      <c r="I113" s="5"/>
      <c r="J113" s="5"/>
      <c r="K113" s="5"/>
      <c r="L113" s="5"/>
      <c r="M113" s="5"/>
      <c r="N113" s="5"/>
      <c r="O113" s="5"/>
      <c r="Q113" s="5"/>
      <c r="R113" s="5"/>
      <c r="S113" s="5"/>
    </row>
    <row r="114" spans="2:19">
      <c r="B114" s="5"/>
      <c r="C114" s="5"/>
      <c r="D114" s="5"/>
      <c r="E114" s="5"/>
      <c r="F114" s="5"/>
      <c r="G114" s="5"/>
      <c r="H114" s="5"/>
      <c r="I114" s="5"/>
      <c r="J114" s="5"/>
      <c r="K114" s="5"/>
      <c r="L114" s="5"/>
      <c r="M114" s="5"/>
      <c r="N114" s="5"/>
      <c r="O114" s="5"/>
      <c r="Q114" s="5"/>
      <c r="R114" s="5"/>
      <c r="S114" s="5"/>
    </row>
    <row r="115" spans="2:19">
      <c r="B115" s="5"/>
      <c r="C115" s="5"/>
      <c r="D115" s="5"/>
      <c r="E115" s="5"/>
      <c r="F115" s="5"/>
      <c r="G115" s="5"/>
      <c r="H115" s="5"/>
      <c r="I115" s="49"/>
      <c r="J115" s="5"/>
      <c r="K115" s="5"/>
      <c r="L115" s="5"/>
      <c r="M115" s="5"/>
      <c r="N115" s="5"/>
      <c r="O115" s="5"/>
      <c r="Q115" s="41"/>
      <c r="R115" s="5"/>
      <c r="S115" s="5"/>
    </row>
    <row r="116" spans="2:19">
      <c r="B116" s="5"/>
      <c r="C116" s="5"/>
      <c r="D116" s="5"/>
      <c r="E116" s="5"/>
      <c r="F116" s="5"/>
      <c r="G116" s="5"/>
      <c r="H116" s="5"/>
      <c r="I116" s="5"/>
      <c r="J116" s="5"/>
      <c r="K116" s="5"/>
      <c r="L116" s="5"/>
      <c r="M116" s="5"/>
      <c r="N116" s="5"/>
      <c r="O116" s="5"/>
      <c r="Q116" s="5"/>
      <c r="R116" s="5"/>
      <c r="S116" s="5"/>
    </row>
    <row r="117" spans="2:19">
      <c r="B117" s="41"/>
      <c r="C117" s="49"/>
      <c r="D117" s="49"/>
      <c r="E117" s="49"/>
      <c r="F117" s="49"/>
      <c r="G117" s="49"/>
      <c r="H117" s="49"/>
      <c r="I117" s="254"/>
      <c r="J117" s="49"/>
      <c r="K117" s="49"/>
      <c r="L117" s="49"/>
      <c r="M117" s="49"/>
      <c r="N117" s="49"/>
      <c r="O117" s="49"/>
      <c r="Q117" s="5"/>
      <c r="R117" s="5"/>
      <c r="S117" s="5"/>
    </row>
    <row r="118" spans="2:19">
      <c r="B118" s="5"/>
      <c r="C118" s="5"/>
      <c r="D118" s="5"/>
      <c r="E118" s="5"/>
      <c r="F118" s="5"/>
      <c r="G118" s="5"/>
      <c r="H118" s="5"/>
      <c r="I118" s="249"/>
      <c r="J118" s="5"/>
      <c r="K118" s="5"/>
      <c r="L118" s="5"/>
      <c r="M118" s="5"/>
      <c r="N118" s="5"/>
      <c r="O118" s="5"/>
      <c r="Q118" s="5"/>
      <c r="R118" s="5"/>
      <c r="S118" s="5"/>
    </row>
    <row r="119" spans="2:19">
      <c r="B119" s="41"/>
      <c r="C119" s="254"/>
      <c r="D119" s="254"/>
      <c r="E119" s="254"/>
      <c r="F119" s="254"/>
      <c r="G119" s="254"/>
      <c r="H119" s="254"/>
      <c r="I119" s="254"/>
      <c r="J119" s="254"/>
      <c r="K119" s="254"/>
      <c r="L119" s="254"/>
      <c r="M119" s="254"/>
      <c r="N119" s="254"/>
      <c r="O119" s="248"/>
      <c r="Q119" s="5"/>
      <c r="R119" s="5"/>
      <c r="S119" s="5"/>
    </row>
    <row r="120" spans="2:19">
      <c r="B120" s="41"/>
      <c r="C120" s="254"/>
      <c r="D120" s="249"/>
      <c r="E120" s="249"/>
      <c r="F120" s="249"/>
      <c r="G120" s="249"/>
      <c r="H120" s="249"/>
      <c r="I120" s="254"/>
      <c r="J120" s="249"/>
      <c r="K120" s="249"/>
      <c r="L120" s="249"/>
      <c r="M120" s="249"/>
      <c r="N120" s="249"/>
      <c r="O120" s="248"/>
      <c r="Q120" s="5"/>
      <c r="R120" s="5"/>
      <c r="S120" s="5"/>
    </row>
    <row r="121" spans="2:19">
      <c r="B121" s="41"/>
      <c r="C121" s="254"/>
      <c r="D121" s="254"/>
      <c r="E121" s="254"/>
      <c r="F121" s="254"/>
      <c r="G121" s="254"/>
      <c r="H121" s="254"/>
      <c r="I121" s="254"/>
      <c r="J121" s="254"/>
      <c r="K121" s="254"/>
      <c r="L121" s="254"/>
      <c r="M121" s="254"/>
      <c r="N121" s="254"/>
      <c r="O121" s="248"/>
      <c r="Q121" s="5"/>
      <c r="R121" s="5"/>
      <c r="S121" s="5"/>
    </row>
    <row r="122" spans="2:19">
      <c r="B122" s="41"/>
      <c r="C122" s="254"/>
      <c r="D122" s="254"/>
      <c r="E122" s="254"/>
      <c r="F122" s="254"/>
      <c r="G122" s="254"/>
      <c r="H122" s="254"/>
      <c r="I122" s="254"/>
      <c r="J122" s="254"/>
      <c r="K122" s="254"/>
      <c r="L122" s="254"/>
      <c r="M122" s="254"/>
      <c r="N122" s="254"/>
      <c r="O122" s="248"/>
      <c r="Q122" s="5"/>
      <c r="R122" s="5"/>
      <c r="S122" s="5"/>
    </row>
    <row r="123" spans="2:19">
      <c r="B123" s="41"/>
      <c r="C123" s="254"/>
      <c r="D123" s="254"/>
      <c r="E123" s="254"/>
      <c r="F123" s="254"/>
      <c r="G123" s="254"/>
      <c r="H123" s="254"/>
      <c r="I123" s="254"/>
      <c r="J123" s="254"/>
      <c r="K123" s="254"/>
      <c r="L123" s="254"/>
      <c r="M123" s="254"/>
      <c r="N123" s="254"/>
      <c r="O123" s="248"/>
      <c r="Q123" s="5"/>
      <c r="R123" s="5"/>
      <c r="S123" s="5"/>
    </row>
    <row r="124" spans="2:19">
      <c r="B124" s="41"/>
      <c r="C124" s="254"/>
      <c r="D124" s="254"/>
      <c r="E124" s="254"/>
      <c r="F124" s="254"/>
      <c r="G124" s="254"/>
      <c r="H124" s="254"/>
      <c r="I124" s="254"/>
      <c r="J124" s="254"/>
      <c r="K124" s="254"/>
      <c r="L124" s="254"/>
      <c r="M124" s="254"/>
      <c r="N124" s="254"/>
      <c r="O124" s="248"/>
      <c r="Q124" s="5"/>
      <c r="R124" s="5"/>
      <c r="S124" s="5"/>
    </row>
    <row r="125" spans="2:19">
      <c r="B125" s="41"/>
      <c r="C125" s="254"/>
      <c r="D125" s="254"/>
      <c r="E125" s="254"/>
      <c r="F125" s="254"/>
      <c r="G125" s="254"/>
      <c r="H125" s="254"/>
      <c r="I125" s="254"/>
      <c r="J125" s="254"/>
      <c r="K125" s="254"/>
      <c r="L125" s="254"/>
      <c r="M125" s="254"/>
      <c r="N125" s="254"/>
      <c r="O125" s="5"/>
      <c r="Q125" s="5"/>
      <c r="R125" s="5"/>
      <c r="S125" s="5"/>
    </row>
    <row r="126" spans="2:19">
      <c r="B126" s="41"/>
      <c r="C126" s="254"/>
      <c r="D126" s="254"/>
      <c r="E126" s="254"/>
      <c r="F126" s="254"/>
      <c r="G126" s="254"/>
      <c r="H126" s="254"/>
      <c r="I126" s="254"/>
      <c r="J126" s="254"/>
      <c r="K126" s="254"/>
      <c r="L126" s="254"/>
      <c r="M126" s="254"/>
      <c r="N126" s="254"/>
      <c r="O126" s="5"/>
      <c r="Q126" s="5"/>
      <c r="R126" s="5"/>
      <c r="S126" s="5"/>
    </row>
    <row r="127" spans="2:19">
      <c r="B127" s="41"/>
      <c r="C127" s="254"/>
      <c r="D127" s="254"/>
      <c r="E127" s="254"/>
      <c r="F127" s="254"/>
      <c r="G127" s="254"/>
      <c r="H127" s="254"/>
      <c r="I127" s="18"/>
      <c r="J127" s="254"/>
      <c r="K127" s="254"/>
      <c r="L127" s="254"/>
      <c r="M127" s="254"/>
      <c r="N127" s="254"/>
      <c r="O127" s="5"/>
      <c r="Q127" s="5"/>
      <c r="R127" s="5"/>
      <c r="S127" s="5"/>
    </row>
    <row r="128" spans="2:19">
      <c r="B128" s="41"/>
      <c r="C128" s="254"/>
      <c r="D128" s="254"/>
      <c r="E128" s="254"/>
      <c r="F128" s="254"/>
      <c r="G128" s="254"/>
      <c r="H128" s="254"/>
      <c r="I128" s="5"/>
      <c r="J128" s="254"/>
      <c r="K128" s="254"/>
      <c r="L128" s="254"/>
      <c r="M128" s="254"/>
      <c r="N128" s="254"/>
      <c r="O128" s="5"/>
      <c r="Q128" s="5"/>
      <c r="R128" s="5"/>
      <c r="S128" s="5"/>
    </row>
    <row r="129" spans="2:27">
      <c r="B129" s="5"/>
      <c r="C129" s="5"/>
      <c r="D129" s="18"/>
      <c r="E129" s="18"/>
      <c r="F129" s="18"/>
      <c r="G129" s="18"/>
      <c r="H129" s="18"/>
      <c r="I129" s="254"/>
      <c r="J129" s="18"/>
      <c r="K129" s="18"/>
      <c r="L129" s="18"/>
      <c r="M129" s="18"/>
      <c r="N129" s="18"/>
      <c r="O129" s="5"/>
      <c r="Q129" s="5"/>
      <c r="R129" s="5"/>
      <c r="S129" s="5"/>
    </row>
    <row r="130" spans="2:27">
      <c r="B130" s="5"/>
      <c r="C130" s="5"/>
      <c r="D130" s="5"/>
      <c r="E130" s="5"/>
      <c r="F130" s="5"/>
      <c r="G130" s="5"/>
      <c r="H130" s="5"/>
      <c r="I130" s="18"/>
      <c r="J130" s="5"/>
      <c r="K130" s="5"/>
      <c r="L130" s="5"/>
      <c r="M130" s="5"/>
      <c r="N130" s="5"/>
      <c r="O130" s="5"/>
      <c r="Q130" s="5"/>
      <c r="R130" s="5"/>
      <c r="S130" s="5"/>
    </row>
    <row r="131" spans="2:27">
      <c r="B131" s="41"/>
      <c r="C131" s="254"/>
      <c r="D131" s="254"/>
      <c r="E131" s="254"/>
      <c r="F131" s="254"/>
      <c r="G131" s="254"/>
      <c r="H131" s="254"/>
      <c r="I131" s="5"/>
      <c r="J131" s="254"/>
      <c r="K131" s="254"/>
      <c r="L131" s="254"/>
      <c r="M131" s="254"/>
      <c r="N131" s="254"/>
      <c r="O131" s="5"/>
      <c r="Q131" s="5"/>
      <c r="R131" s="5"/>
      <c r="S131" s="5"/>
    </row>
    <row r="132" spans="2:27">
      <c r="B132" s="5"/>
      <c r="C132" s="259"/>
      <c r="D132" s="18"/>
      <c r="E132" s="18"/>
      <c r="F132" s="18"/>
      <c r="G132" s="18"/>
      <c r="H132" s="18"/>
      <c r="I132" s="5"/>
      <c r="J132" s="18"/>
      <c r="K132" s="18"/>
      <c r="L132" s="18"/>
      <c r="M132" s="18"/>
      <c r="N132" s="18"/>
      <c r="O132" s="5"/>
      <c r="Q132" s="5"/>
      <c r="R132" s="5"/>
      <c r="S132" s="5"/>
    </row>
    <row r="133" spans="2:27">
      <c r="B133" s="5"/>
      <c r="C133" s="5"/>
      <c r="D133" s="5"/>
      <c r="E133" s="5"/>
      <c r="F133" s="5"/>
      <c r="G133" s="5"/>
      <c r="H133" s="5"/>
      <c r="I133" s="17"/>
      <c r="J133" s="5"/>
      <c r="K133" s="5"/>
      <c r="L133" s="5"/>
      <c r="M133" s="5"/>
      <c r="N133" s="5"/>
      <c r="O133" s="5"/>
      <c r="Q133" s="5"/>
      <c r="R133" s="5"/>
      <c r="S133" s="5"/>
    </row>
    <row r="134" spans="2:27">
      <c r="B134" s="41"/>
      <c r="C134" s="5"/>
      <c r="D134" s="5"/>
      <c r="E134" s="5"/>
      <c r="F134" s="5"/>
      <c r="G134" s="5"/>
      <c r="H134" s="5"/>
      <c r="I134" s="17"/>
      <c r="J134" s="5"/>
      <c r="K134" s="5"/>
      <c r="L134" s="5"/>
      <c r="M134" s="5"/>
      <c r="N134" s="5"/>
      <c r="O134" s="5"/>
      <c r="Q134" s="5"/>
      <c r="R134" s="5"/>
      <c r="S134" s="5"/>
    </row>
    <row r="135" spans="2:27">
      <c r="B135" s="5"/>
      <c r="C135" s="17"/>
      <c r="D135" s="17"/>
      <c r="E135" s="17"/>
      <c r="F135" s="17"/>
      <c r="G135" s="17"/>
      <c r="H135" s="17"/>
      <c r="I135" s="17"/>
      <c r="J135" s="17"/>
      <c r="K135" s="17"/>
      <c r="L135" s="17"/>
      <c r="M135" s="17"/>
      <c r="N135" s="17"/>
      <c r="O135" s="5"/>
      <c r="Q135" s="41"/>
      <c r="R135" s="5"/>
      <c r="S135" s="5"/>
    </row>
    <row r="136" spans="2:27">
      <c r="B136" s="5"/>
      <c r="C136" s="17"/>
      <c r="D136" s="17"/>
      <c r="E136" s="17"/>
      <c r="F136" s="17"/>
      <c r="G136" s="17"/>
      <c r="H136" s="17"/>
      <c r="I136" s="17"/>
      <c r="J136" s="17"/>
      <c r="K136" s="17"/>
      <c r="L136" s="17"/>
      <c r="M136" s="17"/>
      <c r="N136" s="17"/>
      <c r="O136" s="5"/>
      <c r="Q136" s="5"/>
      <c r="R136" s="5"/>
      <c r="S136" s="5"/>
      <c r="X136" s="304"/>
    </row>
    <row r="137" spans="2:27">
      <c r="B137" s="5"/>
      <c r="C137" s="5"/>
      <c r="D137" s="17"/>
      <c r="E137" s="17"/>
      <c r="F137" s="17"/>
      <c r="G137" s="17"/>
      <c r="H137" s="17"/>
      <c r="I137" s="17"/>
      <c r="J137" s="17"/>
      <c r="K137" s="17"/>
      <c r="L137" s="17"/>
      <c r="M137" s="17"/>
      <c r="N137" s="17"/>
      <c r="O137" s="5"/>
      <c r="Q137" s="5"/>
      <c r="R137" s="5"/>
      <c r="S137" s="5"/>
      <c r="X137" s="10"/>
      <c r="Y137" s="304"/>
      <c r="Z137" s="304"/>
      <c r="AA137" s="304"/>
    </row>
    <row r="138" spans="2:27">
      <c r="B138" s="5"/>
      <c r="C138" s="5"/>
      <c r="D138" s="17"/>
      <c r="E138" s="17"/>
      <c r="F138" s="17"/>
      <c r="G138" s="17"/>
      <c r="H138" s="17"/>
      <c r="I138" s="17"/>
      <c r="J138" s="17"/>
      <c r="K138" s="17"/>
      <c r="L138" s="17"/>
      <c r="M138" s="17"/>
      <c r="N138" s="17"/>
      <c r="O138" s="5"/>
      <c r="Q138" s="5"/>
      <c r="R138" s="5"/>
      <c r="S138" s="5"/>
      <c r="Y138" s="10"/>
      <c r="Z138" s="10"/>
      <c r="AA138" s="10"/>
    </row>
    <row r="139" spans="2:27">
      <c r="B139" s="5"/>
      <c r="C139" s="5"/>
      <c r="D139" s="17"/>
      <c r="E139" s="17"/>
      <c r="F139" s="17"/>
      <c r="G139" s="17"/>
      <c r="H139" s="17"/>
      <c r="I139" s="5"/>
      <c r="J139" s="17"/>
      <c r="K139" s="17"/>
      <c r="L139" s="17"/>
      <c r="M139" s="17"/>
      <c r="N139" s="17"/>
      <c r="O139" s="5"/>
      <c r="Q139" s="5"/>
      <c r="R139" s="5"/>
      <c r="S139" s="5"/>
    </row>
    <row r="140" spans="2:27">
      <c r="B140" s="5"/>
      <c r="C140" s="17"/>
      <c r="D140" s="17"/>
      <c r="E140" s="17"/>
      <c r="F140" s="17"/>
      <c r="G140" s="17"/>
      <c r="H140" s="17"/>
      <c r="I140" s="5"/>
      <c r="J140" s="17"/>
      <c r="K140" s="17"/>
      <c r="L140" s="17"/>
      <c r="M140" s="17"/>
      <c r="N140" s="17"/>
      <c r="O140" s="5"/>
      <c r="Q140" s="5"/>
      <c r="R140" s="5"/>
      <c r="S140" s="5"/>
    </row>
    <row r="141" spans="2:27">
      <c r="B141" s="5"/>
      <c r="C141" s="5"/>
      <c r="D141" s="5"/>
      <c r="E141" s="5"/>
      <c r="F141" s="5"/>
      <c r="G141" s="5"/>
      <c r="H141" s="5"/>
      <c r="I141" s="5"/>
      <c r="J141" s="5"/>
      <c r="K141" s="5"/>
      <c r="L141" s="5"/>
      <c r="M141" s="5"/>
      <c r="N141" s="5"/>
      <c r="O141" s="5"/>
      <c r="Q141" s="5"/>
      <c r="R141" s="5"/>
      <c r="S141" s="5"/>
    </row>
    <row r="142" spans="2:27">
      <c r="B142" s="5"/>
      <c r="C142" s="5"/>
      <c r="D142" s="5"/>
      <c r="E142" s="5"/>
      <c r="F142" s="5"/>
      <c r="G142" s="5"/>
      <c r="H142" s="5"/>
      <c r="I142" s="5"/>
      <c r="J142" s="5"/>
      <c r="K142" s="5"/>
      <c r="L142" s="5"/>
      <c r="M142" s="5"/>
      <c r="N142" s="5"/>
      <c r="O142" s="5"/>
      <c r="Q142" s="5"/>
      <c r="R142" s="5"/>
      <c r="S142" s="5"/>
    </row>
    <row r="143" spans="2:27">
      <c r="B143" s="5"/>
      <c r="C143" s="5"/>
      <c r="D143" s="5"/>
      <c r="E143" s="5"/>
      <c r="F143" s="5"/>
      <c r="G143" s="5"/>
      <c r="H143" s="5"/>
      <c r="I143" s="5"/>
      <c r="J143" s="5"/>
      <c r="K143" s="5"/>
      <c r="L143" s="5"/>
      <c r="M143" s="5"/>
      <c r="N143" s="5"/>
      <c r="O143" s="5"/>
      <c r="Q143" s="5"/>
      <c r="R143" s="5"/>
      <c r="S143" s="5"/>
    </row>
    <row r="144" spans="2:27">
      <c r="B144" s="5"/>
      <c r="C144" s="5"/>
      <c r="D144" s="5"/>
      <c r="E144" s="5"/>
      <c r="F144" s="5"/>
      <c r="G144" s="5"/>
      <c r="H144" s="5"/>
      <c r="I144" s="5"/>
      <c r="J144" s="5"/>
      <c r="K144" s="5"/>
      <c r="L144" s="5"/>
      <c r="M144" s="5"/>
      <c r="N144" s="5"/>
      <c r="O144" s="5"/>
      <c r="Q144" s="5"/>
      <c r="R144" s="5"/>
      <c r="S144" s="5"/>
    </row>
    <row r="145" spans="2:19">
      <c r="B145" s="5"/>
      <c r="C145" s="5"/>
      <c r="D145" s="5"/>
      <c r="E145" s="5"/>
      <c r="F145" s="5"/>
      <c r="G145" s="5"/>
      <c r="H145" s="5"/>
      <c r="I145" s="5"/>
      <c r="J145" s="5"/>
      <c r="K145" s="5"/>
      <c r="L145" s="5"/>
      <c r="M145" s="5"/>
      <c r="N145" s="5"/>
      <c r="O145" s="5"/>
      <c r="Q145" s="5"/>
      <c r="R145" s="5"/>
      <c r="S145" s="5"/>
    </row>
    <row r="146" spans="2:19">
      <c r="B146" s="5"/>
      <c r="C146" s="5"/>
      <c r="D146" s="5"/>
      <c r="E146" s="5"/>
      <c r="F146" s="5"/>
      <c r="G146" s="5"/>
      <c r="H146" s="5"/>
      <c r="I146" s="5"/>
      <c r="J146" s="5"/>
      <c r="K146" s="5"/>
      <c r="L146" s="5"/>
      <c r="M146" s="5"/>
      <c r="N146" s="5"/>
      <c r="O146" s="5"/>
      <c r="Q146" s="5"/>
      <c r="R146" s="5"/>
      <c r="S146" s="5"/>
    </row>
    <row r="147" spans="2:19">
      <c r="B147" s="5"/>
      <c r="C147" s="5"/>
      <c r="D147" s="5"/>
      <c r="E147" s="5"/>
      <c r="F147" s="5"/>
      <c r="G147" s="5"/>
      <c r="H147" s="5"/>
      <c r="I147" s="5"/>
      <c r="J147" s="5"/>
      <c r="K147" s="5"/>
      <c r="L147" s="5"/>
      <c r="M147" s="5"/>
      <c r="N147" s="5"/>
      <c r="O147" s="5"/>
      <c r="Q147" s="5"/>
      <c r="R147" s="5"/>
      <c r="S147" s="5"/>
    </row>
    <row r="148" spans="2:19">
      <c r="B148" s="5"/>
      <c r="C148" s="5"/>
      <c r="D148" s="5"/>
      <c r="E148" s="5"/>
      <c r="F148" s="5"/>
      <c r="G148" s="5"/>
      <c r="H148" s="5"/>
      <c r="I148" s="5"/>
      <c r="J148" s="5"/>
      <c r="K148" s="5"/>
      <c r="L148" s="5"/>
      <c r="M148" s="5"/>
      <c r="N148" s="5"/>
      <c r="O148" s="5"/>
      <c r="Q148" s="5"/>
      <c r="R148" s="5"/>
      <c r="S148" s="5"/>
    </row>
    <row r="149" spans="2:19">
      <c r="B149" s="5"/>
      <c r="C149" s="5"/>
      <c r="D149" s="5"/>
      <c r="E149" s="5"/>
      <c r="F149" s="5"/>
      <c r="G149" s="5"/>
      <c r="H149" s="5"/>
      <c r="J149" s="5"/>
      <c r="K149" s="5"/>
      <c r="L149" s="5"/>
      <c r="M149" s="5"/>
      <c r="N149" s="5"/>
      <c r="O149" s="5"/>
      <c r="Q149" s="5"/>
      <c r="R149" s="5"/>
      <c r="S149" s="5"/>
    </row>
    <row r="150" spans="2:19">
      <c r="B150" s="5"/>
      <c r="C150" s="5"/>
      <c r="D150" s="5"/>
      <c r="E150" s="5"/>
      <c r="F150" s="5"/>
      <c r="G150" s="5"/>
      <c r="H150" s="5"/>
      <c r="J150" s="5"/>
      <c r="K150" s="5"/>
      <c r="L150" s="5"/>
      <c r="M150" s="5"/>
      <c r="N150" s="5"/>
      <c r="O150" s="5"/>
      <c r="Q150" s="5"/>
      <c r="R150" s="5"/>
      <c r="S150" s="5"/>
    </row>
    <row r="151" spans="2:19">
      <c r="Q151" s="5"/>
      <c r="R151" s="5"/>
      <c r="S151" s="5"/>
    </row>
    <row r="152" spans="2:19">
      <c r="Q152" s="5"/>
      <c r="R152" s="5"/>
      <c r="S152" s="5"/>
    </row>
    <row r="153" spans="2:19">
      <c r="C153" s="263"/>
      <c r="Q153" s="5"/>
      <c r="R153" s="5"/>
      <c r="S153" s="5"/>
    </row>
    <row r="154" spans="2:19">
      <c r="Q154" s="5"/>
      <c r="R154" s="5"/>
      <c r="S154" s="5"/>
    </row>
    <row r="155" spans="2:19">
      <c r="Q155" s="5"/>
      <c r="R155" s="5"/>
      <c r="S155" s="5"/>
    </row>
    <row r="156" spans="2:19">
      <c r="Q156" s="5"/>
      <c r="R156" s="5"/>
      <c r="S156" s="5"/>
    </row>
    <row r="157" spans="2:19">
      <c r="Q157" s="5"/>
      <c r="R157" s="5"/>
      <c r="S157" s="5"/>
    </row>
    <row r="158" spans="2:19">
      <c r="Q158" s="5"/>
      <c r="R158" s="5"/>
      <c r="S158" s="5"/>
    </row>
    <row r="159" spans="2:19">
      <c r="Q159" s="5"/>
      <c r="R159" s="5"/>
      <c r="S159" s="5"/>
    </row>
    <row r="160" spans="2:19">
      <c r="Q160" s="5"/>
      <c r="R160" s="5"/>
      <c r="S160" s="5"/>
    </row>
    <row r="161" spans="17:19">
      <c r="Q161" s="5"/>
      <c r="R161" s="5"/>
      <c r="S161" s="5"/>
    </row>
    <row r="162" spans="17:19">
      <c r="Q162" s="5"/>
      <c r="R162" s="5"/>
      <c r="S162" s="5"/>
    </row>
    <row r="163" spans="17:19">
      <c r="Q163" s="5"/>
      <c r="R163" s="5"/>
      <c r="S163" s="5"/>
    </row>
    <row r="164" spans="17:19">
      <c r="Q164" s="5"/>
      <c r="R164" s="5"/>
      <c r="S164" s="5"/>
    </row>
    <row r="165" spans="17:19">
      <c r="Q165" s="5"/>
      <c r="R165" s="5"/>
      <c r="S165" s="5"/>
    </row>
  </sheetData>
  <pageMargins left="0.75" right="0.75" top="1" bottom="1" header="0.5" footer="0.5"/>
  <pageSetup scale="71" orientation="landscape" r:id="rId1"/>
  <headerFooter alignWithMargins="0"/>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codeName="Sheet221">
    <pageSetUpPr fitToPage="1"/>
  </sheetPr>
  <dimension ref="B1:AR165"/>
  <sheetViews>
    <sheetView showGridLines="0" zoomScale="80" zoomScaleNormal="80" workbookViewId="0"/>
  </sheetViews>
  <sheetFormatPr defaultColWidth="9.109375" defaultRowHeight="12"/>
  <cols>
    <col min="1" max="1" width="2.33203125" style="292" customWidth="1"/>
    <col min="2" max="2" width="26.5546875" style="292" customWidth="1"/>
    <col min="3" max="9" width="10" style="292" customWidth="1"/>
    <col min="10" max="10" width="26.6640625" style="292" customWidth="1"/>
    <col min="11" max="16" width="10" style="292" customWidth="1"/>
    <col min="17" max="19" width="8.6640625" style="292" customWidth="1"/>
    <col min="20" max="28" width="8.6640625" style="192" customWidth="1"/>
    <col min="29" max="44" width="9.109375" style="192"/>
    <col min="45" max="16384" width="9.109375" style="292"/>
  </cols>
  <sheetData>
    <row r="1" spans="2:44" s="313" customFormat="1">
      <c r="T1" s="314"/>
      <c r="U1" s="314"/>
      <c r="V1" s="314"/>
      <c r="W1" s="314"/>
      <c r="X1" s="314"/>
      <c r="Y1" s="314"/>
      <c r="Z1" s="314"/>
      <c r="AA1" s="314"/>
      <c r="AB1" s="314"/>
      <c r="AC1" s="314"/>
      <c r="AD1" s="314"/>
      <c r="AE1" s="314"/>
      <c r="AF1" s="314"/>
      <c r="AG1" s="314"/>
      <c r="AH1" s="314"/>
      <c r="AI1" s="314"/>
      <c r="AJ1" s="314"/>
      <c r="AK1" s="314"/>
      <c r="AL1" s="314"/>
      <c r="AM1" s="314"/>
      <c r="AN1" s="314"/>
      <c r="AO1" s="314"/>
      <c r="AP1" s="314"/>
      <c r="AQ1" s="314"/>
      <c r="AR1" s="314"/>
    </row>
    <row r="2" spans="2:44" s="314" customFormat="1"/>
    <row r="3" spans="2:44" s="314" customFormat="1">
      <c r="H3" s="315"/>
      <c r="P3" s="315"/>
    </row>
    <row r="4" spans="2:44" s="317" customFormat="1" ht="21">
      <c r="B4" s="129" t="s">
        <v>978</v>
      </c>
      <c r="H4" s="318"/>
      <c r="P4" s="318"/>
    </row>
    <row r="5" spans="2:44" s="314" customFormat="1">
      <c r="C5" s="315"/>
      <c r="D5" s="153" t="str" cm="1">
        <f t="array" ref="D5:H5">headings</f>
        <v>2023E</v>
      </c>
      <c r="E5" s="153" t="str">
        <v>2024E</v>
      </c>
      <c r="F5" s="153" t="str">
        <v>2025E</v>
      </c>
      <c r="G5" s="153" t="str">
        <v>2026E</v>
      </c>
      <c r="H5" s="153" t="str">
        <v>23E-26E</v>
      </c>
      <c r="I5" s="315"/>
      <c r="J5" s="315"/>
      <c r="K5" s="315"/>
      <c r="L5" s="153" t="str" cm="1">
        <f t="array" ref="L5:P5">headings</f>
        <v>2023E</v>
      </c>
      <c r="M5" s="153" t="str">
        <v>2024E</v>
      </c>
      <c r="N5" s="153" t="str">
        <v>2025E</v>
      </c>
      <c r="O5" s="153" t="str">
        <v>2026E</v>
      </c>
      <c r="P5" s="153" t="str">
        <v>23E-26E</v>
      </c>
      <c r="Q5" s="316"/>
      <c r="R5" s="316"/>
      <c r="S5" s="316"/>
      <c r="T5" s="316"/>
      <c r="U5" s="316"/>
      <c r="V5" s="316"/>
      <c r="W5" s="316"/>
      <c r="X5" s="316"/>
      <c r="Y5" s="316"/>
    </row>
    <row r="6" spans="2:44">
      <c r="I6" s="192"/>
      <c r="J6" s="192"/>
      <c r="K6" s="192"/>
      <c r="L6" s="192"/>
      <c r="M6" s="192"/>
      <c r="N6" s="192"/>
      <c r="O6" s="293"/>
    </row>
    <row r="7" spans="2:44" ht="12.6" thickBot="1">
      <c r="B7" s="307" t="s">
        <v>271</v>
      </c>
      <c r="C7" s="294"/>
      <c r="D7" s="294" t="str">
        <f>D5</f>
        <v>2023E</v>
      </c>
      <c r="E7" s="294" t="str">
        <f t="shared" ref="E7:H7" si="0">E5</f>
        <v>2024E</v>
      </c>
      <c r="F7" s="294" t="str">
        <f t="shared" si="0"/>
        <v>2025E</v>
      </c>
      <c r="G7" s="294" t="str">
        <f t="shared" si="0"/>
        <v>2026E</v>
      </c>
      <c r="H7" s="294" t="str">
        <f t="shared" si="0"/>
        <v>23E-26E</v>
      </c>
      <c r="I7" s="293"/>
      <c r="J7" s="307" t="s">
        <v>75</v>
      </c>
      <c r="K7" s="307"/>
      <c r="L7" s="294" t="str">
        <f>L5</f>
        <v>2023E</v>
      </c>
      <c r="M7" s="294" t="str">
        <f t="shared" ref="M7:P7" si="1">M5</f>
        <v>2024E</v>
      </c>
      <c r="N7" s="294" t="str">
        <f t="shared" si="1"/>
        <v>2025E</v>
      </c>
      <c r="O7" s="294" t="str">
        <f t="shared" si="1"/>
        <v>2026E</v>
      </c>
      <c r="P7" s="294" t="str">
        <f t="shared" si="1"/>
        <v>23E-26E</v>
      </c>
    </row>
    <row r="8" spans="2:44" ht="12.6" thickTop="1">
      <c r="B8" s="192"/>
      <c r="C8" s="192"/>
      <c r="D8" s="192"/>
      <c r="E8" s="192"/>
      <c r="F8" s="192"/>
      <c r="G8" s="192"/>
      <c r="H8" s="192"/>
      <c r="I8" s="192"/>
      <c r="J8" s="192"/>
      <c r="K8" s="192"/>
      <c r="L8" s="192"/>
      <c r="M8" s="192"/>
      <c r="N8" s="192"/>
      <c r="S8" s="323"/>
      <c r="T8" s="194"/>
      <c r="U8" s="194"/>
      <c r="V8" s="194"/>
      <c r="W8" s="194"/>
      <c r="X8" s="194"/>
      <c r="Y8" s="194"/>
      <c r="Z8" s="194"/>
      <c r="AA8" s="194"/>
    </row>
    <row r="9" spans="2:44">
      <c r="B9" s="296" t="s">
        <v>887</v>
      </c>
      <c r="C9" s="267">
        <f>Prices!C69</f>
        <v>4.1000000000000002E-2</v>
      </c>
      <c r="D9" s="542">
        <v>207.14620300000001</v>
      </c>
      <c r="E9" s="536">
        <v>207.14620300000001</v>
      </c>
      <c r="F9" s="536">
        <v>207.14620300000001</v>
      </c>
      <c r="G9" s="536">
        <v>207.14620300000001</v>
      </c>
      <c r="H9" s="249"/>
      <c r="I9" s="249"/>
      <c r="J9" s="192" t="s">
        <v>273</v>
      </c>
      <c r="L9" s="529">
        <f>'AGG ASIA INCUMB'!D37</f>
        <v>63.142675059472978</v>
      </c>
      <c r="M9" s="529">
        <f>'AGG ASIA INCUMB'!E37</f>
        <v>59.736062869091825</v>
      </c>
      <c r="N9" s="529">
        <f>'AGG ASIA INCUMB'!F37</f>
        <v>51.606570083263385</v>
      </c>
      <c r="O9" s="529">
        <f>'AGG ASIA INCUMB'!G37</f>
        <v>43.869121174935444</v>
      </c>
      <c r="P9" s="286">
        <v>2.7626267912032043E-2</v>
      </c>
      <c r="S9" s="323"/>
      <c r="T9" s="194"/>
      <c r="U9" s="194"/>
      <c r="V9" s="194"/>
      <c r="W9" s="194"/>
      <c r="X9" s="194"/>
      <c r="Y9" s="194"/>
      <c r="Z9" s="194"/>
      <c r="AA9" s="194"/>
    </row>
    <row r="10" spans="2:44">
      <c r="B10" s="192" t="s">
        <v>274</v>
      </c>
      <c r="C10" s="192"/>
      <c r="D10" s="531">
        <v>207.14620300000001</v>
      </c>
      <c r="E10" s="531">
        <v>207.14620300000001</v>
      </c>
      <c r="F10" s="531">
        <v>207.14620300000001</v>
      </c>
      <c r="G10" s="531">
        <v>207.14620300000001</v>
      </c>
      <c r="H10" s="247"/>
      <c r="I10" s="247"/>
      <c r="J10" s="192" t="s">
        <v>184</v>
      </c>
      <c r="L10" s="529">
        <f>'AGG ASIA INCUMB'!D38</f>
        <v>229.28172666156038</v>
      </c>
      <c r="M10" s="529">
        <f>'AGG ASIA INCUMB'!E38</f>
        <v>211.1756819494743</v>
      </c>
      <c r="N10" s="529">
        <f>'AGG ASIA INCUMB'!F38</f>
        <v>182.52911660300191</v>
      </c>
      <c r="O10" s="529">
        <f>'AGG ASIA INCUMB'!G38</f>
        <v>154.31631948299164</v>
      </c>
      <c r="P10" s="286">
        <v>5.6786671664065258E-2</v>
      </c>
      <c r="S10" s="323"/>
      <c r="T10" s="194"/>
      <c r="U10" s="194"/>
      <c r="V10" s="194"/>
      <c r="W10" s="328"/>
      <c r="X10" s="328"/>
      <c r="Y10" s="328"/>
      <c r="Z10" s="328"/>
      <c r="AA10" s="194"/>
    </row>
    <row r="11" spans="2:44">
      <c r="B11" s="296" t="s">
        <v>888</v>
      </c>
      <c r="C11" s="192"/>
      <c r="D11" s="532">
        <f>D10*C9</f>
        <v>8.4929943230000013</v>
      </c>
      <c r="E11" s="532">
        <f>E10*$C$9</f>
        <v>8.4929943230000013</v>
      </c>
      <c r="F11" s="532">
        <f>F10*$C$9</f>
        <v>8.4929943230000013</v>
      </c>
      <c r="G11" s="532">
        <f>G10*$C$9</f>
        <v>8.4929943230000013</v>
      </c>
      <c r="H11" s="249"/>
      <c r="I11" s="249"/>
      <c r="J11" s="192" t="s">
        <v>185</v>
      </c>
      <c r="L11" s="529">
        <f>'AGG ASIA INCUMB'!D39</f>
        <v>576.60457523629475</v>
      </c>
      <c r="M11" s="529">
        <f>'AGG ASIA INCUMB'!E39</f>
        <v>450.01446269285191</v>
      </c>
      <c r="N11" s="529">
        <f>'AGG ASIA INCUMB'!F39</f>
        <v>375.00938731825471</v>
      </c>
      <c r="O11" s="529">
        <f>'AGG ASIA INCUMB'!G39</f>
        <v>307.67151192274292</v>
      </c>
      <c r="P11" s="286">
        <v>0.15456874877070614</v>
      </c>
      <c r="S11" s="323"/>
      <c r="T11" s="194"/>
      <c r="U11" s="194"/>
      <c r="V11" s="194"/>
      <c r="W11" s="328"/>
      <c r="X11" s="328"/>
      <c r="Y11" s="328"/>
      <c r="Z11" s="328"/>
      <c r="AA11" s="194"/>
    </row>
    <row r="12" spans="2:44">
      <c r="B12" s="192" t="s">
        <v>24</v>
      </c>
      <c r="C12" s="249"/>
      <c r="D12" s="533">
        <v>-4.1195925540018061</v>
      </c>
      <c r="E12" s="533">
        <v>-7.1570206507624325</v>
      </c>
      <c r="F12" s="533">
        <v>-10.920459088203362</v>
      </c>
      <c r="G12" s="533">
        <v>-14.977079369424004</v>
      </c>
      <c r="H12" s="247"/>
      <c r="I12" s="247"/>
      <c r="J12" s="192" t="s">
        <v>466</v>
      </c>
      <c r="L12" s="529">
        <f>'AGG ASIA INCUMB'!D40</f>
        <v>774.44294579435359</v>
      </c>
      <c r="M12" s="529">
        <f>'AGG ASIA INCUMB'!E40</f>
        <v>607.6245935692682</v>
      </c>
      <c r="N12" s="529">
        <f>'AGG ASIA INCUMB'!F40</f>
        <v>506.11175808827261</v>
      </c>
      <c r="O12" s="529">
        <f>'AGG ASIA INCUMB'!G40</f>
        <v>415.18806643723337</v>
      </c>
      <c r="P12" s="286">
        <v>0.16692677660857735</v>
      </c>
      <c r="S12" s="323"/>
      <c r="T12" s="194"/>
      <c r="U12" s="194"/>
      <c r="V12" s="194"/>
      <c r="W12" s="328"/>
      <c r="X12" s="328"/>
      <c r="Y12" s="328"/>
      <c r="Z12" s="328"/>
      <c r="AA12" s="194"/>
    </row>
    <row r="13" spans="2:44">
      <c r="B13" s="192" t="s">
        <v>529</v>
      </c>
      <c r="C13" s="257"/>
      <c r="D13" s="533">
        <v>0</v>
      </c>
      <c r="E13" s="533">
        <v>0</v>
      </c>
      <c r="F13" s="533">
        <v>0</v>
      </c>
      <c r="G13" s="533">
        <v>0</v>
      </c>
      <c r="H13" s="247"/>
      <c r="I13" s="247"/>
      <c r="J13" s="192" t="s">
        <v>530</v>
      </c>
      <c r="L13" s="529">
        <f>'AGG ASIA INCUMB'!D41</f>
        <v>56.922651872950347</v>
      </c>
      <c r="M13" s="529">
        <f>'AGG ASIA INCUMB'!E41</f>
        <v>54.508702219086139</v>
      </c>
      <c r="N13" s="529">
        <f>'AGG ASIA INCUMB'!F41</f>
        <v>47.665724006779691</v>
      </c>
      <c r="O13" s="529">
        <f>'AGG ASIA INCUMB'!G41</f>
        <v>40.716506606725353</v>
      </c>
      <c r="P13" s="286">
        <v>3.0131028803586535E-2</v>
      </c>
      <c r="S13" s="323"/>
      <c r="T13" s="194"/>
      <c r="U13" s="194"/>
      <c r="V13" s="194"/>
      <c r="W13" s="194"/>
      <c r="X13" s="194"/>
      <c r="Y13" s="194"/>
      <c r="Z13" s="194"/>
      <c r="AA13" s="194"/>
    </row>
    <row r="14" spans="2:44">
      <c r="B14" s="192" t="s">
        <v>532</v>
      </c>
      <c r="C14" s="257"/>
      <c r="D14" s="533"/>
      <c r="E14" s="533"/>
      <c r="F14" s="533"/>
      <c r="G14" s="533"/>
      <c r="H14" s="247"/>
      <c r="I14" s="247"/>
      <c r="J14" s="192" t="s">
        <v>593</v>
      </c>
      <c r="L14" s="529">
        <f>'AGG ASIA INCUMB'!D42</f>
        <v>75.778591370066351</v>
      </c>
      <c r="M14" s="529">
        <f>'AGG ASIA INCUMB'!E42</f>
        <v>75.255645616199331</v>
      </c>
      <c r="N14" s="529">
        <f>'AGG ASIA INCUMB'!F42</f>
        <v>68.487733798446982</v>
      </c>
      <c r="O14" s="529">
        <f>'AGG ASIA INCUMB'!G42</f>
        <v>63.398335594210266</v>
      </c>
      <c r="P14" s="286">
        <v>1.7476314443021224E-2</v>
      </c>
      <c r="S14" s="323"/>
      <c r="T14" s="194"/>
      <c r="U14" s="194"/>
      <c r="V14" s="194"/>
      <c r="W14" s="194"/>
      <c r="X14" s="194"/>
      <c r="Y14" s="194"/>
      <c r="Z14" s="194"/>
      <c r="AA14" s="194"/>
    </row>
    <row r="15" spans="2:44">
      <c r="B15" s="192" t="s">
        <v>531</v>
      </c>
      <c r="C15" s="274"/>
      <c r="D15" s="533"/>
      <c r="E15" s="533"/>
      <c r="F15" s="533"/>
      <c r="G15" s="533"/>
      <c r="H15" s="247"/>
      <c r="I15" s="247"/>
      <c r="J15" s="192" t="s">
        <v>475</v>
      </c>
      <c r="L15" s="529">
        <f>'AGG ASIA INCUMB'!D43</f>
        <v>14.482023584121089</v>
      </c>
      <c r="M15" s="529">
        <f>'AGG ASIA INCUMB'!E43</f>
        <v>10.697579793360875</v>
      </c>
      <c r="N15" s="529">
        <f>'AGG ASIA INCUMB'!F43</f>
        <v>9.7604819510674972</v>
      </c>
      <c r="O15" s="529">
        <f>'AGG ASIA INCUMB'!G43</f>
        <v>8.8384338816404213</v>
      </c>
      <c r="P15" s="286">
        <v>0.32412765555889766</v>
      </c>
      <c r="S15" s="323"/>
      <c r="T15" s="194"/>
      <c r="U15" s="194"/>
      <c r="V15" s="194"/>
      <c r="W15" s="194"/>
      <c r="X15" s="194"/>
      <c r="Y15" s="194"/>
      <c r="Z15" s="194"/>
      <c r="AA15" s="194"/>
    </row>
    <row r="16" spans="2:44">
      <c r="B16" s="192" t="s">
        <v>534</v>
      </c>
      <c r="C16" s="257"/>
      <c r="D16" s="533">
        <v>3.1071930450000003</v>
      </c>
      <c r="E16" s="533">
        <v>5.5929474810000004</v>
      </c>
      <c r="F16" s="533">
        <v>8.4929943230000013</v>
      </c>
      <c r="G16" s="533">
        <v>11.807333571000001</v>
      </c>
      <c r="H16" s="247"/>
      <c r="I16" s="247"/>
      <c r="J16" s="192" t="s">
        <v>533</v>
      </c>
      <c r="L16" s="529">
        <f>'AGG ASIA INCUMB'!D44</f>
        <v>401.27153945230202</v>
      </c>
      <c r="M16" s="529">
        <f>'AGG ASIA INCUMB'!E44</f>
        <v>386.42961390608417</v>
      </c>
      <c r="N16" s="529">
        <f>'AGG ASIA INCUMB'!F44</f>
        <v>362.49401680734263</v>
      </c>
      <c r="O16" s="529">
        <f>'AGG ASIA INCUMB'!G44</f>
        <v>331.65705725544359</v>
      </c>
      <c r="P16" s="286">
        <v>0.12741577924656111</v>
      </c>
      <c r="S16" s="323"/>
      <c r="T16" s="194"/>
      <c r="U16" s="194"/>
      <c r="V16" s="194"/>
      <c r="W16" s="194"/>
      <c r="X16" s="194"/>
      <c r="Y16" s="194"/>
      <c r="Z16" s="194"/>
      <c r="AA16" s="194"/>
    </row>
    <row r="17" spans="2:27">
      <c r="B17" s="192" t="s">
        <v>6</v>
      </c>
      <c r="C17" s="257"/>
      <c r="D17" s="533">
        <v>0</v>
      </c>
      <c r="E17" s="533">
        <v>0</v>
      </c>
      <c r="F17" s="533">
        <v>0</v>
      </c>
      <c r="G17" s="533">
        <v>0</v>
      </c>
      <c r="H17" s="247"/>
      <c r="I17" s="247"/>
      <c r="J17" s="192" t="s">
        <v>580</v>
      </c>
      <c r="L17" s="529">
        <f>'AGG ASIA INCUMB'!D45</f>
        <v>1.4187232142027291E-3</v>
      </c>
      <c r="M17" s="529">
        <f>'AGG ASIA INCUMB'!E45</f>
        <v>1.5917039348975377E-3</v>
      </c>
      <c r="N17" s="529">
        <f>'AGG ASIA INCUMB'!F45</f>
        <v>1.8207439648114264E-3</v>
      </c>
      <c r="O17" s="529">
        <f>'AGG ASIA INCUMB'!G45</f>
        <v>2.0820127660327939E-3</v>
      </c>
      <c r="P17" s="286">
        <v>7.1463271864339761E-2</v>
      </c>
      <c r="S17" s="323"/>
      <c r="T17" s="194"/>
      <c r="U17" s="194"/>
      <c r="V17" s="194"/>
      <c r="W17" s="194"/>
      <c r="X17" s="194"/>
      <c r="Y17" s="194"/>
      <c r="Z17" s="194"/>
      <c r="AA17" s="194"/>
    </row>
    <row r="18" spans="2:27" ht="12.6" thickBot="1">
      <c r="B18" s="296" t="s">
        <v>583</v>
      </c>
      <c r="C18" s="249"/>
      <c r="D18" s="534">
        <f>D11+D12+D13-D14+D15-D16-D17</f>
        <v>1.266208723998195</v>
      </c>
      <c r="E18" s="534">
        <f>E11+E12+E13-E14+E15-E16-E17</f>
        <v>-4.2569738087624316</v>
      </c>
      <c r="F18" s="534">
        <f>F11+F12+F13-F14+F15-F16-F17</f>
        <v>-10.920459088203362</v>
      </c>
      <c r="G18" s="534">
        <f>G11+G12+G13-G14+G15-G16-G17</f>
        <v>-18.291418617424004</v>
      </c>
      <c r="H18" s="276">
        <f>IF(D18=0,"nm",IF(G18=0,"nm",(G18/D18)^(1/3)-1))</f>
        <v>-3.4354582884041345</v>
      </c>
      <c r="I18" s="254"/>
      <c r="J18" s="192" t="s">
        <v>36</v>
      </c>
      <c r="L18" s="529">
        <f>'AGG ASIA INCUMB'!D46</f>
        <v>1.4197854397789587E-3</v>
      </c>
      <c r="M18" s="529">
        <f>'AGG ASIA INCUMB'!E46</f>
        <v>1.5927452418075944E-3</v>
      </c>
      <c r="N18" s="529">
        <f>'AGG ASIA INCUMB'!F46</f>
        <v>1.8306775739935764E-3</v>
      </c>
      <c r="O18" s="529">
        <f>'AGG ASIA INCUMB'!G46</f>
        <v>2.0980698589589679E-3</v>
      </c>
      <c r="P18" s="286">
        <v>6.7570981783111828E-2</v>
      </c>
      <c r="S18" s="323"/>
      <c r="T18" s="194"/>
      <c r="U18" s="194"/>
      <c r="V18" s="194"/>
      <c r="W18" s="194"/>
      <c r="X18" s="194"/>
      <c r="Y18" s="194"/>
      <c r="Z18" s="194"/>
      <c r="AA18" s="194"/>
    </row>
    <row r="19" spans="2:27" ht="12.6" thickTop="1">
      <c r="B19" s="296"/>
      <c r="C19" s="249"/>
      <c r="D19" s="229"/>
      <c r="E19" s="229"/>
      <c r="F19" s="229"/>
      <c r="G19" s="229"/>
      <c r="H19" s="276"/>
      <c r="I19" s="254"/>
      <c r="J19" s="192" t="s">
        <v>581</v>
      </c>
      <c r="L19" s="529">
        <f>'AGG ASIA INCUMB'!D47</f>
        <v>6.9051123566492234E-2</v>
      </c>
      <c r="M19" s="529">
        <f>'AGG ASIA INCUMB'!E47</f>
        <v>9.3479087729789065E-2</v>
      </c>
      <c r="N19" s="529">
        <f>'AGG ASIA INCUMB'!F47</f>
        <v>0.10245395719323375</v>
      </c>
      <c r="O19" s="529">
        <f>'AGG ASIA INCUMB'!G47</f>
        <v>0.11314221652743744</v>
      </c>
      <c r="P19" s="286">
        <v>0.32412765555889766</v>
      </c>
      <c r="S19" s="323"/>
      <c r="T19" s="194"/>
      <c r="U19" s="194"/>
      <c r="V19" s="194"/>
      <c r="W19" s="194"/>
      <c r="X19" s="194"/>
      <c r="Y19" s="194"/>
      <c r="Z19" s="194"/>
      <c r="AA19" s="194"/>
    </row>
    <row r="20" spans="2:27">
      <c r="H20" s="277"/>
      <c r="I20" s="17"/>
      <c r="J20" s="192" t="s">
        <v>604</v>
      </c>
      <c r="L20" s="529">
        <f>'AGG ASIA INCUMB'!D48</f>
        <v>0.58020270145274866</v>
      </c>
      <c r="M20" s="529">
        <f>'AGG ASIA INCUMB'!E48</f>
        <v>0.49738583643750317</v>
      </c>
      <c r="N20" s="529">
        <f>'AGG ASIA INCUMB'!F48</f>
        <v>0.5269471278406761</v>
      </c>
      <c r="O20" s="529">
        <f>'AGG ASIA INCUMB'!G48</f>
        <v>0.55446861753269805</v>
      </c>
      <c r="P20" s="286" t="s">
        <v>607</v>
      </c>
      <c r="S20" s="323"/>
      <c r="T20" s="194"/>
      <c r="U20" s="194"/>
      <c r="V20" s="194"/>
      <c r="W20" s="194"/>
      <c r="X20" s="194"/>
      <c r="Y20" s="194"/>
      <c r="Z20" s="194"/>
      <c r="AA20" s="194"/>
    </row>
    <row r="21" spans="2:27" ht="12.6" thickBot="1">
      <c r="B21" s="307" t="s">
        <v>955</v>
      </c>
      <c r="C21" s="294"/>
      <c r="D21" s="294" t="str">
        <f>D5</f>
        <v>2023E</v>
      </c>
      <c r="E21" s="294" t="str">
        <f t="shared" ref="E21:H21" si="2">E5</f>
        <v>2024E</v>
      </c>
      <c r="F21" s="294" t="str">
        <f t="shared" si="2"/>
        <v>2025E</v>
      </c>
      <c r="G21" s="294" t="str">
        <f t="shared" si="2"/>
        <v>2026E</v>
      </c>
      <c r="H21" s="294" t="str">
        <f t="shared" si="2"/>
        <v>23E-26E</v>
      </c>
      <c r="I21" s="293"/>
      <c r="J21" s="296"/>
      <c r="L21" s="250"/>
      <c r="M21" s="250"/>
      <c r="N21" s="250"/>
      <c r="O21" s="250"/>
      <c r="P21" s="286"/>
      <c r="S21" s="323"/>
      <c r="T21" s="194"/>
      <c r="U21" s="194"/>
      <c r="V21" s="194"/>
      <c r="W21" s="194"/>
      <c r="X21" s="194"/>
      <c r="Y21" s="194"/>
      <c r="Z21" s="194"/>
      <c r="AA21" s="194"/>
    </row>
    <row r="22" spans="2:27" ht="12.6" thickTop="1">
      <c r="B22" s="192"/>
      <c r="C22" s="257"/>
      <c r="D22" s="17"/>
      <c r="E22" s="17"/>
      <c r="F22" s="17"/>
      <c r="G22" s="17"/>
      <c r="H22" s="17"/>
      <c r="I22" s="17"/>
      <c r="P22" s="277"/>
      <c r="S22" s="323"/>
      <c r="T22" s="194"/>
      <c r="U22" s="194"/>
      <c r="V22" s="194"/>
      <c r="W22" s="194"/>
      <c r="X22" s="194"/>
      <c r="Y22" s="194"/>
      <c r="Z22" s="194"/>
      <c r="AA22" s="194"/>
    </row>
    <row r="23" spans="2:27" ht="12.6" thickBot="1">
      <c r="B23" s="192" t="s">
        <v>584</v>
      </c>
      <c r="C23" s="548">
        <v>19.339360425000006</v>
      </c>
      <c r="D23" s="540">
        <v>21.721969629360007</v>
      </c>
      <c r="E23" s="540">
        <v>24.055995266034742</v>
      </c>
      <c r="F23" s="540">
        <v>26.016558880216579</v>
      </c>
      <c r="G23" s="540">
        <v>27.600967316021762</v>
      </c>
      <c r="H23" s="279">
        <f>IF(D23=0,"nm",IF(G23=0,"nm",(G23/D23)^(1/3)-1))</f>
        <v>8.3116155100894984E-2</v>
      </c>
      <c r="I23" s="247"/>
      <c r="J23" s="307" t="s">
        <v>9</v>
      </c>
      <c r="K23" s="307"/>
      <c r="L23" s="294" t="str">
        <f>D21</f>
        <v>2023E</v>
      </c>
      <c r="M23" s="294" t="str">
        <f t="shared" ref="M23:P23" si="3">E21</f>
        <v>2024E</v>
      </c>
      <c r="N23" s="294" t="str">
        <f t="shared" si="3"/>
        <v>2025E</v>
      </c>
      <c r="O23" s="294" t="str">
        <f t="shared" si="3"/>
        <v>2026E</v>
      </c>
      <c r="P23" s="294" t="str">
        <f t="shared" si="3"/>
        <v>23E-26E</v>
      </c>
      <c r="S23" s="323"/>
      <c r="T23" s="194"/>
      <c r="U23" s="194"/>
      <c r="V23" s="194"/>
      <c r="W23" s="194"/>
      <c r="X23" s="194"/>
      <c r="Y23" s="194"/>
      <c r="Z23" s="194"/>
      <c r="AA23" s="194"/>
    </row>
    <row r="24" spans="2:27" ht="12.6" thickTop="1">
      <c r="B24" s="192" t="s">
        <v>483</v>
      </c>
      <c r="C24" s="549">
        <v>4.8788129708346109</v>
      </c>
      <c r="D24" s="540">
        <v>5.904517771908683</v>
      </c>
      <c r="E24" s="540">
        <v>7.5407019663703174</v>
      </c>
      <c r="F24" s="540">
        <v>8.7615752373841342</v>
      </c>
      <c r="G24" s="540">
        <v>9.5615150059995404</v>
      </c>
      <c r="H24" s="279">
        <f>IF(D24=0,"nm",IF(G24=0,"nm",(G24/D24)^(1/3)-1))</f>
        <v>0.17430459145349086</v>
      </c>
      <c r="I24" s="249"/>
      <c r="J24" s="17"/>
      <c r="K24" s="17"/>
      <c r="L24" s="17"/>
      <c r="M24" s="17"/>
      <c r="N24" s="17"/>
      <c r="O24" s="248"/>
      <c r="S24" s="323"/>
      <c r="T24" s="194"/>
      <c r="U24" s="194"/>
      <c r="V24" s="194"/>
      <c r="W24" s="194" t="s">
        <v>306</v>
      </c>
      <c r="X24" s="194" t="s">
        <v>259</v>
      </c>
      <c r="Y24" s="194"/>
      <c r="Z24" s="194"/>
      <c r="AA24" s="194"/>
    </row>
    <row r="25" spans="2:27">
      <c r="B25" s="192" t="s">
        <v>183</v>
      </c>
      <c r="C25" s="548">
        <v>2.5580897198346104</v>
      </c>
      <c r="D25" s="540">
        <v>4.9727205756150825</v>
      </c>
      <c r="E25" s="540">
        <v>6.9149847412099703</v>
      </c>
      <c r="F25" s="540">
        <v>8.2637125889819689</v>
      </c>
      <c r="G25" s="540">
        <v>9.045777944188572</v>
      </c>
      <c r="H25" s="279">
        <f>IF(D25=0,"nm",IF(G25=0,"nm",(G25/D25)^(1/3)-1))</f>
        <v>0.22072345370118418</v>
      </c>
      <c r="I25" s="248"/>
      <c r="J25" s="247" t="s">
        <v>10</v>
      </c>
      <c r="K25" s="247"/>
      <c r="L25" s="321">
        <v>0</v>
      </c>
      <c r="M25" s="321">
        <v>0</v>
      </c>
      <c r="N25" s="321">
        <v>0</v>
      </c>
      <c r="O25" s="321">
        <v>0</v>
      </c>
      <c r="P25" s="279" t="str">
        <f>IF(L25=0,"nm",IF(O25=0,"nm",(O25/L25)^(1/3)-1))</f>
        <v>nm</v>
      </c>
      <c r="S25" s="323"/>
      <c r="T25" s="194"/>
      <c r="U25" s="194"/>
      <c r="V25" s="329" t="s">
        <v>273</v>
      </c>
      <c r="W25" s="328">
        <f t="shared" ref="W25:W33" si="4">D37/L9</f>
        <v>9.2317305972723098E-4</v>
      </c>
      <c r="X25" s="328">
        <v>1</v>
      </c>
      <c r="Y25" s="194"/>
      <c r="Z25" s="194"/>
      <c r="AA25" s="194"/>
    </row>
    <row r="26" spans="2:27">
      <c r="B26" s="192" t="s">
        <v>586</v>
      </c>
      <c r="C26" s="548">
        <v>1.7906628038842272</v>
      </c>
      <c r="D26" s="540">
        <v>3.4809044029305576</v>
      </c>
      <c r="E26" s="540">
        <v>4.8404893188469789</v>
      </c>
      <c r="F26" s="540">
        <v>5.7845988122873777</v>
      </c>
      <c r="G26" s="540">
        <v>6.3320445609320002</v>
      </c>
      <c r="H26" s="279">
        <f>IF(D26=0,"nm",IF(G26=0,"nm",(G26/D26)^(1/3)-1))</f>
        <v>0.22072345370118418</v>
      </c>
      <c r="I26" s="249"/>
      <c r="J26" s="249" t="s">
        <v>11</v>
      </c>
      <c r="K26" s="249"/>
      <c r="L26" s="281">
        <f>D11+L25</f>
        <v>8.4929943230000013</v>
      </c>
      <c r="M26" s="281">
        <f>E11+M25</f>
        <v>8.4929943230000013</v>
      </c>
      <c r="N26" s="281">
        <f>F11+N25</f>
        <v>8.4929943230000013</v>
      </c>
      <c r="O26" s="281">
        <f>G11+O25</f>
        <v>8.4929943230000013</v>
      </c>
      <c r="P26" s="279">
        <f>IF(L26=0,"nm",IF(O26=0,"nm",(O26/L26)^(1/3)-1))</f>
        <v>0</v>
      </c>
      <c r="Q26" s="192"/>
      <c r="S26" s="323"/>
      <c r="T26" s="194"/>
      <c r="U26" s="194"/>
      <c r="V26" s="329" t="s">
        <v>184</v>
      </c>
      <c r="W26" s="328">
        <f t="shared" si="4"/>
        <v>9.3530105383681915E-4</v>
      </c>
      <c r="X26" s="328">
        <v>1</v>
      </c>
      <c r="Y26" s="194"/>
      <c r="Z26" s="194"/>
      <c r="AA26" s="194"/>
    </row>
    <row r="27" spans="2:27">
      <c r="B27" s="192" t="s">
        <v>587</v>
      </c>
      <c r="C27" s="549">
        <v>11.903380926385131</v>
      </c>
      <c r="D27" s="540">
        <v>11.668792192109972</v>
      </c>
      <c r="E27" s="540">
        <v>11.321430773969674</v>
      </c>
      <c r="F27" s="540">
        <v>10.923661783805425</v>
      </c>
      <c r="G27" s="540">
        <v>10.62235615982452</v>
      </c>
      <c r="H27" s="279">
        <f>IF(ISERROR((G27/D27)^(1/3)-1),"na",(G27/D27)^(1/3)-1)</f>
        <v>-3.083367012509497E-2</v>
      </c>
      <c r="I27" s="249"/>
      <c r="J27" s="248"/>
      <c r="K27" s="248"/>
      <c r="L27" s="248"/>
      <c r="M27" s="248"/>
      <c r="N27" s="248"/>
      <c r="O27" s="248"/>
      <c r="Q27" s="296"/>
      <c r="S27" s="323"/>
      <c r="T27" s="194"/>
      <c r="U27" s="194"/>
      <c r="V27" s="329" t="s">
        <v>185</v>
      </c>
      <c r="W27" s="328">
        <f t="shared" si="4"/>
        <v>4.4160416524595424E-4</v>
      </c>
      <c r="X27" s="328">
        <v>1</v>
      </c>
      <c r="Y27" s="194"/>
      <c r="Z27" s="194"/>
      <c r="AA27" s="194"/>
    </row>
    <row r="28" spans="2:27" ht="12.6" thickBot="1">
      <c r="B28" s="192" t="s">
        <v>592</v>
      </c>
      <c r="C28" s="548">
        <v>6.4504828144516022</v>
      </c>
      <c r="D28" s="540">
        <v>6.0921834478548824</v>
      </c>
      <c r="E28" s="540">
        <v>5.4994639834442527</v>
      </c>
      <c r="F28" s="540">
        <v>4.8974338351575684</v>
      </c>
      <c r="G28" s="540">
        <v>4.4336841299370224</v>
      </c>
      <c r="H28" s="279">
        <f>IF(ISERROR((G28/D28)^(1/3)-1),"na",(G28/D28)^(1/3)-1)</f>
        <v>-0.1005080955335439</v>
      </c>
      <c r="I28" s="248"/>
      <c r="J28" s="307" t="s">
        <v>1362</v>
      </c>
      <c r="K28" s="307"/>
      <c r="L28" s="307"/>
      <c r="M28" s="307"/>
      <c r="N28" s="295"/>
      <c r="O28" s="295"/>
      <c r="P28" s="295"/>
      <c r="Q28" s="192"/>
      <c r="S28" s="323"/>
      <c r="T28" s="194"/>
      <c r="U28" s="194"/>
      <c r="V28" s="329" t="s">
        <v>466</v>
      </c>
      <c r="W28" s="328">
        <f t="shared" si="4"/>
        <v>4.6970347895497336E-4</v>
      </c>
      <c r="X28" s="328">
        <v>1</v>
      </c>
      <c r="Y28" s="194"/>
      <c r="Z28" s="194"/>
      <c r="AA28" s="194"/>
    </row>
    <row r="29" spans="2:27" ht="12.6" thickTop="1">
      <c r="B29" s="192" t="s">
        <v>588</v>
      </c>
      <c r="C29" s="548">
        <v>1.6287931729881056</v>
      </c>
      <c r="D29" s="540">
        <v>3.8448026103045421</v>
      </c>
      <c r="E29" s="540">
        <v>5.280976438462357</v>
      </c>
      <c r="F29" s="540">
        <v>6.4256320980545745</v>
      </c>
      <c r="G29" s="540">
        <v>7.13756936741669</v>
      </c>
      <c r="H29" s="279">
        <f>IF(D29=0,"nm",IF(G29=0,"nm",(G29/D29)^(1/3)-1))</f>
        <v>0.22901947447559179</v>
      </c>
      <c r="I29" s="297"/>
      <c r="J29" s="249"/>
      <c r="K29" s="249"/>
      <c r="L29" s="249"/>
      <c r="M29" s="249"/>
      <c r="N29" s="249"/>
      <c r="O29" s="251"/>
      <c r="Q29" s="192"/>
      <c r="S29" s="323"/>
      <c r="T29" s="194"/>
      <c r="U29" s="194"/>
      <c r="V29" s="329" t="s">
        <v>530</v>
      </c>
      <c r="W29" s="328">
        <f t="shared" si="4"/>
        <v>1.906313271172368E-3</v>
      </c>
      <c r="X29" s="328">
        <v>1</v>
      </c>
      <c r="Y29" s="194"/>
      <c r="Z29" s="194"/>
      <c r="AA29" s="194"/>
    </row>
    <row r="30" spans="2:27">
      <c r="B30" s="192" t="s">
        <v>589</v>
      </c>
      <c r="C30" s="549">
        <v>2.8321443382837717</v>
      </c>
      <c r="D30" s="540">
        <v>3.4423730869987583</v>
      </c>
      <c r="E30" s="540">
        <v>4.7615287086203288</v>
      </c>
      <c r="F30" s="540">
        <v>5.8514238832766798</v>
      </c>
      <c r="G30" s="540">
        <v>6.6553614992397385</v>
      </c>
      <c r="H30" s="279">
        <f>IF(D30=0,"nm",IF(G30=0,"nm",(G30/D30)^(1/3)-1))</f>
        <v>0.24577010297953872</v>
      </c>
      <c r="I30" s="254"/>
      <c r="J30" s="248"/>
      <c r="K30" s="248"/>
      <c r="L30" s="248"/>
      <c r="M30" s="248"/>
      <c r="N30" s="248"/>
      <c r="O30" s="192"/>
      <c r="Q30" s="192"/>
      <c r="S30" s="323"/>
      <c r="T30" s="194"/>
      <c r="U30" s="194"/>
      <c r="V30" s="329" t="s">
        <v>593</v>
      </c>
      <c r="W30" s="328">
        <f t="shared" si="4"/>
        <v>2.7427473307042537E-3</v>
      </c>
      <c r="X30" s="328">
        <v>1</v>
      </c>
      <c r="Y30" s="194"/>
      <c r="Z30" s="194"/>
      <c r="AA30" s="194"/>
    </row>
    <row r="31" spans="2:27">
      <c r="B31" s="192" t="s">
        <v>590</v>
      </c>
      <c r="C31" s="549">
        <v>1.0357310150000001</v>
      </c>
      <c r="D31" s="540">
        <v>2.0714620300000002</v>
      </c>
      <c r="E31" s="540">
        <v>2.4857544360000001</v>
      </c>
      <c r="F31" s="540">
        <v>2.9000468420000001</v>
      </c>
      <c r="G31" s="540">
        <v>3.314339248</v>
      </c>
      <c r="H31" s="279">
        <f>IF(D31=0,"nm",IF(G31=0,"nm",(G31/D31)^(1/3)-1))</f>
        <v>0.1696070952851465</v>
      </c>
      <c r="I31" s="254"/>
      <c r="J31" s="297"/>
      <c r="K31" s="297"/>
      <c r="L31" s="297"/>
      <c r="M31" s="297"/>
      <c r="N31" s="297"/>
      <c r="O31" s="192"/>
      <c r="Q31" s="192"/>
      <c r="S31" s="323"/>
      <c r="T31" s="194"/>
      <c r="U31" s="194"/>
      <c r="V31" s="329" t="s">
        <v>475</v>
      </c>
      <c r="W31" s="328">
        <f t="shared" si="4"/>
        <v>0.15253079543673584</v>
      </c>
      <c r="X31" s="328">
        <v>1</v>
      </c>
      <c r="Y31" s="194"/>
      <c r="Z31" s="194"/>
      <c r="AA31" s="194"/>
    </row>
    <row r="32" spans="2:27">
      <c r="B32" s="192" t="s">
        <v>606</v>
      </c>
      <c r="C32" s="551">
        <v>0</v>
      </c>
      <c r="D32" s="540">
        <v>0</v>
      </c>
      <c r="E32" s="540">
        <v>0</v>
      </c>
      <c r="F32" s="540">
        <v>0</v>
      </c>
      <c r="G32" s="540">
        <v>0</v>
      </c>
      <c r="H32" s="279" t="str">
        <f>IF(D32=0,"nm",IF(G32=0,"nm",(G32/D32)^(1/3)-1))</f>
        <v>nm</v>
      </c>
      <c r="I32" s="254"/>
      <c r="J32" s="254"/>
      <c r="K32" s="254"/>
      <c r="L32" s="254"/>
      <c r="M32" s="254"/>
      <c r="N32" s="254"/>
      <c r="O32" s="251"/>
      <c r="Q32" s="192"/>
      <c r="S32" s="323"/>
      <c r="T32" s="194"/>
      <c r="U32" s="194"/>
      <c r="V32" s="329" t="s">
        <v>533</v>
      </c>
      <c r="W32" s="328">
        <f t="shared" si="4"/>
        <v>6.1484343184820068E-3</v>
      </c>
      <c r="X32" s="328">
        <v>1</v>
      </c>
      <c r="Y32" s="194"/>
      <c r="Z32" s="194"/>
      <c r="AA32" s="194"/>
    </row>
    <row r="33" spans="2:27">
      <c r="B33" s="192" t="s">
        <v>5</v>
      </c>
      <c r="C33" s="549">
        <v>8.6227936288942958E-2</v>
      </c>
      <c r="D33" s="540">
        <v>0.16053723482680218</v>
      </c>
      <c r="E33" s="540">
        <v>0.27289752462862671</v>
      </c>
      <c r="F33" s="540">
        <v>0.43748059658366084</v>
      </c>
      <c r="G33" s="540">
        <v>0.62672843438074655</v>
      </c>
      <c r="H33" s="279">
        <f>IF(ISERROR((G33/D33)^(1/3)-1),"na",(G33/D33)^(1/3)-1)</f>
        <v>0.57459139438357343</v>
      </c>
      <c r="I33" s="192"/>
      <c r="J33" s="254"/>
      <c r="K33" s="254"/>
      <c r="L33" s="254"/>
      <c r="M33" s="254"/>
      <c r="N33" s="254"/>
      <c r="O33" s="251"/>
      <c r="Q33" s="192"/>
      <c r="S33" s="323"/>
      <c r="T33" s="194"/>
      <c r="U33" s="194"/>
      <c r="V33" s="329" t="s">
        <v>580</v>
      </c>
      <c r="W33" s="328">
        <f t="shared" si="4"/>
        <v>171.9168591749974</v>
      </c>
      <c r="X33" s="328">
        <v>1</v>
      </c>
      <c r="Y33" s="194"/>
      <c r="Z33" s="194"/>
      <c r="AA33" s="194"/>
    </row>
    <row r="34" spans="2:27">
      <c r="D34" s="192"/>
      <c r="E34" s="192"/>
      <c r="F34" s="192"/>
      <c r="G34" s="192"/>
      <c r="I34" s="293"/>
      <c r="J34" s="254"/>
      <c r="K34" s="254"/>
      <c r="L34" s="254"/>
      <c r="M34" s="254"/>
      <c r="N34" s="254"/>
      <c r="O34" s="251"/>
      <c r="Q34" s="192"/>
      <c r="S34" s="323"/>
      <c r="T34" s="194"/>
      <c r="U34" s="194"/>
      <c r="V34" s="329" t="s">
        <v>581</v>
      </c>
      <c r="W34" s="328">
        <f>D47/L19</f>
        <v>6.5560531375761633</v>
      </c>
      <c r="X34" s="328">
        <v>1</v>
      </c>
      <c r="Y34" s="328"/>
      <c r="Z34" s="328"/>
      <c r="AA34" s="194"/>
    </row>
    <row r="35" spans="2:27" ht="12.6" thickBot="1">
      <c r="B35" s="307" t="s">
        <v>919</v>
      </c>
      <c r="C35" s="294"/>
      <c r="D35" s="294" t="str">
        <f>D5</f>
        <v>2023E</v>
      </c>
      <c r="E35" s="294" t="str">
        <f t="shared" ref="E35:H35" si="5">E5</f>
        <v>2024E</v>
      </c>
      <c r="F35" s="294" t="str">
        <f t="shared" si="5"/>
        <v>2025E</v>
      </c>
      <c r="G35" s="294" t="str">
        <f t="shared" si="5"/>
        <v>2026E</v>
      </c>
      <c r="H35" s="294" t="str">
        <f t="shared" si="5"/>
        <v>23E-26E</v>
      </c>
      <c r="I35" s="254"/>
      <c r="J35" s="192"/>
      <c r="K35" s="192"/>
      <c r="L35" s="192"/>
      <c r="M35" s="192"/>
      <c r="N35" s="192"/>
      <c r="O35" s="192"/>
      <c r="Q35" s="192"/>
      <c r="S35" s="323"/>
      <c r="T35" s="194"/>
      <c r="U35" s="194"/>
      <c r="V35" s="194"/>
      <c r="W35" s="194"/>
      <c r="X35" s="194"/>
      <c r="Y35" s="328"/>
      <c r="Z35" s="328"/>
      <c r="AA35" s="194"/>
    </row>
    <row r="36" spans="2:27" ht="12.6" thickTop="1">
      <c r="B36" s="296"/>
      <c r="C36" s="249"/>
      <c r="D36" s="254"/>
      <c r="E36" s="254"/>
      <c r="F36" s="254"/>
      <c r="G36" s="254"/>
      <c r="H36" s="254"/>
      <c r="I36" s="17"/>
      <c r="J36" s="293"/>
      <c r="K36" s="293"/>
      <c r="L36" s="293"/>
      <c r="M36" s="293"/>
      <c r="N36" s="293"/>
      <c r="O36" s="293"/>
      <c r="Q36" s="192"/>
      <c r="S36" s="323"/>
      <c r="T36" s="194"/>
      <c r="U36" s="194"/>
      <c r="V36" s="194"/>
      <c r="W36" s="194"/>
      <c r="X36" s="194"/>
      <c r="Y36" s="328"/>
      <c r="Z36" s="328"/>
      <c r="AA36" s="194"/>
    </row>
    <row r="37" spans="2:27">
      <c r="B37" s="192" t="s">
        <v>273</v>
      </c>
      <c r="C37" s="247"/>
      <c r="D37" s="529">
        <f t="shared" ref="D37:G40" si="6">D$18/D23</f>
        <v>5.8291616534015989E-2</v>
      </c>
      <c r="E37" s="529">
        <f t="shared" si="6"/>
        <v>-0.17696103452318843</v>
      </c>
      <c r="F37" s="529">
        <f t="shared" si="6"/>
        <v>-0.41975032664705936</v>
      </c>
      <c r="G37" s="529">
        <f t="shared" si="6"/>
        <v>-0.66270933217642092</v>
      </c>
      <c r="H37" s="17">
        <f t="shared" ref="H37:H45" si="7">H23</f>
        <v>8.3116155100894984E-2</v>
      </c>
      <c r="I37" s="192"/>
      <c r="J37" s="259"/>
      <c r="K37" s="259"/>
      <c r="L37" s="259"/>
      <c r="M37" s="259"/>
      <c r="N37" s="259"/>
      <c r="O37" s="18"/>
      <c r="Q37" s="192"/>
      <c r="R37" s="192"/>
      <c r="S37" s="194"/>
      <c r="T37" s="194"/>
      <c r="U37" s="194"/>
      <c r="V37" s="194"/>
      <c r="W37" s="194"/>
      <c r="X37" s="194"/>
      <c r="Y37" s="194"/>
      <c r="Z37" s="194"/>
      <c r="AA37" s="194"/>
    </row>
    <row r="38" spans="2:27">
      <c r="B38" s="192" t="s">
        <v>184</v>
      </c>
      <c r="C38" s="247"/>
      <c r="D38" s="529">
        <f t="shared" si="6"/>
        <v>0.21444744057208295</v>
      </c>
      <c r="E38" s="529">
        <f t="shared" si="6"/>
        <v>-0.56453282834243967</v>
      </c>
      <c r="F38" s="529">
        <f t="shared" si="6"/>
        <v>-1.2464036194778814</v>
      </c>
      <c r="G38" s="529">
        <f t="shared" si="6"/>
        <v>-1.9130251436039929</v>
      </c>
      <c r="H38" s="17">
        <f t="shared" si="7"/>
        <v>0.17430459145349086</v>
      </c>
      <c r="I38" s="259"/>
      <c r="J38" s="17"/>
      <c r="K38" s="17"/>
      <c r="L38" s="17"/>
      <c r="M38" s="17"/>
      <c r="N38" s="17"/>
      <c r="O38" s="192"/>
      <c r="Q38" s="192"/>
      <c r="R38" s="192"/>
      <c r="S38" s="194"/>
      <c r="T38" s="194"/>
      <c r="U38" s="194"/>
      <c r="V38" s="194"/>
      <c r="W38" s="194"/>
      <c r="X38" s="194"/>
      <c r="Y38" s="194"/>
      <c r="Z38" s="194"/>
      <c r="AA38" s="194"/>
    </row>
    <row r="39" spans="2:27">
      <c r="B39" s="192" t="s">
        <v>185</v>
      </c>
      <c r="C39" s="247"/>
      <c r="D39" s="529">
        <f t="shared" si="6"/>
        <v>0.25463098212422197</v>
      </c>
      <c r="E39" s="529">
        <f t="shared" si="6"/>
        <v>-0.61561579209176309</v>
      </c>
      <c r="F39" s="529">
        <f t="shared" si="6"/>
        <v>-1.3214955107179842</v>
      </c>
      <c r="G39" s="529">
        <f t="shared" si="6"/>
        <v>-2.022094587141094</v>
      </c>
      <c r="H39" s="17">
        <f t="shared" si="7"/>
        <v>0.22072345370118418</v>
      </c>
      <c r="I39" s="17"/>
      <c r="J39" s="192"/>
      <c r="K39" s="192"/>
      <c r="L39" s="192"/>
      <c r="M39" s="192"/>
      <c r="N39" s="192"/>
      <c r="O39" s="192"/>
      <c r="Q39" s="192"/>
      <c r="R39" s="192"/>
      <c r="S39" s="194"/>
      <c r="T39" s="194"/>
      <c r="U39" s="194"/>
      <c r="V39" s="194"/>
      <c r="W39" s="194"/>
      <c r="X39" s="194"/>
      <c r="Y39" s="194"/>
      <c r="Z39" s="194"/>
      <c r="AA39" s="194"/>
    </row>
    <row r="40" spans="2:27">
      <c r="B40" s="192" t="s">
        <v>466</v>
      </c>
      <c r="C40" s="247"/>
      <c r="D40" s="529">
        <f t="shared" si="6"/>
        <v>0.36375854589174572</v>
      </c>
      <c r="E40" s="529">
        <f t="shared" si="6"/>
        <v>-0.8794511315596617</v>
      </c>
      <c r="F40" s="529">
        <f t="shared" si="6"/>
        <v>-1.8878507295971203</v>
      </c>
      <c r="G40" s="529">
        <f t="shared" si="6"/>
        <v>-2.8887065530587055</v>
      </c>
      <c r="H40" s="17">
        <f t="shared" si="7"/>
        <v>0.22072345370118418</v>
      </c>
      <c r="I40" s="192"/>
      <c r="J40" s="259"/>
      <c r="K40" s="259"/>
      <c r="L40" s="259"/>
      <c r="M40" s="259"/>
      <c r="N40" s="259"/>
      <c r="O40" s="18"/>
      <c r="Q40" s="192"/>
      <c r="R40" s="192"/>
      <c r="S40" s="194"/>
      <c r="T40" s="194"/>
      <c r="U40" s="194"/>
      <c r="V40" s="194"/>
      <c r="W40" s="328"/>
      <c r="X40" s="328"/>
      <c r="Y40" s="194"/>
      <c r="Z40" s="194"/>
      <c r="AA40" s="194"/>
    </row>
    <row r="41" spans="2:27">
      <c r="B41" s="192" t="s">
        <v>530</v>
      </c>
      <c r="C41" s="247"/>
      <c r="D41" s="529">
        <f>D18/D27</f>
        <v>0.1085124066957299</v>
      </c>
      <c r="E41" s="529">
        <f>E18/E27</f>
        <v>-0.37601023172354686</v>
      </c>
      <c r="F41" s="529">
        <f>F18/F27</f>
        <v>-0.99970681117143234</v>
      </c>
      <c r="G41" s="529">
        <f>G18/G27</f>
        <v>-1.7219737638439507</v>
      </c>
      <c r="H41" s="17">
        <f t="shared" si="7"/>
        <v>-3.083367012509497E-2</v>
      </c>
      <c r="I41" s="247"/>
      <c r="J41" s="17"/>
      <c r="K41" s="17"/>
      <c r="L41" s="17"/>
      <c r="M41" s="17"/>
      <c r="N41" s="17"/>
      <c r="O41" s="192"/>
      <c r="Q41" s="192"/>
      <c r="R41" s="192"/>
      <c r="S41" s="194"/>
      <c r="T41" s="194"/>
      <c r="U41" s="194"/>
      <c r="V41" s="194"/>
      <c r="W41" s="328"/>
      <c r="X41" s="328"/>
      <c r="Y41" s="328"/>
      <c r="Z41" s="328"/>
      <c r="AA41" s="194"/>
    </row>
    <row r="42" spans="2:27">
      <c r="B42" s="192" t="s">
        <v>593</v>
      </c>
      <c r="C42" s="247"/>
      <c r="D42" s="529">
        <f>D18/D28</f>
        <v>0.20784152920477789</v>
      </c>
      <c r="E42" s="529">
        <f>E18/E28</f>
        <v>-0.77407067699283971</v>
      </c>
      <c r="F42" s="529">
        <f>F18/F28</f>
        <v>-2.2298328993865848</v>
      </c>
      <c r="G42" s="529">
        <f>G18/G28</f>
        <v>-4.1255574554617223</v>
      </c>
      <c r="H42" s="17">
        <f t="shared" si="7"/>
        <v>-0.1005080955335439</v>
      </c>
      <c r="I42" s="248"/>
      <c r="J42" s="192"/>
      <c r="K42" s="192"/>
      <c r="L42" s="192"/>
      <c r="M42" s="192"/>
      <c r="N42" s="192"/>
      <c r="O42" s="192"/>
      <c r="Q42" s="192"/>
      <c r="R42" s="192"/>
      <c r="S42" s="194"/>
      <c r="T42" s="194"/>
      <c r="U42" s="194"/>
      <c r="V42" s="194"/>
      <c r="W42" s="328"/>
      <c r="X42" s="328"/>
      <c r="Y42" s="328"/>
      <c r="Z42" s="328"/>
      <c r="AA42" s="194"/>
    </row>
    <row r="43" spans="2:27">
      <c r="B43" s="192" t="s">
        <v>475</v>
      </c>
      <c r="C43" s="247"/>
      <c r="D43" s="529">
        <f>L26/D29</f>
        <v>2.2089545768195578</v>
      </c>
      <c r="E43" s="529">
        <f>M26/E29</f>
        <v>1.608224240718801</v>
      </c>
      <c r="F43" s="529">
        <f>N26/F29</f>
        <v>1.3217367868869028</v>
      </c>
      <c r="G43" s="529">
        <f>O26/G29</f>
        <v>1.1899000746347748</v>
      </c>
      <c r="H43" s="17">
        <f t="shared" si="7"/>
        <v>0.22901947447559179</v>
      </c>
      <c r="I43" s="247"/>
      <c r="J43" s="247"/>
      <c r="K43" s="247"/>
      <c r="L43" s="247"/>
      <c r="M43" s="247"/>
      <c r="N43" s="247"/>
      <c r="O43" s="18"/>
      <c r="Q43" s="192"/>
      <c r="R43" s="192"/>
      <c r="S43" s="194"/>
      <c r="T43" s="194"/>
      <c r="U43" s="194"/>
      <c r="V43" s="194"/>
      <c r="W43" s="328"/>
      <c r="X43" s="328"/>
      <c r="Y43" s="328"/>
      <c r="Z43" s="328"/>
      <c r="AA43" s="194"/>
    </row>
    <row r="44" spans="2:27">
      <c r="B44" s="192" t="s">
        <v>533</v>
      </c>
      <c r="C44" s="298"/>
      <c r="D44" s="529">
        <f>D11/D30</f>
        <v>2.4671917041986404</v>
      </c>
      <c r="E44" s="529">
        <f>E11/E30</f>
        <v>1.7836696663456386</v>
      </c>
      <c r="F44" s="529">
        <f>F11/F30</f>
        <v>1.451440622388152</v>
      </c>
      <c r="G44" s="529">
        <f>G11/G30</f>
        <v>1.2761131493714024</v>
      </c>
      <c r="H44" s="17">
        <f t="shared" si="7"/>
        <v>0.24577010297953872</v>
      </c>
      <c r="I44" s="247"/>
      <c r="J44" s="248"/>
      <c r="K44" s="248"/>
      <c r="L44" s="248"/>
      <c r="M44" s="248"/>
      <c r="N44" s="248"/>
      <c r="O44" s="248"/>
      <c r="Q44" s="192"/>
      <c r="R44" s="192"/>
      <c r="S44" s="194"/>
      <c r="T44" s="194"/>
      <c r="U44" s="194"/>
      <c r="V44" s="194"/>
      <c r="W44" s="330"/>
      <c r="X44" s="330"/>
      <c r="Y44" s="328"/>
      <c r="Z44" s="328"/>
      <c r="AA44" s="194"/>
    </row>
    <row r="45" spans="2:27">
      <c r="B45" s="192" t="s">
        <v>580</v>
      </c>
      <c r="C45" s="247"/>
      <c r="D45" s="248">
        <f>D31/D11</f>
        <v>0.24390243902439024</v>
      </c>
      <c r="E45" s="248">
        <f>E31/E11</f>
        <v>0.29268292682926828</v>
      </c>
      <c r="F45" s="248">
        <f>F31/F11</f>
        <v>0.34146341463414631</v>
      </c>
      <c r="G45" s="248">
        <f>G31/G11</f>
        <v>0.39024390243902435</v>
      </c>
      <c r="H45" s="17">
        <f t="shared" si="7"/>
        <v>0.1696070952851465</v>
      </c>
      <c r="I45" s="248"/>
      <c r="J45" s="247"/>
      <c r="K45" s="247"/>
      <c r="L45" s="247"/>
      <c r="M45" s="247"/>
      <c r="N45" s="247"/>
      <c r="O45" s="248"/>
      <c r="Q45" s="192"/>
      <c r="R45" s="192"/>
      <c r="S45" s="194"/>
      <c r="T45" s="194"/>
      <c r="U45" s="194"/>
      <c r="V45" s="194"/>
      <c r="W45" s="194"/>
      <c r="X45" s="194"/>
      <c r="Y45" s="330"/>
      <c r="Z45" s="330"/>
      <c r="AA45" s="194"/>
    </row>
    <row r="46" spans="2:27">
      <c r="B46" s="192" t="s">
        <v>605</v>
      </c>
      <c r="C46" s="247"/>
      <c r="D46" s="248">
        <f>(D31+D32)/D11</f>
        <v>0.24390243902439024</v>
      </c>
      <c r="E46" s="248">
        <f>(E31+E32)/E11</f>
        <v>0.29268292682926828</v>
      </c>
      <c r="F46" s="248">
        <f>(F31+F32)/F11</f>
        <v>0.34146341463414631</v>
      </c>
      <c r="G46" s="248">
        <f>(G31+G32)/G11</f>
        <v>0.39024390243902435</v>
      </c>
      <c r="H46" s="279">
        <f>((G31+G32)/(D31+D32))^(1/3)-1</f>
        <v>0.1696070952851465</v>
      </c>
      <c r="I46" s="247"/>
      <c r="J46" s="247"/>
      <c r="K46" s="247"/>
      <c r="L46" s="247"/>
      <c r="M46" s="247"/>
      <c r="N46" s="247"/>
      <c r="O46" s="18"/>
      <c r="Q46" s="192"/>
      <c r="R46" s="192"/>
      <c r="S46" s="194"/>
      <c r="T46" s="194"/>
      <c r="U46" s="194"/>
      <c r="V46" s="194"/>
      <c r="W46" s="194"/>
      <c r="X46" s="194"/>
      <c r="Y46" s="194"/>
      <c r="Z46" s="194"/>
      <c r="AA46" s="326"/>
    </row>
    <row r="47" spans="2:27">
      <c r="B47" s="192" t="s">
        <v>581</v>
      </c>
      <c r="C47" s="192"/>
      <c r="D47" s="248">
        <f>1/D43</f>
        <v>0.45270283531126077</v>
      </c>
      <c r="E47" s="248">
        <f>1/E43</f>
        <v>0.62180383473951795</v>
      </c>
      <c r="F47" s="248">
        <f>1/F43</f>
        <v>0.75658028884503392</v>
      </c>
      <c r="G47" s="248">
        <f>1/G43</f>
        <v>0.84040670415701735</v>
      </c>
      <c r="H47" s="17">
        <f>H29</f>
        <v>0.22901947447559179</v>
      </c>
      <c r="I47" s="17"/>
      <c r="J47" s="248"/>
      <c r="K47" s="248"/>
      <c r="L47" s="248"/>
      <c r="M47" s="248"/>
      <c r="N47" s="248"/>
      <c r="O47" s="248"/>
      <c r="Q47" s="192"/>
      <c r="R47" s="192"/>
      <c r="S47" s="194"/>
      <c r="T47" s="194"/>
      <c r="U47" s="194"/>
      <c r="V47" s="194"/>
      <c r="W47" s="194"/>
      <c r="X47" s="194"/>
      <c r="Y47" s="194"/>
      <c r="Z47" s="194"/>
      <c r="AA47" s="326"/>
    </row>
    <row r="48" spans="2:27">
      <c r="B48" s="192" t="s">
        <v>618</v>
      </c>
      <c r="C48" s="192"/>
      <c r="D48" s="305">
        <f>D31/D29</f>
        <v>0.53876940898037995</v>
      </c>
      <c r="E48" s="305">
        <f>E31/E29</f>
        <v>0.4706997777713563</v>
      </c>
      <c r="F48" s="305">
        <f>F31/F29</f>
        <v>0.45132475649796677</v>
      </c>
      <c r="G48" s="305">
        <f>G31/G29</f>
        <v>0.46435124863796079</v>
      </c>
      <c r="H48" s="279" t="s">
        <v>607</v>
      </c>
      <c r="I48" s="247"/>
      <c r="J48" s="247"/>
      <c r="K48" s="247"/>
      <c r="L48" s="247"/>
      <c r="M48" s="247"/>
      <c r="N48" s="247"/>
      <c r="O48" s="248"/>
      <c r="Q48" s="192"/>
      <c r="R48" s="192"/>
      <c r="S48" s="194"/>
      <c r="T48" s="194"/>
      <c r="U48" s="194"/>
      <c r="V48" s="194"/>
      <c r="W48" s="194"/>
      <c r="X48" s="194"/>
      <c r="Y48" s="194"/>
      <c r="Z48" s="194"/>
      <c r="AA48" s="326"/>
    </row>
    <row r="49" spans="2:27">
      <c r="B49" s="296"/>
      <c r="C49" s="17"/>
      <c r="D49" s="17"/>
      <c r="E49" s="17"/>
      <c r="F49" s="17"/>
      <c r="G49" s="17"/>
      <c r="H49" s="17"/>
      <c r="I49" s="254"/>
      <c r="J49" s="17"/>
      <c r="K49" s="17"/>
      <c r="L49" s="17"/>
      <c r="M49" s="17"/>
      <c r="N49" s="17"/>
      <c r="O49" s="248"/>
      <c r="Q49" s="192"/>
      <c r="R49" s="192"/>
      <c r="S49" s="194"/>
      <c r="T49" s="194"/>
      <c r="U49" s="194"/>
      <c r="V49" s="194"/>
      <c r="W49" s="194"/>
      <c r="X49" s="194"/>
      <c r="Y49" s="194"/>
      <c r="Z49" s="194"/>
      <c r="AA49" s="326"/>
    </row>
    <row r="50" spans="2:27">
      <c r="B50" s="192"/>
      <c r="C50" s="257"/>
      <c r="D50" s="257"/>
      <c r="E50" s="257"/>
      <c r="F50" s="192"/>
      <c r="G50" s="296"/>
      <c r="H50" s="249"/>
      <c r="I50" s="17"/>
      <c r="J50" s="249"/>
      <c r="K50" s="249"/>
      <c r="L50" s="249"/>
      <c r="M50" s="249"/>
      <c r="N50" s="249"/>
      <c r="O50" s="250"/>
      <c r="Q50" s="192"/>
      <c r="R50" s="192"/>
      <c r="S50" s="194"/>
      <c r="T50" s="194"/>
      <c r="U50" s="194"/>
      <c r="V50" s="194"/>
      <c r="W50" s="328"/>
      <c r="X50" s="328"/>
      <c r="Y50" s="194"/>
      <c r="Z50" s="194"/>
      <c r="AA50" s="326"/>
    </row>
    <row r="51" spans="2:27">
      <c r="B51" s="296"/>
      <c r="C51" s="249"/>
      <c r="D51" s="254"/>
      <c r="E51" s="254"/>
      <c r="F51" s="254"/>
      <c r="G51" s="254"/>
      <c r="H51" s="254"/>
      <c r="I51" s="259"/>
      <c r="J51" s="254"/>
      <c r="K51" s="254"/>
      <c r="L51" s="254"/>
      <c r="M51" s="254"/>
      <c r="N51" s="254"/>
      <c r="O51" s="251"/>
      <c r="Q51" s="192"/>
      <c r="R51" s="192"/>
      <c r="S51" s="194"/>
      <c r="T51" s="194"/>
      <c r="U51" s="194"/>
      <c r="V51" s="194"/>
      <c r="W51" s="328"/>
      <c r="X51" s="328"/>
      <c r="Y51" s="328"/>
      <c r="Z51" s="328"/>
      <c r="AA51" s="194"/>
    </row>
    <row r="52" spans="2:27">
      <c r="B52" s="192"/>
      <c r="C52" s="257"/>
      <c r="D52" s="17"/>
      <c r="E52" s="17"/>
      <c r="F52" s="17"/>
      <c r="G52" s="17"/>
      <c r="H52" s="17"/>
      <c r="I52" s="254"/>
      <c r="J52" s="17"/>
      <c r="K52" s="17"/>
      <c r="L52" s="17"/>
      <c r="M52" s="17"/>
      <c r="N52" s="17"/>
      <c r="O52" s="248"/>
      <c r="Q52" s="192"/>
      <c r="R52" s="192"/>
      <c r="S52" s="192"/>
      <c r="Y52" s="308"/>
      <c r="Z52" s="308"/>
    </row>
    <row r="53" spans="2:27">
      <c r="B53" s="192"/>
      <c r="C53" s="257"/>
      <c r="D53" s="257"/>
      <c r="E53" s="257"/>
      <c r="F53" s="192"/>
      <c r="G53" s="192"/>
      <c r="H53" s="259"/>
      <c r="I53" s="17"/>
      <c r="J53" s="259"/>
      <c r="K53" s="259"/>
      <c r="L53" s="259"/>
      <c r="M53" s="259"/>
      <c r="N53" s="259"/>
      <c r="O53" s="18"/>
      <c r="Q53" s="192"/>
      <c r="R53" s="192"/>
      <c r="S53" s="192"/>
    </row>
    <row r="54" spans="2:27">
      <c r="B54" s="296"/>
      <c r="C54" s="249"/>
      <c r="D54" s="254"/>
      <c r="E54" s="254"/>
      <c r="F54" s="254"/>
      <c r="G54" s="254"/>
      <c r="H54" s="254"/>
      <c r="I54" s="259"/>
      <c r="J54" s="254"/>
      <c r="K54" s="254"/>
      <c r="L54" s="254"/>
      <c r="M54" s="254"/>
      <c r="N54" s="254"/>
      <c r="O54" s="251"/>
      <c r="Q54" s="192"/>
      <c r="R54" s="192"/>
      <c r="S54" s="192"/>
    </row>
    <row r="55" spans="2:27">
      <c r="B55" s="192"/>
      <c r="C55" s="257"/>
      <c r="D55" s="17"/>
      <c r="E55" s="17"/>
      <c r="F55" s="17"/>
      <c r="G55" s="17"/>
      <c r="H55" s="17"/>
      <c r="I55" s="249"/>
      <c r="J55" s="17"/>
      <c r="K55" s="17"/>
      <c r="L55" s="17"/>
      <c r="M55" s="17"/>
      <c r="N55" s="17"/>
      <c r="O55" s="18"/>
      <c r="Q55" s="192"/>
      <c r="R55" s="192"/>
      <c r="S55" s="192"/>
    </row>
    <row r="56" spans="2:27">
      <c r="B56" s="192"/>
      <c r="C56" s="248"/>
      <c r="D56" s="248"/>
      <c r="E56" s="248"/>
      <c r="F56" s="192"/>
      <c r="G56" s="192"/>
      <c r="H56" s="259"/>
      <c r="I56" s="248"/>
      <c r="J56" s="259"/>
      <c r="K56" s="259"/>
      <c r="L56" s="259"/>
      <c r="M56" s="259"/>
      <c r="N56" s="259"/>
      <c r="O56" s="18"/>
      <c r="Q56" s="192"/>
      <c r="R56" s="192"/>
      <c r="S56" s="192"/>
    </row>
    <row r="57" spans="2:27">
      <c r="B57" s="296"/>
      <c r="C57" s="249"/>
      <c r="D57" s="249"/>
      <c r="E57" s="249"/>
      <c r="F57" s="249"/>
      <c r="G57" s="249"/>
      <c r="H57" s="249"/>
      <c r="I57" s="192"/>
      <c r="J57" s="249"/>
      <c r="K57" s="249"/>
      <c r="L57" s="249"/>
      <c r="M57" s="249"/>
      <c r="N57" s="249"/>
      <c r="O57" s="251"/>
      <c r="Q57" s="192"/>
      <c r="R57" s="192"/>
      <c r="S57" s="192"/>
    </row>
    <row r="58" spans="2:27">
      <c r="B58" s="192"/>
      <c r="C58" s="192"/>
      <c r="D58" s="248"/>
      <c r="E58" s="248"/>
      <c r="F58" s="248"/>
      <c r="G58" s="248"/>
      <c r="H58" s="248"/>
      <c r="I58" s="17"/>
      <c r="J58" s="248"/>
      <c r="K58" s="248"/>
      <c r="L58" s="248"/>
      <c r="M58" s="248"/>
      <c r="N58" s="248"/>
      <c r="O58" s="18"/>
      <c r="Q58" s="192"/>
      <c r="R58" s="192"/>
      <c r="S58" s="192"/>
    </row>
    <row r="59" spans="2:27">
      <c r="B59" s="192"/>
      <c r="C59" s="192"/>
      <c r="D59" s="192"/>
      <c r="E59" s="192"/>
      <c r="F59" s="192"/>
      <c r="G59" s="192"/>
      <c r="H59" s="192"/>
      <c r="I59" s="192"/>
      <c r="J59" s="192"/>
      <c r="K59" s="192"/>
      <c r="L59" s="192"/>
      <c r="M59" s="192"/>
      <c r="N59" s="192"/>
      <c r="O59" s="192"/>
      <c r="Q59" s="192"/>
      <c r="R59" s="192"/>
      <c r="S59" s="192"/>
    </row>
    <row r="60" spans="2:27">
      <c r="B60" s="296"/>
      <c r="C60" s="17"/>
      <c r="D60" s="17"/>
      <c r="E60" s="17"/>
      <c r="F60" s="17"/>
      <c r="G60" s="17"/>
      <c r="H60" s="17"/>
      <c r="I60" s="249"/>
      <c r="J60" s="17"/>
      <c r="K60" s="17"/>
      <c r="L60" s="17"/>
      <c r="M60" s="17"/>
      <c r="N60" s="17"/>
      <c r="O60" s="251"/>
      <c r="Q60" s="192"/>
      <c r="R60" s="192"/>
      <c r="S60" s="192"/>
    </row>
    <row r="61" spans="2:27">
      <c r="B61" s="192"/>
      <c r="C61" s="192"/>
      <c r="D61" s="192"/>
      <c r="E61" s="192"/>
      <c r="F61" s="192"/>
      <c r="G61" s="192"/>
      <c r="H61" s="192"/>
      <c r="I61" s="192"/>
      <c r="J61" s="192"/>
      <c r="K61" s="192"/>
      <c r="L61" s="192"/>
      <c r="M61" s="192"/>
      <c r="N61" s="192"/>
      <c r="O61" s="192"/>
      <c r="Q61" s="296"/>
      <c r="R61" s="192"/>
      <c r="S61" s="192"/>
    </row>
    <row r="62" spans="2:27">
      <c r="B62" s="296"/>
      <c r="C62" s="249"/>
      <c r="D62" s="249"/>
      <c r="E62" s="249"/>
      <c r="F62" s="249"/>
      <c r="G62" s="249"/>
      <c r="H62" s="249"/>
      <c r="I62" s="192"/>
      <c r="J62" s="249"/>
      <c r="K62" s="249"/>
      <c r="L62" s="249"/>
      <c r="M62" s="249"/>
      <c r="N62" s="249"/>
      <c r="O62" s="251"/>
      <c r="Q62" s="192"/>
      <c r="R62" s="192"/>
      <c r="S62" s="192"/>
    </row>
    <row r="63" spans="2:27">
      <c r="B63" s="192"/>
      <c r="C63" s="192"/>
      <c r="D63" s="192"/>
      <c r="E63" s="192"/>
      <c r="F63" s="192"/>
      <c r="G63" s="192"/>
      <c r="H63" s="192"/>
      <c r="I63" s="254"/>
      <c r="J63" s="192"/>
      <c r="K63" s="192"/>
      <c r="L63" s="192"/>
      <c r="M63" s="192"/>
      <c r="N63" s="192"/>
      <c r="O63" s="192"/>
      <c r="Q63" s="192"/>
      <c r="R63" s="192"/>
      <c r="S63" s="192"/>
    </row>
    <row r="64" spans="2:27">
      <c r="B64" s="192"/>
      <c r="C64" s="192"/>
      <c r="D64" s="192"/>
      <c r="E64" s="192"/>
      <c r="F64" s="192"/>
      <c r="G64" s="192"/>
      <c r="H64" s="192"/>
      <c r="I64" s="17"/>
      <c r="J64" s="192"/>
      <c r="K64" s="192"/>
      <c r="L64" s="192"/>
      <c r="M64" s="192"/>
      <c r="N64" s="192"/>
      <c r="O64" s="192"/>
      <c r="Q64" s="192"/>
      <c r="R64" s="192"/>
      <c r="S64" s="192"/>
    </row>
    <row r="65" spans="2:26">
      <c r="B65" s="296"/>
      <c r="C65" s="249"/>
      <c r="D65" s="254"/>
      <c r="E65" s="254"/>
      <c r="F65" s="254"/>
      <c r="G65" s="254"/>
      <c r="H65" s="254"/>
      <c r="I65" s="254"/>
      <c r="J65" s="254"/>
      <c r="K65" s="254"/>
      <c r="L65" s="254"/>
      <c r="M65" s="254"/>
      <c r="N65" s="254"/>
      <c r="O65" s="251"/>
      <c r="Q65" s="192"/>
      <c r="R65" s="192"/>
      <c r="S65" s="192"/>
    </row>
    <row r="66" spans="2:26">
      <c r="B66" s="192"/>
      <c r="C66" s="192"/>
      <c r="D66" s="17"/>
      <c r="E66" s="17"/>
      <c r="F66" s="17"/>
      <c r="G66" s="17"/>
      <c r="H66" s="17"/>
      <c r="I66" s="248"/>
      <c r="J66" s="17"/>
      <c r="K66" s="17"/>
      <c r="L66" s="17"/>
      <c r="M66" s="17"/>
      <c r="N66" s="17"/>
      <c r="O66" s="192"/>
      <c r="Q66" s="192"/>
      <c r="R66" s="192"/>
      <c r="S66" s="192"/>
    </row>
    <row r="67" spans="2:26">
      <c r="B67" s="296"/>
      <c r="C67" s="249"/>
      <c r="D67" s="254"/>
      <c r="E67" s="254"/>
      <c r="F67" s="254"/>
      <c r="G67" s="254"/>
      <c r="H67" s="254"/>
      <c r="I67" s="192"/>
      <c r="J67" s="254"/>
      <c r="K67" s="254"/>
      <c r="L67" s="254"/>
      <c r="M67" s="254"/>
      <c r="N67" s="254"/>
      <c r="O67" s="251"/>
      <c r="Q67" s="296"/>
      <c r="R67" s="192"/>
      <c r="S67" s="192"/>
    </row>
    <row r="68" spans="2:26">
      <c r="B68" s="192"/>
      <c r="C68" s="192"/>
      <c r="D68" s="248"/>
      <c r="E68" s="248"/>
      <c r="F68" s="248"/>
      <c r="G68" s="248"/>
      <c r="H68" s="248"/>
      <c r="I68" s="299"/>
      <c r="J68" s="248"/>
      <c r="K68" s="248"/>
      <c r="L68" s="248"/>
      <c r="M68" s="248"/>
      <c r="N68" s="248"/>
      <c r="O68" s="192"/>
      <c r="Q68" s="192"/>
      <c r="R68" s="192"/>
      <c r="S68" s="192"/>
    </row>
    <row r="69" spans="2:26">
      <c r="B69" s="296"/>
      <c r="C69" s="192"/>
      <c r="D69" s="192"/>
      <c r="E69" s="192"/>
      <c r="F69" s="192"/>
      <c r="G69" s="192"/>
      <c r="H69" s="192"/>
      <c r="I69" s="248"/>
      <c r="J69" s="192"/>
      <c r="K69" s="192"/>
      <c r="L69" s="192"/>
      <c r="M69" s="192"/>
      <c r="N69" s="192"/>
      <c r="O69" s="192"/>
      <c r="Q69" s="192"/>
      <c r="R69" s="192"/>
      <c r="S69" s="192"/>
    </row>
    <row r="70" spans="2:26">
      <c r="B70" s="296"/>
      <c r="C70" s="299"/>
      <c r="D70" s="299"/>
      <c r="E70" s="299"/>
      <c r="F70" s="299"/>
      <c r="G70" s="299"/>
      <c r="H70" s="299"/>
      <c r="I70" s="192"/>
      <c r="J70" s="299"/>
      <c r="K70" s="299"/>
      <c r="L70" s="299"/>
      <c r="M70" s="299"/>
      <c r="N70" s="299"/>
      <c r="O70" s="251"/>
      <c r="Q70" s="192"/>
      <c r="R70" s="192"/>
      <c r="S70" s="192"/>
      <c r="W70" s="309"/>
      <c r="X70" s="309"/>
    </row>
    <row r="71" spans="2:26">
      <c r="B71" s="192"/>
      <c r="C71" s="192"/>
      <c r="D71" s="248"/>
      <c r="E71" s="248"/>
      <c r="F71" s="248"/>
      <c r="G71" s="248"/>
      <c r="H71" s="248"/>
      <c r="I71" s="299"/>
      <c r="J71" s="248"/>
      <c r="K71" s="248"/>
      <c r="L71" s="248"/>
      <c r="M71" s="248"/>
      <c r="N71" s="248"/>
      <c r="O71" s="192"/>
      <c r="Q71" s="192"/>
      <c r="R71" s="192"/>
      <c r="S71" s="192"/>
      <c r="W71" s="309"/>
      <c r="X71" s="309"/>
      <c r="Y71" s="309"/>
      <c r="Z71" s="309"/>
    </row>
    <row r="72" spans="2:26">
      <c r="B72" s="296"/>
      <c r="C72" s="192"/>
      <c r="D72" s="192"/>
      <c r="E72" s="192"/>
      <c r="F72" s="192"/>
      <c r="G72" s="192"/>
      <c r="H72" s="192"/>
      <c r="I72" s="18"/>
      <c r="J72" s="192"/>
      <c r="K72" s="192"/>
      <c r="L72" s="192"/>
      <c r="M72" s="192"/>
      <c r="N72" s="192"/>
      <c r="O72" s="192"/>
      <c r="Q72" s="192"/>
      <c r="R72" s="192"/>
      <c r="S72" s="192"/>
      <c r="Y72" s="309"/>
      <c r="Z72" s="309"/>
    </row>
    <row r="73" spans="2:26">
      <c r="B73" s="296"/>
      <c r="C73" s="299"/>
      <c r="D73" s="299"/>
      <c r="E73" s="299"/>
      <c r="F73" s="299"/>
      <c r="G73" s="299"/>
      <c r="H73" s="299"/>
      <c r="I73" s="192"/>
      <c r="J73" s="299"/>
      <c r="K73" s="299"/>
      <c r="L73" s="299"/>
      <c r="M73" s="299"/>
      <c r="N73" s="299"/>
      <c r="O73" s="251"/>
      <c r="Q73" s="192"/>
      <c r="R73" s="192"/>
      <c r="S73" s="192"/>
    </row>
    <row r="74" spans="2:26">
      <c r="B74" s="192"/>
      <c r="C74" s="192"/>
      <c r="D74" s="18"/>
      <c r="E74" s="18"/>
      <c r="F74" s="18"/>
      <c r="G74" s="18"/>
      <c r="H74" s="18"/>
      <c r="I74" s="249"/>
      <c r="J74" s="18"/>
      <c r="K74" s="18"/>
      <c r="L74" s="18"/>
      <c r="M74" s="18"/>
      <c r="N74" s="18"/>
      <c r="O74" s="192"/>
      <c r="Q74" s="192"/>
      <c r="R74" s="192"/>
      <c r="S74" s="192"/>
    </row>
    <row r="75" spans="2:26">
      <c r="B75" s="296"/>
      <c r="C75" s="192"/>
      <c r="D75" s="192"/>
      <c r="E75" s="192"/>
      <c r="F75" s="192"/>
      <c r="G75" s="192"/>
      <c r="H75" s="192"/>
      <c r="I75" s="248"/>
      <c r="J75" s="192"/>
      <c r="K75" s="192"/>
      <c r="L75" s="192"/>
      <c r="M75" s="192"/>
      <c r="N75" s="192"/>
      <c r="O75" s="192"/>
      <c r="Q75" s="192"/>
      <c r="R75" s="192"/>
      <c r="S75" s="192"/>
    </row>
    <row r="76" spans="2:26">
      <c r="B76" s="296"/>
      <c r="C76" s="249"/>
      <c r="D76" s="249"/>
      <c r="E76" s="249"/>
      <c r="F76" s="249"/>
      <c r="G76" s="249"/>
      <c r="H76" s="249"/>
      <c r="I76" s="192"/>
      <c r="J76" s="249"/>
      <c r="K76" s="249"/>
      <c r="L76" s="249"/>
      <c r="M76" s="249"/>
      <c r="N76" s="249"/>
      <c r="O76" s="251"/>
      <c r="Q76" s="192"/>
      <c r="R76" s="192"/>
      <c r="S76" s="192"/>
    </row>
    <row r="77" spans="2:26">
      <c r="B77" s="192"/>
      <c r="C77" s="192"/>
      <c r="D77" s="248"/>
      <c r="E77" s="248"/>
      <c r="F77" s="248"/>
      <c r="G77" s="248"/>
      <c r="H77" s="248"/>
      <c r="I77" s="299"/>
      <c r="J77" s="248"/>
      <c r="K77" s="248"/>
      <c r="L77" s="248"/>
      <c r="M77" s="248"/>
      <c r="N77" s="248"/>
      <c r="O77" s="192"/>
      <c r="Q77" s="192"/>
      <c r="R77" s="192"/>
      <c r="S77" s="192"/>
    </row>
    <row r="78" spans="2:26">
      <c r="B78" s="296"/>
      <c r="C78" s="192"/>
      <c r="D78" s="192"/>
      <c r="E78" s="192"/>
      <c r="F78" s="192"/>
      <c r="G78" s="192"/>
      <c r="H78" s="192"/>
      <c r="I78" s="248"/>
      <c r="J78" s="192"/>
      <c r="K78" s="192"/>
      <c r="L78" s="192"/>
      <c r="M78" s="192"/>
      <c r="N78" s="192"/>
      <c r="O78" s="192"/>
      <c r="Q78" s="192"/>
      <c r="R78" s="192"/>
      <c r="S78" s="192"/>
    </row>
    <row r="79" spans="2:26">
      <c r="B79" s="296"/>
      <c r="C79" s="299"/>
      <c r="D79" s="299"/>
      <c r="E79" s="299"/>
      <c r="F79" s="299"/>
      <c r="G79" s="299"/>
      <c r="H79" s="299"/>
      <c r="I79" s="192"/>
      <c r="J79" s="299"/>
      <c r="K79" s="299"/>
      <c r="L79" s="299"/>
      <c r="M79" s="299"/>
      <c r="N79" s="299"/>
      <c r="O79" s="251"/>
      <c r="Q79" s="192"/>
      <c r="R79" s="192"/>
      <c r="S79" s="192"/>
    </row>
    <row r="80" spans="2:26">
      <c r="B80" s="192"/>
      <c r="C80" s="192"/>
      <c r="D80" s="248"/>
      <c r="E80" s="248"/>
      <c r="F80" s="248"/>
      <c r="G80" s="248"/>
      <c r="H80" s="248"/>
      <c r="I80" s="249"/>
      <c r="J80" s="248"/>
      <c r="K80" s="248"/>
      <c r="L80" s="248"/>
      <c r="M80" s="248"/>
      <c r="N80" s="248"/>
      <c r="O80" s="192"/>
      <c r="Q80" s="192"/>
      <c r="R80" s="192"/>
      <c r="S80" s="192"/>
    </row>
    <row r="81" spans="2:26">
      <c r="B81" s="296"/>
      <c r="C81" s="192"/>
      <c r="D81" s="192"/>
      <c r="E81" s="192"/>
      <c r="F81" s="192"/>
      <c r="G81" s="192"/>
      <c r="H81" s="192"/>
      <c r="I81" s="248"/>
      <c r="J81" s="192"/>
      <c r="K81" s="192"/>
      <c r="L81" s="192"/>
      <c r="M81" s="192"/>
      <c r="N81" s="192"/>
      <c r="O81" s="192"/>
      <c r="Q81" s="192"/>
      <c r="R81" s="192"/>
      <c r="S81" s="192"/>
    </row>
    <row r="82" spans="2:26">
      <c r="B82" s="296"/>
      <c r="C82" s="249"/>
      <c r="D82" s="249"/>
      <c r="E82" s="249"/>
      <c r="F82" s="249"/>
      <c r="G82" s="249"/>
      <c r="H82" s="249"/>
      <c r="I82" s="259"/>
      <c r="J82" s="249"/>
      <c r="K82" s="249"/>
      <c r="L82" s="249"/>
      <c r="M82" s="249"/>
      <c r="N82" s="249"/>
      <c r="O82" s="251"/>
      <c r="Q82" s="192"/>
      <c r="R82" s="192"/>
      <c r="S82" s="192"/>
    </row>
    <row r="83" spans="2:26">
      <c r="B83" s="192"/>
      <c r="C83" s="192"/>
      <c r="D83" s="248"/>
      <c r="E83" s="248"/>
      <c r="F83" s="248"/>
      <c r="G83" s="248"/>
      <c r="H83" s="248"/>
      <c r="I83" s="192"/>
      <c r="J83" s="248"/>
      <c r="K83" s="248"/>
      <c r="L83" s="248"/>
      <c r="M83" s="248"/>
      <c r="N83" s="248"/>
      <c r="O83" s="192"/>
      <c r="Q83" s="192"/>
      <c r="R83" s="192"/>
      <c r="S83" s="192"/>
    </row>
    <row r="84" spans="2:26">
      <c r="B84" s="192"/>
      <c r="C84" s="259"/>
      <c r="D84" s="259"/>
      <c r="E84" s="259"/>
      <c r="F84" s="259"/>
      <c r="G84" s="259"/>
      <c r="H84" s="259"/>
      <c r="I84" s="299"/>
      <c r="J84" s="259"/>
      <c r="K84" s="259"/>
      <c r="L84" s="259"/>
      <c r="M84" s="259"/>
      <c r="N84" s="259"/>
      <c r="O84" s="251"/>
      <c r="Q84" s="192"/>
      <c r="R84" s="192"/>
      <c r="S84" s="192"/>
    </row>
    <row r="85" spans="2:26">
      <c r="B85" s="296"/>
      <c r="C85" s="192"/>
      <c r="D85" s="192"/>
      <c r="E85" s="192"/>
      <c r="F85" s="192"/>
      <c r="G85" s="192"/>
      <c r="H85" s="192"/>
      <c r="I85" s="248"/>
      <c r="J85" s="192"/>
      <c r="K85" s="192"/>
      <c r="L85" s="192"/>
      <c r="M85" s="192"/>
      <c r="N85" s="192"/>
      <c r="O85" s="192"/>
      <c r="Q85" s="192"/>
      <c r="R85" s="192"/>
      <c r="S85" s="192"/>
    </row>
    <row r="86" spans="2:26">
      <c r="B86" s="296"/>
      <c r="C86" s="299"/>
      <c r="D86" s="299"/>
      <c r="E86" s="299"/>
      <c r="F86" s="299"/>
      <c r="G86" s="299"/>
      <c r="H86" s="299"/>
      <c r="I86" s="192"/>
      <c r="J86" s="299"/>
      <c r="K86" s="299"/>
      <c r="L86" s="299"/>
      <c r="M86" s="299"/>
      <c r="N86" s="299"/>
      <c r="O86" s="251"/>
      <c r="Q86" s="192"/>
      <c r="R86" s="192"/>
      <c r="S86" s="192"/>
    </row>
    <row r="87" spans="2:26">
      <c r="B87" s="192"/>
      <c r="C87" s="192"/>
      <c r="D87" s="248"/>
      <c r="E87" s="248"/>
      <c r="F87" s="248"/>
      <c r="G87" s="248"/>
      <c r="H87" s="248"/>
      <c r="I87" s="192"/>
      <c r="J87" s="248"/>
      <c r="K87" s="248"/>
      <c r="L87" s="248"/>
      <c r="M87" s="248"/>
      <c r="N87" s="248"/>
      <c r="O87" s="192"/>
      <c r="Q87" s="192"/>
      <c r="R87" s="192"/>
      <c r="S87" s="192"/>
    </row>
    <row r="88" spans="2:26">
      <c r="B88" s="296"/>
      <c r="C88" s="192"/>
      <c r="D88" s="192"/>
      <c r="E88" s="192"/>
      <c r="F88" s="192"/>
      <c r="G88" s="192"/>
      <c r="H88" s="192"/>
      <c r="I88" s="192"/>
      <c r="J88" s="192"/>
      <c r="K88" s="192"/>
      <c r="L88" s="192"/>
      <c r="M88" s="192"/>
      <c r="N88" s="192"/>
      <c r="O88" s="192"/>
      <c r="Q88" s="192"/>
      <c r="R88" s="192"/>
      <c r="S88" s="192"/>
    </row>
    <row r="89" spans="2:26">
      <c r="B89" s="296"/>
      <c r="C89" s="192"/>
      <c r="D89" s="192"/>
      <c r="E89" s="192"/>
      <c r="F89" s="192"/>
      <c r="G89" s="192"/>
      <c r="H89" s="192"/>
      <c r="I89" s="192"/>
      <c r="J89" s="192"/>
      <c r="K89" s="192"/>
      <c r="L89" s="192"/>
      <c r="M89" s="192"/>
      <c r="N89" s="192"/>
      <c r="O89" s="192"/>
      <c r="Q89" s="192"/>
      <c r="R89" s="192"/>
      <c r="S89" s="192"/>
    </row>
    <row r="90" spans="2:26">
      <c r="B90" s="296"/>
      <c r="C90" s="192"/>
      <c r="D90" s="192"/>
      <c r="E90" s="192"/>
      <c r="F90" s="192"/>
      <c r="G90" s="192"/>
      <c r="H90" s="192"/>
      <c r="I90" s="293"/>
      <c r="J90" s="192"/>
      <c r="K90" s="192"/>
      <c r="L90" s="192"/>
      <c r="M90" s="192"/>
      <c r="N90" s="192"/>
      <c r="O90" s="192"/>
      <c r="Q90" s="296"/>
      <c r="R90" s="192"/>
      <c r="S90" s="192"/>
    </row>
    <row r="91" spans="2:26">
      <c r="B91" s="192"/>
      <c r="C91" s="192"/>
      <c r="D91" s="192"/>
      <c r="E91" s="192"/>
      <c r="F91" s="192"/>
      <c r="G91" s="192"/>
      <c r="H91" s="192"/>
      <c r="I91" s="192"/>
      <c r="J91" s="192"/>
      <c r="K91" s="192"/>
      <c r="L91" s="192"/>
      <c r="M91" s="192"/>
      <c r="N91" s="192"/>
      <c r="O91" s="192"/>
      <c r="Q91" s="192"/>
      <c r="R91" s="192"/>
      <c r="S91" s="192"/>
    </row>
    <row r="92" spans="2:26">
      <c r="B92" s="296"/>
      <c r="C92" s="293"/>
      <c r="D92" s="293"/>
      <c r="E92" s="293"/>
      <c r="F92" s="293"/>
      <c r="G92" s="293"/>
      <c r="H92" s="293"/>
      <c r="I92" s="247"/>
      <c r="J92" s="293"/>
      <c r="K92" s="293"/>
      <c r="L92" s="293"/>
      <c r="M92" s="293"/>
      <c r="N92" s="293"/>
      <c r="O92" s="293"/>
      <c r="Q92" s="192"/>
      <c r="R92" s="192"/>
      <c r="S92" s="192"/>
      <c r="W92" s="310"/>
      <c r="X92" s="310"/>
    </row>
    <row r="93" spans="2:26">
      <c r="B93" s="192"/>
      <c r="C93" s="192"/>
      <c r="D93" s="192"/>
      <c r="E93" s="192"/>
      <c r="F93" s="192"/>
      <c r="G93" s="192"/>
      <c r="H93" s="192"/>
      <c r="I93" s="247"/>
      <c r="J93" s="192"/>
      <c r="K93" s="192"/>
      <c r="L93" s="192"/>
      <c r="M93" s="192"/>
      <c r="N93" s="192"/>
      <c r="O93" s="192"/>
      <c r="Q93" s="192"/>
      <c r="R93" s="192"/>
      <c r="S93" s="192"/>
      <c r="W93" s="310"/>
      <c r="X93" s="310"/>
      <c r="Y93" s="310"/>
      <c r="Z93" s="310"/>
    </row>
    <row r="94" spans="2:26">
      <c r="B94" s="192"/>
      <c r="C94" s="259"/>
      <c r="D94" s="247"/>
      <c r="E94" s="247"/>
      <c r="F94" s="247"/>
      <c r="G94" s="247"/>
      <c r="H94" s="247"/>
      <c r="I94" s="247"/>
      <c r="J94" s="247"/>
      <c r="K94" s="247"/>
      <c r="L94" s="247"/>
      <c r="M94" s="247"/>
      <c r="N94" s="247"/>
      <c r="O94" s="248"/>
      <c r="Q94" s="192"/>
      <c r="R94" s="192"/>
      <c r="S94" s="192"/>
      <c r="Y94" s="310"/>
      <c r="Z94" s="310"/>
    </row>
    <row r="95" spans="2:26">
      <c r="B95" s="192"/>
      <c r="C95" s="259"/>
      <c r="D95" s="247"/>
      <c r="E95" s="247"/>
      <c r="F95" s="247"/>
      <c r="G95" s="247"/>
      <c r="H95" s="247"/>
      <c r="I95" s="248"/>
      <c r="J95" s="247"/>
      <c r="K95" s="247"/>
      <c r="L95" s="247"/>
      <c r="M95" s="247"/>
      <c r="N95" s="247"/>
      <c r="O95" s="248"/>
      <c r="Q95" s="192"/>
      <c r="R95" s="192"/>
      <c r="S95" s="192"/>
    </row>
    <row r="96" spans="2:26">
      <c r="B96" s="192"/>
      <c r="C96" s="259"/>
      <c r="D96" s="247"/>
      <c r="E96" s="247"/>
      <c r="F96" s="247"/>
      <c r="G96" s="247"/>
      <c r="H96" s="247"/>
      <c r="I96" s="247"/>
      <c r="J96" s="247"/>
      <c r="K96" s="247"/>
      <c r="L96" s="247"/>
      <c r="M96" s="247"/>
      <c r="N96" s="247"/>
      <c r="O96" s="248"/>
      <c r="Q96" s="192"/>
      <c r="R96" s="192"/>
      <c r="S96" s="192"/>
    </row>
    <row r="97" spans="2:19">
      <c r="B97" s="192"/>
      <c r="C97" s="259"/>
      <c r="D97" s="248"/>
      <c r="E97" s="248"/>
      <c r="F97" s="248"/>
      <c r="G97" s="248"/>
      <c r="H97" s="248"/>
      <c r="I97" s="249"/>
      <c r="J97" s="248"/>
      <c r="K97" s="248"/>
      <c r="L97" s="248"/>
      <c r="M97" s="248"/>
      <c r="N97" s="248"/>
      <c r="O97" s="248"/>
      <c r="Q97" s="192"/>
      <c r="R97" s="192"/>
      <c r="S97" s="192"/>
    </row>
    <row r="98" spans="2:19">
      <c r="B98" s="192"/>
      <c r="C98" s="259"/>
      <c r="D98" s="247"/>
      <c r="E98" s="247"/>
      <c r="F98" s="247"/>
      <c r="G98" s="247"/>
      <c r="H98" s="247"/>
      <c r="I98" s="248"/>
      <c r="J98" s="247"/>
      <c r="K98" s="247"/>
      <c r="L98" s="247"/>
      <c r="M98" s="247"/>
      <c r="N98" s="247"/>
      <c r="O98" s="248"/>
      <c r="Q98" s="192"/>
      <c r="R98" s="192"/>
      <c r="S98" s="192"/>
    </row>
    <row r="99" spans="2:19">
      <c r="B99" s="296"/>
      <c r="C99" s="249"/>
      <c r="D99" s="249"/>
      <c r="E99" s="249"/>
      <c r="F99" s="249"/>
      <c r="G99" s="249"/>
      <c r="H99" s="249"/>
      <c r="I99" s="192"/>
      <c r="J99" s="249"/>
      <c r="K99" s="249"/>
      <c r="L99" s="249"/>
      <c r="M99" s="249"/>
      <c r="N99" s="249"/>
      <c r="O99" s="248"/>
      <c r="Q99" s="192"/>
      <c r="R99" s="192"/>
      <c r="S99" s="192"/>
    </row>
    <row r="100" spans="2:19">
      <c r="B100" s="296"/>
      <c r="C100" s="257"/>
      <c r="D100" s="248"/>
      <c r="E100" s="248"/>
      <c r="F100" s="248"/>
      <c r="G100" s="248"/>
      <c r="H100" s="248"/>
      <c r="I100" s="259"/>
      <c r="J100" s="248"/>
      <c r="K100" s="248"/>
      <c r="L100" s="248"/>
      <c r="M100" s="248"/>
      <c r="N100" s="248"/>
      <c r="O100" s="248"/>
      <c r="Q100" s="192"/>
      <c r="R100" s="192"/>
      <c r="S100" s="192"/>
    </row>
    <row r="101" spans="2:19" s="192" customFormat="1">
      <c r="B101" s="296"/>
      <c r="I101" s="259"/>
      <c r="O101" s="248"/>
      <c r="P101" s="292"/>
    </row>
    <row r="102" spans="2:19">
      <c r="B102" s="192"/>
      <c r="C102" s="259"/>
      <c r="D102" s="259"/>
      <c r="E102" s="259"/>
      <c r="F102" s="259"/>
      <c r="G102" s="259"/>
      <c r="H102" s="259"/>
      <c r="I102" s="247"/>
      <c r="J102" s="259"/>
      <c r="K102" s="259"/>
      <c r="L102" s="259"/>
      <c r="M102" s="259"/>
      <c r="N102" s="259"/>
      <c r="O102" s="192"/>
      <c r="Q102" s="192"/>
      <c r="R102" s="192"/>
      <c r="S102" s="192"/>
    </row>
    <row r="103" spans="2:19">
      <c r="B103" s="192"/>
      <c r="C103" s="259"/>
      <c r="D103" s="259"/>
      <c r="E103" s="259"/>
      <c r="F103" s="259"/>
      <c r="G103" s="259"/>
      <c r="H103" s="259"/>
      <c r="I103" s="192"/>
      <c r="J103" s="259"/>
      <c r="K103" s="259"/>
      <c r="L103" s="259"/>
      <c r="M103" s="259"/>
      <c r="N103" s="259"/>
      <c r="O103" s="192"/>
      <c r="P103" s="192"/>
      <c r="Q103" s="192"/>
      <c r="R103" s="192"/>
      <c r="S103" s="192"/>
    </row>
    <row r="104" spans="2:19">
      <c r="B104" s="192"/>
      <c r="C104" s="247"/>
      <c r="D104" s="247"/>
      <c r="E104" s="247"/>
      <c r="F104" s="247"/>
      <c r="G104" s="247"/>
      <c r="H104" s="247"/>
      <c r="I104" s="247"/>
      <c r="J104" s="247"/>
      <c r="K104" s="247"/>
      <c r="L104" s="247"/>
      <c r="M104" s="247"/>
      <c r="N104" s="247"/>
      <c r="O104" s="192"/>
      <c r="Q104" s="192"/>
      <c r="R104" s="192"/>
      <c r="S104" s="192"/>
    </row>
    <row r="105" spans="2:19" s="192" customFormat="1">
      <c r="P105" s="292"/>
    </row>
    <row r="106" spans="2:19" s="192" customFormat="1">
      <c r="C106" s="259"/>
      <c r="D106" s="247"/>
      <c r="E106" s="247"/>
      <c r="F106" s="247"/>
      <c r="G106" s="247"/>
      <c r="H106" s="247"/>
      <c r="I106" s="259"/>
      <c r="J106" s="247"/>
      <c r="K106" s="247"/>
      <c r="L106" s="247"/>
      <c r="M106" s="247"/>
      <c r="N106" s="247"/>
      <c r="P106" s="292"/>
    </row>
    <row r="107" spans="2:19">
      <c r="B107" s="192"/>
      <c r="C107" s="259"/>
      <c r="D107" s="192"/>
      <c r="E107" s="192"/>
      <c r="F107" s="192"/>
      <c r="G107" s="192"/>
      <c r="H107" s="192"/>
      <c r="I107" s="247"/>
      <c r="J107" s="192"/>
      <c r="K107" s="192"/>
      <c r="L107" s="192"/>
      <c r="M107" s="192"/>
      <c r="N107" s="192"/>
      <c r="O107" s="192"/>
      <c r="P107" s="192"/>
      <c r="Q107" s="192"/>
      <c r="R107" s="192"/>
      <c r="S107" s="192"/>
    </row>
    <row r="108" spans="2:19">
      <c r="B108" s="192"/>
      <c r="C108" s="259"/>
      <c r="D108" s="259"/>
      <c r="E108" s="259"/>
      <c r="F108" s="259"/>
      <c r="G108" s="259"/>
      <c r="H108" s="259"/>
      <c r="I108" s="249"/>
      <c r="J108" s="259"/>
      <c r="K108" s="259"/>
      <c r="L108" s="259"/>
      <c r="M108" s="259"/>
      <c r="N108" s="259"/>
      <c r="O108" s="192"/>
      <c r="P108" s="192"/>
      <c r="Q108" s="192"/>
      <c r="R108" s="192"/>
      <c r="S108" s="192"/>
    </row>
    <row r="109" spans="2:19">
      <c r="B109" s="192"/>
      <c r="C109" s="247"/>
      <c r="D109" s="247"/>
      <c r="E109" s="247"/>
      <c r="F109" s="247"/>
      <c r="G109" s="247"/>
      <c r="H109" s="247"/>
      <c r="I109" s="249"/>
      <c r="J109" s="247"/>
      <c r="K109" s="247"/>
      <c r="L109" s="247"/>
      <c r="M109" s="247"/>
      <c r="N109" s="247"/>
      <c r="O109" s="192"/>
      <c r="Q109" s="192"/>
      <c r="R109" s="192"/>
      <c r="S109" s="192"/>
    </row>
    <row r="110" spans="2:19">
      <c r="B110" s="296"/>
      <c r="C110" s="249"/>
      <c r="D110" s="249"/>
      <c r="E110" s="249"/>
      <c r="F110" s="249"/>
      <c r="G110" s="249"/>
      <c r="H110" s="249"/>
      <c r="I110" s="247"/>
      <c r="J110" s="249"/>
      <c r="K110" s="249"/>
      <c r="L110" s="249"/>
      <c r="M110" s="249"/>
      <c r="N110" s="249"/>
      <c r="O110" s="192"/>
      <c r="Q110" s="192"/>
      <c r="R110" s="192"/>
      <c r="S110" s="192"/>
    </row>
    <row r="111" spans="2:19">
      <c r="B111" s="192"/>
      <c r="C111" s="249"/>
      <c r="D111" s="249"/>
      <c r="E111" s="249"/>
      <c r="F111" s="249"/>
      <c r="G111" s="249"/>
      <c r="H111" s="249"/>
      <c r="I111" s="192"/>
      <c r="J111" s="249"/>
      <c r="K111" s="249"/>
      <c r="L111" s="249"/>
      <c r="M111" s="249"/>
      <c r="N111" s="249"/>
      <c r="O111" s="192"/>
      <c r="Q111" s="192"/>
      <c r="R111" s="192"/>
      <c r="S111" s="192"/>
    </row>
    <row r="112" spans="2:19">
      <c r="B112" s="192"/>
      <c r="C112" s="247"/>
      <c r="D112" s="247"/>
      <c r="E112" s="247"/>
      <c r="F112" s="247"/>
      <c r="G112" s="247"/>
      <c r="H112" s="247"/>
      <c r="I112" s="192"/>
      <c r="J112" s="247"/>
      <c r="K112" s="247"/>
      <c r="L112" s="247"/>
      <c r="M112" s="247"/>
      <c r="N112" s="247"/>
      <c r="O112" s="192"/>
      <c r="Q112" s="192"/>
      <c r="R112" s="192"/>
      <c r="S112" s="192"/>
    </row>
    <row r="113" spans="2:19">
      <c r="B113" s="192"/>
      <c r="C113" s="192"/>
      <c r="D113" s="192"/>
      <c r="E113" s="192"/>
      <c r="F113" s="192"/>
      <c r="G113" s="192"/>
      <c r="H113" s="192"/>
      <c r="I113" s="192"/>
      <c r="J113" s="192"/>
      <c r="K113" s="192"/>
      <c r="L113" s="192"/>
      <c r="M113" s="192"/>
      <c r="N113" s="192"/>
      <c r="O113" s="192"/>
      <c r="Q113" s="192"/>
      <c r="R113" s="192"/>
      <c r="S113" s="192"/>
    </row>
    <row r="114" spans="2:19">
      <c r="B114" s="192"/>
      <c r="C114" s="192"/>
      <c r="D114" s="192"/>
      <c r="E114" s="192"/>
      <c r="F114" s="192"/>
      <c r="G114" s="192"/>
      <c r="H114" s="192"/>
      <c r="I114" s="192"/>
      <c r="J114" s="192"/>
      <c r="K114" s="192"/>
      <c r="L114" s="192"/>
      <c r="M114" s="192"/>
      <c r="N114" s="192"/>
      <c r="O114" s="192"/>
      <c r="Q114" s="192"/>
      <c r="R114" s="192"/>
      <c r="S114" s="192"/>
    </row>
    <row r="115" spans="2:19">
      <c r="B115" s="192"/>
      <c r="C115" s="192"/>
      <c r="D115" s="192"/>
      <c r="E115" s="192"/>
      <c r="F115" s="192"/>
      <c r="G115" s="192"/>
      <c r="H115" s="192"/>
      <c r="I115" s="293"/>
      <c r="J115" s="192"/>
      <c r="K115" s="192"/>
      <c r="L115" s="192"/>
      <c r="M115" s="192"/>
      <c r="N115" s="192"/>
      <c r="O115" s="192"/>
      <c r="Q115" s="296"/>
      <c r="R115" s="192"/>
      <c r="S115" s="192"/>
    </row>
    <row r="116" spans="2:19">
      <c r="B116" s="192"/>
      <c r="C116" s="192"/>
      <c r="D116" s="192"/>
      <c r="E116" s="192"/>
      <c r="F116" s="192"/>
      <c r="G116" s="192"/>
      <c r="H116" s="192"/>
      <c r="I116" s="192"/>
      <c r="J116" s="192"/>
      <c r="K116" s="192"/>
      <c r="L116" s="192"/>
      <c r="M116" s="192"/>
      <c r="N116" s="192"/>
      <c r="O116" s="192"/>
      <c r="Q116" s="192"/>
      <c r="R116" s="192"/>
      <c r="S116" s="192"/>
    </row>
    <row r="117" spans="2:19">
      <c r="B117" s="296"/>
      <c r="C117" s="293"/>
      <c r="D117" s="293"/>
      <c r="E117" s="293"/>
      <c r="F117" s="293"/>
      <c r="G117" s="293"/>
      <c r="H117" s="293"/>
      <c r="I117" s="254"/>
      <c r="J117" s="293"/>
      <c r="K117" s="293"/>
      <c r="L117" s="293"/>
      <c r="M117" s="293"/>
      <c r="N117" s="293"/>
      <c r="O117" s="293"/>
      <c r="Q117" s="192"/>
      <c r="R117" s="192"/>
      <c r="S117" s="192"/>
    </row>
    <row r="118" spans="2:19">
      <c r="B118" s="192"/>
      <c r="C118" s="192"/>
      <c r="D118" s="192"/>
      <c r="E118" s="192"/>
      <c r="F118" s="192"/>
      <c r="G118" s="192"/>
      <c r="H118" s="192"/>
      <c r="I118" s="249"/>
      <c r="J118" s="192"/>
      <c r="K118" s="192"/>
      <c r="L118" s="192"/>
      <c r="M118" s="192"/>
      <c r="N118" s="192"/>
      <c r="O118" s="192"/>
      <c r="Q118" s="192"/>
      <c r="R118" s="192"/>
      <c r="S118" s="192"/>
    </row>
    <row r="119" spans="2:19">
      <c r="B119" s="296"/>
      <c r="C119" s="254"/>
      <c r="D119" s="254"/>
      <c r="E119" s="254"/>
      <c r="F119" s="254"/>
      <c r="G119" s="254"/>
      <c r="H119" s="254"/>
      <c r="I119" s="254"/>
      <c r="J119" s="254"/>
      <c r="K119" s="254"/>
      <c r="L119" s="254"/>
      <c r="M119" s="254"/>
      <c r="N119" s="254"/>
      <c r="O119" s="248"/>
      <c r="Q119" s="192"/>
      <c r="R119" s="192"/>
      <c r="S119" s="192"/>
    </row>
    <row r="120" spans="2:19">
      <c r="B120" s="296"/>
      <c r="C120" s="254"/>
      <c r="D120" s="249"/>
      <c r="E120" s="249"/>
      <c r="F120" s="249"/>
      <c r="G120" s="249"/>
      <c r="H120" s="249"/>
      <c r="I120" s="254"/>
      <c r="J120" s="249"/>
      <c r="K120" s="249"/>
      <c r="L120" s="249"/>
      <c r="M120" s="249"/>
      <c r="N120" s="249"/>
      <c r="O120" s="248"/>
      <c r="Q120" s="192"/>
      <c r="R120" s="192"/>
      <c r="S120" s="192"/>
    </row>
    <row r="121" spans="2:19">
      <c r="B121" s="296"/>
      <c r="C121" s="254"/>
      <c r="D121" s="254"/>
      <c r="E121" s="254"/>
      <c r="F121" s="254"/>
      <c r="G121" s="254"/>
      <c r="H121" s="254"/>
      <c r="I121" s="254"/>
      <c r="J121" s="254"/>
      <c r="K121" s="254"/>
      <c r="L121" s="254"/>
      <c r="M121" s="254"/>
      <c r="N121" s="254"/>
      <c r="O121" s="248"/>
      <c r="Q121" s="192"/>
      <c r="R121" s="192"/>
      <c r="S121" s="192"/>
    </row>
    <row r="122" spans="2:19">
      <c r="B122" s="296"/>
      <c r="C122" s="254"/>
      <c r="D122" s="254"/>
      <c r="E122" s="254"/>
      <c r="F122" s="254"/>
      <c r="G122" s="254"/>
      <c r="H122" s="254"/>
      <c r="I122" s="254"/>
      <c r="J122" s="254"/>
      <c r="K122" s="254"/>
      <c r="L122" s="254"/>
      <c r="M122" s="254"/>
      <c r="N122" s="254"/>
      <c r="O122" s="248"/>
      <c r="Q122" s="192"/>
      <c r="R122" s="192"/>
      <c r="S122" s="192"/>
    </row>
    <row r="123" spans="2:19">
      <c r="B123" s="296"/>
      <c r="C123" s="254"/>
      <c r="D123" s="254"/>
      <c r="E123" s="254"/>
      <c r="F123" s="254"/>
      <c r="G123" s="254"/>
      <c r="H123" s="254"/>
      <c r="I123" s="254"/>
      <c r="J123" s="254"/>
      <c r="K123" s="254"/>
      <c r="L123" s="254"/>
      <c r="M123" s="254"/>
      <c r="N123" s="254"/>
      <c r="O123" s="248"/>
      <c r="Q123" s="192"/>
      <c r="R123" s="192"/>
      <c r="S123" s="192"/>
    </row>
    <row r="124" spans="2:19">
      <c r="B124" s="296"/>
      <c r="C124" s="254"/>
      <c r="D124" s="254"/>
      <c r="E124" s="254"/>
      <c r="F124" s="254"/>
      <c r="G124" s="254"/>
      <c r="H124" s="254"/>
      <c r="I124" s="254"/>
      <c r="J124" s="254"/>
      <c r="K124" s="254"/>
      <c r="L124" s="254"/>
      <c r="M124" s="254"/>
      <c r="N124" s="254"/>
      <c r="O124" s="248"/>
      <c r="Q124" s="192"/>
      <c r="R124" s="192"/>
      <c r="S124" s="192"/>
    </row>
    <row r="125" spans="2:19">
      <c r="B125" s="296"/>
      <c r="C125" s="254"/>
      <c r="D125" s="254"/>
      <c r="E125" s="254"/>
      <c r="F125" s="254"/>
      <c r="G125" s="254"/>
      <c r="H125" s="254"/>
      <c r="I125" s="254"/>
      <c r="J125" s="254"/>
      <c r="K125" s="254"/>
      <c r="L125" s="254"/>
      <c r="M125" s="254"/>
      <c r="N125" s="254"/>
      <c r="O125" s="192"/>
      <c r="Q125" s="192"/>
      <c r="R125" s="192"/>
      <c r="S125" s="192"/>
    </row>
    <row r="126" spans="2:19">
      <c r="B126" s="296"/>
      <c r="C126" s="254"/>
      <c r="D126" s="254"/>
      <c r="E126" s="254"/>
      <c r="F126" s="254"/>
      <c r="G126" s="254"/>
      <c r="H126" s="254"/>
      <c r="I126" s="254"/>
      <c r="J126" s="254"/>
      <c r="K126" s="254"/>
      <c r="L126" s="254"/>
      <c r="M126" s="254"/>
      <c r="N126" s="254"/>
      <c r="O126" s="192"/>
      <c r="Q126" s="192"/>
      <c r="R126" s="192"/>
      <c r="S126" s="192"/>
    </row>
    <row r="127" spans="2:19">
      <c r="B127" s="296"/>
      <c r="C127" s="254"/>
      <c r="D127" s="254"/>
      <c r="E127" s="254"/>
      <c r="F127" s="254"/>
      <c r="G127" s="254"/>
      <c r="H127" s="254"/>
      <c r="I127" s="18"/>
      <c r="J127" s="254"/>
      <c r="K127" s="254"/>
      <c r="L127" s="254"/>
      <c r="M127" s="254"/>
      <c r="N127" s="254"/>
      <c r="O127" s="192"/>
      <c r="Q127" s="192"/>
      <c r="R127" s="192"/>
      <c r="S127" s="192"/>
    </row>
    <row r="128" spans="2:19">
      <c r="B128" s="296"/>
      <c r="C128" s="254"/>
      <c r="D128" s="254"/>
      <c r="E128" s="254"/>
      <c r="F128" s="254"/>
      <c r="G128" s="254"/>
      <c r="H128" s="254"/>
      <c r="I128" s="192"/>
      <c r="J128" s="254"/>
      <c r="K128" s="254"/>
      <c r="L128" s="254"/>
      <c r="M128" s="254"/>
      <c r="N128" s="254"/>
      <c r="O128" s="192"/>
      <c r="Q128" s="192"/>
      <c r="R128" s="192"/>
      <c r="S128" s="192"/>
    </row>
    <row r="129" spans="2:27">
      <c r="B129" s="192"/>
      <c r="C129" s="192"/>
      <c r="D129" s="18"/>
      <c r="E129" s="18"/>
      <c r="F129" s="18"/>
      <c r="G129" s="18"/>
      <c r="H129" s="18"/>
      <c r="I129" s="254"/>
      <c r="J129" s="18"/>
      <c r="K129" s="18"/>
      <c r="L129" s="18"/>
      <c r="M129" s="18"/>
      <c r="N129" s="18"/>
      <c r="O129" s="192"/>
      <c r="Q129" s="192"/>
      <c r="R129" s="192"/>
      <c r="S129" s="192"/>
    </row>
    <row r="130" spans="2:27">
      <c r="B130" s="192"/>
      <c r="C130" s="192"/>
      <c r="D130" s="192"/>
      <c r="E130" s="192"/>
      <c r="F130" s="192"/>
      <c r="G130" s="192"/>
      <c r="H130" s="192"/>
      <c r="I130" s="18"/>
      <c r="J130" s="192"/>
      <c r="K130" s="192"/>
      <c r="L130" s="192"/>
      <c r="M130" s="192"/>
      <c r="N130" s="192"/>
      <c r="O130" s="192"/>
      <c r="Q130" s="192"/>
      <c r="R130" s="192"/>
      <c r="S130" s="192"/>
    </row>
    <row r="131" spans="2:27">
      <c r="B131" s="296"/>
      <c r="C131" s="254"/>
      <c r="D131" s="254"/>
      <c r="E131" s="254"/>
      <c r="F131" s="254"/>
      <c r="G131" s="254"/>
      <c r="H131" s="254"/>
      <c r="I131" s="192"/>
      <c r="J131" s="254"/>
      <c r="K131" s="254"/>
      <c r="L131" s="254"/>
      <c r="M131" s="254"/>
      <c r="N131" s="254"/>
      <c r="O131" s="192"/>
      <c r="Q131" s="192"/>
      <c r="R131" s="192"/>
      <c r="S131" s="192"/>
    </row>
    <row r="132" spans="2:27">
      <c r="B132" s="192"/>
      <c r="C132" s="259"/>
      <c r="D132" s="18"/>
      <c r="E132" s="18"/>
      <c r="F132" s="18"/>
      <c r="G132" s="18"/>
      <c r="H132" s="18"/>
      <c r="I132" s="192"/>
      <c r="J132" s="18"/>
      <c r="K132" s="18"/>
      <c r="L132" s="18"/>
      <c r="M132" s="18"/>
      <c r="N132" s="18"/>
      <c r="O132" s="192"/>
      <c r="Q132" s="192"/>
      <c r="R132" s="192"/>
      <c r="S132" s="192"/>
    </row>
    <row r="133" spans="2:27">
      <c r="B133" s="192"/>
      <c r="C133" s="192"/>
      <c r="D133" s="192"/>
      <c r="E133" s="192"/>
      <c r="F133" s="192"/>
      <c r="G133" s="192"/>
      <c r="H133" s="192"/>
      <c r="I133" s="17"/>
      <c r="J133" s="192"/>
      <c r="K133" s="192"/>
      <c r="L133" s="192"/>
      <c r="M133" s="192"/>
      <c r="N133" s="192"/>
      <c r="O133" s="192"/>
      <c r="Q133" s="192"/>
      <c r="R133" s="192"/>
      <c r="S133" s="192"/>
    </row>
    <row r="134" spans="2:27">
      <c r="B134" s="296"/>
      <c r="C134" s="192"/>
      <c r="D134" s="192"/>
      <c r="E134" s="192"/>
      <c r="F134" s="192"/>
      <c r="G134" s="192"/>
      <c r="H134" s="192"/>
      <c r="I134" s="17"/>
      <c r="J134" s="192"/>
      <c r="K134" s="192"/>
      <c r="L134" s="192"/>
      <c r="M134" s="192"/>
      <c r="N134" s="192"/>
      <c r="O134" s="192"/>
      <c r="Q134" s="192"/>
      <c r="R134" s="192"/>
      <c r="S134" s="192"/>
    </row>
    <row r="135" spans="2:27">
      <c r="B135" s="192"/>
      <c r="C135" s="17"/>
      <c r="D135" s="17"/>
      <c r="E135" s="17"/>
      <c r="F135" s="17"/>
      <c r="G135" s="17"/>
      <c r="H135" s="17"/>
      <c r="I135" s="17"/>
      <c r="J135" s="17"/>
      <c r="K135" s="17"/>
      <c r="L135" s="17"/>
      <c r="M135" s="17"/>
      <c r="N135" s="17"/>
      <c r="O135" s="192"/>
      <c r="Q135" s="296"/>
      <c r="R135" s="192"/>
      <c r="S135" s="192"/>
    </row>
    <row r="136" spans="2:27">
      <c r="B136" s="192"/>
      <c r="C136" s="17"/>
      <c r="D136" s="17"/>
      <c r="E136" s="17"/>
      <c r="F136" s="17"/>
      <c r="G136" s="17"/>
      <c r="H136" s="17"/>
      <c r="I136" s="17"/>
      <c r="J136" s="17"/>
      <c r="K136" s="17"/>
      <c r="L136" s="17"/>
      <c r="M136" s="17"/>
      <c r="N136" s="17"/>
      <c r="O136" s="192"/>
      <c r="Q136" s="192"/>
      <c r="R136" s="192"/>
      <c r="S136" s="192"/>
      <c r="X136" s="311"/>
    </row>
    <row r="137" spans="2:27">
      <c r="B137" s="192"/>
      <c r="C137" s="192"/>
      <c r="D137" s="17"/>
      <c r="E137" s="17"/>
      <c r="F137" s="17"/>
      <c r="G137" s="17"/>
      <c r="H137" s="17"/>
      <c r="I137" s="17"/>
      <c r="J137" s="17"/>
      <c r="K137" s="17"/>
      <c r="L137" s="17"/>
      <c r="M137" s="17"/>
      <c r="N137" s="17"/>
      <c r="O137" s="192"/>
      <c r="Q137" s="192"/>
      <c r="R137" s="192"/>
      <c r="S137" s="192"/>
      <c r="X137" s="308"/>
      <c r="Y137" s="311"/>
      <c r="Z137" s="311"/>
      <c r="AA137" s="311"/>
    </row>
    <row r="138" spans="2:27">
      <c r="B138" s="192"/>
      <c r="C138" s="192"/>
      <c r="D138" s="17"/>
      <c r="E138" s="17"/>
      <c r="F138" s="17"/>
      <c r="G138" s="17"/>
      <c r="H138" s="17"/>
      <c r="I138" s="17"/>
      <c r="J138" s="17"/>
      <c r="K138" s="17"/>
      <c r="L138" s="17"/>
      <c r="M138" s="17"/>
      <c r="N138" s="17"/>
      <c r="O138" s="192"/>
      <c r="Q138" s="192"/>
      <c r="R138" s="192"/>
      <c r="S138" s="192"/>
      <c r="Y138" s="308"/>
      <c r="Z138" s="308"/>
      <c r="AA138" s="308"/>
    </row>
    <row r="139" spans="2:27">
      <c r="B139" s="192"/>
      <c r="C139" s="192"/>
      <c r="D139" s="17"/>
      <c r="E139" s="17"/>
      <c r="F139" s="17"/>
      <c r="G139" s="17"/>
      <c r="H139" s="17"/>
      <c r="I139" s="192"/>
      <c r="J139" s="17"/>
      <c r="K139" s="17"/>
      <c r="L139" s="17"/>
      <c r="M139" s="17"/>
      <c r="N139" s="17"/>
      <c r="O139" s="192"/>
      <c r="Q139" s="192"/>
      <c r="R139" s="192"/>
      <c r="S139" s="192"/>
    </row>
    <row r="140" spans="2:27">
      <c r="B140" s="192"/>
      <c r="C140" s="17"/>
      <c r="D140" s="17"/>
      <c r="E140" s="17"/>
      <c r="F140" s="17"/>
      <c r="G140" s="17"/>
      <c r="H140" s="17"/>
      <c r="I140" s="192"/>
      <c r="J140" s="17"/>
      <c r="K140" s="17"/>
      <c r="L140" s="17"/>
      <c r="M140" s="17"/>
      <c r="N140" s="17"/>
      <c r="O140" s="192"/>
      <c r="Q140" s="192"/>
      <c r="R140" s="192"/>
      <c r="S140" s="192"/>
    </row>
    <row r="141" spans="2:27">
      <c r="B141" s="192"/>
      <c r="C141" s="192"/>
      <c r="D141" s="192"/>
      <c r="E141" s="192"/>
      <c r="F141" s="192"/>
      <c r="G141" s="192"/>
      <c r="H141" s="192"/>
      <c r="I141" s="192"/>
      <c r="J141" s="192"/>
      <c r="K141" s="192"/>
      <c r="L141" s="192"/>
      <c r="M141" s="192"/>
      <c r="N141" s="192"/>
      <c r="O141" s="192"/>
      <c r="Q141" s="192"/>
      <c r="R141" s="192"/>
      <c r="S141" s="192"/>
    </row>
    <row r="142" spans="2:27">
      <c r="B142" s="192"/>
      <c r="C142" s="192"/>
      <c r="D142" s="192"/>
      <c r="E142" s="192"/>
      <c r="F142" s="192"/>
      <c r="G142" s="192"/>
      <c r="H142" s="192"/>
      <c r="I142" s="192"/>
      <c r="J142" s="192"/>
      <c r="K142" s="192"/>
      <c r="L142" s="192"/>
      <c r="M142" s="192"/>
      <c r="N142" s="192"/>
      <c r="O142" s="192"/>
      <c r="Q142" s="192"/>
      <c r="R142" s="192"/>
      <c r="S142" s="192"/>
    </row>
    <row r="143" spans="2:27">
      <c r="B143" s="192"/>
      <c r="C143" s="192"/>
      <c r="D143" s="192"/>
      <c r="E143" s="192"/>
      <c r="F143" s="192"/>
      <c r="G143" s="192"/>
      <c r="H143" s="192"/>
      <c r="I143" s="192"/>
      <c r="J143" s="192"/>
      <c r="K143" s="192"/>
      <c r="L143" s="192"/>
      <c r="M143" s="192"/>
      <c r="N143" s="192"/>
      <c r="O143" s="192"/>
      <c r="Q143" s="192"/>
      <c r="R143" s="192"/>
      <c r="S143" s="192"/>
    </row>
    <row r="144" spans="2:27">
      <c r="B144" s="192"/>
      <c r="C144" s="192"/>
      <c r="D144" s="192"/>
      <c r="E144" s="192"/>
      <c r="F144" s="192"/>
      <c r="G144" s="192"/>
      <c r="H144" s="192"/>
      <c r="I144" s="192"/>
      <c r="J144" s="192"/>
      <c r="K144" s="192"/>
      <c r="L144" s="192"/>
      <c r="M144" s="192"/>
      <c r="N144" s="192"/>
      <c r="O144" s="192"/>
      <c r="Q144" s="192"/>
      <c r="R144" s="192"/>
      <c r="S144" s="192"/>
    </row>
    <row r="145" spans="2:19">
      <c r="B145" s="192"/>
      <c r="C145" s="192"/>
      <c r="D145" s="192"/>
      <c r="E145" s="192"/>
      <c r="F145" s="192"/>
      <c r="G145" s="192"/>
      <c r="H145" s="192"/>
      <c r="I145" s="192"/>
      <c r="J145" s="192"/>
      <c r="K145" s="192"/>
      <c r="L145" s="192"/>
      <c r="M145" s="192"/>
      <c r="N145" s="192"/>
      <c r="O145" s="192"/>
      <c r="Q145" s="192"/>
      <c r="R145" s="192"/>
      <c r="S145" s="192"/>
    </row>
    <row r="146" spans="2:19">
      <c r="B146" s="192"/>
      <c r="C146" s="192"/>
      <c r="D146" s="192"/>
      <c r="E146" s="192"/>
      <c r="F146" s="192"/>
      <c r="G146" s="192"/>
      <c r="H146" s="192"/>
      <c r="I146" s="192"/>
      <c r="J146" s="192"/>
      <c r="K146" s="192"/>
      <c r="L146" s="192"/>
      <c r="M146" s="192"/>
      <c r="N146" s="192"/>
      <c r="O146" s="192"/>
      <c r="Q146" s="192"/>
      <c r="R146" s="192"/>
      <c r="S146" s="192"/>
    </row>
    <row r="147" spans="2:19">
      <c r="B147" s="192"/>
      <c r="C147" s="192"/>
      <c r="D147" s="192"/>
      <c r="E147" s="192"/>
      <c r="F147" s="192"/>
      <c r="G147" s="192"/>
      <c r="H147" s="192"/>
      <c r="I147" s="192"/>
      <c r="J147" s="192"/>
      <c r="K147" s="192"/>
      <c r="L147" s="192"/>
      <c r="M147" s="192"/>
      <c r="N147" s="192"/>
      <c r="O147" s="192"/>
      <c r="Q147" s="192"/>
      <c r="R147" s="192"/>
      <c r="S147" s="192"/>
    </row>
    <row r="148" spans="2:19">
      <c r="B148" s="192"/>
      <c r="C148" s="192"/>
      <c r="D148" s="192"/>
      <c r="E148" s="192"/>
      <c r="F148" s="192"/>
      <c r="G148" s="192"/>
      <c r="H148" s="192"/>
      <c r="I148" s="192"/>
      <c r="J148" s="192"/>
      <c r="K148" s="192"/>
      <c r="L148" s="192"/>
      <c r="M148" s="192"/>
      <c r="N148" s="192"/>
      <c r="O148" s="192"/>
      <c r="Q148" s="192"/>
      <c r="R148" s="192"/>
      <c r="S148" s="192"/>
    </row>
    <row r="149" spans="2:19">
      <c r="B149" s="192"/>
      <c r="C149" s="192"/>
      <c r="D149" s="192"/>
      <c r="E149" s="192"/>
      <c r="F149" s="192"/>
      <c r="G149" s="192"/>
      <c r="H149" s="192"/>
      <c r="J149" s="192"/>
      <c r="K149" s="192"/>
      <c r="L149" s="192"/>
      <c r="M149" s="192"/>
      <c r="N149" s="192"/>
      <c r="O149" s="192"/>
      <c r="Q149" s="192"/>
      <c r="R149" s="192"/>
      <c r="S149" s="192"/>
    </row>
    <row r="150" spans="2:19">
      <c r="B150" s="192"/>
      <c r="C150" s="192"/>
      <c r="D150" s="192"/>
      <c r="E150" s="192"/>
      <c r="F150" s="192"/>
      <c r="G150" s="192"/>
      <c r="H150" s="192"/>
      <c r="J150" s="192"/>
      <c r="K150" s="192"/>
      <c r="L150" s="192"/>
      <c r="M150" s="192"/>
      <c r="N150" s="192"/>
      <c r="O150" s="192"/>
      <c r="Q150" s="192"/>
      <c r="R150" s="192"/>
      <c r="S150" s="192"/>
    </row>
    <row r="151" spans="2:19">
      <c r="Q151" s="192"/>
      <c r="R151" s="192"/>
      <c r="S151" s="192"/>
    </row>
    <row r="152" spans="2:19">
      <c r="Q152" s="192"/>
      <c r="R152" s="192"/>
      <c r="S152" s="192"/>
    </row>
    <row r="153" spans="2:19">
      <c r="C153" s="300"/>
      <c r="Q153" s="192"/>
      <c r="R153" s="192"/>
      <c r="S153" s="192"/>
    </row>
    <row r="154" spans="2:19">
      <c r="Q154" s="192"/>
      <c r="R154" s="192"/>
      <c r="S154" s="192"/>
    </row>
    <row r="155" spans="2:19">
      <c r="Q155" s="192"/>
      <c r="R155" s="192"/>
      <c r="S155" s="192"/>
    </row>
    <row r="156" spans="2:19">
      <c r="Q156" s="192"/>
      <c r="R156" s="192"/>
      <c r="S156" s="192"/>
    </row>
    <row r="157" spans="2:19">
      <c r="Q157" s="192"/>
      <c r="R157" s="192"/>
      <c r="S157" s="192"/>
    </row>
    <row r="158" spans="2:19">
      <c r="Q158" s="192"/>
      <c r="R158" s="192"/>
      <c r="S158" s="192"/>
    </row>
    <row r="159" spans="2:19">
      <c r="Q159" s="192"/>
      <c r="R159" s="192"/>
      <c r="S159" s="192"/>
    </row>
    <row r="160" spans="2:19">
      <c r="Q160" s="192"/>
      <c r="R160" s="192"/>
      <c r="S160" s="192"/>
    </row>
    <row r="161" spans="17:19">
      <c r="Q161" s="192"/>
      <c r="R161" s="192"/>
      <c r="S161" s="192"/>
    </row>
    <row r="162" spans="17:19">
      <c r="Q162" s="192"/>
      <c r="R162" s="192"/>
      <c r="S162" s="192"/>
    </row>
    <row r="163" spans="17:19">
      <c r="Q163" s="192"/>
      <c r="R163" s="192"/>
      <c r="S163" s="192"/>
    </row>
    <row r="164" spans="17:19">
      <c r="Q164" s="192"/>
      <c r="R164" s="192"/>
      <c r="S164" s="192"/>
    </row>
    <row r="165" spans="17:19">
      <c r="Q165" s="192"/>
      <c r="R165" s="192"/>
      <c r="S165" s="192"/>
    </row>
  </sheetData>
  <pageMargins left="0.75" right="0.75" top="1" bottom="1" header="0.5" footer="0.5"/>
  <pageSetup scale="71" orientation="landscape" r:id="rId1"/>
  <headerFooter alignWithMargins="0"/>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codeName="Sheet13">
    <pageSetUpPr fitToPage="1"/>
  </sheetPr>
  <dimension ref="B1:AR165"/>
  <sheetViews>
    <sheetView showGridLines="0" zoomScale="80" zoomScaleNormal="80" workbookViewId="0">
      <selection activeCell="D12" sqref="D12"/>
    </sheetView>
  </sheetViews>
  <sheetFormatPr defaultColWidth="9.109375" defaultRowHeight="12"/>
  <cols>
    <col min="1" max="1" width="2.33203125" style="39" customWidth="1"/>
    <col min="2" max="2" width="26.5546875" style="39" customWidth="1"/>
    <col min="3" max="9" width="10" style="39" customWidth="1"/>
    <col min="10" max="10" width="26.6640625" style="39" customWidth="1"/>
    <col min="11" max="16" width="10" style="39" customWidth="1"/>
    <col min="17" max="19" width="8.6640625" style="39" customWidth="1"/>
    <col min="20" max="28" width="8.6640625" style="5" customWidth="1"/>
    <col min="29" max="44" width="9.109375" style="5"/>
    <col min="45" max="16384" width="9.109375" style="39"/>
  </cols>
  <sheetData>
    <row r="1" spans="2:44" s="312" customFormat="1">
      <c r="T1" s="149"/>
      <c r="U1" s="149"/>
      <c r="V1" s="149"/>
      <c r="W1" s="149"/>
      <c r="X1" s="149"/>
      <c r="Y1" s="149"/>
      <c r="Z1" s="149"/>
      <c r="AA1" s="149"/>
      <c r="AB1" s="149"/>
      <c r="AC1" s="149"/>
      <c r="AD1" s="149"/>
      <c r="AE1" s="149"/>
      <c r="AF1" s="149"/>
      <c r="AG1" s="149"/>
      <c r="AH1" s="149"/>
      <c r="AI1" s="149"/>
      <c r="AJ1" s="149"/>
      <c r="AK1" s="149"/>
      <c r="AL1" s="149"/>
      <c r="AM1" s="149"/>
      <c r="AN1" s="149"/>
      <c r="AO1" s="149"/>
      <c r="AP1" s="149"/>
      <c r="AQ1" s="149"/>
      <c r="AR1" s="149"/>
    </row>
    <row r="2" spans="2:44" s="149" customFormat="1"/>
    <row r="3" spans="2:44" s="149" customFormat="1">
      <c r="H3" s="153"/>
      <c r="P3" s="153"/>
    </row>
    <row r="4" spans="2:44" s="156" customFormat="1" ht="21">
      <c r="B4" s="129" t="s">
        <v>596</v>
      </c>
      <c r="H4" s="222"/>
      <c r="P4" s="222"/>
    </row>
    <row r="5" spans="2:44" s="149" customFormat="1">
      <c r="C5" s="153"/>
      <c r="D5" s="153" t="str" cm="1">
        <f t="array" ref="D5:H5">headings</f>
        <v>2023E</v>
      </c>
      <c r="E5" s="153" t="str">
        <v>2024E</v>
      </c>
      <c r="F5" s="153" t="str">
        <v>2025E</v>
      </c>
      <c r="G5" s="153" t="str">
        <v>2026E</v>
      </c>
      <c r="H5" s="153" t="str">
        <v>23E-26E</v>
      </c>
      <c r="I5" s="153"/>
      <c r="J5" s="153"/>
      <c r="K5" s="153"/>
      <c r="L5" s="153" t="str" cm="1">
        <f t="array" ref="L5:P5">headings</f>
        <v>2023E</v>
      </c>
      <c r="M5" s="153" t="str">
        <v>2024E</v>
      </c>
      <c r="N5" s="153" t="str">
        <v>2025E</v>
      </c>
      <c r="O5" s="153" t="str">
        <v>2026E</v>
      </c>
      <c r="P5" s="153" t="str">
        <v>23E-26E</v>
      </c>
      <c r="Q5" s="162"/>
      <c r="R5" s="162"/>
      <c r="S5" s="162"/>
      <c r="T5" s="162"/>
      <c r="U5" s="162"/>
      <c r="V5" s="162"/>
      <c r="W5" s="162"/>
      <c r="X5" s="162"/>
      <c r="Y5" s="162"/>
    </row>
    <row r="6" spans="2:44">
      <c r="I6" s="5"/>
      <c r="J6" s="5"/>
      <c r="K6" s="5"/>
      <c r="L6" s="5"/>
      <c r="M6" s="5"/>
      <c r="N6" s="5"/>
      <c r="O6" s="49"/>
    </row>
    <row r="7" spans="2:44" ht="12.6" thickBot="1">
      <c r="B7" s="306" t="s">
        <v>271</v>
      </c>
      <c r="C7" s="265"/>
      <c r="D7" s="265" t="str">
        <f>D5</f>
        <v>2023E</v>
      </c>
      <c r="E7" s="265" t="str">
        <f t="shared" ref="E7:H7" si="0">E5</f>
        <v>2024E</v>
      </c>
      <c r="F7" s="265" t="str">
        <f t="shared" si="0"/>
        <v>2025E</v>
      </c>
      <c r="G7" s="265" t="str">
        <f t="shared" si="0"/>
        <v>2026E</v>
      </c>
      <c r="H7" s="265" t="str">
        <f t="shared" si="0"/>
        <v>23E-26E</v>
      </c>
      <c r="I7" s="49"/>
      <c r="J7" s="306" t="s">
        <v>35</v>
      </c>
      <c r="K7" s="306"/>
      <c r="L7" s="265" t="str">
        <f>L5</f>
        <v>2023E</v>
      </c>
      <c r="M7" s="265" t="str">
        <f t="shared" ref="M7:P7" si="1">M5</f>
        <v>2024E</v>
      </c>
      <c r="N7" s="265" t="str">
        <f t="shared" si="1"/>
        <v>2025E</v>
      </c>
      <c r="O7" s="265" t="str">
        <f t="shared" si="1"/>
        <v>2026E</v>
      </c>
      <c r="P7" s="265" t="str">
        <f t="shared" si="1"/>
        <v>23E-26E</v>
      </c>
    </row>
    <row r="8" spans="2:44" ht="12.6" thickTop="1">
      <c r="B8" s="5"/>
      <c r="C8" s="5"/>
      <c r="D8" s="5"/>
      <c r="E8" s="5"/>
      <c r="F8" s="5"/>
      <c r="G8" s="5"/>
      <c r="H8" s="5"/>
      <c r="I8" s="5"/>
      <c r="J8" s="5"/>
      <c r="K8" s="5"/>
      <c r="L8" s="5"/>
      <c r="M8" s="5"/>
      <c r="N8" s="5"/>
      <c r="S8" s="88"/>
      <c r="T8" s="42"/>
      <c r="U8" s="42"/>
      <c r="V8" s="42"/>
      <c r="W8" s="42"/>
      <c r="X8" s="42"/>
      <c r="Y8" s="42"/>
      <c r="Z8" s="42"/>
      <c r="AA8" s="42"/>
    </row>
    <row r="9" spans="2:44">
      <c r="B9" s="41" t="s">
        <v>160</v>
      </c>
      <c r="C9" s="287">
        <f>Prices!C14</f>
        <v>492</v>
      </c>
      <c r="D9" s="535">
        <v>0</v>
      </c>
      <c r="E9" s="536">
        <v>0</v>
      </c>
      <c r="F9" s="536">
        <v>0</v>
      </c>
      <c r="G9" s="536">
        <v>0</v>
      </c>
      <c r="H9" s="249"/>
      <c r="I9" s="249"/>
      <c r="J9" s="5" t="s">
        <v>273</v>
      </c>
      <c r="L9" s="529">
        <f>'W.EUR INCUMB'!D37</f>
        <v>2.1820368783030246</v>
      </c>
      <c r="M9" s="529">
        <f>'W.EUR INCUMB'!E37</f>
        <v>2.0995807894380842</v>
      </c>
      <c r="N9" s="529">
        <f>'W.EUR INCUMB'!F37</f>
        <v>2.0073776110351829</v>
      </c>
      <c r="O9" s="529">
        <f>'W.EUR INCUMB'!G37</f>
        <v>1.9004321192081457</v>
      </c>
      <c r="P9" s="279">
        <f>'W.EUR INCUMB'!H37</f>
        <v>1.5546449189376421E-2</v>
      </c>
      <c r="S9" s="88"/>
      <c r="T9" s="42"/>
      <c r="U9" s="42"/>
      <c r="V9" s="42"/>
      <c r="W9" s="42"/>
      <c r="X9" s="42"/>
      <c r="Y9" s="42"/>
      <c r="Z9" s="42"/>
      <c r="AA9" s="42"/>
    </row>
    <row r="10" spans="2:44">
      <c r="B10" s="5" t="s">
        <v>274</v>
      </c>
      <c r="C10" s="5"/>
      <c r="D10" s="531">
        <v>51.801000000000002</v>
      </c>
      <c r="E10" s="531">
        <v>51.801000000000002</v>
      </c>
      <c r="F10" s="531">
        <v>51.801000000000002</v>
      </c>
      <c r="G10" s="531">
        <v>51.801000000000002</v>
      </c>
      <c r="H10" s="247"/>
      <c r="I10" s="247"/>
      <c r="J10" s="5" t="s">
        <v>184</v>
      </c>
      <c r="L10" s="529">
        <f>'W.EUR INCUMB'!D38</f>
        <v>6.6561389315824204</v>
      </c>
      <c r="M10" s="529">
        <f>'W.EUR INCUMB'!E38</f>
        <v>6.276659180358183</v>
      </c>
      <c r="N10" s="529">
        <f>'W.EUR INCUMB'!F38</f>
        <v>5.9086011977805715</v>
      </c>
      <c r="O10" s="529">
        <f>'W.EUR INCUMB'!G38</f>
        <v>5.5249848727361259</v>
      </c>
      <c r="P10" s="279">
        <f>'W.EUR INCUMB'!H38</f>
        <v>3.1953936851226938E-2</v>
      </c>
      <c r="S10" s="88"/>
      <c r="T10" s="42"/>
      <c r="U10" s="42"/>
      <c r="V10" s="42"/>
      <c r="W10" s="288"/>
      <c r="X10" s="288"/>
      <c r="Y10" s="288"/>
      <c r="Z10" s="288"/>
      <c r="AA10" s="42"/>
    </row>
    <row r="11" spans="2:44">
      <c r="B11" s="41" t="s">
        <v>275</v>
      </c>
      <c r="C11" s="5"/>
      <c r="D11" s="532">
        <f>$C$9*D10</f>
        <v>25486.092000000001</v>
      </c>
      <c r="E11" s="532">
        <f>$C$9*E10</f>
        <v>25486.092000000001</v>
      </c>
      <c r="F11" s="532">
        <f>$C$9*F10</f>
        <v>25486.092000000001</v>
      </c>
      <c r="G11" s="532">
        <f>$C$9*G10</f>
        <v>25486.092000000001</v>
      </c>
      <c r="H11" s="249"/>
      <c r="I11" s="249"/>
      <c r="J11" s="5" t="s">
        <v>185</v>
      </c>
      <c r="L11" s="529">
        <f>'W.EUR INCUMB'!D39</f>
        <v>13.860323858751276</v>
      </c>
      <c r="M11" s="529">
        <f>'W.EUR INCUMB'!E39</f>
        <v>12.09622383745986</v>
      </c>
      <c r="N11" s="529">
        <f>'W.EUR INCUMB'!F39</f>
        <v>10.876080155020103</v>
      </c>
      <c r="O11" s="529">
        <f>'W.EUR INCUMB'!G39</f>
        <v>9.7993857809910292</v>
      </c>
      <c r="P11" s="279">
        <f>'W.EUR INCUMB'!H39</f>
        <v>8.864945159447446E-2</v>
      </c>
      <c r="S11" s="88"/>
      <c r="T11" s="42"/>
      <c r="U11" s="42"/>
      <c r="V11" s="42"/>
      <c r="W11" s="288"/>
      <c r="X11" s="288"/>
      <c r="Y11" s="288"/>
      <c r="Z11" s="288"/>
      <c r="AA11" s="42"/>
    </row>
    <row r="12" spans="2:44">
      <c r="B12" s="5" t="s">
        <v>24</v>
      </c>
      <c r="C12" s="249"/>
      <c r="D12" s="533">
        <v>5156</v>
      </c>
      <c r="E12" s="533">
        <v>4825.1556778559598</v>
      </c>
      <c r="F12" s="533">
        <v>4504.0626088489034</v>
      </c>
      <c r="G12" s="533">
        <v>4195.4663776479192</v>
      </c>
      <c r="H12" s="247"/>
      <c r="I12" s="247"/>
      <c r="J12" s="5" t="s">
        <v>466</v>
      </c>
      <c r="L12" s="529">
        <f>'W.EUR INCUMB'!D40</f>
        <v>18.773170831659439</v>
      </c>
      <c r="M12" s="529">
        <f>'W.EUR INCUMB'!E40</f>
        <v>16.316100899802951</v>
      </c>
      <c r="N12" s="529">
        <f>'W.EUR INCUMB'!F40</f>
        <v>14.678691432593167</v>
      </c>
      <c r="O12" s="529">
        <f>'W.EUR INCUMB'!G40</f>
        <v>13.250660214807615</v>
      </c>
      <c r="P12" s="279">
        <f>'W.EUR INCUMB'!H40</f>
        <v>8.9255902689365119E-2</v>
      </c>
      <c r="S12" s="88"/>
      <c r="T12" s="42"/>
      <c r="U12" s="42"/>
      <c r="V12" s="42"/>
      <c r="W12" s="288"/>
      <c r="X12" s="288"/>
      <c r="Y12" s="288"/>
      <c r="Z12" s="288"/>
      <c r="AA12" s="42"/>
    </row>
    <row r="13" spans="2:44">
      <c r="B13" s="5" t="s">
        <v>529</v>
      </c>
      <c r="C13" s="257"/>
      <c r="D13" s="533">
        <v>3866.2164576212044</v>
      </c>
      <c r="E13" s="533">
        <v>3866.2164576212044</v>
      </c>
      <c r="F13" s="533">
        <v>3866.2164576212044</v>
      </c>
      <c r="G13" s="533">
        <v>3866.2164576212044</v>
      </c>
      <c r="H13" s="247"/>
      <c r="I13" s="247"/>
      <c r="J13" s="5" t="s">
        <v>530</v>
      </c>
      <c r="L13" s="529">
        <f>'W.EUR INCUMB'!D41</f>
        <v>1.4554049615742648</v>
      </c>
      <c r="M13" s="529">
        <f>'W.EUR INCUMB'!E41</f>
        <v>1.3652506578772214</v>
      </c>
      <c r="N13" s="529">
        <f>'W.EUR INCUMB'!F41</f>
        <v>1.2968813123150413</v>
      </c>
      <c r="O13" s="529">
        <f>'W.EUR INCUMB'!G41</f>
        <v>1.2281427713802577</v>
      </c>
      <c r="P13" s="279">
        <f>'W.EUR INCUMB'!H41</f>
        <v>2.6301307293472354E-2</v>
      </c>
      <c r="S13" s="88"/>
      <c r="T13" s="42"/>
      <c r="U13" s="42"/>
      <c r="V13" s="42"/>
      <c r="W13" s="42"/>
      <c r="X13" s="42"/>
      <c r="Y13" s="42"/>
      <c r="Z13" s="42"/>
      <c r="AA13" s="42"/>
    </row>
    <row r="14" spans="2:44">
      <c r="B14" s="5" t="s">
        <v>532</v>
      </c>
      <c r="C14" s="257"/>
      <c r="D14" s="533">
        <f>SWISSSOP!R15</f>
        <v>0</v>
      </c>
      <c r="E14" s="533">
        <f t="shared" ref="E14:G15" si="2">D14</f>
        <v>0</v>
      </c>
      <c r="F14" s="533">
        <f t="shared" si="2"/>
        <v>0</v>
      </c>
      <c r="G14" s="533">
        <f t="shared" si="2"/>
        <v>0</v>
      </c>
      <c r="H14" s="247"/>
      <c r="I14" s="247"/>
      <c r="J14" s="5" t="s">
        <v>593</v>
      </c>
      <c r="L14" s="529">
        <f>'W.EUR INCUMB'!D42</f>
        <v>3.3234793761102739</v>
      </c>
      <c r="M14" s="529">
        <f>'W.EUR INCUMB'!E42</f>
        <v>3.2424169171692641</v>
      </c>
      <c r="N14" s="529">
        <f>'W.EUR INCUMB'!F42</f>
        <v>3.1662515332190617</v>
      </c>
      <c r="O14" s="529">
        <f>'W.EUR INCUMB'!G42</f>
        <v>3.0630241710617754</v>
      </c>
      <c r="P14" s="279">
        <f>'W.EUR INCUMB'!H42</f>
        <v>-3.4232783193558491E-3</v>
      </c>
      <c r="S14" s="88"/>
      <c r="T14" s="42"/>
      <c r="U14" s="42"/>
      <c r="V14" s="42"/>
      <c r="W14" s="42"/>
      <c r="X14" s="42"/>
      <c r="Y14" s="42"/>
      <c r="Z14" s="42"/>
      <c r="AA14" s="42"/>
    </row>
    <row r="15" spans="2:44">
      <c r="B15" s="5" t="s">
        <v>531</v>
      </c>
      <c r="C15" s="274"/>
      <c r="D15" s="533">
        <f>SWISSSOP!T13</f>
        <v>0</v>
      </c>
      <c r="E15" s="533">
        <f t="shared" si="2"/>
        <v>0</v>
      </c>
      <c r="F15" s="533">
        <f t="shared" si="2"/>
        <v>0</v>
      </c>
      <c r="G15" s="533">
        <f t="shared" si="2"/>
        <v>0</v>
      </c>
      <c r="H15" s="247"/>
      <c r="I15" s="247"/>
      <c r="J15" s="5" t="s">
        <v>475</v>
      </c>
      <c r="L15" s="529">
        <f>'W.EUR INCUMB'!D43</f>
        <v>15.36919487731438</v>
      </c>
      <c r="M15" s="529">
        <f>'W.EUR INCUMB'!E43</f>
        <v>13.900480990887658</v>
      </c>
      <c r="N15" s="529">
        <f>'W.EUR INCUMB'!F43</f>
        <v>11.808036199618913</v>
      </c>
      <c r="O15" s="529">
        <f>'W.EUR INCUMB'!G43</f>
        <v>10.77079458313478</v>
      </c>
      <c r="P15" s="279">
        <f>'W.EUR INCUMB'!H43</f>
        <v>0.11736524628436351</v>
      </c>
      <c r="S15" s="88"/>
      <c r="T15" s="42"/>
      <c r="U15" s="42"/>
      <c r="V15" s="42"/>
      <c r="W15" s="42"/>
      <c r="X15" s="42"/>
      <c r="Y15" s="42"/>
      <c r="Z15" s="42"/>
      <c r="AA15" s="42"/>
    </row>
    <row r="16" spans="2:44">
      <c r="B16" s="5" t="s">
        <v>534</v>
      </c>
      <c r="C16" s="257"/>
      <c r="D16" s="533">
        <v>0</v>
      </c>
      <c r="E16" s="533">
        <v>1139.6220000000001</v>
      </c>
      <c r="F16" s="533">
        <v>2279.2440000000001</v>
      </c>
      <c r="G16" s="533">
        <v>3418.866</v>
      </c>
      <c r="H16" s="247"/>
      <c r="I16" s="247"/>
      <c r="J16" s="5" t="s">
        <v>533</v>
      </c>
      <c r="L16" s="529">
        <f>'W.EUR INCUMB'!D44</f>
        <v>13.849445280082518</v>
      </c>
      <c r="M16" s="529">
        <f>'W.EUR INCUMB'!E44</f>
        <v>12.437286696089576</v>
      </c>
      <c r="N16" s="529">
        <f>'W.EUR INCUMB'!F44</f>
        <v>11.380437598490861</v>
      </c>
      <c r="O16" s="529">
        <f>'W.EUR INCUMB'!G44</f>
        <v>10.478743141097034</v>
      </c>
      <c r="P16" s="279">
        <f>'W.EUR INCUMB'!H44</f>
        <v>9.2323853476973694E-2</v>
      </c>
      <c r="S16" s="88"/>
      <c r="T16" s="42"/>
      <c r="U16" s="42"/>
      <c r="V16" s="42"/>
      <c r="W16" s="42"/>
      <c r="X16" s="42"/>
      <c r="Y16" s="42"/>
      <c r="Z16" s="42"/>
      <c r="AA16" s="42"/>
    </row>
    <row r="17" spans="2:27">
      <c r="B17" s="5" t="s">
        <v>6</v>
      </c>
      <c r="C17" s="257"/>
      <c r="D17" s="533">
        <v>137.19999999999999</v>
      </c>
      <c r="E17" s="533">
        <v>137.19999999999999</v>
      </c>
      <c r="F17" s="533">
        <v>137.19999999999999</v>
      </c>
      <c r="G17" s="533">
        <v>137.19999999999999</v>
      </c>
      <c r="H17" s="247"/>
      <c r="I17" s="247"/>
      <c r="J17" s="5" t="s">
        <v>580</v>
      </c>
      <c r="L17" s="248">
        <f>'W.EUR INCUMB'!D45</f>
        <v>4.9929768285127372E-2</v>
      </c>
      <c r="M17" s="248">
        <f>'W.EUR INCUMB'!E45</f>
        <v>5.2540326500089954E-2</v>
      </c>
      <c r="N17" s="248">
        <f>'W.EUR INCUMB'!F45</f>
        <v>5.4852141769022943E-2</v>
      </c>
      <c r="O17" s="248">
        <f>'W.EUR INCUMB'!G45</f>
        <v>5.8322596586761276E-2</v>
      </c>
      <c r="P17" s="279">
        <f>'W.EUR INCUMB'!H45</f>
        <v>4.8261067786518064E-2</v>
      </c>
      <c r="S17" s="88"/>
      <c r="T17" s="42"/>
      <c r="U17" s="42"/>
      <c r="V17" s="42"/>
      <c r="W17" s="42"/>
      <c r="X17" s="42"/>
      <c r="Y17" s="42"/>
      <c r="Z17" s="42"/>
      <c r="AA17" s="42"/>
    </row>
    <row r="18" spans="2:27" ht="12.6" thickBot="1">
      <c r="B18" s="41" t="s">
        <v>583</v>
      </c>
      <c r="C18" s="249"/>
      <c r="D18" s="534">
        <f>D11+D12+D13-D14+D15-D16-D17</f>
        <v>34371.108457621209</v>
      </c>
      <c r="E18" s="534">
        <f>E11+E12+E13-E14+E15-E16-E17</f>
        <v>32900.642135477166</v>
      </c>
      <c r="F18" s="534">
        <f>F11+F12+F13-F14+F15-F16-F17</f>
        <v>31439.927066470107</v>
      </c>
      <c r="G18" s="534">
        <f>G11+G12+G13-G14+G15-G16-G17</f>
        <v>29991.708835269117</v>
      </c>
      <c r="H18" s="276">
        <f>IF(D18=0,"nm",IF(G18=0,"nm",(G18/D18)^(1/3)-1))</f>
        <v>-4.4415219138530415E-2</v>
      </c>
      <c r="I18" s="254"/>
      <c r="J18" s="5" t="s">
        <v>36</v>
      </c>
      <c r="L18" s="248">
        <f>'W.EUR INCUMB'!D46</f>
        <v>4.9929768285127372E-2</v>
      </c>
      <c r="M18" s="248">
        <f>'W.EUR INCUMB'!E46</f>
        <v>5.2540326500089954E-2</v>
      </c>
      <c r="N18" s="248">
        <f>'W.EUR INCUMB'!F46</f>
        <v>5.4852141769022943E-2</v>
      </c>
      <c r="O18" s="248">
        <f>'W.EUR INCUMB'!G46</f>
        <v>5.8322596586761276E-2</v>
      </c>
      <c r="P18" s="279">
        <f>'W.EUR INCUMB'!H46</f>
        <v>4.8261067786518064E-2</v>
      </c>
      <c r="S18" s="88"/>
      <c r="T18" s="42"/>
      <c r="U18" s="42"/>
      <c r="V18" s="42"/>
      <c r="W18" s="42"/>
      <c r="X18" s="42"/>
      <c r="Y18" s="42"/>
      <c r="Z18" s="42"/>
      <c r="AA18" s="42"/>
    </row>
    <row r="19" spans="2:27" ht="12.6" thickTop="1">
      <c r="B19" s="41"/>
      <c r="C19" s="249"/>
      <c r="D19" s="229"/>
      <c r="E19" s="229"/>
      <c r="F19" s="229"/>
      <c r="G19" s="229"/>
      <c r="H19" s="276"/>
      <c r="I19" s="254"/>
      <c r="J19" s="5" t="s">
        <v>581</v>
      </c>
      <c r="L19" s="248">
        <f>'W.EUR INCUMB'!D47</f>
        <v>6.5065217012508891E-2</v>
      </c>
      <c r="M19" s="248">
        <f>'W.EUR INCUMB'!E47</f>
        <v>7.1939956657294191E-2</v>
      </c>
      <c r="N19" s="248">
        <f>'W.EUR INCUMB'!F47</f>
        <v>8.4688087256395234E-2</v>
      </c>
      <c r="O19" s="248">
        <f>'W.EUR INCUMB'!G47</f>
        <v>9.2843660909272999E-2</v>
      </c>
      <c r="P19" s="279">
        <f>'W.EUR INCUMB'!H47</f>
        <v>0.11736524628436351</v>
      </c>
      <c r="S19" s="88"/>
      <c r="T19" s="42"/>
      <c r="U19" s="42"/>
      <c r="V19" s="42"/>
      <c r="W19" s="42"/>
      <c r="X19" s="42"/>
      <c r="Y19" s="42"/>
      <c r="Z19" s="42"/>
      <c r="AA19" s="42"/>
    </row>
    <row r="20" spans="2:27">
      <c r="H20" s="277"/>
      <c r="I20" s="17"/>
      <c r="J20" s="5" t="s">
        <v>604</v>
      </c>
      <c r="L20" s="305">
        <f>'W.EUR INCUMB'!D48</f>
        <v>0.69753103513272863</v>
      </c>
      <c r="M20" s="305">
        <f>'W.EUR INCUMB'!E48</f>
        <v>0.66278263399293669</v>
      </c>
      <c r="N20" s="305">
        <f>'W.EUR INCUMB'!F48</f>
        <v>0.5878425682239502</v>
      </c>
      <c r="O20" s="305">
        <f>'W.EUR INCUMB'!G48</f>
        <v>0.5759521808171526</v>
      </c>
      <c r="P20" s="279" t="str">
        <f>'W.EUR INCUMB'!H48</f>
        <v>nm</v>
      </c>
      <c r="S20" s="88"/>
      <c r="T20" s="42"/>
      <c r="U20" s="42"/>
      <c r="V20" s="42"/>
      <c r="W20" s="42"/>
      <c r="X20" s="42"/>
      <c r="Y20" s="42"/>
      <c r="Z20" s="42"/>
      <c r="AA20" s="42"/>
    </row>
    <row r="21" spans="2:27" ht="12.6" thickBot="1">
      <c r="B21" s="306" t="s">
        <v>951</v>
      </c>
      <c r="C21" s="265"/>
      <c r="D21" s="265" t="str">
        <f>D5</f>
        <v>2023E</v>
      </c>
      <c r="E21" s="265" t="str">
        <f t="shared" ref="E21:H21" si="3">E5</f>
        <v>2024E</v>
      </c>
      <c r="F21" s="265" t="str">
        <f t="shared" si="3"/>
        <v>2025E</v>
      </c>
      <c r="G21" s="265" t="str">
        <f t="shared" si="3"/>
        <v>2026E</v>
      </c>
      <c r="H21" s="265" t="str">
        <f t="shared" si="3"/>
        <v>23E-26E</v>
      </c>
      <c r="I21" s="49"/>
      <c r="J21" s="41"/>
      <c r="L21" s="250"/>
      <c r="M21" s="250"/>
      <c r="N21" s="250"/>
      <c r="O21" s="250"/>
      <c r="P21" s="279"/>
      <c r="S21" s="88"/>
      <c r="T21" s="42"/>
      <c r="U21" s="42"/>
      <c r="V21" s="42"/>
      <c r="W21" s="42"/>
      <c r="X21" s="42"/>
      <c r="Y21" s="42"/>
      <c r="Z21" s="42"/>
      <c r="AA21" s="42"/>
    </row>
    <row r="22" spans="2:27" ht="12.6" thickTop="1">
      <c r="B22" s="5"/>
      <c r="C22" s="257"/>
      <c r="D22" s="17"/>
      <c r="E22" s="17"/>
      <c r="F22" s="17"/>
      <c r="G22" s="17"/>
      <c r="H22" s="17"/>
      <c r="I22" s="17"/>
      <c r="P22" s="277"/>
      <c r="S22" s="88"/>
      <c r="T22" s="42"/>
      <c r="U22" s="42"/>
      <c r="V22" s="42"/>
      <c r="W22" s="42"/>
      <c r="X22" s="42"/>
      <c r="Y22" s="42"/>
      <c r="Z22" s="42"/>
      <c r="AA22" s="42"/>
    </row>
    <row r="23" spans="2:27" ht="12.6" thickBot="1">
      <c r="B23" s="5" t="s">
        <v>584</v>
      </c>
      <c r="C23" s="548">
        <v>11103.417724655072</v>
      </c>
      <c r="D23" s="540">
        <v>11081.992511349508</v>
      </c>
      <c r="E23" s="540">
        <v>11091.159213730225</v>
      </c>
      <c r="F23" s="540">
        <v>11103.646472107699</v>
      </c>
      <c r="G23" s="540">
        <v>11119.406865325716</v>
      </c>
      <c r="H23" s="279">
        <f t="shared" ref="H23:H32" si="4">IF(D23=0,"nm",IF(G23=0,"nm",(G23/D23)^(1/3)-1))</f>
        <v>1.1241157632950749E-3</v>
      </c>
      <c r="I23" s="247"/>
      <c r="J23" s="306" t="s">
        <v>9</v>
      </c>
      <c r="K23" s="306"/>
      <c r="L23" s="265" t="str">
        <f>D21</f>
        <v>2023E</v>
      </c>
      <c r="M23" s="265" t="str">
        <f t="shared" ref="M23:P23" si="5">E21</f>
        <v>2024E</v>
      </c>
      <c r="N23" s="265" t="str">
        <f t="shared" si="5"/>
        <v>2025E</v>
      </c>
      <c r="O23" s="265" t="str">
        <f t="shared" si="5"/>
        <v>2026E</v>
      </c>
      <c r="P23" s="265" t="str">
        <f t="shared" si="5"/>
        <v>23E-26E</v>
      </c>
      <c r="S23" s="88"/>
      <c r="T23" s="42"/>
      <c r="U23" s="42"/>
      <c r="V23" s="42"/>
      <c r="W23" s="42"/>
      <c r="X23" s="42"/>
      <c r="Y23" s="42"/>
      <c r="Z23" s="42"/>
      <c r="AA23" s="42"/>
    </row>
    <row r="24" spans="2:27" ht="12.6" thickTop="1">
      <c r="B24" s="5" t="s">
        <v>483</v>
      </c>
      <c r="C24" s="549">
        <v>4272</v>
      </c>
      <c r="D24" s="540">
        <v>4361.5121035372576</v>
      </c>
      <c r="E24" s="540">
        <v>4280.076143894592</v>
      </c>
      <c r="F24" s="540">
        <v>4262.3864523779785</v>
      </c>
      <c r="G24" s="540">
        <v>4245.1910984187198</v>
      </c>
      <c r="H24" s="279">
        <f t="shared" si="4"/>
        <v>-8.9701836553373049E-3</v>
      </c>
      <c r="I24" s="249"/>
      <c r="J24" s="17"/>
      <c r="K24" s="17"/>
      <c r="L24" s="17"/>
      <c r="M24" s="17"/>
      <c r="N24" s="17"/>
      <c r="O24" s="248"/>
      <c r="S24" s="88"/>
      <c r="T24" s="42"/>
      <c r="U24" s="42"/>
      <c r="V24" s="42"/>
      <c r="W24" s="42" t="s">
        <v>463</v>
      </c>
      <c r="X24" s="42" t="s">
        <v>251</v>
      </c>
      <c r="Y24" s="42"/>
      <c r="Z24" s="42"/>
      <c r="AA24" s="42"/>
    </row>
    <row r="25" spans="2:27">
      <c r="B25" s="5" t="s">
        <v>183</v>
      </c>
      <c r="C25" s="548">
        <v>1963</v>
      </c>
      <c r="D25" s="540">
        <v>2057.1899492434804</v>
      </c>
      <c r="E25" s="540">
        <v>1985.585722921433</v>
      </c>
      <c r="F25" s="540">
        <v>1968.3819456843521</v>
      </c>
      <c r="G25" s="540">
        <v>1951.6524766978437</v>
      </c>
      <c r="H25" s="279">
        <f t="shared" si="4"/>
        <v>-1.7401648753235577E-2</v>
      </c>
      <c r="I25" s="248"/>
      <c r="J25" s="247" t="s">
        <v>10</v>
      </c>
      <c r="K25" s="247"/>
      <c r="L25" s="321">
        <v>921</v>
      </c>
      <c r="M25" s="321">
        <v>921</v>
      </c>
      <c r="N25" s="321">
        <v>921</v>
      </c>
      <c r="O25" s="321">
        <v>921</v>
      </c>
      <c r="P25" s="279">
        <f>IF(L25=0,"nm",IF(O25=0,"nm",(O25/L25)^(1/3)-1))</f>
        <v>0</v>
      </c>
      <c r="S25" s="88"/>
      <c r="T25" s="42"/>
      <c r="U25" s="42"/>
      <c r="V25" s="147" t="s">
        <v>273</v>
      </c>
      <c r="W25" s="288">
        <f>D37/L9</f>
        <v>1.4213911255890719</v>
      </c>
      <c r="X25" s="288">
        <v>1</v>
      </c>
      <c r="Y25" s="42"/>
      <c r="Z25" s="42"/>
      <c r="AA25" s="42"/>
    </row>
    <row r="26" spans="2:27">
      <c r="B26" s="5" t="s">
        <v>586</v>
      </c>
      <c r="C26" s="548">
        <v>1558.6220000000001</v>
      </c>
      <c r="D26" s="540">
        <v>1633.4088196993237</v>
      </c>
      <c r="E26" s="540">
        <v>1576.5550639996179</v>
      </c>
      <c r="F26" s="540">
        <v>1562.8952648733757</v>
      </c>
      <c r="G26" s="540">
        <v>1549.6120664980879</v>
      </c>
      <c r="H26" s="279">
        <f t="shared" si="4"/>
        <v>-1.7401648753235577E-2</v>
      </c>
      <c r="I26" s="249"/>
      <c r="J26" s="249" t="s">
        <v>11</v>
      </c>
      <c r="K26" s="249"/>
      <c r="L26" s="281">
        <f>D11+L25</f>
        <v>26407.092000000001</v>
      </c>
      <c r="M26" s="281">
        <f>E11+M25</f>
        <v>26407.092000000001</v>
      </c>
      <c r="N26" s="281">
        <f>F11+N25</f>
        <v>26407.092000000001</v>
      </c>
      <c r="O26" s="281">
        <f>G11+O25</f>
        <v>26407.092000000001</v>
      </c>
      <c r="P26" s="279">
        <f>IF(L26=0,"nm",IF(O26=0,"nm",(O26/L26)^(1/3)-1))</f>
        <v>0</v>
      </c>
      <c r="Q26" s="5"/>
      <c r="S26" s="88"/>
      <c r="T26" s="42"/>
      <c r="U26" s="42"/>
      <c r="V26" s="147" t="s">
        <v>184</v>
      </c>
      <c r="W26" s="288">
        <f t="shared" ref="W26:W33" si="6">D38/L10</f>
        <v>1.1839519521262698</v>
      </c>
      <c r="X26" s="288">
        <v>1</v>
      </c>
      <c r="Y26" s="42"/>
      <c r="Z26" s="42"/>
      <c r="AA26" s="42"/>
    </row>
    <row r="27" spans="2:27">
      <c r="B27" s="5" t="s">
        <v>587</v>
      </c>
      <c r="C27" s="549">
        <v>18544</v>
      </c>
      <c r="D27" s="540">
        <v>18846.702427387168</v>
      </c>
      <c r="E27" s="540">
        <v>19090.776292060484</v>
      </c>
      <c r="F27" s="540">
        <v>19323.162419951434</v>
      </c>
      <c r="G27" s="540">
        <v>19556.409681497258</v>
      </c>
      <c r="H27" s="279">
        <f t="shared" si="4"/>
        <v>1.2397935895624768E-2</v>
      </c>
      <c r="I27" s="249"/>
      <c r="J27" s="248"/>
      <c r="K27" s="248"/>
      <c r="L27" s="248"/>
      <c r="M27" s="248"/>
      <c r="N27" s="248"/>
      <c r="O27" s="248"/>
      <c r="Q27" s="41"/>
      <c r="S27" s="88"/>
      <c r="T27" s="42"/>
      <c r="U27" s="42"/>
      <c r="V27" s="147" t="s">
        <v>185</v>
      </c>
      <c r="W27" s="288">
        <f t="shared" si="6"/>
        <v>1.2054404657484079</v>
      </c>
      <c r="X27" s="288">
        <v>1</v>
      </c>
      <c r="Y27" s="42"/>
      <c r="Z27" s="42"/>
      <c r="AA27" s="42"/>
    </row>
    <row r="28" spans="2:27" ht="12.6" thickBot="1">
      <c r="B28" s="5" t="s">
        <v>592</v>
      </c>
      <c r="C28" s="548">
        <v>10437</v>
      </c>
      <c r="D28" s="540">
        <v>10668.966704727856</v>
      </c>
      <c r="E28" s="540">
        <v>10911.761130212108</v>
      </c>
      <c r="F28" s="540">
        <v>11146.042234911936</v>
      </c>
      <c r="G28" s="540">
        <v>11379.036830559751</v>
      </c>
      <c r="H28" s="279">
        <f t="shared" si="4"/>
        <v>2.1710165550685501E-2</v>
      </c>
      <c r="I28" s="248"/>
      <c r="J28" s="306" t="s">
        <v>1362</v>
      </c>
      <c r="K28" s="306"/>
      <c r="L28" s="306"/>
      <c r="M28" s="306"/>
      <c r="N28" s="266"/>
      <c r="O28" s="266"/>
      <c r="P28" s="266"/>
      <c r="Q28" s="5"/>
      <c r="S28" s="88"/>
      <c r="T28" s="42"/>
      <c r="U28" s="42"/>
      <c r="V28" s="147" t="s">
        <v>466</v>
      </c>
      <c r="W28" s="288">
        <f t="shared" si="6"/>
        <v>1.1208848773054167</v>
      </c>
      <c r="X28" s="288">
        <v>1</v>
      </c>
      <c r="Y28" s="42"/>
      <c r="Z28" s="42"/>
      <c r="AA28" s="42"/>
    </row>
    <row r="29" spans="2:27" ht="12.6" thickTop="1">
      <c r="B29" s="5" t="s">
        <v>588</v>
      </c>
      <c r="C29" s="548">
        <v>1549</v>
      </c>
      <c r="D29" s="540">
        <v>1515.2038858352776</v>
      </c>
      <c r="E29" s="540">
        <v>1454.3667532733975</v>
      </c>
      <c r="F29" s="540">
        <v>1445.1384510655039</v>
      </c>
      <c r="G29" s="540">
        <v>1435.3283627143826</v>
      </c>
      <c r="H29" s="279">
        <f t="shared" si="4"/>
        <v>-1.7890156799031165E-2</v>
      </c>
      <c r="I29" s="252"/>
      <c r="J29" s="249"/>
      <c r="K29" s="249"/>
      <c r="L29" s="249"/>
      <c r="M29" s="249"/>
      <c r="N29" s="249"/>
      <c r="O29" s="251"/>
      <c r="Q29" s="5"/>
      <c r="S29" s="88"/>
      <c r="T29" s="42"/>
      <c r="U29" s="42"/>
      <c r="V29" s="147" t="s">
        <v>530</v>
      </c>
      <c r="W29" s="288">
        <f t="shared" si="6"/>
        <v>1.2530670599770537</v>
      </c>
      <c r="X29" s="288">
        <v>1</v>
      </c>
      <c r="Y29" s="42"/>
      <c r="Z29" s="42"/>
      <c r="AA29" s="42"/>
    </row>
    <row r="30" spans="2:27">
      <c r="B30" s="5" t="s">
        <v>589</v>
      </c>
      <c r="C30" s="549">
        <v>1756</v>
      </c>
      <c r="D30" s="540">
        <v>1733.3244273871683</v>
      </c>
      <c r="E30" s="540">
        <v>1688.5401868173549</v>
      </c>
      <c r="F30" s="540">
        <v>1667.1011968980056</v>
      </c>
      <c r="G30" s="540">
        <v>1655.4654927468107</v>
      </c>
      <c r="H30" s="279">
        <f t="shared" si="4"/>
        <v>-1.5202906056266619E-2</v>
      </c>
      <c r="I30" s="254"/>
      <c r="J30" s="248"/>
      <c r="K30" s="248"/>
      <c r="L30" s="248"/>
      <c r="M30" s="248"/>
      <c r="N30" s="248"/>
      <c r="O30" s="5"/>
      <c r="Q30" s="5"/>
      <c r="S30" s="88"/>
      <c r="T30" s="42"/>
      <c r="U30" s="42"/>
      <c r="V30" s="147" t="s">
        <v>593</v>
      </c>
      <c r="W30" s="288">
        <f t="shared" si="6"/>
        <v>0.96934458891630615</v>
      </c>
      <c r="X30" s="288">
        <v>1</v>
      </c>
      <c r="Y30" s="42"/>
      <c r="Z30" s="42"/>
      <c r="AA30" s="42"/>
    </row>
    <row r="31" spans="2:27">
      <c r="B31" s="5" t="s">
        <v>590</v>
      </c>
      <c r="C31" s="549">
        <v>1139.6220000000001</v>
      </c>
      <c r="D31" s="540">
        <v>1139.6220000000001</v>
      </c>
      <c r="E31" s="540">
        <v>1139.6220000000001</v>
      </c>
      <c r="F31" s="540">
        <v>1139.6220000000001</v>
      </c>
      <c r="G31" s="540">
        <v>1139.6220000000001</v>
      </c>
      <c r="H31" s="279">
        <f t="shared" si="4"/>
        <v>0</v>
      </c>
      <c r="I31" s="254"/>
      <c r="J31" s="252"/>
      <c r="K31" s="252"/>
      <c r="L31" s="252"/>
      <c r="M31" s="252"/>
      <c r="N31" s="252"/>
      <c r="O31" s="5"/>
      <c r="Q31" s="5"/>
      <c r="S31" s="88"/>
      <c r="T31" s="42"/>
      <c r="U31" s="42"/>
      <c r="V31" s="147" t="s">
        <v>475</v>
      </c>
      <c r="W31" s="288">
        <f t="shared" si="6"/>
        <v>1.1339616982978593</v>
      </c>
      <c r="X31" s="288">
        <v>1</v>
      </c>
      <c r="Y31" s="42"/>
      <c r="Z31" s="42"/>
      <c r="AA31" s="42"/>
    </row>
    <row r="32" spans="2:27">
      <c r="B32" s="5" t="s">
        <v>606</v>
      </c>
      <c r="C32" s="550">
        <v>0</v>
      </c>
      <c r="D32" s="540">
        <v>0</v>
      </c>
      <c r="E32" s="540">
        <v>0</v>
      </c>
      <c r="F32" s="540">
        <v>0</v>
      </c>
      <c r="G32" s="540">
        <v>0</v>
      </c>
      <c r="H32" s="279" t="str">
        <f t="shared" si="4"/>
        <v>nm</v>
      </c>
      <c r="I32" s="254"/>
      <c r="J32" s="254"/>
      <c r="K32" s="254"/>
      <c r="L32" s="254"/>
      <c r="M32" s="254"/>
      <c r="N32" s="254"/>
      <c r="O32" s="251"/>
      <c r="Q32" s="5"/>
      <c r="S32" s="88"/>
      <c r="T32" s="42"/>
      <c r="U32" s="42"/>
      <c r="V32" s="147" t="s">
        <v>533</v>
      </c>
      <c r="W32" s="288">
        <f t="shared" si="6"/>
        <v>1.0616735808365632</v>
      </c>
      <c r="X32" s="288">
        <v>1</v>
      </c>
      <c r="Y32" s="42"/>
      <c r="Z32" s="42"/>
      <c r="AA32" s="42"/>
    </row>
    <row r="33" spans="2:27">
      <c r="B33" s="5" t="s">
        <v>5</v>
      </c>
      <c r="C33" s="549">
        <v>72</v>
      </c>
      <c r="D33" s="540">
        <v>153.6456174802106</v>
      </c>
      <c r="E33" s="540">
        <v>146.75792105344399</v>
      </c>
      <c r="F33" s="540">
        <v>145.31740749302799</v>
      </c>
      <c r="G33" s="540">
        <v>145.04959311357322</v>
      </c>
      <c r="H33" s="279">
        <f>IF(D33=0,"nm",IF(G33=0,"nm",(G33/D33)^(1/3)-1))</f>
        <v>-1.9008044741480323E-2</v>
      </c>
      <c r="I33" s="5"/>
      <c r="J33" s="254"/>
      <c r="K33" s="254"/>
      <c r="L33" s="254"/>
      <c r="M33" s="254"/>
      <c r="N33" s="254"/>
      <c r="O33" s="251"/>
      <c r="Q33" s="5"/>
      <c r="S33" s="88"/>
      <c r="T33" s="42"/>
      <c r="U33" s="42"/>
      <c r="V33" s="147" t="s">
        <v>580</v>
      </c>
      <c r="W33" s="288">
        <f t="shared" si="6"/>
        <v>0.89556688705465071</v>
      </c>
      <c r="X33" s="288">
        <v>1</v>
      </c>
      <c r="Y33" s="42"/>
      <c r="Z33" s="42"/>
      <c r="AA33" s="42"/>
    </row>
    <row r="34" spans="2:27">
      <c r="H34" s="277"/>
      <c r="I34" s="49"/>
      <c r="J34" s="254"/>
      <c r="K34" s="254"/>
      <c r="L34" s="254"/>
      <c r="M34" s="254"/>
      <c r="N34" s="254"/>
      <c r="O34" s="251"/>
      <c r="Q34" s="5"/>
      <c r="S34" s="88"/>
      <c r="T34" s="42"/>
      <c r="U34" s="42"/>
      <c r="V34" s="147" t="s">
        <v>581</v>
      </c>
      <c r="W34" s="288">
        <f>D47/L19</f>
        <v>0.8818640007868489</v>
      </c>
      <c r="X34" s="288">
        <v>1</v>
      </c>
      <c r="Y34" s="288"/>
      <c r="Z34" s="288"/>
      <c r="AA34" s="42"/>
    </row>
    <row r="35" spans="2:27" ht="12.6" thickBot="1">
      <c r="B35" s="306" t="s">
        <v>439</v>
      </c>
      <c r="C35" s="265"/>
      <c r="D35" s="265" t="str">
        <f>D5</f>
        <v>2023E</v>
      </c>
      <c r="E35" s="265" t="str">
        <f t="shared" ref="E35:H35" si="7">E5</f>
        <v>2024E</v>
      </c>
      <c r="F35" s="265" t="str">
        <f t="shared" si="7"/>
        <v>2025E</v>
      </c>
      <c r="G35" s="265" t="str">
        <f t="shared" si="7"/>
        <v>2026E</v>
      </c>
      <c r="H35" s="265" t="str">
        <f t="shared" si="7"/>
        <v>23E-26E</v>
      </c>
      <c r="I35" s="254"/>
      <c r="J35" s="5"/>
      <c r="K35" s="5"/>
      <c r="L35" s="5"/>
      <c r="M35" s="5"/>
      <c r="N35" s="5"/>
      <c r="O35" s="5"/>
      <c r="Q35" s="5"/>
      <c r="S35" s="88"/>
      <c r="T35" s="42"/>
      <c r="U35" s="42"/>
      <c r="V35" s="42"/>
      <c r="W35" s="42"/>
      <c r="X35" s="42"/>
      <c r="Y35" s="288"/>
      <c r="Z35" s="288"/>
      <c r="AA35" s="42"/>
    </row>
    <row r="36" spans="2:27" ht="12.6" thickTop="1">
      <c r="B36" s="41"/>
      <c r="C36" s="249"/>
      <c r="D36" s="254"/>
      <c r="E36" s="254"/>
      <c r="F36" s="254"/>
      <c r="G36" s="254"/>
      <c r="H36" s="254"/>
      <c r="I36" s="17"/>
      <c r="J36" s="49"/>
      <c r="K36" s="49"/>
      <c r="L36" s="49"/>
      <c r="M36" s="49"/>
      <c r="N36" s="49"/>
      <c r="O36" s="49"/>
      <c r="Q36" s="5"/>
      <c r="S36" s="88"/>
      <c r="T36" s="42"/>
      <c r="U36" s="42"/>
      <c r="V36" s="42"/>
      <c r="W36" s="42"/>
      <c r="X36" s="42"/>
      <c r="Y36" s="288"/>
      <c r="Z36" s="288"/>
      <c r="AA36" s="42"/>
    </row>
    <row r="37" spans="2:27">
      <c r="B37" s="5" t="s">
        <v>273</v>
      </c>
      <c r="C37" s="247"/>
      <c r="D37" s="529">
        <f>D$18/D23</f>
        <v>3.1015278545280007</v>
      </c>
      <c r="E37" s="529">
        <f t="shared" ref="E37:G41" si="8">E$18/E23</f>
        <v>2.9663844420110785</v>
      </c>
      <c r="F37" s="529">
        <f t="shared" si="8"/>
        <v>2.831495684363424</v>
      </c>
      <c r="G37" s="529">
        <f t="shared" si="8"/>
        <v>2.6972399875746955</v>
      </c>
      <c r="H37" s="17">
        <f t="shared" ref="H37:H45" si="9">H23</f>
        <v>1.1241157632950749E-3</v>
      </c>
      <c r="I37" s="5"/>
      <c r="J37" s="259"/>
      <c r="K37" s="259"/>
      <c r="L37" s="259"/>
      <c r="M37" s="259"/>
      <c r="N37" s="259"/>
      <c r="O37" s="18"/>
      <c r="Q37" s="5"/>
      <c r="R37" s="5"/>
      <c r="S37" s="42"/>
      <c r="T37" s="42"/>
      <c r="U37" s="42"/>
      <c r="V37" s="42"/>
      <c r="W37" s="42"/>
      <c r="X37" s="42"/>
      <c r="Y37" s="42"/>
      <c r="Z37" s="42"/>
      <c r="AA37" s="42"/>
    </row>
    <row r="38" spans="2:27">
      <c r="B38" s="5" t="s">
        <v>184</v>
      </c>
      <c r="C38" s="247"/>
      <c r="D38" s="529">
        <f>D$18/D24</f>
        <v>7.8805486816706702</v>
      </c>
      <c r="E38" s="529">
        <f t="shared" si="8"/>
        <v>7.6869291641946615</v>
      </c>
      <c r="F38" s="529">
        <f t="shared" si="8"/>
        <v>7.3761324595356257</v>
      </c>
      <c r="G38" s="529">
        <f t="shared" si="8"/>
        <v>7.0648666078755911</v>
      </c>
      <c r="H38" s="17">
        <f t="shared" si="9"/>
        <v>-8.9701836553373049E-3</v>
      </c>
      <c r="I38" s="259"/>
      <c r="J38" s="17"/>
      <c r="K38" s="17"/>
      <c r="L38" s="17"/>
      <c r="M38" s="17"/>
      <c r="N38" s="17"/>
      <c r="O38" s="5"/>
      <c r="Q38" s="5"/>
      <c r="R38" s="5"/>
      <c r="S38" s="42"/>
      <c r="T38" s="42"/>
      <c r="U38" s="42"/>
      <c r="V38" s="42"/>
      <c r="W38" s="42"/>
      <c r="X38" s="42"/>
      <c r="Y38" s="42"/>
      <c r="Z38" s="42"/>
      <c r="AA38" s="42"/>
    </row>
    <row r="39" spans="2:27">
      <c r="B39" s="5" t="s">
        <v>185</v>
      </c>
      <c r="C39" s="247"/>
      <c r="D39" s="529">
        <f>D$18/D25</f>
        <v>16.707795247716909</v>
      </c>
      <c r="E39" s="529">
        <f t="shared" si="8"/>
        <v>16.569741490218703</v>
      </c>
      <c r="F39" s="529">
        <f t="shared" si="8"/>
        <v>15.972472789339323</v>
      </c>
      <c r="G39" s="529">
        <f t="shared" si="8"/>
        <v>15.367340852616588</v>
      </c>
      <c r="H39" s="17">
        <f t="shared" si="9"/>
        <v>-1.7401648753235577E-2</v>
      </c>
      <c r="I39" s="17"/>
      <c r="J39" s="5"/>
      <c r="K39" s="5"/>
      <c r="L39" s="5"/>
      <c r="M39" s="5"/>
      <c r="N39" s="5"/>
      <c r="O39" s="5"/>
      <c r="Q39" s="5"/>
      <c r="R39" s="5"/>
      <c r="S39" s="42"/>
      <c r="T39" s="42"/>
      <c r="U39" s="42"/>
      <c r="V39" s="42"/>
      <c r="W39" s="42"/>
      <c r="X39" s="42"/>
      <c r="Y39" s="42"/>
      <c r="Z39" s="42"/>
      <c r="AA39" s="42"/>
    </row>
    <row r="40" spans="2:27">
      <c r="B40" s="5" t="s">
        <v>466</v>
      </c>
      <c r="C40" s="247"/>
      <c r="D40" s="529">
        <f>D$18/D26</f>
        <v>21.04256328427822</v>
      </c>
      <c r="E40" s="529">
        <f t="shared" si="8"/>
        <v>20.868692053172168</v>
      </c>
      <c r="F40" s="529">
        <f t="shared" si="8"/>
        <v>20.116464470200658</v>
      </c>
      <c r="G40" s="529">
        <f t="shared" si="8"/>
        <v>19.354333567527188</v>
      </c>
      <c r="H40" s="17">
        <f t="shared" si="9"/>
        <v>-1.7401648753235577E-2</v>
      </c>
      <c r="I40" s="5"/>
      <c r="J40" s="259"/>
      <c r="K40" s="259"/>
      <c r="L40" s="259"/>
      <c r="M40" s="259"/>
      <c r="N40" s="259"/>
      <c r="O40" s="18"/>
      <c r="Q40" s="5"/>
      <c r="R40" s="5"/>
      <c r="S40" s="42"/>
      <c r="T40" s="42"/>
      <c r="U40" s="42"/>
      <c r="V40" s="42"/>
      <c r="W40" s="288"/>
      <c r="X40" s="288"/>
      <c r="Y40" s="42"/>
      <c r="Z40" s="42"/>
      <c r="AA40" s="42"/>
    </row>
    <row r="41" spans="2:27">
      <c r="B41" s="5" t="s">
        <v>530</v>
      </c>
      <c r="C41" s="247"/>
      <c r="D41" s="529">
        <f>D$18/D27</f>
        <v>1.8237200162758809</v>
      </c>
      <c r="E41" s="529">
        <f t="shared" si="8"/>
        <v>1.7233789570495339</v>
      </c>
      <c r="F41" s="529">
        <f t="shared" si="8"/>
        <v>1.6270590901832893</v>
      </c>
      <c r="G41" s="529">
        <f t="shared" si="8"/>
        <v>1.5335999461928291</v>
      </c>
      <c r="H41" s="17">
        <f t="shared" si="9"/>
        <v>1.2397935895624768E-2</v>
      </c>
      <c r="I41" s="247"/>
      <c r="J41" s="17"/>
      <c r="K41" s="17"/>
      <c r="L41" s="17"/>
      <c r="M41" s="17"/>
      <c r="N41" s="17"/>
      <c r="O41" s="5"/>
      <c r="Q41" s="5"/>
      <c r="R41" s="5"/>
      <c r="S41" s="42"/>
      <c r="T41" s="42"/>
      <c r="U41" s="42"/>
      <c r="V41" s="42"/>
      <c r="W41" s="288"/>
      <c r="X41" s="288"/>
      <c r="Y41" s="288"/>
      <c r="Z41" s="288"/>
      <c r="AA41" s="42"/>
    </row>
    <row r="42" spans="2:27">
      <c r="B42" s="5" t="s">
        <v>593</v>
      </c>
      <c r="C42" s="247"/>
      <c r="D42" s="529">
        <f>D18/D28</f>
        <v>3.2215967496074351</v>
      </c>
      <c r="E42" s="529">
        <f>E18/E28</f>
        <v>3.0151541756520865</v>
      </c>
      <c r="F42" s="529">
        <f>F18/F28</f>
        <v>2.8207256355079218</v>
      </c>
      <c r="G42" s="529">
        <f>G18/G28</f>
        <v>2.6356983707727206</v>
      </c>
      <c r="H42" s="17">
        <f t="shared" si="9"/>
        <v>2.1710165550685501E-2</v>
      </c>
      <c r="I42" s="248"/>
      <c r="J42" s="5"/>
      <c r="K42" s="5"/>
      <c r="L42" s="5"/>
      <c r="M42" s="5"/>
      <c r="N42" s="5"/>
      <c r="O42" s="5"/>
      <c r="Q42" s="5"/>
      <c r="R42" s="5"/>
      <c r="S42" s="42"/>
      <c r="T42" s="42"/>
      <c r="U42" s="42"/>
      <c r="V42" s="42"/>
      <c r="W42" s="288"/>
      <c r="X42" s="288"/>
      <c r="Y42" s="288"/>
      <c r="Z42" s="288"/>
      <c r="AA42" s="42"/>
    </row>
    <row r="43" spans="2:27">
      <c r="B43" s="5" t="s">
        <v>475</v>
      </c>
      <c r="C43" s="247"/>
      <c r="D43" s="529">
        <f>L26/D29</f>
        <v>17.428078324550174</v>
      </c>
      <c r="E43" s="529">
        <f>M26/E29</f>
        <v>18.157106479892072</v>
      </c>
      <c r="F43" s="529">
        <f>N26/F29</f>
        <v>18.273053339996586</v>
      </c>
      <c r="G43" s="529">
        <f>O26/G29</f>
        <v>18.397944808991959</v>
      </c>
      <c r="H43" s="17">
        <f t="shared" si="9"/>
        <v>-1.7890156799031165E-2</v>
      </c>
      <c r="I43" s="247"/>
      <c r="J43" s="247"/>
      <c r="K43" s="247"/>
      <c r="L43" s="247"/>
      <c r="M43" s="247"/>
      <c r="N43" s="247"/>
      <c r="O43" s="18"/>
      <c r="Q43" s="5"/>
      <c r="R43" s="5"/>
      <c r="S43" s="42"/>
      <c r="T43" s="42"/>
      <c r="U43" s="42"/>
      <c r="V43" s="42"/>
      <c r="W43" s="288"/>
      <c r="X43" s="288"/>
      <c r="Y43" s="288"/>
      <c r="Z43" s="288"/>
      <c r="AA43" s="42"/>
    </row>
    <row r="44" spans="2:27">
      <c r="B44" s="5" t="s">
        <v>533</v>
      </c>
      <c r="C44" s="69"/>
      <c r="D44" s="529">
        <f>D11/D30</f>
        <v>14.703590163105247</v>
      </c>
      <c r="E44" s="529">
        <f>E11/E30</f>
        <v>15.093565553827572</v>
      </c>
      <c r="F44" s="529">
        <f>F11/F30</f>
        <v>15.28766942728028</v>
      </c>
      <c r="G44" s="529">
        <f>G11/G30</f>
        <v>15.395121258439834</v>
      </c>
      <c r="H44" s="17">
        <f t="shared" si="9"/>
        <v>-1.5202906056266619E-2</v>
      </c>
      <c r="I44" s="247"/>
      <c r="J44" s="248"/>
      <c r="K44" s="248"/>
      <c r="L44" s="248"/>
      <c r="M44" s="248"/>
      <c r="N44" s="248"/>
      <c r="O44" s="248"/>
      <c r="Q44" s="5"/>
      <c r="R44" s="5"/>
      <c r="S44" s="42"/>
      <c r="T44" s="42"/>
      <c r="U44" s="42"/>
      <c r="V44" s="42"/>
      <c r="W44" s="325"/>
      <c r="X44" s="325"/>
      <c r="Y44" s="288"/>
      <c r="Z44" s="288"/>
      <c r="AA44" s="42"/>
    </row>
    <row r="45" spans="2:27">
      <c r="B45" s="5" t="s">
        <v>580</v>
      </c>
      <c r="C45" s="247"/>
      <c r="D45" s="248">
        <f>D31/D11</f>
        <v>4.4715447154471545E-2</v>
      </c>
      <c r="E45" s="248">
        <f>E31/E11</f>
        <v>4.4715447154471545E-2</v>
      </c>
      <c r="F45" s="248">
        <f>F31/F11</f>
        <v>4.4715447154471545E-2</v>
      </c>
      <c r="G45" s="248">
        <f>G31/G11</f>
        <v>4.4715447154471545E-2</v>
      </c>
      <c r="H45" s="17">
        <f t="shared" si="9"/>
        <v>0</v>
      </c>
      <c r="I45" s="248"/>
      <c r="J45" s="247"/>
      <c r="K45" s="247"/>
      <c r="L45" s="247"/>
      <c r="M45" s="247"/>
      <c r="N45" s="247"/>
      <c r="O45" s="248"/>
      <c r="Q45" s="5"/>
      <c r="R45" s="5"/>
      <c r="S45" s="42"/>
      <c r="T45" s="42"/>
      <c r="U45" s="42"/>
      <c r="V45" s="42"/>
      <c r="W45" s="42"/>
      <c r="X45" s="42"/>
      <c r="Y45" s="325"/>
      <c r="Z45" s="325"/>
      <c r="AA45" s="42"/>
    </row>
    <row r="46" spans="2:27">
      <c r="B46" s="5" t="s">
        <v>605</v>
      </c>
      <c r="C46" s="247"/>
      <c r="D46" s="248">
        <f>(D31+D32)/D11</f>
        <v>4.4715447154471545E-2</v>
      </c>
      <c r="E46" s="248">
        <f>(E31+E32)/E11</f>
        <v>4.4715447154471545E-2</v>
      </c>
      <c r="F46" s="248">
        <f>(F31+F32)/F11</f>
        <v>4.4715447154471545E-2</v>
      </c>
      <c r="G46" s="248">
        <f>(G31+G32)/G11</f>
        <v>4.4715447154471545E-2</v>
      </c>
      <c r="H46" s="279">
        <f>((G31+G32)/(D31+D32))^(1/3)-1</f>
        <v>0</v>
      </c>
      <c r="I46" s="247"/>
      <c r="J46" s="247"/>
      <c r="K46" s="247"/>
      <c r="L46" s="247"/>
      <c r="M46" s="247"/>
      <c r="N46" s="247"/>
      <c r="O46" s="18"/>
      <c r="Q46" s="5"/>
      <c r="R46" s="5"/>
      <c r="S46" s="42"/>
      <c r="T46" s="42"/>
      <c r="U46" s="42"/>
      <c r="V46" s="42"/>
      <c r="W46" s="42"/>
      <c r="X46" s="42"/>
      <c r="Y46" s="42"/>
      <c r="Z46" s="42"/>
      <c r="AA46" s="326"/>
    </row>
    <row r="47" spans="2:27">
      <c r="B47" s="5" t="s">
        <v>581</v>
      </c>
      <c r="C47" s="5"/>
      <c r="D47" s="248">
        <f>1/D43</f>
        <v>5.7378672586715633E-2</v>
      </c>
      <c r="E47" s="248">
        <f>1/E43</f>
        <v>5.5074854636527094E-2</v>
      </c>
      <c r="F47" s="248">
        <f>1/F43</f>
        <v>5.4725391613188755E-2</v>
      </c>
      <c r="G47" s="248">
        <f>1/G43</f>
        <v>5.4353897154384982E-2</v>
      </c>
      <c r="H47" s="17">
        <f>H29</f>
        <v>-1.7890156799031165E-2</v>
      </c>
      <c r="I47" s="17"/>
      <c r="J47" s="248"/>
      <c r="K47" s="248"/>
      <c r="L47" s="248"/>
      <c r="M47" s="248"/>
      <c r="N47" s="248"/>
      <c r="O47" s="248"/>
      <c r="Q47" s="5"/>
      <c r="R47" s="5"/>
      <c r="S47" s="42"/>
      <c r="T47" s="42"/>
      <c r="U47" s="42"/>
      <c r="V47" s="42"/>
      <c r="W47" s="42"/>
      <c r="X47" s="42"/>
      <c r="Y47" s="42"/>
      <c r="Z47" s="42"/>
      <c r="AA47" s="326"/>
    </row>
    <row r="48" spans="2:27">
      <c r="B48" s="5" t="s">
        <v>618</v>
      </c>
      <c r="C48" s="5"/>
      <c r="D48" s="305">
        <f>D31/D29</f>
        <v>0.75212452307813826</v>
      </c>
      <c r="E48" s="305">
        <f>E31/E29</f>
        <v>0.78358639417121601</v>
      </c>
      <c r="F48" s="305">
        <f>F31/F29</f>
        <v>0.78859018605432174</v>
      </c>
      <c r="G48" s="305">
        <f>G31/G29</f>
        <v>0.79397999064467351</v>
      </c>
      <c r="H48" s="279" t="s">
        <v>607</v>
      </c>
      <c r="I48" s="247"/>
      <c r="J48" s="247"/>
      <c r="K48" s="247"/>
      <c r="L48" s="247"/>
      <c r="M48" s="247"/>
      <c r="N48" s="247"/>
      <c r="O48" s="248"/>
      <c r="Q48" s="5"/>
      <c r="R48" s="5"/>
      <c r="S48" s="42"/>
      <c r="T48" s="42"/>
      <c r="U48" s="42"/>
      <c r="V48" s="42"/>
      <c r="W48" s="42"/>
      <c r="X48" s="42"/>
      <c r="Y48" s="42"/>
      <c r="Z48" s="42"/>
      <c r="AA48" s="326"/>
    </row>
    <row r="49" spans="2:27">
      <c r="B49" s="41"/>
      <c r="C49" s="17"/>
      <c r="D49" s="17"/>
      <c r="E49" s="17"/>
      <c r="F49" s="17"/>
      <c r="G49" s="17"/>
      <c r="H49" s="17"/>
      <c r="I49" s="254"/>
      <c r="J49" s="17"/>
      <c r="K49" s="17"/>
      <c r="L49" s="17"/>
      <c r="M49" s="17"/>
      <c r="N49" s="17"/>
      <c r="O49" s="248"/>
      <c r="Q49" s="5"/>
      <c r="R49" s="5"/>
      <c r="S49" s="42"/>
      <c r="T49" s="42"/>
      <c r="U49" s="42"/>
      <c r="V49" s="42"/>
      <c r="W49" s="42"/>
      <c r="X49" s="42"/>
      <c r="Y49" s="42"/>
      <c r="Z49" s="42"/>
      <c r="AA49" s="326"/>
    </row>
    <row r="50" spans="2:27">
      <c r="B50" s="5"/>
      <c r="C50" s="257"/>
      <c r="D50" s="257"/>
      <c r="E50" s="257"/>
      <c r="F50" s="5"/>
      <c r="G50" s="41"/>
      <c r="H50" s="249"/>
      <c r="I50" s="17"/>
      <c r="J50" s="249"/>
      <c r="K50" s="249"/>
      <c r="L50" s="249"/>
      <c r="M50" s="249"/>
      <c r="N50" s="249"/>
      <c r="O50" s="250"/>
      <c r="Q50" s="5"/>
      <c r="R50" s="5"/>
      <c r="S50" s="42"/>
      <c r="T50" s="42"/>
      <c r="U50" s="42"/>
      <c r="V50" s="42"/>
      <c r="W50" s="288"/>
      <c r="X50" s="288"/>
      <c r="Y50" s="42"/>
      <c r="Z50" s="42"/>
      <c r="AA50" s="326"/>
    </row>
    <row r="51" spans="2:27">
      <c r="B51" s="41"/>
      <c r="C51" s="249"/>
      <c r="D51" s="254"/>
      <c r="E51" s="254"/>
      <c r="F51" s="254"/>
      <c r="G51" s="254"/>
      <c r="H51" s="254"/>
      <c r="I51" s="259"/>
      <c r="J51" s="254"/>
      <c r="K51" s="254"/>
      <c r="L51" s="254"/>
      <c r="M51" s="254"/>
      <c r="N51" s="254"/>
      <c r="O51" s="251"/>
      <c r="Q51" s="5"/>
      <c r="R51" s="5"/>
      <c r="S51" s="42"/>
      <c r="T51" s="42"/>
      <c r="U51" s="42"/>
      <c r="V51" s="42"/>
      <c r="W51" s="288"/>
      <c r="X51" s="288"/>
      <c r="Y51" s="288"/>
      <c r="Z51" s="288"/>
      <c r="AA51" s="42"/>
    </row>
    <row r="52" spans="2:27">
      <c r="B52" s="5"/>
      <c r="C52" s="257"/>
      <c r="D52" s="17"/>
      <c r="E52" s="17"/>
      <c r="F52" s="17"/>
      <c r="G52" s="17"/>
      <c r="H52" s="17"/>
      <c r="I52" s="254"/>
      <c r="J52" s="17"/>
      <c r="K52" s="17"/>
      <c r="L52" s="17"/>
      <c r="M52" s="17"/>
      <c r="N52" s="17"/>
      <c r="O52" s="248"/>
      <c r="Q52" s="5"/>
      <c r="R52" s="5"/>
      <c r="S52" s="5"/>
      <c r="Y52" s="10"/>
      <c r="Z52" s="10"/>
    </row>
    <row r="53" spans="2:27">
      <c r="B53" s="5"/>
      <c r="C53" s="257"/>
      <c r="D53" s="257"/>
      <c r="E53" s="257"/>
      <c r="F53" s="5"/>
      <c r="G53" s="5"/>
      <c r="H53" s="259"/>
      <c r="I53" s="17"/>
      <c r="J53" s="259"/>
      <c r="K53" s="259"/>
      <c r="L53" s="259"/>
      <c r="M53" s="259"/>
      <c r="N53" s="259"/>
      <c r="O53" s="18"/>
      <c r="Q53" s="5"/>
      <c r="R53" s="5"/>
      <c r="S53" s="5"/>
    </row>
    <row r="54" spans="2:27">
      <c r="B54" s="41"/>
      <c r="C54" s="249"/>
      <c r="D54" s="254"/>
      <c r="E54" s="254"/>
      <c r="F54" s="254"/>
      <c r="G54" s="254"/>
      <c r="H54" s="254"/>
      <c r="I54" s="259"/>
      <c r="J54" s="254"/>
      <c r="K54" s="254"/>
      <c r="L54" s="254"/>
      <c r="M54" s="254"/>
      <c r="N54" s="254"/>
      <c r="O54" s="251"/>
      <c r="Q54" s="5"/>
      <c r="R54" s="5"/>
      <c r="S54" s="5"/>
    </row>
    <row r="55" spans="2:27">
      <c r="B55" s="5"/>
      <c r="C55" s="257"/>
      <c r="D55" s="17"/>
      <c r="E55" s="17"/>
      <c r="F55" s="17"/>
      <c r="G55" s="17"/>
      <c r="H55" s="17"/>
      <c r="I55" s="249"/>
      <c r="J55" s="17"/>
      <c r="K55" s="17"/>
      <c r="L55" s="17"/>
      <c r="M55" s="17"/>
      <c r="N55" s="17"/>
      <c r="O55" s="18"/>
      <c r="Q55" s="5"/>
      <c r="R55" s="5"/>
      <c r="S55" s="5"/>
    </row>
    <row r="56" spans="2:27">
      <c r="B56" s="5"/>
      <c r="C56" s="248"/>
      <c r="D56" s="248"/>
      <c r="E56" s="248"/>
      <c r="F56" s="5"/>
      <c r="G56" s="5"/>
      <c r="H56" s="259"/>
      <c r="I56" s="248"/>
      <c r="J56" s="259"/>
      <c r="K56" s="259"/>
      <c r="L56" s="259"/>
      <c r="M56" s="259"/>
      <c r="N56" s="259"/>
      <c r="O56" s="18"/>
      <c r="Q56" s="5"/>
      <c r="R56" s="5"/>
      <c r="S56" s="5"/>
    </row>
    <row r="57" spans="2:27">
      <c r="B57" s="41"/>
      <c r="C57" s="249"/>
      <c r="D57" s="249"/>
      <c r="E57" s="249"/>
      <c r="F57" s="249"/>
      <c r="G57" s="249"/>
      <c r="H57" s="249"/>
      <c r="I57" s="5"/>
      <c r="J57" s="249"/>
      <c r="K57" s="249"/>
      <c r="L57" s="249"/>
      <c r="M57" s="249"/>
      <c r="N57" s="249"/>
      <c r="O57" s="251"/>
      <c r="Q57" s="5"/>
      <c r="R57" s="5"/>
      <c r="S57" s="5"/>
    </row>
    <row r="58" spans="2:27">
      <c r="B58" s="5"/>
      <c r="C58" s="5"/>
      <c r="D58" s="248"/>
      <c r="E58" s="248"/>
      <c r="F58" s="248"/>
      <c r="G58" s="248"/>
      <c r="H58" s="248"/>
      <c r="I58" s="17"/>
      <c r="J58" s="248"/>
      <c r="K58" s="248"/>
      <c r="L58" s="248"/>
      <c r="M58" s="248"/>
      <c r="N58" s="248"/>
      <c r="O58" s="18"/>
      <c r="Q58" s="5"/>
      <c r="R58" s="5"/>
      <c r="S58" s="5"/>
    </row>
    <row r="59" spans="2:27">
      <c r="B59" s="5"/>
      <c r="C59" s="5"/>
      <c r="D59" s="5"/>
      <c r="E59" s="5"/>
      <c r="F59" s="5"/>
      <c r="G59" s="5"/>
      <c r="H59" s="5"/>
      <c r="I59" s="5"/>
      <c r="J59" s="5"/>
      <c r="K59" s="5"/>
      <c r="L59" s="5"/>
      <c r="M59" s="5"/>
      <c r="N59" s="5"/>
      <c r="O59" s="5"/>
      <c r="Q59" s="5"/>
      <c r="R59" s="5"/>
      <c r="S59" s="5"/>
    </row>
    <row r="60" spans="2:27">
      <c r="B60" s="41"/>
      <c r="C60" s="17"/>
      <c r="D60" s="17"/>
      <c r="E60" s="17"/>
      <c r="F60" s="17"/>
      <c r="G60" s="17"/>
      <c r="H60" s="17"/>
      <c r="I60" s="249"/>
      <c r="J60" s="17"/>
      <c r="K60" s="17"/>
      <c r="L60" s="17"/>
      <c r="M60" s="17"/>
      <c r="N60" s="17"/>
      <c r="O60" s="251"/>
      <c r="Q60" s="5"/>
      <c r="R60" s="5"/>
      <c r="S60" s="5"/>
    </row>
    <row r="61" spans="2:27">
      <c r="B61" s="5"/>
      <c r="C61" s="5"/>
      <c r="D61" s="5"/>
      <c r="E61" s="5"/>
      <c r="F61" s="5"/>
      <c r="G61" s="5"/>
      <c r="H61" s="5"/>
      <c r="I61" s="5"/>
      <c r="J61" s="5"/>
      <c r="K61" s="5"/>
      <c r="L61" s="5"/>
      <c r="M61" s="5"/>
      <c r="N61" s="5"/>
      <c r="O61" s="5"/>
      <c r="Q61" s="41"/>
      <c r="R61" s="5"/>
      <c r="S61" s="5"/>
    </row>
    <row r="62" spans="2:27">
      <c r="B62" s="41"/>
      <c r="C62" s="249"/>
      <c r="D62" s="249"/>
      <c r="E62" s="249"/>
      <c r="F62" s="249"/>
      <c r="G62" s="249"/>
      <c r="H62" s="249"/>
      <c r="I62" s="5"/>
      <c r="J62" s="249"/>
      <c r="K62" s="249"/>
      <c r="L62" s="249"/>
      <c r="M62" s="249"/>
      <c r="N62" s="249"/>
      <c r="O62" s="251"/>
      <c r="Q62" s="5"/>
      <c r="R62" s="5"/>
      <c r="S62" s="5"/>
    </row>
    <row r="63" spans="2:27">
      <c r="B63" s="5"/>
      <c r="C63" s="5"/>
      <c r="D63" s="5"/>
      <c r="E63" s="5"/>
      <c r="F63" s="5"/>
      <c r="G63" s="5"/>
      <c r="H63" s="5"/>
      <c r="I63" s="254"/>
      <c r="J63" s="5"/>
      <c r="K63" s="5"/>
      <c r="L63" s="5"/>
      <c r="M63" s="5"/>
      <c r="N63" s="5"/>
      <c r="O63" s="5"/>
      <c r="Q63" s="5"/>
      <c r="R63" s="5"/>
      <c r="S63" s="5"/>
    </row>
    <row r="64" spans="2:27">
      <c r="B64" s="5"/>
      <c r="C64" s="5"/>
      <c r="D64" s="5"/>
      <c r="E64" s="5"/>
      <c r="F64" s="5"/>
      <c r="G64" s="5"/>
      <c r="H64" s="5"/>
      <c r="I64" s="17"/>
      <c r="J64" s="5"/>
      <c r="K64" s="5"/>
      <c r="L64" s="5"/>
      <c r="M64" s="5"/>
      <c r="N64" s="5"/>
      <c r="O64" s="5"/>
      <c r="Q64" s="5"/>
      <c r="R64" s="5"/>
      <c r="S64" s="5"/>
    </row>
    <row r="65" spans="2:26">
      <c r="B65" s="41"/>
      <c r="C65" s="249"/>
      <c r="D65" s="254"/>
      <c r="E65" s="254"/>
      <c r="F65" s="254"/>
      <c r="G65" s="254"/>
      <c r="H65" s="254"/>
      <c r="I65" s="254"/>
      <c r="J65" s="254"/>
      <c r="K65" s="254"/>
      <c r="L65" s="254"/>
      <c r="M65" s="254"/>
      <c r="N65" s="254"/>
      <c r="O65" s="251"/>
      <c r="Q65" s="5"/>
      <c r="R65" s="5"/>
      <c r="S65" s="5"/>
    </row>
    <row r="66" spans="2:26">
      <c r="B66" s="5"/>
      <c r="C66" s="5"/>
      <c r="D66" s="17"/>
      <c r="E66" s="17"/>
      <c r="F66" s="17"/>
      <c r="G66" s="17"/>
      <c r="H66" s="17"/>
      <c r="I66" s="248"/>
      <c r="J66" s="17"/>
      <c r="K66" s="17"/>
      <c r="L66" s="17"/>
      <c r="M66" s="17"/>
      <c r="N66" s="17"/>
      <c r="O66" s="5"/>
      <c r="Q66" s="5"/>
      <c r="R66" s="5"/>
      <c r="S66" s="5"/>
    </row>
    <row r="67" spans="2:26">
      <c r="B67" s="41"/>
      <c r="C67" s="249"/>
      <c r="D67" s="254"/>
      <c r="E67" s="254"/>
      <c r="F67" s="254"/>
      <c r="G67" s="254"/>
      <c r="H67" s="254"/>
      <c r="I67" s="5"/>
      <c r="J67" s="254"/>
      <c r="K67" s="254"/>
      <c r="L67" s="254"/>
      <c r="M67" s="254"/>
      <c r="N67" s="254"/>
      <c r="O67" s="251"/>
      <c r="Q67" s="41"/>
      <c r="R67" s="5"/>
      <c r="S67" s="5"/>
    </row>
    <row r="68" spans="2:26">
      <c r="B68" s="5"/>
      <c r="C68" s="5"/>
      <c r="D68" s="248"/>
      <c r="E68" s="248"/>
      <c r="F68" s="248"/>
      <c r="G68" s="248"/>
      <c r="H68" s="248"/>
      <c r="I68" s="245"/>
      <c r="J68" s="248"/>
      <c r="K68" s="248"/>
      <c r="L68" s="248"/>
      <c r="M68" s="248"/>
      <c r="N68" s="248"/>
      <c r="O68" s="5"/>
      <c r="Q68" s="5"/>
      <c r="R68" s="5"/>
      <c r="S68" s="5"/>
    </row>
    <row r="69" spans="2:26">
      <c r="B69" s="41"/>
      <c r="C69" s="5"/>
      <c r="D69" s="5"/>
      <c r="E69" s="5"/>
      <c r="F69" s="5"/>
      <c r="G69" s="5"/>
      <c r="H69" s="5"/>
      <c r="I69" s="248"/>
      <c r="J69" s="5"/>
      <c r="K69" s="5"/>
      <c r="L69" s="5"/>
      <c r="M69" s="5"/>
      <c r="N69" s="5"/>
      <c r="O69" s="5"/>
      <c r="Q69" s="5"/>
      <c r="R69" s="5"/>
      <c r="S69" s="5"/>
    </row>
    <row r="70" spans="2:26">
      <c r="B70" s="41"/>
      <c r="C70" s="245"/>
      <c r="D70" s="245"/>
      <c r="E70" s="245"/>
      <c r="F70" s="245"/>
      <c r="G70" s="245"/>
      <c r="H70" s="245"/>
      <c r="I70" s="5"/>
      <c r="J70" s="245"/>
      <c r="K70" s="245"/>
      <c r="L70" s="245"/>
      <c r="M70" s="245"/>
      <c r="N70" s="245"/>
      <c r="O70" s="251"/>
      <c r="Q70" s="5"/>
      <c r="R70" s="5"/>
      <c r="S70" s="5"/>
      <c r="W70" s="76"/>
      <c r="X70" s="76"/>
    </row>
    <row r="71" spans="2:26">
      <c r="B71" s="5"/>
      <c r="C71" s="5"/>
      <c r="D71" s="248"/>
      <c r="E71" s="248"/>
      <c r="F71" s="248"/>
      <c r="G71" s="248"/>
      <c r="H71" s="248"/>
      <c r="I71" s="245"/>
      <c r="J71" s="248"/>
      <c r="K71" s="248"/>
      <c r="L71" s="248"/>
      <c r="M71" s="248"/>
      <c r="N71" s="248"/>
      <c r="O71" s="5"/>
      <c r="Q71" s="5"/>
      <c r="R71" s="5"/>
      <c r="S71" s="5"/>
      <c r="W71" s="76"/>
      <c r="X71" s="76"/>
      <c r="Y71" s="76"/>
      <c r="Z71" s="76"/>
    </row>
    <row r="72" spans="2:26">
      <c r="B72" s="41"/>
      <c r="C72" s="5"/>
      <c r="D72" s="5"/>
      <c r="E72" s="5"/>
      <c r="F72" s="5"/>
      <c r="G72" s="5"/>
      <c r="H72" s="5"/>
      <c r="I72" s="18"/>
      <c r="J72" s="5"/>
      <c r="K72" s="5"/>
      <c r="L72" s="5"/>
      <c r="M72" s="5"/>
      <c r="N72" s="5"/>
      <c r="O72" s="5"/>
      <c r="Q72" s="5"/>
      <c r="R72" s="5"/>
      <c r="S72" s="5"/>
      <c r="Y72" s="76"/>
      <c r="Z72" s="76"/>
    </row>
    <row r="73" spans="2:26">
      <c r="B73" s="41"/>
      <c r="C73" s="245"/>
      <c r="D73" s="245"/>
      <c r="E73" s="245"/>
      <c r="F73" s="245"/>
      <c r="G73" s="245"/>
      <c r="H73" s="245"/>
      <c r="I73" s="5"/>
      <c r="J73" s="245"/>
      <c r="K73" s="245"/>
      <c r="L73" s="245"/>
      <c r="M73" s="245"/>
      <c r="N73" s="245"/>
      <c r="O73" s="251"/>
      <c r="Q73" s="5"/>
      <c r="R73" s="5"/>
      <c r="S73" s="5"/>
    </row>
    <row r="74" spans="2:26">
      <c r="B74" s="5"/>
      <c r="C74" s="5"/>
      <c r="D74" s="18"/>
      <c r="E74" s="18"/>
      <c r="F74" s="18"/>
      <c r="G74" s="18"/>
      <c r="H74" s="18"/>
      <c r="I74" s="249"/>
      <c r="J74" s="18"/>
      <c r="K74" s="18"/>
      <c r="L74" s="18"/>
      <c r="M74" s="18"/>
      <c r="N74" s="18"/>
      <c r="O74" s="5"/>
      <c r="Q74" s="5"/>
      <c r="R74" s="5"/>
      <c r="S74" s="5"/>
    </row>
    <row r="75" spans="2:26">
      <c r="B75" s="41"/>
      <c r="C75" s="5"/>
      <c r="D75" s="5"/>
      <c r="E75" s="5"/>
      <c r="F75" s="5"/>
      <c r="G75" s="5"/>
      <c r="H75" s="5"/>
      <c r="I75" s="248"/>
      <c r="J75" s="5"/>
      <c r="K75" s="5"/>
      <c r="L75" s="5"/>
      <c r="M75" s="5"/>
      <c r="N75" s="5"/>
      <c r="O75" s="5"/>
      <c r="Q75" s="5"/>
      <c r="R75" s="5"/>
      <c r="S75" s="5"/>
    </row>
    <row r="76" spans="2:26">
      <c r="B76" s="41"/>
      <c r="C76" s="249"/>
      <c r="D76" s="249"/>
      <c r="E76" s="249"/>
      <c r="F76" s="249"/>
      <c r="G76" s="249"/>
      <c r="H76" s="249"/>
      <c r="I76" s="5"/>
      <c r="J76" s="249"/>
      <c r="K76" s="249"/>
      <c r="L76" s="249"/>
      <c r="M76" s="249"/>
      <c r="N76" s="249"/>
      <c r="O76" s="251"/>
      <c r="Q76" s="5"/>
      <c r="R76" s="5"/>
      <c r="S76" s="5"/>
    </row>
    <row r="77" spans="2:26">
      <c r="B77" s="5"/>
      <c r="C77" s="5"/>
      <c r="D77" s="248"/>
      <c r="E77" s="248"/>
      <c r="F77" s="248"/>
      <c r="G77" s="248"/>
      <c r="H77" s="248"/>
      <c r="I77" s="245"/>
      <c r="J77" s="248"/>
      <c r="K77" s="248"/>
      <c r="L77" s="248"/>
      <c r="M77" s="248"/>
      <c r="N77" s="248"/>
      <c r="O77" s="5"/>
      <c r="Q77" s="5"/>
      <c r="R77" s="5"/>
      <c r="S77" s="5"/>
    </row>
    <row r="78" spans="2:26">
      <c r="B78" s="41"/>
      <c r="C78" s="5"/>
      <c r="D78" s="5"/>
      <c r="E78" s="5"/>
      <c r="F78" s="5"/>
      <c r="G78" s="5"/>
      <c r="H78" s="5"/>
      <c r="I78" s="248"/>
      <c r="J78" s="5"/>
      <c r="K78" s="5"/>
      <c r="L78" s="5"/>
      <c r="M78" s="5"/>
      <c r="N78" s="5"/>
      <c r="O78" s="5"/>
      <c r="Q78" s="5"/>
      <c r="R78" s="5"/>
      <c r="S78" s="5"/>
    </row>
    <row r="79" spans="2:26">
      <c r="B79" s="41"/>
      <c r="C79" s="245"/>
      <c r="D79" s="245"/>
      <c r="E79" s="245"/>
      <c r="F79" s="245"/>
      <c r="G79" s="245"/>
      <c r="H79" s="245"/>
      <c r="I79" s="5"/>
      <c r="J79" s="245"/>
      <c r="K79" s="245"/>
      <c r="L79" s="245"/>
      <c r="M79" s="245"/>
      <c r="N79" s="245"/>
      <c r="O79" s="251"/>
      <c r="Q79" s="5"/>
      <c r="R79" s="5"/>
      <c r="S79" s="5"/>
    </row>
    <row r="80" spans="2:26">
      <c r="B80" s="5"/>
      <c r="C80" s="5"/>
      <c r="D80" s="248"/>
      <c r="E80" s="248"/>
      <c r="F80" s="248"/>
      <c r="G80" s="248"/>
      <c r="H80" s="248"/>
      <c r="I80" s="249"/>
      <c r="J80" s="248"/>
      <c r="K80" s="248"/>
      <c r="L80" s="248"/>
      <c r="M80" s="248"/>
      <c r="N80" s="248"/>
      <c r="O80" s="5"/>
      <c r="Q80" s="5"/>
      <c r="R80" s="5"/>
      <c r="S80" s="5"/>
    </row>
    <row r="81" spans="2:26">
      <c r="B81" s="41"/>
      <c r="C81" s="5"/>
      <c r="D81" s="5"/>
      <c r="E81" s="5"/>
      <c r="F81" s="5"/>
      <c r="G81" s="5"/>
      <c r="H81" s="5"/>
      <c r="I81" s="248"/>
      <c r="J81" s="5"/>
      <c r="K81" s="5"/>
      <c r="L81" s="5"/>
      <c r="M81" s="5"/>
      <c r="N81" s="5"/>
      <c r="O81" s="5"/>
      <c r="Q81" s="5"/>
      <c r="R81" s="5"/>
      <c r="S81" s="5"/>
    </row>
    <row r="82" spans="2:26">
      <c r="B82" s="41"/>
      <c r="C82" s="249"/>
      <c r="D82" s="249"/>
      <c r="E82" s="249"/>
      <c r="F82" s="249"/>
      <c r="G82" s="249"/>
      <c r="H82" s="249"/>
      <c r="I82" s="259"/>
      <c r="J82" s="249"/>
      <c r="K82" s="249"/>
      <c r="L82" s="249"/>
      <c r="M82" s="249"/>
      <c r="N82" s="249"/>
      <c r="O82" s="251"/>
      <c r="Q82" s="5"/>
      <c r="R82" s="5"/>
      <c r="S82" s="5"/>
    </row>
    <row r="83" spans="2:26">
      <c r="B83" s="5"/>
      <c r="C83" s="5"/>
      <c r="D83" s="248"/>
      <c r="E83" s="248"/>
      <c r="F83" s="248"/>
      <c r="G83" s="248"/>
      <c r="H83" s="248"/>
      <c r="I83" s="5"/>
      <c r="J83" s="248"/>
      <c r="K83" s="248"/>
      <c r="L83" s="248"/>
      <c r="M83" s="248"/>
      <c r="N83" s="248"/>
      <c r="O83" s="5"/>
      <c r="Q83" s="5"/>
      <c r="R83" s="5"/>
      <c r="S83" s="5"/>
    </row>
    <row r="84" spans="2:26">
      <c r="B84" s="5"/>
      <c r="C84" s="259"/>
      <c r="D84" s="259"/>
      <c r="E84" s="259"/>
      <c r="F84" s="259"/>
      <c r="G84" s="259"/>
      <c r="H84" s="259"/>
      <c r="I84" s="245"/>
      <c r="J84" s="259"/>
      <c r="K84" s="259"/>
      <c r="L84" s="259"/>
      <c r="M84" s="259"/>
      <c r="N84" s="259"/>
      <c r="O84" s="251"/>
      <c r="Q84" s="5"/>
      <c r="R84" s="5"/>
      <c r="S84" s="5"/>
    </row>
    <row r="85" spans="2:26">
      <c r="B85" s="41"/>
      <c r="C85" s="5"/>
      <c r="D85" s="5"/>
      <c r="E85" s="5"/>
      <c r="F85" s="5"/>
      <c r="G85" s="5"/>
      <c r="H85" s="5"/>
      <c r="I85" s="248"/>
      <c r="J85" s="5"/>
      <c r="K85" s="5"/>
      <c r="L85" s="5"/>
      <c r="M85" s="5"/>
      <c r="N85" s="5"/>
      <c r="O85" s="5"/>
      <c r="Q85" s="5"/>
      <c r="R85" s="5"/>
      <c r="S85" s="5"/>
    </row>
    <row r="86" spans="2:26">
      <c r="B86" s="41"/>
      <c r="C86" s="245"/>
      <c r="D86" s="245"/>
      <c r="E86" s="245"/>
      <c r="F86" s="245"/>
      <c r="G86" s="245"/>
      <c r="H86" s="245"/>
      <c r="I86" s="5"/>
      <c r="J86" s="245"/>
      <c r="K86" s="245"/>
      <c r="L86" s="245"/>
      <c r="M86" s="245"/>
      <c r="N86" s="245"/>
      <c r="O86" s="251"/>
      <c r="Q86" s="5"/>
      <c r="R86" s="5"/>
      <c r="S86" s="5"/>
    </row>
    <row r="87" spans="2:26">
      <c r="B87" s="5"/>
      <c r="C87" s="5"/>
      <c r="D87" s="248"/>
      <c r="E87" s="248"/>
      <c r="F87" s="248"/>
      <c r="G87" s="248"/>
      <c r="H87" s="248"/>
      <c r="I87" s="5"/>
      <c r="J87" s="248"/>
      <c r="K87" s="248"/>
      <c r="L87" s="248"/>
      <c r="M87" s="248"/>
      <c r="N87" s="248"/>
      <c r="O87" s="5"/>
      <c r="Q87" s="5"/>
      <c r="R87" s="5"/>
      <c r="S87" s="5"/>
    </row>
    <row r="88" spans="2:26">
      <c r="B88" s="41"/>
      <c r="C88" s="5"/>
      <c r="D88" s="5"/>
      <c r="E88" s="5"/>
      <c r="F88" s="5"/>
      <c r="G88" s="5"/>
      <c r="H88" s="5"/>
      <c r="I88" s="5"/>
      <c r="J88" s="5"/>
      <c r="K88" s="5"/>
      <c r="L88" s="5"/>
      <c r="M88" s="5"/>
      <c r="N88" s="5"/>
      <c r="O88" s="5"/>
      <c r="Q88" s="5"/>
      <c r="R88" s="5"/>
      <c r="S88" s="5"/>
    </row>
    <row r="89" spans="2:26">
      <c r="B89" s="41"/>
      <c r="C89" s="5"/>
      <c r="D89" s="5"/>
      <c r="E89" s="5"/>
      <c r="F89" s="5"/>
      <c r="G89" s="5"/>
      <c r="H89" s="5"/>
      <c r="I89" s="5"/>
      <c r="J89" s="5"/>
      <c r="K89" s="5"/>
      <c r="L89" s="5"/>
      <c r="M89" s="5"/>
      <c r="N89" s="5"/>
      <c r="O89" s="5"/>
      <c r="Q89" s="5"/>
      <c r="R89" s="5"/>
      <c r="S89" s="5"/>
    </row>
    <row r="90" spans="2:26">
      <c r="B90" s="41"/>
      <c r="C90" s="5"/>
      <c r="D90" s="5"/>
      <c r="E90" s="5"/>
      <c r="F90" s="5"/>
      <c r="G90" s="5"/>
      <c r="H90" s="5"/>
      <c r="I90" s="49"/>
      <c r="J90" s="5"/>
      <c r="K90" s="5"/>
      <c r="L90" s="5"/>
      <c r="M90" s="5"/>
      <c r="N90" s="5"/>
      <c r="O90" s="5"/>
      <c r="Q90" s="41"/>
      <c r="R90" s="5"/>
      <c r="S90" s="5"/>
    </row>
    <row r="91" spans="2:26">
      <c r="B91" s="5"/>
      <c r="C91" s="5"/>
      <c r="D91" s="5"/>
      <c r="E91" s="5"/>
      <c r="F91" s="5"/>
      <c r="G91" s="5"/>
      <c r="H91" s="5"/>
      <c r="I91" s="5"/>
      <c r="J91" s="5"/>
      <c r="K91" s="5"/>
      <c r="L91" s="5"/>
      <c r="M91" s="5"/>
      <c r="N91" s="5"/>
      <c r="O91" s="5"/>
      <c r="Q91" s="5"/>
      <c r="R91" s="5"/>
      <c r="S91" s="5"/>
    </row>
    <row r="92" spans="2:26">
      <c r="B92" s="41"/>
      <c r="C92" s="49"/>
      <c r="D92" s="49"/>
      <c r="E92" s="49"/>
      <c r="F92" s="49"/>
      <c r="G92" s="49"/>
      <c r="H92" s="49"/>
      <c r="I92" s="247"/>
      <c r="J92" s="49"/>
      <c r="K92" s="49"/>
      <c r="L92" s="49"/>
      <c r="M92" s="49"/>
      <c r="N92" s="49"/>
      <c r="O92" s="49"/>
      <c r="Q92" s="5"/>
      <c r="R92" s="5"/>
      <c r="S92" s="5"/>
      <c r="W92" s="21"/>
      <c r="X92" s="21"/>
    </row>
    <row r="93" spans="2:26">
      <c r="B93" s="5"/>
      <c r="C93" s="5"/>
      <c r="D93" s="5"/>
      <c r="E93" s="5"/>
      <c r="F93" s="5"/>
      <c r="G93" s="5"/>
      <c r="H93" s="5"/>
      <c r="I93" s="247"/>
      <c r="J93" s="5"/>
      <c r="K93" s="5"/>
      <c r="L93" s="5"/>
      <c r="M93" s="5"/>
      <c r="N93" s="5"/>
      <c r="O93" s="5"/>
      <c r="Q93" s="5"/>
      <c r="R93" s="5"/>
      <c r="S93" s="5"/>
      <c r="W93" s="21"/>
      <c r="X93" s="21"/>
      <c r="Y93" s="21"/>
      <c r="Z93" s="21"/>
    </row>
    <row r="94" spans="2:26">
      <c r="B94" s="5"/>
      <c r="C94" s="259"/>
      <c r="D94" s="247"/>
      <c r="E94" s="247"/>
      <c r="F94" s="247"/>
      <c r="G94" s="247"/>
      <c r="H94" s="247"/>
      <c r="I94" s="247"/>
      <c r="J94" s="247"/>
      <c r="K94" s="247"/>
      <c r="L94" s="247"/>
      <c r="M94" s="247"/>
      <c r="N94" s="247"/>
      <c r="O94" s="248"/>
      <c r="Q94" s="5"/>
      <c r="R94" s="5"/>
      <c r="S94" s="5"/>
      <c r="Y94" s="21"/>
      <c r="Z94" s="21"/>
    </row>
    <row r="95" spans="2:26">
      <c r="B95" s="5"/>
      <c r="C95" s="259"/>
      <c r="D95" s="247"/>
      <c r="E95" s="247"/>
      <c r="F95" s="247"/>
      <c r="G95" s="247"/>
      <c r="H95" s="247"/>
      <c r="I95" s="248"/>
      <c r="J95" s="247"/>
      <c r="K95" s="247"/>
      <c r="L95" s="247"/>
      <c r="M95" s="247"/>
      <c r="N95" s="247"/>
      <c r="O95" s="248"/>
      <c r="Q95" s="5"/>
      <c r="R95" s="5"/>
      <c r="S95" s="5"/>
    </row>
    <row r="96" spans="2:26">
      <c r="B96" s="5"/>
      <c r="C96" s="259"/>
      <c r="D96" s="247"/>
      <c r="E96" s="247"/>
      <c r="F96" s="247"/>
      <c r="G96" s="247"/>
      <c r="H96" s="247"/>
      <c r="I96" s="247"/>
      <c r="J96" s="247"/>
      <c r="K96" s="247"/>
      <c r="L96" s="247"/>
      <c r="M96" s="247"/>
      <c r="N96" s="247"/>
      <c r="O96" s="248"/>
      <c r="Q96" s="5"/>
      <c r="R96" s="5"/>
      <c r="S96" s="5"/>
    </row>
    <row r="97" spans="2:19">
      <c r="B97" s="5"/>
      <c r="C97" s="259"/>
      <c r="D97" s="248"/>
      <c r="E97" s="248"/>
      <c r="F97" s="248"/>
      <c r="G97" s="248"/>
      <c r="H97" s="248"/>
      <c r="I97" s="249"/>
      <c r="J97" s="248"/>
      <c r="K97" s="248"/>
      <c r="L97" s="248"/>
      <c r="M97" s="248"/>
      <c r="N97" s="248"/>
      <c r="O97" s="248"/>
      <c r="Q97" s="5"/>
      <c r="R97" s="5"/>
      <c r="S97" s="5"/>
    </row>
    <row r="98" spans="2:19">
      <c r="B98" s="5"/>
      <c r="C98" s="259"/>
      <c r="D98" s="247"/>
      <c r="E98" s="247"/>
      <c r="F98" s="247"/>
      <c r="G98" s="247"/>
      <c r="H98" s="247"/>
      <c r="I98" s="248"/>
      <c r="J98" s="247"/>
      <c r="K98" s="247"/>
      <c r="L98" s="247"/>
      <c r="M98" s="247"/>
      <c r="N98" s="247"/>
      <c r="O98" s="248"/>
      <c r="Q98" s="5"/>
      <c r="R98" s="5"/>
      <c r="S98" s="5"/>
    </row>
    <row r="99" spans="2:19">
      <c r="B99" s="41"/>
      <c r="C99" s="249"/>
      <c r="D99" s="249"/>
      <c r="E99" s="249"/>
      <c r="F99" s="249"/>
      <c r="G99" s="249"/>
      <c r="H99" s="249"/>
      <c r="I99" s="5"/>
      <c r="J99" s="249"/>
      <c r="K99" s="249"/>
      <c r="L99" s="249"/>
      <c r="M99" s="249"/>
      <c r="N99" s="249"/>
      <c r="O99" s="248"/>
      <c r="Q99" s="5"/>
      <c r="R99" s="5"/>
      <c r="S99" s="5"/>
    </row>
    <row r="100" spans="2:19">
      <c r="B100" s="41"/>
      <c r="C100" s="257"/>
      <c r="D100" s="248"/>
      <c r="E100" s="248"/>
      <c r="F100" s="248"/>
      <c r="G100" s="248"/>
      <c r="H100" s="248"/>
      <c r="I100" s="259"/>
      <c r="J100" s="248"/>
      <c r="K100" s="248"/>
      <c r="L100" s="248"/>
      <c r="M100" s="248"/>
      <c r="N100" s="248"/>
      <c r="O100" s="248"/>
      <c r="Q100" s="5"/>
      <c r="R100" s="5"/>
      <c r="S100" s="5"/>
    </row>
    <row r="101" spans="2:19" s="5" customFormat="1">
      <c r="B101" s="41"/>
      <c r="I101" s="259"/>
      <c r="O101" s="248"/>
      <c r="P101" s="39"/>
    </row>
    <row r="102" spans="2:19">
      <c r="B102" s="5"/>
      <c r="C102" s="259"/>
      <c r="D102" s="259"/>
      <c r="E102" s="259"/>
      <c r="F102" s="259"/>
      <c r="G102" s="259"/>
      <c r="H102" s="259"/>
      <c r="I102" s="247"/>
      <c r="J102" s="259"/>
      <c r="K102" s="259"/>
      <c r="L102" s="259"/>
      <c r="M102" s="259"/>
      <c r="N102" s="259"/>
      <c r="O102" s="5"/>
      <c r="Q102" s="5"/>
      <c r="R102" s="5"/>
      <c r="S102" s="5"/>
    </row>
    <row r="103" spans="2:19">
      <c r="B103" s="5"/>
      <c r="C103" s="259"/>
      <c r="D103" s="259"/>
      <c r="E103" s="259"/>
      <c r="F103" s="259"/>
      <c r="G103" s="259"/>
      <c r="H103" s="259"/>
      <c r="I103" s="5"/>
      <c r="J103" s="259"/>
      <c r="K103" s="259"/>
      <c r="L103" s="259"/>
      <c r="M103" s="259"/>
      <c r="N103" s="259"/>
      <c r="O103" s="5"/>
      <c r="P103" s="5"/>
      <c r="Q103" s="5"/>
      <c r="R103" s="5"/>
      <c r="S103" s="5"/>
    </row>
    <row r="104" spans="2:19">
      <c r="B104" s="5"/>
      <c r="C104" s="247"/>
      <c r="D104" s="247"/>
      <c r="E104" s="247"/>
      <c r="F104" s="247"/>
      <c r="G104" s="247"/>
      <c r="H104" s="247"/>
      <c r="I104" s="247"/>
      <c r="J104" s="247"/>
      <c r="K104" s="247"/>
      <c r="L104" s="247"/>
      <c r="M104" s="247"/>
      <c r="N104" s="247"/>
      <c r="O104" s="5"/>
      <c r="Q104" s="5"/>
      <c r="R104" s="5"/>
      <c r="S104" s="5"/>
    </row>
    <row r="105" spans="2:19" s="5" customFormat="1">
      <c r="P105" s="39"/>
    </row>
    <row r="106" spans="2:19" s="5" customFormat="1">
      <c r="C106" s="259"/>
      <c r="D106" s="247"/>
      <c r="E106" s="247"/>
      <c r="F106" s="247"/>
      <c r="G106" s="247"/>
      <c r="H106" s="247"/>
      <c r="I106" s="259"/>
      <c r="J106" s="247"/>
      <c r="K106" s="247"/>
      <c r="L106" s="247"/>
      <c r="M106" s="247"/>
      <c r="N106" s="247"/>
      <c r="P106" s="39"/>
    </row>
    <row r="107" spans="2:19">
      <c r="B107" s="5"/>
      <c r="C107" s="259"/>
      <c r="D107" s="5"/>
      <c r="E107" s="5"/>
      <c r="F107" s="5"/>
      <c r="G107" s="5"/>
      <c r="H107" s="5"/>
      <c r="I107" s="247"/>
      <c r="J107" s="5"/>
      <c r="K107" s="5"/>
      <c r="L107" s="5"/>
      <c r="M107" s="5"/>
      <c r="N107" s="5"/>
      <c r="O107" s="5"/>
      <c r="P107" s="5"/>
      <c r="Q107" s="5"/>
      <c r="R107" s="5"/>
      <c r="S107" s="5"/>
    </row>
    <row r="108" spans="2:19">
      <c r="B108" s="5"/>
      <c r="C108" s="259"/>
      <c r="D108" s="259"/>
      <c r="E108" s="259"/>
      <c r="F108" s="259"/>
      <c r="G108" s="259"/>
      <c r="H108" s="259"/>
      <c r="I108" s="249"/>
      <c r="J108" s="259"/>
      <c r="K108" s="259"/>
      <c r="L108" s="259"/>
      <c r="M108" s="259"/>
      <c r="N108" s="259"/>
      <c r="O108" s="5"/>
      <c r="P108" s="5"/>
      <c r="Q108" s="5"/>
      <c r="R108" s="5"/>
      <c r="S108" s="5"/>
    </row>
    <row r="109" spans="2:19">
      <c r="B109" s="5"/>
      <c r="C109" s="247"/>
      <c r="D109" s="247"/>
      <c r="E109" s="247"/>
      <c r="F109" s="247"/>
      <c r="G109" s="247"/>
      <c r="H109" s="247"/>
      <c r="I109" s="249"/>
      <c r="J109" s="247"/>
      <c r="K109" s="247"/>
      <c r="L109" s="247"/>
      <c r="M109" s="247"/>
      <c r="N109" s="247"/>
      <c r="O109" s="5"/>
      <c r="Q109" s="5"/>
      <c r="R109" s="5"/>
      <c r="S109" s="5"/>
    </row>
    <row r="110" spans="2:19">
      <c r="B110" s="41"/>
      <c r="C110" s="249"/>
      <c r="D110" s="249"/>
      <c r="E110" s="249"/>
      <c r="F110" s="249"/>
      <c r="G110" s="249"/>
      <c r="H110" s="249"/>
      <c r="I110" s="247"/>
      <c r="J110" s="249"/>
      <c r="K110" s="249"/>
      <c r="L110" s="249"/>
      <c r="M110" s="249"/>
      <c r="N110" s="249"/>
      <c r="O110" s="5"/>
      <c r="Q110" s="5"/>
      <c r="R110" s="5"/>
      <c r="S110" s="5"/>
    </row>
    <row r="111" spans="2:19">
      <c r="B111" s="5"/>
      <c r="C111" s="249"/>
      <c r="D111" s="249"/>
      <c r="E111" s="249"/>
      <c r="F111" s="249"/>
      <c r="G111" s="249"/>
      <c r="H111" s="249"/>
      <c r="I111" s="5"/>
      <c r="J111" s="249"/>
      <c r="K111" s="249"/>
      <c r="L111" s="249"/>
      <c r="M111" s="249"/>
      <c r="N111" s="249"/>
      <c r="O111" s="5"/>
      <c r="Q111" s="5"/>
      <c r="R111" s="5"/>
      <c r="S111" s="5"/>
    </row>
    <row r="112" spans="2:19">
      <c r="B112" s="5"/>
      <c r="C112" s="247"/>
      <c r="D112" s="247"/>
      <c r="E112" s="247"/>
      <c r="F112" s="247"/>
      <c r="G112" s="247"/>
      <c r="H112" s="247"/>
      <c r="I112" s="5"/>
      <c r="J112" s="247"/>
      <c r="K112" s="247"/>
      <c r="L112" s="247"/>
      <c r="M112" s="247"/>
      <c r="N112" s="247"/>
      <c r="O112" s="5"/>
      <c r="Q112" s="5"/>
      <c r="R112" s="5"/>
      <c r="S112" s="5"/>
    </row>
    <row r="113" spans="2:19">
      <c r="B113" s="5"/>
      <c r="C113" s="5"/>
      <c r="D113" s="5"/>
      <c r="E113" s="5"/>
      <c r="F113" s="5"/>
      <c r="G113" s="5"/>
      <c r="H113" s="5"/>
      <c r="I113" s="5"/>
      <c r="J113" s="5"/>
      <c r="K113" s="5"/>
      <c r="L113" s="5"/>
      <c r="M113" s="5"/>
      <c r="N113" s="5"/>
      <c r="O113" s="5"/>
      <c r="Q113" s="5"/>
      <c r="R113" s="5"/>
      <c r="S113" s="5"/>
    </row>
    <row r="114" spans="2:19">
      <c r="B114" s="5"/>
      <c r="C114" s="5"/>
      <c r="D114" s="5"/>
      <c r="E114" s="5"/>
      <c r="F114" s="5"/>
      <c r="G114" s="5"/>
      <c r="H114" s="5"/>
      <c r="I114" s="5"/>
      <c r="J114" s="5"/>
      <c r="K114" s="5"/>
      <c r="L114" s="5"/>
      <c r="M114" s="5"/>
      <c r="N114" s="5"/>
      <c r="O114" s="5"/>
      <c r="Q114" s="5"/>
      <c r="R114" s="5"/>
      <c r="S114" s="5"/>
    </row>
    <row r="115" spans="2:19">
      <c r="B115" s="5"/>
      <c r="C115" s="5"/>
      <c r="D115" s="5"/>
      <c r="E115" s="5"/>
      <c r="F115" s="5"/>
      <c r="G115" s="5"/>
      <c r="H115" s="5"/>
      <c r="I115" s="49"/>
      <c r="J115" s="5"/>
      <c r="K115" s="5"/>
      <c r="L115" s="5"/>
      <c r="M115" s="5"/>
      <c r="N115" s="5"/>
      <c r="O115" s="5"/>
      <c r="Q115" s="41"/>
      <c r="R115" s="5"/>
      <c r="S115" s="5"/>
    </row>
    <row r="116" spans="2:19">
      <c r="B116" s="5"/>
      <c r="C116" s="5"/>
      <c r="D116" s="5"/>
      <c r="E116" s="5"/>
      <c r="F116" s="5"/>
      <c r="G116" s="5"/>
      <c r="H116" s="5"/>
      <c r="I116" s="5"/>
      <c r="J116" s="5"/>
      <c r="K116" s="5"/>
      <c r="L116" s="5"/>
      <c r="M116" s="5"/>
      <c r="N116" s="5"/>
      <c r="O116" s="5"/>
      <c r="Q116" s="5"/>
      <c r="R116" s="5"/>
      <c r="S116" s="5"/>
    </row>
    <row r="117" spans="2:19">
      <c r="B117" s="41"/>
      <c r="C117" s="49"/>
      <c r="D117" s="49"/>
      <c r="E117" s="49"/>
      <c r="F117" s="49"/>
      <c r="G117" s="49"/>
      <c r="H117" s="49"/>
      <c r="I117" s="254"/>
      <c r="J117" s="49"/>
      <c r="K117" s="49"/>
      <c r="L117" s="49"/>
      <c r="M117" s="49"/>
      <c r="N117" s="49"/>
      <c r="O117" s="49"/>
      <c r="Q117" s="5"/>
      <c r="R117" s="5"/>
      <c r="S117" s="5"/>
    </row>
    <row r="118" spans="2:19">
      <c r="B118" s="5"/>
      <c r="C118" s="5"/>
      <c r="D118" s="5"/>
      <c r="E118" s="5"/>
      <c r="F118" s="5"/>
      <c r="G118" s="5"/>
      <c r="H118" s="5"/>
      <c r="I118" s="249"/>
      <c r="J118" s="5"/>
      <c r="K118" s="5"/>
      <c r="L118" s="5"/>
      <c r="M118" s="5"/>
      <c r="N118" s="5"/>
      <c r="O118" s="5"/>
      <c r="Q118" s="5"/>
      <c r="R118" s="5"/>
      <c r="S118" s="5"/>
    </row>
    <row r="119" spans="2:19">
      <c r="B119" s="41"/>
      <c r="C119" s="254"/>
      <c r="D119" s="254"/>
      <c r="E119" s="254"/>
      <c r="F119" s="254"/>
      <c r="G119" s="254"/>
      <c r="H119" s="254"/>
      <c r="I119" s="254"/>
      <c r="J119" s="254"/>
      <c r="K119" s="254"/>
      <c r="L119" s="254"/>
      <c r="M119" s="254"/>
      <c r="N119" s="254"/>
      <c r="O119" s="248"/>
      <c r="Q119" s="5"/>
      <c r="R119" s="5"/>
      <c r="S119" s="5"/>
    </row>
    <row r="120" spans="2:19">
      <c r="B120" s="41"/>
      <c r="C120" s="254"/>
      <c r="D120" s="249"/>
      <c r="E120" s="249"/>
      <c r="F120" s="249"/>
      <c r="G120" s="249"/>
      <c r="H120" s="249"/>
      <c r="I120" s="254"/>
      <c r="J120" s="249"/>
      <c r="K120" s="249"/>
      <c r="L120" s="249"/>
      <c r="M120" s="249"/>
      <c r="N120" s="249"/>
      <c r="O120" s="248"/>
      <c r="Q120" s="5"/>
      <c r="R120" s="5"/>
      <c r="S120" s="5"/>
    </row>
    <row r="121" spans="2:19">
      <c r="B121" s="41"/>
      <c r="C121" s="254"/>
      <c r="D121" s="254"/>
      <c r="E121" s="254"/>
      <c r="F121" s="254"/>
      <c r="G121" s="254"/>
      <c r="H121" s="254"/>
      <c r="I121" s="254"/>
      <c r="J121" s="254"/>
      <c r="K121" s="254"/>
      <c r="L121" s="254"/>
      <c r="M121" s="254"/>
      <c r="N121" s="254"/>
      <c r="O121" s="248"/>
      <c r="Q121" s="5"/>
      <c r="R121" s="5"/>
      <c r="S121" s="5"/>
    </row>
    <row r="122" spans="2:19">
      <c r="B122" s="41"/>
      <c r="C122" s="254"/>
      <c r="D122" s="254"/>
      <c r="E122" s="254"/>
      <c r="F122" s="254"/>
      <c r="G122" s="254"/>
      <c r="H122" s="254"/>
      <c r="I122" s="254"/>
      <c r="J122" s="254"/>
      <c r="K122" s="254"/>
      <c r="L122" s="254"/>
      <c r="M122" s="254"/>
      <c r="N122" s="254"/>
      <c r="O122" s="248"/>
      <c r="Q122" s="5"/>
      <c r="R122" s="5"/>
      <c r="S122" s="5"/>
    </row>
    <row r="123" spans="2:19">
      <c r="B123" s="41"/>
      <c r="C123" s="254"/>
      <c r="D123" s="254"/>
      <c r="E123" s="254"/>
      <c r="F123" s="254"/>
      <c r="G123" s="254"/>
      <c r="H123" s="254"/>
      <c r="I123" s="254"/>
      <c r="J123" s="254"/>
      <c r="K123" s="254"/>
      <c r="L123" s="254"/>
      <c r="M123" s="254"/>
      <c r="N123" s="254"/>
      <c r="O123" s="248"/>
      <c r="Q123" s="5"/>
      <c r="R123" s="5"/>
      <c r="S123" s="5"/>
    </row>
    <row r="124" spans="2:19">
      <c r="B124" s="41"/>
      <c r="C124" s="254"/>
      <c r="D124" s="254"/>
      <c r="E124" s="254"/>
      <c r="F124" s="254"/>
      <c r="G124" s="254"/>
      <c r="H124" s="254"/>
      <c r="I124" s="254"/>
      <c r="J124" s="254"/>
      <c r="K124" s="254"/>
      <c r="L124" s="254"/>
      <c r="M124" s="254"/>
      <c r="N124" s="254"/>
      <c r="O124" s="248"/>
      <c r="Q124" s="5"/>
      <c r="R124" s="5"/>
      <c r="S124" s="5"/>
    </row>
    <row r="125" spans="2:19">
      <c r="B125" s="41"/>
      <c r="C125" s="254"/>
      <c r="D125" s="254"/>
      <c r="E125" s="254"/>
      <c r="F125" s="254"/>
      <c r="G125" s="254"/>
      <c r="H125" s="254"/>
      <c r="I125" s="254"/>
      <c r="J125" s="254"/>
      <c r="K125" s="254"/>
      <c r="L125" s="254"/>
      <c r="M125" s="254"/>
      <c r="N125" s="254"/>
      <c r="O125" s="5"/>
      <c r="Q125" s="5"/>
      <c r="R125" s="5"/>
      <c r="S125" s="5"/>
    </row>
    <row r="126" spans="2:19">
      <c r="B126" s="41"/>
      <c r="C126" s="254"/>
      <c r="D126" s="254"/>
      <c r="E126" s="254"/>
      <c r="F126" s="254"/>
      <c r="G126" s="254"/>
      <c r="H126" s="254"/>
      <c r="I126" s="254"/>
      <c r="J126" s="254"/>
      <c r="K126" s="254"/>
      <c r="L126" s="254"/>
      <c r="M126" s="254"/>
      <c r="N126" s="254"/>
      <c r="O126" s="5"/>
      <c r="Q126" s="5"/>
      <c r="R126" s="5"/>
      <c r="S126" s="5"/>
    </row>
    <row r="127" spans="2:19">
      <c r="B127" s="41"/>
      <c r="C127" s="254"/>
      <c r="D127" s="254"/>
      <c r="E127" s="254"/>
      <c r="F127" s="254"/>
      <c r="G127" s="254"/>
      <c r="H127" s="254"/>
      <c r="I127" s="18"/>
      <c r="J127" s="254"/>
      <c r="K127" s="254"/>
      <c r="L127" s="254"/>
      <c r="M127" s="254"/>
      <c r="N127" s="254"/>
      <c r="O127" s="5"/>
      <c r="Q127" s="5"/>
      <c r="R127" s="5"/>
      <c r="S127" s="5"/>
    </row>
    <row r="128" spans="2:19">
      <c r="B128" s="41"/>
      <c r="C128" s="254"/>
      <c r="D128" s="254"/>
      <c r="E128" s="254"/>
      <c r="F128" s="254"/>
      <c r="G128" s="254"/>
      <c r="H128" s="254"/>
      <c r="I128" s="5"/>
      <c r="J128" s="254"/>
      <c r="K128" s="254"/>
      <c r="L128" s="254"/>
      <c r="M128" s="254"/>
      <c r="N128" s="254"/>
      <c r="O128" s="5"/>
      <c r="Q128" s="5"/>
      <c r="R128" s="5"/>
      <c r="S128" s="5"/>
    </row>
    <row r="129" spans="2:27">
      <c r="B129" s="5"/>
      <c r="C129" s="5"/>
      <c r="D129" s="18"/>
      <c r="E129" s="18"/>
      <c r="F129" s="18"/>
      <c r="G129" s="18"/>
      <c r="H129" s="18"/>
      <c r="I129" s="254"/>
      <c r="J129" s="18"/>
      <c r="K129" s="18"/>
      <c r="L129" s="18"/>
      <c r="M129" s="18"/>
      <c r="N129" s="18"/>
      <c r="O129" s="5"/>
      <c r="Q129" s="5"/>
      <c r="R129" s="5"/>
      <c r="S129" s="5"/>
    </row>
    <row r="130" spans="2:27">
      <c r="B130" s="5"/>
      <c r="C130" s="5"/>
      <c r="D130" s="5"/>
      <c r="E130" s="5"/>
      <c r="F130" s="5"/>
      <c r="G130" s="5"/>
      <c r="H130" s="5"/>
      <c r="I130" s="18"/>
      <c r="J130" s="5"/>
      <c r="K130" s="5"/>
      <c r="L130" s="5"/>
      <c r="M130" s="5"/>
      <c r="N130" s="5"/>
      <c r="O130" s="5"/>
      <c r="Q130" s="5"/>
      <c r="R130" s="5"/>
      <c r="S130" s="5"/>
    </row>
    <row r="131" spans="2:27">
      <c r="B131" s="41"/>
      <c r="C131" s="254"/>
      <c r="D131" s="254"/>
      <c r="E131" s="254"/>
      <c r="F131" s="254"/>
      <c r="G131" s="254"/>
      <c r="H131" s="254"/>
      <c r="I131" s="5"/>
      <c r="J131" s="254"/>
      <c r="K131" s="254"/>
      <c r="L131" s="254"/>
      <c r="M131" s="254"/>
      <c r="N131" s="254"/>
      <c r="O131" s="5"/>
      <c r="Q131" s="5"/>
      <c r="R131" s="5"/>
      <c r="S131" s="5"/>
    </row>
    <row r="132" spans="2:27">
      <c r="B132" s="5"/>
      <c r="C132" s="259"/>
      <c r="D132" s="18"/>
      <c r="E132" s="18"/>
      <c r="F132" s="18"/>
      <c r="G132" s="18"/>
      <c r="H132" s="18"/>
      <c r="I132" s="5"/>
      <c r="J132" s="18"/>
      <c r="K132" s="18"/>
      <c r="L132" s="18"/>
      <c r="M132" s="18"/>
      <c r="N132" s="18"/>
      <c r="O132" s="5"/>
      <c r="Q132" s="5"/>
      <c r="R132" s="5"/>
      <c r="S132" s="5"/>
    </row>
    <row r="133" spans="2:27">
      <c r="B133" s="5"/>
      <c r="C133" s="5"/>
      <c r="D133" s="5"/>
      <c r="E133" s="5"/>
      <c r="F133" s="5"/>
      <c r="G133" s="5"/>
      <c r="H133" s="5"/>
      <c r="I133" s="17"/>
      <c r="J133" s="5"/>
      <c r="K133" s="5"/>
      <c r="L133" s="5"/>
      <c r="M133" s="5"/>
      <c r="N133" s="5"/>
      <c r="O133" s="5"/>
      <c r="Q133" s="5"/>
      <c r="R133" s="5"/>
      <c r="S133" s="5"/>
    </row>
    <row r="134" spans="2:27">
      <c r="B134" s="41"/>
      <c r="C134" s="5"/>
      <c r="D134" s="5"/>
      <c r="E134" s="5"/>
      <c r="F134" s="5"/>
      <c r="G134" s="5"/>
      <c r="H134" s="5"/>
      <c r="I134" s="17"/>
      <c r="J134" s="5"/>
      <c r="K134" s="5"/>
      <c r="L134" s="5"/>
      <c r="M134" s="5"/>
      <c r="N134" s="5"/>
      <c r="O134" s="5"/>
      <c r="Q134" s="5"/>
      <c r="R134" s="5"/>
      <c r="S134" s="5"/>
    </row>
    <row r="135" spans="2:27">
      <c r="B135" s="5"/>
      <c r="C135" s="17"/>
      <c r="D135" s="17"/>
      <c r="E135" s="17"/>
      <c r="F135" s="17"/>
      <c r="G135" s="17"/>
      <c r="H135" s="17"/>
      <c r="I135" s="17"/>
      <c r="J135" s="17"/>
      <c r="K135" s="17"/>
      <c r="L135" s="17"/>
      <c r="M135" s="17"/>
      <c r="N135" s="17"/>
      <c r="O135" s="5"/>
      <c r="Q135" s="41"/>
      <c r="R135" s="5"/>
      <c r="S135" s="5"/>
    </row>
    <row r="136" spans="2:27">
      <c r="B136" s="5"/>
      <c r="C136" s="17"/>
      <c r="D136" s="17"/>
      <c r="E136" s="17"/>
      <c r="F136" s="17"/>
      <c r="G136" s="17"/>
      <c r="H136" s="17"/>
      <c r="I136" s="17"/>
      <c r="J136" s="17"/>
      <c r="K136" s="17"/>
      <c r="L136" s="17"/>
      <c r="M136" s="17"/>
      <c r="N136" s="17"/>
      <c r="O136" s="5"/>
      <c r="Q136" s="5"/>
      <c r="R136" s="5"/>
      <c r="S136" s="5"/>
      <c r="X136" s="304"/>
    </row>
    <row r="137" spans="2:27">
      <c r="B137" s="5"/>
      <c r="C137" s="5"/>
      <c r="D137" s="17"/>
      <c r="E137" s="17"/>
      <c r="F137" s="17"/>
      <c r="G137" s="17"/>
      <c r="H137" s="17"/>
      <c r="I137" s="17"/>
      <c r="J137" s="17"/>
      <c r="K137" s="17"/>
      <c r="L137" s="17"/>
      <c r="M137" s="17"/>
      <c r="N137" s="17"/>
      <c r="O137" s="5"/>
      <c r="Q137" s="5"/>
      <c r="R137" s="5"/>
      <c r="S137" s="5"/>
      <c r="X137" s="10"/>
      <c r="Y137" s="304"/>
      <c r="Z137" s="304"/>
      <c r="AA137" s="304"/>
    </row>
    <row r="138" spans="2:27">
      <c r="B138" s="5"/>
      <c r="C138" s="5"/>
      <c r="D138" s="17"/>
      <c r="E138" s="17"/>
      <c r="F138" s="17"/>
      <c r="G138" s="17"/>
      <c r="H138" s="17"/>
      <c r="I138" s="17"/>
      <c r="J138" s="17"/>
      <c r="K138" s="17"/>
      <c r="L138" s="17"/>
      <c r="M138" s="17"/>
      <c r="N138" s="17"/>
      <c r="O138" s="5"/>
      <c r="Q138" s="5"/>
      <c r="R138" s="5"/>
      <c r="S138" s="5"/>
      <c r="Y138" s="10"/>
      <c r="Z138" s="10"/>
      <c r="AA138" s="10"/>
    </row>
    <row r="139" spans="2:27">
      <c r="B139" s="5"/>
      <c r="C139" s="5"/>
      <c r="D139" s="17"/>
      <c r="E139" s="17"/>
      <c r="F139" s="17"/>
      <c r="G139" s="17"/>
      <c r="H139" s="17"/>
      <c r="I139" s="5"/>
      <c r="J139" s="17"/>
      <c r="K139" s="17"/>
      <c r="L139" s="17"/>
      <c r="M139" s="17"/>
      <c r="N139" s="17"/>
      <c r="O139" s="5"/>
      <c r="Q139" s="5"/>
      <c r="R139" s="5"/>
      <c r="S139" s="5"/>
    </row>
    <row r="140" spans="2:27">
      <c r="B140" s="5"/>
      <c r="C140" s="17"/>
      <c r="D140" s="17"/>
      <c r="E140" s="17"/>
      <c r="F140" s="17"/>
      <c r="G140" s="17"/>
      <c r="H140" s="17"/>
      <c r="I140" s="5"/>
      <c r="J140" s="17"/>
      <c r="K140" s="17"/>
      <c r="L140" s="17"/>
      <c r="M140" s="17"/>
      <c r="N140" s="17"/>
      <c r="O140" s="5"/>
      <c r="Q140" s="5"/>
      <c r="R140" s="5"/>
      <c r="S140" s="5"/>
    </row>
    <row r="141" spans="2:27">
      <c r="B141" s="5"/>
      <c r="C141" s="5"/>
      <c r="D141" s="5"/>
      <c r="E141" s="5"/>
      <c r="F141" s="5"/>
      <c r="G141" s="5"/>
      <c r="H141" s="5"/>
      <c r="I141" s="5"/>
      <c r="J141" s="5"/>
      <c r="K141" s="5"/>
      <c r="L141" s="5"/>
      <c r="M141" s="5"/>
      <c r="N141" s="5"/>
      <c r="O141" s="5"/>
      <c r="Q141" s="5"/>
      <c r="R141" s="5"/>
      <c r="S141" s="5"/>
    </row>
    <row r="142" spans="2:27">
      <c r="B142" s="5"/>
      <c r="C142" s="5"/>
      <c r="D142" s="5"/>
      <c r="E142" s="5"/>
      <c r="F142" s="5"/>
      <c r="G142" s="5"/>
      <c r="H142" s="5"/>
      <c r="I142" s="5"/>
      <c r="J142" s="5"/>
      <c r="K142" s="5"/>
      <c r="L142" s="5"/>
      <c r="M142" s="5"/>
      <c r="N142" s="5"/>
      <c r="O142" s="5"/>
      <c r="Q142" s="5"/>
      <c r="R142" s="5"/>
      <c r="S142" s="5"/>
    </row>
    <row r="143" spans="2:27">
      <c r="B143" s="5"/>
      <c r="C143" s="5"/>
      <c r="D143" s="5"/>
      <c r="E143" s="5"/>
      <c r="F143" s="5"/>
      <c r="G143" s="5"/>
      <c r="H143" s="5"/>
      <c r="I143" s="5"/>
      <c r="J143" s="5"/>
      <c r="K143" s="5"/>
      <c r="L143" s="5"/>
      <c r="M143" s="5"/>
      <c r="N143" s="5"/>
      <c r="O143" s="5"/>
      <c r="Q143" s="5"/>
      <c r="R143" s="5"/>
      <c r="S143" s="5"/>
    </row>
    <row r="144" spans="2:27">
      <c r="B144" s="5"/>
      <c r="C144" s="5"/>
      <c r="D144" s="5"/>
      <c r="E144" s="5"/>
      <c r="F144" s="5"/>
      <c r="G144" s="5"/>
      <c r="H144" s="5"/>
      <c r="I144" s="5"/>
      <c r="J144" s="5"/>
      <c r="K144" s="5"/>
      <c r="L144" s="5"/>
      <c r="M144" s="5"/>
      <c r="N144" s="5"/>
      <c r="O144" s="5"/>
      <c r="Q144" s="5"/>
      <c r="R144" s="5"/>
      <c r="S144" s="5"/>
    </row>
    <row r="145" spans="2:19">
      <c r="B145" s="5"/>
      <c r="C145" s="5"/>
      <c r="D145" s="5"/>
      <c r="E145" s="5"/>
      <c r="F145" s="5"/>
      <c r="G145" s="5"/>
      <c r="H145" s="5"/>
      <c r="I145" s="5"/>
      <c r="J145" s="5"/>
      <c r="K145" s="5"/>
      <c r="L145" s="5"/>
      <c r="M145" s="5"/>
      <c r="N145" s="5"/>
      <c r="O145" s="5"/>
      <c r="Q145" s="5"/>
      <c r="R145" s="5"/>
      <c r="S145" s="5"/>
    </row>
    <row r="146" spans="2:19">
      <c r="B146" s="5"/>
      <c r="C146" s="5"/>
      <c r="D146" s="5"/>
      <c r="E146" s="5"/>
      <c r="F146" s="5"/>
      <c r="G146" s="5"/>
      <c r="H146" s="5"/>
      <c r="I146" s="5"/>
      <c r="J146" s="5"/>
      <c r="K146" s="5"/>
      <c r="L146" s="5"/>
      <c r="M146" s="5"/>
      <c r="N146" s="5"/>
      <c r="O146" s="5"/>
      <c r="Q146" s="5"/>
      <c r="R146" s="5"/>
      <c r="S146" s="5"/>
    </row>
    <row r="147" spans="2:19">
      <c r="B147" s="5"/>
      <c r="C147" s="5"/>
      <c r="D147" s="5"/>
      <c r="E147" s="5"/>
      <c r="F147" s="5"/>
      <c r="G147" s="5"/>
      <c r="H147" s="5"/>
      <c r="I147" s="5"/>
      <c r="J147" s="5"/>
      <c r="K147" s="5"/>
      <c r="L147" s="5"/>
      <c r="M147" s="5"/>
      <c r="N147" s="5"/>
      <c r="O147" s="5"/>
      <c r="Q147" s="5"/>
      <c r="R147" s="5"/>
      <c r="S147" s="5"/>
    </row>
    <row r="148" spans="2:19">
      <c r="B148" s="5"/>
      <c r="C148" s="5"/>
      <c r="D148" s="5"/>
      <c r="E148" s="5"/>
      <c r="F148" s="5"/>
      <c r="G148" s="5"/>
      <c r="H148" s="5"/>
      <c r="I148" s="5"/>
      <c r="J148" s="5"/>
      <c r="K148" s="5"/>
      <c r="L148" s="5"/>
      <c r="M148" s="5"/>
      <c r="N148" s="5"/>
      <c r="O148" s="5"/>
      <c r="Q148" s="5"/>
      <c r="R148" s="5"/>
      <c r="S148" s="5"/>
    </row>
    <row r="149" spans="2:19">
      <c r="B149" s="5"/>
      <c r="C149" s="5"/>
      <c r="D149" s="5"/>
      <c r="E149" s="5"/>
      <c r="F149" s="5"/>
      <c r="G149" s="5"/>
      <c r="H149" s="5"/>
      <c r="J149" s="5"/>
      <c r="K149" s="5"/>
      <c r="L149" s="5"/>
      <c r="M149" s="5"/>
      <c r="N149" s="5"/>
      <c r="O149" s="5"/>
      <c r="Q149" s="5"/>
      <c r="R149" s="5"/>
      <c r="S149" s="5"/>
    </row>
    <row r="150" spans="2:19">
      <c r="B150" s="5"/>
      <c r="C150" s="5"/>
      <c r="D150" s="5"/>
      <c r="E150" s="5"/>
      <c r="F150" s="5"/>
      <c r="G150" s="5"/>
      <c r="H150" s="5"/>
      <c r="J150" s="5"/>
      <c r="K150" s="5"/>
      <c r="L150" s="5"/>
      <c r="M150" s="5"/>
      <c r="N150" s="5"/>
      <c r="O150" s="5"/>
      <c r="Q150" s="5"/>
      <c r="R150" s="5"/>
      <c r="S150" s="5"/>
    </row>
    <row r="151" spans="2:19">
      <c r="Q151" s="5"/>
      <c r="R151" s="5"/>
      <c r="S151" s="5"/>
    </row>
    <row r="152" spans="2:19">
      <c r="Q152" s="5"/>
      <c r="R152" s="5"/>
      <c r="S152" s="5"/>
    </row>
    <row r="153" spans="2:19">
      <c r="C153" s="263"/>
      <c r="Q153" s="5"/>
      <c r="R153" s="5"/>
      <c r="S153" s="5"/>
    </row>
    <row r="154" spans="2:19">
      <c r="Q154" s="5"/>
      <c r="R154" s="5"/>
      <c r="S154" s="5"/>
    </row>
    <row r="155" spans="2:19">
      <c r="Q155" s="5"/>
      <c r="R155" s="5"/>
      <c r="S155" s="5"/>
    </row>
    <row r="156" spans="2:19">
      <c r="Q156" s="5"/>
      <c r="R156" s="5"/>
      <c r="S156" s="5"/>
    </row>
    <row r="157" spans="2:19">
      <c r="Q157" s="5"/>
      <c r="R157" s="5"/>
      <c r="S157" s="5"/>
    </row>
    <row r="158" spans="2:19">
      <c r="Q158" s="5"/>
      <c r="R158" s="5"/>
      <c r="S158" s="5"/>
    </row>
    <row r="159" spans="2:19">
      <c r="Q159" s="5"/>
      <c r="R159" s="5"/>
      <c r="S159" s="5"/>
    </row>
    <row r="160" spans="2:19">
      <c r="Q160" s="5"/>
      <c r="R160" s="5"/>
      <c r="S160" s="5"/>
    </row>
    <row r="161" spans="17:19">
      <c r="Q161" s="5"/>
      <c r="R161" s="5"/>
      <c r="S161" s="5"/>
    </row>
    <row r="162" spans="17:19">
      <c r="Q162" s="5"/>
      <c r="R162" s="5"/>
      <c r="S162" s="5"/>
    </row>
    <row r="163" spans="17:19">
      <c r="Q163" s="5"/>
      <c r="R163" s="5"/>
      <c r="S163" s="5"/>
    </row>
    <row r="164" spans="17:19">
      <c r="Q164" s="5"/>
      <c r="R164" s="5"/>
      <c r="S164" s="5"/>
    </row>
    <row r="165" spans="17:19">
      <c r="Q165" s="5"/>
      <c r="R165" s="5"/>
      <c r="S165" s="5"/>
    </row>
  </sheetData>
  <phoneticPr fontId="7" type="noConversion"/>
  <hyperlinks>
    <hyperlink ref="C2" location="SWISSSOP!A1" display="Jump to Swisscom SOP" xr:uid="{00000000-0004-0000-5A00-000001000000}"/>
  </hyperlinks>
  <pageMargins left="0.75" right="0.75" top="1" bottom="1" header="0.5" footer="0.5"/>
  <pageSetup scale="71" orientation="landscape" r:id="rId1"/>
  <headerFooter alignWithMargins="0"/>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codeName="Sheet150">
    <pageSetUpPr fitToPage="1"/>
  </sheetPr>
  <dimension ref="B1:AR165"/>
  <sheetViews>
    <sheetView showGridLines="0" zoomScale="80" zoomScaleNormal="80" workbookViewId="0"/>
  </sheetViews>
  <sheetFormatPr defaultColWidth="9.109375" defaultRowHeight="12"/>
  <cols>
    <col min="1" max="1" width="2.33203125" style="39" customWidth="1"/>
    <col min="2" max="2" width="26.5546875" style="39" customWidth="1"/>
    <col min="3" max="9" width="10" style="39" customWidth="1"/>
    <col min="10" max="10" width="26.6640625" style="39" customWidth="1"/>
    <col min="11" max="16" width="10" style="39" customWidth="1"/>
    <col min="17" max="19" width="8.6640625" style="39" customWidth="1"/>
    <col min="20" max="28" width="8.6640625" style="5" customWidth="1"/>
    <col min="29" max="44" width="9.109375" style="5"/>
    <col min="45" max="16384" width="9.109375" style="39"/>
  </cols>
  <sheetData>
    <row r="1" spans="2:44" s="312" customFormat="1">
      <c r="T1" s="149"/>
      <c r="U1" s="149"/>
      <c r="V1" s="149"/>
      <c r="W1" s="149"/>
      <c r="X1" s="149"/>
      <c r="Y1" s="149"/>
      <c r="Z1" s="149"/>
      <c r="AA1" s="149"/>
      <c r="AB1" s="149"/>
      <c r="AC1" s="149"/>
      <c r="AD1" s="149"/>
      <c r="AE1" s="149"/>
      <c r="AF1" s="149"/>
      <c r="AG1" s="149"/>
      <c r="AH1" s="149"/>
      <c r="AI1" s="149"/>
      <c r="AJ1" s="149"/>
      <c r="AK1" s="149"/>
      <c r="AL1" s="149"/>
      <c r="AM1" s="149"/>
      <c r="AN1" s="149"/>
      <c r="AO1" s="149"/>
      <c r="AP1" s="149"/>
      <c r="AQ1" s="149"/>
      <c r="AR1" s="149"/>
    </row>
    <row r="2" spans="2:44" s="149" customFormat="1"/>
    <row r="3" spans="2:44" s="149" customFormat="1">
      <c r="H3" s="153"/>
      <c r="P3" s="153"/>
    </row>
    <row r="4" spans="2:44" s="156" customFormat="1" ht="21">
      <c r="B4" s="129" t="s">
        <v>342</v>
      </c>
      <c r="H4" s="222"/>
      <c r="P4" s="222"/>
    </row>
    <row r="5" spans="2:44" s="149" customFormat="1">
      <c r="C5" s="153"/>
      <c r="D5" s="153" t="str" cm="1">
        <f t="array" ref="D5:H5">headings</f>
        <v>2023E</v>
      </c>
      <c r="E5" s="153" t="str">
        <v>2024E</v>
      </c>
      <c r="F5" s="153" t="str">
        <v>2025E</v>
      </c>
      <c r="G5" s="153" t="str">
        <v>2026E</v>
      </c>
      <c r="H5" s="153" t="str">
        <v>23E-26E</v>
      </c>
      <c r="I5" s="153"/>
      <c r="J5" s="153"/>
      <c r="K5" s="153"/>
      <c r="L5" s="153" t="str" cm="1">
        <f t="array" ref="L5:P5">headings</f>
        <v>2023E</v>
      </c>
      <c r="M5" s="153" t="str">
        <v>2024E</v>
      </c>
      <c r="N5" s="153" t="str">
        <v>2025E</v>
      </c>
      <c r="O5" s="153" t="str">
        <v>2026E</v>
      </c>
      <c r="P5" s="153" t="str">
        <v>23E-26E</v>
      </c>
      <c r="Q5" s="162"/>
      <c r="R5" s="162"/>
      <c r="S5" s="162"/>
      <c r="T5" s="162"/>
      <c r="U5" s="162"/>
      <c r="V5" s="162"/>
      <c r="W5" s="162"/>
      <c r="X5" s="162"/>
      <c r="Y5" s="162"/>
    </row>
    <row r="6" spans="2:44">
      <c r="I6" s="5"/>
      <c r="J6" s="5"/>
      <c r="K6" s="5"/>
      <c r="L6" s="5"/>
      <c r="M6" s="5"/>
      <c r="N6" s="5"/>
      <c r="O6" s="49"/>
    </row>
    <row r="7" spans="2:44" ht="12.6" thickBot="1">
      <c r="B7" s="306" t="s">
        <v>271</v>
      </c>
      <c r="C7" s="265"/>
      <c r="D7" s="265" t="str">
        <f>D5</f>
        <v>2023E</v>
      </c>
      <c r="E7" s="265" t="str">
        <f t="shared" ref="E7:H7" si="0">E5</f>
        <v>2024E</v>
      </c>
      <c r="F7" s="265" t="str">
        <f t="shared" si="0"/>
        <v>2025E</v>
      </c>
      <c r="G7" s="265" t="str">
        <f t="shared" si="0"/>
        <v>2026E</v>
      </c>
      <c r="H7" s="265" t="str">
        <f t="shared" si="0"/>
        <v>23E-26E</v>
      </c>
      <c r="I7" s="49"/>
      <c r="J7" s="306" t="s">
        <v>74</v>
      </c>
      <c r="K7" s="306"/>
      <c r="L7" s="265" t="str">
        <f>L5</f>
        <v>2023E</v>
      </c>
      <c r="M7" s="265" t="str">
        <f t="shared" ref="M7:P7" si="1">M5</f>
        <v>2024E</v>
      </c>
      <c r="N7" s="265" t="str">
        <f t="shared" si="1"/>
        <v>2025E</v>
      </c>
      <c r="O7" s="265" t="str">
        <f t="shared" si="1"/>
        <v>2026E</v>
      </c>
      <c r="P7" s="265" t="str">
        <f t="shared" si="1"/>
        <v>23E-26E</v>
      </c>
    </row>
    <row r="8" spans="2:44" ht="12.6" thickTop="1">
      <c r="B8" s="5"/>
      <c r="C8" s="5"/>
      <c r="D8" s="5"/>
      <c r="E8" s="5"/>
      <c r="F8" s="5"/>
      <c r="G8" s="5"/>
      <c r="H8" s="5"/>
      <c r="I8" s="5"/>
      <c r="J8" s="5"/>
      <c r="K8" s="5"/>
      <c r="L8" s="5"/>
      <c r="M8" s="5"/>
      <c r="N8" s="5"/>
      <c r="S8" s="88"/>
      <c r="T8" s="42"/>
      <c r="U8" s="42"/>
      <c r="V8" s="42"/>
      <c r="W8" s="42"/>
      <c r="X8" s="42"/>
      <c r="Y8" s="42"/>
      <c r="Z8" s="42"/>
      <c r="AA8" s="42"/>
    </row>
    <row r="9" spans="2:44">
      <c r="B9" s="41" t="s">
        <v>345</v>
      </c>
      <c r="C9" s="287">
        <f>Prices!C92</f>
        <v>106.5</v>
      </c>
      <c r="D9" s="535">
        <v>0</v>
      </c>
      <c r="E9" s="536">
        <v>0</v>
      </c>
      <c r="F9" s="536">
        <v>0</v>
      </c>
      <c r="G9" s="536">
        <v>0</v>
      </c>
      <c r="H9" s="249"/>
      <c r="I9" s="249"/>
      <c r="J9" s="5" t="s">
        <v>273</v>
      </c>
      <c r="L9" s="529">
        <f>'AGG ASIA CELLULAR'!D37</f>
        <v>2.0832818906884643</v>
      </c>
      <c r="M9" s="529">
        <f>'AGG ASIA CELLULAR'!E37</f>
        <v>1.9180381131180324</v>
      </c>
      <c r="N9" s="529">
        <f>'AGG ASIA CELLULAR'!F37</f>
        <v>1.6973984727138696</v>
      </c>
      <c r="O9" s="529">
        <f>'AGG ASIA CELLULAR'!G37</f>
        <v>1.4849146547081604</v>
      </c>
      <c r="P9" s="286">
        <f>'AGG ASIA CELLULAR'!H37</f>
        <v>5.2823672985303771E-2</v>
      </c>
      <c r="S9" s="88"/>
      <c r="T9" s="42"/>
      <c r="U9" s="42"/>
      <c r="V9" s="42"/>
      <c r="W9" s="42"/>
      <c r="X9" s="42"/>
      <c r="Y9" s="42"/>
      <c r="Z9" s="42"/>
      <c r="AA9" s="42"/>
    </row>
    <row r="10" spans="2:44">
      <c r="B10" s="5" t="s">
        <v>274</v>
      </c>
      <c r="C10" s="5"/>
      <c r="D10" s="531">
        <v>2703.52</v>
      </c>
      <c r="E10" s="531">
        <v>2703.52</v>
      </c>
      <c r="F10" s="531">
        <v>2703.52</v>
      </c>
      <c r="G10" s="531">
        <v>2703.52</v>
      </c>
      <c r="H10" s="247"/>
      <c r="I10" s="247"/>
      <c r="J10" s="5" t="s">
        <v>184</v>
      </c>
      <c r="L10" s="529">
        <f>'AGG ASIA CELLULAR'!D38</f>
        <v>6.3578764048835863</v>
      </c>
      <c r="M10" s="529">
        <f>'AGG ASIA CELLULAR'!E38</f>
        <v>5.8349432944863064</v>
      </c>
      <c r="N10" s="529">
        <f>'AGG ASIA CELLULAR'!F38</f>
        <v>5.103853656504258</v>
      </c>
      <c r="O10" s="529">
        <f>'AGG ASIA CELLULAR'!G38</f>
        <v>4.4165179955724438</v>
      </c>
      <c r="P10" s="286">
        <f>'AGG ASIA CELLULAR'!H38</f>
        <v>6.1901299000113985E-2</v>
      </c>
      <c r="S10" s="88"/>
      <c r="T10" s="42"/>
      <c r="U10" s="42"/>
      <c r="V10" s="42"/>
      <c r="W10" s="288"/>
      <c r="X10" s="288"/>
      <c r="Y10" s="288"/>
      <c r="Z10" s="288"/>
      <c r="AA10" s="42"/>
    </row>
    <row r="11" spans="2:44">
      <c r="B11" s="41" t="s">
        <v>275</v>
      </c>
      <c r="C11" s="5"/>
      <c r="D11" s="532">
        <f>$C$9*D10</f>
        <v>287924.88</v>
      </c>
      <c r="E11" s="532">
        <f>$C$9*E10</f>
        <v>287924.88</v>
      </c>
      <c r="F11" s="532">
        <f>$C$9*F10</f>
        <v>287924.88</v>
      </c>
      <c r="G11" s="532">
        <f>$C$9*G10</f>
        <v>287924.88</v>
      </c>
      <c r="H11" s="249"/>
      <c r="I11" s="249"/>
      <c r="J11" s="5" t="s">
        <v>185</v>
      </c>
      <c r="L11" s="529">
        <f>'AGG ASIA CELLULAR'!D39</f>
        <v>12.256315794878686</v>
      </c>
      <c r="M11" s="529">
        <f>'AGG ASIA CELLULAR'!E39</f>
        <v>10.532349001792122</v>
      </c>
      <c r="N11" s="529">
        <f>'AGG ASIA CELLULAR'!F39</f>
        <v>8.8097379743624202</v>
      </c>
      <c r="O11" s="529">
        <f>'AGG ASIA CELLULAR'!G39</f>
        <v>7.3400525025099741</v>
      </c>
      <c r="P11" s="286">
        <f>'AGG ASIA CELLULAR'!H39</f>
        <v>0.11573327430771596</v>
      </c>
      <c r="S11" s="88"/>
      <c r="T11" s="42"/>
      <c r="U11" s="42"/>
      <c r="V11" s="42"/>
      <c r="W11" s="288"/>
      <c r="X11" s="288"/>
      <c r="Y11" s="288"/>
      <c r="Z11" s="288"/>
      <c r="AA11" s="42"/>
    </row>
    <row r="12" spans="2:44">
      <c r="B12" s="5" t="s">
        <v>24</v>
      </c>
      <c r="C12" s="249"/>
      <c r="D12" s="533">
        <v>71879.894528027013</v>
      </c>
      <c r="E12" s="533">
        <v>67385.856922452222</v>
      </c>
      <c r="F12" s="533">
        <v>62479.313412806645</v>
      </c>
      <c r="G12" s="533">
        <v>55447.966173735418</v>
      </c>
      <c r="H12" s="247"/>
      <c r="I12" s="247"/>
      <c r="J12" s="5" t="s">
        <v>466</v>
      </c>
      <c r="L12" s="529">
        <f>'AGG ASIA CELLULAR'!D40</f>
        <v>15.951300793811486</v>
      </c>
      <c r="M12" s="529">
        <f>'AGG ASIA CELLULAR'!E40</f>
        <v>13.847183646795452</v>
      </c>
      <c r="N12" s="529">
        <f>'AGG ASIA CELLULAR'!F40</f>
        <v>11.626709680654198</v>
      </c>
      <c r="O12" s="529">
        <f>'AGG ASIA CELLULAR'!G40</f>
        <v>9.7078389032116537</v>
      </c>
      <c r="P12" s="286">
        <f>'AGG ASIA CELLULAR'!H40</f>
        <v>0.10976572550111241</v>
      </c>
      <c r="S12" s="88"/>
      <c r="T12" s="42"/>
      <c r="U12" s="42"/>
      <c r="V12" s="42"/>
      <c r="W12" s="288"/>
      <c r="X12" s="288"/>
      <c r="Y12" s="288"/>
      <c r="Z12" s="288"/>
      <c r="AA12" s="42"/>
    </row>
    <row r="13" spans="2:44">
      <c r="B13" s="5" t="s">
        <v>529</v>
      </c>
      <c r="C13" s="257"/>
      <c r="D13" s="533">
        <v>0</v>
      </c>
      <c r="E13" s="533">
        <v>0</v>
      </c>
      <c r="F13" s="533">
        <v>0</v>
      </c>
      <c r="G13" s="533">
        <v>0</v>
      </c>
      <c r="H13" s="247"/>
      <c r="I13" s="247"/>
      <c r="J13" s="5" t="s">
        <v>530</v>
      </c>
      <c r="L13" s="529">
        <f>'AGG ASIA CELLULAR'!D41</f>
        <v>1.4274445412547272</v>
      </c>
      <c r="M13" s="529">
        <f>'AGG ASIA CELLULAR'!E41</f>
        <v>1.4179696737537477</v>
      </c>
      <c r="N13" s="529">
        <f>'AGG ASIA CELLULAR'!F41</f>
        <v>1.3450707920768976</v>
      </c>
      <c r="O13" s="529">
        <f>'AGG ASIA CELLULAR'!G41</f>
        <v>1.2618986136137988</v>
      </c>
      <c r="P13" s="286">
        <f>'AGG ASIA CELLULAR'!H41</f>
        <v>-2.0092563683029918E-2</v>
      </c>
      <c r="S13" s="88"/>
      <c r="T13" s="42"/>
      <c r="U13" s="42"/>
      <c r="V13" s="42"/>
      <c r="W13" s="42"/>
      <c r="X13" s="42"/>
      <c r="Y13" s="42"/>
      <c r="Z13" s="42"/>
      <c r="AA13" s="42"/>
    </row>
    <row r="14" spans="2:44">
      <c r="B14" s="5" t="s">
        <v>532</v>
      </c>
      <c r="C14" s="257"/>
      <c r="D14" s="533">
        <v>0</v>
      </c>
      <c r="E14" s="533">
        <f t="shared" ref="E14:G15" si="2">D14</f>
        <v>0</v>
      </c>
      <c r="F14" s="533">
        <f t="shared" si="2"/>
        <v>0</v>
      </c>
      <c r="G14" s="533">
        <f t="shared" si="2"/>
        <v>0</v>
      </c>
      <c r="H14" s="247"/>
      <c r="I14" s="247"/>
      <c r="J14" s="5" t="s">
        <v>593</v>
      </c>
      <c r="L14" s="529">
        <f>'AGG ASIA CELLULAR'!D42</f>
        <v>2.9130695199933734</v>
      </c>
      <c r="M14" s="529">
        <f>'AGG ASIA CELLULAR'!E42</f>
        <v>2.8146219035099969</v>
      </c>
      <c r="N14" s="529">
        <f>'AGG ASIA CELLULAR'!F42</f>
        <v>2.5888583636405476</v>
      </c>
      <c r="O14" s="529">
        <f>'AGG ASIA CELLULAR'!G42</f>
        <v>2.3605815546209548</v>
      </c>
      <c r="P14" s="286">
        <f>'AGG ASIA CELLULAR'!H42</f>
        <v>8.7512202951403051E-3</v>
      </c>
      <c r="S14" s="88"/>
      <c r="T14" s="42"/>
      <c r="U14" s="42"/>
      <c r="V14" s="42"/>
      <c r="W14" s="42"/>
      <c r="X14" s="42"/>
      <c r="Y14" s="42"/>
      <c r="Z14" s="42"/>
      <c r="AA14" s="42"/>
    </row>
    <row r="15" spans="2:44">
      <c r="B15" s="5" t="s">
        <v>531</v>
      </c>
      <c r="C15" s="274"/>
      <c r="D15" s="533">
        <v>0</v>
      </c>
      <c r="E15" s="533">
        <f t="shared" si="2"/>
        <v>0</v>
      </c>
      <c r="F15" s="533">
        <f t="shared" si="2"/>
        <v>0</v>
      </c>
      <c r="G15" s="533">
        <f t="shared" si="2"/>
        <v>0</v>
      </c>
      <c r="H15" s="247"/>
      <c r="I15" s="247"/>
      <c r="J15" s="5" t="s">
        <v>475</v>
      </c>
      <c r="L15" s="529">
        <f>'AGG ASIA CELLULAR'!D43</f>
        <v>19.278364274513134</v>
      </c>
      <c r="M15" s="529">
        <f>'AGG ASIA CELLULAR'!E43</f>
        <v>15.523038202411636</v>
      </c>
      <c r="N15" s="529">
        <f>'AGG ASIA CELLULAR'!F43</f>
        <v>13.257386088679914</v>
      </c>
      <c r="O15" s="529">
        <f>'AGG ASIA CELLULAR'!G43</f>
        <v>11.466142328229227</v>
      </c>
      <c r="P15" s="286">
        <f>'AGG ASIA CELLULAR'!H43</f>
        <v>0.18831027118838706</v>
      </c>
      <c r="S15" s="88"/>
      <c r="T15" s="42"/>
      <c r="U15" s="42"/>
      <c r="V15" s="42"/>
      <c r="W15" s="42"/>
      <c r="X15" s="42"/>
      <c r="Y15" s="42"/>
      <c r="Z15" s="42"/>
      <c r="AA15" s="42"/>
    </row>
    <row r="16" spans="2:44">
      <c r="B16" s="5" t="s">
        <v>534</v>
      </c>
      <c r="C16" s="257"/>
      <c r="D16" s="533">
        <v>58666.384000000005</v>
      </c>
      <c r="E16" s="533">
        <v>73265.392000000007</v>
      </c>
      <c r="F16" s="533">
        <v>87864.400000000009</v>
      </c>
      <c r="G16" s="533">
        <v>102463.40800000001</v>
      </c>
      <c r="H16" s="247"/>
      <c r="I16" s="247"/>
      <c r="J16" s="5" t="s">
        <v>533</v>
      </c>
      <c r="L16" s="529">
        <f>'AGG ASIA CELLULAR'!D44</f>
        <v>20.50009040888548</v>
      </c>
      <c r="M16" s="529">
        <f>'AGG ASIA CELLULAR'!E44</f>
        <v>17.31807909095523</v>
      </c>
      <c r="N16" s="529">
        <f>'AGG ASIA CELLULAR'!F44</f>
        <v>14.883294016253318</v>
      </c>
      <c r="O16" s="529">
        <f>'AGG ASIA CELLULAR'!G44</f>
        <v>13.16548576425039</v>
      </c>
      <c r="P16" s="286">
        <f>'AGG ASIA CELLULAR'!H44</f>
        <v>0.15839482711139796</v>
      </c>
      <c r="S16" s="88"/>
      <c r="T16" s="42"/>
      <c r="U16" s="42"/>
      <c r="V16" s="42"/>
      <c r="W16" s="42"/>
      <c r="X16" s="42"/>
      <c r="Y16" s="42"/>
      <c r="Z16" s="42"/>
      <c r="AA16" s="42"/>
    </row>
    <row r="17" spans="2:27">
      <c r="B17" s="5" t="s">
        <v>6</v>
      </c>
      <c r="C17" s="257"/>
      <c r="D17" s="533">
        <v>0</v>
      </c>
      <c r="E17" s="533">
        <v>0</v>
      </c>
      <c r="F17" s="533">
        <v>0</v>
      </c>
      <c r="G17" s="533">
        <v>0</v>
      </c>
      <c r="H17" s="247"/>
      <c r="I17" s="247"/>
      <c r="J17" s="5" t="s">
        <v>580</v>
      </c>
      <c r="L17" s="248">
        <f>'AGG ASIA CELLULAR'!D45</f>
        <v>4.174038595528512E-2</v>
      </c>
      <c r="M17" s="248">
        <f>'AGG ASIA CELLULAR'!E45</f>
        <v>4.4792872771489058E-2</v>
      </c>
      <c r="N17" s="248">
        <f>'AGG ASIA CELLULAR'!F45</f>
        <v>5.1203391440393167E-2</v>
      </c>
      <c r="O17" s="248">
        <f>'AGG ASIA CELLULAR'!G45</f>
        <v>5.7913719466381006E-2</v>
      </c>
      <c r="P17" s="286">
        <f>'AGG ASIA CELLULAR'!H45</f>
        <v>0.11470165475568339</v>
      </c>
      <c r="S17" s="88"/>
      <c r="T17" s="42"/>
      <c r="U17" s="42"/>
      <c r="V17" s="42"/>
      <c r="W17" s="42"/>
      <c r="X17" s="42"/>
      <c r="Y17" s="42"/>
      <c r="Z17" s="42"/>
      <c r="AA17" s="42"/>
    </row>
    <row r="18" spans="2:27" ht="12.6" thickBot="1">
      <c r="B18" s="41" t="s">
        <v>583</v>
      </c>
      <c r="C18" s="249"/>
      <c r="D18" s="534">
        <f>D11+D12+D13-D14+D15-D16-D17</f>
        <v>301138.39052802703</v>
      </c>
      <c r="E18" s="534">
        <f>E11+E12+E13-E14+E15-E16-E17</f>
        <v>282045.34492245223</v>
      </c>
      <c r="F18" s="534">
        <f>F11+F12+F13-F14+F15-F16-F17</f>
        <v>262539.79341280664</v>
      </c>
      <c r="G18" s="534">
        <f>G11+G12+G13-G14+G15-G16-G17</f>
        <v>240909.43817373546</v>
      </c>
      <c r="H18" s="276">
        <f>IF(D18=0,"nm",IF(G18=0,"nm",(G18/D18)^(1/3)-1))</f>
        <v>-7.1683869996941207E-2</v>
      </c>
      <c r="I18" s="254"/>
      <c r="J18" s="5" t="s">
        <v>36</v>
      </c>
      <c r="L18" s="248" t="e">
        <f>'AGG ASIA CELLULAR'!D46</f>
        <v>#VALUE!</v>
      </c>
      <c r="M18" s="248" t="e">
        <f>'AGG ASIA CELLULAR'!E46</f>
        <v>#VALUE!</v>
      </c>
      <c r="N18" s="248" t="e">
        <f>'AGG ASIA CELLULAR'!F46</f>
        <v>#VALUE!</v>
      </c>
      <c r="O18" s="248" t="e">
        <f>'AGG ASIA CELLULAR'!G46</f>
        <v>#VALUE!</v>
      </c>
      <c r="P18" s="286" t="e">
        <f>'AGG ASIA CELLULAR'!H46</f>
        <v>#VALUE!</v>
      </c>
      <c r="S18" s="88"/>
      <c r="T18" s="42"/>
      <c r="U18" s="42"/>
      <c r="V18" s="42"/>
      <c r="W18" s="42"/>
      <c r="X18" s="42"/>
      <c r="Y18" s="42"/>
      <c r="Z18" s="42"/>
      <c r="AA18" s="42"/>
    </row>
    <row r="19" spans="2:27" ht="12.6" thickTop="1">
      <c r="B19" s="41"/>
      <c r="C19" s="249"/>
      <c r="D19" s="229"/>
      <c r="E19" s="229"/>
      <c r="F19" s="229"/>
      <c r="G19" s="229"/>
      <c r="H19" s="276"/>
      <c r="I19" s="254"/>
      <c r="J19" s="5" t="s">
        <v>581</v>
      </c>
      <c r="L19" s="248">
        <f>'AGG ASIA CELLULAR'!D47</f>
        <v>5.1871620732991598E-2</v>
      </c>
      <c r="M19" s="248">
        <f>'AGG ASIA CELLULAR'!E47</f>
        <v>6.4420378727447922E-2</v>
      </c>
      <c r="N19" s="248">
        <f>'AGG ASIA CELLULAR'!F47</f>
        <v>7.5429650559386677E-2</v>
      </c>
      <c r="O19" s="248">
        <f>'AGG ASIA CELLULAR'!G47</f>
        <v>8.7213290344219457E-2</v>
      </c>
      <c r="P19" s="286">
        <f>'AGG ASIA CELLULAR'!H47</f>
        <v>0.18831027118838706</v>
      </c>
      <c r="S19" s="88"/>
      <c r="T19" s="42"/>
      <c r="U19" s="42"/>
      <c r="V19" s="42"/>
      <c r="W19" s="42"/>
      <c r="X19" s="42"/>
      <c r="Y19" s="42"/>
      <c r="Z19" s="42"/>
      <c r="AA19" s="42"/>
    </row>
    <row r="20" spans="2:27">
      <c r="H20" s="277"/>
      <c r="I20" s="17"/>
      <c r="J20" s="5" t="s">
        <v>604</v>
      </c>
      <c r="L20" s="305">
        <f>'AGG ASIA CELLULAR'!D48</f>
        <v>0.92045377326476352</v>
      </c>
      <c r="M20" s="305">
        <f>'AGG ASIA CELLULAR'!E48</f>
        <v>0.79490390762892493</v>
      </c>
      <c r="N20" s="305">
        <f>'AGG ASIA CELLULAR'!F48</f>
        <v>0.7763724496707467</v>
      </c>
      <c r="O20" s="305">
        <f>'AGG ASIA CELLULAR'!G48</f>
        <v>0.75978089170129071</v>
      </c>
      <c r="P20" s="286" t="str">
        <f>'AGG ASIA CELLULAR'!H48</f>
        <v>nm</v>
      </c>
      <c r="S20" s="88"/>
      <c r="T20" s="42"/>
      <c r="U20" s="42"/>
      <c r="V20" s="42"/>
      <c r="W20" s="42"/>
      <c r="X20" s="42"/>
      <c r="Y20" s="42"/>
      <c r="Z20" s="42"/>
      <c r="AA20" s="42"/>
    </row>
    <row r="21" spans="2:27" ht="12.6" thickBot="1">
      <c r="B21" s="306" t="s">
        <v>932</v>
      </c>
      <c r="C21" s="265"/>
      <c r="D21" s="265" t="str">
        <f>D5</f>
        <v>2023E</v>
      </c>
      <c r="E21" s="265" t="str">
        <f t="shared" ref="E21:H21" si="3">E5</f>
        <v>2024E</v>
      </c>
      <c r="F21" s="265" t="str">
        <f t="shared" si="3"/>
        <v>2025E</v>
      </c>
      <c r="G21" s="265" t="str">
        <f t="shared" si="3"/>
        <v>2026E</v>
      </c>
      <c r="H21" s="265" t="str">
        <f t="shared" si="3"/>
        <v>23E-26E</v>
      </c>
      <c r="I21" s="49"/>
      <c r="J21" s="41"/>
      <c r="L21" s="250"/>
      <c r="M21" s="250"/>
      <c r="N21" s="250"/>
      <c r="O21" s="250"/>
      <c r="P21" s="286"/>
      <c r="S21" s="88"/>
      <c r="T21" s="42"/>
      <c r="U21" s="42"/>
      <c r="V21" s="42"/>
      <c r="W21" s="42"/>
      <c r="X21" s="42"/>
      <c r="Y21" s="42"/>
      <c r="Z21" s="42"/>
      <c r="AA21" s="42"/>
    </row>
    <row r="22" spans="2:27" ht="12.6" thickTop="1">
      <c r="B22" s="5"/>
      <c r="C22" s="257"/>
      <c r="D22" s="17"/>
      <c r="E22" s="17"/>
      <c r="F22" s="17"/>
      <c r="G22" s="17"/>
      <c r="H22" s="17"/>
      <c r="I22" s="17"/>
      <c r="P22" s="277"/>
      <c r="S22" s="88"/>
      <c r="T22" s="42"/>
      <c r="U22" s="42"/>
      <c r="V22" s="42"/>
      <c r="W22" s="42"/>
      <c r="X22" s="42"/>
      <c r="Y22" s="42"/>
      <c r="Z22" s="42"/>
      <c r="AA22" s="42"/>
    </row>
    <row r="23" spans="2:27" ht="12.6" thickBot="1">
      <c r="B23" s="5" t="s">
        <v>584</v>
      </c>
      <c r="C23" s="548">
        <v>149301.29357745347</v>
      </c>
      <c r="D23" s="540">
        <v>153059.54972312672</v>
      </c>
      <c r="E23" s="540">
        <v>157641.7750561471</v>
      </c>
      <c r="F23" s="540">
        <v>162909.61498745449</v>
      </c>
      <c r="G23" s="540">
        <v>168422.43050361387</v>
      </c>
      <c r="H23" s="279">
        <f t="shared" ref="H23:H32" si="4">IF(D23=0,"nm",IF(G23=0,"nm",(G23/D23)^(1/3)-1))</f>
        <v>3.2396443240543915E-2</v>
      </c>
      <c r="I23" s="247"/>
      <c r="J23" s="306" t="s">
        <v>9</v>
      </c>
      <c r="K23" s="306"/>
      <c r="L23" s="265" t="str">
        <f>D21</f>
        <v>2023E</v>
      </c>
      <c r="M23" s="265" t="str">
        <f t="shared" ref="M23:P23" si="5">E21</f>
        <v>2024E</v>
      </c>
      <c r="N23" s="265" t="str">
        <f t="shared" si="5"/>
        <v>2025E</v>
      </c>
      <c r="O23" s="265" t="str">
        <f t="shared" si="5"/>
        <v>2026E</v>
      </c>
      <c r="P23" s="265" t="str">
        <f t="shared" si="5"/>
        <v>23E-26E</v>
      </c>
      <c r="S23" s="88"/>
      <c r="T23" s="42"/>
      <c r="U23" s="42"/>
      <c r="V23" s="42"/>
      <c r="W23" s="42"/>
      <c r="X23" s="42"/>
      <c r="Y23" s="42"/>
      <c r="Z23" s="42"/>
      <c r="AA23" s="42"/>
    </row>
    <row r="24" spans="2:27" ht="12.6" thickTop="1">
      <c r="B24" s="5" t="s">
        <v>483</v>
      </c>
      <c r="C24" s="549">
        <v>33224.734212262127</v>
      </c>
      <c r="D24" s="540">
        <v>34402.188542309596</v>
      </c>
      <c r="E24" s="540">
        <v>35919.533508428118</v>
      </c>
      <c r="F24" s="540">
        <v>37730.726971542645</v>
      </c>
      <c r="G24" s="540">
        <v>40626.969291758789</v>
      </c>
      <c r="H24" s="279">
        <f t="shared" si="4"/>
        <v>5.7002752048651795E-2</v>
      </c>
      <c r="I24" s="249"/>
      <c r="J24" s="17"/>
      <c r="K24" s="17"/>
      <c r="L24" s="17"/>
      <c r="M24" s="17"/>
      <c r="N24" s="17"/>
      <c r="O24" s="248"/>
      <c r="S24" s="88"/>
      <c r="T24" s="42"/>
      <c r="U24" s="42"/>
      <c r="V24" s="42"/>
      <c r="W24" s="42" t="s">
        <v>247</v>
      </c>
      <c r="X24" s="42" t="s">
        <v>257</v>
      </c>
      <c r="Y24" s="42"/>
      <c r="Z24" s="42"/>
      <c r="AA24" s="42"/>
    </row>
    <row r="25" spans="2:27">
      <c r="B25" s="5" t="s">
        <v>183</v>
      </c>
      <c r="C25" s="548">
        <v>21280.63072606585</v>
      </c>
      <c r="D25" s="540">
        <v>23688.020061690724</v>
      </c>
      <c r="E25" s="540">
        <v>26461.027005059292</v>
      </c>
      <c r="F25" s="540">
        <v>27141.601997358102</v>
      </c>
      <c r="G25" s="540">
        <v>29679.511309023888</v>
      </c>
      <c r="H25" s="279">
        <f t="shared" si="4"/>
        <v>7.8059326725372857E-2</v>
      </c>
      <c r="I25" s="248"/>
      <c r="J25" s="247" t="s">
        <v>10</v>
      </c>
      <c r="K25" s="247"/>
      <c r="L25" s="321">
        <v>0</v>
      </c>
      <c r="M25" s="321">
        <v>0</v>
      </c>
      <c r="N25" s="321">
        <v>0</v>
      </c>
      <c r="O25" s="321">
        <v>0</v>
      </c>
      <c r="P25" s="279" t="str">
        <f>IF(L25=0,"nm",IF(O25=0,"nm",(O25/L25)^(1/3)-1))</f>
        <v>nm</v>
      </c>
      <c r="S25" s="88"/>
      <c r="T25" s="42"/>
      <c r="U25" s="42"/>
      <c r="V25" s="147" t="s">
        <v>273</v>
      </c>
      <c r="W25" s="288">
        <f>D37/L9</f>
        <v>0.94440364558320233</v>
      </c>
      <c r="X25" s="288">
        <v>1</v>
      </c>
      <c r="Y25" s="42"/>
      <c r="Z25" s="42"/>
      <c r="AA25" s="42"/>
    </row>
    <row r="26" spans="2:27">
      <c r="B26" s="5" t="s">
        <v>586</v>
      </c>
      <c r="C26" s="548">
        <v>17422.471263207965</v>
      </c>
      <c r="D26" s="540">
        <v>19393.403048979879</v>
      </c>
      <c r="E26" s="540">
        <v>21663.666294718114</v>
      </c>
      <c r="F26" s="540">
        <v>22220.853644962408</v>
      </c>
      <c r="G26" s="540">
        <v>24298.64225096297</v>
      </c>
      <c r="H26" s="279">
        <f t="shared" si="4"/>
        <v>7.8059326725372857E-2</v>
      </c>
      <c r="I26" s="249"/>
      <c r="J26" s="249" t="s">
        <v>11</v>
      </c>
      <c r="K26" s="249"/>
      <c r="L26" s="281">
        <f>D11+L25</f>
        <v>287924.88</v>
      </c>
      <c r="M26" s="281">
        <f>E11+M25</f>
        <v>287924.88</v>
      </c>
      <c r="N26" s="281">
        <f>F11+N25</f>
        <v>287924.88</v>
      </c>
      <c r="O26" s="281">
        <f>G11+O25</f>
        <v>287924.88</v>
      </c>
      <c r="P26" s="279">
        <f>IF(L26=0,"nm",IF(O26=0,"nm",(O26/L26)^(1/3)-1))</f>
        <v>0</v>
      </c>
      <c r="Q26" s="5"/>
      <c r="S26" s="88"/>
      <c r="T26" s="42"/>
      <c r="U26" s="42"/>
      <c r="V26" s="147" t="s">
        <v>184</v>
      </c>
      <c r="W26" s="288">
        <f t="shared" ref="W26:W33" si="6">D38/L10</f>
        <v>1.3767908534033306</v>
      </c>
      <c r="X26" s="288">
        <v>1</v>
      </c>
      <c r="Y26" s="42"/>
      <c r="Z26" s="42"/>
      <c r="AA26" s="42"/>
    </row>
    <row r="27" spans="2:27">
      <c r="B27" s="5" t="s">
        <v>587</v>
      </c>
      <c r="C27" s="549">
        <v>104280.76978323933</v>
      </c>
      <c r="D27" s="540">
        <v>100286.92119515152</v>
      </c>
      <c r="E27" s="540">
        <v>96023.138919026242</v>
      </c>
      <c r="F27" s="540">
        <v>93299.710427415761</v>
      </c>
      <c r="G27" s="540">
        <v>90584.367360271644</v>
      </c>
      <c r="H27" s="279">
        <f t="shared" si="4"/>
        <v>-3.3349116329359663E-2</v>
      </c>
      <c r="I27" s="249"/>
      <c r="J27" s="248"/>
      <c r="K27" s="248"/>
      <c r="L27" s="248"/>
      <c r="M27" s="248"/>
      <c r="N27" s="248"/>
      <c r="O27" s="248"/>
      <c r="Q27" s="41"/>
      <c r="S27" s="88"/>
      <c r="T27" s="42"/>
      <c r="U27" s="42"/>
      <c r="V27" s="147" t="s">
        <v>185</v>
      </c>
      <c r="W27" s="288">
        <f t="shared" si="6"/>
        <v>1.0372356146043658</v>
      </c>
      <c r="X27" s="288">
        <v>1</v>
      </c>
      <c r="Y27" s="42"/>
      <c r="Z27" s="42"/>
      <c r="AA27" s="42"/>
    </row>
    <row r="28" spans="2:27" ht="12.6" thickBot="1">
      <c r="B28" s="5" t="s">
        <v>592</v>
      </c>
      <c r="C28" s="548">
        <v>35046.031205275242</v>
      </c>
      <c r="D28" s="540">
        <v>32097.830158154073</v>
      </c>
      <c r="E28" s="540">
        <v>29288.649649985746</v>
      </c>
      <c r="F28" s="540">
        <v>28455.297792666679</v>
      </c>
      <c r="G28" s="540">
        <v>28078.804393993196</v>
      </c>
      <c r="H28" s="279">
        <f t="shared" si="4"/>
        <v>-4.3611572895530193E-2</v>
      </c>
      <c r="I28" s="248"/>
      <c r="J28" s="306" t="s">
        <v>1362</v>
      </c>
      <c r="K28" s="306"/>
      <c r="L28" s="306"/>
      <c r="M28" s="306"/>
      <c r="N28" s="266"/>
      <c r="O28" s="266"/>
      <c r="P28" s="266"/>
      <c r="Q28" s="5"/>
      <c r="S28" s="88"/>
      <c r="T28" s="42"/>
      <c r="U28" s="42"/>
      <c r="V28" s="147" t="s">
        <v>466</v>
      </c>
      <c r="W28" s="288">
        <f t="shared" si="6"/>
        <v>0.97345526175139596</v>
      </c>
      <c r="X28" s="288">
        <v>1</v>
      </c>
      <c r="Y28" s="42"/>
      <c r="Z28" s="42"/>
      <c r="AA28" s="42"/>
    </row>
    <row r="29" spans="2:27" ht="12.6" thickTop="1">
      <c r="B29" s="5" t="s">
        <v>588</v>
      </c>
      <c r="C29" s="548">
        <v>18271.725850911142</v>
      </c>
      <c r="D29" s="540">
        <v>19958.787187198512</v>
      </c>
      <c r="E29" s="540">
        <v>22378.232534398394</v>
      </c>
      <c r="F29" s="540">
        <v>22744.300497506145</v>
      </c>
      <c r="G29" s="540">
        <v>24926.397356140522</v>
      </c>
      <c r="H29" s="279">
        <f t="shared" si="4"/>
        <v>7.6899368139329516E-2</v>
      </c>
      <c r="I29" s="252"/>
      <c r="J29" s="249"/>
      <c r="K29" s="249"/>
      <c r="L29" s="249"/>
      <c r="M29" s="249"/>
      <c r="N29" s="249"/>
      <c r="O29" s="251"/>
      <c r="Q29" s="5"/>
      <c r="S29" s="88"/>
      <c r="T29" s="42"/>
      <c r="U29" s="42"/>
      <c r="V29" s="147" t="s">
        <v>530</v>
      </c>
      <c r="W29" s="288">
        <f t="shared" si="6"/>
        <v>2.1035971904525099</v>
      </c>
      <c r="X29" s="288">
        <v>1</v>
      </c>
      <c r="Y29" s="42"/>
      <c r="Z29" s="42"/>
      <c r="AA29" s="42"/>
    </row>
    <row r="30" spans="2:27">
      <c r="B30" s="5" t="s">
        <v>589</v>
      </c>
      <c r="C30" s="549">
        <v>8480.6667803017626</v>
      </c>
      <c r="D30" s="540">
        <v>12247.240297093393</v>
      </c>
      <c r="E30" s="540">
        <v>14401.532821439478</v>
      </c>
      <c r="F30" s="540">
        <v>16304.961669660599</v>
      </c>
      <c r="G30" s="540">
        <v>18468.244912140661</v>
      </c>
      <c r="H30" s="279">
        <f t="shared" si="4"/>
        <v>0.14673340005885316</v>
      </c>
      <c r="I30" s="254"/>
      <c r="J30" s="248"/>
      <c r="K30" s="248"/>
      <c r="L30" s="248"/>
      <c r="M30" s="248"/>
      <c r="N30" s="248"/>
      <c r="O30" s="5"/>
      <c r="Q30" s="5"/>
      <c r="S30" s="88"/>
      <c r="T30" s="42"/>
      <c r="U30" s="42"/>
      <c r="V30" s="147" t="s">
        <v>593</v>
      </c>
      <c r="W30" s="288">
        <f t="shared" si="6"/>
        <v>3.2206208567653247</v>
      </c>
      <c r="X30" s="288">
        <v>1</v>
      </c>
      <c r="Y30" s="42"/>
      <c r="Z30" s="42"/>
      <c r="AA30" s="42"/>
    </row>
    <row r="31" spans="2:27">
      <c r="B31" s="5" t="s">
        <v>590</v>
      </c>
      <c r="C31" s="549">
        <v>14599.008000000002</v>
      </c>
      <c r="D31" s="540">
        <v>14599.008000000002</v>
      </c>
      <c r="E31" s="540">
        <v>14599.008000000002</v>
      </c>
      <c r="F31" s="540">
        <v>14599.008000000002</v>
      </c>
      <c r="G31" s="540">
        <v>14599.008000000002</v>
      </c>
      <c r="H31" s="279">
        <f t="shared" si="4"/>
        <v>0</v>
      </c>
      <c r="I31" s="254"/>
      <c r="J31" s="252"/>
      <c r="K31" s="252"/>
      <c r="L31" s="252"/>
      <c r="M31" s="252"/>
      <c r="N31" s="252"/>
      <c r="O31" s="5"/>
      <c r="Q31" s="5"/>
      <c r="S31" s="88"/>
      <c r="T31" s="42"/>
      <c r="U31" s="42"/>
      <c r="V31" s="147" t="s">
        <v>475</v>
      </c>
      <c r="W31" s="288">
        <f t="shared" si="6"/>
        <v>0.74829848301260771</v>
      </c>
      <c r="X31" s="288">
        <v>1</v>
      </c>
      <c r="Y31" s="42"/>
      <c r="Z31" s="42"/>
      <c r="AA31" s="42"/>
    </row>
    <row r="32" spans="2:27">
      <c r="B32" s="5" t="s">
        <v>606</v>
      </c>
      <c r="C32" s="550">
        <v>0</v>
      </c>
      <c r="D32" s="540">
        <v>0</v>
      </c>
      <c r="E32" s="540">
        <v>0</v>
      </c>
      <c r="F32" s="540">
        <v>0</v>
      </c>
      <c r="G32" s="540">
        <v>0</v>
      </c>
      <c r="H32" s="279" t="str">
        <f t="shared" si="4"/>
        <v>nm</v>
      </c>
      <c r="I32" s="254"/>
      <c r="J32" s="254"/>
      <c r="K32" s="254"/>
      <c r="L32" s="254"/>
      <c r="M32" s="254"/>
      <c r="N32" s="254"/>
      <c r="O32" s="251"/>
      <c r="Q32" s="5"/>
      <c r="S32" s="88"/>
      <c r="T32" s="42"/>
      <c r="U32" s="42"/>
      <c r="V32" s="147" t="s">
        <v>533</v>
      </c>
      <c r="W32" s="288">
        <f t="shared" si="6"/>
        <v>1.1467933849181833</v>
      </c>
      <c r="X32" s="288">
        <v>1</v>
      </c>
      <c r="Y32" s="42"/>
      <c r="Z32" s="42"/>
      <c r="AA32" s="42"/>
    </row>
    <row r="33" spans="2:27">
      <c r="B33" s="5" t="s">
        <v>5</v>
      </c>
      <c r="C33" s="549">
        <v>597.51120172066703</v>
      </c>
      <c r="D33" s="540">
        <v>530.11755877362327</v>
      </c>
      <c r="E33" s="540">
        <v>452.23705823406902</v>
      </c>
      <c r="F33" s="540">
        <v>371.45314766366369</v>
      </c>
      <c r="G33" s="540">
        <v>291.66970110127647</v>
      </c>
      <c r="H33" s="279">
        <f>IF(D33=0,"nm",IF(G33=0,"nm",(G33/D33)^(1/3)-1))</f>
        <v>-0.18058034725771788</v>
      </c>
      <c r="I33" s="5"/>
      <c r="J33" s="254"/>
      <c r="K33" s="254"/>
      <c r="L33" s="254"/>
      <c r="M33" s="254"/>
      <c r="N33" s="254"/>
      <c r="O33" s="251"/>
      <c r="Q33" s="5"/>
      <c r="S33" s="88"/>
      <c r="T33" s="42"/>
      <c r="U33" s="42"/>
      <c r="V33" s="147" t="s">
        <v>580</v>
      </c>
      <c r="W33" s="288">
        <f t="shared" si="6"/>
        <v>1.2147521924313345</v>
      </c>
      <c r="X33" s="288">
        <v>1</v>
      </c>
      <c r="Y33" s="42"/>
      <c r="Z33" s="42"/>
      <c r="AA33" s="42"/>
    </row>
    <row r="34" spans="2:27">
      <c r="D34" s="5"/>
      <c r="E34" s="5"/>
      <c r="F34" s="5"/>
      <c r="G34" s="5"/>
      <c r="I34" s="49"/>
      <c r="J34" s="254"/>
      <c r="K34" s="254"/>
      <c r="L34" s="254"/>
      <c r="M34" s="254"/>
      <c r="N34" s="254"/>
      <c r="O34" s="251"/>
      <c r="Q34" s="5"/>
      <c r="S34" s="88"/>
      <c r="T34" s="42"/>
      <c r="U34" s="42"/>
      <c r="V34" s="147" t="s">
        <v>581</v>
      </c>
      <c r="W34" s="288">
        <f>D47/L19</f>
        <v>1.3363651306281634</v>
      </c>
      <c r="X34" s="288">
        <v>1</v>
      </c>
      <c r="Y34" s="288"/>
      <c r="Z34" s="288"/>
      <c r="AA34" s="42"/>
    </row>
    <row r="35" spans="2:27" ht="12.6" thickBot="1">
      <c r="B35" s="306" t="s">
        <v>348</v>
      </c>
      <c r="C35" s="265"/>
      <c r="D35" s="265" t="str">
        <f>D5</f>
        <v>2023E</v>
      </c>
      <c r="E35" s="265" t="str">
        <f t="shared" ref="E35:H35" si="7">E5</f>
        <v>2024E</v>
      </c>
      <c r="F35" s="265" t="str">
        <f t="shared" si="7"/>
        <v>2025E</v>
      </c>
      <c r="G35" s="265" t="str">
        <f t="shared" si="7"/>
        <v>2026E</v>
      </c>
      <c r="H35" s="265" t="str">
        <f t="shared" si="7"/>
        <v>23E-26E</v>
      </c>
      <c r="I35" s="254"/>
      <c r="J35" s="5"/>
      <c r="K35" s="5"/>
      <c r="L35" s="5"/>
      <c r="M35" s="5"/>
      <c r="N35" s="5"/>
      <c r="O35" s="5"/>
      <c r="Q35" s="5"/>
      <c r="S35" s="88"/>
      <c r="T35" s="42"/>
      <c r="U35" s="42"/>
      <c r="V35" s="42"/>
      <c r="W35" s="42"/>
      <c r="X35" s="42"/>
      <c r="Y35" s="288"/>
      <c r="Z35" s="288"/>
      <c r="AA35" s="42"/>
    </row>
    <row r="36" spans="2:27" ht="12.6" thickTop="1">
      <c r="B36" s="41"/>
      <c r="C36" s="249"/>
      <c r="D36" s="254"/>
      <c r="E36" s="254"/>
      <c r="F36" s="254"/>
      <c r="G36" s="254"/>
      <c r="H36" s="254"/>
      <c r="I36" s="17"/>
      <c r="J36" s="49"/>
      <c r="K36" s="49"/>
      <c r="L36" s="49"/>
      <c r="M36" s="49"/>
      <c r="N36" s="49"/>
      <c r="O36" s="49"/>
      <c r="Q36" s="5"/>
      <c r="S36" s="88"/>
      <c r="T36" s="42"/>
      <c r="U36" s="42"/>
      <c r="V36" s="42"/>
      <c r="W36" s="42"/>
      <c r="X36" s="42"/>
      <c r="Y36" s="288"/>
      <c r="Z36" s="288"/>
      <c r="AA36" s="42"/>
    </row>
    <row r="37" spans="2:27">
      <c r="B37" s="5" t="s">
        <v>273</v>
      </c>
      <c r="C37" s="247"/>
      <c r="D37" s="529">
        <f>D$18/D23</f>
        <v>1.9674590123436522</v>
      </c>
      <c r="E37" s="529">
        <f t="shared" ref="E37:G41" si="8">E$18/E23</f>
        <v>1.7891535719005729</v>
      </c>
      <c r="F37" s="529">
        <f t="shared" si="8"/>
        <v>1.6115672081910239</v>
      </c>
      <c r="G37" s="529">
        <f t="shared" si="8"/>
        <v>1.4303880869868235</v>
      </c>
      <c r="H37" s="17">
        <f t="shared" ref="H37:H45" si="9">H23</f>
        <v>3.2396443240543915E-2</v>
      </c>
      <c r="I37" s="5"/>
      <c r="J37" s="259"/>
      <c r="K37" s="259"/>
      <c r="L37" s="259"/>
      <c r="M37" s="259"/>
      <c r="N37" s="259"/>
      <c r="O37" s="18"/>
      <c r="Q37" s="5"/>
      <c r="R37" s="5"/>
      <c r="S37" s="42"/>
      <c r="T37" s="42"/>
      <c r="U37" s="42"/>
      <c r="V37" s="42"/>
      <c r="W37" s="42"/>
      <c r="X37" s="42"/>
      <c r="Y37" s="42"/>
      <c r="Z37" s="42"/>
      <c r="AA37" s="42"/>
    </row>
    <row r="38" spans="2:27">
      <c r="B38" s="5" t="s">
        <v>184</v>
      </c>
      <c r="C38" s="247"/>
      <c r="D38" s="529">
        <f>D$18/D24</f>
        <v>8.7534660813125722</v>
      </c>
      <c r="E38" s="529">
        <f t="shared" si="8"/>
        <v>7.8521438719763283</v>
      </c>
      <c r="F38" s="529">
        <f t="shared" si="8"/>
        <v>6.9582490051363175</v>
      </c>
      <c r="G38" s="529">
        <f t="shared" si="8"/>
        <v>5.9297910322492138</v>
      </c>
      <c r="H38" s="17">
        <f t="shared" si="9"/>
        <v>5.7002752048651795E-2</v>
      </c>
      <c r="I38" s="259"/>
      <c r="J38" s="17"/>
      <c r="K38" s="17"/>
      <c r="L38" s="17"/>
      <c r="M38" s="17"/>
      <c r="N38" s="17"/>
      <c r="O38" s="5"/>
      <c r="Q38" s="5"/>
      <c r="R38" s="5"/>
      <c r="S38" s="42"/>
      <c r="T38" s="42"/>
      <c r="U38" s="42"/>
      <c r="V38" s="42"/>
      <c r="W38" s="42"/>
      <c r="X38" s="42"/>
      <c r="Y38" s="42"/>
      <c r="Z38" s="42"/>
      <c r="AA38" s="42"/>
    </row>
    <row r="39" spans="2:27">
      <c r="B39" s="5" t="s">
        <v>185</v>
      </c>
      <c r="C39" s="247"/>
      <c r="D39" s="529">
        <f>D$18/D25</f>
        <v>12.712687246286189</v>
      </c>
      <c r="E39" s="529">
        <f t="shared" si="8"/>
        <v>10.658896378758307</v>
      </c>
      <c r="F39" s="529">
        <f t="shared" si="8"/>
        <v>9.6729660039360112</v>
      </c>
      <c r="G39" s="529">
        <f t="shared" si="8"/>
        <v>8.1170284667216972</v>
      </c>
      <c r="H39" s="17">
        <f t="shared" si="9"/>
        <v>7.8059326725372857E-2</v>
      </c>
      <c r="I39" s="17"/>
      <c r="J39" s="5"/>
      <c r="K39" s="5"/>
      <c r="L39" s="5"/>
      <c r="M39" s="5"/>
      <c r="N39" s="5"/>
      <c r="O39" s="5"/>
      <c r="Q39" s="5"/>
      <c r="R39" s="5"/>
      <c r="S39" s="42"/>
      <c r="T39" s="42"/>
      <c r="U39" s="42"/>
      <c r="V39" s="42"/>
      <c r="W39" s="42"/>
      <c r="X39" s="42"/>
      <c r="Y39" s="42"/>
      <c r="Z39" s="42"/>
      <c r="AA39" s="42"/>
    </row>
    <row r="40" spans="2:27">
      <c r="B40" s="5" t="s">
        <v>466</v>
      </c>
      <c r="C40" s="247"/>
      <c r="D40" s="529">
        <f>D$18/D26</f>
        <v>15.527877689515011</v>
      </c>
      <c r="E40" s="529">
        <f t="shared" si="8"/>
        <v>13.019280351046516</v>
      </c>
      <c r="F40" s="529">
        <f t="shared" si="8"/>
        <v>11.815018343020583</v>
      </c>
      <c r="G40" s="529">
        <f t="shared" si="8"/>
        <v>9.9145226175832128</v>
      </c>
      <c r="H40" s="17">
        <f t="shared" si="9"/>
        <v>7.8059326725372857E-2</v>
      </c>
      <c r="I40" s="5"/>
      <c r="J40" s="259"/>
      <c r="K40" s="259"/>
      <c r="L40" s="259"/>
      <c r="M40" s="259"/>
      <c r="N40" s="259"/>
      <c r="O40" s="18"/>
      <c r="Q40" s="5"/>
      <c r="R40" s="5"/>
      <c r="S40" s="42"/>
      <c r="T40" s="42"/>
      <c r="U40" s="42"/>
      <c r="V40" s="42"/>
      <c r="W40" s="288"/>
      <c r="X40" s="288"/>
      <c r="Y40" s="42"/>
      <c r="Z40" s="42"/>
      <c r="AA40" s="42"/>
    </row>
    <row r="41" spans="2:27">
      <c r="B41" s="5" t="s">
        <v>530</v>
      </c>
      <c r="C41" s="247"/>
      <c r="D41" s="529">
        <f>D$18/D27</f>
        <v>3.0027683265102159</v>
      </c>
      <c r="E41" s="529">
        <f t="shared" si="8"/>
        <v>2.9372643729163403</v>
      </c>
      <c r="F41" s="529">
        <f t="shared" si="8"/>
        <v>2.8139400670171892</v>
      </c>
      <c r="G41" s="529">
        <f t="shared" si="8"/>
        <v>2.6595034573194267</v>
      </c>
      <c r="H41" s="17">
        <f t="shared" si="9"/>
        <v>-3.3349116329359663E-2</v>
      </c>
      <c r="I41" s="247"/>
      <c r="J41" s="17"/>
      <c r="K41" s="17"/>
      <c r="L41" s="17"/>
      <c r="M41" s="17"/>
      <c r="N41" s="17"/>
      <c r="O41" s="5"/>
      <c r="Q41" s="5"/>
      <c r="R41" s="5"/>
      <c r="S41" s="42"/>
      <c r="T41" s="42"/>
      <c r="U41" s="42"/>
      <c r="V41" s="42"/>
      <c r="W41" s="288"/>
      <c r="X41" s="288"/>
      <c r="Y41" s="288"/>
      <c r="Z41" s="288"/>
      <c r="AA41" s="42"/>
    </row>
    <row r="42" spans="2:27">
      <c r="B42" s="5" t="s">
        <v>593</v>
      </c>
      <c r="C42" s="247"/>
      <c r="D42" s="529">
        <f>D18/D28</f>
        <v>9.3818924532980112</v>
      </c>
      <c r="E42" s="529">
        <f>E18/E28</f>
        <v>9.6298514370938069</v>
      </c>
      <c r="F42" s="529">
        <f>F18/F28</f>
        <v>9.2263941613173603</v>
      </c>
      <c r="G42" s="529">
        <f>G18/G28</f>
        <v>8.5797612602505406</v>
      </c>
      <c r="H42" s="17">
        <f t="shared" si="9"/>
        <v>-4.3611572895530193E-2</v>
      </c>
      <c r="I42" s="248"/>
      <c r="J42" s="5"/>
      <c r="K42" s="5"/>
      <c r="L42" s="5"/>
      <c r="M42" s="5"/>
      <c r="N42" s="5"/>
      <c r="O42" s="5"/>
      <c r="Q42" s="5"/>
      <c r="R42" s="5"/>
      <c r="S42" s="42"/>
      <c r="T42" s="42"/>
      <c r="U42" s="42"/>
      <c r="V42" s="42"/>
      <c r="W42" s="288"/>
      <c r="X42" s="288"/>
      <c r="Y42" s="288"/>
      <c r="Z42" s="288"/>
      <c r="AA42" s="42"/>
    </row>
    <row r="43" spans="2:27">
      <c r="B43" s="5" t="s">
        <v>475</v>
      </c>
      <c r="C43" s="247"/>
      <c r="D43" s="529">
        <f>L26/D29</f>
        <v>14.425970741582629</v>
      </c>
      <c r="E43" s="529">
        <f>M26/E29</f>
        <v>12.866292257774166</v>
      </c>
      <c r="F43" s="529">
        <f>N26/F29</f>
        <v>12.659210162632622</v>
      </c>
      <c r="G43" s="529">
        <f>O26/G29</f>
        <v>11.551002573144443</v>
      </c>
      <c r="H43" s="17">
        <f t="shared" si="9"/>
        <v>7.6899368139329516E-2</v>
      </c>
      <c r="I43" s="247"/>
      <c r="J43" s="247"/>
      <c r="K43" s="247"/>
      <c r="L43" s="247"/>
      <c r="M43" s="247"/>
      <c r="N43" s="247"/>
      <c r="O43" s="18"/>
      <c r="Q43" s="5"/>
      <c r="R43" s="5"/>
      <c r="S43" s="42"/>
      <c r="T43" s="42"/>
      <c r="U43" s="42"/>
      <c r="V43" s="42"/>
      <c r="W43" s="288"/>
      <c r="X43" s="288"/>
      <c r="Y43" s="288"/>
      <c r="Z43" s="288"/>
      <c r="AA43" s="42"/>
    </row>
    <row r="44" spans="2:27">
      <c r="B44" s="5" t="s">
        <v>533</v>
      </c>
      <c r="C44" s="69"/>
      <c r="D44" s="529">
        <f>D11/D30</f>
        <v>23.509368071134563</v>
      </c>
      <c r="E44" s="529">
        <f>E11/E30</f>
        <v>19.992655196491857</v>
      </c>
      <c r="F44" s="529">
        <f>F11/F30</f>
        <v>17.658727805276307</v>
      </c>
      <c r="G44" s="529">
        <f>G11/G30</f>
        <v>15.590267584697441</v>
      </c>
      <c r="H44" s="17">
        <f t="shared" si="9"/>
        <v>0.14673340005885316</v>
      </c>
      <c r="I44" s="247"/>
      <c r="J44" s="248"/>
      <c r="K44" s="248"/>
      <c r="L44" s="248"/>
      <c r="M44" s="248"/>
      <c r="N44" s="248"/>
      <c r="O44" s="248"/>
      <c r="Q44" s="5"/>
      <c r="R44" s="5"/>
      <c r="S44" s="42"/>
      <c r="T44" s="42"/>
      <c r="U44" s="42"/>
      <c r="V44" s="42"/>
      <c r="W44" s="325"/>
      <c r="X44" s="325"/>
      <c r="Y44" s="288"/>
      <c r="Z44" s="288"/>
      <c r="AA44" s="42"/>
    </row>
    <row r="45" spans="2:27">
      <c r="B45" s="5" t="s">
        <v>580</v>
      </c>
      <c r="C45" s="247"/>
      <c r="D45" s="248">
        <f>D31/D11</f>
        <v>5.0704225352112678E-2</v>
      </c>
      <c r="E45" s="248">
        <f>E31/E11</f>
        <v>5.0704225352112678E-2</v>
      </c>
      <c r="F45" s="248">
        <f>F31/F11</f>
        <v>5.0704225352112678E-2</v>
      </c>
      <c r="G45" s="248">
        <f>G31/G11</f>
        <v>5.0704225352112678E-2</v>
      </c>
      <c r="H45" s="17">
        <f t="shared" si="9"/>
        <v>0</v>
      </c>
      <c r="I45" s="248"/>
      <c r="J45" s="247"/>
      <c r="K45" s="247"/>
      <c r="L45" s="247"/>
      <c r="M45" s="247"/>
      <c r="N45" s="247"/>
      <c r="O45" s="248"/>
      <c r="Q45" s="5"/>
      <c r="R45" s="5"/>
      <c r="S45" s="42"/>
      <c r="T45" s="42"/>
      <c r="U45" s="42"/>
      <c r="V45" s="42"/>
      <c r="W45" s="42"/>
      <c r="X45" s="42"/>
      <c r="Y45" s="325"/>
      <c r="Z45" s="325"/>
      <c r="AA45" s="42"/>
    </row>
    <row r="46" spans="2:27">
      <c r="B46" s="5" t="s">
        <v>605</v>
      </c>
      <c r="C46" s="247"/>
      <c r="D46" s="248">
        <f>(D31+D32)/D11</f>
        <v>5.0704225352112678E-2</v>
      </c>
      <c r="E46" s="248">
        <f>(E31+E32)/E11</f>
        <v>5.0704225352112678E-2</v>
      </c>
      <c r="F46" s="248">
        <f>(F31+F32)/F11</f>
        <v>5.0704225352112678E-2</v>
      </c>
      <c r="G46" s="248">
        <f>(G31+G32)/G11</f>
        <v>5.0704225352112678E-2</v>
      </c>
      <c r="H46" s="279">
        <f>((G31+G32)/(D31+D32))^(1/3)-1</f>
        <v>0</v>
      </c>
      <c r="I46" s="247"/>
      <c r="J46" s="247"/>
      <c r="K46" s="247"/>
      <c r="L46" s="247"/>
      <c r="M46" s="247"/>
      <c r="N46" s="247"/>
      <c r="O46" s="18"/>
      <c r="Q46" s="5"/>
      <c r="R46" s="5"/>
      <c r="S46" s="42"/>
      <c r="T46" s="42"/>
      <c r="U46" s="42"/>
      <c r="V46" s="42"/>
      <c r="W46" s="42"/>
      <c r="X46" s="42"/>
      <c r="Y46" s="42"/>
      <c r="Z46" s="42"/>
      <c r="AA46" s="326"/>
    </row>
    <row r="47" spans="2:27">
      <c r="B47" s="5" t="s">
        <v>581</v>
      </c>
      <c r="C47" s="5"/>
      <c r="D47" s="248">
        <f>1/D43</f>
        <v>6.9319425216738867E-2</v>
      </c>
      <c r="E47" s="248">
        <f>1/E43</f>
        <v>7.7722468910635278E-2</v>
      </c>
      <c r="F47" s="248">
        <f>1/F43</f>
        <v>7.8993869850726844E-2</v>
      </c>
      <c r="G47" s="248">
        <f>1/G43</f>
        <v>8.6572571832418663E-2</v>
      </c>
      <c r="H47" s="17">
        <f>H29</f>
        <v>7.6899368139329516E-2</v>
      </c>
      <c r="I47" s="17"/>
      <c r="J47" s="248"/>
      <c r="K47" s="248"/>
      <c r="L47" s="248"/>
      <c r="M47" s="248"/>
      <c r="N47" s="248"/>
      <c r="O47" s="248"/>
      <c r="Q47" s="5"/>
      <c r="R47" s="5"/>
      <c r="S47" s="42"/>
      <c r="T47" s="42"/>
      <c r="U47" s="42"/>
      <c r="V47" s="42"/>
      <c r="W47" s="42"/>
      <c r="X47" s="42"/>
      <c r="Y47" s="42"/>
      <c r="Z47" s="42"/>
      <c r="AA47" s="326"/>
    </row>
    <row r="48" spans="2:27">
      <c r="B48" s="5" t="s">
        <v>618</v>
      </c>
      <c r="C48" s="5"/>
      <c r="D48" s="305">
        <f>D31/D29</f>
        <v>0.73145767140418971</v>
      </c>
      <c r="E48" s="305">
        <f>E31/E29</f>
        <v>0.652375382084324</v>
      </c>
      <c r="F48" s="305">
        <f>F31/F29</f>
        <v>0.64187544486587955</v>
      </c>
      <c r="G48" s="305">
        <f>G31/G29</f>
        <v>0.58568463751154931</v>
      </c>
      <c r="H48" s="279" t="s">
        <v>607</v>
      </c>
      <c r="I48" s="247"/>
      <c r="J48" s="247"/>
      <c r="K48" s="247"/>
      <c r="L48" s="247"/>
      <c r="M48" s="247"/>
      <c r="N48" s="247"/>
      <c r="O48" s="248"/>
      <c r="Q48" s="5"/>
      <c r="R48" s="5"/>
      <c r="S48" s="42"/>
      <c r="T48" s="42"/>
      <c r="U48" s="42"/>
      <c r="V48" s="42"/>
      <c r="W48" s="42"/>
      <c r="X48" s="42"/>
      <c r="Y48" s="42"/>
      <c r="Z48" s="42"/>
      <c r="AA48" s="326"/>
    </row>
    <row r="49" spans="2:27">
      <c r="B49" s="41"/>
      <c r="C49" s="17"/>
      <c r="D49" s="17"/>
      <c r="E49" s="17"/>
      <c r="F49" s="17"/>
      <c r="G49" s="17"/>
      <c r="H49" s="17"/>
      <c r="I49" s="254"/>
      <c r="J49" s="17"/>
      <c r="K49" s="17"/>
      <c r="L49" s="17"/>
      <c r="M49" s="17"/>
      <c r="N49" s="17"/>
      <c r="O49" s="248"/>
      <c r="Q49" s="5"/>
      <c r="R49" s="5"/>
      <c r="S49" s="42"/>
      <c r="T49" s="42"/>
      <c r="U49" s="42"/>
      <c r="V49" s="42"/>
      <c r="W49" s="42"/>
      <c r="X49" s="42"/>
      <c r="Y49" s="42"/>
      <c r="Z49" s="42"/>
      <c r="AA49" s="326"/>
    </row>
    <row r="50" spans="2:27">
      <c r="B50" s="5"/>
      <c r="C50" s="257"/>
      <c r="D50" s="257"/>
      <c r="E50" s="257"/>
      <c r="F50" s="5"/>
      <c r="G50" s="41"/>
      <c r="H50" s="249"/>
      <c r="I50" s="17"/>
      <c r="J50" s="249"/>
      <c r="K50" s="249"/>
      <c r="L50" s="249"/>
      <c r="M50" s="249"/>
      <c r="N50" s="249"/>
      <c r="O50" s="250"/>
      <c r="Q50" s="5"/>
      <c r="R50" s="5"/>
      <c r="S50" s="42"/>
      <c r="T50" s="42"/>
      <c r="U50" s="42"/>
      <c r="V50" s="42"/>
      <c r="W50" s="288"/>
      <c r="X50" s="288"/>
      <c r="Y50" s="42"/>
      <c r="Z50" s="42"/>
      <c r="AA50" s="326"/>
    </row>
    <row r="51" spans="2:27">
      <c r="B51" s="41"/>
      <c r="C51" s="249"/>
      <c r="D51" s="254"/>
      <c r="E51" s="254"/>
      <c r="F51" s="254"/>
      <c r="G51" s="254"/>
      <c r="H51" s="254"/>
      <c r="I51" s="259"/>
      <c r="J51" s="254"/>
      <c r="K51" s="254"/>
      <c r="L51" s="254"/>
      <c r="M51" s="254"/>
      <c r="N51" s="254"/>
      <c r="O51" s="251"/>
      <c r="Q51" s="5"/>
      <c r="R51" s="5"/>
      <c r="S51" s="42"/>
      <c r="T51" s="42"/>
      <c r="U51" s="42"/>
      <c r="V51" s="42"/>
      <c r="W51" s="288"/>
      <c r="X51" s="288"/>
      <c r="Y51" s="288"/>
      <c r="Z51" s="288"/>
      <c r="AA51" s="42"/>
    </row>
    <row r="52" spans="2:27">
      <c r="B52" s="5"/>
      <c r="C52" s="257"/>
      <c r="D52" s="17"/>
      <c r="E52" s="17"/>
      <c r="F52" s="17"/>
      <c r="G52" s="17"/>
      <c r="H52" s="17"/>
      <c r="I52" s="254"/>
      <c r="J52" s="17"/>
      <c r="K52" s="17"/>
      <c r="L52" s="17"/>
      <c r="M52" s="17"/>
      <c r="N52" s="17"/>
      <c r="O52" s="248"/>
      <c r="Q52" s="5"/>
      <c r="R52" s="5"/>
      <c r="S52" s="5"/>
      <c r="Y52" s="10"/>
      <c r="Z52" s="10"/>
    </row>
    <row r="53" spans="2:27">
      <c r="B53" s="5"/>
      <c r="C53" s="257"/>
      <c r="D53" s="257"/>
      <c r="E53" s="257"/>
      <c r="F53" s="5"/>
      <c r="G53" s="5"/>
      <c r="H53" s="259"/>
      <c r="I53" s="17"/>
      <c r="J53" s="259"/>
      <c r="K53" s="259"/>
      <c r="L53" s="259"/>
      <c r="M53" s="259"/>
      <c r="N53" s="259"/>
      <c r="O53" s="18"/>
      <c r="Q53" s="5"/>
      <c r="R53" s="5"/>
      <c r="S53" s="5"/>
    </row>
    <row r="54" spans="2:27">
      <c r="B54" s="41"/>
      <c r="C54" s="249"/>
      <c r="D54" s="254"/>
      <c r="E54" s="254"/>
      <c r="F54" s="254"/>
      <c r="G54" s="254"/>
      <c r="H54" s="254"/>
      <c r="I54" s="259"/>
      <c r="J54" s="254"/>
      <c r="K54" s="254"/>
      <c r="L54" s="254"/>
      <c r="M54" s="254"/>
      <c r="N54" s="254"/>
      <c r="O54" s="251"/>
      <c r="Q54" s="5"/>
      <c r="R54" s="5"/>
      <c r="S54" s="5"/>
    </row>
    <row r="55" spans="2:27">
      <c r="B55" s="5"/>
      <c r="C55" s="257"/>
      <c r="D55" s="17"/>
      <c r="E55" s="17"/>
      <c r="F55" s="17"/>
      <c r="G55" s="17"/>
      <c r="H55" s="17"/>
      <c r="I55" s="249"/>
      <c r="J55" s="17"/>
      <c r="K55" s="17"/>
      <c r="L55" s="17"/>
      <c r="M55" s="17"/>
      <c r="N55" s="17"/>
      <c r="O55" s="18"/>
      <c r="Q55" s="5"/>
      <c r="R55" s="5"/>
      <c r="S55" s="5"/>
    </row>
    <row r="56" spans="2:27">
      <c r="B56" s="5"/>
      <c r="C56" s="248"/>
      <c r="D56" s="248"/>
      <c r="E56" s="248"/>
      <c r="F56" s="5"/>
      <c r="G56" s="5"/>
      <c r="H56" s="259"/>
      <c r="I56" s="248"/>
      <c r="J56" s="259"/>
      <c r="K56" s="259"/>
      <c r="L56" s="259"/>
      <c r="M56" s="259"/>
      <c r="N56" s="259"/>
      <c r="O56" s="18"/>
      <c r="Q56" s="5"/>
      <c r="R56" s="5"/>
      <c r="S56" s="5"/>
    </row>
    <row r="57" spans="2:27">
      <c r="B57" s="41"/>
      <c r="C57" s="249"/>
      <c r="D57" s="249"/>
      <c r="E57" s="249"/>
      <c r="F57" s="249"/>
      <c r="G57" s="249"/>
      <c r="H57" s="249"/>
      <c r="I57" s="5"/>
      <c r="J57" s="249"/>
      <c r="K57" s="249"/>
      <c r="L57" s="249"/>
      <c r="M57" s="249"/>
      <c r="N57" s="249"/>
      <c r="O57" s="251"/>
      <c r="Q57" s="5"/>
      <c r="R57" s="5"/>
      <c r="S57" s="5"/>
    </row>
    <row r="58" spans="2:27">
      <c r="B58" s="5"/>
      <c r="C58" s="5"/>
      <c r="D58" s="248"/>
      <c r="E58" s="248"/>
      <c r="F58" s="248"/>
      <c r="G58" s="248"/>
      <c r="H58" s="248"/>
      <c r="I58" s="17"/>
      <c r="J58" s="248"/>
      <c r="K58" s="248"/>
      <c r="L58" s="248"/>
      <c r="M58" s="248"/>
      <c r="N58" s="248"/>
      <c r="O58" s="18"/>
      <c r="Q58" s="5"/>
      <c r="R58" s="5"/>
      <c r="S58" s="5"/>
    </row>
    <row r="59" spans="2:27">
      <c r="B59" s="5"/>
      <c r="C59" s="5"/>
      <c r="D59" s="5"/>
      <c r="E59" s="5"/>
      <c r="F59" s="5"/>
      <c r="G59" s="5"/>
      <c r="H59" s="5"/>
      <c r="I59" s="5"/>
      <c r="J59" s="5"/>
      <c r="K59" s="5"/>
      <c r="L59" s="5"/>
      <c r="M59" s="5"/>
      <c r="N59" s="5"/>
      <c r="O59" s="5"/>
      <c r="Q59" s="5"/>
      <c r="R59" s="5"/>
      <c r="S59" s="5"/>
    </row>
    <row r="60" spans="2:27">
      <c r="B60" s="41"/>
      <c r="C60" s="17"/>
      <c r="D60" s="17"/>
      <c r="E60" s="17"/>
      <c r="F60" s="17"/>
      <c r="G60" s="17"/>
      <c r="H60" s="17"/>
      <c r="I60" s="249"/>
      <c r="J60" s="17"/>
      <c r="K60" s="17"/>
      <c r="L60" s="17"/>
      <c r="M60" s="17"/>
      <c r="N60" s="17"/>
      <c r="O60" s="251"/>
      <c r="Q60" s="5"/>
      <c r="R60" s="5"/>
      <c r="S60" s="5"/>
    </row>
    <row r="61" spans="2:27">
      <c r="B61" s="5"/>
      <c r="C61" s="5"/>
      <c r="D61" s="5"/>
      <c r="E61" s="5"/>
      <c r="F61" s="5"/>
      <c r="G61" s="5"/>
      <c r="H61" s="5"/>
      <c r="I61" s="5"/>
      <c r="J61" s="5"/>
      <c r="K61" s="5"/>
      <c r="L61" s="5"/>
      <c r="M61" s="5"/>
      <c r="N61" s="5"/>
      <c r="O61" s="5"/>
      <c r="Q61" s="41"/>
      <c r="R61" s="5"/>
      <c r="S61" s="5"/>
    </row>
    <row r="62" spans="2:27">
      <c r="B62" s="41"/>
      <c r="C62" s="249"/>
      <c r="D62" s="249"/>
      <c r="E62" s="249"/>
      <c r="F62" s="249"/>
      <c r="G62" s="249"/>
      <c r="H62" s="249"/>
      <c r="I62" s="5"/>
      <c r="J62" s="249"/>
      <c r="K62" s="249"/>
      <c r="L62" s="249"/>
      <c r="M62" s="249"/>
      <c r="N62" s="249"/>
      <c r="O62" s="251"/>
      <c r="Q62" s="5"/>
      <c r="R62" s="5"/>
      <c r="S62" s="5"/>
    </row>
    <row r="63" spans="2:27">
      <c r="B63" s="5"/>
      <c r="C63" s="5"/>
      <c r="D63" s="5"/>
      <c r="E63" s="5"/>
      <c r="F63" s="5"/>
      <c r="G63" s="5"/>
      <c r="H63" s="5"/>
      <c r="I63" s="254"/>
      <c r="J63" s="5"/>
      <c r="K63" s="5"/>
      <c r="L63" s="5"/>
      <c r="M63" s="5"/>
      <c r="N63" s="5"/>
      <c r="O63" s="5"/>
      <c r="Q63" s="5"/>
      <c r="R63" s="5"/>
      <c r="S63" s="5"/>
    </row>
    <row r="64" spans="2:27">
      <c r="B64" s="5"/>
      <c r="C64" s="5"/>
      <c r="D64" s="5"/>
      <c r="E64" s="5"/>
      <c r="F64" s="5"/>
      <c r="G64" s="5"/>
      <c r="H64" s="5"/>
      <c r="I64" s="17"/>
      <c r="J64" s="5"/>
      <c r="K64" s="5"/>
      <c r="L64" s="5"/>
      <c r="M64" s="5"/>
      <c r="N64" s="5"/>
      <c r="O64" s="5"/>
      <c r="Q64" s="5"/>
      <c r="R64" s="5"/>
      <c r="S64" s="5"/>
    </row>
    <row r="65" spans="2:26">
      <c r="B65" s="41"/>
      <c r="C65" s="249"/>
      <c r="D65" s="254"/>
      <c r="E65" s="254"/>
      <c r="F65" s="254"/>
      <c r="G65" s="254"/>
      <c r="H65" s="254"/>
      <c r="I65" s="254"/>
      <c r="J65" s="254"/>
      <c r="K65" s="254"/>
      <c r="L65" s="254"/>
      <c r="M65" s="254"/>
      <c r="N65" s="254"/>
      <c r="O65" s="251"/>
      <c r="Q65" s="5"/>
      <c r="R65" s="5"/>
      <c r="S65" s="5"/>
    </row>
    <row r="66" spans="2:26">
      <c r="B66" s="5"/>
      <c r="C66" s="5"/>
      <c r="D66" s="17"/>
      <c r="E66" s="17"/>
      <c r="F66" s="17"/>
      <c r="G66" s="17"/>
      <c r="H66" s="17"/>
      <c r="I66" s="248"/>
      <c r="J66" s="17"/>
      <c r="K66" s="17"/>
      <c r="L66" s="17"/>
      <c r="M66" s="17"/>
      <c r="N66" s="17"/>
      <c r="O66" s="5"/>
      <c r="Q66" s="5"/>
      <c r="R66" s="5"/>
      <c r="S66" s="5"/>
    </row>
    <row r="67" spans="2:26">
      <c r="B67" s="41"/>
      <c r="C67" s="249"/>
      <c r="D67" s="254"/>
      <c r="E67" s="254"/>
      <c r="F67" s="254"/>
      <c r="G67" s="254"/>
      <c r="H67" s="254"/>
      <c r="I67" s="5"/>
      <c r="J67" s="254"/>
      <c r="K67" s="254"/>
      <c r="L67" s="254"/>
      <c r="M67" s="254"/>
      <c r="N67" s="254"/>
      <c r="O67" s="251"/>
      <c r="Q67" s="41"/>
      <c r="R67" s="5"/>
      <c r="S67" s="5"/>
    </row>
    <row r="68" spans="2:26">
      <c r="B68" s="5"/>
      <c r="C68" s="5"/>
      <c r="D68" s="248"/>
      <c r="E68" s="248"/>
      <c r="F68" s="248"/>
      <c r="G68" s="248"/>
      <c r="H68" s="248"/>
      <c r="I68" s="245"/>
      <c r="J68" s="248"/>
      <c r="K68" s="248"/>
      <c r="L68" s="248"/>
      <c r="M68" s="248"/>
      <c r="N68" s="248"/>
      <c r="O68" s="5"/>
      <c r="Q68" s="5"/>
      <c r="R68" s="5"/>
      <c r="S68" s="5"/>
    </row>
    <row r="69" spans="2:26">
      <c r="B69" s="41"/>
      <c r="C69" s="5"/>
      <c r="D69" s="5"/>
      <c r="E69" s="5"/>
      <c r="F69" s="5"/>
      <c r="G69" s="5"/>
      <c r="H69" s="5"/>
      <c r="I69" s="248"/>
      <c r="J69" s="5"/>
      <c r="K69" s="5"/>
      <c r="L69" s="5"/>
      <c r="M69" s="5"/>
      <c r="N69" s="5"/>
      <c r="O69" s="5"/>
      <c r="Q69" s="5"/>
      <c r="R69" s="5"/>
      <c r="S69" s="5"/>
    </row>
    <row r="70" spans="2:26">
      <c r="B70" s="41"/>
      <c r="C70" s="245"/>
      <c r="D70" s="245"/>
      <c r="E70" s="245"/>
      <c r="F70" s="245"/>
      <c r="G70" s="245"/>
      <c r="H70" s="245"/>
      <c r="I70" s="5"/>
      <c r="J70" s="245"/>
      <c r="K70" s="245"/>
      <c r="L70" s="245"/>
      <c r="M70" s="245"/>
      <c r="N70" s="245"/>
      <c r="O70" s="251"/>
      <c r="Q70" s="5"/>
      <c r="R70" s="5"/>
      <c r="S70" s="5"/>
      <c r="W70" s="76"/>
      <c r="X70" s="76"/>
    </row>
    <row r="71" spans="2:26">
      <c r="B71" s="5"/>
      <c r="C71" s="5"/>
      <c r="D71" s="248"/>
      <c r="E71" s="248"/>
      <c r="F71" s="248"/>
      <c r="G71" s="248"/>
      <c r="H71" s="248"/>
      <c r="I71" s="245"/>
      <c r="J71" s="248"/>
      <c r="K71" s="248"/>
      <c r="L71" s="248"/>
      <c r="M71" s="248"/>
      <c r="N71" s="248"/>
      <c r="O71" s="5"/>
      <c r="Q71" s="5"/>
      <c r="R71" s="5"/>
      <c r="S71" s="5"/>
      <c r="W71" s="76"/>
      <c r="X71" s="76"/>
      <c r="Y71" s="76"/>
      <c r="Z71" s="76"/>
    </row>
    <row r="72" spans="2:26">
      <c r="B72" s="41"/>
      <c r="C72" s="5"/>
      <c r="D72" s="5"/>
      <c r="E72" s="5"/>
      <c r="F72" s="5"/>
      <c r="G72" s="5"/>
      <c r="H72" s="5"/>
      <c r="I72" s="18"/>
      <c r="J72" s="5"/>
      <c r="K72" s="5"/>
      <c r="L72" s="5"/>
      <c r="M72" s="5"/>
      <c r="N72" s="5"/>
      <c r="O72" s="5"/>
      <c r="Q72" s="5"/>
      <c r="R72" s="5"/>
      <c r="S72" s="5"/>
      <c r="Y72" s="76"/>
      <c r="Z72" s="76"/>
    </row>
    <row r="73" spans="2:26">
      <c r="B73" s="41"/>
      <c r="C73" s="245"/>
      <c r="D73" s="245"/>
      <c r="E73" s="245"/>
      <c r="F73" s="245"/>
      <c r="G73" s="245"/>
      <c r="H73" s="245"/>
      <c r="I73" s="5"/>
      <c r="J73" s="245"/>
      <c r="K73" s="245"/>
      <c r="L73" s="245"/>
      <c r="M73" s="245"/>
      <c r="N73" s="245"/>
      <c r="O73" s="251"/>
      <c r="Q73" s="5"/>
      <c r="R73" s="5"/>
      <c r="S73" s="5"/>
    </row>
    <row r="74" spans="2:26">
      <c r="B74" s="5"/>
      <c r="C74" s="5"/>
      <c r="D74" s="18"/>
      <c r="E74" s="18"/>
      <c r="F74" s="18"/>
      <c r="G74" s="18"/>
      <c r="H74" s="18"/>
      <c r="I74" s="249"/>
      <c r="J74" s="18"/>
      <c r="K74" s="18"/>
      <c r="L74" s="18"/>
      <c r="M74" s="18"/>
      <c r="N74" s="18"/>
      <c r="O74" s="5"/>
      <c r="Q74" s="5"/>
      <c r="R74" s="5"/>
      <c r="S74" s="5"/>
    </row>
    <row r="75" spans="2:26">
      <c r="B75" s="41"/>
      <c r="C75" s="5"/>
      <c r="D75" s="5"/>
      <c r="E75" s="5"/>
      <c r="F75" s="5"/>
      <c r="G75" s="5"/>
      <c r="H75" s="5"/>
      <c r="I75" s="248"/>
      <c r="J75" s="5"/>
      <c r="K75" s="5"/>
      <c r="L75" s="5"/>
      <c r="M75" s="5"/>
      <c r="N75" s="5"/>
      <c r="O75" s="5"/>
      <c r="Q75" s="5"/>
      <c r="R75" s="5"/>
      <c r="S75" s="5"/>
    </row>
    <row r="76" spans="2:26">
      <c r="B76" s="41"/>
      <c r="C76" s="249"/>
      <c r="D76" s="249"/>
      <c r="E76" s="249"/>
      <c r="F76" s="249"/>
      <c r="G76" s="249"/>
      <c r="H76" s="249"/>
      <c r="I76" s="5"/>
      <c r="J76" s="249"/>
      <c r="K76" s="249"/>
      <c r="L76" s="249"/>
      <c r="M76" s="249"/>
      <c r="N76" s="249"/>
      <c r="O76" s="251"/>
      <c r="Q76" s="5"/>
      <c r="R76" s="5"/>
      <c r="S76" s="5"/>
    </row>
    <row r="77" spans="2:26">
      <c r="B77" s="5"/>
      <c r="C77" s="5"/>
      <c r="D77" s="248"/>
      <c r="E77" s="248"/>
      <c r="F77" s="248"/>
      <c r="G77" s="248"/>
      <c r="H77" s="248"/>
      <c r="I77" s="245"/>
      <c r="J77" s="248"/>
      <c r="K77" s="248"/>
      <c r="L77" s="248"/>
      <c r="M77" s="248"/>
      <c r="N77" s="248"/>
      <c r="O77" s="5"/>
      <c r="Q77" s="5"/>
      <c r="R77" s="5"/>
      <c r="S77" s="5"/>
    </row>
    <row r="78" spans="2:26">
      <c r="B78" s="41"/>
      <c r="C78" s="5"/>
      <c r="D78" s="5"/>
      <c r="E78" s="5"/>
      <c r="F78" s="5"/>
      <c r="G78" s="5"/>
      <c r="H78" s="5"/>
      <c r="I78" s="248"/>
      <c r="J78" s="5"/>
      <c r="K78" s="5"/>
      <c r="L78" s="5"/>
      <c r="M78" s="5"/>
      <c r="N78" s="5"/>
      <c r="O78" s="5"/>
      <c r="Q78" s="5"/>
      <c r="R78" s="5"/>
      <c r="S78" s="5"/>
    </row>
    <row r="79" spans="2:26">
      <c r="B79" s="41"/>
      <c r="C79" s="245"/>
      <c r="D79" s="245"/>
      <c r="E79" s="245"/>
      <c r="F79" s="245"/>
      <c r="G79" s="245"/>
      <c r="H79" s="245"/>
      <c r="I79" s="5"/>
      <c r="J79" s="245"/>
      <c r="K79" s="245"/>
      <c r="L79" s="245"/>
      <c r="M79" s="245"/>
      <c r="N79" s="245"/>
      <c r="O79" s="251"/>
      <c r="Q79" s="5"/>
      <c r="R79" s="5"/>
      <c r="S79" s="5"/>
    </row>
    <row r="80" spans="2:26">
      <c r="B80" s="5"/>
      <c r="C80" s="5"/>
      <c r="D80" s="248"/>
      <c r="E80" s="248"/>
      <c r="F80" s="248"/>
      <c r="G80" s="248"/>
      <c r="H80" s="248"/>
      <c r="I80" s="249"/>
      <c r="J80" s="248"/>
      <c r="K80" s="248"/>
      <c r="L80" s="248"/>
      <c r="M80" s="248"/>
      <c r="N80" s="248"/>
      <c r="O80" s="5"/>
      <c r="Q80" s="5"/>
      <c r="R80" s="5"/>
      <c r="S80" s="5"/>
    </row>
    <row r="81" spans="2:26">
      <c r="B81" s="41"/>
      <c r="C81" s="5"/>
      <c r="D81" s="5"/>
      <c r="E81" s="5"/>
      <c r="F81" s="5"/>
      <c r="G81" s="5"/>
      <c r="H81" s="5"/>
      <c r="I81" s="248"/>
      <c r="J81" s="5"/>
      <c r="K81" s="5"/>
      <c r="L81" s="5"/>
      <c r="M81" s="5"/>
      <c r="N81" s="5"/>
      <c r="O81" s="5"/>
      <c r="Q81" s="5"/>
      <c r="R81" s="5"/>
      <c r="S81" s="5"/>
    </row>
    <row r="82" spans="2:26">
      <c r="B82" s="41"/>
      <c r="C82" s="249"/>
      <c r="D82" s="249"/>
      <c r="E82" s="249"/>
      <c r="F82" s="249"/>
      <c r="G82" s="249"/>
      <c r="H82" s="249"/>
      <c r="I82" s="259"/>
      <c r="J82" s="249"/>
      <c r="K82" s="249"/>
      <c r="L82" s="249"/>
      <c r="M82" s="249"/>
      <c r="N82" s="249"/>
      <c r="O82" s="251"/>
      <c r="Q82" s="5"/>
      <c r="R82" s="5"/>
      <c r="S82" s="5"/>
    </row>
    <row r="83" spans="2:26">
      <c r="B83" s="5"/>
      <c r="C83" s="5"/>
      <c r="D83" s="248"/>
      <c r="E83" s="248"/>
      <c r="F83" s="248"/>
      <c r="G83" s="248"/>
      <c r="H83" s="248"/>
      <c r="I83" s="5"/>
      <c r="J83" s="248"/>
      <c r="K83" s="248"/>
      <c r="L83" s="248"/>
      <c r="M83" s="248"/>
      <c r="N83" s="248"/>
      <c r="O83" s="5"/>
      <c r="Q83" s="5"/>
      <c r="R83" s="5"/>
      <c r="S83" s="5"/>
    </row>
    <row r="84" spans="2:26">
      <c r="B84" s="5"/>
      <c r="C84" s="259"/>
      <c r="D84" s="259"/>
      <c r="E84" s="259"/>
      <c r="F84" s="259"/>
      <c r="G84" s="259"/>
      <c r="H84" s="259"/>
      <c r="I84" s="245"/>
      <c r="J84" s="259"/>
      <c r="K84" s="259"/>
      <c r="L84" s="259"/>
      <c r="M84" s="259"/>
      <c r="N84" s="259"/>
      <c r="O84" s="251"/>
      <c r="Q84" s="5"/>
      <c r="R84" s="5"/>
      <c r="S84" s="5"/>
    </row>
    <row r="85" spans="2:26">
      <c r="B85" s="41"/>
      <c r="C85" s="5"/>
      <c r="D85" s="5"/>
      <c r="E85" s="5"/>
      <c r="F85" s="5"/>
      <c r="G85" s="5"/>
      <c r="H85" s="5"/>
      <c r="I85" s="248"/>
      <c r="J85" s="5"/>
      <c r="K85" s="5"/>
      <c r="L85" s="5"/>
      <c r="M85" s="5"/>
      <c r="N85" s="5"/>
      <c r="O85" s="5"/>
      <c r="Q85" s="5"/>
      <c r="R85" s="5"/>
      <c r="S85" s="5"/>
    </row>
    <row r="86" spans="2:26">
      <c r="B86" s="41"/>
      <c r="C86" s="245"/>
      <c r="D86" s="245"/>
      <c r="E86" s="245"/>
      <c r="F86" s="245"/>
      <c r="G86" s="245"/>
      <c r="H86" s="245"/>
      <c r="I86" s="5"/>
      <c r="J86" s="245"/>
      <c r="K86" s="245"/>
      <c r="L86" s="245"/>
      <c r="M86" s="245"/>
      <c r="N86" s="245"/>
      <c r="O86" s="251"/>
      <c r="Q86" s="5"/>
      <c r="R86" s="5"/>
      <c r="S86" s="5"/>
    </row>
    <row r="87" spans="2:26">
      <c r="B87" s="5"/>
      <c r="C87" s="5"/>
      <c r="D87" s="248"/>
      <c r="E87" s="248"/>
      <c r="F87" s="248"/>
      <c r="G87" s="248"/>
      <c r="H87" s="248"/>
      <c r="I87" s="5"/>
      <c r="J87" s="248"/>
      <c r="K87" s="248"/>
      <c r="L87" s="248"/>
      <c r="M87" s="248"/>
      <c r="N87" s="248"/>
      <c r="O87" s="5"/>
      <c r="Q87" s="5"/>
      <c r="R87" s="5"/>
      <c r="S87" s="5"/>
    </row>
    <row r="88" spans="2:26">
      <c r="B88" s="41"/>
      <c r="C88" s="5"/>
      <c r="D88" s="5"/>
      <c r="E88" s="5"/>
      <c r="F88" s="5"/>
      <c r="G88" s="5"/>
      <c r="H88" s="5"/>
      <c r="I88" s="5"/>
      <c r="J88" s="5"/>
      <c r="K88" s="5"/>
      <c r="L88" s="5"/>
      <c r="M88" s="5"/>
      <c r="N88" s="5"/>
      <c r="O88" s="5"/>
      <c r="Q88" s="5"/>
      <c r="R88" s="5"/>
      <c r="S88" s="5"/>
    </row>
    <row r="89" spans="2:26">
      <c r="B89" s="41"/>
      <c r="C89" s="5"/>
      <c r="D89" s="5"/>
      <c r="E89" s="5"/>
      <c r="F89" s="5"/>
      <c r="G89" s="5"/>
      <c r="H89" s="5"/>
      <c r="I89" s="5"/>
      <c r="J89" s="5"/>
      <c r="K89" s="5"/>
      <c r="L89" s="5"/>
      <c r="M89" s="5"/>
      <c r="N89" s="5"/>
      <c r="O89" s="5"/>
      <c r="Q89" s="5"/>
      <c r="R89" s="5"/>
      <c r="S89" s="5"/>
    </row>
    <row r="90" spans="2:26">
      <c r="B90" s="41"/>
      <c r="C90" s="5"/>
      <c r="D90" s="5"/>
      <c r="E90" s="5"/>
      <c r="F90" s="5"/>
      <c r="G90" s="5"/>
      <c r="H90" s="5"/>
      <c r="I90" s="49"/>
      <c r="J90" s="5"/>
      <c r="K90" s="5"/>
      <c r="L90" s="5"/>
      <c r="M90" s="5"/>
      <c r="N90" s="5"/>
      <c r="O90" s="5"/>
      <c r="Q90" s="41"/>
      <c r="R90" s="5"/>
      <c r="S90" s="5"/>
    </row>
    <row r="91" spans="2:26">
      <c r="B91" s="5"/>
      <c r="C91" s="5"/>
      <c r="D91" s="5"/>
      <c r="E91" s="5"/>
      <c r="F91" s="5"/>
      <c r="G91" s="5"/>
      <c r="H91" s="5"/>
      <c r="I91" s="5"/>
      <c r="J91" s="5"/>
      <c r="K91" s="5"/>
      <c r="L91" s="5"/>
      <c r="M91" s="5"/>
      <c r="N91" s="5"/>
      <c r="O91" s="5"/>
      <c r="Q91" s="5"/>
      <c r="R91" s="5"/>
      <c r="S91" s="5"/>
    </row>
    <row r="92" spans="2:26">
      <c r="B92" s="41"/>
      <c r="C92" s="49"/>
      <c r="D92" s="49"/>
      <c r="E92" s="49"/>
      <c r="F92" s="49"/>
      <c r="G92" s="49"/>
      <c r="H92" s="49"/>
      <c r="I92" s="247"/>
      <c r="J92" s="49"/>
      <c r="K92" s="49"/>
      <c r="L92" s="49"/>
      <c r="M92" s="49"/>
      <c r="N92" s="49"/>
      <c r="O92" s="49"/>
      <c r="Q92" s="5"/>
      <c r="R92" s="5"/>
      <c r="S92" s="5"/>
      <c r="W92" s="21"/>
      <c r="X92" s="21"/>
    </row>
    <row r="93" spans="2:26">
      <c r="B93" s="5"/>
      <c r="C93" s="5"/>
      <c r="D93" s="5"/>
      <c r="E93" s="5"/>
      <c r="F93" s="5"/>
      <c r="G93" s="5"/>
      <c r="H93" s="5"/>
      <c r="I93" s="247"/>
      <c r="J93" s="5"/>
      <c r="K93" s="5"/>
      <c r="L93" s="5"/>
      <c r="M93" s="5"/>
      <c r="N93" s="5"/>
      <c r="O93" s="5"/>
      <c r="Q93" s="5"/>
      <c r="R93" s="5"/>
      <c r="S93" s="5"/>
      <c r="W93" s="21"/>
      <c r="X93" s="21"/>
      <c r="Y93" s="21"/>
      <c r="Z93" s="21"/>
    </row>
    <row r="94" spans="2:26">
      <c r="B94" s="5"/>
      <c r="C94" s="259"/>
      <c r="D94" s="247"/>
      <c r="E94" s="247"/>
      <c r="F94" s="247"/>
      <c r="G94" s="247"/>
      <c r="H94" s="247"/>
      <c r="I94" s="247"/>
      <c r="J94" s="247"/>
      <c r="K94" s="247"/>
      <c r="L94" s="247"/>
      <c r="M94" s="247"/>
      <c r="N94" s="247"/>
      <c r="O94" s="248"/>
      <c r="Q94" s="5"/>
      <c r="R94" s="5"/>
      <c r="S94" s="5"/>
      <c r="Y94" s="21"/>
      <c r="Z94" s="21"/>
    </row>
    <row r="95" spans="2:26">
      <c r="B95" s="5"/>
      <c r="C95" s="259"/>
      <c r="D95" s="247"/>
      <c r="E95" s="247"/>
      <c r="F95" s="247"/>
      <c r="G95" s="247"/>
      <c r="H95" s="247"/>
      <c r="I95" s="248"/>
      <c r="J95" s="247"/>
      <c r="K95" s="247"/>
      <c r="L95" s="247"/>
      <c r="M95" s="247"/>
      <c r="N95" s="247"/>
      <c r="O95" s="248"/>
      <c r="Q95" s="5"/>
      <c r="R95" s="5"/>
      <c r="S95" s="5"/>
    </row>
    <row r="96" spans="2:26">
      <c r="B96" s="5"/>
      <c r="C96" s="259"/>
      <c r="D96" s="247"/>
      <c r="E96" s="247"/>
      <c r="F96" s="247"/>
      <c r="G96" s="247"/>
      <c r="H96" s="247"/>
      <c r="I96" s="247"/>
      <c r="J96" s="247"/>
      <c r="K96" s="247"/>
      <c r="L96" s="247"/>
      <c r="M96" s="247"/>
      <c r="N96" s="247"/>
      <c r="O96" s="248"/>
      <c r="Q96" s="5"/>
      <c r="R96" s="5"/>
      <c r="S96" s="5"/>
    </row>
    <row r="97" spans="2:19">
      <c r="B97" s="5"/>
      <c r="C97" s="259"/>
      <c r="D97" s="248"/>
      <c r="E97" s="248"/>
      <c r="F97" s="248"/>
      <c r="G97" s="248"/>
      <c r="H97" s="248"/>
      <c r="I97" s="249"/>
      <c r="J97" s="248"/>
      <c r="K97" s="248"/>
      <c r="L97" s="248"/>
      <c r="M97" s="248"/>
      <c r="N97" s="248"/>
      <c r="O97" s="248"/>
      <c r="Q97" s="5"/>
      <c r="R97" s="5"/>
      <c r="S97" s="5"/>
    </row>
    <row r="98" spans="2:19">
      <c r="B98" s="5"/>
      <c r="C98" s="259"/>
      <c r="D98" s="247"/>
      <c r="E98" s="247"/>
      <c r="F98" s="247"/>
      <c r="G98" s="247"/>
      <c r="H98" s="247"/>
      <c r="I98" s="248"/>
      <c r="J98" s="247"/>
      <c r="K98" s="247"/>
      <c r="L98" s="247"/>
      <c r="M98" s="247"/>
      <c r="N98" s="247"/>
      <c r="O98" s="248"/>
      <c r="Q98" s="5"/>
      <c r="R98" s="5"/>
      <c r="S98" s="5"/>
    </row>
    <row r="99" spans="2:19">
      <c r="B99" s="41"/>
      <c r="C99" s="249"/>
      <c r="D99" s="249"/>
      <c r="E99" s="249"/>
      <c r="F99" s="249"/>
      <c r="G99" s="249"/>
      <c r="H99" s="249"/>
      <c r="I99" s="5"/>
      <c r="J99" s="249"/>
      <c r="K99" s="249"/>
      <c r="L99" s="249"/>
      <c r="M99" s="249"/>
      <c r="N99" s="249"/>
      <c r="O99" s="248"/>
      <c r="Q99" s="5"/>
      <c r="R99" s="5"/>
      <c r="S99" s="5"/>
    </row>
    <row r="100" spans="2:19">
      <c r="B100" s="41"/>
      <c r="C100" s="257"/>
      <c r="D100" s="248"/>
      <c r="E100" s="248"/>
      <c r="F100" s="248"/>
      <c r="G100" s="248"/>
      <c r="H100" s="248"/>
      <c r="I100" s="259"/>
      <c r="J100" s="248"/>
      <c r="K100" s="248"/>
      <c r="L100" s="248"/>
      <c r="M100" s="248"/>
      <c r="N100" s="248"/>
      <c r="O100" s="248"/>
      <c r="Q100" s="5"/>
      <c r="R100" s="5"/>
      <c r="S100" s="5"/>
    </row>
    <row r="101" spans="2:19" s="5" customFormat="1">
      <c r="B101" s="41"/>
      <c r="I101" s="259"/>
      <c r="O101" s="248"/>
      <c r="P101" s="39"/>
    </row>
    <row r="102" spans="2:19">
      <c r="B102" s="5"/>
      <c r="C102" s="259"/>
      <c r="D102" s="259"/>
      <c r="E102" s="259"/>
      <c r="F102" s="259"/>
      <c r="G102" s="259"/>
      <c r="H102" s="259"/>
      <c r="I102" s="247"/>
      <c r="J102" s="259"/>
      <c r="K102" s="259"/>
      <c r="L102" s="259"/>
      <c r="M102" s="259"/>
      <c r="N102" s="259"/>
      <c r="O102" s="5"/>
      <c r="Q102" s="5"/>
      <c r="R102" s="5"/>
      <c r="S102" s="5"/>
    </row>
    <row r="103" spans="2:19">
      <c r="B103" s="5"/>
      <c r="C103" s="259"/>
      <c r="D103" s="259"/>
      <c r="E103" s="259"/>
      <c r="F103" s="259"/>
      <c r="G103" s="259"/>
      <c r="H103" s="259"/>
      <c r="I103" s="5"/>
      <c r="J103" s="259"/>
      <c r="K103" s="259"/>
      <c r="L103" s="259"/>
      <c r="M103" s="259"/>
      <c r="N103" s="259"/>
      <c r="O103" s="5"/>
      <c r="P103" s="5"/>
      <c r="Q103" s="5"/>
      <c r="R103" s="5"/>
      <c r="S103" s="5"/>
    </row>
    <row r="104" spans="2:19">
      <c r="B104" s="5"/>
      <c r="C104" s="247"/>
      <c r="D104" s="247"/>
      <c r="E104" s="247"/>
      <c r="F104" s="247"/>
      <c r="G104" s="247"/>
      <c r="H104" s="247"/>
      <c r="I104" s="247"/>
      <c r="J104" s="247"/>
      <c r="K104" s="247"/>
      <c r="L104" s="247"/>
      <c r="M104" s="247"/>
      <c r="N104" s="247"/>
      <c r="O104" s="5"/>
      <c r="Q104" s="5"/>
      <c r="R104" s="5"/>
      <c r="S104" s="5"/>
    </row>
    <row r="105" spans="2:19" s="5" customFormat="1">
      <c r="P105" s="39"/>
    </row>
    <row r="106" spans="2:19" s="5" customFormat="1">
      <c r="C106" s="259"/>
      <c r="D106" s="247"/>
      <c r="E106" s="247"/>
      <c r="F106" s="247"/>
      <c r="G106" s="247"/>
      <c r="H106" s="247"/>
      <c r="I106" s="259"/>
      <c r="J106" s="247"/>
      <c r="K106" s="247"/>
      <c r="L106" s="247"/>
      <c r="M106" s="247"/>
      <c r="N106" s="247"/>
      <c r="P106" s="39"/>
    </row>
    <row r="107" spans="2:19">
      <c r="B107" s="5"/>
      <c r="C107" s="259"/>
      <c r="D107" s="5"/>
      <c r="E107" s="5"/>
      <c r="F107" s="5"/>
      <c r="G107" s="5"/>
      <c r="H107" s="5"/>
      <c r="I107" s="247"/>
      <c r="J107" s="5"/>
      <c r="K107" s="5"/>
      <c r="L107" s="5"/>
      <c r="M107" s="5"/>
      <c r="N107" s="5"/>
      <c r="O107" s="5"/>
      <c r="P107" s="5"/>
      <c r="Q107" s="5"/>
      <c r="R107" s="5"/>
      <c r="S107" s="5"/>
    </row>
    <row r="108" spans="2:19">
      <c r="B108" s="5"/>
      <c r="C108" s="259"/>
      <c r="D108" s="259"/>
      <c r="E108" s="259"/>
      <c r="F108" s="259"/>
      <c r="G108" s="259"/>
      <c r="H108" s="259"/>
      <c r="I108" s="249"/>
      <c r="J108" s="259"/>
      <c r="K108" s="259"/>
      <c r="L108" s="259"/>
      <c r="M108" s="259"/>
      <c r="N108" s="259"/>
      <c r="O108" s="5"/>
      <c r="P108" s="5"/>
      <c r="Q108" s="5"/>
      <c r="R108" s="5"/>
      <c r="S108" s="5"/>
    </row>
    <row r="109" spans="2:19">
      <c r="B109" s="5"/>
      <c r="C109" s="247"/>
      <c r="D109" s="247"/>
      <c r="E109" s="247"/>
      <c r="F109" s="247"/>
      <c r="G109" s="247"/>
      <c r="H109" s="247"/>
      <c r="I109" s="249"/>
      <c r="J109" s="247"/>
      <c r="K109" s="247"/>
      <c r="L109" s="247"/>
      <c r="M109" s="247"/>
      <c r="N109" s="247"/>
      <c r="O109" s="5"/>
      <c r="Q109" s="5"/>
      <c r="R109" s="5"/>
      <c r="S109" s="5"/>
    </row>
    <row r="110" spans="2:19">
      <c r="B110" s="41"/>
      <c r="C110" s="249"/>
      <c r="D110" s="249"/>
      <c r="E110" s="249"/>
      <c r="F110" s="249"/>
      <c r="G110" s="249"/>
      <c r="H110" s="249"/>
      <c r="I110" s="247"/>
      <c r="J110" s="249"/>
      <c r="K110" s="249"/>
      <c r="L110" s="249"/>
      <c r="M110" s="249"/>
      <c r="N110" s="249"/>
      <c r="O110" s="5"/>
      <c r="Q110" s="5"/>
      <c r="R110" s="5"/>
      <c r="S110" s="5"/>
    </row>
    <row r="111" spans="2:19">
      <c r="B111" s="5"/>
      <c r="C111" s="249"/>
      <c r="D111" s="249"/>
      <c r="E111" s="249"/>
      <c r="F111" s="249"/>
      <c r="G111" s="249"/>
      <c r="H111" s="249"/>
      <c r="I111" s="5"/>
      <c r="J111" s="249"/>
      <c r="K111" s="249"/>
      <c r="L111" s="249"/>
      <c r="M111" s="249"/>
      <c r="N111" s="249"/>
      <c r="O111" s="5"/>
      <c r="Q111" s="5"/>
      <c r="R111" s="5"/>
      <c r="S111" s="5"/>
    </row>
    <row r="112" spans="2:19">
      <c r="B112" s="5"/>
      <c r="C112" s="247"/>
      <c r="D112" s="247"/>
      <c r="E112" s="247"/>
      <c r="F112" s="247"/>
      <c r="G112" s="247"/>
      <c r="H112" s="247"/>
      <c r="I112" s="5"/>
      <c r="J112" s="247"/>
      <c r="K112" s="247"/>
      <c r="L112" s="247"/>
      <c r="M112" s="247"/>
      <c r="N112" s="247"/>
      <c r="O112" s="5"/>
      <c r="Q112" s="5"/>
      <c r="R112" s="5"/>
      <c r="S112" s="5"/>
    </row>
    <row r="113" spans="2:19">
      <c r="B113" s="5"/>
      <c r="C113" s="5"/>
      <c r="D113" s="5"/>
      <c r="E113" s="5"/>
      <c r="F113" s="5"/>
      <c r="G113" s="5"/>
      <c r="H113" s="5"/>
      <c r="I113" s="5"/>
      <c r="J113" s="5"/>
      <c r="K113" s="5"/>
      <c r="L113" s="5"/>
      <c r="M113" s="5"/>
      <c r="N113" s="5"/>
      <c r="O113" s="5"/>
      <c r="Q113" s="5"/>
      <c r="R113" s="5"/>
      <c r="S113" s="5"/>
    </row>
    <row r="114" spans="2:19">
      <c r="B114" s="5"/>
      <c r="C114" s="5"/>
      <c r="D114" s="5"/>
      <c r="E114" s="5"/>
      <c r="F114" s="5"/>
      <c r="G114" s="5"/>
      <c r="H114" s="5"/>
      <c r="I114" s="5"/>
      <c r="J114" s="5"/>
      <c r="K114" s="5"/>
      <c r="L114" s="5"/>
      <c r="M114" s="5"/>
      <c r="N114" s="5"/>
      <c r="O114" s="5"/>
      <c r="Q114" s="5"/>
      <c r="R114" s="5"/>
      <c r="S114" s="5"/>
    </row>
    <row r="115" spans="2:19">
      <c r="B115" s="5"/>
      <c r="C115" s="5"/>
      <c r="D115" s="5"/>
      <c r="E115" s="5"/>
      <c r="F115" s="5"/>
      <c r="G115" s="5"/>
      <c r="H115" s="5"/>
      <c r="I115" s="49"/>
      <c r="J115" s="5"/>
      <c r="K115" s="5"/>
      <c r="L115" s="5"/>
      <c r="M115" s="5"/>
      <c r="N115" s="5"/>
      <c r="O115" s="5"/>
      <c r="Q115" s="41"/>
      <c r="R115" s="5"/>
      <c r="S115" s="5"/>
    </row>
    <row r="116" spans="2:19">
      <c r="B116" s="5"/>
      <c r="C116" s="5"/>
      <c r="D116" s="5"/>
      <c r="E116" s="5"/>
      <c r="F116" s="5"/>
      <c r="G116" s="5"/>
      <c r="H116" s="5"/>
      <c r="I116" s="5"/>
      <c r="J116" s="5"/>
      <c r="K116" s="5"/>
      <c r="L116" s="5"/>
      <c r="M116" s="5"/>
      <c r="N116" s="5"/>
      <c r="O116" s="5"/>
      <c r="Q116" s="5"/>
      <c r="R116" s="5"/>
      <c r="S116" s="5"/>
    </row>
    <row r="117" spans="2:19">
      <c r="B117" s="41"/>
      <c r="C117" s="49"/>
      <c r="D117" s="49"/>
      <c r="E117" s="49"/>
      <c r="F117" s="49"/>
      <c r="G117" s="49"/>
      <c r="H117" s="49"/>
      <c r="I117" s="254"/>
      <c r="J117" s="49"/>
      <c r="K117" s="49"/>
      <c r="L117" s="49"/>
      <c r="M117" s="49"/>
      <c r="N117" s="49"/>
      <c r="O117" s="49"/>
      <c r="Q117" s="5"/>
      <c r="R117" s="5"/>
      <c r="S117" s="5"/>
    </row>
    <row r="118" spans="2:19">
      <c r="B118" s="5"/>
      <c r="C118" s="5"/>
      <c r="D118" s="5"/>
      <c r="E118" s="5"/>
      <c r="F118" s="5"/>
      <c r="G118" s="5"/>
      <c r="H118" s="5"/>
      <c r="I118" s="249"/>
      <c r="J118" s="5"/>
      <c r="K118" s="5"/>
      <c r="L118" s="5"/>
      <c r="M118" s="5"/>
      <c r="N118" s="5"/>
      <c r="O118" s="5"/>
      <c r="Q118" s="5"/>
      <c r="R118" s="5"/>
      <c r="S118" s="5"/>
    </row>
    <row r="119" spans="2:19">
      <c r="B119" s="41"/>
      <c r="C119" s="254"/>
      <c r="D119" s="254"/>
      <c r="E119" s="254"/>
      <c r="F119" s="254"/>
      <c r="G119" s="254"/>
      <c r="H119" s="254"/>
      <c r="I119" s="254"/>
      <c r="J119" s="254"/>
      <c r="K119" s="254"/>
      <c r="L119" s="254"/>
      <c r="M119" s="254"/>
      <c r="N119" s="254"/>
      <c r="O119" s="248"/>
      <c r="Q119" s="5"/>
      <c r="R119" s="5"/>
      <c r="S119" s="5"/>
    </row>
    <row r="120" spans="2:19">
      <c r="B120" s="41"/>
      <c r="C120" s="254"/>
      <c r="D120" s="249"/>
      <c r="E120" s="249"/>
      <c r="F120" s="249"/>
      <c r="G120" s="249"/>
      <c r="H120" s="249"/>
      <c r="I120" s="254"/>
      <c r="J120" s="249"/>
      <c r="K120" s="249"/>
      <c r="L120" s="249"/>
      <c r="M120" s="249"/>
      <c r="N120" s="249"/>
      <c r="O120" s="248"/>
      <c r="Q120" s="5"/>
      <c r="R120" s="5"/>
      <c r="S120" s="5"/>
    </row>
    <row r="121" spans="2:19">
      <c r="B121" s="41"/>
      <c r="C121" s="254"/>
      <c r="D121" s="254"/>
      <c r="E121" s="254"/>
      <c r="F121" s="254"/>
      <c r="G121" s="254"/>
      <c r="H121" s="254"/>
      <c r="I121" s="254"/>
      <c r="J121" s="254"/>
      <c r="K121" s="254"/>
      <c r="L121" s="254"/>
      <c r="M121" s="254"/>
      <c r="N121" s="254"/>
      <c r="O121" s="248"/>
      <c r="Q121" s="5"/>
      <c r="R121" s="5"/>
      <c r="S121" s="5"/>
    </row>
    <row r="122" spans="2:19">
      <c r="B122" s="41"/>
      <c r="C122" s="254"/>
      <c r="D122" s="254"/>
      <c r="E122" s="254"/>
      <c r="F122" s="254"/>
      <c r="G122" s="254"/>
      <c r="H122" s="254"/>
      <c r="I122" s="254"/>
      <c r="J122" s="254"/>
      <c r="K122" s="254"/>
      <c r="L122" s="254"/>
      <c r="M122" s="254"/>
      <c r="N122" s="254"/>
      <c r="O122" s="248"/>
      <c r="Q122" s="5"/>
      <c r="R122" s="5"/>
      <c r="S122" s="5"/>
    </row>
    <row r="123" spans="2:19">
      <c r="B123" s="41"/>
      <c r="C123" s="254"/>
      <c r="D123" s="254"/>
      <c r="E123" s="254"/>
      <c r="F123" s="254"/>
      <c r="G123" s="254"/>
      <c r="H123" s="254"/>
      <c r="I123" s="254"/>
      <c r="J123" s="254"/>
      <c r="K123" s="254"/>
      <c r="L123" s="254"/>
      <c r="M123" s="254"/>
      <c r="N123" s="254"/>
      <c r="O123" s="248"/>
      <c r="Q123" s="5"/>
      <c r="R123" s="5"/>
      <c r="S123" s="5"/>
    </row>
    <row r="124" spans="2:19">
      <c r="B124" s="41"/>
      <c r="C124" s="254"/>
      <c r="D124" s="254"/>
      <c r="E124" s="254"/>
      <c r="F124" s="254"/>
      <c r="G124" s="254"/>
      <c r="H124" s="254"/>
      <c r="I124" s="254"/>
      <c r="J124" s="254"/>
      <c r="K124" s="254"/>
      <c r="L124" s="254"/>
      <c r="M124" s="254"/>
      <c r="N124" s="254"/>
      <c r="O124" s="248"/>
      <c r="Q124" s="5"/>
      <c r="R124" s="5"/>
      <c r="S124" s="5"/>
    </row>
    <row r="125" spans="2:19">
      <c r="B125" s="41"/>
      <c r="C125" s="254"/>
      <c r="D125" s="254"/>
      <c r="E125" s="254"/>
      <c r="F125" s="254"/>
      <c r="G125" s="254"/>
      <c r="H125" s="254"/>
      <c r="I125" s="254"/>
      <c r="J125" s="254"/>
      <c r="K125" s="254"/>
      <c r="L125" s="254"/>
      <c r="M125" s="254"/>
      <c r="N125" s="254"/>
      <c r="O125" s="5"/>
      <c r="Q125" s="5"/>
      <c r="R125" s="5"/>
      <c r="S125" s="5"/>
    </row>
    <row r="126" spans="2:19">
      <c r="B126" s="41"/>
      <c r="C126" s="254"/>
      <c r="D126" s="254"/>
      <c r="E126" s="254"/>
      <c r="F126" s="254"/>
      <c r="G126" s="254"/>
      <c r="H126" s="254"/>
      <c r="I126" s="254"/>
      <c r="J126" s="254"/>
      <c r="K126" s="254"/>
      <c r="L126" s="254"/>
      <c r="M126" s="254"/>
      <c r="N126" s="254"/>
      <c r="O126" s="5"/>
      <c r="Q126" s="5"/>
      <c r="R126" s="5"/>
      <c r="S126" s="5"/>
    </row>
    <row r="127" spans="2:19">
      <c r="B127" s="41"/>
      <c r="C127" s="254"/>
      <c r="D127" s="254"/>
      <c r="E127" s="254"/>
      <c r="F127" s="254"/>
      <c r="G127" s="254"/>
      <c r="H127" s="254"/>
      <c r="I127" s="18"/>
      <c r="J127" s="254"/>
      <c r="K127" s="254"/>
      <c r="L127" s="254"/>
      <c r="M127" s="254"/>
      <c r="N127" s="254"/>
      <c r="O127" s="5"/>
      <c r="Q127" s="5"/>
      <c r="R127" s="5"/>
      <c r="S127" s="5"/>
    </row>
    <row r="128" spans="2:19">
      <c r="B128" s="41"/>
      <c r="C128" s="254"/>
      <c r="D128" s="254"/>
      <c r="E128" s="254"/>
      <c r="F128" s="254"/>
      <c r="G128" s="254"/>
      <c r="H128" s="254"/>
      <c r="I128" s="5"/>
      <c r="J128" s="254"/>
      <c r="K128" s="254"/>
      <c r="L128" s="254"/>
      <c r="M128" s="254"/>
      <c r="N128" s="254"/>
      <c r="O128" s="5"/>
      <c r="Q128" s="5"/>
      <c r="R128" s="5"/>
      <c r="S128" s="5"/>
    </row>
    <row r="129" spans="2:27">
      <c r="B129" s="5"/>
      <c r="C129" s="5"/>
      <c r="D129" s="18"/>
      <c r="E129" s="18"/>
      <c r="F129" s="18"/>
      <c r="G129" s="18"/>
      <c r="H129" s="18"/>
      <c r="I129" s="254"/>
      <c r="J129" s="18"/>
      <c r="K129" s="18"/>
      <c r="L129" s="18"/>
      <c r="M129" s="18"/>
      <c r="N129" s="18"/>
      <c r="O129" s="5"/>
      <c r="Q129" s="5"/>
      <c r="R129" s="5"/>
      <c r="S129" s="5"/>
    </row>
    <row r="130" spans="2:27">
      <c r="B130" s="5"/>
      <c r="C130" s="5"/>
      <c r="D130" s="5"/>
      <c r="E130" s="5"/>
      <c r="F130" s="5"/>
      <c r="G130" s="5"/>
      <c r="H130" s="5"/>
      <c r="I130" s="18"/>
      <c r="J130" s="5"/>
      <c r="K130" s="5"/>
      <c r="L130" s="5"/>
      <c r="M130" s="5"/>
      <c r="N130" s="5"/>
      <c r="O130" s="5"/>
      <c r="Q130" s="5"/>
      <c r="R130" s="5"/>
      <c r="S130" s="5"/>
    </row>
    <row r="131" spans="2:27">
      <c r="B131" s="41"/>
      <c r="C131" s="254"/>
      <c r="D131" s="254"/>
      <c r="E131" s="254"/>
      <c r="F131" s="254"/>
      <c r="G131" s="254"/>
      <c r="H131" s="254"/>
      <c r="I131" s="5"/>
      <c r="J131" s="254"/>
      <c r="K131" s="254"/>
      <c r="L131" s="254"/>
      <c r="M131" s="254"/>
      <c r="N131" s="254"/>
      <c r="O131" s="5"/>
      <c r="Q131" s="5"/>
      <c r="R131" s="5"/>
      <c r="S131" s="5"/>
    </row>
    <row r="132" spans="2:27">
      <c r="B132" s="5"/>
      <c r="C132" s="259"/>
      <c r="D132" s="18"/>
      <c r="E132" s="18"/>
      <c r="F132" s="18"/>
      <c r="G132" s="18"/>
      <c r="H132" s="18"/>
      <c r="I132" s="5"/>
      <c r="J132" s="18"/>
      <c r="K132" s="18"/>
      <c r="L132" s="18"/>
      <c r="M132" s="18"/>
      <c r="N132" s="18"/>
      <c r="O132" s="5"/>
      <c r="Q132" s="5"/>
      <c r="R132" s="5"/>
      <c r="S132" s="5"/>
    </row>
    <row r="133" spans="2:27">
      <c r="B133" s="5"/>
      <c r="C133" s="5"/>
      <c r="D133" s="5"/>
      <c r="E133" s="5"/>
      <c r="F133" s="5"/>
      <c r="G133" s="5"/>
      <c r="H133" s="5"/>
      <c r="I133" s="17"/>
      <c r="J133" s="5"/>
      <c r="K133" s="5"/>
      <c r="L133" s="5"/>
      <c r="M133" s="5"/>
      <c r="N133" s="5"/>
      <c r="O133" s="5"/>
      <c r="Q133" s="5"/>
      <c r="R133" s="5"/>
      <c r="S133" s="5"/>
    </row>
    <row r="134" spans="2:27">
      <c r="B134" s="41"/>
      <c r="C134" s="5"/>
      <c r="D134" s="5"/>
      <c r="E134" s="5"/>
      <c r="F134" s="5"/>
      <c r="G134" s="5"/>
      <c r="H134" s="5"/>
      <c r="I134" s="17"/>
      <c r="J134" s="5"/>
      <c r="K134" s="5"/>
      <c r="L134" s="5"/>
      <c r="M134" s="5"/>
      <c r="N134" s="5"/>
      <c r="O134" s="5"/>
      <c r="Q134" s="5"/>
      <c r="R134" s="5"/>
      <c r="S134" s="5"/>
    </row>
    <row r="135" spans="2:27">
      <c r="B135" s="5"/>
      <c r="C135" s="17"/>
      <c r="D135" s="17"/>
      <c r="E135" s="17"/>
      <c r="F135" s="17"/>
      <c r="G135" s="17"/>
      <c r="H135" s="17"/>
      <c r="I135" s="17"/>
      <c r="J135" s="17"/>
      <c r="K135" s="17"/>
      <c r="L135" s="17"/>
      <c r="M135" s="17"/>
      <c r="N135" s="17"/>
      <c r="O135" s="5"/>
      <c r="Q135" s="41"/>
      <c r="R135" s="5"/>
      <c r="S135" s="5"/>
    </row>
    <row r="136" spans="2:27">
      <c r="B136" s="5"/>
      <c r="C136" s="17"/>
      <c r="D136" s="17"/>
      <c r="E136" s="17"/>
      <c r="F136" s="17"/>
      <c r="G136" s="17"/>
      <c r="H136" s="17"/>
      <c r="I136" s="17"/>
      <c r="J136" s="17"/>
      <c r="K136" s="17"/>
      <c r="L136" s="17"/>
      <c r="M136" s="17"/>
      <c r="N136" s="17"/>
      <c r="O136" s="5"/>
      <c r="Q136" s="5"/>
      <c r="R136" s="5"/>
      <c r="S136" s="5"/>
      <c r="X136" s="304"/>
    </row>
    <row r="137" spans="2:27">
      <c r="B137" s="5"/>
      <c r="C137" s="5"/>
      <c r="D137" s="17"/>
      <c r="E137" s="17"/>
      <c r="F137" s="17"/>
      <c r="G137" s="17"/>
      <c r="H137" s="17"/>
      <c r="I137" s="17"/>
      <c r="J137" s="17"/>
      <c r="K137" s="17"/>
      <c r="L137" s="17"/>
      <c r="M137" s="17"/>
      <c r="N137" s="17"/>
      <c r="O137" s="5"/>
      <c r="Q137" s="5"/>
      <c r="R137" s="5"/>
      <c r="S137" s="5"/>
      <c r="X137" s="10"/>
      <c r="Y137" s="304"/>
      <c r="Z137" s="304"/>
      <c r="AA137" s="304"/>
    </row>
    <row r="138" spans="2:27">
      <c r="B138" s="5"/>
      <c r="C138" s="5"/>
      <c r="D138" s="17"/>
      <c r="E138" s="17"/>
      <c r="F138" s="17"/>
      <c r="G138" s="17"/>
      <c r="H138" s="17"/>
      <c r="I138" s="17"/>
      <c r="J138" s="17"/>
      <c r="K138" s="17"/>
      <c r="L138" s="17"/>
      <c r="M138" s="17"/>
      <c r="N138" s="17"/>
      <c r="O138" s="5"/>
      <c r="Q138" s="5"/>
      <c r="R138" s="5"/>
      <c r="S138" s="5"/>
      <c r="Y138" s="10"/>
      <c r="Z138" s="10"/>
      <c r="AA138" s="10"/>
    </row>
    <row r="139" spans="2:27">
      <c r="B139" s="5"/>
      <c r="C139" s="5"/>
      <c r="D139" s="17"/>
      <c r="E139" s="17"/>
      <c r="F139" s="17"/>
      <c r="G139" s="17"/>
      <c r="H139" s="17"/>
      <c r="I139" s="5"/>
      <c r="J139" s="17"/>
      <c r="K139" s="17"/>
      <c r="L139" s="17"/>
      <c r="M139" s="17"/>
      <c r="N139" s="17"/>
      <c r="O139" s="5"/>
      <c r="Q139" s="5"/>
      <c r="R139" s="5"/>
      <c r="S139" s="5"/>
    </row>
    <row r="140" spans="2:27">
      <c r="B140" s="5"/>
      <c r="C140" s="17"/>
      <c r="D140" s="17"/>
      <c r="E140" s="17"/>
      <c r="F140" s="17"/>
      <c r="G140" s="17"/>
      <c r="H140" s="17"/>
      <c r="I140" s="5"/>
      <c r="J140" s="17"/>
      <c r="K140" s="17"/>
      <c r="L140" s="17"/>
      <c r="M140" s="17"/>
      <c r="N140" s="17"/>
      <c r="O140" s="5"/>
      <c r="Q140" s="5"/>
      <c r="R140" s="5"/>
      <c r="S140" s="5"/>
    </row>
    <row r="141" spans="2:27">
      <c r="B141" s="5"/>
      <c r="C141" s="5"/>
      <c r="D141" s="5"/>
      <c r="E141" s="5"/>
      <c r="F141" s="5"/>
      <c r="G141" s="5"/>
      <c r="H141" s="5"/>
      <c r="I141" s="5"/>
      <c r="J141" s="5"/>
      <c r="K141" s="5"/>
      <c r="L141" s="5"/>
      <c r="M141" s="5"/>
      <c r="N141" s="5"/>
      <c r="O141" s="5"/>
      <c r="Q141" s="5"/>
      <c r="R141" s="5"/>
      <c r="S141" s="5"/>
    </row>
    <row r="142" spans="2:27">
      <c r="B142" s="5"/>
      <c r="C142" s="5"/>
      <c r="D142" s="5"/>
      <c r="E142" s="5"/>
      <c r="F142" s="5"/>
      <c r="G142" s="5"/>
      <c r="H142" s="5"/>
      <c r="I142" s="5"/>
      <c r="J142" s="5"/>
      <c r="K142" s="5"/>
      <c r="L142" s="5"/>
      <c r="M142" s="5"/>
      <c r="N142" s="5"/>
      <c r="O142" s="5"/>
      <c r="Q142" s="5"/>
      <c r="R142" s="5"/>
      <c r="S142" s="5"/>
    </row>
    <row r="143" spans="2:27">
      <c r="B143" s="5"/>
      <c r="C143" s="5"/>
      <c r="D143" s="5"/>
      <c r="E143" s="5"/>
      <c r="F143" s="5"/>
      <c r="G143" s="5"/>
      <c r="H143" s="5"/>
      <c r="I143" s="5"/>
      <c r="J143" s="5"/>
      <c r="K143" s="5"/>
      <c r="L143" s="5"/>
      <c r="M143" s="5"/>
      <c r="N143" s="5"/>
      <c r="O143" s="5"/>
      <c r="Q143" s="5"/>
      <c r="R143" s="5"/>
      <c r="S143" s="5"/>
    </row>
    <row r="144" spans="2:27">
      <c r="B144" s="5"/>
      <c r="C144" s="5"/>
      <c r="D144" s="5"/>
      <c r="E144" s="5"/>
      <c r="F144" s="5"/>
      <c r="G144" s="5"/>
      <c r="H144" s="5"/>
      <c r="I144" s="5"/>
      <c r="J144" s="5"/>
      <c r="K144" s="5"/>
      <c r="L144" s="5"/>
      <c r="M144" s="5"/>
      <c r="N144" s="5"/>
      <c r="O144" s="5"/>
      <c r="Q144" s="5"/>
      <c r="R144" s="5"/>
      <c r="S144" s="5"/>
    </row>
    <row r="145" spans="2:19">
      <c r="B145" s="5"/>
      <c r="C145" s="5"/>
      <c r="D145" s="5"/>
      <c r="E145" s="5"/>
      <c r="F145" s="5"/>
      <c r="G145" s="5"/>
      <c r="H145" s="5"/>
      <c r="I145" s="5"/>
      <c r="J145" s="5"/>
      <c r="K145" s="5"/>
      <c r="L145" s="5"/>
      <c r="M145" s="5"/>
      <c r="N145" s="5"/>
      <c r="O145" s="5"/>
      <c r="Q145" s="5"/>
      <c r="R145" s="5"/>
      <c r="S145" s="5"/>
    </row>
    <row r="146" spans="2:19">
      <c r="B146" s="5"/>
      <c r="C146" s="5"/>
      <c r="D146" s="5"/>
      <c r="E146" s="5"/>
      <c r="F146" s="5"/>
      <c r="G146" s="5"/>
      <c r="H146" s="5"/>
      <c r="I146" s="5"/>
      <c r="J146" s="5"/>
      <c r="K146" s="5"/>
      <c r="L146" s="5"/>
      <c r="M146" s="5"/>
      <c r="N146" s="5"/>
      <c r="O146" s="5"/>
      <c r="Q146" s="5"/>
      <c r="R146" s="5"/>
      <c r="S146" s="5"/>
    </row>
    <row r="147" spans="2:19">
      <c r="B147" s="5"/>
      <c r="C147" s="5"/>
      <c r="D147" s="5"/>
      <c r="E147" s="5"/>
      <c r="F147" s="5"/>
      <c r="G147" s="5"/>
      <c r="H147" s="5"/>
      <c r="I147" s="5"/>
      <c r="J147" s="5"/>
      <c r="K147" s="5"/>
      <c r="L147" s="5"/>
      <c r="M147" s="5"/>
      <c r="N147" s="5"/>
      <c r="O147" s="5"/>
      <c r="Q147" s="5"/>
      <c r="R147" s="5"/>
      <c r="S147" s="5"/>
    </row>
    <row r="148" spans="2:19">
      <c r="B148" s="5"/>
      <c r="C148" s="5"/>
      <c r="D148" s="5"/>
      <c r="E148" s="5"/>
      <c r="F148" s="5"/>
      <c r="G148" s="5"/>
      <c r="H148" s="5"/>
      <c r="I148" s="5"/>
      <c r="J148" s="5"/>
      <c r="K148" s="5"/>
      <c r="L148" s="5"/>
      <c r="M148" s="5"/>
      <c r="N148" s="5"/>
      <c r="O148" s="5"/>
      <c r="Q148" s="5"/>
      <c r="R148" s="5"/>
      <c r="S148" s="5"/>
    </row>
    <row r="149" spans="2:19">
      <c r="B149" s="5"/>
      <c r="C149" s="5"/>
      <c r="D149" s="5"/>
      <c r="E149" s="5"/>
      <c r="F149" s="5"/>
      <c r="G149" s="5"/>
      <c r="H149" s="5"/>
      <c r="J149" s="5"/>
      <c r="K149" s="5"/>
      <c r="L149" s="5"/>
      <c r="M149" s="5"/>
      <c r="N149" s="5"/>
      <c r="O149" s="5"/>
      <c r="Q149" s="5"/>
      <c r="R149" s="5"/>
      <c r="S149" s="5"/>
    </row>
    <row r="150" spans="2:19">
      <c r="B150" s="5"/>
      <c r="C150" s="5"/>
      <c r="D150" s="5"/>
      <c r="E150" s="5"/>
      <c r="F150" s="5"/>
      <c r="G150" s="5"/>
      <c r="H150" s="5"/>
      <c r="J150" s="5"/>
      <c r="K150" s="5"/>
      <c r="L150" s="5"/>
      <c r="M150" s="5"/>
      <c r="N150" s="5"/>
      <c r="O150" s="5"/>
      <c r="Q150" s="5"/>
      <c r="R150" s="5"/>
      <c r="S150" s="5"/>
    </row>
    <row r="151" spans="2:19">
      <c r="Q151" s="5"/>
      <c r="R151" s="5"/>
      <c r="S151" s="5"/>
    </row>
    <row r="152" spans="2:19">
      <c r="Q152" s="5"/>
      <c r="R152" s="5"/>
      <c r="S152" s="5"/>
    </row>
    <row r="153" spans="2:19">
      <c r="C153" s="263"/>
      <c r="Q153" s="5"/>
      <c r="R153" s="5"/>
      <c r="S153" s="5"/>
    </row>
    <row r="154" spans="2:19">
      <c r="Q154" s="5"/>
      <c r="R154" s="5"/>
      <c r="S154" s="5"/>
    </row>
    <row r="155" spans="2:19">
      <c r="Q155" s="5"/>
      <c r="R155" s="5"/>
      <c r="S155" s="5"/>
    </row>
    <row r="156" spans="2:19">
      <c r="Q156" s="5"/>
      <c r="R156" s="5"/>
      <c r="S156" s="5"/>
    </row>
    <row r="157" spans="2:19">
      <c r="Q157" s="5"/>
      <c r="R157" s="5"/>
      <c r="S157" s="5"/>
    </row>
    <row r="158" spans="2:19">
      <c r="Q158" s="5"/>
      <c r="R158" s="5"/>
      <c r="S158" s="5"/>
    </row>
    <row r="159" spans="2:19">
      <c r="Q159" s="5"/>
      <c r="R159" s="5"/>
      <c r="S159" s="5"/>
    </row>
    <row r="160" spans="2:19">
      <c r="Q160" s="5"/>
      <c r="R160" s="5"/>
      <c r="S160" s="5"/>
    </row>
    <row r="161" spans="17:19">
      <c r="Q161" s="5"/>
      <c r="R161" s="5"/>
      <c r="S161" s="5"/>
    </row>
    <row r="162" spans="17:19">
      <c r="Q162" s="5"/>
      <c r="R162" s="5"/>
      <c r="S162" s="5"/>
    </row>
    <row r="163" spans="17:19">
      <c r="Q163" s="5"/>
      <c r="R163" s="5"/>
      <c r="S163" s="5"/>
    </row>
    <row r="164" spans="17:19">
      <c r="Q164" s="5"/>
      <c r="R164" s="5"/>
      <c r="S164" s="5"/>
    </row>
    <row r="165" spans="17:19">
      <c r="Q165" s="5"/>
      <c r="R165" s="5"/>
      <c r="S165" s="5"/>
    </row>
  </sheetData>
  <phoneticPr fontId="7" type="noConversion"/>
  <pageMargins left="0.75" right="0.75" top="1" bottom="1" header="0.5" footer="0.5"/>
  <pageSetup scale="71" orientation="landscape" r:id="rId1"/>
  <headerFooter alignWithMargins="0"/>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sheetPr codeName="Sheet182">
    <pageSetUpPr fitToPage="1"/>
  </sheetPr>
  <dimension ref="B1:AR165"/>
  <sheetViews>
    <sheetView showGridLines="0" zoomScale="80" zoomScaleNormal="80" workbookViewId="0"/>
  </sheetViews>
  <sheetFormatPr defaultColWidth="9.109375" defaultRowHeight="12"/>
  <cols>
    <col min="1" max="1" width="2.33203125" style="39" customWidth="1"/>
    <col min="2" max="2" width="26.5546875" style="39" customWidth="1"/>
    <col min="3" max="9" width="10" style="39" customWidth="1"/>
    <col min="10" max="10" width="26.6640625" style="39" customWidth="1"/>
    <col min="11" max="16" width="10" style="39" customWidth="1"/>
    <col min="17" max="19" width="8.6640625" style="39" customWidth="1"/>
    <col min="20" max="28" width="8.6640625" style="5" customWidth="1"/>
    <col min="29" max="44" width="9.109375" style="5"/>
    <col min="45" max="16384" width="9.109375" style="39"/>
  </cols>
  <sheetData>
    <row r="1" spans="2:44" s="312" customFormat="1">
      <c r="T1" s="149"/>
      <c r="U1" s="149"/>
      <c r="V1" s="149"/>
      <c r="W1" s="149"/>
      <c r="X1" s="149"/>
      <c r="Y1" s="149"/>
      <c r="Z1" s="149"/>
      <c r="AA1" s="149"/>
      <c r="AB1" s="149"/>
      <c r="AC1" s="149"/>
      <c r="AD1" s="149"/>
      <c r="AE1" s="149"/>
      <c r="AF1" s="149"/>
      <c r="AG1" s="149"/>
      <c r="AH1" s="149"/>
      <c r="AI1" s="149"/>
      <c r="AJ1" s="149"/>
      <c r="AK1" s="149"/>
      <c r="AL1" s="149"/>
      <c r="AM1" s="149"/>
      <c r="AN1" s="149"/>
      <c r="AO1" s="149"/>
      <c r="AP1" s="149"/>
      <c r="AQ1" s="149"/>
      <c r="AR1" s="149"/>
    </row>
    <row r="2" spans="2:44" s="149" customFormat="1"/>
    <row r="3" spans="2:44" s="149" customFormat="1">
      <c r="H3" s="153"/>
      <c r="P3" s="153"/>
    </row>
    <row r="4" spans="2:44" s="156" customFormat="1" ht="21">
      <c r="B4" s="129" t="s">
        <v>776</v>
      </c>
      <c r="H4" s="222"/>
      <c r="P4" s="222"/>
    </row>
    <row r="5" spans="2:44" s="149" customFormat="1">
      <c r="C5" s="153"/>
      <c r="D5" s="153" t="str" cm="1">
        <f t="array" ref="D5:H5">headings</f>
        <v>2023E</v>
      </c>
      <c r="E5" s="153" t="str">
        <v>2024E</v>
      </c>
      <c r="F5" s="153" t="str">
        <v>2025E</v>
      </c>
      <c r="G5" s="153" t="str">
        <v>2026E</v>
      </c>
      <c r="H5" s="153" t="str">
        <v>23E-26E</v>
      </c>
      <c r="I5" s="153"/>
      <c r="J5" s="153"/>
      <c r="K5" s="153"/>
      <c r="L5" s="153" t="str" cm="1">
        <f t="array" ref="L5:P5">headings</f>
        <v>2023E</v>
      </c>
      <c r="M5" s="153" t="str">
        <v>2024E</v>
      </c>
      <c r="N5" s="153" t="str">
        <v>2025E</v>
      </c>
      <c r="O5" s="153" t="str">
        <v>2026E</v>
      </c>
      <c r="P5" s="153" t="str">
        <v>23E-26E</v>
      </c>
      <c r="Q5" s="162"/>
      <c r="R5" s="162"/>
      <c r="S5" s="162"/>
      <c r="T5" s="162"/>
      <c r="U5" s="162"/>
      <c r="V5" s="162"/>
      <c r="W5" s="162"/>
      <c r="X5" s="162"/>
      <c r="Y5" s="162"/>
    </row>
    <row r="6" spans="2:44">
      <c r="I6" s="5"/>
      <c r="J6" s="5"/>
      <c r="K6" s="5"/>
      <c r="L6" s="5"/>
      <c r="M6" s="5"/>
      <c r="N6" s="5"/>
      <c r="O6" s="49"/>
    </row>
    <row r="7" spans="2:44" ht="12.6" thickBot="1">
      <c r="B7" s="306" t="s">
        <v>271</v>
      </c>
      <c r="C7" s="265"/>
      <c r="D7" s="265" t="str">
        <f>D5</f>
        <v>2023E</v>
      </c>
      <c r="E7" s="265" t="str">
        <f t="shared" ref="E7:H7" si="0">E5</f>
        <v>2024E</v>
      </c>
      <c r="F7" s="265" t="str">
        <f t="shared" si="0"/>
        <v>2025E</v>
      </c>
      <c r="G7" s="265" t="str">
        <f t="shared" si="0"/>
        <v>2026E</v>
      </c>
      <c r="H7" s="265" t="str">
        <f t="shared" si="0"/>
        <v>23E-26E</v>
      </c>
      <c r="I7" s="49"/>
      <c r="J7" s="306" t="s">
        <v>778</v>
      </c>
      <c r="K7" s="306"/>
      <c r="L7" s="265" t="str">
        <f>L5</f>
        <v>2023E</v>
      </c>
      <c r="M7" s="265" t="str">
        <f t="shared" ref="M7:P7" si="1">M5</f>
        <v>2024E</v>
      </c>
      <c r="N7" s="265" t="str">
        <f t="shared" si="1"/>
        <v>2025E</v>
      </c>
      <c r="O7" s="265" t="str">
        <f t="shared" si="1"/>
        <v>2026E</v>
      </c>
      <c r="P7" s="265" t="str">
        <f t="shared" si="1"/>
        <v>23E-26E</v>
      </c>
    </row>
    <row r="8" spans="2:44" ht="12.6" thickTop="1">
      <c r="B8" s="5"/>
      <c r="C8" s="5"/>
      <c r="D8" s="5"/>
      <c r="E8" s="5"/>
      <c r="F8" s="5"/>
      <c r="G8" s="5"/>
      <c r="H8" s="5"/>
      <c r="I8" s="5"/>
      <c r="J8" s="5"/>
      <c r="K8" s="5"/>
      <c r="L8" s="5"/>
      <c r="M8" s="5"/>
      <c r="N8" s="5"/>
      <c r="S8" s="88"/>
      <c r="T8" s="42"/>
      <c r="U8" s="42"/>
      <c r="V8" s="42"/>
      <c r="W8" s="42"/>
      <c r="X8" s="42"/>
      <c r="Y8" s="42"/>
      <c r="Z8" s="42"/>
      <c r="AA8" s="42"/>
    </row>
    <row r="9" spans="2:44">
      <c r="B9" s="41" t="s">
        <v>877</v>
      </c>
      <c r="C9" s="290">
        <f>Prices!$C$100</f>
        <v>1850</v>
      </c>
      <c r="D9" s="535">
        <v>0</v>
      </c>
      <c r="E9" s="536">
        <v>0</v>
      </c>
      <c r="F9" s="536">
        <v>0</v>
      </c>
      <c r="G9" s="536">
        <v>0</v>
      </c>
      <c r="H9" s="249"/>
      <c r="I9" s="249"/>
      <c r="J9" s="5" t="s">
        <v>273</v>
      </c>
      <c r="L9" s="529">
        <f>'EM TOWERS'!D37</f>
        <v>2.6715013852627854</v>
      </c>
      <c r="M9" s="529">
        <f>'EM TOWERS'!E37</f>
        <v>2.4664165959079525</v>
      </c>
      <c r="N9" s="529">
        <f>'EM TOWERS'!F37</f>
        <v>2.131979937672341</v>
      </c>
      <c r="O9" s="529">
        <f>'EM TOWERS'!G37</f>
        <v>1.8017346387407094</v>
      </c>
      <c r="P9" s="279">
        <f>'EM TOWERS'!H37</f>
        <v>4.1506270779823939E-2</v>
      </c>
      <c r="S9" s="88"/>
      <c r="T9" s="42"/>
      <c r="U9" s="42"/>
      <c r="V9" s="42"/>
      <c r="W9" s="42"/>
      <c r="X9" s="42"/>
      <c r="Y9" s="42"/>
      <c r="Z9" s="42"/>
      <c r="AA9" s="42"/>
    </row>
    <row r="10" spans="2:44">
      <c r="B10" s="5" t="s">
        <v>274</v>
      </c>
      <c r="C10" s="5"/>
      <c r="D10" s="531">
        <v>22298.275783000001</v>
      </c>
      <c r="E10" s="531">
        <v>22298.275783000001</v>
      </c>
      <c r="F10" s="531">
        <v>22298.275783000001</v>
      </c>
      <c r="G10" s="531">
        <v>22298.275783000001</v>
      </c>
      <c r="H10" s="247"/>
      <c r="I10" s="247"/>
      <c r="J10" s="5" t="s">
        <v>184</v>
      </c>
      <c r="L10" s="529">
        <f>'EM TOWERS'!D38</f>
        <v>4.1489124394973578</v>
      </c>
      <c r="M10" s="529">
        <f>'EM TOWERS'!E38</f>
        <v>3.7837744083979801</v>
      </c>
      <c r="N10" s="529">
        <f>'EM TOWERS'!F38</f>
        <v>3.2477275158639292</v>
      </c>
      <c r="O10" s="529">
        <f>'EM TOWERS'!G38</f>
        <v>2.7428587919433522</v>
      </c>
      <c r="P10" s="279">
        <f>'EM TOWERS'!H38</f>
        <v>4.8457032571161518E-2</v>
      </c>
      <c r="S10" s="88"/>
      <c r="T10" s="42"/>
      <c r="U10" s="42"/>
      <c r="V10" s="42"/>
      <c r="W10" s="288"/>
      <c r="X10" s="288"/>
      <c r="Y10" s="288"/>
      <c r="Z10" s="288"/>
      <c r="AA10" s="42"/>
    </row>
    <row r="11" spans="2:44">
      <c r="B11" s="41" t="s">
        <v>275</v>
      </c>
      <c r="C11" s="5"/>
      <c r="D11" s="532">
        <f>$C$9*D10/1000</f>
        <v>41251.810198550003</v>
      </c>
      <c r="E11" s="532">
        <f>$C$9*E10/1000</f>
        <v>41251.810198550003</v>
      </c>
      <c r="F11" s="532">
        <f>$C$9*F10/1000</f>
        <v>41251.810198550003</v>
      </c>
      <c r="G11" s="532">
        <f>$C$9*G10/1000</f>
        <v>41251.810198550003</v>
      </c>
      <c r="H11" s="249"/>
      <c r="I11" s="249"/>
      <c r="J11" s="5" t="s">
        <v>185</v>
      </c>
      <c r="L11" s="529">
        <f>'EM TOWERS'!D39</f>
        <v>6.1861038573799814</v>
      </c>
      <c r="M11" s="529">
        <f>'EM TOWERS'!E39</f>
        <v>5.4605168948171618</v>
      </c>
      <c r="N11" s="529">
        <f>'EM TOWERS'!F39</f>
        <v>4.6533902775737461</v>
      </c>
      <c r="O11" s="529">
        <f>'EM TOWERS'!G39</f>
        <v>3.9147674085760911</v>
      </c>
      <c r="P11" s="279">
        <f>'EM TOWERS'!H39</f>
        <v>6.3842766266186013E-2</v>
      </c>
      <c r="S11" s="88"/>
      <c r="T11" s="42"/>
      <c r="U11" s="42"/>
      <c r="V11" s="42"/>
      <c r="W11" s="288"/>
      <c r="X11" s="288"/>
      <c r="Y11" s="288"/>
      <c r="Z11" s="288"/>
      <c r="AA11" s="42"/>
    </row>
    <row r="12" spans="2:44">
      <c r="B12" s="5" t="s">
        <v>24</v>
      </c>
      <c r="C12" s="249"/>
      <c r="D12" s="533">
        <v>23428.962197016899</v>
      </c>
      <c r="E12" s="533">
        <v>21702.071555012735</v>
      </c>
      <c r="F12" s="533">
        <v>19827.802089945817</v>
      </c>
      <c r="G12" s="533">
        <v>17799.409215079704</v>
      </c>
      <c r="H12" s="247"/>
      <c r="I12" s="247"/>
      <c r="J12" s="5" t="s">
        <v>466</v>
      </c>
      <c r="L12" s="529">
        <f>'EM TOWERS'!D40</f>
        <v>6.9439536333859468</v>
      </c>
      <c r="M12" s="529">
        <f>'EM TOWERS'!E40</f>
        <v>6.0970821330239104</v>
      </c>
      <c r="N12" s="529">
        <f>'EM TOWERS'!F40</f>
        <v>5.1683449334617251</v>
      </c>
      <c r="O12" s="529">
        <f>'EM TOWERS'!G40</f>
        <v>4.3328952437227697</v>
      </c>
      <c r="P12" s="279">
        <f>'EM TOWERS'!H40</f>
        <v>6.8849532391503709E-2</v>
      </c>
      <c r="S12" s="88"/>
      <c r="T12" s="42"/>
      <c r="U12" s="42"/>
      <c r="V12" s="42"/>
      <c r="W12" s="288"/>
      <c r="X12" s="288"/>
      <c r="Y12" s="288"/>
      <c r="Z12" s="288"/>
      <c r="AA12" s="42"/>
    </row>
    <row r="13" spans="2:44">
      <c r="B13" s="5" t="s">
        <v>529</v>
      </c>
      <c r="C13" s="257"/>
      <c r="D13" s="533">
        <v>0</v>
      </c>
      <c r="E13" s="533">
        <v>0</v>
      </c>
      <c r="F13" s="533">
        <v>0</v>
      </c>
      <c r="G13" s="533">
        <v>0</v>
      </c>
      <c r="H13" s="247"/>
      <c r="I13" s="247"/>
      <c r="J13" s="5" t="s">
        <v>530</v>
      </c>
      <c r="L13" s="529">
        <f>'EM TOWERS'!D41</f>
        <v>1.1753130739039299</v>
      </c>
      <c r="M13" s="529">
        <f>'EM TOWERS'!E41</f>
        <v>1.1757567202913304</v>
      </c>
      <c r="N13" s="529">
        <f>'EM TOWERS'!F41</f>
        <v>1.1263024096489058</v>
      </c>
      <c r="O13" s="529">
        <f>'EM TOWERS'!G41</f>
        <v>1.0471547147878779</v>
      </c>
      <c r="P13" s="279">
        <f>'EM TOWERS'!H41</f>
        <v>-5.0806835295409858E-2</v>
      </c>
      <c r="S13" s="88"/>
      <c r="T13" s="42"/>
      <c r="U13" s="42"/>
      <c r="V13" s="42"/>
      <c r="W13" s="42"/>
      <c r="X13" s="42"/>
      <c r="Y13" s="42"/>
      <c r="Z13" s="42"/>
      <c r="AA13" s="42"/>
    </row>
    <row r="14" spans="2:44">
      <c r="B14" s="5" t="s">
        <v>532</v>
      </c>
      <c r="C14" s="257"/>
      <c r="D14" s="533">
        <v>0</v>
      </c>
      <c r="E14" s="533">
        <v>0</v>
      </c>
      <c r="F14" s="533">
        <v>0</v>
      </c>
      <c r="G14" s="533">
        <v>0</v>
      </c>
      <c r="H14" s="247"/>
      <c r="I14" s="247"/>
      <c r="J14" s="5" t="s">
        <v>593</v>
      </c>
      <c r="L14" s="529">
        <f>'EM TOWERS'!D42</f>
        <v>1.6549220743785771</v>
      </c>
      <c r="M14" s="529">
        <f>'EM TOWERS'!E42</f>
        <v>1.784519754580798</v>
      </c>
      <c r="N14" s="529">
        <f>'EM TOWERS'!F42</f>
        <v>1.8716160063762746</v>
      </c>
      <c r="O14" s="529">
        <f>'EM TOWERS'!G42</f>
        <v>1.9406589591487502</v>
      </c>
      <c r="P14" s="279">
        <f>'EM TOWERS'!H42</f>
        <v>-0.13386988386454612</v>
      </c>
      <c r="S14" s="88"/>
      <c r="T14" s="42"/>
      <c r="U14" s="42"/>
      <c r="V14" s="42"/>
      <c r="W14" s="42"/>
      <c r="X14" s="42"/>
      <c r="Y14" s="42"/>
      <c r="Z14" s="42"/>
      <c r="AA14" s="42"/>
    </row>
    <row r="15" spans="2:44">
      <c r="B15" s="5" t="s">
        <v>531</v>
      </c>
      <c r="C15" s="274"/>
      <c r="D15" s="533">
        <v>0</v>
      </c>
      <c r="E15" s="533">
        <v>0</v>
      </c>
      <c r="F15" s="533">
        <v>0</v>
      </c>
      <c r="G15" s="533">
        <v>0</v>
      </c>
      <c r="H15" s="247"/>
      <c r="I15" s="247"/>
      <c r="J15" s="5" t="s">
        <v>475</v>
      </c>
      <c r="L15" s="529">
        <f>'EM TOWERS'!D43</f>
        <v>5.976608052052339</v>
      </c>
      <c r="M15" s="529">
        <f>'EM TOWERS'!E43</f>
        <v>5.4088146449510912</v>
      </c>
      <c r="N15" s="529">
        <f>'EM TOWERS'!F43</f>
        <v>5.0599476755573729</v>
      </c>
      <c r="O15" s="529">
        <f>'EM TOWERS'!G43</f>
        <v>4.7743105797072269</v>
      </c>
      <c r="P15" s="279">
        <f>'EM TOWERS'!H43</f>
        <v>7.5289713595871444E-2</v>
      </c>
      <c r="S15" s="88"/>
      <c r="T15" s="42"/>
      <c r="U15" s="42"/>
      <c r="V15" s="42"/>
      <c r="W15" s="42"/>
      <c r="X15" s="42"/>
      <c r="Y15" s="42"/>
      <c r="Z15" s="42"/>
      <c r="AA15" s="42"/>
    </row>
    <row r="16" spans="2:44">
      <c r="B16" s="5" t="s">
        <v>534</v>
      </c>
      <c r="C16" s="257"/>
      <c r="D16" s="533">
        <v>0</v>
      </c>
      <c r="E16" s="533">
        <v>1182.1379378712061</v>
      </c>
      <c r="F16" s="533">
        <v>2527.692789286275</v>
      </c>
      <c r="G16" s="533">
        <v>4045.4835920026144</v>
      </c>
      <c r="H16" s="247"/>
      <c r="I16" s="247"/>
      <c r="J16" s="5" t="s">
        <v>533</v>
      </c>
      <c r="L16" s="529">
        <f>'EM TOWERS'!D44</f>
        <v>14.893977546972051</v>
      </c>
      <c r="M16" s="529">
        <f>'EM TOWERS'!E44</f>
        <v>11.840472853769791</v>
      </c>
      <c r="N16" s="529">
        <f>'EM TOWERS'!F44</f>
        <v>9.5746290752304422</v>
      </c>
      <c r="O16" s="529">
        <f>'EM TOWERS'!G44</f>
        <v>8.1150344654722684</v>
      </c>
      <c r="P16" s="279">
        <f>'EM TOWERS'!H44</f>
        <v>0.22156776501415409</v>
      </c>
      <c r="S16" s="88"/>
      <c r="T16" s="42"/>
      <c r="U16" s="42"/>
      <c r="V16" s="42"/>
      <c r="W16" s="42"/>
      <c r="X16" s="42"/>
      <c r="Y16" s="42"/>
      <c r="Z16" s="42"/>
      <c r="AA16" s="42"/>
    </row>
    <row r="17" spans="2:27">
      <c r="B17" s="5" t="s">
        <v>6</v>
      </c>
      <c r="C17" s="257"/>
      <c r="D17" s="533">
        <v>0</v>
      </c>
      <c r="E17" s="533">
        <v>0</v>
      </c>
      <c r="F17" s="533">
        <v>0</v>
      </c>
      <c r="G17" s="533">
        <v>0</v>
      </c>
      <c r="H17" s="247"/>
      <c r="I17" s="247"/>
      <c r="J17" s="5" t="s">
        <v>580</v>
      </c>
      <c r="L17" s="529">
        <f>'EM TOWERS'!D45</f>
        <v>3.4154898105313747E-2</v>
      </c>
      <c r="M17" s="529">
        <f>'EM TOWERS'!E45</f>
        <v>4.4073955051740152E-2</v>
      </c>
      <c r="N17" s="529">
        <f>'EM TOWERS'!F45</f>
        <v>5.4312748525084206E-2</v>
      </c>
      <c r="O17" s="529">
        <f>'EM TOWERS'!G45</f>
        <v>6.3843538763397198E-2</v>
      </c>
      <c r="P17" s="279">
        <f>'EM TOWERS'!H45</f>
        <v>0.22903836843887304</v>
      </c>
      <c r="S17" s="88"/>
      <c r="T17" s="42"/>
      <c r="U17" s="42"/>
      <c r="V17" s="42"/>
      <c r="W17" s="42"/>
      <c r="X17" s="42"/>
      <c r="Y17" s="42"/>
      <c r="Z17" s="42"/>
      <c r="AA17" s="42"/>
    </row>
    <row r="18" spans="2:27" ht="12.6" thickBot="1">
      <c r="B18" s="41" t="s">
        <v>583</v>
      </c>
      <c r="C18" s="249"/>
      <c r="D18" s="534">
        <f>D11+D12+D13-D14+D15-D16-D17</f>
        <v>64680.772395566906</v>
      </c>
      <c r="E18" s="534">
        <f>E11+E12+E13-E14+E15-E16-E17</f>
        <v>61771.74381569153</v>
      </c>
      <c r="F18" s="534">
        <f>F11+F12+F13-F14+F15-F16-F17</f>
        <v>58551.919499209544</v>
      </c>
      <c r="G18" s="534">
        <f>G11+G12+G13-G14+G15-G16-G17</f>
        <v>55005.735821627088</v>
      </c>
      <c r="H18" s="276">
        <f>IF(D18=0,"nm",IF(G18=0,"nm",(G18/D18)^(1/3)-1))</f>
        <v>-5.2576265279501211E-2</v>
      </c>
      <c r="I18" s="254"/>
      <c r="J18" s="5" t="s">
        <v>36</v>
      </c>
      <c r="L18" s="529">
        <f>'EM TOWERS'!D46</f>
        <v>2.9269707798486252E-2</v>
      </c>
      <c r="M18" s="529">
        <f>'EM TOWERS'!E46</f>
        <v>3.8525771742588415E-2</v>
      </c>
      <c r="N18" s="529">
        <f>'EM TOWERS'!F46</f>
        <v>4.8168804565408389E-2</v>
      </c>
      <c r="O18" s="529">
        <f>'EM TOWERS'!G46</f>
        <v>5.7376762666392481E-2</v>
      </c>
      <c r="P18" s="279">
        <f>'EM TOWERS'!H46</f>
        <v>0.24867669579952301</v>
      </c>
      <c r="S18" s="88"/>
      <c r="T18" s="42"/>
      <c r="U18" s="42"/>
      <c r="V18" s="42"/>
      <c r="W18" s="42"/>
      <c r="X18" s="42"/>
      <c r="Y18" s="42"/>
      <c r="Z18" s="42"/>
      <c r="AA18" s="42"/>
    </row>
    <row r="19" spans="2:27" ht="12.6" thickTop="1">
      <c r="B19" s="41"/>
      <c r="C19" s="249"/>
      <c r="D19" s="229"/>
      <c r="E19" s="229"/>
      <c r="F19" s="229"/>
      <c r="G19" s="229"/>
      <c r="H19" s="276"/>
      <c r="I19" s="254"/>
      <c r="J19" s="5" t="s">
        <v>581</v>
      </c>
      <c r="L19" s="529">
        <f>'EM TOWERS'!D47</f>
        <v>0.1673189861691875</v>
      </c>
      <c r="M19" s="529">
        <f>'EM TOWERS'!E47</f>
        <v>0.18488339232209766</v>
      </c>
      <c r="N19" s="529">
        <f>'EM TOWERS'!F47</f>
        <v>0.19763050215531056</v>
      </c>
      <c r="O19" s="529">
        <f>'EM TOWERS'!G47</f>
        <v>0.20945432503918138</v>
      </c>
      <c r="P19" s="279">
        <f>'EM TOWERS'!H47</f>
        <v>7.5289713595871444E-2</v>
      </c>
      <c r="S19" s="88"/>
      <c r="T19" s="42"/>
      <c r="U19" s="42"/>
      <c r="V19" s="42"/>
      <c r="W19" s="42"/>
      <c r="X19" s="42"/>
      <c r="Y19" s="42"/>
      <c r="Z19" s="42"/>
      <c r="AA19" s="42"/>
    </row>
    <row r="20" spans="2:27">
      <c r="H20" s="277"/>
      <c r="I20" s="17"/>
      <c r="J20" s="5" t="s">
        <v>604</v>
      </c>
      <c r="L20" s="529">
        <f>'EM TOWERS'!D48</f>
        <v>0.20413043903324535</v>
      </c>
      <c r="M20" s="529">
        <f>'EM TOWERS'!E48</f>
        <v>0.2383878535447683</v>
      </c>
      <c r="N20" s="529">
        <f>'EM TOWERS'!F48</f>
        <v>0.27481966565263194</v>
      </c>
      <c r="O20" s="529">
        <f>'EM TOWERS'!G48</f>
        <v>0.30480888256403571</v>
      </c>
      <c r="P20" s="279" t="str">
        <f>'EM TOWERS'!H48</f>
        <v>nm</v>
      </c>
      <c r="S20" s="88"/>
      <c r="T20" s="42"/>
      <c r="U20" s="42"/>
      <c r="V20" s="42"/>
      <c r="W20" s="42"/>
      <c r="X20" s="42"/>
      <c r="Y20" s="42"/>
      <c r="Z20" s="42"/>
      <c r="AA20" s="42"/>
    </row>
    <row r="21" spans="2:27" ht="12.6" thickBot="1">
      <c r="B21" s="306" t="s">
        <v>952</v>
      </c>
      <c r="C21" s="265"/>
      <c r="D21" s="265" t="str">
        <f>D5</f>
        <v>2023E</v>
      </c>
      <c r="E21" s="265" t="str">
        <f t="shared" ref="E21:H21" si="2">E5</f>
        <v>2024E</v>
      </c>
      <c r="F21" s="265" t="str">
        <f t="shared" si="2"/>
        <v>2025E</v>
      </c>
      <c r="G21" s="265" t="str">
        <f t="shared" si="2"/>
        <v>2026E</v>
      </c>
      <c r="H21" s="265" t="str">
        <f t="shared" si="2"/>
        <v>23E-26E</v>
      </c>
      <c r="I21" s="49"/>
      <c r="J21" s="41"/>
      <c r="L21" s="251"/>
      <c r="M21" s="251"/>
      <c r="N21" s="251"/>
      <c r="O21" s="251"/>
      <c r="P21" s="18"/>
      <c r="S21" s="88"/>
      <c r="T21" s="42"/>
      <c r="U21" s="42"/>
      <c r="V21" s="42"/>
      <c r="W21" s="42"/>
      <c r="X21" s="42"/>
      <c r="Y21" s="42"/>
      <c r="Z21" s="42"/>
      <c r="AA21" s="42"/>
    </row>
    <row r="22" spans="2:27" ht="12.6" thickTop="1">
      <c r="B22" s="5"/>
      <c r="C22" s="257"/>
      <c r="D22" s="17"/>
      <c r="E22" s="17"/>
      <c r="F22" s="17"/>
      <c r="G22" s="17"/>
      <c r="H22" s="17"/>
      <c r="I22" s="17"/>
      <c r="P22" s="277"/>
      <c r="S22" s="88"/>
      <c r="T22" s="42"/>
      <c r="U22" s="42"/>
      <c r="V22" s="42"/>
      <c r="W22" s="42"/>
      <c r="X22" s="42"/>
      <c r="Y22" s="42"/>
      <c r="Z22" s="42"/>
      <c r="AA22" s="42"/>
    </row>
    <row r="23" spans="2:27" ht="12.6" thickBot="1">
      <c r="B23" s="5" t="s">
        <v>584</v>
      </c>
      <c r="C23" s="548">
        <v>6524.3689999999997</v>
      </c>
      <c r="D23" s="540">
        <v>6648.0148180456563</v>
      </c>
      <c r="E23" s="540">
        <v>7017.0722148678051</v>
      </c>
      <c r="F23" s="540">
        <v>7419.5710675624869</v>
      </c>
      <c r="G23" s="540">
        <v>7839.9853891023586</v>
      </c>
      <c r="H23" s="279">
        <f>IF(D23=0,"nm",IF(G23=0,"nm",(G23/D23)^(1/3)-1))</f>
        <v>5.6511977258051349E-2</v>
      </c>
      <c r="I23" s="247"/>
      <c r="J23" s="306" t="s">
        <v>9</v>
      </c>
      <c r="K23" s="306"/>
      <c r="L23" s="265" t="str">
        <f>D21</f>
        <v>2023E</v>
      </c>
      <c r="M23" s="265" t="str">
        <f t="shared" ref="M23:P23" si="3">E21</f>
        <v>2024E</v>
      </c>
      <c r="N23" s="265" t="str">
        <f t="shared" si="3"/>
        <v>2025E</v>
      </c>
      <c r="O23" s="265" t="str">
        <f t="shared" si="3"/>
        <v>2026E</v>
      </c>
      <c r="P23" s="265" t="str">
        <f t="shared" si="3"/>
        <v>23E-26E</v>
      </c>
      <c r="S23" s="88"/>
      <c r="T23" s="42"/>
      <c r="U23" s="42"/>
      <c r="V23" s="42"/>
      <c r="W23" s="42"/>
      <c r="X23" s="42"/>
      <c r="Y23" s="42"/>
      <c r="Z23" s="42"/>
      <c r="AA23" s="42"/>
    </row>
    <row r="24" spans="2:27" ht="12.6" thickTop="1">
      <c r="B24" s="5" t="s">
        <v>483</v>
      </c>
      <c r="C24" s="549">
        <v>5661.915</v>
      </c>
      <c r="D24" s="540">
        <v>5809.2339363343626</v>
      </c>
      <c r="E24" s="540">
        <v>6150.71548460546</v>
      </c>
      <c r="F24" s="540">
        <v>6523.3967233710973</v>
      </c>
      <c r="G24" s="540">
        <v>6913.8240112580343</v>
      </c>
      <c r="H24" s="279">
        <f>IF(D24=0,"nm",IF(G24=0,"nm",(G24/D24)^(1/3)-1))</f>
        <v>5.9741198422235575E-2</v>
      </c>
      <c r="I24" s="249"/>
      <c r="J24" s="17"/>
      <c r="K24" s="17"/>
      <c r="L24" s="17"/>
      <c r="M24" s="17"/>
      <c r="N24" s="17"/>
      <c r="O24" s="248"/>
      <c r="S24" s="88"/>
      <c r="T24" s="42"/>
      <c r="U24" s="42"/>
      <c r="V24" s="42"/>
      <c r="W24" s="42" t="s">
        <v>781</v>
      </c>
      <c r="X24" s="42" t="s">
        <v>780</v>
      </c>
      <c r="Y24" s="42"/>
      <c r="Z24" s="42"/>
      <c r="AA24" s="42"/>
    </row>
    <row r="25" spans="2:27">
      <c r="B25" s="5" t="s">
        <v>183</v>
      </c>
      <c r="C25" s="548">
        <v>1758.8329999999996</v>
      </c>
      <c r="D25" s="540">
        <v>4612.5912690861442</v>
      </c>
      <c r="E25" s="540">
        <v>4887.6424859292547</v>
      </c>
      <c r="F25" s="540">
        <v>5187.8739312098496</v>
      </c>
      <c r="G25" s="540">
        <v>5502.6266412196101</v>
      </c>
      <c r="H25" s="279">
        <f>IF(D25=0,"nm",IF(G25=0,"nm",(G25/D25)^(1/3)-1))</f>
        <v>6.0575746370161054E-2</v>
      </c>
      <c r="I25" s="248"/>
      <c r="J25" s="247" t="s">
        <v>10</v>
      </c>
      <c r="K25" s="247"/>
      <c r="L25" s="321">
        <v>0</v>
      </c>
      <c r="M25" s="321">
        <v>0</v>
      </c>
      <c r="N25" s="321">
        <v>0</v>
      </c>
      <c r="O25" s="321">
        <v>0</v>
      </c>
      <c r="P25" s="279" t="str">
        <f>IF(L25=0,"nm",IF(O25=0,"nm",(O25/L25)^(1/3)-1))</f>
        <v>nm</v>
      </c>
      <c r="S25" s="88"/>
      <c r="T25" s="42"/>
      <c r="U25" s="42"/>
      <c r="V25" s="147" t="s">
        <v>273</v>
      </c>
      <c r="W25" s="288">
        <f t="shared" ref="W25:W30" si="4">E37/M9</f>
        <v>3.5691720356177274</v>
      </c>
      <c r="X25" s="288">
        <v>1</v>
      </c>
      <c r="Y25" s="42"/>
      <c r="Z25" s="42"/>
      <c r="AA25" s="42"/>
    </row>
    <row r="26" spans="2:27">
      <c r="B26" s="5" t="s">
        <v>586</v>
      </c>
      <c r="C26" s="548">
        <v>1407.0663999999997</v>
      </c>
      <c r="D26" s="540">
        <v>3690.0730152689157</v>
      </c>
      <c r="E26" s="540">
        <v>3910.1139887434038</v>
      </c>
      <c r="F26" s="540">
        <v>4150.2991449678802</v>
      </c>
      <c r="G26" s="540">
        <v>4402.1013129756884</v>
      </c>
      <c r="H26" s="279">
        <f>IF(D26=0,"nm",IF(G26=0,"nm",(G26/D26)^(1/3)-1))</f>
        <v>6.0575746370161054E-2</v>
      </c>
      <c r="I26" s="249"/>
      <c r="J26" s="249" t="s">
        <v>11</v>
      </c>
      <c r="K26" s="249"/>
      <c r="L26" s="281">
        <f>D11+L25</f>
        <v>41251.810198550003</v>
      </c>
      <c r="M26" s="281">
        <f>E11+M25</f>
        <v>41251.810198550003</v>
      </c>
      <c r="N26" s="281">
        <f>F11+N25</f>
        <v>41251.810198550003</v>
      </c>
      <c r="O26" s="281">
        <f>G11+O25</f>
        <v>41251.810198550003</v>
      </c>
      <c r="P26" s="279">
        <f>IF(L26=0,"nm",IF(O26=0,"nm",(O26/L26)^(1/3)-1))</f>
        <v>0</v>
      </c>
      <c r="Q26" s="5"/>
      <c r="S26" s="88"/>
      <c r="T26" s="42"/>
      <c r="U26" s="42"/>
      <c r="V26" s="147" t="s">
        <v>184</v>
      </c>
      <c r="W26" s="288">
        <f t="shared" si="4"/>
        <v>2.6542326545094248</v>
      </c>
      <c r="X26" s="288">
        <v>1</v>
      </c>
      <c r="Y26" s="42"/>
      <c r="Z26" s="42"/>
      <c r="AA26" s="42"/>
    </row>
    <row r="27" spans="2:27">
      <c r="B27" s="5" t="s">
        <v>587</v>
      </c>
      <c r="C27" s="549">
        <v>38218.331000000006</v>
      </c>
      <c r="D27" s="540">
        <v>36138.766580572366</v>
      </c>
      <c r="E27" s="540">
        <v>35796.249371262005</v>
      </c>
      <c r="F27" s="540">
        <v>35483.388328561414</v>
      </c>
      <c r="G27" s="540">
        <v>35202.992823304674</v>
      </c>
      <c r="H27" s="279">
        <f>IF(ISERROR((G27/D27)^(1/3)-1),"na",(G27/D27)^(1/3)-1)</f>
        <v>-8.7068913104391132E-3</v>
      </c>
      <c r="I27" s="249"/>
      <c r="J27" s="248"/>
      <c r="K27" s="248"/>
      <c r="L27" s="248"/>
      <c r="M27" s="248"/>
      <c r="N27" s="248"/>
      <c r="O27" s="248"/>
      <c r="Q27" s="41"/>
      <c r="S27" s="88"/>
      <c r="T27" s="42"/>
      <c r="U27" s="42"/>
      <c r="V27" s="147" t="s">
        <v>185</v>
      </c>
      <c r="W27" s="288">
        <f t="shared" si="4"/>
        <v>2.3144972826225114</v>
      </c>
      <c r="X27" s="288">
        <v>1</v>
      </c>
      <c r="Y27" s="42"/>
      <c r="Z27" s="42"/>
      <c r="AA27" s="42"/>
    </row>
    <row r="28" spans="2:27">
      <c r="B28" s="5" t="s">
        <v>592</v>
      </c>
      <c r="C28" s="548">
        <v>34893.117000000006</v>
      </c>
      <c r="D28" s="540">
        <v>34710.973472075813</v>
      </c>
      <c r="E28" s="540">
        <v>34554.122469854679</v>
      </c>
      <c r="F28" s="540">
        <v>34426.223793258287</v>
      </c>
      <c r="G28" s="540">
        <v>34328.03753454594</v>
      </c>
      <c r="H28" s="279">
        <f>IF(ISERROR((G28/D28)^(1/3)-1),"na",(G28/D28)^(1/3)-1)</f>
        <v>-3.6909829316618126E-3</v>
      </c>
      <c r="I28" s="248"/>
      <c r="Q28" s="5"/>
      <c r="S28" s="88"/>
      <c r="T28" s="42"/>
      <c r="U28" s="42"/>
      <c r="V28" s="147" t="s">
        <v>466</v>
      </c>
      <c r="W28" s="288">
        <f t="shared" si="4"/>
        <v>2.5910655373811804</v>
      </c>
      <c r="X28" s="288">
        <v>1</v>
      </c>
      <c r="Y28" s="42"/>
      <c r="Z28" s="42"/>
      <c r="AA28" s="42"/>
    </row>
    <row r="29" spans="2:27" ht="12.6" thickBot="1">
      <c r="B29" s="5" t="s">
        <v>588</v>
      </c>
      <c r="C29" s="548">
        <v>-148.77899999999963</v>
      </c>
      <c r="D29" s="540">
        <v>2573.4828039923973</v>
      </c>
      <c r="E29" s="540">
        <v>2905.6903727861422</v>
      </c>
      <c r="F29" s="540">
        <v>3216.189950377785</v>
      </c>
      <c r="G29" s="540">
        <v>3544.3024310380524</v>
      </c>
      <c r="H29" s="279">
        <f>IF(D29=0,"nm",IF(G29=0,"nm",(G29/D29)^(1/3)-1))</f>
        <v>0.11259345461633363</v>
      </c>
      <c r="I29" s="252"/>
      <c r="J29" s="306" t="s">
        <v>1363</v>
      </c>
      <c r="K29" s="306"/>
      <c r="L29" s="265" t="str">
        <f>L$5</f>
        <v>2023E</v>
      </c>
      <c r="M29" s="265" t="str">
        <f t="shared" ref="M29:P29" si="5">M$5</f>
        <v>2024E</v>
      </c>
      <c r="N29" s="265" t="str">
        <f t="shared" si="5"/>
        <v>2025E</v>
      </c>
      <c r="O29" s="265" t="str">
        <f t="shared" si="5"/>
        <v>2026E</v>
      </c>
      <c r="P29" s="265" t="str">
        <f t="shared" si="5"/>
        <v>23E-26E</v>
      </c>
      <c r="Q29" s="5"/>
      <c r="S29" s="88"/>
      <c r="T29" s="42"/>
      <c r="U29" s="42"/>
      <c r="V29" s="147" t="s">
        <v>530</v>
      </c>
      <c r="W29" s="288">
        <f t="shared" si="4"/>
        <v>1.4676917972432961</v>
      </c>
      <c r="X29" s="288">
        <v>1</v>
      </c>
      <c r="Y29" s="42"/>
      <c r="Z29" s="42"/>
      <c r="AA29" s="42"/>
    </row>
    <row r="30" spans="2:27" ht="12.6" thickTop="1">
      <c r="B30" s="5" t="s">
        <v>589</v>
      </c>
      <c r="C30" s="549">
        <v>2362.6290000000004</v>
      </c>
      <c r="D30" s="540">
        <v>2339.4772760682031</v>
      </c>
      <c r="E30" s="540">
        <v>2696.9773705650127</v>
      </c>
      <c r="F30" s="540">
        <v>3036.4292737813939</v>
      </c>
      <c r="G30" s="540">
        <v>3394.2541723257054</v>
      </c>
      <c r="H30" s="279">
        <f>IF(D30=0,"nm",IF(G30=0,"nm",(G30/D30)^(1/3)-1))</f>
        <v>0.13207493909502932</v>
      </c>
      <c r="I30" s="254"/>
      <c r="J30" s="248"/>
      <c r="K30" s="248"/>
      <c r="L30" s="248"/>
      <c r="M30" s="248"/>
      <c r="N30" s="248"/>
      <c r="O30" s="5"/>
      <c r="Q30" s="5"/>
      <c r="S30" s="88"/>
      <c r="T30" s="42"/>
      <c r="U30" s="42"/>
      <c r="V30" s="147" t="s">
        <v>593</v>
      </c>
      <c r="W30" s="288">
        <f t="shared" si="4"/>
        <v>1.0017714111650802</v>
      </c>
      <c r="X30" s="288">
        <v>1</v>
      </c>
      <c r="Y30" s="42"/>
      <c r="Z30" s="42"/>
      <c r="AA30" s="42"/>
    </row>
    <row r="31" spans="2:27">
      <c r="B31" s="5" t="s">
        <v>590</v>
      </c>
      <c r="C31" s="549">
        <v>787.33377824662477</v>
      </c>
      <c r="D31" s="540">
        <v>1010.5378925127376</v>
      </c>
      <c r="E31" s="540">
        <v>1182.1379378712061</v>
      </c>
      <c r="F31" s="540">
        <v>1345.5548514150689</v>
      </c>
      <c r="G31" s="540">
        <v>1517.7908027163394</v>
      </c>
      <c r="H31" s="279">
        <f>IF(D31=0,"nm",IF(G31=0,"nm",(G31/D31)^(1/3)-1))</f>
        <v>0.14521344461040142</v>
      </c>
      <c r="I31" s="254"/>
      <c r="J31" s="5" t="s">
        <v>737</v>
      </c>
      <c r="K31" s="247"/>
      <c r="L31" s="322">
        <v>22470</v>
      </c>
      <c r="M31" s="322">
        <v>23070</v>
      </c>
      <c r="N31" s="322">
        <v>23670</v>
      </c>
      <c r="O31" s="322">
        <v>24270</v>
      </c>
      <c r="Q31" s="5"/>
      <c r="S31" s="88"/>
      <c r="T31" s="42"/>
      <c r="U31" s="42"/>
      <c r="V31" s="147" t="s">
        <v>144</v>
      </c>
      <c r="W31" s="288">
        <f>F43/N15</f>
        <v>2.5348676819904132</v>
      </c>
      <c r="X31" s="288">
        <v>1</v>
      </c>
      <c r="Y31" s="42"/>
      <c r="Z31" s="42"/>
      <c r="AA31" s="42"/>
    </row>
    <row r="32" spans="2:27">
      <c r="B32" s="5" t="s">
        <v>606</v>
      </c>
      <c r="C32" s="550">
        <v>0</v>
      </c>
      <c r="D32" s="540">
        <v>0</v>
      </c>
      <c r="E32" s="540">
        <v>0</v>
      </c>
      <c r="F32" s="540">
        <v>0</v>
      </c>
      <c r="G32" s="540">
        <v>0</v>
      </c>
      <c r="H32" s="279" t="str">
        <f>IF(D32=0,"nm",IF(G32=0,"nm",(G32/D32)^(1/3)-1))</f>
        <v>nm</v>
      </c>
      <c r="I32" s="254"/>
      <c r="J32" s="5" t="s">
        <v>1361</v>
      </c>
      <c r="K32" s="254"/>
      <c r="L32" s="322">
        <v>42215.674320987651</v>
      </c>
      <c r="M32" s="322">
        <v>43776.35792839506</v>
      </c>
      <c r="N32" s="322">
        <v>45364.033640518515</v>
      </c>
      <c r="O32" s="322">
        <v>46979.085231091602</v>
      </c>
      <c r="Q32" s="5"/>
      <c r="S32" s="88"/>
      <c r="T32" s="42"/>
      <c r="U32" s="42"/>
      <c r="V32" s="147" t="s">
        <v>533</v>
      </c>
      <c r="W32" s="288">
        <f>E44/M16</f>
        <v>1.2918041100533784</v>
      </c>
      <c r="X32" s="288">
        <v>1</v>
      </c>
      <c r="Y32" s="42"/>
      <c r="Z32" s="42"/>
      <c r="AA32" s="42"/>
    </row>
    <row r="33" spans="2:27">
      <c r="B33" s="5" t="s">
        <v>5</v>
      </c>
      <c r="C33" s="549">
        <v>-1685.2869999999998</v>
      </c>
      <c r="D33" s="540">
        <v>-1588.0636950895594</v>
      </c>
      <c r="E33" s="540">
        <v>-1444.982777509385</v>
      </c>
      <c r="F33" s="540">
        <v>-1343.2832756373041</v>
      </c>
      <c r="G33" s="540">
        <v>-1233.0294203515666</v>
      </c>
      <c r="H33" s="279">
        <f>IF(ISERROR((G33/D33)^(1/3)-1),"na",(G33/D33)^(1/3)-1)</f>
        <v>-8.0887849950379342E-2</v>
      </c>
      <c r="I33" s="5"/>
      <c r="Q33" s="5"/>
      <c r="S33" s="88"/>
      <c r="T33" s="42"/>
      <c r="U33" s="42"/>
      <c r="V33" s="147" t="s">
        <v>580</v>
      </c>
      <c r="W33" s="42">
        <f>E45/M17</f>
        <v>0.6501942431327784</v>
      </c>
      <c r="X33" s="288">
        <v>1</v>
      </c>
      <c r="Y33" s="42"/>
      <c r="Z33" s="42"/>
      <c r="AA33" s="42"/>
    </row>
    <row r="34" spans="2:27">
      <c r="D34" s="5"/>
      <c r="E34" s="5"/>
      <c r="F34" s="5"/>
      <c r="G34" s="5"/>
      <c r="I34" s="49"/>
      <c r="Q34" s="5"/>
      <c r="S34" s="88"/>
      <c r="T34" s="42"/>
      <c r="U34" s="42"/>
      <c r="V34" s="147" t="s">
        <v>145</v>
      </c>
      <c r="W34" s="288">
        <f>E47/M19</f>
        <v>0.38098547836748042</v>
      </c>
      <c r="X34" s="288">
        <v>1</v>
      </c>
      <c r="Y34" s="288"/>
      <c r="Z34" s="288"/>
      <c r="AA34" s="42"/>
    </row>
    <row r="35" spans="2:27" ht="12.6" thickBot="1">
      <c r="B35" s="306" t="s">
        <v>782</v>
      </c>
      <c r="C35" s="265"/>
      <c r="D35" s="265" t="str">
        <f>D5</f>
        <v>2023E</v>
      </c>
      <c r="E35" s="265" t="str">
        <f t="shared" ref="E35:H35" si="6">E5</f>
        <v>2024E</v>
      </c>
      <c r="F35" s="265" t="str">
        <f t="shared" si="6"/>
        <v>2025E</v>
      </c>
      <c r="G35" s="265" t="str">
        <f t="shared" si="6"/>
        <v>2026E</v>
      </c>
      <c r="H35" s="265" t="str">
        <f t="shared" si="6"/>
        <v>23E-26E</v>
      </c>
      <c r="I35" s="254"/>
      <c r="J35" s="306" t="s">
        <v>1362</v>
      </c>
      <c r="K35" s="306"/>
      <c r="L35" s="306"/>
      <c r="M35" s="306"/>
      <c r="N35" s="266"/>
      <c r="O35" s="266"/>
      <c r="P35" s="266"/>
      <c r="Q35" s="5"/>
      <c r="S35" s="88"/>
      <c r="T35" s="42"/>
      <c r="U35" s="42"/>
      <c r="V35" s="42"/>
      <c r="W35" s="42"/>
      <c r="X35" s="42"/>
      <c r="Y35" s="288"/>
      <c r="Z35" s="288"/>
      <c r="AA35" s="42"/>
    </row>
    <row r="36" spans="2:27" ht="12.6" thickTop="1">
      <c r="B36" s="41"/>
      <c r="C36" s="249"/>
      <c r="D36" s="254"/>
      <c r="E36" s="254"/>
      <c r="F36" s="254"/>
      <c r="G36" s="254"/>
      <c r="H36" s="254"/>
      <c r="I36" s="17"/>
      <c r="J36" s="249"/>
      <c r="K36" s="249"/>
      <c r="L36" s="249"/>
      <c r="M36" s="249"/>
      <c r="N36" s="249"/>
      <c r="O36" s="251"/>
      <c r="Q36" s="5"/>
      <c r="S36" s="88"/>
      <c r="T36" s="42"/>
      <c r="U36" s="42"/>
      <c r="V36" s="42"/>
      <c r="W36" s="42"/>
      <c r="X36" s="42"/>
      <c r="Y36" s="288"/>
      <c r="Z36" s="288"/>
      <c r="AA36" s="42"/>
    </row>
    <row r="37" spans="2:27">
      <c r="B37" s="5" t="s">
        <v>273</v>
      </c>
      <c r="C37" s="247"/>
      <c r="D37" s="529">
        <f>D$18/D23</f>
        <v>9.729336375724472</v>
      </c>
      <c r="E37" s="529">
        <f t="shared" ref="E37:G41" si="7">E$18/E23</f>
        <v>8.8030651422981325</v>
      </c>
      <c r="F37" s="529">
        <f t="shared" si="7"/>
        <v>7.8915504637716616</v>
      </c>
      <c r="G37" s="529">
        <f t="shared" si="7"/>
        <v>7.0160508077075621</v>
      </c>
      <c r="H37" s="17">
        <f t="shared" ref="H37:H45" si="8">H23</f>
        <v>5.6511977258051349E-2</v>
      </c>
      <c r="I37" s="5"/>
      <c r="J37" s="248"/>
      <c r="K37" s="248"/>
      <c r="L37" s="248"/>
      <c r="M37" s="248"/>
      <c r="N37" s="248"/>
      <c r="O37" s="5"/>
      <c r="Q37" s="5"/>
      <c r="R37" s="5"/>
      <c r="S37" s="42"/>
      <c r="T37" s="42"/>
      <c r="U37" s="42"/>
      <c r="V37" s="42"/>
      <c r="W37" s="42"/>
      <c r="X37" s="42"/>
      <c r="Y37" s="42"/>
      <c r="Z37" s="42"/>
      <c r="AA37" s="42"/>
    </row>
    <row r="38" spans="2:27">
      <c r="B38" s="5" t="s">
        <v>184</v>
      </c>
      <c r="C38" s="247"/>
      <c r="D38" s="529">
        <f>D$18/D24</f>
        <v>11.13413112717244</v>
      </c>
      <c r="E38" s="529">
        <f t="shared" si="7"/>
        <v>10.043017592066999</v>
      </c>
      <c r="F38" s="529">
        <f t="shared" si="7"/>
        <v>8.9756796929792824</v>
      </c>
      <c r="G38" s="529">
        <f t="shared" si="7"/>
        <v>7.9559062730059695</v>
      </c>
      <c r="H38" s="17">
        <f t="shared" si="8"/>
        <v>5.9741198422235575E-2</v>
      </c>
      <c r="I38" s="259"/>
      <c r="J38" s="252"/>
      <c r="K38" s="252"/>
      <c r="L38" s="252"/>
      <c r="M38" s="252"/>
      <c r="N38" s="252"/>
      <c r="O38" s="5"/>
      <c r="Q38" s="5"/>
      <c r="R38" s="5"/>
      <c r="S38" s="42"/>
      <c r="T38" s="42"/>
      <c r="U38" s="42"/>
      <c r="V38" s="42"/>
      <c r="W38" s="42"/>
      <c r="X38" s="42"/>
      <c r="Y38" s="42"/>
      <c r="Z38" s="42"/>
      <c r="AA38" s="42"/>
    </row>
    <row r="39" spans="2:27">
      <c r="B39" s="5" t="s">
        <v>185</v>
      </c>
      <c r="C39" s="247"/>
      <c r="D39" s="529">
        <f>D$18/D25</f>
        <v>14.022654213708728</v>
      </c>
      <c r="E39" s="529">
        <f t="shared" si="7"/>
        <v>12.638351514768635</v>
      </c>
      <c r="F39" s="529">
        <f t="shared" si="7"/>
        <v>11.286303459875096</v>
      </c>
      <c r="G39" s="529">
        <f t="shared" si="7"/>
        <v>9.9962689471941957</v>
      </c>
      <c r="H39" s="17">
        <f t="shared" si="8"/>
        <v>6.0575746370161054E-2</v>
      </c>
      <c r="I39" s="17"/>
      <c r="J39" s="259"/>
      <c r="K39" s="259"/>
      <c r="L39" s="259"/>
      <c r="M39" s="259"/>
      <c r="N39" s="259"/>
      <c r="O39" s="18"/>
      <c r="Q39" s="5"/>
      <c r="R39" s="5"/>
      <c r="S39" s="42"/>
      <c r="T39" s="42"/>
      <c r="U39" s="42"/>
      <c r="V39" s="42"/>
      <c r="W39" s="42"/>
      <c r="X39" s="42"/>
      <c r="Y39" s="42"/>
      <c r="Z39" s="42"/>
      <c r="AA39" s="42"/>
    </row>
    <row r="40" spans="2:27">
      <c r="B40" s="5" t="s">
        <v>466</v>
      </c>
      <c r="C40" s="247"/>
      <c r="D40" s="529">
        <f>D$18/D26</f>
        <v>17.528317767135906</v>
      </c>
      <c r="E40" s="529">
        <f t="shared" si="7"/>
        <v>15.797939393460792</v>
      </c>
      <c r="F40" s="529">
        <f t="shared" si="7"/>
        <v>14.107879324843868</v>
      </c>
      <c r="G40" s="529">
        <f t="shared" si="7"/>
        <v>12.495336183992745</v>
      </c>
      <c r="H40" s="17">
        <f t="shared" si="8"/>
        <v>6.0575746370161054E-2</v>
      </c>
      <c r="I40" s="5"/>
      <c r="J40" s="259"/>
      <c r="K40" s="259"/>
      <c r="L40" s="259"/>
      <c r="M40" s="259"/>
      <c r="N40" s="259"/>
      <c r="O40" s="18"/>
      <c r="Q40" s="5"/>
      <c r="R40" s="5"/>
      <c r="S40" s="42"/>
      <c r="T40" s="42"/>
      <c r="U40" s="42"/>
      <c r="V40" s="42"/>
      <c r="W40" s="288"/>
      <c r="X40" s="288"/>
      <c r="Y40" s="42"/>
      <c r="Z40" s="42"/>
      <c r="AA40" s="42"/>
    </row>
    <row r="41" spans="2:27">
      <c r="B41" s="5" t="s">
        <v>530</v>
      </c>
      <c r="C41" s="247"/>
      <c r="D41" s="529">
        <f>D$18/D27</f>
        <v>1.7897891520829676</v>
      </c>
      <c r="E41" s="529">
        <f t="shared" si="7"/>
        <v>1.7256484939252661</v>
      </c>
      <c r="F41" s="529">
        <f t="shared" si="7"/>
        <v>1.6501219939043907</v>
      </c>
      <c r="G41" s="529">
        <f t="shared" si="7"/>
        <v>1.5625300978731795</v>
      </c>
      <c r="H41" s="17">
        <f t="shared" si="8"/>
        <v>-8.7068913104391132E-3</v>
      </c>
      <c r="I41" s="247"/>
      <c r="J41" s="259"/>
      <c r="K41" s="259"/>
      <c r="L41" s="259"/>
      <c r="M41" s="259"/>
      <c r="N41" s="259"/>
      <c r="O41" s="18"/>
      <c r="Q41" s="5"/>
      <c r="R41" s="5"/>
      <c r="S41" s="42"/>
      <c r="T41" s="42"/>
      <c r="U41" s="42"/>
      <c r="V41" s="42"/>
      <c r="W41" s="288"/>
      <c r="X41" s="288"/>
      <c r="Y41" s="288"/>
      <c r="Z41" s="288"/>
      <c r="AA41" s="42"/>
    </row>
    <row r="42" spans="2:27">
      <c r="B42" s="5" t="s">
        <v>593</v>
      </c>
      <c r="C42" s="247"/>
      <c r="D42" s="529">
        <f>D18/D28</f>
        <v>1.8634099227323921</v>
      </c>
      <c r="E42" s="529">
        <f>E18/E28</f>
        <v>1.7876808727983686</v>
      </c>
      <c r="F42" s="529">
        <f>F18/F28</f>
        <v>1.7007941344608295</v>
      </c>
      <c r="G42" s="529">
        <f>G18/G28</f>
        <v>1.6023559682452628</v>
      </c>
      <c r="H42" s="17">
        <f t="shared" si="8"/>
        <v>-3.6909829316618126E-3</v>
      </c>
      <c r="I42" s="248"/>
      <c r="J42" s="5"/>
      <c r="K42" s="5"/>
      <c r="L42" s="5"/>
      <c r="M42" s="5"/>
      <c r="N42" s="5"/>
      <c r="O42" s="5"/>
      <c r="Q42" s="5"/>
      <c r="R42" s="5"/>
      <c r="S42" s="42"/>
      <c r="T42" s="42"/>
      <c r="U42" s="42"/>
      <c r="V42" s="42"/>
      <c r="W42" s="288"/>
      <c r="X42" s="288"/>
      <c r="Y42" s="288"/>
      <c r="Z42" s="288"/>
      <c r="AA42" s="42"/>
    </row>
    <row r="43" spans="2:27">
      <c r="B43" s="5" t="s">
        <v>475</v>
      </c>
      <c r="C43" s="247"/>
      <c r="D43" s="529">
        <f>L26/D29</f>
        <v>16.029565122624334</v>
      </c>
      <c r="E43" s="529">
        <f>M26/E29</f>
        <v>14.196905005744094</v>
      </c>
      <c r="F43" s="529">
        <f>N26/F29</f>
        <v>12.826297835332898</v>
      </c>
      <c r="G43" s="529">
        <f>O26/G29</f>
        <v>11.6389080788651</v>
      </c>
      <c r="H43" s="17">
        <f t="shared" si="8"/>
        <v>0.11259345461633363</v>
      </c>
      <c r="I43" s="247"/>
      <c r="J43" s="69"/>
      <c r="K43" s="69"/>
      <c r="L43" s="69"/>
      <c r="M43" s="69"/>
      <c r="N43" s="69"/>
      <c r="O43" s="69"/>
      <c r="Q43" s="5"/>
      <c r="R43" s="5"/>
      <c r="S43" s="42"/>
      <c r="T43" s="42"/>
      <c r="U43" s="42"/>
      <c r="V43" s="42"/>
      <c r="W43" s="288"/>
      <c r="X43" s="288"/>
      <c r="Y43" s="288"/>
      <c r="Z43" s="288"/>
      <c r="AA43" s="42"/>
    </row>
    <row r="44" spans="2:27">
      <c r="B44" s="5" t="s">
        <v>533</v>
      </c>
      <c r="C44" s="69"/>
      <c r="D44" s="529">
        <f>D11/D30</f>
        <v>17.632917669488567</v>
      </c>
      <c r="E44" s="529">
        <f>E11/E30</f>
        <v>15.295571497475269</v>
      </c>
      <c r="F44" s="529">
        <f>F11/F30</f>
        <v>13.585631832345424</v>
      </c>
      <c r="G44" s="529">
        <f>G11/G30</f>
        <v>12.153424023129276</v>
      </c>
      <c r="H44" s="17">
        <f t="shared" si="8"/>
        <v>0.13207493909502932</v>
      </c>
      <c r="I44" s="247"/>
      <c r="J44" s="259"/>
      <c r="K44" s="259"/>
      <c r="L44" s="259"/>
      <c r="M44" s="259"/>
      <c r="N44" s="259"/>
      <c r="O44" s="18"/>
      <c r="Q44" s="5"/>
      <c r="R44" s="5"/>
      <c r="S44" s="42"/>
      <c r="T44" s="42"/>
      <c r="U44" s="42"/>
      <c r="V44" s="42"/>
      <c r="W44" s="325"/>
      <c r="X44" s="325"/>
      <c r="Y44" s="288"/>
      <c r="Z44" s="288"/>
      <c r="AA44" s="42"/>
    </row>
    <row r="45" spans="2:27">
      <c r="B45" s="5" t="s">
        <v>580</v>
      </c>
      <c r="C45" s="247"/>
      <c r="D45" s="248">
        <f>D31/D11</f>
        <v>2.4496813294953488E-2</v>
      </c>
      <c r="E45" s="248">
        <f>E31/E11</f>
        <v>2.8656631846734282E-2</v>
      </c>
      <c r="F45" s="248">
        <f>F31/F11</f>
        <v>3.2618080150634575E-2</v>
      </c>
      <c r="G45" s="248">
        <f>G31/G11</f>
        <v>3.6793313927583463E-2</v>
      </c>
      <c r="H45" s="17">
        <f t="shared" si="8"/>
        <v>0.14521344461040142</v>
      </c>
      <c r="I45" s="248"/>
      <c r="J45" s="17"/>
      <c r="K45" s="17"/>
      <c r="L45" s="17"/>
      <c r="M45" s="17"/>
      <c r="N45" s="17"/>
      <c r="O45" s="5"/>
      <c r="Q45" s="5"/>
      <c r="R45" s="5"/>
      <c r="S45" s="42"/>
      <c r="T45" s="42"/>
      <c r="U45" s="42"/>
      <c r="V45" s="42"/>
      <c r="W45" s="42"/>
      <c r="X45" s="42"/>
      <c r="Y45" s="325"/>
      <c r="Z45" s="325"/>
      <c r="AA45" s="42"/>
    </row>
    <row r="46" spans="2:27">
      <c r="B46" s="5" t="s">
        <v>605</v>
      </c>
      <c r="C46" s="247"/>
      <c r="D46" s="248">
        <f>(D31+D32)/D11</f>
        <v>2.4496813294953488E-2</v>
      </c>
      <c r="E46" s="248">
        <f>(E31+E32)/E11</f>
        <v>2.8656631846734282E-2</v>
      </c>
      <c r="F46" s="248">
        <f>(F31+F32)/F11</f>
        <v>3.2618080150634575E-2</v>
      </c>
      <c r="G46" s="248">
        <f>(G31+G32)/G11</f>
        <v>3.6793313927583463E-2</v>
      </c>
      <c r="H46" s="279">
        <f>((G31+G32)/(D31+D32))^(1/3)-1</f>
        <v>0.14521344461040142</v>
      </c>
      <c r="I46" s="247"/>
      <c r="J46" s="5"/>
      <c r="K46" s="5"/>
      <c r="L46" s="5"/>
      <c r="M46" s="5"/>
      <c r="N46" s="5"/>
      <c r="O46" s="5"/>
      <c r="Q46" s="5"/>
      <c r="R46" s="5"/>
      <c r="S46" s="42"/>
      <c r="T46" s="42"/>
      <c r="U46" s="42"/>
      <c r="V46" s="42"/>
      <c r="W46" s="42"/>
      <c r="X46" s="42"/>
      <c r="Y46" s="42"/>
      <c r="Z46" s="42"/>
      <c r="AA46" s="326"/>
    </row>
    <row r="47" spans="2:27">
      <c r="B47" s="5" t="s">
        <v>581</v>
      </c>
      <c r="C47" s="5"/>
      <c r="D47" s="248">
        <f>1/D43</f>
        <v>6.2384724248606548E-2</v>
      </c>
      <c r="E47" s="248">
        <f>1/E43</f>
        <v>7.0437887666036939E-2</v>
      </c>
      <c r="F47" s="248">
        <f>1/F43</f>
        <v>7.7964819844217007E-2</v>
      </c>
      <c r="G47" s="248">
        <f>1/G43</f>
        <v>8.5918712754152887E-2</v>
      </c>
      <c r="H47" s="17">
        <f>H29</f>
        <v>0.11259345461633363</v>
      </c>
      <c r="I47" s="17"/>
      <c r="J47" s="259"/>
      <c r="K47" s="259"/>
      <c r="L47" s="259"/>
      <c r="M47" s="259"/>
      <c r="N47" s="259"/>
      <c r="O47" s="18"/>
      <c r="Q47" s="5"/>
      <c r="R47" s="5"/>
      <c r="S47" s="42"/>
      <c r="T47" s="42"/>
      <c r="U47" s="42"/>
      <c r="V47" s="42"/>
      <c r="W47" s="42"/>
      <c r="X47" s="42"/>
      <c r="Y47" s="42"/>
      <c r="Z47" s="42"/>
      <c r="AA47" s="326"/>
    </row>
    <row r="48" spans="2:27">
      <c r="B48" s="5" t="s">
        <v>618</v>
      </c>
      <c r="C48" s="5"/>
      <c r="D48" s="305">
        <f>D31/D29</f>
        <v>0.3926732640082265</v>
      </c>
      <c r="E48" s="305">
        <f>E31/E29</f>
        <v>0.40683548011266751</v>
      </c>
      <c r="F48" s="305">
        <f>F31/F29</f>
        <v>0.41836921082879924</v>
      </c>
      <c r="G48" s="305">
        <f>G31/G29</f>
        <v>0.42823399871997098</v>
      </c>
      <c r="H48" s="279" t="s">
        <v>607</v>
      </c>
      <c r="I48" s="247"/>
      <c r="J48" s="17"/>
      <c r="K48" s="17"/>
      <c r="L48" s="17"/>
      <c r="M48" s="17"/>
      <c r="N48" s="17"/>
      <c r="O48" s="5"/>
      <c r="Q48" s="5"/>
      <c r="R48" s="5"/>
      <c r="S48" s="42"/>
      <c r="T48" s="42"/>
      <c r="U48" s="42"/>
      <c r="V48" s="42"/>
      <c r="W48" s="42"/>
      <c r="X48" s="42"/>
      <c r="Y48" s="42"/>
      <c r="Z48" s="42"/>
      <c r="AA48" s="326"/>
    </row>
    <row r="49" spans="2:27">
      <c r="B49" s="41"/>
      <c r="C49" s="17"/>
      <c r="D49" s="17"/>
      <c r="E49" s="17"/>
      <c r="F49" s="17"/>
      <c r="G49" s="17"/>
      <c r="H49" s="17"/>
      <c r="I49" s="254"/>
      <c r="J49" s="5"/>
      <c r="K49" s="5"/>
      <c r="L49" s="5"/>
      <c r="M49" s="5"/>
      <c r="N49" s="5"/>
      <c r="O49" s="5"/>
      <c r="Q49" s="5"/>
      <c r="R49" s="5"/>
      <c r="S49" s="42"/>
      <c r="T49" s="42"/>
      <c r="U49" s="42"/>
      <c r="V49" s="42"/>
      <c r="W49" s="42"/>
      <c r="X49" s="42"/>
      <c r="Y49" s="42"/>
      <c r="Z49" s="42"/>
      <c r="AA49" s="326"/>
    </row>
    <row r="50" spans="2:27">
      <c r="B50" s="5"/>
      <c r="C50" s="257"/>
      <c r="D50" s="257"/>
      <c r="E50" s="257"/>
      <c r="F50" s="5"/>
      <c r="G50" s="41"/>
      <c r="H50" s="249"/>
      <c r="I50" s="17"/>
      <c r="J50" s="249"/>
      <c r="K50" s="249"/>
      <c r="L50" s="249"/>
      <c r="M50" s="249"/>
      <c r="N50" s="249"/>
      <c r="O50" s="251"/>
      <c r="Q50" s="5"/>
      <c r="R50" s="5"/>
      <c r="S50" s="42"/>
      <c r="T50" s="42"/>
      <c r="U50" s="42"/>
      <c r="V50" s="42"/>
      <c r="W50" s="288"/>
      <c r="X50" s="288"/>
      <c r="Y50" s="42"/>
      <c r="Z50" s="42"/>
      <c r="AA50" s="326"/>
    </row>
    <row r="51" spans="2:27">
      <c r="B51" s="41"/>
      <c r="C51" s="249"/>
      <c r="D51" s="254"/>
      <c r="E51" s="254"/>
      <c r="F51" s="254"/>
      <c r="G51" s="254"/>
      <c r="H51" s="254"/>
      <c r="I51" s="259"/>
      <c r="J51" s="248"/>
      <c r="K51" s="248"/>
      <c r="L51" s="248"/>
      <c r="M51" s="248"/>
      <c r="N51" s="248"/>
      <c r="O51" s="248"/>
      <c r="Q51" s="5"/>
      <c r="R51" s="5"/>
      <c r="S51" s="42"/>
      <c r="T51" s="42"/>
      <c r="U51" s="42"/>
      <c r="V51" s="42"/>
      <c r="W51" s="288"/>
      <c r="X51" s="288"/>
      <c r="Y51" s="288"/>
      <c r="Z51" s="288"/>
      <c r="AA51" s="42"/>
    </row>
    <row r="52" spans="2:27">
      <c r="B52" s="5"/>
      <c r="C52" s="257"/>
      <c r="D52" s="17"/>
      <c r="E52" s="17"/>
      <c r="F52" s="17"/>
      <c r="G52" s="17"/>
      <c r="H52" s="17"/>
      <c r="I52" s="254"/>
      <c r="J52" s="247"/>
      <c r="K52" s="247"/>
      <c r="L52" s="247"/>
      <c r="M52" s="247"/>
      <c r="N52" s="247"/>
      <c r="O52" s="248"/>
      <c r="Q52" s="5"/>
      <c r="R52" s="5"/>
      <c r="S52" s="5"/>
      <c r="Y52" s="10"/>
      <c r="Z52" s="10"/>
    </row>
    <row r="53" spans="2:27">
      <c r="B53" s="5"/>
      <c r="C53" s="249"/>
      <c r="D53" s="249"/>
      <c r="E53" s="249"/>
      <c r="F53" s="249"/>
      <c r="G53" s="249"/>
      <c r="H53" s="249"/>
      <c r="I53" s="17"/>
      <c r="J53" s="249"/>
      <c r="K53" s="249"/>
      <c r="L53" s="249"/>
      <c r="M53" s="249"/>
      <c r="N53" s="249"/>
      <c r="O53" s="251"/>
      <c r="Q53" s="5"/>
      <c r="R53" s="5"/>
      <c r="S53" s="5"/>
    </row>
    <row r="54" spans="2:27">
      <c r="B54" s="41"/>
      <c r="C54" s="249"/>
      <c r="D54" s="249"/>
      <c r="E54" s="249"/>
      <c r="F54" s="249"/>
      <c r="G54" s="249"/>
      <c r="H54" s="249"/>
      <c r="I54" s="259"/>
      <c r="J54" s="248"/>
      <c r="K54" s="248"/>
      <c r="L54" s="248"/>
      <c r="M54" s="248"/>
      <c r="N54" s="248"/>
      <c r="O54" s="248"/>
      <c r="Q54" s="5"/>
      <c r="R54" s="5"/>
      <c r="S54" s="5"/>
    </row>
    <row r="55" spans="2:27">
      <c r="B55" s="5"/>
      <c r="C55" s="254"/>
      <c r="D55" s="249"/>
      <c r="E55" s="249"/>
      <c r="F55" s="249"/>
      <c r="G55" s="249"/>
      <c r="H55" s="249"/>
      <c r="I55" s="249"/>
      <c r="J55" s="247"/>
      <c r="K55" s="247"/>
      <c r="L55" s="247"/>
      <c r="M55" s="247"/>
      <c r="N55" s="247"/>
      <c r="O55" s="248"/>
      <c r="Q55" s="5"/>
      <c r="R55" s="5"/>
      <c r="S55" s="5"/>
    </row>
    <row r="56" spans="2:27">
      <c r="B56" s="5"/>
      <c r="C56" s="254"/>
      <c r="D56" s="249"/>
      <c r="E56" s="249"/>
      <c r="F56" s="249"/>
      <c r="G56" s="249"/>
      <c r="H56" s="249"/>
      <c r="I56" s="248"/>
      <c r="J56" s="17"/>
      <c r="K56" s="17"/>
      <c r="L56" s="17"/>
      <c r="M56" s="17"/>
      <c r="N56" s="17"/>
      <c r="O56" s="248"/>
      <c r="Q56" s="5"/>
      <c r="R56" s="5"/>
      <c r="S56" s="5"/>
    </row>
    <row r="57" spans="2:27">
      <c r="B57" s="41"/>
      <c r="C57" s="254"/>
      <c r="D57" s="249"/>
      <c r="E57" s="249"/>
      <c r="F57" s="249"/>
      <c r="G57" s="249"/>
      <c r="H57" s="249"/>
      <c r="I57" s="5"/>
      <c r="J57" s="249"/>
      <c r="K57" s="249"/>
      <c r="L57" s="249"/>
      <c r="M57" s="249"/>
      <c r="N57" s="249"/>
      <c r="O57" s="250"/>
      <c r="Q57" s="5"/>
      <c r="R57" s="5"/>
      <c r="S57" s="5"/>
    </row>
    <row r="58" spans="2:27">
      <c r="B58" s="5"/>
      <c r="C58" s="254"/>
      <c r="D58" s="249"/>
      <c r="E58" s="249"/>
      <c r="F58" s="249"/>
      <c r="G58" s="249"/>
      <c r="H58" s="249"/>
      <c r="I58" s="17"/>
      <c r="J58" s="248"/>
      <c r="K58" s="248"/>
      <c r="L58" s="248"/>
      <c r="M58" s="248"/>
      <c r="N58" s="248"/>
      <c r="O58" s="18"/>
      <c r="Q58" s="5"/>
      <c r="R58" s="5"/>
      <c r="S58" s="5"/>
    </row>
    <row r="59" spans="2:27">
      <c r="B59" s="5"/>
      <c r="C59" s="254"/>
      <c r="D59" s="249"/>
      <c r="E59" s="249"/>
      <c r="F59" s="249"/>
      <c r="G59" s="249"/>
      <c r="H59" s="249"/>
      <c r="I59" s="5"/>
      <c r="J59" s="5"/>
      <c r="K59" s="5"/>
      <c r="L59" s="5"/>
      <c r="M59" s="5"/>
      <c r="N59" s="5"/>
      <c r="O59" s="5"/>
      <c r="Q59" s="5"/>
      <c r="R59" s="5"/>
      <c r="S59" s="5"/>
    </row>
    <row r="60" spans="2:27">
      <c r="B60" s="41"/>
      <c r="C60" s="254"/>
      <c r="D60" s="249"/>
      <c r="E60" s="249"/>
      <c r="F60" s="249"/>
      <c r="G60" s="249"/>
      <c r="H60" s="249"/>
      <c r="I60" s="249"/>
      <c r="J60" s="17"/>
      <c r="K60" s="17"/>
      <c r="L60" s="17"/>
      <c r="M60" s="17"/>
      <c r="N60" s="17"/>
      <c r="O60" s="251"/>
      <c r="Q60" s="5"/>
      <c r="R60" s="5"/>
      <c r="S60" s="5"/>
    </row>
    <row r="61" spans="2:27">
      <c r="B61" s="5"/>
      <c r="C61" s="254"/>
      <c r="D61" s="249"/>
      <c r="E61" s="249"/>
      <c r="F61" s="249"/>
      <c r="G61" s="249"/>
      <c r="H61" s="249"/>
      <c r="I61" s="5"/>
      <c r="J61" s="5"/>
      <c r="K61" s="5"/>
      <c r="L61" s="5"/>
      <c r="M61" s="5"/>
      <c r="N61" s="5"/>
      <c r="O61" s="5"/>
      <c r="Q61" s="41"/>
      <c r="R61" s="5"/>
      <c r="S61" s="5"/>
    </row>
    <row r="62" spans="2:27">
      <c r="B62" s="41"/>
      <c r="C62" s="254"/>
      <c r="D62" s="249"/>
      <c r="E62" s="249"/>
      <c r="F62" s="249"/>
      <c r="G62" s="249"/>
      <c r="H62" s="249"/>
      <c r="I62" s="5"/>
      <c r="J62" s="249"/>
      <c r="K62" s="249"/>
      <c r="L62" s="249"/>
      <c r="M62" s="249"/>
      <c r="N62" s="249"/>
      <c r="O62" s="251"/>
      <c r="Q62" s="5"/>
      <c r="R62" s="5"/>
      <c r="S62" s="5"/>
    </row>
    <row r="63" spans="2:27">
      <c r="B63" s="5"/>
      <c r="C63" s="254"/>
      <c r="D63" s="249"/>
      <c r="E63" s="249"/>
      <c r="F63" s="249"/>
      <c r="G63" s="249"/>
      <c r="H63" s="249"/>
      <c r="I63" s="254"/>
      <c r="J63" s="5"/>
      <c r="K63" s="5"/>
      <c r="L63" s="5"/>
      <c r="M63" s="5"/>
      <c r="N63" s="5"/>
      <c r="O63" s="5"/>
      <c r="Q63" s="5"/>
      <c r="R63" s="5"/>
      <c r="S63" s="5"/>
    </row>
    <row r="64" spans="2:27">
      <c r="B64" s="5"/>
      <c r="C64" s="254"/>
      <c r="D64" s="249"/>
      <c r="E64" s="249"/>
      <c r="F64" s="249"/>
      <c r="G64" s="249"/>
      <c r="H64" s="249"/>
      <c r="I64" s="17"/>
      <c r="J64" s="5"/>
      <c r="K64" s="5"/>
      <c r="L64" s="5"/>
      <c r="M64" s="5"/>
      <c r="N64" s="5"/>
      <c r="O64" s="5"/>
      <c r="Q64" s="5"/>
      <c r="R64" s="5"/>
      <c r="S64" s="5"/>
    </row>
    <row r="65" spans="2:26">
      <c r="B65" s="41"/>
      <c r="C65" s="254"/>
      <c r="D65" s="249"/>
      <c r="E65" s="249"/>
      <c r="F65" s="249"/>
      <c r="G65" s="249"/>
      <c r="H65" s="249"/>
      <c r="I65" s="254"/>
      <c r="J65" s="254"/>
      <c r="K65" s="254"/>
      <c r="L65" s="254"/>
      <c r="M65" s="254"/>
      <c r="N65" s="254"/>
      <c r="O65" s="251"/>
      <c r="Q65" s="5"/>
      <c r="R65" s="5"/>
      <c r="S65" s="5"/>
    </row>
    <row r="66" spans="2:26">
      <c r="B66" s="5"/>
      <c r="C66" s="254"/>
      <c r="D66" s="249"/>
      <c r="E66" s="249"/>
      <c r="F66" s="249"/>
      <c r="G66" s="249"/>
      <c r="H66" s="249"/>
      <c r="I66" s="248"/>
      <c r="J66" s="17"/>
      <c r="K66" s="17"/>
      <c r="L66" s="17"/>
      <c r="M66" s="17"/>
      <c r="N66" s="17"/>
      <c r="O66" s="5"/>
      <c r="Q66" s="5"/>
      <c r="R66" s="5"/>
      <c r="S66" s="5"/>
    </row>
    <row r="67" spans="2:26">
      <c r="B67" s="41"/>
      <c r="C67" s="254"/>
      <c r="D67" s="249"/>
      <c r="E67" s="249"/>
      <c r="F67" s="249"/>
      <c r="G67" s="249"/>
      <c r="H67" s="249"/>
      <c r="I67" s="5"/>
      <c r="J67" s="254"/>
      <c r="K67" s="254"/>
      <c r="L67" s="254"/>
      <c r="M67" s="254"/>
      <c r="N67" s="254"/>
      <c r="O67" s="251"/>
      <c r="Q67" s="41"/>
      <c r="R67" s="5"/>
      <c r="S67" s="5"/>
    </row>
    <row r="68" spans="2:26">
      <c r="B68" s="5"/>
      <c r="C68" s="254"/>
      <c r="D68" s="249"/>
      <c r="E68" s="249"/>
      <c r="F68" s="249"/>
      <c r="G68" s="249"/>
      <c r="H68" s="249"/>
      <c r="I68" s="245"/>
      <c r="J68" s="248"/>
      <c r="K68" s="248"/>
      <c r="L68" s="248"/>
      <c r="M68" s="248"/>
      <c r="N68" s="248"/>
      <c r="O68" s="5"/>
      <c r="Q68" s="5"/>
      <c r="R68" s="5"/>
      <c r="S68" s="5"/>
    </row>
    <row r="69" spans="2:26">
      <c r="B69" s="41"/>
      <c r="C69" s="249"/>
      <c r="D69" s="249"/>
      <c r="E69" s="249"/>
      <c r="F69" s="249"/>
      <c r="G69" s="249"/>
      <c r="H69" s="249"/>
      <c r="I69" s="248"/>
      <c r="J69" s="5"/>
      <c r="K69" s="5"/>
      <c r="L69" s="5"/>
      <c r="M69" s="5"/>
      <c r="N69" s="5"/>
      <c r="O69" s="5"/>
      <c r="Q69" s="5"/>
      <c r="R69" s="5"/>
      <c r="S69" s="5"/>
    </row>
    <row r="70" spans="2:26">
      <c r="B70" s="41"/>
      <c r="C70" s="245"/>
      <c r="D70" s="245"/>
      <c r="E70" s="245"/>
      <c r="F70" s="245"/>
      <c r="G70" s="245"/>
      <c r="H70" s="245"/>
      <c r="I70" s="5"/>
      <c r="J70" s="245"/>
      <c r="K70" s="245"/>
      <c r="L70" s="245"/>
      <c r="M70" s="245"/>
      <c r="N70" s="245"/>
      <c r="O70" s="251"/>
      <c r="Q70" s="5"/>
      <c r="R70" s="5"/>
      <c r="S70" s="5"/>
      <c r="W70" s="76"/>
      <c r="X70" s="76"/>
    </row>
    <row r="71" spans="2:26">
      <c r="B71" s="5"/>
      <c r="C71" s="5"/>
      <c r="D71" s="248"/>
      <c r="E71" s="248"/>
      <c r="F71" s="248"/>
      <c r="G71" s="248"/>
      <c r="H71" s="248"/>
      <c r="I71" s="245"/>
      <c r="J71" s="248"/>
      <c r="K71" s="248"/>
      <c r="L71" s="248"/>
      <c r="M71" s="248"/>
      <c r="N71" s="248"/>
      <c r="O71" s="5"/>
      <c r="Q71" s="5"/>
      <c r="R71" s="5"/>
      <c r="S71" s="5"/>
      <c r="W71" s="76"/>
      <c r="X71" s="76"/>
      <c r="Y71" s="76"/>
      <c r="Z71" s="76"/>
    </row>
    <row r="72" spans="2:26">
      <c r="B72" s="41"/>
      <c r="C72" s="5"/>
      <c r="D72" s="5"/>
      <c r="E72" s="5"/>
      <c r="F72" s="5"/>
      <c r="G72" s="5"/>
      <c r="H72" s="5"/>
      <c r="I72" s="18"/>
      <c r="J72" s="5"/>
      <c r="K72" s="5"/>
      <c r="L72" s="5"/>
      <c r="M72" s="5"/>
      <c r="N72" s="5"/>
      <c r="O72" s="5"/>
      <c r="Q72" s="5"/>
      <c r="R72" s="5"/>
      <c r="S72" s="5"/>
      <c r="Y72" s="76"/>
      <c r="Z72" s="76"/>
    </row>
    <row r="73" spans="2:26">
      <c r="B73" s="41"/>
      <c r="C73" s="245"/>
      <c r="D73" s="245"/>
      <c r="E73" s="245"/>
      <c r="F73" s="245"/>
      <c r="G73" s="245"/>
      <c r="H73" s="245"/>
      <c r="I73" s="5"/>
      <c r="J73" s="245"/>
      <c r="K73" s="245"/>
      <c r="L73" s="245"/>
      <c r="M73" s="245"/>
      <c r="N73" s="245"/>
      <c r="O73" s="251"/>
      <c r="Q73" s="5"/>
      <c r="R73" s="5"/>
      <c r="S73" s="5"/>
    </row>
    <row r="74" spans="2:26">
      <c r="B74" s="5"/>
      <c r="C74" s="5"/>
      <c r="D74" s="18"/>
      <c r="E74" s="18"/>
      <c r="F74" s="18"/>
      <c r="G74" s="18"/>
      <c r="H74" s="18"/>
      <c r="I74" s="249"/>
      <c r="J74" s="18"/>
      <c r="K74" s="18"/>
      <c r="L74" s="18"/>
      <c r="M74" s="18"/>
      <c r="N74" s="18"/>
      <c r="O74" s="5"/>
      <c r="Q74" s="5"/>
      <c r="R74" s="5"/>
      <c r="S74" s="5"/>
    </row>
    <row r="75" spans="2:26">
      <c r="B75" s="41"/>
      <c r="C75" s="5"/>
      <c r="D75" s="5"/>
      <c r="E75" s="5"/>
      <c r="F75" s="5"/>
      <c r="G75" s="5"/>
      <c r="H75" s="5"/>
      <c r="I75" s="248"/>
      <c r="J75" s="5"/>
      <c r="K75" s="5"/>
      <c r="L75" s="5"/>
      <c r="M75" s="5"/>
      <c r="N75" s="5"/>
      <c r="O75" s="5"/>
      <c r="Q75" s="5"/>
      <c r="R75" s="5"/>
      <c r="S75" s="5"/>
    </row>
    <row r="76" spans="2:26">
      <c r="B76" s="41"/>
      <c r="C76" s="249"/>
      <c r="D76" s="249"/>
      <c r="E76" s="249"/>
      <c r="F76" s="249"/>
      <c r="G76" s="249"/>
      <c r="H76" s="249"/>
      <c r="I76" s="5"/>
      <c r="J76" s="249"/>
      <c r="K76" s="249"/>
      <c r="L76" s="249"/>
      <c r="M76" s="249"/>
      <c r="N76" s="249"/>
      <c r="O76" s="251"/>
      <c r="Q76" s="5"/>
      <c r="R76" s="5"/>
      <c r="S76" s="5"/>
    </row>
    <row r="77" spans="2:26">
      <c r="B77" s="5"/>
      <c r="C77" s="5"/>
      <c r="D77" s="248"/>
      <c r="E77" s="248"/>
      <c r="F77" s="248"/>
      <c r="G77" s="248"/>
      <c r="H77" s="248"/>
      <c r="I77" s="245"/>
      <c r="J77" s="248"/>
      <c r="K77" s="248"/>
      <c r="L77" s="248"/>
      <c r="M77" s="248"/>
      <c r="N77" s="248"/>
      <c r="O77" s="5"/>
      <c r="Q77" s="5"/>
      <c r="R77" s="5"/>
      <c r="S77" s="5"/>
    </row>
    <row r="78" spans="2:26">
      <c r="B78" s="41"/>
      <c r="C78" s="5"/>
      <c r="D78" s="5"/>
      <c r="E78" s="5"/>
      <c r="F78" s="5"/>
      <c r="G78" s="5"/>
      <c r="H78" s="5"/>
      <c r="I78" s="248"/>
      <c r="J78" s="5"/>
      <c r="K78" s="5"/>
      <c r="L78" s="5"/>
      <c r="M78" s="5"/>
      <c r="N78" s="5"/>
      <c r="O78" s="5"/>
      <c r="Q78" s="5"/>
      <c r="R78" s="5"/>
      <c r="S78" s="5"/>
    </row>
    <row r="79" spans="2:26">
      <c r="B79" s="41"/>
      <c r="C79" s="245"/>
      <c r="D79" s="245"/>
      <c r="E79" s="245"/>
      <c r="F79" s="245"/>
      <c r="G79" s="245"/>
      <c r="H79" s="245"/>
      <c r="I79" s="5"/>
      <c r="J79" s="245"/>
      <c r="K79" s="245"/>
      <c r="L79" s="245"/>
      <c r="M79" s="245"/>
      <c r="N79" s="245"/>
      <c r="O79" s="251"/>
      <c r="Q79" s="5"/>
      <c r="R79" s="5"/>
      <c r="S79" s="5"/>
    </row>
    <row r="80" spans="2:26">
      <c r="B80" s="5"/>
      <c r="C80" s="5"/>
      <c r="D80" s="248"/>
      <c r="E80" s="248"/>
      <c r="F80" s="248"/>
      <c r="G80" s="248"/>
      <c r="H80" s="248"/>
      <c r="I80" s="249"/>
      <c r="J80" s="248"/>
      <c r="K80" s="248"/>
      <c r="L80" s="248"/>
      <c r="M80" s="248"/>
      <c r="N80" s="248"/>
      <c r="O80" s="5"/>
      <c r="Q80" s="5"/>
      <c r="R80" s="5"/>
      <c r="S80" s="5"/>
    </row>
    <row r="81" spans="2:26">
      <c r="B81" s="41"/>
      <c r="C81" s="5"/>
      <c r="D81" s="5"/>
      <c r="E81" s="5"/>
      <c r="F81" s="5"/>
      <c r="G81" s="5"/>
      <c r="H81" s="5"/>
      <c r="I81" s="248"/>
      <c r="J81" s="5"/>
      <c r="K81" s="5"/>
      <c r="L81" s="5"/>
      <c r="M81" s="5"/>
      <c r="N81" s="5"/>
      <c r="O81" s="5"/>
      <c r="Q81" s="5"/>
      <c r="R81" s="5"/>
      <c r="S81" s="5"/>
    </row>
    <row r="82" spans="2:26">
      <c r="B82" s="41"/>
      <c r="C82" s="249"/>
      <c r="D82" s="249"/>
      <c r="E82" s="249"/>
      <c r="F82" s="249"/>
      <c r="G82" s="249"/>
      <c r="H82" s="249"/>
      <c r="I82" s="259"/>
      <c r="J82" s="249"/>
      <c r="K82" s="249"/>
      <c r="L82" s="249"/>
      <c r="M82" s="249"/>
      <c r="N82" s="249"/>
      <c r="O82" s="251"/>
      <c r="Q82" s="5"/>
      <c r="R82" s="5"/>
      <c r="S82" s="5"/>
    </row>
    <row r="83" spans="2:26">
      <c r="B83" s="5"/>
      <c r="C83" s="5"/>
      <c r="D83" s="248"/>
      <c r="E83" s="248"/>
      <c r="F83" s="248"/>
      <c r="G83" s="248"/>
      <c r="H83" s="248"/>
      <c r="I83" s="5"/>
      <c r="J83" s="248"/>
      <c r="K83" s="248"/>
      <c r="L83" s="248"/>
      <c r="M83" s="248"/>
      <c r="N83" s="248"/>
      <c r="O83" s="5"/>
      <c r="Q83" s="5"/>
      <c r="R83" s="5"/>
      <c r="S83" s="5"/>
    </row>
    <row r="84" spans="2:26">
      <c r="B84" s="5"/>
      <c r="C84" s="259"/>
      <c r="D84" s="259"/>
      <c r="E84" s="259"/>
      <c r="F84" s="259"/>
      <c r="G84" s="259"/>
      <c r="H84" s="259"/>
      <c r="I84" s="245"/>
      <c r="J84" s="259"/>
      <c r="K84" s="259"/>
      <c r="L84" s="259"/>
      <c r="M84" s="259"/>
      <c r="N84" s="259"/>
      <c r="O84" s="251"/>
      <c r="Q84" s="5"/>
      <c r="R84" s="5"/>
      <c r="S84" s="5"/>
    </row>
    <row r="85" spans="2:26">
      <c r="B85" s="41"/>
      <c r="C85" s="5"/>
      <c r="D85" s="5"/>
      <c r="E85" s="5"/>
      <c r="F85" s="5"/>
      <c r="G85" s="5"/>
      <c r="H85" s="5"/>
      <c r="I85" s="248"/>
      <c r="J85" s="5"/>
      <c r="K85" s="5"/>
      <c r="L85" s="5"/>
      <c r="M85" s="5"/>
      <c r="N85" s="5"/>
      <c r="O85" s="5"/>
      <c r="Q85" s="5"/>
      <c r="R85" s="5"/>
      <c r="S85" s="5"/>
    </row>
    <row r="86" spans="2:26">
      <c r="B86" s="41"/>
      <c r="C86" s="245"/>
      <c r="D86" s="245"/>
      <c r="E86" s="245"/>
      <c r="F86" s="245"/>
      <c r="G86" s="245"/>
      <c r="H86" s="245"/>
      <c r="I86" s="5"/>
      <c r="J86" s="245"/>
      <c r="K86" s="245"/>
      <c r="L86" s="245"/>
      <c r="M86" s="245"/>
      <c r="N86" s="245"/>
      <c r="O86" s="251"/>
      <c r="Q86" s="5"/>
      <c r="R86" s="5"/>
      <c r="S86" s="5"/>
    </row>
    <row r="87" spans="2:26">
      <c r="B87" s="5"/>
      <c r="C87" s="5"/>
      <c r="D87" s="248"/>
      <c r="E87" s="248"/>
      <c r="F87" s="248"/>
      <c r="G87" s="248"/>
      <c r="H87" s="248"/>
      <c r="I87" s="5"/>
      <c r="J87" s="248"/>
      <c r="K87" s="248"/>
      <c r="L87" s="248"/>
      <c r="M87" s="248"/>
      <c r="N87" s="248"/>
      <c r="O87" s="5"/>
      <c r="Q87" s="5"/>
      <c r="R87" s="5"/>
      <c r="S87" s="5"/>
    </row>
    <row r="88" spans="2:26">
      <c r="B88" s="41"/>
      <c r="C88" s="5"/>
      <c r="D88" s="5"/>
      <c r="E88" s="5"/>
      <c r="F88" s="5"/>
      <c r="G88" s="5"/>
      <c r="H88" s="5"/>
      <c r="I88" s="5"/>
      <c r="J88" s="5"/>
      <c r="K88" s="5"/>
      <c r="L88" s="5"/>
      <c r="M88" s="5"/>
      <c r="N88" s="5"/>
      <c r="O88" s="5"/>
      <c r="Q88" s="5"/>
      <c r="R88" s="5"/>
      <c r="S88" s="5"/>
    </row>
    <row r="89" spans="2:26">
      <c r="B89" s="41"/>
      <c r="C89" s="5"/>
      <c r="D89" s="5"/>
      <c r="E89" s="5"/>
      <c r="F89" s="5"/>
      <c r="G89" s="5"/>
      <c r="H89" s="5"/>
      <c r="I89" s="5"/>
      <c r="J89" s="5"/>
      <c r="K89" s="5"/>
      <c r="L89" s="5"/>
      <c r="M89" s="5"/>
      <c r="N89" s="5"/>
      <c r="O89" s="5"/>
      <c r="Q89" s="5"/>
      <c r="R89" s="5"/>
      <c r="S89" s="5"/>
    </row>
    <row r="90" spans="2:26">
      <c r="B90" s="41"/>
      <c r="C90" s="5"/>
      <c r="D90" s="5"/>
      <c r="E90" s="5"/>
      <c r="F90" s="5"/>
      <c r="G90" s="5"/>
      <c r="H90" s="5"/>
      <c r="I90" s="49"/>
      <c r="J90" s="5"/>
      <c r="K90" s="5"/>
      <c r="L90" s="5"/>
      <c r="M90" s="5"/>
      <c r="N90" s="5"/>
      <c r="O90" s="5"/>
      <c r="Q90" s="41"/>
      <c r="R90" s="5"/>
      <c r="S90" s="5"/>
    </row>
    <row r="91" spans="2:26">
      <c r="B91" s="5"/>
      <c r="C91" s="5"/>
      <c r="D91" s="5"/>
      <c r="E91" s="5"/>
      <c r="F91" s="5"/>
      <c r="G91" s="5"/>
      <c r="H91" s="5"/>
      <c r="I91" s="5"/>
      <c r="J91" s="5"/>
      <c r="K91" s="5"/>
      <c r="L91" s="5"/>
      <c r="M91" s="5"/>
      <c r="N91" s="5"/>
      <c r="O91" s="5"/>
      <c r="Q91" s="5"/>
      <c r="R91" s="5"/>
      <c r="S91" s="5"/>
    </row>
    <row r="92" spans="2:26">
      <c r="B92" s="41"/>
      <c r="C92" s="49"/>
      <c r="D92" s="49"/>
      <c r="E92" s="49"/>
      <c r="F92" s="49"/>
      <c r="G92" s="49"/>
      <c r="H92" s="49"/>
      <c r="I92" s="247"/>
      <c r="J92" s="49"/>
      <c r="K92" s="49"/>
      <c r="L92" s="49"/>
      <c r="M92" s="49"/>
      <c r="N92" s="49"/>
      <c r="O92" s="49"/>
      <c r="Q92" s="5"/>
      <c r="R92" s="5"/>
      <c r="S92" s="5"/>
      <c r="W92" s="21"/>
      <c r="X92" s="21"/>
    </row>
    <row r="93" spans="2:26">
      <c r="B93" s="5"/>
      <c r="C93" s="5"/>
      <c r="D93" s="5"/>
      <c r="E93" s="5"/>
      <c r="F93" s="5"/>
      <c r="G93" s="5"/>
      <c r="H93" s="5"/>
      <c r="I93" s="247"/>
      <c r="J93" s="5"/>
      <c r="K93" s="5"/>
      <c r="L93" s="5"/>
      <c r="M93" s="5"/>
      <c r="N93" s="5"/>
      <c r="O93" s="5"/>
      <c r="Q93" s="5"/>
      <c r="R93" s="5"/>
      <c r="S93" s="5"/>
      <c r="W93" s="21"/>
      <c r="X93" s="21"/>
      <c r="Y93" s="21"/>
      <c r="Z93" s="21"/>
    </row>
    <row r="94" spans="2:26">
      <c r="B94" s="5"/>
      <c r="C94" s="259"/>
      <c r="D94" s="247"/>
      <c r="E94" s="247"/>
      <c r="F94" s="247"/>
      <c r="G94" s="247"/>
      <c r="H94" s="247"/>
      <c r="I94" s="247"/>
      <c r="J94" s="247"/>
      <c r="K94" s="247"/>
      <c r="L94" s="247"/>
      <c r="M94" s="247"/>
      <c r="N94" s="247"/>
      <c r="O94" s="248"/>
      <c r="Q94" s="5"/>
      <c r="R94" s="5"/>
      <c r="S94" s="5"/>
      <c r="Y94" s="21"/>
      <c r="Z94" s="21"/>
    </row>
    <row r="95" spans="2:26">
      <c r="B95" s="5"/>
      <c r="C95" s="259"/>
      <c r="D95" s="247"/>
      <c r="E95" s="247"/>
      <c r="F95" s="247"/>
      <c r="G95" s="247"/>
      <c r="H95" s="247"/>
      <c r="I95" s="248"/>
      <c r="J95" s="247"/>
      <c r="K95" s="247"/>
      <c r="L95" s="247"/>
      <c r="M95" s="247"/>
      <c r="N95" s="247"/>
      <c r="O95" s="248"/>
      <c r="Q95" s="5"/>
      <c r="R95" s="5"/>
      <c r="S95" s="5"/>
    </row>
    <row r="96" spans="2:26">
      <c r="B96" s="5"/>
      <c r="C96" s="259"/>
      <c r="D96" s="247"/>
      <c r="E96" s="247"/>
      <c r="F96" s="247"/>
      <c r="G96" s="247"/>
      <c r="H96" s="247"/>
      <c r="I96" s="247"/>
      <c r="J96" s="247"/>
      <c r="K96" s="247"/>
      <c r="L96" s="247"/>
      <c r="M96" s="247"/>
      <c r="N96" s="247"/>
      <c r="O96" s="248"/>
      <c r="Q96" s="5"/>
      <c r="R96" s="5"/>
      <c r="S96" s="5"/>
    </row>
    <row r="97" spans="2:19">
      <c r="B97" s="5"/>
      <c r="C97" s="259"/>
      <c r="D97" s="248"/>
      <c r="E97" s="248"/>
      <c r="F97" s="248"/>
      <c r="G97" s="248"/>
      <c r="H97" s="248"/>
      <c r="I97" s="249"/>
      <c r="J97" s="248"/>
      <c r="K97" s="248"/>
      <c r="L97" s="248"/>
      <c r="M97" s="248"/>
      <c r="N97" s="248"/>
      <c r="O97" s="248"/>
      <c r="Q97" s="5"/>
      <c r="R97" s="5"/>
      <c r="S97" s="5"/>
    </row>
    <row r="98" spans="2:19">
      <c r="B98" s="5"/>
      <c r="C98" s="259"/>
      <c r="D98" s="247"/>
      <c r="E98" s="247"/>
      <c r="F98" s="247"/>
      <c r="G98" s="247"/>
      <c r="H98" s="247"/>
      <c r="I98" s="248"/>
      <c r="J98" s="247"/>
      <c r="K98" s="247"/>
      <c r="L98" s="247"/>
      <c r="M98" s="247"/>
      <c r="N98" s="247"/>
      <c r="O98" s="248"/>
      <c r="Q98" s="5"/>
      <c r="R98" s="5"/>
      <c r="S98" s="5"/>
    </row>
    <row r="99" spans="2:19">
      <c r="B99" s="41"/>
      <c r="C99" s="249"/>
      <c r="D99" s="249"/>
      <c r="E99" s="249"/>
      <c r="F99" s="249"/>
      <c r="G99" s="249"/>
      <c r="H99" s="249"/>
      <c r="I99" s="5"/>
      <c r="J99" s="249"/>
      <c r="K99" s="249"/>
      <c r="L99" s="249"/>
      <c r="M99" s="249"/>
      <c r="N99" s="249"/>
      <c r="O99" s="248"/>
      <c r="Q99" s="5"/>
      <c r="R99" s="5"/>
      <c r="S99" s="5"/>
    </row>
    <row r="100" spans="2:19">
      <c r="B100" s="41"/>
      <c r="C100" s="257"/>
      <c r="D100" s="248"/>
      <c r="E100" s="248"/>
      <c r="F100" s="248"/>
      <c r="G100" s="248"/>
      <c r="H100" s="248"/>
      <c r="I100" s="259"/>
      <c r="J100" s="248"/>
      <c r="K100" s="248"/>
      <c r="L100" s="248"/>
      <c r="M100" s="248"/>
      <c r="N100" s="248"/>
      <c r="O100" s="248"/>
      <c r="Q100" s="5"/>
      <c r="R100" s="5"/>
      <c r="S100" s="5"/>
    </row>
    <row r="101" spans="2:19" s="5" customFormat="1">
      <c r="B101" s="41"/>
      <c r="I101" s="259"/>
      <c r="O101" s="248"/>
      <c r="P101" s="39"/>
    </row>
    <row r="102" spans="2:19">
      <c r="B102" s="5"/>
      <c r="C102" s="259"/>
      <c r="D102" s="259"/>
      <c r="E102" s="259"/>
      <c r="F102" s="259"/>
      <c r="G102" s="259"/>
      <c r="H102" s="259"/>
      <c r="I102" s="247"/>
      <c r="J102" s="259"/>
      <c r="K102" s="259"/>
      <c r="L102" s="259"/>
      <c r="M102" s="259"/>
      <c r="N102" s="259"/>
      <c r="O102" s="5"/>
      <c r="Q102" s="5"/>
      <c r="R102" s="5"/>
      <c r="S102" s="5"/>
    </row>
    <row r="103" spans="2:19">
      <c r="B103" s="5"/>
      <c r="C103" s="259"/>
      <c r="D103" s="259"/>
      <c r="E103" s="259"/>
      <c r="F103" s="259"/>
      <c r="G103" s="259"/>
      <c r="H103" s="259"/>
      <c r="I103" s="5"/>
      <c r="J103" s="259"/>
      <c r="K103" s="259"/>
      <c r="L103" s="259"/>
      <c r="M103" s="259"/>
      <c r="N103" s="259"/>
      <c r="O103" s="5"/>
      <c r="P103" s="5"/>
      <c r="Q103" s="5"/>
      <c r="R103" s="5"/>
      <c r="S103" s="5"/>
    </row>
    <row r="104" spans="2:19">
      <c r="B104" s="5"/>
      <c r="C104" s="247"/>
      <c r="D104" s="247"/>
      <c r="E104" s="247"/>
      <c r="F104" s="247"/>
      <c r="G104" s="247"/>
      <c r="H104" s="247"/>
      <c r="I104" s="247"/>
      <c r="J104" s="247"/>
      <c r="K104" s="247"/>
      <c r="L104" s="247"/>
      <c r="M104" s="247"/>
      <c r="N104" s="247"/>
      <c r="O104" s="5"/>
      <c r="Q104" s="5"/>
      <c r="R104" s="5"/>
      <c r="S104" s="5"/>
    </row>
    <row r="105" spans="2:19" s="5" customFormat="1">
      <c r="P105" s="39"/>
    </row>
    <row r="106" spans="2:19" s="5" customFormat="1">
      <c r="C106" s="259"/>
      <c r="D106" s="247"/>
      <c r="E106" s="247"/>
      <c r="F106" s="247"/>
      <c r="G106" s="247"/>
      <c r="H106" s="247"/>
      <c r="I106" s="259"/>
      <c r="J106" s="247"/>
      <c r="K106" s="247"/>
      <c r="L106" s="247"/>
      <c r="M106" s="247"/>
      <c r="N106" s="247"/>
      <c r="P106" s="39"/>
    </row>
    <row r="107" spans="2:19">
      <c r="B107" s="5"/>
      <c r="C107" s="259"/>
      <c r="D107" s="5"/>
      <c r="E107" s="5"/>
      <c r="F107" s="5"/>
      <c r="G107" s="5"/>
      <c r="H107" s="5"/>
      <c r="I107" s="247"/>
      <c r="J107" s="5"/>
      <c r="K107" s="5"/>
      <c r="L107" s="5"/>
      <c r="M107" s="5"/>
      <c r="N107" s="5"/>
      <c r="O107" s="5"/>
      <c r="P107" s="5"/>
      <c r="Q107" s="5"/>
      <c r="R107" s="5"/>
      <c r="S107" s="5"/>
    </row>
    <row r="108" spans="2:19">
      <c r="B108" s="5"/>
      <c r="C108" s="259"/>
      <c r="D108" s="259"/>
      <c r="E108" s="259"/>
      <c r="F108" s="259"/>
      <c r="G108" s="259"/>
      <c r="H108" s="259"/>
      <c r="I108" s="249"/>
      <c r="J108" s="259"/>
      <c r="K108" s="259"/>
      <c r="L108" s="259"/>
      <c r="M108" s="259"/>
      <c r="N108" s="259"/>
      <c r="O108" s="5"/>
      <c r="P108" s="5"/>
      <c r="Q108" s="5"/>
      <c r="R108" s="5"/>
      <c r="S108" s="5"/>
    </row>
    <row r="109" spans="2:19">
      <c r="B109" s="5"/>
      <c r="C109" s="247"/>
      <c r="D109" s="247"/>
      <c r="E109" s="247"/>
      <c r="F109" s="247"/>
      <c r="G109" s="247"/>
      <c r="H109" s="247"/>
      <c r="I109" s="249"/>
      <c r="J109" s="247"/>
      <c r="K109" s="247"/>
      <c r="L109" s="247"/>
      <c r="M109" s="247"/>
      <c r="N109" s="247"/>
      <c r="O109" s="5"/>
      <c r="Q109" s="5"/>
      <c r="R109" s="5"/>
      <c r="S109" s="5"/>
    </row>
    <row r="110" spans="2:19">
      <c r="B110" s="41"/>
      <c r="C110" s="249"/>
      <c r="D110" s="249"/>
      <c r="E110" s="249"/>
      <c r="F110" s="249"/>
      <c r="G110" s="249"/>
      <c r="H110" s="249"/>
      <c r="I110" s="247"/>
      <c r="J110" s="249"/>
      <c r="K110" s="249"/>
      <c r="L110" s="249"/>
      <c r="M110" s="249"/>
      <c r="N110" s="249"/>
      <c r="O110" s="5"/>
      <c r="Q110" s="5"/>
      <c r="R110" s="5"/>
      <c r="S110" s="5"/>
    </row>
    <row r="111" spans="2:19">
      <c r="B111" s="5"/>
      <c r="C111" s="249"/>
      <c r="D111" s="249"/>
      <c r="E111" s="249"/>
      <c r="F111" s="249"/>
      <c r="G111" s="249"/>
      <c r="H111" s="249"/>
      <c r="I111" s="5"/>
      <c r="J111" s="249"/>
      <c r="K111" s="249"/>
      <c r="L111" s="249"/>
      <c r="M111" s="249"/>
      <c r="N111" s="249"/>
      <c r="O111" s="5"/>
      <c r="Q111" s="5"/>
      <c r="R111" s="5"/>
      <c r="S111" s="5"/>
    </row>
    <row r="112" spans="2:19">
      <c r="B112" s="5"/>
      <c r="C112" s="247"/>
      <c r="D112" s="247"/>
      <c r="E112" s="247"/>
      <c r="F112" s="247"/>
      <c r="G112" s="247"/>
      <c r="H112" s="247"/>
      <c r="I112" s="5"/>
      <c r="J112" s="247"/>
      <c r="K112" s="247"/>
      <c r="L112" s="247"/>
      <c r="M112" s="247"/>
      <c r="N112" s="247"/>
      <c r="O112" s="5"/>
      <c r="Q112" s="5"/>
      <c r="R112" s="5"/>
      <c r="S112" s="5"/>
    </row>
    <row r="113" spans="2:19">
      <c r="B113" s="5"/>
      <c r="C113" s="5"/>
      <c r="D113" s="5"/>
      <c r="E113" s="5"/>
      <c r="F113" s="5"/>
      <c r="G113" s="5"/>
      <c r="H113" s="5"/>
      <c r="I113" s="5"/>
      <c r="J113" s="5"/>
      <c r="K113" s="5"/>
      <c r="L113" s="5"/>
      <c r="M113" s="5"/>
      <c r="N113" s="5"/>
      <c r="O113" s="5"/>
      <c r="Q113" s="5"/>
      <c r="R113" s="5"/>
      <c r="S113" s="5"/>
    </row>
    <row r="114" spans="2:19">
      <c r="B114" s="5"/>
      <c r="C114" s="5"/>
      <c r="D114" s="5"/>
      <c r="E114" s="5"/>
      <c r="F114" s="5"/>
      <c r="G114" s="5"/>
      <c r="H114" s="5"/>
      <c r="I114" s="5"/>
      <c r="J114" s="5"/>
      <c r="K114" s="5"/>
      <c r="L114" s="5"/>
      <c r="M114" s="5"/>
      <c r="N114" s="5"/>
      <c r="O114" s="5"/>
      <c r="Q114" s="5"/>
      <c r="R114" s="5"/>
      <c r="S114" s="5"/>
    </row>
    <row r="115" spans="2:19">
      <c r="B115" s="5"/>
      <c r="C115" s="5"/>
      <c r="D115" s="5"/>
      <c r="E115" s="5"/>
      <c r="F115" s="5"/>
      <c r="G115" s="5"/>
      <c r="H115" s="5"/>
      <c r="I115" s="49"/>
      <c r="J115" s="5"/>
      <c r="K115" s="5"/>
      <c r="L115" s="5"/>
      <c r="M115" s="5"/>
      <c r="N115" s="5"/>
      <c r="O115" s="5"/>
      <c r="Q115" s="41"/>
      <c r="R115" s="5"/>
      <c r="S115" s="5"/>
    </row>
    <row r="116" spans="2:19">
      <c r="B116" s="5"/>
      <c r="C116" s="5"/>
      <c r="D116" s="5"/>
      <c r="E116" s="5"/>
      <c r="F116" s="5"/>
      <c r="G116" s="5"/>
      <c r="H116" s="5"/>
      <c r="I116" s="5"/>
      <c r="J116" s="5"/>
      <c r="K116" s="5"/>
      <c r="L116" s="5"/>
      <c r="M116" s="5"/>
      <c r="N116" s="5"/>
      <c r="O116" s="5"/>
      <c r="Q116" s="5"/>
      <c r="R116" s="5"/>
      <c r="S116" s="5"/>
    </row>
    <row r="117" spans="2:19">
      <c r="B117" s="41"/>
      <c r="C117" s="49"/>
      <c r="D117" s="49"/>
      <c r="E117" s="49"/>
      <c r="F117" s="49"/>
      <c r="G117" s="49"/>
      <c r="H117" s="49"/>
      <c r="I117" s="254"/>
      <c r="J117" s="49"/>
      <c r="K117" s="49"/>
      <c r="L117" s="49"/>
      <c r="M117" s="49"/>
      <c r="N117" s="49"/>
      <c r="O117" s="49"/>
      <c r="Q117" s="5"/>
      <c r="R117" s="5"/>
      <c r="S117" s="5"/>
    </row>
    <row r="118" spans="2:19">
      <c r="B118" s="5"/>
      <c r="C118" s="5"/>
      <c r="D118" s="5"/>
      <c r="E118" s="5"/>
      <c r="F118" s="5"/>
      <c r="G118" s="5"/>
      <c r="H118" s="5"/>
      <c r="I118" s="249"/>
      <c r="J118" s="5"/>
      <c r="K118" s="5"/>
      <c r="L118" s="5"/>
      <c r="M118" s="5"/>
      <c r="N118" s="5"/>
      <c r="O118" s="5"/>
      <c r="Q118" s="5"/>
      <c r="R118" s="5"/>
      <c r="S118" s="5"/>
    </row>
    <row r="119" spans="2:19">
      <c r="B119" s="41"/>
      <c r="C119" s="254"/>
      <c r="D119" s="254"/>
      <c r="E119" s="254"/>
      <c r="F119" s="254"/>
      <c r="G119" s="254"/>
      <c r="H119" s="254"/>
      <c r="I119" s="254"/>
      <c r="J119" s="254"/>
      <c r="K119" s="254"/>
      <c r="L119" s="254"/>
      <c r="M119" s="254"/>
      <c r="N119" s="254"/>
      <c r="O119" s="248"/>
      <c r="Q119" s="5"/>
      <c r="R119" s="5"/>
      <c r="S119" s="5"/>
    </row>
    <row r="120" spans="2:19">
      <c r="B120" s="41"/>
      <c r="C120" s="254"/>
      <c r="D120" s="249"/>
      <c r="E120" s="249"/>
      <c r="F120" s="249"/>
      <c r="G120" s="249"/>
      <c r="H120" s="249"/>
      <c r="I120" s="254"/>
      <c r="J120" s="249"/>
      <c r="K120" s="249"/>
      <c r="L120" s="249"/>
      <c r="M120" s="249"/>
      <c r="N120" s="249"/>
      <c r="O120" s="248"/>
      <c r="Q120" s="5"/>
      <c r="R120" s="5"/>
      <c r="S120" s="5"/>
    </row>
    <row r="121" spans="2:19">
      <c r="B121" s="41"/>
      <c r="C121" s="254"/>
      <c r="D121" s="254"/>
      <c r="E121" s="254"/>
      <c r="F121" s="254"/>
      <c r="G121" s="254"/>
      <c r="H121" s="254"/>
      <c r="I121" s="254"/>
      <c r="J121" s="254"/>
      <c r="K121" s="254"/>
      <c r="L121" s="254"/>
      <c r="M121" s="254"/>
      <c r="N121" s="254"/>
      <c r="O121" s="248"/>
      <c r="Q121" s="5"/>
      <c r="R121" s="5"/>
      <c r="S121" s="5"/>
    </row>
    <row r="122" spans="2:19">
      <c r="B122" s="41"/>
      <c r="C122" s="254"/>
      <c r="D122" s="254"/>
      <c r="E122" s="254"/>
      <c r="F122" s="254"/>
      <c r="G122" s="254"/>
      <c r="H122" s="254"/>
      <c r="I122" s="254"/>
      <c r="J122" s="254"/>
      <c r="K122" s="254"/>
      <c r="L122" s="254"/>
      <c r="M122" s="254"/>
      <c r="N122" s="254"/>
      <c r="O122" s="248"/>
      <c r="Q122" s="5"/>
      <c r="R122" s="5"/>
      <c r="S122" s="5"/>
    </row>
    <row r="123" spans="2:19">
      <c r="B123" s="41"/>
      <c r="C123" s="254"/>
      <c r="D123" s="254"/>
      <c r="E123" s="254"/>
      <c r="F123" s="254"/>
      <c r="G123" s="254"/>
      <c r="H123" s="254"/>
      <c r="I123" s="254"/>
      <c r="J123" s="254"/>
      <c r="K123" s="254"/>
      <c r="L123" s="254"/>
      <c r="M123" s="254"/>
      <c r="N123" s="254"/>
      <c r="O123" s="248"/>
      <c r="Q123" s="5"/>
      <c r="R123" s="5"/>
      <c r="S123" s="5"/>
    </row>
    <row r="124" spans="2:19">
      <c r="B124" s="41"/>
      <c r="C124" s="254"/>
      <c r="D124" s="254"/>
      <c r="E124" s="254"/>
      <c r="F124" s="254"/>
      <c r="G124" s="254"/>
      <c r="H124" s="254"/>
      <c r="I124" s="254"/>
      <c r="J124" s="254"/>
      <c r="K124" s="254"/>
      <c r="L124" s="254"/>
      <c r="M124" s="254"/>
      <c r="N124" s="254"/>
      <c r="O124" s="248"/>
      <c r="Q124" s="5"/>
      <c r="R124" s="5"/>
      <c r="S124" s="5"/>
    </row>
    <row r="125" spans="2:19">
      <c r="B125" s="41"/>
      <c r="C125" s="254"/>
      <c r="D125" s="254"/>
      <c r="E125" s="254"/>
      <c r="F125" s="254"/>
      <c r="G125" s="254"/>
      <c r="H125" s="254"/>
      <c r="I125" s="254"/>
      <c r="J125" s="254"/>
      <c r="K125" s="254"/>
      <c r="L125" s="254"/>
      <c r="M125" s="254"/>
      <c r="N125" s="254"/>
      <c r="O125" s="5"/>
      <c r="Q125" s="5"/>
      <c r="R125" s="5"/>
      <c r="S125" s="5"/>
    </row>
    <row r="126" spans="2:19">
      <c r="B126" s="41"/>
      <c r="C126" s="254"/>
      <c r="D126" s="254"/>
      <c r="E126" s="254"/>
      <c r="F126" s="254"/>
      <c r="G126" s="254"/>
      <c r="H126" s="254"/>
      <c r="I126" s="254"/>
      <c r="J126" s="254"/>
      <c r="K126" s="254"/>
      <c r="L126" s="254"/>
      <c r="M126" s="254"/>
      <c r="N126" s="254"/>
      <c r="O126" s="5"/>
      <c r="Q126" s="5"/>
      <c r="R126" s="5"/>
      <c r="S126" s="5"/>
    </row>
    <row r="127" spans="2:19">
      <c r="B127" s="41"/>
      <c r="C127" s="254"/>
      <c r="D127" s="254"/>
      <c r="E127" s="254"/>
      <c r="F127" s="254"/>
      <c r="G127" s="254"/>
      <c r="H127" s="254"/>
      <c r="I127" s="18"/>
      <c r="J127" s="254"/>
      <c r="K127" s="254"/>
      <c r="L127" s="254"/>
      <c r="M127" s="254"/>
      <c r="N127" s="254"/>
      <c r="O127" s="5"/>
      <c r="Q127" s="5"/>
      <c r="R127" s="5"/>
      <c r="S127" s="5"/>
    </row>
    <row r="128" spans="2:19">
      <c r="B128" s="41"/>
      <c r="C128" s="254"/>
      <c r="D128" s="254"/>
      <c r="E128" s="254"/>
      <c r="F128" s="254"/>
      <c r="G128" s="254"/>
      <c r="H128" s="254"/>
      <c r="I128" s="5"/>
      <c r="J128" s="254"/>
      <c r="K128" s="254"/>
      <c r="L128" s="254"/>
      <c r="M128" s="254"/>
      <c r="N128" s="254"/>
      <c r="O128" s="5"/>
      <c r="Q128" s="5"/>
      <c r="R128" s="5"/>
      <c r="S128" s="5"/>
    </row>
    <row r="129" spans="2:27">
      <c r="B129" s="5"/>
      <c r="C129" s="5"/>
      <c r="D129" s="18"/>
      <c r="E129" s="18"/>
      <c r="F129" s="18"/>
      <c r="G129" s="18"/>
      <c r="H129" s="18"/>
      <c r="I129" s="254"/>
      <c r="J129" s="18"/>
      <c r="K129" s="18"/>
      <c r="L129" s="18"/>
      <c r="M129" s="18"/>
      <c r="N129" s="18"/>
      <c r="O129" s="5"/>
      <c r="Q129" s="5"/>
      <c r="R129" s="5"/>
      <c r="S129" s="5"/>
    </row>
    <row r="130" spans="2:27">
      <c r="B130" s="5"/>
      <c r="C130" s="5"/>
      <c r="D130" s="5"/>
      <c r="E130" s="5"/>
      <c r="F130" s="5"/>
      <c r="G130" s="5"/>
      <c r="H130" s="5"/>
      <c r="I130" s="18"/>
      <c r="J130" s="5"/>
      <c r="K130" s="5"/>
      <c r="L130" s="5"/>
      <c r="M130" s="5"/>
      <c r="N130" s="5"/>
      <c r="O130" s="5"/>
      <c r="Q130" s="5"/>
      <c r="R130" s="5"/>
      <c r="S130" s="5"/>
    </row>
    <row r="131" spans="2:27">
      <c r="B131" s="41"/>
      <c r="C131" s="254"/>
      <c r="D131" s="254"/>
      <c r="E131" s="254"/>
      <c r="F131" s="254"/>
      <c r="G131" s="254"/>
      <c r="H131" s="254"/>
      <c r="I131" s="5"/>
      <c r="J131" s="254"/>
      <c r="K131" s="254"/>
      <c r="L131" s="254"/>
      <c r="M131" s="254"/>
      <c r="N131" s="254"/>
      <c r="O131" s="5"/>
      <c r="Q131" s="5"/>
      <c r="R131" s="5"/>
      <c r="S131" s="5"/>
    </row>
    <row r="132" spans="2:27">
      <c r="B132" s="5"/>
      <c r="C132" s="259"/>
      <c r="D132" s="18"/>
      <c r="E132" s="18"/>
      <c r="F132" s="18"/>
      <c r="G132" s="18"/>
      <c r="H132" s="18"/>
      <c r="I132" s="5"/>
      <c r="J132" s="18"/>
      <c r="K132" s="18"/>
      <c r="L132" s="18"/>
      <c r="M132" s="18"/>
      <c r="N132" s="18"/>
      <c r="O132" s="5"/>
      <c r="Q132" s="5"/>
      <c r="R132" s="5"/>
      <c r="S132" s="5"/>
    </row>
    <row r="133" spans="2:27">
      <c r="B133" s="5"/>
      <c r="C133" s="5"/>
      <c r="D133" s="5"/>
      <c r="E133" s="5"/>
      <c r="F133" s="5"/>
      <c r="G133" s="5"/>
      <c r="H133" s="5"/>
      <c r="I133" s="17"/>
      <c r="J133" s="5"/>
      <c r="K133" s="5"/>
      <c r="L133" s="5"/>
      <c r="M133" s="5"/>
      <c r="N133" s="5"/>
      <c r="O133" s="5"/>
      <c r="Q133" s="5"/>
      <c r="R133" s="5"/>
      <c r="S133" s="5"/>
    </row>
    <row r="134" spans="2:27">
      <c r="B134" s="41"/>
      <c r="C134" s="5"/>
      <c r="D134" s="5"/>
      <c r="E134" s="5"/>
      <c r="F134" s="5"/>
      <c r="G134" s="5"/>
      <c r="H134" s="5"/>
      <c r="I134" s="17"/>
      <c r="J134" s="5"/>
      <c r="K134" s="5"/>
      <c r="L134" s="5"/>
      <c r="M134" s="5"/>
      <c r="N134" s="5"/>
      <c r="O134" s="5"/>
      <c r="Q134" s="5"/>
      <c r="R134" s="5"/>
      <c r="S134" s="5"/>
    </row>
    <row r="135" spans="2:27">
      <c r="B135" s="5"/>
      <c r="C135" s="17"/>
      <c r="D135" s="17"/>
      <c r="E135" s="17"/>
      <c r="F135" s="17"/>
      <c r="G135" s="17"/>
      <c r="H135" s="17"/>
      <c r="I135" s="17"/>
      <c r="J135" s="17"/>
      <c r="K135" s="17"/>
      <c r="L135" s="17"/>
      <c r="M135" s="17"/>
      <c r="N135" s="17"/>
      <c r="O135" s="5"/>
      <c r="Q135" s="41"/>
      <c r="R135" s="5"/>
      <c r="S135" s="5"/>
    </row>
    <row r="136" spans="2:27">
      <c r="B136" s="5"/>
      <c r="C136" s="17"/>
      <c r="D136" s="17"/>
      <c r="E136" s="17"/>
      <c r="F136" s="17"/>
      <c r="G136" s="17"/>
      <c r="H136" s="17"/>
      <c r="I136" s="17"/>
      <c r="J136" s="17"/>
      <c r="K136" s="17"/>
      <c r="L136" s="17"/>
      <c r="M136" s="17"/>
      <c r="N136" s="17"/>
      <c r="O136" s="5"/>
      <c r="Q136" s="5"/>
      <c r="R136" s="5"/>
      <c r="S136" s="5"/>
      <c r="X136" s="304"/>
    </row>
    <row r="137" spans="2:27">
      <c r="B137" s="5"/>
      <c r="C137" s="5"/>
      <c r="D137" s="17"/>
      <c r="E137" s="17"/>
      <c r="F137" s="17"/>
      <c r="G137" s="17"/>
      <c r="H137" s="17"/>
      <c r="I137" s="17"/>
      <c r="J137" s="17"/>
      <c r="K137" s="17"/>
      <c r="L137" s="17"/>
      <c r="M137" s="17"/>
      <c r="N137" s="17"/>
      <c r="O137" s="5"/>
      <c r="Q137" s="5"/>
      <c r="R137" s="5"/>
      <c r="S137" s="5"/>
      <c r="X137" s="10"/>
      <c r="Y137" s="304"/>
      <c r="Z137" s="304"/>
      <c r="AA137" s="304"/>
    </row>
    <row r="138" spans="2:27">
      <c r="B138" s="5"/>
      <c r="C138" s="5"/>
      <c r="D138" s="17"/>
      <c r="E138" s="17"/>
      <c r="F138" s="17"/>
      <c r="G138" s="17"/>
      <c r="H138" s="17"/>
      <c r="I138" s="17"/>
      <c r="J138" s="17"/>
      <c r="K138" s="17"/>
      <c r="L138" s="17"/>
      <c r="M138" s="17"/>
      <c r="N138" s="17"/>
      <c r="O138" s="5"/>
      <c r="Q138" s="5"/>
      <c r="R138" s="5"/>
      <c r="S138" s="5"/>
      <c r="Y138" s="10"/>
      <c r="Z138" s="10"/>
      <c r="AA138" s="10"/>
    </row>
    <row r="139" spans="2:27">
      <c r="B139" s="5"/>
      <c r="C139" s="5"/>
      <c r="D139" s="17"/>
      <c r="E139" s="17"/>
      <c r="F139" s="17"/>
      <c r="G139" s="17"/>
      <c r="H139" s="17"/>
      <c r="I139" s="5"/>
      <c r="J139" s="17"/>
      <c r="K139" s="17"/>
      <c r="L139" s="17"/>
      <c r="M139" s="17"/>
      <c r="N139" s="17"/>
      <c r="O139" s="5"/>
      <c r="Q139" s="5"/>
      <c r="R139" s="5"/>
      <c r="S139" s="5"/>
    </row>
    <row r="140" spans="2:27">
      <c r="B140" s="5"/>
      <c r="C140" s="17"/>
      <c r="D140" s="17"/>
      <c r="E140" s="17"/>
      <c r="F140" s="17"/>
      <c r="G140" s="17"/>
      <c r="H140" s="17"/>
      <c r="I140" s="5"/>
      <c r="J140" s="17"/>
      <c r="K140" s="17"/>
      <c r="L140" s="17"/>
      <c r="M140" s="17"/>
      <c r="N140" s="17"/>
      <c r="O140" s="5"/>
      <c r="Q140" s="5"/>
      <c r="R140" s="5"/>
      <c r="S140" s="5"/>
    </row>
    <row r="141" spans="2:27">
      <c r="B141" s="5"/>
      <c r="C141" s="5"/>
      <c r="D141" s="5"/>
      <c r="E141" s="5"/>
      <c r="F141" s="5"/>
      <c r="G141" s="5"/>
      <c r="H141" s="5"/>
      <c r="I141" s="5"/>
      <c r="J141" s="5"/>
      <c r="K141" s="5"/>
      <c r="L141" s="5"/>
      <c r="M141" s="5"/>
      <c r="N141" s="5"/>
      <c r="O141" s="5"/>
      <c r="Q141" s="5"/>
      <c r="R141" s="5"/>
      <c r="S141" s="5"/>
    </row>
    <row r="142" spans="2:27">
      <c r="B142" s="5"/>
      <c r="C142" s="5"/>
      <c r="D142" s="5"/>
      <c r="E142" s="5"/>
      <c r="F142" s="5"/>
      <c r="G142" s="5"/>
      <c r="H142" s="5"/>
      <c r="I142" s="5"/>
      <c r="J142" s="5"/>
      <c r="K142" s="5"/>
      <c r="L142" s="5"/>
      <c r="M142" s="5"/>
      <c r="N142" s="5"/>
      <c r="O142" s="5"/>
      <c r="Q142" s="5"/>
      <c r="R142" s="5"/>
      <c r="S142" s="5"/>
    </row>
    <row r="143" spans="2:27">
      <c r="B143" s="5"/>
      <c r="C143" s="5"/>
      <c r="D143" s="5"/>
      <c r="E143" s="5"/>
      <c r="F143" s="5"/>
      <c r="G143" s="5"/>
      <c r="H143" s="5"/>
      <c r="I143" s="5"/>
      <c r="J143" s="5"/>
      <c r="K143" s="5"/>
      <c r="L143" s="5"/>
      <c r="M143" s="5"/>
      <c r="N143" s="5"/>
      <c r="O143" s="5"/>
      <c r="Q143" s="5"/>
      <c r="R143" s="5"/>
      <c r="S143" s="5"/>
    </row>
    <row r="144" spans="2:27">
      <c r="B144" s="5"/>
      <c r="C144" s="5"/>
      <c r="D144" s="5"/>
      <c r="E144" s="5"/>
      <c r="F144" s="5"/>
      <c r="G144" s="5"/>
      <c r="H144" s="5"/>
      <c r="I144" s="5"/>
      <c r="J144" s="5"/>
      <c r="K144" s="5"/>
      <c r="L144" s="5"/>
      <c r="M144" s="5"/>
      <c r="N144" s="5"/>
      <c r="O144" s="5"/>
      <c r="Q144" s="5"/>
      <c r="R144" s="5"/>
      <c r="S144" s="5"/>
    </row>
    <row r="145" spans="2:19">
      <c r="B145" s="5"/>
      <c r="C145" s="5"/>
      <c r="D145" s="5"/>
      <c r="E145" s="5"/>
      <c r="F145" s="5"/>
      <c r="G145" s="5"/>
      <c r="H145" s="5"/>
      <c r="I145" s="5"/>
      <c r="J145" s="5"/>
      <c r="K145" s="5"/>
      <c r="L145" s="5"/>
      <c r="M145" s="5"/>
      <c r="N145" s="5"/>
      <c r="O145" s="5"/>
      <c r="Q145" s="5"/>
      <c r="R145" s="5"/>
      <c r="S145" s="5"/>
    </row>
    <row r="146" spans="2:19">
      <c r="B146" s="5"/>
      <c r="C146" s="5"/>
      <c r="D146" s="5"/>
      <c r="E146" s="5"/>
      <c r="F146" s="5"/>
      <c r="G146" s="5"/>
      <c r="H146" s="5"/>
      <c r="I146" s="5"/>
      <c r="J146" s="5"/>
      <c r="K146" s="5"/>
      <c r="L146" s="5"/>
      <c r="M146" s="5"/>
      <c r="N146" s="5"/>
      <c r="O146" s="5"/>
      <c r="Q146" s="5"/>
      <c r="R146" s="5"/>
      <c r="S146" s="5"/>
    </row>
    <row r="147" spans="2:19">
      <c r="B147" s="5"/>
      <c r="C147" s="5"/>
      <c r="D147" s="5"/>
      <c r="E147" s="5"/>
      <c r="F147" s="5"/>
      <c r="G147" s="5"/>
      <c r="H147" s="5"/>
      <c r="I147" s="5"/>
      <c r="J147" s="5"/>
      <c r="K147" s="5"/>
      <c r="L147" s="5"/>
      <c r="M147" s="5"/>
      <c r="N147" s="5"/>
      <c r="O147" s="5"/>
      <c r="Q147" s="5"/>
      <c r="R147" s="5"/>
      <c r="S147" s="5"/>
    </row>
    <row r="148" spans="2:19">
      <c r="B148" s="5"/>
      <c r="C148" s="5"/>
      <c r="D148" s="5"/>
      <c r="E148" s="5"/>
      <c r="F148" s="5"/>
      <c r="G148" s="5"/>
      <c r="H148" s="5"/>
      <c r="I148" s="5"/>
      <c r="J148" s="5"/>
      <c r="K148" s="5"/>
      <c r="L148" s="5"/>
      <c r="M148" s="5"/>
      <c r="N148" s="5"/>
      <c r="O148" s="5"/>
      <c r="Q148" s="5"/>
      <c r="R148" s="5"/>
      <c r="S148" s="5"/>
    </row>
    <row r="149" spans="2:19">
      <c r="B149" s="5"/>
      <c r="C149" s="5"/>
      <c r="D149" s="5"/>
      <c r="E149" s="5"/>
      <c r="F149" s="5"/>
      <c r="G149" s="5"/>
      <c r="H149" s="5"/>
      <c r="J149" s="5"/>
      <c r="K149" s="5"/>
      <c r="L149" s="5"/>
      <c r="M149" s="5"/>
      <c r="N149" s="5"/>
      <c r="O149" s="5"/>
      <c r="Q149" s="5"/>
      <c r="R149" s="5"/>
      <c r="S149" s="5"/>
    </row>
    <row r="150" spans="2:19">
      <c r="B150" s="5"/>
      <c r="C150" s="5"/>
      <c r="D150" s="5"/>
      <c r="E150" s="5"/>
      <c r="F150" s="5"/>
      <c r="G150" s="5"/>
      <c r="H150" s="5"/>
      <c r="J150" s="5"/>
      <c r="K150" s="5"/>
      <c r="L150" s="5"/>
      <c r="M150" s="5"/>
      <c r="N150" s="5"/>
      <c r="O150" s="5"/>
      <c r="Q150" s="5"/>
      <c r="R150" s="5"/>
      <c r="S150" s="5"/>
    </row>
    <row r="151" spans="2:19">
      <c r="Q151" s="5"/>
      <c r="R151" s="5"/>
      <c r="S151" s="5"/>
    </row>
    <row r="152" spans="2:19">
      <c r="Q152" s="5"/>
      <c r="R152" s="5"/>
      <c r="S152" s="5"/>
    </row>
    <row r="153" spans="2:19">
      <c r="C153" s="263"/>
      <c r="Q153" s="5"/>
      <c r="R153" s="5"/>
      <c r="S153" s="5"/>
    </row>
    <row r="154" spans="2:19">
      <c r="Q154" s="5"/>
      <c r="R154" s="5"/>
      <c r="S154" s="5"/>
    </row>
    <row r="155" spans="2:19">
      <c r="Q155" s="5"/>
      <c r="R155" s="5"/>
      <c r="S155" s="5"/>
    </row>
    <row r="156" spans="2:19">
      <c r="Q156" s="5"/>
      <c r="R156" s="5"/>
      <c r="S156" s="5"/>
    </row>
    <row r="157" spans="2:19">
      <c r="Q157" s="5"/>
      <c r="R157" s="5"/>
      <c r="S157" s="5"/>
    </row>
    <row r="158" spans="2:19">
      <c r="Q158" s="5"/>
      <c r="R158" s="5"/>
      <c r="S158" s="5"/>
    </row>
    <row r="159" spans="2:19">
      <c r="Q159" s="5"/>
      <c r="R159" s="5"/>
      <c r="S159" s="5"/>
    </row>
    <row r="160" spans="2:19">
      <c r="Q160" s="5"/>
      <c r="R160" s="5"/>
      <c r="S160" s="5"/>
    </row>
    <row r="161" spans="17:19">
      <c r="Q161" s="5"/>
      <c r="R161" s="5"/>
      <c r="S161" s="5"/>
    </row>
    <row r="162" spans="17:19">
      <c r="Q162" s="5"/>
      <c r="R162" s="5"/>
      <c r="S162" s="5"/>
    </row>
    <row r="163" spans="17:19">
      <c r="Q163" s="5"/>
      <c r="R163" s="5"/>
      <c r="S163" s="5"/>
    </row>
    <row r="164" spans="17:19">
      <c r="Q164" s="5"/>
      <c r="R164" s="5"/>
      <c r="S164" s="5"/>
    </row>
    <row r="165" spans="17:19">
      <c r="Q165" s="5"/>
      <c r="R165" s="5"/>
      <c r="S165" s="5"/>
    </row>
  </sheetData>
  <pageMargins left="0.75" right="0.75" top="1" bottom="1" header="0.5" footer="0.5"/>
  <pageSetup scale="21" orientation="landscape" r:id="rId1"/>
  <headerFooter alignWithMargins="0"/>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sheetPr codeName="Sheet50">
    <pageSetUpPr fitToPage="1"/>
  </sheetPr>
  <dimension ref="B1:AR165"/>
  <sheetViews>
    <sheetView showGridLines="0" zoomScale="80" zoomScaleNormal="80" zoomScaleSheetLayoutView="80" workbookViewId="0"/>
  </sheetViews>
  <sheetFormatPr defaultColWidth="9.109375" defaultRowHeight="12"/>
  <cols>
    <col min="1" max="1" width="2.33203125" style="39" customWidth="1"/>
    <col min="2" max="2" width="26.5546875" style="39" customWidth="1"/>
    <col min="3" max="9" width="10" style="39" customWidth="1"/>
    <col min="10" max="10" width="26.6640625" style="39" customWidth="1"/>
    <col min="11" max="16" width="10" style="39" customWidth="1"/>
    <col min="17" max="19" width="8.6640625" style="39" customWidth="1"/>
    <col min="20" max="28" width="8.6640625" style="5" customWidth="1"/>
    <col min="29" max="44" width="9.109375" style="5"/>
    <col min="45" max="16384" width="9.109375" style="39"/>
  </cols>
  <sheetData>
    <row r="1" spans="2:44" s="312" customFormat="1">
      <c r="T1" s="149"/>
      <c r="U1" s="149"/>
      <c r="V1" s="149"/>
      <c r="W1" s="149"/>
      <c r="X1" s="149"/>
      <c r="Y1" s="149"/>
      <c r="Z1" s="149"/>
      <c r="AA1" s="149"/>
      <c r="AB1" s="149"/>
      <c r="AC1" s="149"/>
      <c r="AD1" s="149"/>
      <c r="AE1" s="149"/>
      <c r="AF1" s="149"/>
      <c r="AG1" s="149"/>
      <c r="AH1" s="149"/>
      <c r="AI1" s="149"/>
      <c r="AJ1" s="149"/>
      <c r="AK1" s="149"/>
      <c r="AL1" s="149"/>
      <c r="AM1" s="149"/>
      <c r="AN1" s="149"/>
      <c r="AO1" s="149"/>
      <c r="AP1" s="149"/>
      <c r="AQ1" s="149"/>
      <c r="AR1" s="149"/>
    </row>
    <row r="2" spans="2:44" s="149" customFormat="1"/>
    <row r="3" spans="2:44" s="149" customFormat="1">
      <c r="H3" s="153"/>
      <c r="P3" s="153"/>
    </row>
    <row r="4" spans="2:44" s="156" customFormat="1" ht="21">
      <c r="B4" s="129" t="s">
        <v>393</v>
      </c>
      <c r="H4" s="222"/>
      <c r="P4" s="222"/>
    </row>
    <row r="5" spans="2:44" s="149" customFormat="1">
      <c r="C5" s="153"/>
      <c r="D5" s="153" t="str" cm="1">
        <f t="array" ref="D5:H5">headings</f>
        <v>2023E</v>
      </c>
      <c r="E5" s="153" t="str">
        <v>2024E</v>
      </c>
      <c r="F5" s="153" t="str">
        <v>2025E</v>
      </c>
      <c r="G5" s="153" t="str">
        <v>2026E</v>
      </c>
      <c r="H5" s="153" t="str">
        <v>23E-26E</v>
      </c>
      <c r="I5" s="153"/>
      <c r="J5" s="153"/>
      <c r="K5" s="153"/>
      <c r="L5" s="153" t="str" cm="1">
        <f t="array" ref="L5:P5">headings</f>
        <v>2023E</v>
      </c>
      <c r="M5" s="153" t="str">
        <v>2024E</v>
      </c>
      <c r="N5" s="153" t="str">
        <v>2025E</v>
      </c>
      <c r="O5" s="153" t="str">
        <v>2026E</v>
      </c>
      <c r="P5" s="153" t="str">
        <v>23E-26E</v>
      </c>
      <c r="Q5" s="162"/>
      <c r="R5" s="162"/>
      <c r="S5" s="162"/>
      <c r="T5" s="162"/>
      <c r="U5" s="162"/>
      <c r="V5" s="162"/>
      <c r="W5" s="162"/>
      <c r="X5" s="162"/>
      <c r="Y5" s="162"/>
    </row>
    <row r="6" spans="2:44">
      <c r="I6" s="5"/>
      <c r="J6" s="5"/>
      <c r="K6" s="5"/>
      <c r="L6" s="5"/>
      <c r="M6" s="5"/>
      <c r="N6" s="5"/>
      <c r="O6" s="49"/>
    </row>
    <row r="7" spans="2:44" ht="12.6" thickBot="1">
      <c r="B7" s="306" t="s">
        <v>271</v>
      </c>
      <c r="C7" s="265"/>
      <c r="D7" s="265" t="str">
        <f>D5</f>
        <v>2023E</v>
      </c>
      <c r="E7" s="265" t="str">
        <f t="shared" ref="E7:H7" si="0">E5</f>
        <v>2024E</v>
      </c>
      <c r="F7" s="265" t="str">
        <f t="shared" si="0"/>
        <v>2025E</v>
      </c>
      <c r="G7" s="265" t="str">
        <f t="shared" si="0"/>
        <v>2026E</v>
      </c>
      <c r="H7" s="265" t="str">
        <f t="shared" si="0"/>
        <v>23E-26E</v>
      </c>
      <c r="I7" s="49"/>
      <c r="J7" s="306" t="s">
        <v>1389</v>
      </c>
      <c r="K7" s="306"/>
      <c r="L7" s="265" t="str">
        <f>L5</f>
        <v>2023E</v>
      </c>
      <c r="M7" s="265" t="str">
        <f t="shared" ref="M7:P7" si="1">M5</f>
        <v>2024E</v>
      </c>
      <c r="N7" s="265" t="str">
        <f t="shared" si="1"/>
        <v>2025E</v>
      </c>
      <c r="O7" s="265" t="str">
        <f t="shared" si="1"/>
        <v>2026E</v>
      </c>
      <c r="P7" s="265" t="str">
        <f t="shared" si="1"/>
        <v>23E-26E</v>
      </c>
    </row>
    <row r="8" spans="2:44" ht="12.6" thickTop="1">
      <c r="B8" s="5"/>
      <c r="C8" s="5"/>
      <c r="D8" s="5"/>
      <c r="E8" s="5"/>
      <c r="F8" s="5"/>
      <c r="G8" s="5"/>
      <c r="H8" s="5"/>
      <c r="I8" s="5"/>
      <c r="J8" s="5"/>
      <c r="K8" s="5"/>
      <c r="L8" s="5"/>
      <c r="M8" s="5"/>
      <c r="N8" s="5"/>
      <c r="S8" s="88"/>
      <c r="T8" s="42"/>
      <c r="U8" s="42"/>
      <c r="V8" s="42"/>
      <c r="W8" s="42"/>
      <c r="X8" s="42"/>
      <c r="Y8" s="42"/>
      <c r="Z8" s="42"/>
      <c r="AA8" s="42"/>
    </row>
    <row r="9" spans="2:44">
      <c r="B9" s="41" t="s">
        <v>398</v>
      </c>
      <c r="C9" s="287">
        <f>Prices!C30</f>
        <v>101.05</v>
      </c>
      <c r="D9" s="539">
        <v>2.411044</v>
      </c>
      <c r="E9" s="540">
        <v>2.411044</v>
      </c>
      <c r="F9" s="540">
        <v>2.411044</v>
      </c>
      <c r="G9" s="540">
        <v>2.411044</v>
      </c>
      <c r="H9" s="249" t="s">
        <v>396</v>
      </c>
      <c r="I9" s="249"/>
      <c r="J9" s="5" t="s">
        <v>273</v>
      </c>
      <c r="L9" s="529">
        <f>'W.EUR OTHER'!D37</f>
        <v>1.625740200561925</v>
      </c>
      <c r="M9" s="529">
        <f>'W.EUR OTHER'!E37</f>
        <v>1.4744355877361912</v>
      </c>
      <c r="N9" s="529">
        <f>'W.EUR OTHER'!F37</f>
        <v>1.3838130671688169</v>
      </c>
      <c r="O9" s="529">
        <f>'W.EUR OTHER'!G37</f>
        <v>1.2773151297065752</v>
      </c>
      <c r="P9" s="279">
        <f>'W.EUR OTHER'!H37</f>
        <v>1.5716493135688125E-2</v>
      </c>
      <c r="S9" s="88"/>
      <c r="T9" s="42"/>
      <c r="U9" s="42"/>
      <c r="V9" s="42"/>
      <c r="W9" s="42"/>
      <c r="X9" s="42"/>
      <c r="Y9" s="42"/>
      <c r="Z9" s="42"/>
      <c r="AA9" s="42"/>
    </row>
    <row r="10" spans="2:44">
      <c r="B10" s="5" t="s">
        <v>274</v>
      </c>
      <c r="C10" s="287">
        <f>Prices!C29</f>
        <v>104</v>
      </c>
      <c r="D10" s="541">
        <v>687.93055300000003</v>
      </c>
      <c r="E10" s="541">
        <v>687.93055300000003</v>
      </c>
      <c r="F10" s="541">
        <v>687.93055300000003</v>
      </c>
      <c r="G10" s="541">
        <v>687.93055300000003</v>
      </c>
      <c r="H10" s="249" t="s">
        <v>395</v>
      </c>
      <c r="I10" s="247"/>
      <c r="J10" s="5" t="s">
        <v>184</v>
      </c>
      <c r="L10" s="529">
        <f>'W.EUR OTHER'!D38</f>
        <v>5.2795254299348739</v>
      </c>
      <c r="M10" s="529">
        <f>'W.EUR OTHER'!E38</f>
        <v>4.974469712304483</v>
      </c>
      <c r="N10" s="529">
        <f>'W.EUR OTHER'!F38</f>
        <v>4.5174816735135677</v>
      </c>
      <c r="O10" s="529">
        <f>'W.EUR OTHER'!G38</f>
        <v>4.0920709682728358</v>
      </c>
      <c r="P10" s="279">
        <f>'W.EUR OTHER'!H38</f>
        <v>2.0325446875936182E-2</v>
      </c>
      <c r="S10" s="88"/>
      <c r="T10" s="42"/>
      <c r="U10" s="42"/>
      <c r="V10" s="42"/>
      <c r="W10" s="288"/>
      <c r="X10" s="288"/>
      <c r="Y10" s="288"/>
      <c r="Z10" s="288"/>
      <c r="AA10" s="42"/>
    </row>
    <row r="11" spans="2:44">
      <c r="B11" s="41" t="s">
        <v>275</v>
      </c>
      <c r="C11" s="5"/>
      <c r="D11" s="532">
        <f>(D10*$C$10)+(D9*$C$9)</f>
        <v>71788.413508199999</v>
      </c>
      <c r="E11" s="532">
        <f>(E10*$C$10)+(E9*$C$9)</f>
        <v>71788.413508199999</v>
      </c>
      <c r="F11" s="532">
        <f>(F10*$C$10)+(F9*$C$9)</f>
        <v>71788.413508199999</v>
      </c>
      <c r="G11" s="532">
        <f>(G10*$C$10)+(G9*$C$9)</f>
        <v>71788.413508199999</v>
      </c>
      <c r="H11" s="249"/>
      <c r="I11" s="249"/>
      <c r="J11" s="5" t="s">
        <v>185</v>
      </c>
      <c r="L11" s="529">
        <f>'W.EUR OTHER'!D39</f>
        <v>12.736189476818824</v>
      </c>
      <c r="M11" s="529">
        <f>'W.EUR OTHER'!E39</f>
        <v>12.065966967777575</v>
      </c>
      <c r="N11" s="529">
        <f>'W.EUR OTHER'!F39</f>
        <v>9.9478093470125</v>
      </c>
      <c r="O11" s="529">
        <f>'W.EUR OTHER'!G39</f>
        <v>8.473000290176449</v>
      </c>
      <c r="P11" s="279">
        <f>'W.EUR OTHER'!H39</f>
        <v>7.3632307659955432E-2</v>
      </c>
      <c r="S11" s="88"/>
      <c r="T11" s="42"/>
      <c r="U11" s="42"/>
      <c r="V11" s="42"/>
      <c r="W11" s="288"/>
      <c r="X11" s="288"/>
      <c r="Y11" s="288"/>
      <c r="Z11" s="288"/>
      <c r="AA11" s="42"/>
    </row>
    <row r="12" spans="2:44">
      <c r="B12" s="5" t="s">
        <v>24</v>
      </c>
      <c r="C12" s="249"/>
      <c r="D12" s="533">
        <v>26481.480607944803</v>
      </c>
      <c r="E12" s="533">
        <v>27378.424275001726</v>
      </c>
      <c r="F12" s="533">
        <v>28320.886854359287</v>
      </c>
      <c r="G12" s="533">
        <v>29549.933719609198</v>
      </c>
      <c r="H12" s="247"/>
      <c r="I12" s="247"/>
      <c r="J12" s="5" t="s">
        <v>466</v>
      </c>
      <c r="L12" s="529">
        <f>'W.EUR OTHER'!D40</f>
        <v>17.537055550367363</v>
      </c>
      <c r="M12" s="529">
        <f>'W.EUR OTHER'!E40</f>
        <v>16.571844500633869</v>
      </c>
      <c r="N12" s="529">
        <f>'W.EUR OTHER'!F40</f>
        <v>13.70048405868403</v>
      </c>
      <c r="O12" s="529">
        <f>'W.EUR OTHER'!G40</f>
        <v>11.681030567966248</v>
      </c>
      <c r="P12" s="279">
        <f>'W.EUR OTHER'!H40</f>
        <v>7.319831169942681E-2</v>
      </c>
      <c r="S12" s="88"/>
      <c r="T12" s="42"/>
      <c r="U12" s="42"/>
      <c r="V12" s="42"/>
      <c r="W12" s="288"/>
      <c r="X12" s="288"/>
      <c r="Y12" s="288"/>
      <c r="Z12" s="288"/>
      <c r="AA12" s="42"/>
    </row>
    <row r="13" spans="2:44">
      <c r="B13" s="5" t="s">
        <v>529</v>
      </c>
      <c r="C13" s="257"/>
      <c r="D13" s="533">
        <v>6717.9273060184032</v>
      </c>
      <c r="E13" s="533">
        <v>6717.9273060184032</v>
      </c>
      <c r="F13" s="533">
        <v>6717.9273060184032</v>
      </c>
      <c r="G13" s="533">
        <v>6717.9273060184032</v>
      </c>
      <c r="H13" s="247"/>
      <c r="I13" s="247"/>
      <c r="J13" s="5" t="s">
        <v>530</v>
      </c>
      <c r="L13" s="529">
        <f>'W.EUR OTHER'!D41</f>
        <v>0.73407860349270371</v>
      </c>
      <c r="M13" s="529">
        <f>'W.EUR OTHER'!E41</f>
        <v>0.70658465772315859</v>
      </c>
      <c r="N13" s="529">
        <f>'W.EUR OTHER'!F41</f>
        <v>0.66539496043406632</v>
      </c>
      <c r="O13" s="529">
        <f>'W.EUR OTHER'!G41</f>
        <v>0.63140864888435067</v>
      </c>
      <c r="P13" s="279">
        <f>'W.EUR OTHER'!H41</f>
        <v>-1.4479895812281707E-2</v>
      </c>
      <c r="S13" s="88"/>
      <c r="T13" s="42"/>
      <c r="U13" s="42"/>
      <c r="V13" s="42"/>
      <c r="W13" s="42"/>
      <c r="X13" s="42"/>
      <c r="Y13" s="42"/>
      <c r="Z13" s="42"/>
      <c r="AA13" s="42"/>
    </row>
    <row r="14" spans="2:44">
      <c r="B14" s="5" t="s">
        <v>532</v>
      </c>
      <c r="C14" s="257"/>
      <c r="D14" s="533">
        <f>TELE2SOP!J27</f>
        <v>0</v>
      </c>
      <c r="E14" s="533">
        <f t="shared" ref="E14:G15" si="2">D14</f>
        <v>0</v>
      </c>
      <c r="F14" s="533">
        <f t="shared" si="2"/>
        <v>0</v>
      </c>
      <c r="G14" s="533">
        <f t="shared" si="2"/>
        <v>0</v>
      </c>
      <c r="H14" s="247"/>
      <c r="I14" s="247"/>
      <c r="J14" s="5" t="s">
        <v>593</v>
      </c>
      <c r="L14" s="529">
        <f>'W.EUR OTHER'!D42</f>
        <v>1.7744255045715212</v>
      </c>
      <c r="M14" s="529">
        <f>'W.EUR OTHER'!E42</f>
        <v>1.6143851746135043</v>
      </c>
      <c r="N14" s="529">
        <f>'W.EUR OTHER'!F42</f>
        <v>1.516251557360391</v>
      </c>
      <c r="O14" s="529">
        <f>'W.EUR OTHER'!G42</f>
        <v>1.4124281433920347</v>
      </c>
      <c r="P14" s="279">
        <f>'W.EUR OTHER'!H42</f>
        <v>1.1312273411797191E-2</v>
      </c>
      <c r="S14" s="88"/>
      <c r="T14" s="42"/>
      <c r="U14" s="42"/>
      <c r="V14" s="42"/>
      <c r="W14" s="42"/>
      <c r="X14" s="42"/>
      <c r="Y14" s="42"/>
      <c r="Z14" s="42"/>
      <c r="AA14" s="42"/>
    </row>
    <row r="15" spans="2:44">
      <c r="B15" s="5" t="s">
        <v>531</v>
      </c>
      <c r="C15" s="274"/>
      <c r="D15" s="533">
        <f>TELE2SOP!T15</f>
        <v>0</v>
      </c>
      <c r="E15" s="533">
        <f t="shared" si="2"/>
        <v>0</v>
      </c>
      <c r="F15" s="533">
        <f t="shared" si="2"/>
        <v>0</v>
      </c>
      <c r="G15" s="533">
        <f t="shared" si="2"/>
        <v>0</v>
      </c>
      <c r="H15" s="247"/>
      <c r="I15" s="247"/>
      <c r="J15" s="5" t="s">
        <v>475</v>
      </c>
      <c r="L15" s="529">
        <f>'W.EUR OTHER'!D43</f>
        <v>16.766632642192913</v>
      </c>
      <c r="M15" s="529">
        <f>'W.EUR OTHER'!E43</f>
        <v>18.03434445713204</v>
      </c>
      <c r="N15" s="529">
        <f>'W.EUR OTHER'!F43</f>
        <v>10.571394482468753</v>
      </c>
      <c r="O15" s="529">
        <f>'W.EUR OTHER'!G43</f>
        <v>8.2021597370687243</v>
      </c>
      <c r="P15" s="279">
        <f>'W.EUR OTHER'!H43</f>
        <v>0.21960762754614027</v>
      </c>
      <c r="S15" s="88"/>
      <c r="T15" s="42"/>
      <c r="U15" s="42"/>
      <c r="V15" s="42"/>
      <c r="W15" s="42"/>
      <c r="X15" s="42"/>
      <c r="Y15" s="42"/>
      <c r="Z15" s="42"/>
      <c r="AA15" s="42"/>
    </row>
    <row r="16" spans="2:44">
      <c r="B16" s="5" t="s">
        <v>534</v>
      </c>
      <c r="C16" s="257"/>
      <c r="D16" s="533">
        <v>2338.9638801999999</v>
      </c>
      <c r="E16" s="533">
        <v>8462.921663006</v>
      </c>
      <c r="F16" s="533">
        <v>14658.100895964089</v>
      </c>
      <c r="G16" s="533">
        <v>20925.569900826551</v>
      </c>
      <c r="H16" s="247"/>
      <c r="I16" s="247"/>
      <c r="J16" s="5" t="s">
        <v>533</v>
      </c>
      <c r="L16" s="529">
        <f>'W.EUR OTHER'!D44</f>
        <v>14.93276596244098</v>
      </c>
      <c r="M16" s="529">
        <f>'W.EUR OTHER'!E44</f>
        <v>11.776896223765881</v>
      </c>
      <c r="N16" s="529">
        <f>'W.EUR OTHER'!F44</f>
        <v>9.7753259947195836</v>
      </c>
      <c r="O16" s="529">
        <f>'W.EUR OTHER'!G44</f>
        <v>8.6831119730060706</v>
      </c>
      <c r="P16" s="279">
        <f>'W.EUR OTHER'!H44</f>
        <v>0.16793708979658639</v>
      </c>
      <c r="S16" s="88"/>
      <c r="T16" s="42"/>
      <c r="U16" s="42"/>
      <c r="V16" s="42"/>
      <c r="W16" s="42"/>
      <c r="X16" s="42"/>
      <c r="Y16" s="42"/>
      <c r="Z16" s="42"/>
      <c r="AA16" s="42"/>
    </row>
    <row r="17" spans="2:27">
      <c r="B17" s="5" t="s">
        <v>6</v>
      </c>
      <c r="C17" s="257"/>
      <c r="D17" s="533">
        <v>539.80207022263085</v>
      </c>
      <c r="E17" s="533">
        <v>539.80207022263085</v>
      </c>
      <c r="F17" s="533">
        <v>539.80207022263085</v>
      </c>
      <c r="G17" s="533">
        <v>539.80207022263085</v>
      </c>
      <c r="H17" s="247"/>
      <c r="I17" s="247"/>
      <c r="J17" s="5" t="s">
        <v>580</v>
      </c>
      <c r="L17" s="248">
        <f>'W.EUR OTHER'!D45</f>
        <v>7.0241435315537989E-2</v>
      </c>
      <c r="M17" s="248">
        <f>'W.EUR OTHER'!E45</f>
        <v>4.5697904024259245E-2</v>
      </c>
      <c r="N17" s="248">
        <f>'W.EUR OTHER'!F45</f>
        <v>4.7170150494817063E-2</v>
      </c>
      <c r="O17" s="248">
        <f>'W.EUR OTHER'!G45</f>
        <v>4.8241300976334903E-2</v>
      </c>
      <c r="P17" s="279">
        <f>'W.EUR OTHER'!H45</f>
        <v>-0.13991829578276849</v>
      </c>
      <c r="S17" s="88"/>
      <c r="T17" s="42"/>
      <c r="U17" s="42"/>
      <c r="V17" s="42"/>
      <c r="W17" s="42"/>
      <c r="X17" s="42"/>
      <c r="Y17" s="42"/>
      <c r="Z17" s="42"/>
      <c r="AA17" s="42"/>
    </row>
    <row r="18" spans="2:27" ht="12.6" thickBot="1">
      <c r="B18" s="41" t="s">
        <v>583</v>
      </c>
      <c r="C18" s="249"/>
      <c r="D18" s="534">
        <f>D11+D12+D13-D14+D15-D16-D17</f>
        <v>102109.05547174058</v>
      </c>
      <c r="E18" s="534">
        <f>E11+E12+E13-E14+E15-E16-E17</f>
        <v>96882.041355991503</v>
      </c>
      <c r="F18" s="534">
        <f>F11+F12+F13-F14+F15-F16-F17</f>
        <v>91629.324702390964</v>
      </c>
      <c r="G18" s="534">
        <f>G11+G12+G13-G14+G15-G16-G17</f>
        <v>86590.902562778414</v>
      </c>
      <c r="H18" s="276">
        <f>IF(D18=0,"nm",IF(G18=0,"nm",(G18/D18)^(1/3)-1))</f>
        <v>-5.3466471097793566E-2</v>
      </c>
      <c r="I18" s="254"/>
      <c r="J18" s="5" t="s">
        <v>36</v>
      </c>
      <c r="L18" s="248">
        <f>'W.EUR OTHER'!D46</f>
        <v>7.0241435315537989E-2</v>
      </c>
      <c r="M18" s="248">
        <f>'W.EUR OTHER'!E46</f>
        <v>4.5697904024259245E-2</v>
      </c>
      <c r="N18" s="248">
        <f>'W.EUR OTHER'!F46</f>
        <v>4.7170150494817063E-2</v>
      </c>
      <c r="O18" s="248">
        <f>'W.EUR OTHER'!G46</f>
        <v>4.8241300976334903E-2</v>
      </c>
      <c r="P18" s="279">
        <f>'W.EUR OTHER'!H46</f>
        <v>-0.13991829578276849</v>
      </c>
      <c r="S18" s="88"/>
      <c r="T18" s="42"/>
      <c r="U18" s="42"/>
      <c r="V18" s="42"/>
      <c r="W18" s="42"/>
      <c r="X18" s="42"/>
      <c r="Y18" s="42"/>
      <c r="Z18" s="42"/>
      <c r="AA18" s="42"/>
    </row>
    <row r="19" spans="2:27" ht="12.6" thickTop="1">
      <c r="B19" s="41"/>
      <c r="C19" s="249"/>
      <c r="D19" s="229"/>
      <c r="E19" s="229"/>
      <c r="F19" s="229"/>
      <c r="G19" s="229"/>
      <c r="H19" s="276"/>
      <c r="I19" s="254"/>
      <c r="J19" s="5" t="s">
        <v>581</v>
      </c>
      <c r="L19" s="248">
        <f>'W.EUR OTHER'!D47</f>
        <v>5.9642268148913748E-2</v>
      </c>
      <c r="M19" s="248">
        <f>'W.EUR OTHER'!E47</f>
        <v>5.5449756012868556E-2</v>
      </c>
      <c r="N19" s="248">
        <f>'W.EUR OTHER'!F47</f>
        <v>9.4594899628271986E-2</v>
      </c>
      <c r="O19" s="248">
        <f>'W.EUR OTHER'!G47</f>
        <v>0.12191910814423843</v>
      </c>
      <c r="P19" s="279">
        <f>'W.EUR OTHER'!H47</f>
        <v>0.21960762754614027</v>
      </c>
      <c r="S19" s="88"/>
      <c r="T19" s="42"/>
      <c r="U19" s="42"/>
      <c r="V19" s="42"/>
      <c r="W19" s="42"/>
      <c r="X19" s="42"/>
      <c r="Y19" s="42"/>
      <c r="Z19" s="42"/>
      <c r="AA19" s="42"/>
    </row>
    <row r="20" spans="2:27">
      <c r="H20" s="277"/>
      <c r="I20" s="17"/>
      <c r="J20" s="5" t="s">
        <v>604</v>
      </c>
      <c r="L20" s="305">
        <f>'W.EUR OTHER'!D48</f>
        <v>1.1058218246883247</v>
      </c>
      <c r="M20" s="305">
        <f>'W.EUR OTHER'!E48</f>
        <v>0.7720587558994737</v>
      </c>
      <c r="N20" s="305">
        <f>'W.EUR OTHER'!F48</f>
        <v>0.47387935381738827</v>
      </c>
      <c r="O20" s="305">
        <f>'W.EUR OTHER'!G48</f>
        <v>0.38783222312893756</v>
      </c>
      <c r="P20" s="279" t="str">
        <f>'W.EUR OTHER'!H48</f>
        <v>nm</v>
      </c>
      <c r="S20" s="88"/>
      <c r="T20" s="42"/>
      <c r="U20" s="42"/>
      <c r="V20" s="42"/>
      <c r="W20" s="42"/>
      <c r="X20" s="42"/>
      <c r="Y20" s="42"/>
      <c r="Z20" s="42"/>
      <c r="AA20" s="42"/>
    </row>
    <row r="21" spans="2:27" ht="12.6" thickBot="1">
      <c r="B21" s="306" t="s">
        <v>953</v>
      </c>
      <c r="C21" s="265"/>
      <c r="D21" s="265" t="str">
        <f>D5</f>
        <v>2023E</v>
      </c>
      <c r="E21" s="265" t="str">
        <f t="shared" ref="E21:H21" si="3">E5</f>
        <v>2024E</v>
      </c>
      <c r="F21" s="265" t="str">
        <f t="shared" si="3"/>
        <v>2025E</v>
      </c>
      <c r="G21" s="265" t="str">
        <f t="shared" si="3"/>
        <v>2026E</v>
      </c>
      <c r="H21" s="265" t="str">
        <f t="shared" si="3"/>
        <v>23E-26E</v>
      </c>
      <c r="I21" s="49"/>
      <c r="J21" s="41"/>
      <c r="L21" s="250"/>
      <c r="M21" s="250"/>
      <c r="N21" s="250"/>
      <c r="O21" s="250"/>
      <c r="P21" s="279"/>
      <c r="S21" s="88"/>
      <c r="T21" s="42"/>
      <c r="U21" s="42"/>
      <c r="V21" s="42"/>
      <c r="W21" s="42"/>
      <c r="X21" s="42"/>
      <c r="Y21" s="42"/>
      <c r="Z21" s="42"/>
      <c r="AA21" s="42"/>
    </row>
    <row r="22" spans="2:27" ht="12.6" thickTop="1">
      <c r="B22" s="5"/>
      <c r="C22" s="257"/>
      <c r="D22" s="17"/>
      <c r="E22" s="17"/>
      <c r="F22" s="17"/>
      <c r="G22" s="17"/>
      <c r="H22" s="17"/>
      <c r="I22" s="17"/>
      <c r="P22" s="277"/>
      <c r="S22" s="88"/>
      <c r="T22" s="42"/>
      <c r="U22" s="42"/>
      <c r="V22" s="42"/>
      <c r="W22" s="42"/>
      <c r="X22" s="42"/>
      <c r="Y22" s="42"/>
      <c r="Z22" s="42"/>
      <c r="AA22" s="42"/>
    </row>
    <row r="23" spans="2:27" ht="12.6" thickBot="1">
      <c r="B23" s="5" t="s">
        <v>584</v>
      </c>
      <c r="C23" s="548">
        <v>29217.393168519666</v>
      </c>
      <c r="D23" s="540">
        <v>29709.780992078264</v>
      </c>
      <c r="E23" s="540">
        <v>30147.229056005341</v>
      </c>
      <c r="F23" s="540">
        <v>30617.296234273297</v>
      </c>
      <c r="G23" s="540">
        <v>31121.147862263104</v>
      </c>
      <c r="H23" s="279">
        <f t="shared" ref="H23:H32" si="4">IF(D23=0,"nm",IF(G23=0,"nm",(G23/D23)^(1/3)-1))</f>
        <v>1.5590708383683483E-2</v>
      </c>
      <c r="I23" s="247"/>
      <c r="J23" s="306" t="s">
        <v>9</v>
      </c>
      <c r="K23" s="306"/>
      <c r="L23" s="265" t="str">
        <f>D21</f>
        <v>2023E</v>
      </c>
      <c r="M23" s="265" t="str">
        <f t="shared" ref="M23:P23" si="5">E21</f>
        <v>2024E</v>
      </c>
      <c r="N23" s="265" t="str">
        <f t="shared" si="5"/>
        <v>2025E</v>
      </c>
      <c r="O23" s="265" t="str">
        <f t="shared" si="5"/>
        <v>2026E</v>
      </c>
      <c r="P23" s="265" t="str">
        <f t="shared" si="5"/>
        <v>23E-26E</v>
      </c>
      <c r="S23" s="88"/>
      <c r="T23" s="42"/>
      <c r="U23" s="42"/>
      <c r="V23" s="42"/>
      <c r="W23" s="42"/>
      <c r="X23" s="42"/>
      <c r="Y23" s="42"/>
      <c r="Z23" s="42"/>
      <c r="AA23" s="42"/>
    </row>
    <row r="24" spans="2:27" ht="12.6" thickTop="1">
      <c r="B24" s="5" t="s">
        <v>483</v>
      </c>
      <c r="C24" s="548">
        <v>10060.173682611183</v>
      </c>
      <c r="D24" s="540">
        <v>10352.397380008777</v>
      </c>
      <c r="E24" s="540">
        <v>10813.906244836904</v>
      </c>
      <c r="F24" s="540">
        <v>11159.897303875223</v>
      </c>
      <c r="G24" s="540">
        <v>11381.198261948253</v>
      </c>
      <c r="H24" s="279">
        <f t="shared" si="4"/>
        <v>3.2085519739952106E-2</v>
      </c>
      <c r="I24" s="249"/>
      <c r="J24" s="17"/>
      <c r="K24" s="17"/>
      <c r="L24" s="17"/>
      <c r="M24" s="17"/>
      <c r="N24" s="17"/>
      <c r="O24" s="248"/>
      <c r="S24" s="88"/>
      <c r="T24" s="42"/>
      <c r="U24" s="42"/>
      <c r="V24" s="42"/>
      <c r="W24" s="42" t="s">
        <v>394</v>
      </c>
      <c r="X24" s="42" t="s">
        <v>256</v>
      </c>
      <c r="Y24" s="42"/>
      <c r="Z24" s="42"/>
      <c r="AA24" s="42"/>
    </row>
    <row r="25" spans="2:27">
      <c r="B25" s="5" t="s">
        <v>183</v>
      </c>
      <c r="C25" s="548">
        <v>6888.814303604865</v>
      </c>
      <c r="D25" s="540">
        <v>6308.5755079332794</v>
      </c>
      <c r="E25" s="540">
        <v>7078.5150879295197</v>
      </c>
      <c r="F25" s="540">
        <v>7218.1469047008286</v>
      </c>
      <c r="G25" s="540">
        <v>7406.7229758930725</v>
      </c>
      <c r="H25" s="279">
        <f t="shared" si="4"/>
        <v>5.4949325236261171E-2</v>
      </c>
      <c r="I25" s="248"/>
      <c r="J25" s="247" t="s">
        <v>10</v>
      </c>
      <c r="K25" s="247"/>
      <c r="L25" s="321">
        <v>6178.1252357957728</v>
      </c>
      <c r="M25" s="321">
        <v>6178.1252357957728</v>
      </c>
      <c r="N25" s="321">
        <v>6178.1252357957728</v>
      </c>
      <c r="O25" s="321">
        <v>0</v>
      </c>
      <c r="P25" s="279" t="str">
        <f>IF(L25=0,"nm",IF(O25=0,"nm",(O25/L25)^(1/3)-1))</f>
        <v>nm</v>
      </c>
      <c r="S25" s="88"/>
      <c r="T25" s="42"/>
      <c r="U25" s="42"/>
      <c r="V25" s="147" t="s">
        <v>273</v>
      </c>
      <c r="W25" s="288">
        <f>D37/L9</f>
        <v>2.1140422549242617</v>
      </c>
      <c r="X25" s="288">
        <v>1</v>
      </c>
      <c r="Y25" s="42"/>
      <c r="Z25" s="42"/>
      <c r="AA25" s="42"/>
    </row>
    <row r="26" spans="2:27">
      <c r="B26" s="5" t="s">
        <v>586</v>
      </c>
      <c r="C26" s="548">
        <v>5544.9146938613203</v>
      </c>
      <c r="D26" s="540">
        <v>5089.2732464636201</v>
      </c>
      <c r="E26" s="540">
        <v>5713.5189688221808</v>
      </c>
      <c r="F26" s="540">
        <v>5826.9338889810824</v>
      </c>
      <c r="G26" s="540">
        <v>5981.1831197750844</v>
      </c>
      <c r="H26" s="279">
        <f t="shared" si="4"/>
        <v>5.5302847453792658E-2</v>
      </c>
      <c r="I26" s="249"/>
      <c r="J26" s="249" t="s">
        <v>11</v>
      </c>
      <c r="K26" s="249"/>
      <c r="L26" s="281">
        <f>D11+L25</f>
        <v>77966.53874399577</v>
      </c>
      <c r="M26" s="281">
        <f>E11+M25</f>
        <v>77966.53874399577</v>
      </c>
      <c r="N26" s="281">
        <f>F11+N25</f>
        <v>77966.53874399577</v>
      </c>
      <c r="O26" s="281">
        <f>G11+O25</f>
        <v>71788.413508199999</v>
      </c>
      <c r="P26" s="279">
        <f>IF(L26=0,"nm",IF(O26=0,"nm",(O26/L26)^(1/3)-1))</f>
        <v>-2.7143689332064236E-2</v>
      </c>
      <c r="Q26" s="5"/>
      <c r="S26" s="88"/>
      <c r="T26" s="42"/>
      <c r="U26" s="42"/>
      <c r="V26" s="147" t="s">
        <v>184</v>
      </c>
      <c r="W26" s="288">
        <f t="shared" ref="W26:W33" si="6">D38/L10</f>
        <v>1.8682218135488438</v>
      </c>
      <c r="X26" s="288">
        <v>1</v>
      </c>
      <c r="Y26" s="42"/>
      <c r="Z26" s="42"/>
      <c r="AA26" s="42"/>
    </row>
    <row r="27" spans="2:27">
      <c r="B27" s="5" t="s">
        <v>587</v>
      </c>
      <c r="C27" s="548">
        <v>49330.707999999999</v>
      </c>
      <c r="D27" s="540">
        <v>48887.574197044356</v>
      </c>
      <c r="E27" s="540">
        <v>47390.42792993554</v>
      </c>
      <c r="F27" s="540">
        <v>46156.534968108586</v>
      </c>
      <c r="G27" s="540">
        <v>45300.423474921794</v>
      </c>
      <c r="H27" s="279">
        <f t="shared" si="4"/>
        <v>-2.5082368797506249E-2</v>
      </c>
      <c r="I27" s="249"/>
      <c r="J27" s="248"/>
      <c r="K27" s="248"/>
      <c r="L27" s="248"/>
      <c r="M27" s="248"/>
      <c r="N27" s="248"/>
      <c r="O27" s="248"/>
      <c r="Q27" s="41"/>
      <c r="S27" s="88"/>
      <c r="T27" s="42"/>
      <c r="U27" s="42"/>
      <c r="V27" s="147" t="s">
        <v>185</v>
      </c>
      <c r="W27" s="288">
        <f t="shared" si="6"/>
        <v>1.270847508730194</v>
      </c>
      <c r="X27" s="288">
        <v>1</v>
      </c>
      <c r="Y27" s="42"/>
      <c r="Z27" s="42"/>
      <c r="AA27" s="42"/>
    </row>
    <row r="28" spans="2:27" ht="12.6" thickBot="1">
      <c r="B28" s="5" t="s">
        <v>592</v>
      </c>
      <c r="C28" s="548">
        <v>8219.8729999999996</v>
      </c>
      <c r="D28" s="540">
        <v>8052.7394040566214</v>
      </c>
      <c r="E28" s="540">
        <v>7654.282771737162</v>
      </c>
      <c r="F28" s="540">
        <v>7410.5955711179558</v>
      </c>
      <c r="G28" s="540">
        <v>7191.4520356593421</v>
      </c>
      <c r="H28" s="279">
        <f t="shared" si="4"/>
        <v>-3.7004374314458577E-2</v>
      </c>
      <c r="I28" s="248"/>
      <c r="J28" s="306" t="s">
        <v>1362</v>
      </c>
      <c r="K28" s="306"/>
      <c r="L28" s="306"/>
      <c r="M28" s="306"/>
      <c r="N28" s="266"/>
      <c r="O28" s="266"/>
      <c r="P28" s="266"/>
      <c r="Q28" s="5"/>
      <c r="S28" s="88"/>
      <c r="T28" s="42"/>
      <c r="U28" s="42"/>
      <c r="V28" s="147" t="s">
        <v>466</v>
      </c>
      <c r="W28" s="288">
        <f t="shared" si="6"/>
        <v>1.1440679309718893</v>
      </c>
      <c r="X28" s="288">
        <v>1</v>
      </c>
      <c r="Y28" s="42"/>
      <c r="Z28" s="42"/>
      <c r="AA28" s="42"/>
    </row>
    <row r="29" spans="2:27" ht="12.6" thickTop="1">
      <c r="B29" s="5" t="s">
        <v>588</v>
      </c>
      <c r="C29" s="548">
        <v>5314.5763507672264</v>
      </c>
      <c r="D29" s="540">
        <v>4643.9251524551964</v>
      </c>
      <c r="E29" s="540">
        <v>5227.0141157490743</v>
      </c>
      <c r="F29" s="540">
        <v>5252.7166536005316</v>
      </c>
      <c r="G29" s="540">
        <v>5338.4221396125458</v>
      </c>
      <c r="H29" s="279">
        <f t="shared" si="4"/>
        <v>4.7552748096375552E-2</v>
      </c>
      <c r="I29" s="252"/>
      <c r="J29" s="249"/>
      <c r="K29" s="249"/>
      <c r="L29" s="249"/>
      <c r="M29" s="249"/>
      <c r="N29" s="249"/>
      <c r="O29" s="251"/>
      <c r="Q29" s="5"/>
      <c r="S29" s="88"/>
      <c r="T29" s="42"/>
      <c r="U29" s="42"/>
      <c r="V29" s="147" t="s">
        <v>530</v>
      </c>
      <c r="W29" s="288">
        <f t="shared" si="6"/>
        <v>2.8452681678987357</v>
      </c>
      <c r="X29" s="288">
        <v>1</v>
      </c>
      <c r="Y29" s="42"/>
      <c r="Z29" s="42"/>
      <c r="AA29" s="42"/>
    </row>
    <row r="30" spans="2:27">
      <c r="B30" s="5" t="s">
        <v>589</v>
      </c>
      <c r="C30" s="548">
        <v>3540.1233578387551</v>
      </c>
      <c r="D30" s="540">
        <v>3753.3683673973933</v>
      </c>
      <c r="E30" s="540">
        <v>4082.4448665381042</v>
      </c>
      <c r="F30" s="540">
        <v>4371.4007096714104</v>
      </c>
      <c r="G30" s="540">
        <v>4534.8876643235972</v>
      </c>
      <c r="H30" s="279">
        <f t="shared" si="4"/>
        <v>6.5078900548768859E-2</v>
      </c>
      <c r="I30" s="254"/>
      <c r="J30" s="248"/>
      <c r="K30" s="248"/>
      <c r="L30" s="248"/>
      <c r="M30" s="248"/>
      <c r="N30" s="248"/>
      <c r="O30" s="5"/>
      <c r="Q30" s="5"/>
      <c r="S30" s="88"/>
      <c r="T30" s="42"/>
      <c r="U30" s="42"/>
      <c r="V30" s="147" t="s">
        <v>593</v>
      </c>
      <c r="W30" s="288">
        <f t="shared" si="6"/>
        <v>7.145997216586613</v>
      </c>
      <c r="X30" s="288">
        <v>1</v>
      </c>
      <c r="Y30" s="42"/>
      <c r="Z30" s="42"/>
      <c r="AA30" s="42"/>
    </row>
    <row r="31" spans="2:27">
      <c r="B31" s="5" t="s">
        <v>590</v>
      </c>
      <c r="C31" s="548">
        <v>3854.4095350564662</v>
      </c>
      <c r="D31" s="540">
        <v>4047.13001180929</v>
      </c>
      <c r="E31" s="540">
        <v>4249.4865123997542</v>
      </c>
      <c r="F31" s="540">
        <v>4461.9608380197424</v>
      </c>
      <c r="G31" s="540">
        <v>4461.9608380197424</v>
      </c>
      <c r="H31" s="279">
        <f t="shared" si="4"/>
        <v>3.3061554146506911E-2</v>
      </c>
      <c r="I31" s="254"/>
      <c r="J31" s="252"/>
      <c r="K31" s="252"/>
      <c r="L31" s="252"/>
      <c r="M31" s="252"/>
      <c r="N31" s="252"/>
      <c r="O31" s="5"/>
      <c r="Q31" s="5"/>
      <c r="S31" s="88"/>
      <c r="T31" s="42"/>
      <c r="U31" s="42"/>
      <c r="V31" s="147" t="s">
        <v>475</v>
      </c>
      <c r="W31" s="288">
        <f t="shared" si="6"/>
        <v>1.0013299219419174</v>
      </c>
      <c r="X31" s="288">
        <v>1</v>
      </c>
      <c r="Y31" s="42"/>
      <c r="Z31" s="42"/>
      <c r="AA31" s="42"/>
    </row>
    <row r="32" spans="2:27">
      <c r="B32" s="5" t="s">
        <v>606</v>
      </c>
      <c r="C32" s="550">
        <v>0</v>
      </c>
      <c r="D32" s="540">
        <v>0</v>
      </c>
      <c r="E32" s="540">
        <v>0</v>
      </c>
      <c r="F32" s="540">
        <v>0</v>
      </c>
      <c r="G32" s="540">
        <v>0</v>
      </c>
      <c r="H32" s="279" t="str">
        <f t="shared" si="4"/>
        <v>nm</v>
      </c>
      <c r="I32" s="254"/>
      <c r="J32" s="254"/>
      <c r="K32" s="254"/>
      <c r="L32" s="254"/>
      <c r="M32" s="254"/>
      <c r="N32" s="254"/>
      <c r="O32" s="251"/>
      <c r="Q32" s="5"/>
      <c r="S32" s="88"/>
      <c r="T32" s="42"/>
      <c r="U32" s="42"/>
      <c r="V32" s="147" t="s">
        <v>533</v>
      </c>
      <c r="W32" s="288">
        <f t="shared" si="6"/>
        <v>1.2808341773429508</v>
      </c>
      <c r="X32" s="288">
        <v>1</v>
      </c>
      <c r="Y32" s="42"/>
      <c r="Z32" s="42"/>
      <c r="AA32" s="42"/>
    </row>
    <row r="33" spans="2:27">
      <c r="B33" s="5" t="s">
        <v>5</v>
      </c>
      <c r="C33" s="548">
        <v>689.30373683125777</v>
      </c>
      <c r="D33" s="540">
        <v>738.1388000476411</v>
      </c>
      <c r="E33" s="540">
        <v>848.28945043568604</v>
      </c>
      <c r="F33" s="540">
        <v>893.1298941544319</v>
      </c>
      <c r="G33" s="540">
        <v>957.96021674550821</v>
      </c>
      <c r="H33" s="279">
        <f>IF(D33=0,"nm",IF(G33=0,"nm",(G33/D33)^(1/3)-1))</f>
        <v>9.0778275433920363E-2</v>
      </c>
      <c r="I33" s="5"/>
      <c r="J33" s="254"/>
      <c r="K33" s="254"/>
      <c r="L33" s="254"/>
      <c r="M33" s="254"/>
      <c r="N33" s="254"/>
      <c r="O33" s="251"/>
      <c r="Q33" s="5"/>
      <c r="S33" s="88"/>
      <c r="T33" s="42"/>
      <c r="U33" s="42"/>
      <c r="V33" s="147" t="s">
        <v>580</v>
      </c>
      <c r="W33" s="288">
        <f t="shared" si="6"/>
        <v>0.80260049451576754</v>
      </c>
      <c r="X33" s="288">
        <v>1</v>
      </c>
      <c r="Y33" s="42"/>
      <c r="Z33" s="42"/>
      <c r="AA33" s="42"/>
    </row>
    <row r="34" spans="2:27">
      <c r="B34" s="5"/>
      <c r="C34" s="247"/>
      <c r="D34" s="17"/>
      <c r="E34" s="17"/>
      <c r="F34" s="17"/>
      <c r="G34" s="17"/>
      <c r="H34" s="277"/>
      <c r="I34" s="49"/>
      <c r="J34" s="254"/>
      <c r="K34" s="254"/>
      <c r="L34" s="254"/>
      <c r="M34" s="254"/>
      <c r="N34" s="254"/>
      <c r="O34" s="251"/>
      <c r="Q34" s="5"/>
      <c r="S34" s="88"/>
      <c r="T34" s="42"/>
      <c r="U34" s="42"/>
      <c r="V34" s="147" t="s">
        <v>581</v>
      </c>
      <c r="W34" s="288">
        <f>D47/L19</f>
        <v>0.99867184440135559</v>
      </c>
      <c r="X34" s="288">
        <v>1</v>
      </c>
      <c r="Y34" s="288"/>
      <c r="Z34" s="288"/>
      <c r="AA34" s="42"/>
    </row>
    <row r="35" spans="2:27" ht="12.6" thickBot="1">
      <c r="B35" s="306" t="s">
        <v>397</v>
      </c>
      <c r="C35" s="265"/>
      <c r="D35" s="265" t="str">
        <f>D5</f>
        <v>2023E</v>
      </c>
      <c r="E35" s="265" t="str">
        <f t="shared" ref="E35:H35" si="7">E5</f>
        <v>2024E</v>
      </c>
      <c r="F35" s="265" t="str">
        <f t="shared" si="7"/>
        <v>2025E</v>
      </c>
      <c r="G35" s="265" t="str">
        <f t="shared" si="7"/>
        <v>2026E</v>
      </c>
      <c r="H35" s="265" t="str">
        <f t="shared" si="7"/>
        <v>23E-26E</v>
      </c>
      <c r="I35" s="254"/>
      <c r="J35" s="5"/>
      <c r="K35" s="5"/>
      <c r="L35" s="5"/>
      <c r="M35" s="5"/>
      <c r="N35" s="5"/>
      <c r="O35" s="5"/>
      <c r="Q35" s="5"/>
      <c r="S35" s="88"/>
      <c r="T35" s="42"/>
      <c r="U35" s="42"/>
      <c r="V35" s="42"/>
      <c r="W35" s="42"/>
      <c r="X35" s="42"/>
      <c r="Y35" s="288"/>
      <c r="Z35" s="288"/>
      <c r="AA35" s="42"/>
    </row>
    <row r="36" spans="2:27" ht="12.6" thickTop="1">
      <c r="B36" s="41"/>
      <c r="C36" s="249"/>
      <c r="D36" s="254"/>
      <c r="E36" s="254"/>
      <c r="F36" s="254"/>
      <c r="G36" s="254"/>
      <c r="H36" s="254"/>
      <c r="I36" s="17"/>
      <c r="J36" s="49"/>
      <c r="K36" s="49"/>
      <c r="L36" s="49"/>
      <c r="M36" s="49"/>
      <c r="N36" s="49"/>
      <c r="O36" s="49"/>
      <c r="Q36" s="5"/>
      <c r="S36" s="88"/>
      <c r="T36" s="42"/>
      <c r="U36" s="42"/>
      <c r="V36" s="42"/>
      <c r="W36" s="42"/>
      <c r="X36" s="42"/>
      <c r="Y36" s="288"/>
      <c r="Z36" s="288"/>
      <c r="AA36" s="42"/>
    </row>
    <row r="37" spans="2:27">
      <c r="B37" s="5" t="s">
        <v>273</v>
      </c>
      <c r="C37" s="247"/>
      <c r="D37" s="529">
        <f>D$18/D23</f>
        <v>3.4368834795169532</v>
      </c>
      <c r="E37" s="529">
        <f t="shared" ref="E37:G41" si="8">E$18/E23</f>
        <v>3.2136300545569565</v>
      </c>
      <c r="F37" s="529">
        <f t="shared" si="8"/>
        <v>2.9927307754830492</v>
      </c>
      <c r="G37" s="529">
        <f t="shared" si="8"/>
        <v>2.7823813872809251</v>
      </c>
      <c r="H37" s="17">
        <f t="shared" ref="H37:H45" si="9">H23</f>
        <v>1.5590708383683483E-2</v>
      </c>
      <c r="I37" s="5"/>
      <c r="J37" s="259"/>
      <c r="K37" s="259"/>
      <c r="L37" s="259"/>
      <c r="M37" s="259"/>
      <c r="N37" s="259"/>
      <c r="O37" s="18"/>
      <c r="Q37" s="5"/>
      <c r="R37" s="5"/>
      <c r="S37" s="42"/>
      <c r="T37" s="42"/>
      <c r="U37" s="42"/>
      <c r="V37" s="42"/>
      <c r="W37" s="42"/>
      <c r="X37" s="42"/>
      <c r="Y37" s="42"/>
      <c r="Z37" s="42"/>
      <c r="AA37" s="42"/>
    </row>
    <row r="38" spans="2:27">
      <c r="B38" s="5" t="s">
        <v>184</v>
      </c>
      <c r="C38" s="247"/>
      <c r="D38" s="529">
        <f>D$18/D24</f>
        <v>9.8633245733901695</v>
      </c>
      <c r="E38" s="529">
        <f t="shared" si="8"/>
        <v>8.9590236092760467</v>
      </c>
      <c r="F38" s="529">
        <f t="shared" si="8"/>
        <v>8.2105885213274412</v>
      </c>
      <c r="G38" s="529">
        <f t="shared" si="8"/>
        <v>7.6082412914539308</v>
      </c>
      <c r="H38" s="17">
        <f t="shared" si="9"/>
        <v>3.2085519739952106E-2</v>
      </c>
      <c r="I38" s="259"/>
      <c r="J38" s="17"/>
      <c r="K38" s="17"/>
      <c r="L38" s="17"/>
      <c r="M38" s="17"/>
      <c r="N38" s="17"/>
      <c r="O38" s="5"/>
      <c r="Q38" s="5"/>
      <c r="R38" s="5"/>
      <c r="S38" s="42"/>
      <c r="T38" s="42"/>
      <c r="U38" s="42"/>
      <c r="V38" s="42"/>
      <c r="W38" s="42"/>
      <c r="X38" s="42"/>
      <c r="Y38" s="42"/>
      <c r="Z38" s="42"/>
      <c r="AA38" s="42"/>
    </row>
    <row r="39" spans="2:27">
      <c r="B39" s="5" t="s">
        <v>185</v>
      </c>
      <c r="C39" s="247"/>
      <c r="D39" s="529">
        <f>D$18/D25</f>
        <v>16.185754667330915</v>
      </c>
      <c r="E39" s="529">
        <f t="shared" si="8"/>
        <v>13.686774719347204</v>
      </c>
      <c r="F39" s="529">
        <f t="shared" si="8"/>
        <v>12.694300339428841</v>
      </c>
      <c r="G39" s="529">
        <f t="shared" si="8"/>
        <v>11.690852060298317</v>
      </c>
      <c r="H39" s="17">
        <f t="shared" si="9"/>
        <v>5.4949325236261171E-2</v>
      </c>
      <c r="I39" s="17"/>
      <c r="J39" s="5"/>
      <c r="K39" s="5"/>
      <c r="L39" s="5"/>
      <c r="M39" s="5"/>
      <c r="N39" s="5"/>
      <c r="O39" s="5"/>
      <c r="Q39" s="5"/>
      <c r="R39" s="5"/>
      <c r="S39" s="42"/>
      <c r="T39" s="42"/>
      <c r="U39" s="42"/>
      <c r="V39" s="42"/>
      <c r="W39" s="42"/>
      <c r="X39" s="42"/>
      <c r="Y39" s="42"/>
      <c r="Z39" s="42"/>
      <c r="AA39" s="42"/>
    </row>
    <row r="40" spans="2:27">
      <c r="B40" s="5" t="s">
        <v>466</v>
      </c>
      <c r="C40" s="247"/>
      <c r="D40" s="529">
        <f>D$18/D26</f>
        <v>20.063582858847877</v>
      </c>
      <c r="E40" s="529">
        <f t="shared" si="8"/>
        <v>16.956632485979714</v>
      </c>
      <c r="F40" s="529">
        <f t="shared" si="8"/>
        <v>15.725135456859213</v>
      </c>
      <c r="G40" s="529">
        <f t="shared" si="8"/>
        <v>14.477219778891264</v>
      </c>
      <c r="H40" s="17">
        <f t="shared" si="9"/>
        <v>5.5302847453792658E-2</v>
      </c>
      <c r="I40" s="5"/>
      <c r="J40" s="259"/>
      <c r="K40" s="259"/>
      <c r="L40" s="259"/>
      <c r="M40" s="259"/>
      <c r="N40" s="259"/>
      <c r="O40" s="18"/>
      <c r="Q40" s="5"/>
      <c r="R40" s="5"/>
      <c r="S40" s="42"/>
      <c r="T40" s="42"/>
      <c r="U40" s="42"/>
      <c r="V40" s="42"/>
      <c r="W40" s="288"/>
      <c r="X40" s="288"/>
      <c r="Y40" s="42"/>
      <c r="Z40" s="42"/>
      <c r="AA40" s="42"/>
    </row>
    <row r="41" spans="2:27">
      <c r="B41" s="5" t="s">
        <v>530</v>
      </c>
      <c r="C41" s="247"/>
      <c r="D41" s="529">
        <f>D$18/D27</f>
        <v>2.0886504832533475</v>
      </c>
      <c r="E41" s="529">
        <f t="shared" si="8"/>
        <v>2.044337761609305</v>
      </c>
      <c r="F41" s="529">
        <f t="shared" si="8"/>
        <v>1.9851863829401701</v>
      </c>
      <c r="G41" s="529">
        <f t="shared" si="8"/>
        <v>1.9114810838515655</v>
      </c>
      <c r="H41" s="17">
        <f t="shared" si="9"/>
        <v>-2.5082368797506249E-2</v>
      </c>
      <c r="I41" s="247"/>
      <c r="J41" s="17"/>
      <c r="K41" s="17"/>
      <c r="L41" s="17"/>
      <c r="M41" s="17"/>
      <c r="N41" s="17"/>
      <c r="O41" s="5"/>
      <c r="Q41" s="5"/>
      <c r="R41" s="5"/>
      <c r="S41" s="42"/>
      <c r="T41" s="42"/>
      <c r="U41" s="42"/>
      <c r="V41" s="42"/>
      <c r="W41" s="288"/>
      <c r="X41" s="288"/>
      <c r="Y41" s="288"/>
      <c r="Z41" s="288"/>
      <c r="AA41" s="42"/>
    </row>
    <row r="42" spans="2:27">
      <c r="B42" s="5" t="s">
        <v>593</v>
      </c>
      <c r="C42" s="247"/>
      <c r="D42" s="529">
        <f>D18/D28</f>
        <v>12.680039716708386</v>
      </c>
      <c r="E42" s="529">
        <f>E18/E28</f>
        <v>12.657233113169118</v>
      </c>
      <c r="F42" s="529">
        <f>F18/F28</f>
        <v>12.364637069051097</v>
      </c>
      <c r="G42" s="529">
        <f>G18/G28</f>
        <v>12.040809301572349</v>
      </c>
      <c r="H42" s="17">
        <f t="shared" si="9"/>
        <v>-3.7004374314458577E-2</v>
      </c>
      <c r="I42" s="248"/>
      <c r="J42" s="5"/>
      <c r="K42" s="5"/>
      <c r="L42" s="5"/>
      <c r="M42" s="5"/>
      <c r="N42" s="5"/>
      <c r="O42" s="5"/>
      <c r="Q42" s="5"/>
      <c r="R42" s="5"/>
      <c r="S42" s="42"/>
      <c r="T42" s="42"/>
      <c r="U42" s="42"/>
      <c r="V42" s="42"/>
      <c r="W42" s="288"/>
      <c r="X42" s="288"/>
      <c r="Y42" s="288"/>
      <c r="Z42" s="288"/>
      <c r="AA42" s="42"/>
    </row>
    <row r="43" spans="2:27">
      <c r="B43" s="5" t="s">
        <v>475</v>
      </c>
      <c r="C43" s="247"/>
      <c r="D43" s="529">
        <f>L26/D29</f>
        <v>16.788930954835834</v>
      </c>
      <c r="E43" s="529">
        <f>M26/E29</f>
        <v>14.916075797285755</v>
      </c>
      <c r="F43" s="529">
        <f>N26/F29</f>
        <v>14.843088612166575</v>
      </c>
      <c r="G43" s="529">
        <f>O26/G29</f>
        <v>13.447496588085537</v>
      </c>
      <c r="H43" s="17">
        <f t="shared" si="9"/>
        <v>4.7552748096375552E-2</v>
      </c>
      <c r="I43" s="247"/>
      <c r="J43" s="247"/>
      <c r="K43" s="247"/>
      <c r="L43" s="247"/>
      <c r="M43" s="247"/>
      <c r="N43" s="247"/>
      <c r="O43" s="18"/>
      <c r="Q43" s="5"/>
      <c r="R43" s="5"/>
      <c r="S43" s="42"/>
      <c r="T43" s="42"/>
      <c r="U43" s="42"/>
      <c r="V43" s="42"/>
      <c r="W43" s="288"/>
      <c r="X43" s="288"/>
      <c r="Y43" s="288"/>
      <c r="Z43" s="288"/>
      <c r="AA43" s="42"/>
    </row>
    <row r="44" spans="2:27">
      <c r="B44" s="5" t="s">
        <v>533</v>
      </c>
      <c r="C44" s="69"/>
      <c r="D44" s="529">
        <f>D11/D30</f>
        <v>19.126397006957909</v>
      </c>
      <c r="E44" s="529">
        <f>E11/E30</f>
        <v>17.584662097121292</v>
      </c>
      <c r="F44" s="529">
        <f>F11/F30</f>
        <v>16.422290765834688</v>
      </c>
      <c r="G44" s="529">
        <f>G11/G30</f>
        <v>15.830251777340912</v>
      </c>
      <c r="H44" s="17">
        <f t="shared" si="9"/>
        <v>6.5078900548768859E-2</v>
      </c>
      <c r="I44" s="247"/>
      <c r="J44" s="248"/>
      <c r="K44" s="248"/>
      <c r="L44" s="248"/>
      <c r="M44" s="248"/>
      <c r="N44" s="248"/>
      <c r="O44" s="248"/>
      <c r="Q44" s="5"/>
      <c r="R44" s="5"/>
      <c r="S44" s="42"/>
      <c r="T44" s="42"/>
      <c r="U44" s="42"/>
      <c r="V44" s="42"/>
      <c r="W44" s="325"/>
      <c r="X44" s="325"/>
      <c r="Y44" s="288"/>
      <c r="Z44" s="288"/>
      <c r="AA44" s="42"/>
    </row>
    <row r="45" spans="2:27">
      <c r="B45" s="5" t="s">
        <v>580</v>
      </c>
      <c r="C45" s="247"/>
      <c r="D45" s="248">
        <f>D31/D11</f>
        <v>5.6375810719748086E-2</v>
      </c>
      <c r="E45" s="248">
        <f>E31/E11</f>
        <v>5.9194601255735488E-2</v>
      </c>
      <c r="F45" s="248">
        <f>F31/F11</f>
        <v>6.2154331318522271E-2</v>
      </c>
      <c r="G45" s="248">
        <f>G31/G11</f>
        <v>6.2154331318522271E-2</v>
      </c>
      <c r="H45" s="17">
        <f t="shared" si="9"/>
        <v>3.3061554146506911E-2</v>
      </c>
      <c r="I45" s="248"/>
      <c r="J45" s="247"/>
      <c r="K45" s="247"/>
      <c r="L45" s="247"/>
      <c r="M45" s="247"/>
      <c r="N45" s="247"/>
      <c r="O45" s="248"/>
      <c r="Q45" s="5"/>
      <c r="R45" s="5"/>
      <c r="S45" s="42"/>
      <c r="T45" s="42"/>
      <c r="U45" s="42"/>
      <c r="V45" s="42"/>
      <c r="W45" s="42"/>
      <c r="X45" s="42"/>
      <c r="Y45" s="325"/>
      <c r="Z45" s="325"/>
      <c r="AA45" s="42"/>
    </row>
    <row r="46" spans="2:27">
      <c r="B46" s="5" t="s">
        <v>605</v>
      </c>
      <c r="C46" s="247"/>
      <c r="D46" s="248">
        <f>(D31+D32)/D11</f>
        <v>5.6375810719748086E-2</v>
      </c>
      <c r="E46" s="248">
        <f>(E31+E32)/E11</f>
        <v>5.9194601255735488E-2</v>
      </c>
      <c r="F46" s="248">
        <f>(F31+F32)/F11</f>
        <v>6.2154331318522271E-2</v>
      </c>
      <c r="G46" s="248">
        <f>(G31+G32)/G11</f>
        <v>6.2154331318522271E-2</v>
      </c>
      <c r="H46" s="279">
        <f>((G31+G32)/(D31+D32))^(1/3)-1</f>
        <v>3.3061554146506911E-2</v>
      </c>
      <c r="I46" s="247"/>
      <c r="J46" s="247"/>
      <c r="K46" s="247"/>
      <c r="L46" s="247"/>
      <c r="M46" s="247"/>
      <c r="N46" s="247"/>
      <c r="O46" s="18"/>
      <c r="Q46" s="5"/>
      <c r="R46" s="5"/>
      <c r="S46" s="42"/>
      <c r="T46" s="42"/>
      <c r="U46" s="42"/>
      <c r="V46" s="42"/>
      <c r="W46" s="42"/>
      <c r="X46" s="42"/>
      <c r="Y46" s="42"/>
      <c r="Z46" s="42"/>
      <c r="AA46" s="326"/>
    </row>
    <row r="47" spans="2:27">
      <c r="B47" s="5" t="s">
        <v>581</v>
      </c>
      <c r="C47" s="5"/>
      <c r="D47" s="248">
        <f>1/D43</f>
        <v>5.9563053936555914E-2</v>
      </c>
      <c r="E47" s="248">
        <f>1/E43</f>
        <v>6.704176176028602E-2</v>
      </c>
      <c r="F47" s="248">
        <f>1/F43</f>
        <v>6.7371422897813907E-2</v>
      </c>
      <c r="G47" s="248">
        <f>1/G43</f>
        <v>7.4363283414847534E-2</v>
      </c>
      <c r="H47" s="17">
        <f>H29</f>
        <v>4.7552748096375552E-2</v>
      </c>
      <c r="I47" s="17"/>
      <c r="J47" s="248"/>
      <c r="K47" s="248"/>
      <c r="L47" s="248"/>
      <c r="M47" s="248"/>
      <c r="N47" s="248"/>
      <c r="O47" s="248"/>
      <c r="Q47" s="5"/>
      <c r="R47" s="5"/>
      <c r="S47" s="42"/>
      <c r="T47" s="42"/>
      <c r="U47" s="42"/>
      <c r="V47" s="42"/>
      <c r="W47" s="42"/>
      <c r="X47" s="42"/>
      <c r="Y47" s="42"/>
      <c r="Z47" s="42"/>
      <c r="AA47" s="326"/>
    </row>
    <row r="48" spans="2:27">
      <c r="B48" s="5" t="s">
        <v>618</v>
      </c>
      <c r="C48" s="5"/>
      <c r="D48" s="305">
        <f>D31/D29</f>
        <v>0.87148906990234609</v>
      </c>
      <c r="E48" s="305">
        <f>E31/E29</f>
        <v>0.81298546709410746</v>
      </c>
      <c r="F48" s="305">
        <f>F31/F29</f>
        <v>0.84945774392023277</v>
      </c>
      <c r="G48" s="305">
        <f>G31/G29</f>
        <v>0.83582015834056622</v>
      </c>
      <c r="H48" s="279" t="s">
        <v>607</v>
      </c>
      <c r="I48" s="247"/>
      <c r="J48" s="247"/>
      <c r="K48" s="247"/>
      <c r="L48" s="247"/>
      <c r="M48" s="247"/>
      <c r="N48" s="247"/>
      <c r="O48" s="248"/>
      <c r="Q48" s="5"/>
      <c r="R48" s="5"/>
      <c r="S48" s="42"/>
      <c r="T48" s="42"/>
      <c r="U48" s="42"/>
      <c r="V48" s="42"/>
      <c r="W48" s="42"/>
      <c r="X48" s="42"/>
      <c r="Y48" s="42"/>
      <c r="Z48" s="42"/>
      <c r="AA48" s="326"/>
    </row>
    <row r="49" spans="2:27">
      <c r="B49" s="41"/>
      <c r="C49" s="17"/>
      <c r="D49" s="17"/>
      <c r="E49" s="17"/>
      <c r="F49" s="17"/>
      <c r="G49" s="17"/>
      <c r="H49" s="17"/>
      <c r="I49" s="254"/>
      <c r="J49" s="17"/>
      <c r="K49" s="17"/>
      <c r="L49" s="17"/>
      <c r="M49" s="17"/>
      <c r="N49" s="17"/>
      <c r="O49" s="248"/>
      <c r="Q49" s="5"/>
      <c r="R49" s="5"/>
      <c r="S49" s="42"/>
      <c r="T49" s="42"/>
      <c r="U49" s="42"/>
      <c r="V49" s="42"/>
      <c r="W49" s="42"/>
      <c r="X49" s="42"/>
      <c r="Y49" s="42"/>
      <c r="Z49" s="42"/>
      <c r="AA49" s="326"/>
    </row>
    <row r="50" spans="2:27">
      <c r="B50" s="5"/>
      <c r="C50" s="257"/>
      <c r="D50" s="257"/>
      <c r="E50" s="257"/>
      <c r="F50" s="5"/>
      <c r="G50" s="41"/>
      <c r="H50" s="249"/>
      <c r="I50" s="17"/>
      <c r="J50" s="249"/>
      <c r="K50" s="249"/>
      <c r="L50" s="249"/>
      <c r="M50" s="249"/>
      <c r="N50" s="249"/>
      <c r="O50" s="250"/>
      <c r="Q50" s="5"/>
      <c r="R50" s="5"/>
      <c r="S50" s="42"/>
      <c r="T50" s="42"/>
      <c r="U50" s="42"/>
      <c r="V50" s="42"/>
      <c r="W50" s="288"/>
      <c r="X50" s="288"/>
      <c r="Y50" s="42"/>
      <c r="Z50" s="42"/>
      <c r="AA50" s="326"/>
    </row>
    <row r="51" spans="2:27">
      <c r="B51" s="41"/>
      <c r="C51" s="249"/>
      <c r="D51" s="254"/>
      <c r="E51" s="254"/>
      <c r="F51" s="254"/>
      <c r="G51" s="254"/>
      <c r="H51" s="254"/>
      <c r="I51" s="259"/>
      <c r="J51" s="254"/>
      <c r="K51" s="254"/>
      <c r="L51" s="254"/>
      <c r="M51" s="254"/>
      <c r="N51" s="254"/>
      <c r="O51" s="251"/>
      <c r="Q51" s="5"/>
      <c r="R51" s="5"/>
      <c r="S51" s="42"/>
      <c r="T51" s="42"/>
      <c r="U51" s="42"/>
      <c r="V51" s="42"/>
      <c r="W51" s="288"/>
      <c r="X51" s="288"/>
      <c r="Y51" s="288"/>
      <c r="Z51" s="288"/>
      <c r="AA51" s="42"/>
    </row>
    <row r="52" spans="2:27">
      <c r="B52" s="5"/>
      <c r="C52" s="257"/>
      <c r="D52" s="17"/>
      <c r="E52" s="17"/>
      <c r="F52" s="17"/>
      <c r="G52" s="17"/>
      <c r="H52" s="17"/>
      <c r="I52" s="254"/>
      <c r="J52" s="17"/>
      <c r="K52" s="17"/>
      <c r="L52" s="17"/>
      <c r="M52" s="17"/>
      <c r="N52" s="17"/>
      <c r="O52" s="248"/>
      <c r="Q52" s="5"/>
      <c r="R52" s="5"/>
      <c r="S52" s="5"/>
      <c r="Y52" s="10"/>
      <c r="Z52" s="10"/>
    </row>
    <row r="53" spans="2:27">
      <c r="B53" s="5"/>
      <c r="C53" s="257"/>
      <c r="D53" s="257"/>
      <c r="E53" s="257"/>
      <c r="F53" s="5"/>
      <c r="G53" s="5"/>
      <c r="H53" s="259"/>
      <c r="I53" s="17"/>
      <c r="J53" s="259"/>
      <c r="K53" s="259"/>
      <c r="L53" s="259"/>
      <c r="M53" s="259"/>
      <c r="N53" s="259"/>
      <c r="O53" s="18"/>
      <c r="Q53" s="5"/>
      <c r="R53" s="5"/>
      <c r="S53" s="5"/>
    </row>
    <row r="54" spans="2:27">
      <c r="B54" s="41"/>
      <c r="C54" s="249"/>
      <c r="D54" s="254"/>
      <c r="E54" s="254"/>
      <c r="F54" s="254"/>
      <c r="G54" s="254"/>
      <c r="H54" s="254"/>
      <c r="I54" s="259"/>
      <c r="J54" s="254"/>
      <c r="K54" s="254"/>
      <c r="L54" s="254"/>
      <c r="M54" s="254"/>
      <c r="N54" s="254"/>
      <c r="O54" s="251"/>
      <c r="Q54" s="5"/>
      <c r="R54" s="5"/>
      <c r="S54" s="5"/>
    </row>
    <row r="55" spans="2:27">
      <c r="B55" s="5"/>
      <c r="C55" s="257"/>
      <c r="D55" s="17"/>
      <c r="E55" s="17"/>
      <c r="F55" s="17"/>
      <c r="G55" s="17"/>
      <c r="H55" s="17"/>
      <c r="I55" s="249"/>
      <c r="J55" s="17"/>
      <c r="K55" s="17"/>
      <c r="L55" s="17"/>
      <c r="M55" s="17"/>
      <c r="N55" s="17"/>
      <c r="O55" s="18"/>
      <c r="Q55" s="5"/>
      <c r="R55" s="5"/>
      <c r="S55" s="5"/>
    </row>
    <row r="56" spans="2:27">
      <c r="B56" s="5"/>
      <c r="C56" s="248"/>
      <c r="D56" s="248"/>
      <c r="E56" s="248"/>
      <c r="F56" s="5"/>
      <c r="G56" s="5"/>
      <c r="H56" s="259"/>
      <c r="I56" s="248"/>
      <c r="J56" s="259"/>
      <c r="K56" s="259"/>
      <c r="L56" s="259"/>
      <c r="M56" s="259"/>
      <c r="N56" s="259"/>
      <c r="O56" s="18"/>
      <c r="Q56" s="5"/>
      <c r="R56" s="5"/>
      <c r="S56" s="5"/>
    </row>
    <row r="57" spans="2:27">
      <c r="B57" s="41"/>
      <c r="C57" s="249"/>
      <c r="D57" s="249"/>
      <c r="E57" s="249"/>
      <c r="F57" s="249"/>
      <c r="G57" s="249"/>
      <c r="H57" s="249"/>
      <c r="I57" s="5"/>
      <c r="J57" s="249"/>
      <c r="K57" s="249"/>
      <c r="L57" s="249"/>
      <c r="M57" s="249"/>
      <c r="N57" s="249"/>
      <c r="O57" s="251"/>
      <c r="Q57" s="5"/>
      <c r="R57" s="5"/>
      <c r="S57" s="5"/>
    </row>
    <row r="58" spans="2:27">
      <c r="B58" s="5"/>
      <c r="C58" s="5"/>
      <c r="D58" s="248"/>
      <c r="E58" s="248"/>
      <c r="F58" s="248"/>
      <c r="G58" s="248"/>
      <c r="H58" s="248"/>
      <c r="I58" s="17"/>
      <c r="J58" s="248"/>
      <c r="K58" s="248"/>
      <c r="L58" s="248"/>
      <c r="M58" s="248"/>
      <c r="N58" s="248"/>
      <c r="O58" s="18"/>
      <c r="Q58" s="5"/>
      <c r="R58" s="5"/>
      <c r="S58" s="5"/>
    </row>
    <row r="59" spans="2:27">
      <c r="B59" s="5"/>
      <c r="C59" s="5"/>
      <c r="D59" s="5"/>
      <c r="E59" s="5"/>
      <c r="F59" s="5"/>
      <c r="G59" s="5"/>
      <c r="H59" s="5"/>
      <c r="I59" s="5"/>
      <c r="J59" s="5"/>
      <c r="K59" s="5"/>
      <c r="L59" s="5"/>
      <c r="M59" s="5"/>
      <c r="N59" s="5"/>
      <c r="O59" s="5"/>
      <c r="Q59" s="5"/>
      <c r="R59" s="5"/>
      <c r="S59" s="5"/>
    </row>
    <row r="60" spans="2:27">
      <c r="B60" s="41"/>
      <c r="C60" s="17"/>
      <c r="D60" s="17"/>
      <c r="E60" s="17"/>
      <c r="F60" s="17"/>
      <c r="G60" s="17"/>
      <c r="H60" s="17"/>
      <c r="I60" s="249"/>
      <c r="J60" s="17"/>
      <c r="K60" s="17"/>
      <c r="L60" s="17"/>
      <c r="M60" s="17"/>
      <c r="N60" s="17"/>
      <c r="O60" s="251"/>
      <c r="Q60" s="5"/>
      <c r="R60" s="5"/>
      <c r="S60" s="5"/>
    </row>
    <row r="61" spans="2:27">
      <c r="B61" s="5"/>
      <c r="C61" s="5"/>
      <c r="D61" s="5"/>
      <c r="E61" s="5"/>
      <c r="F61" s="5"/>
      <c r="G61" s="5"/>
      <c r="H61" s="5"/>
      <c r="I61" s="5"/>
      <c r="J61" s="5"/>
      <c r="K61" s="5"/>
      <c r="L61" s="5"/>
      <c r="M61" s="5"/>
      <c r="N61" s="5"/>
      <c r="O61" s="5"/>
      <c r="Q61" s="41"/>
      <c r="R61" s="5"/>
      <c r="S61" s="5"/>
    </row>
    <row r="62" spans="2:27">
      <c r="B62" s="41"/>
      <c r="C62" s="249"/>
      <c r="D62" s="249"/>
      <c r="E62" s="249"/>
      <c r="F62" s="249"/>
      <c r="G62" s="249"/>
      <c r="H62" s="249"/>
      <c r="I62" s="5"/>
      <c r="J62" s="249"/>
      <c r="K62" s="249"/>
      <c r="L62" s="249"/>
      <c r="M62" s="249"/>
      <c r="N62" s="249"/>
      <c r="O62" s="251"/>
      <c r="Q62" s="5"/>
      <c r="R62" s="5"/>
      <c r="S62" s="5"/>
    </row>
    <row r="63" spans="2:27">
      <c r="B63" s="5"/>
      <c r="C63" s="5"/>
      <c r="D63" s="5"/>
      <c r="E63" s="5"/>
      <c r="F63" s="5"/>
      <c r="G63" s="5"/>
      <c r="H63" s="5"/>
      <c r="I63" s="254"/>
      <c r="J63" s="5"/>
      <c r="K63" s="5"/>
      <c r="L63" s="5"/>
      <c r="M63" s="5"/>
      <c r="N63" s="5"/>
      <c r="O63" s="5"/>
      <c r="Q63" s="5"/>
      <c r="R63" s="5"/>
      <c r="S63" s="5"/>
    </row>
    <row r="64" spans="2:27">
      <c r="B64" s="5"/>
      <c r="C64" s="5"/>
      <c r="D64" s="5"/>
      <c r="E64" s="5"/>
      <c r="F64" s="5"/>
      <c r="G64" s="5"/>
      <c r="H64" s="5"/>
      <c r="I64" s="17"/>
      <c r="J64" s="5"/>
      <c r="K64" s="5"/>
      <c r="L64" s="5"/>
      <c r="M64" s="5"/>
      <c r="N64" s="5"/>
      <c r="O64" s="5"/>
      <c r="Q64" s="5"/>
      <c r="R64" s="5"/>
      <c r="S64" s="5"/>
    </row>
    <row r="65" spans="2:26">
      <c r="B65" s="41"/>
      <c r="C65" s="249"/>
      <c r="D65" s="254"/>
      <c r="E65" s="254"/>
      <c r="F65" s="254"/>
      <c r="G65" s="254"/>
      <c r="H65" s="254"/>
      <c r="I65" s="254"/>
      <c r="J65" s="254"/>
      <c r="K65" s="254"/>
      <c r="L65" s="254"/>
      <c r="M65" s="254"/>
      <c r="N65" s="254"/>
      <c r="O65" s="251"/>
      <c r="Q65" s="5"/>
      <c r="R65" s="5"/>
      <c r="S65" s="5"/>
    </row>
    <row r="66" spans="2:26">
      <c r="B66" s="5"/>
      <c r="C66" s="5"/>
      <c r="D66" s="17"/>
      <c r="E66" s="17"/>
      <c r="F66" s="17"/>
      <c r="G66" s="17"/>
      <c r="H66" s="17"/>
      <c r="I66" s="248"/>
      <c r="J66" s="17"/>
      <c r="K66" s="17"/>
      <c r="L66" s="17"/>
      <c r="M66" s="17"/>
      <c r="N66" s="17"/>
      <c r="O66" s="5"/>
      <c r="Q66" s="5"/>
      <c r="R66" s="5"/>
      <c r="S66" s="5"/>
    </row>
    <row r="67" spans="2:26">
      <c r="B67" s="41"/>
      <c r="C67" s="249"/>
      <c r="D67" s="254"/>
      <c r="E67" s="254"/>
      <c r="F67" s="254"/>
      <c r="G67" s="254"/>
      <c r="H67" s="254"/>
      <c r="I67" s="5"/>
      <c r="J67" s="254"/>
      <c r="K67" s="254"/>
      <c r="L67" s="254"/>
      <c r="M67" s="254"/>
      <c r="N67" s="254"/>
      <c r="O67" s="251"/>
      <c r="Q67" s="41"/>
      <c r="R67" s="5"/>
      <c r="S67" s="5"/>
    </row>
    <row r="68" spans="2:26">
      <c r="B68" s="5"/>
      <c r="C68" s="5"/>
      <c r="D68" s="248"/>
      <c r="E68" s="248"/>
      <c r="F68" s="248"/>
      <c r="G68" s="248"/>
      <c r="H68" s="248"/>
      <c r="I68" s="245"/>
      <c r="J68" s="248"/>
      <c r="K68" s="248"/>
      <c r="L68" s="248"/>
      <c r="M68" s="248"/>
      <c r="N68" s="248"/>
      <c r="O68" s="5"/>
      <c r="Q68" s="5"/>
      <c r="R68" s="5"/>
      <c r="S68" s="5"/>
    </row>
    <row r="69" spans="2:26">
      <c r="B69" s="41"/>
      <c r="C69" s="5"/>
      <c r="D69" s="5"/>
      <c r="E69" s="5"/>
      <c r="F69" s="5"/>
      <c r="G69" s="5"/>
      <c r="H69" s="5"/>
      <c r="I69" s="248"/>
      <c r="J69" s="5"/>
      <c r="K69" s="5"/>
      <c r="L69" s="5"/>
      <c r="M69" s="5"/>
      <c r="N69" s="5"/>
      <c r="O69" s="5"/>
      <c r="Q69" s="5"/>
      <c r="R69" s="5"/>
      <c r="S69" s="5"/>
    </row>
    <row r="70" spans="2:26">
      <c r="B70" s="41"/>
      <c r="C70" s="245"/>
      <c r="D70" s="245"/>
      <c r="E70" s="245"/>
      <c r="F70" s="245"/>
      <c r="G70" s="245"/>
      <c r="H70" s="245"/>
      <c r="I70" s="5"/>
      <c r="J70" s="245"/>
      <c r="K70" s="245"/>
      <c r="L70" s="245"/>
      <c r="M70" s="245"/>
      <c r="N70" s="245"/>
      <c r="O70" s="251"/>
      <c r="Q70" s="5"/>
      <c r="R70" s="5"/>
      <c r="S70" s="5"/>
      <c r="W70" s="76"/>
      <c r="X70" s="76"/>
    </row>
    <row r="71" spans="2:26">
      <c r="B71" s="5"/>
      <c r="C71" s="5"/>
      <c r="D71" s="248"/>
      <c r="E71" s="248"/>
      <c r="F71" s="248"/>
      <c r="G71" s="248"/>
      <c r="H71" s="248"/>
      <c r="I71" s="245"/>
      <c r="J71" s="248"/>
      <c r="K71" s="248"/>
      <c r="L71" s="248"/>
      <c r="M71" s="248"/>
      <c r="N71" s="248"/>
      <c r="O71" s="5"/>
      <c r="Q71" s="5"/>
      <c r="R71" s="5"/>
      <c r="S71" s="5"/>
      <c r="W71" s="76"/>
      <c r="X71" s="76"/>
      <c r="Y71" s="76"/>
      <c r="Z71" s="76"/>
    </row>
    <row r="72" spans="2:26">
      <c r="B72" s="41"/>
      <c r="C72" s="5"/>
      <c r="D72" s="5"/>
      <c r="E72" s="5"/>
      <c r="F72" s="5"/>
      <c r="G72" s="5"/>
      <c r="H72" s="5"/>
      <c r="I72" s="18"/>
      <c r="J72" s="5"/>
      <c r="K72" s="5"/>
      <c r="L72" s="5"/>
      <c r="M72" s="5"/>
      <c r="N72" s="5"/>
      <c r="O72" s="5"/>
      <c r="Q72" s="5"/>
      <c r="R72" s="5"/>
      <c r="S72" s="5"/>
      <c r="Y72" s="76"/>
      <c r="Z72" s="76"/>
    </row>
    <row r="73" spans="2:26">
      <c r="B73" s="41"/>
      <c r="C73" s="245"/>
      <c r="D73" s="245"/>
      <c r="E73" s="245"/>
      <c r="F73" s="245"/>
      <c r="G73" s="245"/>
      <c r="H73" s="245"/>
      <c r="I73" s="5"/>
      <c r="J73" s="245"/>
      <c r="K73" s="245"/>
      <c r="L73" s="245"/>
      <c r="M73" s="245"/>
      <c r="N73" s="245"/>
      <c r="O73" s="251"/>
      <c r="Q73" s="5"/>
      <c r="R73" s="5"/>
      <c r="S73" s="5"/>
    </row>
    <row r="74" spans="2:26">
      <c r="B74" s="5"/>
      <c r="C74" s="5"/>
      <c r="D74" s="18"/>
      <c r="E74" s="18"/>
      <c r="F74" s="18"/>
      <c r="G74" s="18"/>
      <c r="H74" s="18"/>
      <c r="I74" s="249"/>
      <c r="J74" s="18"/>
      <c r="K74" s="18"/>
      <c r="L74" s="18"/>
      <c r="M74" s="18"/>
      <c r="N74" s="18"/>
      <c r="O74" s="5"/>
      <c r="Q74" s="5"/>
      <c r="R74" s="5"/>
      <c r="S74" s="5"/>
    </row>
    <row r="75" spans="2:26">
      <c r="B75" s="41"/>
      <c r="C75" s="5"/>
      <c r="D75" s="5"/>
      <c r="E75" s="5"/>
      <c r="F75" s="5"/>
      <c r="G75" s="5"/>
      <c r="H75" s="5"/>
      <c r="I75" s="248"/>
      <c r="J75" s="5"/>
      <c r="K75" s="5"/>
      <c r="L75" s="5"/>
      <c r="M75" s="5"/>
      <c r="N75" s="5"/>
      <c r="O75" s="5"/>
      <c r="Q75" s="5"/>
      <c r="R75" s="5"/>
      <c r="S75" s="5"/>
    </row>
    <row r="76" spans="2:26">
      <c r="B76" s="41"/>
      <c r="C76" s="249"/>
      <c r="D76" s="249"/>
      <c r="E76" s="249"/>
      <c r="F76" s="249"/>
      <c r="G76" s="249"/>
      <c r="H76" s="249"/>
      <c r="I76" s="5"/>
      <c r="J76" s="249"/>
      <c r="K76" s="249"/>
      <c r="L76" s="249"/>
      <c r="M76" s="249"/>
      <c r="N76" s="249"/>
      <c r="O76" s="251"/>
      <c r="Q76" s="5"/>
      <c r="R76" s="5"/>
      <c r="S76" s="5"/>
    </row>
    <row r="77" spans="2:26">
      <c r="B77" s="5"/>
      <c r="C77" s="5"/>
      <c r="D77" s="248"/>
      <c r="E77" s="248"/>
      <c r="F77" s="248"/>
      <c r="G77" s="248"/>
      <c r="H77" s="248"/>
      <c r="I77" s="245"/>
      <c r="J77" s="248"/>
      <c r="K77" s="248"/>
      <c r="L77" s="248"/>
      <c r="M77" s="248"/>
      <c r="N77" s="248"/>
      <c r="O77" s="5"/>
      <c r="Q77" s="5"/>
      <c r="R77" s="5"/>
      <c r="S77" s="5"/>
    </row>
    <row r="78" spans="2:26">
      <c r="B78" s="41"/>
      <c r="C78" s="5"/>
      <c r="D78" s="5"/>
      <c r="E78" s="5"/>
      <c r="F78" s="5"/>
      <c r="G78" s="5"/>
      <c r="H78" s="5"/>
      <c r="I78" s="248"/>
      <c r="J78" s="5"/>
      <c r="K78" s="5"/>
      <c r="L78" s="5"/>
      <c r="M78" s="5"/>
      <c r="N78" s="5"/>
      <c r="O78" s="5"/>
      <c r="Q78" s="5"/>
      <c r="R78" s="5"/>
      <c r="S78" s="5"/>
    </row>
    <row r="79" spans="2:26">
      <c r="B79" s="41"/>
      <c r="C79" s="245"/>
      <c r="D79" s="245"/>
      <c r="E79" s="245"/>
      <c r="F79" s="245"/>
      <c r="G79" s="245"/>
      <c r="H79" s="245"/>
      <c r="I79" s="5"/>
      <c r="J79" s="245"/>
      <c r="K79" s="245"/>
      <c r="L79" s="245"/>
      <c r="M79" s="245"/>
      <c r="N79" s="245"/>
      <c r="O79" s="251"/>
      <c r="Q79" s="5"/>
      <c r="R79" s="5"/>
      <c r="S79" s="5"/>
    </row>
    <row r="80" spans="2:26">
      <c r="B80" s="5"/>
      <c r="C80" s="5"/>
      <c r="D80" s="248"/>
      <c r="E80" s="248"/>
      <c r="F80" s="248"/>
      <c r="G80" s="248"/>
      <c r="H80" s="248"/>
      <c r="I80" s="249"/>
      <c r="J80" s="248"/>
      <c r="K80" s="248"/>
      <c r="L80" s="248"/>
      <c r="M80" s="248"/>
      <c r="N80" s="248"/>
      <c r="O80" s="5"/>
      <c r="Q80" s="5"/>
      <c r="R80" s="5"/>
      <c r="S80" s="5"/>
    </row>
    <row r="81" spans="2:26">
      <c r="B81" s="41"/>
      <c r="C81" s="5"/>
      <c r="D81" s="5"/>
      <c r="E81" s="5"/>
      <c r="F81" s="5"/>
      <c r="G81" s="5"/>
      <c r="H81" s="5"/>
      <c r="I81" s="248"/>
      <c r="J81" s="5"/>
      <c r="K81" s="5"/>
      <c r="L81" s="5"/>
      <c r="M81" s="5"/>
      <c r="N81" s="5"/>
      <c r="O81" s="5"/>
      <c r="Q81" s="5"/>
      <c r="R81" s="5"/>
      <c r="S81" s="5"/>
    </row>
    <row r="82" spans="2:26">
      <c r="B82" s="41"/>
      <c r="C82" s="249"/>
      <c r="D82" s="249"/>
      <c r="E82" s="249"/>
      <c r="F82" s="249"/>
      <c r="G82" s="249"/>
      <c r="H82" s="249"/>
      <c r="I82" s="259"/>
      <c r="J82" s="249"/>
      <c r="K82" s="249"/>
      <c r="L82" s="249"/>
      <c r="M82" s="249"/>
      <c r="N82" s="249"/>
      <c r="O82" s="251"/>
      <c r="Q82" s="5"/>
      <c r="R82" s="5"/>
      <c r="S82" s="5"/>
    </row>
    <row r="83" spans="2:26">
      <c r="B83" s="5"/>
      <c r="C83" s="5"/>
      <c r="D83" s="248"/>
      <c r="E83" s="248"/>
      <c r="F83" s="248"/>
      <c r="G83" s="248"/>
      <c r="H83" s="248"/>
      <c r="I83" s="5"/>
      <c r="J83" s="248"/>
      <c r="K83" s="248"/>
      <c r="L83" s="248"/>
      <c r="M83" s="248"/>
      <c r="N83" s="248"/>
      <c r="O83" s="5"/>
      <c r="Q83" s="5"/>
      <c r="R83" s="5"/>
      <c r="S83" s="5"/>
    </row>
    <row r="84" spans="2:26">
      <c r="B84" s="5"/>
      <c r="C84" s="259"/>
      <c r="D84" s="259"/>
      <c r="E84" s="259"/>
      <c r="F84" s="259"/>
      <c r="G84" s="259"/>
      <c r="H84" s="259"/>
      <c r="I84" s="245"/>
      <c r="J84" s="259"/>
      <c r="K84" s="259"/>
      <c r="L84" s="259"/>
      <c r="M84" s="259"/>
      <c r="N84" s="259"/>
      <c r="O84" s="251"/>
      <c r="Q84" s="5"/>
      <c r="R84" s="5"/>
      <c r="S84" s="5"/>
    </row>
    <row r="85" spans="2:26">
      <c r="B85" s="41"/>
      <c r="C85" s="5"/>
      <c r="D85" s="5"/>
      <c r="E85" s="5"/>
      <c r="F85" s="5"/>
      <c r="G85" s="5"/>
      <c r="H85" s="5"/>
      <c r="I85" s="248"/>
      <c r="J85" s="5"/>
      <c r="K85" s="5"/>
      <c r="L85" s="5"/>
      <c r="M85" s="5"/>
      <c r="N85" s="5"/>
      <c r="O85" s="5"/>
      <c r="Q85" s="5"/>
      <c r="R85" s="5"/>
      <c r="S85" s="5"/>
    </row>
    <row r="86" spans="2:26">
      <c r="B86" s="41"/>
      <c r="C86" s="245"/>
      <c r="D86" s="245"/>
      <c r="E86" s="245"/>
      <c r="F86" s="245"/>
      <c r="G86" s="245"/>
      <c r="H86" s="245"/>
      <c r="I86" s="5"/>
      <c r="J86" s="245"/>
      <c r="K86" s="245"/>
      <c r="L86" s="245"/>
      <c r="M86" s="245"/>
      <c r="N86" s="245"/>
      <c r="O86" s="251"/>
      <c r="Q86" s="5"/>
      <c r="R86" s="5"/>
      <c r="S86" s="5"/>
    </row>
    <row r="87" spans="2:26">
      <c r="B87" s="5"/>
      <c r="C87" s="5"/>
      <c r="D87" s="248"/>
      <c r="E87" s="248"/>
      <c r="F87" s="248"/>
      <c r="G87" s="248"/>
      <c r="H87" s="248"/>
      <c r="I87" s="5"/>
      <c r="J87" s="248"/>
      <c r="K87" s="248"/>
      <c r="L87" s="248"/>
      <c r="M87" s="248"/>
      <c r="N87" s="248"/>
      <c r="O87" s="5"/>
      <c r="Q87" s="5"/>
      <c r="R87" s="5"/>
      <c r="S87" s="5"/>
    </row>
    <row r="88" spans="2:26">
      <c r="B88" s="41"/>
      <c r="C88" s="5"/>
      <c r="D88" s="5"/>
      <c r="E88" s="5"/>
      <c r="F88" s="5"/>
      <c r="G88" s="5"/>
      <c r="H88" s="5"/>
      <c r="I88" s="5"/>
      <c r="J88" s="5"/>
      <c r="K88" s="5"/>
      <c r="L88" s="5"/>
      <c r="M88" s="5"/>
      <c r="N88" s="5"/>
      <c r="O88" s="5"/>
      <c r="Q88" s="5"/>
      <c r="R88" s="5"/>
      <c r="S88" s="5"/>
    </row>
    <row r="89" spans="2:26">
      <c r="B89" s="41"/>
      <c r="C89" s="5"/>
      <c r="D89" s="5"/>
      <c r="E89" s="5"/>
      <c r="F89" s="5"/>
      <c r="G89" s="5"/>
      <c r="H89" s="5"/>
      <c r="I89" s="5"/>
      <c r="J89" s="5"/>
      <c r="K89" s="5"/>
      <c r="L89" s="5"/>
      <c r="M89" s="5"/>
      <c r="N89" s="5"/>
      <c r="O89" s="5"/>
      <c r="Q89" s="5"/>
      <c r="R89" s="5"/>
      <c r="S89" s="5"/>
    </row>
    <row r="90" spans="2:26">
      <c r="B90" s="41"/>
      <c r="C90" s="5"/>
      <c r="D90" s="5"/>
      <c r="E90" s="5"/>
      <c r="F90" s="5"/>
      <c r="G90" s="5"/>
      <c r="H90" s="5"/>
      <c r="I90" s="49"/>
      <c r="J90" s="5"/>
      <c r="K90" s="5"/>
      <c r="L90" s="5"/>
      <c r="M90" s="5"/>
      <c r="N90" s="5"/>
      <c r="O90" s="5"/>
      <c r="Q90" s="41"/>
      <c r="R90" s="5"/>
      <c r="S90" s="5"/>
    </row>
    <row r="91" spans="2:26">
      <c r="B91" s="5"/>
      <c r="C91" s="5"/>
      <c r="D91" s="5"/>
      <c r="E91" s="5"/>
      <c r="F91" s="5"/>
      <c r="G91" s="5"/>
      <c r="H91" s="5"/>
      <c r="I91" s="5"/>
      <c r="J91" s="5"/>
      <c r="K91" s="5"/>
      <c r="L91" s="5"/>
      <c r="M91" s="5"/>
      <c r="N91" s="5"/>
      <c r="O91" s="5"/>
      <c r="Q91" s="5"/>
      <c r="R91" s="5"/>
      <c r="S91" s="5"/>
    </row>
    <row r="92" spans="2:26">
      <c r="B92" s="41"/>
      <c r="C92" s="49"/>
      <c r="D92" s="49"/>
      <c r="E92" s="49"/>
      <c r="F92" s="49"/>
      <c r="G92" s="49"/>
      <c r="H92" s="49"/>
      <c r="I92" s="247"/>
      <c r="J92" s="49"/>
      <c r="K92" s="49"/>
      <c r="L92" s="49"/>
      <c r="M92" s="49"/>
      <c r="N92" s="49"/>
      <c r="O92" s="49"/>
      <c r="Q92" s="5"/>
      <c r="R92" s="5"/>
      <c r="S92" s="5"/>
      <c r="W92" s="21"/>
      <c r="X92" s="21"/>
    </row>
    <row r="93" spans="2:26">
      <c r="B93" s="5"/>
      <c r="C93" s="5"/>
      <c r="D93" s="5"/>
      <c r="E93" s="5"/>
      <c r="F93" s="5"/>
      <c r="G93" s="5"/>
      <c r="H93" s="5"/>
      <c r="I93" s="247"/>
      <c r="J93" s="5"/>
      <c r="K93" s="5"/>
      <c r="L93" s="5"/>
      <c r="M93" s="5"/>
      <c r="N93" s="5"/>
      <c r="O93" s="5"/>
      <c r="Q93" s="5"/>
      <c r="R93" s="5"/>
      <c r="S93" s="5"/>
      <c r="W93" s="21"/>
      <c r="X93" s="21"/>
      <c r="Y93" s="21"/>
      <c r="Z93" s="21"/>
    </row>
    <row r="94" spans="2:26">
      <c r="B94" s="5"/>
      <c r="C94" s="259"/>
      <c r="D94" s="247"/>
      <c r="E94" s="247"/>
      <c r="F94" s="247"/>
      <c r="G94" s="247"/>
      <c r="H94" s="247"/>
      <c r="I94" s="247"/>
      <c r="J94" s="247"/>
      <c r="K94" s="247"/>
      <c r="L94" s="247"/>
      <c r="M94" s="247"/>
      <c r="N94" s="247"/>
      <c r="O94" s="248"/>
      <c r="Q94" s="5"/>
      <c r="R94" s="5"/>
      <c r="S94" s="5"/>
      <c r="Y94" s="21"/>
      <c r="Z94" s="21"/>
    </row>
    <row r="95" spans="2:26">
      <c r="B95" s="5"/>
      <c r="C95" s="259"/>
      <c r="D95" s="247"/>
      <c r="E95" s="247"/>
      <c r="F95" s="247"/>
      <c r="G95" s="247"/>
      <c r="H95" s="247"/>
      <c r="I95" s="248"/>
      <c r="J95" s="247"/>
      <c r="K95" s="247"/>
      <c r="L95" s="247"/>
      <c r="M95" s="247"/>
      <c r="N95" s="247"/>
      <c r="O95" s="248"/>
      <c r="Q95" s="5"/>
      <c r="R95" s="5"/>
      <c r="S95" s="5"/>
    </row>
    <row r="96" spans="2:26">
      <c r="B96" s="5"/>
      <c r="C96" s="259"/>
      <c r="D96" s="247"/>
      <c r="E96" s="247"/>
      <c r="F96" s="247"/>
      <c r="G96" s="247"/>
      <c r="H96" s="247"/>
      <c r="I96" s="247"/>
      <c r="J96" s="247"/>
      <c r="K96" s="247"/>
      <c r="L96" s="247"/>
      <c r="M96" s="247"/>
      <c r="N96" s="247"/>
      <c r="O96" s="248"/>
      <c r="Q96" s="5"/>
      <c r="R96" s="5"/>
      <c r="S96" s="5"/>
    </row>
    <row r="97" spans="2:19">
      <c r="B97" s="5"/>
      <c r="C97" s="259"/>
      <c r="D97" s="248"/>
      <c r="E97" s="248"/>
      <c r="F97" s="248"/>
      <c r="G97" s="248"/>
      <c r="H97" s="248"/>
      <c r="I97" s="249"/>
      <c r="J97" s="248"/>
      <c r="K97" s="248"/>
      <c r="L97" s="248"/>
      <c r="M97" s="248"/>
      <c r="N97" s="248"/>
      <c r="O97" s="248"/>
      <c r="Q97" s="5"/>
      <c r="R97" s="5"/>
      <c r="S97" s="5"/>
    </row>
    <row r="98" spans="2:19">
      <c r="B98" s="5"/>
      <c r="C98" s="259"/>
      <c r="D98" s="247"/>
      <c r="E98" s="247"/>
      <c r="F98" s="247"/>
      <c r="G98" s="247"/>
      <c r="H98" s="247"/>
      <c r="I98" s="248"/>
      <c r="J98" s="247"/>
      <c r="K98" s="247"/>
      <c r="L98" s="247"/>
      <c r="M98" s="247"/>
      <c r="N98" s="247"/>
      <c r="O98" s="248"/>
      <c r="Q98" s="5"/>
      <c r="R98" s="5"/>
      <c r="S98" s="5"/>
    </row>
    <row r="99" spans="2:19">
      <c r="B99" s="41"/>
      <c r="C99" s="249"/>
      <c r="D99" s="249"/>
      <c r="E99" s="249"/>
      <c r="F99" s="249"/>
      <c r="G99" s="249"/>
      <c r="H99" s="249"/>
      <c r="I99" s="5"/>
      <c r="J99" s="249"/>
      <c r="K99" s="249"/>
      <c r="L99" s="249"/>
      <c r="M99" s="249"/>
      <c r="N99" s="249"/>
      <c r="O99" s="248"/>
      <c r="Q99" s="5"/>
      <c r="R99" s="5"/>
      <c r="S99" s="5"/>
    </row>
    <row r="100" spans="2:19">
      <c r="B100" s="41"/>
      <c r="C100" s="257"/>
      <c r="D100" s="248"/>
      <c r="E100" s="248"/>
      <c r="F100" s="248"/>
      <c r="G100" s="248"/>
      <c r="H100" s="248"/>
      <c r="I100" s="259"/>
      <c r="J100" s="248"/>
      <c r="K100" s="248"/>
      <c r="L100" s="248"/>
      <c r="M100" s="248"/>
      <c r="N100" s="248"/>
      <c r="O100" s="248"/>
      <c r="Q100" s="5"/>
      <c r="R100" s="5"/>
      <c r="S100" s="5"/>
    </row>
    <row r="101" spans="2:19" s="5" customFormat="1">
      <c r="B101" s="41"/>
      <c r="I101" s="259"/>
      <c r="O101" s="248"/>
      <c r="P101" s="39"/>
    </row>
    <row r="102" spans="2:19">
      <c r="B102" s="5"/>
      <c r="C102" s="259"/>
      <c r="D102" s="259"/>
      <c r="E102" s="259"/>
      <c r="F102" s="259"/>
      <c r="G102" s="259"/>
      <c r="H102" s="259"/>
      <c r="I102" s="247"/>
      <c r="J102" s="259"/>
      <c r="K102" s="259"/>
      <c r="L102" s="259"/>
      <c r="M102" s="259"/>
      <c r="N102" s="259"/>
      <c r="O102" s="5"/>
      <c r="Q102" s="5"/>
      <c r="R102" s="5"/>
      <c r="S102" s="5"/>
    </row>
    <row r="103" spans="2:19">
      <c r="B103" s="5"/>
      <c r="C103" s="259"/>
      <c r="D103" s="259"/>
      <c r="E103" s="259"/>
      <c r="F103" s="259"/>
      <c r="G103" s="259"/>
      <c r="H103" s="259"/>
      <c r="I103" s="5"/>
      <c r="J103" s="259"/>
      <c r="K103" s="259"/>
      <c r="L103" s="259"/>
      <c r="M103" s="259"/>
      <c r="N103" s="259"/>
      <c r="O103" s="5"/>
      <c r="P103" s="5"/>
      <c r="Q103" s="5"/>
      <c r="R103" s="5"/>
      <c r="S103" s="5"/>
    </row>
    <row r="104" spans="2:19">
      <c r="B104" s="5"/>
      <c r="C104" s="247"/>
      <c r="D104" s="247"/>
      <c r="E104" s="247"/>
      <c r="F104" s="247"/>
      <c r="G104" s="247"/>
      <c r="H104" s="247"/>
      <c r="I104" s="247"/>
      <c r="J104" s="247"/>
      <c r="K104" s="247"/>
      <c r="L104" s="247"/>
      <c r="M104" s="247"/>
      <c r="N104" s="247"/>
      <c r="O104" s="5"/>
      <c r="Q104" s="5"/>
      <c r="R104" s="5"/>
      <c r="S104" s="5"/>
    </row>
    <row r="105" spans="2:19" s="5" customFormat="1">
      <c r="P105" s="39"/>
    </row>
    <row r="106" spans="2:19" s="5" customFormat="1">
      <c r="C106" s="259"/>
      <c r="D106" s="247"/>
      <c r="E106" s="247"/>
      <c r="F106" s="247"/>
      <c r="G106" s="247"/>
      <c r="H106" s="247"/>
      <c r="I106" s="259"/>
      <c r="J106" s="247"/>
      <c r="K106" s="247"/>
      <c r="L106" s="247"/>
      <c r="M106" s="247"/>
      <c r="N106" s="247"/>
      <c r="P106" s="39"/>
    </row>
    <row r="107" spans="2:19">
      <c r="B107" s="5"/>
      <c r="C107" s="259"/>
      <c r="D107" s="5"/>
      <c r="E107" s="5"/>
      <c r="F107" s="5"/>
      <c r="G107" s="5"/>
      <c r="H107" s="5"/>
      <c r="I107" s="247"/>
      <c r="J107" s="5"/>
      <c r="K107" s="5"/>
      <c r="L107" s="5"/>
      <c r="M107" s="5"/>
      <c r="N107" s="5"/>
      <c r="O107" s="5"/>
      <c r="P107" s="5"/>
      <c r="Q107" s="5"/>
      <c r="R107" s="5"/>
      <c r="S107" s="5"/>
    </row>
    <row r="108" spans="2:19">
      <c r="B108" s="5"/>
      <c r="C108" s="259"/>
      <c r="D108" s="259"/>
      <c r="E108" s="259"/>
      <c r="F108" s="259"/>
      <c r="G108" s="259"/>
      <c r="H108" s="259"/>
      <c r="I108" s="249"/>
      <c r="J108" s="259"/>
      <c r="K108" s="259"/>
      <c r="L108" s="259"/>
      <c r="M108" s="259"/>
      <c r="N108" s="259"/>
      <c r="O108" s="5"/>
      <c r="P108" s="5"/>
      <c r="Q108" s="5"/>
      <c r="R108" s="5"/>
      <c r="S108" s="5"/>
    </row>
    <row r="109" spans="2:19">
      <c r="B109" s="5"/>
      <c r="C109" s="247"/>
      <c r="D109" s="247"/>
      <c r="E109" s="247"/>
      <c r="F109" s="247"/>
      <c r="G109" s="247"/>
      <c r="H109" s="247"/>
      <c r="I109" s="249"/>
      <c r="J109" s="247"/>
      <c r="K109" s="247"/>
      <c r="L109" s="247"/>
      <c r="M109" s="247"/>
      <c r="N109" s="247"/>
      <c r="O109" s="5"/>
      <c r="Q109" s="5"/>
      <c r="R109" s="5"/>
      <c r="S109" s="5"/>
    </row>
    <row r="110" spans="2:19">
      <c r="B110" s="41"/>
      <c r="C110" s="249"/>
      <c r="D110" s="249"/>
      <c r="E110" s="249"/>
      <c r="F110" s="249"/>
      <c r="G110" s="249"/>
      <c r="H110" s="249"/>
      <c r="I110" s="247"/>
      <c r="J110" s="249"/>
      <c r="K110" s="249"/>
      <c r="L110" s="249"/>
      <c r="M110" s="249"/>
      <c r="N110" s="249"/>
      <c r="O110" s="5"/>
      <c r="Q110" s="5"/>
      <c r="R110" s="5"/>
      <c r="S110" s="5"/>
    </row>
    <row r="111" spans="2:19">
      <c r="B111" s="5"/>
      <c r="C111" s="249"/>
      <c r="D111" s="249"/>
      <c r="E111" s="249"/>
      <c r="F111" s="249"/>
      <c r="G111" s="249"/>
      <c r="H111" s="249"/>
      <c r="I111" s="5"/>
      <c r="J111" s="249"/>
      <c r="K111" s="249"/>
      <c r="L111" s="249"/>
      <c r="M111" s="249"/>
      <c r="N111" s="249"/>
      <c r="O111" s="5"/>
      <c r="Q111" s="5"/>
      <c r="R111" s="5"/>
      <c r="S111" s="5"/>
    </row>
    <row r="112" spans="2:19">
      <c r="B112" s="5"/>
      <c r="C112" s="247"/>
      <c r="D112" s="247"/>
      <c r="E112" s="247"/>
      <c r="F112" s="247"/>
      <c r="G112" s="247"/>
      <c r="H112" s="247"/>
      <c r="I112" s="5"/>
      <c r="J112" s="247"/>
      <c r="K112" s="247"/>
      <c r="L112" s="247"/>
      <c r="M112" s="247"/>
      <c r="N112" s="247"/>
      <c r="O112" s="5"/>
      <c r="Q112" s="5"/>
      <c r="R112" s="5"/>
      <c r="S112" s="5"/>
    </row>
    <row r="113" spans="2:19">
      <c r="B113" s="5"/>
      <c r="C113" s="5"/>
      <c r="D113" s="5"/>
      <c r="E113" s="5"/>
      <c r="F113" s="5"/>
      <c r="G113" s="5"/>
      <c r="H113" s="5"/>
      <c r="I113" s="5"/>
      <c r="J113" s="5"/>
      <c r="K113" s="5"/>
      <c r="L113" s="5"/>
      <c r="M113" s="5"/>
      <c r="N113" s="5"/>
      <c r="O113" s="5"/>
      <c r="Q113" s="5"/>
      <c r="R113" s="5"/>
      <c r="S113" s="5"/>
    </row>
    <row r="114" spans="2:19">
      <c r="B114" s="5"/>
      <c r="C114" s="5"/>
      <c r="D114" s="5"/>
      <c r="E114" s="5"/>
      <c r="F114" s="5"/>
      <c r="G114" s="5"/>
      <c r="H114" s="5"/>
      <c r="I114" s="5"/>
      <c r="J114" s="5"/>
      <c r="K114" s="5"/>
      <c r="L114" s="5"/>
      <c r="M114" s="5"/>
      <c r="N114" s="5"/>
      <c r="O114" s="5"/>
      <c r="Q114" s="5"/>
      <c r="R114" s="5"/>
      <c r="S114" s="5"/>
    </row>
    <row r="115" spans="2:19">
      <c r="B115" s="5"/>
      <c r="C115" s="5"/>
      <c r="D115" s="5"/>
      <c r="E115" s="5"/>
      <c r="F115" s="5"/>
      <c r="G115" s="5"/>
      <c r="H115" s="5"/>
      <c r="I115" s="49"/>
      <c r="J115" s="5"/>
      <c r="K115" s="5"/>
      <c r="L115" s="5"/>
      <c r="M115" s="5"/>
      <c r="N115" s="5"/>
      <c r="O115" s="5"/>
      <c r="Q115" s="41"/>
      <c r="R115" s="5"/>
      <c r="S115" s="5"/>
    </row>
    <row r="116" spans="2:19">
      <c r="B116" s="5"/>
      <c r="C116" s="5"/>
      <c r="D116" s="5"/>
      <c r="E116" s="5"/>
      <c r="F116" s="5"/>
      <c r="G116" s="5"/>
      <c r="H116" s="5"/>
      <c r="I116" s="5"/>
      <c r="J116" s="5"/>
      <c r="K116" s="5"/>
      <c r="L116" s="5"/>
      <c r="M116" s="5"/>
      <c r="N116" s="5"/>
      <c r="O116" s="5"/>
      <c r="Q116" s="5"/>
      <c r="R116" s="5"/>
      <c r="S116" s="5"/>
    </row>
    <row r="117" spans="2:19">
      <c r="B117" s="41"/>
      <c r="C117" s="49"/>
      <c r="D117" s="49"/>
      <c r="E117" s="49"/>
      <c r="F117" s="49"/>
      <c r="G117" s="49"/>
      <c r="H117" s="49"/>
      <c r="I117" s="254"/>
      <c r="J117" s="49"/>
      <c r="K117" s="49"/>
      <c r="L117" s="49"/>
      <c r="M117" s="49"/>
      <c r="N117" s="49"/>
      <c r="O117" s="49"/>
      <c r="Q117" s="5"/>
      <c r="R117" s="5"/>
      <c r="S117" s="5"/>
    </row>
    <row r="118" spans="2:19">
      <c r="B118" s="5"/>
      <c r="C118" s="5"/>
      <c r="D118" s="5"/>
      <c r="E118" s="5"/>
      <c r="F118" s="5"/>
      <c r="G118" s="5"/>
      <c r="H118" s="5"/>
      <c r="I118" s="249"/>
      <c r="J118" s="5"/>
      <c r="K118" s="5"/>
      <c r="L118" s="5"/>
      <c r="M118" s="5"/>
      <c r="N118" s="5"/>
      <c r="O118" s="5"/>
      <c r="Q118" s="5"/>
      <c r="R118" s="5"/>
      <c r="S118" s="5"/>
    </row>
    <row r="119" spans="2:19">
      <c r="B119" s="41"/>
      <c r="C119" s="254"/>
      <c r="D119" s="254"/>
      <c r="E119" s="254"/>
      <c r="F119" s="254"/>
      <c r="G119" s="254"/>
      <c r="H119" s="254"/>
      <c r="I119" s="254"/>
      <c r="J119" s="254"/>
      <c r="K119" s="254"/>
      <c r="L119" s="254"/>
      <c r="M119" s="254"/>
      <c r="N119" s="254"/>
      <c r="O119" s="248"/>
      <c r="Q119" s="5"/>
      <c r="R119" s="5"/>
      <c r="S119" s="5"/>
    </row>
    <row r="120" spans="2:19">
      <c r="B120" s="41"/>
      <c r="C120" s="254"/>
      <c r="D120" s="249"/>
      <c r="E120" s="249"/>
      <c r="F120" s="249"/>
      <c r="G120" s="249"/>
      <c r="H120" s="249"/>
      <c r="I120" s="254"/>
      <c r="J120" s="249"/>
      <c r="K120" s="249"/>
      <c r="L120" s="249"/>
      <c r="M120" s="249"/>
      <c r="N120" s="249"/>
      <c r="O120" s="248"/>
      <c r="Q120" s="5"/>
      <c r="R120" s="5"/>
      <c r="S120" s="5"/>
    </row>
    <row r="121" spans="2:19">
      <c r="B121" s="41"/>
      <c r="C121" s="254"/>
      <c r="D121" s="254"/>
      <c r="E121" s="254"/>
      <c r="F121" s="254"/>
      <c r="G121" s="254"/>
      <c r="H121" s="254"/>
      <c r="I121" s="254"/>
      <c r="J121" s="254"/>
      <c r="K121" s="254"/>
      <c r="L121" s="254"/>
      <c r="M121" s="254"/>
      <c r="N121" s="254"/>
      <c r="O121" s="248"/>
      <c r="Q121" s="5"/>
      <c r="R121" s="5"/>
      <c r="S121" s="5"/>
    </row>
    <row r="122" spans="2:19">
      <c r="B122" s="41"/>
      <c r="C122" s="254"/>
      <c r="D122" s="254"/>
      <c r="E122" s="254"/>
      <c r="F122" s="254"/>
      <c r="G122" s="254"/>
      <c r="H122" s="254"/>
      <c r="I122" s="254"/>
      <c r="J122" s="254"/>
      <c r="K122" s="254"/>
      <c r="L122" s="254"/>
      <c r="M122" s="254"/>
      <c r="N122" s="254"/>
      <c r="O122" s="248"/>
      <c r="Q122" s="5"/>
      <c r="R122" s="5"/>
      <c r="S122" s="5"/>
    </row>
    <row r="123" spans="2:19">
      <c r="B123" s="41"/>
      <c r="C123" s="254"/>
      <c r="D123" s="254"/>
      <c r="E123" s="254"/>
      <c r="F123" s="254"/>
      <c r="G123" s="254"/>
      <c r="H123" s="254"/>
      <c r="I123" s="254"/>
      <c r="J123" s="254"/>
      <c r="K123" s="254"/>
      <c r="L123" s="254"/>
      <c r="M123" s="254"/>
      <c r="N123" s="254"/>
      <c r="O123" s="248"/>
      <c r="Q123" s="5"/>
      <c r="R123" s="5"/>
      <c r="S123" s="5"/>
    </row>
    <row r="124" spans="2:19">
      <c r="B124" s="41"/>
      <c r="C124" s="254"/>
      <c r="D124" s="254"/>
      <c r="E124" s="254"/>
      <c r="F124" s="254"/>
      <c r="G124" s="254"/>
      <c r="H124" s="254"/>
      <c r="I124" s="254"/>
      <c r="J124" s="254"/>
      <c r="K124" s="254"/>
      <c r="L124" s="254"/>
      <c r="M124" s="254"/>
      <c r="N124" s="254"/>
      <c r="O124" s="248"/>
      <c r="Q124" s="5"/>
      <c r="R124" s="5"/>
      <c r="S124" s="5"/>
    </row>
    <row r="125" spans="2:19">
      <c r="B125" s="41"/>
      <c r="C125" s="254"/>
      <c r="D125" s="254"/>
      <c r="E125" s="254"/>
      <c r="F125" s="254"/>
      <c r="G125" s="254"/>
      <c r="H125" s="254"/>
      <c r="I125" s="254"/>
      <c r="J125" s="254"/>
      <c r="K125" s="254"/>
      <c r="L125" s="254"/>
      <c r="M125" s="254"/>
      <c r="N125" s="254"/>
      <c r="O125" s="5"/>
      <c r="Q125" s="5"/>
      <c r="R125" s="5"/>
      <c r="S125" s="5"/>
    </row>
    <row r="126" spans="2:19">
      <c r="B126" s="41"/>
      <c r="C126" s="254"/>
      <c r="D126" s="254"/>
      <c r="E126" s="254"/>
      <c r="F126" s="254"/>
      <c r="G126" s="254"/>
      <c r="H126" s="254"/>
      <c r="I126" s="254"/>
      <c r="J126" s="254"/>
      <c r="K126" s="254"/>
      <c r="L126" s="254"/>
      <c r="M126" s="254"/>
      <c r="N126" s="254"/>
      <c r="O126" s="5"/>
      <c r="Q126" s="5"/>
      <c r="R126" s="5"/>
      <c r="S126" s="5"/>
    </row>
    <row r="127" spans="2:19">
      <c r="B127" s="41"/>
      <c r="C127" s="254"/>
      <c r="D127" s="254"/>
      <c r="E127" s="254"/>
      <c r="F127" s="254"/>
      <c r="G127" s="254"/>
      <c r="H127" s="254"/>
      <c r="I127" s="18"/>
      <c r="J127" s="254"/>
      <c r="K127" s="254"/>
      <c r="L127" s="254"/>
      <c r="M127" s="254"/>
      <c r="N127" s="254"/>
      <c r="O127" s="5"/>
      <c r="Q127" s="5"/>
      <c r="R127" s="5"/>
      <c r="S127" s="5"/>
    </row>
    <row r="128" spans="2:19">
      <c r="B128" s="41"/>
      <c r="C128" s="254"/>
      <c r="D128" s="254"/>
      <c r="E128" s="254"/>
      <c r="F128" s="254"/>
      <c r="G128" s="254"/>
      <c r="H128" s="254"/>
      <c r="I128" s="5"/>
      <c r="J128" s="254"/>
      <c r="K128" s="254"/>
      <c r="L128" s="254"/>
      <c r="M128" s="254"/>
      <c r="N128" s="254"/>
      <c r="O128" s="5"/>
      <c r="Q128" s="5"/>
      <c r="R128" s="5"/>
      <c r="S128" s="5"/>
    </row>
    <row r="129" spans="2:27">
      <c r="B129" s="5"/>
      <c r="C129" s="5"/>
      <c r="D129" s="18"/>
      <c r="E129" s="18"/>
      <c r="F129" s="18"/>
      <c r="G129" s="18"/>
      <c r="H129" s="18"/>
      <c r="I129" s="254"/>
      <c r="J129" s="18"/>
      <c r="K129" s="18"/>
      <c r="L129" s="18"/>
      <c r="M129" s="18"/>
      <c r="N129" s="18"/>
      <c r="O129" s="5"/>
      <c r="Q129" s="5"/>
      <c r="R129" s="5"/>
      <c r="S129" s="5"/>
    </row>
    <row r="130" spans="2:27">
      <c r="B130" s="5"/>
      <c r="C130" s="5"/>
      <c r="D130" s="5"/>
      <c r="E130" s="5"/>
      <c r="F130" s="5"/>
      <c r="G130" s="5"/>
      <c r="H130" s="5"/>
      <c r="I130" s="18"/>
      <c r="J130" s="5"/>
      <c r="K130" s="5"/>
      <c r="L130" s="5"/>
      <c r="M130" s="5"/>
      <c r="N130" s="5"/>
      <c r="O130" s="5"/>
      <c r="Q130" s="5"/>
      <c r="R130" s="5"/>
      <c r="S130" s="5"/>
    </row>
    <row r="131" spans="2:27">
      <c r="B131" s="41"/>
      <c r="C131" s="254"/>
      <c r="D131" s="254"/>
      <c r="E131" s="254"/>
      <c r="F131" s="254"/>
      <c r="G131" s="254"/>
      <c r="H131" s="254"/>
      <c r="I131" s="5"/>
      <c r="J131" s="254"/>
      <c r="K131" s="254"/>
      <c r="L131" s="254"/>
      <c r="M131" s="254"/>
      <c r="N131" s="254"/>
      <c r="O131" s="5"/>
      <c r="Q131" s="5"/>
      <c r="R131" s="5"/>
      <c r="S131" s="5"/>
    </row>
    <row r="132" spans="2:27">
      <c r="B132" s="5"/>
      <c r="C132" s="259"/>
      <c r="D132" s="18"/>
      <c r="E132" s="18"/>
      <c r="F132" s="18"/>
      <c r="G132" s="18"/>
      <c r="H132" s="18"/>
      <c r="I132" s="5"/>
      <c r="J132" s="18"/>
      <c r="K132" s="18"/>
      <c r="L132" s="18"/>
      <c r="M132" s="18"/>
      <c r="N132" s="18"/>
      <c r="O132" s="5"/>
      <c r="Q132" s="5"/>
      <c r="R132" s="5"/>
      <c r="S132" s="5"/>
    </row>
    <row r="133" spans="2:27">
      <c r="B133" s="5"/>
      <c r="C133" s="5"/>
      <c r="D133" s="5"/>
      <c r="E133" s="5"/>
      <c r="F133" s="5"/>
      <c r="G133" s="5"/>
      <c r="H133" s="5"/>
      <c r="I133" s="17"/>
      <c r="J133" s="5"/>
      <c r="K133" s="5"/>
      <c r="L133" s="5"/>
      <c r="M133" s="5"/>
      <c r="N133" s="5"/>
      <c r="O133" s="5"/>
      <c r="Q133" s="5"/>
      <c r="R133" s="5"/>
      <c r="S133" s="5"/>
    </row>
    <row r="134" spans="2:27">
      <c r="B134" s="41"/>
      <c r="C134" s="5"/>
      <c r="D134" s="5"/>
      <c r="E134" s="5"/>
      <c r="F134" s="5"/>
      <c r="G134" s="5"/>
      <c r="H134" s="5"/>
      <c r="I134" s="17"/>
      <c r="J134" s="5"/>
      <c r="K134" s="5"/>
      <c r="L134" s="5"/>
      <c r="M134" s="5"/>
      <c r="N134" s="5"/>
      <c r="O134" s="5"/>
      <c r="Q134" s="5"/>
      <c r="R134" s="5"/>
      <c r="S134" s="5"/>
    </row>
    <row r="135" spans="2:27">
      <c r="B135" s="5"/>
      <c r="C135" s="17"/>
      <c r="D135" s="17"/>
      <c r="E135" s="17"/>
      <c r="F135" s="17"/>
      <c r="G135" s="17"/>
      <c r="H135" s="17"/>
      <c r="I135" s="17"/>
      <c r="J135" s="17"/>
      <c r="K135" s="17"/>
      <c r="L135" s="17"/>
      <c r="M135" s="17"/>
      <c r="N135" s="17"/>
      <c r="O135" s="5"/>
      <c r="Q135" s="41"/>
      <c r="R135" s="5"/>
      <c r="S135" s="5"/>
    </row>
    <row r="136" spans="2:27">
      <c r="B136" s="5"/>
      <c r="C136" s="17"/>
      <c r="D136" s="17"/>
      <c r="E136" s="17"/>
      <c r="F136" s="17"/>
      <c r="G136" s="17"/>
      <c r="H136" s="17"/>
      <c r="I136" s="17"/>
      <c r="J136" s="17"/>
      <c r="K136" s="17"/>
      <c r="L136" s="17"/>
      <c r="M136" s="17"/>
      <c r="N136" s="17"/>
      <c r="O136" s="5"/>
      <c r="Q136" s="5"/>
      <c r="R136" s="5"/>
      <c r="S136" s="5"/>
      <c r="X136" s="304"/>
    </row>
    <row r="137" spans="2:27">
      <c r="B137" s="5"/>
      <c r="C137" s="5"/>
      <c r="D137" s="17"/>
      <c r="E137" s="17"/>
      <c r="F137" s="17"/>
      <c r="G137" s="17"/>
      <c r="H137" s="17"/>
      <c r="I137" s="17"/>
      <c r="J137" s="17"/>
      <c r="K137" s="17"/>
      <c r="L137" s="17"/>
      <c r="M137" s="17"/>
      <c r="N137" s="17"/>
      <c r="O137" s="5"/>
      <c r="Q137" s="5"/>
      <c r="R137" s="5"/>
      <c r="S137" s="5"/>
      <c r="X137" s="10"/>
      <c r="Y137" s="304"/>
      <c r="Z137" s="304"/>
      <c r="AA137" s="304"/>
    </row>
    <row r="138" spans="2:27">
      <c r="B138" s="5"/>
      <c r="C138" s="5"/>
      <c r="D138" s="17"/>
      <c r="E138" s="17"/>
      <c r="F138" s="17"/>
      <c r="G138" s="17"/>
      <c r="H138" s="17"/>
      <c r="I138" s="17"/>
      <c r="J138" s="17"/>
      <c r="K138" s="17"/>
      <c r="L138" s="17"/>
      <c r="M138" s="17"/>
      <c r="N138" s="17"/>
      <c r="O138" s="5"/>
      <c r="Q138" s="5"/>
      <c r="R138" s="5"/>
      <c r="S138" s="5"/>
      <c r="Y138" s="10"/>
      <c r="Z138" s="10"/>
      <c r="AA138" s="10"/>
    </row>
    <row r="139" spans="2:27">
      <c r="B139" s="5"/>
      <c r="C139" s="5"/>
      <c r="D139" s="17"/>
      <c r="E139" s="17"/>
      <c r="F139" s="17"/>
      <c r="G139" s="17"/>
      <c r="H139" s="17"/>
      <c r="I139" s="5"/>
      <c r="J139" s="17"/>
      <c r="K139" s="17"/>
      <c r="L139" s="17"/>
      <c r="M139" s="17"/>
      <c r="N139" s="17"/>
      <c r="O139" s="5"/>
      <c r="Q139" s="5"/>
      <c r="R139" s="5"/>
      <c r="S139" s="5"/>
    </row>
    <row r="140" spans="2:27">
      <c r="B140" s="5"/>
      <c r="C140" s="17"/>
      <c r="D140" s="17"/>
      <c r="E140" s="17"/>
      <c r="F140" s="17"/>
      <c r="G140" s="17"/>
      <c r="H140" s="17"/>
      <c r="I140" s="5"/>
      <c r="J140" s="17"/>
      <c r="K140" s="17"/>
      <c r="L140" s="17"/>
      <c r="M140" s="17"/>
      <c r="N140" s="17"/>
      <c r="O140" s="5"/>
      <c r="Q140" s="5"/>
      <c r="R140" s="5"/>
      <c r="S140" s="5"/>
    </row>
    <row r="141" spans="2:27">
      <c r="B141" s="5"/>
      <c r="C141" s="5"/>
      <c r="D141" s="5"/>
      <c r="E141" s="5"/>
      <c r="F141" s="5"/>
      <c r="G141" s="5"/>
      <c r="H141" s="5"/>
      <c r="I141" s="5"/>
      <c r="J141" s="5"/>
      <c r="K141" s="5"/>
      <c r="L141" s="5"/>
      <c r="M141" s="5"/>
      <c r="N141" s="5"/>
      <c r="O141" s="5"/>
      <c r="Q141" s="5"/>
      <c r="R141" s="5"/>
      <c r="S141" s="5"/>
    </row>
    <row r="142" spans="2:27">
      <c r="B142" s="5"/>
      <c r="C142" s="5"/>
      <c r="D142" s="5"/>
      <c r="E142" s="5"/>
      <c r="F142" s="5"/>
      <c r="G142" s="5"/>
      <c r="H142" s="5"/>
      <c r="I142" s="5"/>
      <c r="J142" s="5"/>
      <c r="K142" s="5"/>
      <c r="L142" s="5"/>
      <c r="M142" s="5"/>
      <c r="N142" s="5"/>
      <c r="O142" s="5"/>
      <c r="Q142" s="5"/>
      <c r="R142" s="5"/>
      <c r="S142" s="5"/>
    </row>
    <row r="143" spans="2:27">
      <c r="B143" s="5"/>
      <c r="C143" s="5"/>
      <c r="D143" s="5"/>
      <c r="E143" s="5"/>
      <c r="F143" s="5"/>
      <c r="G143" s="5"/>
      <c r="H143" s="5"/>
      <c r="I143" s="5"/>
      <c r="J143" s="5"/>
      <c r="K143" s="5"/>
      <c r="L143" s="5"/>
      <c r="M143" s="5"/>
      <c r="N143" s="5"/>
      <c r="O143" s="5"/>
      <c r="Q143" s="5"/>
      <c r="R143" s="5"/>
      <c r="S143" s="5"/>
    </row>
    <row r="144" spans="2:27">
      <c r="B144" s="5"/>
      <c r="C144" s="5"/>
      <c r="D144" s="5"/>
      <c r="E144" s="5"/>
      <c r="F144" s="5"/>
      <c r="G144" s="5"/>
      <c r="H144" s="5"/>
      <c r="I144" s="5"/>
      <c r="J144" s="5"/>
      <c r="K144" s="5"/>
      <c r="L144" s="5"/>
      <c r="M144" s="5"/>
      <c r="N144" s="5"/>
      <c r="O144" s="5"/>
      <c r="Q144" s="5"/>
      <c r="R144" s="5"/>
      <c r="S144" s="5"/>
    </row>
    <row r="145" spans="2:19">
      <c r="B145" s="5"/>
      <c r="C145" s="5"/>
      <c r="D145" s="5"/>
      <c r="E145" s="5"/>
      <c r="F145" s="5"/>
      <c r="G145" s="5"/>
      <c r="H145" s="5"/>
      <c r="I145" s="5"/>
      <c r="J145" s="5"/>
      <c r="K145" s="5"/>
      <c r="L145" s="5"/>
      <c r="M145" s="5"/>
      <c r="N145" s="5"/>
      <c r="O145" s="5"/>
      <c r="Q145" s="5"/>
      <c r="R145" s="5"/>
      <c r="S145" s="5"/>
    </row>
    <row r="146" spans="2:19">
      <c r="B146" s="5"/>
      <c r="C146" s="5"/>
      <c r="D146" s="5"/>
      <c r="E146" s="5"/>
      <c r="F146" s="5"/>
      <c r="G146" s="5"/>
      <c r="H146" s="5"/>
      <c r="I146" s="5"/>
      <c r="J146" s="5"/>
      <c r="K146" s="5"/>
      <c r="L146" s="5"/>
      <c r="M146" s="5"/>
      <c r="N146" s="5"/>
      <c r="O146" s="5"/>
      <c r="Q146" s="5"/>
      <c r="R146" s="5"/>
      <c r="S146" s="5"/>
    </row>
    <row r="147" spans="2:19">
      <c r="B147" s="5"/>
      <c r="C147" s="5"/>
      <c r="D147" s="5"/>
      <c r="E147" s="5"/>
      <c r="F147" s="5"/>
      <c r="G147" s="5"/>
      <c r="H147" s="5"/>
      <c r="I147" s="5"/>
      <c r="J147" s="5"/>
      <c r="K147" s="5"/>
      <c r="L147" s="5"/>
      <c r="M147" s="5"/>
      <c r="N147" s="5"/>
      <c r="O147" s="5"/>
      <c r="Q147" s="5"/>
      <c r="R147" s="5"/>
      <c r="S147" s="5"/>
    </row>
    <row r="148" spans="2:19">
      <c r="B148" s="5"/>
      <c r="C148" s="5"/>
      <c r="D148" s="5"/>
      <c r="E148" s="5"/>
      <c r="F148" s="5"/>
      <c r="G148" s="5"/>
      <c r="H148" s="5"/>
      <c r="I148" s="5"/>
      <c r="J148" s="5"/>
      <c r="K148" s="5"/>
      <c r="L148" s="5"/>
      <c r="M148" s="5"/>
      <c r="N148" s="5"/>
      <c r="O148" s="5"/>
      <c r="Q148" s="5"/>
      <c r="R148" s="5"/>
      <c r="S148" s="5"/>
    </row>
    <row r="149" spans="2:19">
      <c r="B149" s="5"/>
      <c r="C149" s="5"/>
      <c r="D149" s="5"/>
      <c r="E149" s="5"/>
      <c r="F149" s="5"/>
      <c r="G149" s="5"/>
      <c r="H149" s="5"/>
      <c r="J149" s="5"/>
      <c r="K149" s="5"/>
      <c r="L149" s="5"/>
      <c r="M149" s="5"/>
      <c r="N149" s="5"/>
      <c r="O149" s="5"/>
      <c r="Q149" s="5"/>
      <c r="R149" s="5"/>
      <c r="S149" s="5"/>
    </row>
    <row r="150" spans="2:19">
      <c r="B150" s="5"/>
      <c r="C150" s="5"/>
      <c r="D150" s="5"/>
      <c r="E150" s="5"/>
      <c r="F150" s="5"/>
      <c r="G150" s="5"/>
      <c r="H150" s="5"/>
      <c r="J150" s="5"/>
      <c r="K150" s="5"/>
      <c r="L150" s="5"/>
      <c r="M150" s="5"/>
      <c r="N150" s="5"/>
      <c r="O150" s="5"/>
      <c r="Q150" s="5"/>
      <c r="R150" s="5"/>
      <c r="S150" s="5"/>
    </row>
    <row r="151" spans="2:19">
      <c r="Q151" s="5"/>
      <c r="R151" s="5"/>
      <c r="S151" s="5"/>
    </row>
    <row r="152" spans="2:19">
      <c r="Q152" s="5"/>
      <c r="R152" s="5"/>
      <c r="S152" s="5"/>
    </row>
    <row r="153" spans="2:19">
      <c r="C153" s="263"/>
      <c r="Q153" s="5"/>
      <c r="R153" s="5"/>
      <c r="S153" s="5"/>
    </row>
    <row r="154" spans="2:19">
      <c r="Q154" s="5"/>
      <c r="R154" s="5"/>
      <c r="S154" s="5"/>
    </row>
    <row r="155" spans="2:19">
      <c r="Q155" s="5"/>
      <c r="R155" s="5"/>
      <c r="S155" s="5"/>
    </row>
    <row r="156" spans="2:19">
      <c r="Q156" s="5"/>
      <c r="R156" s="5"/>
      <c r="S156" s="5"/>
    </row>
    <row r="157" spans="2:19">
      <c r="Q157" s="5"/>
      <c r="R157" s="5"/>
      <c r="S157" s="5"/>
    </row>
    <row r="158" spans="2:19">
      <c r="Q158" s="5"/>
      <c r="R158" s="5"/>
      <c r="S158" s="5"/>
    </row>
    <row r="159" spans="2:19">
      <c r="Q159" s="5"/>
      <c r="R159" s="5"/>
      <c r="S159" s="5"/>
    </row>
    <row r="160" spans="2:19">
      <c r="Q160" s="5"/>
      <c r="R160" s="5"/>
      <c r="S160" s="5"/>
    </row>
    <row r="161" spans="17:19">
      <c r="Q161" s="5"/>
      <c r="R161" s="5"/>
      <c r="S161" s="5"/>
    </row>
    <row r="162" spans="17:19">
      <c r="Q162" s="5"/>
      <c r="R162" s="5"/>
      <c r="S162" s="5"/>
    </row>
    <row r="163" spans="17:19">
      <c r="Q163" s="5"/>
      <c r="R163" s="5"/>
      <c r="S163" s="5"/>
    </row>
    <row r="164" spans="17:19">
      <c r="Q164" s="5"/>
      <c r="R164" s="5"/>
      <c r="S164" s="5"/>
    </row>
    <row r="165" spans="17:19">
      <c r="Q165" s="5"/>
      <c r="R165" s="5"/>
      <c r="S165" s="5"/>
    </row>
  </sheetData>
  <phoneticPr fontId="7" type="noConversion"/>
  <hyperlinks>
    <hyperlink ref="C2" location="TELE2SOP!A1" display="Jump to Tele2 SOP" xr:uid="{00000000-0004-0000-5F00-000001000000}"/>
  </hyperlinks>
  <pageMargins left="0.75" right="0.75" top="1" bottom="1" header="0.5" footer="0.5"/>
  <pageSetup scale="71" orientation="landscape" r:id="rId1"/>
  <headerFooter alignWithMargins="0"/>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sheetPr codeName="Sheet11">
    <pageSetUpPr fitToPage="1"/>
  </sheetPr>
  <dimension ref="B1:AR165"/>
  <sheetViews>
    <sheetView showGridLines="0" zoomScale="80" zoomScaleNormal="80" workbookViewId="0"/>
  </sheetViews>
  <sheetFormatPr defaultColWidth="9.109375" defaultRowHeight="12"/>
  <cols>
    <col min="1" max="1" width="2.33203125" style="39" customWidth="1"/>
    <col min="2" max="2" width="26.5546875" style="39" customWidth="1"/>
    <col min="3" max="9" width="10" style="39" customWidth="1"/>
    <col min="10" max="10" width="26.6640625" style="39" customWidth="1"/>
    <col min="11" max="16" width="10" style="39" customWidth="1"/>
    <col min="17" max="19" width="8.6640625" style="39" customWidth="1"/>
    <col min="20" max="28" width="8.6640625" style="5" customWidth="1"/>
    <col min="29" max="44" width="9.109375" style="5"/>
    <col min="45" max="16384" width="9.109375" style="39"/>
  </cols>
  <sheetData>
    <row r="1" spans="2:44" s="312" customFormat="1">
      <c r="T1" s="149"/>
      <c r="U1" s="149"/>
      <c r="V1" s="149"/>
      <c r="W1" s="149"/>
      <c r="X1" s="149"/>
      <c r="Y1" s="149"/>
      <c r="Z1" s="149"/>
      <c r="AA1" s="149"/>
      <c r="AB1" s="149"/>
      <c r="AC1" s="149"/>
      <c r="AD1" s="149"/>
      <c r="AE1" s="149"/>
      <c r="AF1" s="149"/>
      <c r="AG1" s="149"/>
      <c r="AH1" s="149"/>
      <c r="AI1" s="149"/>
      <c r="AJ1" s="149"/>
      <c r="AK1" s="149"/>
      <c r="AL1" s="149"/>
      <c r="AM1" s="149"/>
      <c r="AN1" s="149"/>
      <c r="AO1" s="149"/>
      <c r="AP1" s="149"/>
      <c r="AQ1" s="149"/>
      <c r="AR1" s="149"/>
    </row>
    <row r="2" spans="2:44" s="149" customFormat="1"/>
    <row r="3" spans="2:44" s="149" customFormat="1">
      <c r="H3" s="153"/>
      <c r="P3" s="153"/>
    </row>
    <row r="4" spans="2:44" s="156" customFormat="1" ht="21">
      <c r="B4" s="129" t="s">
        <v>598</v>
      </c>
      <c r="H4" s="222"/>
      <c r="P4" s="222"/>
    </row>
    <row r="5" spans="2:44" s="149" customFormat="1">
      <c r="C5" s="153"/>
      <c r="D5" s="153" t="str" cm="1">
        <f t="array" ref="D5:H5">headings</f>
        <v>2023E</v>
      </c>
      <c r="E5" s="153" t="str">
        <v>2024E</v>
      </c>
      <c r="F5" s="153" t="str">
        <v>2025E</v>
      </c>
      <c r="G5" s="153" t="str">
        <v>2026E</v>
      </c>
      <c r="H5" s="153" t="str">
        <v>23E-26E</v>
      </c>
      <c r="I5" s="153"/>
      <c r="J5" s="153"/>
      <c r="K5" s="153"/>
      <c r="L5" s="153" t="str" cm="1">
        <f t="array" ref="L5:P5">headings</f>
        <v>2023E</v>
      </c>
      <c r="M5" s="153" t="str">
        <v>2024E</v>
      </c>
      <c r="N5" s="153" t="str">
        <v>2025E</v>
      </c>
      <c r="O5" s="153" t="str">
        <v>2026E</v>
      </c>
      <c r="P5" s="153" t="str">
        <v>23E-26E</v>
      </c>
      <c r="Q5" s="162"/>
      <c r="R5" s="162"/>
      <c r="S5" s="162"/>
      <c r="T5" s="162"/>
      <c r="U5" s="162"/>
      <c r="V5" s="162"/>
      <c r="W5" s="162"/>
      <c r="X5" s="162"/>
      <c r="Y5" s="162"/>
    </row>
    <row r="6" spans="2:44">
      <c r="I6" s="5"/>
      <c r="J6" s="5"/>
      <c r="K6" s="5"/>
      <c r="L6" s="5"/>
      <c r="M6" s="5"/>
      <c r="N6" s="5"/>
      <c r="O6" s="49"/>
    </row>
    <row r="7" spans="2:44" ht="12.6" thickBot="1">
      <c r="B7" s="306" t="s">
        <v>271</v>
      </c>
      <c r="C7" s="265"/>
      <c r="D7" s="265" t="str">
        <f>D5</f>
        <v>2023E</v>
      </c>
      <c r="E7" s="265" t="str">
        <f t="shared" ref="E7:H7" si="0">E5</f>
        <v>2024E</v>
      </c>
      <c r="F7" s="265" t="str">
        <f t="shared" si="0"/>
        <v>2025E</v>
      </c>
      <c r="G7" s="265" t="str">
        <f t="shared" si="0"/>
        <v>2026E</v>
      </c>
      <c r="H7" s="265" t="str">
        <f t="shared" si="0"/>
        <v>23E-26E</v>
      </c>
      <c r="I7" s="49"/>
      <c r="J7" s="306" t="s">
        <v>35</v>
      </c>
      <c r="K7" s="306"/>
      <c r="L7" s="265" t="str">
        <f>L5</f>
        <v>2023E</v>
      </c>
      <c r="M7" s="265" t="str">
        <f t="shared" ref="M7:P7" si="1">M5</f>
        <v>2024E</v>
      </c>
      <c r="N7" s="265" t="str">
        <f t="shared" si="1"/>
        <v>2025E</v>
      </c>
      <c r="O7" s="265" t="str">
        <f t="shared" si="1"/>
        <v>2026E</v>
      </c>
      <c r="P7" s="265" t="str">
        <f t="shared" si="1"/>
        <v>23E-26E</v>
      </c>
    </row>
    <row r="8" spans="2:44" ht="12.6" thickTop="1">
      <c r="B8" s="5"/>
      <c r="C8" s="5"/>
      <c r="D8" s="5"/>
      <c r="E8" s="5"/>
      <c r="F8" s="5"/>
      <c r="G8" s="5"/>
      <c r="H8" s="5"/>
      <c r="I8" s="5"/>
      <c r="J8" s="5"/>
      <c r="K8" s="5"/>
      <c r="L8" s="5"/>
      <c r="M8" s="5"/>
      <c r="N8" s="5"/>
      <c r="S8" s="88"/>
      <c r="T8" s="42"/>
      <c r="U8" s="42"/>
      <c r="V8" s="42"/>
      <c r="W8" s="42"/>
      <c r="X8" s="42"/>
      <c r="Y8" s="42"/>
      <c r="Z8" s="42"/>
      <c r="AA8" s="42"/>
    </row>
    <row r="9" spans="2:44">
      <c r="B9" s="41" t="s">
        <v>272</v>
      </c>
      <c r="C9" s="287">
        <f>Prices!C17</f>
        <v>4.1550000000000002</v>
      </c>
      <c r="D9" s="535">
        <v>0</v>
      </c>
      <c r="E9" s="536">
        <v>0</v>
      </c>
      <c r="F9" s="536">
        <v>0</v>
      </c>
      <c r="G9" s="536">
        <v>0</v>
      </c>
      <c r="H9" s="249"/>
      <c r="I9" s="249"/>
      <c r="J9" s="5" t="s">
        <v>273</v>
      </c>
      <c r="L9" s="529">
        <f>'W.EUR INCUMB'!D37</f>
        <v>2.1820368783030246</v>
      </c>
      <c r="M9" s="529">
        <f>'W.EUR INCUMB'!E37</f>
        <v>2.0995807894380842</v>
      </c>
      <c r="N9" s="529">
        <f>'W.EUR INCUMB'!F37</f>
        <v>2.0073776110351829</v>
      </c>
      <c r="O9" s="529">
        <f>'W.EUR INCUMB'!G37</f>
        <v>1.9004321192081457</v>
      </c>
      <c r="P9" s="279">
        <f>'W.EUR INCUMB'!H37</f>
        <v>1.5546449189376421E-2</v>
      </c>
      <c r="S9" s="88"/>
      <c r="T9" s="42"/>
      <c r="U9" s="42"/>
      <c r="V9" s="42"/>
      <c r="W9" s="42"/>
      <c r="X9" s="42"/>
      <c r="Y9" s="42"/>
      <c r="Z9" s="42"/>
      <c r="AA9" s="42"/>
    </row>
    <row r="10" spans="2:44">
      <c r="B10" s="5" t="s">
        <v>274</v>
      </c>
      <c r="C10" s="5"/>
      <c r="D10" s="531">
        <v>5639.3586649999997</v>
      </c>
      <c r="E10" s="531">
        <v>5639.3586649999997</v>
      </c>
      <c r="F10" s="531">
        <v>5639.3586649999997</v>
      </c>
      <c r="G10" s="531">
        <v>5639.3586649999997</v>
      </c>
      <c r="H10" s="247"/>
      <c r="I10" s="247"/>
      <c r="J10" s="5" t="s">
        <v>184</v>
      </c>
      <c r="L10" s="529">
        <f>'W.EUR INCUMB'!D38</f>
        <v>6.6561389315824204</v>
      </c>
      <c r="M10" s="529">
        <f>'W.EUR INCUMB'!E38</f>
        <v>6.276659180358183</v>
      </c>
      <c r="N10" s="529">
        <f>'W.EUR INCUMB'!F38</f>
        <v>5.9086011977805715</v>
      </c>
      <c r="O10" s="529">
        <f>'W.EUR INCUMB'!G38</f>
        <v>5.5249848727361259</v>
      </c>
      <c r="P10" s="279">
        <f>'W.EUR INCUMB'!H38</f>
        <v>3.1953936851226938E-2</v>
      </c>
      <c r="S10" s="88"/>
      <c r="T10" s="42"/>
      <c r="U10" s="42"/>
      <c r="V10" s="42"/>
      <c r="W10" s="288"/>
      <c r="X10" s="288"/>
      <c r="Y10" s="288"/>
      <c r="Z10" s="288"/>
      <c r="AA10" s="42"/>
    </row>
    <row r="11" spans="2:44">
      <c r="B11" s="41" t="s">
        <v>275</v>
      </c>
      <c r="C11" s="5"/>
      <c r="D11" s="532">
        <f>$C$9*D10</f>
        <v>23431.535253074999</v>
      </c>
      <c r="E11" s="532">
        <f>$C$9*E10</f>
        <v>23431.535253074999</v>
      </c>
      <c r="F11" s="532">
        <f>$C$9*F10</f>
        <v>23431.535253074999</v>
      </c>
      <c r="G11" s="532">
        <f>$C$9*G10</f>
        <v>23431.535253074999</v>
      </c>
      <c r="H11" s="249"/>
      <c r="I11" s="249"/>
      <c r="J11" s="5" t="s">
        <v>185</v>
      </c>
      <c r="L11" s="529">
        <f>'W.EUR INCUMB'!D39</f>
        <v>13.860323858751276</v>
      </c>
      <c r="M11" s="529">
        <f>'W.EUR INCUMB'!E39</f>
        <v>12.09622383745986</v>
      </c>
      <c r="N11" s="529">
        <f>'W.EUR INCUMB'!F39</f>
        <v>10.876080155020103</v>
      </c>
      <c r="O11" s="529">
        <f>'W.EUR INCUMB'!G39</f>
        <v>9.7993857809910292</v>
      </c>
      <c r="P11" s="279">
        <f>'W.EUR INCUMB'!H39</f>
        <v>8.864945159447446E-2</v>
      </c>
      <c r="S11" s="88"/>
      <c r="T11" s="42"/>
      <c r="U11" s="42"/>
      <c r="V11" s="42"/>
      <c r="W11" s="288"/>
      <c r="X11" s="288"/>
      <c r="Y11" s="288"/>
      <c r="Z11" s="288"/>
      <c r="AA11" s="42"/>
    </row>
    <row r="12" spans="2:44">
      <c r="B12" s="5" t="s">
        <v>24</v>
      </c>
      <c r="C12" s="249"/>
      <c r="D12" s="533">
        <v>27348.720816887901</v>
      </c>
      <c r="E12" s="533">
        <v>28000.882361854827</v>
      </c>
      <c r="F12" s="533">
        <v>28629.934277822202</v>
      </c>
      <c r="G12" s="533">
        <v>27752.36908423376</v>
      </c>
      <c r="H12" s="247"/>
      <c r="I12" s="247"/>
      <c r="J12" s="5" t="s">
        <v>466</v>
      </c>
      <c r="L12" s="529">
        <f>'W.EUR INCUMB'!D40</f>
        <v>18.773170831659439</v>
      </c>
      <c r="M12" s="529">
        <f>'W.EUR INCUMB'!E40</f>
        <v>16.316100899802951</v>
      </c>
      <c r="N12" s="529">
        <f>'W.EUR INCUMB'!F40</f>
        <v>14.678691432593167</v>
      </c>
      <c r="O12" s="529">
        <f>'W.EUR INCUMB'!G40</f>
        <v>13.250660214807615</v>
      </c>
      <c r="P12" s="279">
        <f>'W.EUR INCUMB'!H40</f>
        <v>8.9255902689365119E-2</v>
      </c>
      <c r="S12" s="88"/>
      <c r="T12" s="42"/>
      <c r="U12" s="42"/>
      <c r="V12" s="42"/>
      <c r="W12" s="288"/>
      <c r="X12" s="288"/>
      <c r="Y12" s="288"/>
      <c r="Z12" s="288"/>
      <c r="AA12" s="42"/>
    </row>
    <row r="13" spans="2:44">
      <c r="B13" s="5" t="s">
        <v>529</v>
      </c>
      <c r="C13" s="257"/>
      <c r="D13" s="533">
        <v>12914.176555543625</v>
      </c>
      <c r="E13" s="533">
        <v>12914.176555543625</v>
      </c>
      <c r="F13" s="533">
        <v>12914.176555543625</v>
      </c>
      <c r="G13" s="533">
        <v>12914.176555543625</v>
      </c>
      <c r="H13" s="247"/>
      <c r="I13" s="247"/>
      <c r="J13" s="5" t="s">
        <v>530</v>
      </c>
      <c r="L13" s="529">
        <f>'W.EUR INCUMB'!D41</f>
        <v>1.4554049615742648</v>
      </c>
      <c r="M13" s="529">
        <f>'W.EUR INCUMB'!E41</f>
        <v>1.3652506578772214</v>
      </c>
      <c r="N13" s="529">
        <f>'W.EUR INCUMB'!F41</f>
        <v>1.2968813123150413</v>
      </c>
      <c r="O13" s="529">
        <f>'W.EUR INCUMB'!G41</f>
        <v>1.2281427713802577</v>
      </c>
      <c r="P13" s="279">
        <f>'W.EUR INCUMB'!H41</f>
        <v>2.6301307293472354E-2</v>
      </c>
      <c r="S13" s="88"/>
      <c r="T13" s="42"/>
      <c r="U13" s="42"/>
      <c r="V13" s="42"/>
      <c r="W13" s="42"/>
      <c r="X13" s="42"/>
      <c r="Y13" s="42"/>
      <c r="Z13" s="42"/>
      <c r="AA13" s="42"/>
    </row>
    <row r="14" spans="2:44">
      <c r="B14" s="5" t="s">
        <v>532</v>
      </c>
      <c r="C14" s="257"/>
      <c r="D14" s="533">
        <f>TEFSOP!R29</f>
        <v>3886.2133876094936</v>
      </c>
      <c r="E14" s="533">
        <f t="shared" ref="E14:G15" si="2">D14</f>
        <v>3886.2133876094936</v>
      </c>
      <c r="F14" s="533">
        <f t="shared" si="2"/>
        <v>3886.2133876094936</v>
      </c>
      <c r="G14" s="533">
        <f t="shared" si="2"/>
        <v>3886.2133876094936</v>
      </c>
      <c r="H14" s="247"/>
      <c r="I14" s="247"/>
      <c r="J14" s="5" t="s">
        <v>593</v>
      </c>
      <c r="L14" s="529">
        <f>'W.EUR INCUMB'!D42</f>
        <v>3.3234793761102739</v>
      </c>
      <c r="M14" s="529">
        <f>'W.EUR INCUMB'!E42</f>
        <v>3.2424169171692641</v>
      </c>
      <c r="N14" s="529">
        <f>'W.EUR INCUMB'!F42</f>
        <v>3.1662515332190617</v>
      </c>
      <c r="O14" s="529">
        <f>'W.EUR INCUMB'!G42</f>
        <v>3.0630241710617754</v>
      </c>
      <c r="P14" s="279">
        <f>'W.EUR INCUMB'!H42</f>
        <v>-3.4232783193558491E-3</v>
      </c>
      <c r="S14" s="88"/>
      <c r="T14" s="42"/>
      <c r="U14" s="42"/>
      <c r="V14" s="42"/>
      <c r="W14" s="42"/>
      <c r="X14" s="42"/>
      <c r="Y14" s="42"/>
      <c r="Z14" s="42"/>
      <c r="AA14" s="42"/>
    </row>
    <row r="15" spans="2:44">
      <c r="B15" s="5" t="s">
        <v>531</v>
      </c>
      <c r="C15" s="274"/>
      <c r="D15" s="533">
        <f>TEFSOP!T31</f>
        <v>6363.0519215402837</v>
      </c>
      <c r="E15" s="533">
        <f t="shared" si="2"/>
        <v>6363.0519215402837</v>
      </c>
      <c r="F15" s="533">
        <f t="shared" si="2"/>
        <v>6363.0519215402837</v>
      </c>
      <c r="G15" s="533">
        <f t="shared" si="2"/>
        <v>6363.0519215402837</v>
      </c>
      <c r="H15" s="247"/>
      <c r="I15" s="247"/>
      <c r="J15" s="5" t="s">
        <v>475</v>
      </c>
      <c r="L15" s="529">
        <f>'W.EUR INCUMB'!D43</f>
        <v>15.36919487731438</v>
      </c>
      <c r="M15" s="529">
        <f>'W.EUR INCUMB'!E43</f>
        <v>13.900480990887658</v>
      </c>
      <c r="N15" s="529">
        <f>'W.EUR INCUMB'!F43</f>
        <v>11.808036199618913</v>
      </c>
      <c r="O15" s="529">
        <f>'W.EUR INCUMB'!G43</f>
        <v>10.77079458313478</v>
      </c>
      <c r="P15" s="279">
        <f>'W.EUR INCUMB'!H43</f>
        <v>0.11736524628436351</v>
      </c>
      <c r="S15" s="88"/>
      <c r="T15" s="42"/>
      <c r="U15" s="42"/>
      <c r="V15" s="42"/>
      <c r="W15" s="42"/>
      <c r="X15" s="42"/>
      <c r="Y15" s="42"/>
      <c r="Z15" s="42"/>
      <c r="AA15" s="42"/>
    </row>
    <row r="16" spans="2:44">
      <c r="B16" s="5" t="s">
        <v>534</v>
      </c>
      <c r="C16" s="257"/>
      <c r="D16" s="533">
        <v>0</v>
      </c>
      <c r="E16" s="533">
        <v>1691.8075994999999</v>
      </c>
      <c r="F16" s="533">
        <v>3383.6151989999998</v>
      </c>
      <c r="G16" s="533">
        <v>5075.4227984999998</v>
      </c>
      <c r="H16" s="247"/>
      <c r="I16" s="247"/>
      <c r="J16" s="5" t="s">
        <v>533</v>
      </c>
      <c r="L16" s="529">
        <f>'W.EUR INCUMB'!D44</f>
        <v>13.849445280082518</v>
      </c>
      <c r="M16" s="529">
        <f>'W.EUR INCUMB'!E44</f>
        <v>12.437286696089576</v>
      </c>
      <c r="N16" s="529">
        <f>'W.EUR INCUMB'!F44</f>
        <v>11.380437598490861</v>
      </c>
      <c r="O16" s="529">
        <f>'W.EUR INCUMB'!G44</f>
        <v>10.478743141097034</v>
      </c>
      <c r="P16" s="279">
        <f>'W.EUR INCUMB'!H44</f>
        <v>9.2323853476973694E-2</v>
      </c>
      <c r="S16" s="88"/>
      <c r="T16" s="42"/>
      <c r="U16" s="42"/>
      <c r="V16" s="42"/>
      <c r="W16" s="42"/>
      <c r="X16" s="42"/>
      <c r="Y16" s="42"/>
      <c r="Z16" s="42"/>
      <c r="AA16" s="42"/>
    </row>
    <row r="17" spans="2:27">
      <c r="B17" s="5" t="s">
        <v>6</v>
      </c>
      <c r="C17" s="257"/>
      <c r="D17" s="533">
        <v>412.91347588264546</v>
      </c>
      <c r="E17" s="533">
        <v>412.91347588264546</v>
      </c>
      <c r="F17" s="533">
        <v>412.91347588264546</v>
      </c>
      <c r="G17" s="533">
        <v>412.91347588264546</v>
      </c>
      <c r="H17" s="247"/>
      <c r="I17" s="247"/>
      <c r="J17" s="5" t="s">
        <v>580</v>
      </c>
      <c r="L17" s="248">
        <f>'W.EUR INCUMB'!D45</f>
        <v>4.9929768285127372E-2</v>
      </c>
      <c r="M17" s="248">
        <f>'W.EUR INCUMB'!E45</f>
        <v>5.2540326500089954E-2</v>
      </c>
      <c r="N17" s="248">
        <f>'W.EUR INCUMB'!F45</f>
        <v>5.4852141769022943E-2</v>
      </c>
      <c r="O17" s="248">
        <f>'W.EUR INCUMB'!G45</f>
        <v>5.8322596586761276E-2</v>
      </c>
      <c r="P17" s="279">
        <f>'W.EUR INCUMB'!H45</f>
        <v>4.8261067786518064E-2</v>
      </c>
      <c r="S17" s="88"/>
      <c r="T17" s="42"/>
      <c r="U17" s="42"/>
      <c r="V17" s="42"/>
      <c r="W17" s="42"/>
      <c r="X17" s="42"/>
      <c r="Y17" s="42"/>
      <c r="Z17" s="42"/>
      <c r="AA17" s="42"/>
    </row>
    <row r="18" spans="2:27" ht="12.6" thickBot="1">
      <c r="B18" s="41" t="s">
        <v>583</v>
      </c>
      <c r="C18" s="249"/>
      <c r="D18" s="534">
        <f>D11+D12+D13-D14+D15-D16-D17</f>
        <v>65758.35768355467</v>
      </c>
      <c r="E18" s="534">
        <f>E11+E12+E13-E14+E15-E16-E17</f>
        <v>64718.7116290216</v>
      </c>
      <c r="F18" s="534">
        <f>F11+F12+F13-F14+F15-F16-F17</f>
        <v>63655.955945488968</v>
      </c>
      <c r="G18" s="534">
        <f>G11+G12+G13-G14+G15-G16-G17</f>
        <v>61086.583152400526</v>
      </c>
      <c r="H18" s="276">
        <f>IF(D18=0,"nm",IF(G18=0,"nm",(G18/D18)^(1/3)-1))</f>
        <v>-2.4265580504995832E-2</v>
      </c>
      <c r="I18" s="254"/>
      <c r="J18" s="5" t="s">
        <v>36</v>
      </c>
      <c r="L18" s="248">
        <f>'W.EUR INCUMB'!D46</f>
        <v>4.9929768285127372E-2</v>
      </c>
      <c r="M18" s="248">
        <f>'W.EUR INCUMB'!E46</f>
        <v>5.2540326500089954E-2</v>
      </c>
      <c r="N18" s="248">
        <f>'W.EUR INCUMB'!F46</f>
        <v>5.4852141769022943E-2</v>
      </c>
      <c r="O18" s="248">
        <f>'W.EUR INCUMB'!G46</f>
        <v>5.8322596586761276E-2</v>
      </c>
      <c r="P18" s="279">
        <f>'W.EUR INCUMB'!H46</f>
        <v>4.8261067786518064E-2</v>
      </c>
      <c r="S18" s="88"/>
      <c r="T18" s="42"/>
      <c r="U18" s="42"/>
      <c r="V18" s="42"/>
      <c r="W18" s="42"/>
      <c r="X18" s="42"/>
      <c r="Y18" s="42"/>
      <c r="Z18" s="42"/>
      <c r="AA18" s="42"/>
    </row>
    <row r="19" spans="2:27" ht="12.6" thickTop="1">
      <c r="B19" s="41"/>
      <c r="C19" s="249"/>
      <c r="D19" s="229"/>
      <c r="E19" s="229"/>
      <c r="F19" s="229"/>
      <c r="G19" s="229"/>
      <c r="H19" s="276"/>
      <c r="I19" s="254"/>
      <c r="J19" s="5" t="s">
        <v>581</v>
      </c>
      <c r="L19" s="248">
        <f>'W.EUR INCUMB'!D47</f>
        <v>6.5065217012508891E-2</v>
      </c>
      <c r="M19" s="248">
        <f>'W.EUR INCUMB'!E47</f>
        <v>7.1939956657294191E-2</v>
      </c>
      <c r="N19" s="248">
        <f>'W.EUR INCUMB'!F47</f>
        <v>8.4688087256395234E-2</v>
      </c>
      <c r="O19" s="248">
        <f>'W.EUR INCUMB'!G47</f>
        <v>9.2843660909272999E-2</v>
      </c>
      <c r="P19" s="279">
        <f>'W.EUR INCUMB'!H47</f>
        <v>0.11736524628436351</v>
      </c>
      <c r="S19" s="88"/>
      <c r="T19" s="42"/>
      <c r="U19" s="42"/>
      <c r="V19" s="42"/>
      <c r="W19" s="42"/>
      <c r="X19" s="42"/>
      <c r="Y19" s="42"/>
      <c r="Z19" s="42"/>
      <c r="AA19" s="42"/>
    </row>
    <row r="20" spans="2:27">
      <c r="H20" s="277"/>
      <c r="I20" s="17"/>
      <c r="J20" s="5" t="s">
        <v>604</v>
      </c>
      <c r="L20" s="305">
        <f>'W.EUR INCUMB'!D48</f>
        <v>0.69753103513272863</v>
      </c>
      <c r="M20" s="305">
        <f>'W.EUR INCUMB'!E48</f>
        <v>0.66278263399293669</v>
      </c>
      <c r="N20" s="305">
        <f>'W.EUR INCUMB'!F48</f>
        <v>0.5878425682239502</v>
      </c>
      <c r="O20" s="305">
        <f>'W.EUR INCUMB'!G48</f>
        <v>0.5759521808171526</v>
      </c>
      <c r="P20" s="279" t="str">
        <f>'W.EUR INCUMB'!H48</f>
        <v>nm</v>
      </c>
      <c r="S20" s="88"/>
      <c r="T20" s="42"/>
      <c r="U20" s="42"/>
      <c r="V20" s="42"/>
      <c r="W20" s="42"/>
      <c r="X20" s="42"/>
      <c r="Y20" s="42"/>
      <c r="Z20" s="42"/>
      <c r="AA20" s="42"/>
    </row>
    <row r="21" spans="2:27" ht="12.6" thickBot="1">
      <c r="B21" s="306" t="s">
        <v>926</v>
      </c>
      <c r="C21" s="265"/>
      <c r="D21" s="265" t="str">
        <f>D5</f>
        <v>2023E</v>
      </c>
      <c r="E21" s="265" t="str">
        <f t="shared" ref="E21:H21" si="3">E5</f>
        <v>2024E</v>
      </c>
      <c r="F21" s="265" t="str">
        <f t="shared" si="3"/>
        <v>2025E</v>
      </c>
      <c r="G21" s="265" t="str">
        <f t="shared" si="3"/>
        <v>2026E</v>
      </c>
      <c r="H21" s="265" t="str">
        <f t="shared" si="3"/>
        <v>23E-26E</v>
      </c>
      <c r="I21" s="49"/>
      <c r="J21" s="41"/>
      <c r="L21" s="250"/>
      <c r="M21" s="250"/>
      <c r="N21" s="250"/>
      <c r="O21" s="250"/>
      <c r="P21" s="279"/>
      <c r="S21" s="88"/>
      <c r="T21" s="42"/>
      <c r="U21" s="42"/>
      <c r="V21" s="42"/>
      <c r="W21" s="42"/>
      <c r="X21" s="42"/>
      <c r="Y21" s="42"/>
      <c r="Z21" s="42"/>
      <c r="AA21" s="42"/>
    </row>
    <row r="22" spans="2:27" ht="12.6" thickTop="1">
      <c r="B22" s="5"/>
      <c r="C22" s="257"/>
      <c r="D22" s="17"/>
      <c r="E22" s="17"/>
      <c r="F22" s="17"/>
      <c r="G22" s="17"/>
      <c r="H22" s="17"/>
      <c r="I22" s="17"/>
      <c r="P22" s="277"/>
      <c r="S22" s="88"/>
      <c r="T22" s="42"/>
      <c r="U22" s="42"/>
      <c r="V22" s="42"/>
      <c r="W22" s="42"/>
      <c r="X22" s="42"/>
      <c r="Y22" s="42"/>
      <c r="Z22" s="42"/>
      <c r="AA22" s="42"/>
    </row>
    <row r="23" spans="2:27" ht="12.6" thickBot="1">
      <c r="B23" s="5" t="s">
        <v>584</v>
      </c>
      <c r="C23" s="548">
        <v>40652.3746914</v>
      </c>
      <c r="D23" s="540">
        <v>41351.440719611041</v>
      </c>
      <c r="E23" s="540">
        <v>41476.566879674421</v>
      </c>
      <c r="F23" s="540">
        <v>41694.735489373226</v>
      </c>
      <c r="G23" s="540">
        <v>42042.43858668601</v>
      </c>
      <c r="H23" s="279">
        <f t="shared" ref="H23:H32" si="4">IF(D23=0,"nm",IF(G23=0,"nm",(G23/D23)^(1/3)-1))</f>
        <v>5.5393818641980008E-3</v>
      </c>
      <c r="I23" s="247"/>
      <c r="J23" s="306" t="s">
        <v>9</v>
      </c>
      <c r="K23" s="306"/>
      <c r="L23" s="265" t="str">
        <f>D21</f>
        <v>2023E</v>
      </c>
      <c r="M23" s="265" t="str">
        <f t="shared" ref="M23:P23" si="5">E21</f>
        <v>2024E</v>
      </c>
      <c r="N23" s="265" t="str">
        <f t="shared" si="5"/>
        <v>2025E</v>
      </c>
      <c r="O23" s="265" t="str">
        <f t="shared" si="5"/>
        <v>2026E</v>
      </c>
      <c r="P23" s="265" t="str">
        <f t="shared" si="5"/>
        <v>23E-26E</v>
      </c>
      <c r="S23" s="88"/>
      <c r="T23" s="42"/>
      <c r="U23" s="42"/>
      <c r="V23" s="42"/>
      <c r="W23" s="42"/>
      <c r="X23" s="42"/>
      <c r="Y23" s="42"/>
      <c r="Z23" s="42"/>
      <c r="AA23" s="42"/>
    </row>
    <row r="24" spans="2:27" ht="12.6" thickTop="1">
      <c r="B24" s="5" t="s">
        <v>483</v>
      </c>
      <c r="C24" s="549">
        <v>10485.1839722</v>
      </c>
      <c r="D24" s="540">
        <v>10526.639924499999</v>
      </c>
      <c r="E24" s="540">
        <v>10760.290169473232</v>
      </c>
      <c r="F24" s="540">
        <v>10902.957871735882</v>
      </c>
      <c r="G24" s="540">
        <v>11054.514734702832</v>
      </c>
      <c r="H24" s="279">
        <f t="shared" si="4"/>
        <v>1.6443645380087579E-2</v>
      </c>
      <c r="I24" s="249"/>
      <c r="J24" s="17"/>
      <c r="K24" s="17"/>
      <c r="L24" s="17"/>
      <c r="M24" s="17"/>
      <c r="N24" s="17"/>
      <c r="O24" s="248"/>
      <c r="S24" s="88"/>
      <c r="T24" s="42"/>
      <c r="U24" s="42"/>
      <c r="V24" s="42"/>
      <c r="W24" s="42" t="s">
        <v>461</v>
      </c>
      <c r="X24" s="42" t="s">
        <v>251</v>
      </c>
      <c r="Y24" s="42"/>
      <c r="Z24" s="42"/>
      <c r="AA24" s="42"/>
    </row>
    <row r="25" spans="2:27">
      <c r="B25" s="5" t="s">
        <v>183</v>
      </c>
      <c r="C25" s="548">
        <v>4839.6287289000011</v>
      </c>
      <c r="D25" s="540">
        <v>5129.9751780999995</v>
      </c>
      <c r="E25" s="540">
        <v>5351.0096029664264</v>
      </c>
      <c r="F25" s="540">
        <v>5717.4617444791966</v>
      </c>
      <c r="G25" s="540">
        <v>6064.7209120470152</v>
      </c>
      <c r="H25" s="279">
        <f t="shared" si="4"/>
        <v>5.7381851694691566E-2</v>
      </c>
      <c r="I25" s="248"/>
      <c r="J25" s="247" t="s">
        <v>10</v>
      </c>
      <c r="K25" s="247"/>
      <c r="L25" s="321">
        <v>2195</v>
      </c>
      <c r="M25" s="321">
        <v>2195</v>
      </c>
      <c r="N25" s="321">
        <v>2195</v>
      </c>
      <c r="O25" s="321">
        <v>-509</v>
      </c>
      <c r="P25" s="279">
        <f>IF(L25=0,"nm",IF(O25=0,"nm",(O25/L25)^(1/3)-1))</f>
        <v>-1.6143668197093666</v>
      </c>
      <c r="S25" s="88"/>
      <c r="T25" s="42"/>
      <c r="U25" s="42"/>
      <c r="V25" s="147" t="s">
        <v>273</v>
      </c>
      <c r="W25" s="288">
        <f>D37/L9</f>
        <v>0.72878298834899113</v>
      </c>
      <c r="X25" s="288">
        <v>1</v>
      </c>
      <c r="Y25" s="42"/>
      <c r="Z25" s="42"/>
      <c r="AA25" s="42"/>
    </row>
    <row r="26" spans="2:27">
      <c r="B26" s="5" t="s">
        <v>586</v>
      </c>
      <c r="C26" s="548">
        <v>3629.7215466750008</v>
      </c>
      <c r="D26" s="540">
        <v>3847.4813835749997</v>
      </c>
      <c r="E26" s="540">
        <v>4013.2572022248196</v>
      </c>
      <c r="F26" s="540">
        <v>4288.0963083593979</v>
      </c>
      <c r="G26" s="540">
        <v>4548.5406840352616</v>
      </c>
      <c r="H26" s="279">
        <f t="shared" si="4"/>
        <v>5.7381851694691566E-2</v>
      </c>
      <c r="I26" s="249"/>
      <c r="J26" s="249" t="s">
        <v>11</v>
      </c>
      <c r="K26" s="249"/>
      <c r="L26" s="281">
        <f>D11+L25</f>
        <v>25626.535253074999</v>
      </c>
      <c r="M26" s="281">
        <f>E11+M25</f>
        <v>25626.535253074999</v>
      </c>
      <c r="N26" s="281">
        <f>F11+N25</f>
        <v>25626.535253074999</v>
      </c>
      <c r="O26" s="281">
        <f>G11+O25</f>
        <v>22922.535253074999</v>
      </c>
      <c r="P26" s="279">
        <f>IF(L26=0,"nm",IF(O26=0,"nm",(O26/L26)^(1/3)-1))</f>
        <v>-3.6486984867576511E-2</v>
      </c>
      <c r="Q26" s="5"/>
      <c r="S26" s="88"/>
      <c r="T26" s="42"/>
      <c r="U26" s="42"/>
      <c r="V26" s="147" t="s">
        <v>184</v>
      </c>
      <c r="W26" s="288">
        <f t="shared" ref="W26:W33" si="6">D38/L10</f>
        <v>0.93850980064025968</v>
      </c>
      <c r="X26" s="288">
        <v>1</v>
      </c>
      <c r="Y26" s="42"/>
      <c r="Z26" s="42"/>
      <c r="AA26" s="42"/>
    </row>
    <row r="27" spans="2:27">
      <c r="B27" s="5" t="s">
        <v>587</v>
      </c>
      <c r="C27" s="549">
        <v>58394.823531362003</v>
      </c>
      <c r="D27" s="540">
        <v>54444.720816887901</v>
      </c>
      <c r="E27" s="540">
        <v>52838.948474690704</v>
      </c>
      <c r="F27" s="540">
        <v>51587.301080350509</v>
      </c>
      <c r="G27" s="540">
        <v>49296.115842557119</v>
      </c>
      <c r="H27" s="279">
        <f t="shared" si="4"/>
        <v>-3.2571281471008739E-2</v>
      </c>
      <c r="I27" s="249"/>
      <c r="J27" s="248"/>
      <c r="K27" s="248"/>
      <c r="L27" s="248"/>
      <c r="M27" s="248"/>
      <c r="N27" s="248"/>
      <c r="O27" s="248"/>
      <c r="Q27" s="41"/>
      <c r="S27" s="88"/>
      <c r="T27" s="42"/>
      <c r="U27" s="42"/>
      <c r="V27" s="147" t="s">
        <v>185</v>
      </c>
      <c r="W27" s="288">
        <f t="shared" si="6"/>
        <v>0.92483086718237961</v>
      </c>
      <c r="X27" s="288">
        <v>1</v>
      </c>
      <c r="Y27" s="42"/>
      <c r="Z27" s="42"/>
      <c r="AA27" s="42"/>
    </row>
    <row r="28" spans="2:27" ht="12.6" thickBot="1">
      <c r="B28" s="5" t="s">
        <v>592</v>
      </c>
      <c r="C28" s="548">
        <v>23714</v>
      </c>
      <c r="D28" s="540">
        <v>22944</v>
      </c>
      <c r="E28" s="540">
        <v>23516.120404431931</v>
      </c>
      <c r="F28" s="540">
        <v>22451.287026167978</v>
      </c>
      <c r="G28" s="540">
        <v>21234.995150310715</v>
      </c>
      <c r="H28" s="279">
        <f t="shared" si="4"/>
        <v>-2.5471949890507939E-2</v>
      </c>
      <c r="I28" s="248"/>
      <c r="J28" s="306" t="s">
        <v>1362</v>
      </c>
      <c r="K28" s="306"/>
      <c r="L28" s="306"/>
      <c r="M28" s="306"/>
      <c r="N28" s="266"/>
      <c r="O28" s="266"/>
      <c r="P28" s="266"/>
      <c r="Q28" s="5"/>
      <c r="S28" s="88"/>
      <c r="T28" s="42"/>
      <c r="U28" s="42"/>
      <c r="V28" s="147" t="s">
        <v>466</v>
      </c>
      <c r="W28" s="288">
        <f t="shared" si="6"/>
        <v>0.91040953771469635</v>
      </c>
      <c r="X28" s="288">
        <v>1</v>
      </c>
      <c r="Y28" s="42"/>
      <c r="Z28" s="42"/>
      <c r="AA28" s="42"/>
    </row>
    <row r="29" spans="2:27" ht="12.6" thickTop="1">
      <c r="B29" s="5" t="s">
        <v>588</v>
      </c>
      <c r="C29" s="548">
        <v>2647.573751855246</v>
      </c>
      <c r="D29" s="540">
        <v>1517.1335676292897</v>
      </c>
      <c r="E29" s="540">
        <v>1114.1938459638875</v>
      </c>
      <c r="F29" s="540">
        <v>2624.6241951479092</v>
      </c>
      <c r="G29" s="540">
        <v>2913.0968748745508</v>
      </c>
      <c r="H29" s="279">
        <f t="shared" si="4"/>
        <v>0.24292150793193068</v>
      </c>
      <c r="I29" s="252"/>
      <c r="J29" s="249"/>
      <c r="K29" s="249"/>
      <c r="L29" s="249"/>
      <c r="M29" s="249"/>
      <c r="N29" s="249"/>
      <c r="O29" s="251"/>
      <c r="Q29" s="5"/>
      <c r="S29" s="88"/>
      <c r="T29" s="42"/>
      <c r="U29" s="42"/>
      <c r="V29" s="147" t="s">
        <v>530</v>
      </c>
      <c r="W29" s="288">
        <f t="shared" si="6"/>
        <v>0.82987242074565337</v>
      </c>
      <c r="X29" s="288">
        <v>1</v>
      </c>
      <c r="Y29" s="42"/>
      <c r="Z29" s="42"/>
      <c r="AA29" s="42"/>
    </row>
    <row r="30" spans="2:27">
      <c r="B30" s="5" t="s">
        <v>589</v>
      </c>
      <c r="C30" s="549">
        <v>1637.3922375000002</v>
      </c>
      <c r="D30" s="540">
        <v>1702.4563244373539</v>
      </c>
      <c r="E30" s="540">
        <v>2236.0800931618433</v>
      </c>
      <c r="F30" s="540">
        <v>2444.3825407364357</v>
      </c>
      <c r="G30" s="540">
        <v>2819.8678775462108</v>
      </c>
      <c r="H30" s="279">
        <f t="shared" si="4"/>
        <v>0.18318029189514395</v>
      </c>
      <c r="I30" s="254"/>
      <c r="J30" s="248"/>
      <c r="K30" s="248"/>
      <c r="L30" s="248"/>
      <c r="M30" s="248"/>
      <c r="N30" s="248"/>
      <c r="O30" s="5"/>
      <c r="Q30" s="5"/>
      <c r="S30" s="88"/>
      <c r="T30" s="42"/>
      <c r="U30" s="42"/>
      <c r="V30" s="147" t="s">
        <v>593</v>
      </c>
      <c r="W30" s="288">
        <f t="shared" si="6"/>
        <v>0.86236046110875664</v>
      </c>
      <c r="X30" s="288">
        <v>1</v>
      </c>
      <c r="Y30" s="42"/>
      <c r="Z30" s="42"/>
      <c r="AA30" s="42"/>
    </row>
    <row r="31" spans="2:27">
      <c r="B31" s="5" t="s">
        <v>590</v>
      </c>
      <c r="C31" s="549">
        <v>1707.0059799000001</v>
      </c>
      <c r="D31" s="540">
        <v>1691.8075994999999</v>
      </c>
      <c r="E31" s="540">
        <v>1691.8075994999999</v>
      </c>
      <c r="F31" s="540">
        <v>1691.8075994999999</v>
      </c>
      <c r="G31" s="540">
        <v>1691.8075994999999</v>
      </c>
      <c r="H31" s="279">
        <f t="shared" si="4"/>
        <v>0</v>
      </c>
      <c r="I31" s="254"/>
      <c r="J31" s="252"/>
      <c r="K31" s="252"/>
      <c r="L31" s="252"/>
      <c r="M31" s="252"/>
      <c r="N31" s="252"/>
      <c r="O31" s="5"/>
      <c r="Q31" s="5"/>
      <c r="S31" s="88"/>
      <c r="T31" s="42"/>
      <c r="U31" s="42"/>
      <c r="V31" s="147" t="s">
        <v>475</v>
      </c>
      <c r="W31" s="288">
        <f t="shared" si="6"/>
        <v>1.0990436920630187</v>
      </c>
      <c r="X31" s="288">
        <v>1</v>
      </c>
      <c r="Y31" s="42"/>
      <c r="Z31" s="42"/>
      <c r="AA31" s="42"/>
    </row>
    <row r="32" spans="2:27">
      <c r="B32" s="5" t="s">
        <v>606</v>
      </c>
      <c r="C32" s="550">
        <v>0</v>
      </c>
      <c r="D32" s="540">
        <v>0</v>
      </c>
      <c r="E32" s="540">
        <v>0</v>
      </c>
      <c r="F32" s="540">
        <v>0</v>
      </c>
      <c r="G32" s="540">
        <v>0</v>
      </c>
      <c r="H32" s="279" t="str">
        <f t="shared" si="4"/>
        <v>nm</v>
      </c>
      <c r="I32" s="254"/>
      <c r="J32" s="254"/>
      <c r="K32" s="254"/>
      <c r="L32" s="254"/>
      <c r="M32" s="254"/>
      <c r="N32" s="254"/>
      <c r="O32" s="251"/>
      <c r="Q32" s="5"/>
      <c r="S32" s="88"/>
      <c r="T32" s="42"/>
      <c r="U32" s="42"/>
      <c r="V32" s="147" t="s">
        <v>533</v>
      </c>
      <c r="W32" s="288">
        <f t="shared" si="6"/>
        <v>0.99378488491718264</v>
      </c>
      <c r="X32" s="288">
        <v>1</v>
      </c>
      <c r="Y32" s="42"/>
      <c r="Z32" s="42"/>
      <c r="AA32" s="42"/>
    </row>
    <row r="33" spans="2:27">
      <c r="B33" s="5" t="s">
        <v>5</v>
      </c>
      <c r="C33" s="549">
        <v>1235.6610000000001</v>
      </c>
      <c r="D33" s="540">
        <v>1811</v>
      </c>
      <c r="E33" s="540">
        <v>1555.5671665337275</v>
      </c>
      <c r="F33" s="540">
        <v>1575.1354215226831</v>
      </c>
      <c r="G33" s="540">
        <v>1626.8402268085597</v>
      </c>
      <c r="H33" s="279">
        <f>IF(D33=0,"nm",IF(G33=0,"nm",(G33/D33)^(1/3)-1))</f>
        <v>-3.5115157405018915E-2</v>
      </c>
      <c r="I33" s="5"/>
      <c r="J33" s="254"/>
      <c r="K33" s="254"/>
      <c r="L33" s="254"/>
      <c r="M33" s="254"/>
      <c r="N33" s="254"/>
      <c r="O33" s="251"/>
      <c r="Q33" s="5"/>
      <c r="S33" s="88"/>
      <c r="T33" s="42"/>
      <c r="U33" s="42"/>
      <c r="V33" s="147" t="s">
        <v>580</v>
      </c>
      <c r="W33" s="288">
        <f t="shared" si="6"/>
        <v>1.4460745271771844</v>
      </c>
      <c r="X33" s="288">
        <v>1</v>
      </c>
      <c r="Y33" s="42"/>
      <c r="Z33" s="42"/>
      <c r="AA33" s="42"/>
    </row>
    <row r="34" spans="2:27">
      <c r="H34" s="277"/>
      <c r="I34" s="49"/>
      <c r="J34" s="254"/>
      <c r="K34" s="254"/>
      <c r="L34" s="254"/>
      <c r="M34" s="254"/>
      <c r="N34" s="254"/>
      <c r="O34" s="251"/>
      <c r="Q34" s="5"/>
      <c r="S34" s="88"/>
      <c r="T34" s="42"/>
      <c r="U34" s="42"/>
      <c r="V34" s="147" t="s">
        <v>581</v>
      </c>
      <c r="W34" s="288">
        <f>D47/L19</f>
        <v>0.909881933922842</v>
      </c>
      <c r="X34" s="288">
        <v>1</v>
      </c>
      <c r="Y34" s="288"/>
      <c r="Z34" s="288"/>
      <c r="AA34" s="42"/>
    </row>
    <row r="35" spans="2:27" ht="12.6" thickBot="1">
      <c r="B35" s="306" t="s">
        <v>522</v>
      </c>
      <c r="C35" s="265"/>
      <c r="D35" s="265" t="str">
        <f>D5</f>
        <v>2023E</v>
      </c>
      <c r="E35" s="265" t="str">
        <f t="shared" ref="E35:H35" si="7">E5</f>
        <v>2024E</v>
      </c>
      <c r="F35" s="265" t="str">
        <f t="shared" si="7"/>
        <v>2025E</v>
      </c>
      <c r="G35" s="265" t="str">
        <f t="shared" si="7"/>
        <v>2026E</v>
      </c>
      <c r="H35" s="265" t="str">
        <f t="shared" si="7"/>
        <v>23E-26E</v>
      </c>
      <c r="I35" s="254"/>
      <c r="J35" s="5"/>
      <c r="K35" s="5"/>
      <c r="L35" s="5"/>
      <c r="M35" s="5"/>
      <c r="N35" s="5"/>
      <c r="O35" s="5"/>
      <c r="Q35" s="5"/>
      <c r="S35" s="88"/>
      <c r="T35" s="42"/>
      <c r="U35" s="42"/>
      <c r="V35" s="42"/>
      <c r="W35" s="42"/>
      <c r="X35" s="42"/>
      <c r="Y35" s="288"/>
      <c r="Z35" s="288"/>
      <c r="AA35" s="42"/>
    </row>
    <row r="36" spans="2:27" ht="12.6" thickTop="1">
      <c r="B36" s="41"/>
      <c r="C36" s="249"/>
      <c r="D36" s="254"/>
      <c r="E36" s="254"/>
      <c r="F36" s="254"/>
      <c r="G36" s="254"/>
      <c r="H36" s="254"/>
      <c r="I36" s="17"/>
      <c r="J36" s="49"/>
      <c r="K36" s="49"/>
      <c r="L36" s="49"/>
      <c r="M36" s="49"/>
      <c r="N36" s="49"/>
      <c r="O36" s="49"/>
      <c r="Q36" s="5"/>
      <c r="S36" s="88"/>
      <c r="T36" s="42"/>
      <c r="U36" s="42"/>
      <c r="V36" s="42"/>
      <c r="W36" s="42"/>
      <c r="X36" s="42"/>
      <c r="Y36" s="288"/>
      <c r="Z36" s="288"/>
      <c r="AA36" s="42"/>
    </row>
    <row r="37" spans="2:27">
      <c r="B37" s="5" t="s">
        <v>273</v>
      </c>
      <c r="C37" s="247"/>
      <c r="D37" s="529">
        <f>D$18/D23</f>
        <v>1.5902313568573823</v>
      </c>
      <c r="E37" s="529">
        <f t="shared" ref="E37:G41" si="8">E$18/E23</f>
        <v>1.5603680945140372</v>
      </c>
      <c r="F37" s="529">
        <f t="shared" si="8"/>
        <v>1.526714468825759</v>
      </c>
      <c r="G37" s="529">
        <f t="shared" si="8"/>
        <v>1.45297430895803</v>
      </c>
      <c r="H37" s="17">
        <f t="shared" ref="H37:H45" si="9">H23</f>
        <v>5.5393818641980008E-3</v>
      </c>
      <c r="I37" s="5"/>
      <c r="J37" s="259"/>
      <c r="K37" s="259"/>
      <c r="L37" s="259"/>
      <c r="M37" s="259"/>
      <c r="N37" s="259"/>
      <c r="O37" s="18"/>
      <c r="Q37" s="5"/>
      <c r="R37" s="5"/>
      <c r="S37" s="42"/>
      <c r="T37" s="42"/>
      <c r="U37" s="42"/>
      <c r="V37" s="42"/>
      <c r="W37" s="42"/>
      <c r="X37" s="42"/>
      <c r="Y37" s="42"/>
      <c r="Z37" s="42"/>
      <c r="AA37" s="42"/>
    </row>
    <row r="38" spans="2:27">
      <c r="B38" s="5" t="s">
        <v>184</v>
      </c>
      <c r="C38" s="247"/>
      <c r="D38" s="529">
        <f>D$18/D24</f>
        <v>6.2468516217132883</v>
      </c>
      <c r="E38" s="529">
        <f t="shared" si="8"/>
        <v>6.0145879534575686</v>
      </c>
      <c r="F38" s="529">
        <f t="shared" si="8"/>
        <v>5.8384116213552035</v>
      </c>
      <c r="G38" s="529">
        <f t="shared" si="8"/>
        <v>5.5259398190166378</v>
      </c>
      <c r="H38" s="17">
        <f t="shared" si="9"/>
        <v>1.6443645380087579E-2</v>
      </c>
      <c r="I38" s="259"/>
      <c r="J38" s="17"/>
      <c r="K38" s="17"/>
      <c r="L38" s="17"/>
      <c r="M38" s="17"/>
      <c r="N38" s="17"/>
      <c r="O38" s="5"/>
      <c r="Q38" s="5"/>
      <c r="R38" s="5"/>
      <c r="S38" s="42"/>
      <c r="T38" s="42"/>
      <c r="U38" s="42"/>
      <c r="V38" s="42"/>
      <c r="W38" s="42"/>
      <c r="X38" s="42"/>
      <c r="Y38" s="42"/>
      <c r="Z38" s="42"/>
      <c r="AA38" s="42"/>
    </row>
    <row r="39" spans="2:27">
      <c r="B39" s="5" t="s">
        <v>185</v>
      </c>
      <c r="C39" s="247"/>
      <c r="D39" s="529">
        <f>D$18/D25</f>
        <v>12.818455333717568</v>
      </c>
      <c r="E39" s="529">
        <f t="shared" si="8"/>
        <v>12.0946730488287</v>
      </c>
      <c r="F39" s="529">
        <f t="shared" si="8"/>
        <v>11.133604174432021</v>
      </c>
      <c r="G39" s="529">
        <f t="shared" si="8"/>
        <v>10.072447526984728</v>
      </c>
      <c r="H39" s="17">
        <f t="shared" si="9"/>
        <v>5.7381851694691566E-2</v>
      </c>
      <c r="I39" s="17"/>
      <c r="J39" s="5"/>
      <c r="K39" s="5"/>
      <c r="L39" s="5"/>
      <c r="M39" s="5"/>
      <c r="N39" s="5"/>
      <c r="O39" s="5"/>
      <c r="Q39" s="5"/>
      <c r="R39" s="5"/>
      <c r="S39" s="42"/>
      <c r="T39" s="42"/>
      <c r="U39" s="42"/>
      <c r="V39" s="42"/>
      <c r="W39" s="42"/>
      <c r="X39" s="42"/>
      <c r="Y39" s="42"/>
      <c r="Z39" s="42"/>
      <c r="AA39" s="42"/>
    </row>
    <row r="40" spans="2:27">
      <c r="B40" s="5" t="s">
        <v>466</v>
      </c>
      <c r="C40" s="247"/>
      <c r="D40" s="529">
        <f>D$18/D26</f>
        <v>17.091273778290091</v>
      </c>
      <c r="E40" s="529">
        <f t="shared" si="8"/>
        <v>16.126230731771599</v>
      </c>
      <c r="F40" s="529">
        <f t="shared" si="8"/>
        <v>14.844805565909359</v>
      </c>
      <c r="G40" s="529">
        <f t="shared" si="8"/>
        <v>13.429930035979638</v>
      </c>
      <c r="H40" s="17">
        <f t="shared" si="9"/>
        <v>5.7381851694691566E-2</v>
      </c>
      <c r="I40" s="5"/>
      <c r="J40" s="259"/>
      <c r="K40" s="259"/>
      <c r="L40" s="259"/>
      <c r="M40" s="259"/>
      <c r="N40" s="259"/>
      <c r="O40" s="18"/>
      <c r="Q40" s="5"/>
      <c r="R40" s="5"/>
      <c r="S40" s="42"/>
      <c r="T40" s="42"/>
      <c r="U40" s="42"/>
      <c r="V40" s="42"/>
      <c r="W40" s="288"/>
      <c r="X40" s="288"/>
      <c r="Y40" s="42"/>
      <c r="Z40" s="42"/>
      <c r="AA40" s="42"/>
    </row>
    <row r="41" spans="2:27">
      <c r="B41" s="5" t="s">
        <v>530</v>
      </c>
      <c r="C41" s="247"/>
      <c r="D41" s="529">
        <f>D$18/D27</f>
        <v>1.2078004386268697</v>
      </c>
      <c r="E41" s="529">
        <f t="shared" si="8"/>
        <v>1.2248296663212588</v>
      </c>
      <c r="F41" s="529">
        <f t="shared" si="8"/>
        <v>1.233946235069378</v>
      </c>
      <c r="G41" s="529">
        <f t="shared" si="8"/>
        <v>1.2391763957123929</v>
      </c>
      <c r="H41" s="17">
        <f t="shared" si="9"/>
        <v>-3.2571281471008739E-2</v>
      </c>
      <c r="I41" s="247"/>
      <c r="J41" s="17"/>
      <c r="K41" s="17"/>
      <c r="L41" s="17"/>
      <c r="M41" s="17"/>
      <c r="N41" s="17"/>
      <c r="O41" s="5"/>
      <c r="Q41" s="5"/>
      <c r="R41" s="5"/>
      <c r="S41" s="42"/>
      <c r="T41" s="42"/>
      <c r="U41" s="42"/>
      <c r="V41" s="42"/>
      <c r="W41" s="288"/>
      <c r="X41" s="288"/>
      <c r="Y41" s="288"/>
      <c r="Z41" s="288"/>
      <c r="AA41" s="42"/>
    </row>
    <row r="42" spans="2:27">
      <c r="B42" s="5" t="s">
        <v>593</v>
      </c>
      <c r="C42" s="247"/>
      <c r="D42" s="529">
        <f>D18/D28</f>
        <v>2.8660372072678988</v>
      </c>
      <c r="E42" s="529">
        <f>E18/E28</f>
        <v>2.7520998581392058</v>
      </c>
      <c r="F42" s="529">
        <f>F18/F28</f>
        <v>2.8352920646061452</v>
      </c>
      <c r="G42" s="529">
        <f>G18/G28</f>
        <v>2.8766940006344526</v>
      </c>
      <c r="H42" s="17">
        <f t="shared" si="9"/>
        <v>-2.5471949890507939E-2</v>
      </c>
      <c r="I42" s="248"/>
      <c r="J42" s="5"/>
      <c r="K42" s="5"/>
      <c r="L42" s="5"/>
      <c r="M42" s="5"/>
      <c r="N42" s="5"/>
      <c r="O42" s="5"/>
      <c r="Q42" s="5"/>
      <c r="R42" s="5"/>
      <c r="S42" s="42"/>
      <c r="T42" s="42"/>
      <c r="U42" s="42"/>
      <c r="V42" s="42"/>
      <c r="W42" s="288"/>
      <c r="X42" s="288"/>
      <c r="Y42" s="288"/>
      <c r="Z42" s="288"/>
      <c r="AA42" s="42"/>
    </row>
    <row r="43" spans="2:27">
      <c r="B43" s="5" t="s">
        <v>475</v>
      </c>
      <c r="C43" s="247"/>
      <c r="D43" s="529">
        <f>L26/D29</f>
        <v>16.89141668199963</v>
      </c>
      <c r="E43" s="529">
        <f>M26/E29</f>
        <v>23.000068925085042</v>
      </c>
      <c r="F43" s="529">
        <f>N26/F29</f>
        <v>9.763887454992707</v>
      </c>
      <c r="G43" s="529">
        <f>O26/G29</f>
        <v>7.8687857759835502</v>
      </c>
      <c r="H43" s="17">
        <f t="shared" si="9"/>
        <v>0.24292150793193068</v>
      </c>
      <c r="I43" s="247"/>
      <c r="J43" s="247"/>
      <c r="K43" s="247"/>
      <c r="L43" s="247"/>
      <c r="M43" s="247"/>
      <c r="N43" s="247"/>
      <c r="O43" s="18"/>
      <c r="Q43" s="5"/>
      <c r="R43" s="5"/>
      <c r="S43" s="42"/>
      <c r="T43" s="42"/>
      <c r="U43" s="42"/>
      <c r="V43" s="42"/>
      <c r="W43" s="288"/>
      <c r="X43" s="288"/>
      <c r="Y43" s="288"/>
      <c r="Z43" s="288"/>
      <c r="AA43" s="42"/>
    </row>
    <row r="44" spans="2:27">
      <c r="B44" s="5" t="s">
        <v>533</v>
      </c>
      <c r="C44" s="69"/>
      <c r="D44" s="529">
        <f>D11/D30</f>
        <v>13.763369383833624</v>
      </c>
      <c r="E44" s="529">
        <f>E11/E30</f>
        <v>10.478844351206819</v>
      </c>
      <c r="F44" s="529">
        <f>F11/F30</f>
        <v>9.5858708130093344</v>
      </c>
      <c r="G44" s="529">
        <f>G11/G30</f>
        <v>8.3094443678207455</v>
      </c>
      <c r="H44" s="17">
        <f t="shared" si="9"/>
        <v>0.18318029189514395</v>
      </c>
      <c r="I44" s="247"/>
      <c r="J44" s="248"/>
      <c r="K44" s="248"/>
      <c r="L44" s="248"/>
      <c r="M44" s="248"/>
      <c r="N44" s="248"/>
      <c r="O44" s="248"/>
      <c r="Q44" s="5"/>
      <c r="R44" s="5"/>
      <c r="S44" s="42"/>
      <c r="T44" s="42"/>
      <c r="U44" s="42"/>
      <c r="V44" s="42"/>
      <c r="W44" s="325"/>
      <c r="X44" s="325"/>
      <c r="Y44" s="288"/>
      <c r="Z44" s="288"/>
      <c r="AA44" s="42"/>
    </row>
    <row r="45" spans="2:27">
      <c r="B45" s="5" t="s">
        <v>580</v>
      </c>
      <c r="C45" s="247"/>
      <c r="D45" s="248">
        <f>D31/D11</f>
        <v>7.2202166064981949E-2</v>
      </c>
      <c r="E45" s="248">
        <f>E31/E11</f>
        <v>7.2202166064981949E-2</v>
      </c>
      <c r="F45" s="248">
        <f>F31/F11</f>
        <v>7.2202166064981949E-2</v>
      </c>
      <c r="G45" s="248">
        <f>G31/G11</f>
        <v>7.2202166064981949E-2</v>
      </c>
      <c r="H45" s="17">
        <f t="shared" si="9"/>
        <v>0</v>
      </c>
      <c r="I45" s="248"/>
      <c r="J45" s="247"/>
      <c r="K45" s="247"/>
      <c r="L45" s="247"/>
      <c r="M45" s="247"/>
      <c r="N45" s="247"/>
      <c r="O45" s="248"/>
      <c r="Q45" s="5"/>
      <c r="R45" s="5"/>
      <c r="S45" s="42"/>
      <c r="T45" s="42"/>
      <c r="U45" s="42"/>
      <c r="V45" s="42"/>
      <c r="W45" s="42"/>
      <c r="X45" s="42"/>
      <c r="Y45" s="325"/>
      <c r="Z45" s="325"/>
      <c r="AA45" s="42"/>
    </row>
    <row r="46" spans="2:27">
      <c r="B46" s="5" t="s">
        <v>605</v>
      </c>
      <c r="C46" s="247"/>
      <c r="D46" s="248">
        <f>(D31+D32)/D11</f>
        <v>7.2202166064981949E-2</v>
      </c>
      <c r="E46" s="248">
        <f>(E31+E32)/E11</f>
        <v>7.2202166064981949E-2</v>
      </c>
      <c r="F46" s="248">
        <f>(F31+F32)/F11</f>
        <v>7.2202166064981949E-2</v>
      </c>
      <c r="G46" s="248">
        <f>(G31+G32)/G11</f>
        <v>7.2202166064981949E-2</v>
      </c>
      <c r="H46" s="279">
        <f>((G31+G32)/(D31+D32))^(1/3)-1</f>
        <v>0</v>
      </c>
      <c r="I46" s="247"/>
      <c r="J46" s="247"/>
      <c r="K46" s="247"/>
      <c r="L46" s="247"/>
      <c r="M46" s="247"/>
      <c r="N46" s="247"/>
      <c r="O46" s="18"/>
      <c r="Q46" s="5"/>
      <c r="R46" s="5"/>
      <c r="S46" s="42"/>
      <c r="T46" s="42"/>
      <c r="U46" s="42"/>
      <c r="V46" s="42"/>
      <c r="W46" s="42"/>
      <c r="X46" s="42"/>
      <c r="Y46" s="42"/>
      <c r="Z46" s="42"/>
      <c r="AA46" s="326"/>
    </row>
    <row r="47" spans="2:27">
      <c r="B47" s="5" t="s">
        <v>581</v>
      </c>
      <c r="C47" s="5"/>
      <c r="D47" s="248">
        <f>1/D43</f>
        <v>5.9201665486450991E-2</v>
      </c>
      <c r="E47" s="248">
        <f>1/E43</f>
        <v>4.3478130576789238E-2</v>
      </c>
      <c r="F47" s="248">
        <f>1/F43</f>
        <v>0.1024182227222064</v>
      </c>
      <c r="G47" s="248">
        <f>1/G43</f>
        <v>0.12708441028501707</v>
      </c>
      <c r="H47" s="17">
        <f>H29</f>
        <v>0.24292150793193068</v>
      </c>
      <c r="I47" s="17"/>
      <c r="J47" s="248"/>
      <c r="K47" s="248"/>
      <c r="L47" s="248"/>
      <c r="M47" s="248"/>
      <c r="N47" s="248"/>
      <c r="O47" s="248"/>
      <c r="Q47" s="5"/>
      <c r="R47" s="5"/>
      <c r="S47" s="42"/>
      <c r="T47" s="42"/>
      <c r="U47" s="42"/>
      <c r="V47" s="42"/>
      <c r="W47" s="42"/>
      <c r="X47" s="42"/>
      <c r="Y47" s="42"/>
      <c r="Z47" s="42"/>
      <c r="AA47" s="326"/>
    </row>
    <row r="48" spans="2:27">
      <c r="B48" s="5" t="s">
        <v>618</v>
      </c>
      <c r="C48" s="5"/>
      <c r="D48" s="305">
        <f>D31/D29</f>
        <v>1.1151342476349397</v>
      </c>
      <c r="E48" s="305">
        <f>E31/E29</f>
        <v>1.518414058405088</v>
      </c>
      <c r="F48" s="305">
        <f>F31/F29</f>
        <v>0.64459041512594872</v>
      </c>
      <c r="G48" s="305">
        <f>G31/G29</f>
        <v>0.58075912754286818</v>
      </c>
      <c r="H48" s="279" t="s">
        <v>607</v>
      </c>
      <c r="I48" s="247"/>
      <c r="J48" s="247"/>
      <c r="K48" s="247"/>
      <c r="L48" s="247"/>
      <c r="M48" s="247"/>
      <c r="N48" s="247"/>
      <c r="O48" s="248"/>
      <c r="Q48" s="5"/>
      <c r="R48" s="5"/>
      <c r="S48" s="42"/>
      <c r="T48" s="42"/>
      <c r="U48" s="42"/>
      <c r="V48" s="42"/>
      <c r="W48" s="42"/>
      <c r="X48" s="42"/>
      <c r="Y48" s="42"/>
      <c r="Z48" s="42"/>
      <c r="AA48" s="326"/>
    </row>
    <row r="49" spans="2:27">
      <c r="B49" s="41"/>
      <c r="C49" s="17"/>
      <c r="D49" s="17"/>
      <c r="E49" s="17"/>
      <c r="F49" s="17"/>
      <c r="G49" s="17"/>
      <c r="H49" s="17"/>
      <c r="I49" s="254"/>
      <c r="J49" s="17"/>
      <c r="K49" s="17"/>
      <c r="L49" s="17"/>
      <c r="M49" s="17"/>
      <c r="N49" s="17"/>
      <c r="O49" s="248"/>
      <c r="Q49" s="5"/>
      <c r="R49" s="5"/>
      <c r="S49" s="42"/>
      <c r="T49" s="42"/>
      <c r="U49" s="42"/>
      <c r="V49" s="42"/>
      <c r="W49" s="42"/>
      <c r="X49" s="42"/>
      <c r="Y49" s="42"/>
      <c r="Z49" s="42"/>
      <c r="AA49" s="326"/>
    </row>
    <row r="50" spans="2:27">
      <c r="B50" s="5"/>
      <c r="C50" s="257"/>
      <c r="D50" s="257"/>
      <c r="E50" s="257"/>
      <c r="F50" s="5"/>
      <c r="G50" s="41"/>
      <c r="H50" s="249"/>
      <c r="I50" s="17"/>
      <c r="J50" s="249"/>
      <c r="K50" s="249"/>
      <c r="L50" s="249"/>
      <c r="M50" s="249"/>
      <c r="N50" s="249"/>
      <c r="O50" s="250"/>
      <c r="Q50" s="5"/>
      <c r="R50" s="5"/>
      <c r="S50" s="42"/>
      <c r="T50" s="42"/>
      <c r="U50" s="42"/>
      <c r="V50" s="42"/>
      <c r="W50" s="288"/>
      <c r="X50" s="288"/>
      <c r="Y50" s="42"/>
      <c r="Z50" s="42"/>
      <c r="AA50" s="326"/>
    </row>
    <row r="51" spans="2:27">
      <c r="B51" s="41"/>
      <c r="C51" s="249"/>
      <c r="D51" s="254"/>
      <c r="E51" s="254"/>
      <c r="F51" s="254"/>
      <c r="G51" s="254"/>
      <c r="H51" s="254"/>
      <c r="I51" s="259"/>
      <c r="J51" s="254"/>
      <c r="K51" s="254"/>
      <c r="L51" s="254"/>
      <c r="M51" s="254"/>
      <c r="N51" s="254"/>
      <c r="O51" s="251"/>
      <c r="Q51" s="5"/>
      <c r="R51" s="5"/>
      <c r="S51" s="42"/>
      <c r="T51" s="42"/>
      <c r="U51" s="42"/>
      <c r="V51" s="42"/>
      <c r="W51" s="288"/>
      <c r="X51" s="288"/>
      <c r="Y51" s="288"/>
      <c r="Z51" s="288"/>
      <c r="AA51" s="42"/>
    </row>
    <row r="52" spans="2:27">
      <c r="B52" s="5"/>
      <c r="C52" s="257"/>
      <c r="D52" s="17"/>
      <c r="E52" s="17"/>
      <c r="F52" s="17"/>
      <c r="G52" s="17"/>
      <c r="H52" s="17"/>
      <c r="I52" s="254"/>
      <c r="J52" s="17"/>
      <c r="K52" s="17"/>
      <c r="L52" s="17"/>
      <c r="M52" s="17"/>
      <c r="N52" s="17"/>
      <c r="O52" s="248"/>
      <c r="Q52" s="5"/>
      <c r="R52" s="5"/>
      <c r="S52" s="5"/>
      <c r="Y52" s="10"/>
      <c r="Z52" s="10"/>
    </row>
    <row r="53" spans="2:27">
      <c r="B53" s="5"/>
      <c r="C53" s="257"/>
      <c r="D53" s="257"/>
      <c r="E53" s="257"/>
      <c r="F53" s="5"/>
      <c r="G53" s="5"/>
      <c r="H53" s="259"/>
      <c r="I53" s="17"/>
      <c r="J53" s="259"/>
      <c r="K53" s="259"/>
      <c r="L53" s="259"/>
      <c r="M53" s="259"/>
      <c r="N53" s="259"/>
      <c r="O53" s="18"/>
      <c r="Q53" s="5"/>
      <c r="R53" s="5"/>
      <c r="S53" s="5"/>
    </row>
    <row r="54" spans="2:27">
      <c r="B54" s="41"/>
      <c r="C54" s="249"/>
      <c r="D54" s="254"/>
      <c r="E54" s="254"/>
      <c r="F54" s="254"/>
      <c r="G54" s="254"/>
      <c r="H54" s="254"/>
      <c r="I54" s="259"/>
      <c r="J54" s="254"/>
      <c r="K54" s="254"/>
      <c r="L54" s="254"/>
      <c r="M54" s="254"/>
      <c r="N54" s="254"/>
      <c r="O54" s="251"/>
      <c r="Q54" s="5"/>
      <c r="R54" s="5"/>
      <c r="S54" s="5"/>
    </row>
    <row r="55" spans="2:27">
      <c r="B55" s="5"/>
      <c r="C55" s="257"/>
      <c r="D55" s="17"/>
      <c r="E55" s="17"/>
      <c r="F55" s="17"/>
      <c r="G55" s="17"/>
      <c r="H55" s="17"/>
      <c r="I55" s="249"/>
      <c r="J55" s="17"/>
      <c r="K55" s="17"/>
      <c r="L55" s="17"/>
      <c r="M55" s="17"/>
      <c r="N55" s="17"/>
      <c r="O55" s="18"/>
      <c r="Q55" s="5"/>
      <c r="R55" s="5"/>
      <c r="S55" s="5"/>
    </row>
    <row r="56" spans="2:27">
      <c r="B56" s="5"/>
      <c r="C56" s="248"/>
      <c r="D56" s="248"/>
      <c r="E56" s="248"/>
      <c r="F56" s="5"/>
      <c r="G56" s="5"/>
      <c r="H56" s="259"/>
      <c r="I56" s="248"/>
      <c r="J56" s="259"/>
      <c r="K56" s="259"/>
      <c r="L56" s="259"/>
      <c r="M56" s="259"/>
      <c r="N56" s="259"/>
      <c r="O56" s="18"/>
      <c r="Q56" s="5"/>
      <c r="R56" s="5"/>
      <c r="S56" s="5"/>
    </row>
    <row r="57" spans="2:27">
      <c r="B57" s="41"/>
      <c r="C57" s="249"/>
      <c r="D57" s="249"/>
      <c r="E57" s="249"/>
      <c r="F57" s="249"/>
      <c r="G57" s="249"/>
      <c r="H57" s="249"/>
      <c r="I57" s="5"/>
      <c r="J57" s="249"/>
      <c r="K57" s="249"/>
      <c r="L57" s="249"/>
      <c r="M57" s="249"/>
      <c r="N57" s="249"/>
      <c r="O57" s="251"/>
      <c r="Q57" s="5"/>
      <c r="R57" s="5"/>
      <c r="S57" s="5"/>
    </row>
    <row r="58" spans="2:27">
      <c r="B58" s="5"/>
      <c r="C58" s="5"/>
      <c r="D58" s="248"/>
      <c r="E58" s="248"/>
      <c r="F58" s="248"/>
      <c r="G58" s="248"/>
      <c r="H58" s="248"/>
      <c r="I58" s="17"/>
      <c r="J58" s="248"/>
      <c r="K58" s="248"/>
      <c r="L58" s="248"/>
      <c r="M58" s="248"/>
      <c r="N58" s="248"/>
      <c r="O58" s="18"/>
      <c r="Q58" s="5"/>
      <c r="R58" s="5"/>
      <c r="S58" s="5"/>
    </row>
    <row r="59" spans="2:27">
      <c r="B59" s="5"/>
      <c r="C59" s="5"/>
      <c r="D59" s="5"/>
      <c r="E59" s="5"/>
      <c r="F59" s="5"/>
      <c r="G59" s="5"/>
      <c r="H59" s="5"/>
      <c r="I59" s="5"/>
      <c r="J59" s="5"/>
      <c r="K59" s="5"/>
      <c r="L59" s="5"/>
      <c r="M59" s="5"/>
      <c r="N59" s="5"/>
      <c r="O59" s="5"/>
      <c r="Q59" s="5"/>
      <c r="R59" s="5"/>
      <c r="S59" s="5"/>
    </row>
    <row r="60" spans="2:27">
      <c r="B60" s="41"/>
      <c r="C60" s="17"/>
      <c r="D60" s="17"/>
      <c r="E60" s="17"/>
      <c r="F60" s="17"/>
      <c r="G60" s="17"/>
      <c r="H60" s="17"/>
      <c r="I60" s="249"/>
      <c r="J60" s="17"/>
      <c r="K60" s="17"/>
      <c r="L60" s="17"/>
      <c r="M60" s="17"/>
      <c r="N60" s="17"/>
      <c r="O60" s="251"/>
      <c r="Q60" s="5"/>
      <c r="R60" s="5"/>
      <c r="S60" s="5"/>
    </row>
    <row r="61" spans="2:27">
      <c r="B61" s="5"/>
      <c r="C61" s="5"/>
      <c r="D61" s="5"/>
      <c r="E61" s="5"/>
      <c r="F61" s="5"/>
      <c r="G61" s="5"/>
      <c r="H61" s="5"/>
      <c r="I61" s="5"/>
      <c r="J61" s="5"/>
      <c r="K61" s="5"/>
      <c r="L61" s="5"/>
      <c r="M61" s="5"/>
      <c r="N61" s="5"/>
      <c r="O61" s="5"/>
      <c r="Q61" s="41"/>
      <c r="R61" s="5"/>
      <c r="S61" s="5"/>
    </row>
    <row r="62" spans="2:27">
      <c r="B62" s="41"/>
      <c r="C62" s="249"/>
      <c r="D62" s="249"/>
      <c r="E62" s="249"/>
      <c r="F62" s="249"/>
      <c r="G62" s="249"/>
      <c r="H62" s="249"/>
      <c r="I62" s="5"/>
      <c r="J62" s="249"/>
      <c r="K62" s="249"/>
      <c r="L62" s="249"/>
      <c r="M62" s="249"/>
      <c r="N62" s="249"/>
      <c r="O62" s="251"/>
      <c r="Q62" s="5"/>
      <c r="R62" s="5"/>
      <c r="S62" s="5"/>
    </row>
    <row r="63" spans="2:27">
      <c r="B63" s="5"/>
      <c r="C63" s="5"/>
      <c r="D63" s="5"/>
      <c r="E63" s="5"/>
      <c r="F63" s="5"/>
      <c r="G63" s="5"/>
      <c r="H63" s="5"/>
      <c r="I63" s="254"/>
      <c r="J63" s="5"/>
      <c r="K63" s="5"/>
      <c r="L63" s="5"/>
      <c r="M63" s="5"/>
      <c r="N63" s="5"/>
      <c r="O63" s="5"/>
      <c r="Q63" s="5"/>
      <c r="R63" s="5"/>
      <c r="S63" s="5"/>
    </row>
    <row r="64" spans="2:27">
      <c r="B64" s="5"/>
      <c r="C64" s="5"/>
      <c r="D64" s="5"/>
      <c r="E64" s="5"/>
      <c r="F64" s="5"/>
      <c r="G64" s="5"/>
      <c r="H64" s="5"/>
      <c r="I64" s="17"/>
      <c r="J64" s="5"/>
      <c r="K64" s="5"/>
      <c r="L64" s="5"/>
      <c r="M64" s="5"/>
      <c r="N64" s="5"/>
      <c r="O64" s="5"/>
      <c r="Q64" s="5"/>
      <c r="R64" s="5"/>
      <c r="S64" s="5"/>
    </row>
    <row r="65" spans="2:26">
      <c r="B65" s="41"/>
      <c r="C65" s="249"/>
      <c r="D65" s="254"/>
      <c r="E65" s="254"/>
      <c r="F65" s="254"/>
      <c r="G65" s="254"/>
      <c r="H65" s="254"/>
      <c r="I65" s="254"/>
      <c r="J65" s="254"/>
      <c r="K65" s="254"/>
      <c r="L65" s="254"/>
      <c r="M65" s="254"/>
      <c r="N65" s="254"/>
      <c r="O65" s="251"/>
      <c r="Q65" s="5"/>
      <c r="R65" s="5"/>
      <c r="S65" s="5"/>
    </row>
    <row r="66" spans="2:26">
      <c r="B66" s="5"/>
      <c r="C66" s="5"/>
      <c r="D66" s="17"/>
      <c r="E66" s="17"/>
      <c r="F66" s="17"/>
      <c r="G66" s="17"/>
      <c r="H66" s="17"/>
      <c r="I66" s="248"/>
      <c r="J66" s="17"/>
      <c r="K66" s="17"/>
      <c r="L66" s="17"/>
      <c r="M66" s="17"/>
      <c r="N66" s="17"/>
      <c r="O66" s="5"/>
      <c r="Q66" s="5"/>
      <c r="R66" s="5"/>
      <c r="S66" s="5"/>
    </row>
    <row r="67" spans="2:26">
      <c r="B67" s="41"/>
      <c r="C67" s="249"/>
      <c r="D67" s="254"/>
      <c r="E67" s="254"/>
      <c r="F67" s="254"/>
      <c r="G67" s="254"/>
      <c r="H67" s="254"/>
      <c r="I67" s="5"/>
      <c r="J67" s="254"/>
      <c r="K67" s="254"/>
      <c r="L67" s="254"/>
      <c r="M67" s="254"/>
      <c r="N67" s="254"/>
      <c r="O67" s="251"/>
      <c r="Q67" s="41"/>
      <c r="R67" s="5"/>
      <c r="S67" s="5"/>
    </row>
    <row r="68" spans="2:26">
      <c r="B68" s="5"/>
      <c r="C68" s="5"/>
      <c r="D68" s="248"/>
      <c r="E68" s="248"/>
      <c r="F68" s="248"/>
      <c r="G68" s="248"/>
      <c r="H68" s="248"/>
      <c r="I68" s="245"/>
      <c r="J68" s="248"/>
      <c r="K68" s="248"/>
      <c r="L68" s="248"/>
      <c r="M68" s="248"/>
      <c r="N68" s="248"/>
      <c r="O68" s="5"/>
      <c r="Q68" s="5"/>
      <c r="R68" s="5"/>
      <c r="S68" s="5"/>
    </row>
    <row r="69" spans="2:26">
      <c r="B69" s="41"/>
      <c r="C69" s="5"/>
      <c r="D69" s="5"/>
      <c r="E69" s="5"/>
      <c r="F69" s="5"/>
      <c r="G69" s="5"/>
      <c r="H69" s="5"/>
      <c r="I69" s="248"/>
      <c r="J69" s="5"/>
      <c r="K69" s="5"/>
      <c r="L69" s="5"/>
      <c r="M69" s="5"/>
      <c r="N69" s="5"/>
      <c r="O69" s="5"/>
      <c r="Q69" s="5"/>
      <c r="R69" s="5"/>
      <c r="S69" s="5"/>
    </row>
    <row r="70" spans="2:26">
      <c r="B70" s="41"/>
      <c r="C70" s="245"/>
      <c r="D70" s="245"/>
      <c r="E70" s="245"/>
      <c r="F70" s="245"/>
      <c r="G70" s="245"/>
      <c r="H70" s="245"/>
      <c r="I70" s="5"/>
      <c r="J70" s="245"/>
      <c r="K70" s="245"/>
      <c r="L70" s="245"/>
      <c r="M70" s="245"/>
      <c r="N70" s="245"/>
      <c r="O70" s="251"/>
      <c r="Q70" s="5"/>
      <c r="R70" s="5"/>
      <c r="S70" s="5"/>
      <c r="W70" s="76"/>
      <c r="X70" s="76"/>
    </row>
    <row r="71" spans="2:26">
      <c r="B71" s="5"/>
      <c r="C71" s="5"/>
      <c r="D71" s="248"/>
      <c r="E71" s="248"/>
      <c r="F71" s="248"/>
      <c r="G71" s="248"/>
      <c r="H71" s="248"/>
      <c r="I71" s="245"/>
      <c r="J71" s="248"/>
      <c r="K71" s="248"/>
      <c r="L71" s="248"/>
      <c r="M71" s="248"/>
      <c r="N71" s="248"/>
      <c r="O71" s="5"/>
      <c r="Q71" s="5"/>
      <c r="R71" s="5"/>
      <c r="S71" s="5"/>
      <c r="W71" s="76"/>
      <c r="X71" s="76"/>
      <c r="Y71" s="76"/>
      <c r="Z71" s="76"/>
    </row>
    <row r="72" spans="2:26">
      <c r="B72" s="41"/>
      <c r="C72" s="5"/>
      <c r="D72" s="5"/>
      <c r="E72" s="5"/>
      <c r="F72" s="5"/>
      <c r="G72" s="5"/>
      <c r="H72" s="5"/>
      <c r="I72" s="18"/>
      <c r="J72" s="5"/>
      <c r="K72" s="5"/>
      <c r="L72" s="5"/>
      <c r="M72" s="5"/>
      <c r="N72" s="5"/>
      <c r="O72" s="5"/>
      <c r="Q72" s="5"/>
      <c r="R72" s="5"/>
      <c r="S72" s="5"/>
      <c r="Y72" s="76"/>
      <c r="Z72" s="76"/>
    </row>
    <row r="73" spans="2:26">
      <c r="B73" s="41"/>
      <c r="C73" s="245"/>
      <c r="D73" s="245"/>
      <c r="E73" s="245"/>
      <c r="F73" s="245"/>
      <c r="G73" s="245"/>
      <c r="H73" s="245"/>
      <c r="I73" s="5"/>
      <c r="J73" s="245"/>
      <c r="K73" s="245"/>
      <c r="L73" s="245"/>
      <c r="M73" s="245"/>
      <c r="N73" s="245"/>
      <c r="O73" s="251"/>
      <c r="Q73" s="5"/>
      <c r="R73" s="5"/>
      <c r="S73" s="5"/>
    </row>
    <row r="74" spans="2:26">
      <c r="B74" s="5"/>
      <c r="C74" s="5"/>
      <c r="D74" s="18"/>
      <c r="E74" s="18"/>
      <c r="F74" s="18"/>
      <c r="G74" s="18"/>
      <c r="H74" s="18"/>
      <c r="I74" s="249"/>
      <c r="J74" s="18"/>
      <c r="K74" s="18"/>
      <c r="L74" s="18"/>
      <c r="M74" s="18"/>
      <c r="N74" s="18"/>
      <c r="O74" s="5"/>
      <c r="Q74" s="5"/>
      <c r="R74" s="5"/>
      <c r="S74" s="5"/>
    </row>
    <row r="75" spans="2:26">
      <c r="B75" s="41"/>
      <c r="C75" s="5"/>
      <c r="D75" s="5"/>
      <c r="E75" s="5"/>
      <c r="F75" s="5"/>
      <c r="G75" s="5"/>
      <c r="H75" s="5"/>
      <c r="I75" s="248"/>
      <c r="J75" s="5"/>
      <c r="K75" s="5"/>
      <c r="L75" s="5"/>
      <c r="M75" s="5"/>
      <c r="N75" s="5"/>
      <c r="O75" s="5"/>
      <c r="Q75" s="5"/>
      <c r="R75" s="5"/>
      <c r="S75" s="5"/>
    </row>
    <row r="76" spans="2:26">
      <c r="B76" s="41"/>
      <c r="C76" s="249"/>
      <c r="D76" s="249"/>
      <c r="E76" s="249"/>
      <c r="F76" s="249"/>
      <c r="G76" s="249"/>
      <c r="H76" s="249"/>
      <c r="I76" s="5"/>
      <c r="J76" s="249"/>
      <c r="K76" s="249"/>
      <c r="L76" s="249"/>
      <c r="M76" s="249"/>
      <c r="N76" s="249"/>
      <c r="O76" s="251"/>
      <c r="Q76" s="5"/>
      <c r="R76" s="5"/>
      <c r="S76" s="5"/>
    </row>
    <row r="77" spans="2:26">
      <c r="B77" s="5"/>
      <c r="C77" s="5"/>
      <c r="D77" s="248"/>
      <c r="E77" s="248"/>
      <c r="F77" s="248"/>
      <c r="G77" s="248"/>
      <c r="H77" s="248"/>
      <c r="I77" s="245"/>
      <c r="J77" s="248"/>
      <c r="K77" s="248"/>
      <c r="L77" s="248"/>
      <c r="M77" s="248"/>
      <c r="N77" s="248"/>
      <c r="O77" s="5"/>
      <c r="Q77" s="5"/>
      <c r="R77" s="5"/>
      <c r="S77" s="5"/>
    </row>
    <row r="78" spans="2:26">
      <c r="B78" s="41"/>
      <c r="C78" s="5"/>
      <c r="D78" s="5"/>
      <c r="E78" s="5"/>
      <c r="F78" s="5"/>
      <c r="G78" s="5"/>
      <c r="H78" s="5"/>
      <c r="I78" s="248"/>
      <c r="J78" s="5"/>
      <c r="K78" s="5"/>
      <c r="L78" s="5"/>
      <c r="M78" s="5"/>
      <c r="N78" s="5"/>
      <c r="O78" s="5"/>
      <c r="Q78" s="5"/>
      <c r="R78" s="5"/>
      <c r="S78" s="5"/>
    </row>
    <row r="79" spans="2:26">
      <c r="B79" s="41"/>
      <c r="C79" s="245"/>
      <c r="D79" s="245"/>
      <c r="E79" s="245"/>
      <c r="F79" s="245"/>
      <c r="G79" s="245"/>
      <c r="H79" s="245"/>
      <c r="I79" s="5"/>
      <c r="J79" s="245"/>
      <c r="K79" s="245"/>
      <c r="L79" s="245"/>
      <c r="M79" s="245"/>
      <c r="N79" s="245"/>
      <c r="O79" s="251"/>
      <c r="Q79" s="5"/>
      <c r="R79" s="5"/>
      <c r="S79" s="5"/>
    </row>
    <row r="80" spans="2:26">
      <c r="B80" s="5"/>
      <c r="C80" s="5"/>
      <c r="D80" s="248"/>
      <c r="E80" s="248"/>
      <c r="F80" s="248"/>
      <c r="G80" s="248"/>
      <c r="H80" s="248"/>
      <c r="I80" s="249"/>
      <c r="J80" s="248"/>
      <c r="K80" s="248"/>
      <c r="L80" s="248"/>
      <c r="M80" s="248"/>
      <c r="N80" s="248"/>
      <c r="O80" s="5"/>
      <c r="Q80" s="5"/>
      <c r="R80" s="5"/>
      <c r="S80" s="5"/>
    </row>
    <row r="81" spans="2:26">
      <c r="B81" s="41"/>
      <c r="C81" s="5"/>
      <c r="D81" s="5"/>
      <c r="E81" s="5"/>
      <c r="F81" s="5"/>
      <c r="G81" s="5"/>
      <c r="H81" s="5"/>
      <c r="I81" s="248"/>
      <c r="J81" s="5"/>
      <c r="K81" s="5"/>
      <c r="L81" s="5"/>
      <c r="M81" s="5"/>
      <c r="N81" s="5"/>
      <c r="O81" s="5"/>
      <c r="Q81" s="5"/>
      <c r="R81" s="5"/>
      <c r="S81" s="5"/>
    </row>
    <row r="82" spans="2:26">
      <c r="B82" s="41"/>
      <c r="C82" s="249"/>
      <c r="D82" s="249"/>
      <c r="E82" s="249"/>
      <c r="F82" s="249"/>
      <c r="G82" s="249"/>
      <c r="H82" s="249"/>
      <c r="I82" s="259"/>
      <c r="J82" s="249"/>
      <c r="K82" s="249"/>
      <c r="L82" s="249"/>
      <c r="M82" s="249"/>
      <c r="N82" s="249"/>
      <c r="O82" s="251"/>
      <c r="Q82" s="5"/>
      <c r="R82" s="5"/>
      <c r="S82" s="5"/>
    </row>
    <row r="83" spans="2:26">
      <c r="B83" s="5"/>
      <c r="C83" s="5"/>
      <c r="D83" s="248"/>
      <c r="E83" s="248"/>
      <c r="F83" s="248"/>
      <c r="G83" s="248"/>
      <c r="H83" s="248"/>
      <c r="I83" s="5"/>
      <c r="J83" s="248"/>
      <c r="K83" s="248"/>
      <c r="L83" s="248"/>
      <c r="M83" s="248"/>
      <c r="N83" s="248"/>
      <c r="O83" s="5"/>
      <c r="Q83" s="5"/>
      <c r="R83" s="5"/>
      <c r="S83" s="5"/>
    </row>
    <row r="84" spans="2:26">
      <c r="B84" s="5"/>
      <c r="C84" s="259"/>
      <c r="D84" s="259"/>
      <c r="E84" s="259"/>
      <c r="F84" s="259"/>
      <c r="G84" s="259"/>
      <c r="H84" s="259"/>
      <c r="I84" s="245"/>
      <c r="J84" s="259"/>
      <c r="K84" s="259"/>
      <c r="L84" s="259"/>
      <c r="M84" s="259"/>
      <c r="N84" s="259"/>
      <c r="O84" s="251"/>
      <c r="Q84" s="5"/>
      <c r="R84" s="5"/>
      <c r="S84" s="5"/>
    </row>
    <row r="85" spans="2:26">
      <c r="B85" s="41"/>
      <c r="C85" s="5"/>
      <c r="D85" s="5"/>
      <c r="E85" s="5"/>
      <c r="F85" s="5"/>
      <c r="G85" s="5"/>
      <c r="H85" s="5"/>
      <c r="I85" s="248"/>
      <c r="J85" s="5"/>
      <c r="K85" s="5"/>
      <c r="L85" s="5"/>
      <c r="M85" s="5"/>
      <c r="N85" s="5"/>
      <c r="O85" s="5"/>
      <c r="Q85" s="5"/>
      <c r="R85" s="5"/>
      <c r="S85" s="5"/>
    </row>
    <row r="86" spans="2:26">
      <c r="B86" s="41"/>
      <c r="C86" s="245"/>
      <c r="D86" s="245"/>
      <c r="E86" s="245"/>
      <c r="F86" s="245"/>
      <c r="G86" s="245"/>
      <c r="H86" s="245"/>
      <c r="I86" s="5"/>
      <c r="J86" s="245"/>
      <c r="K86" s="245"/>
      <c r="L86" s="245"/>
      <c r="M86" s="245"/>
      <c r="N86" s="245"/>
      <c r="O86" s="251"/>
      <c r="Q86" s="5"/>
      <c r="R86" s="5"/>
      <c r="S86" s="5"/>
    </row>
    <row r="87" spans="2:26">
      <c r="B87" s="5"/>
      <c r="C87" s="5"/>
      <c r="D87" s="248"/>
      <c r="E87" s="248"/>
      <c r="F87" s="248"/>
      <c r="G87" s="248"/>
      <c r="H87" s="248"/>
      <c r="I87" s="5"/>
      <c r="J87" s="248"/>
      <c r="K87" s="248"/>
      <c r="L87" s="248"/>
      <c r="M87" s="248"/>
      <c r="N87" s="248"/>
      <c r="O87" s="5"/>
      <c r="Q87" s="5"/>
      <c r="R87" s="5"/>
      <c r="S87" s="5"/>
    </row>
    <row r="88" spans="2:26">
      <c r="B88" s="41"/>
      <c r="C88" s="5"/>
      <c r="D88" s="5"/>
      <c r="E88" s="5"/>
      <c r="F88" s="5"/>
      <c r="G88" s="5"/>
      <c r="H88" s="5"/>
      <c r="I88" s="5"/>
      <c r="J88" s="5"/>
      <c r="K88" s="5"/>
      <c r="L88" s="5"/>
      <c r="M88" s="5"/>
      <c r="N88" s="5"/>
      <c r="O88" s="5"/>
      <c r="Q88" s="5"/>
      <c r="R88" s="5"/>
      <c r="S88" s="5"/>
    </row>
    <row r="89" spans="2:26">
      <c r="B89" s="41"/>
      <c r="C89" s="5"/>
      <c r="D89" s="5"/>
      <c r="E89" s="5"/>
      <c r="F89" s="5"/>
      <c r="G89" s="5"/>
      <c r="H89" s="5"/>
      <c r="I89" s="5"/>
      <c r="J89" s="5"/>
      <c r="K89" s="5"/>
      <c r="L89" s="5"/>
      <c r="M89" s="5"/>
      <c r="N89" s="5"/>
      <c r="O89" s="5"/>
      <c r="Q89" s="5"/>
      <c r="R89" s="5"/>
      <c r="S89" s="5"/>
    </row>
    <row r="90" spans="2:26">
      <c r="B90" s="41"/>
      <c r="C90" s="5"/>
      <c r="D90" s="5"/>
      <c r="E90" s="5"/>
      <c r="F90" s="5"/>
      <c r="G90" s="5"/>
      <c r="H90" s="5"/>
      <c r="I90" s="49"/>
      <c r="J90" s="5"/>
      <c r="K90" s="5"/>
      <c r="L90" s="5"/>
      <c r="M90" s="5"/>
      <c r="N90" s="5"/>
      <c r="O90" s="5"/>
      <c r="Q90" s="41"/>
      <c r="R90" s="5"/>
      <c r="S90" s="5"/>
    </row>
    <row r="91" spans="2:26">
      <c r="B91" s="5"/>
      <c r="C91" s="5"/>
      <c r="D91" s="5"/>
      <c r="E91" s="5"/>
      <c r="F91" s="5"/>
      <c r="G91" s="5"/>
      <c r="H91" s="5"/>
      <c r="I91" s="5"/>
      <c r="J91" s="5"/>
      <c r="K91" s="5"/>
      <c r="L91" s="5"/>
      <c r="M91" s="5"/>
      <c r="N91" s="5"/>
      <c r="O91" s="5"/>
      <c r="Q91" s="5"/>
      <c r="R91" s="5"/>
      <c r="S91" s="5"/>
    </row>
    <row r="92" spans="2:26">
      <c r="B92" s="41"/>
      <c r="C92" s="49"/>
      <c r="D92" s="49"/>
      <c r="E92" s="49"/>
      <c r="F92" s="49"/>
      <c r="G92" s="49"/>
      <c r="H92" s="49"/>
      <c r="I92" s="247"/>
      <c r="J92" s="49"/>
      <c r="K92" s="49"/>
      <c r="L92" s="49"/>
      <c r="M92" s="49"/>
      <c r="N92" s="49"/>
      <c r="O92" s="49"/>
      <c r="Q92" s="5"/>
      <c r="R92" s="5"/>
      <c r="S92" s="5"/>
      <c r="W92" s="21"/>
      <c r="X92" s="21"/>
    </row>
    <row r="93" spans="2:26">
      <c r="B93" s="5"/>
      <c r="C93" s="5"/>
      <c r="D93" s="5"/>
      <c r="E93" s="5"/>
      <c r="F93" s="5"/>
      <c r="G93" s="5"/>
      <c r="H93" s="5"/>
      <c r="I93" s="247"/>
      <c r="J93" s="5"/>
      <c r="K93" s="5"/>
      <c r="L93" s="5"/>
      <c r="M93" s="5"/>
      <c r="N93" s="5"/>
      <c r="O93" s="5"/>
      <c r="Q93" s="5"/>
      <c r="R93" s="5"/>
      <c r="S93" s="5"/>
      <c r="W93" s="21"/>
      <c r="X93" s="21"/>
      <c r="Y93" s="21"/>
      <c r="Z93" s="21"/>
    </row>
    <row r="94" spans="2:26">
      <c r="B94" s="5"/>
      <c r="C94" s="259"/>
      <c r="D94" s="247"/>
      <c r="E94" s="247"/>
      <c r="F94" s="247"/>
      <c r="G94" s="247"/>
      <c r="H94" s="247"/>
      <c r="I94" s="247"/>
      <c r="J94" s="247"/>
      <c r="K94" s="247"/>
      <c r="L94" s="247"/>
      <c r="M94" s="247"/>
      <c r="N94" s="247"/>
      <c r="O94" s="248"/>
      <c r="Q94" s="5"/>
      <c r="R94" s="5"/>
      <c r="S94" s="5"/>
      <c r="Y94" s="21"/>
      <c r="Z94" s="21"/>
    </row>
    <row r="95" spans="2:26">
      <c r="B95" s="5"/>
      <c r="C95" s="259"/>
      <c r="D95" s="247"/>
      <c r="E95" s="247"/>
      <c r="F95" s="247"/>
      <c r="G95" s="247"/>
      <c r="H95" s="247"/>
      <c r="I95" s="248"/>
      <c r="J95" s="247"/>
      <c r="K95" s="247"/>
      <c r="L95" s="247"/>
      <c r="M95" s="247"/>
      <c r="N95" s="247"/>
      <c r="O95" s="248"/>
      <c r="Q95" s="5"/>
      <c r="R95" s="5"/>
      <c r="S95" s="5"/>
    </row>
    <row r="96" spans="2:26">
      <c r="B96" s="5"/>
      <c r="C96" s="259"/>
      <c r="D96" s="247"/>
      <c r="E96" s="247"/>
      <c r="F96" s="247"/>
      <c r="G96" s="247"/>
      <c r="H96" s="247"/>
      <c r="I96" s="247"/>
      <c r="J96" s="247"/>
      <c r="K96" s="247"/>
      <c r="L96" s="247"/>
      <c r="M96" s="247"/>
      <c r="N96" s="247"/>
      <c r="O96" s="248"/>
      <c r="Q96" s="5"/>
      <c r="R96" s="5"/>
      <c r="S96" s="5"/>
    </row>
    <row r="97" spans="2:19">
      <c r="B97" s="5"/>
      <c r="C97" s="259"/>
      <c r="D97" s="248"/>
      <c r="E97" s="248"/>
      <c r="F97" s="248"/>
      <c r="G97" s="248"/>
      <c r="H97" s="248"/>
      <c r="I97" s="249"/>
      <c r="J97" s="248"/>
      <c r="K97" s="248"/>
      <c r="L97" s="248"/>
      <c r="M97" s="248"/>
      <c r="N97" s="248"/>
      <c r="O97" s="248"/>
      <c r="Q97" s="5"/>
      <c r="R97" s="5"/>
      <c r="S97" s="5"/>
    </row>
    <row r="98" spans="2:19">
      <c r="B98" s="5"/>
      <c r="C98" s="259"/>
      <c r="D98" s="247"/>
      <c r="E98" s="247"/>
      <c r="F98" s="247"/>
      <c r="G98" s="247"/>
      <c r="H98" s="247"/>
      <c r="I98" s="248"/>
      <c r="J98" s="247"/>
      <c r="K98" s="247"/>
      <c r="L98" s="247"/>
      <c r="M98" s="247"/>
      <c r="N98" s="247"/>
      <c r="O98" s="248"/>
      <c r="Q98" s="5"/>
      <c r="R98" s="5"/>
      <c r="S98" s="5"/>
    </row>
    <row r="99" spans="2:19">
      <c r="B99" s="41"/>
      <c r="C99" s="249"/>
      <c r="D99" s="249"/>
      <c r="E99" s="249"/>
      <c r="F99" s="249"/>
      <c r="G99" s="249"/>
      <c r="H99" s="249"/>
      <c r="I99" s="5"/>
      <c r="J99" s="249"/>
      <c r="K99" s="249"/>
      <c r="L99" s="249"/>
      <c r="M99" s="249"/>
      <c r="N99" s="249"/>
      <c r="O99" s="248"/>
      <c r="Q99" s="5"/>
      <c r="R99" s="5"/>
      <c r="S99" s="5"/>
    </row>
    <row r="100" spans="2:19">
      <c r="B100" s="41"/>
      <c r="C100" s="257"/>
      <c r="D100" s="248"/>
      <c r="E100" s="248"/>
      <c r="F100" s="248"/>
      <c r="G100" s="248"/>
      <c r="H100" s="248"/>
      <c r="I100" s="259"/>
      <c r="J100" s="248"/>
      <c r="K100" s="248"/>
      <c r="L100" s="248"/>
      <c r="M100" s="248"/>
      <c r="N100" s="248"/>
      <c r="O100" s="248"/>
      <c r="Q100" s="5"/>
      <c r="R100" s="5"/>
      <c r="S100" s="5"/>
    </row>
    <row r="101" spans="2:19" s="5" customFormat="1">
      <c r="B101" s="41"/>
      <c r="I101" s="259"/>
      <c r="O101" s="248"/>
      <c r="P101" s="39"/>
    </row>
    <row r="102" spans="2:19">
      <c r="B102" s="5"/>
      <c r="C102" s="259"/>
      <c r="D102" s="259"/>
      <c r="E102" s="259"/>
      <c r="F102" s="259"/>
      <c r="G102" s="259"/>
      <c r="H102" s="259"/>
      <c r="I102" s="247"/>
      <c r="J102" s="259"/>
      <c r="K102" s="259"/>
      <c r="L102" s="259"/>
      <c r="M102" s="259"/>
      <c r="N102" s="259"/>
      <c r="O102" s="5"/>
      <c r="Q102" s="5"/>
      <c r="R102" s="5"/>
      <c r="S102" s="5"/>
    </row>
    <row r="103" spans="2:19">
      <c r="B103" s="5"/>
      <c r="C103" s="259"/>
      <c r="D103" s="259"/>
      <c r="E103" s="259"/>
      <c r="F103" s="259"/>
      <c r="G103" s="259"/>
      <c r="H103" s="259"/>
      <c r="I103" s="5"/>
      <c r="J103" s="259"/>
      <c r="K103" s="259"/>
      <c r="L103" s="259"/>
      <c r="M103" s="259"/>
      <c r="N103" s="259"/>
      <c r="O103" s="5"/>
      <c r="P103" s="5"/>
      <c r="Q103" s="5"/>
      <c r="R103" s="5"/>
      <c r="S103" s="5"/>
    </row>
    <row r="104" spans="2:19">
      <c r="B104" s="5"/>
      <c r="C104" s="247"/>
      <c r="D104" s="247"/>
      <c r="E104" s="247"/>
      <c r="F104" s="247"/>
      <c r="G104" s="247"/>
      <c r="H104" s="247"/>
      <c r="I104" s="247"/>
      <c r="J104" s="247"/>
      <c r="K104" s="247"/>
      <c r="L104" s="247"/>
      <c r="M104" s="247"/>
      <c r="N104" s="247"/>
      <c r="O104" s="5"/>
      <c r="Q104" s="5"/>
      <c r="R104" s="5"/>
      <c r="S104" s="5"/>
    </row>
    <row r="105" spans="2:19" s="5" customFormat="1">
      <c r="P105" s="39"/>
    </row>
    <row r="106" spans="2:19" s="5" customFormat="1">
      <c r="C106" s="259"/>
      <c r="D106" s="247"/>
      <c r="E106" s="247"/>
      <c r="F106" s="247"/>
      <c r="G106" s="247"/>
      <c r="H106" s="247"/>
      <c r="I106" s="259"/>
      <c r="J106" s="247"/>
      <c r="K106" s="247"/>
      <c r="L106" s="247"/>
      <c r="M106" s="247"/>
      <c r="N106" s="247"/>
      <c r="P106" s="39"/>
    </row>
    <row r="107" spans="2:19">
      <c r="B107" s="5"/>
      <c r="C107" s="259"/>
      <c r="D107" s="5"/>
      <c r="E107" s="5"/>
      <c r="F107" s="5"/>
      <c r="G107" s="5"/>
      <c r="H107" s="5"/>
      <c r="I107" s="247"/>
      <c r="J107" s="5"/>
      <c r="K107" s="5"/>
      <c r="L107" s="5"/>
      <c r="M107" s="5"/>
      <c r="N107" s="5"/>
      <c r="O107" s="5"/>
      <c r="P107" s="5"/>
      <c r="Q107" s="5"/>
      <c r="R107" s="5"/>
      <c r="S107" s="5"/>
    </row>
    <row r="108" spans="2:19">
      <c r="B108" s="5"/>
      <c r="C108" s="259"/>
      <c r="D108" s="259"/>
      <c r="E108" s="259"/>
      <c r="F108" s="259"/>
      <c r="G108" s="259"/>
      <c r="H108" s="259"/>
      <c r="I108" s="249"/>
      <c r="J108" s="259"/>
      <c r="K108" s="259"/>
      <c r="L108" s="259"/>
      <c r="M108" s="259"/>
      <c r="N108" s="259"/>
      <c r="O108" s="5"/>
      <c r="P108" s="5"/>
      <c r="Q108" s="5"/>
      <c r="R108" s="5"/>
      <c r="S108" s="5"/>
    </row>
    <row r="109" spans="2:19">
      <c r="B109" s="5"/>
      <c r="C109" s="247"/>
      <c r="D109" s="247"/>
      <c r="E109" s="247"/>
      <c r="F109" s="247"/>
      <c r="G109" s="247"/>
      <c r="H109" s="247"/>
      <c r="I109" s="249"/>
      <c r="J109" s="247"/>
      <c r="K109" s="247"/>
      <c r="L109" s="247"/>
      <c r="M109" s="247"/>
      <c r="N109" s="247"/>
      <c r="O109" s="5"/>
      <c r="Q109" s="5"/>
      <c r="R109" s="5"/>
      <c r="S109" s="5"/>
    </row>
    <row r="110" spans="2:19">
      <c r="B110" s="41"/>
      <c r="C110" s="249"/>
      <c r="D110" s="249"/>
      <c r="E110" s="249"/>
      <c r="F110" s="249"/>
      <c r="G110" s="249"/>
      <c r="H110" s="249"/>
      <c r="I110" s="247"/>
      <c r="J110" s="249"/>
      <c r="K110" s="249"/>
      <c r="L110" s="249"/>
      <c r="M110" s="249"/>
      <c r="N110" s="249"/>
      <c r="O110" s="5"/>
      <c r="Q110" s="5"/>
      <c r="R110" s="5"/>
      <c r="S110" s="5"/>
    </row>
    <row r="111" spans="2:19">
      <c r="B111" s="5"/>
      <c r="C111" s="249"/>
      <c r="D111" s="249"/>
      <c r="E111" s="249"/>
      <c r="F111" s="249"/>
      <c r="G111" s="249"/>
      <c r="H111" s="249"/>
      <c r="I111" s="5"/>
      <c r="J111" s="249"/>
      <c r="K111" s="249"/>
      <c r="L111" s="249"/>
      <c r="M111" s="249"/>
      <c r="N111" s="249"/>
      <c r="O111" s="5"/>
      <c r="Q111" s="5"/>
      <c r="R111" s="5"/>
      <c r="S111" s="5"/>
    </row>
    <row r="112" spans="2:19">
      <c r="B112" s="5"/>
      <c r="C112" s="247"/>
      <c r="D112" s="247"/>
      <c r="E112" s="247"/>
      <c r="F112" s="247"/>
      <c r="G112" s="247"/>
      <c r="H112" s="247"/>
      <c r="I112" s="5"/>
      <c r="J112" s="247"/>
      <c r="K112" s="247"/>
      <c r="L112" s="247"/>
      <c r="M112" s="247"/>
      <c r="N112" s="247"/>
      <c r="O112" s="5"/>
      <c r="Q112" s="5"/>
      <c r="R112" s="5"/>
      <c r="S112" s="5"/>
    </row>
    <row r="113" spans="2:19">
      <c r="B113" s="5"/>
      <c r="C113" s="5"/>
      <c r="D113" s="5"/>
      <c r="E113" s="5"/>
      <c r="F113" s="5"/>
      <c r="G113" s="5"/>
      <c r="H113" s="5"/>
      <c r="I113" s="5"/>
      <c r="J113" s="5"/>
      <c r="K113" s="5"/>
      <c r="L113" s="5"/>
      <c r="M113" s="5"/>
      <c r="N113" s="5"/>
      <c r="O113" s="5"/>
      <c r="Q113" s="5"/>
      <c r="R113" s="5"/>
      <c r="S113" s="5"/>
    </row>
    <row r="114" spans="2:19">
      <c r="B114" s="5"/>
      <c r="C114" s="5"/>
      <c r="D114" s="5"/>
      <c r="E114" s="5"/>
      <c r="F114" s="5"/>
      <c r="G114" s="5"/>
      <c r="H114" s="5"/>
      <c r="I114" s="5"/>
      <c r="J114" s="5"/>
      <c r="K114" s="5"/>
      <c r="L114" s="5"/>
      <c r="M114" s="5"/>
      <c r="N114" s="5"/>
      <c r="O114" s="5"/>
      <c r="Q114" s="5"/>
      <c r="R114" s="5"/>
      <c r="S114" s="5"/>
    </row>
    <row r="115" spans="2:19">
      <c r="B115" s="5"/>
      <c r="C115" s="5"/>
      <c r="D115" s="5"/>
      <c r="E115" s="5"/>
      <c r="F115" s="5"/>
      <c r="G115" s="5"/>
      <c r="H115" s="5"/>
      <c r="I115" s="49"/>
      <c r="J115" s="5"/>
      <c r="K115" s="5"/>
      <c r="L115" s="5"/>
      <c r="M115" s="5"/>
      <c r="N115" s="5"/>
      <c r="O115" s="5"/>
      <c r="Q115" s="41"/>
      <c r="R115" s="5"/>
      <c r="S115" s="5"/>
    </row>
    <row r="116" spans="2:19">
      <c r="B116" s="5"/>
      <c r="C116" s="5"/>
      <c r="D116" s="5"/>
      <c r="E116" s="5"/>
      <c r="F116" s="5"/>
      <c r="G116" s="5"/>
      <c r="H116" s="5"/>
      <c r="I116" s="5"/>
      <c r="J116" s="5"/>
      <c r="K116" s="5"/>
      <c r="L116" s="5"/>
      <c r="M116" s="5"/>
      <c r="N116" s="5"/>
      <c r="O116" s="5"/>
      <c r="Q116" s="5"/>
      <c r="R116" s="5"/>
      <c r="S116" s="5"/>
    </row>
    <row r="117" spans="2:19">
      <c r="B117" s="41"/>
      <c r="C117" s="49"/>
      <c r="D117" s="49"/>
      <c r="E117" s="49"/>
      <c r="F117" s="49"/>
      <c r="G117" s="49"/>
      <c r="H117" s="49"/>
      <c r="I117" s="254"/>
      <c r="J117" s="49"/>
      <c r="K117" s="49"/>
      <c r="L117" s="49"/>
      <c r="M117" s="49"/>
      <c r="N117" s="49"/>
      <c r="O117" s="49"/>
      <c r="Q117" s="5"/>
      <c r="R117" s="5"/>
      <c r="S117" s="5"/>
    </row>
    <row r="118" spans="2:19">
      <c r="B118" s="5"/>
      <c r="C118" s="5"/>
      <c r="D118" s="5"/>
      <c r="E118" s="5"/>
      <c r="F118" s="5"/>
      <c r="G118" s="5"/>
      <c r="H118" s="5"/>
      <c r="I118" s="249"/>
      <c r="J118" s="5"/>
      <c r="K118" s="5"/>
      <c r="L118" s="5"/>
      <c r="M118" s="5"/>
      <c r="N118" s="5"/>
      <c r="O118" s="5"/>
      <c r="Q118" s="5"/>
      <c r="R118" s="5"/>
      <c r="S118" s="5"/>
    </row>
    <row r="119" spans="2:19">
      <c r="B119" s="41"/>
      <c r="C119" s="254"/>
      <c r="D119" s="254"/>
      <c r="E119" s="254"/>
      <c r="F119" s="254"/>
      <c r="G119" s="254"/>
      <c r="H119" s="254"/>
      <c r="I119" s="254"/>
      <c r="J119" s="254"/>
      <c r="K119" s="254"/>
      <c r="L119" s="254"/>
      <c r="M119" s="254"/>
      <c r="N119" s="254"/>
      <c r="O119" s="248"/>
      <c r="Q119" s="5"/>
      <c r="R119" s="5"/>
      <c r="S119" s="5"/>
    </row>
    <row r="120" spans="2:19">
      <c r="B120" s="41"/>
      <c r="C120" s="254"/>
      <c r="D120" s="249"/>
      <c r="E120" s="249"/>
      <c r="F120" s="249"/>
      <c r="G120" s="249"/>
      <c r="H120" s="249"/>
      <c r="I120" s="254"/>
      <c r="J120" s="249"/>
      <c r="K120" s="249"/>
      <c r="L120" s="249"/>
      <c r="M120" s="249"/>
      <c r="N120" s="249"/>
      <c r="O120" s="248"/>
      <c r="Q120" s="5"/>
      <c r="R120" s="5"/>
      <c r="S120" s="5"/>
    </row>
    <row r="121" spans="2:19">
      <c r="B121" s="41"/>
      <c r="C121" s="254"/>
      <c r="D121" s="254"/>
      <c r="E121" s="254"/>
      <c r="F121" s="254"/>
      <c r="G121" s="254"/>
      <c r="H121" s="254"/>
      <c r="I121" s="254"/>
      <c r="J121" s="254"/>
      <c r="K121" s="254"/>
      <c r="L121" s="254"/>
      <c r="M121" s="254"/>
      <c r="N121" s="254"/>
      <c r="O121" s="248"/>
      <c r="Q121" s="5"/>
      <c r="R121" s="5"/>
      <c r="S121" s="5"/>
    </row>
    <row r="122" spans="2:19">
      <c r="B122" s="41"/>
      <c r="C122" s="254"/>
      <c r="D122" s="254"/>
      <c r="E122" s="254"/>
      <c r="F122" s="254"/>
      <c r="G122" s="254"/>
      <c r="H122" s="254"/>
      <c r="I122" s="254"/>
      <c r="J122" s="254"/>
      <c r="K122" s="254"/>
      <c r="L122" s="254"/>
      <c r="M122" s="254"/>
      <c r="N122" s="254"/>
      <c r="O122" s="248"/>
      <c r="Q122" s="5"/>
      <c r="R122" s="5"/>
      <c r="S122" s="5"/>
    </row>
    <row r="123" spans="2:19">
      <c r="B123" s="41"/>
      <c r="C123" s="254"/>
      <c r="D123" s="254"/>
      <c r="E123" s="254"/>
      <c r="F123" s="254"/>
      <c r="G123" s="254"/>
      <c r="H123" s="254"/>
      <c r="I123" s="254"/>
      <c r="J123" s="254"/>
      <c r="K123" s="254"/>
      <c r="L123" s="254"/>
      <c r="M123" s="254"/>
      <c r="N123" s="254"/>
      <c r="O123" s="248"/>
      <c r="Q123" s="5"/>
      <c r="R123" s="5"/>
      <c r="S123" s="5"/>
    </row>
    <row r="124" spans="2:19">
      <c r="B124" s="41"/>
      <c r="C124" s="254"/>
      <c r="D124" s="254"/>
      <c r="E124" s="254"/>
      <c r="F124" s="254"/>
      <c r="G124" s="254"/>
      <c r="H124" s="254"/>
      <c r="I124" s="254"/>
      <c r="J124" s="254"/>
      <c r="K124" s="254"/>
      <c r="L124" s="254"/>
      <c r="M124" s="254"/>
      <c r="N124" s="254"/>
      <c r="O124" s="248"/>
      <c r="Q124" s="5"/>
      <c r="R124" s="5"/>
      <c r="S124" s="5"/>
    </row>
    <row r="125" spans="2:19">
      <c r="B125" s="41"/>
      <c r="C125" s="254"/>
      <c r="D125" s="254"/>
      <c r="E125" s="254"/>
      <c r="F125" s="254"/>
      <c r="G125" s="254"/>
      <c r="H125" s="254"/>
      <c r="I125" s="254"/>
      <c r="J125" s="254"/>
      <c r="K125" s="254"/>
      <c r="L125" s="254"/>
      <c r="M125" s="254"/>
      <c r="N125" s="254"/>
      <c r="O125" s="5"/>
      <c r="Q125" s="5"/>
      <c r="R125" s="5"/>
      <c r="S125" s="5"/>
    </row>
    <row r="126" spans="2:19">
      <c r="B126" s="41"/>
      <c r="C126" s="254"/>
      <c r="D126" s="254"/>
      <c r="E126" s="254"/>
      <c r="F126" s="254"/>
      <c r="G126" s="254"/>
      <c r="H126" s="254"/>
      <c r="I126" s="254"/>
      <c r="J126" s="254"/>
      <c r="K126" s="254"/>
      <c r="L126" s="254"/>
      <c r="M126" s="254"/>
      <c r="N126" s="254"/>
      <c r="O126" s="5"/>
      <c r="Q126" s="5"/>
      <c r="R126" s="5"/>
      <c r="S126" s="5"/>
    </row>
    <row r="127" spans="2:19">
      <c r="B127" s="41"/>
      <c r="C127" s="254"/>
      <c r="D127" s="254"/>
      <c r="E127" s="254"/>
      <c r="F127" s="254"/>
      <c r="G127" s="254"/>
      <c r="H127" s="254"/>
      <c r="I127" s="18"/>
      <c r="J127" s="254"/>
      <c r="K127" s="254"/>
      <c r="L127" s="254"/>
      <c r="M127" s="254"/>
      <c r="N127" s="254"/>
      <c r="O127" s="5"/>
      <c r="Q127" s="5"/>
      <c r="R127" s="5"/>
      <c r="S127" s="5"/>
    </row>
    <row r="128" spans="2:19">
      <c r="B128" s="41"/>
      <c r="C128" s="254"/>
      <c r="D128" s="254"/>
      <c r="E128" s="254"/>
      <c r="F128" s="254"/>
      <c r="G128" s="254"/>
      <c r="H128" s="254"/>
      <c r="I128" s="5"/>
      <c r="J128" s="254"/>
      <c r="K128" s="254"/>
      <c r="L128" s="254"/>
      <c r="M128" s="254"/>
      <c r="N128" s="254"/>
      <c r="O128" s="5"/>
      <c r="Q128" s="5"/>
      <c r="R128" s="5"/>
      <c r="S128" s="5"/>
    </row>
    <row r="129" spans="2:27">
      <c r="B129" s="5"/>
      <c r="C129" s="5"/>
      <c r="D129" s="18"/>
      <c r="E129" s="18"/>
      <c r="F129" s="18"/>
      <c r="G129" s="18"/>
      <c r="H129" s="18"/>
      <c r="I129" s="254"/>
      <c r="J129" s="18"/>
      <c r="K129" s="18"/>
      <c r="L129" s="18"/>
      <c r="M129" s="18"/>
      <c r="N129" s="18"/>
      <c r="O129" s="5"/>
      <c r="Q129" s="5"/>
      <c r="R129" s="5"/>
      <c r="S129" s="5"/>
    </row>
    <row r="130" spans="2:27">
      <c r="B130" s="5"/>
      <c r="C130" s="5"/>
      <c r="D130" s="5"/>
      <c r="E130" s="5"/>
      <c r="F130" s="5"/>
      <c r="G130" s="5"/>
      <c r="H130" s="5"/>
      <c r="I130" s="18"/>
      <c r="J130" s="5"/>
      <c r="K130" s="5"/>
      <c r="L130" s="5"/>
      <c r="M130" s="5"/>
      <c r="N130" s="5"/>
      <c r="O130" s="5"/>
      <c r="Q130" s="5"/>
      <c r="R130" s="5"/>
      <c r="S130" s="5"/>
    </row>
    <row r="131" spans="2:27">
      <c r="B131" s="41"/>
      <c r="C131" s="254"/>
      <c r="D131" s="254"/>
      <c r="E131" s="254"/>
      <c r="F131" s="254"/>
      <c r="G131" s="254"/>
      <c r="H131" s="254"/>
      <c r="I131" s="5"/>
      <c r="J131" s="254"/>
      <c r="K131" s="254"/>
      <c r="L131" s="254"/>
      <c r="M131" s="254"/>
      <c r="N131" s="254"/>
      <c r="O131" s="5"/>
      <c r="Q131" s="5"/>
      <c r="R131" s="5"/>
      <c r="S131" s="5"/>
    </row>
    <row r="132" spans="2:27">
      <c r="B132" s="5"/>
      <c r="C132" s="259"/>
      <c r="D132" s="18"/>
      <c r="E132" s="18"/>
      <c r="F132" s="18"/>
      <c r="G132" s="18"/>
      <c r="H132" s="18"/>
      <c r="I132" s="5"/>
      <c r="J132" s="18"/>
      <c r="K132" s="18"/>
      <c r="L132" s="18"/>
      <c r="M132" s="18"/>
      <c r="N132" s="18"/>
      <c r="O132" s="5"/>
      <c r="Q132" s="5"/>
      <c r="R132" s="5"/>
      <c r="S132" s="5"/>
    </row>
    <row r="133" spans="2:27">
      <c r="B133" s="5"/>
      <c r="C133" s="5"/>
      <c r="D133" s="5"/>
      <c r="E133" s="5"/>
      <c r="F133" s="5"/>
      <c r="G133" s="5"/>
      <c r="H133" s="5"/>
      <c r="I133" s="17"/>
      <c r="J133" s="5"/>
      <c r="K133" s="5"/>
      <c r="L133" s="5"/>
      <c r="M133" s="5"/>
      <c r="N133" s="5"/>
      <c r="O133" s="5"/>
      <c r="Q133" s="5"/>
      <c r="R133" s="5"/>
      <c r="S133" s="5"/>
    </row>
    <row r="134" spans="2:27">
      <c r="B134" s="41"/>
      <c r="C134" s="5"/>
      <c r="D134" s="5"/>
      <c r="E134" s="5"/>
      <c r="F134" s="5"/>
      <c r="G134" s="5"/>
      <c r="H134" s="5"/>
      <c r="I134" s="17"/>
      <c r="J134" s="5"/>
      <c r="K134" s="5"/>
      <c r="L134" s="5"/>
      <c r="M134" s="5"/>
      <c r="N134" s="5"/>
      <c r="O134" s="5"/>
      <c r="Q134" s="5"/>
      <c r="R134" s="5"/>
      <c r="S134" s="5"/>
    </row>
    <row r="135" spans="2:27">
      <c r="B135" s="5"/>
      <c r="C135" s="17"/>
      <c r="D135" s="17"/>
      <c r="E135" s="17"/>
      <c r="F135" s="17"/>
      <c r="G135" s="17"/>
      <c r="H135" s="17"/>
      <c r="I135" s="17"/>
      <c r="J135" s="17"/>
      <c r="K135" s="17"/>
      <c r="L135" s="17"/>
      <c r="M135" s="17"/>
      <c r="N135" s="17"/>
      <c r="O135" s="5"/>
      <c r="Q135" s="41"/>
      <c r="R135" s="5"/>
      <c r="S135" s="5"/>
    </row>
    <row r="136" spans="2:27">
      <c r="B136" s="5"/>
      <c r="C136" s="17"/>
      <c r="D136" s="17"/>
      <c r="E136" s="17"/>
      <c r="F136" s="17"/>
      <c r="G136" s="17"/>
      <c r="H136" s="17"/>
      <c r="I136" s="17"/>
      <c r="J136" s="17"/>
      <c r="K136" s="17"/>
      <c r="L136" s="17"/>
      <c r="M136" s="17"/>
      <c r="N136" s="17"/>
      <c r="O136" s="5"/>
      <c r="Q136" s="5"/>
      <c r="R136" s="5"/>
      <c r="S136" s="5"/>
      <c r="X136" s="304"/>
    </row>
    <row r="137" spans="2:27">
      <c r="B137" s="5"/>
      <c r="C137" s="5"/>
      <c r="D137" s="17"/>
      <c r="E137" s="17"/>
      <c r="F137" s="17"/>
      <c r="G137" s="17"/>
      <c r="H137" s="17"/>
      <c r="I137" s="17"/>
      <c r="J137" s="17"/>
      <c r="K137" s="17"/>
      <c r="L137" s="17"/>
      <c r="M137" s="17"/>
      <c r="N137" s="17"/>
      <c r="O137" s="5"/>
      <c r="Q137" s="5"/>
      <c r="R137" s="5"/>
      <c r="S137" s="5"/>
      <c r="X137" s="10"/>
      <c r="Y137" s="304"/>
      <c r="Z137" s="304"/>
      <c r="AA137" s="304"/>
    </row>
    <row r="138" spans="2:27">
      <c r="B138" s="5"/>
      <c r="C138" s="5"/>
      <c r="D138" s="17"/>
      <c r="E138" s="17"/>
      <c r="F138" s="17"/>
      <c r="G138" s="17"/>
      <c r="H138" s="17"/>
      <c r="I138" s="17"/>
      <c r="J138" s="17"/>
      <c r="K138" s="17"/>
      <c r="L138" s="17"/>
      <c r="M138" s="17"/>
      <c r="N138" s="17"/>
      <c r="O138" s="5"/>
      <c r="Q138" s="5"/>
      <c r="R138" s="5"/>
      <c r="S138" s="5"/>
      <c r="Y138" s="10"/>
      <c r="Z138" s="10"/>
      <c r="AA138" s="10"/>
    </row>
    <row r="139" spans="2:27">
      <c r="B139" s="5"/>
      <c r="C139" s="5"/>
      <c r="D139" s="17"/>
      <c r="E139" s="17"/>
      <c r="F139" s="17"/>
      <c r="G139" s="17"/>
      <c r="H139" s="17"/>
      <c r="I139" s="5"/>
      <c r="J139" s="17"/>
      <c r="K139" s="17"/>
      <c r="L139" s="17"/>
      <c r="M139" s="17"/>
      <c r="N139" s="17"/>
      <c r="O139" s="5"/>
      <c r="Q139" s="5"/>
      <c r="R139" s="5"/>
      <c r="S139" s="5"/>
    </row>
    <row r="140" spans="2:27">
      <c r="B140" s="5"/>
      <c r="C140" s="17"/>
      <c r="D140" s="17"/>
      <c r="E140" s="17"/>
      <c r="F140" s="17"/>
      <c r="G140" s="17"/>
      <c r="H140" s="17"/>
      <c r="I140" s="5"/>
      <c r="J140" s="17"/>
      <c r="K140" s="17"/>
      <c r="L140" s="17"/>
      <c r="M140" s="17"/>
      <c r="N140" s="17"/>
      <c r="O140" s="5"/>
      <c r="Q140" s="5"/>
      <c r="R140" s="5"/>
      <c r="S140" s="5"/>
    </row>
    <row r="141" spans="2:27">
      <c r="B141" s="5"/>
      <c r="C141" s="5"/>
      <c r="D141" s="5"/>
      <c r="E141" s="5"/>
      <c r="F141" s="5"/>
      <c r="G141" s="5"/>
      <c r="H141" s="5"/>
      <c r="I141" s="5"/>
      <c r="J141" s="5"/>
      <c r="K141" s="5"/>
      <c r="L141" s="5"/>
      <c r="M141" s="5"/>
      <c r="N141" s="5"/>
      <c r="O141" s="5"/>
      <c r="Q141" s="5"/>
      <c r="R141" s="5"/>
      <c r="S141" s="5"/>
    </row>
    <row r="142" spans="2:27">
      <c r="B142" s="5"/>
      <c r="C142" s="5"/>
      <c r="D142" s="5"/>
      <c r="E142" s="5"/>
      <c r="F142" s="5"/>
      <c r="G142" s="5"/>
      <c r="H142" s="5"/>
      <c r="I142" s="5"/>
      <c r="J142" s="5"/>
      <c r="K142" s="5"/>
      <c r="L142" s="5"/>
      <c r="M142" s="5"/>
      <c r="N142" s="5"/>
      <c r="O142" s="5"/>
      <c r="Q142" s="5"/>
      <c r="R142" s="5"/>
      <c r="S142" s="5"/>
    </row>
    <row r="143" spans="2:27">
      <c r="B143" s="5"/>
      <c r="C143" s="5"/>
      <c r="D143" s="5"/>
      <c r="E143" s="5"/>
      <c r="F143" s="5"/>
      <c r="G143" s="5"/>
      <c r="H143" s="5"/>
      <c r="I143" s="5"/>
      <c r="J143" s="5"/>
      <c r="K143" s="5"/>
      <c r="L143" s="5"/>
      <c r="M143" s="5"/>
      <c r="N143" s="5"/>
      <c r="O143" s="5"/>
      <c r="Q143" s="5"/>
      <c r="R143" s="5"/>
      <c r="S143" s="5"/>
    </row>
    <row r="144" spans="2:27">
      <c r="B144" s="5"/>
      <c r="C144" s="5"/>
      <c r="D144" s="5"/>
      <c r="E144" s="5"/>
      <c r="F144" s="5"/>
      <c r="G144" s="5"/>
      <c r="H144" s="5"/>
      <c r="I144" s="5"/>
      <c r="J144" s="5"/>
      <c r="K144" s="5"/>
      <c r="L144" s="5"/>
      <c r="M144" s="5"/>
      <c r="N144" s="5"/>
      <c r="O144" s="5"/>
      <c r="Q144" s="5"/>
      <c r="R144" s="5"/>
      <c r="S144" s="5"/>
    </row>
    <row r="145" spans="2:19">
      <c r="B145" s="5"/>
      <c r="C145" s="5"/>
      <c r="D145" s="5"/>
      <c r="E145" s="5"/>
      <c r="F145" s="5"/>
      <c r="G145" s="5"/>
      <c r="H145" s="5"/>
      <c r="I145" s="5"/>
      <c r="J145" s="5"/>
      <c r="K145" s="5"/>
      <c r="L145" s="5"/>
      <c r="M145" s="5"/>
      <c r="N145" s="5"/>
      <c r="O145" s="5"/>
      <c r="Q145" s="5"/>
      <c r="R145" s="5"/>
      <c r="S145" s="5"/>
    </row>
    <row r="146" spans="2:19">
      <c r="B146" s="5"/>
      <c r="C146" s="5"/>
      <c r="D146" s="5"/>
      <c r="E146" s="5"/>
      <c r="F146" s="5"/>
      <c r="G146" s="5"/>
      <c r="H146" s="5"/>
      <c r="I146" s="5"/>
      <c r="J146" s="5"/>
      <c r="K146" s="5"/>
      <c r="L146" s="5"/>
      <c r="M146" s="5"/>
      <c r="N146" s="5"/>
      <c r="O146" s="5"/>
      <c r="Q146" s="5"/>
      <c r="R146" s="5"/>
      <c r="S146" s="5"/>
    </row>
    <row r="147" spans="2:19">
      <c r="B147" s="5"/>
      <c r="C147" s="5"/>
      <c r="D147" s="5"/>
      <c r="E147" s="5"/>
      <c r="F147" s="5"/>
      <c r="G147" s="5"/>
      <c r="H147" s="5"/>
      <c r="I147" s="5"/>
      <c r="J147" s="5"/>
      <c r="K147" s="5"/>
      <c r="L147" s="5"/>
      <c r="M147" s="5"/>
      <c r="N147" s="5"/>
      <c r="O147" s="5"/>
      <c r="Q147" s="5"/>
      <c r="R147" s="5"/>
      <c r="S147" s="5"/>
    </row>
    <row r="148" spans="2:19">
      <c r="B148" s="5"/>
      <c r="C148" s="5"/>
      <c r="D148" s="5"/>
      <c r="E148" s="5"/>
      <c r="F148" s="5"/>
      <c r="G148" s="5"/>
      <c r="H148" s="5"/>
      <c r="I148" s="5"/>
      <c r="J148" s="5"/>
      <c r="K148" s="5"/>
      <c r="L148" s="5"/>
      <c r="M148" s="5"/>
      <c r="N148" s="5"/>
      <c r="O148" s="5"/>
      <c r="Q148" s="5"/>
      <c r="R148" s="5"/>
      <c r="S148" s="5"/>
    </row>
    <row r="149" spans="2:19">
      <c r="B149" s="5"/>
      <c r="C149" s="5"/>
      <c r="D149" s="5"/>
      <c r="E149" s="5"/>
      <c r="F149" s="5"/>
      <c r="G149" s="5"/>
      <c r="H149" s="5"/>
      <c r="J149" s="5"/>
      <c r="K149" s="5"/>
      <c r="L149" s="5"/>
      <c r="M149" s="5"/>
      <c r="N149" s="5"/>
      <c r="O149" s="5"/>
      <c r="Q149" s="5"/>
      <c r="R149" s="5"/>
      <c r="S149" s="5"/>
    </row>
    <row r="150" spans="2:19">
      <c r="B150" s="5"/>
      <c r="C150" s="5"/>
      <c r="D150" s="5"/>
      <c r="E150" s="5"/>
      <c r="F150" s="5"/>
      <c r="G150" s="5"/>
      <c r="H150" s="5"/>
      <c r="J150" s="5"/>
      <c r="K150" s="5"/>
      <c r="L150" s="5"/>
      <c r="M150" s="5"/>
      <c r="N150" s="5"/>
      <c r="O150" s="5"/>
      <c r="Q150" s="5"/>
      <c r="R150" s="5"/>
      <c r="S150" s="5"/>
    </row>
    <row r="151" spans="2:19">
      <c r="Q151" s="5"/>
      <c r="R151" s="5"/>
      <c r="S151" s="5"/>
    </row>
    <row r="152" spans="2:19">
      <c r="Q152" s="5"/>
      <c r="R152" s="5"/>
      <c r="S152" s="5"/>
    </row>
    <row r="153" spans="2:19">
      <c r="C153" s="263"/>
      <c r="Q153" s="5"/>
      <c r="R153" s="5"/>
      <c r="S153" s="5"/>
    </row>
    <row r="154" spans="2:19">
      <c r="Q154" s="5"/>
      <c r="R154" s="5"/>
      <c r="S154" s="5"/>
    </row>
    <row r="155" spans="2:19">
      <c r="Q155" s="5"/>
      <c r="R155" s="5"/>
      <c r="S155" s="5"/>
    </row>
    <row r="156" spans="2:19">
      <c r="Q156" s="5"/>
      <c r="R156" s="5"/>
      <c r="S156" s="5"/>
    </row>
    <row r="157" spans="2:19">
      <c r="Q157" s="5"/>
      <c r="R157" s="5"/>
      <c r="S157" s="5"/>
    </row>
    <row r="158" spans="2:19">
      <c r="Q158" s="5"/>
      <c r="R158" s="5"/>
      <c r="S158" s="5"/>
    </row>
    <row r="159" spans="2:19">
      <c r="Q159" s="5"/>
      <c r="R159" s="5"/>
      <c r="S159" s="5"/>
    </row>
    <row r="160" spans="2:19">
      <c r="Q160" s="5"/>
      <c r="R160" s="5"/>
      <c r="S160" s="5"/>
    </row>
    <row r="161" spans="17:19">
      <c r="Q161" s="5"/>
      <c r="R161" s="5"/>
      <c r="S161" s="5"/>
    </row>
    <row r="162" spans="17:19">
      <c r="Q162" s="5"/>
      <c r="R162" s="5"/>
      <c r="S162" s="5"/>
    </row>
    <row r="163" spans="17:19">
      <c r="Q163" s="5"/>
      <c r="R163" s="5"/>
      <c r="S163" s="5"/>
    </row>
    <row r="164" spans="17:19">
      <c r="Q164" s="5"/>
      <c r="R164" s="5"/>
      <c r="S164" s="5"/>
    </row>
    <row r="165" spans="17:19">
      <c r="Q165" s="5"/>
      <c r="R165" s="5"/>
      <c r="S165" s="5"/>
    </row>
  </sheetData>
  <phoneticPr fontId="7" type="noConversion"/>
  <hyperlinks>
    <hyperlink ref="C2" location="TEFSOP!A1" display="Jump to TEF SOP" xr:uid="{00000000-0004-0000-6000-000001000000}"/>
  </hyperlinks>
  <pageMargins left="0.75" right="0.75" top="1" bottom="1" header="0.5" footer="0.5"/>
  <pageSetup scale="71" orientation="landscape" r:id="rId1"/>
  <headerFooter alignWithMargins="0"/>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sheetPr codeName="Sheet8">
    <pageSetUpPr fitToPage="1"/>
  </sheetPr>
  <dimension ref="B1:AR165"/>
  <sheetViews>
    <sheetView showGridLines="0" zoomScale="80" zoomScaleNormal="80" zoomScaleSheetLayoutView="80" workbookViewId="0">
      <selection activeCell="C9" sqref="C9"/>
    </sheetView>
  </sheetViews>
  <sheetFormatPr defaultColWidth="9.109375" defaultRowHeight="12"/>
  <cols>
    <col min="1" max="1" width="2.33203125" style="39" customWidth="1"/>
    <col min="2" max="2" width="26.5546875" style="39" customWidth="1"/>
    <col min="3" max="9" width="10" style="39" customWidth="1"/>
    <col min="10" max="10" width="26.6640625" style="39" customWidth="1"/>
    <col min="11" max="16" width="10" style="39" customWidth="1"/>
    <col min="17" max="19" width="8.6640625" style="39" customWidth="1"/>
    <col min="20" max="28" width="8.6640625" style="5" customWidth="1"/>
    <col min="29" max="44" width="9.109375" style="5"/>
    <col min="45" max="16384" width="9.109375" style="39"/>
  </cols>
  <sheetData>
    <row r="1" spans="2:44" s="312" customFormat="1">
      <c r="T1" s="149"/>
      <c r="U1" s="149"/>
      <c r="V1" s="149"/>
      <c r="W1" s="149"/>
      <c r="X1" s="149"/>
      <c r="Y1" s="149"/>
      <c r="Z1" s="149"/>
      <c r="AA1" s="149"/>
      <c r="AB1" s="149"/>
      <c r="AC1" s="149"/>
      <c r="AD1" s="149"/>
      <c r="AE1" s="149"/>
      <c r="AF1" s="149"/>
      <c r="AG1" s="149"/>
      <c r="AH1" s="149"/>
      <c r="AI1" s="149"/>
      <c r="AJ1" s="149"/>
      <c r="AK1" s="149"/>
      <c r="AL1" s="149"/>
      <c r="AM1" s="149"/>
      <c r="AN1" s="149"/>
      <c r="AO1" s="149"/>
      <c r="AP1" s="149"/>
      <c r="AQ1" s="149"/>
      <c r="AR1" s="149"/>
    </row>
    <row r="2" spans="2:44" s="149" customFormat="1"/>
    <row r="3" spans="2:44" s="149" customFormat="1">
      <c r="H3" s="153"/>
      <c r="P3" s="153"/>
    </row>
    <row r="4" spans="2:44" s="156" customFormat="1" ht="21">
      <c r="B4" s="129" t="s">
        <v>1039</v>
      </c>
      <c r="H4" s="222"/>
      <c r="P4" s="222"/>
    </row>
    <row r="5" spans="2:44" s="149" customFormat="1">
      <c r="C5" s="153"/>
      <c r="D5" s="153" t="str" cm="1">
        <f t="array" ref="D5:H5">headings</f>
        <v>2023E</v>
      </c>
      <c r="E5" s="153" t="str">
        <v>2024E</v>
      </c>
      <c r="F5" s="153" t="str">
        <v>2025E</v>
      </c>
      <c r="G5" s="153" t="str">
        <v>2026E</v>
      </c>
      <c r="H5" s="153" t="str">
        <v>23E-26E</v>
      </c>
      <c r="I5" s="153"/>
      <c r="J5" s="153"/>
      <c r="K5" s="153"/>
      <c r="L5" s="153" t="str" cm="1">
        <f t="array" ref="L5:P5">headings</f>
        <v>2023E</v>
      </c>
      <c r="M5" s="153" t="str">
        <v>2024E</v>
      </c>
      <c r="N5" s="153" t="str">
        <v>2025E</v>
      </c>
      <c r="O5" s="153" t="str">
        <v>2026E</v>
      </c>
      <c r="P5" s="153" t="str">
        <v>23E-26E</v>
      </c>
      <c r="Q5" s="162"/>
      <c r="R5" s="162"/>
      <c r="S5" s="162"/>
      <c r="T5" s="162"/>
      <c r="U5" s="162"/>
      <c r="V5" s="162"/>
      <c r="W5" s="162"/>
      <c r="X5" s="162"/>
      <c r="Y5" s="162"/>
    </row>
    <row r="6" spans="2:44">
      <c r="I6" s="5"/>
      <c r="J6" s="5"/>
      <c r="K6" s="5"/>
      <c r="L6" s="5"/>
      <c r="M6" s="5"/>
      <c r="N6" s="5"/>
      <c r="O6" s="49"/>
    </row>
    <row r="7" spans="2:44" ht="12.6" thickBot="1">
      <c r="B7" s="306" t="s">
        <v>271</v>
      </c>
      <c r="C7" s="265"/>
      <c r="D7" s="265" t="str">
        <f>D5</f>
        <v>2023E</v>
      </c>
      <c r="E7" s="265" t="str">
        <f t="shared" ref="E7:H7" si="0">E5</f>
        <v>2024E</v>
      </c>
      <c r="F7" s="265" t="str">
        <f t="shared" si="0"/>
        <v>2025E</v>
      </c>
      <c r="G7" s="265" t="str">
        <f t="shared" si="0"/>
        <v>2026E</v>
      </c>
      <c r="H7" s="265" t="str">
        <f t="shared" si="0"/>
        <v>23E-26E</v>
      </c>
      <c r="I7" s="49"/>
      <c r="J7" s="306" t="s">
        <v>35</v>
      </c>
      <c r="K7" s="306"/>
      <c r="L7" s="265" t="str">
        <f>L5</f>
        <v>2023E</v>
      </c>
      <c r="M7" s="265" t="str">
        <f t="shared" ref="M7:P7" si="1">M5</f>
        <v>2024E</v>
      </c>
      <c r="N7" s="265" t="str">
        <f t="shared" si="1"/>
        <v>2025E</v>
      </c>
      <c r="O7" s="265" t="str">
        <f t="shared" si="1"/>
        <v>2026E</v>
      </c>
      <c r="P7" s="265" t="str">
        <f t="shared" si="1"/>
        <v>23E-26E</v>
      </c>
    </row>
    <row r="8" spans="2:44" ht="12.6" thickTop="1">
      <c r="B8" s="5"/>
      <c r="C8" s="5"/>
      <c r="D8" s="5"/>
      <c r="E8" s="5"/>
      <c r="F8" s="5"/>
      <c r="G8" s="5"/>
      <c r="H8" s="5"/>
      <c r="I8" s="5"/>
      <c r="J8" s="5"/>
      <c r="K8" s="5"/>
      <c r="L8" s="5"/>
      <c r="M8" s="5"/>
      <c r="N8" s="5"/>
      <c r="S8" s="88"/>
      <c r="T8" s="42"/>
      <c r="U8" s="42"/>
      <c r="V8" s="42"/>
      <c r="W8" s="42"/>
      <c r="X8" s="42"/>
      <c r="Y8" s="42"/>
      <c r="Z8" s="42"/>
      <c r="AA8" s="42"/>
    </row>
    <row r="9" spans="2:44">
      <c r="B9" s="41" t="s">
        <v>398</v>
      </c>
      <c r="C9" s="287">
        <f>Prices!C19</f>
        <v>26.39</v>
      </c>
      <c r="D9" s="535">
        <v>0</v>
      </c>
      <c r="E9" s="536">
        <v>0</v>
      </c>
      <c r="F9" s="536">
        <v>0</v>
      </c>
      <c r="G9" s="536">
        <v>0</v>
      </c>
      <c r="H9" s="249"/>
      <c r="I9" s="249"/>
      <c r="J9" s="5" t="s">
        <v>273</v>
      </c>
      <c r="L9" s="529">
        <f>'W.EUR INCUMB'!D37</f>
        <v>2.1820368783030246</v>
      </c>
      <c r="M9" s="529">
        <f>'W.EUR INCUMB'!E37</f>
        <v>2.0995807894380842</v>
      </c>
      <c r="N9" s="529">
        <f>'W.EUR INCUMB'!F37</f>
        <v>2.0073776110351829</v>
      </c>
      <c r="O9" s="529">
        <f>'W.EUR INCUMB'!G37</f>
        <v>1.9004321192081457</v>
      </c>
      <c r="P9" s="279">
        <f>'W.EUR INCUMB'!H37</f>
        <v>1.5546449189376421E-2</v>
      </c>
      <c r="S9" s="88"/>
      <c r="T9" s="42"/>
      <c r="U9" s="42"/>
      <c r="V9" s="42"/>
      <c r="W9" s="42"/>
      <c r="X9" s="42"/>
      <c r="Y9" s="42"/>
      <c r="Z9" s="42"/>
      <c r="AA9" s="42"/>
    </row>
    <row r="10" spans="2:44">
      <c r="B10" s="5" t="s">
        <v>274</v>
      </c>
      <c r="C10" s="5"/>
      <c r="D10" s="531">
        <v>3932.1092859999999</v>
      </c>
      <c r="E10" s="531">
        <v>3932.1092859999999</v>
      </c>
      <c r="F10" s="531">
        <v>3932.1092859999999</v>
      </c>
      <c r="G10" s="531">
        <v>3932.1092859999999</v>
      </c>
      <c r="H10" s="247"/>
      <c r="I10" s="247"/>
      <c r="J10" s="5" t="s">
        <v>184</v>
      </c>
      <c r="L10" s="529">
        <f>'W.EUR INCUMB'!D38</f>
        <v>6.6561389315824204</v>
      </c>
      <c r="M10" s="529">
        <f>'W.EUR INCUMB'!E38</f>
        <v>6.276659180358183</v>
      </c>
      <c r="N10" s="529">
        <f>'W.EUR INCUMB'!F38</f>
        <v>5.9086011977805715</v>
      </c>
      <c r="O10" s="529">
        <f>'W.EUR INCUMB'!G38</f>
        <v>5.5249848727361259</v>
      </c>
      <c r="P10" s="279">
        <f>'W.EUR INCUMB'!H38</f>
        <v>3.1953936851226938E-2</v>
      </c>
      <c r="S10" s="88"/>
      <c r="T10" s="42"/>
      <c r="U10" s="42"/>
      <c r="V10" s="42"/>
      <c r="W10" s="288"/>
      <c r="X10" s="288"/>
      <c r="Y10" s="288"/>
      <c r="Z10" s="288"/>
      <c r="AA10" s="42"/>
    </row>
    <row r="11" spans="2:44">
      <c r="B11" s="41" t="s">
        <v>275</v>
      </c>
      <c r="C11" s="5"/>
      <c r="D11" s="532">
        <f>$C$9*D10</f>
        <v>103768.36405754001</v>
      </c>
      <c r="E11" s="532">
        <f>$C$9*E10</f>
        <v>103768.36405754001</v>
      </c>
      <c r="F11" s="532">
        <f>$C$9*F10</f>
        <v>103768.36405754001</v>
      </c>
      <c r="G11" s="532">
        <f>$C$9*G10</f>
        <v>103768.36405754001</v>
      </c>
      <c r="H11" s="249"/>
      <c r="I11" s="249"/>
      <c r="J11" s="5" t="s">
        <v>185</v>
      </c>
      <c r="L11" s="529">
        <f>'W.EUR INCUMB'!D39</f>
        <v>13.860323858751276</v>
      </c>
      <c r="M11" s="529">
        <f>'W.EUR INCUMB'!E39</f>
        <v>12.09622383745986</v>
      </c>
      <c r="N11" s="529">
        <f>'W.EUR INCUMB'!F39</f>
        <v>10.876080155020103</v>
      </c>
      <c r="O11" s="529">
        <f>'W.EUR INCUMB'!G39</f>
        <v>9.7993857809910292</v>
      </c>
      <c r="P11" s="279">
        <f>'W.EUR INCUMB'!H39</f>
        <v>8.864945159447446E-2</v>
      </c>
      <c r="S11" s="88"/>
      <c r="T11" s="42"/>
      <c r="U11" s="42"/>
      <c r="V11" s="42"/>
      <c r="W11" s="288"/>
      <c r="X11" s="288"/>
      <c r="Y11" s="288"/>
      <c r="Z11" s="288"/>
      <c r="AA11" s="42"/>
    </row>
    <row r="12" spans="2:44">
      <c r="B12" s="5" t="s">
        <v>24</v>
      </c>
      <c r="C12" s="249"/>
      <c r="D12" s="533">
        <v>56562.9654300197</v>
      </c>
      <c r="E12" s="533">
        <v>47086.867266071597</v>
      </c>
      <c r="F12" s="533">
        <v>46752.861962727387</v>
      </c>
      <c r="G12" s="533">
        <v>46667.334809028689</v>
      </c>
      <c r="H12" s="247"/>
      <c r="I12" s="247"/>
      <c r="J12" s="5" t="s">
        <v>466</v>
      </c>
      <c r="L12" s="529">
        <f>'W.EUR INCUMB'!D40</f>
        <v>18.773170831659439</v>
      </c>
      <c r="M12" s="529">
        <f>'W.EUR INCUMB'!E40</f>
        <v>16.316100899802951</v>
      </c>
      <c r="N12" s="529">
        <f>'W.EUR INCUMB'!F40</f>
        <v>14.678691432593167</v>
      </c>
      <c r="O12" s="529">
        <f>'W.EUR INCUMB'!G40</f>
        <v>13.250660214807615</v>
      </c>
      <c r="P12" s="279">
        <f>'W.EUR INCUMB'!H40</f>
        <v>8.9255902689365119E-2</v>
      </c>
      <c r="S12" s="88"/>
      <c r="T12" s="42"/>
      <c r="U12" s="42"/>
      <c r="V12" s="42"/>
      <c r="W12" s="288"/>
      <c r="X12" s="288"/>
      <c r="Y12" s="288"/>
      <c r="Z12" s="288"/>
      <c r="AA12" s="42"/>
    </row>
    <row r="13" spans="2:44">
      <c r="B13" s="5" t="s">
        <v>529</v>
      </c>
      <c r="C13" s="257"/>
      <c r="D13" s="533">
        <v>43796.009476227424</v>
      </c>
      <c r="E13" s="533">
        <v>43796.009476227424</v>
      </c>
      <c r="F13" s="533">
        <v>43796.009476227424</v>
      </c>
      <c r="G13" s="533">
        <v>43796.009476227424</v>
      </c>
      <c r="H13" s="247"/>
      <c r="I13" s="247"/>
      <c r="J13" s="5" t="s">
        <v>530</v>
      </c>
      <c r="L13" s="529">
        <f>'W.EUR INCUMB'!D41</f>
        <v>1.4554049615742648</v>
      </c>
      <c r="M13" s="529">
        <f>'W.EUR INCUMB'!E41</f>
        <v>1.3652506578772214</v>
      </c>
      <c r="N13" s="529">
        <f>'W.EUR INCUMB'!F41</f>
        <v>1.2968813123150413</v>
      </c>
      <c r="O13" s="529">
        <f>'W.EUR INCUMB'!G41</f>
        <v>1.2281427713802577</v>
      </c>
      <c r="P13" s="279">
        <f>'W.EUR INCUMB'!H41</f>
        <v>2.6301307293472354E-2</v>
      </c>
      <c r="S13" s="88"/>
      <c r="T13" s="42"/>
      <c r="U13" s="42"/>
      <c r="V13" s="42"/>
      <c r="W13" s="42"/>
      <c r="X13" s="42"/>
      <c r="Y13" s="42"/>
      <c r="Z13" s="42"/>
      <c r="AA13" s="42"/>
    </row>
    <row r="14" spans="2:44">
      <c r="B14" s="5" t="s">
        <v>532</v>
      </c>
      <c r="C14" s="257"/>
      <c r="D14" s="612">
        <f>TSONSOP!R48</f>
        <v>2450</v>
      </c>
      <c r="E14" s="533">
        <f t="shared" ref="E14:G15" si="2">D14</f>
        <v>2450</v>
      </c>
      <c r="F14" s="533">
        <f t="shared" si="2"/>
        <v>2450</v>
      </c>
      <c r="G14" s="533">
        <f t="shared" si="2"/>
        <v>2450</v>
      </c>
      <c r="H14" s="247"/>
      <c r="I14" s="247"/>
      <c r="J14" s="5" t="s">
        <v>593</v>
      </c>
      <c r="L14" s="529">
        <f>'W.EUR INCUMB'!D42</f>
        <v>3.3234793761102739</v>
      </c>
      <c r="M14" s="529">
        <f>'W.EUR INCUMB'!E42</f>
        <v>3.2424169171692641</v>
      </c>
      <c r="N14" s="529">
        <f>'W.EUR INCUMB'!F42</f>
        <v>3.1662515332190617</v>
      </c>
      <c r="O14" s="529">
        <f>'W.EUR INCUMB'!G42</f>
        <v>3.0630241710617754</v>
      </c>
      <c r="P14" s="279">
        <f>'W.EUR INCUMB'!H42</f>
        <v>-3.4232783193558491E-3</v>
      </c>
      <c r="S14" s="88"/>
      <c r="T14" s="42"/>
      <c r="U14" s="42"/>
      <c r="V14" s="42"/>
      <c r="W14" s="42"/>
      <c r="X14" s="42"/>
      <c r="Y14" s="42"/>
      <c r="Z14" s="42"/>
      <c r="AA14" s="42"/>
    </row>
    <row r="15" spans="2:44">
      <c r="B15" s="5" t="s">
        <v>531</v>
      </c>
      <c r="C15" s="274"/>
      <c r="D15" s="612">
        <f>TSONSOP!T42</f>
        <v>19243.766458906182</v>
      </c>
      <c r="E15" s="533">
        <f t="shared" si="2"/>
        <v>19243.766458906182</v>
      </c>
      <c r="F15" s="533">
        <f t="shared" si="2"/>
        <v>19243.766458906182</v>
      </c>
      <c r="G15" s="533">
        <f t="shared" si="2"/>
        <v>19243.766458906182</v>
      </c>
      <c r="H15" s="247"/>
      <c r="I15" s="247"/>
      <c r="J15" s="5" t="s">
        <v>475</v>
      </c>
      <c r="L15" s="529">
        <f>'W.EUR INCUMB'!D43</f>
        <v>15.36919487731438</v>
      </c>
      <c r="M15" s="529">
        <f>'W.EUR INCUMB'!E43</f>
        <v>13.900480990887658</v>
      </c>
      <c r="N15" s="529">
        <f>'W.EUR INCUMB'!F43</f>
        <v>11.808036199618913</v>
      </c>
      <c r="O15" s="529">
        <f>'W.EUR INCUMB'!G43</f>
        <v>10.77079458313478</v>
      </c>
      <c r="P15" s="279">
        <f>'W.EUR INCUMB'!H43</f>
        <v>0.11736524628436351</v>
      </c>
      <c r="S15" s="88"/>
      <c r="T15" s="42"/>
      <c r="U15" s="42"/>
      <c r="V15" s="42"/>
      <c r="W15" s="42"/>
      <c r="X15" s="42"/>
      <c r="Y15" s="42"/>
      <c r="Z15" s="42"/>
      <c r="AA15" s="42"/>
    </row>
    <row r="16" spans="2:44">
      <c r="B16" s="5" t="s">
        <v>534</v>
      </c>
      <c r="C16" s="257"/>
      <c r="D16" s="533">
        <v>0</v>
      </c>
      <c r="E16" s="533">
        <v>7864.2185719999998</v>
      </c>
      <c r="F16" s="533">
        <v>15728.437144</v>
      </c>
      <c r="G16" s="533">
        <v>23789.261180299996</v>
      </c>
      <c r="H16" s="247"/>
      <c r="I16" s="247"/>
      <c r="J16" s="5" t="s">
        <v>533</v>
      </c>
      <c r="L16" s="529">
        <f>'W.EUR INCUMB'!D44</f>
        <v>13.849445280082518</v>
      </c>
      <c r="M16" s="529">
        <f>'W.EUR INCUMB'!E44</f>
        <v>12.437286696089576</v>
      </c>
      <c r="N16" s="529">
        <f>'W.EUR INCUMB'!F44</f>
        <v>11.380437598490861</v>
      </c>
      <c r="O16" s="529">
        <f>'W.EUR INCUMB'!G44</f>
        <v>10.478743141097034</v>
      </c>
      <c r="P16" s="279">
        <f>'W.EUR INCUMB'!H44</f>
        <v>9.2323853476973694E-2</v>
      </c>
      <c r="S16" s="88"/>
      <c r="T16" s="42"/>
      <c r="U16" s="42"/>
      <c r="V16" s="42"/>
      <c r="W16" s="42"/>
      <c r="X16" s="42"/>
      <c r="Y16" s="42"/>
      <c r="Z16" s="42"/>
      <c r="AA16" s="42"/>
    </row>
    <row r="17" spans="2:27">
      <c r="B17" s="5" t="s">
        <v>6</v>
      </c>
      <c r="C17" s="257"/>
      <c r="D17" s="533">
        <v>1670.8733276814344</v>
      </c>
      <c r="E17" s="533">
        <v>1670.8733276814344</v>
      </c>
      <c r="F17" s="533">
        <v>1670.8733276814344</v>
      </c>
      <c r="G17" s="533">
        <v>1670.8733276814344</v>
      </c>
      <c r="H17" s="247"/>
      <c r="I17" s="247"/>
      <c r="J17" s="5" t="s">
        <v>580</v>
      </c>
      <c r="L17" s="248">
        <f>'W.EUR INCUMB'!D45</f>
        <v>4.9929768285127372E-2</v>
      </c>
      <c r="M17" s="248">
        <f>'W.EUR INCUMB'!E45</f>
        <v>5.2540326500089954E-2</v>
      </c>
      <c r="N17" s="248">
        <f>'W.EUR INCUMB'!F45</f>
        <v>5.4852141769022943E-2</v>
      </c>
      <c r="O17" s="248">
        <f>'W.EUR INCUMB'!G45</f>
        <v>5.8322596586761276E-2</v>
      </c>
      <c r="P17" s="279">
        <f>'W.EUR INCUMB'!H45</f>
        <v>4.8261067786518064E-2</v>
      </c>
      <c r="S17" s="88"/>
      <c r="T17" s="42"/>
      <c r="U17" s="42"/>
      <c r="V17" s="42"/>
      <c r="W17" s="42"/>
      <c r="X17" s="42"/>
      <c r="Y17" s="42"/>
      <c r="Z17" s="42"/>
      <c r="AA17" s="42"/>
    </row>
    <row r="18" spans="2:27" ht="12.6" thickBot="1">
      <c r="B18" s="41" t="s">
        <v>583</v>
      </c>
      <c r="C18" s="249"/>
      <c r="D18" s="534">
        <f>D11+D12+D13-D14+D15-D16-D17</f>
        <v>219250.23209501186</v>
      </c>
      <c r="E18" s="534">
        <f t="shared" ref="E18:G18" si="3">E11+E12+E13-E14+E15-E16-E17</f>
        <v>201909.91535906374</v>
      </c>
      <c r="F18" s="534">
        <f t="shared" si="3"/>
        <v>193711.69148371957</v>
      </c>
      <c r="G18" s="534">
        <f t="shared" si="3"/>
        <v>185565.34029372083</v>
      </c>
      <c r="H18" s="276">
        <f>IF(D18=0,"nm",IF(G18=0,"nm",(G18/D18)^(1/3)-1))</f>
        <v>-5.4084663602545269E-2</v>
      </c>
      <c r="I18" s="254"/>
      <c r="J18" s="5" t="s">
        <v>36</v>
      </c>
      <c r="L18" s="248">
        <f>'W.EUR INCUMB'!D46</f>
        <v>4.9929768285127372E-2</v>
      </c>
      <c r="M18" s="248">
        <f>'W.EUR INCUMB'!E46</f>
        <v>5.2540326500089954E-2</v>
      </c>
      <c r="N18" s="248">
        <f>'W.EUR INCUMB'!F46</f>
        <v>5.4852141769022943E-2</v>
      </c>
      <c r="O18" s="248">
        <f>'W.EUR INCUMB'!G46</f>
        <v>5.8322596586761276E-2</v>
      </c>
      <c r="P18" s="279">
        <f>'W.EUR INCUMB'!H46</f>
        <v>4.8261067786518064E-2</v>
      </c>
      <c r="S18" s="88"/>
      <c r="T18" s="42"/>
      <c r="U18" s="42"/>
      <c r="V18" s="42"/>
      <c r="W18" s="42"/>
      <c r="X18" s="42"/>
      <c r="Y18" s="42"/>
      <c r="Z18" s="42"/>
      <c r="AA18" s="42"/>
    </row>
    <row r="19" spans="2:27" ht="12.6" thickTop="1">
      <c r="B19" s="41"/>
      <c r="C19" s="249"/>
      <c r="D19" s="229"/>
      <c r="E19" s="229"/>
      <c r="F19" s="229"/>
      <c r="G19" s="229"/>
      <c r="H19" s="276"/>
      <c r="I19" s="254"/>
      <c r="J19" s="5" t="s">
        <v>581</v>
      </c>
      <c r="L19" s="248">
        <f>'W.EUR INCUMB'!D47</f>
        <v>6.5065217012508891E-2</v>
      </c>
      <c r="M19" s="248">
        <f>'W.EUR INCUMB'!E47</f>
        <v>7.1939956657294191E-2</v>
      </c>
      <c r="N19" s="248">
        <f>'W.EUR INCUMB'!F47</f>
        <v>8.4688087256395234E-2</v>
      </c>
      <c r="O19" s="248">
        <f>'W.EUR INCUMB'!G47</f>
        <v>9.2843660909272999E-2</v>
      </c>
      <c r="P19" s="279">
        <f>'W.EUR INCUMB'!H47</f>
        <v>0.11736524628436351</v>
      </c>
      <c r="S19" s="88"/>
      <c r="T19" s="42"/>
      <c r="U19" s="42"/>
      <c r="V19" s="42"/>
      <c r="W19" s="42"/>
      <c r="X19" s="42"/>
      <c r="Y19" s="42"/>
      <c r="Z19" s="42"/>
      <c r="AA19" s="42"/>
    </row>
    <row r="20" spans="2:27">
      <c r="H20" s="277"/>
      <c r="I20" s="17"/>
      <c r="J20" s="5" t="s">
        <v>604</v>
      </c>
      <c r="L20" s="305">
        <f>'W.EUR INCUMB'!D48</f>
        <v>0.69753103513272863</v>
      </c>
      <c r="M20" s="305">
        <f>'W.EUR INCUMB'!E48</f>
        <v>0.66278263399293669</v>
      </c>
      <c r="N20" s="305">
        <f>'W.EUR INCUMB'!F48</f>
        <v>0.5878425682239502</v>
      </c>
      <c r="O20" s="305">
        <f>'W.EUR INCUMB'!G48</f>
        <v>0.5759521808171526</v>
      </c>
      <c r="P20" s="279" t="str">
        <f>'W.EUR INCUMB'!H48</f>
        <v>nm</v>
      </c>
      <c r="S20" s="88"/>
      <c r="T20" s="42"/>
      <c r="U20" s="42"/>
      <c r="V20" s="42"/>
      <c r="W20" s="42"/>
      <c r="X20" s="42"/>
      <c r="Y20" s="42"/>
      <c r="Z20" s="42"/>
      <c r="AA20" s="42"/>
    </row>
    <row r="21" spans="2:27" ht="12.6" thickBot="1">
      <c r="B21" s="306" t="s">
        <v>957</v>
      </c>
      <c r="C21" s="265"/>
      <c r="D21" s="265" t="str">
        <f>D5</f>
        <v>2023E</v>
      </c>
      <c r="E21" s="265" t="str">
        <f t="shared" ref="E21:H21" si="4">E5</f>
        <v>2024E</v>
      </c>
      <c r="F21" s="265" t="str">
        <f t="shared" si="4"/>
        <v>2025E</v>
      </c>
      <c r="G21" s="265" t="str">
        <f t="shared" si="4"/>
        <v>2026E</v>
      </c>
      <c r="H21" s="265" t="str">
        <f t="shared" si="4"/>
        <v>23E-26E</v>
      </c>
      <c r="I21" s="49"/>
      <c r="J21" s="41"/>
      <c r="L21" s="250"/>
      <c r="M21" s="250"/>
      <c r="N21" s="250"/>
      <c r="O21" s="250"/>
      <c r="P21" s="279"/>
      <c r="S21" s="88"/>
      <c r="T21" s="42"/>
      <c r="U21" s="42"/>
      <c r="V21" s="42"/>
      <c r="W21" s="42"/>
      <c r="X21" s="42"/>
      <c r="Y21" s="42"/>
      <c r="Z21" s="42"/>
      <c r="AA21" s="42"/>
    </row>
    <row r="22" spans="2:27" ht="12.6" thickTop="1">
      <c r="B22" s="5"/>
      <c r="C22" s="257"/>
      <c r="D22" s="17"/>
      <c r="E22" s="17"/>
      <c r="F22" s="17"/>
      <c r="G22" s="17"/>
      <c r="H22" s="17"/>
      <c r="I22" s="17"/>
      <c r="P22" s="277"/>
      <c r="S22" s="88"/>
      <c r="T22" s="42"/>
      <c r="U22" s="42"/>
      <c r="V22" s="42"/>
      <c r="W22" s="42"/>
      <c r="X22" s="42"/>
      <c r="Y22" s="42"/>
      <c r="Z22" s="42"/>
      <c r="AA22" s="42"/>
    </row>
    <row r="23" spans="2:27" ht="12.6" thickBot="1">
      <c r="B23" s="5" t="s">
        <v>584</v>
      </c>
      <c r="C23" s="548">
        <v>89436.754835638916</v>
      </c>
      <c r="D23" s="540">
        <v>90606.739677952079</v>
      </c>
      <c r="E23" s="540">
        <v>91372.220986461762</v>
      </c>
      <c r="F23" s="540">
        <v>92179.824135647141</v>
      </c>
      <c r="G23" s="540">
        <v>93031.858735476417</v>
      </c>
      <c r="H23" s="279">
        <f t="shared" ref="H23:H32" si="5">IF(D23=0,"nm",IF(G23=0,"nm",(G23/D23)^(1/3)-1))</f>
        <v>8.8433406164107886E-3</v>
      </c>
      <c r="I23" s="247"/>
      <c r="J23" s="306" t="s">
        <v>9</v>
      </c>
      <c r="K23" s="306"/>
      <c r="L23" s="265" t="str">
        <f>D21</f>
        <v>2023E</v>
      </c>
      <c r="M23" s="265" t="str">
        <f t="shared" ref="M23:P23" si="6">E21</f>
        <v>2024E</v>
      </c>
      <c r="N23" s="265" t="str">
        <f t="shared" si="6"/>
        <v>2025E</v>
      </c>
      <c r="O23" s="265" t="str">
        <f t="shared" si="6"/>
        <v>2026E</v>
      </c>
      <c r="P23" s="265" t="str">
        <f t="shared" si="6"/>
        <v>23E-26E</v>
      </c>
      <c r="S23" s="88"/>
      <c r="T23" s="42"/>
      <c r="U23" s="42"/>
      <c r="V23" s="42"/>
      <c r="W23" s="42"/>
      <c r="X23" s="42"/>
      <c r="Y23" s="42"/>
      <c r="Z23" s="42"/>
      <c r="AA23" s="42"/>
    </row>
    <row r="24" spans="2:27" ht="12.6" thickTop="1">
      <c r="B24" s="5" t="s">
        <v>483</v>
      </c>
      <c r="C24" s="549">
        <v>26729.273221650805</v>
      </c>
      <c r="D24" s="540">
        <v>27672.091366201086</v>
      </c>
      <c r="E24" s="540">
        <v>28963.881663448057</v>
      </c>
      <c r="F24" s="540">
        <v>29593.192657125332</v>
      </c>
      <c r="G24" s="540">
        <v>30028.774189254629</v>
      </c>
      <c r="H24" s="279">
        <f t="shared" si="5"/>
        <v>2.7618404301642974E-2</v>
      </c>
      <c r="I24" s="249"/>
      <c r="J24" s="17"/>
      <c r="K24" s="17"/>
      <c r="L24" s="17"/>
      <c r="M24" s="17"/>
      <c r="N24" s="17"/>
      <c r="O24" s="248"/>
      <c r="S24" s="88"/>
      <c r="T24" s="42"/>
      <c r="U24" s="42"/>
      <c r="V24" s="42"/>
      <c r="W24" s="42" t="s">
        <v>1039</v>
      </c>
      <c r="X24" s="42" t="s">
        <v>250</v>
      </c>
      <c r="Y24" s="42"/>
      <c r="Z24" s="42"/>
      <c r="AA24" s="42"/>
    </row>
    <row r="25" spans="2:27">
      <c r="B25" s="5" t="s">
        <v>183</v>
      </c>
      <c r="C25" s="548">
        <v>11462.929616490805</v>
      </c>
      <c r="D25" s="540">
        <v>14119.572812850045</v>
      </c>
      <c r="E25" s="540">
        <v>15345.348026009036</v>
      </c>
      <c r="F25" s="540">
        <v>15941.201169572621</v>
      </c>
      <c r="G25" s="540">
        <v>16346.385045005201</v>
      </c>
      <c r="H25" s="279">
        <f t="shared" si="5"/>
        <v>5.0026006954597024E-2</v>
      </c>
      <c r="I25" s="248"/>
      <c r="J25" s="247" t="s">
        <v>10</v>
      </c>
      <c r="K25" s="247"/>
      <c r="L25" s="321">
        <v>36895</v>
      </c>
      <c r="M25" s="321">
        <v>36895</v>
      </c>
      <c r="N25" s="321">
        <v>36895</v>
      </c>
      <c r="O25" s="321">
        <v>36895</v>
      </c>
      <c r="P25" s="279">
        <f>IF(L25=0,"nm",IF(O25=0,"nm",(O25/L25)^(1/3)-1))</f>
        <v>0</v>
      </c>
      <c r="S25" s="88"/>
      <c r="T25" s="42"/>
      <c r="U25" s="42"/>
      <c r="V25" s="147" t="s">
        <v>273</v>
      </c>
      <c r="W25" s="288">
        <f>D37/L9</f>
        <v>1.1089640616528473</v>
      </c>
      <c r="X25" s="288">
        <v>1</v>
      </c>
      <c r="Y25" s="42"/>
      <c r="Z25" s="42"/>
      <c r="AA25" s="42"/>
    </row>
    <row r="26" spans="2:27">
      <c r="B26" s="5" t="s">
        <v>586</v>
      </c>
      <c r="C26" s="548">
        <v>8710.9757017411321</v>
      </c>
      <c r="D26" s="540">
        <v>10307.288153380532</v>
      </c>
      <c r="E26" s="540">
        <v>11969.37146028705</v>
      </c>
      <c r="F26" s="540">
        <v>12434.136912266646</v>
      </c>
      <c r="G26" s="540">
        <v>12750.180335104058</v>
      </c>
      <c r="H26" s="279">
        <f t="shared" si="5"/>
        <v>7.3471791547286225E-2</v>
      </c>
      <c r="I26" s="249"/>
      <c r="J26" s="249" t="s">
        <v>11</v>
      </c>
      <c r="K26" s="249"/>
      <c r="L26" s="281">
        <f>D11+L25</f>
        <v>140663.36405754002</v>
      </c>
      <c r="M26" s="281">
        <f>E11+M25</f>
        <v>140663.36405754002</v>
      </c>
      <c r="N26" s="281">
        <f>F11+N25</f>
        <v>140663.36405754002</v>
      </c>
      <c r="O26" s="281">
        <f>G11+O25</f>
        <v>140663.36405754002</v>
      </c>
      <c r="P26" s="279">
        <f>IF(L26=0,"nm",IF(O26=0,"nm",(O26/L26)^(1/3)-1))</f>
        <v>0</v>
      </c>
      <c r="Q26" s="5"/>
      <c r="S26" s="88"/>
      <c r="T26" s="42"/>
      <c r="U26" s="42"/>
      <c r="V26" s="147" t="s">
        <v>184</v>
      </c>
      <c r="W26" s="288">
        <f t="shared" ref="W26:W33" si="7">D38/L10</f>
        <v>1.190352807432246</v>
      </c>
      <c r="X26" s="288">
        <v>1</v>
      </c>
      <c r="Y26" s="42"/>
      <c r="Z26" s="42"/>
      <c r="AA26" s="42"/>
    </row>
    <row r="27" spans="2:27">
      <c r="B27" s="5" t="s">
        <v>587</v>
      </c>
      <c r="C27" s="549">
        <v>118877.533</v>
      </c>
      <c r="D27" s="540">
        <v>118856.68810443835</v>
      </c>
      <c r="E27" s="540">
        <v>108190.32434044449</v>
      </c>
      <c r="F27" s="540">
        <v>107731.03386841755</v>
      </c>
      <c r="G27" s="540">
        <v>108798.43679808459</v>
      </c>
      <c r="H27" s="279">
        <f t="shared" si="5"/>
        <v>-2.9043715697615435E-2</v>
      </c>
      <c r="I27" s="249"/>
      <c r="J27" s="248"/>
      <c r="K27" s="248"/>
      <c r="L27" s="248"/>
      <c r="M27" s="248"/>
      <c r="N27" s="248"/>
      <c r="O27" s="248"/>
      <c r="Q27" s="41"/>
      <c r="S27" s="88"/>
      <c r="T27" s="42"/>
      <c r="U27" s="42"/>
      <c r="V27" s="147" t="s">
        <v>185</v>
      </c>
      <c r="W27" s="288">
        <f t="shared" si="7"/>
        <v>1.1203278350667516</v>
      </c>
      <c r="X27" s="288">
        <v>1</v>
      </c>
      <c r="Y27" s="42"/>
      <c r="Z27" s="42"/>
      <c r="AA27" s="42"/>
    </row>
    <row r="28" spans="2:27" ht="12.6" thickBot="1">
      <c r="B28" s="5" t="s">
        <v>592</v>
      </c>
      <c r="C28" s="548">
        <v>74824</v>
      </c>
      <c r="D28" s="540">
        <v>70447.21847385267</v>
      </c>
      <c r="E28" s="540">
        <v>55966.421864430653</v>
      </c>
      <c r="F28" s="540">
        <v>51648.748853162455</v>
      </c>
      <c r="G28" s="540">
        <v>48810.192183165462</v>
      </c>
      <c r="H28" s="279">
        <f t="shared" si="5"/>
        <v>-0.1151243945578766</v>
      </c>
      <c r="I28" s="248"/>
      <c r="J28" s="306" t="s">
        <v>1362</v>
      </c>
      <c r="K28" s="306"/>
      <c r="L28" s="306"/>
      <c r="M28" s="306"/>
      <c r="N28" s="266"/>
      <c r="O28" s="266"/>
      <c r="P28" s="266"/>
      <c r="Q28" s="5"/>
      <c r="S28" s="88"/>
      <c r="T28" s="42"/>
      <c r="U28" s="42"/>
      <c r="V28" s="147" t="s">
        <v>466</v>
      </c>
      <c r="W28" s="288">
        <f t="shared" si="7"/>
        <v>1.1330733164358442</v>
      </c>
      <c r="X28" s="288">
        <v>1</v>
      </c>
      <c r="Y28" s="42"/>
      <c r="Z28" s="42"/>
      <c r="AA28" s="42"/>
    </row>
    <row r="29" spans="2:27" ht="12.6" thickTop="1">
      <c r="B29" s="5" t="s">
        <v>588</v>
      </c>
      <c r="C29" s="548">
        <v>36499.880803406311</v>
      </c>
      <c r="D29" s="540">
        <v>8542.3261173806823</v>
      </c>
      <c r="E29" s="540">
        <v>8979.3515509445388</v>
      </c>
      <c r="F29" s="540">
        <v>9502.29874533564</v>
      </c>
      <c r="G29" s="540">
        <v>9430.9697189442377</v>
      </c>
      <c r="H29" s="279">
        <f t="shared" si="5"/>
        <v>3.3538679303158458E-2</v>
      </c>
      <c r="I29" s="252"/>
      <c r="J29" s="249"/>
      <c r="K29" s="249"/>
      <c r="L29" s="249"/>
      <c r="M29" s="249"/>
      <c r="N29" s="249"/>
      <c r="O29" s="251"/>
      <c r="Q29" s="5"/>
      <c r="S29" s="88"/>
      <c r="T29" s="42"/>
      <c r="U29" s="42"/>
      <c r="V29" s="147" t="s">
        <v>530</v>
      </c>
      <c r="W29" s="288">
        <f t="shared" si="7"/>
        <v>1.2674551080186045</v>
      </c>
      <c r="X29" s="288">
        <v>1</v>
      </c>
      <c r="Y29" s="42"/>
      <c r="Z29" s="42"/>
      <c r="AA29" s="42"/>
    </row>
    <row r="30" spans="2:27">
      <c r="B30" s="5" t="s">
        <v>589</v>
      </c>
      <c r="C30" s="549">
        <v>31830.380408566303</v>
      </c>
      <c r="D30" s="540">
        <v>1731.3001572386331</v>
      </c>
      <c r="E30" s="540">
        <v>3133.0212827542409</v>
      </c>
      <c r="F30" s="540">
        <v>4140.2231803332625</v>
      </c>
      <c r="G30" s="540">
        <v>5557.1297922220874</v>
      </c>
      <c r="H30" s="279">
        <f t="shared" si="5"/>
        <v>0.47511560468193936</v>
      </c>
      <c r="I30" s="254"/>
      <c r="J30" s="248"/>
      <c r="K30" s="248"/>
      <c r="L30" s="248"/>
      <c r="M30" s="248"/>
      <c r="N30" s="248"/>
      <c r="O30" s="5"/>
      <c r="Q30" s="5"/>
      <c r="S30" s="88"/>
      <c r="T30" s="42"/>
      <c r="U30" s="42"/>
      <c r="V30" s="147" t="s">
        <v>593</v>
      </c>
      <c r="W30" s="288">
        <f t="shared" si="7"/>
        <v>0.93644704489147146</v>
      </c>
      <c r="X30" s="288">
        <v>1</v>
      </c>
      <c r="Y30" s="42"/>
      <c r="Z30" s="42"/>
      <c r="AA30" s="42"/>
    </row>
    <row r="31" spans="2:27">
      <c r="B31" s="5" t="s">
        <v>590</v>
      </c>
      <c r="C31" s="549">
        <v>7864.2185719999998</v>
      </c>
      <c r="D31" s="540">
        <v>7864.2185719999998</v>
      </c>
      <c r="E31" s="540">
        <v>7864.2185719999998</v>
      </c>
      <c r="F31" s="540">
        <v>8060.8240362999986</v>
      </c>
      <c r="G31" s="540">
        <v>8262.3446372074995</v>
      </c>
      <c r="H31" s="279">
        <f t="shared" si="5"/>
        <v>1.6597982758808305E-2</v>
      </c>
      <c r="I31" s="254"/>
      <c r="J31" s="252"/>
      <c r="K31" s="252"/>
      <c r="L31" s="252"/>
      <c r="M31" s="252"/>
      <c r="N31" s="252"/>
      <c r="O31" s="5"/>
      <c r="Q31" s="5"/>
      <c r="S31" s="88"/>
      <c r="T31" s="42"/>
      <c r="U31" s="42"/>
      <c r="V31" s="147" t="s">
        <v>475</v>
      </c>
      <c r="W31" s="288">
        <f t="shared" si="7"/>
        <v>1.0714051632249946</v>
      </c>
      <c r="X31" s="288">
        <v>1</v>
      </c>
      <c r="Y31" s="42"/>
      <c r="Z31" s="42"/>
      <c r="AA31" s="42"/>
    </row>
    <row r="32" spans="2:27">
      <c r="B32" s="5" t="s">
        <v>606</v>
      </c>
      <c r="C32" s="550">
        <v>0</v>
      </c>
      <c r="D32" s="540">
        <v>0</v>
      </c>
      <c r="E32" s="540">
        <v>0</v>
      </c>
      <c r="F32" s="540">
        <v>0</v>
      </c>
      <c r="G32" s="540">
        <v>0</v>
      </c>
      <c r="H32" s="279" t="str">
        <f t="shared" si="5"/>
        <v>nm</v>
      </c>
      <c r="I32" s="254"/>
      <c r="J32" s="254"/>
      <c r="K32" s="254"/>
      <c r="L32" s="254"/>
      <c r="M32" s="254"/>
      <c r="N32" s="254"/>
      <c r="O32" s="251"/>
      <c r="Q32" s="5"/>
      <c r="S32" s="88"/>
      <c r="T32" s="42"/>
      <c r="U32" s="42"/>
      <c r="V32" s="147" t="s">
        <v>533</v>
      </c>
      <c r="W32" s="288">
        <f t="shared" si="7"/>
        <v>4.3277306457458886</v>
      </c>
      <c r="X32" s="288">
        <v>1</v>
      </c>
      <c r="Y32" s="42"/>
      <c r="Z32" s="42"/>
      <c r="AA32" s="42"/>
    </row>
    <row r="33" spans="2:27">
      <c r="B33" s="5" t="s">
        <v>5</v>
      </c>
      <c r="C33" s="549">
        <v>3340.3538254199989</v>
      </c>
      <c r="D33" s="540">
        <v>4482.3964216367149</v>
      </c>
      <c r="E33" s="540">
        <v>4927.4154653486848</v>
      </c>
      <c r="F33" s="540">
        <v>4630.061126762982</v>
      </c>
      <c r="G33" s="540">
        <v>4620.0524468700078</v>
      </c>
      <c r="H33" s="279">
        <f>IF(D33=0,"nm",IF(G33=0,"nm",(G33/D33)^(1/3)-1))</f>
        <v>1.0133748224323558E-2</v>
      </c>
      <c r="I33" s="5"/>
      <c r="J33" s="254"/>
      <c r="K33" s="254"/>
      <c r="L33" s="254"/>
      <c r="M33" s="254"/>
      <c r="N33" s="254"/>
      <c r="O33" s="251"/>
      <c r="Q33" s="5"/>
      <c r="S33" s="88"/>
      <c r="T33" s="42"/>
      <c r="U33" s="42"/>
      <c r="V33" s="147" t="s">
        <v>580</v>
      </c>
      <c r="W33" s="288">
        <f t="shared" si="7"/>
        <v>1.5178576886247823</v>
      </c>
      <c r="X33" s="288">
        <v>1</v>
      </c>
      <c r="Y33" s="42"/>
      <c r="Z33" s="42"/>
      <c r="AA33" s="42"/>
    </row>
    <row r="34" spans="2:27">
      <c r="H34" s="277"/>
      <c r="I34" s="49"/>
      <c r="J34" s="254"/>
      <c r="K34" s="254"/>
      <c r="L34" s="254"/>
      <c r="M34" s="254"/>
      <c r="N34" s="254"/>
      <c r="O34" s="251"/>
      <c r="Q34" s="5"/>
      <c r="S34" s="88"/>
      <c r="T34" s="42"/>
      <c r="U34" s="42"/>
      <c r="V34" s="147" t="s">
        <v>581</v>
      </c>
      <c r="W34" s="288">
        <f>D47/L19</f>
        <v>0.93335372492506874</v>
      </c>
      <c r="X34" s="288">
        <v>1</v>
      </c>
      <c r="Y34" s="288"/>
      <c r="Z34" s="288"/>
      <c r="AA34" s="42"/>
    </row>
    <row r="35" spans="2:27" ht="12.6" thickBot="1">
      <c r="B35" s="306" t="s">
        <v>1040</v>
      </c>
      <c r="C35" s="265"/>
      <c r="D35" s="265" t="str">
        <f>D5</f>
        <v>2023E</v>
      </c>
      <c r="E35" s="265" t="str">
        <f t="shared" ref="E35:H35" si="8">E5</f>
        <v>2024E</v>
      </c>
      <c r="F35" s="265" t="str">
        <f t="shared" si="8"/>
        <v>2025E</v>
      </c>
      <c r="G35" s="265" t="str">
        <f t="shared" si="8"/>
        <v>2026E</v>
      </c>
      <c r="H35" s="265" t="str">
        <f t="shared" si="8"/>
        <v>23E-26E</v>
      </c>
      <c r="I35" s="254"/>
      <c r="J35" s="5"/>
      <c r="K35" s="5"/>
      <c r="L35" s="5"/>
      <c r="M35" s="5"/>
      <c r="N35" s="5"/>
      <c r="O35" s="5"/>
      <c r="Q35" s="5"/>
      <c r="S35" s="88"/>
      <c r="T35" s="42"/>
      <c r="U35" s="42"/>
      <c r="V35" s="42"/>
      <c r="W35" s="42"/>
      <c r="X35" s="42"/>
      <c r="Y35" s="288"/>
      <c r="Z35" s="288"/>
      <c r="AA35" s="42"/>
    </row>
    <row r="36" spans="2:27" ht="12.6" thickTop="1">
      <c r="B36" s="41"/>
      <c r="C36" s="249"/>
      <c r="D36" s="254"/>
      <c r="E36" s="254"/>
      <c r="F36" s="254"/>
      <c r="G36" s="254"/>
      <c r="H36" s="254"/>
      <c r="I36" s="17"/>
      <c r="J36" s="49"/>
      <c r="K36" s="49"/>
      <c r="L36" s="49"/>
      <c r="M36" s="49"/>
      <c r="N36" s="49"/>
      <c r="O36" s="49"/>
      <c r="Q36" s="5"/>
      <c r="S36" s="88"/>
      <c r="T36" s="42"/>
      <c r="U36" s="42"/>
      <c r="V36" s="42"/>
      <c r="W36" s="42"/>
      <c r="X36" s="42"/>
      <c r="Y36" s="288"/>
      <c r="Z36" s="288"/>
      <c r="AA36" s="42"/>
    </row>
    <row r="37" spans="2:27">
      <c r="B37" s="5" t="s">
        <v>273</v>
      </c>
      <c r="C37" s="247"/>
      <c r="D37" s="529">
        <f>D$18/D23</f>
        <v>2.419800479239222</v>
      </c>
      <c r="E37" s="529">
        <f>E$18/E23</f>
        <v>2.2097516420114149</v>
      </c>
      <c r="F37" s="529">
        <f>F$18/F23</f>
        <v>2.1014543399286953</v>
      </c>
      <c r="G37" s="529">
        <f>G$18/G23</f>
        <v>1.9946429407731272</v>
      </c>
      <c r="H37" s="17">
        <f t="shared" ref="H37:H45" si="9">H23</f>
        <v>8.8433406164107886E-3</v>
      </c>
      <c r="I37" s="5"/>
      <c r="J37" s="259"/>
      <c r="K37" s="259"/>
      <c r="L37" s="259"/>
      <c r="M37" s="259"/>
      <c r="N37" s="259"/>
      <c r="O37" s="18"/>
      <c r="Q37" s="5"/>
      <c r="R37" s="5"/>
      <c r="S37" s="42"/>
      <c r="T37" s="42"/>
      <c r="U37" s="42"/>
      <c r="V37" s="42"/>
      <c r="W37" s="42"/>
      <c r="X37" s="42"/>
      <c r="Y37" s="42"/>
      <c r="Z37" s="42"/>
      <c r="AA37" s="42"/>
    </row>
    <row r="38" spans="2:27">
      <c r="B38" s="5" t="s">
        <v>184</v>
      </c>
      <c r="C38" s="247"/>
      <c r="D38" s="529">
        <f>D18/D24</f>
        <v>7.923153663868205</v>
      </c>
      <c r="E38" s="529">
        <f t="shared" ref="E38:G38" si="10">E18/E24</f>
        <v>6.9710930912230156</v>
      </c>
      <c r="F38" s="529">
        <f t="shared" si="10"/>
        <v>6.5458192945964022</v>
      </c>
      <c r="G38" s="529">
        <f t="shared" si="10"/>
        <v>6.1795842588913521</v>
      </c>
      <c r="H38" s="17">
        <f t="shared" si="9"/>
        <v>2.7618404301642974E-2</v>
      </c>
      <c r="I38" s="259"/>
      <c r="J38" s="17"/>
      <c r="K38" s="17"/>
      <c r="L38" s="17"/>
      <c r="M38" s="17"/>
      <c r="N38" s="17"/>
      <c r="O38" s="5"/>
      <c r="Q38" s="5"/>
      <c r="R38" s="5"/>
      <c r="S38" s="42"/>
      <c r="T38" s="42"/>
      <c r="U38" s="42"/>
      <c r="V38" s="42"/>
      <c r="W38" s="42"/>
      <c r="X38" s="42"/>
      <c r="Y38" s="42"/>
      <c r="Z38" s="42"/>
      <c r="AA38" s="42"/>
    </row>
    <row r="39" spans="2:27">
      <c r="B39" s="5" t="s">
        <v>185</v>
      </c>
      <c r="C39" s="247"/>
      <c r="D39" s="529">
        <f>D18/D25</f>
        <v>15.528106621998861</v>
      </c>
      <c r="E39" s="529">
        <f t="shared" ref="E39:G39" si="11">E18/E25</f>
        <v>13.157727997882089</v>
      </c>
      <c r="F39" s="529">
        <f t="shared" si="11"/>
        <v>12.151637095795644</v>
      </c>
      <c r="G39" s="529">
        <f t="shared" si="11"/>
        <v>11.35207201976575</v>
      </c>
      <c r="H39" s="17">
        <f t="shared" si="9"/>
        <v>5.0026006954597024E-2</v>
      </c>
      <c r="I39" s="17"/>
      <c r="J39" s="5"/>
      <c r="K39" s="5"/>
      <c r="L39" s="5"/>
      <c r="M39" s="5"/>
      <c r="N39" s="5"/>
      <c r="O39" s="5"/>
      <c r="Q39" s="5"/>
      <c r="R39" s="5"/>
      <c r="S39" s="42"/>
      <c r="T39" s="42"/>
      <c r="U39" s="42"/>
      <c r="V39" s="42"/>
      <c r="W39" s="42"/>
      <c r="X39" s="42"/>
      <c r="Y39" s="42"/>
      <c r="Z39" s="42"/>
      <c r="AA39" s="42"/>
    </row>
    <row r="40" spans="2:27">
      <c r="B40" s="5" t="s">
        <v>466</v>
      </c>
      <c r="C40" s="247"/>
      <c r="D40" s="529">
        <f>D18/D26</f>
        <v>21.271378934245014</v>
      </c>
      <c r="E40" s="529">
        <f t="shared" ref="E40:G40" si="12">E18/E26</f>
        <v>16.868882048566778</v>
      </c>
      <c r="F40" s="529">
        <f t="shared" si="12"/>
        <v>15.579021917686722</v>
      </c>
      <c r="G40" s="529">
        <f t="shared" si="12"/>
        <v>14.553938486879165</v>
      </c>
      <c r="H40" s="17">
        <f t="shared" si="9"/>
        <v>7.3471791547286225E-2</v>
      </c>
      <c r="I40" s="5"/>
      <c r="J40" s="259"/>
      <c r="K40" s="259"/>
      <c r="L40" s="259"/>
      <c r="M40" s="259"/>
      <c r="N40" s="259"/>
      <c r="O40" s="18"/>
      <c r="Q40" s="5"/>
      <c r="R40" s="5"/>
      <c r="S40" s="42"/>
      <c r="T40" s="42"/>
      <c r="U40" s="42"/>
      <c r="V40" s="42"/>
      <c r="W40" s="288"/>
      <c r="X40" s="288"/>
      <c r="Y40" s="42"/>
      <c r="Z40" s="42"/>
      <c r="AA40" s="42"/>
    </row>
    <row r="41" spans="2:27">
      <c r="B41" s="5" t="s">
        <v>530</v>
      </c>
      <c r="C41" s="247"/>
      <c r="D41" s="529">
        <f>D$18/D27</f>
        <v>1.8446604527829227</v>
      </c>
      <c r="E41" s="529">
        <f>E$18/E27</f>
        <v>1.8662474356182728</v>
      </c>
      <c r="F41" s="529">
        <f>F$18/F27</f>
        <v>1.7981048220545122</v>
      </c>
      <c r="G41" s="529">
        <f>G$18/G27</f>
        <v>1.7055882947850198</v>
      </c>
      <c r="H41" s="17">
        <f t="shared" si="9"/>
        <v>-2.9043715697615435E-2</v>
      </c>
      <c r="I41" s="247"/>
      <c r="J41" s="17"/>
      <c r="K41" s="17"/>
      <c r="L41" s="17"/>
      <c r="M41" s="17"/>
      <c r="N41" s="17"/>
      <c r="O41" s="5"/>
      <c r="Q41" s="5"/>
      <c r="R41" s="5"/>
      <c r="S41" s="42"/>
      <c r="T41" s="42"/>
      <c r="U41" s="42"/>
      <c r="V41" s="42"/>
      <c r="W41" s="288"/>
      <c r="X41" s="288"/>
      <c r="Y41" s="288"/>
      <c r="Z41" s="288"/>
      <c r="AA41" s="42"/>
    </row>
    <row r="42" spans="2:27">
      <c r="B42" s="5" t="s">
        <v>593</v>
      </c>
      <c r="C42" s="247"/>
      <c r="D42" s="529">
        <f>D18/D28</f>
        <v>3.1122624405162171</v>
      </c>
      <c r="E42" s="529">
        <f>E18/E28</f>
        <v>3.6076974127121604</v>
      </c>
      <c r="F42" s="529">
        <f>F18/F28</f>
        <v>3.750559225247498</v>
      </c>
      <c r="G42" s="529">
        <f>G18/G28</f>
        <v>3.801774424435107</v>
      </c>
      <c r="H42" s="17">
        <f t="shared" si="9"/>
        <v>-0.1151243945578766</v>
      </c>
      <c r="I42" s="248"/>
      <c r="J42" s="5"/>
      <c r="K42" s="5"/>
      <c r="L42" s="5"/>
      <c r="M42" s="5"/>
      <c r="N42" s="5"/>
      <c r="O42" s="5"/>
      <c r="Q42" s="5"/>
      <c r="R42" s="5"/>
      <c r="S42" s="42"/>
      <c r="T42" s="42"/>
      <c r="U42" s="42"/>
      <c r="V42" s="42"/>
      <c r="W42" s="288"/>
      <c r="X42" s="288"/>
      <c r="Y42" s="288"/>
      <c r="Z42" s="288"/>
      <c r="AA42" s="42"/>
    </row>
    <row r="43" spans="2:27">
      <c r="B43" s="5" t="s">
        <v>475</v>
      </c>
      <c r="C43" s="247"/>
      <c r="D43" s="529">
        <f>L26/D29</f>
        <v>16.466634746165763</v>
      </c>
      <c r="E43" s="529">
        <f>M26/E29</f>
        <v>15.665202911310853</v>
      </c>
      <c r="F43" s="529">
        <f>N26/F29</f>
        <v>14.803087950332751</v>
      </c>
      <c r="G43" s="529">
        <f>O26/G29</f>
        <v>14.915047789304827</v>
      </c>
      <c r="H43" s="17">
        <f t="shared" si="9"/>
        <v>3.3538679303158458E-2</v>
      </c>
      <c r="I43" s="247"/>
      <c r="J43" s="247"/>
      <c r="K43" s="247"/>
      <c r="L43" s="247"/>
      <c r="M43" s="247"/>
      <c r="N43" s="247"/>
      <c r="O43" s="18"/>
      <c r="Q43" s="5"/>
      <c r="R43" s="5"/>
      <c r="S43" s="42"/>
      <c r="T43" s="42"/>
      <c r="U43" s="42"/>
      <c r="V43" s="42"/>
      <c r="W43" s="288"/>
      <c r="X43" s="288"/>
      <c r="Y43" s="288"/>
      <c r="Z43" s="288"/>
      <c r="AA43" s="42"/>
    </row>
    <row r="44" spans="2:27">
      <c r="B44" s="5" t="s">
        <v>533</v>
      </c>
      <c r="C44" s="69"/>
      <c r="D44" s="529">
        <f>D11/D30</f>
        <v>59.936668765193865</v>
      </c>
      <c r="E44" s="529">
        <f>E11/E30</f>
        <v>33.120861523901674</v>
      </c>
      <c r="F44" s="529">
        <f>F11/F30</f>
        <v>25.063471107175264</v>
      </c>
      <c r="G44" s="529">
        <f>G11/G30</f>
        <v>18.673014296476769</v>
      </c>
      <c r="H44" s="17">
        <f t="shared" si="9"/>
        <v>0.47511560468193936</v>
      </c>
      <c r="I44" s="247"/>
      <c r="J44" s="248"/>
      <c r="K44" s="248"/>
      <c r="L44" s="248"/>
      <c r="M44" s="248"/>
      <c r="N44" s="248"/>
      <c r="O44" s="248"/>
      <c r="Q44" s="5"/>
      <c r="R44" s="5"/>
      <c r="S44" s="42"/>
      <c r="T44" s="42"/>
      <c r="U44" s="42"/>
      <c r="V44" s="42"/>
      <c r="W44" s="325"/>
      <c r="X44" s="325"/>
      <c r="Y44" s="288"/>
      <c r="Z44" s="288"/>
      <c r="AA44" s="42"/>
    </row>
    <row r="45" spans="2:27">
      <c r="B45" s="5" t="s">
        <v>580</v>
      </c>
      <c r="C45" s="247"/>
      <c r="D45" s="248">
        <f>D31/D11</f>
        <v>7.5786282682834397E-2</v>
      </c>
      <c r="E45" s="248">
        <f>E31/E11</f>
        <v>7.5786282682834397E-2</v>
      </c>
      <c r="F45" s="248">
        <f>F31/F11</f>
        <v>7.7680939749905253E-2</v>
      </c>
      <c r="G45" s="248">
        <f>G31/G11</f>
        <v>7.9622963243652894E-2</v>
      </c>
      <c r="H45" s="17">
        <f t="shared" si="9"/>
        <v>1.6597982758808305E-2</v>
      </c>
      <c r="I45" s="248"/>
      <c r="J45" s="247"/>
      <c r="K45" s="247"/>
      <c r="L45" s="247"/>
      <c r="M45" s="247"/>
      <c r="N45" s="247"/>
      <c r="O45" s="248"/>
      <c r="Q45" s="5"/>
      <c r="R45" s="5"/>
      <c r="S45" s="42"/>
      <c r="T45" s="42"/>
      <c r="U45" s="42"/>
      <c r="V45" s="42"/>
      <c r="W45" s="42"/>
      <c r="X45" s="42"/>
      <c r="Y45" s="325"/>
      <c r="Z45" s="325"/>
      <c r="AA45" s="42"/>
    </row>
    <row r="46" spans="2:27">
      <c r="B46" s="5" t="s">
        <v>605</v>
      </c>
      <c r="C46" s="247"/>
      <c r="D46" s="248">
        <f>(D31+D32)/D11</f>
        <v>7.5786282682834397E-2</v>
      </c>
      <c r="E46" s="248">
        <f>(E31+E32)/E11</f>
        <v>7.5786282682834397E-2</v>
      </c>
      <c r="F46" s="248">
        <f>(F31+F32)/F11</f>
        <v>7.7680939749905253E-2</v>
      </c>
      <c r="G46" s="248">
        <f>(G31+G32)/G11</f>
        <v>7.9622963243652894E-2</v>
      </c>
      <c r="H46" s="279">
        <f>((G31+G32)/(D31+D32))^(1/3)-1</f>
        <v>1.6597982758808305E-2</v>
      </c>
      <c r="I46" s="247"/>
      <c r="J46" s="247"/>
      <c r="K46" s="247"/>
      <c r="L46" s="247"/>
      <c r="M46" s="247"/>
      <c r="N46" s="247"/>
      <c r="O46" s="18"/>
      <c r="Q46" s="5"/>
      <c r="R46" s="5"/>
      <c r="S46" s="42"/>
      <c r="T46" s="42"/>
      <c r="U46" s="42"/>
      <c r="V46" s="42"/>
      <c r="W46" s="42"/>
      <c r="X46" s="42"/>
      <c r="Y46" s="42"/>
      <c r="Z46" s="42"/>
      <c r="AA46" s="326"/>
    </row>
    <row r="47" spans="2:27">
      <c r="B47" s="5" t="s">
        <v>581</v>
      </c>
      <c r="C47" s="5"/>
      <c r="D47" s="248">
        <f>1/D43</f>
        <v>6.0728862661683126E-2</v>
      </c>
      <c r="E47" s="248">
        <f>1/E43</f>
        <v>6.3835751484454958E-2</v>
      </c>
      <c r="F47" s="248">
        <f>1/F43</f>
        <v>6.7553472853447552E-2</v>
      </c>
      <c r="G47" s="248">
        <f>1/G43</f>
        <v>6.7046382561179091E-2</v>
      </c>
      <c r="H47" s="17">
        <f>H29</f>
        <v>3.3538679303158458E-2</v>
      </c>
      <c r="I47" s="17"/>
      <c r="J47" s="248"/>
      <c r="K47" s="248"/>
      <c r="L47" s="248"/>
      <c r="M47" s="248"/>
      <c r="N47" s="248"/>
      <c r="O47" s="248"/>
      <c r="Q47" s="5"/>
      <c r="R47" s="5"/>
      <c r="S47" s="42"/>
      <c r="T47" s="42"/>
      <c r="U47" s="42"/>
      <c r="V47" s="42"/>
      <c r="W47" s="42"/>
      <c r="X47" s="42"/>
      <c r="Y47" s="42"/>
      <c r="Z47" s="42"/>
      <c r="AA47" s="326"/>
    </row>
    <row r="48" spans="2:27">
      <c r="B48" s="5" t="s">
        <v>618</v>
      </c>
      <c r="C48" s="5"/>
      <c r="D48" s="305">
        <f>D31/D29</f>
        <v>0.9206179281775525</v>
      </c>
      <c r="E48" s="305">
        <f>E31/E29</f>
        <v>0.8758114132609901</v>
      </c>
      <c r="F48" s="305">
        <f>F31/F29</f>
        <v>0.84830252682350016</v>
      </c>
      <c r="G48" s="305">
        <f>G31/G29</f>
        <v>0.87608643473965464</v>
      </c>
      <c r="H48" s="279" t="s">
        <v>607</v>
      </c>
      <c r="I48" s="247"/>
      <c r="J48" s="247"/>
      <c r="K48" s="247"/>
      <c r="L48" s="247"/>
      <c r="M48" s="247"/>
      <c r="N48" s="247"/>
      <c r="O48" s="248"/>
      <c r="Q48" s="5"/>
      <c r="R48" s="5"/>
      <c r="S48" s="42"/>
      <c r="T48" s="42"/>
      <c r="U48" s="42"/>
      <c r="V48" s="42"/>
      <c r="W48" s="42"/>
      <c r="X48" s="42"/>
      <c r="Y48" s="42"/>
      <c r="Z48" s="42"/>
      <c r="AA48" s="326"/>
    </row>
    <row r="49" spans="2:27">
      <c r="B49" s="41"/>
      <c r="C49" s="17"/>
      <c r="D49" s="17"/>
      <c r="E49" s="17"/>
      <c r="F49" s="17"/>
      <c r="G49" s="17"/>
      <c r="H49" s="17"/>
      <c r="I49" s="254"/>
      <c r="J49" s="17"/>
      <c r="K49" s="17"/>
      <c r="L49" s="17"/>
      <c r="M49" s="17"/>
      <c r="N49" s="17"/>
      <c r="O49" s="248"/>
      <c r="Q49" s="5"/>
      <c r="R49" s="5"/>
      <c r="S49" s="42"/>
      <c r="T49" s="42"/>
      <c r="U49" s="42"/>
      <c r="V49" s="42"/>
      <c r="W49" s="42"/>
      <c r="X49" s="42"/>
      <c r="Y49" s="42"/>
      <c r="Z49" s="42"/>
      <c r="AA49" s="326"/>
    </row>
    <row r="50" spans="2:27">
      <c r="B50" s="5"/>
      <c r="C50" s="257"/>
      <c r="D50" s="257"/>
      <c r="E50" s="257"/>
      <c r="F50" s="5"/>
      <c r="G50" s="41"/>
      <c r="H50" s="249"/>
      <c r="I50" s="17"/>
      <c r="J50" s="249"/>
      <c r="K50" s="249"/>
      <c r="L50" s="249"/>
      <c r="M50" s="249"/>
      <c r="N50" s="249"/>
      <c r="O50" s="250"/>
      <c r="Q50" s="5"/>
      <c r="R50" s="5"/>
      <c r="S50" s="42"/>
      <c r="T50" s="42"/>
      <c r="U50" s="42"/>
      <c r="V50" s="42"/>
      <c r="W50" s="288"/>
      <c r="X50" s="288"/>
      <c r="Y50" s="42"/>
      <c r="Z50" s="42"/>
      <c r="AA50" s="326"/>
    </row>
    <row r="51" spans="2:27">
      <c r="B51" s="41"/>
      <c r="C51" s="249"/>
      <c r="D51" s="254"/>
      <c r="E51" s="254"/>
      <c r="F51" s="254"/>
      <c r="G51" s="254"/>
      <c r="H51" s="254"/>
      <c r="I51" s="259"/>
      <c r="J51" s="254"/>
      <c r="K51" s="254"/>
      <c r="L51" s="254"/>
      <c r="M51" s="254"/>
      <c r="N51" s="254"/>
      <c r="O51" s="251"/>
      <c r="Q51" s="5"/>
      <c r="R51" s="5"/>
      <c r="S51" s="42"/>
      <c r="T51" s="42"/>
      <c r="U51" s="42"/>
      <c r="V51" s="42"/>
      <c r="W51" s="288"/>
      <c r="X51" s="288"/>
      <c r="Y51" s="288"/>
      <c r="Z51" s="288"/>
      <c r="AA51" s="42"/>
    </row>
    <row r="52" spans="2:27">
      <c r="B52" s="5"/>
      <c r="C52" s="257"/>
      <c r="D52" s="17"/>
      <c r="E52" s="17"/>
      <c r="F52" s="17"/>
      <c r="G52" s="17"/>
      <c r="H52" s="17"/>
      <c r="I52" s="254"/>
      <c r="J52" s="17"/>
      <c r="K52" s="17"/>
      <c r="L52" s="17"/>
      <c r="M52" s="17"/>
      <c r="N52" s="17"/>
      <c r="O52" s="248"/>
      <c r="Q52" s="5"/>
      <c r="R52" s="5"/>
      <c r="S52" s="5"/>
      <c r="Y52" s="10"/>
      <c r="Z52" s="10"/>
    </row>
    <row r="53" spans="2:27">
      <c r="B53" s="5"/>
      <c r="C53" s="257"/>
      <c r="D53" s="257"/>
      <c r="E53" s="257"/>
      <c r="F53" s="5"/>
      <c r="G53" s="5"/>
      <c r="H53" s="259"/>
      <c r="I53" s="17"/>
      <c r="J53" s="259"/>
      <c r="K53" s="259"/>
      <c r="L53" s="259"/>
      <c r="M53" s="259"/>
      <c r="N53" s="259"/>
      <c r="O53" s="18"/>
      <c r="Q53" s="5"/>
      <c r="R53" s="5"/>
      <c r="S53" s="5"/>
    </row>
    <row r="54" spans="2:27">
      <c r="B54" s="41"/>
      <c r="C54" s="249"/>
      <c r="D54" s="254"/>
      <c r="E54" s="254"/>
      <c r="F54" s="254"/>
      <c r="G54" s="254"/>
      <c r="H54" s="254"/>
      <c r="I54" s="259"/>
      <c r="J54" s="254"/>
      <c r="K54" s="254"/>
      <c r="L54" s="254"/>
      <c r="M54" s="254"/>
      <c r="N54" s="254"/>
      <c r="O54" s="251"/>
      <c r="Q54" s="5"/>
      <c r="R54" s="5"/>
      <c r="S54" s="5"/>
    </row>
    <row r="55" spans="2:27">
      <c r="B55" s="5"/>
      <c r="C55" s="257"/>
      <c r="D55" s="17"/>
      <c r="E55" s="17"/>
      <c r="F55" s="17"/>
      <c r="G55" s="17"/>
      <c r="H55" s="17"/>
      <c r="I55" s="249"/>
      <c r="J55" s="17"/>
      <c r="K55" s="17"/>
      <c r="L55" s="17"/>
      <c r="M55" s="17"/>
      <c r="N55" s="17"/>
      <c r="O55" s="18"/>
      <c r="Q55" s="5"/>
      <c r="R55" s="5"/>
      <c r="S55" s="5"/>
    </row>
    <row r="56" spans="2:27">
      <c r="B56" s="5"/>
      <c r="C56" s="248"/>
      <c r="D56" s="248"/>
      <c r="E56" s="248"/>
      <c r="F56" s="5"/>
      <c r="G56" s="5"/>
      <c r="H56" s="259"/>
      <c r="I56" s="248"/>
      <c r="J56" s="259"/>
      <c r="K56" s="259"/>
      <c r="L56" s="259"/>
      <c r="M56" s="259"/>
      <c r="N56" s="259"/>
      <c r="O56" s="18"/>
      <c r="Q56" s="5"/>
      <c r="R56" s="5"/>
      <c r="S56" s="5"/>
    </row>
    <row r="57" spans="2:27">
      <c r="B57" s="41"/>
      <c r="C57" s="249"/>
      <c r="D57" s="249"/>
      <c r="E57" s="249"/>
      <c r="F57" s="249"/>
      <c r="G57" s="249"/>
      <c r="H57" s="249"/>
      <c r="I57" s="5"/>
      <c r="J57" s="249"/>
      <c r="K57" s="249"/>
      <c r="L57" s="249"/>
      <c r="M57" s="249"/>
      <c r="N57" s="249"/>
      <c r="O57" s="251"/>
      <c r="Q57" s="5"/>
      <c r="R57" s="5"/>
      <c r="S57" s="5"/>
    </row>
    <row r="58" spans="2:27">
      <c r="B58" s="5"/>
      <c r="C58" s="5"/>
      <c r="D58" s="248"/>
      <c r="E58" s="248"/>
      <c r="F58" s="248"/>
      <c r="G58" s="248"/>
      <c r="H58" s="248"/>
      <c r="I58" s="17"/>
      <c r="J58" s="248"/>
      <c r="K58" s="248"/>
      <c r="L58" s="248"/>
      <c r="M58" s="248"/>
      <c r="N58" s="248"/>
      <c r="O58" s="18"/>
      <c r="Q58" s="5"/>
      <c r="R58" s="5"/>
      <c r="S58" s="5"/>
    </row>
    <row r="59" spans="2:27">
      <c r="B59" s="5"/>
      <c r="C59" s="5"/>
      <c r="D59" s="5"/>
      <c r="E59" s="5"/>
      <c r="F59" s="5"/>
      <c r="G59" s="5"/>
      <c r="H59" s="5"/>
      <c r="I59" s="5"/>
      <c r="J59" s="5"/>
      <c r="K59" s="5"/>
      <c r="L59" s="5"/>
      <c r="M59" s="5"/>
      <c r="N59" s="5"/>
      <c r="O59" s="5"/>
      <c r="Q59" s="5"/>
      <c r="R59" s="5"/>
      <c r="S59" s="5"/>
    </row>
    <row r="60" spans="2:27">
      <c r="B60" s="41"/>
      <c r="C60" s="17"/>
      <c r="D60" s="17"/>
      <c r="E60" s="17"/>
      <c r="F60" s="17"/>
      <c r="G60" s="17"/>
      <c r="H60" s="17"/>
      <c r="I60" s="249"/>
      <c r="J60" s="17"/>
      <c r="K60" s="17"/>
      <c r="L60" s="17"/>
      <c r="M60" s="17"/>
      <c r="N60" s="17"/>
      <c r="O60" s="251"/>
      <c r="Q60" s="5"/>
      <c r="R60" s="5"/>
      <c r="S60" s="5"/>
    </row>
    <row r="61" spans="2:27">
      <c r="B61" s="5"/>
      <c r="C61" s="5"/>
      <c r="D61" s="5"/>
      <c r="E61" s="5"/>
      <c r="F61" s="5"/>
      <c r="G61" s="5"/>
      <c r="H61" s="5"/>
      <c r="I61" s="5"/>
      <c r="J61" s="5"/>
      <c r="K61" s="5"/>
      <c r="L61" s="5"/>
      <c r="M61" s="5"/>
      <c r="N61" s="5"/>
      <c r="O61" s="5"/>
      <c r="Q61" s="41"/>
      <c r="R61" s="5"/>
      <c r="S61" s="5"/>
    </row>
    <row r="62" spans="2:27">
      <c r="B62" s="41"/>
      <c r="C62" s="249"/>
      <c r="D62" s="249"/>
      <c r="E62" s="249"/>
      <c r="F62" s="249"/>
      <c r="G62" s="249"/>
      <c r="H62" s="249"/>
      <c r="I62" s="5"/>
      <c r="J62" s="249"/>
      <c r="K62" s="249"/>
      <c r="L62" s="249"/>
      <c r="M62" s="249"/>
      <c r="N62" s="249"/>
      <c r="O62" s="251"/>
      <c r="Q62" s="5"/>
      <c r="R62" s="5"/>
      <c r="S62" s="5"/>
    </row>
    <row r="63" spans="2:27">
      <c r="B63" s="5"/>
      <c r="C63" s="5"/>
      <c r="D63" s="5"/>
      <c r="E63" s="5"/>
      <c r="F63" s="5"/>
      <c r="G63" s="5"/>
      <c r="H63" s="5"/>
      <c r="I63" s="254"/>
      <c r="J63" s="5"/>
      <c r="K63" s="5"/>
      <c r="L63" s="5"/>
      <c r="M63" s="5"/>
      <c r="N63" s="5"/>
      <c r="O63" s="5"/>
      <c r="Q63" s="5"/>
      <c r="R63" s="5"/>
      <c r="S63" s="5"/>
    </row>
    <row r="64" spans="2:27">
      <c r="B64" s="5"/>
      <c r="C64" s="5"/>
      <c r="D64" s="5"/>
      <c r="E64" s="5"/>
      <c r="F64" s="5"/>
      <c r="G64" s="5"/>
      <c r="H64" s="5"/>
      <c r="I64" s="17"/>
      <c r="J64" s="5"/>
      <c r="K64" s="5"/>
      <c r="L64" s="5"/>
      <c r="M64" s="5"/>
      <c r="N64" s="5"/>
      <c r="O64" s="5"/>
      <c r="Q64" s="5"/>
      <c r="R64" s="5"/>
      <c r="S64" s="5"/>
    </row>
    <row r="65" spans="2:26">
      <c r="B65" s="41"/>
      <c r="C65" s="249"/>
      <c r="D65" s="254"/>
      <c r="E65" s="254"/>
      <c r="F65" s="254"/>
      <c r="G65" s="254"/>
      <c r="H65" s="254"/>
      <c r="I65" s="254"/>
      <c r="J65" s="254"/>
      <c r="K65" s="254"/>
      <c r="L65" s="254"/>
      <c r="M65" s="254"/>
      <c r="N65" s="254"/>
      <c r="O65" s="251"/>
      <c r="Q65" s="5"/>
      <c r="R65" s="5"/>
      <c r="S65" s="5"/>
    </row>
    <row r="66" spans="2:26">
      <c r="B66" s="5"/>
      <c r="C66" s="5"/>
      <c r="D66" s="17"/>
      <c r="E66" s="17"/>
      <c r="F66" s="17"/>
      <c r="G66" s="17"/>
      <c r="H66" s="17"/>
      <c r="I66" s="248"/>
      <c r="J66" s="17"/>
      <c r="K66" s="17"/>
      <c r="L66" s="17"/>
      <c r="M66" s="17"/>
      <c r="N66" s="17"/>
      <c r="O66" s="5"/>
      <c r="Q66" s="5"/>
      <c r="R66" s="5"/>
      <c r="S66" s="5"/>
    </row>
    <row r="67" spans="2:26">
      <c r="B67" s="41"/>
      <c r="C67" s="249"/>
      <c r="D67" s="254"/>
      <c r="E67" s="254"/>
      <c r="F67" s="254"/>
      <c r="G67" s="254"/>
      <c r="H67" s="254"/>
      <c r="I67" s="5"/>
      <c r="J67" s="254"/>
      <c r="K67" s="254"/>
      <c r="L67" s="254"/>
      <c r="M67" s="254"/>
      <c r="N67" s="254"/>
      <c r="O67" s="251"/>
      <c r="Q67" s="41"/>
      <c r="R67" s="5"/>
      <c r="S67" s="5"/>
    </row>
    <row r="68" spans="2:26">
      <c r="B68" s="5"/>
      <c r="C68" s="5"/>
      <c r="D68" s="248"/>
      <c r="E68" s="248"/>
      <c r="F68" s="248"/>
      <c r="G68" s="248"/>
      <c r="H68" s="248"/>
      <c r="I68" s="245"/>
      <c r="J68" s="248"/>
      <c r="K68" s="248"/>
      <c r="L68" s="248"/>
      <c r="M68" s="248"/>
      <c r="N68" s="248"/>
      <c r="O68" s="5"/>
      <c r="Q68" s="5"/>
      <c r="R68" s="5"/>
      <c r="S68" s="5"/>
    </row>
    <row r="69" spans="2:26">
      <c r="B69" s="41"/>
      <c r="C69" s="5"/>
      <c r="D69" s="5"/>
      <c r="E69" s="5"/>
      <c r="F69" s="5"/>
      <c r="G69" s="5"/>
      <c r="H69" s="5"/>
      <c r="I69" s="248"/>
      <c r="J69" s="5"/>
      <c r="K69" s="5"/>
      <c r="L69" s="5"/>
      <c r="M69" s="5"/>
      <c r="N69" s="5"/>
      <c r="O69" s="5"/>
      <c r="Q69" s="5"/>
      <c r="R69" s="5"/>
      <c r="S69" s="5"/>
    </row>
    <row r="70" spans="2:26">
      <c r="B70" s="41"/>
      <c r="C70" s="245"/>
      <c r="D70" s="245"/>
      <c r="E70" s="245"/>
      <c r="F70" s="245"/>
      <c r="G70" s="245"/>
      <c r="H70" s="245"/>
      <c r="I70" s="5"/>
      <c r="J70" s="245"/>
      <c r="K70" s="245"/>
      <c r="L70" s="245"/>
      <c r="M70" s="245"/>
      <c r="N70" s="245"/>
      <c r="O70" s="251"/>
      <c r="Q70" s="5"/>
      <c r="R70" s="5"/>
      <c r="S70" s="5"/>
      <c r="W70" s="76"/>
      <c r="X70" s="76"/>
    </row>
    <row r="71" spans="2:26">
      <c r="B71" s="5"/>
      <c r="C71" s="5"/>
      <c r="D71" s="248"/>
      <c r="E71" s="248"/>
      <c r="F71" s="248"/>
      <c r="G71" s="248"/>
      <c r="H71" s="248"/>
      <c r="I71" s="245"/>
      <c r="J71" s="248"/>
      <c r="K71" s="248"/>
      <c r="L71" s="248"/>
      <c r="M71" s="248"/>
      <c r="N71" s="248"/>
      <c r="O71" s="5"/>
      <c r="Q71" s="5"/>
      <c r="R71" s="5"/>
      <c r="S71" s="5"/>
      <c r="W71" s="76"/>
      <c r="X71" s="76"/>
      <c r="Y71" s="76"/>
      <c r="Z71" s="76"/>
    </row>
    <row r="72" spans="2:26">
      <c r="B72" s="41"/>
      <c r="C72" s="5"/>
      <c r="D72" s="5"/>
      <c r="E72" s="5"/>
      <c r="F72" s="5"/>
      <c r="G72" s="5"/>
      <c r="H72" s="5"/>
      <c r="I72" s="18"/>
      <c r="J72" s="5"/>
      <c r="K72" s="5"/>
      <c r="L72" s="5"/>
      <c r="M72" s="5"/>
      <c r="N72" s="5"/>
      <c r="O72" s="5"/>
      <c r="Q72" s="5"/>
      <c r="R72" s="5"/>
      <c r="S72" s="5"/>
      <c r="Y72" s="76"/>
      <c r="Z72" s="76"/>
    </row>
    <row r="73" spans="2:26">
      <c r="B73" s="41"/>
      <c r="C73" s="245"/>
      <c r="D73" s="245"/>
      <c r="E73" s="245"/>
      <c r="F73" s="245"/>
      <c r="G73" s="245"/>
      <c r="H73" s="245"/>
      <c r="I73" s="5"/>
      <c r="J73" s="245"/>
      <c r="K73" s="245"/>
      <c r="L73" s="245"/>
      <c r="M73" s="245"/>
      <c r="N73" s="245"/>
      <c r="O73" s="251"/>
      <c r="Q73" s="5"/>
      <c r="R73" s="5"/>
      <c r="S73" s="5"/>
    </row>
    <row r="74" spans="2:26">
      <c r="B74" s="5"/>
      <c r="C74" s="5"/>
      <c r="D74" s="18"/>
      <c r="E74" s="18"/>
      <c r="F74" s="18"/>
      <c r="G74" s="18"/>
      <c r="H74" s="18"/>
      <c r="I74" s="249"/>
      <c r="J74" s="18"/>
      <c r="K74" s="18"/>
      <c r="L74" s="18"/>
      <c r="M74" s="18"/>
      <c r="N74" s="18"/>
      <c r="O74" s="5"/>
      <c r="Q74" s="5"/>
      <c r="R74" s="5"/>
      <c r="S74" s="5"/>
    </row>
    <row r="75" spans="2:26">
      <c r="B75" s="41"/>
      <c r="C75" s="5"/>
      <c r="D75" s="5"/>
      <c r="E75" s="5"/>
      <c r="F75" s="5"/>
      <c r="G75" s="5"/>
      <c r="H75" s="5"/>
      <c r="I75" s="248"/>
      <c r="J75" s="5"/>
      <c r="K75" s="5"/>
      <c r="L75" s="5"/>
      <c r="M75" s="5"/>
      <c r="N75" s="5"/>
      <c r="O75" s="5"/>
      <c r="Q75" s="5"/>
      <c r="R75" s="5"/>
      <c r="S75" s="5"/>
    </row>
    <row r="76" spans="2:26">
      <c r="B76" s="41"/>
      <c r="C76" s="249"/>
      <c r="D76" s="249"/>
      <c r="E76" s="249"/>
      <c r="F76" s="249"/>
      <c r="G76" s="249"/>
      <c r="H76" s="249"/>
      <c r="I76" s="5"/>
      <c r="J76" s="249"/>
      <c r="K76" s="249"/>
      <c r="L76" s="249"/>
      <c r="M76" s="249"/>
      <c r="N76" s="249"/>
      <c r="O76" s="251"/>
      <c r="Q76" s="5"/>
      <c r="R76" s="5"/>
      <c r="S76" s="5"/>
    </row>
    <row r="77" spans="2:26">
      <c r="B77" s="5"/>
      <c r="C77" s="5"/>
      <c r="D77" s="248"/>
      <c r="E77" s="248"/>
      <c r="F77" s="248"/>
      <c r="G77" s="248"/>
      <c r="H77" s="248"/>
      <c r="I77" s="245"/>
      <c r="J77" s="248"/>
      <c r="K77" s="248"/>
      <c r="L77" s="248"/>
      <c r="M77" s="248"/>
      <c r="N77" s="248"/>
      <c r="O77" s="5"/>
      <c r="Q77" s="5"/>
      <c r="R77" s="5"/>
      <c r="S77" s="5"/>
    </row>
    <row r="78" spans="2:26">
      <c r="B78" s="41"/>
      <c r="C78" s="5"/>
      <c r="D78" s="5"/>
      <c r="E78" s="5"/>
      <c r="F78" s="5"/>
      <c r="G78" s="5"/>
      <c r="H78" s="5"/>
      <c r="I78" s="248"/>
      <c r="J78" s="5"/>
      <c r="K78" s="5"/>
      <c r="L78" s="5"/>
      <c r="M78" s="5"/>
      <c r="N78" s="5"/>
      <c r="O78" s="5"/>
      <c r="Q78" s="5"/>
      <c r="R78" s="5"/>
      <c r="S78" s="5"/>
    </row>
    <row r="79" spans="2:26">
      <c r="B79" s="41"/>
      <c r="C79" s="245"/>
      <c r="D79" s="245"/>
      <c r="E79" s="245"/>
      <c r="F79" s="245"/>
      <c r="G79" s="245"/>
      <c r="H79" s="245"/>
      <c r="I79" s="5"/>
      <c r="J79" s="245"/>
      <c r="K79" s="245"/>
      <c r="L79" s="245"/>
      <c r="M79" s="245"/>
      <c r="N79" s="245"/>
      <c r="O79" s="251"/>
      <c r="Q79" s="5"/>
      <c r="R79" s="5"/>
      <c r="S79" s="5"/>
    </row>
    <row r="80" spans="2:26">
      <c r="B80" s="5"/>
      <c r="C80" s="5"/>
      <c r="D80" s="248"/>
      <c r="E80" s="248"/>
      <c r="F80" s="248"/>
      <c r="G80" s="248"/>
      <c r="H80" s="248"/>
      <c r="I80" s="249"/>
      <c r="J80" s="248"/>
      <c r="K80" s="248"/>
      <c r="L80" s="248"/>
      <c r="M80" s="248"/>
      <c r="N80" s="248"/>
      <c r="O80" s="5"/>
      <c r="Q80" s="5"/>
      <c r="R80" s="5"/>
      <c r="S80" s="5"/>
    </row>
    <row r="81" spans="2:26">
      <c r="B81" s="41"/>
      <c r="C81" s="5"/>
      <c r="D81" s="5"/>
      <c r="E81" s="5"/>
      <c r="F81" s="5"/>
      <c r="G81" s="5"/>
      <c r="H81" s="5"/>
      <c r="I81" s="248"/>
      <c r="J81" s="5"/>
      <c r="K81" s="5"/>
      <c r="L81" s="5"/>
      <c r="M81" s="5"/>
      <c r="N81" s="5"/>
      <c r="O81" s="5"/>
      <c r="Q81" s="5"/>
      <c r="R81" s="5"/>
      <c r="S81" s="5"/>
    </row>
    <row r="82" spans="2:26">
      <c r="B82" s="41"/>
      <c r="C82" s="249"/>
      <c r="D82" s="249"/>
      <c r="E82" s="249"/>
      <c r="F82" s="249"/>
      <c r="G82" s="249"/>
      <c r="H82" s="249"/>
      <c r="I82" s="259"/>
      <c r="J82" s="249"/>
      <c r="K82" s="249"/>
      <c r="L82" s="249"/>
      <c r="M82" s="249"/>
      <c r="N82" s="249"/>
      <c r="O82" s="251"/>
      <c r="Q82" s="5"/>
      <c r="R82" s="5"/>
      <c r="S82" s="5"/>
    </row>
    <row r="83" spans="2:26">
      <c r="B83" s="5"/>
      <c r="C83" s="5"/>
      <c r="D83" s="248"/>
      <c r="E83" s="248"/>
      <c r="F83" s="248"/>
      <c r="G83" s="248"/>
      <c r="H83" s="248"/>
      <c r="I83" s="5"/>
      <c r="J83" s="248"/>
      <c r="K83" s="248"/>
      <c r="L83" s="248"/>
      <c r="M83" s="248"/>
      <c r="N83" s="248"/>
      <c r="O83" s="5"/>
      <c r="Q83" s="5"/>
      <c r="R83" s="5"/>
      <c r="S83" s="5"/>
    </row>
    <row r="84" spans="2:26">
      <c r="B84" s="5"/>
      <c r="C84" s="259"/>
      <c r="D84" s="259"/>
      <c r="E84" s="259"/>
      <c r="F84" s="259"/>
      <c r="G84" s="259"/>
      <c r="H84" s="259"/>
      <c r="I84" s="245"/>
      <c r="J84" s="259"/>
      <c r="K84" s="259"/>
      <c r="L84" s="259"/>
      <c r="M84" s="259"/>
      <c r="N84" s="259"/>
      <c r="O84" s="251"/>
      <c r="Q84" s="5"/>
      <c r="R84" s="5"/>
      <c r="S84" s="5"/>
    </row>
    <row r="85" spans="2:26">
      <c r="B85" s="41"/>
      <c r="C85" s="5"/>
      <c r="D85" s="5"/>
      <c r="E85" s="5"/>
      <c r="F85" s="5"/>
      <c r="G85" s="5"/>
      <c r="H85" s="5"/>
      <c r="I85" s="248"/>
      <c r="J85" s="5"/>
      <c r="K85" s="5"/>
      <c r="L85" s="5"/>
      <c r="M85" s="5"/>
      <c r="N85" s="5"/>
      <c r="O85" s="5"/>
      <c r="Q85" s="5"/>
      <c r="R85" s="5"/>
      <c r="S85" s="5"/>
    </row>
    <row r="86" spans="2:26">
      <c r="B86" s="41"/>
      <c r="C86" s="245"/>
      <c r="D86" s="245"/>
      <c r="E86" s="245"/>
      <c r="F86" s="245"/>
      <c r="G86" s="245"/>
      <c r="H86" s="245"/>
      <c r="I86" s="5"/>
      <c r="J86" s="245"/>
      <c r="K86" s="245"/>
      <c r="L86" s="245"/>
      <c r="M86" s="245"/>
      <c r="N86" s="245"/>
      <c r="O86" s="251"/>
      <c r="Q86" s="5"/>
      <c r="R86" s="5"/>
      <c r="S86" s="5"/>
    </row>
    <row r="87" spans="2:26">
      <c r="B87" s="5"/>
      <c r="C87" s="5"/>
      <c r="D87" s="248"/>
      <c r="E87" s="248"/>
      <c r="F87" s="248"/>
      <c r="G87" s="248"/>
      <c r="H87" s="248"/>
      <c r="I87" s="5"/>
      <c r="J87" s="248"/>
      <c r="K87" s="248"/>
      <c r="L87" s="248"/>
      <c r="M87" s="248"/>
      <c r="N87" s="248"/>
      <c r="O87" s="5"/>
      <c r="Q87" s="5"/>
      <c r="R87" s="5"/>
      <c r="S87" s="5"/>
    </row>
    <row r="88" spans="2:26">
      <c r="B88" s="41"/>
      <c r="C88" s="5"/>
      <c r="D88" s="5"/>
      <c r="E88" s="5"/>
      <c r="F88" s="5"/>
      <c r="G88" s="5"/>
      <c r="H88" s="5"/>
      <c r="I88" s="5"/>
      <c r="J88" s="5"/>
      <c r="K88" s="5"/>
      <c r="L88" s="5"/>
      <c r="M88" s="5"/>
      <c r="N88" s="5"/>
      <c r="O88" s="5"/>
      <c r="Q88" s="5"/>
      <c r="R88" s="5"/>
      <c r="S88" s="5"/>
    </row>
    <row r="89" spans="2:26">
      <c r="B89" s="41"/>
      <c r="C89" s="5"/>
      <c r="D89" s="5"/>
      <c r="E89" s="5"/>
      <c r="F89" s="5"/>
      <c r="G89" s="5"/>
      <c r="H89" s="5"/>
      <c r="I89" s="5"/>
      <c r="J89" s="5"/>
      <c r="K89" s="5"/>
      <c r="L89" s="5"/>
      <c r="M89" s="5"/>
      <c r="N89" s="5"/>
      <c r="O89" s="5"/>
      <c r="Q89" s="5"/>
      <c r="R89" s="5"/>
      <c r="S89" s="5"/>
    </row>
    <row r="90" spans="2:26">
      <c r="B90" s="41"/>
      <c r="C90" s="5"/>
      <c r="D90" s="5"/>
      <c r="E90" s="5"/>
      <c r="F90" s="5"/>
      <c r="G90" s="5"/>
      <c r="H90" s="5"/>
      <c r="I90" s="49"/>
      <c r="J90" s="5"/>
      <c r="K90" s="5"/>
      <c r="L90" s="5"/>
      <c r="M90" s="5"/>
      <c r="N90" s="5"/>
      <c r="O90" s="5"/>
      <c r="Q90" s="41"/>
      <c r="R90" s="5"/>
      <c r="S90" s="5"/>
    </row>
    <row r="91" spans="2:26">
      <c r="B91" s="5"/>
      <c r="C91" s="5"/>
      <c r="D91" s="5"/>
      <c r="E91" s="5"/>
      <c r="F91" s="5"/>
      <c r="G91" s="5"/>
      <c r="H91" s="5"/>
      <c r="I91" s="5"/>
      <c r="J91" s="5"/>
      <c r="K91" s="5"/>
      <c r="L91" s="5"/>
      <c r="M91" s="5"/>
      <c r="N91" s="5"/>
      <c r="O91" s="5"/>
      <c r="Q91" s="5"/>
      <c r="R91" s="5"/>
      <c r="S91" s="5"/>
    </row>
    <row r="92" spans="2:26">
      <c r="B92" s="41"/>
      <c r="C92" s="49"/>
      <c r="D92" s="49"/>
      <c r="E92" s="49"/>
      <c r="F92" s="49"/>
      <c r="G92" s="49"/>
      <c r="H92" s="49"/>
      <c r="I92" s="247"/>
      <c r="J92" s="49"/>
      <c r="K92" s="49"/>
      <c r="L92" s="49"/>
      <c r="M92" s="49"/>
      <c r="N92" s="49"/>
      <c r="O92" s="49"/>
      <c r="Q92" s="5"/>
      <c r="R92" s="5"/>
      <c r="S92" s="5"/>
      <c r="W92" s="21"/>
      <c r="X92" s="21"/>
    </row>
    <row r="93" spans="2:26">
      <c r="B93" s="5"/>
      <c r="C93" s="5"/>
      <c r="D93" s="5"/>
      <c r="E93" s="5"/>
      <c r="F93" s="5"/>
      <c r="G93" s="5"/>
      <c r="H93" s="5"/>
      <c r="I93" s="247"/>
      <c r="J93" s="5"/>
      <c r="K93" s="5"/>
      <c r="L93" s="5"/>
      <c r="M93" s="5"/>
      <c r="N93" s="5"/>
      <c r="O93" s="5"/>
      <c r="Q93" s="5"/>
      <c r="R93" s="5"/>
      <c r="S93" s="5"/>
      <c r="W93" s="21"/>
      <c r="X93" s="21"/>
      <c r="Y93" s="21"/>
      <c r="Z93" s="21"/>
    </row>
    <row r="94" spans="2:26">
      <c r="B94" s="5"/>
      <c r="C94" s="259"/>
      <c r="D94" s="247"/>
      <c r="E94" s="247"/>
      <c r="F94" s="247"/>
      <c r="G94" s="247"/>
      <c r="H94" s="247"/>
      <c r="I94" s="247"/>
      <c r="J94" s="247"/>
      <c r="K94" s="247"/>
      <c r="L94" s="247"/>
      <c r="M94" s="247"/>
      <c r="N94" s="247"/>
      <c r="O94" s="248"/>
      <c r="Q94" s="5"/>
      <c r="R94" s="5"/>
      <c r="S94" s="5"/>
      <c r="Y94" s="21"/>
      <c r="Z94" s="21"/>
    </row>
    <row r="95" spans="2:26">
      <c r="B95" s="5"/>
      <c r="C95" s="259"/>
      <c r="D95" s="247"/>
      <c r="E95" s="247"/>
      <c r="F95" s="247"/>
      <c r="G95" s="247"/>
      <c r="H95" s="247"/>
      <c r="I95" s="248"/>
      <c r="J95" s="247"/>
      <c r="K95" s="247"/>
      <c r="L95" s="247"/>
      <c r="M95" s="247"/>
      <c r="N95" s="247"/>
      <c r="O95" s="248"/>
      <c r="Q95" s="5"/>
      <c r="R95" s="5"/>
      <c r="S95" s="5"/>
    </row>
    <row r="96" spans="2:26">
      <c r="B96" s="5"/>
      <c r="C96" s="259"/>
      <c r="D96" s="247"/>
      <c r="E96" s="247"/>
      <c r="F96" s="247"/>
      <c r="G96" s="247"/>
      <c r="H96" s="247"/>
      <c r="I96" s="247"/>
      <c r="J96" s="247"/>
      <c r="K96" s="247"/>
      <c r="L96" s="247"/>
      <c r="M96" s="247"/>
      <c r="N96" s="247"/>
      <c r="O96" s="248"/>
      <c r="Q96" s="5"/>
      <c r="R96" s="5"/>
      <c r="S96" s="5"/>
    </row>
    <row r="97" spans="2:19">
      <c r="B97" s="5"/>
      <c r="C97" s="259"/>
      <c r="D97" s="248"/>
      <c r="E97" s="248"/>
      <c r="F97" s="248"/>
      <c r="G97" s="248"/>
      <c r="H97" s="248"/>
      <c r="I97" s="249"/>
      <c r="J97" s="248"/>
      <c r="K97" s="248"/>
      <c r="L97" s="248"/>
      <c r="M97" s="248"/>
      <c r="N97" s="248"/>
      <c r="O97" s="248"/>
      <c r="Q97" s="5"/>
      <c r="R97" s="5"/>
      <c r="S97" s="5"/>
    </row>
    <row r="98" spans="2:19">
      <c r="B98" s="5"/>
      <c r="C98" s="259"/>
      <c r="D98" s="247"/>
      <c r="E98" s="247"/>
      <c r="F98" s="247"/>
      <c r="G98" s="247"/>
      <c r="H98" s="247"/>
      <c r="I98" s="248"/>
      <c r="J98" s="247"/>
      <c r="K98" s="247"/>
      <c r="L98" s="247"/>
      <c r="M98" s="247"/>
      <c r="N98" s="247"/>
      <c r="O98" s="248"/>
      <c r="Q98" s="5"/>
      <c r="R98" s="5"/>
      <c r="S98" s="5"/>
    </row>
    <row r="99" spans="2:19">
      <c r="B99" s="41"/>
      <c r="C99" s="249"/>
      <c r="D99" s="249"/>
      <c r="E99" s="249"/>
      <c r="F99" s="249"/>
      <c r="G99" s="249"/>
      <c r="H99" s="249"/>
      <c r="I99" s="5"/>
      <c r="J99" s="249"/>
      <c r="K99" s="249"/>
      <c r="L99" s="249"/>
      <c r="M99" s="249"/>
      <c r="N99" s="249"/>
      <c r="O99" s="248"/>
      <c r="Q99" s="5"/>
      <c r="R99" s="5"/>
      <c r="S99" s="5"/>
    </row>
    <row r="100" spans="2:19">
      <c r="B100" s="41"/>
      <c r="C100" s="257"/>
      <c r="D100" s="248"/>
      <c r="E100" s="248"/>
      <c r="F100" s="248"/>
      <c r="G100" s="248"/>
      <c r="H100" s="248"/>
      <c r="I100" s="259"/>
      <c r="J100" s="248"/>
      <c r="K100" s="248"/>
      <c r="L100" s="248"/>
      <c r="M100" s="248"/>
      <c r="N100" s="248"/>
      <c r="O100" s="248"/>
      <c r="Q100" s="5"/>
      <c r="R100" s="5"/>
      <c r="S100" s="5"/>
    </row>
    <row r="101" spans="2:19" s="5" customFormat="1">
      <c r="B101" s="41"/>
      <c r="I101" s="259"/>
      <c r="O101" s="248"/>
      <c r="P101" s="39"/>
    </row>
    <row r="102" spans="2:19">
      <c r="B102" s="5"/>
      <c r="C102" s="259"/>
      <c r="D102" s="259"/>
      <c r="E102" s="259"/>
      <c r="F102" s="259"/>
      <c r="G102" s="259"/>
      <c r="H102" s="259"/>
      <c r="I102" s="247"/>
      <c r="J102" s="259"/>
      <c r="K102" s="259"/>
      <c r="L102" s="259"/>
      <c r="M102" s="259"/>
      <c r="N102" s="259"/>
      <c r="O102" s="5"/>
      <c r="Q102" s="5"/>
      <c r="R102" s="5"/>
      <c r="S102" s="5"/>
    </row>
    <row r="103" spans="2:19">
      <c r="B103" s="5"/>
      <c r="C103" s="259"/>
      <c r="D103" s="259"/>
      <c r="E103" s="259"/>
      <c r="F103" s="259"/>
      <c r="G103" s="259"/>
      <c r="H103" s="259"/>
      <c r="I103" s="5"/>
      <c r="J103" s="259"/>
      <c r="K103" s="259"/>
      <c r="L103" s="259"/>
      <c r="M103" s="259"/>
      <c r="N103" s="259"/>
      <c r="O103" s="5"/>
      <c r="P103" s="5"/>
      <c r="Q103" s="5"/>
      <c r="R103" s="5"/>
      <c r="S103" s="5"/>
    </row>
    <row r="104" spans="2:19">
      <c r="B104" s="5"/>
      <c r="C104" s="247"/>
      <c r="D104" s="247"/>
      <c r="E104" s="247"/>
      <c r="F104" s="247"/>
      <c r="G104" s="247"/>
      <c r="H104" s="247"/>
      <c r="I104" s="247"/>
      <c r="J104" s="247"/>
      <c r="K104" s="247"/>
      <c r="L104" s="247"/>
      <c r="M104" s="247"/>
      <c r="N104" s="247"/>
      <c r="O104" s="5"/>
      <c r="Q104" s="5"/>
      <c r="R104" s="5"/>
      <c r="S104" s="5"/>
    </row>
    <row r="105" spans="2:19" s="5" customFormat="1">
      <c r="P105" s="39"/>
    </row>
    <row r="106" spans="2:19" s="5" customFormat="1">
      <c r="C106" s="259"/>
      <c r="D106" s="247"/>
      <c r="E106" s="247"/>
      <c r="F106" s="247"/>
      <c r="G106" s="247"/>
      <c r="H106" s="247"/>
      <c r="I106" s="259"/>
      <c r="J106" s="247"/>
      <c r="K106" s="247"/>
      <c r="L106" s="247"/>
      <c r="M106" s="247"/>
      <c r="N106" s="247"/>
      <c r="P106" s="39"/>
    </row>
    <row r="107" spans="2:19">
      <c r="B107" s="5"/>
      <c r="C107" s="259"/>
      <c r="D107" s="5"/>
      <c r="E107" s="5"/>
      <c r="F107" s="5"/>
      <c r="G107" s="5"/>
      <c r="H107" s="5"/>
      <c r="I107" s="247"/>
      <c r="J107" s="5"/>
      <c r="K107" s="5"/>
      <c r="L107" s="5"/>
      <c r="M107" s="5"/>
      <c r="N107" s="5"/>
      <c r="O107" s="5"/>
      <c r="P107" s="5"/>
      <c r="Q107" s="5"/>
      <c r="R107" s="5"/>
      <c r="S107" s="5"/>
    </row>
    <row r="108" spans="2:19">
      <c r="B108" s="5"/>
      <c r="C108" s="259"/>
      <c r="D108" s="259"/>
      <c r="E108" s="259"/>
      <c r="F108" s="259"/>
      <c r="G108" s="259"/>
      <c r="H108" s="259"/>
      <c r="I108" s="249"/>
      <c r="J108" s="259"/>
      <c r="K108" s="259"/>
      <c r="L108" s="259"/>
      <c r="M108" s="259"/>
      <c r="N108" s="259"/>
      <c r="O108" s="5"/>
      <c r="P108" s="5"/>
      <c r="Q108" s="5"/>
      <c r="R108" s="5"/>
      <c r="S108" s="5"/>
    </row>
    <row r="109" spans="2:19">
      <c r="B109" s="5"/>
      <c r="C109" s="247"/>
      <c r="D109" s="247"/>
      <c r="E109" s="247"/>
      <c r="F109" s="247"/>
      <c r="G109" s="247"/>
      <c r="H109" s="247"/>
      <c r="I109" s="249"/>
      <c r="J109" s="247"/>
      <c r="K109" s="247"/>
      <c r="L109" s="247"/>
      <c r="M109" s="247"/>
      <c r="N109" s="247"/>
      <c r="O109" s="5"/>
      <c r="Q109" s="5"/>
      <c r="R109" s="5"/>
      <c r="S109" s="5"/>
    </row>
    <row r="110" spans="2:19">
      <c r="B110" s="41"/>
      <c r="C110" s="249"/>
      <c r="D110" s="249"/>
      <c r="E110" s="249"/>
      <c r="F110" s="249"/>
      <c r="G110" s="249"/>
      <c r="H110" s="249"/>
      <c r="I110" s="247"/>
      <c r="J110" s="249"/>
      <c r="K110" s="249"/>
      <c r="L110" s="249"/>
      <c r="M110" s="249"/>
      <c r="N110" s="249"/>
      <c r="O110" s="5"/>
      <c r="Q110" s="5"/>
      <c r="R110" s="5"/>
      <c r="S110" s="5"/>
    </row>
    <row r="111" spans="2:19">
      <c r="B111" s="5"/>
      <c r="C111" s="249"/>
      <c r="D111" s="249"/>
      <c r="E111" s="249"/>
      <c r="F111" s="249"/>
      <c r="G111" s="249"/>
      <c r="H111" s="249"/>
      <c r="I111" s="5"/>
      <c r="J111" s="249"/>
      <c r="K111" s="249"/>
      <c r="L111" s="249"/>
      <c r="M111" s="249"/>
      <c r="N111" s="249"/>
      <c r="O111" s="5"/>
      <c r="Q111" s="5"/>
      <c r="R111" s="5"/>
      <c r="S111" s="5"/>
    </row>
    <row r="112" spans="2:19">
      <c r="B112" s="5"/>
      <c r="C112" s="247"/>
      <c r="D112" s="247"/>
      <c r="E112" s="247"/>
      <c r="F112" s="247"/>
      <c r="G112" s="247"/>
      <c r="H112" s="247"/>
      <c r="I112" s="5"/>
      <c r="J112" s="247"/>
      <c r="K112" s="247"/>
      <c r="L112" s="247"/>
      <c r="M112" s="247"/>
      <c r="N112" s="247"/>
      <c r="O112" s="5"/>
      <c r="Q112" s="5"/>
      <c r="R112" s="5"/>
      <c r="S112" s="5"/>
    </row>
    <row r="113" spans="2:19">
      <c r="B113" s="5"/>
      <c r="C113" s="5"/>
      <c r="D113" s="5"/>
      <c r="E113" s="5"/>
      <c r="F113" s="5"/>
      <c r="G113" s="5"/>
      <c r="H113" s="5"/>
      <c r="I113" s="5"/>
      <c r="J113" s="5"/>
      <c r="K113" s="5"/>
      <c r="L113" s="5"/>
      <c r="M113" s="5"/>
      <c r="N113" s="5"/>
      <c r="O113" s="5"/>
      <c r="Q113" s="5"/>
      <c r="R113" s="5"/>
      <c r="S113" s="5"/>
    </row>
    <row r="114" spans="2:19">
      <c r="B114" s="5"/>
      <c r="C114" s="5"/>
      <c r="D114" s="5"/>
      <c r="E114" s="5"/>
      <c r="F114" s="5"/>
      <c r="G114" s="5"/>
      <c r="H114" s="5"/>
      <c r="I114" s="5"/>
      <c r="J114" s="5"/>
      <c r="K114" s="5"/>
      <c r="L114" s="5"/>
      <c r="M114" s="5"/>
      <c r="N114" s="5"/>
      <c r="O114" s="5"/>
      <c r="Q114" s="5"/>
      <c r="R114" s="5"/>
      <c r="S114" s="5"/>
    </row>
    <row r="115" spans="2:19">
      <c r="B115" s="5"/>
      <c r="C115" s="5"/>
      <c r="D115" s="5"/>
      <c r="E115" s="5"/>
      <c r="F115" s="5"/>
      <c r="G115" s="5"/>
      <c r="H115" s="5"/>
      <c r="I115" s="49"/>
      <c r="J115" s="5"/>
      <c r="K115" s="5"/>
      <c r="L115" s="5"/>
      <c r="M115" s="5"/>
      <c r="N115" s="5"/>
      <c r="O115" s="5"/>
      <c r="Q115" s="41"/>
      <c r="R115" s="5"/>
      <c r="S115" s="5"/>
    </row>
    <row r="116" spans="2:19">
      <c r="B116" s="5"/>
      <c r="C116" s="5"/>
      <c r="D116" s="5"/>
      <c r="E116" s="5"/>
      <c r="F116" s="5"/>
      <c r="G116" s="5"/>
      <c r="H116" s="5"/>
      <c r="I116" s="5"/>
      <c r="J116" s="5"/>
      <c r="K116" s="5"/>
      <c r="L116" s="5"/>
      <c r="M116" s="5"/>
      <c r="N116" s="5"/>
      <c r="O116" s="5"/>
      <c r="Q116" s="5"/>
      <c r="R116" s="5"/>
      <c r="S116" s="5"/>
    </row>
    <row r="117" spans="2:19">
      <c r="B117" s="41"/>
      <c r="C117" s="49"/>
      <c r="D117" s="49"/>
      <c r="E117" s="49"/>
      <c r="F117" s="49"/>
      <c r="G117" s="49"/>
      <c r="H117" s="49"/>
      <c r="I117" s="254"/>
      <c r="J117" s="49"/>
      <c r="K117" s="49"/>
      <c r="L117" s="49"/>
      <c r="M117" s="49"/>
      <c r="N117" s="49"/>
      <c r="O117" s="49"/>
      <c r="Q117" s="5"/>
      <c r="R117" s="5"/>
      <c r="S117" s="5"/>
    </row>
    <row r="118" spans="2:19">
      <c r="B118" s="5"/>
      <c r="C118" s="5"/>
      <c r="D118" s="5"/>
      <c r="E118" s="5"/>
      <c r="F118" s="5"/>
      <c r="G118" s="5"/>
      <c r="H118" s="5"/>
      <c r="I118" s="249"/>
      <c r="J118" s="5"/>
      <c r="K118" s="5"/>
      <c r="L118" s="5"/>
      <c r="M118" s="5"/>
      <c r="N118" s="5"/>
      <c r="O118" s="5"/>
      <c r="Q118" s="5"/>
      <c r="R118" s="5"/>
      <c r="S118" s="5"/>
    </row>
    <row r="119" spans="2:19">
      <c r="B119" s="41"/>
      <c r="C119" s="254"/>
      <c r="D119" s="254"/>
      <c r="E119" s="254"/>
      <c r="F119" s="254"/>
      <c r="G119" s="254"/>
      <c r="H119" s="254"/>
      <c r="I119" s="254"/>
      <c r="J119" s="254"/>
      <c r="K119" s="254"/>
      <c r="L119" s="254"/>
      <c r="M119" s="254"/>
      <c r="N119" s="254"/>
      <c r="O119" s="248"/>
      <c r="Q119" s="5"/>
      <c r="R119" s="5"/>
      <c r="S119" s="5"/>
    </row>
    <row r="120" spans="2:19">
      <c r="B120" s="41"/>
      <c r="C120" s="254"/>
      <c r="D120" s="249"/>
      <c r="E120" s="249"/>
      <c r="F120" s="249"/>
      <c r="G120" s="249"/>
      <c r="H120" s="249"/>
      <c r="I120" s="254"/>
      <c r="J120" s="249"/>
      <c r="K120" s="249"/>
      <c r="L120" s="249"/>
      <c r="M120" s="249"/>
      <c r="N120" s="249"/>
      <c r="O120" s="248"/>
      <c r="Q120" s="5"/>
      <c r="R120" s="5"/>
      <c r="S120" s="5"/>
    </row>
    <row r="121" spans="2:19">
      <c r="B121" s="41"/>
      <c r="C121" s="254"/>
      <c r="D121" s="254"/>
      <c r="E121" s="254"/>
      <c r="F121" s="254"/>
      <c r="G121" s="254"/>
      <c r="H121" s="254"/>
      <c r="I121" s="254"/>
      <c r="J121" s="254"/>
      <c r="K121" s="254"/>
      <c r="L121" s="254"/>
      <c r="M121" s="254"/>
      <c r="N121" s="254"/>
      <c r="O121" s="248"/>
      <c r="Q121" s="5"/>
      <c r="R121" s="5"/>
      <c r="S121" s="5"/>
    </row>
    <row r="122" spans="2:19">
      <c r="B122" s="41"/>
      <c r="C122" s="254"/>
      <c r="D122" s="254"/>
      <c r="E122" s="254"/>
      <c r="F122" s="254"/>
      <c r="G122" s="254"/>
      <c r="H122" s="254"/>
      <c r="I122" s="254"/>
      <c r="J122" s="254"/>
      <c r="K122" s="254"/>
      <c r="L122" s="254"/>
      <c r="M122" s="254"/>
      <c r="N122" s="254"/>
      <c r="O122" s="248"/>
      <c r="Q122" s="5"/>
      <c r="R122" s="5"/>
      <c r="S122" s="5"/>
    </row>
    <row r="123" spans="2:19">
      <c r="B123" s="41"/>
      <c r="C123" s="254"/>
      <c r="D123" s="254"/>
      <c r="E123" s="254"/>
      <c r="F123" s="254"/>
      <c r="G123" s="254"/>
      <c r="H123" s="254"/>
      <c r="I123" s="254"/>
      <c r="J123" s="254"/>
      <c r="K123" s="254"/>
      <c r="L123" s="254"/>
      <c r="M123" s="254"/>
      <c r="N123" s="254"/>
      <c r="O123" s="248"/>
      <c r="Q123" s="5"/>
      <c r="R123" s="5"/>
      <c r="S123" s="5"/>
    </row>
    <row r="124" spans="2:19">
      <c r="B124" s="41"/>
      <c r="C124" s="254"/>
      <c r="D124" s="254"/>
      <c r="E124" s="254"/>
      <c r="F124" s="254"/>
      <c r="G124" s="254"/>
      <c r="H124" s="254"/>
      <c r="I124" s="254"/>
      <c r="J124" s="254"/>
      <c r="K124" s="254"/>
      <c r="L124" s="254"/>
      <c r="M124" s="254"/>
      <c r="N124" s="254"/>
      <c r="O124" s="248"/>
      <c r="Q124" s="5"/>
      <c r="R124" s="5"/>
      <c r="S124" s="5"/>
    </row>
    <row r="125" spans="2:19">
      <c r="B125" s="41"/>
      <c r="C125" s="254"/>
      <c r="D125" s="254"/>
      <c r="E125" s="254"/>
      <c r="F125" s="254"/>
      <c r="G125" s="254"/>
      <c r="H125" s="254"/>
      <c r="I125" s="254"/>
      <c r="J125" s="254"/>
      <c r="K125" s="254"/>
      <c r="L125" s="254"/>
      <c r="M125" s="254"/>
      <c r="N125" s="254"/>
      <c r="O125" s="5"/>
      <c r="Q125" s="5"/>
      <c r="R125" s="5"/>
      <c r="S125" s="5"/>
    </row>
    <row r="126" spans="2:19">
      <c r="B126" s="41"/>
      <c r="C126" s="254"/>
      <c r="D126" s="254"/>
      <c r="E126" s="254"/>
      <c r="F126" s="254"/>
      <c r="G126" s="254"/>
      <c r="H126" s="254"/>
      <c r="I126" s="254"/>
      <c r="J126" s="254"/>
      <c r="K126" s="254"/>
      <c r="L126" s="254"/>
      <c r="M126" s="254"/>
      <c r="N126" s="254"/>
      <c r="O126" s="5"/>
      <c r="Q126" s="5"/>
      <c r="R126" s="5"/>
      <c r="S126" s="5"/>
    </row>
    <row r="127" spans="2:19">
      <c r="B127" s="41"/>
      <c r="C127" s="254"/>
      <c r="D127" s="254"/>
      <c r="E127" s="254"/>
      <c r="F127" s="254"/>
      <c r="G127" s="254"/>
      <c r="H127" s="254"/>
      <c r="I127" s="18"/>
      <c r="J127" s="254"/>
      <c r="K127" s="254"/>
      <c r="L127" s="254"/>
      <c r="M127" s="254"/>
      <c r="N127" s="254"/>
      <c r="O127" s="5"/>
      <c r="Q127" s="5"/>
      <c r="R127" s="5"/>
      <c r="S127" s="5"/>
    </row>
    <row r="128" spans="2:19">
      <c r="B128" s="41"/>
      <c r="C128" s="254"/>
      <c r="D128" s="254"/>
      <c r="E128" s="254"/>
      <c r="F128" s="254"/>
      <c r="G128" s="254"/>
      <c r="H128" s="254"/>
      <c r="I128" s="5"/>
      <c r="J128" s="254"/>
      <c r="K128" s="254"/>
      <c r="L128" s="254"/>
      <c r="M128" s="254"/>
      <c r="N128" s="254"/>
      <c r="O128" s="5"/>
      <c r="Q128" s="5"/>
      <c r="R128" s="5"/>
      <c r="S128" s="5"/>
    </row>
    <row r="129" spans="2:27">
      <c r="B129" s="5"/>
      <c r="C129" s="5"/>
      <c r="D129" s="18"/>
      <c r="E129" s="18"/>
      <c r="F129" s="18"/>
      <c r="G129" s="18"/>
      <c r="H129" s="18"/>
      <c r="I129" s="254"/>
      <c r="J129" s="18"/>
      <c r="K129" s="18"/>
      <c r="L129" s="18"/>
      <c r="M129" s="18"/>
      <c r="N129" s="18"/>
      <c r="O129" s="5"/>
      <c r="Q129" s="5"/>
      <c r="R129" s="5"/>
      <c r="S129" s="5"/>
    </row>
    <row r="130" spans="2:27">
      <c r="B130" s="5"/>
      <c r="C130" s="5"/>
      <c r="D130" s="5"/>
      <c r="E130" s="5"/>
      <c r="F130" s="5"/>
      <c r="G130" s="5"/>
      <c r="H130" s="5"/>
      <c r="I130" s="18"/>
      <c r="J130" s="5"/>
      <c r="K130" s="5"/>
      <c r="L130" s="5"/>
      <c r="M130" s="5"/>
      <c r="N130" s="5"/>
      <c r="O130" s="5"/>
      <c r="Q130" s="5"/>
      <c r="R130" s="5"/>
      <c r="S130" s="5"/>
    </row>
    <row r="131" spans="2:27">
      <c r="B131" s="41"/>
      <c r="C131" s="254"/>
      <c r="D131" s="254"/>
      <c r="E131" s="254"/>
      <c r="F131" s="254"/>
      <c r="G131" s="254"/>
      <c r="H131" s="254"/>
      <c r="I131" s="5"/>
      <c r="J131" s="254"/>
      <c r="K131" s="254"/>
      <c r="L131" s="254"/>
      <c r="M131" s="254"/>
      <c r="N131" s="254"/>
      <c r="O131" s="5"/>
      <c r="Q131" s="5"/>
      <c r="R131" s="5"/>
      <c r="S131" s="5"/>
    </row>
    <row r="132" spans="2:27">
      <c r="B132" s="5"/>
      <c r="C132" s="259"/>
      <c r="D132" s="18"/>
      <c r="E132" s="18"/>
      <c r="F132" s="18"/>
      <c r="G132" s="18"/>
      <c r="H132" s="18"/>
      <c r="I132" s="5"/>
      <c r="J132" s="18"/>
      <c r="K132" s="18"/>
      <c r="L132" s="18"/>
      <c r="M132" s="18"/>
      <c r="N132" s="18"/>
      <c r="O132" s="5"/>
      <c r="Q132" s="5"/>
      <c r="R132" s="5"/>
      <c r="S132" s="5"/>
    </row>
    <row r="133" spans="2:27">
      <c r="B133" s="5"/>
      <c r="C133" s="5"/>
      <c r="D133" s="5"/>
      <c r="E133" s="5"/>
      <c r="F133" s="5"/>
      <c r="G133" s="5"/>
      <c r="H133" s="5"/>
      <c r="I133" s="17"/>
      <c r="J133" s="5"/>
      <c r="K133" s="5"/>
      <c r="L133" s="5"/>
      <c r="M133" s="5"/>
      <c r="N133" s="5"/>
      <c r="O133" s="5"/>
      <c r="Q133" s="5"/>
      <c r="R133" s="5"/>
      <c r="S133" s="5"/>
    </row>
    <row r="134" spans="2:27">
      <c r="B134" s="41"/>
      <c r="C134" s="5"/>
      <c r="D134" s="5"/>
      <c r="E134" s="5"/>
      <c r="F134" s="5"/>
      <c r="G134" s="5"/>
      <c r="H134" s="5"/>
      <c r="I134" s="17"/>
      <c r="J134" s="5"/>
      <c r="K134" s="5"/>
      <c r="L134" s="5"/>
      <c r="M134" s="5"/>
      <c r="N134" s="5"/>
      <c r="O134" s="5"/>
      <c r="Q134" s="5"/>
      <c r="R134" s="5"/>
      <c r="S134" s="5"/>
    </row>
    <row r="135" spans="2:27">
      <c r="B135" s="5"/>
      <c r="C135" s="17"/>
      <c r="D135" s="17"/>
      <c r="E135" s="17"/>
      <c r="F135" s="17"/>
      <c r="G135" s="17"/>
      <c r="H135" s="17"/>
      <c r="I135" s="17"/>
      <c r="J135" s="17"/>
      <c r="K135" s="17"/>
      <c r="L135" s="17"/>
      <c r="M135" s="17"/>
      <c r="N135" s="17"/>
      <c r="O135" s="5"/>
      <c r="Q135" s="41"/>
      <c r="R135" s="5"/>
      <c r="S135" s="5"/>
    </row>
    <row r="136" spans="2:27">
      <c r="B136" s="5"/>
      <c r="C136" s="17"/>
      <c r="D136" s="17"/>
      <c r="E136" s="17"/>
      <c r="F136" s="17"/>
      <c r="G136" s="17"/>
      <c r="H136" s="17"/>
      <c r="I136" s="17"/>
      <c r="J136" s="17"/>
      <c r="K136" s="17"/>
      <c r="L136" s="17"/>
      <c r="M136" s="17"/>
      <c r="N136" s="17"/>
      <c r="O136" s="5"/>
      <c r="Q136" s="5"/>
      <c r="R136" s="5"/>
      <c r="S136" s="5"/>
      <c r="X136" s="304"/>
    </row>
    <row r="137" spans="2:27">
      <c r="B137" s="5"/>
      <c r="C137" s="5"/>
      <c r="D137" s="17"/>
      <c r="E137" s="17"/>
      <c r="F137" s="17"/>
      <c r="G137" s="17"/>
      <c r="H137" s="17"/>
      <c r="I137" s="17"/>
      <c r="J137" s="17"/>
      <c r="K137" s="17"/>
      <c r="L137" s="17"/>
      <c r="M137" s="17"/>
      <c r="N137" s="17"/>
      <c r="O137" s="5"/>
      <c r="Q137" s="5"/>
      <c r="R137" s="5"/>
      <c r="S137" s="5"/>
      <c r="X137" s="10"/>
      <c r="Y137" s="304"/>
      <c r="Z137" s="304"/>
      <c r="AA137" s="304"/>
    </row>
    <row r="138" spans="2:27">
      <c r="B138" s="5"/>
      <c r="C138" s="5"/>
      <c r="D138" s="17"/>
      <c r="E138" s="17"/>
      <c r="F138" s="17"/>
      <c r="G138" s="17"/>
      <c r="H138" s="17"/>
      <c r="I138" s="17"/>
      <c r="J138" s="17"/>
      <c r="K138" s="17"/>
      <c r="L138" s="17"/>
      <c r="M138" s="17"/>
      <c r="N138" s="17"/>
      <c r="O138" s="5"/>
      <c r="Q138" s="5"/>
      <c r="R138" s="5"/>
      <c r="S138" s="5"/>
      <c r="Y138" s="10"/>
      <c r="Z138" s="10"/>
      <c r="AA138" s="10"/>
    </row>
    <row r="139" spans="2:27">
      <c r="B139" s="5"/>
      <c r="C139" s="5"/>
      <c r="D139" s="17"/>
      <c r="E139" s="17"/>
      <c r="F139" s="17"/>
      <c r="G139" s="17"/>
      <c r="H139" s="17"/>
      <c r="I139" s="5"/>
      <c r="J139" s="17"/>
      <c r="K139" s="17"/>
      <c r="L139" s="17"/>
      <c r="M139" s="17"/>
      <c r="N139" s="17"/>
      <c r="O139" s="5"/>
      <c r="Q139" s="5"/>
      <c r="R139" s="5"/>
      <c r="S139" s="5"/>
    </row>
    <row r="140" spans="2:27">
      <c r="B140" s="5"/>
      <c r="C140" s="17"/>
      <c r="D140" s="17"/>
      <c r="E140" s="17"/>
      <c r="F140" s="17"/>
      <c r="G140" s="17"/>
      <c r="H140" s="17"/>
      <c r="I140" s="5"/>
      <c r="J140" s="17"/>
      <c r="K140" s="17"/>
      <c r="L140" s="17"/>
      <c r="M140" s="17"/>
      <c r="N140" s="17"/>
      <c r="O140" s="5"/>
      <c r="Q140" s="5"/>
      <c r="R140" s="5"/>
      <c r="S140" s="5"/>
    </row>
    <row r="141" spans="2:27">
      <c r="B141" s="5"/>
      <c r="C141" s="5"/>
      <c r="D141" s="5"/>
      <c r="E141" s="5"/>
      <c r="F141" s="5"/>
      <c r="G141" s="5"/>
      <c r="H141" s="5"/>
      <c r="I141" s="5"/>
      <c r="J141" s="5"/>
      <c r="K141" s="5"/>
      <c r="L141" s="5"/>
      <c r="M141" s="5"/>
      <c r="N141" s="5"/>
      <c r="O141" s="5"/>
      <c r="Q141" s="5"/>
      <c r="R141" s="5"/>
      <c r="S141" s="5"/>
    </row>
    <row r="142" spans="2:27">
      <c r="B142" s="5"/>
      <c r="C142" s="5"/>
      <c r="D142" s="5"/>
      <c r="E142" s="5"/>
      <c r="F142" s="5"/>
      <c r="G142" s="5"/>
      <c r="H142" s="5"/>
      <c r="I142" s="5"/>
      <c r="J142" s="5"/>
      <c r="K142" s="5"/>
      <c r="L142" s="5"/>
      <c r="M142" s="5"/>
      <c r="N142" s="5"/>
      <c r="O142" s="5"/>
      <c r="Q142" s="5"/>
      <c r="R142" s="5"/>
      <c r="S142" s="5"/>
    </row>
    <row r="143" spans="2:27">
      <c r="B143" s="5"/>
      <c r="C143" s="5"/>
      <c r="D143" s="5"/>
      <c r="E143" s="5"/>
      <c r="F143" s="5"/>
      <c r="G143" s="5"/>
      <c r="H143" s="5"/>
      <c r="I143" s="5"/>
      <c r="J143" s="5"/>
      <c r="K143" s="5"/>
      <c r="L143" s="5"/>
      <c r="M143" s="5"/>
      <c r="N143" s="5"/>
      <c r="O143" s="5"/>
      <c r="Q143" s="5"/>
      <c r="R143" s="5"/>
      <c r="S143" s="5"/>
    </row>
    <row r="144" spans="2:27">
      <c r="B144" s="5"/>
      <c r="C144" s="5"/>
      <c r="D144" s="5"/>
      <c r="E144" s="5"/>
      <c r="F144" s="5"/>
      <c r="G144" s="5"/>
      <c r="H144" s="5"/>
      <c r="I144" s="5"/>
      <c r="J144" s="5"/>
      <c r="K144" s="5"/>
      <c r="L144" s="5"/>
      <c r="M144" s="5"/>
      <c r="N144" s="5"/>
      <c r="O144" s="5"/>
      <c r="Q144" s="5"/>
      <c r="R144" s="5"/>
      <c r="S144" s="5"/>
    </row>
    <row r="145" spans="2:19">
      <c r="B145" s="5"/>
      <c r="C145" s="5"/>
      <c r="D145" s="5"/>
      <c r="E145" s="5"/>
      <c r="F145" s="5"/>
      <c r="G145" s="5"/>
      <c r="H145" s="5"/>
      <c r="I145" s="5"/>
      <c r="J145" s="5"/>
      <c r="K145" s="5"/>
      <c r="L145" s="5"/>
      <c r="M145" s="5"/>
      <c r="N145" s="5"/>
      <c r="O145" s="5"/>
      <c r="Q145" s="5"/>
      <c r="R145" s="5"/>
      <c r="S145" s="5"/>
    </row>
    <row r="146" spans="2:19">
      <c r="B146" s="5"/>
      <c r="C146" s="5"/>
      <c r="D146" s="5"/>
      <c r="E146" s="5"/>
      <c r="F146" s="5"/>
      <c r="G146" s="5"/>
      <c r="H146" s="5"/>
      <c r="I146" s="5"/>
      <c r="J146" s="5"/>
      <c r="K146" s="5"/>
      <c r="L146" s="5"/>
      <c r="M146" s="5"/>
      <c r="N146" s="5"/>
      <c r="O146" s="5"/>
      <c r="Q146" s="5"/>
      <c r="R146" s="5"/>
      <c r="S146" s="5"/>
    </row>
    <row r="147" spans="2:19">
      <c r="B147" s="5"/>
      <c r="C147" s="5"/>
      <c r="D147" s="5"/>
      <c r="E147" s="5"/>
      <c r="F147" s="5"/>
      <c r="G147" s="5"/>
      <c r="H147" s="5"/>
      <c r="I147" s="5"/>
      <c r="J147" s="5"/>
      <c r="K147" s="5"/>
      <c r="L147" s="5"/>
      <c r="M147" s="5"/>
      <c r="N147" s="5"/>
      <c r="O147" s="5"/>
      <c r="Q147" s="5"/>
      <c r="R147" s="5"/>
      <c r="S147" s="5"/>
    </row>
    <row r="148" spans="2:19">
      <c r="B148" s="5"/>
      <c r="C148" s="5"/>
      <c r="D148" s="5"/>
      <c r="E148" s="5"/>
      <c r="F148" s="5"/>
      <c r="G148" s="5"/>
      <c r="H148" s="5"/>
      <c r="I148" s="5"/>
      <c r="J148" s="5"/>
      <c r="K148" s="5"/>
      <c r="L148" s="5"/>
      <c r="M148" s="5"/>
      <c r="N148" s="5"/>
      <c r="O148" s="5"/>
      <c r="Q148" s="5"/>
      <c r="R148" s="5"/>
      <c r="S148" s="5"/>
    </row>
    <row r="149" spans="2:19">
      <c r="B149" s="5"/>
      <c r="C149" s="5"/>
      <c r="D149" s="5"/>
      <c r="E149" s="5"/>
      <c r="F149" s="5"/>
      <c r="G149" s="5"/>
      <c r="H149" s="5"/>
      <c r="J149" s="5"/>
      <c r="K149" s="5"/>
      <c r="L149" s="5"/>
      <c r="M149" s="5"/>
      <c r="N149" s="5"/>
      <c r="O149" s="5"/>
      <c r="Q149" s="5"/>
      <c r="R149" s="5"/>
      <c r="S149" s="5"/>
    </row>
    <row r="150" spans="2:19">
      <c r="B150" s="5"/>
      <c r="C150" s="5"/>
      <c r="D150" s="5"/>
      <c r="E150" s="5"/>
      <c r="F150" s="5"/>
      <c r="G150" s="5"/>
      <c r="H150" s="5"/>
      <c r="J150" s="5"/>
      <c r="K150" s="5"/>
      <c r="L150" s="5"/>
      <c r="M150" s="5"/>
      <c r="N150" s="5"/>
      <c r="O150" s="5"/>
      <c r="Q150" s="5"/>
      <c r="R150" s="5"/>
      <c r="S150" s="5"/>
    </row>
    <row r="151" spans="2:19">
      <c r="Q151" s="5"/>
      <c r="R151" s="5"/>
      <c r="S151" s="5"/>
    </row>
    <row r="152" spans="2:19">
      <c r="Q152" s="5"/>
      <c r="R152" s="5"/>
      <c r="S152" s="5"/>
    </row>
    <row r="153" spans="2:19">
      <c r="C153" s="263"/>
      <c r="Q153" s="5"/>
      <c r="R153" s="5"/>
      <c r="S153" s="5"/>
    </row>
    <row r="154" spans="2:19">
      <c r="Q154" s="5"/>
      <c r="R154" s="5"/>
      <c r="S154" s="5"/>
    </row>
    <row r="155" spans="2:19">
      <c r="Q155" s="5"/>
      <c r="R155" s="5"/>
      <c r="S155" s="5"/>
    </row>
    <row r="156" spans="2:19">
      <c r="Q156" s="5"/>
      <c r="R156" s="5"/>
      <c r="S156" s="5"/>
    </row>
    <row r="157" spans="2:19">
      <c r="Q157" s="5"/>
      <c r="R157" s="5"/>
      <c r="S157" s="5"/>
    </row>
    <row r="158" spans="2:19">
      <c r="Q158" s="5"/>
      <c r="R158" s="5"/>
      <c r="S158" s="5"/>
    </row>
    <row r="159" spans="2:19">
      <c r="Q159" s="5"/>
      <c r="R159" s="5"/>
      <c r="S159" s="5"/>
    </row>
    <row r="160" spans="2:19">
      <c r="Q160" s="5"/>
      <c r="R160" s="5"/>
      <c r="S160" s="5"/>
    </row>
    <row r="161" spans="17:19">
      <c r="Q161" s="5"/>
      <c r="R161" s="5"/>
      <c r="S161" s="5"/>
    </row>
    <row r="162" spans="17:19">
      <c r="Q162" s="5"/>
      <c r="R162" s="5"/>
      <c r="S162" s="5"/>
    </row>
    <row r="163" spans="17:19">
      <c r="Q163" s="5"/>
      <c r="R163" s="5"/>
      <c r="S163" s="5"/>
    </row>
    <row r="164" spans="17:19">
      <c r="Q164" s="5"/>
      <c r="R164" s="5"/>
      <c r="S164" s="5"/>
    </row>
    <row r="165" spans="17:19">
      <c r="Q165" s="5"/>
      <c r="R165" s="5"/>
      <c r="S165" s="5"/>
    </row>
  </sheetData>
  <phoneticPr fontId="7" type="noConversion"/>
  <hyperlinks>
    <hyperlink ref="C2" location="TSONSOP!A1" display="Jump to TSON SOP" xr:uid="{00000000-0004-0000-6F00-000001000000}"/>
  </hyperlinks>
  <pageMargins left="0.75" right="0.75" top="1" bottom="1" header="0.5" footer="0.5"/>
  <pageSetup scale="71" orientation="landscape" r:id="rId1"/>
  <headerFooter alignWithMargins="0"/>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sheetPr codeName="Sheet12">
    <pageSetUpPr fitToPage="1"/>
  </sheetPr>
  <dimension ref="B1:AR165"/>
  <sheetViews>
    <sheetView showGridLines="0" zoomScale="80" zoomScaleNormal="80" workbookViewId="0">
      <selection activeCell="D15" sqref="D15:G15"/>
    </sheetView>
  </sheetViews>
  <sheetFormatPr defaultColWidth="9.109375" defaultRowHeight="12"/>
  <cols>
    <col min="1" max="1" width="2.33203125" style="39" customWidth="1"/>
    <col min="2" max="2" width="26.5546875" style="39" customWidth="1"/>
    <col min="3" max="9" width="10" style="39" customWidth="1"/>
    <col min="10" max="10" width="26.6640625" style="39" customWidth="1"/>
    <col min="11" max="16" width="10" style="39" customWidth="1"/>
    <col min="17" max="19" width="8.6640625" style="39" customWidth="1"/>
    <col min="20" max="28" width="8.6640625" style="5" customWidth="1"/>
    <col min="29" max="44" width="9.109375" style="5"/>
    <col min="45" max="16384" width="9.109375" style="39"/>
  </cols>
  <sheetData>
    <row r="1" spans="2:44" s="312" customFormat="1">
      <c r="T1" s="149"/>
      <c r="U1" s="149"/>
      <c r="V1" s="149"/>
      <c r="W1" s="149"/>
      <c r="X1" s="149"/>
      <c r="Y1" s="149"/>
      <c r="Z1" s="149"/>
      <c r="AA1" s="149"/>
      <c r="AB1" s="149"/>
      <c r="AC1" s="149"/>
      <c r="AD1" s="149"/>
      <c r="AE1" s="149"/>
      <c r="AF1" s="149"/>
      <c r="AG1" s="149"/>
      <c r="AH1" s="149"/>
      <c r="AI1" s="149"/>
      <c r="AJ1" s="149"/>
      <c r="AK1" s="149"/>
      <c r="AL1" s="149"/>
      <c r="AM1" s="149"/>
      <c r="AN1" s="149"/>
      <c r="AO1" s="149"/>
      <c r="AP1" s="149"/>
      <c r="AQ1" s="149"/>
      <c r="AR1" s="149"/>
    </row>
    <row r="2" spans="2:44" s="149" customFormat="1"/>
    <row r="3" spans="2:44" s="149" customFormat="1">
      <c r="H3" s="153"/>
      <c r="P3" s="153"/>
    </row>
    <row r="4" spans="2:44" s="156" customFormat="1" ht="21">
      <c r="B4" s="129" t="s">
        <v>597</v>
      </c>
      <c r="H4" s="222"/>
      <c r="P4" s="222"/>
    </row>
    <row r="5" spans="2:44" s="149" customFormat="1">
      <c r="C5" s="153"/>
      <c r="D5" s="153" t="str" cm="1">
        <f t="array" ref="D5:H5">headings</f>
        <v>2023E</v>
      </c>
      <c r="E5" s="153" t="str">
        <v>2024E</v>
      </c>
      <c r="F5" s="153" t="str">
        <v>2025E</v>
      </c>
      <c r="G5" s="153" t="str">
        <v>2026E</v>
      </c>
      <c r="H5" s="153" t="str">
        <v>23E-26E</v>
      </c>
      <c r="I5" s="153"/>
      <c r="J5" s="153"/>
      <c r="K5" s="153"/>
      <c r="L5" s="153" t="str" cm="1">
        <f t="array" ref="L5:P5">headings</f>
        <v>2023E</v>
      </c>
      <c r="M5" s="153" t="str">
        <v>2024E</v>
      </c>
      <c r="N5" s="153" t="str">
        <v>2025E</v>
      </c>
      <c r="O5" s="153" t="str">
        <v>2026E</v>
      </c>
      <c r="P5" s="153" t="str">
        <v>23E-26E</v>
      </c>
      <c r="Q5" s="162"/>
      <c r="R5" s="162"/>
      <c r="S5" s="162"/>
      <c r="T5" s="162"/>
      <c r="U5" s="162"/>
      <c r="V5" s="162"/>
      <c r="W5" s="162"/>
      <c r="X5" s="162"/>
      <c r="Y5" s="162"/>
    </row>
    <row r="6" spans="2:44">
      <c r="I6" s="5"/>
      <c r="J6" s="5"/>
      <c r="K6" s="5"/>
      <c r="L6" s="5"/>
      <c r="M6" s="5"/>
      <c r="N6" s="5"/>
      <c r="O6" s="49"/>
    </row>
    <row r="7" spans="2:44" ht="12.6" thickBot="1">
      <c r="B7" s="306" t="s">
        <v>271</v>
      </c>
      <c r="C7" s="265"/>
      <c r="D7" s="265" t="str">
        <f>D5</f>
        <v>2023E</v>
      </c>
      <c r="E7" s="265" t="str">
        <f t="shared" ref="E7:H7" si="0">E5</f>
        <v>2024E</v>
      </c>
      <c r="F7" s="265" t="str">
        <f t="shared" si="0"/>
        <v>2025E</v>
      </c>
      <c r="G7" s="265" t="str">
        <f t="shared" si="0"/>
        <v>2026E</v>
      </c>
      <c r="H7" s="265" t="str">
        <f t="shared" si="0"/>
        <v>23E-26E</v>
      </c>
      <c r="I7" s="49"/>
      <c r="J7" s="306" t="s">
        <v>35</v>
      </c>
      <c r="K7" s="306"/>
      <c r="L7" s="265" t="str">
        <f>L5</f>
        <v>2023E</v>
      </c>
      <c r="M7" s="265" t="str">
        <f t="shared" ref="M7:P7" si="1">M5</f>
        <v>2024E</v>
      </c>
      <c r="N7" s="265" t="str">
        <f t="shared" si="1"/>
        <v>2025E</v>
      </c>
      <c r="O7" s="265" t="str">
        <f t="shared" si="1"/>
        <v>2026E</v>
      </c>
      <c r="P7" s="265" t="str">
        <f t="shared" si="1"/>
        <v>23E-26E</v>
      </c>
    </row>
    <row r="8" spans="2:44" ht="12.6" thickTop="1">
      <c r="B8" s="5"/>
      <c r="C8" s="5"/>
      <c r="D8" s="5"/>
      <c r="E8" s="5"/>
      <c r="F8" s="5"/>
      <c r="G8" s="5"/>
      <c r="H8" s="5"/>
      <c r="I8" s="5"/>
      <c r="J8" s="5"/>
      <c r="K8" s="5"/>
      <c r="L8" s="5"/>
      <c r="M8" s="5"/>
      <c r="N8" s="5"/>
      <c r="S8" s="88"/>
      <c r="T8" s="42"/>
      <c r="U8" s="42"/>
      <c r="V8" s="42"/>
      <c r="W8" s="42"/>
      <c r="X8" s="42"/>
      <c r="Y8" s="42"/>
      <c r="Z8" s="42"/>
      <c r="AA8" s="42"/>
    </row>
    <row r="9" spans="2:44">
      <c r="B9" s="41" t="s">
        <v>272</v>
      </c>
      <c r="C9" s="267">
        <f>Prices!C16</f>
        <v>0.27050000000000002</v>
      </c>
      <c r="D9" s="533">
        <v>6027.7916990000003</v>
      </c>
      <c r="E9" s="533">
        <v>6027.7916990000003</v>
      </c>
      <c r="F9" s="533">
        <v>6027.7916990000003</v>
      </c>
      <c r="G9" s="533">
        <v>6027.7916990000003</v>
      </c>
      <c r="H9" s="249" t="s">
        <v>8</v>
      </c>
      <c r="I9" s="249"/>
      <c r="J9" s="5" t="s">
        <v>273</v>
      </c>
      <c r="L9" s="529">
        <f>'W.EUR INCUMB'!D37</f>
        <v>2.1820368783030246</v>
      </c>
      <c r="M9" s="529">
        <f>'W.EUR INCUMB'!E37</f>
        <v>2.0995807894380842</v>
      </c>
      <c r="N9" s="529">
        <f>'W.EUR INCUMB'!F37</f>
        <v>2.0073776110351829</v>
      </c>
      <c r="O9" s="529">
        <f>'W.EUR INCUMB'!G37</f>
        <v>1.9004321192081457</v>
      </c>
      <c r="P9" s="279">
        <f>'W.EUR INCUMB'!H37</f>
        <v>1.5546449189376421E-2</v>
      </c>
      <c r="S9" s="88"/>
      <c r="T9" s="42"/>
      <c r="U9" s="42"/>
      <c r="V9" s="42"/>
      <c r="W9" s="42"/>
      <c r="X9" s="42"/>
      <c r="Y9" s="42"/>
      <c r="Z9" s="42"/>
      <c r="AA9" s="42"/>
    </row>
    <row r="10" spans="2:44">
      <c r="B10" s="5" t="s">
        <v>274</v>
      </c>
      <c r="C10" s="267">
        <f>Prices!C15</f>
        <v>0.24629999999999999</v>
      </c>
      <c r="D10" s="531">
        <v>15213.524299999997</v>
      </c>
      <c r="E10" s="531">
        <v>15213.524299999997</v>
      </c>
      <c r="F10" s="531">
        <v>15213.524299999997</v>
      </c>
      <c r="G10" s="531">
        <v>15213.524299999997</v>
      </c>
      <c r="H10" s="249" t="s">
        <v>7</v>
      </c>
      <c r="I10" s="247"/>
      <c r="J10" s="5" t="s">
        <v>184</v>
      </c>
      <c r="L10" s="529">
        <f>'W.EUR INCUMB'!D38</f>
        <v>6.6561389315824204</v>
      </c>
      <c r="M10" s="529">
        <f>'W.EUR INCUMB'!E38</f>
        <v>6.276659180358183</v>
      </c>
      <c r="N10" s="529">
        <f>'W.EUR INCUMB'!F38</f>
        <v>5.9086011977805715</v>
      </c>
      <c r="O10" s="529">
        <f>'W.EUR INCUMB'!G38</f>
        <v>5.5249848727361259</v>
      </c>
      <c r="P10" s="279">
        <f>'W.EUR INCUMB'!H38</f>
        <v>3.1953936851226938E-2</v>
      </c>
      <c r="S10" s="88"/>
      <c r="T10" s="42"/>
      <c r="U10" s="42"/>
      <c r="V10" s="42"/>
      <c r="W10" s="288"/>
      <c r="X10" s="288"/>
      <c r="Y10" s="288"/>
      <c r="Z10" s="288"/>
      <c r="AA10" s="42"/>
    </row>
    <row r="11" spans="2:44">
      <c r="B11" s="41" t="s">
        <v>275</v>
      </c>
      <c r="D11" s="532">
        <f>(D10*$C$10)+(D9*$C$9)</f>
        <v>5377.6086896694997</v>
      </c>
      <c r="E11" s="532">
        <f>(E10*$C$10)+(E9*$C$9)</f>
        <v>5377.6086896694997</v>
      </c>
      <c r="F11" s="532">
        <f>(F10*$C$10)+(F9*$C$9)</f>
        <v>5377.6086896694997</v>
      </c>
      <c r="G11" s="532">
        <f>(G10*$C$10)+(G9*$C$9)</f>
        <v>5377.6086896694997</v>
      </c>
      <c r="H11" s="249"/>
      <c r="I11" s="249"/>
      <c r="J11" s="5" t="s">
        <v>185</v>
      </c>
      <c r="L11" s="529">
        <f>'W.EUR INCUMB'!D39</f>
        <v>13.860323858751276</v>
      </c>
      <c r="M11" s="529">
        <f>'W.EUR INCUMB'!E39</f>
        <v>12.09622383745986</v>
      </c>
      <c r="N11" s="529">
        <f>'W.EUR INCUMB'!F39</f>
        <v>10.876080155020103</v>
      </c>
      <c r="O11" s="529">
        <f>'W.EUR INCUMB'!G39</f>
        <v>9.7993857809910292</v>
      </c>
      <c r="P11" s="279">
        <f>'W.EUR INCUMB'!H39</f>
        <v>8.864945159447446E-2</v>
      </c>
      <c r="S11" s="88"/>
      <c r="T11" s="42"/>
      <c r="U11" s="42"/>
      <c r="V11" s="42"/>
      <c r="W11" s="288"/>
      <c r="X11" s="288"/>
      <c r="Y11" s="288"/>
      <c r="Z11" s="288"/>
      <c r="AA11" s="42"/>
    </row>
    <row r="12" spans="2:44">
      <c r="B12" s="5" t="s">
        <v>24</v>
      </c>
      <c r="C12" s="249"/>
      <c r="D12" s="533">
        <v>20343.363882101308</v>
      </c>
      <c r="E12" s="533">
        <v>20410.952238983409</v>
      </c>
      <c r="F12" s="533">
        <v>20228.624513579187</v>
      </c>
      <c r="G12" s="533">
        <v>19632.956568416015</v>
      </c>
      <c r="H12" s="247"/>
      <c r="I12" s="247"/>
      <c r="J12" s="5" t="s">
        <v>466</v>
      </c>
      <c r="L12" s="529">
        <f>'W.EUR INCUMB'!D40</f>
        <v>18.773170831659439</v>
      </c>
      <c r="M12" s="529">
        <f>'W.EUR INCUMB'!E40</f>
        <v>16.316100899802951</v>
      </c>
      <c r="N12" s="529">
        <f>'W.EUR INCUMB'!F40</f>
        <v>14.678691432593167</v>
      </c>
      <c r="O12" s="529">
        <f>'W.EUR INCUMB'!G40</f>
        <v>13.250660214807615</v>
      </c>
      <c r="P12" s="279">
        <f>'W.EUR INCUMB'!H40</f>
        <v>8.9255902689365119E-2</v>
      </c>
      <c r="S12" s="88"/>
      <c r="T12" s="42"/>
      <c r="U12" s="42"/>
      <c r="V12" s="42"/>
      <c r="W12" s="288"/>
      <c r="X12" s="288"/>
      <c r="Y12" s="288"/>
      <c r="Z12" s="288"/>
      <c r="AA12" s="42"/>
    </row>
    <row r="13" spans="2:44">
      <c r="B13" s="5" t="s">
        <v>529</v>
      </c>
      <c r="C13" s="257"/>
      <c r="D13" s="533">
        <v>2302.9971980871569</v>
      </c>
      <c r="E13" s="533">
        <v>2436.2156371417809</v>
      </c>
      <c r="F13" s="533">
        <v>2579.5586775645561</v>
      </c>
      <c r="G13" s="533">
        <v>2733.7957890594625</v>
      </c>
      <c r="H13" s="247"/>
      <c r="I13" s="247"/>
      <c r="J13" s="5" t="s">
        <v>530</v>
      </c>
      <c r="L13" s="529">
        <f>'W.EUR INCUMB'!D41</f>
        <v>1.4554049615742648</v>
      </c>
      <c r="M13" s="529">
        <f>'W.EUR INCUMB'!E41</f>
        <v>1.3652506578772214</v>
      </c>
      <c r="N13" s="529">
        <f>'W.EUR INCUMB'!F41</f>
        <v>1.2968813123150413</v>
      </c>
      <c r="O13" s="529">
        <f>'W.EUR INCUMB'!G41</f>
        <v>1.2281427713802577</v>
      </c>
      <c r="P13" s="279">
        <f>'W.EUR INCUMB'!H41</f>
        <v>2.6301307293472354E-2</v>
      </c>
      <c r="S13" s="88"/>
      <c r="T13" s="42"/>
      <c r="U13" s="42"/>
      <c r="V13" s="42"/>
      <c r="W13" s="42"/>
      <c r="X13" s="42"/>
      <c r="Y13" s="42"/>
      <c r="Z13" s="42"/>
      <c r="AA13" s="42"/>
    </row>
    <row r="14" spans="2:44">
      <c r="B14" s="5" t="s">
        <v>532</v>
      </c>
      <c r="C14" s="257"/>
      <c r="D14" s="533">
        <v>359.50080000000003</v>
      </c>
      <c r="E14" s="533">
        <v>359.50080000000003</v>
      </c>
      <c r="F14" s="533">
        <v>359.50080000000003</v>
      </c>
      <c r="G14" s="533">
        <v>359.50080000000003</v>
      </c>
      <c r="H14" s="247"/>
      <c r="I14" s="247"/>
      <c r="J14" s="5" t="s">
        <v>593</v>
      </c>
      <c r="L14" s="529">
        <f>'W.EUR INCUMB'!D42</f>
        <v>3.3234793761102739</v>
      </c>
      <c r="M14" s="529">
        <f>'W.EUR INCUMB'!E42</f>
        <v>3.2424169171692641</v>
      </c>
      <c r="N14" s="529">
        <f>'W.EUR INCUMB'!F42</f>
        <v>3.1662515332190617</v>
      </c>
      <c r="O14" s="529">
        <f>'W.EUR INCUMB'!G42</f>
        <v>3.0630241710617754</v>
      </c>
      <c r="P14" s="279">
        <f>'W.EUR INCUMB'!H42</f>
        <v>-3.4232783193558491E-3</v>
      </c>
      <c r="S14" s="88"/>
      <c r="T14" s="42"/>
      <c r="U14" s="42"/>
      <c r="V14" s="42"/>
      <c r="W14" s="42"/>
      <c r="X14" s="42"/>
      <c r="Y14" s="42"/>
      <c r="Z14" s="42"/>
      <c r="AA14" s="42"/>
    </row>
    <row r="15" spans="2:44">
      <c r="B15" s="5" t="s">
        <v>531</v>
      </c>
      <c r="C15" s="274"/>
      <c r="D15" s="533">
        <v>4158.3433296348257</v>
      </c>
      <c r="E15" s="533">
        <v>4158.3433296348257</v>
      </c>
      <c r="F15" s="533">
        <v>4158.3433296348257</v>
      </c>
      <c r="G15" s="533">
        <v>4158.3433296348257</v>
      </c>
      <c r="H15" s="247"/>
      <c r="I15" s="247"/>
      <c r="J15" s="5" t="s">
        <v>475</v>
      </c>
      <c r="L15" s="529">
        <f>'W.EUR INCUMB'!D43</f>
        <v>15.36919487731438</v>
      </c>
      <c r="M15" s="529">
        <f>'W.EUR INCUMB'!E43</f>
        <v>13.900480990887658</v>
      </c>
      <c r="N15" s="529">
        <f>'W.EUR INCUMB'!F43</f>
        <v>11.808036199618913</v>
      </c>
      <c r="O15" s="529">
        <f>'W.EUR INCUMB'!G43</f>
        <v>10.77079458313478</v>
      </c>
      <c r="P15" s="279">
        <f>'W.EUR INCUMB'!H43</f>
        <v>0.11736524628436351</v>
      </c>
      <c r="S15" s="88"/>
      <c r="T15" s="42"/>
      <c r="U15" s="42"/>
      <c r="V15" s="42"/>
      <c r="W15" s="42"/>
      <c r="X15" s="42"/>
      <c r="Y15" s="42"/>
      <c r="Z15" s="42"/>
      <c r="AA15" s="42"/>
    </row>
    <row r="16" spans="2:44">
      <c r="B16" s="5" t="s">
        <v>534</v>
      </c>
      <c r="C16" s="257"/>
      <c r="D16" s="533">
        <v>0</v>
      </c>
      <c r="E16" s="533">
        <v>198.917126067</v>
      </c>
      <c r="F16" s="533">
        <v>265.222834756</v>
      </c>
      <c r="G16" s="533">
        <v>331.52854344499997</v>
      </c>
      <c r="H16" s="247"/>
      <c r="I16" s="247"/>
      <c r="J16" s="5" t="s">
        <v>533</v>
      </c>
      <c r="L16" s="529">
        <f>'W.EUR INCUMB'!D44</f>
        <v>13.849445280082518</v>
      </c>
      <c r="M16" s="529">
        <f>'W.EUR INCUMB'!E44</f>
        <v>12.437286696089576</v>
      </c>
      <c r="N16" s="529">
        <f>'W.EUR INCUMB'!F44</f>
        <v>11.380437598490861</v>
      </c>
      <c r="O16" s="529">
        <f>'W.EUR INCUMB'!G44</f>
        <v>10.478743141097034</v>
      </c>
      <c r="P16" s="279">
        <f>'W.EUR INCUMB'!H44</f>
        <v>9.2323853476973694E-2</v>
      </c>
      <c r="S16" s="88"/>
      <c r="T16" s="42"/>
      <c r="U16" s="42"/>
      <c r="V16" s="42"/>
      <c r="W16" s="42"/>
      <c r="X16" s="42"/>
      <c r="Y16" s="42"/>
      <c r="Z16" s="42"/>
      <c r="AA16" s="42"/>
    </row>
    <row r="17" spans="2:27">
      <c r="B17" s="5" t="s">
        <v>6</v>
      </c>
      <c r="C17" s="257"/>
      <c r="D17" s="533">
        <v>0</v>
      </c>
      <c r="E17" s="533">
        <v>0</v>
      </c>
      <c r="F17" s="533">
        <v>0</v>
      </c>
      <c r="G17" s="533">
        <v>0</v>
      </c>
      <c r="H17" s="247"/>
      <c r="I17" s="247"/>
      <c r="J17" s="5" t="s">
        <v>580</v>
      </c>
      <c r="L17" s="248">
        <f>'W.EUR INCUMB'!D45</f>
        <v>4.9929768285127372E-2</v>
      </c>
      <c r="M17" s="248">
        <f>'W.EUR INCUMB'!E45</f>
        <v>5.2540326500089954E-2</v>
      </c>
      <c r="N17" s="248">
        <f>'W.EUR INCUMB'!F45</f>
        <v>5.4852141769022943E-2</v>
      </c>
      <c r="O17" s="248">
        <f>'W.EUR INCUMB'!G45</f>
        <v>5.8322596586761276E-2</v>
      </c>
      <c r="P17" s="279">
        <f>'W.EUR INCUMB'!H45</f>
        <v>4.8261067786518064E-2</v>
      </c>
      <c r="S17" s="88"/>
      <c r="T17" s="42"/>
      <c r="U17" s="42"/>
      <c r="V17" s="42"/>
      <c r="W17" s="42"/>
      <c r="X17" s="42"/>
      <c r="Y17" s="42"/>
      <c r="Z17" s="42"/>
      <c r="AA17" s="42"/>
    </row>
    <row r="18" spans="2:27" ht="12.6" thickBot="1">
      <c r="B18" s="41" t="s">
        <v>583</v>
      </c>
      <c r="C18" s="249"/>
      <c r="D18" s="534">
        <f>D11+D12+D13-D14+D15-D16-D17</f>
        <v>31822.812299492787</v>
      </c>
      <c r="E18" s="534">
        <f>E11+E12+E13-E14+E15-E16-E17</f>
        <v>31824.701969362512</v>
      </c>
      <c r="F18" s="534">
        <f>F11+F12+F13-F14+F15-F16-F17</f>
        <v>31719.411575692069</v>
      </c>
      <c r="G18" s="534">
        <f>G11+G12+G13-G14+G15-G16-G17</f>
        <v>31211.675033334803</v>
      </c>
      <c r="H18" s="276">
        <f>IF(D18=0,"nm",IF(G18=0,"nm",(G18/D18)^(1/3)-1))</f>
        <v>-6.4428803647160748E-3</v>
      </c>
      <c r="I18" s="254"/>
      <c r="J18" s="5" t="s">
        <v>36</v>
      </c>
      <c r="L18" s="248">
        <f>'W.EUR INCUMB'!D46</f>
        <v>4.9929768285127372E-2</v>
      </c>
      <c r="M18" s="248">
        <f>'W.EUR INCUMB'!E46</f>
        <v>5.2540326500089954E-2</v>
      </c>
      <c r="N18" s="248">
        <f>'W.EUR INCUMB'!F46</f>
        <v>5.4852141769022943E-2</v>
      </c>
      <c r="O18" s="248">
        <f>'W.EUR INCUMB'!G46</f>
        <v>5.8322596586761276E-2</v>
      </c>
      <c r="P18" s="279">
        <f>'W.EUR INCUMB'!H46</f>
        <v>4.8261067786518064E-2</v>
      </c>
      <c r="S18" s="88"/>
      <c r="T18" s="42"/>
      <c r="U18" s="42"/>
      <c r="V18" s="42"/>
      <c r="W18" s="42"/>
      <c r="X18" s="42"/>
      <c r="Y18" s="42"/>
      <c r="Z18" s="42"/>
      <c r="AA18" s="42"/>
    </row>
    <row r="19" spans="2:27" ht="12.6" thickTop="1">
      <c r="B19" s="41"/>
      <c r="C19" s="249"/>
      <c r="D19" s="229"/>
      <c r="E19" s="229"/>
      <c r="F19" s="229"/>
      <c r="G19" s="229"/>
      <c r="H19" s="276"/>
      <c r="I19" s="254"/>
      <c r="J19" s="5" t="s">
        <v>581</v>
      </c>
      <c r="L19" s="248">
        <f>'W.EUR INCUMB'!D47</f>
        <v>6.5065217012508891E-2</v>
      </c>
      <c r="M19" s="248">
        <f>'W.EUR INCUMB'!E47</f>
        <v>7.1939956657294191E-2</v>
      </c>
      <c r="N19" s="248">
        <f>'W.EUR INCUMB'!F47</f>
        <v>8.4688087256395234E-2</v>
      </c>
      <c r="O19" s="248">
        <f>'W.EUR INCUMB'!G47</f>
        <v>9.2843660909272999E-2</v>
      </c>
      <c r="P19" s="279">
        <f>'W.EUR INCUMB'!H47</f>
        <v>0.11736524628436351</v>
      </c>
      <c r="S19" s="88"/>
      <c r="T19" s="42"/>
      <c r="U19" s="42"/>
      <c r="V19" s="42"/>
      <c r="W19" s="42"/>
      <c r="X19" s="42"/>
      <c r="Y19" s="42"/>
      <c r="Z19" s="42"/>
      <c r="AA19" s="42"/>
    </row>
    <row r="20" spans="2:27">
      <c r="H20" s="277"/>
      <c r="I20" s="17"/>
      <c r="J20" s="5" t="s">
        <v>604</v>
      </c>
      <c r="L20" s="305">
        <f>'W.EUR INCUMB'!D48</f>
        <v>0.69753103513272863</v>
      </c>
      <c r="M20" s="305">
        <f>'W.EUR INCUMB'!E48</f>
        <v>0.66278263399293669</v>
      </c>
      <c r="N20" s="305">
        <f>'W.EUR INCUMB'!F48</f>
        <v>0.5878425682239502</v>
      </c>
      <c r="O20" s="305">
        <f>'W.EUR INCUMB'!G48</f>
        <v>0.5759521808171526</v>
      </c>
      <c r="P20" s="279" t="str">
        <f>'W.EUR INCUMB'!H48</f>
        <v>nm</v>
      </c>
      <c r="S20" s="88"/>
      <c r="T20" s="42"/>
      <c r="U20" s="42"/>
      <c r="V20" s="42"/>
      <c r="W20" s="42"/>
      <c r="X20" s="42"/>
      <c r="Y20" s="42"/>
      <c r="Z20" s="42"/>
      <c r="AA20" s="42"/>
    </row>
    <row r="21" spans="2:27" ht="12.6" thickBot="1">
      <c r="B21" s="306" t="s">
        <v>926</v>
      </c>
      <c r="C21" s="265"/>
      <c r="D21" s="265" t="str">
        <f>D5</f>
        <v>2023E</v>
      </c>
      <c r="E21" s="265" t="str">
        <f t="shared" ref="E21:H21" si="2">E5</f>
        <v>2024E</v>
      </c>
      <c r="F21" s="265" t="str">
        <f t="shared" si="2"/>
        <v>2025E</v>
      </c>
      <c r="G21" s="265" t="str">
        <f t="shared" si="2"/>
        <v>2026E</v>
      </c>
      <c r="H21" s="265" t="str">
        <f t="shared" si="2"/>
        <v>23E-26E</v>
      </c>
      <c r="I21" s="49"/>
      <c r="J21" s="41"/>
      <c r="L21" s="250"/>
      <c r="M21" s="250"/>
      <c r="N21" s="250"/>
      <c r="O21" s="250"/>
      <c r="P21" s="279"/>
      <c r="S21" s="88"/>
      <c r="T21" s="42"/>
      <c r="U21" s="42"/>
      <c r="V21" s="42"/>
      <c r="W21" s="42"/>
      <c r="X21" s="42"/>
      <c r="Y21" s="42"/>
      <c r="Z21" s="42"/>
      <c r="AA21" s="42"/>
    </row>
    <row r="22" spans="2:27" ht="12.6" thickTop="1">
      <c r="B22" s="5"/>
      <c r="C22" s="257"/>
      <c r="D22" s="17"/>
      <c r="E22" s="17"/>
      <c r="F22" s="17"/>
      <c r="G22" s="17"/>
      <c r="H22" s="17"/>
      <c r="I22" s="17"/>
      <c r="P22" s="277"/>
      <c r="S22" s="88"/>
      <c r="T22" s="42"/>
      <c r="U22" s="42"/>
      <c r="V22" s="42"/>
      <c r="W22" s="42"/>
      <c r="X22" s="42"/>
      <c r="Y22" s="42"/>
      <c r="Z22" s="42"/>
      <c r="AA22" s="42"/>
    </row>
    <row r="23" spans="2:27" ht="12.6" thickBot="1">
      <c r="B23" s="5" t="s">
        <v>584</v>
      </c>
      <c r="C23" s="548">
        <v>16297.859755710793</v>
      </c>
      <c r="D23" s="540">
        <v>16351.073963423016</v>
      </c>
      <c r="E23" s="540">
        <v>16601.470649912404</v>
      </c>
      <c r="F23" s="540">
        <v>16758.361113965104</v>
      </c>
      <c r="G23" s="540">
        <v>16935.871979411248</v>
      </c>
      <c r="H23" s="279">
        <f t="shared" ref="H23:H32" si="3">IF(D23=0,"nm",IF(G23=0,"nm",(G23/D23)^(1/3)-1))</f>
        <v>1.1782335837485558E-2</v>
      </c>
      <c r="I23" s="247"/>
      <c r="J23" s="306" t="s">
        <v>9</v>
      </c>
      <c r="K23" s="306"/>
      <c r="L23" s="265" t="str">
        <f>D21</f>
        <v>2023E</v>
      </c>
      <c r="M23" s="265" t="str">
        <f t="shared" ref="M23:P23" si="4">E21</f>
        <v>2024E</v>
      </c>
      <c r="N23" s="265" t="str">
        <f t="shared" si="4"/>
        <v>2025E</v>
      </c>
      <c r="O23" s="265" t="str">
        <f t="shared" si="4"/>
        <v>2026E</v>
      </c>
      <c r="P23" s="265" t="str">
        <f t="shared" si="4"/>
        <v>23E-26E</v>
      </c>
      <c r="S23" s="88"/>
      <c r="T23" s="42"/>
      <c r="U23" s="42"/>
      <c r="V23" s="42"/>
      <c r="W23" s="42"/>
      <c r="X23" s="42"/>
      <c r="Y23" s="42"/>
      <c r="Z23" s="42"/>
      <c r="AA23" s="42"/>
    </row>
    <row r="24" spans="2:27" ht="12.6" thickTop="1">
      <c r="B24" s="5" t="s">
        <v>483</v>
      </c>
      <c r="C24" s="549">
        <v>4992</v>
      </c>
      <c r="D24" s="540">
        <v>5285.4948882979534</v>
      </c>
      <c r="E24" s="540">
        <v>5484.4619168565378</v>
      </c>
      <c r="F24" s="540">
        <v>5728.5560183067573</v>
      </c>
      <c r="G24" s="540">
        <v>5885.8767246283232</v>
      </c>
      <c r="H24" s="279">
        <f t="shared" si="3"/>
        <v>3.6513990071677327E-2</v>
      </c>
      <c r="I24" s="249"/>
      <c r="J24" s="17"/>
      <c r="K24" s="17"/>
      <c r="L24" s="17"/>
      <c r="M24" s="17"/>
      <c r="N24" s="17"/>
      <c r="O24" s="248"/>
      <c r="S24" s="88"/>
      <c r="T24" s="42"/>
      <c r="U24" s="42"/>
      <c r="V24" s="42"/>
      <c r="W24" s="42" t="s">
        <v>270</v>
      </c>
      <c r="X24" s="42" t="s">
        <v>251</v>
      </c>
      <c r="Y24" s="42"/>
      <c r="Z24" s="42"/>
      <c r="AA24" s="42"/>
    </row>
    <row r="25" spans="2:27">
      <c r="B25" s="5" t="s">
        <v>183</v>
      </c>
      <c r="C25" s="548">
        <v>1013</v>
      </c>
      <c r="D25" s="540">
        <v>1301.7148915168182</v>
      </c>
      <c r="E25" s="540">
        <v>1551.9250841591975</v>
      </c>
      <c r="F25" s="540">
        <v>1830.794067978085</v>
      </c>
      <c r="G25" s="540">
        <v>2285.520223272556</v>
      </c>
      <c r="H25" s="279">
        <f t="shared" si="3"/>
        <v>0.20639556446519536</v>
      </c>
      <c r="I25" s="248"/>
      <c r="J25" s="247" t="s">
        <v>10</v>
      </c>
      <c r="K25" s="247"/>
      <c r="L25" s="321">
        <v>4131</v>
      </c>
      <c r="M25" s="321">
        <v>4131</v>
      </c>
      <c r="N25" s="321">
        <v>4131</v>
      </c>
      <c r="O25" s="321">
        <v>4131</v>
      </c>
      <c r="P25" s="279">
        <f>IF(L25=0,"nm",IF(O25=0,"nm",(O25/L25)^(1/3)-1))</f>
        <v>0</v>
      </c>
      <c r="S25" s="88"/>
      <c r="T25" s="42"/>
      <c r="U25" s="42"/>
      <c r="V25" s="147" t="s">
        <v>273</v>
      </c>
      <c r="W25" s="288">
        <f>D37/L9</f>
        <v>0.89192880114846096</v>
      </c>
      <c r="X25" s="288">
        <v>1</v>
      </c>
      <c r="Y25" s="42"/>
      <c r="Z25" s="42"/>
      <c r="AA25" s="42"/>
    </row>
    <row r="26" spans="2:27">
      <c r="B26" s="5" t="s">
        <v>586</v>
      </c>
      <c r="C26" s="548">
        <v>730.37300000000005</v>
      </c>
      <c r="D26" s="540">
        <v>938.53643678362596</v>
      </c>
      <c r="E26" s="540">
        <v>1118.9379856787816</v>
      </c>
      <c r="F26" s="540">
        <v>1320.0025230121994</v>
      </c>
      <c r="G26" s="540">
        <v>1647.860080979513</v>
      </c>
      <c r="H26" s="279">
        <f t="shared" si="3"/>
        <v>0.20639556446519536</v>
      </c>
      <c r="I26" s="249"/>
      <c r="J26" s="249" t="s">
        <v>11</v>
      </c>
      <c r="K26" s="249"/>
      <c r="L26" s="281">
        <f>D11+L25</f>
        <v>9508.6086896694997</v>
      </c>
      <c r="M26" s="281">
        <f>E11+M25</f>
        <v>9508.6086896694997</v>
      </c>
      <c r="N26" s="281">
        <f>F11+N25</f>
        <v>9508.6086896694997</v>
      </c>
      <c r="O26" s="281">
        <f>G11+O25</f>
        <v>9508.6086896694997</v>
      </c>
      <c r="P26" s="279">
        <f>IF(L26=0,"nm",IF(O26=0,"nm",(O26/L26)^(1/3)-1))</f>
        <v>0</v>
      </c>
      <c r="Q26" s="5"/>
      <c r="S26" s="88"/>
      <c r="T26" s="42"/>
      <c r="U26" s="42"/>
      <c r="V26" s="147" t="s">
        <v>184</v>
      </c>
      <c r="W26" s="288">
        <f t="shared" ref="W26:W33" si="5">D38/L10</f>
        <v>0.90454571740063638</v>
      </c>
      <c r="X26" s="288">
        <v>1</v>
      </c>
      <c r="Y26" s="42"/>
      <c r="Z26" s="42"/>
      <c r="AA26" s="42"/>
    </row>
    <row r="27" spans="2:27">
      <c r="B27" s="5" t="s">
        <v>587</v>
      </c>
      <c r="C27" s="549">
        <v>38740</v>
      </c>
      <c r="D27" s="540">
        <v>38532.179996781138</v>
      </c>
      <c r="E27" s="540">
        <v>38381.156478179211</v>
      </c>
      <c r="F27" s="540">
        <v>38349.138338145422</v>
      </c>
      <c r="G27" s="540">
        <v>38052.048892173734</v>
      </c>
      <c r="H27" s="279">
        <f t="shared" si="3"/>
        <v>-4.170879626976598E-3</v>
      </c>
      <c r="I27" s="249"/>
      <c r="J27" s="248"/>
      <c r="K27" s="248"/>
      <c r="L27" s="248"/>
      <c r="M27" s="248"/>
      <c r="N27" s="248"/>
      <c r="O27" s="248"/>
      <c r="Q27" s="41"/>
      <c r="S27" s="88"/>
      <c r="T27" s="42"/>
      <c r="U27" s="42"/>
      <c r="V27" s="147" t="s">
        <v>185</v>
      </c>
      <c r="W27" s="288">
        <f t="shared" si="5"/>
        <v>1.7637998688414596</v>
      </c>
      <c r="X27" s="288">
        <v>1</v>
      </c>
      <c r="Y27" s="42"/>
      <c r="Z27" s="42"/>
      <c r="AA27" s="42"/>
    </row>
    <row r="28" spans="2:27" ht="12.6" thickBot="1">
      <c r="B28" s="5" t="s">
        <v>592</v>
      </c>
      <c r="C28" s="548">
        <v>14100</v>
      </c>
      <c r="D28" s="540">
        <v>13831.397293515218</v>
      </c>
      <c r="E28" s="540">
        <v>13821.141582126738</v>
      </c>
      <c r="F28" s="540">
        <v>13887.8795572417</v>
      </c>
      <c r="G28" s="540">
        <v>13732.119163371379</v>
      </c>
      <c r="H28" s="279">
        <f t="shared" si="3"/>
        <v>-2.3983263232733032E-3</v>
      </c>
      <c r="I28" s="248"/>
      <c r="J28" s="306" t="s">
        <v>1362</v>
      </c>
      <c r="K28" s="306"/>
      <c r="L28" s="306"/>
      <c r="M28" s="306"/>
      <c r="N28" s="266"/>
      <c r="O28" s="266"/>
      <c r="P28" s="266"/>
      <c r="Q28" s="5"/>
      <c r="S28" s="88"/>
      <c r="T28" s="42"/>
      <c r="U28" s="42"/>
      <c r="V28" s="147" t="s">
        <v>466</v>
      </c>
      <c r="W28" s="288">
        <f t="shared" si="5"/>
        <v>1.806133247213664</v>
      </c>
      <c r="X28" s="288">
        <v>1</v>
      </c>
      <c r="Y28" s="42"/>
      <c r="Z28" s="42"/>
      <c r="AA28" s="42"/>
    </row>
    <row r="29" spans="2:27" ht="12.6" thickTop="1">
      <c r="B29" s="5" t="s">
        <v>1143</v>
      </c>
      <c r="C29" s="548">
        <v>-135.54129101850029</v>
      </c>
      <c r="D29" s="540">
        <v>-1138.9067141046439</v>
      </c>
      <c r="E29" s="540">
        <v>-694.4661187025896</v>
      </c>
      <c r="F29" s="540">
        <v>-522.83368782746811</v>
      </c>
      <c r="G29" s="540">
        <v>-199.63541223428729</v>
      </c>
      <c r="H29" s="279">
        <f t="shared" si="3"/>
        <v>-0.44035004149464663</v>
      </c>
      <c r="I29" s="252"/>
      <c r="J29" s="249"/>
      <c r="K29" s="249"/>
      <c r="L29" s="249"/>
      <c r="M29" s="249"/>
      <c r="N29" s="249"/>
      <c r="O29" s="251"/>
      <c r="Q29" s="5"/>
      <c r="S29" s="88"/>
      <c r="T29" s="42"/>
      <c r="U29" s="42"/>
      <c r="V29" s="147" t="s">
        <v>530</v>
      </c>
      <c r="W29" s="288">
        <f t="shared" si="5"/>
        <v>0.56745460629235267</v>
      </c>
      <c r="X29" s="288">
        <v>1</v>
      </c>
      <c r="Y29" s="42"/>
      <c r="Z29" s="42"/>
      <c r="AA29" s="42"/>
    </row>
    <row r="30" spans="2:27">
      <c r="B30" s="5" t="s">
        <v>1142</v>
      </c>
      <c r="C30" s="549">
        <v>-2654</v>
      </c>
      <c r="D30" s="540">
        <v>-617.32312123540919</v>
      </c>
      <c r="E30" s="540">
        <v>-111.64671148092498</v>
      </c>
      <c r="F30" s="540">
        <v>179.2025857525818</v>
      </c>
      <c r="G30" s="540">
        <v>354.03446611119881</v>
      </c>
      <c r="H30" s="279">
        <f t="shared" si="3"/>
        <v>-1.8308277622288056</v>
      </c>
      <c r="I30" s="254"/>
      <c r="J30" s="248"/>
      <c r="K30" s="248"/>
      <c r="L30" s="248"/>
      <c r="M30" s="248"/>
      <c r="N30" s="248"/>
      <c r="O30" s="5"/>
      <c r="Q30" s="5"/>
      <c r="S30" s="88"/>
      <c r="T30" s="42"/>
      <c r="U30" s="42"/>
      <c r="V30" s="147" t="s">
        <v>593</v>
      </c>
      <c r="W30" s="288">
        <f t="shared" si="5"/>
        <v>0.69227637823531663</v>
      </c>
      <c r="X30" s="288">
        <v>1</v>
      </c>
      <c r="Y30" s="42"/>
      <c r="Z30" s="42"/>
      <c r="AA30" s="42"/>
    </row>
    <row r="31" spans="2:27">
      <c r="B31" s="5" t="s">
        <v>30</v>
      </c>
      <c r="C31" s="549">
        <v>0</v>
      </c>
      <c r="D31" s="540">
        <v>0</v>
      </c>
      <c r="E31" s="540">
        <v>0</v>
      </c>
      <c r="F31" s="540">
        <v>0</v>
      </c>
      <c r="G31" s="540">
        <v>0</v>
      </c>
      <c r="H31" s="279" t="str">
        <f t="shared" si="3"/>
        <v>nm</v>
      </c>
      <c r="I31" s="254"/>
      <c r="J31" s="252"/>
      <c r="K31" s="252"/>
      <c r="L31" s="252"/>
      <c r="M31" s="252"/>
      <c r="N31" s="252"/>
      <c r="O31" s="5"/>
      <c r="Q31" s="5"/>
      <c r="S31" s="88"/>
      <c r="T31" s="42"/>
      <c r="U31" s="42"/>
      <c r="V31" s="147" t="s">
        <v>475</v>
      </c>
      <c r="W31" s="288">
        <f t="shared" si="5"/>
        <v>-0.3072203123122082</v>
      </c>
      <c r="X31" s="288">
        <v>1</v>
      </c>
      <c r="Y31" s="42"/>
      <c r="Z31" s="42"/>
      <c r="AA31" s="42"/>
    </row>
    <row r="32" spans="2:27">
      <c r="B32" s="5" t="s">
        <v>606</v>
      </c>
      <c r="C32" s="550">
        <v>0</v>
      </c>
      <c r="D32" s="540">
        <v>0</v>
      </c>
      <c r="E32" s="540">
        <v>0</v>
      </c>
      <c r="F32" s="540">
        <v>0</v>
      </c>
      <c r="G32" s="540">
        <v>0</v>
      </c>
      <c r="H32" s="279" t="str">
        <f t="shared" si="3"/>
        <v>nm</v>
      </c>
      <c r="I32" s="254"/>
      <c r="J32" s="254"/>
      <c r="K32" s="254"/>
      <c r="L32" s="254"/>
      <c r="M32" s="254"/>
      <c r="N32" s="254"/>
      <c r="O32" s="251"/>
      <c r="Q32" s="5"/>
      <c r="S32" s="88"/>
      <c r="T32" s="42"/>
      <c r="U32" s="42"/>
      <c r="V32" s="147" t="s">
        <v>533</v>
      </c>
      <c r="W32" s="288">
        <f t="shared" si="5"/>
        <v>-1.1121722458050194</v>
      </c>
      <c r="X32" s="288">
        <v>1</v>
      </c>
      <c r="Y32" s="42"/>
      <c r="Z32" s="42"/>
      <c r="AA32" s="42"/>
    </row>
    <row r="33" spans="2:27">
      <c r="B33" s="5" t="s">
        <v>5</v>
      </c>
      <c r="C33" s="549">
        <v>1423</v>
      </c>
      <c r="D33" s="540">
        <v>1715.8217057908269</v>
      </c>
      <c r="E33" s="540">
        <v>1817.2847084291707</v>
      </c>
      <c r="F33" s="540">
        <v>1820.2938276281966</v>
      </c>
      <c r="G33" s="540">
        <v>1845.0988743065891</v>
      </c>
      <c r="H33" s="279">
        <f>IF(D33=0,"nm",IF(G33=0,"nm",(G33/D33)^(1/3)-1))</f>
        <v>2.4509120058593847E-2</v>
      </c>
      <c r="I33" s="5"/>
      <c r="J33" s="254"/>
      <c r="K33" s="254"/>
      <c r="L33" s="254"/>
      <c r="M33" s="254"/>
      <c r="N33" s="254"/>
      <c r="O33" s="251"/>
      <c r="Q33" s="5"/>
      <c r="S33" s="88"/>
      <c r="T33" s="42"/>
      <c r="U33" s="42"/>
      <c r="V33" s="147" t="s">
        <v>580</v>
      </c>
      <c r="W33" s="288">
        <f t="shared" si="5"/>
        <v>0</v>
      </c>
      <c r="X33" s="288">
        <v>1</v>
      </c>
      <c r="Y33" s="42"/>
      <c r="Z33" s="42"/>
      <c r="AA33" s="42"/>
    </row>
    <row r="34" spans="2:27">
      <c r="H34" s="277"/>
      <c r="I34" s="49"/>
      <c r="J34" s="254"/>
      <c r="K34" s="254"/>
      <c r="L34" s="254"/>
      <c r="M34" s="254"/>
      <c r="N34" s="254"/>
      <c r="O34" s="251"/>
      <c r="Q34" s="5"/>
      <c r="S34" s="88"/>
      <c r="T34" s="42"/>
      <c r="U34" s="42"/>
      <c r="V34" s="147" t="s">
        <v>581</v>
      </c>
      <c r="W34" s="288">
        <f>D47/L19</f>
        <v>-3.254993110558928</v>
      </c>
      <c r="X34" s="288">
        <v>1</v>
      </c>
      <c r="Y34" s="288"/>
      <c r="Z34" s="288"/>
      <c r="AA34" s="42"/>
    </row>
    <row r="35" spans="2:27" ht="12.6" thickBot="1">
      <c r="B35" s="306" t="s">
        <v>440</v>
      </c>
      <c r="C35" s="265"/>
      <c r="D35" s="265" t="str">
        <f>D5</f>
        <v>2023E</v>
      </c>
      <c r="E35" s="265" t="str">
        <f t="shared" ref="E35:H35" si="6">E5</f>
        <v>2024E</v>
      </c>
      <c r="F35" s="265" t="str">
        <f t="shared" si="6"/>
        <v>2025E</v>
      </c>
      <c r="G35" s="265" t="str">
        <f t="shared" si="6"/>
        <v>2026E</v>
      </c>
      <c r="H35" s="265" t="str">
        <f t="shared" si="6"/>
        <v>23E-26E</v>
      </c>
      <c r="I35" s="254"/>
      <c r="J35" s="5"/>
      <c r="K35" s="5"/>
      <c r="L35" s="5"/>
      <c r="M35" s="5"/>
      <c r="N35" s="5"/>
      <c r="O35" s="5"/>
      <c r="Q35" s="5"/>
      <c r="S35" s="88"/>
      <c r="T35" s="42"/>
      <c r="U35" s="42"/>
      <c r="V35" s="42"/>
      <c r="W35" s="42"/>
      <c r="X35" s="42"/>
      <c r="Y35" s="288"/>
      <c r="Z35" s="288"/>
      <c r="AA35" s="42"/>
    </row>
    <row r="36" spans="2:27" ht="12.6" thickTop="1">
      <c r="B36" s="41"/>
      <c r="C36" s="249"/>
      <c r="D36" s="254"/>
      <c r="E36" s="254"/>
      <c r="F36" s="254"/>
      <c r="G36" s="254"/>
      <c r="H36" s="254"/>
      <c r="I36" s="17"/>
      <c r="J36" s="49"/>
      <c r="K36" s="49"/>
      <c r="L36" s="49"/>
      <c r="M36" s="49"/>
      <c r="N36" s="49"/>
      <c r="O36" s="49"/>
      <c r="Q36" s="5"/>
      <c r="S36" s="88"/>
      <c r="T36" s="42"/>
      <c r="U36" s="42"/>
      <c r="V36" s="42"/>
      <c r="W36" s="42"/>
      <c r="X36" s="42"/>
      <c r="Y36" s="288"/>
      <c r="Z36" s="288"/>
      <c r="AA36" s="42"/>
    </row>
    <row r="37" spans="2:27">
      <c r="B37" s="5" t="s">
        <v>273</v>
      </c>
      <c r="C37" s="247"/>
      <c r="D37" s="529">
        <f>D$18/D23</f>
        <v>1.946221536926547</v>
      </c>
      <c r="E37" s="529">
        <f t="shared" ref="E37:G41" si="7">E$18/E23</f>
        <v>1.9169808892521478</v>
      </c>
      <c r="F37" s="529">
        <f t="shared" si="7"/>
        <v>1.892751406893816</v>
      </c>
      <c r="G37" s="529">
        <f t="shared" si="7"/>
        <v>1.8429328629360502</v>
      </c>
      <c r="H37" s="17">
        <f t="shared" ref="H37:H46" si="8">H23</f>
        <v>1.1782335837485558E-2</v>
      </c>
      <c r="I37" s="5"/>
      <c r="J37" s="259"/>
      <c r="K37" s="259"/>
      <c r="L37" s="259"/>
      <c r="M37" s="259"/>
      <c r="N37" s="259"/>
      <c r="O37" s="18"/>
      <c r="Q37" s="5"/>
      <c r="R37" s="5"/>
      <c r="S37" s="42"/>
      <c r="T37" s="42"/>
      <c r="U37" s="42"/>
      <c r="V37" s="42"/>
      <c r="W37" s="42"/>
      <c r="X37" s="42"/>
      <c r="Y37" s="42"/>
      <c r="Z37" s="42"/>
      <c r="AA37" s="42"/>
    </row>
    <row r="38" spans="2:27">
      <c r="B38" s="5" t="s">
        <v>184</v>
      </c>
      <c r="C38" s="247"/>
      <c r="D38" s="529">
        <f>D$18/D24</f>
        <v>6.0207819649865257</v>
      </c>
      <c r="E38" s="529">
        <f t="shared" si="7"/>
        <v>5.8027026993384778</v>
      </c>
      <c r="F38" s="529">
        <f t="shared" si="7"/>
        <v>5.537069284881964</v>
      </c>
      <c r="G38" s="529">
        <f t="shared" si="7"/>
        <v>5.3028081445769208</v>
      </c>
      <c r="H38" s="17">
        <f t="shared" si="8"/>
        <v>3.6513990071677327E-2</v>
      </c>
      <c r="I38" s="259"/>
      <c r="J38" s="17"/>
      <c r="K38" s="17"/>
      <c r="L38" s="17"/>
      <c r="M38" s="17"/>
      <c r="N38" s="17"/>
      <c r="O38" s="5"/>
      <c r="Q38" s="5"/>
      <c r="R38" s="5"/>
      <c r="S38" s="42"/>
      <c r="T38" s="42"/>
      <c r="U38" s="42"/>
      <c r="V38" s="42"/>
      <c r="W38" s="42"/>
      <c r="X38" s="42"/>
      <c r="Y38" s="42"/>
      <c r="Z38" s="42"/>
      <c r="AA38" s="42"/>
    </row>
    <row r="39" spans="2:27">
      <c r="B39" s="5" t="s">
        <v>185</v>
      </c>
      <c r="C39" s="247"/>
      <c r="D39" s="529">
        <f>D$18/D25</f>
        <v>24.446837404165652</v>
      </c>
      <c r="E39" s="529">
        <f t="shared" si="7"/>
        <v>20.506596803030934</v>
      </c>
      <c r="F39" s="529">
        <f t="shared" si="7"/>
        <v>17.325493964879811</v>
      </c>
      <c r="G39" s="529">
        <f t="shared" si="7"/>
        <v>13.656267275834429</v>
      </c>
      <c r="H39" s="17">
        <f t="shared" si="8"/>
        <v>0.20639556446519536</v>
      </c>
      <c r="I39" s="17"/>
      <c r="J39" s="5"/>
      <c r="K39" s="5"/>
      <c r="L39" s="5"/>
      <c r="M39" s="5"/>
      <c r="N39" s="5"/>
      <c r="O39" s="5"/>
      <c r="Q39" s="5"/>
      <c r="R39" s="5"/>
      <c r="S39" s="42"/>
      <c r="T39" s="42"/>
      <c r="U39" s="42"/>
      <c r="V39" s="42"/>
      <c r="W39" s="42"/>
      <c r="X39" s="42"/>
      <c r="Y39" s="42"/>
      <c r="Z39" s="42"/>
      <c r="AA39" s="42"/>
    </row>
    <row r="40" spans="2:27">
      <c r="B40" s="5" t="s">
        <v>466</v>
      </c>
      <c r="C40" s="247"/>
      <c r="D40" s="529">
        <f>D$18/D26</f>
        <v>33.906847994681904</v>
      </c>
      <c r="E40" s="529">
        <f t="shared" si="7"/>
        <v>28.441881834994355</v>
      </c>
      <c r="F40" s="529">
        <f t="shared" si="7"/>
        <v>24.029811324382536</v>
      </c>
      <c r="G40" s="529">
        <f t="shared" si="7"/>
        <v>18.940731311836931</v>
      </c>
      <c r="H40" s="17">
        <f t="shared" si="8"/>
        <v>0.20639556446519536</v>
      </c>
      <c r="I40" s="5"/>
      <c r="J40" s="259"/>
      <c r="K40" s="259"/>
      <c r="L40" s="259"/>
      <c r="M40" s="259"/>
      <c r="N40" s="259"/>
      <c r="O40" s="18"/>
      <c r="Q40" s="5"/>
      <c r="R40" s="5"/>
      <c r="S40" s="42"/>
      <c r="T40" s="42"/>
      <c r="U40" s="42"/>
      <c r="V40" s="42"/>
      <c r="W40" s="288"/>
      <c r="X40" s="288"/>
      <c r="Y40" s="42"/>
      <c r="Z40" s="42"/>
      <c r="AA40" s="42"/>
    </row>
    <row r="41" spans="2:27">
      <c r="B41" s="5" t="s">
        <v>530</v>
      </c>
      <c r="C41" s="247"/>
      <c r="D41" s="529">
        <f>D$18/D27</f>
        <v>0.82587624946606109</v>
      </c>
      <c r="E41" s="529">
        <f t="shared" si="7"/>
        <v>0.82917517056724876</v>
      </c>
      <c r="F41" s="529">
        <f t="shared" si="7"/>
        <v>0.82712188461718728</v>
      </c>
      <c r="G41" s="529">
        <f t="shared" si="7"/>
        <v>0.82023638521483633</v>
      </c>
      <c r="H41" s="17">
        <f t="shared" si="8"/>
        <v>-4.170879626976598E-3</v>
      </c>
      <c r="I41" s="247"/>
      <c r="J41" s="17"/>
      <c r="K41" s="17"/>
      <c r="L41" s="17"/>
      <c r="M41" s="17"/>
      <c r="N41" s="17"/>
      <c r="O41" s="5"/>
      <c r="Q41" s="5"/>
      <c r="R41" s="5"/>
      <c r="S41" s="42"/>
      <c r="T41" s="42"/>
      <c r="U41" s="42"/>
      <c r="V41" s="42"/>
      <c r="W41" s="288"/>
      <c r="X41" s="288"/>
      <c r="Y41" s="288"/>
      <c r="Z41" s="288"/>
      <c r="AA41" s="42"/>
    </row>
    <row r="42" spans="2:27">
      <c r="B42" s="5" t="s">
        <v>593</v>
      </c>
      <c r="C42" s="247"/>
      <c r="D42" s="529">
        <f>D18/D28</f>
        <v>2.3007662656333903</v>
      </c>
      <c r="E42" s="529">
        <f>E18/E28</f>
        <v>2.3026102279798413</v>
      </c>
      <c r="F42" s="529">
        <f>F18/F28</f>
        <v>2.2839636133762617</v>
      </c>
      <c r="G42" s="529">
        <f>G18/G28</f>
        <v>2.2728957316790432</v>
      </c>
      <c r="H42" s="17">
        <f t="shared" si="8"/>
        <v>-2.3983263232733032E-3</v>
      </c>
      <c r="I42" s="248"/>
      <c r="J42" s="5"/>
      <c r="K42" s="5"/>
      <c r="L42" s="5"/>
      <c r="M42" s="5"/>
      <c r="N42" s="5"/>
      <c r="O42" s="5"/>
      <c r="Q42" s="5"/>
      <c r="R42" s="5"/>
      <c r="S42" s="42"/>
      <c r="T42" s="42"/>
      <c r="U42" s="42"/>
      <c r="V42" s="42"/>
      <c r="W42" s="288"/>
      <c r="X42" s="288"/>
      <c r="Y42" s="288"/>
      <c r="Z42" s="288"/>
      <c r="AA42" s="42"/>
    </row>
    <row r="43" spans="2:27">
      <c r="B43" s="5" t="s">
        <v>475</v>
      </c>
      <c r="C43" s="247"/>
      <c r="D43" s="529">
        <f>D11/D29</f>
        <v>-4.7217288501957144</v>
      </c>
      <c r="E43" s="529">
        <f t="shared" ref="E43:G43" si="9">E11/E29</f>
        <v>-7.7435148308113524</v>
      </c>
      <c r="F43" s="529">
        <f t="shared" si="9"/>
        <v>-10.285505343037645</v>
      </c>
      <c r="G43" s="529">
        <f t="shared" si="9"/>
        <v>-26.937148221771739</v>
      </c>
      <c r="H43" s="17">
        <f t="shared" si="8"/>
        <v>-0.44035004149464663</v>
      </c>
      <c r="I43" s="247"/>
      <c r="J43" s="247"/>
      <c r="K43" s="247"/>
      <c r="L43" s="247"/>
      <c r="M43" s="247"/>
      <c r="N43" s="247"/>
      <c r="O43" s="18"/>
      <c r="Q43" s="5"/>
      <c r="R43" s="5"/>
      <c r="S43" s="42"/>
      <c r="T43" s="42"/>
      <c r="U43" s="42"/>
      <c r="V43" s="42"/>
      <c r="W43" s="288"/>
      <c r="X43" s="288"/>
      <c r="Y43" s="288"/>
      <c r="Z43" s="288"/>
      <c r="AA43" s="42"/>
    </row>
    <row r="44" spans="2:27">
      <c r="B44" s="5" t="s">
        <v>533</v>
      </c>
      <c r="C44" s="69"/>
      <c r="D44" s="529">
        <f>L26/D30</f>
        <v>-15.402968660303101</v>
      </c>
      <c r="E44" s="529">
        <f t="shared" ref="E44:G44" si="10">M26/E30</f>
        <v>-85.166939209795359</v>
      </c>
      <c r="F44" s="529">
        <f t="shared" si="10"/>
        <v>53.06066678523085</v>
      </c>
      <c r="G44" s="529">
        <f t="shared" si="10"/>
        <v>26.857861592161871</v>
      </c>
      <c r="H44" s="17">
        <f t="shared" si="8"/>
        <v>-1.8308277622288056</v>
      </c>
      <c r="I44" s="247"/>
      <c r="J44" s="248"/>
      <c r="K44" s="248"/>
      <c r="L44" s="248"/>
      <c r="M44" s="248"/>
      <c r="N44" s="248"/>
      <c r="O44" s="248"/>
      <c r="Q44" s="5"/>
      <c r="R44" s="5"/>
      <c r="S44" s="42"/>
      <c r="T44" s="42"/>
      <c r="U44" s="42"/>
      <c r="V44" s="42"/>
      <c r="W44" s="325"/>
      <c r="X44" s="325"/>
      <c r="Y44" s="288"/>
      <c r="Z44" s="288"/>
      <c r="AA44" s="42"/>
    </row>
    <row r="45" spans="2:27">
      <c r="B45" s="5" t="s">
        <v>429</v>
      </c>
      <c r="C45" s="247"/>
      <c r="D45" s="248">
        <f>D31/($C10*D10)</f>
        <v>0</v>
      </c>
      <c r="E45" s="248">
        <f t="shared" ref="E45:G45" si="11">E31/($C10*E10)</f>
        <v>0</v>
      </c>
      <c r="F45" s="248">
        <f t="shared" si="11"/>
        <v>0</v>
      </c>
      <c r="G45" s="248">
        <f t="shared" si="11"/>
        <v>0</v>
      </c>
      <c r="H45" s="17" t="str">
        <f t="shared" si="8"/>
        <v>nm</v>
      </c>
      <c r="I45" s="248"/>
      <c r="J45" s="247"/>
      <c r="K45" s="247"/>
      <c r="L45" s="247"/>
      <c r="M45" s="247"/>
      <c r="N45" s="247"/>
      <c r="O45" s="248"/>
      <c r="Q45" s="5"/>
      <c r="R45" s="5"/>
      <c r="S45" s="42"/>
      <c r="T45" s="42"/>
      <c r="U45" s="42"/>
      <c r="V45" s="42"/>
      <c r="W45" s="42"/>
      <c r="X45" s="42"/>
      <c r="Y45" s="325"/>
      <c r="Z45" s="325"/>
      <c r="AA45" s="42"/>
    </row>
    <row r="46" spans="2:27">
      <c r="B46" s="5" t="s">
        <v>1141</v>
      </c>
      <c r="C46" s="247"/>
      <c r="D46" s="248">
        <f>(D31+D32)/($C10*D10)</f>
        <v>0</v>
      </c>
      <c r="E46" s="248">
        <f t="shared" ref="E46:G46" si="12">(E31+E32)/($C10*E10)</f>
        <v>0</v>
      </c>
      <c r="F46" s="248">
        <f t="shared" si="12"/>
        <v>0</v>
      </c>
      <c r="G46" s="248">
        <f t="shared" si="12"/>
        <v>0</v>
      </c>
      <c r="H46" s="17" t="str">
        <f t="shared" si="8"/>
        <v>nm</v>
      </c>
      <c r="I46" s="247"/>
      <c r="J46" s="247"/>
      <c r="K46" s="247"/>
      <c r="L46" s="247"/>
      <c r="M46" s="247"/>
      <c r="N46" s="247"/>
      <c r="O46" s="18"/>
      <c r="Q46" s="5"/>
      <c r="R46" s="5"/>
      <c r="S46" s="42"/>
      <c r="T46" s="42"/>
      <c r="U46" s="42"/>
      <c r="V46" s="42"/>
      <c r="W46" s="42"/>
      <c r="X46" s="42"/>
      <c r="Y46" s="42"/>
      <c r="Z46" s="42"/>
      <c r="AA46" s="326"/>
    </row>
    <row r="47" spans="2:27">
      <c r="B47" s="5" t="s">
        <v>581</v>
      </c>
      <c r="C47" s="5"/>
      <c r="D47" s="248">
        <f>1/D43</f>
        <v>-0.21178683311273799</v>
      </c>
      <c r="E47" s="248">
        <f>1/E43</f>
        <v>-0.12914032217269245</v>
      </c>
      <c r="F47" s="248">
        <f>1/F43</f>
        <v>-9.7224197222055733E-2</v>
      </c>
      <c r="G47" s="248">
        <f>1/G43</f>
        <v>-3.7123454634732191E-2</v>
      </c>
      <c r="H47" s="17">
        <f>H29</f>
        <v>-0.44035004149464663</v>
      </c>
      <c r="I47" s="17"/>
      <c r="J47" s="248"/>
      <c r="K47" s="248"/>
      <c r="L47" s="248"/>
      <c r="M47" s="248"/>
      <c r="N47" s="248"/>
      <c r="O47" s="248"/>
      <c r="Q47" s="5"/>
      <c r="R47" s="5"/>
      <c r="S47" s="42"/>
      <c r="T47" s="42"/>
      <c r="U47" s="42"/>
      <c r="V47" s="42"/>
      <c r="W47" s="42"/>
      <c r="X47" s="42"/>
      <c r="Y47" s="42"/>
      <c r="Z47" s="42"/>
      <c r="AA47" s="326"/>
    </row>
    <row r="48" spans="2:27">
      <c r="B48" s="5" t="s">
        <v>618</v>
      </c>
      <c r="C48" s="5"/>
      <c r="D48" s="305">
        <f>D31/D29</f>
        <v>0</v>
      </c>
      <c r="E48" s="305">
        <f>E31/E29</f>
        <v>0</v>
      </c>
      <c r="F48" s="305">
        <f>F31/F29</f>
        <v>0</v>
      </c>
      <c r="G48" s="305">
        <f>G31/G29</f>
        <v>0</v>
      </c>
      <c r="H48" s="279" t="s">
        <v>607</v>
      </c>
      <c r="I48" s="247"/>
      <c r="J48" s="247"/>
      <c r="K48" s="247"/>
      <c r="L48" s="247"/>
      <c r="M48" s="247"/>
      <c r="N48" s="247"/>
      <c r="O48" s="248"/>
      <c r="Q48" s="5"/>
      <c r="R48" s="5"/>
      <c r="S48" s="42"/>
      <c r="T48" s="42"/>
      <c r="U48" s="42"/>
      <c r="V48" s="42"/>
      <c r="W48" s="42"/>
      <c r="X48" s="42"/>
      <c r="Y48" s="42"/>
      <c r="Z48" s="42"/>
      <c r="AA48" s="326"/>
    </row>
    <row r="49" spans="2:27">
      <c r="B49" s="41"/>
      <c r="C49" s="17"/>
      <c r="D49" s="17"/>
      <c r="E49" s="17"/>
      <c r="F49" s="17"/>
      <c r="G49" s="17"/>
      <c r="H49" s="17"/>
      <c r="I49" s="254"/>
      <c r="J49" s="17"/>
      <c r="K49" s="17"/>
      <c r="L49" s="17"/>
      <c r="M49" s="17"/>
      <c r="N49" s="17"/>
      <c r="O49" s="248"/>
      <c r="Q49" s="5"/>
      <c r="R49" s="5"/>
      <c r="S49" s="42"/>
      <c r="T49" s="42"/>
      <c r="U49" s="42"/>
      <c r="V49" s="42"/>
      <c r="W49" s="42"/>
      <c r="X49" s="42"/>
      <c r="Y49" s="42"/>
      <c r="Z49" s="42"/>
      <c r="AA49" s="326"/>
    </row>
    <row r="50" spans="2:27">
      <c r="B50" s="5"/>
      <c r="C50" s="257"/>
      <c r="D50" s="257"/>
      <c r="E50" s="257"/>
      <c r="F50" s="5"/>
      <c r="G50" s="41"/>
      <c r="H50" s="249"/>
      <c r="I50" s="17"/>
      <c r="J50" s="249"/>
      <c r="K50" s="249"/>
      <c r="L50" s="249"/>
      <c r="M50" s="249"/>
      <c r="N50" s="249"/>
      <c r="O50" s="250"/>
      <c r="Q50" s="5"/>
      <c r="R50" s="5"/>
      <c r="S50" s="42"/>
      <c r="T50" s="42"/>
      <c r="U50" s="42"/>
      <c r="V50" s="42"/>
      <c r="W50" s="288"/>
      <c r="X50" s="288"/>
      <c r="Y50" s="42"/>
      <c r="Z50" s="42"/>
      <c r="AA50" s="326"/>
    </row>
    <row r="51" spans="2:27">
      <c r="B51" s="41"/>
      <c r="C51" s="249"/>
      <c r="D51" s="254"/>
      <c r="E51" s="254"/>
      <c r="F51" s="254"/>
      <c r="G51" s="254"/>
      <c r="H51" s="254"/>
      <c r="I51" s="259"/>
      <c r="J51" s="254"/>
      <c r="K51" s="254"/>
      <c r="L51" s="254"/>
      <c r="M51" s="254"/>
      <c r="N51" s="254"/>
      <c r="O51" s="251"/>
      <c r="Q51" s="5"/>
      <c r="R51" s="5"/>
      <c r="S51" s="42"/>
      <c r="T51" s="42"/>
      <c r="U51" s="42"/>
      <c r="V51" s="42"/>
      <c r="W51" s="288"/>
      <c r="X51" s="288"/>
      <c r="Y51" s="288"/>
      <c r="Z51" s="288"/>
      <c r="AA51" s="42"/>
    </row>
    <row r="52" spans="2:27">
      <c r="B52" s="5"/>
      <c r="C52" s="257"/>
      <c r="D52" s="17"/>
      <c r="E52" s="17"/>
      <c r="F52" s="17"/>
      <c r="G52" s="17"/>
      <c r="H52" s="17"/>
      <c r="I52" s="254"/>
      <c r="J52" s="17"/>
      <c r="K52" s="17"/>
      <c r="L52" s="17"/>
      <c r="M52" s="17"/>
      <c r="N52" s="17"/>
      <c r="O52" s="248"/>
      <c r="Q52" s="5"/>
      <c r="R52" s="5"/>
      <c r="S52" s="5"/>
      <c r="Y52" s="10"/>
      <c r="Z52" s="10"/>
    </row>
    <row r="53" spans="2:27">
      <c r="B53" s="5"/>
      <c r="C53" s="257"/>
      <c r="D53" s="257"/>
      <c r="E53" s="257"/>
      <c r="F53" s="5"/>
      <c r="G53" s="5"/>
      <c r="H53" s="259"/>
      <c r="I53" s="17"/>
      <c r="J53" s="259"/>
      <c r="K53" s="259"/>
      <c r="L53" s="259"/>
      <c r="M53" s="259"/>
      <c r="N53" s="259"/>
      <c r="O53" s="18"/>
      <c r="Q53" s="5"/>
      <c r="R53" s="5"/>
      <c r="S53" s="5"/>
    </row>
    <row r="54" spans="2:27">
      <c r="B54" s="41"/>
      <c r="C54" s="249"/>
      <c r="D54" s="254"/>
      <c r="E54" s="254"/>
      <c r="F54" s="254"/>
      <c r="G54" s="254"/>
      <c r="H54" s="254"/>
      <c r="I54" s="259"/>
      <c r="J54" s="254"/>
      <c r="K54" s="254"/>
      <c r="L54" s="254"/>
      <c r="M54" s="254"/>
      <c r="N54" s="254"/>
      <c r="O54" s="251"/>
      <c r="Q54" s="5"/>
      <c r="R54" s="5"/>
      <c r="S54" s="5"/>
    </row>
    <row r="55" spans="2:27">
      <c r="B55" s="5"/>
      <c r="C55" s="257"/>
      <c r="D55" s="17"/>
      <c r="E55" s="17"/>
      <c r="F55" s="17"/>
      <c r="G55" s="17"/>
      <c r="H55" s="17"/>
      <c r="I55" s="249"/>
      <c r="J55" s="17"/>
      <c r="K55" s="17"/>
      <c r="L55" s="17"/>
      <c r="M55" s="17"/>
      <c r="N55" s="17"/>
      <c r="O55" s="18"/>
      <c r="Q55" s="5"/>
      <c r="R55" s="5"/>
      <c r="S55" s="5"/>
    </row>
    <row r="56" spans="2:27">
      <c r="B56" s="5"/>
      <c r="C56" s="248"/>
      <c r="D56" s="248"/>
      <c r="E56" s="248"/>
      <c r="F56" s="5"/>
      <c r="G56" s="5"/>
      <c r="H56" s="259"/>
      <c r="I56" s="248"/>
      <c r="J56" s="259"/>
      <c r="K56" s="259"/>
      <c r="L56" s="259"/>
      <c r="M56" s="259"/>
      <c r="N56" s="259"/>
      <c r="O56" s="18"/>
      <c r="Q56" s="5"/>
      <c r="R56" s="5"/>
      <c r="S56" s="5"/>
    </row>
    <row r="57" spans="2:27">
      <c r="B57" s="41"/>
      <c r="C57" s="249"/>
      <c r="D57" s="249"/>
      <c r="E57" s="249"/>
      <c r="F57" s="249"/>
      <c r="G57" s="249"/>
      <c r="H57" s="249"/>
      <c r="I57" s="5"/>
      <c r="J57" s="249"/>
      <c r="K57" s="249"/>
      <c r="L57" s="249"/>
      <c r="M57" s="249"/>
      <c r="N57" s="249"/>
      <c r="O57" s="251"/>
      <c r="Q57" s="5"/>
      <c r="R57" s="5"/>
      <c r="S57" s="5"/>
    </row>
    <row r="58" spans="2:27">
      <c r="B58" s="5"/>
      <c r="C58" s="5"/>
      <c r="D58" s="248"/>
      <c r="E58" s="248"/>
      <c r="F58" s="248"/>
      <c r="G58" s="248"/>
      <c r="H58" s="248"/>
      <c r="I58" s="17"/>
      <c r="J58" s="248"/>
      <c r="K58" s="248"/>
      <c r="L58" s="248"/>
      <c r="M58" s="248"/>
      <c r="N58" s="248"/>
      <c r="O58" s="18"/>
      <c r="Q58" s="5"/>
      <c r="R58" s="5"/>
      <c r="S58" s="5"/>
    </row>
    <row r="59" spans="2:27">
      <c r="B59" s="5"/>
      <c r="C59" s="5"/>
      <c r="D59" s="5"/>
      <c r="E59" s="5"/>
      <c r="F59" s="5"/>
      <c r="G59" s="5"/>
      <c r="H59" s="5"/>
      <c r="I59" s="5"/>
      <c r="J59" s="5"/>
      <c r="K59" s="5"/>
      <c r="L59" s="5"/>
      <c r="M59" s="5"/>
      <c r="N59" s="5"/>
      <c r="O59" s="5"/>
      <c r="Q59" s="5"/>
      <c r="R59" s="5"/>
      <c r="S59" s="5"/>
    </row>
    <row r="60" spans="2:27">
      <c r="B60" s="41"/>
      <c r="C60" s="17"/>
      <c r="D60" s="17"/>
      <c r="E60" s="17"/>
      <c r="F60" s="17"/>
      <c r="G60" s="17"/>
      <c r="H60" s="17"/>
      <c r="I60" s="249"/>
      <c r="J60" s="17"/>
      <c r="K60" s="17"/>
      <c r="L60" s="17"/>
      <c r="M60" s="17"/>
      <c r="N60" s="17"/>
      <c r="O60" s="251"/>
      <c r="Q60" s="5"/>
      <c r="R60" s="5"/>
      <c r="S60" s="5"/>
    </row>
    <row r="61" spans="2:27">
      <c r="B61" s="5"/>
      <c r="C61" s="5"/>
      <c r="D61" s="5"/>
      <c r="E61" s="5"/>
      <c r="F61" s="5"/>
      <c r="G61" s="5"/>
      <c r="H61" s="5"/>
      <c r="I61" s="5"/>
      <c r="J61" s="5"/>
      <c r="K61" s="5"/>
      <c r="L61" s="5"/>
      <c r="M61" s="5"/>
      <c r="N61" s="5"/>
      <c r="O61" s="5"/>
      <c r="Q61" s="41"/>
      <c r="R61" s="5"/>
      <c r="S61" s="5"/>
    </row>
    <row r="62" spans="2:27">
      <c r="B62" s="41"/>
      <c r="C62" s="249"/>
      <c r="D62" s="249"/>
      <c r="E62" s="249"/>
      <c r="F62" s="249"/>
      <c r="G62" s="249"/>
      <c r="H62" s="249"/>
      <c r="I62" s="5"/>
      <c r="J62" s="249"/>
      <c r="K62" s="249"/>
      <c r="L62" s="249"/>
      <c r="M62" s="249"/>
      <c r="N62" s="249"/>
      <c r="O62" s="251"/>
      <c r="Q62" s="5"/>
      <c r="R62" s="5"/>
      <c r="S62" s="5"/>
    </row>
    <row r="63" spans="2:27">
      <c r="B63" s="5"/>
      <c r="C63" s="5"/>
      <c r="D63" s="5"/>
      <c r="E63" s="5"/>
      <c r="F63" s="5"/>
      <c r="G63" s="5"/>
      <c r="H63" s="5"/>
      <c r="I63" s="254"/>
      <c r="J63" s="5"/>
      <c r="K63" s="5"/>
      <c r="L63" s="5"/>
      <c r="M63" s="5"/>
      <c r="N63" s="5"/>
      <c r="O63" s="5"/>
      <c r="Q63" s="5"/>
      <c r="R63" s="5"/>
      <c r="S63" s="5"/>
    </row>
    <row r="64" spans="2:27">
      <c r="B64" s="5"/>
      <c r="C64" s="5"/>
      <c r="D64" s="5"/>
      <c r="E64" s="5"/>
      <c r="F64" s="5"/>
      <c r="G64" s="5"/>
      <c r="H64" s="5"/>
      <c r="I64" s="17"/>
      <c r="J64" s="5"/>
      <c r="K64" s="5"/>
      <c r="L64" s="5"/>
      <c r="M64" s="5"/>
      <c r="N64" s="5"/>
      <c r="O64" s="5"/>
      <c r="Q64" s="5"/>
      <c r="R64" s="5"/>
      <c r="S64" s="5"/>
    </row>
    <row r="65" spans="2:26">
      <c r="B65" s="41"/>
      <c r="C65" s="249"/>
      <c r="D65" s="254"/>
      <c r="E65" s="254"/>
      <c r="F65" s="254"/>
      <c r="G65" s="254"/>
      <c r="H65" s="254"/>
      <c r="I65" s="254"/>
      <c r="J65" s="254"/>
      <c r="K65" s="254"/>
      <c r="L65" s="254"/>
      <c r="M65" s="254"/>
      <c r="N65" s="254"/>
      <c r="O65" s="251"/>
      <c r="Q65" s="5"/>
      <c r="R65" s="5"/>
      <c r="S65" s="5"/>
    </row>
    <row r="66" spans="2:26">
      <c r="B66" s="5"/>
      <c r="C66" s="5"/>
      <c r="D66" s="17"/>
      <c r="E66" s="17"/>
      <c r="F66" s="17"/>
      <c r="G66" s="17"/>
      <c r="H66" s="17"/>
      <c r="I66" s="248"/>
      <c r="J66" s="17"/>
      <c r="K66" s="17"/>
      <c r="L66" s="17"/>
      <c r="M66" s="17"/>
      <c r="N66" s="17"/>
      <c r="O66" s="5"/>
      <c r="Q66" s="5"/>
      <c r="R66" s="5"/>
      <c r="S66" s="5"/>
    </row>
    <row r="67" spans="2:26">
      <c r="B67" s="41"/>
      <c r="C67" s="249"/>
      <c r="D67" s="254"/>
      <c r="E67" s="254"/>
      <c r="F67" s="254"/>
      <c r="G67" s="254"/>
      <c r="H67" s="254"/>
      <c r="I67" s="5"/>
      <c r="J67" s="254"/>
      <c r="K67" s="254"/>
      <c r="L67" s="254"/>
      <c r="M67" s="254"/>
      <c r="N67" s="254"/>
      <c r="O67" s="251"/>
      <c r="Q67" s="41"/>
      <c r="R67" s="5"/>
      <c r="S67" s="5"/>
    </row>
    <row r="68" spans="2:26">
      <c r="B68" s="5"/>
      <c r="C68" s="5"/>
      <c r="D68" s="248"/>
      <c r="E68" s="248"/>
      <c r="F68" s="248"/>
      <c r="G68" s="248"/>
      <c r="H68" s="248"/>
      <c r="I68" s="245"/>
      <c r="J68" s="248"/>
      <c r="K68" s="248"/>
      <c r="L68" s="248"/>
      <c r="M68" s="248"/>
      <c r="N68" s="248"/>
      <c r="O68" s="5"/>
      <c r="Q68" s="5"/>
      <c r="R68" s="5"/>
      <c r="S68" s="5"/>
    </row>
    <row r="69" spans="2:26">
      <c r="B69" s="41"/>
      <c r="C69" s="5"/>
      <c r="D69" s="5"/>
      <c r="E69" s="5"/>
      <c r="F69" s="5"/>
      <c r="G69" s="5"/>
      <c r="H69" s="5"/>
      <c r="I69" s="248"/>
      <c r="J69" s="5"/>
      <c r="K69" s="5"/>
      <c r="L69" s="5"/>
      <c r="M69" s="5"/>
      <c r="N69" s="5"/>
      <c r="O69" s="5"/>
      <c r="Q69" s="5"/>
      <c r="R69" s="5"/>
      <c r="S69" s="5"/>
    </row>
    <row r="70" spans="2:26">
      <c r="B70" s="41"/>
      <c r="C70" s="245"/>
      <c r="D70" s="245"/>
      <c r="E70" s="245"/>
      <c r="F70" s="245"/>
      <c r="G70" s="245"/>
      <c r="H70" s="245"/>
      <c r="I70" s="5"/>
      <c r="J70" s="245"/>
      <c r="K70" s="245"/>
      <c r="L70" s="245"/>
      <c r="M70" s="245"/>
      <c r="N70" s="245"/>
      <c r="O70" s="251"/>
      <c r="Q70" s="5"/>
      <c r="R70" s="5"/>
      <c r="S70" s="5"/>
      <c r="W70" s="76"/>
      <c r="X70" s="76"/>
    </row>
    <row r="71" spans="2:26">
      <c r="B71" s="5"/>
      <c r="C71" s="5"/>
      <c r="D71" s="248"/>
      <c r="E71" s="248"/>
      <c r="F71" s="248"/>
      <c r="G71" s="248"/>
      <c r="H71" s="248"/>
      <c r="I71" s="245"/>
      <c r="J71" s="248"/>
      <c r="K71" s="248"/>
      <c r="L71" s="248"/>
      <c r="M71" s="248"/>
      <c r="N71" s="248"/>
      <c r="O71" s="5"/>
      <c r="Q71" s="5"/>
      <c r="R71" s="5"/>
      <c r="S71" s="5"/>
      <c r="W71" s="76"/>
      <c r="X71" s="76"/>
      <c r="Y71" s="76"/>
      <c r="Z71" s="76"/>
    </row>
    <row r="72" spans="2:26">
      <c r="B72" s="41"/>
      <c r="C72" s="5"/>
      <c r="D72" s="5"/>
      <c r="E72" s="5"/>
      <c r="F72" s="5"/>
      <c r="G72" s="5"/>
      <c r="H72" s="5"/>
      <c r="I72" s="18"/>
      <c r="J72" s="5"/>
      <c r="K72" s="5"/>
      <c r="L72" s="5"/>
      <c r="M72" s="5"/>
      <c r="N72" s="5"/>
      <c r="O72" s="5"/>
      <c r="Q72" s="5"/>
      <c r="R72" s="5"/>
      <c r="S72" s="5"/>
      <c r="Y72" s="76"/>
      <c r="Z72" s="76"/>
    </row>
    <row r="73" spans="2:26">
      <c r="B73" s="41"/>
      <c r="C73" s="245"/>
      <c r="D73" s="245"/>
      <c r="E73" s="245"/>
      <c r="F73" s="245"/>
      <c r="G73" s="245"/>
      <c r="H73" s="245"/>
      <c r="I73" s="5"/>
      <c r="J73" s="245"/>
      <c r="K73" s="245"/>
      <c r="L73" s="245"/>
      <c r="M73" s="245"/>
      <c r="N73" s="245"/>
      <c r="O73" s="251"/>
      <c r="Q73" s="5"/>
      <c r="R73" s="5"/>
      <c r="S73" s="5"/>
    </row>
    <row r="74" spans="2:26">
      <c r="B74" s="5"/>
      <c r="C74" s="5"/>
      <c r="D74" s="18"/>
      <c r="E74" s="18"/>
      <c r="F74" s="18"/>
      <c r="G74" s="18"/>
      <c r="H74" s="18"/>
      <c r="I74" s="249"/>
      <c r="J74" s="18"/>
      <c r="K74" s="18"/>
      <c r="L74" s="18"/>
      <c r="M74" s="18"/>
      <c r="N74" s="18"/>
      <c r="O74" s="5"/>
      <c r="Q74" s="5"/>
      <c r="R74" s="5"/>
      <c r="S74" s="5"/>
    </row>
    <row r="75" spans="2:26">
      <c r="B75" s="41"/>
      <c r="C75" s="5"/>
      <c r="D75" s="5"/>
      <c r="E75" s="5"/>
      <c r="F75" s="5"/>
      <c r="G75" s="5"/>
      <c r="H75" s="5"/>
      <c r="I75" s="248"/>
      <c r="J75" s="5"/>
      <c r="K75" s="5"/>
      <c r="L75" s="5"/>
      <c r="M75" s="5"/>
      <c r="N75" s="5"/>
      <c r="O75" s="5"/>
      <c r="Q75" s="5"/>
      <c r="R75" s="5"/>
      <c r="S75" s="5"/>
    </row>
    <row r="76" spans="2:26">
      <c r="B76" s="41"/>
      <c r="C76" s="249"/>
      <c r="D76" s="249"/>
      <c r="E76" s="249"/>
      <c r="F76" s="249"/>
      <c r="G76" s="249"/>
      <c r="H76" s="249"/>
      <c r="I76" s="5"/>
      <c r="J76" s="249"/>
      <c r="K76" s="249"/>
      <c r="L76" s="249"/>
      <c r="M76" s="249"/>
      <c r="N76" s="249"/>
      <c r="O76" s="251"/>
      <c r="Q76" s="5"/>
      <c r="R76" s="5"/>
      <c r="S76" s="5"/>
    </row>
    <row r="77" spans="2:26">
      <c r="B77" s="5"/>
      <c r="C77" s="5"/>
      <c r="D77" s="248"/>
      <c r="E77" s="248"/>
      <c r="F77" s="248"/>
      <c r="G77" s="248"/>
      <c r="H77" s="248"/>
      <c r="I77" s="245"/>
      <c r="J77" s="248"/>
      <c r="K77" s="248"/>
      <c r="L77" s="248"/>
      <c r="M77" s="248"/>
      <c r="N77" s="248"/>
      <c r="O77" s="5"/>
      <c r="Q77" s="5"/>
      <c r="R77" s="5"/>
      <c r="S77" s="5"/>
    </row>
    <row r="78" spans="2:26">
      <c r="B78" s="41"/>
      <c r="C78" s="5"/>
      <c r="D78" s="5"/>
      <c r="E78" s="5"/>
      <c r="F78" s="5"/>
      <c r="G78" s="5"/>
      <c r="H78" s="5"/>
      <c r="I78" s="248"/>
      <c r="J78" s="5"/>
      <c r="K78" s="5"/>
      <c r="L78" s="5"/>
      <c r="M78" s="5"/>
      <c r="N78" s="5"/>
      <c r="O78" s="5"/>
      <c r="Q78" s="5"/>
      <c r="R78" s="5"/>
      <c r="S78" s="5"/>
    </row>
    <row r="79" spans="2:26">
      <c r="B79" s="41"/>
      <c r="C79" s="245"/>
      <c r="D79" s="245"/>
      <c r="E79" s="245"/>
      <c r="F79" s="245"/>
      <c r="G79" s="245"/>
      <c r="H79" s="245"/>
      <c r="I79" s="5"/>
      <c r="J79" s="245"/>
      <c r="K79" s="245"/>
      <c r="L79" s="245"/>
      <c r="M79" s="245"/>
      <c r="N79" s="245"/>
      <c r="O79" s="251"/>
      <c r="Q79" s="5"/>
      <c r="R79" s="5"/>
      <c r="S79" s="5"/>
    </row>
    <row r="80" spans="2:26">
      <c r="B80" s="5"/>
      <c r="C80" s="5"/>
      <c r="D80" s="248"/>
      <c r="E80" s="248"/>
      <c r="F80" s="248"/>
      <c r="G80" s="248"/>
      <c r="H80" s="248"/>
      <c r="I80" s="249"/>
      <c r="J80" s="248"/>
      <c r="K80" s="248"/>
      <c r="L80" s="248"/>
      <c r="M80" s="248"/>
      <c r="N80" s="248"/>
      <c r="O80" s="5"/>
      <c r="Q80" s="5"/>
      <c r="R80" s="5"/>
      <c r="S80" s="5"/>
    </row>
    <row r="81" spans="2:26">
      <c r="B81" s="41"/>
      <c r="C81" s="5"/>
      <c r="D81" s="5"/>
      <c r="E81" s="5"/>
      <c r="F81" s="5"/>
      <c r="G81" s="5"/>
      <c r="H81" s="5"/>
      <c r="I81" s="248"/>
      <c r="J81" s="5"/>
      <c r="K81" s="5"/>
      <c r="L81" s="5"/>
      <c r="M81" s="5"/>
      <c r="N81" s="5"/>
      <c r="O81" s="5"/>
      <c r="Q81" s="5"/>
      <c r="R81" s="5"/>
      <c r="S81" s="5"/>
    </row>
    <row r="82" spans="2:26">
      <c r="B82" s="41"/>
      <c r="C82" s="249"/>
      <c r="D82" s="249"/>
      <c r="E82" s="249"/>
      <c r="F82" s="249"/>
      <c r="G82" s="249"/>
      <c r="H82" s="249"/>
      <c r="I82" s="259"/>
      <c r="J82" s="249"/>
      <c r="K82" s="249"/>
      <c r="L82" s="249"/>
      <c r="M82" s="249"/>
      <c r="N82" s="249"/>
      <c r="O82" s="251"/>
      <c r="Q82" s="5"/>
      <c r="R82" s="5"/>
      <c r="S82" s="5"/>
    </row>
    <row r="83" spans="2:26">
      <c r="B83" s="5"/>
      <c r="C83" s="5"/>
      <c r="D83" s="248"/>
      <c r="E83" s="248"/>
      <c r="F83" s="248"/>
      <c r="G83" s="248"/>
      <c r="H83" s="248"/>
      <c r="I83" s="5"/>
      <c r="J83" s="248"/>
      <c r="K83" s="248"/>
      <c r="L83" s="248"/>
      <c r="M83" s="248"/>
      <c r="N83" s="248"/>
      <c r="O83" s="5"/>
      <c r="Q83" s="5"/>
      <c r="R83" s="5"/>
      <c r="S83" s="5"/>
    </row>
    <row r="84" spans="2:26">
      <c r="B84" s="5"/>
      <c r="C84" s="259"/>
      <c r="D84" s="259"/>
      <c r="E84" s="259"/>
      <c r="F84" s="259"/>
      <c r="G84" s="259"/>
      <c r="H84" s="259"/>
      <c r="I84" s="245"/>
      <c r="J84" s="259"/>
      <c r="K84" s="259"/>
      <c r="L84" s="259"/>
      <c r="M84" s="259"/>
      <c r="N84" s="259"/>
      <c r="O84" s="251"/>
      <c r="Q84" s="5"/>
      <c r="R84" s="5"/>
      <c r="S84" s="5"/>
    </row>
    <row r="85" spans="2:26">
      <c r="B85" s="41"/>
      <c r="C85" s="5"/>
      <c r="D85" s="5"/>
      <c r="E85" s="5"/>
      <c r="F85" s="5"/>
      <c r="G85" s="5"/>
      <c r="H85" s="5"/>
      <c r="I85" s="248"/>
      <c r="J85" s="5"/>
      <c r="K85" s="5"/>
      <c r="L85" s="5"/>
      <c r="M85" s="5"/>
      <c r="N85" s="5"/>
      <c r="O85" s="5"/>
      <c r="Q85" s="5"/>
      <c r="R85" s="5"/>
      <c r="S85" s="5"/>
    </row>
    <row r="86" spans="2:26">
      <c r="B86" s="41"/>
      <c r="C86" s="245"/>
      <c r="D86" s="245"/>
      <c r="E86" s="245"/>
      <c r="F86" s="245"/>
      <c r="G86" s="245"/>
      <c r="H86" s="245"/>
      <c r="I86" s="5"/>
      <c r="J86" s="245"/>
      <c r="K86" s="245"/>
      <c r="L86" s="245"/>
      <c r="M86" s="245"/>
      <c r="N86" s="245"/>
      <c r="O86" s="251"/>
      <c r="Q86" s="5"/>
      <c r="R86" s="5"/>
      <c r="S86" s="5"/>
    </row>
    <row r="87" spans="2:26">
      <c r="B87" s="5"/>
      <c r="C87" s="5"/>
      <c r="D87" s="248"/>
      <c r="E87" s="248"/>
      <c r="F87" s="248"/>
      <c r="G87" s="248"/>
      <c r="H87" s="248"/>
      <c r="I87" s="5"/>
      <c r="J87" s="248"/>
      <c r="K87" s="248"/>
      <c r="L87" s="248"/>
      <c r="M87" s="248"/>
      <c r="N87" s="248"/>
      <c r="O87" s="5"/>
      <c r="Q87" s="5"/>
      <c r="R87" s="5"/>
      <c r="S87" s="5"/>
    </row>
    <row r="88" spans="2:26">
      <c r="B88" s="41"/>
      <c r="C88" s="5"/>
      <c r="D88" s="5"/>
      <c r="E88" s="5"/>
      <c r="F88" s="5"/>
      <c r="G88" s="5"/>
      <c r="H88" s="5"/>
      <c r="I88" s="5"/>
      <c r="J88" s="5"/>
      <c r="K88" s="5"/>
      <c r="L88" s="5"/>
      <c r="M88" s="5"/>
      <c r="N88" s="5"/>
      <c r="O88" s="5"/>
      <c r="Q88" s="5"/>
      <c r="R88" s="5"/>
      <c r="S88" s="5"/>
    </row>
    <row r="89" spans="2:26">
      <c r="B89" s="41"/>
      <c r="C89" s="5"/>
      <c r="D89" s="5"/>
      <c r="E89" s="5"/>
      <c r="F89" s="5"/>
      <c r="G89" s="5"/>
      <c r="H89" s="5"/>
      <c r="I89" s="5"/>
      <c r="J89" s="5"/>
      <c r="K89" s="5"/>
      <c r="L89" s="5"/>
      <c r="M89" s="5"/>
      <c r="N89" s="5"/>
      <c r="O89" s="5"/>
      <c r="Q89" s="5"/>
      <c r="R89" s="5"/>
      <c r="S89" s="5"/>
    </row>
    <row r="90" spans="2:26">
      <c r="B90" s="41"/>
      <c r="C90" s="5"/>
      <c r="D90" s="5"/>
      <c r="E90" s="5"/>
      <c r="F90" s="5"/>
      <c r="G90" s="5"/>
      <c r="H90" s="5"/>
      <c r="I90" s="49"/>
      <c r="J90" s="5"/>
      <c r="K90" s="5"/>
      <c r="L90" s="5"/>
      <c r="M90" s="5"/>
      <c r="N90" s="5"/>
      <c r="O90" s="5"/>
      <c r="Q90" s="41"/>
      <c r="R90" s="5"/>
      <c r="S90" s="5"/>
    </row>
    <row r="91" spans="2:26">
      <c r="B91" s="5"/>
      <c r="C91" s="5"/>
      <c r="D91" s="5"/>
      <c r="E91" s="5"/>
      <c r="F91" s="5"/>
      <c r="G91" s="5"/>
      <c r="H91" s="5"/>
      <c r="I91" s="5"/>
      <c r="J91" s="5"/>
      <c r="K91" s="5"/>
      <c r="L91" s="5"/>
      <c r="M91" s="5"/>
      <c r="N91" s="5"/>
      <c r="O91" s="5"/>
      <c r="Q91" s="5"/>
      <c r="R91" s="5"/>
      <c r="S91" s="5"/>
    </row>
    <row r="92" spans="2:26">
      <c r="B92" s="41"/>
      <c r="C92" s="49"/>
      <c r="D92" s="49"/>
      <c r="E92" s="49"/>
      <c r="F92" s="49"/>
      <c r="G92" s="49"/>
      <c r="H92" s="49"/>
      <c r="I92" s="247"/>
      <c r="J92" s="49"/>
      <c r="K92" s="49"/>
      <c r="L92" s="49"/>
      <c r="M92" s="49"/>
      <c r="N92" s="49"/>
      <c r="O92" s="49"/>
      <c r="Q92" s="5"/>
      <c r="R92" s="5"/>
      <c r="S92" s="5"/>
      <c r="W92" s="21"/>
      <c r="X92" s="21"/>
    </row>
    <row r="93" spans="2:26">
      <c r="B93" s="5"/>
      <c r="C93" s="5"/>
      <c r="D93" s="5"/>
      <c r="E93" s="5"/>
      <c r="F93" s="5"/>
      <c r="G93" s="5"/>
      <c r="H93" s="5"/>
      <c r="I93" s="247"/>
      <c r="J93" s="5"/>
      <c r="K93" s="5"/>
      <c r="L93" s="5"/>
      <c r="M93" s="5"/>
      <c r="N93" s="5"/>
      <c r="O93" s="5"/>
      <c r="Q93" s="5"/>
      <c r="R93" s="5"/>
      <c r="S93" s="5"/>
      <c r="W93" s="21"/>
      <c r="X93" s="21"/>
      <c r="Y93" s="21"/>
      <c r="Z93" s="21"/>
    </row>
    <row r="94" spans="2:26">
      <c r="B94" s="5"/>
      <c r="C94" s="259"/>
      <c r="D94" s="247"/>
      <c r="E94" s="247"/>
      <c r="F94" s="247"/>
      <c r="G94" s="247"/>
      <c r="H94" s="247"/>
      <c r="I94" s="247"/>
      <c r="J94" s="247"/>
      <c r="K94" s="247"/>
      <c r="L94" s="247"/>
      <c r="M94" s="247"/>
      <c r="N94" s="247"/>
      <c r="O94" s="248"/>
      <c r="Q94" s="5"/>
      <c r="R94" s="5"/>
      <c r="S94" s="5"/>
      <c r="Y94" s="21"/>
      <c r="Z94" s="21"/>
    </row>
    <row r="95" spans="2:26">
      <c r="B95" s="5"/>
      <c r="C95" s="259"/>
      <c r="D95" s="247"/>
      <c r="E95" s="247"/>
      <c r="F95" s="247"/>
      <c r="G95" s="247"/>
      <c r="H95" s="247"/>
      <c r="I95" s="248"/>
      <c r="J95" s="247"/>
      <c r="K95" s="247"/>
      <c r="L95" s="247"/>
      <c r="M95" s="247"/>
      <c r="N95" s="247"/>
      <c r="O95" s="248"/>
      <c r="Q95" s="5"/>
      <c r="R95" s="5"/>
      <c r="S95" s="5"/>
    </row>
    <row r="96" spans="2:26">
      <c r="B96" s="5"/>
      <c r="C96" s="259"/>
      <c r="D96" s="247"/>
      <c r="E96" s="247"/>
      <c r="F96" s="247"/>
      <c r="G96" s="247"/>
      <c r="H96" s="247"/>
      <c r="I96" s="247"/>
      <c r="J96" s="247"/>
      <c r="K96" s="247"/>
      <c r="L96" s="247"/>
      <c r="M96" s="247"/>
      <c r="N96" s="247"/>
      <c r="O96" s="248"/>
      <c r="Q96" s="5"/>
      <c r="R96" s="5"/>
      <c r="S96" s="5"/>
    </row>
    <row r="97" spans="2:19">
      <c r="B97" s="5"/>
      <c r="C97" s="259"/>
      <c r="D97" s="248"/>
      <c r="E97" s="248"/>
      <c r="F97" s="248"/>
      <c r="G97" s="248"/>
      <c r="H97" s="248"/>
      <c r="I97" s="249"/>
      <c r="J97" s="248"/>
      <c r="K97" s="248"/>
      <c r="L97" s="248"/>
      <c r="M97" s="248"/>
      <c r="N97" s="248"/>
      <c r="O97" s="248"/>
      <c r="Q97" s="5"/>
      <c r="R97" s="5"/>
      <c r="S97" s="5"/>
    </row>
    <row r="98" spans="2:19">
      <c r="B98" s="5"/>
      <c r="C98" s="259"/>
      <c r="D98" s="247"/>
      <c r="E98" s="247"/>
      <c r="F98" s="247"/>
      <c r="G98" s="247"/>
      <c r="H98" s="247"/>
      <c r="I98" s="248"/>
      <c r="J98" s="247"/>
      <c r="K98" s="247"/>
      <c r="L98" s="247"/>
      <c r="M98" s="247"/>
      <c r="N98" s="247"/>
      <c r="O98" s="248"/>
      <c r="Q98" s="5"/>
      <c r="R98" s="5"/>
      <c r="S98" s="5"/>
    </row>
    <row r="99" spans="2:19">
      <c r="B99" s="41"/>
      <c r="C99" s="249"/>
      <c r="D99" s="249"/>
      <c r="E99" s="249"/>
      <c r="F99" s="249"/>
      <c r="G99" s="249"/>
      <c r="H99" s="249"/>
      <c r="I99" s="5"/>
      <c r="J99" s="249"/>
      <c r="K99" s="249"/>
      <c r="L99" s="249"/>
      <c r="M99" s="249"/>
      <c r="N99" s="249"/>
      <c r="O99" s="248"/>
      <c r="Q99" s="5"/>
      <c r="R99" s="5"/>
      <c r="S99" s="5"/>
    </row>
    <row r="100" spans="2:19">
      <c r="B100" s="41"/>
      <c r="C100" s="257"/>
      <c r="D100" s="248"/>
      <c r="E100" s="248"/>
      <c r="F100" s="248"/>
      <c r="G100" s="248"/>
      <c r="H100" s="248"/>
      <c r="I100" s="259"/>
      <c r="J100" s="248"/>
      <c r="K100" s="248"/>
      <c r="L100" s="248"/>
      <c r="M100" s="248"/>
      <c r="N100" s="248"/>
      <c r="O100" s="248"/>
      <c r="Q100" s="5"/>
      <c r="R100" s="5"/>
      <c r="S100" s="5"/>
    </row>
    <row r="101" spans="2:19" s="5" customFormat="1">
      <c r="B101" s="41"/>
      <c r="I101" s="259"/>
      <c r="O101" s="248"/>
      <c r="P101" s="39"/>
    </row>
    <row r="102" spans="2:19">
      <c r="B102" s="5"/>
      <c r="C102" s="259"/>
      <c r="D102" s="259"/>
      <c r="E102" s="259"/>
      <c r="F102" s="259"/>
      <c r="G102" s="259"/>
      <c r="H102" s="259"/>
      <c r="I102" s="247"/>
      <c r="J102" s="259"/>
      <c r="K102" s="259"/>
      <c r="L102" s="259"/>
      <c r="M102" s="259"/>
      <c r="N102" s="259"/>
      <c r="O102" s="5"/>
      <c r="Q102" s="5"/>
      <c r="R102" s="5"/>
      <c r="S102" s="5"/>
    </row>
    <row r="103" spans="2:19">
      <c r="B103" s="5"/>
      <c r="C103" s="259"/>
      <c r="D103" s="259"/>
      <c r="E103" s="259"/>
      <c r="F103" s="259"/>
      <c r="G103" s="259"/>
      <c r="H103" s="259"/>
      <c r="I103" s="5"/>
      <c r="J103" s="259"/>
      <c r="K103" s="259"/>
      <c r="L103" s="259"/>
      <c r="M103" s="259"/>
      <c r="N103" s="259"/>
      <c r="O103" s="5"/>
      <c r="P103" s="5"/>
      <c r="Q103" s="5"/>
      <c r="R103" s="5"/>
      <c r="S103" s="5"/>
    </row>
    <row r="104" spans="2:19">
      <c r="B104" s="5"/>
      <c r="C104" s="247"/>
      <c r="D104" s="247"/>
      <c r="E104" s="247"/>
      <c r="F104" s="247"/>
      <c r="G104" s="247"/>
      <c r="H104" s="247"/>
      <c r="I104" s="247"/>
      <c r="J104" s="247"/>
      <c r="K104" s="247"/>
      <c r="L104" s="247"/>
      <c r="M104" s="247"/>
      <c r="N104" s="247"/>
      <c r="O104" s="5"/>
      <c r="Q104" s="5"/>
      <c r="R104" s="5"/>
      <c r="S104" s="5"/>
    </row>
    <row r="105" spans="2:19" s="5" customFormat="1">
      <c r="P105" s="39"/>
    </row>
    <row r="106" spans="2:19" s="5" customFormat="1">
      <c r="C106" s="259"/>
      <c r="D106" s="247"/>
      <c r="E106" s="247"/>
      <c r="F106" s="247"/>
      <c r="G106" s="247"/>
      <c r="H106" s="247"/>
      <c r="I106" s="259"/>
      <c r="J106" s="247"/>
      <c r="K106" s="247"/>
      <c r="L106" s="247"/>
      <c r="M106" s="247"/>
      <c r="N106" s="247"/>
      <c r="P106" s="39"/>
    </row>
    <row r="107" spans="2:19">
      <c r="B107" s="5"/>
      <c r="C107" s="259"/>
      <c r="D107" s="5"/>
      <c r="E107" s="5"/>
      <c r="F107" s="5"/>
      <c r="G107" s="5"/>
      <c r="H107" s="5"/>
      <c r="I107" s="247"/>
      <c r="J107" s="5"/>
      <c r="K107" s="5"/>
      <c r="L107" s="5"/>
      <c r="M107" s="5"/>
      <c r="N107" s="5"/>
      <c r="O107" s="5"/>
      <c r="P107" s="5"/>
      <c r="Q107" s="5"/>
      <c r="R107" s="5"/>
      <c r="S107" s="5"/>
    </row>
    <row r="108" spans="2:19">
      <c r="B108" s="5"/>
      <c r="C108" s="259"/>
      <c r="D108" s="259"/>
      <c r="E108" s="259"/>
      <c r="F108" s="259"/>
      <c r="G108" s="259"/>
      <c r="H108" s="259"/>
      <c r="I108" s="249"/>
      <c r="J108" s="259"/>
      <c r="K108" s="259"/>
      <c r="L108" s="259"/>
      <c r="M108" s="259"/>
      <c r="N108" s="259"/>
      <c r="O108" s="5"/>
      <c r="P108" s="5"/>
      <c r="Q108" s="5"/>
      <c r="R108" s="5"/>
      <c r="S108" s="5"/>
    </row>
    <row r="109" spans="2:19">
      <c r="B109" s="5"/>
      <c r="C109" s="247"/>
      <c r="D109" s="247"/>
      <c r="E109" s="247"/>
      <c r="F109" s="247"/>
      <c r="G109" s="247"/>
      <c r="H109" s="247"/>
      <c r="I109" s="249"/>
      <c r="J109" s="247"/>
      <c r="K109" s="247"/>
      <c r="L109" s="247"/>
      <c r="M109" s="247"/>
      <c r="N109" s="247"/>
      <c r="O109" s="5"/>
      <c r="Q109" s="5"/>
      <c r="R109" s="5"/>
      <c r="S109" s="5"/>
    </row>
    <row r="110" spans="2:19">
      <c r="B110" s="41"/>
      <c r="C110" s="249"/>
      <c r="D110" s="249"/>
      <c r="E110" s="249"/>
      <c r="F110" s="249"/>
      <c r="G110" s="249"/>
      <c r="H110" s="249"/>
      <c r="I110" s="247"/>
      <c r="J110" s="249"/>
      <c r="K110" s="249"/>
      <c r="L110" s="249"/>
      <c r="M110" s="249"/>
      <c r="N110" s="249"/>
      <c r="O110" s="5"/>
      <c r="Q110" s="5"/>
      <c r="R110" s="5"/>
      <c r="S110" s="5"/>
    </row>
    <row r="111" spans="2:19">
      <c r="B111" s="5"/>
      <c r="C111" s="249"/>
      <c r="D111" s="249"/>
      <c r="E111" s="249"/>
      <c r="F111" s="249"/>
      <c r="G111" s="249"/>
      <c r="H111" s="249"/>
      <c r="I111" s="5"/>
      <c r="J111" s="249"/>
      <c r="K111" s="249"/>
      <c r="L111" s="249"/>
      <c r="M111" s="249"/>
      <c r="N111" s="249"/>
      <c r="O111" s="5"/>
      <c r="Q111" s="5"/>
      <c r="R111" s="5"/>
      <c r="S111" s="5"/>
    </row>
    <row r="112" spans="2:19">
      <c r="B112" s="5"/>
      <c r="C112" s="247"/>
      <c r="D112" s="247"/>
      <c r="E112" s="247"/>
      <c r="F112" s="247"/>
      <c r="G112" s="247"/>
      <c r="H112" s="247"/>
      <c r="I112" s="5"/>
      <c r="J112" s="247"/>
      <c r="K112" s="247"/>
      <c r="L112" s="247"/>
      <c r="M112" s="247"/>
      <c r="N112" s="247"/>
      <c r="O112" s="5"/>
      <c r="Q112" s="5"/>
      <c r="R112" s="5"/>
      <c r="S112" s="5"/>
    </row>
    <row r="113" spans="2:19">
      <c r="B113" s="5"/>
      <c r="C113" s="5"/>
      <c r="D113" s="5"/>
      <c r="E113" s="5"/>
      <c r="F113" s="5"/>
      <c r="G113" s="5"/>
      <c r="H113" s="5"/>
      <c r="I113" s="5"/>
      <c r="J113" s="5"/>
      <c r="K113" s="5"/>
      <c r="L113" s="5"/>
      <c r="M113" s="5"/>
      <c r="N113" s="5"/>
      <c r="O113" s="5"/>
      <c r="Q113" s="5"/>
      <c r="R113" s="5"/>
      <c r="S113" s="5"/>
    </row>
    <row r="114" spans="2:19">
      <c r="B114" s="5"/>
      <c r="C114" s="5"/>
      <c r="D114" s="5"/>
      <c r="E114" s="5"/>
      <c r="F114" s="5"/>
      <c r="G114" s="5"/>
      <c r="H114" s="5"/>
      <c r="I114" s="5"/>
      <c r="J114" s="5"/>
      <c r="K114" s="5"/>
      <c r="L114" s="5"/>
      <c r="M114" s="5"/>
      <c r="N114" s="5"/>
      <c r="O114" s="5"/>
      <c r="Q114" s="5"/>
      <c r="R114" s="5"/>
      <c r="S114" s="5"/>
    </row>
    <row r="115" spans="2:19">
      <c r="B115" s="5"/>
      <c r="C115" s="5"/>
      <c r="D115" s="5"/>
      <c r="E115" s="5"/>
      <c r="F115" s="5"/>
      <c r="G115" s="5"/>
      <c r="H115" s="5"/>
      <c r="I115" s="49"/>
      <c r="J115" s="5"/>
      <c r="K115" s="5"/>
      <c r="L115" s="5"/>
      <c r="M115" s="5"/>
      <c r="N115" s="5"/>
      <c r="O115" s="5"/>
      <c r="Q115" s="41"/>
      <c r="R115" s="5"/>
      <c r="S115" s="5"/>
    </row>
    <row r="116" spans="2:19">
      <c r="B116" s="5"/>
      <c r="C116" s="5"/>
      <c r="D116" s="5"/>
      <c r="E116" s="5"/>
      <c r="F116" s="5"/>
      <c r="G116" s="5"/>
      <c r="H116" s="5"/>
      <c r="I116" s="5"/>
      <c r="J116" s="5"/>
      <c r="K116" s="5"/>
      <c r="L116" s="5"/>
      <c r="M116" s="5"/>
      <c r="N116" s="5"/>
      <c r="O116" s="5"/>
      <c r="Q116" s="5"/>
      <c r="R116" s="5"/>
      <c r="S116" s="5"/>
    </row>
    <row r="117" spans="2:19">
      <c r="B117" s="41"/>
      <c r="C117" s="49"/>
      <c r="D117" s="49"/>
      <c r="E117" s="49"/>
      <c r="F117" s="49"/>
      <c r="G117" s="49"/>
      <c r="H117" s="49"/>
      <c r="I117" s="254"/>
      <c r="J117" s="49"/>
      <c r="K117" s="49"/>
      <c r="L117" s="49"/>
      <c r="M117" s="49"/>
      <c r="N117" s="49"/>
      <c r="O117" s="49"/>
      <c r="Q117" s="5"/>
      <c r="R117" s="5"/>
      <c r="S117" s="5"/>
    </row>
    <row r="118" spans="2:19">
      <c r="B118" s="5"/>
      <c r="C118" s="5"/>
      <c r="D118" s="5"/>
      <c r="E118" s="5"/>
      <c r="F118" s="5"/>
      <c r="G118" s="5"/>
      <c r="H118" s="5"/>
      <c r="I118" s="249"/>
      <c r="J118" s="5"/>
      <c r="K118" s="5"/>
      <c r="L118" s="5"/>
      <c r="M118" s="5"/>
      <c r="N118" s="5"/>
      <c r="O118" s="5"/>
      <c r="Q118" s="5"/>
      <c r="R118" s="5"/>
      <c r="S118" s="5"/>
    </row>
    <row r="119" spans="2:19">
      <c r="B119" s="41"/>
      <c r="C119" s="254"/>
      <c r="D119" s="254"/>
      <c r="E119" s="254"/>
      <c r="F119" s="254"/>
      <c r="G119" s="254"/>
      <c r="H119" s="254"/>
      <c r="I119" s="254"/>
      <c r="J119" s="254"/>
      <c r="K119" s="254"/>
      <c r="L119" s="254"/>
      <c r="M119" s="254"/>
      <c r="N119" s="254"/>
      <c r="O119" s="248"/>
      <c r="Q119" s="5"/>
      <c r="R119" s="5"/>
      <c r="S119" s="5"/>
    </row>
    <row r="120" spans="2:19">
      <c r="B120" s="41"/>
      <c r="C120" s="254"/>
      <c r="D120" s="249"/>
      <c r="E120" s="249"/>
      <c r="F120" s="249"/>
      <c r="G120" s="249"/>
      <c r="H120" s="249"/>
      <c r="I120" s="254"/>
      <c r="J120" s="249"/>
      <c r="K120" s="249"/>
      <c r="L120" s="249"/>
      <c r="M120" s="249"/>
      <c r="N120" s="249"/>
      <c r="O120" s="248"/>
      <c r="Q120" s="5"/>
      <c r="R120" s="5"/>
      <c r="S120" s="5"/>
    </row>
    <row r="121" spans="2:19">
      <c r="B121" s="41"/>
      <c r="C121" s="254"/>
      <c r="D121" s="254"/>
      <c r="E121" s="254"/>
      <c r="F121" s="254"/>
      <c r="G121" s="254"/>
      <c r="H121" s="254"/>
      <c r="I121" s="254"/>
      <c r="J121" s="254"/>
      <c r="K121" s="254"/>
      <c r="L121" s="254"/>
      <c r="M121" s="254"/>
      <c r="N121" s="254"/>
      <c r="O121" s="248"/>
      <c r="Q121" s="5"/>
      <c r="R121" s="5"/>
      <c r="S121" s="5"/>
    </row>
    <row r="122" spans="2:19">
      <c r="B122" s="41"/>
      <c r="C122" s="254"/>
      <c r="D122" s="254"/>
      <c r="E122" s="254"/>
      <c r="F122" s="254"/>
      <c r="G122" s="254"/>
      <c r="H122" s="254"/>
      <c r="I122" s="254"/>
      <c r="J122" s="254"/>
      <c r="K122" s="254"/>
      <c r="L122" s="254"/>
      <c r="M122" s="254"/>
      <c r="N122" s="254"/>
      <c r="O122" s="248"/>
      <c r="Q122" s="5"/>
      <c r="R122" s="5"/>
      <c r="S122" s="5"/>
    </row>
    <row r="123" spans="2:19">
      <c r="B123" s="41"/>
      <c r="C123" s="254"/>
      <c r="D123" s="254"/>
      <c r="E123" s="254"/>
      <c r="F123" s="254"/>
      <c r="G123" s="254"/>
      <c r="H123" s="254"/>
      <c r="I123" s="254"/>
      <c r="J123" s="254"/>
      <c r="K123" s="254"/>
      <c r="L123" s="254"/>
      <c r="M123" s="254"/>
      <c r="N123" s="254"/>
      <c r="O123" s="248"/>
      <c r="Q123" s="5"/>
      <c r="R123" s="5"/>
      <c r="S123" s="5"/>
    </row>
    <row r="124" spans="2:19">
      <c r="B124" s="41"/>
      <c r="C124" s="254"/>
      <c r="D124" s="254"/>
      <c r="E124" s="254"/>
      <c r="F124" s="254"/>
      <c r="G124" s="254"/>
      <c r="H124" s="254"/>
      <c r="I124" s="254"/>
      <c r="J124" s="254"/>
      <c r="K124" s="254"/>
      <c r="L124" s="254"/>
      <c r="M124" s="254"/>
      <c r="N124" s="254"/>
      <c r="O124" s="248"/>
      <c r="Q124" s="5"/>
      <c r="R124" s="5"/>
      <c r="S124" s="5"/>
    </row>
    <row r="125" spans="2:19">
      <c r="B125" s="41"/>
      <c r="C125" s="254"/>
      <c r="D125" s="254"/>
      <c r="E125" s="254"/>
      <c r="F125" s="254"/>
      <c r="G125" s="254"/>
      <c r="H125" s="254"/>
      <c r="I125" s="254"/>
      <c r="J125" s="254"/>
      <c r="K125" s="254"/>
      <c r="L125" s="254"/>
      <c r="M125" s="254"/>
      <c r="N125" s="254"/>
      <c r="O125" s="5"/>
      <c r="Q125" s="5"/>
      <c r="R125" s="5"/>
      <c r="S125" s="5"/>
    </row>
    <row r="126" spans="2:19">
      <c r="B126" s="41"/>
      <c r="C126" s="254"/>
      <c r="D126" s="254"/>
      <c r="E126" s="254"/>
      <c r="F126" s="254"/>
      <c r="G126" s="254"/>
      <c r="H126" s="254"/>
      <c r="I126" s="254"/>
      <c r="J126" s="254"/>
      <c r="K126" s="254"/>
      <c r="L126" s="254"/>
      <c r="M126" s="254"/>
      <c r="N126" s="254"/>
      <c r="O126" s="5"/>
      <c r="Q126" s="5"/>
      <c r="R126" s="5"/>
      <c r="S126" s="5"/>
    </row>
    <row r="127" spans="2:19">
      <c r="B127" s="41"/>
      <c r="C127" s="254"/>
      <c r="D127" s="254"/>
      <c r="E127" s="254"/>
      <c r="F127" s="254"/>
      <c r="G127" s="254"/>
      <c r="H127" s="254"/>
      <c r="I127" s="18"/>
      <c r="J127" s="254"/>
      <c r="K127" s="254"/>
      <c r="L127" s="254"/>
      <c r="M127" s="254"/>
      <c r="N127" s="254"/>
      <c r="O127" s="5"/>
      <c r="Q127" s="5"/>
      <c r="R127" s="5"/>
      <c r="S127" s="5"/>
    </row>
    <row r="128" spans="2:19">
      <c r="B128" s="41"/>
      <c r="C128" s="254"/>
      <c r="D128" s="254"/>
      <c r="E128" s="254"/>
      <c r="F128" s="254"/>
      <c r="G128" s="254"/>
      <c r="H128" s="254"/>
      <c r="I128" s="5"/>
      <c r="J128" s="254"/>
      <c r="K128" s="254"/>
      <c r="L128" s="254"/>
      <c r="M128" s="254"/>
      <c r="N128" s="254"/>
      <c r="O128" s="5"/>
      <c r="Q128" s="5"/>
      <c r="R128" s="5"/>
      <c r="S128" s="5"/>
    </row>
    <row r="129" spans="2:27">
      <c r="B129" s="5"/>
      <c r="C129" s="5"/>
      <c r="D129" s="18"/>
      <c r="E129" s="18"/>
      <c r="F129" s="18"/>
      <c r="G129" s="18"/>
      <c r="H129" s="18"/>
      <c r="I129" s="254"/>
      <c r="J129" s="18"/>
      <c r="K129" s="18"/>
      <c r="L129" s="18"/>
      <c r="M129" s="18"/>
      <c r="N129" s="18"/>
      <c r="O129" s="5"/>
      <c r="Q129" s="5"/>
      <c r="R129" s="5"/>
      <c r="S129" s="5"/>
    </row>
    <row r="130" spans="2:27">
      <c r="B130" s="5"/>
      <c r="C130" s="5"/>
      <c r="D130" s="5"/>
      <c r="E130" s="5"/>
      <c r="F130" s="5"/>
      <c r="G130" s="5"/>
      <c r="H130" s="5"/>
      <c r="I130" s="18"/>
      <c r="J130" s="5"/>
      <c r="K130" s="5"/>
      <c r="L130" s="5"/>
      <c r="M130" s="5"/>
      <c r="N130" s="5"/>
      <c r="O130" s="5"/>
      <c r="Q130" s="5"/>
      <c r="R130" s="5"/>
      <c r="S130" s="5"/>
    </row>
    <row r="131" spans="2:27">
      <c r="B131" s="41"/>
      <c r="C131" s="254"/>
      <c r="D131" s="254"/>
      <c r="E131" s="254"/>
      <c r="F131" s="254"/>
      <c r="G131" s="254"/>
      <c r="H131" s="254"/>
      <c r="I131" s="5"/>
      <c r="J131" s="254"/>
      <c r="K131" s="254"/>
      <c r="L131" s="254"/>
      <c r="M131" s="254"/>
      <c r="N131" s="254"/>
      <c r="O131" s="5"/>
      <c r="Q131" s="5"/>
      <c r="R131" s="5"/>
      <c r="S131" s="5"/>
    </row>
    <row r="132" spans="2:27">
      <c r="B132" s="5"/>
      <c r="C132" s="259"/>
      <c r="D132" s="18"/>
      <c r="E132" s="18"/>
      <c r="F132" s="18"/>
      <c r="G132" s="18"/>
      <c r="H132" s="18"/>
      <c r="I132" s="5"/>
      <c r="J132" s="18"/>
      <c r="K132" s="18"/>
      <c r="L132" s="18"/>
      <c r="M132" s="18"/>
      <c r="N132" s="18"/>
      <c r="O132" s="5"/>
      <c r="Q132" s="5"/>
      <c r="R132" s="5"/>
      <c r="S132" s="5"/>
    </row>
    <row r="133" spans="2:27">
      <c r="B133" s="5"/>
      <c r="C133" s="5"/>
      <c r="D133" s="5"/>
      <c r="E133" s="5"/>
      <c r="F133" s="5"/>
      <c r="G133" s="5"/>
      <c r="H133" s="5"/>
      <c r="I133" s="17"/>
      <c r="J133" s="5"/>
      <c r="K133" s="5"/>
      <c r="L133" s="5"/>
      <c r="M133" s="5"/>
      <c r="N133" s="5"/>
      <c r="O133" s="5"/>
      <c r="Q133" s="5"/>
      <c r="R133" s="5"/>
      <c r="S133" s="5"/>
    </row>
    <row r="134" spans="2:27">
      <c r="B134" s="41"/>
      <c r="C134" s="5"/>
      <c r="D134" s="5"/>
      <c r="E134" s="5"/>
      <c r="F134" s="5"/>
      <c r="G134" s="5"/>
      <c r="H134" s="5"/>
      <c r="I134" s="17"/>
      <c r="J134" s="5"/>
      <c r="K134" s="5"/>
      <c r="L134" s="5"/>
      <c r="M134" s="5"/>
      <c r="N134" s="5"/>
      <c r="O134" s="5"/>
      <c r="Q134" s="5"/>
      <c r="R134" s="5"/>
      <c r="S134" s="5"/>
    </row>
    <row r="135" spans="2:27">
      <c r="B135" s="5"/>
      <c r="C135" s="17"/>
      <c r="D135" s="17"/>
      <c r="E135" s="17"/>
      <c r="F135" s="17"/>
      <c r="G135" s="17"/>
      <c r="H135" s="17"/>
      <c r="I135" s="17"/>
      <c r="J135" s="17"/>
      <c r="K135" s="17"/>
      <c r="L135" s="17"/>
      <c r="M135" s="17"/>
      <c r="N135" s="17"/>
      <c r="O135" s="5"/>
      <c r="Q135" s="41"/>
      <c r="R135" s="5"/>
      <c r="S135" s="5"/>
    </row>
    <row r="136" spans="2:27">
      <c r="B136" s="5"/>
      <c r="C136" s="17"/>
      <c r="D136" s="17"/>
      <c r="E136" s="17"/>
      <c r="F136" s="17"/>
      <c r="G136" s="17"/>
      <c r="H136" s="17"/>
      <c r="I136" s="17"/>
      <c r="J136" s="17"/>
      <c r="K136" s="17"/>
      <c r="L136" s="17"/>
      <c r="M136" s="17"/>
      <c r="N136" s="17"/>
      <c r="O136" s="5"/>
      <c r="Q136" s="5"/>
      <c r="R136" s="5"/>
      <c r="S136" s="5"/>
      <c r="X136" s="304"/>
    </row>
    <row r="137" spans="2:27">
      <c r="B137" s="5"/>
      <c r="C137" s="5"/>
      <c r="D137" s="17"/>
      <c r="E137" s="17"/>
      <c r="F137" s="17"/>
      <c r="G137" s="17"/>
      <c r="H137" s="17"/>
      <c r="I137" s="17"/>
      <c r="J137" s="17"/>
      <c r="K137" s="17"/>
      <c r="L137" s="17"/>
      <c r="M137" s="17"/>
      <c r="N137" s="17"/>
      <c r="O137" s="5"/>
      <c r="Q137" s="5"/>
      <c r="R137" s="5"/>
      <c r="S137" s="5"/>
      <c r="X137" s="10"/>
      <c r="Y137" s="304"/>
      <c r="Z137" s="304"/>
      <c r="AA137" s="304"/>
    </row>
    <row r="138" spans="2:27">
      <c r="B138" s="5"/>
      <c r="C138" s="5"/>
      <c r="D138" s="17"/>
      <c r="E138" s="17"/>
      <c r="F138" s="17"/>
      <c r="G138" s="17"/>
      <c r="H138" s="17"/>
      <c r="I138" s="17"/>
      <c r="J138" s="17"/>
      <c r="K138" s="17"/>
      <c r="L138" s="17"/>
      <c r="M138" s="17"/>
      <c r="N138" s="17"/>
      <c r="O138" s="5"/>
      <c r="Q138" s="5"/>
      <c r="R138" s="5"/>
      <c r="S138" s="5"/>
      <c r="Y138" s="10"/>
      <c r="Z138" s="10"/>
      <c r="AA138" s="10"/>
    </row>
    <row r="139" spans="2:27">
      <c r="B139" s="5"/>
      <c r="C139" s="5"/>
      <c r="D139" s="17"/>
      <c r="E139" s="17"/>
      <c r="F139" s="17"/>
      <c r="G139" s="17"/>
      <c r="H139" s="17"/>
      <c r="I139" s="5"/>
      <c r="J139" s="17"/>
      <c r="K139" s="17"/>
      <c r="L139" s="17"/>
      <c r="M139" s="17"/>
      <c r="N139" s="17"/>
      <c r="O139" s="5"/>
      <c r="Q139" s="5"/>
      <c r="R139" s="5"/>
      <c r="S139" s="5"/>
    </row>
    <row r="140" spans="2:27">
      <c r="B140" s="5"/>
      <c r="C140" s="17"/>
      <c r="D140" s="17"/>
      <c r="E140" s="17"/>
      <c r="F140" s="17"/>
      <c r="G140" s="17"/>
      <c r="H140" s="17"/>
      <c r="I140" s="5"/>
      <c r="J140" s="17"/>
      <c r="K140" s="17"/>
      <c r="L140" s="17"/>
      <c r="M140" s="17"/>
      <c r="N140" s="17"/>
      <c r="O140" s="5"/>
      <c r="Q140" s="5"/>
      <c r="R140" s="5"/>
      <c r="S140" s="5"/>
    </row>
    <row r="141" spans="2:27">
      <c r="B141" s="5"/>
      <c r="C141" s="5"/>
      <c r="D141" s="5"/>
      <c r="E141" s="5"/>
      <c r="F141" s="5"/>
      <c r="G141" s="5"/>
      <c r="H141" s="5"/>
      <c r="I141" s="5"/>
      <c r="J141" s="5"/>
      <c r="K141" s="5"/>
      <c r="L141" s="5"/>
      <c r="M141" s="5"/>
      <c r="N141" s="5"/>
      <c r="O141" s="5"/>
      <c r="Q141" s="5"/>
      <c r="R141" s="5"/>
      <c r="S141" s="5"/>
    </row>
    <row r="142" spans="2:27">
      <c r="B142" s="5"/>
      <c r="C142" s="5"/>
      <c r="D142" s="5"/>
      <c r="E142" s="5"/>
      <c r="F142" s="5"/>
      <c r="G142" s="5"/>
      <c r="H142" s="5"/>
      <c r="I142" s="5"/>
      <c r="J142" s="5"/>
      <c r="K142" s="5"/>
      <c r="L142" s="5"/>
      <c r="M142" s="5"/>
      <c r="N142" s="5"/>
      <c r="O142" s="5"/>
      <c r="Q142" s="5"/>
      <c r="R142" s="5"/>
      <c r="S142" s="5"/>
    </row>
    <row r="143" spans="2:27">
      <c r="B143" s="5"/>
      <c r="C143" s="5"/>
      <c r="D143" s="5"/>
      <c r="E143" s="5"/>
      <c r="F143" s="5"/>
      <c r="G143" s="5"/>
      <c r="H143" s="5"/>
      <c r="I143" s="5"/>
      <c r="J143" s="5"/>
      <c r="K143" s="5"/>
      <c r="L143" s="5"/>
      <c r="M143" s="5"/>
      <c r="N143" s="5"/>
      <c r="O143" s="5"/>
      <c r="Q143" s="5"/>
      <c r="R143" s="5"/>
      <c r="S143" s="5"/>
    </row>
    <row r="144" spans="2:27">
      <c r="B144" s="5"/>
      <c r="C144" s="5"/>
      <c r="D144" s="5"/>
      <c r="E144" s="5"/>
      <c r="F144" s="5"/>
      <c r="G144" s="5"/>
      <c r="H144" s="5"/>
      <c r="I144" s="5"/>
      <c r="J144" s="5"/>
      <c r="K144" s="5"/>
      <c r="L144" s="5"/>
      <c r="M144" s="5"/>
      <c r="N144" s="5"/>
      <c r="O144" s="5"/>
      <c r="Q144" s="5"/>
      <c r="R144" s="5"/>
      <c r="S144" s="5"/>
    </row>
    <row r="145" spans="2:19">
      <c r="B145" s="5"/>
      <c r="C145" s="5"/>
      <c r="D145" s="5"/>
      <c r="E145" s="5"/>
      <c r="F145" s="5"/>
      <c r="G145" s="5"/>
      <c r="H145" s="5"/>
      <c r="I145" s="5"/>
      <c r="J145" s="5"/>
      <c r="K145" s="5"/>
      <c r="L145" s="5"/>
      <c r="M145" s="5"/>
      <c r="N145" s="5"/>
      <c r="O145" s="5"/>
      <c r="Q145" s="5"/>
      <c r="R145" s="5"/>
      <c r="S145" s="5"/>
    </row>
    <row r="146" spans="2:19">
      <c r="B146" s="5"/>
      <c r="C146" s="5"/>
      <c r="D146" s="5"/>
      <c r="E146" s="5"/>
      <c r="F146" s="5"/>
      <c r="G146" s="5"/>
      <c r="H146" s="5"/>
      <c r="I146" s="5"/>
      <c r="J146" s="5"/>
      <c r="K146" s="5"/>
      <c r="L146" s="5"/>
      <c r="M146" s="5"/>
      <c r="N146" s="5"/>
      <c r="O146" s="5"/>
      <c r="Q146" s="5"/>
      <c r="R146" s="5"/>
      <c r="S146" s="5"/>
    </row>
    <row r="147" spans="2:19">
      <c r="B147" s="5"/>
      <c r="C147" s="5"/>
      <c r="D147" s="5"/>
      <c r="E147" s="5"/>
      <c r="F147" s="5"/>
      <c r="G147" s="5"/>
      <c r="H147" s="5"/>
      <c r="I147" s="5"/>
      <c r="J147" s="5"/>
      <c r="K147" s="5"/>
      <c r="L147" s="5"/>
      <c r="M147" s="5"/>
      <c r="N147" s="5"/>
      <c r="O147" s="5"/>
      <c r="Q147" s="5"/>
      <c r="R147" s="5"/>
      <c r="S147" s="5"/>
    </row>
    <row r="148" spans="2:19">
      <c r="B148" s="5"/>
      <c r="C148" s="5"/>
      <c r="D148" s="5"/>
      <c r="E148" s="5"/>
      <c r="F148" s="5"/>
      <c r="G148" s="5"/>
      <c r="H148" s="5"/>
      <c r="I148" s="5"/>
      <c r="J148" s="5"/>
      <c r="K148" s="5"/>
      <c r="L148" s="5"/>
      <c r="M148" s="5"/>
      <c r="N148" s="5"/>
      <c r="O148" s="5"/>
      <c r="Q148" s="5"/>
      <c r="R148" s="5"/>
      <c r="S148" s="5"/>
    </row>
    <row r="149" spans="2:19">
      <c r="B149" s="5"/>
      <c r="C149" s="5"/>
      <c r="D149" s="5"/>
      <c r="E149" s="5"/>
      <c r="F149" s="5"/>
      <c r="G149" s="5"/>
      <c r="H149" s="5"/>
      <c r="J149" s="5"/>
      <c r="K149" s="5"/>
      <c r="L149" s="5"/>
      <c r="M149" s="5"/>
      <c r="N149" s="5"/>
      <c r="O149" s="5"/>
      <c r="Q149" s="5"/>
      <c r="R149" s="5"/>
      <c r="S149" s="5"/>
    </row>
    <row r="150" spans="2:19">
      <c r="B150" s="5"/>
      <c r="C150" s="5"/>
      <c r="D150" s="5"/>
      <c r="E150" s="5"/>
      <c r="F150" s="5"/>
      <c r="G150" s="5"/>
      <c r="H150" s="5"/>
      <c r="J150" s="5"/>
      <c r="K150" s="5"/>
      <c r="L150" s="5"/>
      <c r="M150" s="5"/>
      <c r="N150" s="5"/>
      <c r="O150" s="5"/>
      <c r="Q150" s="5"/>
      <c r="R150" s="5"/>
      <c r="S150" s="5"/>
    </row>
    <row r="151" spans="2:19">
      <c r="Q151" s="5"/>
      <c r="R151" s="5"/>
      <c r="S151" s="5"/>
    </row>
    <row r="152" spans="2:19">
      <c r="Q152" s="5"/>
      <c r="R152" s="5"/>
      <c r="S152" s="5"/>
    </row>
    <row r="153" spans="2:19">
      <c r="C153" s="263"/>
      <c r="Q153" s="5"/>
      <c r="R153" s="5"/>
      <c r="S153" s="5"/>
    </row>
    <row r="154" spans="2:19">
      <c r="Q154" s="5"/>
      <c r="R154" s="5"/>
      <c r="S154" s="5"/>
    </row>
    <row r="155" spans="2:19">
      <c r="Q155" s="5"/>
      <c r="R155" s="5"/>
      <c r="S155" s="5"/>
    </row>
    <row r="156" spans="2:19">
      <c r="Q156" s="5"/>
      <c r="R156" s="5"/>
      <c r="S156" s="5"/>
    </row>
    <row r="157" spans="2:19">
      <c r="Q157" s="5"/>
      <c r="R157" s="5"/>
      <c r="S157" s="5"/>
    </row>
    <row r="158" spans="2:19">
      <c r="Q158" s="5"/>
      <c r="R158" s="5"/>
      <c r="S158" s="5"/>
    </row>
    <row r="159" spans="2:19">
      <c r="Q159" s="5"/>
      <c r="R159" s="5"/>
      <c r="S159" s="5"/>
    </row>
    <row r="160" spans="2:19">
      <c r="Q160" s="5"/>
      <c r="R160" s="5"/>
      <c r="S160" s="5"/>
    </row>
    <row r="161" spans="17:19">
      <c r="Q161" s="5"/>
      <c r="R161" s="5"/>
      <c r="S161" s="5"/>
    </row>
    <row r="162" spans="17:19">
      <c r="Q162" s="5"/>
      <c r="R162" s="5"/>
      <c r="S162" s="5"/>
    </row>
    <row r="163" spans="17:19">
      <c r="Q163" s="5"/>
      <c r="R163" s="5"/>
      <c r="S163" s="5"/>
    </row>
    <row r="164" spans="17:19">
      <c r="Q164" s="5"/>
      <c r="R164" s="5"/>
      <c r="S164" s="5"/>
    </row>
    <row r="165" spans="17:19">
      <c r="Q165" s="5"/>
      <c r="R165" s="5"/>
      <c r="S165" s="5"/>
    </row>
  </sheetData>
  <phoneticPr fontId="7" type="noConversion"/>
  <hyperlinks>
    <hyperlink ref="C2" location="TISOP!A1" display="Jump to TI SOP" xr:uid="{00000000-0004-0000-6300-000001000000}"/>
  </hyperlinks>
  <pageMargins left="0.75" right="0.75" top="1" bottom="1" header="0.5" footer="0.5"/>
  <pageSetup scale="71" orientation="landscape"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2">
    <tabColor theme="3" tint="0.79998168889431442"/>
    <pageSetUpPr fitToPage="1"/>
  </sheetPr>
  <dimension ref="B1:BK144"/>
  <sheetViews>
    <sheetView showGridLines="0" zoomScale="80" zoomScaleNormal="80" workbookViewId="0"/>
  </sheetViews>
  <sheetFormatPr defaultColWidth="9.109375" defaultRowHeight="12"/>
  <cols>
    <col min="1" max="1" width="2.33203125" style="39" customWidth="1"/>
    <col min="2" max="2" width="30.6640625" style="39" customWidth="1"/>
    <col min="3" max="3" width="12" style="39" customWidth="1"/>
    <col min="4" max="4" width="6.33203125" style="39" customWidth="1"/>
    <col min="5" max="5" width="7.44140625" style="39" customWidth="1"/>
    <col min="6" max="6" width="22.109375" style="39" customWidth="1"/>
    <col min="7" max="7" width="12.109375" style="39" customWidth="1"/>
    <col min="8" max="8" width="8" style="39" customWidth="1"/>
    <col min="9" max="9" width="7.88671875" style="39" customWidth="1"/>
    <col min="10" max="10" width="21.33203125" style="39" customWidth="1"/>
    <col min="11" max="11" width="12.109375" style="39" customWidth="1"/>
    <col min="12" max="12" width="4.6640625" style="39" customWidth="1"/>
    <col min="13" max="15" width="10.109375" style="39" customWidth="1"/>
    <col min="16" max="16" width="5.44140625" style="39" customWidth="1"/>
    <col min="17" max="20" width="9.109375" style="39"/>
    <col min="21" max="21" width="3.6640625" style="39" customWidth="1"/>
    <col min="22" max="43" width="9.109375" style="168"/>
    <col min="44" max="63" width="9.109375" style="239"/>
    <col min="64" max="16384" width="9.109375" style="39"/>
  </cols>
  <sheetData>
    <row r="1" spans="2:42" s="80" customFormat="1">
      <c r="C1" s="81"/>
      <c r="D1" s="81"/>
      <c r="E1" s="81"/>
    </row>
    <row r="2" spans="2:42" s="80" customFormat="1">
      <c r="C2" s="81"/>
      <c r="D2" s="81"/>
      <c r="E2" s="81"/>
    </row>
    <row r="3" spans="2:42" s="80" customFormat="1">
      <c r="C3" s="81"/>
      <c r="D3" s="81"/>
      <c r="E3" s="81"/>
    </row>
    <row r="4" spans="2:42" s="128" customFormat="1" ht="21">
      <c r="B4" s="129" t="s">
        <v>573</v>
      </c>
      <c r="C4" s="130"/>
      <c r="D4" s="130"/>
      <c r="E4" s="130"/>
    </row>
    <row r="5" spans="2:42" s="131" customFormat="1">
      <c r="B5" s="132"/>
      <c r="C5" s="133"/>
      <c r="D5" s="133"/>
      <c r="E5" s="133"/>
    </row>
    <row r="6" spans="2:42">
      <c r="O6" s="49"/>
    </row>
    <row r="7" spans="2:42" ht="12.6" thickBot="1">
      <c r="B7" s="240"/>
      <c r="C7" s="240"/>
      <c r="D7" s="240"/>
      <c r="E7" s="240"/>
      <c r="F7" s="240"/>
      <c r="G7" s="240"/>
      <c r="H7" s="240"/>
      <c r="I7" s="240"/>
      <c r="J7" s="240"/>
      <c r="K7" s="240"/>
      <c r="L7" s="241"/>
      <c r="M7" s="49"/>
      <c r="N7" s="49"/>
      <c r="O7" s="49"/>
      <c r="P7" s="5"/>
      <c r="Q7" s="242"/>
      <c r="R7" s="5"/>
      <c r="S7" s="5"/>
      <c r="T7" s="5"/>
      <c r="U7" s="5"/>
    </row>
    <row r="8" spans="2:42" ht="12.6" thickTop="1">
      <c r="B8" s="41"/>
      <c r="C8" s="243"/>
      <c r="D8" s="244"/>
      <c r="E8" s="244"/>
      <c r="F8" s="41"/>
      <c r="G8" s="243"/>
      <c r="H8" s="244"/>
      <c r="J8" s="41"/>
      <c r="K8" s="245"/>
      <c r="L8" s="244"/>
      <c r="M8" s="5"/>
      <c r="N8" s="5"/>
      <c r="O8" s="5"/>
      <c r="P8" s="5"/>
      <c r="Q8" s="5"/>
      <c r="R8" s="5"/>
      <c r="S8" s="5"/>
      <c r="T8" s="5"/>
      <c r="U8" s="5"/>
    </row>
    <row r="9" spans="2:42">
      <c r="B9" s="246" t="s">
        <v>1011</v>
      </c>
      <c r="C9" s="243"/>
      <c r="D9" s="247"/>
      <c r="E9" s="247"/>
      <c r="F9" s="41"/>
      <c r="G9" s="243"/>
      <c r="H9" s="244"/>
      <c r="J9" s="41"/>
      <c r="K9" s="243"/>
      <c r="L9" s="244"/>
      <c r="M9" s="248"/>
      <c r="N9" s="248"/>
      <c r="O9" s="248"/>
    </row>
    <row r="10" spans="2:42">
      <c r="B10" s="39" t="s">
        <v>1087</v>
      </c>
      <c r="C10" s="243"/>
      <c r="D10" s="247"/>
      <c r="E10" s="247"/>
      <c r="F10" s="41"/>
      <c r="G10" s="243"/>
      <c r="H10" s="244"/>
      <c r="J10" s="41"/>
      <c r="K10" s="243"/>
      <c r="L10" s="244"/>
      <c r="M10" s="249"/>
      <c r="N10" s="249"/>
      <c r="O10" s="250"/>
      <c r="Q10" s="5"/>
      <c r="R10" s="5"/>
      <c r="S10" s="5"/>
      <c r="T10" s="5"/>
      <c r="U10" s="5"/>
    </row>
    <row r="11" spans="2:42">
      <c r="C11" s="243"/>
      <c r="D11" s="249"/>
      <c r="E11" s="249"/>
      <c r="F11" s="41"/>
      <c r="G11" s="243"/>
      <c r="H11" s="244"/>
      <c r="J11" s="41"/>
      <c r="K11" s="243"/>
      <c r="L11" s="244"/>
      <c r="M11" s="249"/>
      <c r="N11" s="249"/>
      <c r="O11" s="251"/>
      <c r="Q11" s="242"/>
      <c r="R11" s="5"/>
      <c r="S11" s="5"/>
      <c r="T11" s="5"/>
      <c r="U11" s="5"/>
    </row>
    <row r="12" spans="2:42">
      <c r="B12" s="246" t="s">
        <v>1012</v>
      </c>
      <c r="C12" s="243"/>
      <c r="D12" s="247"/>
      <c r="E12" s="247"/>
      <c r="F12" s="41"/>
      <c r="G12" s="243"/>
      <c r="H12" s="244"/>
      <c r="J12" s="41"/>
      <c r="K12" s="243"/>
      <c r="L12" s="244"/>
      <c r="M12" s="248"/>
      <c r="N12" s="248"/>
      <c r="O12" s="5"/>
      <c r="Q12" s="5"/>
      <c r="R12" s="5"/>
      <c r="S12" s="5"/>
      <c r="T12" s="5"/>
      <c r="U12" s="5"/>
    </row>
    <row r="13" spans="2:42">
      <c r="C13" s="243"/>
      <c r="D13" s="247"/>
      <c r="E13" s="247"/>
      <c r="F13" s="41"/>
      <c r="G13" s="243"/>
      <c r="H13" s="244"/>
      <c r="J13" s="41"/>
      <c r="K13" s="243"/>
      <c r="L13" s="244"/>
      <c r="M13" s="252"/>
      <c r="N13" s="252"/>
      <c r="O13" s="5"/>
      <c r="Q13" s="5"/>
      <c r="R13" s="5"/>
      <c r="S13" s="5"/>
      <c r="T13" s="5"/>
      <c r="U13" s="5"/>
    </row>
    <row r="14" spans="2:42">
      <c r="B14" s="253" t="s">
        <v>1013</v>
      </c>
      <c r="C14" s="243"/>
      <c r="D14" s="249"/>
      <c r="E14" s="249"/>
      <c r="F14" s="41"/>
      <c r="G14" s="243"/>
      <c r="H14" s="244"/>
      <c r="M14" s="254"/>
      <c r="N14" s="254"/>
      <c r="O14" s="251"/>
      <c r="Q14" s="5"/>
      <c r="R14" s="5"/>
      <c r="S14" s="5"/>
      <c r="T14" s="5"/>
      <c r="U14" s="5"/>
    </row>
    <row r="15" spans="2:42">
      <c r="C15" s="243"/>
      <c r="D15" s="247"/>
      <c r="E15" s="247"/>
      <c r="F15" s="41"/>
      <c r="G15" s="243"/>
      <c r="H15" s="244"/>
      <c r="M15" s="17"/>
      <c r="N15" s="17"/>
      <c r="O15" s="5"/>
      <c r="Q15" s="5"/>
      <c r="R15" s="5"/>
      <c r="S15" s="5"/>
      <c r="T15" s="5"/>
      <c r="U15" s="5"/>
    </row>
    <row r="16" spans="2:42">
      <c r="B16" s="253" t="s">
        <v>1014</v>
      </c>
      <c r="C16" s="5"/>
      <c r="D16" s="247"/>
      <c r="E16" s="247"/>
      <c r="F16" s="41"/>
      <c r="G16" s="243"/>
      <c r="H16" s="244"/>
      <c r="M16" s="252"/>
      <c r="N16" s="252"/>
      <c r="O16" s="5"/>
      <c r="Q16" s="5"/>
      <c r="R16" s="5"/>
      <c r="S16" s="5"/>
      <c r="T16" s="5"/>
      <c r="U16" s="5"/>
      <c r="W16" s="255"/>
      <c r="X16" s="255"/>
      <c r="Y16" s="255"/>
      <c r="Z16" s="255"/>
      <c r="AC16" s="255"/>
      <c r="AD16" s="255"/>
      <c r="AE16" s="255"/>
      <c r="AF16" s="255"/>
      <c r="AH16" s="255"/>
      <c r="AI16" s="255"/>
      <c r="AJ16" s="255"/>
      <c r="AK16" s="255"/>
      <c r="AM16" s="255"/>
      <c r="AN16" s="255"/>
      <c r="AO16" s="255"/>
      <c r="AP16" s="255"/>
    </row>
    <row r="17" spans="2:42">
      <c r="B17" s="253"/>
      <c r="C17" s="243"/>
      <c r="D17" s="249"/>
      <c r="E17" s="249"/>
      <c r="F17" s="41"/>
      <c r="G17" s="243"/>
      <c r="H17" s="244"/>
      <c r="M17" s="254"/>
      <c r="N17" s="254"/>
      <c r="O17" s="251"/>
      <c r="Q17" s="5"/>
      <c r="R17" s="5"/>
      <c r="S17" s="5"/>
      <c r="T17" s="5"/>
      <c r="U17" s="5"/>
      <c r="W17" s="255"/>
      <c r="X17" s="255"/>
      <c r="Y17" s="255"/>
      <c r="Z17" s="255"/>
      <c r="AC17" s="255"/>
      <c r="AD17" s="255"/>
      <c r="AE17" s="255"/>
      <c r="AF17" s="255"/>
      <c r="AH17" s="255"/>
      <c r="AI17" s="255"/>
      <c r="AJ17" s="255"/>
      <c r="AK17" s="255"/>
      <c r="AM17" s="255"/>
      <c r="AN17" s="255"/>
      <c r="AO17" s="255"/>
      <c r="AP17" s="255"/>
    </row>
    <row r="18" spans="2:42">
      <c r="B18" s="253" t="s">
        <v>1015</v>
      </c>
      <c r="C18" s="5"/>
      <c r="D18" s="247"/>
      <c r="E18" s="247"/>
      <c r="F18" s="41"/>
      <c r="G18" s="243"/>
      <c r="H18" s="244"/>
      <c r="M18" s="17"/>
      <c r="N18" s="17"/>
      <c r="O18" s="5"/>
      <c r="Q18" s="5"/>
      <c r="R18" s="5"/>
      <c r="S18" s="5"/>
      <c r="T18" s="5"/>
      <c r="U18" s="5"/>
      <c r="W18" s="255"/>
      <c r="X18" s="255"/>
      <c r="Y18" s="255"/>
      <c r="Z18" s="255"/>
      <c r="AC18" s="255"/>
      <c r="AD18" s="255"/>
      <c r="AE18" s="255"/>
      <c r="AF18" s="255"/>
      <c r="AH18" s="255"/>
      <c r="AI18" s="255"/>
      <c r="AJ18" s="255"/>
      <c r="AK18" s="255"/>
      <c r="AM18" s="255"/>
      <c r="AN18" s="255"/>
      <c r="AO18" s="255"/>
      <c r="AP18" s="255"/>
    </row>
    <row r="19" spans="2:42">
      <c r="B19" s="253" t="s">
        <v>1016</v>
      </c>
      <c r="C19" s="249"/>
      <c r="D19" s="247"/>
      <c r="E19" s="247"/>
      <c r="F19" s="41"/>
      <c r="G19" s="243"/>
      <c r="H19" s="244"/>
      <c r="M19" s="5"/>
      <c r="N19" s="5"/>
      <c r="O19" s="5"/>
      <c r="Q19" s="5"/>
      <c r="R19" s="5"/>
      <c r="S19" s="5"/>
      <c r="T19" s="5"/>
      <c r="U19" s="5"/>
      <c r="AC19" s="255"/>
      <c r="AD19" s="255"/>
      <c r="AE19" s="255"/>
      <c r="AF19" s="255"/>
      <c r="AH19" s="255"/>
      <c r="AI19" s="255"/>
      <c r="AJ19" s="255"/>
      <c r="AK19" s="255"/>
      <c r="AM19" s="255"/>
      <c r="AN19" s="255"/>
      <c r="AO19" s="255"/>
      <c r="AP19" s="255"/>
    </row>
    <row r="20" spans="2:42">
      <c r="B20" s="253"/>
      <c r="C20" s="41"/>
      <c r="D20" s="249"/>
      <c r="E20" s="249"/>
      <c r="F20" s="41"/>
      <c r="G20" s="243"/>
      <c r="H20" s="244"/>
      <c r="M20" s="254"/>
      <c r="N20" s="254"/>
      <c r="O20" s="251"/>
      <c r="Q20" s="5"/>
      <c r="R20" s="5"/>
      <c r="S20" s="5"/>
      <c r="T20" s="5"/>
      <c r="U20" s="5"/>
      <c r="AC20" s="255"/>
      <c r="AD20" s="255"/>
      <c r="AE20" s="255"/>
      <c r="AF20" s="255"/>
      <c r="AH20" s="255"/>
      <c r="AI20" s="255"/>
      <c r="AJ20" s="255"/>
      <c r="AK20" s="255"/>
      <c r="AM20" s="255"/>
      <c r="AN20" s="255"/>
      <c r="AO20" s="255"/>
      <c r="AP20" s="255"/>
    </row>
    <row r="21" spans="2:42">
      <c r="B21" s="253" t="s">
        <v>1428</v>
      </c>
      <c r="C21" s="5"/>
      <c r="D21" s="247"/>
      <c r="E21" s="247"/>
      <c r="F21" s="41"/>
      <c r="G21" s="243"/>
      <c r="H21" s="244"/>
      <c r="M21" s="17"/>
      <c r="N21" s="17"/>
      <c r="O21" s="5"/>
      <c r="Q21" s="5"/>
      <c r="R21" s="5"/>
      <c r="S21" s="5"/>
      <c r="T21" s="5"/>
      <c r="U21" s="5"/>
    </row>
    <row r="22" spans="2:42">
      <c r="B22" s="253" t="s">
        <v>1017</v>
      </c>
      <c r="C22" s="5"/>
      <c r="D22" s="247"/>
      <c r="E22" s="247"/>
      <c r="F22" s="41"/>
      <c r="G22" s="243"/>
      <c r="H22" s="244"/>
      <c r="M22" s="5"/>
      <c r="N22" s="5"/>
      <c r="O22" s="5"/>
      <c r="Q22" s="5"/>
      <c r="R22" s="5"/>
      <c r="S22" s="5"/>
      <c r="T22" s="5"/>
      <c r="U22" s="5"/>
    </row>
    <row r="23" spans="2:42">
      <c r="B23" s="41"/>
      <c r="C23" s="41"/>
      <c r="D23" s="249"/>
      <c r="E23" s="249"/>
      <c r="F23" s="41"/>
      <c r="G23" s="243"/>
      <c r="H23" s="244"/>
      <c r="J23" s="41"/>
      <c r="K23" s="243"/>
      <c r="L23" s="241"/>
      <c r="M23" s="249"/>
      <c r="N23" s="249"/>
      <c r="O23" s="251"/>
      <c r="Q23" s="5"/>
      <c r="R23" s="5"/>
      <c r="S23" s="5"/>
      <c r="T23" s="5"/>
      <c r="U23" s="5"/>
      <c r="W23" s="255"/>
      <c r="X23" s="255"/>
      <c r="Y23" s="255"/>
      <c r="Z23" s="255"/>
    </row>
    <row r="24" spans="2:42">
      <c r="B24" s="5"/>
      <c r="C24" s="5"/>
      <c r="D24" s="247"/>
      <c r="E24" s="247"/>
      <c r="F24" s="41"/>
      <c r="G24" s="243"/>
      <c r="H24" s="244"/>
      <c r="J24" s="41"/>
      <c r="K24" s="243"/>
      <c r="L24" s="241"/>
      <c r="M24" s="248"/>
      <c r="N24" s="248"/>
      <c r="O24" s="248"/>
      <c r="Q24" s="5"/>
      <c r="R24" s="5"/>
      <c r="S24" s="5"/>
      <c r="T24" s="5"/>
      <c r="U24" s="5"/>
      <c r="W24" s="255"/>
      <c r="X24" s="255"/>
      <c r="Y24" s="255"/>
      <c r="Z24" s="255"/>
    </row>
    <row r="25" spans="2:42">
      <c r="B25" s="5"/>
      <c r="C25" s="5"/>
      <c r="D25" s="69"/>
      <c r="E25" s="69"/>
      <c r="F25" s="41"/>
      <c r="G25" s="256"/>
      <c r="H25" s="244"/>
      <c r="J25" s="41"/>
      <c r="K25" s="243"/>
      <c r="L25" s="241"/>
      <c r="M25" s="247"/>
      <c r="N25" s="247"/>
      <c r="O25" s="248"/>
      <c r="Q25" s="5"/>
      <c r="R25" s="5"/>
      <c r="S25" s="5"/>
      <c r="T25" s="5"/>
      <c r="U25" s="5"/>
      <c r="W25" s="255"/>
      <c r="X25" s="255"/>
      <c r="Y25" s="255"/>
      <c r="Z25" s="255"/>
    </row>
    <row r="26" spans="2:42">
      <c r="B26" s="41"/>
      <c r="C26" s="41"/>
      <c r="D26" s="249"/>
      <c r="E26" s="249"/>
      <c r="F26" s="5"/>
      <c r="G26" s="5"/>
      <c r="H26" s="5"/>
      <c r="I26" s="168"/>
      <c r="J26" s="41"/>
      <c r="K26" s="243"/>
      <c r="L26" s="241"/>
      <c r="M26" s="249"/>
      <c r="N26" s="249"/>
      <c r="O26" s="251"/>
      <c r="Q26" s="5"/>
      <c r="R26" s="5"/>
      <c r="S26" s="5"/>
      <c r="T26" s="5"/>
      <c r="U26" s="5"/>
      <c r="W26" s="255"/>
      <c r="X26" s="255"/>
      <c r="Y26" s="255"/>
      <c r="Z26" s="255"/>
    </row>
    <row r="27" spans="2:42">
      <c r="B27" s="5"/>
      <c r="C27" s="5"/>
      <c r="D27" s="257"/>
      <c r="E27" s="257"/>
      <c r="F27" s="257"/>
      <c r="G27" s="257"/>
      <c r="H27" s="257"/>
      <c r="I27" s="5"/>
      <c r="J27" s="41"/>
      <c r="K27" s="243"/>
      <c r="L27" s="241"/>
      <c r="M27" s="249"/>
      <c r="N27" s="249"/>
      <c r="O27" s="250"/>
      <c r="Q27" s="242"/>
      <c r="R27" s="5"/>
      <c r="S27" s="5"/>
      <c r="T27" s="5"/>
      <c r="U27" s="5"/>
      <c r="AA27" s="258"/>
      <c r="AB27" s="258"/>
    </row>
    <row r="28" spans="2:42">
      <c r="B28" s="41"/>
      <c r="C28" s="41"/>
      <c r="D28" s="249"/>
      <c r="E28" s="249"/>
      <c r="F28" s="254"/>
      <c r="G28" s="254"/>
      <c r="H28" s="254"/>
      <c r="I28" s="254"/>
      <c r="J28" s="41"/>
      <c r="K28" s="243"/>
      <c r="L28" s="241"/>
      <c r="M28" s="254"/>
      <c r="N28" s="254"/>
      <c r="O28" s="251"/>
      <c r="Q28" s="5"/>
      <c r="R28" s="5"/>
      <c r="S28" s="5"/>
      <c r="T28" s="5"/>
      <c r="U28" s="5"/>
      <c r="AA28" s="258"/>
      <c r="AB28" s="258"/>
    </row>
    <row r="29" spans="2:42">
      <c r="B29" s="5"/>
      <c r="C29" s="5"/>
      <c r="D29" s="257"/>
      <c r="E29" s="257"/>
      <c r="F29" s="17"/>
      <c r="G29" s="17"/>
      <c r="H29" s="17"/>
      <c r="I29" s="17"/>
      <c r="J29" s="41"/>
      <c r="K29" s="243"/>
      <c r="L29" s="241"/>
      <c r="M29" s="17"/>
      <c r="N29" s="17"/>
      <c r="O29" s="248"/>
      <c r="Q29" s="5"/>
      <c r="R29" s="5"/>
      <c r="S29" s="5"/>
      <c r="T29" s="5"/>
      <c r="U29" s="5"/>
      <c r="AA29" s="258"/>
      <c r="AB29" s="258"/>
    </row>
    <row r="30" spans="2:42">
      <c r="B30" s="5"/>
      <c r="C30" s="5"/>
      <c r="D30" s="257"/>
      <c r="E30" s="257"/>
      <c r="F30" s="257"/>
      <c r="G30" s="257"/>
      <c r="H30" s="257"/>
      <c r="I30" s="5"/>
      <c r="J30" s="41"/>
      <c r="K30" s="243"/>
      <c r="L30" s="241"/>
      <c r="M30" s="259"/>
      <c r="N30" s="259"/>
      <c r="O30" s="18"/>
      <c r="Q30" s="5"/>
      <c r="R30" s="5"/>
      <c r="S30" s="5"/>
      <c r="T30" s="5"/>
      <c r="U30" s="5"/>
      <c r="W30" s="255"/>
      <c r="X30" s="255"/>
      <c r="Y30" s="255"/>
      <c r="Z30" s="255"/>
    </row>
    <row r="31" spans="2:42">
      <c r="B31" s="41"/>
      <c r="C31" s="41"/>
      <c r="D31" s="249"/>
      <c r="E31" s="249"/>
      <c r="F31" s="254"/>
      <c r="G31" s="254"/>
      <c r="H31" s="254"/>
      <c r="I31" s="254"/>
      <c r="J31" s="41"/>
      <c r="K31" s="243"/>
      <c r="L31" s="241"/>
      <c r="M31" s="254"/>
      <c r="N31" s="254"/>
      <c r="O31" s="251"/>
      <c r="Q31" s="5"/>
      <c r="R31" s="5"/>
      <c r="S31" s="5"/>
      <c r="T31" s="5"/>
      <c r="U31" s="5"/>
      <c r="W31" s="255"/>
      <c r="X31" s="255"/>
      <c r="Y31" s="255"/>
      <c r="Z31" s="255"/>
    </row>
    <row r="32" spans="2:42">
      <c r="B32" s="5"/>
      <c r="C32" s="5"/>
      <c r="D32" s="257"/>
      <c r="E32" s="257"/>
      <c r="F32" s="17"/>
      <c r="G32" s="17"/>
      <c r="H32" s="17"/>
      <c r="I32" s="17"/>
      <c r="J32" s="41"/>
      <c r="K32" s="243"/>
      <c r="L32" s="241"/>
      <c r="M32" s="17"/>
      <c r="N32" s="17"/>
      <c r="O32" s="18"/>
      <c r="Q32" s="5"/>
      <c r="R32" s="5"/>
      <c r="S32" s="5"/>
      <c r="T32" s="5"/>
      <c r="U32" s="5"/>
    </row>
    <row r="33" spans="2:21">
      <c r="B33" s="5"/>
      <c r="C33" s="5"/>
      <c r="D33" s="248"/>
      <c r="E33" s="248"/>
      <c r="F33" s="248"/>
      <c r="G33" s="248"/>
      <c r="H33" s="248"/>
      <c r="I33" s="5"/>
      <c r="J33" s="41"/>
      <c r="K33" s="243"/>
      <c r="L33" s="241"/>
      <c r="M33" s="259"/>
      <c r="N33" s="259"/>
      <c r="O33" s="18"/>
      <c r="Q33" s="5"/>
      <c r="R33" s="5"/>
      <c r="S33" s="5"/>
      <c r="T33" s="5"/>
      <c r="U33" s="5"/>
    </row>
    <row r="34" spans="2:21">
      <c r="B34" s="41"/>
      <c r="C34" s="41"/>
      <c r="D34" s="249"/>
      <c r="E34" s="249"/>
      <c r="F34" s="249"/>
      <c r="G34" s="249"/>
      <c r="H34" s="249"/>
      <c r="I34" s="249"/>
      <c r="J34" s="41"/>
      <c r="K34" s="243"/>
      <c r="L34" s="241"/>
      <c r="M34" s="249"/>
      <c r="N34" s="249"/>
      <c r="O34" s="251"/>
      <c r="Q34" s="5"/>
      <c r="R34" s="5"/>
      <c r="S34" s="5"/>
      <c r="T34" s="5"/>
      <c r="U34" s="5"/>
    </row>
    <row r="35" spans="2:21">
      <c r="B35" s="5"/>
      <c r="C35" s="5"/>
      <c r="D35" s="5"/>
      <c r="E35" s="5"/>
      <c r="F35" s="248"/>
      <c r="G35" s="248"/>
      <c r="H35" s="248"/>
      <c r="I35" s="248"/>
      <c r="J35" s="41"/>
      <c r="K35" s="243"/>
      <c r="L35" s="241"/>
      <c r="M35" s="248"/>
      <c r="N35" s="248"/>
      <c r="O35" s="18"/>
      <c r="Q35" s="5"/>
      <c r="R35" s="5"/>
      <c r="S35" s="5"/>
      <c r="T35" s="5"/>
      <c r="U35" s="5"/>
    </row>
    <row r="36" spans="2:21">
      <c r="B36" s="5"/>
      <c r="C36" s="5"/>
      <c r="D36" s="5"/>
      <c r="E36" s="5"/>
      <c r="F36" s="5"/>
      <c r="G36" s="5"/>
      <c r="H36" s="5"/>
      <c r="I36" s="5"/>
      <c r="J36" s="41"/>
      <c r="K36" s="243"/>
      <c r="L36" s="241"/>
      <c r="M36" s="5"/>
      <c r="N36" s="5"/>
      <c r="O36" s="5"/>
      <c r="Q36" s="5"/>
      <c r="R36" s="5"/>
      <c r="S36" s="5"/>
      <c r="T36" s="5"/>
      <c r="U36" s="5"/>
    </row>
    <row r="37" spans="2:21">
      <c r="B37" s="41"/>
      <c r="C37" s="41"/>
      <c r="D37" s="17"/>
      <c r="E37" s="17"/>
      <c r="F37" s="17"/>
      <c r="G37" s="17"/>
      <c r="H37" s="17"/>
      <c r="I37" s="17"/>
      <c r="J37" s="41"/>
      <c r="K37" s="243"/>
      <c r="L37" s="241"/>
      <c r="M37" s="17"/>
      <c r="N37" s="17"/>
      <c r="O37" s="251"/>
      <c r="Q37" s="5"/>
      <c r="R37" s="5"/>
      <c r="S37" s="5"/>
      <c r="T37" s="5"/>
      <c r="U37" s="5"/>
    </row>
    <row r="38" spans="2:21">
      <c r="B38" s="5"/>
      <c r="C38" s="5"/>
      <c r="D38" s="5"/>
      <c r="E38" s="5"/>
      <c r="F38" s="5"/>
      <c r="G38" s="5"/>
      <c r="H38" s="5"/>
      <c r="I38" s="5"/>
      <c r="J38" s="41"/>
      <c r="K38" s="243"/>
      <c r="L38" s="241"/>
      <c r="M38" s="5"/>
      <c r="N38" s="5"/>
      <c r="O38" s="5"/>
      <c r="Q38" s="5"/>
      <c r="R38" s="5"/>
      <c r="S38" s="5"/>
      <c r="T38" s="5"/>
      <c r="U38" s="5"/>
    </row>
    <row r="39" spans="2:21">
      <c r="B39" s="41"/>
      <c r="C39" s="41"/>
      <c r="D39" s="249"/>
      <c r="E39" s="249"/>
      <c r="F39" s="249"/>
      <c r="G39" s="249"/>
      <c r="H39" s="249"/>
      <c r="I39" s="249"/>
      <c r="J39" s="41"/>
      <c r="K39" s="243"/>
      <c r="L39" s="241"/>
      <c r="M39" s="249"/>
      <c r="N39" s="249"/>
      <c r="O39" s="251"/>
      <c r="Q39" s="5"/>
      <c r="R39" s="5"/>
      <c r="S39" s="5"/>
      <c r="T39" s="5"/>
      <c r="U39" s="5"/>
    </row>
    <row r="40" spans="2:21">
      <c r="B40" s="5"/>
      <c r="C40" s="5"/>
      <c r="D40" s="5"/>
      <c r="E40" s="5"/>
      <c r="F40" s="5"/>
      <c r="G40" s="5"/>
      <c r="H40" s="5"/>
      <c r="I40" s="5"/>
      <c r="J40" s="41"/>
      <c r="K40" s="243"/>
      <c r="L40" s="241"/>
      <c r="M40" s="5"/>
      <c r="N40" s="5"/>
      <c r="O40" s="5"/>
      <c r="Q40" s="41"/>
      <c r="R40" s="5"/>
      <c r="S40" s="5"/>
      <c r="T40" s="5"/>
      <c r="U40" s="5"/>
    </row>
    <row r="41" spans="2:21">
      <c r="B41" s="5"/>
      <c r="C41" s="5"/>
      <c r="D41" s="5"/>
      <c r="E41" s="5"/>
      <c r="F41" s="5"/>
      <c r="G41" s="5"/>
      <c r="H41" s="5"/>
      <c r="I41" s="5"/>
      <c r="J41" s="41"/>
      <c r="K41" s="243"/>
      <c r="L41" s="241"/>
      <c r="M41" s="5"/>
      <c r="N41" s="5"/>
      <c r="O41" s="5"/>
      <c r="Q41" s="5"/>
      <c r="R41" s="5"/>
      <c r="S41" s="5"/>
      <c r="T41" s="5"/>
      <c r="U41" s="5"/>
    </row>
    <row r="42" spans="2:21">
      <c r="B42" s="41"/>
      <c r="C42" s="41"/>
      <c r="D42" s="249"/>
      <c r="E42" s="249"/>
      <c r="F42" s="254"/>
      <c r="G42" s="254"/>
      <c r="H42" s="254"/>
      <c r="I42" s="254"/>
      <c r="J42" s="254"/>
      <c r="K42" s="254"/>
      <c r="L42" s="254"/>
      <c r="M42" s="254"/>
      <c r="N42" s="254"/>
      <c r="O42" s="251"/>
      <c r="Q42" s="5"/>
      <c r="R42" s="5"/>
      <c r="S42" s="5"/>
      <c r="T42" s="5"/>
      <c r="U42" s="5"/>
    </row>
    <row r="43" spans="2:21">
      <c r="B43" s="5"/>
      <c r="C43" s="5"/>
      <c r="D43" s="5"/>
      <c r="E43" s="5"/>
      <c r="F43" s="17"/>
      <c r="G43" s="17"/>
      <c r="H43" s="17"/>
      <c r="I43" s="17"/>
      <c r="J43" s="17"/>
      <c r="K43" s="17"/>
      <c r="L43" s="17"/>
      <c r="M43" s="17"/>
      <c r="N43" s="17"/>
      <c r="O43" s="5"/>
      <c r="Q43" s="5"/>
      <c r="R43" s="5"/>
      <c r="S43" s="5"/>
      <c r="T43" s="5"/>
      <c r="U43" s="5"/>
    </row>
    <row r="44" spans="2:21">
      <c r="B44" s="41"/>
      <c r="C44" s="41"/>
      <c r="D44" s="249"/>
      <c r="E44" s="249"/>
      <c r="F44" s="254"/>
      <c r="G44" s="254"/>
      <c r="H44" s="254"/>
      <c r="I44" s="254"/>
      <c r="J44" s="254"/>
      <c r="K44" s="254"/>
      <c r="L44" s="254"/>
      <c r="M44" s="254"/>
      <c r="N44" s="254"/>
      <c r="O44" s="251"/>
      <c r="Q44" s="5"/>
      <c r="R44" s="5"/>
      <c r="S44" s="5"/>
      <c r="T44" s="5"/>
      <c r="U44" s="5"/>
    </row>
    <row r="45" spans="2:21">
      <c r="B45" s="5"/>
      <c r="C45" s="5"/>
      <c r="D45" s="5"/>
      <c r="E45" s="5"/>
      <c r="F45" s="248"/>
      <c r="G45" s="248"/>
      <c r="H45" s="248"/>
      <c r="I45" s="248"/>
      <c r="J45" s="248"/>
      <c r="K45" s="248"/>
      <c r="L45" s="248"/>
      <c r="M45" s="248"/>
      <c r="N45" s="248"/>
      <c r="O45" s="5"/>
      <c r="Q45" s="5"/>
      <c r="R45" s="5"/>
      <c r="S45" s="5"/>
      <c r="T45" s="5"/>
      <c r="U45" s="5"/>
    </row>
    <row r="46" spans="2:21">
      <c r="B46" s="41"/>
      <c r="C46" s="41"/>
      <c r="D46" s="5"/>
      <c r="E46" s="5"/>
      <c r="F46" s="5"/>
      <c r="G46" s="5"/>
      <c r="H46" s="5"/>
      <c r="I46" s="5"/>
      <c r="J46" s="5"/>
      <c r="K46" s="5"/>
      <c r="L46" s="5"/>
      <c r="M46" s="5"/>
      <c r="N46" s="5"/>
      <c r="O46" s="5"/>
      <c r="Q46" s="242"/>
      <c r="R46" s="5"/>
      <c r="S46" s="5"/>
      <c r="T46" s="5"/>
      <c r="U46" s="5"/>
    </row>
    <row r="47" spans="2:21">
      <c r="B47" s="41"/>
      <c r="C47" s="41"/>
      <c r="D47" s="245"/>
      <c r="E47" s="245"/>
      <c r="F47" s="245"/>
      <c r="G47" s="245"/>
      <c r="H47" s="245"/>
      <c r="I47" s="245"/>
      <c r="J47" s="245"/>
      <c r="K47" s="245"/>
      <c r="L47" s="245"/>
      <c r="M47" s="245"/>
      <c r="N47" s="245"/>
      <c r="O47" s="251"/>
      <c r="Q47" s="5"/>
      <c r="R47" s="5"/>
      <c r="S47" s="5"/>
      <c r="T47" s="5"/>
      <c r="U47" s="5"/>
    </row>
    <row r="48" spans="2:21">
      <c r="B48" s="5"/>
      <c r="C48" s="5"/>
      <c r="D48" s="5"/>
      <c r="E48" s="5"/>
      <c r="F48" s="248"/>
      <c r="G48" s="248"/>
      <c r="H48" s="248"/>
      <c r="I48" s="248"/>
      <c r="J48" s="248"/>
      <c r="K48" s="248"/>
      <c r="L48" s="248"/>
      <c r="M48" s="248"/>
      <c r="N48" s="248"/>
      <c r="O48" s="5"/>
      <c r="Q48" s="5"/>
      <c r="R48" s="5"/>
      <c r="S48" s="5"/>
      <c r="T48" s="5"/>
      <c r="U48" s="5"/>
    </row>
    <row r="49" spans="2:26">
      <c r="B49" s="41"/>
      <c r="C49" s="41"/>
      <c r="D49" s="5"/>
      <c r="E49" s="5"/>
      <c r="F49" s="5"/>
      <c r="G49" s="5"/>
      <c r="H49" s="5"/>
      <c r="I49" s="5"/>
      <c r="J49" s="5"/>
      <c r="K49" s="5"/>
      <c r="L49" s="5"/>
      <c r="M49" s="5"/>
      <c r="N49" s="5"/>
      <c r="O49" s="5"/>
      <c r="Q49" s="5"/>
      <c r="R49" s="5"/>
      <c r="S49" s="5"/>
      <c r="T49" s="5"/>
      <c r="U49" s="5"/>
    </row>
    <row r="50" spans="2:26">
      <c r="B50" s="41"/>
      <c r="C50" s="41"/>
      <c r="D50" s="245"/>
      <c r="E50" s="245"/>
      <c r="F50" s="245"/>
      <c r="G50" s="245"/>
      <c r="H50" s="245"/>
      <c r="I50" s="245"/>
      <c r="J50" s="245"/>
      <c r="K50" s="245"/>
      <c r="L50" s="245"/>
      <c r="M50" s="245"/>
      <c r="N50" s="245"/>
      <c r="O50" s="251"/>
      <c r="Q50" s="5"/>
      <c r="R50" s="5"/>
      <c r="S50" s="5"/>
      <c r="T50" s="5"/>
      <c r="U50" s="5"/>
      <c r="W50" s="260"/>
      <c r="X50" s="260"/>
      <c r="Y50" s="260"/>
      <c r="Z50" s="260"/>
    </row>
    <row r="51" spans="2:26">
      <c r="B51" s="5"/>
      <c r="C51" s="5"/>
      <c r="D51" s="5"/>
      <c r="E51" s="5"/>
      <c r="F51" s="18"/>
      <c r="G51" s="18"/>
      <c r="H51" s="18"/>
      <c r="I51" s="18"/>
      <c r="J51" s="18"/>
      <c r="K51" s="18"/>
      <c r="L51" s="18"/>
      <c r="M51" s="18"/>
      <c r="N51" s="18"/>
      <c r="O51" s="5"/>
      <c r="Q51" s="5"/>
      <c r="R51" s="5"/>
      <c r="S51" s="5"/>
      <c r="T51" s="5"/>
      <c r="U51" s="5"/>
      <c r="W51" s="260"/>
      <c r="X51" s="260"/>
      <c r="Y51" s="260"/>
      <c r="Z51" s="260"/>
    </row>
    <row r="52" spans="2:26">
      <c r="B52" s="41"/>
      <c r="C52" s="41"/>
      <c r="D52" s="5"/>
      <c r="E52" s="5"/>
      <c r="F52" s="5"/>
      <c r="G52" s="5"/>
      <c r="H52" s="5"/>
      <c r="I52" s="5"/>
      <c r="J52" s="5"/>
      <c r="K52" s="5"/>
      <c r="L52" s="5"/>
      <c r="M52" s="5"/>
      <c r="N52" s="5"/>
      <c r="O52" s="5"/>
      <c r="Q52" s="5"/>
      <c r="R52" s="5"/>
      <c r="S52" s="5"/>
      <c r="T52" s="5"/>
      <c r="U52" s="5"/>
    </row>
    <row r="53" spans="2:26">
      <c r="B53" s="41"/>
      <c r="C53" s="41"/>
      <c r="D53" s="249"/>
      <c r="E53" s="249"/>
      <c r="F53" s="249"/>
      <c r="G53" s="249"/>
      <c r="H53" s="249"/>
      <c r="I53" s="249"/>
      <c r="J53" s="249"/>
      <c r="K53" s="249"/>
      <c r="L53" s="249"/>
      <c r="M53" s="249"/>
      <c r="N53" s="249"/>
      <c r="O53" s="251"/>
      <c r="Q53" s="5"/>
      <c r="R53" s="5"/>
      <c r="S53" s="5"/>
      <c r="T53" s="5"/>
      <c r="U53" s="5"/>
    </row>
    <row r="54" spans="2:26">
      <c r="B54" s="5"/>
      <c r="C54" s="5"/>
      <c r="D54" s="5"/>
      <c r="E54" s="5"/>
      <c r="F54" s="248"/>
      <c r="G54" s="248"/>
      <c r="H54" s="248"/>
      <c r="I54" s="248"/>
      <c r="J54" s="248"/>
      <c r="K54" s="248"/>
      <c r="L54" s="248"/>
      <c r="M54" s="248"/>
      <c r="N54" s="248"/>
      <c r="O54" s="5"/>
      <c r="Q54" s="5"/>
      <c r="R54" s="5"/>
      <c r="S54" s="5"/>
      <c r="T54" s="5"/>
      <c r="U54" s="5"/>
    </row>
    <row r="55" spans="2:26">
      <c r="B55" s="41"/>
      <c r="C55" s="41"/>
      <c r="D55" s="5"/>
      <c r="E55" s="5"/>
      <c r="F55" s="5"/>
      <c r="G55" s="5"/>
      <c r="H55" s="5"/>
      <c r="I55" s="5"/>
      <c r="J55" s="5"/>
      <c r="K55" s="5"/>
      <c r="L55" s="5"/>
      <c r="M55" s="5"/>
      <c r="N55" s="5"/>
      <c r="O55" s="5"/>
      <c r="Q55" s="5"/>
      <c r="R55" s="5"/>
      <c r="S55" s="5"/>
      <c r="T55" s="5"/>
      <c r="U55" s="5"/>
    </row>
    <row r="56" spans="2:26">
      <c r="B56" s="41"/>
      <c r="C56" s="41"/>
      <c r="D56" s="245"/>
      <c r="E56" s="245"/>
      <c r="F56" s="245"/>
      <c r="G56" s="245"/>
      <c r="H56" s="245"/>
      <c r="I56" s="245"/>
      <c r="J56" s="245"/>
      <c r="K56" s="245"/>
      <c r="L56" s="245"/>
      <c r="M56" s="245"/>
      <c r="N56" s="245"/>
      <c r="O56" s="251"/>
      <c r="Q56" s="5"/>
      <c r="R56" s="5"/>
      <c r="S56" s="5"/>
      <c r="T56" s="5"/>
      <c r="U56" s="5"/>
    </row>
    <row r="57" spans="2:26">
      <c r="B57" s="5"/>
      <c r="C57" s="5"/>
      <c r="D57" s="5"/>
      <c r="E57" s="5"/>
      <c r="F57" s="248"/>
      <c r="G57" s="248"/>
      <c r="H57" s="248"/>
      <c r="I57" s="248"/>
      <c r="J57" s="248"/>
      <c r="K57" s="248"/>
      <c r="L57" s="248"/>
      <c r="M57" s="248"/>
      <c r="N57" s="248"/>
      <c r="O57" s="5"/>
      <c r="Q57" s="5"/>
      <c r="R57" s="5"/>
      <c r="S57" s="5"/>
      <c r="T57" s="5"/>
      <c r="U57" s="5"/>
    </row>
    <row r="58" spans="2:26">
      <c r="B58" s="41"/>
      <c r="C58" s="41"/>
      <c r="D58" s="5"/>
      <c r="E58" s="5"/>
      <c r="F58" s="5"/>
      <c r="G58" s="5"/>
      <c r="H58" s="5"/>
      <c r="I58" s="5"/>
      <c r="J58" s="5"/>
      <c r="K58" s="5"/>
      <c r="L58" s="5"/>
      <c r="M58" s="5"/>
      <c r="N58" s="5"/>
      <c r="O58" s="5"/>
      <c r="Q58" s="5"/>
      <c r="R58" s="5"/>
      <c r="S58" s="5"/>
      <c r="T58" s="5"/>
      <c r="U58" s="5"/>
    </row>
    <row r="59" spans="2:26">
      <c r="B59" s="41"/>
      <c r="C59" s="41"/>
      <c r="D59" s="249"/>
      <c r="E59" s="249"/>
      <c r="F59" s="249"/>
      <c r="G59" s="249"/>
      <c r="H59" s="249"/>
      <c r="I59" s="249"/>
      <c r="J59" s="249"/>
      <c r="K59" s="249"/>
      <c r="L59" s="249"/>
      <c r="M59" s="249"/>
      <c r="N59" s="249"/>
      <c r="O59" s="251"/>
      <c r="Q59" s="5"/>
      <c r="R59" s="5"/>
      <c r="S59" s="5"/>
      <c r="T59" s="5"/>
      <c r="U59" s="5"/>
    </row>
    <row r="60" spans="2:26">
      <c r="B60" s="5"/>
      <c r="C60" s="5"/>
      <c r="D60" s="5"/>
      <c r="E60" s="5"/>
      <c r="F60" s="248"/>
      <c r="G60" s="248"/>
      <c r="H60" s="248"/>
      <c r="I60" s="248"/>
      <c r="J60" s="248"/>
      <c r="K60" s="248"/>
      <c r="L60" s="248"/>
      <c r="M60" s="248"/>
      <c r="N60" s="248"/>
      <c r="O60" s="5"/>
      <c r="Q60" s="5"/>
      <c r="R60" s="5"/>
      <c r="S60" s="5"/>
      <c r="T60" s="5"/>
      <c r="U60" s="5"/>
    </row>
    <row r="61" spans="2:26">
      <c r="B61" s="5"/>
      <c r="C61" s="5"/>
      <c r="D61" s="259"/>
      <c r="E61" s="259"/>
      <c r="F61" s="259"/>
      <c r="G61" s="259"/>
      <c r="H61" s="259"/>
      <c r="I61" s="259"/>
      <c r="J61" s="259"/>
      <c r="K61" s="259"/>
      <c r="L61" s="259"/>
      <c r="M61" s="259"/>
      <c r="N61" s="259"/>
      <c r="O61" s="251"/>
      <c r="Q61" s="5"/>
      <c r="R61" s="5"/>
      <c r="S61" s="5"/>
      <c r="T61" s="5"/>
      <c r="U61" s="5"/>
    </row>
    <row r="62" spans="2:26">
      <c r="B62" s="41"/>
      <c r="C62" s="41"/>
      <c r="D62" s="5"/>
      <c r="E62" s="5"/>
      <c r="F62" s="5"/>
      <c r="G62" s="5"/>
      <c r="H62" s="5"/>
      <c r="I62" s="5"/>
      <c r="J62" s="5"/>
      <c r="K62" s="5"/>
      <c r="L62" s="5"/>
      <c r="M62" s="5"/>
      <c r="N62" s="5"/>
      <c r="O62" s="5"/>
      <c r="Q62" s="5"/>
      <c r="R62" s="5"/>
      <c r="S62" s="5"/>
      <c r="T62" s="5"/>
      <c r="U62" s="5"/>
    </row>
    <row r="63" spans="2:26">
      <c r="B63" s="41"/>
      <c r="C63" s="41"/>
      <c r="D63" s="245"/>
      <c r="E63" s="245"/>
      <c r="F63" s="245"/>
      <c r="G63" s="245"/>
      <c r="H63" s="245"/>
      <c r="I63" s="245"/>
      <c r="J63" s="245"/>
      <c r="K63" s="245"/>
      <c r="L63" s="245"/>
      <c r="M63" s="245"/>
      <c r="N63" s="245"/>
      <c r="O63" s="251"/>
      <c r="Q63" s="5"/>
      <c r="R63" s="5"/>
      <c r="S63" s="5"/>
      <c r="T63" s="5"/>
      <c r="U63" s="5"/>
    </row>
    <row r="64" spans="2:26">
      <c r="B64" s="5"/>
      <c r="C64" s="5"/>
      <c r="D64" s="5"/>
      <c r="E64" s="5"/>
      <c r="F64" s="248"/>
      <c r="G64" s="248"/>
      <c r="H64" s="248"/>
      <c r="I64" s="248"/>
      <c r="J64" s="248"/>
      <c r="K64" s="248"/>
      <c r="L64" s="248"/>
      <c r="M64" s="248"/>
      <c r="N64" s="248"/>
      <c r="O64" s="5"/>
      <c r="Q64" s="5"/>
      <c r="R64" s="5"/>
      <c r="S64" s="5"/>
      <c r="T64" s="5"/>
      <c r="U64" s="5"/>
    </row>
    <row r="65" spans="2:63">
      <c r="B65" s="41"/>
      <c r="C65" s="41"/>
      <c r="D65" s="5"/>
      <c r="E65" s="5"/>
      <c r="F65" s="5"/>
      <c r="G65" s="5"/>
      <c r="H65" s="5"/>
      <c r="I65" s="5"/>
      <c r="J65" s="5"/>
      <c r="K65" s="5"/>
      <c r="L65" s="5"/>
      <c r="M65" s="5"/>
      <c r="N65" s="5"/>
      <c r="O65" s="5"/>
      <c r="Q65" s="5"/>
      <c r="R65" s="5"/>
      <c r="S65" s="5"/>
      <c r="T65" s="5"/>
      <c r="U65" s="5"/>
    </row>
    <row r="66" spans="2:63">
      <c r="B66" s="41"/>
      <c r="C66" s="41"/>
      <c r="D66" s="5"/>
      <c r="E66" s="5"/>
      <c r="F66" s="5"/>
      <c r="G66" s="5"/>
      <c r="H66" s="5"/>
      <c r="I66" s="5"/>
      <c r="J66" s="5"/>
      <c r="K66" s="5"/>
      <c r="L66" s="5"/>
      <c r="M66" s="5"/>
      <c r="N66" s="5"/>
      <c r="O66" s="5"/>
      <c r="Q66" s="5"/>
      <c r="R66" s="5"/>
      <c r="S66" s="5"/>
      <c r="T66" s="5"/>
      <c r="U66" s="5"/>
    </row>
    <row r="67" spans="2:63">
      <c r="B67" s="41"/>
      <c r="C67" s="41"/>
      <c r="D67" s="5"/>
      <c r="E67" s="5"/>
      <c r="F67" s="5"/>
      <c r="G67" s="5"/>
      <c r="H67" s="5"/>
      <c r="I67" s="5"/>
      <c r="J67" s="5"/>
      <c r="K67" s="5"/>
      <c r="L67" s="5"/>
      <c r="M67" s="5"/>
      <c r="N67" s="5"/>
      <c r="O67" s="5"/>
      <c r="Q67" s="5"/>
      <c r="R67" s="5"/>
      <c r="S67" s="5"/>
      <c r="T67" s="5"/>
      <c r="U67" s="5"/>
    </row>
    <row r="68" spans="2:63">
      <c r="B68" s="5"/>
      <c r="C68" s="5"/>
      <c r="D68" s="5"/>
      <c r="E68" s="5"/>
      <c r="F68" s="5"/>
      <c r="G68" s="5"/>
      <c r="H68" s="5"/>
      <c r="I68" s="5"/>
      <c r="J68" s="5"/>
      <c r="K68" s="5"/>
      <c r="L68" s="5"/>
      <c r="M68" s="5"/>
      <c r="N68" s="5"/>
      <c r="O68" s="5"/>
      <c r="Q68" s="5"/>
      <c r="R68" s="5"/>
      <c r="S68" s="5"/>
      <c r="T68" s="5"/>
      <c r="U68" s="5"/>
    </row>
    <row r="69" spans="2:63">
      <c r="B69" s="242"/>
      <c r="C69" s="242"/>
      <c r="D69" s="49"/>
      <c r="E69" s="49"/>
      <c r="F69" s="49"/>
      <c r="G69" s="49"/>
      <c r="H69" s="49"/>
      <c r="I69" s="49"/>
      <c r="J69" s="49"/>
      <c r="K69" s="49"/>
      <c r="L69" s="49"/>
      <c r="M69" s="49"/>
      <c r="N69" s="49"/>
      <c r="O69" s="49"/>
      <c r="Q69" s="242"/>
      <c r="R69" s="5"/>
      <c r="S69" s="5"/>
      <c r="T69" s="5"/>
      <c r="U69" s="5"/>
    </row>
    <row r="70" spans="2:63">
      <c r="B70" s="5"/>
      <c r="C70" s="5"/>
      <c r="D70" s="5"/>
      <c r="E70" s="5"/>
      <c r="F70" s="5"/>
      <c r="G70" s="5"/>
      <c r="H70" s="5"/>
      <c r="I70" s="5"/>
      <c r="J70" s="5"/>
      <c r="K70" s="5"/>
      <c r="L70" s="5"/>
      <c r="M70" s="5"/>
      <c r="N70" s="5"/>
      <c r="O70" s="5"/>
      <c r="Q70" s="5"/>
      <c r="R70" s="5"/>
      <c r="S70" s="5"/>
      <c r="T70" s="5"/>
      <c r="U70" s="5"/>
    </row>
    <row r="71" spans="2:63">
      <c r="B71" s="5"/>
      <c r="C71" s="5"/>
      <c r="D71" s="259"/>
      <c r="E71" s="259"/>
      <c r="F71" s="247"/>
      <c r="G71" s="247"/>
      <c r="H71" s="247"/>
      <c r="I71" s="247"/>
      <c r="J71" s="247"/>
      <c r="K71" s="247"/>
      <c r="L71" s="247"/>
      <c r="M71" s="247"/>
      <c r="N71" s="247"/>
      <c r="O71" s="248"/>
      <c r="Q71" s="5"/>
      <c r="R71" s="5"/>
      <c r="S71" s="5"/>
      <c r="T71" s="5"/>
      <c r="U71" s="5"/>
    </row>
    <row r="72" spans="2:63">
      <c r="B72" s="5"/>
      <c r="C72" s="5"/>
      <c r="D72" s="259"/>
      <c r="E72" s="259"/>
      <c r="F72" s="247"/>
      <c r="G72" s="247"/>
      <c r="H72" s="247"/>
      <c r="I72" s="247"/>
      <c r="J72" s="247"/>
      <c r="K72" s="247"/>
      <c r="L72" s="247"/>
      <c r="M72" s="247"/>
      <c r="N72" s="247"/>
      <c r="O72" s="248"/>
      <c r="Q72" s="5"/>
      <c r="R72" s="5"/>
      <c r="S72" s="5"/>
      <c r="T72" s="5"/>
      <c r="U72" s="5"/>
      <c r="W72" s="261"/>
      <c r="X72" s="261"/>
      <c r="Y72" s="261"/>
      <c r="Z72" s="261"/>
    </row>
    <row r="73" spans="2:63">
      <c r="B73" s="5"/>
      <c r="C73" s="5"/>
      <c r="D73" s="259"/>
      <c r="E73" s="259"/>
      <c r="F73" s="247"/>
      <c r="G73" s="247"/>
      <c r="H73" s="247"/>
      <c r="I73" s="247"/>
      <c r="J73" s="247"/>
      <c r="K73" s="247"/>
      <c r="L73" s="247"/>
      <c r="M73" s="247"/>
      <c r="N73" s="247"/>
      <c r="O73" s="248"/>
      <c r="Q73" s="5"/>
      <c r="R73" s="5"/>
      <c r="S73" s="5"/>
      <c r="T73" s="5"/>
      <c r="U73" s="5"/>
      <c r="W73" s="261"/>
      <c r="X73" s="261"/>
      <c r="Y73" s="261"/>
      <c r="Z73" s="261"/>
    </row>
    <row r="74" spans="2:63">
      <c r="B74" s="5"/>
      <c r="C74" s="5"/>
      <c r="D74" s="259"/>
      <c r="E74" s="259"/>
      <c r="F74" s="248"/>
      <c r="G74" s="248"/>
      <c r="H74" s="248"/>
      <c r="I74" s="248"/>
      <c r="J74" s="248"/>
      <c r="K74" s="248"/>
      <c r="L74" s="248"/>
      <c r="M74" s="248"/>
      <c r="N74" s="248"/>
      <c r="O74" s="248"/>
      <c r="Q74" s="5"/>
      <c r="R74" s="5"/>
      <c r="S74" s="5"/>
      <c r="T74" s="5"/>
      <c r="U74" s="5"/>
    </row>
    <row r="75" spans="2:63">
      <c r="B75" s="5"/>
      <c r="C75" s="5"/>
      <c r="D75" s="259"/>
      <c r="E75" s="259"/>
      <c r="F75" s="247"/>
      <c r="G75" s="247"/>
      <c r="H75" s="247"/>
      <c r="I75" s="247"/>
      <c r="J75" s="247"/>
      <c r="K75" s="247"/>
      <c r="L75" s="247"/>
      <c r="M75" s="247"/>
      <c r="N75" s="247"/>
      <c r="O75" s="248"/>
      <c r="Q75" s="5"/>
      <c r="R75" s="5"/>
      <c r="S75" s="5"/>
      <c r="T75" s="5"/>
      <c r="U75" s="5"/>
    </row>
    <row r="76" spans="2:63">
      <c r="B76" s="41"/>
      <c r="C76" s="41"/>
      <c r="D76" s="249"/>
      <c r="E76" s="249"/>
      <c r="F76" s="249"/>
      <c r="G76" s="249"/>
      <c r="H76" s="249"/>
      <c r="I76" s="249"/>
      <c r="J76" s="249"/>
      <c r="K76" s="249"/>
      <c r="L76" s="249"/>
      <c r="M76" s="249"/>
      <c r="N76" s="249"/>
      <c r="O76" s="248"/>
      <c r="Q76" s="5"/>
      <c r="R76" s="5"/>
      <c r="S76" s="5"/>
      <c r="T76" s="5"/>
      <c r="U76" s="5"/>
    </row>
    <row r="77" spans="2:63">
      <c r="B77" s="41"/>
      <c r="C77" s="41"/>
      <c r="D77" s="257"/>
      <c r="E77" s="257"/>
      <c r="F77" s="248"/>
      <c r="G77" s="248"/>
      <c r="H77" s="248"/>
      <c r="I77" s="248"/>
      <c r="J77" s="248"/>
      <c r="K77" s="248"/>
      <c r="L77" s="248"/>
      <c r="M77" s="248"/>
      <c r="N77" s="248"/>
      <c r="O77" s="248"/>
      <c r="Q77" s="5"/>
      <c r="R77" s="5"/>
      <c r="S77" s="5"/>
      <c r="T77" s="5"/>
      <c r="U77" s="5"/>
    </row>
    <row r="78" spans="2:63">
      <c r="B78" s="41"/>
      <c r="C78" s="41"/>
      <c r="D78" s="5"/>
      <c r="E78" s="5"/>
      <c r="F78" s="5"/>
      <c r="G78" s="5"/>
      <c r="H78" s="5"/>
      <c r="I78" s="5"/>
      <c r="J78" s="5"/>
      <c r="K78" s="5"/>
      <c r="L78" s="5"/>
      <c r="M78" s="5"/>
      <c r="N78" s="5"/>
      <c r="O78" s="248"/>
      <c r="Q78" s="5"/>
      <c r="R78" s="5"/>
      <c r="S78" s="5"/>
      <c r="T78" s="5"/>
      <c r="U78" s="5"/>
    </row>
    <row r="79" spans="2:63">
      <c r="B79" s="5"/>
      <c r="C79" s="5"/>
      <c r="D79" s="259"/>
      <c r="E79" s="259"/>
      <c r="F79" s="259"/>
      <c r="G79" s="259"/>
      <c r="H79" s="259"/>
      <c r="I79" s="259"/>
      <c r="J79" s="259"/>
      <c r="K79" s="259"/>
      <c r="L79" s="259"/>
      <c r="M79" s="259"/>
      <c r="N79" s="259"/>
      <c r="O79" s="5"/>
      <c r="Q79" s="5"/>
      <c r="R79" s="5"/>
      <c r="S79" s="5"/>
      <c r="T79" s="5"/>
      <c r="U79" s="5"/>
    </row>
    <row r="80" spans="2:63" s="5" customFormat="1">
      <c r="D80" s="259"/>
      <c r="E80" s="259"/>
      <c r="F80" s="259"/>
      <c r="G80" s="259"/>
      <c r="H80" s="259"/>
      <c r="I80" s="259"/>
      <c r="J80" s="259"/>
      <c r="K80" s="259"/>
      <c r="L80" s="259"/>
      <c r="M80" s="259"/>
      <c r="N80" s="259"/>
      <c r="V80" s="168"/>
      <c r="W80" s="168"/>
      <c r="X80" s="168"/>
      <c r="Y80" s="168"/>
      <c r="Z80" s="168"/>
      <c r="AA80" s="168"/>
      <c r="AB80" s="168"/>
      <c r="AC80" s="168"/>
      <c r="AD80" s="168"/>
      <c r="AE80" s="168"/>
      <c r="AF80" s="168"/>
      <c r="AG80" s="168"/>
      <c r="AH80" s="168"/>
      <c r="AI80" s="168"/>
      <c r="AJ80" s="168"/>
      <c r="AK80" s="168"/>
      <c r="AL80" s="168"/>
      <c r="AM80" s="168"/>
      <c r="AN80" s="168"/>
      <c r="AO80" s="168"/>
      <c r="AP80" s="168"/>
      <c r="AQ80" s="168"/>
      <c r="AR80" s="239"/>
      <c r="AS80" s="239"/>
      <c r="AT80" s="239"/>
      <c r="AU80" s="239"/>
      <c r="AV80" s="239"/>
      <c r="AW80" s="239"/>
      <c r="AX80" s="239"/>
      <c r="AY80" s="239"/>
      <c r="AZ80" s="239"/>
      <c r="BA80" s="239"/>
      <c r="BB80" s="239"/>
      <c r="BC80" s="239"/>
      <c r="BD80" s="239"/>
      <c r="BE80" s="239"/>
      <c r="BF80" s="239"/>
      <c r="BG80" s="239"/>
      <c r="BH80" s="239"/>
      <c r="BI80" s="239"/>
      <c r="BJ80" s="239"/>
      <c r="BK80" s="239"/>
    </row>
    <row r="81" spans="2:63">
      <c r="B81" s="5"/>
      <c r="C81" s="5"/>
      <c r="D81" s="247"/>
      <c r="E81" s="247"/>
      <c r="F81" s="247"/>
      <c r="G81" s="247"/>
      <c r="H81" s="247"/>
      <c r="I81" s="247"/>
      <c r="J81" s="247"/>
      <c r="K81" s="247"/>
      <c r="L81" s="247"/>
      <c r="M81" s="247"/>
      <c r="N81" s="247"/>
      <c r="O81" s="5"/>
      <c r="Q81" s="5"/>
      <c r="R81" s="5"/>
      <c r="S81" s="5"/>
      <c r="T81" s="5"/>
      <c r="U81" s="5"/>
    </row>
    <row r="82" spans="2:63">
      <c r="B82" s="5"/>
      <c r="C82" s="5"/>
      <c r="D82" s="5"/>
      <c r="E82" s="5"/>
      <c r="F82" s="5"/>
      <c r="G82" s="5"/>
      <c r="H82" s="5"/>
      <c r="I82" s="5"/>
      <c r="J82" s="5"/>
      <c r="K82" s="5"/>
      <c r="L82" s="5"/>
      <c r="M82" s="5"/>
      <c r="N82" s="5"/>
      <c r="O82" s="5"/>
      <c r="Q82" s="5"/>
      <c r="R82" s="5"/>
      <c r="S82" s="5"/>
      <c r="T82" s="5"/>
      <c r="U82" s="5"/>
    </row>
    <row r="83" spans="2:63">
      <c r="B83" s="5"/>
      <c r="C83" s="5"/>
      <c r="D83" s="259"/>
      <c r="E83" s="259"/>
      <c r="F83" s="247"/>
      <c r="G83" s="247"/>
      <c r="H83" s="247"/>
      <c r="I83" s="247"/>
      <c r="J83" s="247"/>
      <c r="K83" s="247"/>
      <c r="L83" s="247"/>
      <c r="M83" s="247"/>
      <c r="N83" s="247"/>
      <c r="O83" s="5"/>
      <c r="Q83" s="5"/>
      <c r="R83" s="5"/>
      <c r="S83" s="5"/>
      <c r="T83" s="5"/>
      <c r="U83" s="5"/>
    </row>
    <row r="84" spans="2:63" s="5" customFormat="1">
      <c r="D84" s="259"/>
      <c r="E84" s="259"/>
      <c r="V84" s="168"/>
      <c r="W84" s="168"/>
      <c r="X84" s="168"/>
      <c r="Y84" s="168"/>
      <c r="Z84" s="168"/>
      <c r="AA84" s="168"/>
      <c r="AB84" s="168"/>
      <c r="AC84" s="168"/>
      <c r="AD84" s="168"/>
      <c r="AE84" s="168"/>
      <c r="AF84" s="168"/>
      <c r="AG84" s="168"/>
      <c r="AH84" s="168"/>
      <c r="AI84" s="168"/>
      <c r="AJ84" s="168"/>
      <c r="AK84" s="168"/>
      <c r="AL84" s="168"/>
      <c r="AM84" s="168"/>
      <c r="AN84" s="168"/>
      <c r="AO84" s="168"/>
      <c r="AP84" s="168"/>
      <c r="AQ84" s="168"/>
      <c r="AR84" s="239"/>
      <c r="AS84" s="239"/>
      <c r="AT84" s="239"/>
      <c r="AU84" s="239"/>
      <c r="AV84" s="239"/>
      <c r="AW84" s="239"/>
      <c r="AX84" s="239"/>
      <c r="AY84" s="239"/>
      <c r="AZ84" s="239"/>
      <c r="BA84" s="239"/>
      <c r="BB84" s="239"/>
      <c r="BC84" s="239"/>
      <c r="BD84" s="239"/>
      <c r="BE84" s="239"/>
      <c r="BF84" s="239"/>
      <c r="BG84" s="239"/>
      <c r="BH84" s="239"/>
      <c r="BI84" s="239"/>
      <c r="BJ84" s="239"/>
      <c r="BK84" s="239"/>
    </row>
    <row r="85" spans="2:63" s="5" customFormat="1">
      <c r="D85" s="259"/>
      <c r="E85" s="259"/>
      <c r="F85" s="259"/>
      <c r="G85" s="259"/>
      <c r="H85" s="259"/>
      <c r="I85" s="259"/>
      <c r="J85" s="259"/>
      <c r="K85" s="259"/>
      <c r="L85" s="259"/>
      <c r="M85" s="259"/>
      <c r="N85" s="259"/>
      <c r="V85" s="168"/>
      <c r="W85" s="168"/>
      <c r="X85" s="168"/>
      <c r="Y85" s="168"/>
      <c r="Z85" s="168"/>
      <c r="AA85" s="168"/>
      <c r="AB85" s="168"/>
      <c r="AC85" s="168"/>
      <c r="AD85" s="168"/>
      <c r="AE85" s="168"/>
      <c r="AF85" s="168"/>
      <c r="AG85" s="168"/>
      <c r="AH85" s="168"/>
      <c r="AI85" s="168"/>
      <c r="AJ85" s="168"/>
      <c r="AK85" s="168"/>
      <c r="AL85" s="168"/>
      <c r="AM85" s="168"/>
      <c r="AN85" s="168"/>
      <c r="AO85" s="168"/>
      <c r="AP85" s="168"/>
      <c r="AQ85" s="168"/>
      <c r="AR85" s="239"/>
      <c r="AS85" s="239"/>
      <c r="AT85" s="239"/>
      <c r="AU85" s="239"/>
      <c r="AV85" s="239"/>
      <c r="AW85" s="239"/>
      <c r="AX85" s="239"/>
      <c r="AY85" s="239"/>
      <c r="AZ85" s="239"/>
      <c r="BA85" s="239"/>
      <c r="BB85" s="239"/>
      <c r="BC85" s="239"/>
      <c r="BD85" s="239"/>
      <c r="BE85" s="239"/>
      <c r="BF85" s="239"/>
      <c r="BG85" s="239"/>
      <c r="BH85" s="239"/>
      <c r="BI85" s="239"/>
      <c r="BJ85" s="239"/>
      <c r="BK85" s="239"/>
    </row>
    <row r="86" spans="2:63">
      <c r="B86" s="5"/>
      <c r="C86" s="5"/>
      <c r="D86" s="247"/>
      <c r="E86" s="247"/>
      <c r="F86" s="247"/>
      <c r="G86" s="247"/>
      <c r="H86" s="247"/>
      <c r="I86" s="247"/>
      <c r="J86" s="247"/>
      <c r="K86" s="247"/>
      <c r="L86" s="247"/>
      <c r="M86" s="247"/>
      <c r="N86" s="247"/>
      <c r="O86" s="5"/>
      <c r="Q86" s="5"/>
      <c r="R86" s="5"/>
      <c r="S86" s="5"/>
      <c r="T86" s="5"/>
      <c r="U86" s="5"/>
    </row>
    <row r="87" spans="2:63">
      <c r="B87" s="41"/>
      <c r="C87" s="41"/>
      <c r="D87" s="249"/>
      <c r="E87" s="249"/>
      <c r="F87" s="249"/>
      <c r="G87" s="249"/>
      <c r="H87" s="249"/>
      <c r="I87" s="249"/>
      <c r="J87" s="249"/>
      <c r="K87" s="249"/>
      <c r="L87" s="249"/>
      <c r="M87" s="249"/>
      <c r="N87" s="249"/>
      <c r="O87" s="5"/>
      <c r="Q87" s="5"/>
      <c r="R87" s="5"/>
      <c r="S87" s="5"/>
      <c r="T87" s="5"/>
      <c r="U87" s="5"/>
    </row>
    <row r="88" spans="2:63">
      <c r="B88" s="5"/>
      <c r="C88" s="5"/>
      <c r="D88" s="249"/>
      <c r="E88" s="249"/>
      <c r="F88" s="249"/>
      <c r="G88" s="249"/>
      <c r="H88" s="249"/>
      <c r="I88" s="249"/>
      <c r="J88" s="249"/>
      <c r="K88" s="249"/>
      <c r="L88" s="249"/>
      <c r="M88" s="249"/>
      <c r="N88" s="249"/>
      <c r="O88" s="5"/>
      <c r="Q88" s="5"/>
      <c r="R88" s="5"/>
      <c r="S88" s="5"/>
      <c r="T88" s="5"/>
      <c r="U88" s="5"/>
    </row>
    <row r="89" spans="2:63">
      <c r="B89" s="5"/>
      <c r="C89" s="5"/>
      <c r="D89" s="247"/>
      <c r="E89" s="247"/>
      <c r="F89" s="247"/>
      <c r="G89" s="247"/>
      <c r="H89" s="247"/>
      <c r="I89" s="247"/>
      <c r="J89" s="247"/>
      <c r="K89" s="247"/>
      <c r="L89" s="247"/>
      <c r="M89" s="247"/>
      <c r="N89" s="247"/>
      <c r="O89" s="5"/>
      <c r="Q89" s="5"/>
      <c r="R89" s="5"/>
      <c r="S89" s="5"/>
      <c r="T89" s="5"/>
      <c r="U89" s="5"/>
    </row>
    <row r="90" spans="2:63">
      <c r="B90" s="5"/>
      <c r="C90" s="5"/>
      <c r="D90" s="5"/>
      <c r="E90" s="5"/>
      <c r="F90" s="5"/>
      <c r="G90" s="5"/>
      <c r="H90" s="5"/>
      <c r="I90" s="5"/>
      <c r="J90" s="5"/>
      <c r="K90" s="5"/>
      <c r="L90" s="5"/>
      <c r="M90" s="5"/>
      <c r="N90" s="5"/>
      <c r="O90" s="5"/>
      <c r="Q90" s="5"/>
      <c r="R90" s="5"/>
      <c r="S90" s="5"/>
      <c r="T90" s="5"/>
      <c r="U90" s="5"/>
    </row>
    <row r="91" spans="2:63">
      <c r="B91" s="5"/>
      <c r="C91" s="5"/>
      <c r="D91" s="5"/>
      <c r="E91" s="5"/>
      <c r="F91" s="5"/>
      <c r="G91" s="5"/>
      <c r="H91" s="5"/>
      <c r="I91" s="5"/>
      <c r="J91" s="5"/>
      <c r="K91" s="5"/>
      <c r="L91" s="5"/>
      <c r="M91" s="5"/>
      <c r="N91" s="5"/>
      <c r="O91" s="5"/>
      <c r="Q91" s="5"/>
      <c r="R91" s="5"/>
      <c r="S91" s="5"/>
      <c r="T91" s="5"/>
      <c r="U91" s="5"/>
    </row>
    <row r="92" spans="2:63">
      <c r="B92" s="5"/>
      <c r="C92" s="5"/>
      <c r="D92" s="5"/>
      <c r="E92" s="5"/>
      <c r="F92" s="5"/>
      <c r="G92" s="5"/>
      <c r="H92" s="5"/>
      <c r="I92" s="5"/>
      <c r="J92" s="5"/>
      <c r="K92" s="5"/>
      <c r="L92" s="5"/>
      <c r="M92" s="5"/>
      <c r="N92" s="5"/>
      <c r="O92" s="5"/>
      <c r="Q92" s="5"/>
      <c r="R92" s="5"/>
      <c r="S92" s="5"/>
      <c r="T92" s="5"/>
      <c r="U92" s="5"/>
    </row>
    <row r="93" spans="2:63">
      <c r="B93" s="5"/>
      <c r="C93" s="5"/>
      <c r="D93" s="5"/>
      <c r="E93" s="5"/>
      <c r="F93" s="5"/>
      <c r="G93" s="5"/>
      <c r="H93" s="5"/>
      <c r="I93" s="5"/>
      <c r="J93" s="5"/>
      <c r="K93" s="5"/>
      <c r="L93" s="5"/>
      <c r="M93" s="5"/>
      <c r="N93" s="5"/>
      <c r="O93" s="5"/>
      <c r="Q93" s="5"/>
      <c r="R93" s="5"/>
      <c r="S93" s="5"/>
      <c r="T93" s="5"/>
      <c r="U93" s="5"/>
    </row>
    <row r="94" spans="2:63">
      <c r="B94" s="242"/>
      <c r="C94" s="242"/>
      <c r="D94" s="49"/>
      <c r="E94" s="49"/>
      <c r="F94" s="49"/>
      <c r="G94" s="49"/>
      <c r="H94" s="49"/>
      <c r="I94" s="49"/>
      <c r="J94" s="49"/>
      <c r="K94" s="49"/>
      <c r="L94" s="49"/>
      <c r="M94" s="49"/>
      <c r="N94" s="49"/>
      <c r="O94" s="49"/>
      <c r="Q94" s="242"/>
      <c r="R94" s="5"/>
      <c r="S94" s="5"/>
      <c r="T94" s="5"/>
      <c r="U94" s="5"/>
    </row>
    <row r="95" spans="2:63">
      <c r="B95" s="5"/>
      <c r="C95" s="5"/>
      <c r="D95" s="5"/>
      <c r="E95" s="5"/>
      <c r="F95" s="5"/>
      <c r="G95" s="5"/>
      <c r="H95" s="5"/>
      <c r="I95" s="5"/>
      <c r="J95" s="5"/>
      <c r="K95" s="5"/>
      <c r="L95" s="5"/>
      <c r="M95" s="5"/>
      <c r="N95" s="5"/>
      <c r="O95" s="5"/>
      <c r="Q95" s="5"/>
      <c r="R95" s="5"/>
      <c r="S95" s="5"/>
      <c r="T95" s="5"/>
      <c r="U95" s="5"/>
    </row>
    <row r="96" spans="2:63">
      <c r="B96" s="41"/>
      <c r="C96" s="41"/>
      <c r="D96" s="254"/>
      <c r="E96" s="254"/>
      <c r="F96" s="254"/>
      <c r="G96" s="254"/>
      <c r="H96" s="254"/>
      <c r="I96" s="254"/>
      <c r="J96" s="254"/>
      <c r="K96" s="254"/>
      <c r="L96" s="254"/>
      <c r="M96" s="254"/>
      <c r="N96" s="254"/>
      <c r="O96" s="248"/>
      <c r="Q96" s="5"/>
      <c r="R96" s="5"/>
      <c r="S96" s="5"/>
      <c r="T96" s="5"/>
      <c r="U96" s="5"/>
    </row>
    <row r="97" spans="2:21">
      <c r="B97" s="41"/>
      <c r="C97" s="41"/>
      <c r="D97" s="254"/>
      <c r="E97" s="254"/>
      <c r="F97" s="249"/>
      <c r="G97" s="249"/>
      <c r="H97" s="249"/>
      <c r="I97" s="249"/>
      <c r="J97" s="249"/>
      <c r="K97" s="249"/>
      <c r="L97" s="249"/>
      <c r="M97" s="249"/>
      <c r="N97" s="249"/>
      <c r="O97" s="248"/>
      <c r="Q97" s="5"/>
      <c r="R97" s="5"/>
      <c r="S97" s="5"/>
      <c r="T97" s="5"/>
      <c r="U97" s="5"/>
    </row>
    <row r="98" spans="2:21">
      <c r="B98" s="41"/>
      <c r="C98" s="41"/>
      <c r="D98" s="254"/>
      <c r="E98" s="254"/>
      <c r="F98" s="254"/>
      <c r="G98" s="254"/>
      <c r="H98" s="254"/>
      <c r="I98" s="254"/>
      <c r="J98" s="254"/>
      <c r="K98" s="254"/>
      <c r="L98" s="254"/>
      <c r="M98" s="254"/>
      <c r="N98" s="254"/>
      <c r="O98" s="248"/>
      <c r="Q98" s="5"/>
      <c r="R98" s="5"/>
      <c r="S98" s="5"/>
      <c r="T98" s="5"/>
      <c r="U98" s="5"/>
    </row>
    <row r="99" spans="2:21">
      <c r="B99" s="41"/>
      <c r="C99" s="41"/>
      <c r="D99" s="254"/>
      <c r="E99" s="254"/>
      <c r="F99" s="254"/>
      <c r="G99" s="254"/>
      <c r="H99" s="254"/>
      <c r="I99" s="254"/>
      <c r="J99" s="254"/>
      <c r="K99" s="254"/>
      <c r="L99" s="254"/>
      <c r="M99" s="254"/>
      <c r="N99" s="254"/>
      <c r="O99" s="248"/>
      <c r="Q99" s="5"/>
      <c r="R99" s="5"/>
      <c r="S99" s="5"/>
      <c r="T99" s="5"/>
      <c r="U99" s="5"/>
    </row>
    <row r="100" spans="2:21">
      <c r="B100" s="41"/>
      <c r="C100" s="41"/>
      <c r="D100" s="254"/>
      <c r="E100" s="254"/>
      <c r="F100" s="254"/>
      <c r="G100" s="254"/>
      <c r="H100" s="254"/>
      <c r="I100" s="254"/>
      <c r="J100" s="254"/>
      <c r="K100" s="254"/>
      <c r="L100" s="254"/>
      <c r="M100" s="254"/>
      <c r="N100" s="254"/>
      <c r="O100" s="248"/>
      <c r="Q100" s="5"/>
      <c r="R100" s="5"/>
      <c r="S100" s="5"/>
      <c r="T100" s="5"/>
      <c r="U100" s="5"/>
    </row>
    <row r="101" spans="2:21">
      <c r="B101" s="41"/>
      <c r="C101" s="41"/>
      <c r="D101" s="254"/>
      <c r="E101" s="254"/>
      <c r="F101" s="254"/>
      <c r="G101" s="254"/>
      <c r="H101" s="254"/>
      <c r="I101" s="254"/>
      <c r="J101" s="254"/>
      <c r="K101" s="254"/>
      <c r="L101" s="254"/>
      <c r="M101" s="254"/>
      <c r="N101" s="254"/>
      <c r="O101" s="248"/>
      <c r="Q101" s="5"/>
      <c r="R101" s="5"/>
      <c r="S101" s="5"/>
      <c r="T101" s="5"/>
      <c r="U101" s="5"/>
    </row>
    <row r="102" spans="2:21">
      <c r="B102" s="41"/>
      <c r="C102" s="41"/>
      <c r="D102" s="254"/>
      <c r="E102" s="254"/>
      <c r="F102" s="254"/>
      <c r="G102" s="254"/>
      <c r="H102" s="254"/>
      <c r="I102" s="254"/>
      <c r="J102" s="254"/>
      <c r="K102" s="254"/>
      <c r="L102" s="254"/>
      <c r="M102" s="254"/>
      <c r="N102" s="254"/>
      <c r="O102" s="5"/>
      <c r="Q102" s="5"/>
      <c r="R102" s="5"/>
      <c r="S102" s="5"/>
      <c r="T102" s="5"/>
      <c r="U102" s="5"/>
    </row>
    <row r="103" spans="2:21">
      <c r="B103" s="41"/>
      <c r="C103" s="41"/>
      <c r="D103" s="254"/>
      <c r="E103" s="254"/>
      <c r="F103" s="254"/>
      <c r="G103" s="254"/>
      <c r="H103" s="254"/>
      <c r="I103" s="254"/>
      <c r="J103" s="254"/>
      <c r="K103" s="254"/>
      <c r="L103" s="254"/>
      <c r="M103" s="254"/>
      <c r="N103" s="254"/>
      <c r="O103" s="5"/>
      <c r="Q103" s="5"/>
      <c r="R103" s="5"/>
      <c r="S103" s="5"/>
      <c r="T103" s="5"/>
      <c r="U103" s="5"/>
    </row>
    <row r="104" spans="2:21">
      <c r="B104" s="41"/>
      <c r="C104" s="41"/>
      <c r="D104" s="254"/>
      <c r="E104" s="254"/>
      <c r="F104" s="254"/>
      <c r="G104" s="254"/>
      <c r="H104" s="254"/>
      <c r="I104" s="254"/>
      <c r="J104" s="254"/>
      <c r="K104" s="254"/>
      <c r="L104" s="254"/>
      <c r="M104" s="254"/>
      <c r="N104" s="254"/>
      <c r="O104" s="5"/>
      <c r="Q104" s="5"/>
      <c r="R104" s="5"/>
      <c r="S104" s="5"/>
      <c r="T104" s="5"/>
      <c r="U104" s="5"/>
    </row>
    <row r="105" spans="2:21">
      <c r="B105" s="41"/>
      <c r="C105" s="41"/>
      <c r="D105" s="254"/>
      <c r="E105" s="254"/>
      <c r="F105" s="254"/>
      <c r="G105" s="254"/>
      <c r="H105" s="254"/>
      <c r="I105" s="254"/>
      <c r="J105" s="254"/>
      <c r="K105" s="254"/>
      <c r="L105" s="254"/>
      <c r="M105" s="254"/>
      <c r="N105" s="254"/>
      <c r="O105" s="5"/>
      <c r="Q105" s="5"/>
      <c r="R105" s="5"/>
      <c r="S105" s="5"/>
      <c r="T105" s="5"/>
      <c r="U105" s="5"/>
    </row>
    <row r="106" spans="2:21">
      <c r="B106" s="5"/>
      <c r="C106" s="5"/>
      <c r="D106" s="5"/>
      <c r="E106" s="5"/>
      <c r="F106" s="18"/>
      <c r="G106" s="18"/>
      <c r="H106" s="18"/>
      <c r="I106" s="18"/>
      <c r="J106" s="18"/>
      <c r="K106" s="18"/>
      <c r="L106" s="18"/>
      <c r="M106" s="18"/>
      <c r="N106" s="18"/>
      <c r="O106" s="5"/>
      <c r="Q106" s="5"/>
      <c r="R106" s="5"/>
      <c r="S106" s="5"/>
      <c r="T106" s="5"/>
      <c r="U106" s="5"/>
    </row>
    <row r="107" spans="2:21">
      <c r="B107" s="5"/>
      <c r="C107" s="5"/>
      <c r="D107" s="5"/>
      <c r="E107" s="5"/>
      <c r="F107" s="5"/>
      <c r="G107" s="5"/>
      <c r="H107" s="5"/>
      <c r="I107" s="5"/>
      <c r="J107" s="5"/>
      <c r="K107" s="5"/>
      <c r="L107" s="5"/>
      <c r="M107" s="5"/>
      <c r="N107" s="5"/>
      <c r="O107" s="5"/>
      <c r="Q107" s="5"/>
      <c r="R107" s="5"/>
      <c r="S107" s="5"/>
      <c r="T107" s="5"/>
      <c r="U107" s="5"/>
    </row>
    <row r="108" spans="2:21">
      <c r="B108" s="41"/>
      <c r="C108" s="41"/>
      <c r="D108" s="254"/>
      <c r="E108" s="254"/>
      <c r="F108" s="254"/>
      <c r="G108" s="254"/>
      <c r="H108" s="254"/>
      <c r="I108" s="254"/>
      <c r="J108" s="254"/>
      <c r="K108" s="254"/>
      <c r="L108" s="254"/>
      <c r="M108" s="254"/>
      <c r="N108" s="254"/>
      <c r="O108" s="5"/>
      <c r="Q108" s="5"/>
      <c r="R108" s="5"/>
      <c r="S108" s="5"/>
      <c r="T108" s="5"/>
      <c r="U108" s="5"/>
    </row>
    <row r="109" spans="2:21">
      <c r="B109" s="5"/>
      <c r="C109" s="5"/>
      <c r="D109" s="259"/>
      <c r="E109" s="259"/>
      <c r="F109" s="18"/>
      <c r="G109" s="18"/>
      <c r="H109" s="18"/>
      <c r="I109" s="18"/>
      <c r="J109" s="18"/>
      <c r="K109" s="18"/>
      <c r="L109" s="18"/>
      <c r="M109" s="18"/>
      <c r="N109" s="18"/>
      <c r="O109" s="5"/>
      <c r="Q109" s="5"/>
      <c r="R109" s="5"/>
      <c r="S109" s="5"/>
      <c r="T109" s="5"/>
      <c r="U109" s="5"/>
    </row>
    <row r="110" spans="2:21">
      <c r="B110" s="5"/>
      <c r="C110" s="5"/>
      <c r="D110" s="5"/>
      <c r="E110" s="5"/>
      <c r="F110" s="5"/>
      <c r="G110" s="5"/>
      <c r="H110" s="5"/>
      <c r="I110" s="5"/>
      <c r="J110" s="5"/>
      <c r="K110" s="5"/>
      <c r="L110" s="5"/>
      <c r="M110" s="5"/>
      <c r="N110" s="5"/>
      <c r="O110" s="5"/>
      <c r="Q110" s="5"/>
      <c r="R110" s="5"/>
      <c r="S110" s="5"/>
      <c r="T110" s="5"/>
      <c r="U110" s="5"/>
    </row>
    <row r="111" spans="2:21">
      <c r="B111" s="41"/>
      <c r="C111" s="5"/>
      <c r="D111" s="5"/>
      <c r="E111" s="5"/>
      <c r="F111" s="5"/>
      <c r="G111" s="5"/>
      <c r="H111" s="5"/>
      <c r="I111" s="5"/>
      <c r="J111" s="5"/>
      <c r="K111" s="5"/>
      <c r="L111" s="5"/>
      <c r="M111" s="5"/>
      <c r="N111" s="5"/>
      <c r="O111" s="5"/>
      <c r="Q111" s="5"/>
      <c r="R111" s="5"/>
      <c r="S111" s="5"/>
      <c r="T111" s="5"/>
      <c r="U111" s="5"/>
    </row>
    <row r="112" spans="2:21">
      <c r="B112" s="5"/>
      <c r="C112" s="5"/>
      <c r="D112" s="17"/>
      <c r="E112" s="17"/>
      <c r="F112" s="17"/>
      <c r="G112" s="17"/>
      <c r="H112" s="17"/>
      <c r="I112" s="17"/>
      <c r="J112" s="17"/>
      <c r="K112" s="17"/>
      <c r="L112" s="17"/>
      <c r="M112" s="17"/>
      <c r="N112" s="17"/>
      <c r="O112" s="5"/>
      <c r="Q112" s="5"/>
      <c r="R112" s="5"/>
      <c r="S112" s="5"/>
      <c r="T112" s="5"/>
      <c r="U112" s="5"/>
    </row>
    <row r="113" spans="2:27">
      <c r="B113" s="5"/>
      <c r="C113" s="5"/>
      <c r="D113" s="17"/>
      <c r="E113" s="17"/>
      <c r="F113" s="17"/>
      <c r="G113" s="17"/>
      <c r="H113" s="17"/>
      <c r="I113" s="17"/>
      <c r="J113" s="17"/>
      <c r="K113" s="17"/>
      <c r="L113" s="17"/>
      <c r="M113" s="17"/>
      <c r="N113" s="17"/>
      <c r="O113" s="5"/>
      <c r="Q113" s="5"/>
      <c r="R113" s="5"/>
      <c r="S113" s="5"/>
      <c r="T113" s="5"/>
      <c r="U113" s="5"/>
    </row>
    <row r="114" spans="2:27">
      <c r="B114" s="5"/>
      <c r="C114" s="5"/>
      <c r="D114" s="5"/>
      <c r="E114" s="5"/>
      <c r="F114" s="17"/>
      <c r="G114" s="17"/>
      <c r="H114" s="17"/>
      <c r="I114" s="17"/>
      <c r="J114" s="17"/>
      <c r="K114" s="17"/>
      <c r="L114" s="17"/>
      <c r="M114" s="17"/>
      <c r="N114" s="17"/>
      <c r="O114" s="5"/>
      <c r="Q114" s="242"/>
      <c r="R114" s="5"/>
      <c r="S114" s="5"/>
      <c r="T114" s="5"/>
      <c r="U114" s="5"/>
    </row>
    <row r="115" spans="2:27">
      <c r="B115" s="5"/>
      <c r="C115" s="5"/>
      <c r="D115" s="5"/>
      <c r="E115" s="5"/>
      <c r="F115" s="17"/>
      <c r="G115" s="17"/>
      <c r="H115" s="17"/>
      <c r="I115" s="17"/>
      <c r="J115" s="17"/>
      <c r="K115" s="17"/>
      <c r="L115" s="17"/>
      <c r="M115" s="17"/>
      <c r="N115" s="17"/>
      <c r="O115" s="5"/>
      <c r="Q115" s="5"/>
      <c r="R115" s="5"/>
      <c r="S115" s="5"/>
      <c r="T115" s="5"/>
      <c r="U115" s="5"/>
    </row>
    <row r="116" spans="2:27">
      <c r="B116" s="5"/>
      <c r="C116" s="5"/>
      <c r="D116" s="5"/>
      <c r="E116" s="5"/>
      <c r="F116" s="17"/>
      <c r="G116" s="17"/>
      <c r="H116" s="17"/>
      <c r="I116" s="17"/>
      <c r="J116" s="17"/>
      <c r="K116" s="17"/>
      <c r="L116" s="17"/>
      <c r="M116" s="17"/>
      <c r="N116" s="17"/>
      <c r="O116" s="5"/>
      <c r="Q116" s="5"/>
      <c r="R116" s="5"/>
      <c r="S116" s="5"/>
      <c r="T116" s="5"/>
      <c r="U116" s="5"/>
      <c r="X116" s="262"/>
      <c r="Y116" s="262"/>
      <c r="Z116" s="262"/>
      <c r="AA116" s="262"/>
    </row>
    <row r="117" spans="2:27">
      <c r="B117" s="5"/>
      <c r="C117" s="41"/>
      <c r="D117" s="17"/>
      <c r="E117" s="17"/>
      <c r="F117" s="17"/>
      <c r="G117" s="17"/>
      <c r="H117" s="17"/>
      <c r="I117" s="17"/>
      <c r="J117" s="17"/>
      <c r="K117" s="17"/>
      <c r="L117" s="17"/>
      <c r="M117" s="17"/>
      <c r="N117" s="17"/>
      <c r="O117" s="5"/>
      <c r="Q117" s="5"/>
      <c r="R117" s="5"/>
      <c r="S117" s="5"/>
      <c r="T117" s="5"/>
      <c r="U117" s="5"/>
      <c r="X117" s="255"/>
      <c r="Y117" s="255"/>
      <c r="Z117" s="255"/>
      <c r="AA117" s="255"/>
    </row>
    <row r="118" spans="2:27">
      <c r="B118" s="5"/>
      <c r="C118" s="5"/>
      <c r="D118" s="5"/>
      <c r="E118" s="5"/>
      <c r="F118" s="5"/>
      <c r="G118" s="5"/>
      <c r="H118" s="5"/>
      <c r="I118" s="5"/>
      <c r="J118" s="5"/>
      <c r="K118" s="5"/>
      <c r="L118" s="5"/>
      <c r="M118" s="5"/>
      <c r="N118" s="5"/>
      <c r="O118" s="5"/>
      <c r="Q118" s="5"/>
      <c r="R118" s="5"/>
      <c r="S118" s="5"/>
      <c r="T118" s="5"/>
      <c r="U118" s="5"/>
    </row>
    <row r="119" spans="2:27">
      <c r="B119" s="5"/>
      <c r="C119" s="5"/>
      <c r="D119" s="5"/>
      <c r="E119" s="5"/>
      <c r="F119" s="5"/>
      <c r="G119" s="5"/>
      <c r="H119" s="5"/>
      <c r="I119" s="5"/>
      <c r="J119" s="5"/>
      <c r="K119" s="5"/>
      <c r="L119" s="5"/>
      <c r="M119" s="5"/>
      <c r="N119" s="5"/>
      <c r="O119" s="5"/>
      <c r="Q119" s="5"/>
      <c r="R119" s="5"/>
      <c r="S119" s="5"/>
      <c r="T119" s="5"/>
      <c r="U119" s="5"/>
    </row>
    <row r="120" spans="2:27">
      <c r="B120" s="5"/>
      <c r="C120" s="5"/>
      <c r="D120" s="5"/>
      <c r="E120" s="5"/>
      <c r="F120" s="5"/>
      <c r="G120" s="5"/>
      <c r="H120" s="5"/>
      <c r="I120" s="5"/>
      <c r="J120" s="5"/>
      <c r="K120" s="5"/>
      <c r="L120" s="5"/>
      <c r="M120" s="5"/>
      <c r="N120" s="5"/>
      <c r="O120" s="5"/>
      <c r="Q120" s="5"/>
      <c r="R120" s="5"/>
      <c r="S120" s="5"/>
      <c r="T120" s="5"/>
      <c r="U120" s="5"/>
    </row>
    <row r="121" spans="2:27">
      <c r="B121" s="5"/>
      <c r="C121" s="5"/>
      <c r="D121" s="5"/>
      <c r="E121" s="5"/>
      <c r="F121" s="5"/>
      <c r="G121" s="5"/>
      <c r="H121" s="5"/>
      <c r="I121" s="5"/>
      <c r="J121" s="5"/>
      <c r="K121" s="5"/>
      <c r="L121" s="5"/>
      <c r="M121" s="5"/>
      <c r="N121" s="5"/>
      <c r="O121" s="5"/>
      <c r="Q121" s="5"/>
      <c r="R121" s="5"/>
      <c r="S121" s="5"/>
      <c r="T121" s="5"/>
      <c r="U121" s="5"/>
    </row>
    <row r="122" spans="2:27">
      <c r="B122" s="5"/>
      <c r="C122" s="5"/>
      <c r="D122" s="5"/>
      <c r="E122" s="5"/>
      <c r="F122" s="5"/>
      <c r="G122" s="5"/>
      <c r="H122" s="5"/>
      <c r="I122" s="5"/>
      <c r="J122" s="5"/>
      <c r="K122" s="5"/>
      <c r="L122" s="5"/>
      <c r="M122" s="5"/>
      <c r="N122" s="5"/>
      <c r="O122" s="5"/>
      <c r="Q122" s="5"/>
      <c r="R122" s="5"/>
      <c r="S122" s="5"/>
      <c r="T122" s="5"/>
      <c r="U122" s="5"/>
    </row>
    <row r="123" spans="2:27">
      <c r="B123" s="5"/>
      <c r="C123" s="5"/>
      <c r="D123" s="5"/>
      <c r="E123" s="5"/>
      <c r="F123" s="5"/>
      <c r="G123" s="5"/>
      <c r="H123" s="5"/>
      <c r="I123" s="5"/>
      <c r="J123" s="5"/>
      <c r="K123" s="5"/>
      <c r="L123" s="5"/>
      <c r="M123" s="5"/>
      <c r="N123" s="5"/>
      <c r="O123" s="5"/>
      <c r="Q123" s="5"/>
      <c r="R123" s="5"/>
      <c r="S123" s="5"/>
      <c r="T123" s="5"/>
      <c r="U123" s="5"/>
    </row>
    <row r="124" spans="2:27">
      <c r="B124" s="5"/>
      <c r="C124" s="5"/>
      <c r="D124" s="5"/>
      <c r="E124" s="5"/>
      <c r="F124" s="5"/>
      <c r="G124" s="5"/>
      <c r="H124" s="5"/>
      <c r="I124" s="5"/>
      <c r="J124" s="5"/>
      <c r="K124" s="5"/>
      <c r="L124" s="5"/>
      <c r="M124" s="5"/>
      <c r="N124" s="5"/>
      <c r="O124" s="5"/>
      <c r="Q124" s="5"/>
      <c r="R124" s="5"/>
      <c r="S124" s="5"/>
      <c r="T124" s="5"/>
      <c r="U124" s="5"/>
    </row>
    <row r="125" spans="2:27">
      <c r="B125" s="5"/>
      <c r="C125" s="5"/>
      <c r="D125" s="5"/>
      <c r="E125" s="5"/>
      <c r="F125" s="5"/>
      <c r="G125" s="5"/>
      <c r="H125" s="5"/>
      <c r="I125" s="5"/>
      <c r="J125" s="5"/>
      <c r="K125" s="5"/>
      <c r="L125" s="5"/>
      <c r="M125" s="5"/>
      <c r="N125" s="5"/>
      <c r="O125" s="5"/>
      <c r="Q125" s="5"/>
      <c r="R125" s="5"/>
      <c r="S125" s="5"/>
      <c r="T125" s="5"/>
      <c r="U125" s="5"/>
    </row>
    <row r="126" spans="2:27">
      <c r="B126" s="5"/>
      <c r="C126" s="5"/>
      <c r="D126" s="5"/>
      <c r="E126" s="5"/>
      <c r="F126" s="5"/>
      <c r="G126" s="5"/>
      <c r="H126" s="5"/>
      <c r="I126" s="5"/>
      <c r="J126" s="5"/>
      <c r="K126" s="5"/>
      <c r="L126" s="5"/>
      <c r="M126" s="5"/>
      <c r="N126" s="5"/>
      <c r="O126" s="5"/>
      <c r="Q126" s="5"/>
      <c r="R126" s="5"/>
      <c r="S126" s="5"/>
      <c r="T126" s="5"/>
      <c r="U126" s="5"/>
    </row>
    <row r="127" spans="2:27">
      <c r="B127" s="5"/>
      <c r="C127" s="5"/>
      <c r="D127" s="5"/>
      <c r="E127" s="5"/>
      <c r="F127" s="5"/>
      <c r="G127" s="5"/>
      <c r="H127" s="5"/>
      <c r="I127" s="5"/>
      <c r="J127" s="5"/>
      <c r="K127" s="5"/>
      <c r="L127" s="5"/>
      <c r="M127" s="5"/>
      <c r="N127" s="5"/>
      <c r="O127" s="5"/>
      <c r="Q127" s="5"/>
      <c r="R127" s="5"/>
      <c r="S127" s="5"/>
      <c r="T127" s="5"/>
      <c r="U127" s="5"/>
    </row>
    <row r="128" spans="2:27">
      <c r="Q128" s="5"/>
      <c r="R128" s="5"/>
      <c r="S128" s="5"/>
      <c r="T128" s="5"/>
      <c r="U128" s="5"/>
    </row>
    <row r="129" spans="4:21">
      <c r="Q129" s="5"/>
      <c r="R129" s="5"/>
      <c r="S129" s="5"/>
      <c r="T129" s="5"/>
      <c r="U129" s="5"/>
    </row>
    <row r="130" spans="4:21">
      <c r="D130" s="263"/>
      <c r="E130" s="263"/>
      <c r="Q130" s="5"/>
      <c r="R130" s="5"/>
      <c r="S130" s="5"/>
      <c r="T130" s="5"/>
      <c r="U130" s="5"/>
    </row>
    <row r="131" spans="4:21">
      <c r="Q131" s="5"/>
      <c r="R131" s="5"/>
      <c r="S131" s="5"/>
      <c r="T131" s="5"/>
      <c r="U131" s="5"/>
    </row>
    <row r="132" spans="4:21">
      <c r="Q132" s="5"/>
      <c r="R132" s="5"/>
      <c r="S132" s="5"/>
      <c r="T132" s="5"/>
      <c r="U132" s="5"/>
    </row>
    <row r="133" spans="4:21">
      <c r="Q133" s="5"/>
      <c r="R133" s="5"/>
      <c r="S133" s="5"/>
      <c r="T133" s="5"/>
      <c r="U133" s="5"/>
    </row>
    <row r="134" spans="4:21">
      <c r="Q134" s="5"/>
      <c r="R134" s="5"/>
      <c r="S134" s="5"/>
      <c r="T134" s="5"/>
      <c r="U134" s="5"/>
    </row>
    <row r="135" spans="4:21">
      <c r="Q135" s="5"/>
      <c r="R135" s="5"/>
      <c r="S135" s="5"/>
      <c r="T135" s="5"/>
      <c r="U135" s="5"/>
    </row>
    <row r="136" spans="4:21">
      <c r="Q136" s="5"/>
      <c r="R136" s="5"/>
      <c r="S136" s="5"/>
      <c r="T136" s="5"/>
      <c r="U136" s="5"/>
    </row>
    <row r="137" spans="4:21">
      <c r="Q137" s="5"/>
      <c r="R137" s="5"/>
      <c r="S137" s="5"/>
      <c r="T137" s="5"/>
      <c r="U137" s="5"/>
    </row>
    <row r="138" spans="4:21">
      <c r="Q138" s="5"/>
      <c r="R138" s="5"/>
      <c r="S138" s="5"/>
      <c r="T138" s="5"/>
      <c r="U138" s="5"/>
    </row>
    <row r="139" spans="4:21">
      <c r="Q139" s="5"/>
      <c r="R139" s="5"/>
      <c r="S139" s="5"/>
      <c r="T139" s="5"/>
      <c r="U139" s="5"/>
    </row>
    <row r="140" spans="4:21">
      <c r="Q140" s="5"/>
      <c r="R140" s="5"/>
      <c r="S140" s="5"/>
      <c r="T140" s="5"/>
      <c r="U140" s="5"/>
    </row>
    <row r="141" spans="4:21">
      <c r="Q141" s="5"/>
      <c r="R141" s="5"/>
      <c r="S141" s="5"/>
      <c r="T141" s="5"/>
      <c r="U141" s="5"/>
    </row>
    <row r="142" spans="4:21">
      <c r="Q142" s="5"/>
      <c r="R142" s="5"/>
      <c r="S142" s="5"/>
      <c r="T142" s="5"/>
      <c r="U142" s="5"/>
    </row>
    <row r="143" spans="4:21">
      <c r="Q143" s="5"/>
      <c r="R143" s="5"/>
      <c r="S143" s="5"/>
      <c r="T143" s="5"/>
      <c r="U143" s="5"/>
    </row>
    <row r="144" spans="4:21">
      <c r="Q144" s="5"/>
      <c r="R144" s="5"/>
      <c r="S144" s="5"/>
      <c r="T144" s="5"/>
      <c r="U144" s="5"/>
    </row>
  </sheetData>
  <phoneticPr fontId="7" type="noConversion"/>
  <pageMargins left="0.75" right="0.75" top="1" bottom="1" header="0.5" footer="0.5"/>
  <pageSetup scale="57" orientation="landscape" r:id="rId1"/>
  <headerFooter alignWithMargins="0"/>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sheetPr codeName="Sheet144">
    <pageSetUpPr fitToPage="1"/>
  </sheetPr>
  <dimension ref="B1:AR165"/>
  <sheetViews>
    <sheetView showGridLines="0" zoomScale="80" zoomScaleNormal="80" workbookViewId="0"/>
  </sheetViews>
  <sheetFormatPr defaultColWidth="9.109375" defaultRowHeight="12"/>
  <cols>
    <col min="1" max="1" width="2.33203125" style="39" customWidth="1"/>
    <col min="2" max="2" width="26.5546875" style="39" customWidth="1"/>
    <col min="3" max="9" width="10" style="39" customWidth="1"/>
    <col min="10" max="10" width="26.6640625" style="39" customWidth="1"/>
    <col min="11" max="16" width="10" style="39" customWidth="1"/>
    <col min="17" max="18" width="8.6640625" style="39" customWidth="1"/>
    <col min="19" max="28" width="8.6640625" style="5" customWidth="1"/>
    <col min="29" max="44" width="9.109375" style="5"/>
    <col min="45" max="16384" width="9.109375" style="39"/>
  </cols>
  <sheetData>
    <row r="1" spans="2:44" s="312" customFormat="1">
      <c r="S1" s="149"/>
      <c r="T1" s="149"/>
      <c r="U1" s="149"/>
      <c r="V1" s="149"/>
      <c r="W1" s="149"/>
      <c r="X1" s="149"/>
      <c r="Y1" s="149"/>
      <c r="Z1" s="149"/>
      <c r="AA1" s="149"/>
      <c r="AB1" s="149"/>
      <c r="AC1" s="149"/>
      <c r="AD1" s="149"/>
      <c r="AE1" s="149"/>
      <c r="AF1" s="149"/>
      <c r="AG1" s="149"/>
      <c r="AH1" s="149"/>
      <c r="AI1" s="149"/>
      <c r="AJ1" s="149"/>
      <c r="AK1" s="149"/>
      <c r="AL1" s="149"/>
      <c r="AM1" s="149"/>
      <c r="AN1" s="149"/>
      <c r="AO1" s="149"/>
      <c r="AP1" s="149"/>
      <c r="AQ1" s="149"/>
      <c r="AR1" s="149"/>
    </row>
    <row r="2" spans="2:44" s="149" customFormat="1"/>
    <row r="3" spans="2:44" s="149" customFormat="1">
      <c r="H3" s="153"/>
      <c r="P3" s="153"/>
    </row>
    <row r="4" spans="2:44" s="156" customFormat="1" ht="21">
      <c r="B4" s="129" t="s">
        <v>165</v>
      </c>
      <c r="H4" s="222"/>
      <c r="P4" s="222"/>
    </row>
    <row r="5" spans="2:44" s="149" customFormat="1">
      <c r="C5" s="153"/>
      <c r="D5" s="153" t="str" cm="1">
        <f t="array" ref="D5:H5">headings</f>
        <v>2023E</v>
      </c>
      <c r="E5" s="153" t="str">
        <v>2024E</v>
      </c>
      <c r="F5" s="153" t="str">
        <v>2025E</v>
      </c>
      <c r="G5" s="153" t="str">
        <v>2026E</v>
      </c>
      <c r="H5" s="153" t="str">
        <v>23E-26E</v>
      </c>
      <c r="I5" s="153"/>
      <c r="J5" s="153"/>
      <c r="K5" s="153"/>
      <c r="L5" s="153" t="str" cm="1">
        <f t="array" ref="L5:P5">headings</f>
        <v>2023E</v>
      </c>
      <c r="M5" s="153" t="str">
        <v>2024E</v>
      </c>
      <c r="N5" s="153" t="str">
        <v>2025E</v>
      </c>
      <c r="O5" s="153" t="str">
        <v>2026E</v>
      </c>
      <c r="P5" s="153" t="str">
        <v>23E-26E</v>
      </c>
      <c r="Q5" s="162"/>
      <c r="R5" s="162"/>
      <c r="S5" s="162"/>
      <c r="T5" s="162"/>
      <c r="U5" s="162"/>
      <c r="V5" s="162"/>
      <c r="W5" s="162"/>
      <c r="X5" s="162"/>
      <c r="Y5" s="162"/>
    </row>
    <row r="6" spans="2:44">
      <c r="I6" s="5"/>
      <c r="J6" s="5"/>
      <c r="K6" s="5"/>
      <c r="L6" s="5"/>
      <c r="M6" s="5"/>
      <c r="N6" s="5"/>
      <c r="O6" s="49"/>
    </row>
    <row r="7" spans="2:44" ht="12.6" thickBot="1">
      <c r="B7" s="306" t="s">
        <v>271</v>
      </c>
      <c r="C7" s="265"/>
      <c r="D7" s="265" t="str">
        <f>D5</f>
        <v>2023E</v>
      </c>
      <c r="E7" s="265" t="str">
        <f t="shared" ref="E7:H7" si="0">E5</f>
        <v>2024E</v>
      </c>
      <c r="F7" s="265" t="str">
        <f t="shared" si="0"/>
        <v>2025E</v>
      </c>
      <c r="G7" s="265" t="str">
        <f t="shared" si="0"/>
        <v>2026E</v>
      </c>
      <c r="H7" s="265" t="str">
        <f t="shared" si="0"/>
        <v>23E-26E</v>
      </c>
      <c r="I7" s="49"/>
      <c r="J7" s="306" t="s">
        <v>445</v>
      </c>
      <c r="K7" s="306"/>
      <c r="L7" s="265" t="str">
        <f>L5</f>
        <v>2023E</v>
      </c>
      <c r="M7" s="265" t="str">
        <f t="shared" ref="M7:P7" si="1">M5</f>
        <v>2024E</v>
      </c>
      <c r="N7" s="265" t="str">
        <f t="shared" si="1"/>
        <v>2025E</v>
      </c>
      <c r="O7" s="265" t="str">
        <f t="shared" si="1"/>
        <v>2026E</v>
      </c>
      <c r="P7" s="265" t="str">
        <f t="shared" si="1"/>
        <v>23E-26E</v>
      </c>
    </row>
    <row r="8" spans="2:44" ht="12.6" thickTop="1">
      <c r="B8" s="5"/>
      <c r="C8" s="5"/>
      <c r="D8" s="5"/>
      <c r="E8" s="5"/>
      <c r="F8" s="5"/>
      <c r="G8" s="5"/>
      <c r="H8" s="5"/>
      <c r="I8" s="5"/>
      <c r="J8" s="5"/>
      <c r="K8" s="5"/>
      <c r="L8" s="5"/>
      <c r="M8" s="5"/>
      <c r="N8" s="5"/>
      <c r="S8" s="42"/>
      <c r="T8" s="42"/>
      <c r="U8" s="42"/>
      <c r="V8" s="42"/>
      <c r="W8" s="42"/>
      <c r="X8" s="42"/>
      <c r="Y8" s="42"/>
      <c r="Z8" s="42"/>
      <c r="AA8" s="42"/>
    </row>
    <row r="9" spans="2:44">
      <c r="B9" s="41" t="s">
        <v>197</v>
      </c>
      <c r="C9" s="267">
        <v>13.46</v>
      </c>
      <c r="D9" s="533">
        <v>0</v>
      </c>
      <c r="E9" s="533">
        <v>0</v>
      </c>
      <c r="F9" s="533">
        <v>0</v>
      </c>
      <c r="G9" s="533">
        <v>0</v>
      </c>
      <c r="H9" s="249"/>
      <c r="I9" s="249"/>
      <c r="J9" s="5" t="s">
        <v>273</v>
      </c>
      <c r="L9" s="529">
        <f>'LATAM CELLULAR'!D37</f>
        <v>2.1756139095100253</v>
      </c>
      <c r="M9" s="529">
        <f>'LATAM CELLULAR'!E37</f>
        <v>2.008321324080522</v>
      </c>
      <c r="N9" s="529">
        <f>'LATAM CELLULAR'!F37</f>
        <v>1.8102479294249028</v>
      </c>
      <c r="O9" s="529">
        <f>'LATAM CELLULAR'!G37</f>
        <v>1.5971586695816715</v>
      </c>
      <c r="P9" s="286">
        <f>'LATAM CELLULAR'!H37</f>
        <v>3.5265696156160375E-2</v>
      </c>
      <c r="S9" s="42"/>
      <c r="T9" s="42"/>
      <c r="U9" s="42"/>
      <c r="V9" s="42"/>
      <c r="W9" s="42"/>
      <c r="X9" s="42"/>
      <c r="Y9" s="42"/>
      <c r="Z9" s="42"/>
      <c r="AA9" s="42"/>
    </row>
    <row r="10" spans="2:44">
      <c r="B10" s="5" t="s">
        <v>274</v>
      </c>
      <c r="C10" s="291"/>
      <c r="D10" s="531">
        <v>2415.1161999999999</v>
      </c>
      <c r="E10" s="531">
        <v>2415.1161999999999</v>
      </c>
      <c r="F10" s="531">
        <v>2415.1161999999999</v>
      </c>
      <c r="G10" s="531">
        <v>2415.1161999999999</v>
      </c>
      <c r="H10" s="249"/>
      <c r="I10" s="247"/>
      <c r="J10" s="5" t="s">
        <v>184</v>
      </c>
      <c r="L10" s="529">
        <f>'LATAM CELLULAR'!D38</f>
        <v>5.410957038933323</v>
      </c>
      <c r="M10" s="529">
        <f>'LATAM CELLULAR'!E38</f>
        <v>4.895893420940304</v>
      </c>
      <c r="N10" s="529">
        <f>'LATAM CELLULAR'!F38</f>
        <v>4.3252495010822969</v>
      </c>
      <c r="O10" s="529">
        <f>'LATAM CELLULAR'!G38</f>
        <v>3.7846351492189108</v>
      </c>
      <c r="P10" s="286">
        <f>'LATAM CELLULAR'!H38</f>
        <v>5.2100575988367481E-2</v>
      </c>
      <c r="S10" s="42"/>
      <c r="T10" s="42"/>
      <c r="U10" s="42"/>
      <c r="V10" s="42"/>
      <c r="W10" s="288"/>
      <c r="X10" s="288"/>
      <c r="Y10" s="288"/>
      <c r="Z10" s="288"/>
      <c r="AA10" s="42"/>
    </row>
    <row r="11" spans="2:44">
      <c r="B11" s="41" t="s">
        <v>275</v>
      </c>
      <c r="C11" s="5"/>
      <c r="D11" s="532">
        <f>$C$9*(SUM(D9:D10))</f>
        <v>32507.464052000003</v>
      </c>
      <c r="E11" s="532">
        <f>$C$9*(SUM(E9:E10))</f>
        <v>32507.464052000003</v>
      </c>
      <c r="F11" s="532">
        <f>$C$9*(SUM(F9:F10))</f>
        <v>32507.464052000003</v>
      </c>
      <c r="G11" s="532">
        <f>$C$9*(SUM(G9:G10))</f>
        <v>32507.464052000003</v>
      </c>
      <c r="H11" s="249"/>
      <c r="I11" s="249"/>
      <c r="J11" s="5" t="s">
        <v>185</v>
      </c>
      <c r="L11" s="529">
        <f>'LATAM CELLULAR'!D39</f>
        <v>9.4014895625729391</v>
      </c>
      <c r="M11" s="529">
        <f>'LATAM CELLULAR'!E39</f>
        <v>8.1257141265924719</v>
      </c>
      <c r="N11" s="529">
        <f>'LATAM CELLULAR'!F39</f>
        <v>6.9046540387491486</v>
      </c>
      <c r="O11" s="529">
        <f>'LATAM CELLULAR'!G39</f>
        <v>5.9878977182280968</v>
      </c>
      <c r="P11" s="286">
        <f>'LATAM CELLULAR'!H39</f>
        <v>8.5462108298754558E-2</v>
      </c>
      <c r="S11" s="42"/>
      <c r="T11" s="42"/>
      <c r="U11" s="42"/>
      <c r="V11" s="42"/>
      <c r="W11" s="288"/>
      <c r="X11" s="288"/>
      <c r="Y11" s="288"/>
      <c r="Z11" s="288"/>
      <c r="AA11" s="42"/>
    </row>
    <row r="12" spans="2:44">
      <c r="B12" s="5" t="s">
        <v>24</v>
      </c>
      <c r="C12" s="249"/>
      <c r="D12" s="533">
        <v>14724.557242626408</v>
      </c>
      <c r="E12" s="533">
        <v>13248.024980703494</v>
      </c>
      <c r="F12" s="533">
        <v>10859.480000566597</v>
      </c>
      <c r="G12" s="533">
        <v>7387.3325618436738</v>
      </c>
      <c r="H12" s="247"/>
      <c r="I12" s="247"/>
      <c r="J12" s="5" t="s">
        <v>466</v>
      </c>
      <c r="L12" s="529">
        <f>'LATAM CELLULAR'!D40</f>
        <v>11.750204897305654</v>
      </c>
      <c r="M12" s="529">
        <f>'LATAM CELLULAR'!E40</f>
        <v>10.233905229978822</v>
      </c>
      <c r="N12" s="529">
        <f>'LATAM CELLULAR'!F40</f>
        <v>8.9634490411779844</v>
      </c>
      <c r="O12" s="529">
        <f>'LATAM CELLULAR'!G40</f>
        <v>7.9316802112853138</v>
      </c>
      <c r="P12" s="286">
        <f>'LATAM CELLULAR'!H40</f>
        <v>6.4634781721076617E-2</v>
      </c>
      <c r="S12" s="42"/>
      <c r="T12" s="42"/>
      <c r="U12" s="42"/>
      <c r="V12" s="42"/>
      <c r="W12" s="288"/>
      <c r="X12" s="288"/>
      <c r="Y12" s="288"/>
      <c r="Z12" s="288"/>
      <c r="AA12" s="42"/>
    </row>
    <row r="13" spans="2:44">
      <c r="B13" s="5" t="s">
        <v>529</v>
      </c>
      <c r="C13" s="257"/>
      <c r="D13" s="533">
        <v>2093.8000000000002</v>
      </c>
      <c r="E13" s="533">
        <v>2093.8000000000002</v>
      </c>
      <c r="F13" s="533">
        <v>2093.8000000000002</v>
      </c>
      <c r="G13" s="533">
        <v>2093.8000000000002</v>
      </c>
      <c r="H13" s="247"/>
      <c r="I13" s="247"/>
      <c r="J13" s="5" t="s">
        <v>530</v>
      </c>
      <c r="L13" s="529">
        <f>'LATAM CELLULAR'!D41</f>
        <v>1.8452675851036058</v>
      </c>
      <c r="M13" s="529">
        <f>'LATAM CELLULAR'!E41</f>
        <v>1.7730353181200462</v>
      </c>
      <c r="N13" s="529">
        <f>'LATAM CELLULAR'!F41</f>
        <v>1.6572553203995799</v>
      </c>
      <c r="O13" s="529">
        <f>'LATAM CELLULAR'!G41</f>
        <v>1.5038178651110559</v>
      </c>
      <c r="P13" s="286">
        <f>'LATAM CELLULAR'!H41</f>
        <v>-1.6437518757150826E-4</v>
      </c>
      <c r="S13" s="42"/>
      <c r="T13" s="42"/>
      <c r="U13" s="42"/>
      <c r="V13" s="42"/>
      <c r="W13" s="42"/>
      <c r="X13" s="42"/>
      <c r="Y13" s="42"/>
      <c r="Z13" s="42"/>
      <c r="AA13" s="42"/>
    </row>
    <row r="14" spans="2:44">
      <c r="B14" s="5" t="s">
        <v>532</v>
      </c>
      <c r="C14" s="257"/>
      <c r="D14" s="533">
        <v>0</v>
      </c>
      <c r="E14" s="533">
        <f t="shared" ref="E14:G15" si="2">D14</f>
        <v>0</v>
      </c>
      <c r="F14" s="533">
        <f t="shared" si="2"/>
        <v>0</v>
      </c>
      <c r="G14" s="533">
        <f t="shared" si="2"/>
        <v>0</v>
      </c>
      <c r="H14" s="247"/>
      <c r="I14" s="247"/>
      <c r="J14" s="5" t="s">
        <v>593</v>
      </c>
      <c r="L14" s="529">
        <f>'LATAM CELLULAR'!D42</f>
        <v>1.4224453262374004</v>
      </c>
      <c r="M14" s="529">
        <f>'LATAM CELLULAR'!E42</f>
        <v>1.3526818761660755</v>
      </c>
      <c r="N14" s="529">
        <f>'LATAM CELLULAR'!F42</f>
        <v>1.2556841877250959</v>
      </c>
      <c r="O14" s="529">
        <f>'LATAM CELLULAR'!G42</f>
        <v>1.1313245250649355</v>
      </c>
      <c r="P14" s="286">
        <f>'LATAM CELLULAR'!H42</f>
        <v>7.9910967777558906E-3</v>
      </c>
      <c r="S14" s="42"/>
      <c r="T14" s="42"/>
      <c r="U14" s="42"/>
      <c r="V14" s="42"/>
      <c r="W14" s="42"/>
      <c r="X14" s="42"/>
      <c r="Y14" s="42"/>
      <c r="Z14" s="42"/>
      <c r="AA14" s="42"/>
    </row>
    <row r="15" spans="2:44">
      <c r="B15" s="5" t="s">
        <v>531</v>
      </c>
      <c r="C15" s="274"/>
      <c r="D15" s="533">
        <v>0</v>
      </c>
      <c r="E15" s="533">
        <f t="shared" si="2"/>
        <v>0</v>
      </c>
      <c r="F15" s="533">
        <f t="shared" si="2"/>
        <v>0</v>
      </c>
      <c r="G15" s="533">
        <f t="shared" si="2"/>
        <v>0</v>
      </c>
      <c r="H15" s="247"/>
      <c r="I15" s="247"/>
      <c r="J15" s="5" t="s">
        <v>475</v>
      </c>
      <c r="L15" s="529">
        <f>'LATAM CELLULAR'!D43</f>
        <v>12.198175825942503</v>
      </c>
      <c r="M15" s="529">
        <f>'LATAM CELLULAR'!E43</f>
        <v>9.3458936264556165</v>
      </c>
      <c r="N15" s="529">
        <f>'LATAM CELLULAR'!F43</f>
        <v>7.6258135361355679</v>
      </c>
      <c r="O15" s="529">
        <f>'LATAM CELLULAR'!G43</f>
        <v>6.2032208195897276</v>
      </c>
      <c r="P15" s="286">
        <f>'LATAM CELLULAR'!H43</f>
        <v>0.20384371568002635</v>
      </c>
      <c r="S15" s="42"/>
      <c r="T15" s="42"/>
      <c r="U15" s="42"/>
      <c r="V15" s="42"/>
      <c r="W15" s="42"/>
      <c r="X15" s="42"/>
      <c r="Y15" s="42"/>
      <c r="Z15" s="42"/>
      <c r="AA15" s="42"/>
    </row>
    <row r="16" spans="2:44">
      <c r="B16" s="5" t="s">
        <v>534</v>
      </c>
      <c r="C16" s="257"/>
      <c r="D16" s="533">
        <v>1355</v>
      </c>
      <c r="E16" s="533">
        <v>4690</v>
      </c>
      <c r="F16" s="533">
        <v>8191.75</v>
      </c>
      <c r="G16" s="533">
        <v>11868.5875</v>
      </c>
      <c r="H16" s="247"/>
      <c r="I16" s="247"/>
      <c r="J16" s="5" t="s">
        <v>533</v>
      </c>
      <c r="L16" s="529">
        <f>'LATAM CELLULAR'!D44</f>
        <v>11.611494042146568</v>
      </c>
      <c r="M16" s="529">
        <f>'LATAM CELLULAR'!E44</f>
        <v>8.7734417852019941</v>
      </c>
      <c r="N16" s="529">
        <f>'LATAM CELLULAR'!F44</f>
        <v>6.5638259943661907</v>
      </c>
      <c r="O16" s="529">
        <f>'LATAM CELLULAR'!G44</f>
        <v>5.5476326994737466</v>
      </c>
      <c r="P16" s="286">
        <f>'LATAM CELLULAR'!H44</f>
        <v>0.26086654067969706</v>
      </c>
      <c r="S16" s="42"/>
      <c r="T16" s="42"/>
      <c r="U16" s="42"/>
      <c r="V16" s="42"/>
      <c r="W16" s="42"/>
      <c r="X16" s="42"/>
      <c r="Y16" s="42"/>
      <c r="Z16" s="42"/>
      <c r="AA16" s="42"/>
    </row>
    <row r="17" spans="2:27">
      <c r="B17" s="5" t="s">
        <v>6</v>
      </c>
      <c r="C17" s="257"/>
      <c r="D17" s="533">
        <v>1166.2286623293303</v>
      </c>
      <c r="E17" s="533">
        <v>1166.2286623293303</v>
      </c>
      <c r="F17" s="533">
        <v>1166.2286623293303</v>
      </c>
      <c r="G17" s="533">
        <v>1166.2286623293303</v>
      </c>
      <c r="H17" s="247"/>
      <c r="I17" s="247"/>
      <c r="J17" s="5" t="s">
        <v>580</v>
      </c>
      <c r="L17" s="248">
        <f>'LATAM CELLULAR'!D45</f>
        <v>3.6607801523391964E-2</v>
      </c>
      <c r="M17" s="248">
        <f>'LATAM CELLULAR'!E45</f>
        <v>5.220008637227537E-2</v>
      </c>
      <c r="N17" s="248">
        <f>'LATAM CELLULAR'!F45</f>
        <v>6.1185872972349648E-2</v>
      </c>
      <c r="O17" s="248">
        <f>'LATAM CELLULAR'!G45</f>
        <v>6.5823217763140832E-2</v>
      </c>
      <c r="P17" s="286">
        <f>'LATAM CELLULAR'!H45</f>
        <v>0.19860882859561735</v>
      </c>
      <c r="S17" s="42"/>
      <c r="T17" s="42"/>
      <c r="U17" s="42"/>
      <c r="V17" s="42"/>
      <c r="W17" s="42"/>
      <c r="X17" s="42"/>
      <c r="Y17" s="42"/>
      <c r="Z17" s="42"/>
      <c r="AA17" s="42"/>
    </row>
    <row r="18" spans="2:27" ht="12.6" thickBot="1">
      <c r="B18" s="41" t="s">
        <v>583</v>
      </c>
      <c r="C18" s="249"/>
      <c r="D18" s="534">
        <f>D11+D12+D13-D14+D15-D16-D17</f>
        <v>46804.592632297077</v>
      </c>
      <c r="E18" s="534">
        <f>E11+E12+E13-E14+E15-E16-E17</f>
        <v>41993.060370374165</v>
      </c>
      <c r="F18" s="534">
        <f>F11+F12+F13-F14+F15-F16-F17</f>
        <v>36102.765390237269</v>
      </c>
      <c r="G18" s="534">
        <f>G11+G12+G13-G14+G15-G16-G17</f>
        <v>28953.780451514347</v>
      </c>
      <c r="H18" s="276">
        <f>IF(D18=0,"nm",IF(G18=0,"nm",(G18/D18)^(1/3)-1))</f>
        <v>-0.1479358970224679</v>
      </c>
      <c r="I18" s="254"/>
      <c r="J18" s="5" t="s">
        <v>36</v>
      </c>
      <c r="L18" s="248">
        <f>'LATAM CELLULAR'!D46</f>
        <v>3.6607801523391964E-2</v>
      </c>
      <c r="M18" s="248">
        <f>'LATAM CELLULAR'!E46</f>
        <v>5.220008637227537E-2</v>
      </c>
      <c r="N18" s="248">
        <f>'LATAM CELLULAR'!F46</f>
        <v>6.1661667551027928E-2</v>
      </c>
      <c r="O18" s="248">
        <f>'LATAM CELLULAR'!G46</f>
        <v>6.7253522322466938E-2</v>
      </c>
      <c r="P18" s="286">
        <f>'LATAM CELLULAR'!H46</f>
        <v>0.20722841094750266</v>
      </c>
      <c r="S18" s="42"/>
      <c r="T18" s="42"/>
      <c r="U18" s="42"/>
      <c r="V18" s="42"/>
      <c r="W18" s="42"/>
      <c r="X18" s="42"/>
      <c r="Y18" s="42"/>
      <c r="Z18" s="42"/>
      <c r="AA18" s="42"/>
    </row>
    <row r="19" spans="2:27" ht="12.6" thickTop="1">
      <c r="B19" s="41"/>
      <c r="C19" s="249"/>
      <c r="D19" s="229"/>
      <c r="E19" s="229"/>
      <c r="F19" s="229"/>
      <c r="G19" s="229"/>
      <c r="H19" s="276"/>
      <c r="I19" s="254"/>
      <c r="J19" s="5" t="s">
        <v>581</v>
      </c>
      <c r="L19" s="248">
        <f>'LATAM CELLULAR'!D47</f>
        <v>8.1979470887216382E-2</v>
      </c>
      <c r="M19" s="248">
        <f>'LATAM CELLULAR'!E47</f>
        <v>0.10699886388277298</v>
      </c>
      <c r="N19" s="248">
        <f>'LATAM CELLULAR'!F47</f>
        <v>0.13113354991718781</v>
      </c>
      <c r="O19" s="248">
        <f>'LATAM CELLULAR'!G47</f>
        <v>0.16120657785420231</v>
      </c>
      <c r="P19" s="286">
        <f>'LATAM CELLULAR'!H47</f>
        <v>0.20384371568002635</v>
      </c>
      <c r="S19" s="42"/>
      <c r="T19" s="42"/>
      <c r="U19" s="42"/>
      <c r="V19" s="42"/>
      <c r="W19" s="42"/>
      <c r="X19" s="42"/>
      <c r="Y19" s="42"/>
      <c r="Z19" s="42"/>
      <c r="AA19" s="42"/>
    </row>
    <row r="20" spans="2:27">
      <c r="H20" s="277"/>
      <c r="I20" s="17"/>
      <c r="J20" s="5" t="s">
        <v>604</v>
      </c>
      <c r="L20" s="305">
        <f>'LATAM CELLULAR'!D48</f>
        <v>0.35102265274711397</v>
      </c>
      <c r="M20" s="305">
        <f>'LATAM CELLULAR'!E48</f>
        <v>0.3806830741352234</v>
      </c>
      <c r="N20" s="305">
        <f>'LATAM CELLULAR'!F48</f>
        <v>0.35990941341841803</v>
      </c>
      <c r="O20" s="305">
        <f>'LATAM CELLULAR'!G48</f>
        <v>0.34646329449020286</v>
      </c>
      <c r="P20" s="286" t="str">
        <f>'LATAM CELLULAR'!H48</f>
        <v>nm</v>
      </c>
      <c r="S20" s="42"/>
      <c r="T20" s="42"/>
      <c r="U20" s="42"/>
      <c r="V20" s="42"/>
      <c r="W20" s="42"/>
      <c r="X20" s="42"/>
      <c r="Y20" s="42"/>
      <c r="Z20" s="42"/>
      <c r="AA20" s="42"/>
    </row>
    <row r="21" spans="2:27" ht="12.6" thickBot="1">
      <c r="B21" s="306" t="s">
        <v>947</v>
      </c>
      <c r="C21" s="265"/>
      <c r="D21" s="265" t="str">
        <f>D5</f>
        <v>2023E</v>
      </c>
      <c r="E21" s="265" t="str">
        <f t="shared" ref="E21:H21" si="3">E5</f>
        <v>2024E</v>
      </c>
      <c r="F21" s="265" t="str">
        <f t="shared" si="3"/>
        <v>2025E</v>
      </c>
      <c r="G21" s="265" t="str">
        <f t="shared" si="3"/>
        <v>2026E</v>
      </c>
      <c r="H21" s="265" t="str">
        <f t="shared" si="3"/>
        <v>23E-26E</v>
      </c>
      <c r="I21" s="49"/>
      <c r="J21" s="41"/>
      <c r="L21" s="250"/>
      <c r="M21" s="250"/>
      <c r="N21" s="250"/>
      <c r="O21" s="250"/>
      <c r="P21" s="286"/>
      <c r="S21" s="42"/>
      <c r="T21" s="42"/>
      <c r="U21" s="42"/>
      <c r="V21" s="42"/>
      <c r="W21" s="42"/>
      <c r="X21" s="42"/>
      <c r="Y21" s="42"/>
      <c r="Z21" s="42"/>
      <c r="AA21" s="42"/>
    </row>
    <row r="22" spans="2:27" ht="12.6" thickTop="1">
      <c r="B22" s="5"/>
      <c r="C22" s="257"/>
      <c r="D22" s="17"/>
      <c r="E22" s="17"/>
      <c r="F22" s="17"/>
      <c r="G22" s="17"/>
      <c r="H22" s="17"/>
      <c r="I22" s="17"/>
      <c r="P22" s="277"/>
      <c r="S22" s="42"/>
      <c r="T22" s="42"/>
      <c r="U22" s="42"/>
      <c r="V22" s="42"/>
      <c r="W22" s="42"/>
      <c r="X22" s="42"/>
      <c r="Y22" s="42"/>
      <c r="Z22" s="42"/>
      <c r="AA22" s="42"/>
    </row>
    <row r="23" spans="2:27" ht="12.6" thickBot="1">
      <c r="B23" s="5" t="s">
        <v>584</v>
      </c>
      <c r="C23" s="548">
        <v>21580.368157863599</v>
      </c>
      <c r="D23" s="540">
        <v>23911.93880672985</v>
      </c>
      <c r="E23" s="540">
        <v>25701.756848633602</v>
      </c>
      <c r="F23" s="540">
        <v>27272.259899104658</v>
      </c>
      <c r="G23" s="540">
        <v>28471.18974550211</v>
      </c>
      <c r="H23" s="279">
        <f t="shared" ref="H23:H30" si="4">IF(D23=0,"nm",IF(G23=0,"nm",(G23/D23)^(1/3)-1))</f>
        <v>5.9896866881330002E-2</v>
      </c>
      <c r="I23" s="247"/>
      <c r="J23" s="306" t="s">
        <v>9</v>
      </c>
      <c r="K23" s="306"/>
      <c r="L23" s="265" t="str">
        <f>D21</f>
        <v>2023E</v>
      </c>
      <c r="M23" s="265" t="str">
        <f t="shared" ref="M23:P23" si="5">E21</f>
        <v>2024E</v>
      </c>
      <c r="N23" s="265" t="str">
        <f t="shared" si="5"/>
        <v>2025E</v>
      </c>
      <c r="O23" s="265" t="str">
        <f t="shared" si="5"/>
        <v>2026E</v>
      </c>
      <c r="P23" s="265" t="str">
        <f t="shared" si="5"/>
        <v>23E-26E</v>
      </c>
      <c r="S23" s="42"/>
      <c r="T23" s="42"/>
      <c r="U23" s="42"/>
      <c r="V23" s="42"/>
      <c r="W23" s="42"/>
      <c r="X23" s="42"/>
      <c r="Y23" s="42"/>
      <c r="Z23" s="42"/>
      <c r="AA23" s="42"/>
    </row>
    <row r="24" spans="2:27" ht="12.6" thickTop="1">
      <c r="B24" s="5" t="s">
        <v>483</v>
      </c>
      <c r="C24" s="549">
        <v>10236.2852219795</v>
      </c>
      <c r="D24" s="540">
        <v>11733.671976843872</v>
      </c>
      <c r="E24" s="540">
        <v>12888.017010916112</v>
      </c>
      <c r="F24" s="540">
        <v>13891.145726155417</v>
      </c>
      <c r="G24" s="540">
        <v>14442.950043445786</v>
      </c>
      <c r="H24" s="279">
        <f t="shared" si="4"/>
        <v>7.1701870419550895E-2</v>
      </c>
      <c r="I24" s="249"/>
      <c r="J24" s="17"/>
      <c r="K24" s="17"/>
      <c r="L24" s="17"/>
      <c r="M24" s="17"/>
      <c r="N24" s="17"/>
      <c r="O24" s="248"/>
      <c r="S24" s="42"/>
      <c r="T24" s="42"/>
      <c r="U24" s="42"/>
      <c r="V24" s="42"/>
      <c r="W24" s="42" t="s">
        <v>177</v>
      </c>
      <c r="X24" s="42" t="s">
        <v>514</v>
      </c>
      <c r="Y24" s="42"/>
      <c r="Z24" s="42"/>
      <c r="AA24" s="42"/>
    </row>
    <row r="25" spans="2:27">
      <c r="B25" s="5" t="s">
        <v>183</v>
      </c>
      <c r="C25" s="548">
        <v>5506.2852219795004</v>
      </c>
      <c r="D25" s="540">
        <v>7192.8719768438723</v>
      </c>
      <c r="E25" s="540">
        <v>8392.6250109161119</v>
      </c>
      <c r="F25" s="540">
        <v>9440.707646155417</v>
      </c>
      <c r="G25" s="540">
        <v>9814.4944402457859</v>
      </c>
      <c r="H25" s="279">
        <f t="shared" si="4"/>
        <v>0.10914553252012116</v>
      </c>
      <c r="I25" s="248"/>
      <c r="J25" s="247" t="s">
        <v>10</v>
      </c>
      <c r="K25" s="247"/>
      <c r="L25" s="321">
        <v>0</v>
      </c>
      <c r="M25" s="321">
        <v>0</v>
      </c>
      <c r="N25" s="321">
        <v>0</v>
      </c>
      <c r="O25" s="321">
        <v>0</v>
      </c>
      <c r="P25" s="279" t="str">
        <f>IF(L25=0,"nm",IF(O25=0,"nm",(O25/L25)^(1/3)-1))</f>
        <v>nm</v>
      </c>
      <c r="S25" s="42"/>
      <c r="T25" s="42"/>
      <c r="U25" s="42"/>
      <c r="V25" s="147" t="s">
        <v>273</v>
      </c>
      <c r="W25" s="288">
        <f>D37/L9</f>
        <v>0.89968784333727148</v>
      </c>
      <c r="X25" s="288">
        <v>1</v>
      </c>
      <c r="Y25" s="42"/>
      <c r="Z25" s="42"/>
      <c r="AA25" s="42"/>
    </row>
    <row r="26" spans="2:27">
      <c r="B26" s="5" t="s">
        <v>586</v>
      </c>
      <c r="C26" s="548">
        <v>5230.9709608805251</v>
      </c>
      <c r="D26" s="540">
        <v>6329.7273396226074</v>
      </c>
      <c r="E26" s="540">
        <v>7217.6575093878564</v>
      </c>
      <c r="F26" s="540">
        <v>7646.9731933858884</v>
      </c>
      <c r="G26" s="540">
        <v>7655.3056633917131</v>
      </c>
      <c r="H26" s="279">
        <f t="shared" si="4"/>
        <v>6.5432264633138004E-2</v>
      </c>
      <c r="I26" s="249"/>
      <c r="J26" s="249" t="s">
        <v>11</v>
      </c>
      <c r="K26" s="249"/>
      <c r="L26" s="281">
        <f>D11+L25</f>
        <v>32507.464052000003</v>
      </c>
      <c r="M26" s="281">
        <f>E11+M25</f>
        <v>32507.464052000003</v>
      </c>
      <c r="N26" s="281">
        <f>F11+N25</f>
        <v>32507.464052000003</v>
      </c>
      <c r="O26" s="281">
        <f>G11+O25</f>
        <v>32507.464052000003</v>
      </c>
      <c r="P26" s="279">
        <f>IF(L26=0,"nm",IF(O26=0,"nm",(O26/L26)^(1/3)-1))</f>
        <v>0</v>
      </c>
      <c r="Q26" s="5"/>
      <c r="S26" s="42"/>
      <c r="T26" s="42"/>
      <c r="U26" s="42"/>
      <c r="V26" s="147" t="s">
        <v>184</v>
      </c>
      <c r="W26" s="288">
        <f t="shared" ref="W26:W33" si="6">D38/L10</f>
        <v>0.73719170671810308</v>
      </c>
      <c r="X26" s="288">
        <v>1</v>
      </c>
      <c r="Y26" s="42"/>
      <c r="Z26" s="42"/>
      <c r="AA26" s="42"/>
    </row>
    <row r="27" spans="2:27">
      <c r="B27" s="5" t="s">
        <v>587</v>
      </c>
      <c r="C27" s="549">
        <v>39232.017</v>
      </c>
      <c r="D27" s="540">
        <v>40147.143470313044</v>
      </c>
      <c r="E27" s="540">
        <v>39475.154261046053</v>
      </c>
      <c r="F27" s="540">
        <v>38981.712186497141</v>
      </c>
      <c r="G27" s="540">
        <v>38156.651557042467</v>
      </c>
      <c r="H27" s="279">
        <f t="shared" si="4"/>
        <v>-1.6807548965773189E-2</v>
      </c>
      <c r="I27" s="249"/>
      <c r="J27" s="248"/>
      <c r="K27" s="248"/>
      <c r="L27" s="248"/>
      <c r="M27" s="248"/>
      <c r="N27" s="248"/>
      <c r="O27" s="248"/>
      <c r="Q27" s="41"/>
      <c r="S27" s="42"/>
      <c r="T27" s="42"/>
      <c r="U27" s="42"/>
      <c r="V27" s="147" t="s">
        <v>185</v>
      </c>
      <c r="W27" s="288">
        <f t="shared" si="6"/>
        <v>0.69213286387357031</v>
      </c>
      <c r="X27" s="288">
        <v>1</v>
      </c>
      <c r="Y27" s="42"/>
      <c r="Z27" s="42"/>
      <c r="AA27" s="42"/>
    </row>
    <row r="28" spans="2:27" ht="12.6" thickBot="1">
      <c r="B28" s="5" t="s">
        <v>592</v>
      </c>
      <c r="C28" s="548">
        <v>22661.151999999998</v>
      </c>
      <c r="D28" s="540">
        <v>23238.095205697973</v>
      </c>
      <c r="E28" s="540">
        <v>24324.318166804202</v>
      </c>
      <c r="F28" s="540">
        <v>25327.597050551987</v>
      </c>
      <c r="G28" s="540">
        <v>26621.08736428844</v>
      </c>
      <c r="H28" s="279">
        <f t="shared" si="4"/>
        <v>4.6345444874369202E-2</v>
      </c>
      <c r="I28" s="248"/>
      <c r="J28" s="306" t="s">
        <v>1362</v>
      </c>
      <c r="K28" s="306"/>
      <c r="L28" s="306"/>
      <c r="M28" s="306"/>
      <c r="N28" s="266"/>
      <c r="O28" s="266"/>
      <c r="P28" s="266"/>
      <c r="Q28" s="5"/>
      <c r="S28" s="42"/>
      <c r="T28" s="42"/>
      <c r="U28" s="42"/>
      <c r="V28" s="147" t="s">
        <v>466</v>
      </c>
      <c r="W28" s="288">
        <f t="shared" si="6"/>
        <v>0.62930042811357656</v>
      </c>
      <c r="X28" s="288">
        <v>1</v>
      </c>
      <c r="Y28" s="42"/>
      <c r="Z28" s="42"/>
      <c r="AA28" s="42"/>
    </row>
    <row r="29" spans="2:27" ht="12.6" thickTop="1">
      <c r="B29" s="5" t="s">
        <v>588</v>
      </c>
      <c r="C29" s="548">
        <v>2425.1346419795004</v>
      </c>
      <c r="D29" s="540">
        <v>3532.6523843278082</v>
      </c>
      <c r="E29" s="540">
        <v>4776.0374881667576</v>
      </c>
      <c r="F29" s="540">
        <v>5813.0723856727018</v>
      </c>
      <c r="G29" s="540">
        <v>6250.5030594993832</v>
      </c>
      <c r="H29" s="279">
        <f t="shared" si="4"/>
        <v>0.20949670386105068</v>
      </c>
      <c r="I29" s="252"/>
      <c r="J29" s="249"/>
      <c r="K29" s="249"/>
      <c r="L29" s="249"/>
      <c r="M29" s="249"/>
      <c r="N29" s="249"/>
      <c r="O29" s="251"/>
      <c r="Q29" s="5"/>
      <c r="S29" s="42"/>
      <c r="T29" s="42"/>
      <c r="U29" s="42"/>
      <c r="V29" s="147" t="s">
        <v>530</v>
      </c>
      <c r="W29" s="288">
        <f t="shared" si="6"/>
        <v>0.63179250115992036</v>
      </c>
      <c r="X29" s="288">
        <v>1</v>
      </c>
      <c r="Y29" s="42"/>
      <c r="Z29" s="42"/>
      <c r="AA29" s="42"/>
    </row>
    <row r="30" spans="2:27">
      <c r="B30" s="5" t="s">
        <v>589</v>
      </c>
      <c r="C30" s="549">
        <v>1851.155221979501</v>
      </c>
      <c r="D30" s="540">
        <v>2525.2212276866335</v>
      </c>
      <c r="E30" s="540">
        <v>3789.5430526559267</v>
      </c>
      <c r="F30" s="540">
        <v>5096.8529055879881</v>
      </c>
      <c r="G30" s="540">
        <v>6073.9243092682445</v>
      </c>
      <c r="H30" s="279">
        <f t="shared" si="4"/>
        <v>0.33985144217270324</v>
      </c>
      <c r="I30" s="254"/>
      <c r="J30" s="248"/>
      <c r="K30" s="248"/>
      <c r="L30" s="248"/>
      <c r="M30" s="248"/>
      <c r="N30" s="248"/>
      <c r="O30" s="5"/>
      <c r="Q30" s="5"/>
      <c r="S30" s="42"/>
      <c r="T30" s="42"/>
      <c r="U30" s="42"/>
      <c r="V30" s="147" t="s">
        <v>593</v>
      </c>
      <c r="W30" s="288">
        <f t="shared" si="6"/>
        <v>1.4159644842955683</v>
      </c>
      <c r="X30" s="288">
        <v>1</v>
      </c>
      <c r="Y30" s="42"/>
      <c r="Z30" s="42"/>
      <c r="AA30" s="42"/>
    </row>
    <row r="31" spans="2:27">
      <c r="B31" s="5" t="s">
        <v>590</v>
      </c>
      <c r="C31" s="549">
        <v>1047.5</v>
      </c>
      <c r="D31" s="540">
        <v>2000</v>
      </c>
      <c r="E31" s="540">
        <v>2900</v>
      </c>
      <c r="F31" s="540">
        <v>3334.9999999999995</v>
      </c>
      <c r="G31" s="540">
        <v>3501.7499999999995</v>
      </c>
      <c r="H31" s="279">
        <f>IF(D31=0,"nm",IF(G31=0,"nm",(G31/D31)^(1/3)-1))</f>
        <v>0.20527194381139346</v>
      </c>
      <c r="I31" s="254"/>
      <c r="J31" s="252"/>
      <c r="K31" s="252"/>
      <c r="L31" s="252"/>
      <c r="M31" s="252"/>
      <c r="N31" s="252"/>
      <c r="O31" s="5"/>
      <c r="Q31" s="5"/>
      <c r="S31" s="42"/>
      <c r="T31" s="42"/>
      <c r="U31" s="42"/>
      <c r="V31" s="147" t="s">
        <v>475</v>
      </c>
      <c r="W31" s="288">
        <f t="shared" si="6"/>
        <v>0.75437501710920585</v>
      </c>
      <c r="X31" s="288">
        <v>1</v>
      </c>
      <c r="Y31" s="42"/>
      <c r="Z31" s="42"/>
      <c r="AA31" s="42"/>
    </row>
    <row r="32" spans="2:27">
      <c r="B32" s="5" t="s">
        <v>606</v>
      </c>
      <c r="C32" s="550">
        <v>0</v>
      </c>
      <c r="D32" s="540">
        <v>0</v>
      </c>
      <c r="E32" s="540">
        <v>0</v>
      </c>
      <c r="F32" s="540">
        <v>0</v>
      </c>
      <c r="G32" s="540">
        <v>0</v>
      </c>
      <c r="H32" s="279" t="str">
        <f>IF(D32=0,"nm",IF(G32=0,"nm",(G32/D32)^(1/3)-1))</f>
        <v>nm</v>
      </c>
      <c r="I32" s="254"/>
      <c r="J32" s="254"/>
      <c r="K32" s="254"/>
      <c r="L32" s="254"/>
      <c r="M32" s="254"/>
      <c r="N32" s="254"/>
      <c r="O32" s="251"/>
      <c r="Q32" s="5"/>
      <c r="S32" s="42"/>
      <c r="T32" s="42"/>
      <c r="U32" s="42"/>
      <c r="V32" s="147" t="s">
        <v>533</v>
      </c>
      <c r="W32" s="288">
        <f t="shared" si="6"/>
        <v>1.1086527939597846</v>
      </c>
      <c r="X32" s="288">
        <v>1</v>
      </c>
      <c r="Y32" s="42"/>
      <c r="Z32" s="42"/>
      <c r="AA32" s="42"/>
    </row>
    <row r="33" spans="2:27">
      <c r="B33" s="5" t="s">
        <v>5</v>
      </c>
      <c r="C33" s="549">
        <v>1439.0085722399999</v>
      </c>
      <c r="D33" s="540">
        <v>1488.9019779234691</v>
      </c>
      <c r="E33" s="540">
        <v>1359.8115930388153</v>
      </c>
      <c r="F33" s="540">
        <v>1152.405603173951</v>
      </c>
      <c r="G33" s="540">
        <v>791.66720791749094</v>
      </c>
      <c r="H33" s="279">
        <f>IF(D33=0,"nm",IF(G33=0,"nm",(G33/D33)^(1/3)-1))</f>
        <v>-0.18986228674859773</v>
      </c>
      <c r="I33" s="5"/>
      <c r="J33" s="254"/>
      <c r="K33" s="254"/>
      <c r="L33" s="254"/>
      <c r="M33" s="254"/>
      <c r="N33" s="254"/>
      <c r="O33" s="251"/>
      <c r="Q33" s="5"/>
      <c r="S33" s="42"/>
      <c r="T33" s="42"/>
      <c r="U33" s="42"/>
      <c r="V33" s="147" t="s">
        <v>580</v>
      </c>
      <c r="W33" s="288">
        <f t="shared" si="6"/>
        <v>1.6806344305610845</v>
      </c>
      <c r="X33" s="288">
        <v>1</v>
      </c>
      <c r="Y33" s="42"/>
      <c r="Z33" s="42"/>
      <c r="AA33" s="42"/>
    </row>
    <row r="34" spans="2:27">
      <c r="D34" s="5"/>
      <c r="E34" s="5"/>
      <c r="F34" s="5"/>
      <c r="G34" s="5"/>
      <c r="I34" s="49"/>
      <c r="J34" s="254"/>
      <c r="K34" s="254"/>
      <c r="L34" s="254"/>
      <c r="M34" s="254"/>
      <c r="N34" s="254"/>
      <c r="O34" s="251"/>
      <c r="Q34" s="5"/>
      <c r="S34" s="42"/>
      <c r="T34" s="42"/>
      <c r="U34" s="42"/>
      <c r="V34" s="147" t="s">
        <v>581</v>
      </c>
      <c r="W34" s="288">
        <f>D47/L19</f>
        <v>1.3256006327357426</v>
      </c>
      <c r="X34" s="288">
        <v>1</v>
      </c>
      <c r="Y34" s="288"/>
      <c r="Z34" s="288"/>
      <c r="AA34" s="42"/>
    </row>
    <row r="35" spans="2:27" ht="12.6" thickBot="1">
      <c r="B35" s="306" t="s">
        <v>178</v>
      </c>
      <c r="C35" s="265"/>
      <c r="D35" s="265" t="str">
        <f>D5</f>
        <v>2023E</v>
      </c>
      <c r="E35" s="265" t="str">
        <f t="shared" ref="E35:H35" si="7">E5</f>
        <v>2024E</v>
      </c>
      <c r="F35" s="265" t="str">
        <f t="shared" si="7"/>
        <v>2025E</v>
      </c>
      <c r="G35" s="265" t="str">
        <f t="shared" si="7"/>
        <v>2026E</v>
      </c>
      <c r="H35" s="265" t="str">
        <f t="shared" si="7"/>
        <v>23E-26E</v>
      </c>
      <c r="I35" s="254"/>
      <c r="J35" s="5"/>
      <c r="K35" s="5"/>
      <c r="L35" s="5"/>
      <c r="M35" s="5"/>
      <c r="N35" s="5"/>
      <c r="O35" s="5"/>
      <c r="Q35" s="5"/>
      <c r="S35" s="42"/>
      <c r="T35" s="42"/>
      <c r="U35" s="42"/>
      <c r="V35" s="42"/>
      <c r="W35" s="42"/>
      <c r="X35" s="42"/>
      <c r="Y35" s="288"/>
      <c r="Z35" s="288"/>
      <c r="AA35" s="42"/>
    </row>
    <row r="36" spans="2:27" ht="12.6" thickTop="1">
      <c r="B36" s="41"/>
      <c r="C36" s="249"/>
      <c r="D36" s="254"/>
      <c r="E36" s="254"/>
      <c r="F36" s="254"/>
      <c r="G36" s="254"/>
      <c r="H36" s="254"/>
      <c r="I36" s="17"/>
      <c r="J36" s="49"/>
      <c r="K36" s="49"/>
      <c r="L36" s="49"/>
      <c r="M36" s="49"/>
      <c r="N36" s="49"/>
      <c r="O36" s="49"/>
      <c r="Q36" s="5"/>
      <c r="S36" s="42"/>
      <c r="T36" s="42"/>
      <c r="U36" s="42"/>
      <c r="V36" s="42"/>
      <c r="W36" s="42"/>
      <c r="X36" s="42"/>
      <c r="Y36" s="288"/>
      <c r="Z36" s="288"/>
      <c r="AA36" s="42"/>
    </row>
    <row r="37" spans="2:27">
      <c r="B37" s="5" t="s">
        <v>273</v>
      </c>
      <c r="C37" s="247"/>
      <c r="D37" s="529">
        <f>D$18/D23</f>
        <v>1.9573733861816445</v>
      </c>
      <c r="E37" s="529">
        <f t="shared" ref="E37:G41" si="8">E$18/E23</f>
        <v>1.633859530213658</v>
      </c>
      <c r="F37" s="529">
        <f t="shared" si="8"/>
        <v>1.3237907501542443</v>
      </c>
      <c r="G37" s="529">
        <f t="shared" si="8"/>
        <v>1.0169501418917162</v>
      </c>
      <c r="H37" s="17">
        <f t="shared" ref="H37:H45" si="9">H23</f>
        <v>5.9896866881330002E-2</v>
      </c>
      <c r="I37" s="5"/>
      <c r="J37" s="259"/>
      <c r="K37" s="259"/>
      <c r="L37" s="259"/>
      <c r="M37" s="259"/>
      <c r="N37" s="259"/>
      <c r="O37" s="18"/>
      <c r="Q37" s="5"/>
      <c r="R37" s="5"/>
      <c r="S37" s="42"/>
      <c r="T37" s="42"/>
      <c r="U37" s="42"/>
      <c r="V37" s="42"/>
      <c r="W37" s="42"/>
      <c r="X37" s="42"/>
      <c r="Y37" s="42"/>
      <c r="Z37" s="42"/>
      <c r="AA37" s="42"/>
    </row>
    <row r="38" spans="2:27">
      <c r="B38" s="5" t="s">
        <v>184</v>
      </c>
      <c r="C38" s="247"/>
      <c r="D38" s="529">
        <f>D$18/D24</f>
        <v>3.9889126545095897</v>
      </c>
      <c r="E38" s="529">
        <f t="shared" si="8"/>
        <v>3.2583026802964468</v>
      </c>
      <c r="F38" s="529">
        <f t="shared" si="8"/>
        <v>2.5989767944237996</v>
      </c>
      <c r="G38" s="529">
        <f t="shared" si="8"/>
        <v>2.0046998961028448</v>
      </c>
      <c r="H38" s="17">
        <f t="shared" si="9"/>
        <v>7.1701870419550895E-2</v>
      </c>
      <c r="I38" s="259"/>
      <c r="J38" s="17"/>
      <c r="K38" s="17"/>
      <c r="L38" s="17"/>
      <c r="M38" s="17"/>
      <c r="N38" s="17"/>
      <c r="O38" s="5"/>
      <c r="Q38" s="5"/>
      <c r="R38" s="5"/>
      <c r="S38" s="42"/>
      <c r="T38" s="42"/>
      <c r="U38" s="42"/>
      <c r="V38" s="42"/>
      <c r="W38" s="42"/>
      <c r="X38" s="42"/>
      <c r="Y38" s="42"/>
      <c r="Z38" s="42"/>
      <c r="AA38" s="42"/>
    </row>
    <row r="39" spans="2:27">
      <c r="B39" s="5" t="s">
        <v>185</v>
      </c>
      <c r="C39" s="247"/>
      <c r="D39" s="529">
        <f>D$18/D25</f>
        <v>6.5070798956210885</v>
      </c>
      <c r="E39" s="529">
        <f t="shared" si="8"/>
        <v>5.0035668596839091</v>
      </c>
      <c r="F39" s="529">
        <f t="shared" si="8"/>
        <v>3.8241588176856176</v>
      </c>
      <c r="G39" s="529">
        <f t="shared" si="8"/>
        <v>2.9501041167016293</v>
      </c>
      <c r="H39" s="17">
        <f t="shared" si="9"/>
        <v>0.10914553252012116</v>
      </c>
      <c r="I39" s="17"/>
      <c r="J39" s="5"/>
      <c r="K39" s="5"/>
      <c r="L39" s="5"/>
      <c r="M39" s="5"/>
      <c r="N39" s="5"/>
      <c r="O39" s="5"/>
      <c r="Q39" s="5"/>
      <c r="R39" s="5"/>
      <c r="S39" s="42"/>
      <c r="T39" s="42"/>
      <c r="U39" s="42"/>
      <c r="V39" s="42"/>
      <c r="W39" s="42"/>
      <c r="X39" s="42"/>
      <c r="Y39" s="42"/>
      <c r="Z39" s="42"/>
      <c r="AA39" s="42"/>
    </row>
    <row r="40" spans="2:27">
      <c r="B40" s="5" t="s">
        <v>466</v>
      </c>
      <c r="C40" s="247"/>
      <c r="D40" s="529">
        <f>D$18/D26</f>
        <v>7.3944089722966915</v>
      </c>
      <c r="E40" s="529">
        <f t="shared" si="8"/>
        <v>5.8181009996324526</v>
      </c>
      <c r="F40" s="529">
        <f t="shared" si="8"/>
        <v>4.7211837255377995</v>
      </c>
      <c r="G40" s="529">
        <f t="shared" si="8"/>
        <v>3.7821847650020888</v>
      </c>
      <c r="H40" s="17">
        <f t="shared" si="9"/>
        <v>6.5432264633138004E-2</v>
      </c>
      <c r="I40" s="5"/>
      <c r="J40" s="259"/>
      <c r="K40" s="259"/>
      <c r="L40" s="259"/>
      <c r="M40" s="259"/>
      <c r="N40" s="259"/>
      <c r="O40" s="18"/>
      <c r="Q40" s="5"/>
      <c r="R40" s="5"/>
      <c r="S40" s="42"/>
      <c r="T40" s="42"/>
      <c r="U40" s="42"/>
      <c r="V40" s="42"/>
      <c r="W40" s="288"/>
      <c r="X40" s="288"/>
      <c r="Y40" s="42"/>
      <c r="Z40" s="42"/>
      <c r="AA40" s="42"/>
    </row>
    <row r="41" spans="2:27">
      <c r="B41" s="5" t="s">
        <v>530</v>
      </c>
      <c r="C41" s="247"/>
      <c r="D41" s="529">
        <f>D$18/D27</f>
        <v>1.1658262229019334</v>
      </c>
      <c r="E41" s="529">
        <f t="shared" si="8"/>
        <v>1.0637845793502769</v>
      </c>
      <c r="F41" s="529">
        <f t="shared" si="8"/>
        <v>0.9261462199893542</v>
      </c>
      <c r="G41" s="529">
        <f t="shared" si="8"/>
        <v>0.75881345112869125</v>
      </c>
      <c r="H41" s="17">
        <f t="shared" si="9"/>
        <v>-1.6807548965773189E-2</v>
      </c>
      <c r="I41" s="247"/>
      <c r="J41" s="17"/>
      <c r="K41" s="17"/>
      <c r="L41" s="17"/>
      <c r="M41" s="17"/>
      <c r="N41" s="17"/>
      <c r="O41" s="5"/>
      <c r="Q41" s="5"/>
      <c r="R41" s="5"/>
      <c r="S41" s="42"/>
      <c r="T41" s="42"/>
      <c r="U41" s="42"/>
      <c r="V41" s="42"/>
      <c r="W41" s="288"/>
      <c r="X41" s="288"/>
      <c r="Y41" s="288"/>
      <c r="Z41" s="288"/>
      <c r="AA41" s="42"/>
    </row>
    <row r="42" spans="2:27">
      <c r="B42" s="5" t="s">
        <v>593</v>
      </c>
      <c r="C42" s="247"/>
      <c r="D42" s="529">
        <f>D18/D28</f>
        <v>2.0141320628043822</v>
      </c>
      <c r="E42" s="529">
        <f>E18/E28</f>
        <v>1.7263818078026454</v>
      </c>
      <c r="F42" s="529">
        <f>F18/F28</f>
        <v>1.4254319238488693</v>
      </c>
      <c r="G42" s="529">
        <f>G18/G28</f>
        <v>1.0876257628136994</v>
      </c>
      <c r="H42" s="17">
        <f t="shared" si="9"/>
        <v>4.6345444874369202E-2</v>
      </c>
      <c r="I42" s="248"/>
      <c r="J42" s="5"/>
      <c r="K42" s="5"/>
      <c r="L42" s="5"/>
      <c r="M42" s="5"/>
      <c r="N42" s="5"/>
      <c r="O42" s="5"/>
      <c r="Q42" s="5"/>
      <c r="R42" s="5"/>
      <c r="S42" s="42"/>
      <c r="T42" s="42"/>
      <c r="U42" s="42"/>
      <c r="V42" s="42"/>
      <c r="W42" s="288"/>
      <c r="X42" s="288"/>
      <c r="Y42" s="288"/>
      <c r="Z42" s="288"/>
      <c r="AA42" s="42"/>
    </row>
    <row r="43" spans="2:27">
      <c r="B43" s="5" t="s">
        <v>475</v>
      </c>
      <c r="C43" s="247"/>
      <c r="D43" s="529">
        <f>L26/D29</f>
        <v>9.2019990973964774</v>
      </c>
      <c r="E43" s="529">
        <f>M26/E29</f>
        <v>6.8063670213103213</v>
      </c>
      <c r="F43" s="529">
        <f>N26/F29</f>
        <v>5.5921313025655994</v>
      </c>
      <c r="G43" s="529">
        <f>O26/G29</f>
        <v>5.2007756403855918</v>
      </c>
      <c r="H43" s="17">
        <f t="shared" si="9"/>
        <v>0.20949670386105068</v>
      </c>
      <c r="I43" s="247"/>
      <c r="J43" s="247"/>
      <c r="K43" s="247"/>
      <c r="L43" s="247"/>
      <c r="M43" s="247"/>
      <c r="N43" s="247"/>
      <c r="O43" s="18"/>
      <c r="Q43" s="5"/>
      <c r="R43" s="5"/>
      <c r="S43" s="42"/>
      <c r="T43" s="42"/>
      <c r="U43" s="42"/>
      <c r="V43" s="42"/>
      <c r="W43" s="288"/>
      <c r="X43" s="288"/>
      <c r="Y43" s="288"/>
      <c r="Z43" s="288"/>
      <c r="AA43" s="42"/>
    </row>
    <row r="44" spans="2:27">
      <c r="B44" s="5" t="s">
        <v>533</v>
      </c>
      <c r="C44" s="69"/>
      <c r="D44" s="529">
        <f>D11/D30</f>
        <v>12.873115311873185</v>
      </c>
      <c r="E44" s="529">
        <f>E11/E30</f>
        <v>8.5782015404777976</v>
      </c>
      <c r="F44" s="529">
        <f>F11/F30</f>
        <v>6.3779482465268131</v>
      </c>
      <c r="G44" s="529">
        <f>G11/G30</f>
        <v>5.3519705542587399</v>
      </c>
      <c r="H44" s="17">
        <f t="shared" si="9"/>
        <v>0.33985144217270324</v>
      </c>
      <c r="I44" s="247"/>
      <c r="J44" s="248"/>
      <c r="K44" s="248"/>
      <c r="L44" s="248"/>
      <c r="M44" s="248"/>
      <c r="N44" s="248"/>
      <c r="O44" s="248"/>
      <c r="Q44" s="5"/>
      <c r="R44" s="5"/>
      <c r="S44" s="42"/>
      <c r="T44" s="42"/>
      <c r="U44" s="42"/>
      <c r="V44" s="42"/>
      <c r="W44" s="325"/>
      <c r="X44" s="325"/>
      <c r="Y44" s="288"/>
      <c r="Z44" s="288"/>
      <c r="AA44" s="42"/>
    </row>
    <row r="45" spans="2:27">
      <c r="B45" s="5" t="s">
        <v>580</v>
      </c>
      <c r="C45" s="247"/>
      <c r="D45" s="248">
        <f>D31/D11</f>
        <v>6.1524331667359058E-2</v>
      </c>
      <c r="E45" s="248">
        <f>E31/E11</f>
        <v>8.9210280917670637E-2</v>
      </c>
      <c r="F45" s="248">
        <f>F31/F11</f>
        <v>0.10259182305532122</v>
      </c>
      <c r="G45" s="248">
        <f>G31/G11</f>
        <v>0.10772141420808727</v>
      </c>
      <c r="H45" s="17">
        <f t="shared" si="9"/>
        <v>0.20527194381139346</v>
      </c>
      <c r="I45" s="248"/>
      <c r="J45" s="247"/>
      <c r="K45" s="247"/>
      <c r="L45" s="247"/>
      <c r="M45" s="247"/>
      <c r="N45" s="247"/>
      <c r="O45" s="248"/>
      <c r="Q45" s="5"/>
      <c r="R45" s="5"/>
      <c r="S45" s="42"/>
      <c r="T45" s="42"/>
      <c r="U45" s="42"/>
      <c r="V45" s="42"/>
      <c r="W45" s="42"/>
      <c r="X45" s="42"/>
      <c r="Y45" s="325"/>
      <c r="Z45" s="325"/>
      <c r="AA45" s="42"/>
    </row>
    <row r="46" spans="2:27">
      <c r="B46" s="5" t="s">
        <v>605</v>
      </c>
      <c r="C46" s="247"/>
      <c r="D46" s="248">
        <f>(D31+D32)/D11</f>
        <v>6.1524331667359058E-2</v>
      </c>
      <c r="E46" s="248">
        <f>(E31+E32)/E11</f>
        <v>8.9210280917670637E-2</v>
      </c>
      <c r="F46" s="248">
        <f>(F31+F32)/F11</f>
        <v>0.10259182305532122</v>
      </c>
      <c r="G46" s="248">
        <f>(G31+G32)/G11</f>
        <v>0.10772141420808727</v>
      </c>
      <c r="H46" s="279">
        <f>((G31+G32)/(D31+D32))^(1/3)-1</f>
        <v>0.20527194381139346</v>
      </c>
      <c r="I46" s="247"/>
      <c r="J46" s="247"/>
      <c r="K46" s="247"/>
      <c r="L46" s="247"/>
      <c r="M46" s="247"/>
      <c r="N46" s="247"/>
      <c r="O46" s="18"/>
      <c r="Q46" s="5"/>
      <c r="R46" s="5"/>
      <c r="S46" s="42"/>
      <c r="T46" s="42"/>
      <c r="U46" s="42"/>
      <c r="V46" s="42"/>
      <c r="W46" s="42"/>
      <c r="X46" s="42"/>
      <c r="Y46" s="42"/>
      <c r="Z46" s="42"/>
      <c r="AA46" s="326"/>
    </row>
    <row r="47" spans="2:27">
      <c r="B47" s="5" t="s">
        <v>581</v>
      </c>
      <c r="C47" s="5"/>
      <c r="D47" s="248">
        <f>1/D43</f>
        <v>0.10867203847943542</v>
      </c>
      <c r="E47" s="248">
        <f>1/E43</f>
        <v>0.14692125723885602</v>
      </c>
      <c r="F47" s="248">
        <f>1/F43</f>
        <v>0.17882269673124673</v>
      </c>
      <c r="G47" s="248">
        <f>1/G43</f>
        <v>0.19227901166024128</v>
      </c>
      <c r="H47" s="17">
        <f>H29</f>
        <v>0.20949670386105068</v>
      </c>
      <c r="I47" s="17"/>
      <c r="J47" s="248"/>
      <c r="K47" s="248"/>
      <c r="L47" s="248"/>
      <c r="M47" s="248"/>
      <c r="N47" s="248"/>
      <c r="O47" s="248"/>
      <c r="Q47" s="5"/>
      <c r="R47" s="5"/>
      <c r="S47" s="42"/>
      <c r="T47" s="42"/>
      <c r="U47" s="42"/>
      <c r="V47" s="42"/>
      <c r="W47" s="42"/>
      <c r="X47" s="42"/>
      <c r="Y47" s="42"/>
      <c r="Z47" s="42"/>
      <c r="AA47" s="326"/>
    </row>
    <row r="48" spans="2:27">
      <c r="B48" s="5" t="s">
        <v>618</v>
      </c>
      <c r="C48" s="5"/>
      <c r="D48" s="305">
        <f>D31/D29</f>
        <v>0.56614684447095953</v>
      </c>
      <c r="E48" s="305">
        <f>E31/E29</f>
        <v>0.60719791399986289</v>
      </c>
      <c r="F48" s="305">
        <f>F31/F29</f>
        <v>0.57370694509493292</v>
      </c>
      <c r="G48" s="305">
        <f>G31/G29</f>
        <v>0.56023490696130662</v>
      </c>
      <c r="H48" s="279" t="s">
        <v>607</v>
      </c>
      <c r="I48" s="247"/>
      <c r="J48" s="247"/>
      <c r="K48" s="247"/>
      <c r="L48" s="247"/>
      <c r="M48" s="247"/>
      <c r="N48" s="247"/>
      <c r="O48" s="248"/>
      <c r="Q48" s="5"/>
      <c r="R48" s="5"/>
      <c r="S48" s="42"/>
      <c r="T48" s="42"/>
      <c r="U48" s="42"/>
      <c r="V48" s="42"/>
      <c r="W48" s="42"/>
      <c r="X48" s="42"/>
      <c r="Y48" s="42"/>
      <c r="Z48" s="42"/>
      <c r="AA48" s="326"/>
    </row>
    <row r="49" spans="2:27">
      <c r="B49" s="41"/>
      <c r="C49" s="17"/>
      <c r="D49" s="17"/>
      <c r="E49" s="17"/>
      <c r="F49" s="17"/>
      <c r="G49" s="17"/>
      <c r="H49" s="17"/>
      <c r="I49" s="254"/>
      <c r="J49" s="17"/>
      <c r="K49" s="17"/>
      <c r="L49" s="17"/>
      <c r="M49" s="17"/>
      <c r="N49" s="17"/>
      <c r="O49" s="248"/>
      <c r="Q49" s="5"/>
      <c r="R49" s="5"/>
      <c r="S49" s="42"/>
      <c r="T49" s="42"/>
      <c r="U49" s="42"/>
      <c r="V49" s="42"/>
      <c r="W49" s="42"/>
      <c r="X49" s="42"/>
      <c r="Y49" s="42"/>
      <c r="Z49" s="42"/>
      <c r="AA49" s="326"/>
    </row>
    <row r="50" spans="2:27">
      <c r="B50" s="5"/>
      <c r="C50" s="257"/>
      <c r="D50" s="257"/>
      <c r="E50" s="257"/>
      <c r="F50" s="5"/>
      <c r="G50" s="41"/>
      <c r="H50" s="249"/>
      <c r="I50" s="17"/>
      <c r="J50" s="249"/>
      <c r="K50" s="249"/>
      <c r="L50" s="249"/>
      <c r="M50" s="249"/>
      <c r="N50" s="249"/>
      <c r="O50" s="250"/>
      <c r="Q50" s="5"/>
      <c r="R50" s="5"/>
      <c r="S50" s="42"/>
      <c r="T50" s="42"/>
      <c r="U50" s="42"/>
      <c r="V50" s="42"/>
      <c r="W50" s="288"/>
      <c r="X50" s="288"/>
      <c r="Y50" s="42"/>
      <c r="Z50" s="42"/>
      <c r="AA50" s="326"/>
    </row>
    <row r="51" spans="2:27">
      <c r="B51" s="41"/>
      <c r="C51" s="249"/>
      <c r="D51" s="254"/>
      <c r="E51" s="254"/>
      <c r="F51" s="254"/>
      <c r="G51" s="254"/>
      <c r="H51" s="254"/>
      <c r="I51" s="259"/>
      <c r="J51" s="254"/>
      <c r="K51" s="254"/>
      <c r="L51" s="254"/>
      <c r="M51" s="254"/>
      <c r="N51" s="254"/>
      <c r="O51" s="251"/>
      <c r="Q51" s="5"/>
      <c r="R51" s="5"/>
      <c r="S51" s="42"/>
      <c r="T51" s="42"/>
      <c r="U51" s="42"/>
      <c r="V51" s="42"/>
      <c r="W51" s="288"/>
      <c r="X51" s="288"/>
      <c r="Y51" s="288"/>
      <c r="Z51" s="288"/>
      <c r="AA51" s="42"/>
    </row>
    <row r="52" spans="2:27">
      <c r="B52" s="5"/>
      <c r="C52" s="257"/>
      <c r="D52" s="17"/>
      <c r="E52" s="17"/>
      <c r="F52" s="17"/>
      <c r="G52" s="17"/>
      <c r="H52" s="17"/>
      <c r="I52" s="254"/>
      <c r="J52" s="17"/>
      <c r="K52" s="17"/>
      <c r="L52" s="17"/>
      <c r="M52" s="17"/>
      <c r="N52" s="17"/>
      <c r="O52" s="248"/>
      <c r="Q52" s="5"/>
      <c r="R52" s="5"/>
      <c r="Y52" s="10"/>
      <c r="Z52" s="10"/>
    </row>
    <row r="53" spans="2:27">
      <c r="B53" s="5"/>
      <c r="C53" s="257"/>
      <c r="D53" s="257"/>
      <c r="E53" s="257"/>
      <c r="F53" s="5"/>
      <c r="G53" s="5"/>
      <c r="H53" s="259"/>
      <c r="I53" s="17"/>
      <c r="J53" s="259"/>
      <c r="K53" s="259"/>
      <c r="L53" s="259"/>
      <c r="M53" s="259"/>
      <c r="N53" s="259"/>
      <c r="O53" s="18"/>
      <c r="Q53" s="5"/>
      <c r="R53" s="5"/>
    </row>
    <row r="54" spans="2:27">
      <c r="B54" s="41"/>
      <c r="C54" s="249"/>
      <c r="D54" s="254"/>
      <c r="E54" s="254"/>
      <c r="F54" s="254"/>
      <c r="G54" s="254"/>
      <c r="H54" s="254"/>
      <c r="I54" s="259"/>
      <c r="J54" s="254"/>
      <c r="K54" s="254"/>
      <c r="L54" s="254"/>
      <c r="M54" s="254"/>
      <c r="N54" s="254"/>
      <c r="O54" s="251"/>
      <c r="Q54" s="5"/>
      <c r="R54" s="5"/>
    </row>
    <row r="55" spans="2:27">
      <c r="B55" s="5"/>
      <c r="C55" s="257"/>
      <c r="D55" s="17"/>
      <c r="E55" s="17"/>
      <c r="F55" s="17"/>
      <c r="G55" s="17"/>
      <c r="H55" s="17"/>
      <c r="I55" s="249"/>
      <c r="J55" s="17"/>
      <c r="K55" s="17"/>
      <c r="L55" s="17"/>
      <c r="M55" s="17"/>
      <c r="N55" s="17"/>
      <c r="O55" s="18"/>
      <c r="Q55" s="5"/>
      <c r="R55" s="5"/>
    </row>
    <row r="56" spans="2:27">
      <c r="B56" s="5"/>
      <c r="C56" s="248"/>
      <c r="D56" s="248"/>
      <c r="E56" s="248"/>
      <c r="F56" s="5"/>
      <c r="G56" s="5"/>
      <c r="H56" s="259"/>
      <c r="I56" s="248"/>
      <c r="J56" s="259"/>
      <c r="K56" s="259"/>
      <c r="L56" s="259"/>
      <c r="M56" s="259"/>
      <c r="N56" s="259"/>
      <c r="O56" s="18"/>
      <c r="Q56" s="5"/>
      <c r="R56" s="5"/>
    </row>
    <row r="57" spans="2:27">
      <c r="B57" s="41"/>
      <c r="C57" s="249"/>
      <c r="D57" s="249"/>
      <c r="E57" s="249"/>
      <c r="F57" s="249"/>
      <c r="G57" s="249"/>
      <c r="H57" s="249"/>
      <c r="I57" s="5"/>
      <c r="J57" s="249"/>
      <c r="K57" s="249"/>
      <c r="L57" s="249"/>
      <c r="M57" s="249"/>
      <c r="N57" s="249"/>
      <c r="O57" s="251"/>
      <c r="Q57" s="5"/>
      <c r="R57" s="5"/>
    </row>
    <row r="58" spans="2:27">
      <c r="B58" s="5"/>
      <c r="C58" s="5"/>
      <c r="D58" s="248"/>
      <c r="E58" s="248"/>
      <c r="F58" s="248"/>
      <c r="G58" s="248"/>
      <c r="H58" s="248"/>
      <c r="I58" s="17"/>
      <c r="J58" s="248"/>
      <c r="K58" s="248"/>
      <c r="L58" s="248"/>
      <c r="M58" s="248"/>
      <c r="N58" s="248"/>
      <c r="O58" s="18"/>
      <c r="Q58" s="5"/>
      <c r="R58" s="5"/>
    </row>
    <row r="59" spans="2:27">
      <c r="B59" s="5"/>
      <c r="C59" s="5"/>
      <c r="D59" s="5"/>
      <c r="E59" s="5"/>
      <c r="F59" s="5"/>
      <c r="G59" s="5"/>
      <c r="H59" s="5"/>
      <c r="I59" s="5"/>
      <c r="J59" s="5"/>
      <c r="K59" s="5"/>
      <c r="L59" s="5"/>
      <c r="M59" s="5"/>
      <c r="N59" s="5"/>
      <c r="O59" s="5"/>
      <c r="Q59" s="5"/>
      <c r="R59" s="5"/>
    </row>
    <row r="60" spans="2:27">
      <c r="B60" s="41"/>
      <c r="C60" s="17"/>
      <c r="D60" s="17"/>
      <c r="E60" s="17"/>
      <c r="F60" s="17"/>
      <c r="G60" s="17"/>
      <c r="H60" s="17"/>
      <c r="I60" s="249"/>
      <c r="J60" s="17"/>
      <c r="K60" s="17"/>
      <c r="L60" s="17"/>
      <c r="M60" s="17"/>
      <c r="N60" s="17"/>
      <c r="O60" s="251"/>
      <c r="Q60" s="5"/>
      <c r="R60" s="5"/>
    </row>
    <row r="61" spans="2:27">
      <c r="B61" s="5"/>
      <c r="C61" s="5"/>
      <c r="D61" s="5"/>
      <c r="E61" s="5"/>
      <c r="F61" s="5"/>
      <c r="G61" s="5"/>
      <c r="H61" s="5"/>
      <c r="I61" s="5"/>
      <c r="J61" s="5"/>
      <c r="K61" s="5"/>
      <c r="L61" s="5"/>
      <c r="M61" s="5"/>
      <c r="N61" s="5"/>
      <c r="O61" s="5"/>
      <c r="Q61" s="41"/>
      <c r="R61" s="5"/>
    </row>
    <row r="62" spans="2:27">
      <c r="B62" s="41"/>
      <c r="C62" s="249"/>
      <c r="D62" s="249"/>
      <c r="E62" s="249"/>
      <c r="F62" s="249"/>
      <c r="G62" s="249"/>
      <c r="H62" s="249"/>
      <c r="I62" s="5"/>
      <c r="J62" s="249"/>
      <c r="K62" s="249"/>
      <c r="L62" s="249"/>
      <c r="M62" s="249"/>
      <c r="N62" s="249"/>
      <c r="O62" s="251"/>
      <c r="Q62" s="5"/>
      <c r="R62" s="5"/>
    </row>
    <row r="63" spans="2:27">
      <c r="B63" s="5"/>
      <c r="C63" s="5"/>
      <c r="D63" s="5"/>
      <c r="E63" s="5"/>
      <c r="F63" s="5"/>
      <c r="G63" s="5"/>
      <c r="H63" s="5"/>
      <c r="I63" s="254"/>
      <c r="J63" s="5"/>
      <c r="K63" s="5"/>
      <c r="L63" s="5"/>
      <c r="M63" s="5"/>
      <c r="N63" s="5"/>
      <c r="O63" s="5"/>
      <c r="Q63" s="5"/>
      <c r="R63" s="5"/>
    </row>
    <row r="64" spans="2:27">
      <c r="B64" s="5"/>
      <c r="C64" s="5"/>
      <c r="D64" s="5"/>
      <c r="E64" s="5"/>
      <c r="F64" s="5"/>
      <c r="G64" s="5"/>
      <c r="H64" s="5"/>
      <c r="I64" s="17"/>
      <c r="J64" s="5"/>
      <c r="K64" s="5"/>
      <c r="L64" s="5"/>
      <c r="M64" s="5"/>
      <c r="N64" s="5"/>
      <c r="O64" s="5"/>
      <c r="Q64" s="5"/>
      <c r="R64" s="5"/>
    </row>
    <row r="65" spans="2:26">
      <c r="B65" s="41"/>
      <c r="C65" s="249"/>
      <c r="D65" s="254"/>
      <c r="E65" s="254"/>
      <c r="F65" s="254"/>
      <c r="G65" s="254"/>
      <c r="H65" s="254"/>
      <c r="I65" s="254"/>
      <c r="J65" s="254"/>
      <c r="K65" s="254"/>
      <c r="L65" s="254"/>
      <c r="M65" s="254"/>
      <c r="N65" s="254"/>
      <c r="O65" s="251"/>
      <c r="Q65" s="5"/>
      <c r="R65" s="5"/>
    </row>
    <row r="66" spans="2:26">
      <c r="B66" s="5"/>
      <c r="C66" s="5"/>
      <c r="D66" s="17"/>
      <c r="E66" s="17"/>
      <c r="F66" s="17"/>
      <c r="G66" s="17"/>
      <c r="H66" s="17"/>
      <c r="I66" s="248"/>
      <c r="J66" s="17"/>
      <c r="K66" s="17"/>
      <c r="L66" s="17"/>
      <c r="M66" s="17"/>
      <c r="N66" s="17"/>
      <c r="O66" s="5"/>
      <c r="Q66" s="5"/>
      <c r="R66" s="5"/>
    </row>
    <row r="67" spans="2:26">
      <c r="B67" s="41"/>
      <c r="C67" s="249"/>
      <c r="D67" s="254"/>
      <c r="E67" s="254"/>
      <c r="F67" s="254"/>
      <c r="G67" s="254"/>
      <c r="H67" s="254"/>
      <c r="I67" s="5"/>
      <c r="J67" s="254"/>
      <c r="K67" s="254"/>
      <c r="L67" s="254"/>
      <c r="M67" s="254"/>
      <c r="N67" s="254"/>
      <c r="O67" s="251"/>
      <c r="Q67" s="41"/>
      <c r="R67" s="5"/>
    </row>
    <row r="68" spans="2:26">
      <c r="B68" s="5"/>
      <c r="C68" s="5"/>
      <c r="D68" s="248"/>
      <c r="E68" s="248"/>
      <c r="F68" s="248"/>
      <c r="G68" s="248"/>
      <c r="H68" s="248"/>
      <c r="I68" s="245"/>
      <c r="J68" s="248"/>
      <c r="K68" s="248"/>
      <c r="L68" s="248"/>
      <c r="M68" s="248"/>
      <c r="N68" s="248"/>
      <c r="O68" s="5"/>
      <c r="Q68" s="5"/>
      <c r="R68" s="5"/>
    </row>
    <row r="69" spans="2:26">
      <c r="B69" s="41"/>
      <c r="C69" s="5"/>
      <c r="D69" s="5"/>
      <c r="E69" s="5"/>
      <c r="F69" s="5"/>
      <c r="G69" s="5"/>
      <c r="H69" s="5"/>
      <c r="I69" s="248"/>
      <c r="J69" s="5"/>
      <c r="K69" s="5"/>
      <c r="L69" s="5"/>
      <c r="M69" s="5"/>
      <c r="N69" s="5"/>
      <c r="O69" s="5"/>
      <c r="Q69" s="5"/>
      <c r="R69" s="5"/>
    </row>
    <row r="70" spans="2:26">
      <c r="B70" s="41"/>
      <c r="C70" s="245"/>
      <c r="D70" s="245"/>
      <c r="E70" s="245"/>
      <c r="F70" s="245"/>
      <c r="G70" s="245"/>
      <c r="H70" s="245"/>
      <c r="I70" s="5"/>
      <c r="J70" s="245"/>
      <c r="K70" s="245"/>
      <c r="L70" s="245"/>
      <c r="M70" s="245"/>
      <c r="N70" s="245"/>
      <c r="O70" s="251"/>
      <c r="Q70" s="5"/>
      <c r="R70" s="5"/>
      <c r="W70" s="76"/>
      <c r="X70" s="76"/>
    </row>
    <row r="71" spans="2:26">
      <c r="B71" s="5"/>
      <c r="C71" s="5"/>
      <c r="D71" s="248"/>
      <c r="E71" s="248"/>
      <c r="F71" s="248"/>
      <c r="G71" s="248"/>
      <c r="H71" s="248"/>
      <c r="I71" s="245"/>
      <c r="J71" s="248"/>
      <c r="K71" s="248"/>
      <c r="L71" s="248"/>
      <c r="M71" s="248"/>
      <c r="N71" s="248"/>
      <c r="O71" s="5"/>
      <c r="Q71" s="5"/>
      <c r="R71" s="5"/>
      <c r="W71" s="76"/>
      <c r="X71" s="76"/>
      <c r="Y71" s="76"/>
      <c r="Z71" s="76"/>
    </row>
    <row r="72" spans="2:26">
      <c r="B72" s="41"/>
      <c r="C72" s="5"/>
      <c r="D72" s="5"/>
      <c r="E72" s="5"/>
      <c r="F72" s="5"/>
      <c r="G72" s="5"/>
      <c r="H72" s="5"/>
      <c r="I72" s="18"/>
      <c r="J72" s="5"/>
      <c r="K72" s="5"/>
      <c r="L72" s="5"/>
      <c r="M72" s="5"/>
      <c r="N72" s="5"/>
      <c r="O72" s="5"/>
      <c r="Q72" s="5"/>
      <c r="R72" s="5"/>
      <c r="Y72" s="76"/>
      <c r="Z72" s="76"/>
    </row>
    <row r="73" spans="2:26">
      <c r="B73" s="41"/>
      <c r="C73" s="245"/>
      <c r="D73" s="245"/>
      <c r="E73" s="245"/>
      <c r="F73" s="245"/>
      <c r="G73" s="245"/>
      <c r="H73" s="245"/>
      <c r="I73" s="5"/>
      <c r="J73" s="245"/>
      <c r="K73" s="245"/>
      <c r="L73" s="245"/>
      <c r="M73" s="245"/>
      <c r="N73" s="245"/>
      <c r="O73" s="251"/>
      <c r="Q73" s="5"/>
      <c r="R73" s="5"/>
    </row>
    <row r="74" spans="2:26">
      <c r="B74" s="5"/>
      <c r="C74" s="5"/>
      <c r="D74" s="18"/>
      <c r="E74" s="18"/>
      <c r="F74" s="18"/>
      <c r="G74" s="18"/>
      <c r="H74" s="18"/>
      <c r="I74" s="249"/>
      <c r="J74" s="18"/>
      <c r="K74" s="18"/>
      <c r="L74" s="18"/>
      <c r="M74" s="18"/>
      <c r="N74" s="18"/>
      <c r="O74" s="5"/>
      <c r="Q74" s="5"/>
      <c r="R74" s="5"/>
    </row>
    <row r="75" spans="2:26">
      <c r="B75" s="41"/>
      <c r="C75" s="5"/>
      <c r="D75" s="5"/>
      <c r="E75" s="5"/>
      <c r="F75" s="5"/>
      <c r="G75" s="5"/>
      <c r="H75" s="5"/>
      <c r="I75" s="248"/>
      <c r="J75" s="5"/>
      <c r="K75" s="5"/>
      <c r="L75" s="5"/>
      <c r="M75" s="5"/>
      <c r="N75" s="5"/>
      <c r="O75" s="5"/>
      <c r="Q75" s="5"/>
      <c r="R75" s="5"/>
    </row>
    <row r="76" spans="2:26">
      <c r="B76" s="41"/>
      <c r="C76" s="249"/>
      <c r="D76" s="249"/>
      <c r="E76" s="249"/>
      <c r="F76" s="249"/>
      <c r="G76" s="249"/>
      <c r="H76" s="249"/>
      <c r="I76" s="5"/>
      <c r="J76" s="249"/>
      <c r="K76" s="249"/>
      <c r="L76" s="249"/>
      <c r="M76" s="249"/>
      <c r="N76" s="249"/>
      <c r="O76" s="251"/>
      <c r="Q76" s="5"/>
      <c r="R76" s="5"/>
    </row>
    <row r="77" spans="2:26">
      <c r="B77" s="5"/>
      <c r="C77" s="5"/>
      <c r="D77" s="248"/>
      <c r="E77" s="248"/>
      <c r="F77" s="248"/>
      <c r="G77" s="248"/>
      <c r="H77" s="248"/>
      <c r="I77" s="245"/>
      <c r="J77" s="248"/>
      <c r="K77" s="248"/>
      <c r="L77" s="248"/>
      <c r="M77" s="248"/>
      <c r="N77" s="248"/>
      <c r="O77" s="5"/>
      <c r="Q77" s="5"/>
      <c r="R77" s="5"/>
    </row>
    <row r="78" spans="2:26">
      <c r="B78" s="41"/>
      <c r="C78" s="5"/>
      <c r="D78" s="5"/>
      <c r="E78" s="5"/>
      <c r="F78" s="5"/>
      <c r="G78" s="5"/>
      <c r="H78" s="5"/>
      <c r="I78" s="248"/>
      <c r="J78" s="5"/>
      <c r="K78" s="5"/>
      <c r="L78" s="5"/>
      <c r="M78" s="5"/>
      <c r="N78" s="5"/>
      <c r="O78" s="5"/>
      <c r="Q78" s="5"/>
      <c r="R78" s="5"/>
    </row>
    <row r="79" spans="2:26">
      <c r="B79" s="41"/>
      <c r="C79" s="245"/>
      <c r="D79" s="245"/>
      <c r="E79" s="245"/>
      <c r="F79" s="245"/>
      <c r="G79" s="245"/>
      <c r="H79" s="245"/>
      <c r="I79" s="5"/>
      <c r="J79" s="245"/>
      <c r="K79" s="245"/>
      <c r="L79" s="245"/>
      <c r="M79" s="245"/>
      <c r="N79" s="245"/>
      <c r="O79" s="251"/>
      <c r="Q79" s="5"/>
      <c r="R79" s="5"/>
    </row>
    <row r="80" spans="2:26">
      <c r="B80" s="5"/>
      <c r="C80" s="5"/>
      <c r="D80" s="248"/>
      <c r="E80" s="248"/>
      <c r="F80" s="248"/>
      <c r="G80" s="248"/>
      <c r="H80" s="248"/>
      <c r="I80" s="249"/>
      <c r="J80" s="248"/>
      <c r="K80" s="248"/>
      <c r="L80" s="248"/>
      <c r="M80" s="248"/>
      <c r="N80" s="248"/>
      <c r="O80" s="5"/>
      <c r="Q80" s="5"/>
      <c r="R80" s="5"/>
    </row>
    <row r="81" spans="2:26">
      <c r="B81" s="41"/>
      <c r="C81" s="5"/>
      <c r="D81" s="5"/>
      <c r="E81" s="5"/>
      <c r="F81" s="5"/>
      <c r="G81" s="5"/>
      <c r="H81" s="5"/>
      <c r="I81" s="248"/>
      <c r="J81" s="5"/>
      <c r="K81" s="5"/>
      <c r="L81" s="5"/>
      <c r="M81" s="5"/>
      <c r="N81" s="5"/>
      <c r="O81" s="5"/>
      <c r="Q81" s="5"/>
      <c r="R81" s="5"/>
    </row>
    <row r="82" spans="2:26">
      <c r="B82" s="41"/>
      <c r="C82" s="249"/>
      <c r="D82" s="249"/>
      <c r="E82" s="249"/>
      <c r="F82" s="249"/>
      <c r="G82" s="249"/>
      <c r="H82" s="249"/>
      <c r="I82" s="259"/>
      <c r="J82" s="249"/>
      <c r="K82" s="249"/>
      <c r="L82" s="249"/>
      <c r="M82" s="249"/>
      <c r="N82" s="249"/>
      <c r="O82" s="251"/>
      <c r="Q82" s="5"/>
      <c r="R82" s="5"/>
    </row>
    <row r="83" spans="2:26">
      <c r="B83" s="5"/>
      <c r="C83" s="5"/>
      <c r="D83" s="248"/>
      <c r="E83" s="248"/>
      <c r="F83" s="248"/>
      <c r="G83" s="248"/>
      <c r="H83" s="248"/>
      <c r="I83" s="5"/>
      <c r="J83" s="248"/>
      <c r="K83" s="248"/>
      <c r="L83" s="248"/>
      <c r="M83" s="248"/>
      <c r="N83" s="248"/>
      <c r="O83" s="5"/>
      <c r="Q83" s="5"/>
      <c r="R83" s="5"/>
    </row>
    <row r="84" spans="2:26">
      <c r="B84" s="5"/>
      <c r="C84" s="259"/>
      <c r="D84" s="259"/>
      <c r="E84" s="259"/>
      <c r="F84" s="259"/>
      <c r="G84" s="259"/>
      <c r="H84" s="259"/>
      <c r="I84" s="245"/>
      <c r="J84" s="259"/>
      <c r="K84" s="259"/>
      <c r="L84" s="259"/>
      <c r="M84" s="259"/>
      <c r="N84" s="259"/>
      <c r="O84" s="251"/>
      <c r="Q84" s="5"/>
      <c r="R84" s="5"/>
    </row>
    <row r="85" spans="2:26">
      <c r="B85" s="41"/>
      <c r="C85" s="5"/>
      <c r="D85" s="5"/>
      <c r="E85" s="5"/>
      <c r="F85" s="5"/>
      <c r="G85" s="5"/>
      <c r="H85" s="5"/>
      <c r="I85" s="248"/>
      <c r="J85" s="5"/>
      <c r="K85" s="5"/>
      <c r="L85" s="5"/>
      <c r="M85" s="5"/>
      <c r="N85" s="5"/>
      <c r="O85" s="5"/>
      <c r="Q85" s="5"/>
      <c r="R85" s="5"/>
    </row>
    <row r="86" spans="2:26">
      <c r="B86" s="41"/>
      <c r="C86" s="245"/>
      <c r="D86" s="245"/>
      <c r="E86" s="245"/>
      <c r="F86" s="245"/>
      <c r="G86" s="245"/>
      <c r="H86" s="245"/>
      <c r="I86" s="5"/>
      <c r="J86" s="245"/>
      <c r="K86" s="245"/>
      <c r="L86" s="245"/>
      <c r="M86" s="245"/>
      <c r="N86" s="245"/>
      <c r="O86" s="251"/>
      <c r="Q86" s="5"/>
      <c r="R86" s="5"/>
    </row>
    <row r="87" spans="2:26">
      <c r="B87" s="5"/>
      <c r="C87" s="5"/>
      <c r="D87" s="248"/>
      <c r="E87" s="248"/>
      <c r="F87" s="248"/>
      <c r="G87" s="248"/>
      <c r="H87" s="248"/>
      <c r="I87" s="5"/>
      <c r="J87" s="248"/>
      <c r="K87" s="248"/>
      <c r="L87" s="248"/>
      <c r="M87" s="248"/>
      <c r="N87" s="248"/>
      <c r="O87" s="5"/>
      <c r="Q87" s="5"/>
      <c r="R87" s="5"/>
    </row>
    <row r="88" spans="2:26">
      <c r="B88" s="41"/>
      <c r="C88" s="5"/>
      <c r="D88" s="5"/>
      <c r="E88" s="5"/>
      <c r="F88" s="5"/>
      <c r="G88" s="5"/>
      <c r="H88" s="5"/>
      <c r="I88" s="5"/>
      <c r="J88" s="5"/>
      <c r="K88" s="5"/>
      <c r="L88" s="5"/>
      <c r="M88" s="5"/>
      <c r="N88" s="5"/>
      <c r="O88" s="5"/>
      <c r="Q88" s="5"/>
      <c r="R88" s="5"/>
    </row>
    <row r="89" spans="2:26">
      <c r="B89" s="41"/>
      <c r="C89" s="5"/>
      <c r="D89" s="5"/>
      <c r="E89" s="5"/>
      <c r="F89" s="5"/>
      <c r="G89" s="5"/>
      <c r="H89" s="5"/>
      <c r="I89" s="5"/>
      <c r="J89" s="5"/>
      <c r="K89" s="5"/>
      <c r="L89" s="5"/>
      <c r="M89" s="5"/>
      <c r="N89" s="5"/>
      <c r="O89" s="5"/>
      <c r="Q89" s="5"/>
      <c r="R89" s="5"/>
    </row>
    <row r="90" spans="2:26">
      <c r="B90" s="41"/>
      <c r="C90" s="5"/>
      <c r="D90" s="5"/>
      <c r="E90" s="5"/>
      <c r="F90" s="5"/>
      <c r="G90" s="5"/>
      <c r="H90" s="5"/>
      <c r="I90" s="49"/>
      <c r="J90" s="5"/>
      <c r="K90" s="5"/>
      <c r="L90" s="5"/>
      <c r="M90" s="5"/>
      <c r="N90" s="5"/>
      <c r="O90" s="5"/>
      <c r="Q90" s="41"/>
      <c r="R90" s="5"/>
    </row>
    <row r="91" spans="2:26">
      <c r="B91" s="5"/>
      <c r="C91" s="5"/>
      <c r="D91" s="5"/>
      <c r="E91" s="5"/>
      <c r="F91" s="5"/>
      <c r="G91" s="5"/>
      <c r="H91" s="5"/>
      <c r="I91" s="5"/>
      <c r="J91" s="5"/>
      <c r="K91" s="5"/>
      <c r="L91" s="5"/>
      <c r="M91" s="5"/>
      <c r="N91" s="5"/>
      <c r="O91" s="5"/>
      <c r="Q91" s="5"/>
      <c r="R91" s="5"/>
    </row>
    <row r="92" spans="2:26">
      <c r="B92" s="41"/>
      <c r="C92" s="49"/>
      <c r="D92" s="49"/>
      <c r="E92" s="49"/>
      <c r="F92" s="49"/>
      <c r="G92" s="49"/>
      <c r="H92" s="49"/>
      <c r="I92" s="247"/>
      <c r="J92" s="49"/>
      <c r="K92" s="49"/>
      <c r="L92" s="49"/>
      <c r="M92" s="49"/>
      <c r="N92" s="49"/>
      <c r="O92" s="49"/>
      <c r="Q92" s="5"/>
      <c r="R92" s="5"/>
      <c r="W92" s="21"/>
      <c r="X92" s="21"/>
    </row>
    <row r="93" spans="2:26">
      <c r="B93" s="5"/>
      <c r="C93" s="5"/>
      <c r="D93" s="5"/>
      <c r="E93" s="5"/>
      <c r="F93" s="5"/>
      <c r="G93" s="5"/>
      <c r="H93" s="5"/>
      <c r="I93" s="247"/>
      <c r="J93" s="5"/>
      <c r="K93" s="5"/>
      <c r="L93" s="5"/>
      <c r="M93" s="5"/>
      <c r="N93" s="5"/>
      <c r="O93" s="5"/>
      <c r="Q93" s="5"/>
      <c r="R93" s="5"/>
      <c r="W93" s="21"/>
      <c r="X93" s="21"/>
      <c r="Y93" s="21"/>
      <c r="Z93" s="21"/>
    </row>
    <row r="94" spans="2:26">
      <c r="B94" s="5"/>
      <c r="C94" s="259"/>
      <c r="D94" s="247"/>
      <c r="E94" s="247"/>
      <c r="F94" s="247"/>
      <c r="G94" s="247"/>
      <c r="H94" s="247"/>
      <c r="I94" s="247"/>
      <c r="J94" s="247"/>
      <c r="K94" s="247"/>
      <c r="L94" s="247"/>
      <c r="M94" s="247"/>
      <c r="N94" s="247"/>
      <c r="O94" s="248"/>
      <c r="Q94" s="5"/>
      <c r="R94" s="5"/>
      <c r="Y94" s="21"/>
      <c r="Z94" s="21"/>
    </row>
    <row r="95" spans="2:26">
      <c r="B95" s="5"/>
      <c r="C95" s="259"/>
      <c r="D95" s="247"/>
      <c r="E95" s="247"/>
      <c r="F95" s="247"/>
      <c r="G95" s="247"/>
      <c r="H95" s="247"/>
      <c r="I95" s="248"/>
      <c r="J95" s="247"/>
      <c r="K95" s="247"/>
      <c r="L95" s="247"/>
      <c r="M95" s="247"/>
      <c r="N95" s="247"/>
      <c r="O95" s="248"/>
      <c r="Q95" s="5"/>
      <c r="R95" s="5"/>
    </row>
    <row r="96" spans="2:26">
      <c r="B96" s="5"/>
      <c r="C96" s="259"/>
      <c r="D96" s="247"/>
      <c r="E96" s="247"/>
      <c r="F96" s="247"/>
      <c r="G96" s="247"/>
      <c r="H96" s="247"/>
      <c r="I96" s="247"/>
      <c r="J96" s="247"/>
      <c r="K96" s="247"/>
      <c r="L96" s="247"/>
      <c r="M96" s="247"/>
      <c r="N96" s="247"/>
      <c r="O96" s="248"/>
      <c r="Q96" s="5"/>
      <c r="R96" s="5"/>
    </row>
    <row r="97" spans="2:18">
      <c r="B97" s="5"/>
      <c r="C97" s="259"/>
      <c r="D97" s="248"/>
      <c r="E97" s="248"/>
      <c r="F97" s="248"/>
      <c r="G97" s="248"/>
      <c r="H97" s="248"/>
      <c r="I97" s="249"/>
      <c r="J97" s="248"/>
      <c r="K97" s="248"/>
      <c r="L97" s="248"/>
      <c r="M97" s="248"/>
      <c r="N97" s="248"/>
      <c r="O97" s="248"/>
      <c r="Q97" s="5"/>
      <c r="R97" s="5"/>
    </row>
    <row r="98" spans="2:18">
      <c r="B98" s="5"/>
      <c r="C98" s="259"/>
      <c r="D98" s="247"/>
      <c r="E98" s="247"/>
      <c r="F98" s="247"/>
      <c r="G98" s="247"/>
      <c r="H98" s="247"/>
      <c r="I98" s="248"/>
      <c r="J98" s="247"/>
      <c r="K98" s="247"/>
      <c r="L98" s="247"/>
      <c r="M98" s="247"/>
      <c r="N98" s="247"/>
      <c r="O98" s="248"/>
      <c r="Q98" s="5"/>
      <c r="R98" s="5"/>
    </row>
    <row r="99" spans="2:18">
      <c r="B99" s="41"/>
      <c r="C99" s="249"/>
      <c r="D99" s="249"/>
      <c r="E99" s="249"/>
      <c r="F99" s="249"/>
      <c r="G99" s="249"/>
      <c r="H99" s="249"/>
      <c r="I99" s="5"/>
      <c r="J99" s="249"/>
      <c r="K99" s="249"/>
      <c r="L99" s="249"/>
      <c r="M99" s="249"/>
      <c r="N99" s="249"/>
      <c r="O99" s="248"/>
      <c r="Q99" s="5"/>
      <c r="R99" s="5"/>
    </row>
    <row r="100" spans="2:18">
      <c r="B100" s="41"/>
      <c r="C100" s="257"/>
      <c r="D100" s="248"/>
      <c r="E100" s="248"/>
      <c r="F100" s="248"/>
      <c r="G100" s="248"/>
      <c r="H100" s="248"/>
      <c r="I100" s="259"/>
      <c r="J100" s="248"/>
      <c r="K100" s="248"/>
      <c r="L100" s="248"/>
      <c r="M100" s="248"/>
      <c r="N100" s="248"/>
      <c r="O100" s="248"/>
      <c r="Q100" s="5"/>
      <c r="R100" s="5"/>
    </row>
    <row r="101" spans="2:18" s="5" customFormat="1">
      <c r="B101" s="41"/>
      <c r="I101" s="259"/>
      <c r="O101" s="248"/>
      <c r="P101" s="39"/>
    </row>
    <row r="102" spans="2:18">
      <c r="B102" s="5"/>
      <c r="C102" s="259"/>
      <c r="D102" s="259"/>
      <c r="E102" s="259"/>
      <c r="F102" s="259"/>
      <c r="G102" s="259"/>
      <c r="H102" s="259"/>
      <c r="I102" s="247"/>
      <c r="J102" s="259"/>
      <c r="K102" s="259"/>
      <c r="L102" s="259"/>
      <c r="M102" s="259"/>
      <c r="N102" s="259"/>
      <c r="O102" s="5"/>
      <c r="Q102" s="5"/>
      <c r="R102" s="5"/>
    </row>
    <row r="103" spans="2:18">
      <c r="B103" s="5"/>
      <c r="C103" s="259"/>
      <c r="D103" s="259"/>
      <c r="E103" s="259"/>
      <c r="F103" s="259"/>
      <c r="G103" s="259"/>
      <c r="H103" s="259"/>
      <c r="I103" s="5"/>
      <c r="J103" s="259"/>
      <c r="K103" s="259"/>
      <c r="L103" s="259"/>
      <c r="M103" s="259"/>
      <c r="N103" s="259"/>
      <c r="O103" s="5"/>
      <c r="P103" s="5"/>
      <c r="Q103" s="5"/>
      <c r="R103" s="5"/>
    </row>
    <row r="104" spans="2:18">
      <c r="B104" s="5"/>
      <c r="C104" s="247"/>
      <c r="D104" s="247"/>
      <c r="E104" s="247"/>
      <c r="F104" s="247"/>
      <c r="G104" s="247"/>
      <c r="H104" s="247"/>
      <c r="I104" s="247"/>
      <c r="J104" s="247"/>
      <c r="K104" s="247"/>
      <c r="L104" s="247"/>
      <c r="M104" s="247"/>
      <c r="N104" s="247"/>
      <c r="O104" s="5"/>
      <c r="Q104" s="5"/>
      <c r="R104" s="5"/>
    </row>
    <row r="105" spans="2:18" s="5" customFormat="1">
      <c r="P105" s="39"/>
    </row>
    <row r="106" spans="2:18" s="5" customFormat="1">
      <c r="C106" s="259"/>
      <c r="D106" s="247"/>
      <c r="E106" s="247"/>
      <c r="F106" s="247"/>
      <c r="G106" s="247"/>
      <c r="H106" s="247"/>
      <c r="I106" s="259"/>
      <c r="J106" s="247"/>
      <c r="K106" s="247"/>
      <c r="L106" s="247"/>
      <c r="M106" s="247"/>
      <c r="N106" s="247"/>
      <c r="P106" s="39"/>
    </row>
    <row r="107" spans="2:18">
      <c r="B107" s="5"/>
      <c r="C107" s="259"/>
      <c r="D107" s="5"/>
      <c r="E107" s="5"/>
      <c r="F107" s="5"/>
      <c r="G107" s="5"/>
      <c r="H107" s="5"/>
      <c r="I107" s="247"/>
      <c r="J107" s="5"/>
      <c r="K107" s="5"/>
      <c r="L107" s="5"/>
      <c r="M107" s="5"/>
      <c r="N107" s="5"/>
      <c r="O107" s="5"/>
      <c r="P107" s="5"/>
      <c r="Q107" s="5"/>
      <c r="R107" s="5"/>
    </row>
    <row r="108" spans="2:18">
      <c r="B108" s="5"/>
      <c r="C108" s="259"/>
      <c r="D108" s="259"/>
      <c r="E108" s="259"/>
      <c r="F108" s="259"/>
      <c r="G108" s="259"/>
      <c r="H108" s="259"/>
      <c r="I108" s="249"/>
      <c r="J108" s="259"/>
      <c r="K108" s="259"/>
      <c r="L108" s="259"/>
      <c r="M108" s="259"/>
      <c r="N108" s="259"/>
      <c r="O108" s="5"/>
      <c r="P108" s="5"/>
      <c r="Q108" s="5"/>
      <c r="R108" s="5"/>
    </row>
    <row r="109" spans="2:18">
      <c r="B109" s="5"/>
      <c r="C109" s="247"/>
      <c r="D109" s="247"/>
      <c r="E109" s="247"/>
      <c r="F109" s="247"/>
      <c r="G109" s="247"/>
      <c r="H109" s="247"/>
      <c r="I109" s="249"/>
      <c r="J109" s="247"/>
      <c r="K109" s="247"/>
      <c r="L109" s="247"/>
      <c r="M109" s="247"/>
      <c r="N109" s="247"/>
      <c r="O109" s="5"/>
      <c r="Q109" s="5"/>
      <c r="R109" s="5"/>
    </row>
    <row r="110" spans="2:18">
      <c r="B110" s="41"/>
      <c r="C110" s="249"/>
      <c r="D110" s="249"/>
      <c r="E110" s="249"/>
      <c r="F110" s="249"/>
      <c r="G110" s="249"/>
      <c r="H110" s="249"/>
      <c r="I110" s="247"/>
      <c r="J110" s="249"/>
      <c r="K110" s="249"/>
      <c r="L110" s="249"/>
      <c r="M110" s="249"/>
      <c r="N110" s="249"/>
      <c r="O110" s="5"/>
      <c r="Q110" s="5"/>
      <c r="R110" s="5"/>
    </row>
    <row r="111" spans="2:18">
      <c r="B111" s="5"/>
      <c r="C111" s="249"/>
      <c r="D111" s="249"/>
      <c r="E111" s="249"/>
      <c r="F111" s="249"/>
      <c r="G111" s="249"/>
      <c r="H111" s="249"/>
      <c r="I111" s="5"/>
      <c r="J111" s="249"/>
      <c r="K111" s="249"/>
      <c r="L111" s="249"/>
      <c r="M111" s="249"/>
      <c r="N111" s="249"/>
      <c r="O111" s="5"/>
      <c r="Q111" s="5"/>
      <c r="R111" s="5"/>
    </row>
    <row r="112" spans="2:18">
      <c r="B112" s="5"/>
      <c r="C112" s="247"/>
      <c r="D112" s="247"/>
      <c r="E112" s="247"/>
      <c r="F112" s="247"/>
      <c r="G112" s="247"/>
      <c r="H112" s="247"/>
      <c r="I112" s="5"/>
      <c r="J112" s="247"/>
      <c r="K112" s="247"/>
      <c r="L112" s="247"/>
      <c r="M112" s="247"/>
      <c r="N112" s="247"/>
      <c r="O112" s="5"/>
      <c r="Q112" s="5"/>
      <c r="R112" s="5"/>
    </row>
    <row r="113" spans="2:18">
      <c r="B113" s="5"/>
      <c r="C113" s="5"/>
      <c r="D113" s="5"/>
      <c r="E113" s="5"/>
      <c r="F113" s="5"/>
      <c r="G113" s="5"/>
      <c r="H113" s="5"/>
      <c r="I113" s="5"/>
      <c r="J113" s="5"/>
      <c r="K113" s="5"/>
      <c r="L113" s="5"/>
      <c r="M113" s="5"/>
      <c r="N113" s="5"/>
      <c r="O113" s="5"/>
      <c r="Q113" s="5"/>
      <c r="R113" s="5"/>
    </row>
    <row r="114" spans="2:18">
      <c r="B114" s="5"/>
      <c r="C114" s="5"/>
      <c r="D114" s="5"/>
      <c r="E114" s="5"/>
      <c r="F114" s="5"/>
      <c r="G114" s="5"/>
      <c r="H114" s="5"/>
      <c r="I114" s="5"/>
      <c r="J114" s="5"/>
      <c r="K114" s="5"/>
      <c r="L114" s="5"/>
      <c r="M114" s="5"/>
      <c r="N114" s="5"/>
      <c r="O114" s="5"/>
      <c r="Q114" s="5"/>
      <c r="R114" s="5"/>
    </row>
    <row r="115" spans="2:18">
      <c r="B115" s="5"/>
      <c r="C115" s="5"/>
      <c r="D115" s="5"/>
      <c r="E115" s="5"/>
      <c r="F115" s="5"/>
      <c r="G115" s="5"/>
      <c r="H115" s="5"/>
      <c r="I115" s="49"/>
      <c r="J115" s="5"/>
      <c r="K115" s="5"/>
      <c r="L115" s="5"/>
      <c r="M115" s="5"/>
      <c r="N115" s="5"/>
      <c r="O115" s="5"/>
      <c r="Q115" s="41"/>
      <c r="R115" s="5"/>
    </row>
    <row r="116" spans="2:18">
      <c r="B116" s="5"/>
      <c r="C116" s="5"/>
      <c r="D116" s="5"/>
      <c r="E116" s="5"/>
      <c r="F116" s="5"/>
      <c r="G116" s="5"/>
      <c r="H116" s="5"/>
      <c r="I116" s="5"/>
      <c r="J116" s="5"/>
      <c r="K116" s="5"/>
      <c r="L116" s="5"/>
      <c r="M116" s="5"/>
      <c r="N116" s="5"/>
      <c r="O116" s="5"/>
      <c r="Q116" s="5"/>
      <c r="R116" s="5"/>
    </row>
    <row r="117" spans="2:18">
      <c r="B117" s="41"/>
      <c r="C117" s="49"/>
      <c r="D117" s="49"/>
      <c r="E117" s="49"/>
      <c r="F117" s="49"/>
      <c r="G117" s="49"/>
      <c r="H117" s="49"/>
      <c r="I117" s="254"/>
      <c r="J117" s="49"/>
      <c r="K117" s="49"/>
      <c r="L117" s="49"/>
      <c r="M117" s="49"/>
      <c r="N117" s="49"/>
      <c r="O117" s="49"/>
      <c r="Q117" s="5"/>
      <c r="R117" s="5"/>
    </row>
    <row r="118" spans="2:18">
      <c r="B118" s="5"/>
      <c r="C118" s="5"/>
      <c r="D118" s="5"/>
      <c r="E118" s="5"/>
      <c r="F118" s="5"/>
      <c r="G118" s="5"/>
      <c r="H118" s="5"/>
      <c r="I118" s="249"/>
      <c r="J118" s="5"/>
      <c r="K118" s="5"/>
      <c r="L118" s="5"/>
      <c r="M118" s="5"/>
      <c r="N118" s="5"/>
      <c r="O118" s="5"/>
      <c r="Q118" s="5"/>
      <c r="R118" s="5"/>
    </row>
    <row r="119" spans="2:18">
      <c r="B119" s="41"/>
      <c r="C119" s="254"/>
      <c r="D119" s="254"/>
      <c r="E119" s="254"/>
      <c r="F119" s="254"/>
      <c r="G119" s="254"/>
      <c r="H119" s="254"/>
      <c r="I119" s="254"/>
      <c r="J119" s="254"/>
      <c r="K119" s="254"/>
      <c r="L119" s="254"/>
      <c r="M119" s="254"/>
      <c r="N119" s="254"/>
      <c r="O119" s="248"/>
      <c r="Q119" s="5"/>
      <c r="R119" s="5"/>
    </row>
    <row r="120" spans="2:18">
      <c r="B120" s="41"/>
      <c r="C120" s="254"/>
      <c r="D120" s="249"/>
      <c r="E120" s="249"/>
      <c r="F120" s="249"/>
      <c r="G120" s="249"/>
      <c r="H120" s="249"/>
      <c r="I120" s="254"/>
      <c r="J120" s="249"/>
      <c r="K120" s="249"/>
      <c r="L120" s="249"/>
      <c r="M120" s="249"/>
      <c r="N120" s="249"/>
      <c r="O120" s="248"/>
      <c r="Q120" s="5"/>
      <c r="R120" s="5"/>
    </row>
    <row r="121" spans="2:18">
      <c r="B121" s="41"/>
      <c r="C121" s="254"/>
      <c r="D121" s="254"/>
      <c r="E121" s="254"/>
      <c r="F121" s="254"/>
      <c r="G121" s="254"/>
      <c r="H121" s="254"/>
      <c r="I121" s="254"/>
      <c r="J121" s="254"/>
      <c r="K121" s="254"/>
      <c r="L121" s="254"/>
      <c r="M121" s="254"/>
      <c r="N121" s="254"/>
      <c r="O121" s="248"/>
      <c r="Q121" s="5"/>
      <c r="R121" s="5"/>
    </row>
    <row r="122" spans="2:18">
      <c r="B122" s="41"/>
      <c r="C122" s="254"/>
      <c r="D122" s="254"/>
      <c r="E122" s="254"/>
      <c r="F122" s="254"/>
      <c r="G122" s="254"/>
      <c r="H122" s="254"/>
      <c r="I122" s="254"/>
      <c r="J122" s="254"/>
      <c r="K122" s="254"/>
      <c r="L122" s="254"/>
      <c r="M122" s="254"/>
      <c r="N122" s="254"/>
      <c r="O122" s="248"/>
      <c r="Q122" s="5"/>
      <c r="R122" s="5"/>
    </row>
    <row r="123" spans="2:18">
      <c r="B123" s="41"/>
      <c r="C123" s="254"/>
      <c r="D123" s="254"/>
      <c r="E123" s="254"/>
      <c r="F123" s="254"/>
      <c r="G123" s="254"/>
      <c r="H123" s="254"/>
      <c r="I123" s="254"/>
      <c r="J123" s="254"/>
      <c r="K123" s="254"/>
      <c r="L123" s="254"/>
      <c r="M123" s="254"/>
      <c r="N123" s="254"/>
      <c r="O123" s="248"/>
      <c r="Q123" s="5"/>
      <c r="R123" s="5"/>
    </row>
    <row r="124" spans="2:18">
      <c r="B124" s="41"/>
      <c r="C124" s="254"/>
      <c r="D124" s="254"/>
      <c r="E124" s="254"/>
      <c r="F124" s="254"/>
      <c r="G124" s="254"/>
      <c r="H124" s="254"/>
      <c r="I124" s="254"/>
      <c r="J124" s="254"/>
      <c r="K124" s="254"/>
      <c r="L124" s="254"/>
      <c r="M124" s="254"/>
      <c r="N124" s="254"/>
      <c r="O124" s="248"/>
      <c r="Q124" s="5"/>
      <c r="R124" s="5"/>
    </row>
    <row r="125" spans="2:18">
      <c r="B125" s="41"/>
      <c r="C125" s="254"/>
      <c r="D125" s="254"/>
      <c r="E125" s="254"/>
      <c r="F125" s="254"/>
      <c r="G125" s="254"/>
      <c r="H125" s="254"/>
      <c r="I125" s="254"/>
      <c r="J125" s="254"/>
      <c r="K125" s="254"/>
      <c r="L125" s="254"/>
      <c r="M125" s="254"/>
      <c r="N125" s="254"/>
      <c r="O125" s="5"/>
      <c r="Q125" s="5"/>
      <c r="R125" s="5"/>
    </row>
    <row r="126" spans="2:18">
      <c r="B126" s="41"/>
      <c r="C126" s="254"/>
      <c r="D126" s="254"/>
      <c r="E126" s="254"/>
      <c r="F126" s="254"/>
      <c r="G126" s="254"/>
      <c r="H126" s="254"/>
      <c r="I126" s="254"/>
      <c r="J126" s="254"/>
      <c r="K126" s="254"/>
      <c r="L126" s="254"/>
      <c r="M126" s="254"/>
      <c r="N126" s="254"/>
      <c r="O126" s="5"/>
      <c r="Q126" s="5"/>
      <c r="R126" s="5"/>
    </row>
    <row r="127" spans="2:18">
      <c r="B127" s="41"/>
      <c r="C127" s="254"/>
      <c r="D127" s="254"/>
      <c r="E127" s="254"/>
      <c r="F127" s="254"/>
      <c r="G127" s="254"/>
      <c r="H127" s="254"/>
      <c r="I127" s="18"/>
      <c r="J127" s="254"/>
      <c r="K127" s="254"/>
      <c r="L127" s="254"/>
      <c r="M127" s="254"/>
      <c r="N127" s="254"/>
      <c r="O127" s="5"/>
      <c r="Q127" s="5"/>
      <c r="R127" s="5"/>
    </row>
    <row r="128" spans="2:18">
      <c r="B128" s="41"/>
      <c r="C128" s="254"/>
      <c r="D128" s="254"/>
      <c r="E128" s="254"/>
      <c r="F128" s="254"/>
      <c r="G128" s="254"/>
      <c r="H128" s="254"/>
      <c r="I128" s="5"/>
      <c r="J128" s="254"/>
      <c r="K128" s="254"/>
      <c r="L128" s="254"/>
      <c r="M128" s="254"/>
      <c r="N128" s="254"/>
      <c r="O128" s="5"/>
      <c r="Q128" s="5"/>
      <c r="R128" s="5"/>
    </row>
    <row r="129" spans="2:27">
      <c r="B129" s="5"/>
      <c r="C129" s="5"/>
      <c r="D129" s="18"/>
      <c r="E129" s="18"/>
      <c r="F129" s="18"/>
      <c r="G129" s="18"/>
      <c r="H129" s="18"/>
      <c r="I129" s="254"/>
      <c r="J129" s="18"/>
      <c r="K129" s="18"/>
      <c r="L129" s="18"/>
      <c r="M129" s="18"/>
      <c r="N129" s="18"/>
      <c r="O129" s="5"/>
      <c r="Q129" s="5"/>
      <c r="R129" s="5"/>
    </row>
    <row r="130" spans="2:27">
      <c r="B130" s="5"/>
      <c r="C130" s="5"/>
      <c r="D130" s="5"/>
      <c r="E130" s="5"/>
      <c r="F130" s="5"/>
      <c r="G130" s="5"/>
      <c r="H130" s="5"/>
      <c r="I130" s="18"/>
      <c r="J130" s="5"/>
      <c r="K130" s="5"/>
      <c r="L130" s="5"/>
      <c r="M130" s="5"/>
      <c r="N130" s="5"/>
      <c r="O130" s="5"/>
      <c r="Q130" s="5"/>
      <c r="R130" s="5"/>
    </row>
    <row r="131" spans="2:27">
      <c r="B131" s="41"/>
      <c r="C131" s="254"/>
      <c r="D131" s="254"/>
      <c r="E131" s="254"/>
      <c r="F131" s="254"/>
      <c r="G131" s="254"/>
      <c r="H131" s="254"/>
      <c r="I131" s="5"/>
      <c r="J131" s="254"/>
      <c r="K131" s="254"/>
      <c r="L131" s="254"/>
      <c r="M131" s="254"/>
      <c r="N131" s="254"/>
      <c r="O131" s="5"/>
      <c r="Q131" s="5"/>
      <c r="R131" s="5"/>
    </row>
    <row r="132" spans="2:27">
      <c r="B132" s="5"/>
      <c r="C132" s="259"/>
      <c r="D132" s="18"/>
      <c r="E132" s="18"/>
      <c r="F132" s="18"/>
      <c r="G132" s="18"/>
      <c r="H132" s="18"/>
      <c r="I132" s="5"/>
      <c r="J132" s="18"/>
      <c r="K132" s="18"/>
      <c r="L132" s="18"/>
      <c r="M132" s="18"/>
      <c r="N132" s="18"/>
      <c r="O132" s="5"/>
      <c r="Q132" s="5"/>
      <c r="R132" s="5"/>
    </row>
    <row r="133" spans="2:27">
      <c r="B133" s="5"/>
      <c r="C133" s="5"/>
      <c r="D133" s="5"/>
      <c r="E133" s="5"/>
      <c r="F133" s="5"/>
      <c r="G133" s="5"/>
      <c r="H133" s="5"/>
      <c r="I133" s="17"/>
      <c r="J133" s="5"/>
      <c r="K133" s="5"/>
      <c r="L133" s="5"/>
      <c r="M133" s="5"/>
      <c r="N133" s="5"/>
      <c r="O133" s="5"/>
      <c r="Q133" s="5"/>
      <c r="R133" s="5"/>
    </row>
    <row r="134" spans="2:27">
      <c r="B134" s="41"/>
      <c r="C134" s="5"/>
      <c r="D134" s="5"/>
      <c r="E134" s="5"/>
      <c r="F134" s="5"/>
      <c r="G134" s="5"/>
      <c r="H134" s="5"/>
      <c r="I134" s="17"/>
      <c r="J134" s="5"/>
      <c r="K134" s="5"/>
      <c r="L134" s="5"/>
      <c r="M134" s="5"/>
      <c r="N134" s="5"/>
      <c r="O134" s="5"/>
      <c r="Q134" s="5"/>
      <c r="R134" s="5"/>
    </row>
    <row r="135" spans="2:27">
      <c r="B135" s="5"/>
      <c r="C135" s="17"/>
      <c r="D135" s="17"/>
      <c r="E135" s="17"/>
      <c r="F135" s="17"/>
      <c r="G135" s="17"/>
      <c r="H135" s="17"/>
      <c r="I135" s="17"/>
      <c r="J135" s="17"/>
      <c r="K135" s="17"/>
      <c r="L135" s="17"/>
      <c r="M135" s="17"/>
      <c r="N135" s="17"/>
      <c r="O135" s="5"/>
      <c r="Q135" s="41"/>
      <c r="R135" s="5"/>
    </row>
    <row r="136" spans="2:27">
      <c r="B136" s="5"/>
      <c r="C136" s="17"/>
      <c r="D136" s="17"/>
      <c r="E136" s="17"/>
      <c r="F136" s="17"/>
      <c r="G136" s="17"/>
      <c r="H136" s="17"/>
      <c r="I136" s="17"/>
      <c r="J136" s="17"/>
      <c r="K136" s="17"/>
      <c r="L136" s="17"/>
      <c r="M136" s="17"/>
      <c r="N136" s="17"/>
      <c r="O136" s="5"/>
      <c r="Q136" s="5"/>
      <c r="R136" s="5"/>
      <c r="X136" s="304"/>
    </row>
    <row r="137" spans="2:27">
      <c r="B137" s="5"/>
      <c r="C137" s="5"/>
      <c r="D137" s="17"/>
      <c r="E137" s="17"/>
      <c r="F137" s="17"/>
      <c r="G137" s="17"/>
      <c r="H137" s="17"/>
      <c r="I137" s="17"/>
      <c r="J137" s="17"/>
      <c r="K137" s="17"/>
      <c r="L137" s="17"/>
      <c r="M137" s="17"/>
      <c r="N137" s="17"/>
      <c r="O137" s="5"/>
      <c r="Q137" s="5"/>
      <c r="R137" s="5"/>
      <c r="X137" s="10"/>
      <c r="Y137" s="304"/>
      <c r="Z137" s="304"/>
      <c r="AA137" s="304"/>
    </row>
    <row r="138" spans="2:27">
      <c r="B138" s="5"/>
      <c r="C138" s="5"/>
      <c r="D138" s="17"/>
      <c r="E138" s="17"/>
      <c r="F138" s="17"/>
      <c r="G138" s="17"/>
      <c r="H138" s="17"/>
      <c r="I138" s="17"/>
      <c r="J138" s="17"/>
      <c r="K138" s="17"/>
      <c r="L138" s="17"/>
      <c r="M138" s="17"/>
      <c r="N138" s="17"/>
      <c r="O138" s="5"/>
      <c r="Q138" s="5"/>
      <c r="R138" s="5"/>
      <c r="Y138" s="10"/>
      <c r="Z138" s="10"/>
      <c r="AA138" s="10"/>
    </row>
    <row r="139" spans="2:27">
      <c r="B139" s="5"/>
      <c r="C139" s="5"/>
      <c r="D139" s="17"/>
      <c r="E139" s="17"/>
      <c r="F139" s="17"/>
      <c r="G139" s="17"/>
      <c r="H139" s="17"/>
      <c r="I139" s="5"/>
      <c r="J139" s="17"/>
      <c r="K139" s="17"/>
      <c r="L139" s="17"/>
      <c r="M139" s="17"/>
      <c r="N139" s="17"/>
      <c r="O139" s="5"/>
      <c r="Q139" s="5"/>
      <c r="R139" s="5"/>
    </row>
    <row r="140" spans="2:27">
      <c r="B140" s="5"/>
      <c r="C140" s="17"/>
      <c r="D140" s="17"/>
      <c r="E140" s="17"/>
      <c r="F140" s="17"/>
      <c r="G140" s="17"/>
      <c r="H140" s="17"/>
      <c r="I140" s="5"/>
      <c r="J140" s="17"/>
      <c r="K140" s="17"/>
      <c r="L140" s="17"/>
      <c r="M140" s="17"/>
      <c r="N140" s="17"/>
      <c r="O140" s="5"/>
      <c r="Q140" s="5"/>
      <c r="R140" s="5"/>
    </row>
    <row r="141" spans="2:27">
      <c r="B141" s="5"/>
      <c r="C141" s="5"/>
      <c r="D141" s="5"/>
      <c r="E141" s="5"/>
      <c r="F141" s="5"/>
      <c r="G141" s="5"/>
      <c r="H141" s="5"/>
      <c r="I141" s="5"/>
      <c r="J141" s="5"/>
      <c r="K141" s="5"/>
      <c r="L141" s="5"/>
      <c r="M141" s="5"/>
      <c r="N141" s="5"/>
      <c r="O141" s="5"/>
      <c r="Q141" s="5"/>
      <c r="R141" s="5"/>
    </row>
    <row r="142" spans="2:27">
      <c r="B142" s="5"/>
      <c r="C142" s="5"/>
      <c r="D142" s="5"/>
      <c r="E142" s="5"/>
      <c r="F142" s="5"/>
      <c r="G142" s="5"/>
      <c r="H142" s="5"/>
      <c r="I142" s="5"/>
      <c r="J142" s="5"/>
      <c r="K142" s="5"/>
      <c r="L142" s="5"/>
      <c r="M142" s="5"/>
      <c r="N142" s="5"/>
      <c r="O142" s="5"/>
      <c r="Q142" s="5"/>
      <c r="R142" s="5"/>
    </row>
    <row r="143" spans="2:27">
      <c r="B143" s="5"/>
      <c r="C143" s="5"/>
      <c r="D143" s="5"/>
      <c r="E143" s="5"/>
      <c r="F143" s="5"/>
      <c r="G143" s="5"/>
      <c r="H143" s="5"/>
      <c r="I143" s="5"/>
      <c r="J143" s="5"/>
      <c r="K143" s="5"/>
      <c r="L143" s="5"/>
      <c r="M143" s="5"/>
      <c r="N143" s="5"/>
      <c r="O143" s="5"/>
      <c r="Q143" s="5"/>
      <c r="R143" s="5"/>
    </row>
    <row r="144" spans="2:27">
      <c r="B144" s="5"/>
      <c r="C144" s="5"/>
      <c r="D144" s="5"/>
      <c r="E144" s="5"/>
      <c r="F144" s="5"/>
      <c r="G144" s="5"/>
      <c r="H144" s="5"/>
      <c r="I144" s="5"/>
      <c r="J144" s="5"/>
      <c r="K144" s="5"/>
      <c r="L144" s="5"/>
      <c r="M144" s="5"/>
      <c r="N144" s="5"/>
      <c r="O144" s="5"/>
      <c r="Q144" s="5"/>
      <c r="R144" s="5"/>
    </row>
    <row r="145" spans="2:18">
      <c r="B145" s="5"/>
      <c r="C145" s="5"/>
      <c r="D145" s="5"/>
      <c r="E145" s="5"/>
      <c r="F145" s="5"/>
      <c r="G145" s="5"/>
      <c r="H145" s="5"/>
      <c r="I145" s="5"/>
      <c r="J145" s="5"/>
      <c r="K145" s="5"/>
      <c r="L145" s="5"/>
      <c r="M145" s="5"/>
      <c r="N145" s="5"/>
      <c r="O145" s="5"/>
      <c r="Q145" s="5"/>
      <c r="R145" s="5"/>
    </row>
    <row r="146" spans="2:18">
      <c r="B146" s="5"/>
      <c r="C146" s="5"/>
      <c r="D146" s="5"/>
      <c r="E146" s="5"/>
      <c r="F146" s="5"/>
      <c r="G146" s="5"/>
      <c r="H146" s="5"/>
      <c r="I146" s="5"/>
      <c r="J146" s="5"/>
      <c r="K146" s="5"/>
      <c r="L146" s="5"/>
      <c r="M146" s="5"/>
      <c r="N146" s="5"/>
      <c r="O146" s="5"/>
      <c r="Q146" s="5"/>
      <c r="R146" s="5"/>
    </row>
    <row r="147" spans="2:18">
      <c r="B147" s="5"/>
      <c r="C147" s="5"/>
      <c r="D147" s="5"/>
      <c r="E147" s="5"/>
      <c r="F147" s="5"/>
      <c r="G147" s="5"/>
      <c r="H147" s="5"/>
      <c r="I147" s="5"/>
      <c r="J147" s="5"/>
      <c r="K147" s="5"/>
      <c r="L147" s="5"/>
      <c r="M147" s="5"/>
      <c r="N147" s="5"/>
      <c r="O147" s="5"/>
      <c r="Q147" s="5"/>
      <c r="R147" s="5"/>
    </row>
    <row r="148" spans="2:18">
      <c r="B148" s="5"/>
      <c r="C148" s="5"/>
      <c r="D148" s="5"/>
      <c r="E148" s="5"/>
      <c r="F148" s="5"/>
      <c r="G148" s="5"/>
      <c r="H148" s="5"/>
      <c r="I148" s="5"/>
      <c r="J148" s="5"/>
      <c r="K148" s="5"/>
      <c r="L148" s="5"/>
      <c r="M148" s="5"/>
      <c r="N148" s="5"/>
      <c r="O148" s="5"/>
      <c r="Q148" s="5"/>
      <c r="R148" s="5"/>
    </row>
    <row r="149" spans="2:18">
      <c r="B149" s="5"/>
      <c r="C149" s="5"/>
      <c r="D149" s="5"/>
      <c r="E149" s="5"/>
      <c r="F149" s="5"/>
      <c r="G149" s="5"/>
      <c r="H149" s="5"/>
      <c r="J149" s="5"/>
      <c r="K149" s="5"/>
      <c r="L149" s="5"/>
      <c r="M149" s="5"/>
      <c r="N149" s="5"/>
      <c r="O149" s="5"/>
      <c r="Q149" s="5"/>
      <c r="R149" s="5"/>
    </row>
    <row r="150" spans="2:18">
      <c r="B150" s="5"/>
      <c r="C150" s="5"/>
      <c r="D150" s="5"/>
      <c r="E150" s="5"/>
      <c r="F150" s="5"/>
      <c r="G150" s="5"/>
      <c r="H150" s="5"/>
      <c r="J150" s="5"/>
      <c r="K150" s="5"/>
      <c r="L150" s="5"/>
      <c r="M150" s="5"/>
      <c r="N150" s="5"/>
      <c r="O150" s="5"/>
      <c r="Q150" s="5"/>
      <c r="R150" s="5"/>
    </row>
    <row r="151" spans="2:18">
      <c r="Q151" s="5"/>
      <c r="R151" s="5"/>
    </row>
    <row r="152" spans="2:18">
      <c r="Q152" s="5"/>
      <c r="R152" s="5"/>
    </row>
    <row r="153" spans="2:18">
      <c r="C153" s="263"/>
      <c r="Q153" s="5"/>
      <c r="R153" s="5"/>
    </row>
    <row r="154" spans="2:18">
      <c r="Q154" s="5"/>
      <c r="R154" s="5"/>
    </row>
    <row r="155" spans="2:18">
      <c r="Q155" s="5"/>
      <c r="R155" s="5"/>
    </row>
    <row r="156" spans="2:18">
      <c r="Q156" s="5"/>
      <c r="R156" s="5"/>
    </row>
    <row r="157" spans="2:18">
      <c r="Q157" s="5"/>
      <c r="R157" s="5"/>
    </row>
    <row r="158" spans="2:18">
      <c r="Q158" s="5"/>
      <c r="R158" s="5"/>
    </row>
    <row r="159" spans="2:18">
      <c r="Q159" s="5"/>
      <c r="R159" s="5"/>
    </row>
    <row r="160" spans="2:18">
      <c r="Q160" s="5"/>
      <c r="R160" s="5"/>
    </row>
    <row r="161" spans="17:18">
      <c r="Q161" s="5"/>
      <c r="R161" s="5"/>
    </row>
    <row r="162" spans="17:18">
      <c r="Q162" s="5"/>
      <c r="R162" s="5"/>
    </row>
    <row r="163" spans="17:18">
      <c r="Q163" s="5"/>
      <c r="R163" s="5"/>
    </row>
    <row r="164" spans="17:18">
      <c r="Q164" s="5"/>
      <c r="R164" s="5"/>
    </row>
    <row r="165" spans="17:18">
      <c r="Q165" s="5"/>
      <c r="R165" s="5"/>
    </row>
  </sheetData>
  <phoneticPr fontId="7" type="noConversion"/>
  <pageMargins left="0.75" right="0.75" top="1" bottom="1" header="0.5" footer="0.5"/>
  <pageSetup scale="71" orientation="landscape" r:id="rId1"/>
  <headerFooter alignWithMargins="0"/>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sheetPr codeName="Sheet65">
    <pageSetUpPr fitToPage="1"/>
  </sheetPr>
  <dimension ref="B1:AR165"/>
  <sheetViews>
    <sheetView showGridLines="0" zoomScale="80" zoomScaleNormal="80" workbookViewId="0"/>
  </sheetViews>
  <sheetFormatPr defaultColWidth="9.109375" defaultRowHeight="12"/>
  <cols>
    <col min="1" max="1" width="2.33203125" style="39" customWidth="1"/>
    <col min="2" max="2" width="26.5546875" style="39" customWidth="1"/>
    <col min="3" max="9" width="10" style="39" customWidth="1"/>
    <col min="10" max="10" width="26.6640625" style="39" customWidth="1"/>
    <col min="11" max="16" width="10" style="39" customWidth="1"/>
    <col min="17" max="19" width="8.6640625" style="39" customWidth="1"/>
    <col min="20" max="28" width="8.6640625" style="5" customWidth="1"/>
    <col min="29" max="44" width="9.109375" style="5"/>
    <col min="45" max="16384" width="9.109375" style="39"/>
  </cols>
  <sheetData>
    <row r="1" spans="2:44" s="312" customFormat="1">
      <c r="T1" s="149"/>
      <c r="U1" s="149"/>
      <c r="V1" s="149"/>
      <c r="W1" s="149"/>
      <c r="X1" s="149"/>
      <c r="Y1" s="149"/>
      <c r="Z1" s="149"/>
      <c r="AA1" s="149"/>
      <c r="AB1" s="149"/>
      <c r="AC1" s="149"/>
      <c r="AD1" s="149"/>
      <c r="AE1" s="149"/>
      <c r="AF1" s="149"/>
      <c r="AG1" s="149"/>
      <c r="AH1" s="149"/>
      <c r="AI1" s="149"/>
      <c r="AJ1" s="149"/>
      <c r="AK1" s="149"/>
      <c r="AL1" s="149"/>
      <c r="AM1" s="149"/>
      <c r="AN1" s="149"/>
      <c r="AO1" s="149"/>
      <c r="AP1" s="149"/>
      <c r="AQ1" s="149"/>
      <c r="AR1" s="149"/>
    </row>
    <row r="2" spans="2:44" s="149" customFormat="1"/>
    <row r="3" spans="2:44" s="149" customFormat="1">
      <c r="H3" s="153"/>
      <c r="P3" s="153"/>
    </row>
    <row r="4" spans="2:44" s="156" customFormat="1" ht="21">
      <c r="B4" s="129" t="s">
        <v>50</v>
      </c>
      <c r="H4" s="222"/>
      <c r="P4" s="222"/>
    </row>
    <row r="5" spans="2:44" s="149" customFormat="1">
      <c r="C5" s="153"/>
      <c r="D5" s="153" t="str" cm="1">
        <f t="array" ref="D5:H5">headings</f>
        <v>2023E</v>
      </c>
      <c r="E5" s="153" t="str">
        <v>2024E</v>
      </c>
      <c r="F5" s="153" t="str">
        <v>2025E</v>
      </c>
      <c r="G5" s="153" t="str">
        <v>2026E</v>
      </c>
      <c r="H5" s="153" t="str">
        <v>23E-26E</v>
      </c>
      <c r="I5" s="153"/>
      <c r="J5" s="153"/>
      <c r="K5" s="153"/>
      <c r="L5" s="153" t="str" cm="1">
        <f t="array" ref="L5:P5">headings</f>
        <v>2023E</v>
      </c>
      <c r="M5" s="153" t="str">
        <v>2024E</v>
      </c>
      <c r="N5" s="153" t="str">
        <v>2025E</v>
      </c>
      <c r="O5" s="153" t="str">
        <v>2026E</v>
      </c>
      <c r="P5" s="153" t="str">
        <v>23E-26E</v>
      </c>
      <c r="Q5" s="162"/>
      <c r="R5" s="162"/>
      <c r="S5" s="162"/>
      <c r="T5" s="162"/>
      <c r="U5" s="162"/>
      <c r="V5" s="162"/>
      <c r="W5" s="162"/>
      <c r="X5" s="162"/>
      <c r="Y5" s="162"/>
    </row>
    <row r="6" spans="2:44">
      <c r="I6" s="5"/>
      <c r="J6" s="5"/>
      <c r="K6" s="5"/>
      <c r="L6" s="5"/>
      <c r="M6" s="5"/>
      <c r="N6" s="5"/>
      <c r="O6" s="49"/>
    </row>
    <row r="7" spans="2:44" ht="12.6" thickBot="1">
      <c r="B7" s="306" t="s">
        <v>271</v>
      </c>
      <c r="C7" s="265"/>
      <c r="D7" s="265" t="str">
        <f>D5</f>
        <v>2023E</v>
      </c>
      <c r="E7" s="265" t="str">
        <f t="shared" ref="E7:H7" si="0">E5</f>
        <v>2024E</v>
      </c>
      <c r="F7" s="265" t="str">
        <f t="shared" si="0"/>
        <v>2025E</v>
      </c>
      <c r="G7" s="265" t="str">
        <f t="shared" si="0"/>
        <v>2026E</v>
      </c>
      <c r="H7" s="265" t="str">
        <f t="shared" si="0"/>
        <v>23E-26E</v>
      </c>
      <c r="I7" s="49"/>
      <c r="J7" s="306" t="s">
        <v>380</v>
      </c>
      <c r="K7" s="306"/>
      <c r="L7" s="265" t="str">
        <f>L5</f>
        <v>2023E</v>
      </c>
      <c r="M7" s="265" t="str">
        <f t="shared" ref="M7:P7" si="1">M5</f>
        <v>2024E</v>
      </c>
      <c r="N7" s="265" t="str">
        <f t="shared" si="1"/>
        <v>2025E</v>
      </c>
      <c r="O7" s="265" t="str">
        <f t="shared" si="1"/>
        <v>2026E</v>
      </c>
      <c r="P7" s="265" t="str">
        <f t="shared" si="1"/>
        <v>23E-26E</v>
      </c>
    </row>
    <row r="8" spans="2:44" ht="12.6" thickTop="1">
      <c r="B8" s="5"/>
      <c r="C8" s="5"/>
      <c r="D8" s="5"/>
      <c r="E8" s="5"/>
      <c r="F8" s="5"/>
      <c r="G8" s="5"/>
      <c r="H8" s="5"/>
      <c r="I8" s="5"/>
      <c r="J8" s="5"/>
      <c r="K8" s="5"/>
      <c r="L8" s="5"/>
      <c r="M8" s="5"/>
      <c r="N8" s="5"/>
      <c r="S8" s="88"/>
      <c r="T8" s="42"/>
      <c r="U8" s="42"/>
      <c r="V8" s="42"/>
      <c r="W8" s="42"/>
      <c r="X8" s="42"/>
      <c r="Y8" s="42"/>
      <c r="Z8" s="42"/>
      <c r="AA8" s="42"/>
    </row>
    <row r="9" spans="2:44">
      <c r="B9" s="41" t="s">
        <v>920</v>
      </c>
      <c r="C9" s="287">
        <f>Prices!C112</f>
        <v>91.8</v>
      </c>
      <c r="D9" s="533">
        <v>2200</v>
      </c>
      <c r="E9" s="533">
        <v>2200</v>
      </c>
      <c r="F9" s="533">
        <v>2200</v>
      </c>
      <c r="G9" s="533">
        <v>2200</v>
      </c>
      <c r="H9" s="249"/>
      <c r="I9" s="249"/>
      <c r="J9" s="5" t="s">
        <v>273</v>
      </c>
      <c r="L9" s="529">
        <f>'EMEA CELLULAR'!D37</f>
        <v>3.0372013947638039</v>
      </c>
      <c r="M9" s="529">
        <f>'EMEA CELLULAR'!E37</f>
        <v>3.0765788213213532</v>
      </c>
      <c r="N9" s="529">
        <f>'EMEA CELLULAR'!F37</f>
        <v>2.7986180316483407</v>
      </c>
      <c r="O9" s="529">
        <f>'EMEA CELLULAR'!G37</f>
        <v>2.565989431468322</v>
      </c>
      <c r="P9" s="286">
        <f>'EMEA CELLULAR'!H37</f>
        <v>4.2716103268778172E-2</v>
      </c>
      <c r="S9" s="88"/>
      <c r="T9" s="42"/>
      <c r="U9" s="42"/>
      <c r="V9" s="42"/>
      <c r="W9" s="42"/>
      <c r="X9" s="42"/>
      <c r="Y9" s="42"/>
      <c r="Z9" s="42"/>
      <c r="AA9" s="42"/>
    </row>
    <row r="10" spans="2:44">
      <c r="B10" s="5" t="s">
        <v>274</v>
      </c>
      <c r="C10" s="5"/>
      <c r="D10" s="533">
        <v>2200</v>
      </c>
      <c r="E10" s="533">
        <v>2200</v>
      </c>
      <c r="F10" s="533">
        <v>2200</v>
      </c>
      <c r="G10" s="533">
        <v>2200</v>
      </c>
      <c r="H10" s="249" t="s">
        <v>291</v>
      </c>
      <c r="I10" s="247"/>
      <c r="J10" s="5" t="s">
        <v>184</v>
      </c>
      <c r="L10" s="529">
        <f>'EMEA CELLULAR'!D38</f>
        <v>7.2238222733245729</v>
      </c>
      <c r="M10" s="529">
        <f>'EMEA CELLULAR'!E38</f>
        <v>7.4237558505709842</v>
      </c>
      <c r="N10" s="529">
        <f>'EMEA CELLULAR'!F38</f>
        <v>6.674196011969129</v>
      </c>
      <c r="O10" s="529">
        <f>'EMEA CELLULAR'!G38</f>
        <v>6.0998043636708204</v>
      </c>
      <c r="P10" s="286">
        <f>'EMEA CELLULAR'!H38</f>
        <v>4.2902128020809061E-2</v>
      </c>
      <c r="S10" s="88"/>
      <c r="T10" s="42"/>
      <c r="U10" s="42"/>
      <c r="V10" s="42"/>
      <c r="W10" s="288"/>
      <c r="X10" s="288"/>
      <c r="Y10" s="288"/>
      <c r="Z10" s="288"/>
      <c r="AA10" s="42"/>
    </row>
    <row r="11" spans="2:44">
      <c r="B11" s="41" t="s">
        <v>915</v>
      </c>
      <c r="C11" s="5"/>
      <c r="D11" s="532">
        <f>($C$9*D9)</f>
        <v>201960</v>
      </c>
      <c r="E11" s="532">
        <f t="shared" ref="E11:G11" si="2">($C$9*E9)</f>
        <v>201960</v>
      </c>
      <c r="F11" s="532">
        <f t="shared" si="2"/>
        <v>201960</v>
      </c>
      <c r="G11" s="532">
        <f t="shared" si="2"/>
        <v>201960</v>
      </c>
      <c r="H11" s="249"/>
      <c r="I11" s="249"/>
      <c r="J11" s="5" t="s">
        <v>185</v>
      </c>
      <c r="L11" s="529">
        <f>'EMEA CELLULAR'!D39</f>
        <v>13.934000165140167</v>
      </c>
      <c r="M11" s="529">
        <f>'EMEA CELLULAR'!E39</f>
        <v>14.181691463921256</v>
      </c>
      <c r="N11" s="529">
        <f>'EMEA CELLULAR'!F39</f>
        <v>12.081890560836975</v>
      </c>
      <c r="O11" s="529">
        <f>'EMEA CELLULAR'!G39</f>
        <v>10.645257413209695</v>
      </c>
      <c r="P11" s="286">
        <f>'EMEA CELLULAR'!H39</f>
        <v>7.8283731285485381E-2</v>
      </c>
      <c r="S11" s="88"/>
      <c r="T11" s="42"/>
      <c r="U11" s="42"/>
      <c r="V11" s="42"/>
      <c r="W11" s="288"/>
      <c r="X11" s="288"/>
      <c r="Y11" s="288"/>
      <c r="Z11" s="288"/>
      <c r="AA11" s="42"/>
    </row>
    <row r="12" spans="2:44">
      <c r="B12" s="5" t="s">
        <v>24</v>
      </c>
      <c r="C12" s="249"/>
      <c r="D12" s="533">
        <v>13002.862329265165</v>
      </c>
      <c r="E12" s="533">
        <v>12450.504600542261</v>
      </c>
      <c r="F12" s="533">
        <v>11589.592419988599</v>
      </c>
      <c r="G12" s="533">
        <v>10835.856933898405</v>
      </c>
      <c r="H12" s="247"/>
      <c r="I12" s="247"/>
      <c r="J12" s="5" t="s">
        <v>466</v>
      </c>
      <c r="L12" s="529">
        <f>'EMEA CELLULAR'!D40</f>
        <v>20.693503485744461</v>
      </c>
      <c r="M12" s="529">
        <f>'EMEA CELLULAR'!E40</f>
        <v>20.954826177285547</v>
      </c>
      <c r="N12" s="529">
        <f>'EMEA CELLULAR'!F40</f>
        <v>17.986415749594904</v>
      </c>
      <c r="O12" s="529">
        <f>'EMEA CELLULAR'!G40</f>
        <v>15.937236715818882</v>
      </c>
      <c r="P12" s="286">
        <f>'EMEA CELLULAR'!H40</f>
        <v>7.539209226558885E-2</v>
      </c>
      <c r="S12" s="88"/>
      <c r="T12" s="42"/>
      <c r="U12" s="42"/>
      <c r="V12" s="42"/>
      <c r="W12" s="288"/>
      <c r="X12" s="288"/>
      <c r="Y12" s="288"/>
      <c r="Z12" s="288"/>
      <c r="AA12" s="42"/>
    </row>
    <row r="13" spans="2:44">
      <c r="B13" s="5" t="s">
        <v>529</v>
      </c>
      <c r="C13" s="257"/>
      <c r="D13" s="533">
        <v>-2114</v>
      </c>
      <c r="E13" s="533">
        <v>-2114</v>
      </c>
      <c r="F13" s="533">
        <v>-2114</v>
      </c>
      <c r="G13" s="533">
        <v>-2114</v>
      </c>
      <c r="H13" s="247"/>
      <c r="I13" s="247"/>
      <c r="J13" s="5" t="s">
        <v>530</v>
      </c>
      <c r="L13" s="529">
        <f>'EMEA CELLULAR'!D41</f>
        <v>2.9063718801101484</v>
      </c>
      <c r="M13" s="529">
        <f>'EMEA CELLULAR'!E41</f>
        <v>2.8096465424917763</v>
      </c>
      <c r="N13" s="529">
        <f>'EMEA CELLULAR'!F41</f>
        <v>2.6770412504562215</v>
      </c>
      <c r="O13" s="529">
        <f>'EMEA CELLULAR'!G41</f>
        <v>2.5396311085256196</v>
      </c>
      <c r="P13" s="286">
        <f>'EMEA CELLULAR'!H41</f>
        <v>3.1066523451782402E-2</v>
      </c>
      <c r="S13" s="88"/>
      <c r="T13" s="42"/>
      <c r="U13" s="42"/>
      <c r="V13" s="42"/>
      <c r="W13" s="42"/>
      <c r="X13" s="42"/>
      <c r="Y13" s="42"/>
      <c r="Z13" s="42"/>
      <c r="AA13" s="42"/>
    </row>
    <row r="14" spans="2:44">
      <c r="B14" s="5" t="s">
        <v>532</v>
      </c>
      <c r="C14" s="257"/>
      <c r="D14" s="538">
        <v>0</v>
      </c>
      <c r="E14" s="530">
        <f t="shared" ref="E14:G15" si="3">D14</f>
        <v>0</v>
      </c>
      <c r="F14" s="530">
        <f t="shared" si="3"/>
        <v>0</v>
      </c>
      <c r="G14" s="530">
        <f t="shared" si="3"/>
        <v>0</v>
      </c>
      <c r="H14" s="247"/>
      <c r="I14" s="247"/>
      <c r="J14" s="5" t="s">
        <v>593</v>
      </c>
      <c r="L14" s="529">
        <f>'EMEA CELLULAR'!D42</f>
        <v>4.1985652011209735</v>
      </c>
      <c r="M14" s="529">
        <f>'EMEA CELLULAR'!E42</f>
        <v>4.0862699766964772</v>
      </c>
      <c r="N14" s="529">
        <f>'EMEA CELLULAR'!F42</f>
        <v>3.913769934902958</v>
      </c>
      <c r="O14" s="529">
        <f>'EMEA CELLULAR'!G42</f>
        <v>3.7199710824883767</v>
      </c>
      <c r="P14" s="286">
        <f>'EMEA CELLULAR'!H42</f>
        <v>2.6314073359182233E-2</v>
      </c>
      <c r="S14" s="88"/>
      <c r="T14" s="42"/>
      <c r="U14" s="42"/>
      <c r="V14" s="42"/>
      <c r="W14" s="42"/>
      <c r="X14" s="42"/>
      <c r="Y14" s="42"/>
      <c r="Z14" s="42"/>
      <c r="AA14" s="42"/>
    </row>
    <row r="15" spans="2:44">
      <c r="B15" s="5" t="s">
        <v>531</v>
      </c>
      <c r="C15" s="274"/>
      <c r="D15" s="538">
        <v>85.322423980365556</v>
      </c>
      <c r="E15" s="530">
        <f t="shared" si="3"/>
        <v>85.322423980365556</v>
      </c>
      <c r="F15" s="530">
        <f t="shared" si="3"/>
        <v>85.322423980365556</v>
      </c>
      <c r="G15" s="530">
        <f t="shared" si="3"/>
        <v>85.322423980365556</v>
      </c>
      <c r="H15" s="247"/>
      <c r="I15" s="247"/>
      <c r="J15" s="5" t="s">
        <v>475</v>
      </c>
      <c r="L15" s="529">
        <f>'EMEA CELLULAR'!D43</f>
        <v>31.153660262051059</v>
      </c>
      <c r="M15" s="529">
        <f>'EMEA CELLULAR'!E43</f>
        <v>40.589413647062131</v>
      </c>
      <c r="N15" s="529">
        <f>'EMEA CELLULAR'!F43</f>
        <v>28.94936800421025</v>
      </c>
      <c r="O15" s="529">
        <f>'EMEA CELLULAR'!G43</f>
        <v>25.752132437276039</v>
      </c>
      <c r="P15" s="286">
        <f>'EMEA CELLULAR'!H43</f>
        <v>6.5529048867266182E-2</v>
      </c>
      <c r="S15" s="88"/>
      <c r="T15" s="42"/>
      <c r="U15" s="42"/>
      <c r="V15" s="42"/>
      <c r="W15" s="42"/>
      <c r="X15" s="42"/>
      <c r="Y15" s="42"/>
      <c r="Z15" s="42"/>
      <c r="AA15" s="42"/>
    </row>
    <row r="16" spans="2:44">
      <c r="B16" s="5" t="s">
        <v>534</v>
      </c>
      <c r="C16" s="257"/>
      <c r="D16" s="533">
        <v>16032.25660095031</v>
      </c>
      <c r="E16" s="533">
        <v>20033.828185839437</v>
      </c>
      <c r="F16" s="533">
        <v>24293.871409501066</v>
      </c>
      <c r="G16" s="533">
        <v>28893.501319782212</v>
      </c>
      <c r="H16" s="247"/>
      <c r="I16" s="247"/>
      <c r="J16" s="5" t="s">
        <v>533</v>
      </c>
      <c r="L16" s="529">
        <f>'EMEA CELLULAR'!D44</f>
        <v>27.614186259633261</v>
      </c>
      <c r="M16" s="529">
        <f>'EMEA CELLULAR'!E44</f>
        <v>26.587472010710737</v>
      </c>
      <c r="N16" s="529">
        <f>'EMEA CELLULAR'!F44</f>
        <v>20.63478491648139</v>
      </c>
      <c r="O16" s="529">
        <f>'EMEA CELLULAR'!G44</f>
        <v>18.214851681953164</v>
      </c>
      <c r="P16" s="286">
        <f>'EMEA CELLULAR'!H44</f>
        <v>0.14827356589829632</v>
      </c>
      <c r="S16" s="88"/>
      <c r="T16" s="42"/>
      <c r="U16" s="42"/>
      <c r="V16" s="42"/>
      <c r="W16" s="42"/>
      <c r="X16" s="42"/>
      <c r="Y16" s="42"/>
      <c r="Z16" s="42"/>
      <c r="AA16" s="42"/>
    </row>
    <row r="17" spans="2:27">
      <c r="B17" s="5" t="s">
        <v>6</v>
      </c>
      <c r="C17" s="257"/>
      <c r="D17" s="533">
        <v>0</v>
      </c>
      <c r="E17" s="533">
        <v>0</v>
      </c>
      <c r="F17" s="533">
        <v>0</v>
      </c>
      <c r="G17" s="533">
        <v>0</v>
      </c>
      <c r="H17" s="247"/>
      <c r="I17" s="247"/>
      <c r="J17" s="5" t="s">
        <v>580</v>
      </c>
      <c r="L17" s="248">
        <f>'EMEA CELLULAR'!D45</f>
        <v>2.0041910197939054E-2</v>
      </c>
      <c r="M17" s="248">
        <f>'EMEA CELLULAR'!E45</f>
        <v>2.2662064400045302E-2</v>
      </c>
      <c r="N17" s="248">
        <f>'EMEA CELLULAR'!F45</f>
        <v>2.6655091715603346E-2</v>
      </c>
      <c r="O17" s="248">
        <f>'EMEA CELLULAR'!G45</f>
        <v>2.9169701214626476E-2</v>
      </c>
      <c r="P17" s="286">
        <f>'EMEA CELLULAR'!H45</f>
        <v>0.13276751641400475</v>
      </c>
      <c r="S17" s="88"/>
      <c r="T17" s="42"/>
      <c r="U17" s="42"/>
      <c r="V17" s="42"/>
      <c r="W17" s="42"/>
      <c r="X17" s="42"/>
      <c r="Y17" s="42"/>
      <c r="Z17" s="42"/>
      <c r="AA17" s="42"/>
    </row>
    <row r="18" spans="2:27" ht="12.6" thickBot="1">
      <c r="B18" s="41" t="s">
        <v>921</v>
      </c>
      <c r="C18" s="249"/>
      <c r="D18" s="534">
        <f>D11+D12+D13-D14+D15-D16-D17</f>
        <v>196901.92815229521</v>
      </c>
      <c r="E18" s="534">
        <f>E11+E12+E13-E14+E15-E16-E17</f>
        <v>192347.99883868318</v>
      </c>
      <c r="F18" s="534">
        <f>F11+F12+F13-F14+F15-F16-F17</f>
        <v>187227.04343446789</v>
      </c>
      <c r="G18" s="534">
        <f>G11+G12+G13-G14+G15-G16-G17</f>
        <v>181873.67803809658</v>
      </c>
      <c r="H18" s="276">
        <f>IF(D18=0,"nm",IF(G18=0,"nm",(G18/D18)^(1/3)-1))</f>
        <v>-2.6117354327143127E-2</v>
      </c>
      <c r="I18" s="254"/>
      <c r="J18" s="5" t="s">
        <v>36</v>
      </c>
      <c r="L18" s="248">
        <f>'EMEA CELLULAR'!D46</f>
        <v>2.1131796481131483E-2</v>
      </c>
      <c r="M18" s="248">
        <f>'EMEA CELLULAR'!E46</f>
        <v>1.7391477966924081E-2</v>
      </c>
      <c r="N18" s="248">
        <f>'EMEA CELLULAR'!F46</f>
        <v>3.2252261934863267E-2</v>
      </c>
      <c r="O18" s="248">
        <f>'EMEA CELLULAR'!G46</f>
        <v>2.8815660020290752E-2</v>
      </c>
      <c r="P18" s="286">
        <f>'EMEA CELLULAR'!H46</f>
        <v>0.10842730164220327</v>
      </c>
      <c r="S18" s="88"/>
      <c r="T18" s="42"/>
      <c r="U18" s="42"/>
      <c r="V18" s="42"/>
      <c r="W18" s="42"/>
      <c r="X18" s="42"/>
      <c r="Y18" s="42"/>
      <c r="Z18" s="42"/>
      <c r="AA18" s="42"/>
    </row>
    <row r="19" spans="2:27" ht="12.6" thickTop="1">
      <c r="B19" s="41"/>
      <c r="C19" s="249"/>
      <c r="D19" s="229"/>
      <c r="E19" s="229"/>
      <c r="F19" s="229"/>
      <c r="G19" s="229"/>
      <c r="H19" s="276"/>
      <c r="I19" s="254"/>
      <c r="J19" s="5" t="s">
        <v>581</v>
      </c>
      <c r="L19" s="248">
        <f>'EMEA CELLULAR'!D47</f>
        <v>3.2098956963272834E-2</v>
      </c>
      <c r="M19" s="248">
        <f>'EMEA CELLULAR'!E47</f>
        <v>2.4636965901880678E-2</v>
      </c>
      <c r="N19" s="248">
        <f>'EMEA CELLULAR'!F47</f>
        <v>3.4543068430874381E-2</v>
      </c>
      <c r="O19" s="248">
        <f>'EMEA CELLULAR'!G47</f>
        <v>3.8831735679974472E-2</v>
      </c>
      <c r="P19" s="286">
        <f>'EMEA CELLULAR'!H47</f>
        <v>6.5529048867266182E-2</v>
      </c>
      <c r="S19" s="88"/>
      <c r="T19" s="42"/>
      <c r="U19" s="42"/>
      <c r="V19" s="42"/>
      <c r="W19" s="42"/>
      <c r="X19" s="42"/>
      <c r="Y19" s="42"/>
      <c r="Z19" s="42"/>
      <c r="AA19" s="42"/>
    </row>
    <row r="20" spans="2:27">
      <c r="H20" s="277"/>
      <c r="I20" s="17"/>
      <c r="J20" s="5" t="s">
        <v>604</v>
      </c>
      <c r="L20" s="305">
        <f>'EMEA CELLULAR'!D48</f>
        <v>0.66646495357608038</v>
      </c>
      <c r="M20" s="305">
        <f>'EMEA CELLULAR'!E48</f>
        <v>0.98055252685916661</v>
      </c>
      <c r="N20" s="305">
        <f>'EMEA CELLULAR'!F48</f>
        <v>0.8225795047533091</v>
      </c>
      <c r="O20" s="305">
        <f>'EMEA CELLULAR'!G48</f>
        <v>0.80076262408893306</v>
      </c>
      <c r="P20" s="286" t="str">
        <f>'EMEA CELLULAR'!H48</f>
        <v>nm</v>
      </c>
      <c r="S20" s="88"/>
      <c r="T20" s="42"/>
      <c r="U20" s="42"/>
      <c r="V20" s="42"/>
      <c r="W20" s="42"/>
      <c r="X20" s="42"/>
      <c r="Y20" s="42"/>
      <c r="Z20" s="42"/>
      <c r="AA20" s="42"/>
    </row>
    <row r="21" spans="2:27" ht="12.6" thickBot="1">
      <c r="B21" s="306" t="s">
        <v>954</v>
      </c>
      <c r="C21" s="265"/>
      <c r="D21" s="265" t="str">
        <f>D5</f>
        <v>2023E</v>
      </c>
      <c r="E21" s="265" t="str">
        <f t="shared" ref="E21:H21" si="4">E5</f>
        <v>2024E</v>
      </c>
      <c r="F21" s="265" t="str">
        <f t="shared" si="4"/>
        <v>2025E</v>
      </c>
      <c r="G21" s="265" t="str">
        <f t="shared" si="4"/>
        <v>2026E</v>
      </c>
      <c r="H21" s="265" t="str">
        <f t="shared" si="4"/>
        <v>23E-26E</v>
      </c>
      <c r="I21" s="49"/>
      <c r="J21" s="41"/>
      <c r="L21" s="250"/>
      <c r="M21" s="250"/>
      <c r="N21" s="250"/>
      <c r="O21" s="250"/>
      <c r="P21" s="286"/>
      <c r="S21" s="88"/>
      <c r="T21" s="42"/>
      <c r="U21" s="42"/>
      <c r="V21" s="42"/>
      <c r="W21" s="42"/>
      <c r="X21" s="42"/>
      <c r="Y21" s="42"/>
      <c r="Z21" s="42"/>
      <c r="AA21" s="42"/>
    </row>
    <row r="22" spans="2:27" ht="12.6" thickTop="1">
      <c r="B22" s="5"/>
      <c r="C22" s="257"/>
      <c r="D22" s="17"/>
      <c r="E22" s="17"/>
      <c r="F22" s="17"/>
      <c r="G22" s="17"/>
      <c r="H22" s="17"/>
      <c r="I22" s="17"/>
      <c r="P22" s="277"/>
      <c r="S22" s="88"/>
      <c r="T22" s="42"/>
      <c r="U22" s="42"/>
      <c r="V22" s="42"/>
      <c r="W22" s="42"/>
      <c r="X22" s="42"/>
      <c r="Y22" s="42"/>
      <c r="Z22" s="42"/>
      <c r="AA22" s="42"/>
    </row>
    <row r="23" spans="2:27" ht="12.6" thickBot="1">
      <c r="B23" s="5" t="s">
        <v>584</v>
      </c>
      <c r="C23" s="548">
        <v>32180.564602011054</v>
      </c>
      <c r="D23" s="540">
        <v>34398.314884168554</v>
      </c>
      <c r="E23" s="540">
        <v>36763.95813721764</v>
      </c>
      <c r="F23" s="540">
        <v>39290.391237032745</v>
      </c>
      <c r="G23" s="540">
        <v>41988.372091224286</v>
      </c>
      <c r="H23" s="279">
        <f t="shared" ref="H23:H32" si="5">IF(D23=0,"nm",IF(G23=0,"nm",(G23/D23)^(1/3)-1))</f>
        <v>6.8720048316360804E-2</v>
      </c>
      <c r="I23" s="247"/>
      <c r="J23" s="306" t="s">
        <v>9</v>
      </c>
      <c r="K23" s="306"/>
      <c r="L23" s="265" t="str">
        <f>D21</f>
        <v>2023E</v>
      </c>
      <c r="M23" s="265" t="str">
        <f t="shared" ref="M23:P23" si="6">E21</f>
        <v>2024E</v>
      </c>
      <c r="N23" s="265" t="str">
        <f t="shared" si="6"/>
        <v>2025E</v>
      </c>
      <c r="O23" s="265" t="str">
        <f t="shared" si="6"/>
        <v>2026E</v>
      </c>
      <c r="P23" s="265" t="str">
        <f t="shared" si="6"/>
        <v>23E-26E</v>
      </c>
      <c r="S23" s="88"/>
      <c r="T23" s="42"/>
      <c r="U23" s="42"/>
      <c r="V23" s="42"/>
      <c r="W23" s="42"/>
      <c r="X23" s="42"/>
      <c r="Y23" s="42"/>
      <c r="Z23" s="42"/>
      <c r="AA23" s="42"/>
    </row>
    <row r="24" spans="2:27" ht="12.6" thickTop="1">
      <c r="B24" s="5" t="s">
        <v>483</v>
      </c>
      <c r="C24" s="549">
        <v>12566.410277951565</v>
      </c>
      <c r="D24" s="540">
        <v>13314.889160920624</v>
      </c>
      <c r="E24" s="540">
        <v>14101.565378421788</v>
      </c>
      <c r="F24" s="540">
        <v>14927.219707172995</v>
      </c>
      <c r="G24" s="540">
        <v>15793.065072464195</v>
      </c>
      <c r="H24" s="279">
        <f t="shared" si="5"/>
        <v>5.8545726276221677E-2</v>
      </c>
      <c r="I24" s="249"/>
      <c r="J24" s="17"/>
      <c r="K24" s="17"/>
      <c r="L24" s="17"/>
      <c r="M24" s="17"/>
      <c r="N24" s="17"/>
      <c r="O24" s="248"/>
      <c r="S24" s="88"/>
      <c r="T24" s="42"/>
      <c r="U24" s="42"/>
      <c r="V24" s="42"/>
      <c r="W24" s="42" t="s">
        <v>88</v>
      </c>
      <c r="X24" s="42" t="s">
        <v>513</v>
      </c>
      <c r="Y24" s="42"/>
      <c r="Z24" s="42"/>
      <c r="AA24" s="42"/>
    </row>
    <row r="25" spans="2:27">
      <c r="B25" s="5" t="s">
        <v>183</v>
      </c>
      <c r="C25" s="548">
        <v>7520.6006905874101</v>
      </c>
      <c r="D25" s="540">
        <v>7913.7535080923726</v>
      </c>
      <c r="E25" s="540">
        <v>8662.4392204592605</v>
      </c>
      <c r="F25" s="540">
        <v>9449.3975331627116</v>
      </c>
      <c r="G25" s="540">
        <v>9932.0258368283176</v>
      </c>
      <c r="H25" s="279">
        <f t="shared" si="5"/>
        <v>7.8661324138610045E-2</v>
      </c>
      <c r="I25" s="248"/>
      <c r="J25" s="247" t="s">
        <v>10</v>
      </c>
      <c r="K25" s="247"/>
      <c r="L25" s="321">
        <v>0</v>
      </c>
      <c r="M25" s="321">
        <v>0</v>
      </c>
      <c r="N25" s="321">
        <v>0</v>
      </c>
      <c r="O25" s="321">
        <v>0</v>
      </c>
      <c r="P25" s="279" t="str">
        <f>IF(L25=0,"nm",IF(O25=0,"nm",(O25/L25)^(1/3)-1))</f>
        <v>nm</v>
      </c>
      <c r="S25" s="88"/>
      <c r="T25" s="42"/>
      <c r="U25" s="42"/>
      <c r="V25" s="147" t="s">
        <v>273</v>
      </c>
      <c r="W25" s="288">
        <f>D37/L9</f>
        <v>1.8846868943407689</v>
      </c>
      <c r="X25" s="288">
        <v>1</v>
      </c>
      <c r="Y25" s="42"/>
      <c r="Z25" s="42"/>
      <c r="AA25" s="42"/>
    </row>
    <row r="26" spans="2:27">
      <c r="B26" s="5" t="s">
        <v>586</v>
      </c>
      <c r="C26" s="548">
        <v>5866.0685386581799</v>
      </c>
      <c r="D26" s="540">
        <v>6172.7277363120511</v>
      </c>
      <c r="E26" s="540">
        <v>6756.7025919582238</v>
      </c>
      <c r="F26" s="540">
        <v>7370.5300758669155</v>
      </c>
      <c r="G26" s="540">
        <v>7746.9801527260879</v>
      </c>
      <c r="H26" s="279">
        <f t="shared" si="5"/>
        <v>7.8661324138609823E-2</v>
      </c>
      <c r="I26" s="249"/>
      <c r="J26" s="249" t="s">
        <v>11</v>
      </c>
      <c r="K26" s="249"/>
      <c r="L26" s="281">
        <f>D11+L25</f>
        <v>201960</v>
      </c>
      <c r="M26" s="281">
        <f>E11+M25</f>
        <v>201960</v>
      </c>
      <c r="N26" s="281">
        <f>F11+N25</f>
        <v>201960</v>
      </c>
      <c r="O26" s="281">
        <f>G11+O25</f>
        <v>201960</v>
      </c>
      <c r="P26" s="279">
        <f>IF(L26=0,"nm",IF(O26=0,"nm",(O26/L26)^(1/3)-1))</f>
        <v>0</v>
      </c>
      <c r="Q26" s="5"/>
      <c r="S26" s="88"/>
      <c r="T26" s="42"/>
      <c r="U26" s="42"/>
      <c r="V26" s="147" t="s">
        <v>184</v>
      </c>
      <c r="W26" s="288">
        <f t="shared" ref="W26:W33" si="7">D38/L10</f>
        <v>2.0471297082738187</v>
      </c>
      <c r="X26" s="288">
        <v>1</v>
      </c>
      <c r="Y26" s="42"/>
      <c r="Z26" s="42"/>
      <c r="AA26" s="42"/>
    </row>
    <row r="27" spans="2:27">
      <c r="B27" s="5" t="s">
        <v>587</v>
      </c>
      <c r="C27" s="549">
        <v>32350.379131738246</v>
      </c>
      <c r="D27" s="540">
        <v>32668.192481630824</v>
      </c>
      <c r="E27" s="540">
        <v>32724.466454301895</v>
      </c>
      <c r="F27" s="540">
        <v>32599.849946527051</v>
      </c>
      <c r="G27" s="540">
        <v>32715.107687827327</v>
      </c>
      <c r="H27" s="279">
        <f t="shared" si="5"/>
        <v>4.7847525913957689E-4</v>
      </c>
      <c r="I27" s="249"/>
      <c r="J27" s="248"/>
      <c r="K27" s="248"/>
      <c r="L27" s="248"/>
      <c r="M27" s="248"/>
      <c r="N27" s="248"/>
      <c r="O27" s="248"/>
      <c r="Q27" s="41"/>
      <c r="S27" s="88"/>
      <c r="T27" s="42"/>
      <c r="U27" s="42"/>
      <c r="V27" s="147" t="s">
        <v>185</v>
      </c>
      <c r="W27" s="288">
        <f t="shared" si="7"/>
        <v>1.7856306774283002</v>
      </c>
      <c r="X27" s="288">
        <v>1</v>
      </c>
      <c r="Y27" s="42"/>
      <c r="Z27" s="42"/>
      <c r="AA27" s="42"/>
    </row>
    <row r="28" spans="2:27" ht="12.6" thickBot="1">
      <c r="B28" s="5" t="s">
        <v>592</v>
      </c>
      <c r="C28" s="548">
        <v>15824.012533294779</v>
      </c>
      <c r="D28" s="540">
        <v>16188.917922233686</v>
      </c>
      <c r="E28" s="540">
        <v>16169.211009600614</v>
      </c>
      <c r="F28" s="540">
        <v>15862.397556024662</v>
      </c>
      <c r="G28" s="540">
        <v>15633.885702165717</v>
      </c>
      <c r="H28" s="279">
        <f t="shared" si="5"/>
        <v>-1.1561384352462012E-2</v>
      </c>
      <c r="I28" s="248"/>
      <c r="J28" s="306" t="s">
        <v>1362</v>
      </c>
      <c r="K28" s="306"/>
      <c r="L28" s="306"/>
      <c r="M28" s="306"/>
      <c r="N28" s="266"/>
      <c r="O28" s="266"/>
      <c r="P28" s="266"/>
      <c r="Q28" s="5"/>
      <c r="S28" s="88"/>
      <c r="T28" s="42"/>
      <c r="U28" s="42"/>
      <c r="V28" s="147" t="s">
        <v>466</v>
      </c>
      <c r="W28" s="288">
        <f t="shared" si="7"/>
        <v>1.5414832951419859</v>
      </c>
      <c r="X28" s="288">
        <v>1</v>
      </c>
      <c r="Y28" s="42"/>
      <c r="Z28" s="42"/>
      <c r="AA28" s="42"/>
    </row>
    <row r="29" spans="2:27" ht="12.6" thickTop="1">
      <c r="B29" s="5" t="s">
        <v>588</v>
      </c>
      <c r="C29" s="548">
        <v>5755.3902607353639</v>
      </c>
      <c r="D29" s="540">
        <v>6054.2388065833993</v>
      </c>
      <c r="E29" s="540">
        <v>6714.007862711971</v>
      </c>
      <c r="F29" s="540">
        <v>7399.2654871193217</v>
      </c>
      <c r="G29" s="540">
        <v>7756.4431670850272</v>
      </c>
      <c r="H29" s="279">
        <f t="shared" si="5"/>
        <v>8.6094686647357976E-2</v>
      </c>
      <c r="I29" s="252"/>
      <c r="J29" s="249"/>
      <c r="K29" s="249"/>
      <c r="L29" s="249"/>
      <c r="M29" s="249"/>
      <c r="N29" s="249"/>
      <c r="O29" s="251"/>
      <c r="Q29" s="5"/>
      <c r="S29" s="88"/>
      <c r="T29" s="42"/>
      <c r="U29" s="42"/>
      <c r="V29" s="147" t="s">
        <v>530</v>
      </c>
      <c r="W29" s="288">
        <f t="shared" si="7"/>
        <v>2.0738325189977131</v>
      </c>
      <c r="X29" s="288">
        <v>1</v>
      </c>
      <c r="Y29" s="42"/>
      <c r="Z29" s="42"/>
      <c r="AA29" s="42"/>
    </row>
    <row r="30" spans="2:27">
      <c r="B30" s="5" t="s">
        <v>589</v>
      </c>
      <c r="C30" s="549">
        <v>5652.0994735604527</v>
      </c>
      <c r="D30" s="540">
        <v>5974.3694811114101</v>
      </c>
      <c r="E30" s="540">
        <v>6346.0792795770376</v>
      </c>
      <c r="F30" s="540">
        <v>6821.6139003514327</v>
      </c>
      <c r="G30" s="540">
        <v>7387.9042189976526</v>
      </c>
      <c r="H30" s="279">
        <f t="shared" si="5"/>
        <v>7.3354198818009531E-2</v>
      </c>
      <c r="I30" s="254"/>
      <c r="J30" s="248"/>
      <c r="K30" s="248"/>
      <c r="L30" s="248"/>
      <c r="M30" s="248"/>
      <c r="N30" s="248"/>
      <c r="O30" s="5"/>
      <c r="Q30" s="5"/>
      <c r="S30" s="88"/>
      <c r="T30" s="42"/>
      <c r="U30" s="42"/>
      <c r="V30" s="147" t="s">
        <v>593</v>
      </c>
      <c r="W30" s="288">
        <f t="shared" si="7"/>
        <v>2.8968849390567515</v>
      </c>
      <c r="X30" s="288">
        <v>1</v>
      </c>
      <c r="Y30" s="42"/>
      <c r="Z30" s="42"/>
      <c r="AA30" s="42"/>
    </row>
    <row r="31" spans="2:27">
      <c r="B31" s="5" t="s">
        <v>590</v>
      </c>
      <c r="C31" s="549">
        <v>3780.7995788483613</v>
      </c>
      <c r="D31" s="540">
        <v>4001.5715848891268</v>
      </c>
      <c r="E31" s="540">
        <v>4260.0432236616289</v>
      </c>
      <c r="F31" s="540">
        <v>4599.6299102811463</v>
      </c>
      <c r="G31" s="540">
        <v>5009.779104698122</v>
      </c>
      <c r="H31" s="279">
        <f t="shared" si="5"/>
        <v>7.7778035922869693E-2</v>
      </c>
      <c r="I31" s="254"/>
      <c r="J31" s="252"/>
      <c r="K31" s="252"/>
      <c r="L31" s="252"/>
      <c r="M31" s="252"/>
      <c r="N31" s="252"/>
      <c r="O31" s="5"/>
      <c r="Q31" s="5"/>
      <c r="S31" s="88"/>
      <c r="T31" s="42"/>
      <c r="U31" s="42"/>
      <c r="V31" s="147" t="s">
        <v>475</v>
      </c>
      <c r="W31" s="288">
        <f t="shared" si="7"/>
        <v>1.0707713315261476</v>
      </c>
      <c r="X31" s="288">
        <v>1</v>
      </c>
      <c r="Y31" s="42"/>
      <c r="Z31" s="42"/>
      <c r="AA31" s="42"/>
    </row>
    <row r="32" spans="2:27">
      <c r="B32" s="5" t="s">
        <v>606</v>
      </c>
      <c r="C32" s="550">
        <v>-1</v>
      </c>
      <c r="D32" s="540">
        <v>-2</v>
      </c>
      <c r="E32" s="540">
        <v>-3</v>
      </c>
      <c r="F32" s="540">
        <v>-4</v>
      </c>
      <c r="G32" s="540">
        <v>-5</v>
      </c>
      <c r="H32" s="279">
        <f t="shared" si="5"/>
        <v>0.35720880829745338</v>
      </c>
      <c r="I32" s="254"/>
      <c r="J32" s="254"/>
      <c r="K32" s="254"/>
      <c r="L32" s="254"/>
      <c r="M32" s="254"/>
      <c r="N32" s="254"/>
      <c r="O32" s="251"/>
      <c r="Q32" s="5"/>
      <c r="S32" s="88"/>
      <c r="T32" s="42"/>
      <c r="U32" s="42"/>
      <c r="V32" s="147" t="s">
        <v>533</v>
      </c>
      <c r="W32" s="288">
        <f t="shared" si="7"/>
        <v>1.2241680327520337</v>
      </c>
      <c r="X32" s="288">
        <v>1</v>
      </c>
      <c r="Y32" s="42"/>
      <c r="Z32" s="42"/>
      <c r="AA32" s="42"/>
    </row>
    <row r="33" spans="2:27">
      <c r="B33" s="5" t="s">
        <v>5</v>
      </c>
      <c r="C33" s="549">
        <v>-112.29968979333012</v>
      </c>
      <c r="D33" s="540">
        <v>-112.77085079085282</v>
      </c>
      <c r="E33" s="540">
        <v>-93.763017864783933</v>
      </c>
      <c r="F33" s="540">
        <v>-58.101129557759805</v>
      </c>
      <c r="G33" s="540">
        <v>-20.429544358630096</v>
      </c>
      <c r="H33" s="279">
        <f>IF(D33=0,"nm",IF(G33=0,"nm",(G33/D33)^(1/3)-1))</f>
        <v>-0.43416830004119344</v>
      </c>
      <c r="I33" s="5"/>
      <c r="J33" s="254"/>
      <c r="K33" s="254"/>
      <c r="L33" s="254"/>
      <c r="M33" s="254"/>
      <c r="N33" s="254"/>
      <c r="O33" s="251"/>
      <c r="Q33" s="5"/>
      <c r="S33" s="88"/>
      <c r="T33" s="42"/>
      <c r="U33" s="42"/>
      <c r="V33" s="147" t="s">
        <v>580</v>
      </c>
      <c r="W33" s="288">
        <f t="shared" si="7"/>
        <v>0.98861254377928021</v>
      </c>
      <c r="X33" s="288">
        <v>1</v>
      </c>
      <c r="Y33" s="42"/>
      <c r="Z33" s="42"/>
      <c r="AA33" s="42"/>
    </row>
    <row r="34" spans="2:27">
      <c r="H34" s="277"/>
      <c r="I34" s="49"/>
      <c r="J34" s="254"/>
      <c r="K34" s="254"/>
      <c r="L34" s="254"/>
      <c r="M34" s="254"/>
      <c r="N34" s="254"/>
      <c r="O34" s="251"/>
      <c r="Q34" s="5"/>
      <c r="S34" s="88"/>
      <c r="T34" s="42"/>
      <c r="U34" s="42"/>
      <c r="V34" s="147" t="s">
        <v>581</v>
      </c>
      <c r="W34" s="288">
        <f>D47/L19</f>
        <v>0.93390621373353477</v>
      </c>
      <c r="X34" s="288">
        <v>1</v>
      </c>
      <c r="Y34" s="288"/>
      <c r="Z34" s="288"/>
      <c r="AA34" s="42"/>
    </row>
    <row r="35" spans="2:27" ht="12.6" thickBot="1">
      <c r="B35" s="306" t="s">
        <v>356</v>
      </c>
      <c r="C35" s="265"/>
      <c r="D35" s="265" t="str">
        <f>D5</f>
        <v>2023E</v>
      </c>
      <c r="E35" s="265" t="str">
        <f t="shared" ref="E35:H35" si="8">E5</f>
        <v>2024E</v>
      </c>
      <c r="F35" s="265" t="str">
        <f t="shared" si="8"/>
        <v>2025E</v>
      </c>
      <c r="G35" s="265" t="str">
        <f t="shared" si="8"/>
        <v>2026E</v>
      </c>
      <c r="H35" s="265" t="str">
        <f t="shared" si="8"/>
        <v>23E-26E</v>
      </c>
      <c r="I35" s="254"/>
      <c r="J35" s="5"/>
      <c r="K35" s="5"/>
      <c r="L35" s="5"/>
      <c r="M35" s="5"/>
      <c r="N35" s="5"/>
      <c r="O35" s="5"/>
      <c r="Q35" s="5"/>
      <c r="S35" s="88"/>
      <c r="T35" s="42"/>
      <c r="U35" s="42"/>
      <c r="V35" s="42"/>
      <c r="W35" s="42"/>
      <c r="X35" s="42"/>
      <c r="Y35" s="288"/>
      <c r="Z35" s="288"/>
      <c r="AA35" s="42"/>
    </row>
    <row r="36" spans="2:27" ht="12.6" thickTop="1">
      <c r="B36" s="41"/>
      <c r="C36" s="249"/>
      <c r="D36" s="254"/>
      <c r="E36" s="254"/>
      <c r="F36" s="254"/>
      <c r="G36" s="254"/>
      <c r="H36" s="254"/>
      <c r="I36" s="17"/>
      <c r="J36" s="49"/>
      <c r="K36" s="49"/>
      <c r="L36" s="49"/>
      <c r="M36" s="49"/>
      <c r="N36" s="49"/>
      <c r="O36" s="49"/>
      <c r="Q36" s="5"/>
      <c r="S36" s="88"/>
      <c r="T36" s="42"/>
      <c r="U36" s="42"/>
      <c r="V36" s="42"/>
      <c r="W36" s="42"/>
      <c r="X36" s="42"/>
      <c r="Y36" s="288"/>
      <c r="Z36" s="288"/>
      <c r="AA36" s="42"/>
    </row>
    <row r="37" spans="2:27">
      <c r="B37" s="5" t="s">
        <v>273</v>
      </c>
      <c r="C37" s="247"/>
      <c r="D37" s="529">
        <f>D$18/D23</f>
        <v>5.7241736641848453</v>
      </c>
      <c r="E37" s="529">
        <f t="shared" ref="E37:G41" si="9">E$18/E23</f>
        <v>5.2319719797515907</v>
      </c>
      <c r="F37" s="529">
        <f t="shared" si="9"/>
        <v>4.7652119905082291</v>
      </c>
      <c r="G37" s="529">
        <f t="shared" si="9"/>
        <v>4.3315248717658381</v>
      </c>
      <c r="H37" s="17">
        <f t="shared" ref="H37:H45" si="10">H23</f>
        <v>6.8720048316360804E-2</v>
      </c>
      <c r="I37" s="5"/>
      <c r="J37" s="259"/>
      <c r="K37" s="259"/>
      <c r="L37" s="259"/>
      <c r="M37" s="259"/>
      <c r="N37" s="259"/>
      <c r="O37" s="18"/>
      <c r="Q37" s="5"/>
      <c r="R37" s="5"/>
      <c r="S37" s="42"/>
      <c r="T37" s="42"/>
      <c r="U37" s="42"/>
      <c r="V37" s="42"/>
      <c r="W37" s="42"/>
      <c r="X37" s="42"/>
      <c r="Y37" s="42"/>
      <c r="Z37" s="42"/>
      <c r="AA37" s="42"/>
    </row>
    <row r="38" spans="2:27">
      <c r="B38" s="5" t="s">
        <v>184</v>
      </c>
      <c r="C38" s="247"/>
      <c r="D38" s="529">
        <f>D$18/D24</f>
        <v>14.788101183012847</v>
      </c>
      <c r="E38" s="529">
        <f t="shared" si="9"/>
        <v>13.640187715118071</v>
      </c>
      <c r="F38" s="529">
        <f t="shared" si="9"/>
        <v>12.542660127424764</v>
      </c>
      <c r="G38" s="529">
        <f t="shared" si="9"/>
        <v>11.516046898027426</v>
      </c>
      <c r="H38" s="17">
        <f>H24</f>
        <v>5.8545726276221677E-2</v>
      </c>
      <c r="I38" s="259"/>
      <c r="J38" s="17"/>
      <c r="K38" s="17"/>
      <c r="L38" s="17"/>
      <c r="M38" s="17"/>
      <c r="N38" s="17"/>
      <c r="O38" s="5"/>
      <c r="Q38" s="5"/>
      <c r="R38" s="5"/>
      <c r="S38" s="42"/>
      <c r="T38" s="42"/>
      <c r="U38" s="42"/>
      <c r="V38" s="42"/>
      <c r="W38" s="42"/>
      <c r="X38" s="42"/>
      <c r="Y38" s="42"/>
      <c r="Z38" s="42"/>
      <c r="AA38" s="42"/>
    </row>
    <row r="39" spans="2:27">
      <c r="B39" s="5" t="s">
        <v>185</v>
      </c>
      <c r="C39" s="247"/>
      <c r="D39" s="529">
        <f>D$18/D25</f>
        <v>24.880978154165284</v>
      </c>
      <c r="E39" s="529">
        <f t="shared" si="9"/>
        <v>22.204830988526737</v>
      </c>
      <c r="F39" s="529">
        <f t="shared" si="9"/>
        <v>19.813648730238469</v>
      </c>
      <c r="G39" s="529">
        <f t="shared" si="9"/>
        <v>18.311841010693133</v>
      </c>
      <c r="H39" s="17">
        <f t="shared" si="10"/>
        <v>7.8661324138610045E-2</v>
      </c>
      <c r="I39" s="17"/>
      <c r="J39" s="5"/>
      <c r="K39" s="5"/>
      <c r="L39" s="5"/>
      <c r="M39" s="5"/>
      <c r="N39" s="5"/>
      <c r="O39" s="5"/>
      <c r="Q39" s="5"/>
      <c r="R39" s="5"/>
      <c r="S39" s="42"/>
      <c r="T39" s="42"/>
      <c r="U39" s="42"/>
      <c r="V39" s="42"/>
      <c r="W39" s="42"/>
      <c r="X39" s="42"/>
      <c r="Y39" s="42"/>
      <c r="Z39" s="42"/>
      <c r="AA39" s="42"/>
    </row>
    <row r="40" spans="2:27">
      <c r="B40" s="5" t="s">
        <v>466</v>
      </c>
      <c r="C40" s="247"/>
      <c r="D40" s="529">
        <f>D$18/D26</f>
        <v>31.898689941237542</v>
      </c>
      <c r="E40" s="529">
        <f t="shared" si="9"/>
        <v>28.467732036572738</v>
      </c>
      <c r="F40" s="529">
        <f t="shared" si="9"/>
        <v>25.402113756715988</v>
      </c>
      <c r="G40" s="529">
        <f t="shared" si="9"/>
        <v>23.476719244478378</v>
      </c>
      <c r="H40" s="17">
        <f t="shared" si="10"/>
        <v>7.8661324138609823E-2</v>
      </c>
      <c r="I40" s="5"/>
      <c r="J40" s="259"/>
      <c r="K40" s="259"/>
      <c r="L40" s="259"/>
      <c r="M40" s="259"/>
      <c r="N40" s="259"/>
      <c r="O40" s="18"/>
      <c r="Q40" s="5"/>
      <c r="R40" s="5"/>
      <c r="S40" s="42"/>
      <c r="T40" s="42"/>
      <c r="U40" s="42"/>
      <c r="V40" s="42"/>
      <c r="W40" s="288"/>
      <c r="X40" s="288"/>
      <c r="Y40" s="42"/>
      <c r="Z40" s="42"/>
      <c r="AA40" s="42"/>
    </row>
    <row r="41" spans="2:27">
      <c r="B41" s="5" t="s">
        <v>530</v>
      </c>
      <c r="C41" s="247"/>
      <c r="D41" s="529">
        <f>D$18/D27</f>
        <v>6.0273285172729487</v>
      </c>
      <c r="E41" s="529">
        <f t="shared" si="9"/>
        <v>5.8778039699222502</v>
      </c>
      <c r="F41" s="529">
        <f t="shared" si="9"/>
        <v>5.743187276676827</v>
      </c>
      <c r="G41" s="529">
        <f t="shared" si="9"/>
        <v>5.5593177248127574</v>
      </c>
      <c r="H41" s="17">
        <f t="shared" si="10"/>
        <v>4.7847525913957689E-4</v>
      </c>
      <c r="I41" s="247"/>
      <c r="J41" s="17"/>
      <c r="K41" s="17"/>
      <c r="L41" s="17"/>
      <c r="M41" s="17"/>
      <c r="N41" s="17"/>
      <c r="O41" s="5"/>
      <c r="Q41" s="5"/>
      <c r="R41" s="5"/>
      <c r="S41" s="42"/>
      <c r="T41" s="42"/>
      <c r="U41" s="42"/>
      <c r="V41" s="42"/>
      <c r="W41" s="288"/>
      <c r="X41" s="288"/>
      <c r="Y41" s="288"/>
      <c r="Z41" s="288"/>
      <c r="AA41" s="42"/>
    </row>
    <row r="42" spans="2:27">
      <c r="B42" s="5" t="s">
        <v>593</v>
      </c>
      <c r="C42" s="247"/>
      <c r="D42" s="529">
        <f>D18/D28</f>
        <v>12.162760296775129</v>
      </c>
      <c r="E42" s="529">
        <f>E18/E28</f>
        <v>11.8959421535457</v>
      </c>
      <c r="F42" s="529">
        <f>F18/F28</f>
        <v>11.803199533563424</v>
      </c>
      <c r="G42" s="529">
        <f>G18/G28</f>
        <v>11.633299712105618</v>
      </c>
      <c r="H42" s="17">
        <f t="shared" si="10"/>
        <v>-1.1561384352462012E-2</v>
      </c>
      <c r="I42" s="248"/>
      <c r="J42" s="5"/>
      <c r="K42" s="5"/>
      <c r="L42" s="5"/>
      <c r="M42" s="5"/>
      <c r="N42" s="5"/>
      <c r="O42" s="5"/>
      <c r="Q42" s="5"/>
      <c r="R42" s="5"/>
      <c r="S42" s="42"/>
      <c r="T42" s="42"/>
      <c r="U42" s="42"/>
      <c r="V42" s="42"/>
      <c r="W42" s="288"/>
      <c r="X42" s="288"/>
      <c r="Y42" s="288"/>
      <c r="Z42" s="288"/>
      <c r="AA42" s="42"/>
    </row>
    <row r="43" spans="2:27">
      <c r="B43" s="5" t="s">
        <v>475</v>
      </c>
      <c r="C43" s="247"/>
      <c r="D43" s="529">
        <f>L26/D29</f>
        <v>33.358446280709643</v>
      </c>
      <c r="E43" s="529">
        <f>M26/E29</f>
        <v>30.080393727513872</v>
      </c>
      <c r="F43" s="529">
        <f>N26/F29</f>
        <v>27.294601112985198</v>
      </c>
      <c r="G43" s="529">
        <f>O26/G29</f>
        <v>26.037707703065553</v>
      </c>
      <c r="H43" s="17">
        <f t="shared" si="10"/>
        <v>8.6094686647357976E-2</v>
      </c>
      <c r="I43" s="247"/>
      <c r="J43" s="247"/>
      <c r="K43" s="247"/>
      <c r="L43" s="247"/>
      <c r="M43" s="247"/>
      <c r="N43" s="247"/>
      <c r="O43" s="18"/>
      <c r="Q43" s="5"/>
      <c r="R43" s="5"/>
      <c r="S43" s="42"/>
      <c r="T43" s="42"/>
      <c r="U43" s="42"/>
      <c r="V43" s="42"/>
      <c r="W43" s="288"/>
      <c r="X43" s="288"/>
      <c r="Y43" s="288"/>
      <c r="Z43" s="288"/>
      <c r="AA43" s="42"/>
    </row>
    <row r="44" spans="2:27">
      <c r="B44" s="5" t="s">
        <v>533</v>
      </c>
      <c r="C44" s="69"/>
      <c r="D44" s="529">
        <f>D11/D30</f>
        <v>33.804404069503491</v>
      </c>
      <c r="E44" s="529">
        <f>E11/E30</f>
        <v>31.824373932728509</v>
      </c>
      <c r="F44" s="529">
        <f>F11/F30</f>
        <v>29.605897218779198</v>
      </c>
      <c r="G44" s="529">
        <f>G11/G30</f>
        <v>27.336575301107619</v>
      </c>
      <c r="H44" s="17">
        <f t="shared" si="10"/>
        <v>7.3354198818009531E-2</v>
      </c>
      <c r="I44" s="247"/>
      <c r="J44" s="248"/>
      <c r="K44" s="248"/>
      <c r="L44" s="248"/>
      <c r="M44" s="248"/>
      <c r="N44" s="248"/>
      <c r="O44" s="248"/>
      <c r="Q44" s="5"/>
      <c r="R44" s="5"/>
      <c r="S44" s="42"/>
      <c r="T44" s="42"/>
      <c r="U44" s="42"/>
      <c r="V44" s="42"/>
      <c r="W44" s="325"/>
      <c r="X44" s="325"/>
      <c r="Y44" s="288"/>
      <c r="Z44" s="288"/>
      <c r="AA44" s="42"/>
    </row>
    <row r="45" spans="2:27">
      <c r="B45" s="5" t="s">
        <v>580</v>
      </c>
      <c r="C45" s="247"/>
      <c r="D45" s="248">
        <f>D31/D11</f>
        <v>1.9813683822980425E-2</v>
      </c>
      <c r="E45" s="248">
        <f>E31/E11</f>
        <v>2.1093499820071443E-2</v>
      </c>
      <c r="F45" s="248">
        <f>F31/F11</f>
        <v>2.2774954992479432E-2</v>
      </c>
      <c r="G45" s="248">
        <f>G31/G11</f>
        <v>2.480579869626719E-2</v>
      </c>
      <c r="H45" s="17">
        <f t="shared" si="10"/>
        <v>7.7778035922869693E-2</v>
      </c>
      <c r="I45" s="248"/>
      <c r="J45" s="247"/>
      <c r="K45" s="247"/>
      <c r="L45" s="247"/>
      <c r="M45" s="247"/>
      <c r="N45" s="247"/>
      <c r="O45" s="248"/>
      <c r="Q45" s="5"/>
      <c r="R45" s="5"/>
      <c r="S45" s="42"/>
      <c r="T45" s="42"/>
      <c r="U45" s="42"/>
      <c r="V45" s="42"/>
      <c r="W45" s="42"/>
      <c r="X45" s="42"/>
      <c r="Y45" s="325"/>
      <c r="Z45" s="325"/>
      <c r="AA45" s="42"/>
    </row>
    <row r="46" spans="2:27">
      <c r="B46" s="5" t="s">
        <v>605</v>
      </c>
      <c r="C46" s="247"/>
      <c r="D46" s="248">
        <f>(D31+D32)/D11</f>
        <v>1.9803780871901003E-2</v>
      </c>
      <c r="E46" s="248">
        <f>(E31+E32)/E11</f>
        <v>2.1078645393452312E-2</v>
      </c>
      <c r="F46" s="248">
        <f>(F31+F32)/F11</f>
        <v>2.275514909032059E-2</v>
      </c>
      <c r="G46" s="248">
        <f>(G31+G32)/G11</f>
        <v>2.4781041318568637E-2</v>
      </c>
      <c r="H46" s="279">
        <f>((G31+G32)/(D31+D32))^(1/3)-1</f>
        <v>7.7598917702047521E-2</v>
      </c>
      <c r="I46" s="247"/>
      <c r="J46" s="247"/>
      <c r="K46" s="247"/>
      <c r="L46" s="247"/>
      <c r="M46" s="247"/>
      <c r="N46" s="247"/>
      <c r="O46" s="18"/>
      <c r="Q46" s="5"/>
      <c r="R46" s="5"/>
      <c r="S46" s="42"/>
      <c r="T46" s="42"/>
      <c r="U46" s="42"/>
      <c r="V46" s="42"/>
      <c r="W46" s="42"/>
      <c r="X46" s="42"/>
      <c r="Y46" s="42"/>
      <c r="Z46" s="42"/>
      <c r="AA46" s="326"/>
    </row>
    <row r="47" spans="2:27">
      <c r="B47" s="5" t="s">
        <v>581</v>
      </c>
      <c r="C47" s="5"/>
      <c r="D47" s="248">
        <f>1/D43</f>
        <v>2.9977415362365815E-2</v>
      </c>
      <c r="E47" s="248">
        <f>1/E43</f>
        <v>3.3244245705644541E-2</v>
      </c>
      <c r="F47" s="248">
        <f>1/F43</f>
        <v>3.6637282071297891E-2</v>
      </c>
      <c r="G47" s="248">
        <f>1/G43</f>
        <v>3.8405838616978744E-2</v>
      </c>
      <c r="H47" s="17">
        <f>H29</f>
        <v>8.6094686647357976E-2</v>
      </c>
      <c r="I47" s="17"/>
      <c r="J47" s="248"/>
      <c r="K47" s="248"/>
      <c r="L47" s="248"/>
      <c r="M47" s="248"/>
      <c r="N47" s="248"/>
      <c r="O47" s="248"/>
      <c r="Q47" s="5"/>
      <c r="R47" s="5"/>
      <c r="S47" s="42"/>
      <c r="T47" s="42"/>
      <c r="U47" s="42"/>
      <c r="V47" s="42"/>
      <c r="W47" s="42"/>
      <c r="X47" s="42"/>
      <c r="Y47" s="42"/>
      <c r="Z47" s="42"/>
      <c r="AA47" s="326"/>
    </row>
    <row r="48" spans="2:27">
      <c r="B48" s="5" t="s">
        <v>618</v>
      </c>
      <c r="C48" s="5"/>
      <c r="D48" s="305">
        <f>D31/D29</f>
        <v>0.66095370743185822</v>
      </c>
      <c r="E48" s="305">
        <f>E31/E29</f>
        <v>0.6345007796789921</v>
      </c>
      <c r="F48" s="305">
        <f>F31/F29</f>
        <v>0.62163331188591697</v>
      </c>
      <c r="G48" s="305">
        <f>G31/G29</f>
        <v>0.64588613579448972</v>
      </c>
      <c r="H48" s="279" t="s">
        <v>607</v>
      </c>
      <c r="I48" s="247"/>
      <c r="J48" s="247"/>
      <c r="K48" s="247"/>
      <c r="L48" s="247"/>
      <c r="M48" s="247"/>
      <c r="N48" s="247"/>
      <c r="O48" s="248"/>
      <c r="Q48" s="5"/>
      <c r="R48" s="5"/>
      <c r="S48" s="42"/>
      <c r="T48" s="42"/>
      <c r="U48" s="42"/>
      <c r="V48" s="42"/>
      <c r="W48" s="42"/>
      <c r="X48" s="42"/>
      <c r="Y48" s="42"/>
      <c r="Z48" s="42"/>
      <c r="AA48" s="326"/>
    </row>
    <row r="49" spans="2:27">
      <c r="B49" s="41"/>
      <c r="C49" s="17"/>
      <c r="D49" s="17"/>
      <c r="E49" s="17"/>
      <c r="F49" s="17"/>
      <c r="G49" s="17"/>
      <c r="H49" s="17"/>
      <c r="I49" s="254"/>
      <c r="J49" s="17"/>
      <c r="K49" s="17"/>
      <c r="L49" s="17"/>
      <c r="M49" s="17"/>
      <c r="N49" s="17"/>
      <c r="O49" s="248"/>
      <c r="Q49" s="5"/>
      <c r="R49" s="5"/>
      <c r="S49" s="42"/>
      <c r="T49" s="42"/>
      <c r="U49" s="42"/>
      <c r="V49" s="42"/>
      <c r="W49" s="42"/>
      <c r="X49" s="42"/>
      <c r="Y49" s="42"/>
      <c r="Z49" s="42"/>
      <c r="AA49" s="326"/>
    </row>
    <row r="50" spans="2:27">
      <c r="B50" s="5"/>
      <c r="C50" s="257"/>
      <c r="D50" s="257"/>
      <c r="E50" s="257"/>
      <c r="F50" s="5"/>
      <c r="G50" s="41"/>
      <c r="H50" s="249"/>
      <c r="I50" s="17"/>
      <c r="J50" s="249"/>
      <c r="K50" s="249"/>
      <c r="L50" s="249"/>
      <c r="M50" s="249"/>
      <c r="N50" s="249"/>
      <c r="O50" s="250"/>
      <c r="Q50" s="5"/>
      <c r="R50" s="5"/>
      <c r="S50" s="42"/>
      <c r="T50" s="42"/>
      <c r="U50" s="42"/>
      <c r="V50" s="42"/>
      <c r="W50" s="288"/>
      <c r="X50" s="288"/>
      <c r="Y50" s="42"/>
      <c r="Z50" s="42"/>
      <c r="AA50" s="326"/>
    </row>
    <row r="51" spans="2:27">
      <c r="B51" s="41"/>
      <c r="C51" s="249"/>
      <c r="D51" s="254"/>
      <c r="E51" s="254"/>
      <c r="F51" s="254"/>
      <c r="G51" s="254"/>
      <c r="H51" s="254"/>
      <c r="I51" s="259"/>
      <c r="J51" s="254"/>
      <c r="K51" s="254"/>
      <c r="L51" s="254"/>
      <c r="M51" s="254"/>
      <c r="N51" s="254"/>
      <c r="O51" s="251"/>
      <c r="Q51" s="5"/>
      <c r="R51" s="5"/>
      <c r="S51" s="42"/>
      <c r="T51" s="42"/>
      <c r="U51" s="42"/>
      <c r="V51" s="42"/>
      <c r="W51" s="288"/>
      <c r="X51" s="288"/>
      <c r="Y51" s="288"/>
      <c r="Z51" s="288"/>
      <c r="AA51" s="42"/>
    </row>
    <row r="52" spans="2:27">
      <c r="B52" s="5"/>
      <c r="C52" s="257"/>
      <c r="D52" s="17"/>
      <c r="E52" s="17"/>
      <c r="F52" s="17"/>
      <c r="G52" s="17"/>
      <c r="H52" s="17"/>
      <c r="I52" s="254"/>
      <c r="J52" s="17"/>
      <c r="K52" s="17"/>
      <c r="L52" s="17"/>
      <c r="M52" s="17"/>
      <c r="N52" s="17"/>
      <c r="O52" s="248"/>
      <c r="Q52" s="5"/>
      <c r="R52" s="5"/>
      <c r="S52" s="5"/>
      <c r="Y52" s="10"/>
      <c r="Z52" s="10"/>
    </row>
    <row r="53" spans="2:27">
      <c r="B53" s="5"/>
      <c r="C53" s="257"/>
      <c r="D53" s="257"/>
      <c r="E53" s="257"/>
      <c r="F53" s="5"/>
      <c r="G53" s="5"/>
      <c r="H53" s="259"/>
      <c r="I53" s="17"/>
      <c r="J53" s="259"/>
      <c r="K53" s="259"/>
      <c r="L53" s="259"/>
      <c r="M53" s="259"/>
      <c r="N53" s="259"/>
      <c r="O53" s="18"/>
      <c r="Q53" s="5"/>
      <c r="R53" s="5"/>
      <c r="S53" s="5"/>
    </row>
    <row r="54" spans="2:27">
      <c r="B54" s="41"/>
      <c r="C54" s="249"/>
      <c r="D54" s="254"/>
      <c r="E54" s="254"/>
      <c r="F54" s="254"/>
      <c r="G54" s="254"/>
      <c r="H54" s="254"/>
      <c r="I54" s="259"/>
      <c r="J54" s="254"/>
      <c r="K54" s="254"/>
      <c r="L54" s="254"/>
      <c r="M54" s="254"/>
      <c r="N54" s="254"/>
      <c r="O54" s="251"/>
      <c r="Q54" s="5"/>
      <c r="R54" s="5"/>
      <c r="S54" s="5"/>
    </row>
    <row r="55" spans="2:27">
      <c r="B55" s="5"/>
      <c r="C55" s="257"/>
      <c r="D55" s="17"/>
      <c r="E55" s="17"/>
      <c r="F55" s="17"/>
      <c r="G55" s="17"/>
      <c r="H55" s="17"/>
      <c r="I55" s="249"/>
      <c r="J55" s="17"/>
      <c r="K55" s="17"/>
      <c r="L55" s="17"/>
      <c r="M55" s="17"/>
      <c r="N55" s="17"/>
      <c r="O55" s="18"/>
      <c r="Q55" s="5"/>
      <c r="R55" s="5"/>
      <c r="S55" s="5"/>
    </row>
    <row r="56" spans="2:27">
      <c r="B56" s="5"/>
      <c r="C56" s="248"/>
      <c r="D56" s="248"/>
      <c r="E56" s="248"/>
      <c r="F56" s="5"/>
      <c r="G56" s="5"/>
      <c r="H56" s="259"/>
      <c r="I56" s="248"/>
      <c r="J56" s="259"/>
      <c r="K56" s="259"/>
      <c r="L56" s="259"/>
      <c r="M56" s="259"/>
      <c r="N56" s="259"/>
      <c r="O56" s="18"/>
      <c r="Q56" s="5"/>
      <c r="R56" s="5"/>
      <c r="S56" s="5"/>
    </row>
    <row r="57" spans="2:27">
      <c r="B57" s="41"/>
      <c r="C57" s="249"/>
      <c r="D57" s="249"/>
      <c r="E57" s="249"/>
      <c r="F57" s="249"/>
      <c r="G57" s="249"/>
      <c r="H57" s="249"/>
      <c r="I57" s="5"/>
      <c r="J57" s="249"/>
      <c r="K57" s="249"/>
      <c r="L57" s="249"/>
      <c r="M57" s="249"/>
      <c r="N57" s="249"/>
      <c r="O57" s="251"/>
      <c r="Q57" s="5"/>
      <c r="R57" s="5"/>
      <c r="S57" s="5"/>
    </row>
    <row r="58" spans="2:27">
      <c r="B58" s="5"/>
      <c r="C58" s="5"/>
      <c r="D58" s="248"/>
      <c r="E58" s="248"/>
      <c r="F58" s="248"/>
      <c r="G58" s="248"/>
      <c r="H58" s="248"/>
      <c r="I58" s="17"/>
      <c r="J58" s="248"/>
      <c r="K58" s="248"/>
      <c r="L58" s="248"/>
      <c r="M58" s="248"/>
      <c r="N58" s="248"/>
      <c r="O58" s="18"/>
      <c r="Q58" s="5"/>
      <c r="R58" s="5"/>
      <c r="S58" s="5"/>
    </row>
    <row r="59" spans="2:27">
      <c r="B59" s="5"/>
      <c r="C59" s="5"/>
      <c r="D59" s="5"/>
      <c r="E59" s="5"/>
      <c r="F59" s="5"/>
      <c r="G59" s="5"/>
      <c r="H59" s="5"/>
      <c r="I59" s="5"/>
      <c r="J59" s="5"/>
      <c r="K59" s="5"/>
      <c r="L59" s="5"/>
      <c r="M59" s="5"/>
      <c r="N59" s="5"/>
      <c r="O59" s="5"/>
      <c r="Q59" s="5"/>
      <c r="R59" s="5"/>
      <c r="S59" s="5"/>
    </row>
    <row r="60" spans="2:27">
      <c r="B60" s="41"/>
      <c r="C60" s="17"/>
      <c r="D60" s="17"/>
      <c r="E60" s="17"/>
      <c r="F60" s="17"/>
      <c r="G60" s="17"/>
      <c r="H60" s="17"/>
      <c r="I60" s="249"/>
      <c r="J60" s="17"/>
      <c r="K60" s="17"/>
      <c r="L60" s="17"/>
      <c r="M60" s="17"/>
      <c r="N60" s="17"/>
      <c r="O60" s="251"/>
      <c r="Q60" s="5"/>
      <c r="R60" s="5"/>
      <c r="S60" s="5"/>
    </row>
    <row r="61" spans="2:27">
      <c r="B61" s="5"/>
      <c r="C61" s="5"/>
      <c r="D61" s="5"/>
      <c r="E61" s="5"/>
      <c r="F61" s="5"/>
      <c r="G61" s="5"/>
      <c r="H61" s="5"/>
      <c r="I61" s="5"/>
      <c r="J61" s="5"/>
      <c r="K61" s="5"/>
      <c r="L61" s="5"/>
      <c r="M61" s="5"/>
      <c r="N61" s="5"/>
      <c r="O61" s="5"/>
      <c r="Q61" s="41"/>
      <c r="R61" s="5"/>
      <c r="S61" s="5"/>
    </row>
    <row r="62" spans="2:27">
      <c r="B62" s="41"/>
      <c r="C62" s="249"/>
      <c r="D62" s="249"/>
      <c r="E62" s="249"/>
      <c r="F62" s="249"/>
      <c r="G62" s="249"/>
      <c r="H62" s="249"/>
      <c r="I62" s="5"/>
      <c r="J62" s="249"/>
      <c r="K62" s="249"/>
      <c r="L62" s="249"/>
      <c r="M62" s="249"/>
      <c r="N62" s="249"/>
      <c r="O62" s="251"/>
      <c r="Q62" s="5"/>
      <c r="R62" s="5"/>
      <c r="S62" s="5"/>
    </row>
    <row r="63" spans="2:27">
      <c r="B63" s="5"/>
      <c r="C63" s="5"/>
      <c r="D63" s="5"/>
      <c r="E63" s="5"/>
      <c r="F63" s="5"/>
      <c r="G63" s="5"/>
      <c r="H63" s="5"/>
      <c r="I63" s="254"/>
      <c r="J63" s="5"/>
      <c r="K63" s="5"/>
      <c r="L63" s="5"/>
      <c r="M63" s="5"/>
      <c r="N63" s="5"/>
      <c r="O63" s="5"/>
      <c r="Q63" s="5"/>
      <c r="R63" s="5"/>
      <c r="S63" s="5"/>
    </row>
    <row r="64" spans="2:27">
      <c r="B64" s="5"/>
      <c r="C64" s="5"/>
      <c r="D64" s="5"/>
      <c r="E64" s="5"/>
      <c r="F64" s="5"/>
      <c r="G64" s="5"/>
      <c r="H64" s="5"/>
      <c r="I64" s="17"/>
      <c r="J64" s="5"/>
      <c r="K64" s="5"/>
      <c r="L64" s="5"/>
      <c r="M64" s="5"/>
      <c r="N64" s="5"/>
      <c r="O64" s="5"/>
      <c r="Q64" s="5"/>
      <c r="R64" s="5"/>
      <c r="S64" s="5"/>
    </row>
    <row r="65" spans="2:26">
      <c r="B65" s="41"/>
      <c r="C65" s="249"/>
      <c r="D65" s="254"/>
      <c r="E65" s="254"/>
      <c r="F65" s="254"/>
      <c r="G65" s="254"/>
      <c r="H65" s="254"/>
      <c r="I65" s="254"/>
      <c r="J65" s="254"/>
      <c r="K65" s="254"/>
      <c r="L65" s="254"/>
      <c r="M65" s="254"/>
      <c r="N65" s="254"/>
      <c r="O65" s="251"/>
      <c r="Q65" s="5"/>
      <c r="R65" s="5"/>
      <c r="S65" s="5"/>
    </row>
    <row r="66" spans="2:26">
      <c r="B66" s="5"/>
      <c r="C66" s="5"/>
      <c r="D66" s="17"/>
      <c r="E66" s="17"/>
      <c r="F66" s="17"/>
      <c r="G66" s="17"/>
      <c r="H66" s="17"/>
      <c r="I66" s="248"/>
      <c r="J66" s="17"/>
      <c r="K66" s="17"/>
      <c r="L66" s="17"/>
      <c r="M66" s="17"/>
      <c r="N66" s="17"/>
      <c r="O66" s="5"/>
      <c r="Q66" s="5"/>
      <c r="R66" s="5"/>
      <c r="S66" s="5"/>
    </row>
    <row r="67" spans="2:26">
      <c r="B67" s="41"/>
      <c r="C67" s="249"/>
      <c r="D67" s="254"/>
      <c r="E67" s="254"/>
      <c r="F67" s="254"/>
      <c r="G67" s="254"/>
      <c r="H67" s="254"/>
      <c r="I67" s="5"/>
      <c r="J67" s="254"/>
      <c r="K67" s="254"/>
      <c r="L67" s="254"/>
      <c r="M67" s="254"/>
      <c r="N67" s="254"/>
      <c r="O67" s="251"/>
      <c r="Q67" s="41"/>
      <c r="R67" s="5"/>
      <c r="S67" s="5"/>
    </row>
    <row r="68" spans="2:26">
      <c r="B68" s="5"/>
      <c r="C68" s="5"/>
      <c r="D68" s="248"/>
      <c r="E68" s="248"/>
      <c r="F68" s="248"/>
      <c r="G68" s="248"/>
      <c r="H68" s="248"/>
      <c r="I68" s="245"/>
      <c r="J68" s="248"/>
      <c r="K68" s="248"/>
      <c r="L68" s="248"/>
      <c r="M68" s="248"/>
      <c r="N68" s="248"/>
      <c r="O68" s="5"/>
      <c r="Q68" s="5"/>
      <c r="R68" s="5"/>
      <c r="S68" s="5"/>
    </row>
    <row r="69" spans="2:26">
      <c r="B69" s="41"/>
      <c r="C69" s="5"/>
      <c r="D69" s="5"/>
      <c r="E69" s="5"/>
      <c r="F69" s="5"/>
      <c r="G69" s="5"/>
      <c r="H69" s="5"/>
      <c r="I69" s="248"/>
      <c r="J69" s="5"/>
      <c r="K69" s="5"/>
      <c r="L69" s="5"/>
      <c r="M69" s="5"/>
      <c r="N69" s="5"/>
      <c r="O69" s="5"/>
      <c r="Q69" s="5"/>
      <c r="R69" s="5"/>
      <c r="S69" s="5"/>
    </row>
    <row r="70" spans="2:26">
      <c r="B70" s="41"/>
      <c r="C70" s="245"/>
      <c r="D70" s="245"/>
      <c r="E70" s="245"/>
      <c r="F70" s="245"/>
      <c r="G70" s="245"/>
      <c r="H70" s="245"/>
      <c r="I70" s="5"/>
      <c r="J70" s="245"/>
      <c r="K70" s="245"/>
      <c r="L70" s="245"/>
      <c r="M70" s="245"/>
      <c r="N70" s="245"/>
      <c r="O70" s="251"/>
      <c r="Q70" s="5"/>
      <c r="R70" s="5"/>
      <c r="S70" s="5"/>
      <c r="W70" s="76"/>
      <c r="X70" s="76"/>
    </row>
    <row r="71" spans="2:26">
      <c r="B71" s="5"/>
      <c r="C71" s="5"/>
      <c r="D71" s="248"/>
      <c r="E71" s="248"/>
      <c r="F71" s="248"/>
      <c r="G71" s="248"/>
      <c r="H71" s="248"/>
      <c r="I71" s="245"/>
      <c r="J71" s="248"/>
      <c r="K71" s="248"/>
      <c r="L71" s="248"/>
      <c r="M71" s="248"/>
      <c r="N71" s="248"/>
      <c r="O71" s="5"/>
      <c r="Q71" s="5"/>
      <c r="R71" s="5"/>
      <c r="S71" s="5"/>
      <c r="W71" s="76"/>
      <c r="X71" s="76"/>
      <c r="Y71" s="76"/>
      <c r="Z71" s="76"/>
    </row>
    <row r="72" spans="2:26">
      <c r="B72" s="41"/>
      <c r="C72" s="5"/>
      <c r="D72" s="5"/>
      <c r="E72" s="5"/>
      <c r="F72" s="5"/>
      <c r="G72" s="5"/>
      <c r="H72" s="5"/>
      <c r="I72" s="18"/>
      <c r="J72" s="5"/>
      <c r="K72" s="5"/>
      <c r="L72" s="5"/>
      <c r="M72" s="5"/>
      <c r="N72" s="5"/>
      <c r="O72" s="5"/>
      <c r="Q72" s="5"/>
      <c r="R72" s="5"/>
      <c r="S72" s="5"/>
      <c r="Y72" s="76"/>
      <c r="Z72" s="76"/>
    </row>
    <row r="73" spans="2:26">
      <c r="B73" s="41"/>
      <c r="C73" s="245"/>
      <c r="D73" s="245"/>
      <c r="E73" s="245"/>
      <c r="F73" s="245"/>
      <c r="G73" s="245"/>
      <c r="H73" s="245"/>
      <c r="I73" s="5"/>
      <c r="J73" s="245"/>
      <c r="K73" s="245"/>
      <c r="L73" s="245"/>
      <c r="M73" s="245"/>
      <c r="N73" s="245"/>
      <c r="O73" s="251"/>
      <c r="Q73" s="5"/>
      <c r="R73" s="5"/>
      <c r="S73" s="5"/>
    </row>
    <row r="74" spans="2:26">
      <c r="B74" s="5"/>
      <c r="C74" s="5"/>
      <c r="D74" s="18"/>
      <c r="E74" s="18"/>
      <c r="F74" s="18"/>
      <c r="G74" s="18"/>
      <c r="H74" s="18"/>
      <c r="I74" s="249"/>
      <c r="J74" s="18"/>
      <c r="K74" s="18"/>
      <c r="L74" s="18"/>
      <c r="M74" s="18"/>
      <c r="N74" s="18"/>
      <c r="O74" s="5"/>
      <c r="Q74" s="5"/>
      <c r="R74" s="5"/>
      <c r="S74" s="5"/>
    </row>
    <row r="75" spans="2:26">
      <c r="B75" s="41"/>
      <c r="C75" s="5"/>
      <c r="D75" s="5"/>
      <c r="E75" s="5"/>
      <c r="F75" s="5"/>
      <c r="G75" s="5"/>
      <c r="H75" s="5"/>
      <c r="I75" s="248"/>
      <c r="J75" s="5"/>
      <c r="K75" s="5"/>
      <c r="L75" s="5"/>
      <c r="M75" s="5"/>
      <c r="N75" s="5"/>
      <c r="O75" s="5"/>
      <c r="Q75" s="5"/>
      <c r="R75" s="5"/>
      <c r="S75" s="5"/>
    </row>
    <row r="76" spans="2:26">
      <c r="B76" s="41"/>
      <c r="C76" s="249"/>
      <c r="D76" s="249"/>
      <c r="E76" s="249"/>
      <c r="F76" s="249"/>
      <c r="G76" s="249"/>
      <c r="H76" s="249"/>
      <c r="I76" s="5"/>
      <c r="J76" s="249"/>
      <c r="K76" s="249"/>
      <c r="L76" s="249"/>
      <c r="M76" s="249"/>
      <c r="N76" s="249"/>
      <c r="O76" s="251"/>
      <c r="Q76" s="5"/>
      <c r="R76" s="5"/>
      <c r="S76" s="5"/>
    </row>
    <row r="77" spans="2:26">
      <c r="B77" s="5"/>
      <c r="C77" s="5"/>
      <c r="D77" s="248"/>
      <c r="E77" s="248"/>
      <c r="F77" s="248"/>
      <c r="G77" s="248"/>
      <c r="H77" s="248"/>
      <c r="I77" s="245"/>
      <c r="J77" s="248"/>
      <c r="K77" s="248"/>
      <c r="L77" s="248"/>
      <c r="M77" s="248"/>
      <c r="N77" s="248"/>
      <c r="O77" s="5"/>
      <c r="Q77" s="5"/>
      <c r="R77" s="5"/>
      <c r="S77" s="5"/>
    </row>
    <row r="78" spans="2:26">
      <c r="B78" s="41"/>
      <c r="C78" s="5"/>
      <c r="D78" s="5"/>
      <c r="E78" s="5"/>
      <c r="F78" s="5"/>
      <c r="G78" s="5"/>
      <c r="H78" s="5"/>
      <c r="I78" s="248"/>
      <c r="J78" s="5"/>
      <c r="K78" s="5"/>
      <c r="L78" s="5"/>
      <c r="M78" s="5"/>
      <c r="N78" s="5"/>
      <c r="O78" s="5"/>
      <c r="Q78" s="5"/>
      <c r="R78" s="5"/>
      <c r="S78" s="5"/>
    </row>
    <row r="79" spans="2:26">
      <c r="B79" s="41"/>
      <c r="C79" s="245"/>
      <c r="D79" s="245"/>
      <c r="E79" s="245"/>
      <c r="F79" s="245"/>
      <c r="G79" s="245"/>
      <c r="H79" s="245"/>
      <c r="I79" s="5"/>
      <c r="J79" s="245"/>
      <c r="K79" s="245"/>
      <c r="L79" s="245"/>
      <c r="M79" s="245"/>
      <c r="N79" s="245"/>
      <c r="O79" s="251"/>
      <c r="Q79" s="5"/>
      <c r="R79" s="5"/>
      <c r="S79" s="5"/>
    </row>
    <row r="80" spans="2:26">
      <c r="B80" s="5"/>
      <c r="C80" s="5"/>
      <c r="D80" s="248"/>
      <c r="E80" s="248"/>
      <c r="F80" s="248"/>
      <c r="G80" s="248"/>
      <c r="H80" s="248"/>
      <c r="I80" s="249"/>
      <c r="J80" s="248"/>
      <c r="K80" s="248"/>
      <c r="L80" s="248"/>
      <c r="M80" s="248"/>
      <c r="N80" s="248"/>
      <c r="O80" s="5"/>
      <c r="Q80" s="5"/>
      <c r="R80" s="5"/>
      <c r="S80" s="5"/>
    </row>
    <row r="81" spans="2:26">
      <c r="B81" s="41"/>
      <c r="C81" s="5"/>
      <c r="D81" s="5"/>
      <c r="E81" s="5"/>
      <c r="F81" s="5"/>
      <c r="G81" s="5"/>
      <c r="H81" s="5"/>
      <c r="I81" s="248"/>
      <c r="J81" s="5"/>
      <c r="K81" s="5"/>
      <c r="L81" s="5"/>
      <c r="M81" s="5"/>
      <c r="N81" s="5"/>
      <c r="O81" s="5"/>
      <c r="Q81" s="5"/>
      <c r="R81" s="5"/>
      <c r="S81" s="5"/>
    </row>
    <row r="82" spans="2:26">
      <c r="B82" s="41"/>
      <c r="C82" s="249"/>
      <c r="D82" s="249"/>
      <c r="E82" s="249"/>
      <c r="F82" s="249"/>
      <c r="G82" s="249"/>
      <c r="H82" s="249"/>
      <c r="I82" s="259"/>
      <c r="J82" s="249"/>
      <c r="K82" s="249"/>
      <c r="L82" s="249"/>
      <c r="M82" s="249"/>
      <c r="N82" s="249"/>
      <c r="O82" s="251"/>
      <c r="Q82" s="5"/>
      <c r="R82" s="5"/>
      <c r="S82" s="5"/>
    </row>
    <row r="83" spans="2:26">
      <c r="B83" s="5"/>
      <c r="C83" s="5"/>
      <c r="D83" s="248"/>
      <c r="E83" s="248"/>
      <c r="F83" s="248"/>
      <c r="G83" s="248"/>
      <c r="H83" s="248"/>
      <c r="I83" s="5"/>
      <c r="J83" s="248"/>
      <c r="K83" s="248"/>
      <c r="L83" s="248"/>
      <c r="M83" s="248"/>
      <c r="N83" s="248"/>
      <c r="O83" s="5"/>
      <c r="Q83" s="5"/>
      <c r="R83" s="5"/>
      <c r="S83" s="5"/>
    </row>
    <row r="84" spans="2:26">
      <c r="B84" s="5"/>
      <c r="C84" s="259"/>
      <c r="D84" s="259"/>
      <c r="E84" s="259"/>
      <c r="F84" s="259"/>
      <c r="G84" s="259"/>
      <c r="H84" s="259"/>
      <c r="I84" s="245"/>
      <c r="J84" s="259"/>
      <c r="K84" s="259"/>
      <c r="L84" s="259"/>
      <c r="M84" s="259"/>
      <c r="N84" s="259"/>
      <c r="O84" s="251"/>
      <c r="Q84" s="5"/>
      <c r="R84" s="5"/>
      <c r="S84" s="5"/>
    </row>
    <row r="85" spans="2:26">
      <c r="B85" s="41"/>
      <c r="C85" s="5"/>
      <c r="D85" s="5"/>
      <c r="E85" s="5"/>
      <c r="F85" s="5"/>
      <c r="G85" s="5"/>
      <c r="H85" s="5"/>
      <c r="I85" s="248"/>
      <c r="J85" s="5"/>
      <c r="K85" s="5"/>
      <c r="L85" s="5"/>
      <c r="M85" s="5"/>
      <c r="N85" s="5"/>
      <c r="O85" s="5"/>
      <c r="Q85" s="5"/>
      <c r="R85" s="5"/>
      <c r="S85" s="5"/>
    </row>
    <row r="86" spans="2:26">
      <c r="B86" s="41"/>
      <c r="C86" s="245"/>
      <c r="D86" s="245"/>
      <c r="E86" s="245"/>
      <c r="F86" s="245"/>
      <c r="G86" s="245"/>
      <c r="H86" s="245"/>
      <c r="I86" s="5"/>
      <c r="J86" s="245"/>
      <c r="K86" s="245"/>
      <c r="L86" s="245"/>
      <c r="M86" s="245"/>
      <c r="N86" s="245"/>
      <c r="O86" s="251"/>
      <c r="Q86" s="5"/>
      <c r="R86" s="5"/>
      <c r="S86" s="5"/>
    </row>
    <row r="87" spans="2:26">
      <c r="B87" s="5"/>
      <c r="C87" s="5"/>
      <c r="D87" s="248"/>
      <c r="E87" s="248"/>
      <c r="F87" s="248"/>
      <c r="G87" s="248"/>
      <c r="H87" s="248"/>
      <c r="I87" s="5"/>
      <c r="J87" s="248"/>
      <c r="K87" s="248"/>
      <c r="L87" s="248"/>
      <c r="M87" s="248"/>
      <c r="N87" s="248"/>
      <c r="O87" s="5"/>
      <c r="Q87" s="5"/>
      <c r="R87" s="5"/>
      <c r="S87" s="5"/>
    </row>
    <row r="88" spans="2:26">
      <c r="B88" s="41"/>
      <c r="C88" s="5"/>
      <c r="D88" s="5"/>
      <c r="E88" s="5"/>
      <c r="F88" s="5"/>
      <c r="G88" s="5"/>
      <c r="H88" s="5"/>
      <c r="I88" s="5"/>
      <c r="J88" s="5"/>
      <c r="K88" s="5"/>
      <c r="L88" s="5"/>
      <c r="M88" s="5"/>
      <c r="N88" s="5"/>
      <c r="O88" s="5"/>
      <c r="Q88" s="5"/>
      <c r="R88" s="5"/>
      <c r="S88" s="5"/>
    </row>
    <row r="89" spans="2:26">
      <c r="B89" s="41"/>
      <c r="C89" s="5"/>
      <c r="D89" s="5"/>
      <c r="E89" s="5"/>
      <c r="F89" s="5"/>
      <c r="G89" s="5"/>
      <c r="H89" s="5"/>
      <c r="I89" s="5"/>
      <c r="J89" s="5"/>
      <c r="K89" s="5"/>
      <c r="L89" s="5"/>
      <c r="M89" s="5"/>
      <c r="N89" s="5"/>
      <c r="O89" s="5"/>
      <c r="Q89" s="5"/>
      <c r="R89" s="5"/>
      <c r="S89" s="5"/>
    </row>
    <row r="90" spans="2:26">
      <c r="B90" s="41"/>
      <c r="C90" s="5"/>
      <c r="D90" s="5"/>
      <c r="E90" s="5"/>
      <c r="F90" s="5"/>
      <c r="G90" s="5"/>
      <c r="H90" s="5"/>
      <c r="I90" s="49"/>
      <c r="J90" s="5"/>
      <c r="K90" s="5"/>
      <c r="L90" s="5"/>
      <c r="M90" s="5"/>
      <c r="N90" s="5"/>
      <c r="O90" s="5"/>
      <c r="Q90" s="41"/>
      <c r="R90" s="5"/>
      <c r="S90" s="5"/>
    </row>
    <row r="91" spans="2:26">
      <c r="B91" s="5"/>
      <c r="C91" s="5"/>
      <c r="D91" s="5"/>
      <c r="E91" s="5"/>
      <c r="F91" s="5"/>
      <c r="G91" s="5"/>
      <c r="H91" s="5"/>
      <c r="I91" s="5"/>
      <c r="J91" s="5"/>
      <c r="K91" s="5"/>
      <c r="L91" s="5"/>
      <c r="M91" s="5"/>
      <c r="N91" s="5"/>
      <c r="O91" s="5"/>
      <c r="Q91" s="5"/>
      <c r="R91" s="5"/>
      <c r="S91" s="5"/>
    </row>
    <row r="92" spans="2:26">
      <c r="B92" s="41"/>
      <c r="C92" s="49"/>
      <c r="D92" s="49"/>
      <c r="E92" s="49"/>
      <c r="F92" s="49"/>
      <c r="G92" s="49"/>
      <c r="H92" s="49"/>
      <c r="I92" s="247"/>
      <c r="J92" s="49"/>
      <c r="K92" s="49"/>
      <c r="L92" s="49"/>
      <c r="M92" s="49"/>
      <c r="N92" s="49"/>
      <c r="O92" s="49"/>
      <c r="Q92" s="5"/>
      <c r="R92" s="5"/>
      <c r="S92" s="5"/>
      <c r="W92" s="21"/>
      <c r="X92" s="21"/>
    </row>
    <row r="93" spans="2:26">
      <c r="B93" s="5"/>
      <c r="C93" s="5"/>
      <c r="D93" s="5"/>
      <c r="E93" s="5"/>
      <c r="F93" s="5"/>
      <c r="G93" s="5"/>
      <c r="H93" s="5"/>
      <c r="I93" s="247"/>
      <c r="J93" s="5"/>
      <c r="K93" s="5"/>
      <c r="L93" s="5"/>
      <c r="M93" s="5"/>
      <c r="N93" s="5"/>
      <c r="O93" s="5"/>
      <c r="Q93" s="5"/>
      <c r="R93" s="5"/>
      <c r="S93" s="5"/>
      <c r="W93" s="21"/>
      <c r="X93" s="21"/>
      <c r="Y93" s="21"/>
      <c r="Z93" s="21"/>
    </row>
    <row r="94" spans="2:26">
      <c r="B94" s="5"/>
      <c r="C94" s="259"/>
      <c r="D94" s="247"/>
      <c r="E94" s="247"/>
      <c r="F94" s="247"/>
      <c r="G94" s="247"/>
      <c r="H94" s="247"/>
      <c r="I94" s="247"/>
      <c r="J94" s="247"/>
      <c r="K94" s="247"/>
      <c r="L94" s="247"/>
      <c r="M94" s="247"/>
      <c r="N94" s="247"/>
      <c r="O94" s="248"/>
      <c r="Q94" s="5"/>
      <c r="R94" s="5"/>
      <c r="S94" s="5"/>
      <c r="Y94" s="21"/>
      <c r="Z94" s="21"/>
    </row>
    <row r="95" spans="2:26">
      <c r="B95" s="5"/>
      <c r="C95" s="259"/>
      <c r="D95" s="247"/>
      <c r="E95" s="247"/>
      <c r="F95" s="247"/>
      <c r="G95" s="247"/>
      <c r="H95" s="247"/>
      <c r="I95" s="248"/>
      <c r="J95" s="247"/>
      <c r="K95" s="247"/>
      <c r="L95" s="247"/>
      <c r="M95" s="247"/>
      <c r="N95" s="247"/>
      <c r="O95" s="248"/>
      <c r="Q95" s="5"/>
      <c r="R95" s="5"/>
      <c r="S95" s="5"/>
    </row>
    <row r="96" spans="2:26">
      <c r="B96" s="5"/>
      <c r="C96" s="259"/>
      <c r="D96" s="247"/>
      <c r="E96" s="247"/>
      <c r="F96" s="247"/>
      <c r="G96" s="247"/>
      <c r="H96" s="247"/>
      <c r="I96" s="247"/>
      <c r="J96" s="247"/>
      <c r="K96" s="247"/>
      <c r="L96" s="247"/>
      <c r="M96" s="247"/>
      <c r="N96" s="247"/>
      <c r="O96" s="248"/>
      <c r="Q96" s="5"/>
      <c r="R96" s="5"/>
      <c r="S96" s="5"/>
    </row>
    <row r="97" spans="2:19">
      <c r="B97" s="5"/>
      <c r="C97" s="259"/>
      <c r="D97" s="248"/>
      <c r="E97" s="248"/>
      <c r="F97" s="248"/>
      <c r="G97" s="248"/>
      <c r="H97" s="248"/>
      <c r="I97" s="249"/>
      <c r="J97" s="248"/>
      <c r="K97" s="248"/>
      <c r="L97" s="248"/>
      <c r="M97" s="248"/>
      <c r="N97" s="248"/>
      <c r="O97" s="248"/>
      <c r="Q97" s="5"/>
      <c r="R97" s="5"/>
      <c r="S97" s="5"/>
    </row>
    <row r="98" spans="2:19">
      <c r="B98" s="5"/>
      <c r="C98" s="259"/>
      <c r="D98" s="247"/>
      <c r="E98" s="247"/>
      <c r="F98" s="247"/>
      <c r="G98" s="247"/>
      <c r="H98" s="247"/>
      <c r="I98" s="248"/>
      <c r="J98" s="247"/>
      <c r="K98" s="247"/>
      <c r="L98" s="247"/>
      <c r="M98" s="247"/>
      <c r="N98" s="247"/>
      <c r="O98" s="248"/>
      <c r="Q98" s="5"/>
      <c r="R98" s="5"/>
      <c r="S98" s="5"/>
    </row>
    <row r="99" spans="2:19">
      <c r="B99" s="41"/>
      <c r="C99" s="249"/>
      <c r="D99" s="249"/>
      <c r="E99" s="249"/>
      <c r="F99" s="249"/>
      <c r="G99" s="249"/>
      <c r="H99" s="249"/>
      <c r="I99" s="5"/>
      <c r="J99" s="249"/>
      <c r="K99" s="249"/>
      <c r="L99" s="249"/>
      <c r="M99" s="249"/>
      <c r="N99" s="249"/>
      <c r="O99" s="248"/>
      <c r="Q99" s="5"/>
      <c r="R99" s="5"/>
      <c r="S99" s="5"/>
    </row>
    <row r="100" spans="2:19">
      <c r="B100" s="41"/>
      <c r="C100" s="257"/>
      <c r="D100" s="248"/>
      <c r="E100" s="248"/>
      <c r="F100" s="248"/>
      <c r="G100" s="248"/>
      <c r="H100" s="248"/>
      <c r="I100" s="259"/>
      <c r="J100" s="248"/>
      <c r="K100" s="248"/>
      <c r="L100" s="248"/>
      <c r="M100" s="248"/>
      <c r="N100" s="248"/>
      <c r="O100" s="248"/>
      <c r="Q100" s="5"/>
      <c r="R100" s="5"/>
      <c r="S100" s="5"/>
    </row>
    <row r="101" spans="2:19" s="5" customFormat="1">
      <c r="B101" s="41"/>
      <c r="I101" s="259"/>
      <c r="O101" s="248"/>
      <c r="P101" s="39"/>
    </row>
    <row r="102" spans="2:19">
      <c r="B102" s="5"/>
      <c r="C102" s="259"/>
      <c r="D102" s="259"/>
      <c r="E102" s="259"/>
      <c r="F102" s="259"/>
      <c r="G102" s="259"/>
      <c r="H102" s="259"/>
      <c r="I102" s="247"/>
      <c r="J102" s="259"/>
      <c r="K102" s="259"/>
      <c r="L102" s="259"/>
      <c r="M102" s="259"/>
      <c r="N102" s="259"/>
      <c r="O102" s="5"/>
      <c r="Q102" s="5"/>
      <c r="R102" s="5"/>
      <c r="S102" s="5"/>
    </row>
    <row r="103" spans="2:19">
      <c r="B103" s="5"/>
      <c r="C103" s="259"/>
      <c r="D103" s="259"/>
      <c r="E103" s="259"/>
      <c r="F103" s="259"/>
      <c r="G103" s="259"/>
      <c r="H103" s="259"/>
      <c r="I103" s="5"/>
      <c r="J103" s="259"/>
      <c r="K103" s="259"/>
      <c r="L103" s="259"/>
      <c r="M103" s="259"/>
      <c r="N103" s="259"/>
      <c r="O103" s="5"/>
      <c r="P103" s="5"/>
      <c r="Q103" s="5"/>
      <c r="R103" s="5"/>
      <c r="S103" s="5"/>
    </row>
    <row r="104" spans="2:19">
      <c r="B104" s="5"/>
      <c r="C104" s="247"/>
      <c r="D104" s="247"/>
      <c r="E104" s="247"/>
      <c r="F104" s="247"/>
      <c r="G104" s="247"/>
      <c r="H104" s="247"/>
      <c r="I104" s="247"/>
      <c r="J104" s="247"/>
      <c r="K104" s="247"/>
      <c r="L104" s="247"/>
      <c r="M104" s="247"/>
      <c r="N104" s="247"/>
      <c r="O104" s="5"/>
      <c r="Q104" s="5"/>
      <c r="R104" s="5"/>
      <c r="S104" s="5"/>
    </row>
    <row r="105" spans="2:19" s="5" customFormat="1">
      <c r="P105" s="39"/>
    </row>
    <row r="106" spans="2:19" s="5" customFormat="1">
      <c r="C106" s="259"/>
      <c r="D106" s="247"/>
      <c r="E106" s="247"/>
      <c r="F106" s="247"/>
      <c r="G106" s="247"/>
      <c r="H106" s="247"/>
      <c r="I106" s="259"/>
      <c r="J106" s="247"/>
      <c r="K106" s="247"/>
      <c r="L106" s="247"/>
      <c r="M106" s="247"/>
      <c r="N106" s="247"/>
      <c r="P106" s="39"/>
    </row>
    <row r="107" spans="2:19">
      <c r="B107" s="5"/>
      <c r="C107" s="259"/>
      <c r="D107" s="5"/>
      <c r="E107" s="5"/>
      <c r="F107" s="5"/>
      <c r="G107" s="5"/>
      <c r="H107" s="5"/>
      <c r="I107" s="247"/>
      <c r="J107" s="5"/>
      <c r="K107" s="5"/>
      <c r="L107" s="5"/>
      <c r="M107" s="5"/>
      <c r="N107" s="5"/>
      <c r="O107" s="5"/>
      <c r="P107" s="5"/>
      <c r="Q107" s="5"/>
      <c r="R107" s="5"/>
      <c r="S107" s="5"/>
    </row>
    <row r="108" spans="2:19">
      <c r="B108" s="5"/>
      <c r="C108" s="259"/>
      <c r="D108" s="259"/>
      <c r="E108" s="259"/>
      <c r="F108" s="259"/>
      <c r="G108" s="259"/>
      <c r="H108" s="259"/>
      <c r="I108" s="249"/>
      <c r="J108" s="259"/>
      <c r="K108" s="259"/>
      <c r="L108" s="259"/>
      <c r="M108" s="259"/>
      <c r="N108" s="259"/>
      <c r="O108" s="5"/>
      <c r="P108" s="5"/>
      <c r="Q108" s="5"/>
      <c r="R108" s="5"/>
      <c r="S108" s="5"/>
    </row>
    <row r="109" spans="2:19">
      <c r="B109" s="5"/>
      <c r="C109" s="247"/>
      <c r="D109" s="247"/>
      <c r="E109" s="247"/>
      <c r="F109" s="247"/>
      <c r="G109" s="247"/>
      <c r="H109" s="247"/>
      <c r="I109" s="249"/>
      <c r="J109" s="247"/>
      <c r="K109" s="247"/>
      <c r="L109" s="247"/>
      <c r="M109" s="247"/>
      <c r="N109" s="247"/>
      <c r="O109" s="5"/>
      <c r="Q109" s="5"/>
      <c r="R109" s="5"/>
      <c r="S109" s="5"/>
    </row>
    <row r="110" spans="2:19">
      <c r="B110" s="41"/>
      <c r="C110" s="249"/>
      <c r="D110" s="249"/>
      <c r="E110" s="249"/>
      <c r="F110" s="249"/>
      <c r="G110" s="249"/>
      <c r="H110" s="249"/>
      <c r="I110" s="247"/>
      <c r="J110" s="249"/>
      <c r="K110" s="249"/>
      <c r="L110" s="249"/>
      <c r="M110" s="249"/>
      <c r="N110" s="249"/>
      <c r="O110" s="5"/>
      <c r="Q110" s="5"/>
      <c r="R110" s="5"/>
      <c r="S110" s="5"/>
    </row>
    <row r="111" spans="2:19">
      <c r="B111" s="5"/>
      <c r="C111" s="249"/>
      <c r="D111" s="249"/>
      <c r="E111" s="249"/>
      <c r="F111" s="249"/>
      <c r="G111" s="249"/>
      <c r="H111" s="249"/>
      <c r="I111" s="5"/>
      <c r="J111" s="249"/>
      <c r="K111" s="249"/>
      <c r="L111" s="249"/>
      <c r="M111" s="249"/>
      <c r="N111" s="249"/>
      <c r="O111" s="5"/>
      <c r="Q111" s="5"/>
      <c r="R111" s="5"/>
      <c r="S111" s="5"/>
    </row>
    <row r="112" spans="2:19">
      <c r="B112" s="5"/>
      <c r="C112" s="247"/>
      <c r="D112" s="247"/>
      <c r="E112" s="247"/>
      <c r="F112" s="247"/>
      <c r="G112" s="247"/>
      <c r="H112" s="247"/>
      <c r="I112" s="5"/>
      <c r="J112" s="247"/>
      <c r="K112" s="247"/>
      <c r="L112" s="247"/>
      <c r="M112" s="247"/>
      <c r="N112" s="247"/>
      <c r="O112" s="5"/>
      <c r="Q112" s="5"/>
      <c r="R112" s="5"/>
      <c r="S112" s="5"/>
    </row>
    <row r="113" spans="2:19">
      <c r="B113" s="5"/>
      <c r="C113" s="5"/>
      <c r="D113" s="5"/>
      <c r="E113" s="5"/>
      <c r="F113" s="5"/>
      <c r="G113" s="5"/>
      <c r="H113" s="5"/>
      <c r="I113" s="5"/>
      <c r="J113" s="5"/>
      <c r="K113" s="5"/>
      <c r="L113" s="5"/>
      <c r="M113" s="5"/>
      <c r="N113" s="5"/>
      <c r="O113" s="5"/>
      <c r="Q113" s="5"/>
      <c r="R113" s="5"/>
      <c r="S113" s="5"/>
    </row>
    <row r="114" spans="2:19">
      <c r="B114" s="5"/>
      <c r="C114" s="5"/>
      <c r="D114" s="5"/>
      <c r="E114" s="5"/>
      <c r="F114" s="5"/>
      <c r="G114" s="5"/>
      <c r="H114" s="5"/>
      <c r="I114" s="5"/>
      <c r="J114" s="5"/>
      <c r="K114" s="5"/>
      <c r="L114" s="5"/>
      <c r="M114" s="5"/>
      <c r="N114" s="5"/>
      <c r="O114" s="5"/>
      <c r="Q114" s="5"/>
      <c r="R114" s="5"/>
      <c r="S114" s="5"/>
    </row>
    <row r="115" spans="2:19">
      <c r="B115" s="5"/>
      <c r="C115" s="5"/>
      <c r="D115" s="5"/>
      <c r="E115" s="5"/>
      <c r="F115" s="5"/>
      <c r="G115" s="5"/>
      <c r="H115" s="5"/>
      <c r="I115" s="49"/>
      <c r="J115" s="5"/>
      <c r="K115" s="5"/>
      <c r="L115" s="5"/>
      <c r="M115" s="5"/>
      <c r="N115" s="5"/>
      <c r="O115" s="5"/>
      <c r="Q115" s="41"/>
      <c r="R115" s="5"/>
      <c r="S115" s="5"/>
    </row>
    <row r="116" spans="2:19">
      <c r="B116" s="5"/>
      <c r="C116" s="5"/>
      <c r="D116" s="5"/>
      <c r="E116" s="5"/>
      <c r="F116" s="5"/>
      <c r="G116" s="5"/>
      <c r="H116" s="5"/>
      <c r="I116" s="5"/>
      <c r="J116" s="5"/>
      <c r="K116" s="5"/>
      <c r="L116" s="5"/>
      <c r="M116" s="5"/>
      <c r="N116" s="5"/>
      <c r="O116" s="5"/>
      <c r="Q116" s="5"/>
      <c r="R116" s="5"/>
      <c r="S116" s="5"/>
    </row>
    <row r="117" spans="2:19">
      <c r="B117" s="41"/>
      <c r="C117" s="49"/>
      <c r="D117" s="49"/>
      <c r="E117" s="49"/>
      <c r="F117" s="49"/>
      <c r="G117" s="49"/>
      <c r="H117" s="49"/>
      <c r="I117" s="254"/>
      <c r="J117" s="49"/>
      <c r="K117" s="49"/>
      <c r="L117" s="49"/>
      <c r="M117" s="49"/>
      <c r="N117" s="49"/>
      <c r="O117" s="49"/>
      <c r="Q117" s="5"/>
      <c r="R117" s="5"/>
      <c r="S117" s="5"/>
    </row>
    <row r="118" spans="2:19">
      <c r="B118" s="5"/>
      <c r="C118" s="5"/>
      <c r="D118" s="5"/>
      <c r="E118" s="5"/>
      <c r="F118" s="5"/>
      <c r="G118" s="5"/>
      <c r="H118" s="5"/>
      <c r="I118" s="249"/>
      <c r="J118" s="5"/>
      <c r="K118" s="5"/>
      <c r="L118" s="5"/>
      <c r="M118" s="5"/>
      <c r="N118" s="5"/>
      <c r="O118" s="5"/>
      <c r="Q118" s="5"/>
      <c r="R118" s="5"/>
      <c r="S118" s="5"/>
    </row>
    <row r="119" spans="2:19">
      <c r="B119" s="41"/>
      <c r="C119" s="254"/>
      <c r="D119" s="254"/>
      <c r="E119" s="254"/>
      <c r="F119" s="254"/>
      <c r="G119" s="254"/>
      <c r="H119" s="254"/>
      <c r="I119" s="254"/>
      <c r="J119" s="254"/>
      <c r="K119" s="254"/>
      <c r="L119" s="254"/>
      <c r="M119" s="254"/>
      <c r="N119" s="254"/>
      <c r="O119" s="248"/>
      <c r="Q119" s="5"/>
      <c r="R119" s="5"/>
      <c r="S119" s="5"/>
    </row>
    <row r="120" spans="2:19">
      <c r="B120" s="41"/>
      <c r="C120" s="254"/>
      <c r="D120" s="249"/>
      <c r="E120" s="249"/>
      <c r="F120" s="249"/>
      <c r="G120" s="249"/>
      <c r="H120" s="249"/>
      <c r="I120" s="254"/>
      <c r="J120" s="249"/>
      <c r="K120" s="249"/>
      <c r="L120" s="249"/>
      <c r="M120" s="249"/>
      <c r="N120" s="249"/>
      <c r="O120" s="248"/>
      <c r="Q120" s="5"/>
      <c r="R120" s="5"/>
      <c r="S120" s="5"/>
    </row>
    <row r="121" spans="2:19">
      <c r="B121" s="41"/>
      <c r="C121" s="254"/>
      <c r="D121" s="254"/>
      <c r="E121" s="254"/>
      <c r="F121" s="254"/>
      <c r="G121" s="254"/>
      <c r="H121" s="254"/>
      <c r="I121" s="254"/>
      <c r="J121" s="254"/>
      <c r="K121" s="254"/>
      <c r="L121" s="254"/>
      <c r="M121" s="254"/>
      <c r="N121" s="254"/>
      <c r="O121" s="248"/>
      <c r="Q121" s="5"/>
      <c r="R121" s="5"/>
      <c r="S121" s="5"/>
    </row>
    <row r="122" spans="2:19">
      <c r="B122" s="41"/>
      <c r="C122" s="254"/>
      <c r="D122" s="254"/>
      <c r="E122" s="254"/>
      <c r="F122" s="254"/>
      <c r="G122" s="254"/>
      <c r="H122" s="254"/>
      <c r="I122" s="254"/>
      <c r="J122" s="254"/>
      <c r="K122" s="254"/>
      <c r="L122" s="254"/>
      <c r="M122" s="254"/>
      <c r="N122" s="254"/>
      <c r="O122" s="248"/>
      <c r="Q122" s="5"/>
      <c r="R122" s="5"/>
      <c r="S122" s="5"/>
    </row>
    <row r="123" spans="2:19">
      <c r="B123" s="41"/>
      <c r="C123" s="254"/>
      <c r="D123" s="254"/>
      <c r="E123" s="254"/>
      <c r="F123" s="254"/>
      <c r="G123" s="254"/>
      <c r="H123" s="254"/>
      <c r="I123" s="254"/>
      <c r="J123" s="254"/>
      <c r="K123" s="254"/>
      <c r="L123" s="254"/>
      <c r="M123" s="254"/>
      <c r="N123" s="254"/>
      <c r="O123" s="248"/>
      <c r="Q123" s="5"/>
      <c r="R123" s="5"/>
      <c r="S123" s="5"/>
    </row>
    <row r="124" spans="2:19">
      <c r="B124" s="41"/>
      <c r="C124" s="254"/>
      <c r="D124" s="254"/>
      <c r="E124" s="254"/>
      <c r="F124" s="254"/>
      <c r="G124" s="254"/>
      <c r="H124" s="254"/>
      <c r="I124" s="254"/>
      <c r="J124" s="254"/>
      <c r="K124" s="254"/>
      <c r="L124" s="254"/>
      <c r="M124" s="254"/>
      <c r="N124" s="254"/>
      <c r="O124" s="248"/>
      <c r="Q124" s="5"/>
      <c r="R124" s="5"/>
      <c r="S124" s="5"/>
    </row>
    <row r="125" spans="2:19">
      <c r="B125" s="41"/>
      <c r="C125" s="254"/>
      <c r="D125" s="254"/>
      <c r="E125" s="254"/>
      <c r="F125" s="254"/>
      <c r="G125" s="254"/>
      <c r="H125" s="254"/>
      <c r="I125" s="254"/>
      <c r="J125" s="254"/>
      <c r="K125" s="254"/>
      <c r="L125" s="254"/>
      <c r="M125" s="254"/>
      <c r="N125" s="254"/>
      <c r="O125" s="5"/>
      <c r="Q125" s="5"/>
      <c r="R125" s="5"/>
      <c r="S125" s="5"/>
    </row>
    <row r="126" spans="2:19">
      <c r="B126" s="41"/>
      <c r="C126" s="254"/>
      <c r="D126" s="254"/>
      <c r="E126" s="254"/>
      <c r="F126" s="254"/>
      <c r="G126" s="254"/>
      <c r="H126" s="254"/>
      <c r="I126" s="254"/>
      <c r="J126" s="254"/>
      <c r="K126" s="254"/>
      <c r="L126" s="254"/>
      <c r="M126" s="254"/>
      <c r="N126" s="254"/>
      <c r="O126" s="5"/>
      <c r="Q126" s="5"/>
      <c r="R126" s="5"/>
      <c r="S126" s="5"/>
    </row>
    <row r="127" spans="2:19">
      <c r="B127" s="41"/>
      <c r="C127" s="254"/>
      <c r="D127" s="254"/>
      <c r="E127" s="254"/>
      <c r="F127" s="254"/>
      <c r="G127" s="254"/>
      <c r="H127" s="254"/>
      <c r="I127" s="18"/>
      <c r="J127" s="254"/>
      <c r="K127" s="254"/>
      <c r="L127" s="254"/>
      <c r="M127" s="254"/>
      <c r="N127" s="254"/>
      <c r="O127" s="5"/>
      <c r="Q127" s="5"/>
      <c r="R127" s="5"/>
      <c r="S127" s="5"/>
    </row>
    <row r="128" spans="2:19">
      <c r="B128" s="41"/>
      <c r="C128" s="254"/>
      <c r="D128" s="254"/>
      <c r="E128" s="254"/>
      <c r="F128" s="254"/>
      <c r="G128" s="254"/>
      <c r="H128" s="254"/>
      <c r="I128" s="5"/>
      <c r="J128" s="254"/>
      <c r="K128" s="254"/>
      <c r="L128" s="254"/>
      <c r="M128" s="254"/>
      <c r="N128" s="254"/>
      <c r="O128" s="5"/>
      <c r="Q128" s="5"/>
      <c r="R128" s="5"/>
      <c r="S128" s="5"/>
    </row>
    <row r="129" spans="2:27">
      <c r="B129" s="5"/>
      <c r="C129" s="5"/>
      <c r="D129" s="18"/>
      <c r="E129" s="18"/>
      <c r="F129" s="18"/>
      <c r="G129" s="18"/>
      <c r="H129" s="18"/>
      <c r="I129" s="254"/>
      <c r="J129" s="18"/>
      <c r="K129" s="18"/>
      <c r="L129" s="18"/>
      <c r="M129" s="18"/>
      <c r="N129" s="18"/>
      <c r="O129" s="5"/>
      <c r="Q129" s="5"/>
      <c r="R129" s="5"/>
      <c r="S129" s="5"/>
    </row>
    <row r="130" spans="2:27">
      <c r="B130" s="5"/>
      <c r="C130" s="5"/>
      <c r="D130" s="5"/>
      <c r="E130" s="5"/>
      <c r="F130" s="5"/>
      <c r="G130" s="5"/>
      <c r="H130" s="5"/>
      <c r="I130" s="18"/>
      <c r="J130" s="5"/>
      <c r="K130" s="5"/>
      <c r="L130" s="5"/>
      <c r="M130" s="5"/>
      <c r="N130" s="5"/>
      <c r="O130" s="5"/>
      <c r="Q130" s="5"/>
      <c r="R130" s="5"/>
      <c r="S130" s="5"/>
    </row>
    <row r="131" spans="2:27">
      <c r="B131" s="41"/>
      <c r="C131" s="254"/>
      <c r="D131" s="254"/>
      <c r="E131" s="254"/>
      <c r="F131" s="254"/>
      <c r="G131" s="254"/>
      <c r="H131" s="254"/>
      <c r="I131" s="5"/>
      <c r="J131" s="254"/>
      <c r="K131" s="254"/>
      <c r="L131" s="254"/>
      <c r="M131" s="254"/>
      <c r="N131" s="254"/>
      <c r="O131" s="5"/>
      <c r="Q131" s="5"/>
      <c r="R131" s="5"/>
      <c r="S131" s="5"/>
    </row>
    <row r="132" spans="2:27">
      <c r="B132" s="5"/>
      <c r="C132" s="259"/>
      <c r="D132" s="18"/>
      <c r="E132" s="18"/>
      <c r="F132" s="18"/>
      <c r="G132" s="18"/>
      <c r="H132" s="18"/>
      <c r="I132" s="5"/>
      <c r="J132" s="18"/>
      <c r="K132" s="18"/>
      <c r="L132" s="18"/>
      <c r="M132" s="18"/>
      <c r="N132" s="18"/>
      <c r="O132" s="5"/>
      <c r="Q132" s="5"/>
      <c r="R132" s="5"/>
      <c r="S132" s="5"/>
    </row>
    <row r="133" spans="2:27">
      <c r="B133" s="5"/>
      <c r="C133" s="5"/>
      <c r="D133" s="5"/>
      <c r="E133" s="5"/>
      <c r="F133" s="5"/>
      <c r="G133" s="5"/>
      <c r="H133" s="5"/>
      <c r="I133" s="17"/>
      <c r="J133" s="5"/>
      <c r="K133" s="5"/>
      <c r="L133" s="5"/>
      <c r="M133" s="5"/>
      <c r="N133" s="5"/>
      <c r="O133" s="5"/>
      <c r="Q133" s="5"/>
      <c r="R133" s="5"/>
      <c r="S133" s="5"/>
    </row>
    <row r="134" spans="2:27">
      <c r="B134" s="41"/>
      <c r="C134" s="5"/>
      <c r="D134" s="5"/>
      <c r="E134" s="5"/>
      <c r="F134" s="5"/>
      <c r="G134" s="5"/>
      <c r="H134" s="5"/>
      <c r="I134" s="17"/>
      <c r="J134" s="5"/>
      <c r="K134" s="5"/>
      <c r="L134" s="5"/>
      <c r="M134" s="5"/>
      <c r="N134" s="5"/>
      <c r="O134" s="5"/>
      <c r="Q134" s="5"/>
      <c r="R134" s="5"/>
      <c r="S134" s="5"/>
    </row>
    <row r="135" spans="2:27">
      <c r="B135" s="5"/>
      <c r="C135" s="17"/>
      <c r="D135" s="17"/>
      <c r="E135" s="17"/>
      <c r="F135" s="17"/>
      <c r="G135" s="17"/>
      <c r="H135" s="17"/>
      <c r="I135" s="17"/>
      <c r="J135" s="17"/>
      <c r="K135" s="17"/>
      <c r="L135" s="17"/>
      <c r="M135" s="17"/>
      <c r="N135" s="17"/>
      <c r="O135" s="5"/>
      <c r="Q135" s="41"/>
      <c r="R135" s="5"/>
      <c r="S135" s="5"/>
    </row>
    <row r="136" spans="2:27">
      <c r="B136" s="5"/>
      <c r="C136" s="17"/>
      <c r="D136" s="17"/>
      <c r="E136" s="17"/>
      <c r="F136" s="17"/>
      <c r="G136" s="17"/>
      <c r="H136" s="17"/>
      <c r="I136" s="17"/>
      <c r="J136" s="17"/>
      <c r="K136" s="17"/>
      <c r="L136" s="17"/>
      <c r="M136" s="17"/>
      <c r="N136" s="17"/>
      <c r="O136" s="5"/>
      <c r="Q136" s="5"/>
      <c r="R136" s="5"/>
      <c r="S136" s="5"/>
      <c r="X136" s="304"/>
    </row>
    <row r="137" spans="2:27">
      <c r="B137" s="5"/>
      <c r="C137" s="5"/>
      <c r="D137" s="17"/>
      <c r="E137" s="17"/>
      <c r="F137" s="17"/>
      <c r="G137" s="17"/>
      <c r="H137" s="17"/>
      <c r="I137" s="17"/>
      <c r="J137" s="17"/>
      <c r="K137" s="17"/>
      <c r="L137" s="17"/>
      <c r="M137" s="17"/>
      <c r="N137" s="17"/>
      <c r="O137" s="5"/>
      <c r="Q137" s="5"/>
      <c r="R137" s="5"/>
      <c r="S137" s="5"/>
      <c r="X137" s="10"/>
      <c r="Y137" s="304"/>
      <c r="Z137" s="304"/>
      <c r="AA137" s="304"/>
    </row>
    <row r="138" spans="2:27">
      <c r="B138" s="5"/>
      <c r="C138" s="5"/>
      <c r="D138" s="17"/>
      <c r="E138" s="17"/>
      <c r="F138" s="17"/>
      <c r="G138" s="17"/>
      <c r="H138" s="17"/>
      <c r="I138" s="17"/>
      <c r="J138" s="17"/>
      <c r="K138" s="17"/>
      <c r="L138" s="17"/>
      <c r="M138" s="17"/>
      <c r="N138" s="17"/>
      <c r="O138" s="5"/>
      <c r="Q138" s="5"/>
      <c r="R138" s="5"/>
      <c r="S138" s="5"/>
      <c r="Y138" s="10"/>
      <c r="Z138" s="10"/>
      <c r="AA138" s="10"/>
    </row>
    <row r="139" spans="2:27">
      <c r="B139" s="5"/>
      <c r="C139" s="5"/>
      <c r="D139" s="17"/>
      <c r="E139" s="17"/>
      <c r="F139" s="17"/>
      <c r="G139" s="17"/>
      <c r="H139" s="17"/>
      <c r="I139" s="5"/>
      <c r="J139" s="17"/>
      <c r="K139" s="17"/>
      <c r="L139" s="17"/>
      <c r="M139" s="17"/>
      <c r="N139" s="17"/>
      <c r="O139" s="5"/>
      <c r="Q139" s="5"/>
      <c r="R139" s="5"/>
      <c r="S139" s="5"/>
    </row>
    <row r="140" spans="2:27">
      <c r="B140" s="5"/>
      <c r="C140" s="17"/>
      <c r="D140" s="17"/>
      <c r="E140" s="17"/>
      <c r="F140" s="17"/>
      <c r="G140" s="17"/>
      <c r="H140" s="17"/>
      <c r="I140" s="5"/>
      <c r="J140" s="17"/>
      <c r="K140" s="17"/>
      <c r="L140" s="17"/>
      <c r="M140" s="17"/>
      <c r="N140" s="17"/>
      <c r="O140" s="5"/>
      <c r="Q140" s="5"/>
      <c r="R140" s="5"/>
      <c r="S140" s="5"/>
    </row>
    <row r="141" spans="2:27">
      <c r="B141" s="5"/>
      <c r="C141" s="5"/>
      <c r="D141" s="5"/>
      <c r="E141" s="5"/>
      <c r="F141" s="5"/>
      <c r="G141" s="5"/>
      <c r="H141" s="5"/>
      <c r="I141" s="5"/>
      <c r="J141" s="5"/>
      <c r="K141" s="5"/>
      <c r="L141" s="5"/>
      <c r="M141" s="5"/>
      <c r="N141" s="5"/>
      <c r="O141" s="5"/>
      <c r="Q141" s="5"/>
      <c r="R141" s="5"/>
      <c r="S141" s="5"/>
    </row>
    <row r="142" spans="2:27">
      <c r="B142" s="5"/>
      <c r="C142" s="5"/>
      <c r="D142" s="5"/>
      <c r="E142" s="5"/>
      <c r="F142" s="5"/>
      <c r="G142" s="5"/>
      <c r="H142" s="5"/>
      <c r="I142" s="5"/>
      <c r="J142" s="5"/>
      <c r="K142" s="5"/>
      <c r="L142" s="5"/>
      <c r="M142" s="5"/>
      <c r="N142" s="5"/>
      <c r="O142" s="5"/>
      <c r="Q142" s="5"/>
      <c r="R142" s="5"/>
      <c r="S142" s="5"/>
    </row>
    <row r="143" spans="2:27">
      <c r="B143" s="5"/>
      <c r="C143" s="5"/>
      <c r="D143" s="5"/>
      <c r="E143" s="5"/>
      <c r="F143" s="5"/>
      <c r="G143" s="5"/>
      <c r="H143" s="5"/>
      <c r="I143" s="5"/>
      <c r="J143" s="5"/>
      <c r="K143" s="5"/>
      <c r="L143" s="5"/>
      <c r="M143" s="5"/>
      <c r="N143" s="5"/>
      <c r="O143" s="5"/>
      <c r="Q143" s="5"/>
      <c r="R143" s="5"/>
      <c r="S143" s="5"/>
    </row>
    <row r="144" spans="2:27">
      <c r="B144" s="5"/>
      <c r="C144" s="5"/>
      <c r="D144" s="5"/>
      <c r="E144" s="5"/>
      <c r="F144" s="5"/>
      <c r="G144" s="5"/>
      <c r="H144" s="5"/>
      <c r="I144" s="5"/>
      <c r="J144" s="5"/>
      <c r="K144" s="5"/>
      <c r="L144" s="5"/>
      <c r="M144" s="5"/>
      <c r="N144" s="5"/>
      <c r="O144" s="5"/>
      <c r="Q144" s="5"/>
      <c r="R144" s="5"/>
      <c r="S144" s="5"/>
    </row>
    <row r="145" spans="2:19">
      <c r="B145" s="5"/>
      <c r="C145" s="5"/>
      <c r="D145" s="5"/>
      <c r="E145" s="5"/>
      <c r="F145" s="5"/>
      <c r="G145" s="5"/>
      <c r="H145" s="5"/>
      <c r="I145" s="5"/>
      <c r="J145" s="5"/>
      <c r="K145" s="5"/>
      <c r="L145" s="5"/>
      <c r="M145" s="5"/>
      <c r="N145" s="5"/>
      <c r="O145" s="5"/>
      <c r="Q145" s="5"/>
      <c r="R145" s="5"/>
      <c r="S145" s="5"/>
    </row>
    <row r="146" spans="2:19">
      <c r="B146" s="5"/>
      <c r="C146" s="5"/>
      <c r="D146" s="5"/>
      <c r="E146" s="5"/>
      <c r="F146" s="5"/>
      <c r="G146" s="5"/>
      <c r="H146" s="5"/>
      <c r="I146" s="5"/>
      <c r="J146" s="5"/>
      <c r="K146" s="5"/>
      <c r="L146" s="5"/>
      <c r="M146" s="5"/>
      <c r="N146" s="5"/>
      <c r="O146" s="5"/>
      <c r="Q146" s="5"/>
      <c r="R146" s="5"/>
      <c r="S146" s="5"/>
    </row>
    <row r="147" spans="2:19">
      <c r="B147" s="5"/>
      <c r="C147" s="5"/>
      <c r="D147" s="5"/>
      <c r="E147" s="5"/>
      <c r="F147" s="5"/>
      <c r="G147" s="5"/>
      <c r="H147" s="5"/>
      <c r="I147" s="5"/>
      <c r="J147" s="5"/>
      <c r="K147" s="5"/>
      <c r="L147" s="5"/>
      <c r="M147" s="5"/>
      <c r="N147" s="5"/>
      <c r="O147" s="5"/>
      <c r="Q147" s="5"/>
      <c r="R147" s="5"/>
      <c r="S147" s="5"/>
    </row>
    <row r="148" spans="2:19">
      <c r="B148" s="5"/>
      <c r="C148" s="5"/>
      <c r="D148" s="5"/>
      <c r="E148" s="5"/>
      <c r="F148" s="5"/>
      <c r="G148" s="5"/>
      <c r="H148" s="5"/>
      <c r="I148" s="5"/>
      <c r="J148" s="5"/>
      <c r="K148" s="5"/>
      <c r="L148" s="5"/>
      <c r="M148" s="5"/>
      <c r="N148" s="5"/>
      <c r="O148" s="5"/>
      <c r="Q148" s="5"/>
      <c r="R148" s="5"/>
      <c r="S148" s="5"/>
    </row>
    <row r="149" spans="2:19">
      <c r="B149" s="5"/>
      <c r="C149" s="5"/>
      <c r="D149" s="5"/>
      <c r="E149" s="5"/>
      <c r="F149" s="5"/>
      <c r="G149" s="5"/>
      <c r="H149" s="5"/>
      <c r="J149" s="5"/>
      <c r="K149" s="5"/>
      <c r="L149" s="5"/>
      <c r="M149" s="5"/>
      <c r="N149" s="5"/>
      <c r="O149" s="5"/>
      <c r="Q149" s="5"/>
      <c r="R149" s="5"/>
      <c r="S149" s="5"/>
    </row>
    <row r="150" spans="2:19">
      <c r="B150" s="5"/>
      <c r="C150" s="5"/>
      <c r="D150" s="5"/>
      <c r="E150" s="5"/>
      <c r="F150" s="5"/>
      <c r="G150" s="5"/>
      <c r="H150" s="5"/>
      <c r="J150" s="5"/>
      <c r="K150" s="5"/>
      <c r="L150" s="5"/>
      <c r="M150" s="5"/>
      <c r="N150" s="5"/>
      <c r="O150" s="5"/>
      <c r="Q150" s="5"/>
      <c r="R150" s="5"/>
      <c r="S150" s="5"/>
    </row>
    <row r="151" spans="2:19">
      <c r="Q151" s="5"/>
      <c r="R151" s="5"/>
      <c r="S151" s="5"/>
    </row>
    <row r="152" spans="2:19">
      <c r="Q152" s="5"/>
      <c r="R152" s="5"/>
      <c r="S152" s="5"/>
    </row>
    <row r="153" spans="2:19">
      <c r="C153" s="263"/>
      <c r="Q153" s="5"/>
      <c r="R153" s="5"/>
      <c r="S153" s="5"/>
    </row>
    <row r="154" spans="2:19">
      <c r="Q154" s="5"/>
      <c r="R154" s="5"/>
      <c r="S154" s="5"/>
    </row>
    <row r="155" spans="2:19">
      <c r="Q155" s="5"/>
      <c r="R155" s="5"/>
      <c r="S155" s="5"/>
    </row>
    <row r="156" spans="2:19">
      <c r="Q156" s="5"/>
      <c r="R156" s="5"/>
      <c r="S156" s="5"/>
    </row>
    <row r="157" spans="2:19">
      <c r="Q157" s="5"/>
      <c r="R157" s="5"/>
      <c r="S157" s="5"/>
    </row>
    <row r="158" spans="2:19">
      <c r="Q158" s="5"/>
      <c r="R158" s="5"/>
      <c r="S158" s="5"/>
    </row>
    <row r="159" spans="2:19">
      <c r="Q159" s="5"/>
      <c r="R159" s="5"/>
      <c r="S159" s="5"/>
    </row>
    <row r="160" spans="2:19">
      <c r="Q160" s="5"/>
      <c r="R160" s="5"/>
      <c r="S160" s="5"/>
    </row>
    <row r="161" spans="17:19">
      <c r="Q161" s="5"/>
      <c r="R161" s="5"/>
      <c r="S161" s="5"/>
    </row>
    <row r="162" spans="17:19">
      <c r="Q162" s="5"/>
      <c r="R162" s="5"/>
      <c r="S162" s="5"/>
    </row>
    <row r="163" spans="17:19">
      <c r="Q163" s="5"/>
      <c r="R163" s="5"/>
      <c r="S163" s="5"/>
    </row>
    <row r="164" spans="17:19">
      <c r="Q164" s="5"/>
      <c r="R164" s="5"/>
      <c r="S164" s="5"/>
    </row>
    <row r="165" spans="17:19">
      <c r="Q165" s="5"/>
      <c r="R165" s="5"/>
      <c r="S165" s="5"/>
    </row>
  </sheetData>
  <phoneticPr fontId="7" type="noConversion"/>
  <hyperlinks>
    <hyperlink ref="C2" location="TKCSOP!A1" display="Jump to TKC SOP" xr:uid="{00000000-0004-0000-6500-000001000000}"/>
  </hyperlinks>
  <pageMargins left="0.75" right="0.75" top="1" bottom="1" header="0.5" footer="0.5"/>
  <pageSetup scale="70" orientation="landscape" r:id="rId1"/>
  <headerFooter alignWithMargins="0"/>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sheetPr codeName="Sheet158">
    <pageSetUpPr fitToPage="1"/>
  </sheetPr>
  <dimension ref="B1:AR165"/>
  <sheetViews>
    <sheetView showGridLines="0" zoomScale="80" zoomScaleNormal="80" workbookViewId="0"/>
  </sheetViews>
  <sheetFormatPr defaultColWidth="9.109375" defaultRowHeight="12"/>
  <cols>
    <col min="1" max="1" width="2.33203125" style="39" customWidth="1"/>
    <col min="2" max="2" width="26.5546875" style="39" customWidth="1"/>
    <col min="3" max="9" width="10" style="39" customWidth="1"/>
    <col min="10" max="10" width="26.6640625" style="39" customWidth="1"/>
    <col min="11" max="16" width="10" style="39" customWidth="1"/>
    <col min="17" max="19" width="8.6640625" style="39" customWidth="1"/>
    <col min="20" max="28" width="8.6640625" style="5" customWidth="1"/>
    <col min="29" max="44" width="9.109375" style="5"/>
    <col min="45" max="16384" width="9.109375" style="39"/>
  </cols>
  <sheetData>
    <row r="1" spans="2:44" s="312" customFormat="1">
      <c r="T1" s="149"/>
      <c r="U1" s="149"/>
      <c r="V1" s="149"/>
      <c r="W1" s="149"/>
      <c r="X1" s="149"/>
      <c r="Y1" s="149"/>
      <c r="Z1" s="149"/>
      <c r="AA1" s="149"/>
      <c r="AB1" s="149"/>
      <c r="AC1" s="149"/>
      <c r="AD1" s="149"/>
      <c r="AE1" s="149"/>
      <c r="AF1" s="149"/>
      <c r="AG1" s="149"/>
      <c r="AH1" s="149"/>
      <c r="AI1" s="149"/>
      <c r="AJ1" s="149"/>
      <c r="AK1" s="149"/>
      <c r="AL1" s="149"/>
      <c r="AM1" s="149"/>
      <c r="AN1" s="149"/>
      <c r="AO1" s="149"/>
      <c r="AP1" s="149"/>
      <c r="AQ1" s="149"/>
      <c r="AR1" s="149"/>
    </row>
    <row r="2" spans="2:44" s="149" customFormat="1"/>
    <row r="3" spans="2:44" s="149" customFormat="1">
      <c r="H3" s="153"/>
      <c r="P3" s="153"/>
    </row>
    <row r="4" spans="2:44" s="156" customFormat="1" ht="21">
      <c r="B4" s="129" t="s">
        <v>32</v>
      </c>
      <c r="H4" s="222"/>
      <c r="P4" s="222"/>
    </row>
    <row r="5" spans="2:44" s="149" customFormat="1">
      <c r="C5" s="153"/>
      <c r="D5" s="153" t="str" cm="1">
        <f t="array" ref="D5:H5">headings</f>
        <v>2023E</v>
      </c>
      <c r="E5" s="153" t="str">
        <v>2024E</v>
      </c>
      <c r="F5" s="153" t="str">
        <v>2025E</v>
      </c>
      <c r="G5" s="153" t="str">
        <v>2026E</v>
      </c>
      <c r="H5" s="153" t="str">
        <v>23E-26E</v>
      </c>
      <c r="I5" s="153"/>
      <c r="J5" s="153"/>
      <c r="K5" s="153"/>
      <c r="L5" s="153" t="str" cm="1">
        <f t="array" ref="L5:P5">headings</f>
        <v>2023E</v>
      </c>
      <c r="M5" s="153" t="str">
        <v>2024E</v>
      </c>
      <c r="N5" s="153" t="str">
        <v>2025E</v>
      </c>
      <c r="O5" s="153" t="str">
        <v>2026E</v>
      </c>
      <c r="P5" s="153" t="str">
        <v>23E-26E</v>
      </c>
      <c r="Q5" s="162"/>
      <c r="R5" s="162"/>
      <c r="S5" s="162"/>
      <c r="T5" s="162"/>
      <c r="U5" s="162"/>
      <c r="V5" s="162"/>
      <c r="W5" s="162"/>
      <c r="X5" s="162"/>
      <c r="Y5" s="162"/>
    </row>
    <row r="6" spans="2:44">
      <c r="I6" s="5"/>
      <c r="J6" s="5"/>
      <c r="K6" s="5"/>
      <c r="L6" s="5"/>
      <c r="M6" s="5"/>
      <c r="N6" s="5"/>
      <c r="O6" s="49"/>
    </row>
    <row r="7" spans="2:44" ht="12.6" thickBot="1">
      <c r="B7" s="306" t="s">
        <v>271</v>
      </c>
      <c r="C7" s="265"/>
      <c r="D7" s="265" t="str">
        <f>D5</f>
        <v>2023E</v>
      </c>
      <c r="E7" s="265" t="str">
        <f t="shared" ref="E7:H7" si="0">E5</f>
        <v>2024E</v>
      </c>
      <c r="F7" s="265" t="str">
        <f t="shared" si="0"/>
        <v>2025E</v>
      </c>
      <c r="G7" s="265" t="str">
        <f t="shared" si="0"/>
        <v>2026E</v>
      </c>
      <c r="H7" s="265" t="str">
        <f t="shared" si="0"/>
        <v>23E-26E</v>
      </c>
      <c r="I7" s="49"/>
      <c r="J7" s="306" t="s">
        <v>75</v>
      </c>
      <c r="K7" s="306"/>
      <c r="L7" s="265" t="str">
        <f>L5</f>
        <v>2023E</v>
      </c>
      <c r="M7" s="265" t="str">
        <f t="shared" ref="M7:P7" si="1">M5</f>
        <v>2024E</v>
      </c>
      <c r="N7" s="265" t="str">
        <f t="shared" si="1"/>
        <v>2025E</v>
      </c>
      <c r="O7" s="265" t="str">
        <f t="shared" si="1"/>
        <v>2026E</v>
      </c>
      <c r="P7" s="265" t="str">
        <f t="shared" si="1"/>
        <v>23E-26E</v>
      </c>
    </row>
    <row r="8" spans="2:44" ht="12.6" thickTop="1">
      <c r="B8" s="5"/>
      <c r="C8" s="5"/>
      <c r="D8" s="5"/>
      <c r="E8" s="5"/>
      <c r="F8" s="5"/>
      <c r="G8" s="5"/>
      <c r="H8" s="5"/>
      <c r="I8" s="5"/>
      <c r="J8" s="5"/>
      <c r="K8" s="5"/>
      <c r="L8" s="5"/>
      <c r="M8" s="5"/>
      <c r="N8" s="5"/>
      <c r="S8" s="88"/>
      <c r="T8" s="42"/>
      <c r="U8" s="42"/>
      <c r="V8" s="42"/>
      <c r="W8" s="42"/>
      <c r="X8" s="42"/>
      <c r="Y8" s="42"/>
      <c r="Z8" s="42"/>
      <c r="AA8" s="42"/>
    </row>
    <row r="9" spans="2:44">
      <c r="B9" s="41" t="s">
        <v>887</v>
      </c>
      <c r="C9" s="287">
        <f>Prices!C59</f>
        <v>3.45</v>
      </c>
      <c r="D9" s="537"/>
      <c r="E9" s="530"/>
      <c r="F9" s="530"/>
      <c r="G9" s="530"/>
      <c r="H9" s="249"/>
      <c r="I9" s="249"/>
      <c r="J9" s="5" t="s">
        <v>273</v>
      </c>
      <c r="L9" s="529">
        <f>'AGG ASIA INCUMB'!D37</f>
        <v>63.142675059472978</v>
      </c>
      <c r="M9" s="529">
        <f>'AGG ASIA INCUMB'!E37</f>
        <v>59.736062869091825</v>
      </c>
      <c r="N9" s="529">
        <f>'AGG ASIA INCUMB'!F37</f>
        <v>51.606570083263385</v>
      </c>
      <c r="O9" s="529">
        <f>'AGG ASIA INCUMB'!G37</f>
        <v>43.869121174935444</v>
      </c>
      <c r="P9" s="286">
        <f>'AGG ASIA CELLULAR'!H37</f>
        <v>5.2823672985303771E-2</v>
      </c>
      <c r="S9" s="88"/>
      <c r="T9" s="42"/>
      <c r="U9" s="42"/>
      <c r="V9" s="42"/>
      <c r="W9" s="42"/>
      <c r="X9" s="42"/>
      <c r="Y9" s="42"/>
      <c r="Z9" s="42"/>
      <c r="AA9" s="42"/>
    </row>
    <row r="10" spans="2:44">
      <c r="B10" s="5" t="s">
        <v>274</v>
      </c>
      <c r="C10" s="5"/>
      <c r="D10" s="531">
        <v>11893.297855000001</v>
      </c>
      <c r="E10" s="531">
        <v>11893.297855000001</v>
      </c>
      <c r="F10" s="531">
        <v>11893.297855000001</v>
      </c>
      <c r="G10" s="531">
        <v>11893.297855000001</v>
      </c>
      <c r="H10" s="247"/>
      <c r="I10" s="247"/>
      <c r="J10" s="5" t="s">
        <v>184</v>
      </c>
      <c r="L10" s="529">
        <f>'AGG ASIA INCUMB'!D38</f>
        <v>229.28172666156038</v>
      </c>
      <c r="M10" s="529">
        <f>'AGG ASIA INCUMB'!E38</f>
        <v>211.1756819494743</v>
      </c>
      <c r="N10" s="529">
        <f>'AGG ASIA INCUMB'!F38</f>
        <v>182.52911660300191</v>
      </c>
      <c r="O10" s="529">
        <f>'AGG ASIA INCUMB'!G38</f>
        <v>154.31631948299164</v>
      </c>
      <c r="P10" s="286">
        <f>'AGG ASIA CELLULAR'!H38</f>
        <v>6.1901299000113985E-2</v>
      </c>
      <c r="S10" s="88"/>
      <c r="T10" s="42"/>
      <c r="U10" s="42"/>
      <c r="V10" s="42"/>
      <c r="W10" s="288"/>
      <c r="X10" s="288"/>
      <c r="Y10" s="288"/>
      <c r="Z10" s="288"/>
      <c r="AA10" s="42"/>
    </row>
    <row r="11" spans="2:44">
      <c r="B11" s="41" t="s">
        <v>888</v>
      </c>
      <c r="C11" s="5"/>
      <c r="D11" s="532">
        <f>D10*C9</f>
        <v>41031.877599750005</v>
      </c>
      <c r="E11" s="532">
        <f>E10*$C$9</f>
        <v>41031.877599750005</v>
      </c>
      <c r="F11" s="532">
        <f t="shared" ref="F11:G11" si="2">F10*$C$9</f>
        <v>41031.877599750005</v>
      </c>
      <c r="G11" s="532">
        <f t="shared" si="2"/>
        <v>41031.877599750005</v>
      </c>
      <c r="H11" s="249"/>
      <c r="I11" s="249"/>
      <c r="J11" s="5" t="s">
        <v>185</v>
      </c>
      <c r="L11" s="529">
        <f>'AGG ASIA INCUMB'!D39</f>
        <v>576.60457523629475</v>
      </c>
      <c r="M11" s="529">
        <f>'AGG ASIA INCUMB'!E39</f>
        <v>450.01446269285191</v>
      </c>
      <c r="N11" s="529">
        <f>'AGG ASIA INCUMB'!F39</f>
        <v>375.00938731825471</v>
      </c>
      <c r="O11" s="529">
        <f>'AGG ASIA INCUMB'!G39</f>
        <v>307.67151192274292</v>
      </c>
      <c r="P11" s="286">
        <f>'AGG ASIA CELLULAR'!H39</f>
        <v>0.11573327430771596</v>
      </c>
      <c r="S11" s="88"/>
      <c r="T11" s="42"/>
      <c r="U11" s="42"/>
      <c r="V11" s="42"/>
      <c r="W11" s="288"/>
      <c r="X11" s="288"/>
      <c r="Y11" s="288"/>
      <c r="Z11" s="288"/>
      <c r="AA11" s="42"/>
    </row>
    <row r="12" spans="2:44">
      <c r="B12" s="5" t="s">
        <v>24</v>
      </c>
      <c r="C12" s="249"/>
      <c r="D12" s="533">
        <v>15891.732415120125</v>
      </c>
      <c r="E12" s="533">
        <v>13969.849522793438</v>
      </c>
      <c r="F12" s="533">
        <v>13023.273958516875</v>
      </c>
      <c r="G12" s="533">
        <v>12055.91902963093</v>
      </c>
      <c r="H12" s="247"/>
      <c r="I12" s="247"/>
      <c r="J12" s="5" t="s">
        <v>466</v>
      </c>
      <c r="L12" s="529">
        <f>'AGG ASIA INCUMB'!D40</f>
        <v>774.44294579435359</v>
      </c>
      <c r="M12" s="529">
        <f>'AGG ASIA INCUMB'!E40</f>
        <v>607.6245935692682</v>
      </c>
      <c r="N12" s="529">
        <f>'AGG ASIA INCUMB'!F40</f>
        <v>506.11175808827261</v>
      </c>
      <c r="O12" s="529">
        <f>'AGG ASIA INCUMB'!G40</f>
        <v>415.18806643723337</v>
      </c>
      <c r="P12" s="286">
        <f>'AGG ASIA CELLULAR'!H40</f>
        <v>0.10976572550111241</v>
      </c>
      <c r="S12" s="88"/>
      <c r="T12" s="42"/>
      <c r="U12" s="42"/>
      <c r="V12" s="42"/>
      <c r="W12" s="288"/>
      <c r="X12" s="288"/>
      <c r="Y12" s="288"/>
      <c r="Z12" s="288"/>
      <c r="AA12" s="42"/>
    </row>
    <row r="13" spans="2:44">
      <c r="B13" s="5" t="s">
        <v>529</v>
      </c>
      <c r="C13" s="257"/>
      <c r="D13" s="533">
        <v>0</v>
      </c>
      <c r="E13" s="533">
        <v>0</v>
      </c>
      <c r="F13" s="533">
        <v>0</v>
      </c>
      <c r="G13" s="533">
        <v>0</v>
      </c>
      <c r="H13" s="247"/>
      <c r="I13" s="247"/>
      <c r="J13" s="5" t="s">
        <v>530</v>
      </c>
      <c r="L13" s="529">
        <f>'AGG ASIA INCUMB'!D41</f>
        <v>56.922651872950347</v>
      </c>
      <c r="M13" s="529">
        <f>'AGG ASIA INCUMB'!E41</f>
        <v>54.508702219086139</v>
      </c>
      <c r="N13" s="529">
        <f>'AGG ASIA INCUMB'!F41</f>
        <v>47.665724006779691</v>
      </c>
      <c r="O13" s="529">
        <f>'AGG ASIA INCUMB'!G41</f>
        <v>40.716506606725353</v>
      </c>
      <c r="P13" s="286">
        <f>'AGG ASIA CELLULAR'!H41</f>
        <v>-2.0092563683029918E-2</v>
      </c>
      <c r="S13" s="88"/>
      <c r="T13" s="42"/>
      <c r="U13" s="42"/>
      <c r="V13" s="42"/>
      <c r="W13" s="42"/>
      <c r="X13" s="42"/>
      <c r="Y13" s="42"/>
      <c r="Z13" s="42"/>
      <c r="AA13" s="42"/>
    </row>
    <row r="14" spans="2:44">
      <c r="B14" s="5" t="s">
        <v>532</v>
      </c>
      <c r="C14" s="257"/>
      <c r="D14" s="533">
        <v>3038.765625</v>
      </c>
      <c r="E14" s="533">
        <v>3190.7039062500003</v>
      </c>
      <c r="F14" s="533">
        <v>3350.2391015625003</v>
      </c>
      <c r="G14" s="533">
        <v>3517.7510566406254</v>
      </c>
      <c r="H14" s="247"/>
      <c r="I14" s="247"/>
      <c r="J14" s="5" t="s">
        <v>593</v>
      </c>
      <c r="L14" s="529">
        <f>'AGG ASIA INCUMB'!D42</f>
        <v>75.778591370066351</v>
      </c>
      <c r="M14" s="529">
        <f>'AGG ASIA INCUMB'!E42</f>
        <v>75.255645616199331</v>
      </c>
      <c r="N14" s="529">
        <f>'AGG ASIA INCUMB'!F42</f>
        <v>68.487733798446982</v>
      </c>
      <c r="O14" s="529">
        <f>'AGG ASIA INCUMB'!G42</f>
        <v>63.398335594210266</v>
      </c>
      <c r="P14" s="286">
        <f>'AGG ASIA CELLULAR'!H42</f>
        <v>8.7512202951403051E-3</v>
      </c>
      <c r="S14" s="88"/>
      <c r="T14" s="42"/>
      <c r="U14" s="42"/>
      <c r="V14" s="42"/>
      <c r="W14" s="42"/>
      <c r="X14" s="42"/>
      <c r="Y14" s="42"/>
      <c r="Z14" s="42"/>
      <c r="AA14" s="42"/>
    </row>
    <row r="15" spans="2:44">
      <c r="B15" s="5" t="s">
        <v>531</v>
      </c>
      <c r="C15" s="274"/>
      <c r="D15" s="533">
        <v>-19</v>
      </c>
      <c r="E15" s="533">
        <v>-19</v>
      </c>
      <c r="F15" s="533">
        <v>-19</v>
      </c>
      <c r="G15" s="533">
        <v>-19</v>
      </c>
      <c r="H15" s="247"/>
      <c r="I15" s="247"/>
      <c r="J15" s="5" t="s">
        <v>475</v>
      </c>
      <c r="L15" s="529">
        <f>'AGG ASIA INCUMB'!D43</f>
        <v>14.482023584121089</v>
      </c>
      <c r="M15" s="529">
        <f>'AGG ASIA INCUMB'!E43</f>
        <v>10.697579793360875</v>
      </c>
      <c r="N15" s="529">
        <f>'AGG ASIA INCUMB'!F43</f>
        <v>9.7604819510674972</v>
      </c>
      <c r="O15" s="529">
        <f>'AGG ASIA INCUMB'!G43</f>
        <v>8.8384338816404213</v>
      </c>
      <c r="P15" s="286">
        <f>'AGG ASIA CELLULAR'!H43</f>
        <v>0.18831027118838706</v>
      </c>
      <c r="S15" s="88"/>
      <c r="T15" s="42"/>
      <c r="U15" s="42"/>
      <c r="V15" s="42"/>
      <c r="W15" s="42"/>
      <c r="X15" s="42"/>
      <c r="Y15" s="42"/>
      <c r="Z15" s="42"/>
      <c r="AA15" s="42"/>
    </row>
    <row r="16" spans="2:44">
      <c r="B16" s="5" t="s">
        <v>534</v>
      </c>
      <c r="C16" s="257"/>
      <c r="D16" s="533">
        <v>6422.3808417</v>
      </c>
      <c r="E16" s="533">
        <v>8325.3084985000005</v>
      </c>
      <c r="F16" s="533">
        <v>10228.236155300001</v>
      </c>
      <c r="G16" s="533">
        <v>12250.096790650001</v>
      </c>
      <c r="H16" s="247"/>
      <c r="I16" s="247"/>
      <c r="J16" s="5" t="s">
        <v>533</v>
      </c>
      <c r="L16" s="529">
        <f>'AGG ASIA INCUMB'!D44</f>
        <v>401.27153945230202</v>
      </c>
      <c r="M16" s="529">
        <f>'AGG ASIA INCUMB'!E44</f>
        <v>386.42961390608417</v>
      </c>
      <c r="N16" s="529">
        <f>'AGG ASIA INCUMB'!F44</f>
        <v>362.49401680734263</v>
      </c>
      <c r="O16" s="529">
        <f>'AGG ASIA INCUMB'!G44</f>
        <v>331.65705725544359</v>
      </c>
      <c r="P16" s="286">
        <f>'AGG ASIA CELLULAR'!H44</f>
        <v>0.15839482711139796</v>
      </c>
      <c r="S16" s="88"/>
      <c r="T16" s="42"/>
      <c r="U16" s="42"/>
      <c r="V16" s="42"/>
      <c r="W16" s="42"/>
      <c r="X16" s="42"/>
      <c r="Y16" s="42"/>
      <c r="Z16" s="42"/>
      <c r="AA16" s="42"/>
    </row>
    <row r="17" spans="2:27">
      <c r="B17" s="5" t="s">
        <v>6</v>
      </c>
      <c r="C17" s="257"/>
      <c r="D17" s="533">
        <v>0</v>
      </c>
      <c r="E17" s="533">
        <v>0</v>
      </c>
      <c r="F17" s="533">
        <v>0</v>
      </c>
      <c r="G17" s="533">
        <v>0</v>
      </c>
      <c r="H17" s="247"/>
      <c r="I17" s="247"/>
      <c r="J17" s="5" t="s">
        <v>580</v>
      </c>
      <c r="L17" s="248">
        <f>'AGG ASIA INCUMB'!D45</f>
        <v>1.4187232142027291E-3</v>
      </c>
      <c r="M17" s="248">
        <f>'AGG ASIA INCUMB'!E45</f>
        <v>1.5917039348975377E-3</v>
      </c>
      <c r="N17" s="248">
        <f>'AGG ASIA INCUMB'!F45</f>
        <v>1.8207439648114264E-3</v>
      </c>
      <c r="O17" s="248">
        <f>'AGG ASIA INCUMB'!G45</f>
        <v>2.0820127660327939E-3</v>
      </c>
      <c r="P17" s="286">
        <f>'AGG ASIA CELLULAR'!H45</f>
        <v>0.11470165475568339</v>
      </c>
      <c r="S17" s="88"/>
      <c r="T17" s="42"/>
      <c r="U17" s="42"/>
      <c r="V17" s="42"/>
      <c r="W17" s="42"/>
      <c r="X17" s="42"/>
      <c r="Y17" s="42"/>
      <c r="Z17" s="42"/>
      <c r="AA17" s="42"/>
    </row>
    <row r="18" spans="2:27" ht="12.6" thickBot="1">
      <c r="B18" s="41" t="s">
        <v>583</v>
      </c>
      <c r="C18" s="249"/>
      <c r="D18" s="534">
        <f>D11+D12+D13-D14+D15-D16-D17</f>
        <v>47443.463548170126</v>
      </c>
      <c r="E18" s="534">
        <f>E11+E12+E13-E14+E15-E16-E17</f>
        <v>43466.714717793446</v>
      </c>
      <c r="F18" s="534">
        <f>F11+F12+F13-F14+F15-F16-F17</f>
        <v>40457.676301404375</v>
      </c>
      <c r="G18" s="534">
        <f>G11+G12+G13-G14+G15-G16-G17</f>
        <v>37300.948782090309</v>
      </c>
      <c r="H18" s="276">
        <f>IF(D18=0,"nm",IF(G18=0,"nm",(G18/D18)^(1/3)-1))</f>
        <v>-7.7043646028510993E-2</v>
      </c>
      <c r="I18" s="254"/>
      <c r="J18" s="5" t="s">
        <v>36</v>
      </c>
      <c r="L18" s="248">
        <f>'AGG ASIA INCUMB'!D46</f>
        <v>1.4197854397789587E-3</v>
      </c>
      <c r="M18" s="248">
        <f>'AGG ASIA INCUMB'!E46</f>
        <v>1.5927452418075944E-3</v>
      </c>
      <c r="N18" s="248">
        <f>'AGG ASIA INCUMB'!F46</f>
        <v>1.8306775739935764E-3</v>
      </c>
      <c r="O18" s="248">
        <f>'AGG ASIA INCUMB'!G46</f>
        <v>2.0980698589589679E-3</v>
      </c>
      <c r="P18" s="286" t="e">
        <f>'AGG ASIA CELLULAR'!H46</f>
        <v>#VALUE!</v>
      </c>
      <c r="S18" s="88"/>
      <c r="T18" s="42"/>
      <c r="U18" s="42"/>
      <c r="V18" s="42"/>
      <c r="W18" s="42"/>
      <c r="X18" s="42"/>
      <c r="Y18" s="42"/>
      <c r="Z18" s="42"/>
      <c r="AA18" s="42"/>
    </row>
    <row r="19" spans="2:27" ht="12.6" thickTop="1">
      <c r="B19" s="41"/>
      <c r="C19" s="249"/>
      <c r="D19" s="229"/>
      <c r="E19" s="229"/>
      <c r="F19" s="229"/>
      <c r="G19" s="229"/>
      <c r="H19" s="276"/>
      <c r="I19" s="254"/>
      <c r="J19" s="5" t="s">
        <v>581</v>
      </c>
      <c r="L19" s="248">
        <f>'AGG ASIA INCUMB'!D47</f>
        <v>6.9051123566492234E-2</v>
      </c>
      <c r="M19" s="248">
        <f>'AGG ASIA INCUMB'!E47</f>
        <v>9.3479087729789065E-2</v>
      </c>
      <c r="N19" s="248">
        <f>'AGG ASIA INCUMB'!F47</f>
        <v>0.10245395719323375</v>
      </c>
      <c r="O19" s="248">
        <f>'AGG ASIA INCUMB'!G47</f>
        <v>0.11314221652743744</v>
      </c>
      <c r="P19" s="286">
        <f>'AGG ASIA CELLULAR'!H47</f>
        <v>0.18831027118838706</v>
      </c>
      <c r="S19" s="88"/>
      <c r="T19" s="42"/>
      <c r="U19" s="42"/>
      <c r="V19" s="42"/>
      <c r="W19" s="42"/>
      <c r="X19" s="42"/>
      <c r="Y19" s="42"/>
      <c r="Z19" s="42"/>
      <c r="AA19" s="42"/>
    </row>
    <row r="20" spans="2:27">
      <c r="H20" s="277"/>
      <c r="I20" s="17"/>
      <c r="J20" s="5" t="s">
        <v>604</v>
      </c>
      <c r="L20" s="305">
        <f>'AGG ASIA INCUMB'!D48</f>
        <v>0.58020270145274866</v>
      </c>
      <c r="M20" s="305">
        <f>'AGG ASIA INCUMB'!E48</f>
        <v>0.49738583643750317</v>
      </c>
      <c r="N20" s="305">
        <f>'AGG ASIA INCUMB'!F48</f>
        <v>0.5269471278406761</v>
      </c>
      <c r="O20" s="305">
        <f>'AGG ASIA INCUMB'!G48</f>
        <v>0.55446861753269805</v>
      </c>
      <c r="P20" s="286" t="str">
        <f>'AGG ASIA CELLULAR'!H48</f>
        <v>nm</v>
      </c>
      <c r="S20" s="88"/>
      <c r="T20" s="42"/>
      <c r="U20" s="42"/>
      <c r="V20" s="42"/>
      <c r="W20" s="42"/>
      <c r="X20" s="42"/>
      <c r="Y20" s="42"/>
      <c r="Z20" s="42"/>
      <c r="AA20" s="42"/>
    </row>
    <row r="21" spans="2:27" ht="12.6" thickBot="1">
      <c r="B21" s="306" t="s">
        <v>955</v>
      </c>
      <c r="C21" s="265"/>
      <c r="D21" s="265" t="str">
        <f>D5</f>
        <v>2023E</v>
      </c>
      <c r="E21" s="265" t="str">
        <f t="shared" ref="E21:H21" si="3">E5</f>
        <v>2024E</v>
      </c>
      <c r="F21" s="265" t="str">
        <f t="shared" si="3"/>
        <v>2025E</v>
      </c>
      <c r="G21" s="265" t="str">
        <f t="shared" si="3"/>
        <v>2026E</v>
      </c>
      <c r="H21" s="265" t="str">
        <f t="shared" si="3"/>
        <v>23E-26E</v>
      </c>
      <c r="I21" s="49"/>
      <c r="J21" s="41"/>
      <c r="L21" s="250"/>
      <c r="M21" s="250"/>
      <c r="N21" s="250"/>
      <c r="O21" s="250"/>
      <c r="P21" s="286"/>
      <c r="S21" s="88"/>
      <c r="T21" s="42"/>
      <c r="U21" s="42"/>
      <c r="V21" s="42"/>
      <c r="W21" s="42"/>
      <c r="X21" s="42"/>
      <c r="Y21" s="42"/>
      <c r="Z21" s="42"/>
      <c r="AA21" s="42"/>
    </row>
    <row r="22" spans="2:27" ht="12.6" thickTop="1">
      <c r="B22" s="5"/>
      <c r="C22" s="257"/>
      <c r="D22" s="17"/>
      <c r="E22" s="17"/>
      <c r="F22" s="17"/>
      <c r="G22" s="17"/>
      <c r="H22" s="17"/>
      <c r="I22" s="17"/>
      <c r="P22" s="277"/>
      <c r="S22" s="88"/>
      <c r="T22" s="42"/>
      <c r="U22" s="42"/>
      <c r="V22" s="42"/>
      <c r="W22" s="42"/>
      <c r="X22" s="42"/>
      <c r="Y22" s="42"/>
      <c r="Z22" s="42"/>
      <c r="AA22" s="42"/>
    </row>
    <row r="23" spans="2:27" ht="12.6" thickBot="1">
      <c r="B23" s="5" t="s">
        <v>584</v>
      </c>
      <c r="C23" s="548">
        <v>27807</v>
      </c>
      <c r="D23" s="540">
        <v>27629.382874534786</v>
      </c>
      <c r="E23" s="540">
        <v>26888.04567285996</v>
      </c>
      <c r="F23" s="540">
        <v>26351.816815351052</v>
      </c>
      <c r="G23" s="540">
        <v>27037.998003139779</v>
      </c>
      <c r="H23" s="279">
        <f>IF(D23=0,"nm",IF(G23=0,"nm",(G23/D23)^(1/3)-1))</f>
        <v>-7.1862522661734207E-3</v>
      </c>
      <c r="I23" s="247"/>
      <c r="J23" s="306" t="s">
        <v>9</v>
      </c>
      <c r="K23" s="306"/>
      <c r="L23" s="265" t="str">
        <f>D21</f>
        <v>2023E</v>
      </c>
      <c r="M23" s="265" t="str">
        <f t="shared" ref="M23:P23" si="4">E21</f>
        <v>2024E</v>
      </c>
      <c r="N23" s="265" t="str">
        <f t="shared" si="4"/>
        <v>2025E</v>
      </c>
      <c r="O23" s="265" t="str">
        <f t="shared" si="4"/>
        <v>2026E</v>
      </c>
      <c r="P23" s="265" t="str">
        <f t="shared" si="4"/>
        <v>23E-26E</v>
      </c>
      <c r="S23" s="88"/>
      <c r="T23" s="42"/>
      <c r="U23" s="42"/>
      <c r="V23" s="42"/>
      <c r="W23" s="42"/>
      <c r="X23" s="42"/>
      <c r="Y23" s="42"/>
      <c r="Z23" s="42"/>
      <c r="AA23" s="42"/>
    </row>
    <row r="24" spans="2:27" ht="12.6" thickTop="1">
      <c r="B24" s="5" t="s">
        <v>483</v>
      </c>
      <c r="C24" s="549">
        <v>7972</v>
      </c>
      <c r="D24" s="540">
        <v>9344.9647648405735</v>
      </c>
      <c r="E24" s="540">
        <v>9621.1680067205671</v>
      </c>
      <c r="F24" s="540">
        <v>8994.4229768871555</v>
      </c>
      <c r="G24" s="540">
        <v>9112.6870118036204</v>
      </c>
      <c r="H24" s="279">
        <f>IF(D24=0,"nm",IF(G24=0,"nm",(G24/D24)^(1/3)-1))</f>
        <v>-8.354918946323564E-3</v>
      </c>
      <c r="I24" s="249"/>
      <c r="J24" s="17"/>
      <c r="K24" s="17"/>
      <c r="L24" s="17"/>
      <c r="M24" s="17"/>
      <c r="N24" s="17"/>
      <c r="O24" s="248"/>
      <c r="S24" s="88"/>
      <c r="T24" s="42"/>
      <c r="U24" s="42"/>
      <c r="V24" s="42"/>
      <c r="W24" s="42" t="s">
        <v>306</v>
      </c>
      <c r="X24" s="42" t="s">
        <v>259</v>
      </c>
      <c r="Y24" s="42"/>
      <c r="Z24" s="42"/>
      <c r="AA24" s="42"/>
    </row>
    <row r="25" spans="2:27">
      <c r="B25" s="5" t="s">
        <v>183</v>
      </c>
      <c r="C25" s="548">
        <v>3832</v>
      </c>
      <c r="D25" s="540">
        <v>6111.0129096110513</v>
      </c>
      <c r="E25" s="540">
        <v>6514.8260476130727</v>
      </c>
      <c r="F25" s="540">
        <v>5926.4162390450292</v>
      </c>
      <c r="G25" s="540">
        <v>5949.4721314268472</v>
      </c>
      <c r="H25" s="279">
        <f>IF(D25=0,"nm",IF(G25=0,"nm",(G25/D25)^(1/3)-1))</f>
        <v>-8.8902592586865836E-3</v>
      </c>
      <c r="I25" s="248"/>
      <c r="J25" s="247" t="s">
        <v>10</v>
      </c>
      <c r="K25" s="247"/>
      <c r="L25" s="321">
        <v>0</v>
      </c>
      <c r="M25" s="321">
        <v>0</v>
      </c>
      <c r="N25" s="321">
        <v>0</v>
      </c>
      <c r="O25" s="321">
        <v>0</v>
      </c>
      <c r="P25" s="279" t="str">
        <f>IF(L25=0,"nm",IF(O25=0,"nm",(O25/L25)^(1/3)-1))</f>
        <v>nm</v>
      </c>
      <c r="S25" s="88"/>
      <c r="T25" s="42"/>
      <c r="U25" s="42"/>
      <c r="V25" s="147" t="s">
        <v>273</v>
      </c>
      <c r="W25" s="288">
        <f>D37/L9</f>
        <v>2.719457180360968E-2</v>
      </c>
      <c r="X25" s="288">
        <v>1</v>
      </c>
      <c r="Y25" s="42"/>
      <c r="Z25" s="42"/>
      <c r="AA25" s="42"/>
    </row>
    <row r="26" spans="2:27">
      <c r="B26" s="5" t="s">
        <v>586</v>
      </c>
      <c r="C26" s="548">
        <v>2682.3999999999996</v>
      </c>
      <c r="D26" s="540">
        <v>4277.709036727736</v>
      </c>
      <c r="E26" s="540">
        <v>4560.3782333291501</v>
      </c>
      <c r="F26" s="540">
        <v>4148.4913673315205</v>
      </c>
      <c r="G26" s="540">
        <v>4164.6304919987924</v>
      </c>
      <c r="H26" s="279">
        <f>IF(D26=0,"nm",IF(G26=0,"nm",(G26/D26)^(1/3)-1))</f>
        <v>-8.8902592586865836E-3</v>
      </c>
      <c r="I26" s="249"/>
      <c r="J26" s="249" t="s">
        <v>11</v>
      </c>
      <c r="K26" s="249"/>
      <c r="L26" s="281">
        <f>D11+L25</f>
        <v>41031.877599750005</v>
      </c>
      <c r="M26" s="281">
        <f>E11+M25</f>
        <v>41031.877599750005</v>
      </c>
      <c r="N26" s="281">
        <f>F11+N25</f>
        <v>41031.877599750005</v>
      </c>
      <c r="O26" s="281">
        <f>G11+O25</f>
        <v>41031.877599750005</v>
      </c>
      <c r="P26" s="279">
        <f>IF(L26=0,"nm",IF(O26=0,"nm",(O26/L26)^(1/3)-1))</f>
        <v>0</v>
      </c>
      <c r="Q26" s="5"/>
      <c r="S26" s="88"/>
      <c r="T26" s="42"/>
      <c r="U26" s="42"/>
      <c r="V26" s="147" t="s">
        <v>184</v>
      </c>
      <c r="W26" s="288">
        <f t="shared" ref="W26:W33" si="5">D38/L10</f>
        <v>2.2142633653911996E-2</v>
      </c>
      <c r="X26" s="288">
        <v>1</v>
      </c>
      <c r="Y26" s="42"/>
      <c r="Z26" s="42"/>
      <c r="AA26" s="42"/>
    </row>
    <row r="27" spans="2:27">
      <c r="B27" s="5" t="s">
        <v>587</v>
      </c>
      <c r="C27" s="549">
        <v>31359</v>
      </c>
      <c r="D27" s="540">
        <v>32184.577682004317</v>
      </c>
      <c r="E27" s="540">
        <v>32037.8783921301</v>
      </c>
      <c r="F27" s="540">
        <v>32471.882649167866</v>
      </c>
      <c r="G27" s="540">
        <v>32825.798694649078</v>
      </c>
      <c r="H27" s="279">
        <f>IF(ISERROR((G27/D27)^(1/3)-1),"na",(G27/D27)^(1/3)-1)</f>
        <v>6.5974572890621364E-3</v>
      </c>
      <c r="I27" s="249"/>
      <c r="J27" s="248"/>
      <c r="K27" s="248"/>
      <c r="L27" s="248"/>
      <c r="M27" s="248"/>
      <c r="N27" s="248"/>
      <c r="O27" s="248"/>
      <c r="Q27" s="41"/>
      <c r="S27" s="88"/>
      <c r="T27" s="42"/>
      <c r="U27" s="42"/>
      <c r="V27" s="147" t="s">
        <v>185</v>
      </c>
      <c r="W27" s="288">
        <f t="shared" si="5"/>
        <v>1.3464340975901962E-2</v>
      </c>
      <c r="X27" s="288">
        <v>1</v>
      </c>
      <c r="Y27" s="42"/>
      <c r="Z27" s="42"/>
      <c r="AA27" s="42"/>
    </row>
    <row r="28" spans="2:27" ht="12.6" thickBot="1">
      <c r="B28" s="5" t="s">
        <v>592</v>
      </c>
      <c r="C28" s="548">
        <v>22332</v>
      </c>
      <c r="D28" s="540">
        <v>21481.527224494832</v>
      </c>
      <c r="E28" s="540">
        <v>20839.427813484112</v>
      </c>
      <c r="F28" s="540">
        <v>21043.635359978376</v>
      </c>
      <c r="G28" s="540">
        <v>21310.819161933803</v>
      </c>
      <c r="H28" s="279">
        <f>IF(ISERROR((G28/D28)^(1/3)-1),"na",(G28/D28)^(1/3)-1)</f>
        <v>-2.6559604522810032E-3</v>
      </c>
      <c r="I28" s="248"/>
      <c r="J28" s="306" t="s">
        <v>1362</v>
      </c>
      <c r="K28" s="306"/>
      <c r="L28" s="306"/>
      <c r="M28" s="306"/>
      <c r="N28" s="266"/>
      <c r="O28" s="266"/>
      <c r="P28" s="266"/>
      <c r="Q28" s="5"/>
      <c r="S28" s="88"/>
      <c r="T28" s="42"/>
      <c r="U28" s="42"/>
      <c r="V28" s="147" t="s">
        <v>466</v>
      </c>
      <c r="W28" s="288">
        <f t="shared" si="5"/>
        <v>1.4321078232345975E-2</v>
      </c>
      <c r="X28" s="288">
        <v>1</v>
      </c>
      <c r="Y28" s="42"/>
      <c r="Z28" s="42"/>
      <c r="AA28" s="42"/>
    </row>
    <row r="29" spans="2:27" ht="12.6" thickTop="1">
      <c r="B29" s="5" t="s">
        <v>588</v>
      </c>
      <c r="C29" s="548">
        <v>3083</v>
      </c>
      <c r="D29" s="540">
        <v>4761.8852416798745</v>
      </c>
      <c r="E29" s="540">
        <v>5537.2315491266872</v>
      </c>
      <c r="F29" s="540">
        <v>4390.6821210765638</v>
      </c>
      <c r="G29" s="540">
        <v>4257.3435956859457</v>
      </c>
      <c r="H29" s="279">
        <f>IF(D29=0,"nm",IF(G29=0,"nm",(G29/D29)^(1/3)-1))</f>
        <v>-3.6644475284147382E-2</v>
      </c>
      <c r="I29" s="252"/>
      <c r="J29" s="249"/>
      <c r="K29" s="249"/>
      <c r="L29" s="249"/>
      <c r="M29" s="249"/>
      <c r="N29" s="249"/>
      <c r="O29" s="251"/>
      <c r="Q29" s="5"/>
      <c r="S29" s="88"/>
      <c r="T29" s="42"/>
      <c r="U29" s="42"/>
      <c r="V29" s="147" t="s">
        <v>530</v>
      </c>
      <c r="W29" s="288">
        <f t="shared" si="5"/>
        <v>2.589664165789575E-2</v>
      </c>
      <c r="X29" s="288">
        <v>1</v>
      </c>
      <c r="Y29" s="42"/>
      <c r="Z29" s="42"/>
      <c r="AA29" s="42"/>
    </row>
    <row r="30" spans="2:27">
      <c r="B30" s="5" t="s">
        <v>589</v>
      </c>
      <c r="C30" s="549">
        <v>2650</v>
      </c>
      <c r="D30" s="540">
        <v>3017.9760180342009</v>
      </c>
      <c r="E30" s="540">
        <v>3218.1111592524603</v>
      </c>
      <c r="F30" s="540">
        <v>2813.5074781143385</v>
      </c>
      <c r="G30" s="540">
        <v>2863.1316097171484</v>
      </c>
      <c r="H30" s="279">
        <f>IF(D30=0,"nm",IF(G30=0,"nm",(G30/D30)^(1/3)-1))</f>
        <v>-1.7403583875296058E-2</v>
      </c>
      <c r="I30" s="254"/>
      <c r="J30" s="248"/>
      <c r="K30" s="248"/>
      <c r="L30" s="248"/>
      <c r="M30" s="248"/>
      <c r="N30" s="248"/>
      <c r="O30" s="5"/>
      <c r="Q30" s="5"/>
      <c r="S30" s="88"/>
      <c r="T30" s="42"/>
      <c r="U30" s="42"/>
      <c r="V30" s="147" t="s">
        <v>593</v>
      </c>
      <c r="W30" s="288">
        <f t="shared" si="5"/>
        <v>2.9145043268111313E-2</v>
      </c>
      <c r="X30" s="288">
        <v>1</v>
      </c>
      <c r="Y30" s="42"/>
      <c r="Z30" s="42"/>
      <c r="AA30" s="42"/>
    </row>
    <row r="31" spans="2:27">
      <c r="B31" s="5" t="s">
        <v>590</v>
      </c>
      <c r="C31" s="549">
        <v>1902.9276568</v>
      </c>
      <c r="D31" s="540">
        <v>1902.9276568</v>
      </c>
      <c r="E31" s="540">
        <v>1902.9276568</v>
      </c>
      <c r="F31" s="540">
        <v>1902.9276568</v>
      </c>
      <c r="G31" s="540">
        <v>2021.8606353500002</v>
      </c>
      <c r="H31" s="279">
        <f>IF(D31=0,"nm",IF(G31=0,"nm",(G31/D31)^(1/3)-1))</f>
        <v>2.0413775479336982E-2</v>
      </c>
      <c r="I31" s="254"/>
      <c r="J31" s="252"/>
      <c r="K31" s="252"/>
      <c r="L31" s="252"/>
      <c r="M31" s="252"/>
      <c r="N31" s="252"/>
      <c r="O31" s="5"/>
      <c r="Q31" s="5"/>
      <c r="S31" s="88"/>
      <c r="T31" s="42"/>
      <c r="U31" s="42"/>
      <c r="V31" s="147" t="s">
        <v>475</v>
      </c>
      <c r="W31" s="288">
        <f t="shared" si="5"/>
        <v>0.59499486159519577</v>
      </c>
      <c r="X31" s="288">
        <v>1</v>
      </c>
      <c r="Y31" s="42"/>
      <c r="Z31" s="42"/>
      <c r="AA31" s="42"/>
    </row>
    <row r="32" spans="2:27">
      <c r="B32" s="5" t="s">
        <v>606</v>
      </c>
      <c r="C32" s="550">
        <v>0</v>
      </c>
      <c r="D32" s="540">
        <v>0</v>
      </c>
      <c r="E32" s="540">
        <v>0</v>
      </c>
      <c r="F32" s="540">
        <v>0</v>
      </c>
      <c r="G32" s="540">
        <v>0</v>
      </c>
      <c r="H32" s="279" t="str">
        <f>IF(D32=0,"nm",IF(G32=0,"nm",(G32/D32)^(1/3)-1))</f>
        <v>nm</v>
      </c>
      <c r="I32" s="254"/>
      <c r="J32" s="254"/>
      <c r="K32" s="254"/>
      <c r="L32" s="254"/>
      <c r="M32" s="254"/>
      <c r="N32" s="254"/>
      <c r="O32" s="251"/>
      <c r="Q32" s="5"/>
      <c r="S32" s="88"/>
      <c r="T32" s="42"/>
      <c r="U32" s="42"/>
      <c r="V32" s="147" t="s">
        <v>533</v>
      </c>
      <c r="W32" s="288">
        <f t="shared" si="5"/>
        <v>3.3881860346048356E-2</v>
      </c>
      <c r="X32" s="288">
        <v>1</v>
      </c>
      <c r="Y32" s="42"/>
      <c r="Z32" s="42"/>
      <c r="AA32" s="42"/>
    </row>
    <row r="33" spans="2:27">
      <c r="B33" s="5" t="s">
        <v>5</v>
      </c>
      <c r="C33" s="549">
        <v>630</v>
      </c>
      <c r="D33" s="540">
        <v>327.28850262845395</v>
      </c>
      <c r="E33" s="540">
        <v>313.44735532740611</v>
      </c>
      <c r="F33" s="540">
        <v>296.83463756109478</v>
      </c>
      <c r="G33" s="540">
        <v>288.32736022271354</v>
      </c>
      <c r="H33" s="279">
        <f>IF(ISERROR((G33/D33)^(1/3)-1),"na",(G33/D33)^(1/3)-1)</f>
        <v>-4.1368485229472451E-2</v>
      </c>
      <c r="I33" s="5"/>
      <c r="J33" s="254"/>
      <c r="K33" s="254"/>
      <c r="L33" s="254"/>
      <c r="M33" s="254"/>
      <c r="N33" s="254"/>
      <c r="O33" s="251"/>
      <c r="Q33" s="5"/>
      <c r="S33" s="88"/>
      <c r="T33" s="42"/>
      <c r="U33" s="42"/>
      <c r="V33" s="147" t="s">
        <v>580</v>
      </c>
      <c r="W33" s="288">
        <f t="shared" si="5"/>
        <v>32.689118730086456</v>
      </c>
      <c r="X33" s="288">
        <v>1</v>
      </c>
      <c r="Y33" s="42"/>
      <c r="Z33" s="42"/>
      <c r="AA33" s="42"/>
    </row>
    <row r="34" spans="2:27">
      <c r="D34" s="5"/>
      <c r="E34" s="5"/>
      <c r="F34" s="5"/>
      <c r="G34" s="5"/>
      <c r="I34" s="49"/>
      <c r="J34" s="254"/>
      <c r="K34" s="254"/>
      <c r="L34" s="254"/>
      <c r="M34" s="254"/>
      <c r="N34" s="254"/>
      <c r="O34" s="251"/>
      <c r="Q34" s="5"/>
      <c r="S34" s="88"/>
      <c r="T34" s="42"/>
      <c r="U34" s="42"/>
      <c r="V34" s="147" t="s">
        <v>581</v>
      </c>
      <c r="W34" s="288">
        <f>D47/L19</f>
        <v>1.6806867832757</v>
      </c>
      <c r="X34" s="288">
        <v>1</v>
      </c>
      <c r="Y34" s="288"/>
      <c r="Z34" s="288"/>
      <c r="AA34" s="42"/>
    </row>
    <row r="35" spans="2:27" ht="12.6" thickBot="1">
      <c r="B35" s="306" t="s">
        <v>649</v>
      </c>
      <c r="C35" s="265"/>
      <c r="D35" s="265" t="str">
        <f>D5</f>
        <v>2023E</v>
      </c>
      <c r="E35" s="265" t="str">
        <f t="shared" ref="E35:H35" si="6">E5</f>
        <v>2024E</v>
      </c>
      <c r="F35" s="265" t="str">
        <f t="shared" si="6"/>
        <v>2025E</v>
      </c>
      <c r="G35" s="265" t="str">
        <f t="shared" si="6"/>
        <v>2026E</v>
      </c>
      <c r="H35" s="265" t="str">
        <f t="shared" si="6"/>
        <v>23E-26E</v>
      </c>
      <c r="I35" s="254"/>
      <c r="J35" s="5"/>
      <c r="K35" s="5"/>
      <c r="L35" s="5"/>
      <c r="M35" s="5"/>
      <c r="N35" s="5"/>
      <c r="O35" s="5"/>
      <c r="Q35" s="5"/>
      <c r="S35" s="88"/>
      <c r="T35" s="42"/>
      <c r="U35" s="42"/>
      <c r="V35" s="42"/>
      <c r="W35" s="42"/>
      <c r="X35" s="42"/>
      <c r="Y35" s="288"/>
      <c r="Z35" s="288"/>
      <c r="AA35" s="42"/>
    </row>
    <row r="36" spans="2:27" ht="12.6" thickTop="1">
      <c r="B36" s="41"/>
      <c r="C36" s="249"/>
      <c r="D36" s="254"/>
      <c r="E36" s="254"/>
      <c r="F36" s="254"/>
      <c r="G36" s="254"/>
      <c r="H36" s="254"/>
      <c r="I36" s="17"/>
      <c r="J36" s="49"/>
      <c r="K36" s="49"/>
      <c r="L36" s="49"/>
      <c r="M36" s="49"/>
      <c r="N36" s="49"/>
      <c r="O36" s="49"/>
      <c r="Q36" s="5"/>
      <c r="S36" s="88"/>
      <c r="T36" s="42"/>
      <c r="U36" s="42"/>
      <c r="V36" s="42"/>
      <c r="W36" s="42"/>
      <c r="X36" s="42"/>
      <c r="Y36" s="288"/>
      <c r="Z36" s="288"/>
      <c r="AA36" s="42"/>
    </row>
    <row r="37" spans="2:27">
      <c r="B37" s="5" t="s">
        <v>273</v>
      </c>
      <c r="C37" s="247"/>
      <c r="D37" s="529">
        <f>D$18/D23</f>
        <v>1.7171380107768319</v>
      </c>
      <c r="E37" s="529">
        <f t="shared" ref="E37:G40" si="7">E$18/E23</f>
        <v>1.6165814074641924</v>
      </c>
      <c r="F37" s="529">
        <f t="shared" si="7"/>
        <v>1.535289827828344</v>
      </c>
      <c r="G37" s="529">
        <f t="shared" si="7"/>
        <v>1.3795750993752847</v>
      </c>
      <c r="H37" s="17">
        <f t="shared" ref="H37:H45" si="8">H23</f>
        <v>-7.1862522661734207E-3</v>
      </c>
      <c r="I37" s="5"/>
      <c r="J37" s="259"/>
      <c r="K37" s="259"/>
      <c r="L37" s="259"/>
      <c r="M37" s="259"/>
      <c r="N37" s="259"/>
      <c r="O37" s="18"/>
      <c r="Q37" s="5"/>
      <c r="R37" s="5"/>
      <c r="S37" s="42"/>
      <c r="T37" s="42"/>
      <c r="U37" s="42"/>
      <c r="V37" s="42"/>
      <c r="W37" s="42"/>
      <c r="X37" s="42"/>
      <c r="Y37" s="42"/>
      <c r="Z37" s="42"/>
      <c r="AA37" s="42"/>
    </row>
    <row r="38" spans="2:27">
      <c r="B38" s="5" t="s">
        <v>184</v>
      </c>
      <c r="C38" s="247"/>
      <c r="D38" s="529">
        <f>D$18/D24</f>
        <v>5.0769012770033184</v>
      </c>
      <c r="E38" s="529">
        <f t="shared" si="7"/>
        <v>4.5178209846695463</v>
      </c>
      <c r="F38" s="529">
        <f t="shared" si="7"/>
        <v>4.4980846915213917</v>
      </c>
      <c r="G38" s="529">
        <f t="shared" si="7"/>
        <v>4.0932985774420398</v>
      </c>
      <c r="H38" s="17">
        <f t="shared" si="8"/>
        <v>-8.354918946323564E-3</v>
      </c>
      <c r="I38" s="259"/>
      <c r="J38" s="17"/>
      <c r="K38" s="17"/>
      <c r="L38" s="17"/>
      <c r="M38" s="17"/>
      <c r="N38" s="17"/>
      <c r="O38" s="5"/>
      <c r="Q38" s="5"/>
      <c r="R38" s="5"/>
      <c r="S38" s="42"/>
      <c r="T38" s="42"/>
      <c r="U38" s="42"/>
      <c r="V38" s="42"/>
      <c r="W38" s="42"/>
      <c r="X38" s="42"/>
      <c r="Y38" s="42"/>
      <c r="Z38" s="42"/>
      <c r="AA38" s="42"/>
    </row>
    <row r="39" spans="2:27">
      <c r="B39" s="5" t="s">
        <v>185</v>
      </c>
      <c r="C39" s="247"/>
      <c r="D39" s="529">
        <f>D$18/D25</f>
        <v>7.7636006092465886</v>
      </c>
      <c r="E39" s="529">
        <f t="shared" si="7"/>
        <v>6.6719685836767582</v>
      </c>
      <c r="F39" s="529">
        <f t="shared" si="7"/>
        <v>6.8266680350355617</v>
      </c>
      <c r="G39" s="529">
        <f t="shared" si="7"/>
        <v>6.269623246918969</v>
      </c>
      <c r="H39" s="17">
        <f t="shared" si="8"/>
        <v>-8.8902592586865836E-3</v>
      </c>
      <c r="I39" s="17"/>
      <c r="J39" s="5"/>
      <c r="K39" s="5"/>
      <c r="L39" s="5"/>
      <c r="M39" s="5"/>
      <c r="N39" s="5"/>
      <c r="O39" s="5"/>
      <c r="Q39" s="5"/>
      <c r="R39" s="5"/>
      <c r="S39" s="42"/>
      <c r="T39" s="42"/>
      <c r="U39" s="42"/>
      <c r="V39" s="42"/>
      <c r="W39" s="42"/>
      <c r="X39" s="42"/>
      <c r="Y39" s="42"/>
      <c r="Z39" s="42"/>
      <c r="AA39" s="42"/>
    </row>
    <row r="40" spans="2:27">
      <c r="B40" s="5" t="s">
        <v>466</v>
      </c>
      <c r="C40" s="247"/>
      <c r="D40" s="529">
        <f>D$18/D26</f>
        <v>11.090858013209411</v>
      </c>
      <c r="E40" s="529">
        <f t="shared" si="7"/>
        <v>9.5313836909667984</v>
      </c>
      <c r="F40" s="529">
        <f t="shared" si="7"/>
        <v>9.7523829071936596</v>
      </c>
      <c r="G40" s="529">
        <f t="shared" si="7"/>
        <v>8.956604638455671</v>
      </c>
      <c r="H40" s="17">
        <f t="shared" si="8"/>
        <v>-8.8902592586865836E-3</v>
      </c>
      <c r="I40" s="5"/>
      <c r="J40" s="259"/>
      <c r="K40" s="259"/>
      <c r="L40" s="259"/>
      <c r="M40" s="259"/>
      <c r="N40" s="259"/>
      <c r="O40" s="18"/>
      <c r="Q40" s="5"/>
      <c r="R40" s="5"/>
      <c r="S40" s="42"/>
      <c r="T40" s="42"/>
      <c r="U40" s="42"/>
      <c r="V40" s="42"/>
      <c r="W40" s="288"/>
      <c r="X40" s="288"/>
      <c r="Y40" s="42"/>
      <c r="Z40" s="42"/>
      <c r="AA40" s="42"/>
    </row>
    <row r="41" spans="2:27">
      <c r="B41" s="5" t="s">
        <v>530</v>
      </c>
      <c r="C41" s="247"/>
      <c r="D41" s="529">
        <f>D18/D27</f>
        <v>1.4741055177709435</v>
      </c>
      <c r="E41" s="529">
        <f t="shared" ref="E41:G41" si="9">E18/E27</f>
        <v>1.3567288752950246</v>
      </c>
      <c r="F41" s="529">
        <f t="shared" si="9"/>
        <v>1.2459294934795275</v>
      </c>
      <c r="G41" s="529">
        <f t="shared" si="9"/>
        <v>1.1363302726940419</v>
      </c>
      <c r="H41" s="17">
        <f t="shared" si="8"/>
        <v>6.5974572890621364E-3</v>
      </c>
      <c r="I41" s="247"/>
      <c r="J41" s="17"/>
      <c r="K41" s="17"/>
      <c r="L41" s="17"/>
      <c r="M41" s="17"/>
      <c r="N41" s="17"/>
      <c r="O41" s="5"/>
      <c r="Q41" s="5"/>
      <c r="R41" s="5"/>
      <c r="S41" s="42"/>
      <c r="T41" s="42"/>
      <c r="U41" s="42"/>
      <c r="V41" s="42"/>
      <c r="W41" s="288"/>
      <c r="X41" s="288"/>
      <c r="Y41" s="288"/>
      <c r="Z41" s="288"/>
      <c r="AA41" s="42"/>
    </row>
    <row r="42" spans="2:27">
      <c r="B42" s="5" t="s">
        <v>593</v>
      </c>
      <c r="C42" s="247"/>
      <c r="D42" s="529">
        <f>D18/D28</f>
        <v>2.2085703242771104</v>
      </c>
      <c r="E42" s="529">
        <f t="shared" ref="E42:G42" si="10">E18/E28</f>
        <v>2.0857921391521312</v>
      </c>
      <c r="F42" s="529">
        <f t="shared" si="10"/>
        <v>1.9225611739285502</v>
      </c>
      <c r="G42" s="529">
        <f t="shared" si="10"/>
        <v>1.7503291871913909</v>
      </c>
      <c r="H42" s="17">
        <f t="shared" si="8"/>
        <v>-2.6559604522810032E-3</v>
      </c>
      <c r="I42" s="248"/>
      <c r="J42" s="5"/>
      <c r="K42" s="5"/>
      <c r="L42" s="5"/>
      <c r="M42" s="5"/>
      <c r="N42" s="5"/>
      <c r="O42" s="5"/>
      <c r="Q42" s="5"/>
      <c r="R42" s="5"/>
      <c r="S42" s="42"/>
      <c r="T42" s="42"/>
      <c r="U42" s="42"/>
      <c r="V42" s="42"/>
      <c r="W42" s="288"/>
      <c r="X42" s="288"/>
      <c r="Y42" s="288"/>
      <c r="Z42" s="288"/>
      <c r="AA42" s="42"/>
    </row>
    <row r="43" spans="2:27">
      <c r="B43" s="5" t="s">
        <v>475</v>
      </c>
      <c r="C43" s="247"/>
      <c r="D43" s="529">
        <f>L26/D29</f>
        <v>8.6167296180524886</v>
      </c>
      <c r="E43" s="529">
        <f>M26/E29</f>
        <v>7.4101791185202304</v>
      </c>
      <c r="F43" s="529">
        <f>N26/F29</f>
        <v>9.3452170911633399</v>
      </c>
      <c r="G43" s="529">
        <f>O26/G29</f>
        <v>9.6379060504603054</v>
      </c>
      <c r="H43" s="17">
        <f t="shared" si="8"/>
        <v>-3.6644475284147382E-2</v>
      </c>
      <c r="I43" s="247"/>
      <c r="J43" s="247"/>
      <c r="K43" s="247"/>
      <c r="L43" s="247"/>
      <c r="M43" s="247"/>
      <c r="N43" s="247"/>
      <c r="O43" s="18"/>
      <c r="Q43" s="5"/>
      <c r="R43" s="5"/>
      <c r="S43" s="42"/>
      <c r="T43" s="42"/>
      <c r="U43" s="42"/>
      <c r="V43" s="42"/>
      <c r="W43" s="288"/>
      <c r="X43" s="288"/>
      <c r="Y43" s="288"/>
      <c r="Z43" s="288"/>
      <c r="AA43" s="42"/>
    </row>
    <row r="44" spans="2:27">
      <c r="B44" s="5" t="s">
        <v>533</v>
      </c>
      <c r="C44" s="69"/>
      <c r="D44" s="529">
        <f>D11/D30</f>
        <v>13.595826260566731</v>
      </c>
      <c r="E44" s="529">
        <f>E11/E30</f>
        <v>12.750298410848355</v>
      </c>
      <c r="F44" s="529">
        <f>F11/F30</f>
        <v>14.583887876228529</v>
      </c>
      <c r="G44" s="529">
        <f>G11/G30</f>
        <v>14.331118227500406</v>
      </c>
      <c r="H44" s="17">
        <f t="shared" si="8"/>
        <v>-1.7403583875296058E-2</v>
      </c>
      <c r="I44" s="247"/>
      <c r="J44" s="248"/>
      <c r="K44" s="248"/>
      <c r="L44" s="248"/>
      <c r="M44" s="248"/>
      <c r="N44" s="248"/>
      <c r="O44" s="248"/>
      <c r="Q44" s="5"/>
      <c r="R44" s="5"/>
      <c r="S44" s="42"/>
      <c r="T44" s="42"/>
      <c r="U44" s="42"/>
      <c r="V44" s="42"/>
      <c r="W44" s="325"/>
      <c r="X44" s="325"/>
      <c r="Y44" s="288"/>
      <c r="Z44" s="288"/>
      <c r="AA44" s="42"/>
    </row>
    <row r="45" spans="2:27">
      <c r="B45" s="5" t="s">
        <v>580</v>
      </c>
      <c r="C45" s="247"/>
      <c r="D45" s="248">
        <f>D31/D11</f>
        <v>4.6376811594202892E-2</v>
      </c>
      <c r="E45" s="248">
        <f>E31/E11</f>
        <v>4.6376811594202892E-2</v>
      </c>
      <c r="F45" s="248">
        <f>F31/F11</f>
        <v>4.6376811594202892E-2</v>
      </c>
      <c r="G45" s="248">
        <f>G31/G11</f>
        <v>4.9275362318840575E-2</v>
      </c>
      <c r="H45" s="17">
        <f t="shared" si="8"/>
        <v>2.0413775479336982E-2</v>
      </c>
      <c r="I45" s="248"/>
      <c r="J45" s="247"/>
      <c r="K45" s="247"/>
      <c r="L45" s="247"/>
      <c r="M45" s="247"/>
      <c r="N45" s="247"/>
      <c r="O45" s="248"/>
      <c r="Q45" s="5"/>
      <c r="R45" s="5"/>
      <c r="S45" s="42"/>
      <c r="T45" s="42"/>
      <c r="U45" s="42"/>
      <c r="V45" s="42"/>
      <c r="W45" s="42"/>
      <c r="X45" s="42"/>
      <c r="Y45" s="325"/>
      <c r="Z45" s="325"/>
      <c r="AA45" s="42"/>
    </row>
    <row r="46" spans="2:27">
      <c r="B46" s="5" t="s">
        <v>605</v>
      </c>
      <c r="C46" s="247"/>
      <c r="D46" s="248">
        <f>(D31+D32)/D11</f>
        <v>4.6376811594202892E-2</v>
      </c>
      <c r="E46" s="248">
        <f>(E31+E32)/E11</f>
        <v>4.6376811594202892E-2</v>
      </c>
      <c r="F46" s="248">
        <f>(F31+F32)/F11</f>
        <v>4.6376811594202892E-2</v>
      </c>
      <c r="G46" s="248">
        <f>(G31+G32)/G11</f>
        <v>4.9275362318840575E-2</v>
      </c>
      <c r="H46" s="279">
        <f>((G31+G32)/(D31+D32))^(1/3)-1</f>
        <v>2.0413775479336982E-2</v>
      </c>
      <c r="I46" s="247"/>
      <c r="J46" s="247"/>
      <c r="K46" s="247"/>
      <c r="L46" s="247"/>
      <c r="M46" s="247"/>
      <c r="N46" s="247"/>
      <c r="O46" s="18"/>
      <c r="Q46" s="5"/>
      <c r="R46" s="5"/>
      <c r="S46" s="42"/>
      <c r="T46" s="42"/>
      <c r="U46" s="42"/>
      <c r="V46" s="42"/>
      <c r="W46" s="42"/>
      <c r="X46" s="42"/>
      <c r="Y46" s="42"/>
      <c r="Z46" s="42"/>
      <c r="AA46" s="326"/>
    </row>
    <row r="47" spans="2:27">
      <c r="B47" s="5" t="s">
        <v>581</v>
      </c>
      <c r="C47" s="5"/>
      <c r="D47" s="248">
        <f>1/D43</f>
        <v>0.11605331074854071</v>
      </c>
      <c r="E47" s="248">
        <f>1/E43</f>
        <v>0.13494950445944068</v>
      </c>
      <c r="F47" s="248">
        <f>1/F43</f>
        <v>0.10700660993157463</v>
      </c>
      <c r="G47" s="248">
        <f>1/G43</f>
        <v>0.10375697737292637</v>
      </c>
      <c r="H47" s="17">
        <f>H29</f>
        <v>-3.6644475284147382E-2</v>
      </c>
      <c r="I47" s="17"/>
      <c r="J47" s="248"/>
      <c r="K47" s="248"/>
      <c r="L47" s="248"/>
      <c r="M47" s="248"/>
      <c r="N47" s="248"/>
      <c r="O47" s="248"/>
      <c r="Q47" s="5"/>
      <c r="R47" s="5"/>
      <c r="S47" s="42"/>
      <c r="T47" s="42"/>
      <c r="U47" s="42"/>
      <c r="V47" s="42"/>
      <c r="W47" s="42"/>
      <c r="X47" s="42"/>
      <c r="Y47" s="42"/>
      <c r="Z47" s="42"/>
      <c r="AA47" s="326"/>
    </row>
    <row r="48" spans="2:27">
      <c r="B48" s="5" t="s">
        <v>618</v>
      </c>
      <c r="C48" s="5"/>
      <c r="D48" s="305">
        <f>D31/D29</f>
        <v>0.39961644605460811</v>
      </c>
      <c r="E48" s="305">
        <f>E31/E29</f>
        <v>0.34366048085890921</v>
      </c>
      <c r="F48" s="305">
        <f>F31/F29</f>
        <v>0.43340137234380699</v>
      </c>
      <c r="G48" s="305">
        <f>G31/G29</f>
        <v>0.47491131263137731</v>
      </c>
      <c r="H48" s="279" t="s">
        <v>607</v>
      </c>
      <c r="I48" s="247"/>
      <c r="J48" s="247"/>
      <c r="K48" s="247"/>
      <c r="L48" s="247"/>
      <c r="M48" s="247"/>
      <c r="N48" s="247"/>
      <c r="O48" s="248"/>
      <c r="Q48" s="5"/>
      <c r="R48" s="5"/>
      <c r="S48" s="42"/>
      <c r="T48" s="42"/>
      <c r="U48" s="42"/>
      <c r="V48" s="42"/>
      <c r="W48" s="42"/>
      <c r="X48" s="42"/>
      <c r="Y48" s="42"/>
      <c r="Z48" s="42"/>
      <c r="AA48" s="326"/>
    </row>
    <row r="49" spans="2:27">
      <c r="B49" s="41"/>
      <c r="C49" s="17"/>
      <c r="D49" s="17"/>
      <c r="E49" s="17"/>
      <c r="F49" s="17"/>
      <c r="G49" s="17"/>
      <c r="H49" s="17"/>
      <c r="I49" s="254"/>
      <c r="J49" s="17"/>
      <c r="K49" s="17"/>
      <c r="L49" s="17"/>
      <c r="M49" s="17"/>
      <c r="N49" s="17"/>
      <c r="O49" s="248"/>
      <c r="Q49" s="5"/>
      <c r="R49" s="5"/>
      <c r="S49" s="42"/>
      <c r="T49" s="42"/>
      <c r="U49" s="42"/>
      <c r="V49" s="42"/>
      <c r="W49" s="42"/>
      <c r="X49" s="42"/>
      <c r="Y49" s="42"/>
      <c r="Z49" s="42"/>
      <c r="AA49" s="326"/>
    </row>
    <row r="50" spans="2:27">
      <c r="B50" s="5"/>
      <c r="C50" s="257"/>
      <c r="D50" s="257"/>
      <c r="E50" s="257"/>
      <c r="F50" s="5"/>
      <c r="G50" s="41"/>
      <c r="H50" s="249"/>
      <c r="I50" s="17"/>
      <c r="J50" s="249"/>
      <c r="K50" s="249"/>
      <c r="L50" s="249"/>
      <c r="M50" s="249"/>
      <c r="N50" s="249"/>
      <c r="O50" s="250"/>
      <c r="Q50" s="5"/>
      <c r="R50" s="5"/>
      <c r="S50" s="42"/>
      <c r="T50" s="42"/>
      <c r="U50" s="42"/>
      <c r="V50" s="42"/>
      <c r="W50" s="288"/>
      <c r="X50" s="288"/>
      <c r="Y50" s="42"/>
      <c r="Z50" s="42"/>
      <c r="AA50" s="326"/>
    </row>
    <row r="51" spans="2:27">
      <c r="B51" s="41"/>
      <c r="C51" s="249"/>
      <c r="D51" s="254"/>
      <c r="E51" s="254"/>
      <c r="F51" s="254"/>
      <c r="G51" s="254"/>
      <c r="H51" s="254"/>
      <c r="I51" s="259"/>
      <c r="J51" s="254"/>
      <c r="K51" s="254"/>
      <c r="L51" s="254"/>
      <c r="M51" s="254"/>
      <c r="N51" s="254"/>
      <c r="O51" s="251"/>
      <c r="Q51" s="5"/>
      <c r="R51" s="5"/>
      <c r="S51" s="42"/>
      <c r="T51" s="42"/>
      <c r="U51" s="42"/>
      <c r="V51" s="42"/>
      <c r="W51" s="288"/>
      <c r="X51" s="288"/>
      <c r="Y51" s="288"/>
      <c r="Z51" s="288"/>
      <c r="AA51" s="42"/>
    </row>
    <row r="52" spans="2:27">
      <c r="B52" s="5"/>
      <c r="C52" s="257"/>
      <c r="D52" s="17"/>
      <c r="E52" s="17"/>
      <c r="F52" s="17"/>
      <c r="G52" s="17"/>
      <c r="H52" s="17"/>
      <c r="I52" s="254"/>
      <c r="J52" s="17"/>
      <c r="K52" s="17"/>
      <c r="L52" s="17"/>
      <c r="M52" s="17"/>
      <c r="N52" s="17"/>
      <c r="O52" s="248"/>
      <c r="Q52" s="5"/>
      <c r="R52" s="5"/>
      <c r="S52" s="5"/>
      <c r="Y52" s="10"/>
      <c r="Z52" s="10"/>
    </row>
    <row r="53" spans="2:27">
      <c r="B53" s="5"/>
      <c r="C53" s="257"/>
      <c r="D53" s="257"/>
      <c r="E53" s="257"/>
      <c r="F53" s="5"/>
      <c r="G53" s="5"/>
      <c r="H53" s="259"/>
      <c r="I53" s="17"/>
      <c r="J53" s="259"/>
      <c r="K53" s="259"/>
      <c r="L53" s="259"/>
      <c r="M53" s="259"/>
      <c r="N53" s="259"/>
      <c r="O53" s="18"/>
      <c r="Q53" s="5"/>
      <c r="R53" s="5"/>
      <c r="S53" s="5"/>
    </row>
    <row r="54" spans="2:27">
      <c r="B54" s="41"/>
      <c r="C54" s="249"/>
      <c r="D54" s="254"/>
      <c r="E54" s="254"/>
      <c r="F54" s="254"/>
      <c r="G54" s="254"/>
      <c r="H54" s="254"/>
      <c r="I54" s="259"/>
      <c r="J54" s="254"/>
      <c r="K54" s="254"/>
      <c r="L54" s="254"/>
      <c r="M54" s="254"/>
      <c r="N54" s="254"/>
      <c r="O54" s="251"/>
      <c r="Q54" s="5"/>
      <c r="R54" s="5"/>
      <c r="S54" s="5"/>
    </row>
    <row r="55" spans="2:27">
      <c r="B55" s="5"/>
      <c r="C55" s="257"/>
      <c r="D55" s="17"/>
      <c r="E55" s="17"/>
      <c r="F55" s="17"/>
      <c r="G55" s="17"/>
      <c r="H55" s="17"/>
      <c r="I55" s="249"/>
      <c r="J55" s="17"/>
      <c r="K55" s="17"/>
      <c r="L55" s="17"/>
      <c r="M55" s="17"/>
      <c r="N55" s="17"/>
      <c r="O55" s="18"/>
      <c r="Q55" s="5"/>
      <c r="R55" s="5"/>
      <c r="S55" s="5"/>
    </row>
    <row r="56" spans="2:27">
      <c r="B56" s="5"/>
      <c r="C56" s="248"/>
      <c r="D56" s="248"/>
      <c r="E56" s="248"/>
      <c r="F56" s="5"/>
      <c r="G56" s="5"/>
      <c r="H56" s="259"/>
      <c r="I56" s="248"/>
      <c r="J56" s="259"/>
      <c r="K56" s="259"/>
      <c r="L56" s="259"/>
      <c r="M56" s="259"/>
      <c r="N56" s="259"/>
      <c r="O56" s="18"/>
      <c r="Q56" s="5"/>
      <c r="R56" s="5"/>
      <c r="S56" s="5"/>
    </row>
    <row r="57" spans="2:27">
      <c r="B57" s="41"/>
      <c r="C57" s="249"/>
      <c r="D57" s="249"/>
      <c r="E57" s="249"/>
      <c r="F57" s="249"/>
      <c r="G57" s="249"/>
      <c r="H57" s="249"/>
      <c r="I57" s="5"/>
      <c r="J57" s="249"/>
      <c r="K57" s="249"/>
      <c r="L57" s="249"/>
      <c r="M57" s="249"/>
      <c r="N57" s="249"/>
      <c r="O57" s="251"/>
      <c r="Q57" s="5"/>
      <c r="R57" s="5"/>
      <c r="S57" s="5"/>
    </row>
    <row r="58" spans="2:27">
      <c r="B58" s="5"/>
      <c r="C58" s="5"/>
      <c r="D58" s="248"/>
      <c r="E58" s="248"/>
      <c r="F58" s="248"/>
      <c r="G58" s="248"/>
      <c r="H58" s="248"/>
      <c r="I58" s="17"/>
      <c r="J58" s="248"/>
      <c r="K58" s="248"/>
      <c r="L58" s="248"/>
      <c r="M58" s="248"/>
      <c r="N58" s="248"/>
      <c r="O58" s="18"/>
      <c r="Q58" s="5"/>
      <c r="R58" s="5"/>
      <c r="S58" s="5"/>
    </row>
    <row r="59" spans="2:27">
      <c r="B59" s="5"/>
      <c r="C59" s="5"/>
      <c r="D59" s="5"/>
      <c r="E59" s="5"/>
      <c r="F59" s="5"/>
      <c r="G59" s="5"/>
      <c r="H59" s="5"/>
      <c r="I59" s="5"/>
      <c r="J59" s="5"/>
      <c r="K59" s="5"/>
      <c r="L59" s="5"/>
      <c r="M59" s="5"/>
      <c r="N59" s="5"/>
      <c r="O59" s="5"/>
      <c r="Q59" s="5"/>
      <c r="R59" s="5"/>
      <c r="S59" s="5"/>
    </row>
    <row r="60" spans="2:27">
      <c r="B60" s="41"/>
      <c r="C60" s="17"/>
      <c r="D60" s="17"/>
      <c r="E60" s="17"/>
      <c r="F60" s="17"/>
      <c r="G60" s="17"/>
      <c r="H60" s="17"/>
      <c r="I60" s="249"/>
      <c r="J60" s="17"/>
      <c r="K60" s="17"/>
      <c r="L60" s="17"/>
      <c r="M60" s="17"/>
      <c r="N60" s="17"/>
      <c r="O60" s="251"/>
      <c r="Q60" s="5"/>
      <c r="R60" s="5"/>
      <c r="S60" s="5"/>
    </row>
    <row r="61" spans="2:27">
      <c r="B61" s="5"/>
      <c r="C61" s="5"/>
      <c r="D61" s="5"/>
      <c r="E61" s="5"/>
      <c r="F61" s="5"/>
      <c r="G61" s="5"/>
      <c r="H61" s="5"/>
      <c r="I61" s="5"/>
      <c r="J61" s="5"/>
      <c r="K61" s="5"/>
      <c r="L61" s="5"/>
      <c r="M61" s="5"/>
      <c r="N61" s="5"/>
      <c r="O61" s="5"/>
      <c r="Q61" s="41"/>
      <c r="R61" s="5"/>
      <c r="S61" s="5"/>
    </row>
    <row r="62" spans="2:27">
      <c r="B62" s="41"/>
      <c r="C62" s="249"/>
      <c r="D62" s="249"/>
      <c r="E62" s="249"/>
      <c r="F62" s="249"/>
      <c r="G62" s="249"/>
      <c r="H62" s="249"/>
      <c r="I62" s="5"/>
      <c r="J62" s="249"/>
      <c r="K62" s="249"/>
      <c r="L62" s="249"/>
      <c r="M62" s="249"/>
      <c r="N62" s="249"/>
      <c r="O62" s="251"/>
      <c r="Q62" s="5"/>
      <c r="R62" s="5"/>
      <c r="S62" s="5"/>
    </row>
    <row r="63" spans="2:27">
      <c r="B63" s="5"/>
      <c r="C63" s="5"/>
      <c r="D63" s="5"/>
      <c r="E63" s="5"/>
      <c r="F63" s="5"/>
      <c r="G63" s="5"/>
      <c r="H63" s="5"/>
      <c r="I63" s="254"/>
      <c r="J63" s="5"/>
      <c r="K63" s="5"/>
      <c r="L63" s="5"/>
      <c r="M63" s="5"/>
      <c r="N63" s="5"/>
      <c r="O63" s="5"/>
      <c r="Q63" s="5"/>
      <c r="R63" s="5"/>
      <c r="S63" s="5"/>
    </row>
    <row r="64" spans="2:27">
      <c r="B64" s="5"/>
      <c r="C64" s="5"/>
      <c r="D64" s="5"/>
      <c r="E64" s="5"/>
      <c r="F64" s="5"/>
      <c r="G64" s="5"/>
      <c r="H64" s="5"/>
      <c r="I64" s="17"/>
      <c r="J64" s="5"/>
      <c r="K64" s="5"/>
      <c r="L64" s="5"/>
      <c r="M64" s="5"/>
      <c r="N64" s="5"/>
      <c r="O64" s="5"/>
      <c r="Q64" s="5"/>
      <c r="R64" s="5"/>
      <c r="S64" s="5"/>
    </row>
    <row r="65" spans="2:26">
      <c r="B65" s="41"/>
      <c r="C65" s="249"/>
      <c r="D65" s="254"/>
      <c r="E65" s="254"/>
      <c r="F65" s="254"/>
      <c r="G65" s="254"/>
      <c r="H65" s="254"/>
      <c r="I65" s="254"/>
      <c r="J65" s="254"/>
      <c r="K65" s="254"/>
      <c r="L65" s="254"/>
      <c r="M65" s="254"/>
      <c r="N65" s="254"/>
      <c r="O65" s="251"/>
      <c r="Q65" s="5"/>
      <c r="R65" s="5"/>
      <c r="S65" s="5"/>
    </row>
    <row r="66" spans="2:26">
      <c r="B66" s="5"/>
      <c r="C66" s="5"/>
      <c r="D66" s="17"/>
      <c r="E66" s="17"/>
      <c r="F66" s="17"/>
      <c r="G66" s="17"/>
      <c r="H66" s="17"/>
      <c r="I66" s="248"/>
      <c r="J66" s="17"/>
      <c r="K66" s="17"/>
      <c r="L66" s="17"/>
      <c r="M66" s="17"/>
      <c r="N66" s="17"/>
      <c r="O66" s="5"/>
      <c r="Q66" s="5"/>
      <c r="R66" s="5"/>
      <c r="S66" s="5"/>
    </row>
    <row r="67" spans="2:26">
      <c r="B67" s="41"/>
      <c r="C67" s="249"/>
      <c r="D67" s="254"/>
      <c r="E67" s="254"/>
      <c r="F67" s="254"/>
      <c r="G67" s="254"/>
      <c r="H67" s="254"/>
      <c r="I67" s="5"/>
      <c r="J67" s="254"/>
      <c r="K67" s="254"/>
      <c r="L67" s="254"/>
      <c r="M67" s="254"/>
      <c r="N67" s="254"/>
      <c r="O67" s="251"/>
      <c r="Q67" s="41"/>
      <c r="R67" s="5"/>
      <c r="S67" s="5"/>
    </row>
    <row r="68" spans="2:26">
      <c r="B68" s="5"/>
      <c r="C68" s="5"/>
      <c r="D68" s="248"/>
      <c r="E68" s="248"/>
      <c r="F68" s="248"/>
      <c r="G68" s="248"/>
      <c r="H68" s="248"/>
      <c r="I68" s="245"/>
      <c r="J68" s="248"/>
      <c r="K68" s="248"/>
      <c r="L68" s="248"/>
      <c r="M68" s="248"/>
      <c r="N68" s="248"/>
      <c r="O68" s="5"/>
      <c r="Q68" s="5"/>
      <c r="R68" s="5"/>
      <c r="S68" s="5"/>
    </row>
    <row r="69" spans="2:26">
      <c r="B69" s="41"/>
      <c r="C69" s="5"/>
      <c r="D69" s="5"/>
      <c r="E69" s="5"/>
      <c r="F69" s="5"/>
      <c r="G69" s="5"/>
      <c r="H69" s="5"/>
      <c r="I69" s="248"/>
      <c r="J69" s="5"/>
      <c r="K69" s="5"/>
      <c r="L69" s="5"/>
      <c r="M69" s="5"/>
      <c r="N69" s="5"/>
      <c r="O69" s="5"/>
      <c r="Q69" s="5"/>
      <c r="R69" s="5"/>
      <c r="S69" s="5"/>
    </row>
    <row r="70" spans="2:26">
      <c r="B70" s="41"/>
      <c r="C70" s="245"/>
      <c r="D70" s="245"/>
      <c r="E70" s="245"/>
      <c r="F70" s="245"/>
      <c r="G70" s="245"/>
      <c r="H70" s="245"/>
      <c r="I70" s="5"/>
      <c r="J70" s="245"/>
      <c r="K70" s="245"/>
      <c r="L70" s="245"/>
      <c r="M70" s="245"/>
      <c r="N70" s="245"/>
      <c r="O70" s="251"/>
      <c r="Q70" s="5"/>
      <c r="R70" s="5"/>
      <c r="S70" s="5"/>
      <c r="W70" s="76"/>
      <c r="X70" s="76"/>
    </row>
    <row r="71" spans="2:26">
      <c r="B71" s="5"/>
      <c r="C71" s="5"/>
      <c r="D71" s="248"/>
      <c r="E71" s="248"/>
      <c r="F71" s="248"/>
      <c r="G71" s="248"/>
      <c r="H71" s="248"/>
      <c r="I71" s="245"/>
      <c r="J71" s="248"/>
      <c r="K71" s="248"/>
      <c r="L71" s="248"/>
      <c r="M71" s="248"/>
      <c r="N71" s="248"/>
      <c r="O71" s="5"/>
      <c r="Q71" s="5"/>
      <c r="R71" s="5"/>
      <c r="S71" s="5"/>
      <c r="W71" s="76"/>
      <c r="X71" s="76"/>
      <c r="Y71" s="76"/>
      <c r="Z71" s="76"/>
    </row>
    <row r="72" spans="2:26">
      <c r="B72" s="41"/>
      <c r="C72" s="5"/>
      <c r="D72" s="5"/>
      <c r="E72" s="5"/>
      <c r="F72" s="5"/>
      <c r="G72" s="5"/>
      <c r="H72" s="5"/>
      <c r="I72" s="18"/>
      <c r="J72" s="5"/>
      <c r="K72" s="5"/>
      <c r="L72" s="5"/>
      <c r="M72" s="5"/>
      <c r="N72" s="5"/>
      <c r="O72" s="5"/>
      <c r="Q72" s="5"/>
      <c r="R72" s="5"/>
      <c r="S72" s="5"/>
      <c r="Y72" s="76"/>
      <c r="Z72" s="76"/>
    </row>
    <row r="73" spans="2:26">
      <c r="B73" s="41"/>
      <c r="C73" s="245"/>
      <c r="D73" s="245"/>
      <c r="E73" s="245"/>
      <c r="F73" s="245"/>
      <c r="G73" s="245"/>
      <c r="H73" s="245"/>
      <c r="I73" s="5"/>
      <c r="J73" s="245"/>
      <c r="K73" s="245"/>
      <c r="L73" s="245"/>
      <c r="M73" s="245"/>
      <c r="N73" s="245"/>
      <c r="O73" s="251"/>
      <c r="Q73" s="5"/>
      <c r="R73" s="5"/>
      <c r="S73" s="5"/>
    </row>
    <row r="74" spans="2:26">
      <c r="B74" s="5"/>
      <c r="C74" s="5"/>
      <c r="D74" s="18"/>
      <c r="E74" s="18"/>
      <c r="F74" s="18"/>
      <c r="G74" s="18"/>
      <c r="H74" s="18"/>
      <c r="I74" s="249"/>
      <c r="J74" s="18"/>
      <c r="K74" s="18"/>
      <c r="L74" s="18"/>
      <c r="M74" s="18"/>
      <c r="N74" s="18"/>
      <c r="O74" s="5"/>
      <c r="Q74" s="5"/>
      <c r="R74" s="5"/>
      <c r="S74" s="5"/>
    </row>
    <row r="75" spans="2:26">
      <c r="B75" s="41"/>
      <c r="C75" s="5"/>
      <c r="D75" s="5"/>
      <c r="E75" s="5"/>
      <c r="F75" s="5"/>
      <c r="G75" s="5"/>
      <c r="H75" s="5"/>
      <c r="I75" s="248"/>
      <c r="J75" s="5"/>
      <c r="K75" s="5"/>
      <c r="L75" s="5"/>
      <c r="M75" s="5"/>
      <c r="N75" s="5"/>
      <c r="O75" s="5"/>
      <c r="Q75" s="5"/>
      <c r="R75" s="5"/>
      <c r="S75" s="5"/>
    </row>
    <row r="76" spans="2:26">
      <c r="B76" s="41"/>
      <c r="C76" s="249"/>
      <c r="D76" s="249"/>
      <c r="E76" s="249"/>
      <c r="F76" s="249"/>
      <c r="G76" s="249"/>
      <c r="H76" s="249"/>
      <c r="I76" s="5"/>
      <c r="J76" s="249"/>
      <c r="K76" s="249"/>
      <c r="L76" s="249"/>
      <c r="M76" s="249"/>
      <c r="N76" s="249"/>
      <c r="O76" s="251"/>
      <c r="Q76" s="5"/>
      <c r="R76" s="5"/>
      <c r="S76" s="5"/>
    </row>
    <row r="77" spans="2:26">
      <c r="B77" s="5"/>
      <c r="C77" s="5"/>
      <c r="D77" s="248"/>
      <c r="E77" s="248"/>
      <c r="F77" s="248"/>
      <c r="G77" s="248"/>
      <c r="H77" s="248"/>
      <c r="I77" s="245"/>
      <c r="J77" s="248"/>
      <c r="K77" s="248"/>
      <c r="L77" s="248"/>
      <c r="M77" s="248"/>
      <c r="N77" s="248"/>
      <c r="O77" s="5"/>
      <c r="Q77" s="5"/>
      <c r="R77" s="5"/>
      <c r="S77" s="5"/>
    </row>
    <row r="78" spans="2:26">
      <c r="B78" s="41"/>
      <c r="C78" s="5"/>
      <c r="D78" s="5"/>
      <c r="E78" s="5"/>
      <c r="F78" s="5"/>
      <c r="G78" s="5"/>
      <c r="H78" s="5"/>
      <c r="I78" s="248"/>
      <c r="J78" s="5"/>
      <c r="K78" s="5"/>
      <c r="L78" s="5"/>
      <c r="M78" s="5"/>
      <c r="N78" s="5"/>
      <c r="O78" s="5"/>
      <c r="Q78" s="5"/>
      <c r="R78" s="5"/>
      <c r="S78" s="5"/>
    </row>
    <row r="79" spans="2:26">
      <c r="B79" s="41"/>
      <c r="C79" s="245"/>
      <c r="D79" s="245"/>
      <c r="E79" s="245"/>
      <c r="F79" s="245"/>
      <c r="G79" s="245"/>
      <c r="H79" s="245"/>
      <c r="I79" s="5"/>
      <c r="J79" s="245"/>
      <c r="K79" s="245"/>
      <c r="L79" s="245"/>
      <c r="M79" s="245"/>
      <c r="N79" s="245"/>
      <c r="O79" s="251"/>
      <c r="Q79" s="5"/>
      <c r="R79" s="5"/>
      <c r="S79" s="5"/>
    </row>
    <row r="80" spans="2:26">
      <c r="B80" s="5"/>
      <c r="C80" s="5"/>
      <c r="D80" s="248"/>
      <c r="E80" s="248"/>
      <c r="F80" s="248"/>
      <c r="G80" s="248"/>
      <c r="H80" s="248"/>
      <c r="I80" s="249"/>
      <c r="J80" s="248"/>
      <c r="K80" s="248"/>
      <c r="L80" s="248"/>
      <c r="M80" s="248"/>
      <c r="N80" s="248"/>
      <c r="O80" s="5"/>
      <c r="Q80" s="5"/>
      <c r="R80" s="5"/>
      <c r="S80" s="5"/>
    </row>
    <row r="81" spans="2:26">
      <c r="B81" s="41"/>
      <c r="C81" s="5"/>
      <c r="D81" s="5"/>
      <c r="E81" s="5"/>
      <c r="F81" s="5"/>
      <c r="G81" s="5"/>
      <c r="H81" s="5"/>
      <c r="I81" s="248"/>
      <c r="J81" s="5"/>
      <c r="K81" s="5"/>
      <c r="L81" s="5"/>
      <c r="M81" s="5"/>
      <c r="N81" s="5"/>
      <c r="O81" s="5"/>
      <c r="Q81" s="5"/>
      <c r="R81" s="5"/>
      <c r="S81" s="5"/>
    </row>
    <row r="82" spans="2:26">
      <c r="B82" s="41"/>
      <c r="C82" s="249"/>
      <c r="D82" s="249"/>
      <c r="E82" s="249"/>
      <c r="F82" s="249"/>
      <c r="G82" s="249"/>
      <c r="H82" s="249"/>
      <c r="I82" s="259"/>
      <c r="J82" s="249"/>
      <c r="K82" s="249"/>
      <c r="L82" s="249"/>
      <c r="M82" s="249"/>
      <c r="N82" s="249"/>
      <c r="O82" s="251"/>
      <c r="Q82" s="5"/>
      <c r="R82" s="5"/>
      <c r="S82" s="5"/>
    </row>
    <row r="83" spans="2:26">
      <c r="B83" s="5"/>
      <c r="C83" s="5"/>
      <c r="D83" s="248"/>
      <c r="E83" s="248"/>
      <c r="F83" s="248"/>
      <c r="G83" s="248"/>
      <c r="H83" s="248"/>
      <c r="I83" s="5"/>
      <c r="J83" s="248"/>
      <c r="K83" s="248"/>
      <c r="L83" s="248"/>
      <c r="M83" s="248"/>
      <c r="N83" s="248"/>
      <c r="O83" s="5"/>
      <c r="Q83" s="5"/>
      <c r="R83" s="5"/>
      <c r="S83" s="5"/>
    </row>
    <row r="84" spans="2:26">
      <c r="B84" s="5"/>
      <c r="C84" s="259"/>
      <c r="D84" s="259"/>
      <c r="E84" s="259"/>
      <c r="F84" s="259"/>
      <c r="G84" s="259"/>
      <c r="H84" s="259"/>
      <c r="I84" s="245"/>
      <c r="J84" s="259"/>
      <c r="K84" s="259"/>
      <c r="L84" s="259"/>
      <c r="M84" s="259"/>
      <c r="N84" s="259"/>
      <c r="O84" s="251"/>
      <c r="Q84" s="5"/>
      <c r="R84" s="5"/>
      <c r="S84" s="5"/>
    </row>
    <row r="85" spans="2:26">
      <c r="B85" s="41"/>
      <c r="C85" s="5"/>
      <c r="D85" s="5"/>
      <c r="E85" s="5"/>
      <c r="F85" s="5"/>
      <c r="G85" s="5"/>
      <c r="H85" s="5"/>
      <c r="I85" s="248"/>
      <c r="J85" s="5"/>
      <c r="K85" s="5"/>
      <c r="L85" s="5"/>
      <c r="M85" s="5"/>
      <c r="N85" s="5"/>
      <c r="O85" s="5"/>
      <c r="Q85" s="5"/>
      <c r="R85" s="5"/>
      <c r="S85" s="5"/>
    </row>
    <row r="86" spans="2:26">
      <c r="B86" s="41"/>
      <c r="C86" s="245"/>
      <c r="D86" s="245"/>
      <c r="E86" s="245"/>
      <c r="F86" s="245"/>
      <c r="G86" s="245"/>
      <c r="H86" s="245"/>
      <c r="I86" s="5"/>
      <c r="J86" s="245"/>
      <c r="K86" s="245"/>
      <c r="L86" s="245"/>
      <c r="M86" s="245"/>
      <c r="N86" s="245"/>
      <c r="O86" s="251"/>
      <c r="Q86" s="5"/>
      <c r="R86" s="5"/>
      <c r="S86" s="5"/>
    </row>
    <row r="87" spans="2:26">
      <c r="B87" s="5"/>
      <c r="C87" s="5"/>
      <c r="D87" s="248"/>
      <c r="E87" s="248"/>
      <c r="F87" s="248"/>
      <c r="G87" s="248"/>
      <c r="H87" s="248"/>
      <c r="I87" s="5"/>
      <c r="J87" s="248"/>
      <c r="K87" s="248"/>
      <c r="L87" s="248"/>
      <c r="M87" s="248"/>
      <c r="N87" s="248"/>
      <c r="O87" s="5"/>
      <c r="Q87" s="5"/>
      <c r="R87" s="5"/>
      <c r="S87" s="5"/>
    </row>
    <row r="88" spans="2:26">
      <c r="B88" s="41"/>
      <c r="C88" s="5"/>
      <c r="D88" s="5"/>
      <c r="E88" s="5"/>
      <c r="F88" s="5"/>
      <c r="G88" s="5"/>
      <c r="H88" s="5"/>
      <c r="I88" s="5"/>
      <c r="J88" s="5"/>
      <c r="K88" s="5"/>
      <c r="L88" s="5"/>
      <c r="M88" s="5"/>
      <c r="N88" s="5"/>
      <c r="O88" s="5"/>
      <c r="Q88" s="5"/>
      <c r="R88" s="5"/>
      <c r="S88" s="5"/>
    </row>
    <row r="89" spans="2:26">
      <c r="B89" s="41"/>
      <c r="C89" s="5"/>
      <c r="D89" s="5"/>
      <c r="E89" s="5"/>
      <c r="F89" s="5"/>
      <c r="G89" s="5"/>
      <c r="H89" s="5"/>
      <c r="I89" s="5"/>
      <c r="J89" s="5"/>
      <c r="K89" s="5"/>
      <c r="L89" s="5"/>
      <c r="M89" s="5"/>
      <c r="N89" s="5"/>
      <c r="O89" s="5"/>
      <c r="Q89" s="5"/>
      <c r="R89" s="5"/>
      <c r="S89" s="5"/>
    </row>
    <row r="90" spans="2:26">
      <c r="B90" s="41"/>
      <c r="C90" s="5"/>
      <c r="D90" s="5"/>
      <c r="E90" s="5"/>
      <c r="F90" s="5"/>
      <c r="G90" s="5"/>
      <c r="H90" s="5"/>
      <c r="I90" s="49"/>
      <c r="J90" s="5"/>
      <c r="K90" s="5"/>
      <c r="L90" s="5"/>
      <c r="M90" s="5"/>
      <c r="N90" s="5"/>
      <c r="O90" s="5"/>
      <c r="Q90" s="41"/>
      <c r="R90" s="5"/>
      <c r="S90" s="5"/>
    </row>
    <row r="91" spans="2:26">
      <c r="B91" s="5"/>
      <c r="C91" s="5"/>
      <c r="D91" s="5"/>
      <c r="E91" s="5"/>
      <c r="F91" s="5"/>
      <c r="G91" s="5"/>
      <c r="H91" s="5"/>
      <c r="I91" s="5"/>
      <c r="J91" s="5"/>
      <c r="K91" s="5"/>
      <c r="L91" s="5"/>
      <c r="M91" s="5"/>
      <c r="N91" s="5"/>
      <c r="O91" s="5"/>
      <c r="Q91" s="5"/>
      <c r="R91" s="5"/>
      <c r="S91" s="5"/>
    </row>
    <row r="92" spans="2:26">
      <c r="B92" s="41"/>
      <c r="C92" s="49"/>
      <c r="D92" s="49"/>
      <c r="E92" s="49"/>
      <c r="F92" s="49"/>
      <c r="G92" s="49"/>
      <c r="H92" s="49"/>
      <c r="I92" s="247"/>
      <c r="J92" s="49"/>
      <c r="K92" s="49"/>
      <c r="L92" s="49"/>
      <c r="M92" s="49"/>
      <c r="N92" s="49"/>
      <c r="O92" s="49"/>
      <c r="Q92" s="5"/>
      <c r="R92" s="5"/>
      <c r="S92" s="5"/>
      <c r="W92" s="21"/>
      <c r="X92" s="21"/>
    </row>
    <row r="93" spans="2:26">
      <c r="B93" s="5"/>
      <c r="C93" s="5"/>
      <c r="D93" s="5"/>
      <c r="E93" s="5"/>
      <c r="F93" s="5"/>
      <c r="G93" s="5"/>
      <c r="H93" s="5"/>
      <c r="I93" s="247"/>
      <c r="J93" s="5"/>
      <c r="K93" s="5"/>
      <c r="L93" s="5"/>
      <c r="M93" s="5"/>
      <c r="N93" s="5"/>
      <c r="O93" s="5"/>
      <c r="Q93" s="5"/>
      <c r="R93" s="5"/>
      <c r="S93" s="5"/>
      <c r="W93" s="21"/>
      <c r="X93" s="21"/>
      <c r="Y93" s="21"/>
      <c r="Z93" s="21"/>
    </row>
    <row r="94" spans="2:26">
      <c r="B94" s="5"/>
      <c r="C94" s="259"/>
      <c r="D94" s="247"/>
      <c r="E94" s="247"/>
      <c r="F94" s="247"/>
      <c r="G94" s="247"/>
      <c r="H94" s="247"/>
      <c r="I94" s="247"/>
      <c r="J94" s="247"/>
      <c r="K94" s="247"/>
      <c r="L94" s="247"/>
      <c r="M94" s="247"/>
      <c r="N94" s="247"/>
      <c r="O94" s="248"/>
      <c r="Q94" s="5"/>
      <c r="R94" s="5"/>
      <c r="S94" s="5"/>
      <c r="Y94" s="21"/>
      <c r="Z94" s="21"/>
    </row>
    <row r="95" spans="2:26">
      <c r="B95" s="5"/>
      <c r="C95" s="259"/>
      <c r="D95" s="247"/>
      <c r="E95" s="247"/>
      <c r="F95" s="247"/>
      <c r="G95" s="247"/>
      <c r="H95" s="247"/>
      <c r="I95" s="248"/>
      <c r="J95" s="247"/>
      <c r="K95" s="247"/>
      <c r="L95" s="247"/>
      <c r="M95" s="247"/>
      <c r="N95" s="247"/>
      <c r="O95" s="248"/>
      <c r="Q95" s="5"/>
      <c r="R95" s="5"/>
      <c r="S95" s="5"/>
    </row>
    <row r="96" spans="2:26">
      <c r="B96" s="5"/>
      <c r="C96" s="259"/>
      <c r="D96" s="247"/>
      <c r="E96" s="247"/>
      <c r="F96" s="247"/>
      <c r="G96" s="247"/>
      <c r="H96" s="247"/>
      <c r="I96" s="247"/>
      <c r="J96" s="247"/>
      <c r="K96" s="247"/>
      <c r="L96" s="247"/>
      <c r="M96" s="247"/>
      <c r="N96" s="247"/>
      <c r="O96" s="248"/>
      <c r="Q96" s="5"/>
      <c r="R96" s="5"/>
      <c r="S96" s="5"/>
    </row>
    <row r="97" spans="2:19">
      <c r="B97" s="5"/>
      <c r="C97" s="259"/>
      <c r="D97" s="248"/>
      <c r="E97" s="248"/>
      <c r="F97" s="248"/>
      <c r="G97" s="248"/>
      <c r="H97" s="248"/>
      <c r="I97" s="249"/>
      <c r="J97" s="248"/>
      <c r="K97" s="248"/>
      <c r="L97" s="248"/>
      <c r="M97" s="248"/>
      <c r="N97" s="248"/>
      <c r="O97" s="248"/>
      <c r="Q97" s="5"/>
      <c r="R97" s="5"/>
      <c r="S97" s="5"/>
    </row>
    <row r="98" spans="2:19">
      <c r="B98" s="5"/>
      <c r="C98" s="259"/>
      <c r="D98" s="247"/>
      <c r="E98" s="247"/>
      <c r="F98" s="247"/>
      <c r="G98" s="247"/>
      <c r="H98" s="247"/>
      <c r="I98" s="248"/>
      <c r="J98" s="247"/>
      <c r="K98" s="247"/>
      <c r="L98" s="247"/>
      <c r="M98" s="247"/>
      <c r="N98" s="247"/>
      <c r="O98" s="248"/>
      <c r="Q98" s="5"/>
      <c r="R98" s="5"/>
      <c r="S98" s="5"/>
    </row>
    <row r="99" spans="2:19">
      <c r="B99" s="41"/>
      <c r="C99" s="249"/>
      <c r="D99" s="249"/>
      <c r="E99" s="249"/>
      <c r="F99" s="249"/>
      <c r="G99" s="249"/>
      <c r="H99" s="249"/>
      <c r="I99" s="5"/>
      <c r="J99" s="249"/>
      <c r="K99" s="249"/>
      <c r="L99" s="249"/>
      <c r="M99" s="249"/>
      <c r="N99" s="249"/>
      <c r="O99" s="248"/>
      <c r="Q99" s="5"/>
      <c r="R99" s="5"/>
      <c r="S99" s="5"/>
    </row>
    <row r="100" spans="2:19">
      <c r="B100" s="41"/>
      <c r="C100" s="257"/>
      <c r="D100" s="248"/>
      <c r="E100" s="248"/>
      <c r="F100" s="248"/>
      <c r="G100" s="248"/>
      <c r="H100" s="248"/>
      <c r="I100" s="259"/>
      <c r="J100" s="248"/>
      <c r="K100" s="248"/>
      <c r="L100" s="248"/>
      <c r="M100" s="248"/>
      <c r="N100" s="248"/>
      <c r="O100" s="248"/>
      <c r="Q100" s="5"/>
      <c r="R100" s="5"/>
      <c r="S100" s="5"/>
    </row>
    <row r="101" spans="2:19" s="5" customFormat="1">
      <c r="B101" s="41"/>
      <c r="I101" s="259"/>
      <c r="O101" s="248"/>
      <c r="P101" s="39"/>
    </row>
    <row r="102" spans="2:19">
      <c r="B102" s="5"/>
      <c r="C102" s="259"/>
      <c r="D102" s="259"/>
      <c r="E102" s="259"/>
      <c r="F102" s="259"/>
      <c r="G102" s="259"/>
      <c r="H102" s="259"/>
      <c r="I102" s="247"/>
      <c r="J102" s="259"/>
      <c r="K102" s="259"/>
      <c r="L102" s="259"/>
      <c r="M102" s="259"/>
      <c r="N102" s="259"/>
      <c r="O102" s="5"/>
      <c r="Q102" s="5"/>
      <c r="R102" s="5"/>
      <c r="S102" s="5"/>
    </row>
    <row r="103" spans="2:19">
      <c r="B103" s="5"/>
      <c r="C103" s="259"/>
      <c r="D103" s="259"/>
      <c r="E103" s="259"/>
      <c r="F103" s="259"/>
      <c r="G103" s="259"/>
      <c r="H103" s="259"/>
      <c r="I103" s="5"/>
      <c r="J103" s="259"/>
      <c r="K103" s="259"/>
      <c r="L103" s="259"/>
      <c r="M103" s="259"/>
      <c r="N103" s="259"/>
      <c r="O103" s="5"/>
      <c r="P103" s="5"/>
      <c r="Q103" s="5"/>
      <c r="R103" s="5"/>
      <c r="S103" s="5"/>
    </row>
    <row r="104" spans="2:19">
      <c r="B104" s="5"/>
      <c r="C104" s="247"/>
      <c r="D104" s="247"/>
      <c r="E104" s="247"/>
      <c r="F104" s="247"/>
      <c r="G104" s="247"/>
      <c r="H104" s="247"/>
      <c r="I104" s="247"/>
      <c r="J104" s="247"/>
      <c r="K104" s="247"/>
      <c r="L104" s="247"/>
      <c r="M104" s="247"/>
      <c r="N104" s="247"/>
      <c r="O104" s="5"/>
      <c r="Q104" s="5"/>
      <c r="R104" s="5"/>
      <c r="S104" s="5"/>
    </row>
    <row r="105" spans="2:19" s="5" customFormat="1">
      <c r="P105" s="39"/>
    </row>
    <row r="106" spans="2:19" s="5" customFormat="1">
      <c r="C106" s="259"/>
      <c r="D106" s="247"/>
      <c r="E106" s="247"/>
      <c r="F106" s="247"/>
      <c r="G106" s="247"/>
      <c r="H106" s="247"/>
      <c r="I106" s="259"/>
      <c r="J106" s="247"/>
      <c r="K106" s="247"/>
      <c r="L106" s="247"/>
      <c r="M106" s="247"/>
      <c r="N106" s="247"/>
      <c r="P106" s="39"/>
    </row>
    <row r="107" spans="2:19">
      <c r="B107" s="5"/>
      <c r="C107" s="259"/>
      <c r="D107" s="5"/>
      <c r="E107" s="5"/>
      <c r="F107" s="5"/>
      <c r="G107" s="5"/>
      <c r="H107" s="5"/>
      <c r="I107" s="247"/>
      <c r="J107" s="5"/>
      <c r="K107" s="5"/>
      <c r="L107" s="5"/>
      <c r="M107" s="5"/>
      <c r="N107" s="5"/>
      <c r="O107" s="5"/>
      <c r="P107" s="5"/>
      <c r="Q107" s="5"/>
      <c r="R107" s="5"/>
      <c r="S107" s="5"/>
    </row>
    <row r="108" spans="2:19">
      <c r="B108" s="5"/>
      <c r="C108" s="259"/>
      <c r="D108" s="259"/>
      <c r="E108" s="259"/>
      <c r="F108" s="259"/>
      <c r="G108" s="259"/>
      <c r="H108" s="259"/>
      <c r="I108" s="249"/>
      <c r="J108" s="259"/>
      <c r="K108" s="259"/>
      <c r="L108" s="259"/>
      <c r="M108" s="259"/>
      <c r="N108" s="259"/>
      <c r="O108" s="5"/>
      <c r="P108" s="5"/>
      <c r="Q108" s="5"/>
      <c r="R108" s="5"/>
      <c r="S108" s="5"/>
    </row>
    <row r="109" spans="2:19">
      <c r="B109" s="5"/>
      <c r="C109" s="247"/>
      <c r="D109" s="247"/>
      <c r="E109" s="247"/>
      <c r="F109" s="247"/>
      <c r="G109" s="247"/>
      <c r="H109" s="247"/>
      <c r="I109" s="249"/>
      <c r="J109" s="247"/>
      <c r="K109" s="247"/>
      <c r="L109" s="247"/>
      <c r="M109" s="247"/>
      <c r="N109" s="247"/>
      <c r="O109" s="5"/>
      <c r="Q109" s="5"/>
      <c r="R109" s="5"/>
      <c r="S109" s="5"/>
    </row>
    <row r="110" spans="2:19">
      <c r="B110" s="41"/>
      <c r="C110" s="249"/>
      <c r="D110" s="249"/>
      <c r="E110" s="249"/>
      <c r="F110" s="249"/>
      <c r="G110" s="249"/>
      <c r="H110" s="249"/>
      <c r="I110" s="247"/>
      <c r="J110" s="249"/>
      <c r="K110" s="249"/>
      <c r="L110" s="249"/>
      <c r="M110" s="249"/>
      <c r="N110" s="249"/>
      <c r="O110" s="5"/>
      <c r="Q110" s="5"/>
      <c r="R110" s="5"/>
      <c r="S110" s="5"/>
    </row>
    <row r="111" spans="2:19">
      <c r="B111" s="5"/>
      <c r="C111" s="249"/>
      <c r="D111" s="249"/>
      <c r="E111" s="249"/>
      <c r="F111" s="249"/>
      <c r="G111" s="249"/>
      <c r="H111" s="249"/>
      <c r="I111" s="5"/>
      <c r="J111" s="249"/>
      <c r="K111" s="249"/>
      <c r="L111" s="249"/>
      <c r="M111" s="249"/>
      <c r="N111" s="249"/>
      <c r="O111" s="5"/>
      <c r="Q111" s="5"/>
      <c r="R111" s="5"/>
      <c r="S111" s="5"/>
    </row>
    <row r="112" spans="2:19">
      <c r="B112" s="5"/>
      <c r="C112" s="247"/>
      <c r="D112" s="247"/>
      <c r="E112" s="247"/>
      <c r="F112" s="247"/>
      <c r="G112" s="247"/>
      <c r="H112" s="247"/>
      <c r="I112" s="5"/>
      <c r="J112" s="247"/>
      <c r="K112" s="247"/>
      <c r="L112" s="247"/>
      <c r="M112" s="247"/>
      <c r="N112" s="247"/>
      <c r="O112" s="5"/>
      <c r="Q112" s="5"/>
      <c r="R112" s="5"/>
      <c r="S112" s="5"/>
    </row>
    <row r="113" spans="2:19">
      <c r="B113" s="5"/>
      <c r="C113" s="5"/>
      <c r="D113" s="5"/>
      <c r="E113" s="5"/>
      <c r="F113" s="5"/>
      <c r="G113" s="5"/>
      <c r="H113" s="5"/>
      <c r="I113" s="5"/>
      <c r="J113" s="5"/>
      <c r="K113" s="5"/>
      <c r="L113" s="5"/>
      <c r="M113" s="5"/>
      <c r="N113" s="5"/>
      <c r="O113" s="5"/>
      <c r="Q113" s="5"/>
      <c r="R113" s="5"/>
      <c r="S113" s="5"/>
    </row>
    <row r="114" spans="2:19">
      <c r="B114" s="5"/>
      <c r="C114" s="5"/>
      <c r="D114" s="5"/>
      <c r="E114" s="5"/>
      <c r="F114" s="5"/>
      <c r="G114" s="5"/>
      <c r="H114" s="5"/>
      <c r="I114" s="5"/>
      <c r="J114" s="5"/>
      <c r="K114" s="5"/>
      <c r="L114" s="5"/>
      <c r="M114" s="5"/>
      <c r="N114" s="5"/>
      <c r="O114" s="5"/>
      <c r="Q114" s="5"/>
      <c r="R114" s="5"/>
      <c r="S114" s="5"/>
    </row>
    <row r="115" spans="2:19">
      <c r="B115" s="5"/>
      <c r="C115" s="5"/>
      <c r="D115" s="5"/>
      <c r="E115" s="5"/>
      <c r="F115" s="5"/>
      <c r="G115" s="5"/>
      <c r="H115" s="5"/>
      <c r="I115" s="49"/>
      <c r="J115" s="5"/>
      <c r="K115" s="5"/>
      <c r="L115" s="5"/>
      <c r="M115" s="5"/>
      <c r="N115" s="5"/>
      <c r="O115" s="5"/>
      <c r="Q115" s="41"/>
      <c r="R115" s="5"/>
      <c r="S115" s="5"/>
    </row>
    <row r="116" spans="2:19">
      <c r="B116" s="5"/>
      <c r="C116" s="5"/>
      <c r="D116" s="5"/>
      <c r="E116" s="5"/>
      <c r="F116" s="5"/>
      <c r="G116" s="5"/>
      <c r="H116" s="5"/>
      <c r="I116" s="5"/>
      <c r="J116" s="5"/>
      <c r="K116" s="5"/>
      <c r="L116" s="5"/>
      <c r="M116" s="5"/>
      <c r="N116" s="5"/>
      <c r="O116" s="5"/>
      <c r="Q116" s="5"/>
      <c r="R116" s="5"/>
      <c r="S116" s="5"/>
    </row>
    <row r="117" spans="2:19">
      <c r="B117" s="41"/>
      <c r="C117" s="49"/>
      <c r="D117" s="49"/>
      <c r="E117" s="49"/>
      <c r="F117" s="49"/>
      <c r="G117" s="49"/>
      <c r="H117" s="49"/>
      <c r="I117" s="254"/>
      <c r="J117" s="49"/>
      <c r="K117" s="49"/>
      <c r="L117" s="49"/>
      <c r="M117" s="49"/>
      <c r="N117" s="49"/>
      <c r="O117" s="49"/>
      <c r="Q117" s="5"/>
      <c r="R117" s="5"/>
      <c r="S117" s="5"/>
    </row>
    <row r="118" spans="2:19">
      <c r="B118" s="5"/>
      <c r="C118" s="5"/>
      <c r="D118" s="5"/>
      <c r="E118" s="5"/>
      <c r="F118" s="5"/>
      <c r="G118" s="5"/>
      <c r="H118" s="5"/>
      <c r="I118" s="249"/>
      <c r="J118" s="5"/>
      <c r="K118" s="5"/>
      <c r="L118" s="5"/>
      <c r="M118" s="5"/>
      <c r="N118" s="5"/>
      <c r="O118" s="5"/>
      <c r="Q118" s="5"/>
      <c r="R118" s="5"/>
      <c r="S118" s="5"/>
    </row>
    <row r="119" spans="2:19">
      <c r="B119" s="41"/>
      <c r="C119" s="254"/>
      <c r="D119" s="254"/>
      <c r="E119" s="254"/>
      <c r="F119" s="254"/>
      <c r="G119" s="254"/>
      <c r="H119" s="254"/>
      <c r="I119" s="254"/>
      <c r="J119" s="254"/>
      <c r="K119" s="254"/>
      <c r="L119" s="254"/>
      <c r="M119" s="254"/>
      <c r="N119" s="254"/>
      <c r="O119" s="248"/>
      <c r="Q119" s="5"/>
      <c r="R119" s="5"/>
      <c r="S119" s="5"/>
    </row>
    <row r="120" spans="2:19">
      <c r="B120" s="41"/>
      <c r="C120" s="254"/>
      <c r="D120" s="249"/>
      <c r="E120" s="249"/>
      <c r="F120" s="249"/>
      <c r="G120" s="249"/>
      <c r="H120" s="249"/>
      <c r="I120" s="254"/>
      <c r="J120" s="249"/>
      <c r="K120" s="249"/>
      <c r="L120" s="249"/>
      <c r="M120" s="249"/>
      <c r="N120" s="249"/>
      <c r="O120" s="248"/>
      <c r="Q120" s="5"/>
      <c r="R120" s="5"/>
      <c r="S120" s="5"/>
    </row>
    <row r="121" spans="2:19">
      <c r="B121" s="41"/>
      <c r="C121" s="254"/>
      <c r="D121" s="254"/>
      <c r="E121" s="254"/>
      <c r="F121" s="254"/>
      <c r="G121" s="254"/>
      <c r="H121" s="254"/>
      <c r="I121" s="254"/>
      <c r="J121" s="254"/>
      <c r="K121" s="254"/>
      <c r="L121" s="254"/>
      <c r="M121" s="254"/>
      <c r="N121" s="254"/>
      <c r="O121" s="248"/>
      <c r="Q121" s="5"/>
      <c r="R121" s="5"/>
      <c r="S121" s="5"/>
    </row>
    <row r="122" spans="2:19">
      <c r="B122" s="41"/>
      <c r="C122" s="254"/>
      <c r="D122" s="254"/>
      <c r="E122" s="254"/>
      <c r="F122" s="254"/>
      <c r="G122" s="254"/>
      <c r="H122" s="254"/>
      <c r="I122" s="254"/>
      <c r="J122" s="254"/>
      <c r="K122" s="254"/>
      <c r="L122" s="254"/>
      <c r="M122" s="254"/>
      <c r="N122" s="254"/>
      <c r="O122" s="248"/>
      <c r="Q122" s="5"/>
      <c r="R122" s="5"/>
      <c r="S122" s="5"/>
    </row>
    <row r="123" spans="2:19">
      <c r="B123" s="41"/>
      <c r="C123" s="254"/>
      <c r="D123" s="254"/>
      <c r="E123" s="254"/>
      <c r="F123" s="254"/>
      <c r="G123" s="254"/>
      <c r="H123" s="254"/>
      <c r="I123" s="254"/>
      <c r="J123" s="254"/>
      <c r="K123" s="254"/>
      <c r="L123" s="254"/>
      <c r="M123" s="254"/>
      <c r="N123" s="254"/>
      <c r="O123" s="248"/>
      <c r="Q123" s="5"/>
      <c r="R123" s="5"/>
      <c r="S123" s="5"/>
    </row>
    <row r="124" spans="2:19">
      <c r="B124" s="41"/>
      <c r="C124" s="254"/>
      <c r="D124" s="254"/>
      <c r="E124" s="254"/>
      <c r="F124" s="254"/>
      <c r="G124" s="254"/>
      <c r="H124" s="254"/>
      <c r="I124" s="254"/>
      <c r="J124" s="254"/>
      <c r="K124" s="254"/>
      <c r="L124" s="254"/>
      <c r="M124" s="254"/>
      <c r="N124" s="254"/>
      <c r="O124" s="248"/>
      <c r="Q124" s="5"/>
      <c r="R124" s="5"/>
      <c r="S124" s="5"/>
    </row>
    <row r="125" spans="2:19">
      <c r="B125" s="41"/>
      <c r="C125" s="254"/>
      <c r="D125" s="254"/>
      <c r="E125" s="254"/>
      <c r="F125" s="254"/>
      <c r="G125" s="254"/>
      <c r="H125" s="254"/>
      <c r="I125" s="254"/>
      <c r="J125" s="254"/>
      <c r="K125" s="254"/>
      <c r="L125" s="254"/>
      <c r="M125" s="254"/>
      <c r="N125" s="254"/>
      <c r="O125" s="5"/>
      <c r="Q125" s="5"/>
      <c r="R125" s="5"/>
      <c r="S125" s="5"/>
    </row>
    <row r="126" spans="2:19">
      <c r="B126" s="41"/>
      <c r="C126" s="254"/>
      <c r="D126" s="254"/>
      <c r="E126" s="254"/>
      <c r="F126" s="254"/>
      <c r="G126" s="254"/>
      <c r="H126" s="254"/>
      <c r="I126" s="254"/>
      <c r="J126" s="254"/>
      <c r="K126" s="254"/>
      <c r="L126" s="254"/>
      <c r="M126" s="254"/>
      <c r="N126" s="254"/>
      <c r="O126" s="5"/>
      <c r="Q126" s="5"/>
      <c r="R126" s="5"/>
      <c r="S126" s="5"/>
    </row>
    <row r="127" spans="2:19">
      <c r="B127" s="41"/>
      <c r="C127" s="254"/>
      <c r="D127" s="254"/>
      <c r="E127" s="254"/>
      <c r="F127" s="254"/>
      <c r="G127" s="254"/>
      <c r="H127" s="254"/>
      <c r="I127" s="18"/>
      <c r="J127" s="254"/>
      <c r="K127" s="254"/>
      <c r="L127" s="254"/>
      <c r="M127" s="254"/>
      <c r="N127" s="254"/>
      <c r="O127" s="5"/>
      <c r="Q127" s="5"/>
      <c r="R127" s="5"/>
      <c r="S127" s="5"/>
    </row>
    <row r="128" spans="2:19">
      <c r="B128" s="41"/>
      <c r="C128" s="254"/>
      <c r="D128" s="254"/>
      <c r="E128" s="254"/>
      <c r="F128" s="254"/>
      <c r="G128" s="254"/>
      <c r="H128" s="254"/>
      <c r="I128" s="5"/>
      <c r="J128" s="254"/>
      <c r="K128" s="254"/>
      <c r="L128" s="254"/>
      <c r="M128" s="254"/>
      <c r="N128" s="254"/>
      <c r="O128" s="5"/>
      <c r="Q128" s="5"/>
      <c r="R128" s="5"/>
      <c r="S128" s="5"/>
    </row>
    <row r="129" spans="2:27">
      <c r="B129" s="5"/>
      <c r="C129" s="5"/>
      <c r="D129" s="18"/>
      <c r="E129" s="18"/>
      <c r="F129" s="18"/>
      <c r="G129" s="18"/>
      <c r="H129" s="18"/>
      <c r="I129" s="254"/>
      <c r="J129" s="18"/>
      <c r="K129" s="18"/>
      <c r="L129" s="18"/>
      <c r="M129" s="18"/>
      <c r="N129" s="18"/>
      <c r="O129" s="5"/>
      <c r="Q129" s="5"/>
      <c r="R129" s="5"/>
      <c r="S129" s="5"/>
    </row>
    <row r="130" spans="2:27">
      <c r="B130" s="5"/>
      <c r="C130" s="5"/>
      <c r="D130" s="5"/>
      <c r="E130" s="5"/>
      <c r="F130" s="5"/>
      <c r="G130" s="5"/>
      <c r="H130" s="5"/>
      <c r="I130" s="18"/>
      <c r="J130" s="5"/>
      <c r="K130" s="5"/>
      <c r="L130" s="5"/>
      <c r="M130" s="5"/>
      <c r="N130" s="5"/>
      <c r="O130" s="5"/>
      <c r="Q130" s="5"/>
      <c r="R130" s="5"/>
      <c r="S130" s="5"/>
    </row>
    <row r="131" spans="2:27">
      <c r="B131" s="41"/>
      <c r="C131" s="254"/>
      <c r="D131" s="254"/>
      <c r="E131" s="254"/>
      <c r="F131" s="254"/>
      <c r="G131" s="254"/>
      <c r="H131" s="254"/>
      <c r="I131" s="5"/>
      <c r="J131" s="254"/>
      <c r="K131" s="254"/>
      <c r="L131" s="254"/>
      <c r="M131" s="254"/>
      <c r="N131" s="254"/>
      <c r="O131" s="5"/>
      <c r="Q131" s="5"/>
      <c r="R131" s="5"/>
      <c r="S131" s="5"/>
    </row>
    <row r="132" spans="2:27">
      <c r="B132" s="5"/>
      <c r="C132" s="259"/>
      <c r="D132" s="18"/>
      <c r="E132" s="18"/>
      <c r="F132" s="18"/>
      <c r="G132" s="18"/>
      <c r="H132" s="18"/>
      <c r="I132" s="5"/>
      <c r="J132" s="18"/>
      <c r="K132" s="18"/>
      <c r="L132" s="18"/>
      <c r="M132" s="18"/>
      <c r="N132" s="18"/>
      <c r="O132" s="5"/>
      <c r="Q132" s="5"/>
      <c r="R132" s="5"/>
      <c r="S132" s="5"/>
    </row>
    <row r="133" spans="2:27">
      <c r="B133" s="5"/>
      <c r="C133" s="5"/>
      <c r="D133" s="5"/>
      <c r="E133" s="5"/>
      <c r="F133" s="5"/>
      <c r="G133" s="5"/>
      <c r="H133" s="5"/>
      <c r="I133" s="17"/>
      <c r="J133" s="5"/>
      <c r="K133" s="5"/>
      <c r="L133" s="5"/>
      <c r="M133" s="5"/>
      <c r="N133" s="5"/>
      <c r="O133" s="5"/>
      <c r="Q133" s="5"/>
      <c r="R133" s="5"/>
      <c r="S133" s="5"/>
    </row>
    <row r="134" spans="2:27">
      <c r="B134" s="41"/>
      <c r="C134" s="5"/>
      <c r="D134" s="5"/>
      <c r="E134" s="5"/>
      <c r="F134" s="5"/>
      <c r="G134" s="5"/>
      <c r="H134" s="5"/>
      <c r="I134" s="17"/>
      <c r="J134" s="5"/>
      <c r="K134" s="5"/>
      <c r="L134" s="5"/>
      <c r="M134" s="5"/>
      <c r="N134" s="5"/>
      <c r="O134" s="5"/>
      <c r="Q134" s="5"/>
      <c r="R134" s="5"/>
      <c r="S134" s="5"/>
    </row>
    <row r="135" spans="2:27">
      <c r="B135" s="5"/>
      <c r="C135" s="17"/>
      <c r="D135" s="17"/>
      <c r="E135" s="17"/>
      <c r="F135" s="17"/>
      <c r="G135" s="17"/>
      <c r="H135" s="17"/>
      <c r="I135" s="17"/>
      <c r="J135" s="17"/>
      <c r="K135" s="17"/>
      <c r="L135" s="17"/>
      <c r="M135" s="17"/>
      <c r="N135" s="17"/>
      <c r="O135" s="5"/>
      <c r="Q135" s="41"/>
      <c r="R135" s="5"/>
      <c r="S135" s="5"/>
    </row>
    <row r="136" spans="2:27">
      <c r="B136" s="5"/>
      <c r="C136" s="17"/>
      <c r="D136" s="17"/>
      <c r="E136" s="17"/>
      <c r="F136" s="17"/>
      <c r="G136" s="17"/>
      <c r="H136" s="17"/>
      <c r="I136" s="17"/>
      <c r="J136" s="17"/>
      <c r="K136" s="17"/>
      <c r="L136" s="17"/>
      <c r="M136" s="17"/>
      <c r="N136" s="17"/>
      <c r="O136" s="5"/>
      <c r="Q136" s="5"/>
      <c r="R136" s="5"/>
      <c r="S136" s="5"/>
      <c r="X136" s="304"/>
    </row>
    <row r="137" spans="2:27">
      <c r="B137" s="5"/>
      <c r="C137" s="5"/>
      <c r="D137" s="17"/>
      <c r="E137" s="17"/>
      <c r="F137" s="17"/>
      <c r="G137" s="17"/>
      <c r="H137" s="17"/>
      <c r="I137" s="17"/>
      <c r="J137" s="17"/>
      <c r="K137" s="17"/>
      <c r="L137" s="17"/>
      <c r="M137" s="17"/>
      <c r="N137" s="17"/>
      <c r="O137" s="5"/>
      <c r="Q137" s="5"/>
      <c r="R137" s="5"/>
      <c r="S137" s="5"/>
      <c r="X137" s="10"/>
      <c r="Y137" s="304"/>
      <c r="Z137" s="304"/>
      <c r="AA137" s="304"/>
    </row>
    <row r="138" spans="2:27">
      <c r="B138" s="5"/>
      <c r="C138" s="5"/>
      <c r="D138" s="17"/>
      <c r="E138" s="17"/>
      <c r="F138" s="17"/>
      <c r="G138" s="17"/>
      <c r="H138" s="17"/>
      <c r="I138" s="17"/>
      <c r="J138" s="17"/>
      <c r="K138" s="17"/>
      <c r="L138" s="17"/>
      <c r="M138" s="17"/>
      <c r="N138" s="17"/>
      <c r="O138" s="5"/>
      <c r="Q138" s="5"/>
      <c r="R138" s="5"/>
      <c r="S138" s="5"/>
      <c r="Y138" s="10"/>
      <c r="Z138" s="10"/>
      <c r="AA138" s="10"/>
    </row>
    <row r="139" spans="2:27">
      <c r="B139" s="5"/>
      <c r="C139" s="5"/>
      <c r="D139" s="17"/>
      <c r="E139" s="17"/>
      <c r="F139" s="17"/>
      <c r="G139" s="17"/>
      <c r="H139" s="17"/>
      <c r="I139" s="5"/>
      <c r="J139" s="17"/>
      <c r="K139" s="17"/>
      <c r="L139" s="17"/>
      <c r="M139" s="17"/>
      <c r="N139" s="17"/>
      <c r="O139" s="5"/>
      <c r="Q139" s="5"/>
      <c r="R139" s="5"/>
      <c r="S139" s="5"/>
    </row>
    <row r="140" spans="2:27">
      <c r="B140" s="5"/>
      <c r="C140" s="17"/>
      <c r="D140" s="17"/>
      <c r="E140" s="17"/>
      <c r="F140" s="17"/>
      <c r="G140" s="17"/>
      <c r="H140" s="17"/>
      <c r="I140" s="5"/>
      <c r="J140" s="17"/>
      <c r="K140" s="17"/>
      <c r="L140" s="17"/>
      <c r="M140" s="17"/>
      <c r="N140" s="17"/>
      <c r="O140" s="5"/>
      <c r="Q140" s="5"/>
      <c r="R140" s="5"/>
      <c r="S140" s="5"/>
    </row>
    <row r="141" spans="2:27">
      <c r="B141" s="5"/>
      <c r="C141" s="5"/>
      <c r="D141" s="5"/>
      <c r="E141" s="5"/>
      <c r="F141" s="5"/>
      <c r="G141" s="5"/>
      <c r="H141" s="5"/>
      <c r="I141" s="5"/>
      <c r="J141" s="5"/>
      <c r="K141" s="5"/>
      <c r="L141" s="5"/>
      <c r="M141" s="5"/>
      <c r="N141" s="5"/>
      <c r="O141" s="5"/>
      <c r="Q141" s="5"/>
      <c r="R141" s="5"/>
      <c r="S141" s="5"/>
    </row>
    <row r="142" spans="2:27">
      <c r="B142" s="5"/>
      <c r="C142" s="5"/>
      <c r="D142" s="5"/>
      <c r="E142" s="5"/>
      <c r="F142" s="5"/>
      <c r="G142" s="5"/>
      <c r="H142" s="5"/>
      <c r="I142" s="5"/>
      <c r="J142" s="5"/>
      <c r="K142" s="5"/>
      <c r="L142" s="5"/>
      <c r="M142" s="5"/>
      <c r="N142" s="5"/>
      <c r="O142" s="5"/>
      <c r="Q142" s="5"/>
      <c r="R142" s="5"/>
      <c r="S142" s="5"/>
    </row>
    <row r="143" spans="2:27">
      <c r="B143" s="5"/>
      <c r="C143" s="5"/>
      <c r="D143" s="5"/>
      <c r="E143" s="5"/>
      <c r="F143" s="5"/>
      <c r="G143" s="5"/>
      <c r="H143" s="5"/>
      <c r="I143" s="5"/>
      <c r="J143" s="5"/>
      <c r="K143" s="5"/>
      <c r="L143" s="5"/>
      <c r="M143" s="5"/>
      <c r="N143" s="5"/>
      <c r="O143" s="5"/>
      <c r="Q143" s="5"/>
      <c r="R143" s="5"/>
      <c r="S143" s="5"/>
    </row>
    <row r="144" spans="2:27">
      <c r="B144" s="5"/>
      <c r="C144" s="5"/>
      <c r="D144" s="5"/>
      <c r="E144" s="5"/>
      <c r="F144" s="5"/>
      <c r="G144" s="5"/>
      <c r="H144" s="5"/>
      <c r="I144" s="5"/>
      <c r="J144" s="5"/>
      <c r="K144" s="5"/>
      <c r="L144" s="5"/>
      <c r="M144" s="5"/>
      <c r="N144" s="5"/>
      <c r="O144" s="5"/>
      <c r="Q144" s="5"/>
      <c r="R144" s="5"/>
      <c r="S144" s="5"/>
    </row>
    <row r="145" spans="2:19">
      <c r="B145" s="5"/>
      <c r="C145" s="5"/>
      <c r="D145" s="5"/>
      <c r="E145" s="5"/>
      <c r="F145" s="5"/>
      <c r="G145" s="5"/>
      <c r="H145" s="5"/>
      <c r="I145" s="5"/>
      <c r="J145" s="5"/>
      <c r="K145" s="5"/>
      <c r="L145" s="5"/>
      <c r="M145" s="5"/>
      <c r="N145" s="5"/>
      <c r="O145" s="5"/>
      <c r="Q145" s="5"/>
      <c r="R145" s="5"/>
      <c r="S145" s="5"/>
    </row>
    <row r="146" spans="2:19">
      <c r="B146" s="5"/>
      <c r="C146" s="5"/>
      <c r="D146" s="5"/>
      <c r="E146" s="5"/>
      <c r="F146" s="5"/>
      <c r="G146" s="5"/>
      <c r="H146" s="5"/>
      <c r="I146" s="5"/>
      <c r="J146" s="5"/>
      <c r="K146" s="5"/>
      <c r="L146" s="5"/>
      <c r="M146" s="5"/>
      <c r="N146" s="5"/>
      <c r="O146" s="5"/>
      <c r="Q146" s="5"/>
      <c r="R146" s="5"/>
      <c r="S146" s="5"/>
    </row>
    <row r="147" spans="2:19">
      <c r="B147" s="5"/>
      <c r="C147" s="5"/>
      <c r="D147" s="5"/>
      <c r="E147" s="5"/>
      <c r="F147" s="5"/>
      <c r="G147" s="5"/>
      <c r="H147" s="5"/>
      <c r="I147" s="5"/>
      <c r="J147" s="5"/>
      <c r="K147" s="5"/>
      <c r="L147" s="5"/>
      <c r="M147" s="5"/>
      <c r="N147" s="5"/>
      <c r="O147" s="5"/>
      <c r="Q147" s="5"/>
      <c r="R147" s="5"/>
      <c r="S147" s="5"/>
    </row>
    <row r="148" spans="2:19">
      <c r="B148" s="5"/>
      <c r="C148" s="5"/>
      <c r="D148" s="5"/>
      <c r="E148" s="5"/>
      <c r="F148" s="5"/>
      <c r="G148" s="5"/>
      <c r="H148" s="5"/>
      <c r="I148" s="5"/>
      <c r="J148" s="5"/>
      <c r="K148" s="5"/>
      <c r="L148" s="5"/>
      <c r="M148" s="5"/>
      <c r="N148" s="5"/>
      <c r="O148" s="5"/>
      <c r="Q148" s="5"/>
      <c r="R148" s="5"/>
      <c r="S148" s="5"/>
    </row>
    <row r="149" spans="2:19">
      <c r="B149" s="5"/>
      <c r="C149" s="5"/>
      <c r="D149" s="5"/>
      <c r="E149" s="5"/>
      <c r="F149" s="5"/>
      <c r="G149" s="5"/>
      <c r="H149" s="5"/>
      <c r="J149" s="5"/>
      <c r="K149" s="5"/>
      <c r="L149" s="5"/>
      <c r="M149" s="5"/>
      <c r="N149" s="5"/>
      <c r="O149" s="5"/>
      <c r="Q149" s="5"/>
      <c r="R149" s="5"/>
      <c r="S149" s="5"/>
    </row>
    <row r="150" spans="2:19">
      <c r="B150" s="5"/>
      <c r="C150" s="5"/>
      <c r="D150" s="5"/>
      <c r="E150" s="5"/>
      <c r="F150" s="5"/>
      <c r="G150" s="5"/>
      <c r="H150" s="5"/>
      <c r="J150" s="5"/>
      <c r="K150" s="5"/>
      <c r="L150" s="5"/>
      <c r="M150" s="5"/>
      <c r="N150" s="5"/>
      <c r="O150" s="5"/>
      <c r="Q150" s="5"/>
      <c r="R150" s="5"/>
      <c r="S150" s="5"/>
    </row>
    <row r="151" spans="2:19">
      <c r="Q151" s="5"/>
      <c r="R151" s="5"/>
      <c r="S151" s="5"/>
    </row>
    <row r="152" spans="2:19">
      <c r="Q152" s="5"/>
      <c r="R152" s="5"/>
      <c r="S152" s="5"/>
    </row>
    <row r="153" spans="2:19">
      <c r="C153" s="263"/>
      <c r="Q153" s="5"/>
      <c r="R153" s="5"/>
      <c r="S153" s="5"/>
    </row>
    <row r="154" spans="2:19">
      <c r="Q154" s="5"/>
      <c r="R154" s="5"/>
      <c r="S154" s="5"/>
    </row>
    <row r="155" spans="2:19">
      <c r="Q155" s="5"/>
      <c r="R155" s="5"/>
      <c r="S155" s="5"/>
    </row>
    <row r="156" spans="2:19">
      <c r="Q156" s="5"/>
      <c r="R156" s="5"/>
      <c r="S156" s="5"/>
    </row>
    <row r="157" spans="2:19">
      <c r="Q157" s="5"/>
      <c r="R157" s="5"/>
      <c r="S157" s="5"/>
    </row>
    <row r="158" spans="2:19">
      <c r="Q158" s="5"/>
      <c r="R158" s="5"/>
      <c r="S158" s="5"/>
    </row>
    <row r="159" spans="2:19">
      <c r="Q159" s="5"/>
      <c r="R159" s="5"/>
      <c r="S159" s="5"/>
    </row>
    <row r="160" spans="2:19">
      <c r="Q160" s="5"/>
      <c r="R160" s="5"/>
      <c r="S160" s="5"/>
    </row>
    <row r="161" spans="17:19">
      <c r="Q161" s="5"/>
      <c r="R161" s="5"/>
      <c r="S161" s="5"/>
    </row>
    <row r="162" spans="17:19">
      <c r="Q162" s="5"/>
      <c r="R162" s="5"/>
      <c r="S162" s="5"/>
    </row>
    <row r="163" spans="17:19">
      <c r="Q163" s="5"/>
      <c r="R163" s="5"/>
      <c r="S163" s="5"/>
    </row>
    <row r="164" spans="17:19">
      <c r="Q164" s="5"/>
      <c r="R164" s="5"/>
      <c r="S164" s="5"/>
    </row>
    <row r="165" spans="17:19">
      <c r="Q165" s="5"/>
      <c r="R165" s="5"/>
      <c r="S165" s="5"/>
    </row>
  </sheetData>
  <phoneticPr fontId="7" type="noConversion"/>
  <pageMargins left="0.75" right="0.75" top="1" bottom="1" header="0.5" footer="0.5"/>
  <pageSetup scale="71" orientation="landscape" r:id="rId1"/>
  <headerFooter alignWithMargins="0"/>
  <drawing r:id="rId2"/>
</worksheet>
</file>

<file path=xl/worksheets/sheet8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sheetPr codeName="Sheet31">
    <pageSetUpPr fitToPage="1"/>
  </sheetPr>
  <dimension ref="B1:AR165"/>
  <sheetViews>
    <sheetView showGridLines="0" zoomScale="80" zoomScaleNormal="80" workbookViewId="0"/>
  </sheetViews>
  <sheetFormatPr defaultColWidth="9.109375" defaultRowHeight="12"/>
  <cols>
    <col min="1" max="1" width="2.33203125" style="39" customWidth="1"/>
    <col min="2" max="2" width="26.5546875" style="39" customWidth="1"/>
    <col min="3" max="9" width="10" style="39" customWidth="1"/>
    <col min="10" max="10" width="26.6640625" style="39" customWidth="1"/>
    <col min="11" max="16" width="10" style="39" customWidth="1"/>
    <col min="17" max="19" width="8.6640625" style="39" customWidth="1"/>
    <col min="20" max="28" width="8.6640625" style="5" customWidth="1"/>
    <col min="29" max="44" width="9.109375" style="5"/>
    <col min="45" max="16384" width="9.109375" style="39"/>
  </cols>
  <sheetData>
    <row r="1" spans="2:44" s="312" customFormat="1">
      <c r="T1" s="149"/>
      <c r="U1" s="149"/>
      <c r="V1" s="149"/>
      <c r="W1" s="149"/>
      <c r="X1" s="149"/>
      <c r="Y1" s="149"/>
      <c r="Z1" s="149"/>
      <c r="AA1" s="149"/>
      <c r="AB1" s="149"/>
      <c r="AC1" s="149"/>
      <c r="AD1" s="149"/>
      <c r="AE1" s="149"/>
      <c r="AF1" s="149"/>
      <c r="AG1" s="149"/>
      <c r="AH1" s="149"/>
      <c r="AI1" s="149"/>
      <c r="AJ1" s="149"/>
      <c r="AK1" s="149"/>
      <c r="AL1" s="149"/>
      <c r="AM1" s="149"/>
      <c r="AN1" s="149"/>
      <c r="AO1" s="149"/>
      <c r="AP1" s="149"/>
      <c r="AQ1" s="149"/>
      <c r="AR1" s="149"/>
    </row>
    <row r="2" spans="2:44" s="149" customFormat="1"/>
    <row r="3" spans="2:44" s="149" customFormat="1">
      <c r="H3" s="153"/>
      <c r="P3" s="153"/>
    </row>
    <row r="4" spans="2:44" s="156" customFormat="1" ht="21">
      <c r="B4" s="129" t="s">
        <v>331</v>
      </c>
      <c r="H4" s="222"/>
      <c r="P4" s="222"/>
    </row>
    <row r="5" spans="2:44" s="149" customFormat="1">
      <c r="C5" s="153"/>
      <c r="D5" s="153" t="str" cm="1">
        <f t="array" ref="D5:H5">headings</f>
        <v>2023E</v>
      </c>
      <c r="E5" s="153" t="str">
        <v>2024E</v>
      </c>
      <c r="F5" s="153" t="str">
        <v>2025E</v>
      </c>
      <c r="G5" s="153" t="str">
        <v>2026E</v>
      </c>
      <c r="H5" s="153" t="str">
        <v>23E-26E</v>
      </c>
      <c r="I5" s="153"/>
      <c r="J5" s="153"/>
      <c r="K5" s="153"/>
      <c r="L5" s="153" t="str" cm="1">
        <f t="array" ref="L5:P5">headings</f>
        <v>2023E</v>
      </c>
      <c r="M5" s="153" t="str">
        <v>2024E</v>
      </c>
      <c r="N5" s="153" t="str">
        <v>2025E</v>
      </c>
      <c r="O5" s="153" t="str">
        <v>2026E</v>
      </c>
      <c r="P5" s="153" t="str">
        <v>23E-26E</v>
      </c>
      <c r="Q5" s="162"/>
      <c r="R5" s="162"/>
      <c r="S5" s="162"/>
      <c r="T5" s="162"/>
      <c r="U5" s="162"/>
      <c r="V5" s="162"/>
      <c r="W5" s="162"/>
      <c r="X5" s="162"/>
      <c r="Y5" s="162"/>
    </row>
    <row r="6" spans="2:44">
      <c r="I6" s="5"/>
      <c r="J6" s="5"/>
      <c r="K6" s="5"/>
      <c r="L6" s="5"/>
      <c r="M6" s="5"/>
      <c r="N6" s="5"/>
      <c r="O6" s="49"/>
    </row>
    <row r="7" spans="2:44" ht="12.6" thickBot="1">
      <c r="B7" s="306" t="s">
        <v>271</v>
      </c>
      <c r="C7" s="265"/>
      <c r="D7" s="265" t="str">
        <f>D5</f>
        <v>2023E</v>
      </c>
      <c r="E7" s="265" t="str">
        <f t="shared" ref="E7:H7" si="0">E5</f>
        <v>2024E</v>
      </c>
      <c r="F7" s="265" t="str">
        <f t="shared" si="0"/>
        <v>2025E</v>
      </c>
      <c r="G7" s="265" t="str">
        <f t="shared" si="0"/>
        <v>2026E</v>
      </c>
      <c r="H7" s="265" t="str">
        <f t="shared" si="0"/>
        <v>23E-26E</v>
      </c>
      <c r="I7" s="49"/>
      <c r="J7" s="306" t="s">
        <v>379</v>
      </c>
      <c r="K7" s="306"/>
      <c r="L7" s="265" t="str">
        <f>L5</f>
        <v>2023E</v>
      </c>
      <c r="M7" s="265" t="str">
        <f t="shared" ref="M7:P7" si="1">M5</f>
        <v>2024E</v>
      </c>
      <c r="N7" s="265" t="str">
        <f t="shared" si="1"/>
        <v>2025E</v>
      </c>
      <c r="O7" s="265" t="str">
        <f t="shared" si="1"/>
        <v>2026E</v>
      </c>
      <c r="P7" s="265" t="str">
        <f t="shared" si="1"/>
        <v>23E-26E</v>
      </c>
    </row>
    <row r="8" spans="2:44" ht="12.6" thickTop="1">
      <c r="B8" s="5"/>
      <c r="C8" s="5"/>
      <c r="D8" s="5"/>
      <c r="E8" s="5"/>
      <c r="F8" s="5"/>
      <c r="G8" s="5"/>
      <c r="H8" s="5"/>
      <c r="I8" s="5"/>
      <c r="J8" s="5"/>
      <c r="K8" s="5"/>
      <c r="L8" s="5"/>
      <c r="M8" s="5"/>
      <c r="N8" s="5"/>
      <c r="S8" s="88"/>
      <c r="T8" s="42"/>
      <c r="U8" s="42"/>
      <c r="V8" s="42"/>
      <c r="W8" s="42"/>
      <c r="X8" s="42"/>
      <c r="Y8" s="42"/>
      <c r="Z8" s="42"/>
      <c r="AA8" s="42"/>
    </row>
    <row r="9" spans="2:44">
      <c r="B9" s="41" t="s">
        <v>333</v>
      </c>
      <c r="C9" s="287">
        <f>Prices!C104/100</f>
        <v>25.27</v>
      </c>
      <c r="D9" s="533">
        <v>13</v>
      </c>
      <c r="E9" s="533">
        <v>13</v>
      </c>
      <c r="F9" s="533">
        <v>13</v>
      </c>
      <c r="G9" s="533">
        <v>13</v>
      </c>
      <c r="H9" s="249" t="s">
        <v>22</v>
      </c>
      <c r="I9" s="249"/>
      <c r="J9" s="5" t="s">
        <v>273</v>
      </c>
      <c r="L9" s="529">
        <f>'EMEA INCUMB'!D37</f>
        <v>0.4074058284411608</v>
      </c>
      <c r="M9" s="529">
        <f>'EMEA INCUMB'!E37</f>
        <v>0.34140257323146972</v>
      </c>
      <c r="N9" s="529">
        <f>'EMEA INCUMB'!F37</f>
        <v>0.27665584057483394</v>
      </c>
      <c r="O9" s="529">
        <f>'EMEA INCUMB'!G37</f>
        <v>0.21413233923032152</v>
      </c>
      <c r="P9" s="286">
        <f>'EMEA INCUMB'!H37</f>
        <v>1.947512825024833E-2</v>
      </c>
      <c r="S9" s="88"/>
      <c r="T9" s="42"/>
      <c r="U9" s="42"/>
      <c r="V9" s="42"/>
      <c r="W9" s="42"/>
      <c r="X9" s="42"/>
      <c r="Y9" s="42"/>
      <c r="Z9" s="42"/>
      <c r="AA9" s="42"/>
    </row>
    <row r="10" spans="2:44">
      <c r="B10" s="5" t="s">
        <v>274</v>
      </c>
      <c r="C10" s="5"/>
      <c r="D10" s="531">
        <v>507.78390000000002</v>
      </c>
      <c r="E10" s="531">
        <v>507.78390000000002</v>
      </c>
      <c r="F10" s="531">
        <v>507.78390000000002</v>
      </c>
      <c r="G10" s="531">
        <v>507.78390000000002</v>
      </c>
      <c r="H10" s="247"/>
      <c r="I10" s="247"/>
      <c r="J10" s="5" t="s">
        <v>184</v>
      </c>
      <c r="L10" s="529">
        <f>'EMEA INCUMB'!D38</f>
        <v>1.5135746264308387</v>
      </c>
      <c r="M10" s="529">
        <f>'EMEA INCUMB'!E38</f>
        <v>1.2998970888414254</v>
      </c>
      <c r="N10" s="529">
        <f>'EMEA INCUMB'!F38</f>
        <v>1.067392654519006</v>
      </c>
      <c r="O10" s="529">
        <f>'EMEA INCUMB'!G38</f>
        <v>0.82616468719586622</v>
      </c>
      <c r="P10" s="286">
        <f>'EMEA INCUMB'!H38</f>
        <v>6.71694721895566E-3</v>
      </c>
      <c r="S10" s="88"/>
      <c r="T10" s="42"/>
      <c r="U10" s="42"/>
      <c r="V10" s="42"/>
      <c r="W10" s="288"/>
      <c r="X10" s="288"/>
      <c r="Y10" s="288"/>
      <c r="Z10" s="288"/>
      <c r="AA10" s="42"/>
    </row>
    <row r="11" spans="2:44">
      <c r="B11" s="41" t="s">
        <v>275</v>
      </c>
      <c r="C11" s="5"/>
      <c r="D11" s="532">
        <f>(($C$9)*D10)-(D9*$C$9)</f>
        <v>12503.189152999999</v>
      </c>
      <c r="E11" s="532">
        <f>(($C$9)*E10)-(E9*$C$9)</f>
        <v>12503.189152999999</v>
      </c>
      <c r="F11" s="532">
        <f>(($C$9)*F10)-(F9*$C$9)</f>
        <v>12503.189152999999</v>
      </c>
      <c r="G11" s="532">
        <f>(($C$9)*G10)-(G9*$C$9)</f>
        <v>12503.189152999999</v>
      </c>
      <c r="H11" s="249"/>
      <c r="I11" s="249"/>
      <c r="J11" s="5" t="s">
        <v>185</v>
      </c>
      <c r="L11" s="529">
        <f>'EMEA INCUMB'!D39</f>
        <v>3.3456036298414493</v>
      </c>
      <c r="M11" s="529">
        <f>'EMEA INCUMB'!E39</f>
        <v>2.8235435492693335</v>
      </c>
      <c r="N11" s="529">
        <f>'EMEA INCUMB'!F39</f>
        <v>2.3629672200793865</v>
      </c>
      <c r="O11" s="529">
        <f>'EMEA INCUMB'!G39</f>
        <v>1.8289427662500468</v>
      </c>
      <c r="P11" s="286">
        <f>'EMEA INCUMB'!H39</f>
        <v>6.2049124089686991E-3</v>
      </c>
      <c r="S11" s="88"/>
      <c r="T11" s="42"/>
      <c r="U11" s="42"/>
      <c r="V11" s="42"/>
      <c r="W11" s="288"/>
      <c r="X11" s="288"/>
      <c r="Y11" s="288"/>
      <c r="Z11" s="288"/>
      <c r="AA11" s="42"/>
    </row>
    <row r="12" spans="2:44">
      <c r="B12" s="5" t="s">
        <v>24</v>
      </c>
      <c r="C12" s="249"/>
      <c r="D12" s="533">
        <v>12306.058225694971</v>
      </c>
      <c r="E12" s="533">
        <v>11554.477486062349</v>
      </c>
      <c r="F12" s="533">
        <v>10833.729631240325</v>
      </c>
      <c r="G12" s="533">
        <v>10097.884950957905</v>
      </c>
      <c r="H12" s="247"/>
      <c r="I12" s="247"/>
      <c r="J12" s="5" t="s">
        <v>466</v>
      </c>
      <c r="L12" s="529">
        <f>'EMEA INCUMB'!D40</f>
        <v>4.6466717081131232</v>
      </c>
      <c r="M12" s="529">
        <f>'EMEA INCUMB'!E40</f>
        <v>3.9215882628740744</v>
      </c>
      <c r="N12" s="529">
        <f>'EMEA INCUMB'!F40</f>
        <v>3.2818989167769259</v>
      </c>
      <c r="O12" s="529">
        <f>'EMEA INCUMB'!G40</f>
        <v>2.5401982864583985</v>
      </c>
      <c r="P12" s="286">
        <f>'EMEA INCUMB'!H40</f>
        <v>6.2049124089686991E-3</v>
      </c>
      <c r="S12" s="88"/>
      <c r="T12" s="42"/>
      <c r="U12" s="42"/>
      <c r="V12" s="42"/>
      <c r="W12" s="288"/>
      <c r="X12" s="288"/>
      <c r="Y12" s="288"/>
      <c r="Z12" s="288"/>
      <c r="AA12" s="42"/>
    </row>
    <row r="13" spans="2:44">
      <c r="B13" s="5" t="s">
        <v>529</v>
      </c>
      <c r="C13" s="257"/>
      <c r="D13" s="533">
        <v>0</v>
      </c>
      <c r="E13" s="533">
        <v>0</v>
      </c>
      <c r="F13" s="533">
        <v>0</v>
      </c>
      <c r="G13" s="533">
        <v>0</v>
      </c>
      <c r="H13" s="247"/>
      <c r="I13" s="247"/>
      <c r="J13" s="5" t="s">
        <v>530</v>
      </c>
      <c r="L13" s="529">
        <f>'EMEA INCUMB'!D41</f>
        <v>0.43854150614622467</v>
      </c>
      <c r="M13" s="529">
        <f>'EMEA INCUMB'!E41</f>
        <v>0.37588879701324635</v>
      </c>
      <c r="N13" s="529">
        <f>'EMEA INCUMB'!F41</f>
        <v>0.31274947197669978</v>
      </c>
      <c r="O13" s="529">
        <f>'EMEA INCUMB'!G41</f>
        <v>0.24723416951628824</v>
      </c>
      <c r="P13" s="286">
        <f>'EMEA INCUMB'!H41</f>
        <v>-4.0694686979287908E-3</v>
      </c>
      <c r="S13" s="88"/>
      <c r="T13" s="42"/>
      <c r="U13" s="42"/>
      <c r="V13" s="42"/>
      <c r="W13" s="42"/>
      <c r="X13" s="42"/>
      <c r="Y13" s="42"/>
      <c r="Z13" s="42"/>
      <c r="AA13" s="42"/>
    </row>
    <row r="14" spans="2:44">
      <c r="B14" s="5" t="s">
        <v>532</v>
      </c>
      <c r="C14" s="257"/>
      <c r="D14" s="533">
        <v>0</v>
      </c>
      <c r="E14" s="533">
        <f t="shared" ref="E14:G15" si="2">D14</f>
        <v>0</v>
      </c>
      <c r="F14" s="533">
        <f t="shared" si="2"/>
        <v>0</v>
      </c>
      <c r="G14" s="533">
        <f t="shared" si="2"/>
        <v>0</v>
      </c>
      <c r="H14" s="247"/>
      <c r="I14" s="247"/>
      <c r="J14" s="5" t="s">
        <v>593</v>
      </c>
      <c r="L14" s="529">
        <f>'EMEA INCUMB'!D42</f>
        <v>0.46409470475784848</v>
      </c>
      <c r="M14" s="529">
        <f>'EMEA INCUMB'!E42</f>
        <v>0.39094015790221343</v>
      </c>
      <c r="N14" s="529">
        <f>'EMEA INCUMB'!F42</f>
        <v>0.32017860683781585</v>
      </c>
      <c r="O14" s="529">
        <f>'EMEA INCUMB'!G42</f>
        <v>0.24781907337011971</v>
      </c>
      <c r="P14" s="286">
        <f>'EMEA INCUMB'!H42</f>
        <v>1.4111258607638399E-2</v>
      </c>
      <c r="S14" s="88"/>
      <c r="T14" s="42"/>
      <c r="U14" s="42"/>
      <c r="V14" s="42"/>
      <c r="W14" s="42"/>
      <c r="X14" s="42"/>
      <c r="Y14" s="42"/>
      <c r="Z14" s="42"/>
      <c r="AA14" s="42"/>
    </row>
    <row r="15" spans="2:44">
      <c r="B15" s="5" t="s">
        <v>531</v>
      </c>
      <c r="C15" s="274"/>
      <c r="D15" s="533">
        <v>0</v>
      </c>
      <c r="E15" s="533">
        <f t="shared" si="2"/>
        <v>0</v>
      </c>
      <c r="F15" s="533">
        <f t="shared" si="2"/>
        <v>0</v>
      </c>
      <c r="G15" s="533">
        <f t="shared" si="2"/>
        <v>0</v>
      </c>
      <c r="H15" s="247"/>
      <c r="I15" s="247"/>
      <c r="J15" s="5" t="s">
        <v>475</v>
      </c>
      <c r="L15" s="529">
        <f>'EMEA INCUMB'!D43</f>
        <v>4.2318488415219102</v>
      </c>
      <c r="M15" s="529">
        <f>'EMEA INCUMB'!E43</f>
        <v>4.2133892008203944</v>
      </c>
      <c r="N15" s="529">
        <f>'EMEA INCUMB'!F43</f>
        <v>4.2435979684994436</v>
      </c>
      <c r="O15" s="529">
        <f>'EMEA INCUMB'!G43</f>
        <v>4.1565349515731844</v>
      </c>
      <c r="P15" s="286">
        <f>'EMEA INCUMB'!H43</f>
        <v>6.0036813160782021E-3</v>
      </c>
      <c r="S15" s="88"/>
      <c r="T15" s="42"/>
      <c r="U15" s="42"/>
      <c r="V15" s="42"/>
      <c r="W15" s="42"/>
      <c r="X15" s="42"/>
      <c r="Y15" s="42"/>
      <c r="Z15" s="42"/>
      <c r="AA15" s="42"/>
    </row>
    <row r="16" spans="2:44">
      <c r="B16" s="5" t="s">
        <v>534</v>
      </c>
      <c r="C16" s="257"/>
      <c r="D16" s="533">
        <v>4778.7466134274309</v>
      </c>
      <c r="E16" s="533">
        <v>6994.6555969292103</v>
      </c>
      <c r="F16" s="533">
        <v>9220.2728892800151</v>
      </c>
      <c r="G16" s="533">
        <v>11445.890181630821</v>
      </c>
      <c r="H16" s="247"/>
      <c r="I16" s="247"/>
      <c r="J16" s="5" t="s">
        <v>533</v>
      </c>
      <c r="L16" s="529">
        <f>'EMEA INCUMB'!D44</f>
        <v>3.3421618761320615</v>
      </c>
      <c r="M16" s="529">
        <f>'EMEA INCUMB'!E44</f>
        <v>3.4729295564380194</v>
      </c>
      <c r="N16" s="529">
        <f>'EMEA INCUMB'!F44</f>
        <v>3.443387480643997</v>
      </c>
      <c r="O16" s="529">
        <f>'EMEA INCUMB'!G44</f>
        <v>3.3727418387296719</v>
      </c>
      <c r="P16" s="286">
        <f>'EMEA INCUMB'!H44</f>
        <v>-3.031445748740591E-3</v>
      </c>
      <c r="S16" s="88"/>
      <c r="T16" s="42"/>
      <c r="U16" s="42"/>
      <c r="V16" s="42"/>
      <c r="W16" s="42"/>
      <c r="X16" s="42"/>
      <c r="Y16" s="42"/>
      <c r="Z16" s="42"/>
      <c r="AA16" s="42"/>
    </row>
    <row r="17" spans="2:27">
      <c r="B17" s="5" t="s">
        <v>6</v>
      </c>
      <c r="C17" s="257"/>
      <c r="D17" s="533">
        <v>0</v>
      </c>
      <c r="E17" s="533">
        <v>0</v>
      </c>
      <c r="F17" s="533">
        <v>0</v>
      </c>
      <c r="G17" s="533">
        <v>0</v>
      </c>
      <c r="H17" s="247"/>
      <c r="I17" s="247"/>
      <c r="J17" s="5" t="s">
        <v>580</v>
      </c>
      <c r="L17" s="248">
        <f>'EMEA INCUMB'!D45</f>
        <v>0.17269022263382078</v>
      </c>
      <c r="M17" s="248">
        <f>'EMEA INCUMB'!E45</f>
        <v>0.17344681057539141</v>
      </c>
      <c r="N17" s="248">
        <f>'EMEA INCUMB'!F45</f>
        <v>0.1722121002083328</v>
      </c>
      <c r="O17" s="248">
        <f>'EMEA INCUMB'!G45</f>
        <v>0.17344681057539177</v>
      </c>
      <c r="P17" s="286">
        <f>'EMEA INCUMB'!H45</f>
        <v>1.4582676697889596E-3</v>
      </c>
      <c r="S17" s="88"/>
      <c r="T17" s="42"/>
      <c r="U17" s="42"/>
      <c r="V17" s="42"/>
      <c r="W17" s="42"/>
      <c r="X17" s="42"/>
      <c r="Y17" s="42"/>
      <c r="Z17" s="42"/>
      <c r="AA17" s="42"/>
    </row>
    <row r="18" spans="2:27" ht="12.6" thickBot="1">
      <c r="B18" s="41" t="s">
        <v>583</v>
      </c>
      <c r="C18" s="249"/>
      <c r="D18" s="534">
        <f>D11+D12+D13-D14+D15-D16-D17</f>
        <v>20030.500765267541</v>
      </c>
      <c r="E18" s="534">
        <f>E11+E12+E13-E14+E15-E16-E17</f>
        <v>17063.011042133141</v>
      </c>
      <c r="F18" s="534">
        <f>F11+F12+F13-F14+F15-F16-F17</f>
        <v>14116.645894960311</v>
      </c>
      <c r="G18" s="534">
        <f>G11+G12+G13-G14+G15-G16-G17</f>
        <v>11155.183922327084</v>
      </c>
      <c r="H18" s="276">
        <f>IF(D18=0,"nm",IF(G18=0,"nm",(G18/D18)^(1/3)-1))</f>
        <v>-0.17726183682472607</v>
      </c>
      <c r="I18" s="254"/>
      <c r="J18" s="5" t="s">
        <v>36</v>
      </c>
      <c r="L18" s="248">
        <f>'EMEA INCUMB'!D46</f>
        <v>0.17269022263382078</v>
      </c>
      <c r="M18" s="248">
        <f>'EMEA INCUMB'!E46</f>
        <v>0.17344681057539141</v>
      </c>
      <c r="N18" s="248">
        <f>'EMEA INCUMB'!F46</f>
        <v>0.1722121002083328</v>
      </c>
      <c r="O18" s="248">
        <f>'EMEA INCUMB'!G46</f>
        <v>0.17344681057539177</v>
      </c>
      <c r="P18" s="286">
        <f>'EMEA INCUMB'!H46</f>
        <v>1.4582676697889596E-3</v>
      </c>
      <c r="S18" s="88"/>
      <c r="T18" s="42"/>
      <c r="U18" s="42"/>
      <c r="V18" s="42"/>
      <c r="W18" s="42"/>
      <c r="X18" s="42"/>
      <c r="Y18" s="42"/>
      <c r="Z18" s="42"/>
      <c r="AA18" s="42"/>
    </row>
    <row r="19" spans="2:27" ht="12.6" thickTop="1">
      <c r="B19" s="41"/>
      <c r="C19" s="249"/>
      <c r="D19" s="229"/>
      <c r="E19" s="229"/>
      <c r="F19" s="229"/>
      <c r="G19" s="229"/>
      <c r="H19" s="276"/>
      <c r="I19" s="254"/>
      <c r="J19" s="5" t="s">
        <v>581</v>
      </c>
      <c r="L19" s="248">
        <f>'EMEA INCUMB'!D47</f>
        <v>0.23630333630734493</v>
      </c>
      <c r="M19" s="248">
        <f>'EMEA INCUMB'!E47</f>
        <v>0.23733862511568804</v>
      </c>
      <c r="N19" s="248">
        <f>'EMEA INCUMB'!F47</f>
        <v>0.23564909009361334</v>
      </c>
      <c r="O19" s="248">
        <f>'EMEA INCUMB'!G47</f>
        <v>0.24058500930480939</v>
      </c>
      <c r="P19" s="286">
        <f>'EMEA INCUMB'!H47</f>
        <v>6.0036813160782021E-3</v>
      </c>
      <c r="S19" s="88"/>
      <c r="T19" s="42"/>
      <c r="U19" s="42"/>
      <c r="V19" s="42"/>
      <c r="W19" s="42"/>
      <c r="X19" s="42"/>
      <c r="Y19" s="42"/>
      <c r="Z19" s="42"/>
      <c r="AA19" s="42"/>
    </row>
    <row r="20" spans="2:27">
      <c r="H20" s="277"/>
      <c r="I20" s="17"/>
      <c r="J20" s="5" t="s">
        <v>604</v>
      </c>
      <c r="L20" s="305">
        <f>'EMEA INCUMB'!D48</f>
        <v>0.73079891859509538</v>
      </c>
      <c r="M20" s="305">
        <f>'EMEA INCUMB'!E48</f>
        <v>0.73079891859509472</v>
      </c>
      <c r="N20" s="305">
        <f>'EMEA INCUMB'!F48</f>
        <v>0.7307989185951036</v>
      </c>
      <c r="O20" s="305">
        <f>'EMEA INCUMB'!G48</f>
        <v>0.72093773039550924</v>
      </c>
      <c r="P20" s="286">
        <f>'EMEA INCUMB'!H48</f>
        <v>-3.031445748740591E-3</v>
      </c>
      <c r="S20" s="88"/>
      <c r="T20" s="42"/>
      <c r="U20" s="42"/>
      <c r="V20" s="42"/>
      <c r="W20" s="42"/>
      <c r="X20" s="42"/>
      <c r="Y20" s="42"/>
      <c r="Z20" s="42"/>
      <c r="AA20" s="42"/>
    </row>
    <row r="21" spans="2:27" ht="12.6" thickBot="1">
      <c r="B21" s="306" t="s">
        <v>945</v>
      </c>
      <c r="C21" s="265"/>
      <c r="D21" s="265" t="str">
        <f>D5</f>
        <v>2023E</v>
      </c>
      <c r="E21" s="265" t="str">
        <f t="shared" ref="E21:H21" si="3">E5</f>
        <v>2024E</v>
      </c>
      <c r="F21" s="265" t="str">
        <f t="shared" si="3"/>
        <v>2025E</v>
      </c>
      <c r="G21" s="265" t="str">
        <f t="shared" si="3"/>
        <v>2026E</v>
      </c>
      <c r="H21" s="265" t="str">
        <f t="shared" si="3"/>
        <v>23E-26E</v>
      </c>
      <c r="I21" s="49"/>
      <c r="J21" s="41"/>
      <c r="L21" s="250"/>
      <c r="M21" s="250"/>
      <c r="N21" s="250"/>
      <c r="O21" s="250"/>
      <c r="P21" s="286"/>
      <c r="S21" s="88"/>
      <c r="T21" s="42"/>
      <c r="U21" s="42"/>
      <c r="V21" s="42"/>
      <c r="W21" s="42"/>
      <c r="X21" s="42"/>
      <c r="Y21" s="42"/>
      <c r="Z21" s="42"/>
      <c r="AA21" s="42"/>
    </row>
    <row r="22" spans="2:27" ht="12.6" thickTop="1">
      <c r="B22" s="5"/>
      <c r="C22" s="257"/>
      <c r="D22" s="17"/>
      <c r="E22" s="17"/>
      <c r="F22" s="17"/>
      <c r="G22" s="17"/>
      <c r="H22" s="17"/>
      <c r="I22" s="17"/>
      <c r="P22" s="277"/>
      <c r="S22" s="88"/>
      <c r="T22" s="42"/>
      <c r="U22" s="42"/>
      <c r="V22" s="42"/>
      <c r="W22" s="42"/>
      <c r="X22" s="42"/>
      <c r="Y22" s="42"/>
      <c r="Z22" s="42"/>
      <c r="AA22" s="42"/>
    </row>
    <row r="23" spans="2:27" ht="12.6" thickBot="1">
      <c r="B23" s="5" t="s">
        <v>584</v>
      </c>
      <c r="C23" s="548">
        <v>48208.955424451531</v>
      </c>
      <c r="D23" s="540">
        <v>49165.965155455371</v>
      </c>
      <c r="E23" s="540">
        <v>49979.151828373826</v>
      </c>
      <c r="F23" s="540">
        <v>51026.017978253498</v>
      </c>
      <c r="G23" s="540">
        <v>52094.811845904922</v>
      </c>
      <c r="H23" s="279">
        <f t="shared" ref="H23:H32" si="4">IF(D23=0,"nm",IF(G23=0,"nm",(G23/D23)^(1/3)-1))</f>
        <v>1.947512825024833E-2</v>
      </c>
      <c r="I23" s="247"/>
      <c r="J23" s="306" t="s">
        <v>9</v>
      </c>
      <c r="K23" s="306"/>
      <c r="L23" s="265" t="str">
        <f>D21</f>
        <v>2023E</v>
      </c>
      <c r="M23" s="265" t="str">
        <f t="shared" ref="M23:P23" si="5">E21</f>
        <v>2024E</v>
      </c>
      <c r="N23" s="265" t="str">
        <f t="shared" si="5"/>
        <v>2025E</v>
      </c>
      <c r="O23" s="265" t="str">
        <f t="shared" si="5"/>
        <v>2026E</v>
      </c>
      <c r="P23" s="265" t="str">
        <f t="shared" si="5"/>
        <v>23E-26E</v>
      </c>
      <c r="S23" s="88"/>
      <c r="T23" s="42"/>
      <c r="U23" s="42"/>
      <c r="V23" s="42"/>
      <c r="W23" s="42"/>
      <c r="X23" s="42"/>
      <c r="Y23" s="42"/>
      <c r="Z23" s="42"/>
      <c r="AA23" s="42"/>
    </row>
    <row r="24" spans="2:27" ht="12.6" thickTop="1">
      <c r="B24" s="5" t="s">
        <v>483</v>
      </c>
      <c r="C24" s="549">
        <v>13387.629500754774</v>
      </c>
      <c r="D24" s="540">
        <v>13233.903644712569</v>
      </c>
      <c r="E24" s="540">
        <v>13126.432229601414</v>
      </c>
      <c r="F24" s="540">
        <v>13225.354170459068</v>
      </c>
      <c r="G24" s="540">
        <v>13502.373189284506</v>
      </c>
      <c r="H24" s="279">
        <f t="shared" si="4"/>
        <v>6.71694721895566E-3</v>
      </c>
      <c r="I24" s="249"/>
      <c r="J24" s="17"/>
      <c r="K24" s="17"/>
      <c r="L24" s="17"/>
      <c r="M24" s="17"/>
      <c r="N24" s="17"/>
      <c r="O24" s="248"/>
      <c r="S24" s="88"/>
      <c r="T24" s="42"/>
      <c r="U24" s="42"/>
      <c r="V24" s="42"/>
      <c r="W24" s="42" t="s">
        <v>332</v>
      </c>
      <c r="X24" s="42" t="s">
        <v>95</v>
      </c>
      <c r="Y24" s="42"/>
      <c r="Z24" s="42"/>
      <c r="AA24" s="42"/>
    </row>
    <row r="25" spans="2:27">
      <c r="B25" s="5" t="s">
        <v>183</v>
      </c>
      <c r="C25" s="548">
        <v>5966.3513768955891</v>
      </c>
      <c r="D25" s="540">
        <v>5987.111140902487</v>
      </c>
      <c r="E25" s="540">
        <v>6043.1194859908028</v>
      </c>
      <c r="F25" s="540">
        <v>5974.1183775228365</v>
      </c>
      <c r="G25" s="540">
        <v>6099.2526000138296</v>
      </c>
      <c r="H25" s="279">
        <f t="shared" si="4"/>
        <v>6.2049124089686991E-3</v>
      </c>
      <c r="I25" s="248"/>
      <c r="J25" s="247" t="s">
        <v>10</v>
      </c>
      <c r="K25" s="247"/>
      <c r="L25" s="321">
        <v>0</v>
      </c>
      <c r="M25" s="321">
        <v>0</v>
      </c>
      <c r="N25" s="321">
        <v>0</v>
      </c>
      <c r="O25" s="321">
        <v>0</v>
      </c>
      <c r="P25" s="279" t="str">
        <f>IF(L25=0,"nm",IF(O25=0,"nm",(O25/L25)^(1/3)-1))</f>
        <v>nm</v>
      </c>
      <c r="S25" s="88"/>
      <c r="T25" s="42"/>
      <c r="U25" s="42"/>
      <c r="V25" s="147" t="s">
        <v>273</v>
      </c>
      <c r="W25" s="288">
        <f>D37/L9</f>
        <v>1</v>
      </c>
      <c r="X25" s="288">
        <v>1</v>
      </c>
      <c r="Y25" s="42"/>
      <c r="Z25" s="42"/>
      <c r="AA25" s="42"/>
    </row>
    <row r="26" spans="2:27">
      <c r="B26" s="5" t="s">
        <v>586</v>
      </c>
      <c r="C26" s="548">
        <v>4295.7729913648236</v>
      </c>
      <c r="D26" s="540">
        <v>4310.7200214497907</v>
      </c>
      <c r="E26" s="540">
        <v>4351.0460299133774</v>
      </c>
      <c r="F26" s="540">
        <v>4301.3652318164422</v>
      </c>
      <c r="G26" s="540">
        <v>4391.461872009957</v>
      </c>
      <c r="H26" s="279">
        <f t="shared" si="4"/>
        <v>6.2049124089686991E-3</v>
      </c>
      <c r="I26" s="249"/>
      <c r="J26" s="249" t="s">
        <v>11</v>
      </c>
      <c r="K26" s="249"/>
      <c r="L26" s="281">
        <f>D11+L25</f>
        <v>12503.189152999999</v>
      </c>
      <c r="M26" s="281">
        <f>E11+M25</f>
        <v>12503.189152999999</v>
      </c>
      <c r="N26" s="281">
        <f>F11+N25</f>
        <v>12503.189152999999</v>
      </c>
      <c r="O26" s="281">
        <f>G11+O25</f>
        <v>12503.189152999999</v>
      </c>
      <c r="P26" s="279">
        <f>IF(L26=0,"nm",IF(O26=0,"nm",(O26/L26)^(1/3)-1))</f>
        <v>0</v>
      </c>
      <c r="Q26" s="5"/>
      <c r="S26" s="88"/>
      <c r="T26" s="42"/>
      <c r="U26" s="42"/>
      <c r="V26" s="147" t="s">
        <v>184</v>
      </c>
      <c r="W26" s="288">
        <f t="shared" ref="W26:W33" si="6">D38/L10</f>
        <v>1</v>
      </c>
      <c r="X26" s="288">
        <v>1</v>
      </c>
      <c r="Y26" s="42"/>
      <c r="Z26" s="42"/>
      <c r="AA26" s="42"/>
    </row>
    <row r="27" spans="2:27">
      <c r="B27" s="5" t="s">
        <v>587</v>
      </c>
      <c r="C27" s="549">
        <v>45776.657554491634</v>
      </c>
      <c r="D27" s="540">
        <v>45675.267869830066</v>
      </c>
      <c r="E27" s="540">
        <v>45393.773844054842</v>
      </c>
      <c r="F27" s="540">
        <v>45137.233344432381</v>
      </c>
      <c r="G27" s="540">
        <v>45119.911799214955</v>
      </c>
      <c r="H27" s="279">
        <f t="shared" si="4"/>
        <v>-4.0694686979286798E-3</v>
      </c>
      <c r="I27" s="249"/>
      <c r="J27" s="248"/>
      <c r="K27" s="248"/>
      <c r="L27" s="248"/>
      <c r="M27" s="248"/>
      <c r="N27" s="248"/>
      <c r="O27" s="248"/>
      <c r="Q27" s="41"/>
      <c r="S27" s="88"/>
      <c r="T27" s="42"/>
      <c r="U27" s="42"/>
      <c r="V27" s="147" t="s">
        <v>185</v>
      </c>
      <c r="W27" s="288">
        <f t="shared" si="6"/>
        <v>1</v>
      </c>
      <c r="X27" s="288">
        <v>1</v>
      </c>
      <c r="Y27" s="42"/>
      <c r="Z27" s="42"/>
      <c r="AA27" s="42"/>
    </row>
    <row r="28" spans="2:27" ht="12.6" thickBot="1">
      <c r="B28" s="5" t="s">
        <v>592</v>
      </c>
      <c r="C28" s="548">
        <v>42246.898353411889</v>
      </c>
      <c r="D28" s="540">
        <v>43160.373432226275</v>
      </c>
      <c r="E28" s="540">
        <v>43646.094414278981</v>
      </c>
      <c r="F28" s="540">
        <v>44089.909798723675</v>
      </c>
      <c r="G28" s="540">
        <v>45013.419550910556</v>
      </c>
      <c r="H28" s="279">
        <f t="shared" si="4"/>
        <v>1.4111258607638399E-2</v>
      </c>
      <c r="I28" s="248"/>
      <c r="J28" s="306" t="s">
        <v>1362</v>
      </c>
      <c r="K28" s="306"/>
      <c r="L28" s="306"/>
      <c r="M28" s="306"/>
      <c r="N28" s="266"/>
      <c r="O28" s="266"/>
      <c r="P28" s="266"/>
      <c r="Q28" s="5"/>
      <c r="S28" s="88"/>
      <c r="T28" s="42"/>
      <c r="U28" s="42"/>
      <c r="V28" s="147" t="s">
        <v>466</v>
      </c>
      <c r="W28" s="288">
        <f t="shared" si="6"/>
        <v>1.0000000000000002</v>
      </c>
      <c r="X28" s="288">
        <v>1</v>
      </c>
      <c r="Y28" s="42"/>
      <c r="Z28" s="42"/>
      <c r="AA28" s="42"/>
    </row>
    <row r="29" spans="2:27" ht="12.6" thickTop="1">
      <c r="B29" s="5" t="s">
        <v>588</v>
      </c>
      <c r="C29" s="548">
        <v>2941.8913466209483</v>
      </c>
      <c r="D29" s="540">
        <v>2954.5453113357062</v>
      </c>
      <c r="E29" s="540">
        <v>2967.4897231344039</v>
      </c>
      <c r="F29" s="540">
        <v>2946.3651471727867</v>
      </c>
      <c r="G29" s="540">
        <v>3008.0798787142971</v>
      </c>
      <c r="H29" s="279">
        <f t="shared" si="4"/>
        <v>6.0036813160782021E-3</v>
      </c>
      <c r="I29" s="252"/>
      <c r="J29" s="249"/>
      <c r="K29" s="249"/>
      <c r="L29" s="249"/>
      <c r="M29" s="249"/>
      <c r="N29" s="249"/>
      <c r="O29" s="251"/>
      <c r="Q29" s="5"/>
      <c r="S29" s="88"/>
      <c r="T29" s="42"/>
      <c r="U29" s="42"/>
      <c r="V29" s="147" t="s">
        <v>530</v>
      </c>
      <c r="W29" s="288">
        <f t="shared" si="6"/>
        <v>1</v>
      </c>
      <c r="X29" s="288">
        <v>1</v>
      </c>
      <c r="Y29" s="42"/>
      <c r="Z29" s="42"/>
      <c r="AA29" s="42"/>
    </row>
    <row r="30" spans="2:27">
      <c r="B30" s="5" t="s">
        <v>589</v>
      </c>
      <c r="C30" s="549">
        <v>3930.1769122837659</v>
      </c>
      <c r="D30" s="540">
        <v>3741.0483442741393</v>
      </c>
      <c r="E30" s="540">
        <v>3600.1850742471693</v>
      </c>
      <c r="F30" s="540">
        <v>3631.0723737258872</v>
      </c>
      <c r="G30" s="540">
        <v>3707.1290216832217</v>
      </c>
      <c r="H30" s="279">
        <f t="shared" si="4"/>
        <v>-3.031445748740591E-3</v>
      </c>
      <c r="I30" s="254"/>
      <c r="J30" s="248"/>
      <c r="K30" s="248"/>
      <c r="L30" s="248"/>
      <c r="M30" s="248"/>
      <c r="N30" s="248"/>
      <c r="O30" s="5"/>
      <c r="Q30" s="5"/>
      <c r="S30" s="88"/>
      <c r="T30" s="42"/>
      <c r="U30" s="42"/>
      <c r="V30" s="147" t="s">
        <v>593</v>
      </c>
      <c r="W30" s="288">
        <f t="shared" si="6"/>
        <v>1</v>
      </c>
      <c r="X30" s="288">
        <v>1</v>
      </c>
      <c r="Y30" s="42"/>
      <c r="Z30" s="42"/>
      <c r="AA30" s="42"/>
    </row>
    <row r="31" spans="2:27">
      <c r="B31" s="5" t="s">
        <v>590</v>
      </c>
      <c r="C31" s="549">
        <v>2149.9310147348574</v>
      </c>
      <c r="D31" s="540">
        <v>2159.1785184643431</v>
      </c>
      <c r="E31" s="540">
        <v>2168.6382806086795</v>
      </c>
      <c r="F31" s="540">
        <v>2153.2004633401757</v>
      </c>
      <c r="G31" s="540">
        <v>2168.638280608684</v>
      </c>
      <c r="H31" s="279">
        <f t="shared" si="4"/>
        <v>1.4582676697889596E-3</v>
      </c>
      <c r="I31" s="254"/>
      <c r="J31" s="252"/>
      <c r="K31" s="252"/>
      <c r="L31" s="252"/>
      <c r="M31" s="252"/>
      <c r="N31" s="252"/>
      <c r="O31" s="5"/>
      <c r="Q31" s="5"/>
      <c r="S31" s="88"/>
      <c r="T31" s="42"/>
      <c r="U31" s="42"/>
      <c r="V31" s="147" t="s">
        <v>475</v>
      </c>
      <c r="W31" s="288">
        <f t="shared" si="6"/>
        <v>1</v>
      </c>
      <c r="X31" s="288">
        <v>1</v>
      </c>
      <c r="Y31" s="42"/>
      <c r="Z31" s="42"/>
      <c r="AA31" s="42"/>
    </row>
    <row r="32" spans="2:27">
      <c r="B32" s="5" t="s">
        <v>606</v>
      </c>
      <c r="C32" s="550">
        <v>759</v>
      </c>
      <c r="D32" s="540">
        <v>0</v>
      </c>
      <c r="E32" s="540">
        <v>0</v>
      </c>
      <c r="F32" s="540">
        <v>0</v>
      </c>
      <c r="G32" s="540">
        <v>0</v>
      </c>
      <c r="H32" s="279" t="str">
        <f t="shared" si="4"/>
        <v>nm</v>
      </c>
      <c r="I32" s="254"/>
      <c r="J32" s="254"/>
      <c r="K32" s="254"/>
      <c r="L32" s="254"/>
      <c r="M32" s="254"/>
      <c r="N32" s="254"/>
      <c r="O32" s="251"/>
      <c r="Q32" s="5"/>
      <c r="S32" s="88"/>
      <c r="T32" s="42"/>
      <c r="U32" s="42"/>
      <c r="V32" s="147" t="s">
        <v>533</v>
      </c>
      <c r="W32" s="288">
        <f t="shared" si="6"/>
        <v>1</v>
      </c>
      <c r="X32" s="288">
        <v>1</v>
      </c>
      <c r="Y32" s="42"/>
      <c r="Z32" s="42"/>
      <c r="AA32" s="42"/>
    </row>
    <row r="33" spans="2:27">
      <c r="B33" s="5" t="s">
        <v>5</v>
      </c>
      <c r="C33" s="549">
        <v>998.82424232650544</v>
      </c>
      <c r="D33" s="540">
        <v>936.6116740089368</v>
      </c>
      <c r="E33" s="540">
        <v>886.96691982743607</v>
      </c>
      <c r="F33" s="540">
        <v>838.22848973510816</v>
      </c>
      <c r="G33" s="540">
        <v>855.78607123992811</v>
      </c>
      <c r="H33" s="279">
        <f>IF(D33=0,"nm",IF(G33=0,"nm",(G33/D33)^(1/3)-1))</f>
        <v>-2.9634794273174836E-2</v>
      </c>
      <c r="I33" s="5"/>
      <c r="J33" s="254"/>
      <c r="K33" s="254"/>
      <c r="L33" s="254"/>
      <c r="M33" s="254"/>
      <c r="N33" s="254"/>
      <c r="O33" s="251"/>
      <c r="Q33" s="5"/>
      <c r="S33" s="88"/>
      <c r="T33" s="42"/>
      <c r="U33" s="42"/>
      <c r="V33" s="147" t="s">
        <v>580</v>
      </c>
      <c r="W33" s="288">
        <f t="shared" si="6"/>
        <v>1.0000000000000002</v>
      </c>
      <c r="X33" s="288">
        <v>1</v>
      </c>
      <c r="Y33" s="42"/>
      <c r="Z33" s="42"/>
      <c r="AA33" s="42"/>
    </row>
    <row r="34" spans="2:27">
      <c r="H34" s="277"/>
      <c r="I34" s="49"/>
      <c r="J34" s="254"/>
      <c r="K34" s="254"/>
      <c r="L34" s="254"/>
      <c r="M34" s="254"/>
      <c r="N34" s="254"/>
      <c r="O34" s="251"/>
      <c r="Q34" s="5"/>
      <c r="S34" s="88"/>
      <c r="T34" s="42"/>
      <c r="U34" s="42"/>
      <c r="V34" s="147" t="s">
        <v>581</v>
      </c>
      <c r="W34" s="288">
        <f>D47/L19</f>
        <v>1</v>
      </c>
      <c r="X34" s="288">
        <v>1</v>
      </c>
      <c r="Y34" s="288"/>
      <c r="Z34" s="288"/>
      <c r="AA34" s="42"/>
    </row>
    <row r="35" spans="2:27" ht="12.6" thickBot="1">
      <c r="B35" s="306" t="s">
        <v>426</v>
      </c>
      <c r="C35" s="265"/>
      <c r="D35" s="265" t="str">
        <f>D5</f>
        <v>2023E</v>
      </c>
      <c r="E35" s="265" t="str">
        <f t="shared" ref="E35:H35" si="7">E5</f>
        <v>2024E</v>
      </c>
      <c r="F35" s="265" t="str">
        <f t="shared" si="7"/>
        <v>2025E</v>
      </c>
      <c r="G35" s="265" t="str">
        <f t="shared" si="7"/>
        <v>2026E</v>
      </c>
      <c r="H35" s="265" t="str">
        <f t="shared" si="7"/>
        <v>23E-26E</v>
      </c>
      <c r="I35" s="254"/>
      <c r="J35" s="5"/>
      <c r="K35" s="5"/>
      <c r="L35" s="5"/>
      <c r="M35" s="5"/>
      <c r="N35" s="5"/>
      <c r="O35" s="5"/>
      <c r="Q35" s="5"/>
      <c r="S35" s="88"/>
      <c r="T35" s="42"/>
      <c r="U35" s="42"/>
      <c r="V35" s="42"/>
      <c r="W35" s="42"/>
      <c r="X35" s="42"/>
      <c r="Y35" s="288"/>
      <c r="Z35" s="288"/>
      <c r="AA35" s="42"/>
    </row>
    <row r="36" spans="2:27" ht="12.6" thickTop="1">
      <c r="B36" s="41"/>
      <c r="C36" s="249"/>
      <c r="D36" s="254"/>
      <c r="E36" s="254"/>
      <c r="F36" s="254"/>
      <c r="G36" s="254"/>
      <c r="H36" s="254"/>
      <c r="I36" s="17"/>
      <c r="J36" s="49"/>
      <c r="K36" s="49"/>
      <c r="L36" s="49"/>
      <c r="M36" s="49"/>
      <c r="N36" s="49"/>
      <c r="O36" s="49"/>
      <c r="Q36" s="5"/>
      <c r="S36" s="88"/>
      <c r="T36" s="42"/>
      <c r="U36" s="42"/>
      <c r="V36" s="42"/>
      <c r="W36" s="42"/>
      <c r="X36" s="42"/>
      <c r="Y36" s="288"/>
      <c r="Z36" s="288"/>
      <c r="AA36" s="42"/>
    </row>
    <row r="37" spans="2:27">
      <c r="B37" s="5" t="s">
        <v>273</v>
      </c>
      <c r="C37" s="247"/>
      <c r="D37" s="529">
        <f>D$18/D23</f>
        <v>0.4074058284411608</v>
      </c>
      <c r="E37" s="529">
        <f t="shared" ref="E37:G41" si="8">E$18/E23</f>
        <v>0.34140257323146977</v>
      </c>
      <c r="F37" s="529">
        <f t="shared" si="8"/>
        <v>0.27665584057483394</v>
      </c>
      <c r="G37" s="529">
        <f t="shared" si="8"/>
        <v>0.21413233923032149</v>
      </c>
      <c r="H37" s="17">
        <f t="shared" ref="H37:H45" si="9">H23</f>
        <v>1.947512825024833E-2</v>
      </c>
      <c r="I37" s="5"/>
      <c r="J37" s="259"/>
      <c r="K37" s="259"/>
      <c r="L37" s="259"/>
      <c r="M37" s="259"/>
      <c r="N37" s="259"/>
      <c r="O37" s="18"/>
      <c r="Q37" s="5"/>
      <c r="R37" s="5"/>
      <c r="S37" s="42"/>
      <c r="T37" s="42"/>
      <c r="U37" s="42"/>
      <c r="V37" s="42"/>
      <c r="W37" s="42"/>
      <c r="X37" s="42"/>
      <c r="Y37" s="42"/>
      <c r="Z37" s="42"/>
      <c r="AA37" s="42"/>
    </row>
    <row r="38" spans="2:27">
      <c r="B38" s="5" t="s">
        <v>184</v>
      </c>
      <c r="C38" s="247"/>
      <c r="D38" s="529">
        <f>D$18/D24</f>
        <v>1.5135746264308387</v>
      </c>
      <c r="E38" s="529">
        <f t="shared" si="8"/>
        <v>1.2998970888414256</v>
      </c>
      <c r="F38" s="529">
        <f t="shared" si="8"/>
        <v>1.067392654519006</v>
      </c>
      <c r="G38" s="529">
        <f t="shared" si="8"/>
        <v>0.82616468719586611</v>
      </c>
      <c r="H38" s="17">
        <f t="shared" si="9"/>
        <v>6.71694721895566E-3</v>
      </c>
      <c r="I38" s="259"/>
      <c r="J38" s="17"/>
      <c r="K38" s="17"/>
      <c r="L38" s="17"/>
      <c r="M38" s="17"/>
      <c r="N38" s="17"/>
      <c r="O38" s="5"/>
      <c r="Q38" s="5"/>
      <c r="R38" s="5"/>
      <c r="S38" s="42"/>
      <c r="T38" s="42"/>
      <c r="U38" s="42"/>
      <c r="V38" s="42"/>
      <c r="W38" s="42"/>
      <c r="X38" s="42"/>
      <c r="Y38" s="42"/>
      <c r="Z38" s="42"/>
      <c r="AA38" s="42"/>
    </row>
    <row r="39" spans="2:27">
      <c r="B39" s="5" t="s">
        <v>185</v>
      </c>
      <c r="C39" s="247"/>
      <c r="D39" s="529">
        <f>D$18/D25</f>
        <v>3.3456036298414493</v>
      </c>
      <c r="E39" s="529">
        <f t="shared" si="8"/>
        <v>2.8235435492693335</v>
      </c>
      <c r="F39" s="529">
        <f t="shared" si="8"/>
        <v>2.3629672200793865</v>
      </c>
      <c r="G39" s="529">
        <f t="shared" si="8"/>
        <v>1.8289427662500468</v>
      </c>
      <c r="H39" s="17">
        <f t="shared" si="9"/>
        <v>6.2049124089686991E-3</v>
      </c>
      <c r="I39" s="17"/>
      <c r="J39" s="5"/>
      <c r="K39" s="5"/>
      <c r="L39" s="5"/>
      <c r="M39" s="5"/>
      <c r="N39" s="5"/>
      <c r="O39" s="5"/>
      <c r="Q39" s="5"/>
      <c r="R39" s="5"/>
      <c r="S39" s="42"/>
      <c r="T39" s="42"/>
      <c r="U39" s="42"/>
      <c r="V39" s="42"/>
      <c r="W39" s="42"/>
      <c r="X39" s="42"/>
      <c r="Y39" s="42"/>
      <c r="Z39" s="42"/>
      <c r="AA39" s="42"/>
    </row>
    <row r="40" spans="2:27">
      <c r="B40" s="5" t="s">
        <v>466</v>
      </c>
      <c r="C40" s="247"/>
      <c r="D40" s="529">
        <f>D$18/D26</f>
        <v>4.6466717081131241</v>
      </c>
      <c r="E40" s="529">
        <f t="shared" si="8"/>
        <v>3.9215882628740748</v>
      </c>
      <c r="F40" s="529">
        <f t="shared" si="8"/>
        <v>3.2818989167769255</v>
      </c>
      <c r="G40" s="529">
        <f t="shared" si="8"/>
        <v>2.5401982864583985</v>
      </c>
      <c r="H40" s="17">
        <f t="shared" si="9"/>
        <v>6.2049124089686991E-3</v>
      </c>
      <c r="I40" s="5"/>
      <c r="J40" s="259"/>
      <c r="K40" s="259"/>
      <c r="L40" s="259"/>
      <c r="M40" s="259"/>
      <c r="N40" s="259"/>
      <c r="O40" s="18"/>
      <c r="Q40" s="5"/>
      <c r="R40" s="5"/>
      <c r="S40" s="42"/>
      <c r="T40" s="42"/>
      <c r="U40" s="42"/>
      <c r="V40" s="42"/>
      <c r="W40" s="288"/>
      <c r="X40" s="288"/>
      <c r="Y40" s="42"/>
      <c r="Z40" s="42"/>
      <c r="AA40" s="42"/>
    </row>
    <row r="41" spans="2:27">
      <c r="B41" s="5" t="s">
        <v>530</v>
      </c>
      <c r="C41" s="247"/>
      <c r="D41" s="529">
        <f>D$18/D27</f>
        <v>0.43854150614622467</v>
      </c>
      <c r="E41" s="529">
        <f t="shared" si="8"/>
        <v>0.37588879701324635</v>
      </c>
      <c r="F41" s="529">
        <f t="shared" si="8"/>
        <v>0.31274947197669972</v>
      </c>
      <c r="G41" s="529">
        <f t="shared" si="8"/>
        <v>0.24723416951628824</v>
      </c>
      <c r="H41" s="17">
        <f t="shared" si="9"/>
        <v>-4.0694686979286798E-3</v>
      </c>
      <c r="I41" s="247"/>
      <c r="J41" s="17"/>
      <c r="K41" s="17"/>
      <c r="L41" s="17"/>
      <c r="M41" s="17"/>
      <c r="N41" s="17"/>
      <c r="O41" s="5"/>
      <c r="Q41" s="5"/>
      <c r="R41" s="5"/>
      <c r="S41" s="42"/>
      <c r="T41" s="42"/>
      <c r="U41" s="42"/>
      <c r="V41" s="42"/>
      <c r="W41" s="288"/>
      <c r="X41" s="288"/>
      <c r="Y41" s="288"/>
      <c r="Z41" s="288"/>
      <c r="AA41" s="42"/>
    </row>
    <row r="42" spans="2:27">
      <c r="B42" s="5" t="s">
        <v>593</v>
      </c>
      <c r="C42" s="247"/>
      <c r="D42" s="529">
        <f>D18/D28</f>
        <v>0.46409470475784848</v>
      </c>
      <c r="E42" s="529">
        <f>E18/E28</f>
        <v>0.39094015790221343</v>
      </c>
      <c r="F42" s="529">
        <f>F18/F28</f>
        <v>0.32017860683781585</v>
      </c>
      <c r="G42" s="529">
        <f>G18/G28</f>
        <v>0.24781907337011971</v>
      </c>
      <c r="H42" s="17">
        <f t="shared" si="9"/>
        <v>1.4111258607638399E-2</v>
      </c>
      <c r="I42" s="248"/>
      <c r="J42" s="5"/>
      <c r="K42" s="5"/>
      <c r="L42" s="5"/>
      <c r="M42" s="5"/>
      <c r="N42" s="5"/>
      <c r="O42" s="5"/>
      <c r="Q42" s="5"/>
      <c r="R42" s="5"/>
      <c r="S42" s="42"/>
      <c r="T42" s="42"/>
      <c r="U42" s="42"/>
      <c r="V42" s="42"/>
      <c r="W42" s="288"/>
      <c r="X42" s="288"/>
      <c r="Y42" s="288"/>
      <c r="Z42" s="288"/>
      <c r="AA42" s="42"/>
    </row>
    <row r="43" spans="2:27">
      <c r="B43" s="5" t="s">
        <v>475</v>
      </c>
      <c r="C43" s="247"/>
      <c r="D43" s="529">
        <f>L26/D29</f>
        <v>4.2318488415219102</v>
      </c>
      <c r="E43" s="529">
        <f>M26/E29</f>
        <v>4.2133892008203944</v>
      </c>
      <c r="F43" s="529">
        <f>N26/F29</f>
        <v>4.2435979684994427</v>
      </c>
      <c r="G43" s="529">
        <f>O26/G29</f>
        <v>4.1565349515731835</v>
      </c>
      <c r="H43" s="17">
        <f t="shared" si="9"/>
        <v>6.0036813160782021E-3</v>
      </c>
      <c r="I43" s="247"/>
      <c r="J43" s="247"/>
      <c r="K43" s="247"/>
      <c r="L43" s="247"/>
      <c r="M43" s="247"/>
      <c r="N43" s="247"/>
      <c r="O43" s="18"/>
      <c r="Q43" s="5"/>
      <c r="R43" s="5"/>
      <c r="S43" s="42"/>
      <c r="T43" s="42"/>
      <c r="U43" s="42"/>
      <c r="V43" s="42"/>
      <c r="W43" s="288"/>
      <c r="X43" s="288"/>
      <c r="Y43" s="288"/>
      <c r="Z43" s="288"/>
      <c r="AA43" s="42"/>
    </row>
    <row r="44" spans="2:27">
      <c r="B44" s="5" t="s">
        <v>533</v>
      </c>
      <c r="C44" s="69"/>
      <c r="D44" s="529">
        <f>D11/D30</f>
        <v>3.3421618761320615</v>
      </c>
      <c r="E44" s="529">
        <f>E11/E30</f>
        <v>3.4729295564380194</v>
      </c>
      <c r="F44" s="529">
        <f>F11/F30</f>
        <v>3.4433874806439966</v>
      </c>
      <c r="G44" s="529">
        <f>G11/G30</f>
        <v>3.3727418387296719</v>
      </c>
      <c r="H44" s="17">
        <f t="shared" si="9"/>
        <v>-3.031445748740591E-3</v>
      </c>
      <c r="I44" s="247"/>
      <c r="J44" s="248"/>
      <c r="K44" s="248"/>
      <c r="L44" s="248"/>
      <c r="M44" s="248"/>
      <c r="N44" s="248"/>
      <c r="O44" s="248"/>
      <c r="Q44" s="5"/>
      <c r="R44" s="5"/>
      <c r="S44" s="42"/>
      <c r="T44" s="42"/>
      <c r="U44" s="42"/>
      <c r="V44" s="42"/>
      <c r="W44" s="325"/>
      <c r="X44" s="325"/>
      <c r="Y44" s="288"/>
      <c r="Z44" s="288"/>
      <c r="AA44" s="42"/>
    </row>
    <row r="45" spans="2:27">
      <c r="B45" s="5" t="s">
        <v>580</v>
      </c>
      <c r="C45" s="247"/>
      <c r="D45" s="248">
        <f>D31/D11</f>
        <v>0.17269022263382081</v>
      </c>
      <c r="E45" s="248">
        <f>E31/E11</f>
        <v>0.17344681057539141</v>
      </c>
      <c r="F45" s="248">
        <f>F31/F11</f>
        <v>0.1722121002083328</v>
      </c>
      <c r="G45" s="248">
        <f>G31/G11</f>
        <v>0.17344681057539177</v>
      </c>
      <c r="H45" s="17">
        <f t="shared" si="9"/>
        <v>1.4582676697889596E-3</v>
      </c>
      <c r="I45" s="248"/>
      <c r="J45" s="247"/>
      <c r="K45" s="247"/>
      <c r="L45" s="247"/>
      <c r="M45" s="247"/>
      <c r="N45" s="247"/>
      <c r="O45" s="248"/>
      <c r="Q45" s="5"/>
      <c r="R45" s="5"/>
      <c r="S45" s="42"/>
      <c r="T45" s="42"/>
      <c r="U45" s="42"/>
      <c r="V45" s="42"/>
      <c r="W45" s="42"/>
      <c r="X45" s="42"/>
      <c r="Y45" s="325"/>
      <c r="Z45" s="325"/>
      <c r="AA45" s="42"/>
    </row>
    <row r="46" spans="2:27">
      <c r="B46" s="5" t="s">
        <v>605</v>
      </c>
      <c r="C46" s="247"/>
      <c r="D46" s="248">
        <f>(D31+D32)/D11</f>
        <v>0.17269022263382081</v>
      </c>
      <c r="E46" s="248">
        <f>(E31+E32)/E11</f>
        <v>0.17344681057539141</v>
      </c>
      <c r="F46" s="248">
        <f>(F31+F32)/F11</f>
        <v>0.1722121002083328</v>
      </c>
      <c r="G46" s="248">
        <f>(G31+G32)/G11</f>
        <v>0.17344681057539177</v>
      </c>
      <c r="H46" s="279">
        <f>((G31+G32)/(D31+D32))^(1/3)-1</f>
        <v>1.4582676697889596E-3</v>
      </c>
      <c r="I46" s="247"/>
      <c r="J46" s="247"/>
      <c r="K46" s="247"/>
      <c r="L46" s="247"/>
      <c r="M46" s="247"/>
      <c r="N46" s="247"/>
      <c r="O46" s="18"/>
      <c r="Q46" s="5"/>
      <c r="R46" s="5"/>
      <c r="S46" s="42"/>
      <c r="T46" s="42"/>
      <c r="U46" s="42"/>
      <c r="V46" s="42"/>
      <c r="W46" s="42"/>
      <c r="X46" s="42"/>
      <c r="Y46" s="42"/>
      <c r="Z46" s="42"/>
      <c r="AA46" s="326"/>
    </row>
    <row r="47" spans="2:27">
      <c r="B47" s="5" t="s">
        <v>581</v>
      </c>
      <c r="C47" s="5"/>
      <c r="D47" s="248">
        <f>1/D43</f>
        <v>0.23630333630734493</v>
      </c>
      <c r="E47" s="248">
        <f>1/E43</f>
        <v>0.23733862511568804</v>
      </c>
      <c r="F47" s="248">
        <f>1/F43</f>
        <v>0.2356490900936134</v>
      </c>
      <c r="G47" s="248">
        <f>1/G43</f>
        <v>0.24058500930480944</v>
      </c>
      <c r="H47" s="17">
        <f>H29</f>
        <v>6.0036813160782021E-3</v>
      </c>
      <c r="I47" s="17"/>
      <c r="J47" s="248"/>
      <c r="K47" s="248"/>
      <c r="L47" s="248"/>
      <c r="M47" s="248"/>
      <c r="N47" s="248"/>
      <c r="O47" s="248"/>
      <c r="Q47" s="5"/>
      <c r="R47" s="5"/>
      <c r="S47" s="42"/>
      <c r="T47" s="42"/>
      <c r="U47" s="42"/>
      <c r="V47" s="42"/>
      <c r="W47" s="42"/>
      <c r="X47" s="42"/>
      <c r="Y47" s="42"/>
      <c r="Z47" s="42"/>
      <c r="AA47" s="326"/>
    </row>
    <row r="48" spans="2:27">
      <c r="B48" s="5" t="s">
        <v>618</v>
      </c>
      <c r="C48" s="5"/>
      <c r="D48" s="305">
        <f>D31/D29</f>
        <v>0.73079891859509527</v>
      </c>
      <c r="E48" s="305">
        <f>E31/E29</f>
        <v>0.73079891859509472</v>
      </c>
      <c r="F48" s="305">
        <f>F31/F29</f>
        <v>0.7307989185951036</v>
      </c>
      <c r="G48" s="305">
        <f>G31/G29</f>
        <v>0.72093773039550924</v>
      </c>
      <c r="H48" s="279" t="s">
        <v>607</v>
      </c>
      <c r="I48" s="247"/>
      <c r="J48" s="247"/>
      <c r="K48" s="247"/>
      <c r="L48" s="247"/>
      <c r="M48" s="247"/>
      <c r="N48" s="247"/>
      <c r="O48" s="248"/>
      <c r="Q48" s="5"/>
      <c r="R48" s="5"/>
      <c r="S48" s="42"/>
      <c r="T48" s="42"/>
      <c r="U48" s="42"/>
      <c r="V48" s="42"/>
      <c r="W48" s="42"/>
      <c r="X48" s="42"/>
      <c r="Y48" s="42"/>
      <c r="Z48" s="42"/>
      <c r="AA48" s="326"/>
    </row>
    <row r="49" spans="2:27">
      <c r="B49" s="41"/>
      <c r="C49" s="17"/>
      <c r="D49" s="17"/>
      <c r="E49" s="17"/>
      <c r="F49" s="17"/>
      <c r="G49" s="17"/>
      <c r="H49" s="17"/>
      <c r="I49" s="254"/>
      <c r="J49" s="17"/>
      <c r="K49" s="17"/>
      <c r="L49" s="17"/>
      <c r="M49" s="17"/>
      <c r="N49" s="17"/>
      <c r="O49" s="248"/>
      <c r="Q49" s="5"/>
      <c r="R49" s="5"/>
      <c r="S49" s="42"/>
      <c r="T49" s="42"/>
      <c r="U49" s="42"/>
      <c r="V49" s="42"/>
      <c r="W49" s="42"/>
      <c r="X49" s="42"/>
      <c r="Y49" s="42"/>
      <c r="Z49" s="42"/>
      <c r="AA49" s="326"/>
    </row>
    <row r="50" spans="2:27">
      <c r="B50" s="5"/>
      <c r="C50" s="257"/>
      <c r="D50" s="257"/>
      <c r="E50" s="257"/>
      <c r="F50" s="5"/>
      <c r="G50" s="41"/>
      <c r="H50" s="249"/>
      <c r="I50" s="17"/>
      <c r="J50" s="249"/>
      <c r="K50" s="249"/>
      <c r="L50" s="249"/>
      <c r="M50" s="249"/>
      <c r="N50" s="249"/>
      <c r="O50" s="250"/>
      <c r="Q50" s="5"/>
      <c r="R50" s="5"/>
      <c r="S50" s="42"/>
      <c r="T50" s="42"/>
      <c r="U50" s="42"/>
      <c r="V50" s="42"/>
      <c r="W50" s="288"/>
      <c r="X50" s="288"/>
      <c r="Y50" s="42"/>
      <c r="Z50" s="42"/>
      <c r="AA50" s="326"/>
    </row>
    <row r="51" spans="2:27">
      <c r="B51" s="41"/>
      <c r="C51" s="249"/>
      <c r="D51" s="254"/>
      <c r="E51" s="254"/>
      <c r="F51" s="254"/>
      <c r="G51" s="254"/>
      <c r="H51" s="254"/>
      <c r="I51" s="259"/>
      <c r="J51" s="254"/>
      <c r="K51" s="254"/>
      <c r="L51" s="254"/>
      <c r="M51" s="254"/>
      <c r="N51" s="254"/>
      <c r="O51" s="251"/>
      <c r="Q51" s="5"/>
      <c r="R51" s="5"/>
      <c r="S51" s="42"/>
      <c r="T51" s="42"/>
      <c r="U51" s="42"/>
      <c r="V51" s="42"/>
      <c r="W51" s="288"/>
      <c r="X51" s="288"/>
      <c r="Y51" s="288"/>
      <c r="Z51" s="288"/>
      <c r="AA51" s="42"/>
    </row>
    <row r="52" spans="2:27">
      <c r="B52" s="5"/>
      <c r="C52" s="257"/>
      <c r="D52" s="17"/>
      <c r="E52" s="17"/>
      <c r="F52" s="17"/>
      <c r="G52" s="17"/>
      <c r="H52" s="17"/>
      <c r="I52" s="254"/>
      <c r="J52" s="17"/>
      <c r="K52" s="17"/>
      <c r="L52" s="17"/>
      <c r="M52" s="17"/>
      <c r="N52" s="17"/>
      <c r="O52" s="248"/>
      <c r="Q52" s="5"/>
      <c r="R52" s="5"/>
      <c r="S52" s="5"/>
      <c r="Y52" s="10"/>
      <c r="Z52" s="10"/>
    </row>
    <row r="53" spans="2:27">
      <c r="B53" s="5"/>
      <c r="C53" s="257"/>
      <c r="D53" s="257"/>
      <c r="E53" s="257"/>
      <c r="F53" s="5"/>
      <c r="G53" s="5"/>
      <c r="H53" s="259"/>
      <c r="I53" s="17"/>
      <c r="J53" s="259"/>
      <c r="K53" s="259"/>
      <c r="L53" s="259"/>
      <c r="M53" s="259"/>
      <c r="N53" s="259"/>
      <c r="O53" s="18"/>
      <c r="Q53" s="5"/>
      <c r="R53" s="5"/>
      <c r="S53" s="5"/>
    </row>
    <row r="54" spans="2:27">
      <c r="B54" s="41"/>
      <c r="C54" s="249"/>
      <c r="D54" s="254"/>
      <c r="E54" s="254"/>
      <c r="F54" s="254"/>
      <c r="G54" s="254"/>
      <c r="H54" s="254"/>
      <c r="I54" s="259"/>
      <c r="J54" s="254"/>
      <c r="K54" s="254"/>
      <c r="L54" s="254"/>
      <c r="M54" s="254"/>
      <c r="N54" s="254"/>
      <c r="O54" s="251"/>
      <c r="Q54" s="5"/>
      <c r="R54" s="5"/>
      <c r="S54" s="5"/>
    </row>
    <row r="55" spans="2:27">
      <c r="B55" s="5"/>
      <c r="C55" s="257"/>
      <c r="D55" s="17"/>
      <c r="E55" s="17"/>
      <c r="F55" s="17"/>
      <c r="G55" s="17"/>
      <c r="H55" s="17"/>
      <c r="I55" s="249"/>
      <c r="J55" s="17"/>
      <c r="K55" s="17"/>
      <c r="L55" s="17"/>
      <c r="M55" s="17"/>
      <c r="N55" s="17"/>
      <c r="O55" s="18"/>
      <c r="Q55" s="5"/>
      <c r="R55" s="5"/>
      <c r="S55" s="5"/>
    </row>
    <row r="56" spans="2:27">
      <c r="B56" s="5"/>
      <c r="C56" s="248"/>
      <c r="D56" s="248"/>
      <c r="E56" s="248"/>
      <c r="F56" s="5"/>
      <c r="G56" s="5"/>
      <c r="H56" s="259"/>
      <c r="I56" s="248"/>
      <c r="J56" s="259"/>
      <c r="K56" s="259"/>
      <c r="L56" s="259"/>
      <c r="M56" s="259"/>
      <c r="N56" s="259"/>
      <c r="O56" s="18"/>
      <c r="Q56" s="5"/>
      <c r="R56" s="5"/>
      <c r="S56" s="5"/>
    </row>
    <row r="57" spans="2:27">
      <c r="B57" s="41"/>
      <c r="C57" s="249"/>
      <c r="D57" s="249"/>
      <c r="E57" s="249"/>
      <c r="F57" s="249"/>
      <c r="G57" s="249"/>
      <c r="H57" s="249"/>
      <c r="I57" s="5"/>
      <c r="J57" s="249"/>
      <c r="K57" s="249"/>
      <c r="L57" s="249"/>
      <c r="M57" s="249"/>
      <c r="N57" s="249"/>
      <c r="O57" s="251"/>
      <c r="Q57" s="5"/>
      <c r="R57" s="5"/>
      <c r="S57" s="5"/>
    </row>
    <row r="58" spans="2:27">
      <c r="B58" s="5"/>
      <c r="C58" s="5"/>
      <c r="D58" s="248"/>
      <c r="E58" s="248"/>
      <c r="F58" s="248"/>
      <c r="G58" s="248"/>
      <c r="H58" s="248"/>
      <c r="I58" s="17"/>
      <c r="J58" s="248"/>
      <c r="K58" s="248"/>
      <c r="L58" s="248"/>
      <c r="M58" s="248"/>
      <c r="N58" s="248"/>
      <c r="O58" s="18"/>
      <c r="Q58" s="5"/>
      <c r="R58" s="5"/>
      <c r="S58" s="5"/>
    </row>
    <row r="59" spans="2:27">
      <c r="B59" s="5"/>
      <c r="C59" s="5"/>
      <c r="D59" s="5"/>
      <c r="E59" s="5"/>
      <c r="F59" s="5"/>
      <c r="G59" s="5"/>
      <c r="H59" s="5"/>
      <c r="I59" s="5"/>
      <c r="J59" s="5"/>
      <c r="K59" s="5"/>
      <c r="L59" s="5"/>
      <c r="M59" s="5"/>
      <c r="N59" s="5"/>
      <c r="O59" s="5"/>
      <c r="Q59" s="5"/>
      <c r="R59" s="5"/>
      <c r="S59" s="5"/>
    </row>
    <row r="60" spans="2:27">
      <c r="B60" s="41"/>
      <c r="C60" s="17"/>
      <c r="D60" s="17"/>
      <c r="E60" s="17"/>
      <c r="F60" s="17"/>
      <c r="G60" s="17"/>
      <c r="H60" s="17"/>
      <c r="I60" s="249"/>
      <c r="J60" s="17"/>
      <c r="K60" s="17"/>
      <c r="L60" s="17"/>
      <c r="M60" s="17"/>
      <c r="N60" s="17"/>
      <c r="O60" s="251"/>
      <c r="Q60" s="5"/>
      <c r="R60" s="5"/>
      <c r="S60" s="5"/>
    </row>
    <row r="61" spans="2:27">
      <c r="B61" s="5"/>
      <c r="C61" s="5"/>
      <c r="D61" s="5"/>
      <c r="E61" s="5"/>
      <c r="F61" s="5"/>
      <c r="G61" s="5"/>
      <c r="H61" s="5"/>
      <c r="I61" s="5"/>
      <c r="J61" s="5"/>
      <c r="K61" s="5"/>
      <c r="L61" s="5"/>
      <c r="M61" s="5"/>
      <c r="N61" s="5"/>
      <c r="O61" s="5"/>
      <c r="Q61" s="41"/>
      <c r="R61" s="5"/>
      <c r="S61" s="5"/>
    </row>
    <row r="62" spans="2:27">
      <c r="B62" s="41"/>
      <c r="C62" s="249"/>
      <c r="D62" s="249"/>
      <c r="E62" s="249"/>
      <c r="F62" s="249"/>
      <c r="G62" s="249"/>
      <c r="H62" s="249"/>
      <c r="I62" s="5"/>
      <c r="J62" s="249"/>
      <c r="K62" s="249"/>
      <c r="L62" s="249"/>
      <c r="M62" s="249"/>
      <c r="N62" s="249"/>
      <c r="O62" s="251"/>
      <c r="Q62" s="5"/>
      <c r="R62" s="5"/>
      <c r="S62" s="5"/>
    </row>
    <row r="63" spans="2:27">
      <c r="B63" s="5"/>
      <c r="C63" s="5"/>
      <c r="D63" s="5"/>
      <c r="E63" s="5"/>
      <c r="F63" s="5"/>
      <c r="G63" s="5"/>
      <c r="H63" s="5"/>
      <c r="I63" s="254"/>
      <c r="J63" s="5"/>
      <c r="K63" s="5"/>
      <c r="L63" s="5"/>
      <c r="M63" s="5"/>
      <c r="N63" s="5"/>
      <c r="O63" s="5"/>
      <c r="Q63" s="5"/>
      <c r="R63" s="5"/>
      <c r="S63" s="5"/>
    </row>
    <row r="64" spans="2:27">
      <c r="B64" s="5"/>
      <c r="C64" s="5"/>
      <c r="D64" s="5"/>
      <c r="E64" s="5"/>
      <c r="F64" s="5"/>
      <c r="G64" s="5"/>
      <c r="H64" s="5"/>
      <c r="I64" s="17"/>
      <c r="J64" s="5"/>
      <c r="K64" s="5"/>
      <c r="L64" s="5"/>
      <c r="M64" s="5"/>
      <c r="N64" s="5"/>
      <c r="O64" s="5"/>
      <c r="Q64" s="5"/>
      <c r="R64" s="5"/>
      <c r="S64" s="5"/>
    </row>
    <row r="65" spans="2:26">
      <c r="B65" s="41"/>
      <c r="C65" s="249"/>
      <c r="D65" s="254"/>
      <c r="E65" s="254"/>
      <c r="F65" s="254"/>
      <c r="G65" s="254"/>
      <c r="H65" s="254"/>
      <c r="I65" s="254"/>
      <c r="J65" s="254"/>
      <c r="K65" s="254"/>
      <c r="L65" s="254"/>
      <c r="M65" s="254"/>
      <c r="N65" s="254"/>
      <c r="O65" s="251"/>
      <c r="Q65" s="5"/>
      <c r="R65" s="5"/>
      <c r="S65" s="5"/>
    </row>
    <row r="66" spans="2:26">
      <c r="B66" s="5"/>
      <c r="C66" s="5"/>
      <c r="D66" s="17"/>
      <c r="E66" s="17"/>
      <c r="F66" s="17"/>
      <c r="G66" s="17"/>
      <c r="H66" s="17"/>
      <c r="I66" s="248"/>
      <c r="J66" s="17"/>
      <c r="K66" s="17"/>
      <c r="L66" s="17"/>
      <c r="M66" s="17"/>
      <c r="N66" s="17"/>
      <c r="O66" s="5"/>
      <c r="Q66" s="5"/>
      <c r="R66" s="5"/>
      <c r="S66" s="5"/>
    </row>
    <row r="67" spans="2:26">
      <c r="B67" s="41"/>
      <c r="C67" s="249"/>
      <c r="D67" s="254"/>
      <c r="E67" s="254"/>
      <c r="F67" s="254"/>
      <c r="G67" s="254"/>
      <c r="H67" s="254"/>
      <c r="I67" s="5"/>
      <c r="J67" s="254"/>
      <c r="K67" s="254"/>
      <c r="L67" s="254"/>
      <c r="M67" s="254"/>
      <c r="N67" s="254"/>
      <c r="O67" s="251"/>
      <c r="Q67" s="41"/>
      <c r="R67" s="5"/>
      <c r="S67" s="5"/>
    </row>
    <row r="68" spans="2:26">
      <c r="B68" s="5"/>
      <c r="C68" s="5"/>
      <c r="D68" s="248"/>
      <c r="E68" s="248"/>
      <c r="F68" s="248"/>
      <c r="G68" s="248"/>
      <c r="H68" s="248"/>
      <c r="I68" s="245"/>
      <c r="J68" s="248"/>
      <c r="K68" s="248"/>
      <c r="L68" s="248"/>
      <c r="M68" s="248"/>
      <c r="N68" s="248"/>
      <c r="O68" s="5"/>
      <c r="Q68" s="5"/>
      <c r="R68" s="5"/>
      <c r="S68" s="5"/>
    </row>
    <row r="69" spans="2:26">
      <c r="B69" s="41"/>
      <c r="C69" s="5"/>
      <c r="D69" s="5"/>
      <c r="E69" s="5"/>
      <c r="F69" s="5"/>
      <c r="G69" s="5"/>
      <c r="H69" s="5"/>
      <c r="I69" s="248"/>
      <c r="J69" s="5"/>
      <c r="K69" s="5"/>
      <c r="L69" s="5"/>
      <c r="M69" s="5"/>
      <c r="N69" s="5"/>
      <c r="O69" s="5"/>
      <c r="Q69" s="5"/>
      <c r="R69" s="5"/>
      <c r="S69" s="5"/>
    </row>
    <row r="70" spans="2:26">
      <c r="B70" s="41"/>
      <c r="C70" s="245"/>
      <c r="D70" s="245"/>
      <c r="E70" s="245"/>
      <c r="F70" s="245"/>
      <c r="G70" s="245"/>
      <c r="H70" s="245"/>
      <c r="I70" s="5"/>
      <c r="J70" s="245"/>
      <c r="K70" s="245"/>
      <c r="L70" s="245"/>
      <c r="M70" s="245"/>
      <c r="N70" s="245"/>
      <c r="O70" s="251"/>
      <c r="Q70" s="5"/>
      <c r="R70" s="5"/>
      <c r="S70" s="5"/>
      <c r="W70" s="76"/>
      <c r="X70" s="76"/>
    </row>
    <row r="71" spans="2:26">
      <c r="B71" s="5"/>
      <c r="C71" s="5"/>
      <c r="D71" s="248"/>
      <c r="E71" s="248"/>
      <c r="F71" s="248"/>
      <c r="G71" s="248"/>
      <c r="H71" s="248"/>
      <c r="I71" s="245"/>
      <c r="J71" s="248"/>
      <c r="K71" s="248"/>
      <c r="L71" s="248"/>
      <c r="M71" s="248"/>
      <c r="N71" s="248"/>
      <c r="O71" s="5"/>
      <c r="Q71" s="5"/>
      <c r="R71" s="5"/>
      <c r="S71" s="5"/>
      <c r="W71" s="76"/>
      <c r="X71" s="76"/>
      <c r="Y71" s="76"/>
      <c r="Z71" s="76"/>
    </row>
    <row r="72" spans="2:26">
      <c r="B72" s="41"/>
      <c r="C72" s="5"/>
      <c r="D72" s="5"/>
      <c r="E72" s="5"/>
      <c r="F72" s="5"/>
      <c r="G72" s="5"/>
      <c r="H72" s="5"/>
      <c r="I72" s="18"/>
      <c r="J72" s="5"/>
      <c r="K72" s="5"/>
      <c r="L72" s="5"/>
      <c r="M72" s="5"/>
      <c r="N72" s="5"/>
      <c r="O72" s="5"/>
      <c r="Q72" s="5"/>
      <c r="R72" s="5"/>
      <c r="S72" s="5"/>
      <c r="Y72" s="76"/>
      <c r="Z72" s="76"/>
    </row>
    <row r="73" spans="2:26">
      <c r="B73" s="41"/>
      <c r="C73" s="245"/>
      <c r="D73" s="245"/>
      <c r="E73" s="245"/>
      <c r="F73" s="245"/>
      <c r="G73" s="245"/>
      <c r="H73" s="245"/>
      <c r="I73" s="5"/>
      <c r="J73" s="245"/>
      <c r="K73" s="245"/>
      <c r="L73" s="245"/>
      <c r="M73" s="245"/>
      <c r="N73" s="245"/>
      <c r="O73" s="251"/>
      <c r="Q73" s="5"/>
      <c r="R73" s="5"/>
      <c r="S73" s="5"/>
    </row>
    <row r="74" spans="2:26">
      <c r="B74" s="5"/>
      <c r="C74" s="5"/>
      <c r="D74" s="18"/>
      <c r="E74" s="18"/>
      <c r="F74" s="18"/>
      <c r="G74" s="18"/>
      <c r="H74" s="18"/>
      <c r="I74" s="249"/>
      <c r="J74" s="18"/>
      <c r="K74" s="18"/>
      <c r="L74" s="18"/>
      <c r="M74" s="18"/>
      <c r="N74" s="18"/>
      <c r="O74" s="5"/>
      <c r="Q74" s="5"/>
      <c r="R74" s="5"/>
      <c r="S74" s="5"/>
    </row>
    <row r="75" spans="2:26">
      <c r="B75" s="41"/>
      <c r="C75" s="5"/>
      <c r="D75" s="5"/>
      <c r="E75" s="5"/>
      <c r="F75" s="5"/>
      <c r="G75" s="5"/>
      <c r="H75" s="5"/>
      <c r="I75" s="248"/>
      <c r="J75" s="5"/>
      <c r="K75" s="5"/>
      <c r="L75" s="5"/>
      <c r="M75" s="5"/>
      <c r="N75" s="5"/>
      <c r="O75" s="5"/>
      <c r="Q75" s="5"/>
      <c r="R75" s="5"/>
      <c r="S75" s="5"/>
    </row>
    <row r="76" spans="2:26">
      <c r="B76" s="41"/>
      <c r="C76" s="249"/>
      <c r="D76" s="249"/>
      <c r="E76" s="249"/>
      <c r="F76" s="249"/>
      <c r="G76" s="249"/>
      <c r="H76" s="249"/>
      <c r="I76" s="5"/>
      <c r="J76" s="249"/>
      <c r="K76" s="249"/>
      <c r="L76" s="249"/>
      <c r="M76" s="249"/>
      <c r="N76" s="249"/>
      <c r="O76" s="251"/>
      <c r="Q76" s="5"/>
      <c r="R76" s="5"/>
      <c r="S76" s="5"/>
    </row>
    <row r="77" spans="2:26">
      <c r="B77" s="5"/>
      <c r="C77" s="5"/>
      <c r="D77" s="248"/>
      <c r="E77" s="248"/>
      <c r="F77" s="248"/>
      <c r="G77" s="248"/>
      <c r="H77" s="248"/>
      <c r="I77" s="245"/>
      <c r="J77" s="248"/>
      <c r="K77" s="248"/>
      <c r="L77" s="248"/>
      <c r="M77" s="248"/>
      <c r="N77" s="248"/>
      <c r="O77" s="5"/>
      <c r="Q77" s="5"/>
      <c r="R77" s="5"/>
      <c r="S77" s="5"/>
    </row>
    <row r="78" spans="2:26">
      <c r="B78" s="41"/>
      <c r="C78" s="5"/>
      <c r="D78" s="5"/>
      <c r="E78" s="5"/>
      <c r="F78" s="5"/>
      <c r="G78" s="5"/>
      <c r="H78" s="5"/>
      <c r="I78" s="248"/>
      <c r="J78" s="5"/>
      <c r="K78" s="5"/>
      <c r="L78" s="5"/>
      <c r="M78" s="5"/>
      <c r="N78" s="5"/>
      <c r="O78" s="5"/>
      <c r="Q78" s="5"/>
      <c r="R78" s="5"/>
      <c r="S78" s="5"/>
    </row>
    <row r="79" spans="2:26">
      <c r="B79" s="41"/>
      <c r="C79" s="245"/>
      <c r="D79" s="245"/>
      <c r="E79" s="245"/>
      <c r="F79" s="245"/>
      <c r="G79" s="245"/>
      <c r="H79" s="245"/>
      <c r="I79" s="5"/>
      <c r="J79" s="245"/>
      <c r="K79" s="245"/>
      <c r="L79" s="245"/>
      <c r="M79" s="245"/>
      <c r="N79" s="245"/>
      <c r="O79" s="251"/>
      <c r="Q79" s="5"/>
      <c r="R79" s="5"/>
      <c r="S79" s="5"/>
    </row>
    <row r="80" spans="2:26">
      <c r="B80" s="5"/>
      <c r="C80" s="5"/>
      <c r="D80" s="248"/>
      <c r="E80" s="248"/>
      <c r="F80" s="248"/>
      <c r="G80" s="248"/>
      <c r="H80" s="248"/>
      <c r="I80" s="249"/>
      <c r="J80" s="248"/>
      <c r="K80" s="248"/>
      <c r="L80" s="248"/>
      <c r="M80" s="248"/>
      <c r="N80" s="248"/>
      <c r="O80" s="5"/>
      <c r="Q80" s="5"/>
      <c r="R80" s="5"/>
      <c r="S80" s="5"/>
    </row>
    <row r="81" spans="2:26">
      <c r="B81" s="41"/>
      <c r="C81" s="5"/>
      <c r="D81" s="5"/>
      <c r="E81" s="5"/>
      <c r="F81" s="5"/>
      <c r="G81" s="5"/>
      <c r="H81" s="5"/>
      <c r="I81" s="248"/>
      <c r="J81" s="5"/>
      <c r="K81" s="5"/>
      <c r="L81" s="5"/>
      <c r="M81" s="5"/>
      <c r="N81" s="5"/>
      <c r="O81" s="5"/>
      <c r="Q81" s="5"/>
      <c r="R81" s="5"/>
      <c r="S81" s="5"/>
    </row>
    <row r="82" spans="2:26">
      <c r="B82" s="41"/>
      <c r="C82" s="249"/>
      <c r="D82" s="249"/>
      <c r="E82" s="249"/>
      <c r="F82" s="249"/>
      <c r="G82" s="249"/>
      <c r="H82" s="249"/>
      <c r="I82" s="259"/>
      <c r="J82" s="249"/>
      <c r="K82" s="249"/>
      <c r="L82" s="249"/>
      <c r="M82" s="249"/>
      <c r="N82" s="249"/>
      <c r="O82" s="251"/>
      <c r="Q82" s="5"/>
      <c r="R82" s="5"/>
      <c r="S82" s="5"/>
    </row>
    <row r="83" spans="2:26">
      <c r="B83" s="5"/>
      <c r="C83" s="5"/>
      <c r="D83" s="248"/>
      <c r="E83" s="248"/>
      <c r="F83" s="248"/>
      <c r="G83" s="248"/>
      <c r="H83" s="248"/>
      <c r="I83" s="5"/>
      <c r="J83" s="248"/>
      <c r="K83" s="248"/>
      <c r="L83" s="248"/>
      <c r="M83" s="248"/>
      <c r="N83" s="248"/>
      <c r="O83" s="5"/>
      <c r="Q83" s="5"/>
      <c r="R83" s="5"/>
      <c r="S83" s="5"/>
    </row>
    <row r="84" spans="2:26">
      <c r="B84" s="5"/>
      <c r="C84" s="259"/>
      <c r="D84" s="259"/>
      <c r="E84" s="259"/>
      <c r="F84" s="259"/>
      <c r="G84" s="259"/>
      <c r="H84" s="259"/>
      <c r="I84" s="245"/>
      <c r="J84" s="259"/>
      <c r="K84" s="259"/>
      <c r="L84" s="259"/>
      <c r="M84" s="259"/>
      <c r="N84" s="259"/>
      <c r="O84" s="251"/>
      <c r="Q84" s="5"/>
      <c r="R84" s="5"/>
      <c r="S84" s="5"/>
    </row>
    <row r="85" spans="2:26">
      <c r="B85" s="41"/>
      <c r="C85" s="5"/>
      <c r="D85" s="5"/>
      <c r="E85" s="5"/>
      <c r="F85" s="5"/>
      <c r="G85" s="5"/>
      <c r="H85" s="5"/>
      <c r="I85" s="248"/>
      <c r="J85" s="5"/>
      <c r="K85" s="5"/>
      <c r="L85" s="5"/>
      <c r="M85" s="5"/>
      <c r="N85" s="5"/>
      <c r="O85" s="5"/>
      <c r="Q85" s="5"/>
      <c r="R85" s="5"/>
      <c r="S85" s="5"/>
    </row>
    <row r="86" spans="2:26">
      <c r="B86" s="41"/>
      <c r="C86" s="245"/>
      <c r="D86" s="245"/>
      <c r="E86" s="245"/>
      <c r="F86" s="245"/>
      <c r="G86" s="245"/>
      <c r="H86" s="245"/>
      <c r="I86" s="5"/>
      <c r="J86" s="245"/>
      <c r="K86" s="245"/>
      <c r="L86" s="245"/>
      <c r="M86" s="245"/>
      <c r="N86" s="245"/>
      <c r="O86" s="251"/>
      <c r="Q86" s="5"/>
      <c r="R86" s="5"/>
      <c r="S86" s="5"/>
    </row>
    <row r="87" spans="2:26">
      <c r="B87" s="5"/>
      <c r="C87" s="5"/>
      <c r="D87" s="248"/>
      <c r="E87" s="248"/>
      <c r="F87" s="248"/>
      <c r="G87" s="248"/>
      <c r="H87" s="248"/>
      <c r="I87" s="5"/>
      <c r="J87" s="248"/>
      <c r="K87" s="248"/>
      <c r="L87" s="248"/>
      <c r="M87" s="248"/>
      <c r="N87" s="248"/>
      <c r="O87" s="5"/>
      <c r="Q87" s="5"/>
      <c r="R87" s="5"/>
      <c r="S87" s="5"/>
    </row>
    <row r="88" spans="2:26">
      <c r="B88" s="41"/>
      <c r="C88" s="5"/>
      <c r="D88" s="5"/>
      <c r="E88" s="5"/>
      <c r="F88" s="5"/>
      <c r="G88" s="5"/>
      <c r="H88" s="5"/>
      <c r="I88" s="5"/>
      <c r="J88" s="5"/>
      <c r="K88" s="5"/>
      <c r="L88" s="5"/>
      <c r="M88" s="5"/>
      <c r="N88" s="5"/>
      <c r="O88" s="5"/>
      <c r="Q88" s="5"/>
      <c r="R88" s="5"/>
      <c r="S88" s="5"/>
    </row>
    <row r="89" spans="2:26">
      <c r="B89" s="41"/>
      <c r="C89" s="5"/>
      <c r="D89" s="5"/>
      <c r="E89" s="5"/>
      <c r="F89" s="5"/>
      <c r="G89" s="5"/>
      <c r="H89" s="5"/>
      <c r="I89" s="5"/>
      <c r="J89" s="5"/>
      <c r="K89" s="5"/>
      <c r="L89" s="5"/>
      <c r="M89" s="5"/>
      <c r="N89" s="5"/>
      <c r="O89" s="5"/>
      <c r="Q89" s="5"/>
      <c r="R89" s="5"/>
      <c r="S89" s="5"/>
    </row>
    <row r="90" spans="2:26">
      <c r="B90" s="41"/>
      <c r="C90" s="5"/>
      <c r="D90" s="5"/>
      <c r="E90" s="5"/>
      <c r="F90" s="5"/>
      <c r="G90" s="5"/>
      <c r="H90" s="5"/>
      <c r="I90" s="49"/>
      <c r="J90" s="5"/>
      <c r="K90" s="5"/>
      <c r="L90" s="5"/>
      <c r="M90" s="5"/>
      <c r="N90" s="5"/>
      <c r="O90" s="5"/>
      <c r="Q90" s="41"/>
      <c r="R90" s="5"/>
      <c r="S90" s="5"/>
    </row>
    <row r="91" spans="2:26">
      <c r="B91" s="5"/>
      <c r="C91" s="5"/>
      <c r="D91" s="5"/>
      <c r="E91" s="5"/>
      <c r="F91" s="5"/>
      <c r="G91" s="5"/>
      <c r="H91" s="5"/>
      <c r="I91" s="5"/>
      <c r="J91" s="5"/>
      <c r="K91" s="5"/>
      <c r="L91" s="5"/>
      <c r="M91" s="5"/>
      <c r="N91" s="5"/>
      <c r="O91" s="5"/>
      <c r="Q91" s="5"/>
      <c r="R91" s="5"/>
      <c r="S91" s="5"/>
    </row>
    <row r="92" spans="2:26">
      <c r="B92" s="41"/>
      <c r="C92" s="49"/>
      <c r="D92" s="49"/>
      <c r="E92" s="49"/>
      <c r="F92" s="49"/>
      <c r="G92" s="49"/>
      <c r="H92" s="49"/>
      <c r="I92" s="247"/>
      <c r="J92" s="49"/>
      <c r="K92" s="49"/>
      <c r="L92" s="49"/>
      <c r="M92" s="49"/>
      <c r="N92" s="49"/>
      <c r="O92" s="49"/>
      <c r="Q92" s="5"/>
      <c r="R92" s="5"/>
      <c r="S92" s="5"/>
      <c r="W92" s="21"/>
      <c r="X92" s="21"/>
    </row>
    <row r="93" spans="2:26">
      <c r="B93" s="5"/>
      <c r="C93" s="5"/>
      <c r="D93" s="5"/>
      <c r="E93" s="5"/>
      <c r="F93" s="5"/>
      <c r="G93" s="5"/>
      <c r="H93" s="5"/>
      <c r="I93" s="247"/>
      <c r="J93" s="5"/>
      <c r="K93" s="5"/>
      <c r="L93" s="5"/>
      <c r="M93" s="5"/>
      <c r="N93" s="5"/>
      <c r="O93" s="5"/>
      <c r="Q93" s="5"/>
      <c r="R93" s="5"/>
      <c r="S93" s="5"/>
      <c r="W93" s="21"/>
      <c r="X93" s="21"/>
      <c r="Y93" s="21"/>
      <c r="Z93" s="21"/>
    </row>
    <row r="94" spans="2:26">
      <c r="B94" s="5"/>
      <c r="C94" s="259"/>
      <c r="D94" s="247"/>
      <c r="E94" s="247"/>
      <c r="F94" s="247"/>
      <c r="G94" s="247"/>
      <c r="H94" s="247"/>
      <c r="I94" s="247"/>
      <c r="J94" s="247"/>
      <c r="K94" s="247"/>
      <c r="L94" s="247"/>
      <c r="M94" s="247"/>
      <c r="N94" s="247"/>
      <c r="O94" s="248"/>
      <c r="Q94" s="5"/>
      <c r="R94" s="5"/>
      <c r="S94" s="5"/>
      <c r="Y94" s="21"/>
      <c r="Z94" s="21"/>
    </row>
    <row r="95" spans="2:26">
      <c r="B95" s="5"/>
      <c r="C95" s="259"/>
      <c r="D95" s="247"/>
      <c r="E95" s="247"/>
      <c r="F95" s="247"/>
      <c r="G95" s="247"/>
      <c r="H95" s="247"/>
      <c r="I95" s="248"/>
      <c r="J95" s="247"/>
      <c r="K95" s="247"/>
      <c r="L95" s="247"/>
      <c r="M95" s="247"/>
      <c r="N95" s="247"/>
      <c r="O95" s="248"/>
      <c r="Q95" s="5"/>
      <c r="R95" s="5"/>
      <c r="S95" s="5"/>
    </row>
    <row r="96" spans="2:26">
      <c r="B96" s="5"/>
      <c r="C96" s="259"/>
      <c r="D96" s="247"/>
      <c r="E96" s="247"/>
      <c r="F96" s="247"/>
      <c r="G96" s="247"/>
      <c r="H96" s="247"/>
      <c r="I96" s="247"/>
      <c r="J96" s="247"/>
      <c r="K96" s="247"/>
      <c r="L96" s="247"/>
      <c r="M96" s="247"/>
      <c r="N96" s="247"/>
      <c r="O96" s="248"/>
      <c r="Q96" s="5"/>
      <c r="R96" s="5"/>
      <c r="S96" s="5"/>
    </row>
    <row r="97" spans="2:19">
      <c r="B97" s="5"/>
      <c r="C97" s="259"/>
      <c r="D97" s="248"/>
      <c r="E97" s="248"/>
      <c r="F97" s="248"/>
      <c r="G97" s="248"/>
      <c r="H97" s="248"/>
      <c r="I97" s="249"/>
      <c r="J97" s="248"/>
      <c r="K97" s="248"/>
      <c r="L97" s="248"/>
      <c r="M97" s="248"/>
      <c r="N97" s="248"/>
      <c r="O97" s="248"/>
      <c r="Q97" s="5"/>
      <c r="R97" s="5"/>
      <c r="S97" s="5"/>
    </row>
    <row r="98" spans="2:19">
      <c r="B98" s="5"/>
      <c r="C98" s="259"/>
      <c r="D98" s="247"/>
      <c r="E98" s="247"/>
      <c r="F98" s="247"/>
      <c r="G98" s="247"/>
      <c r="H98" s="247"/>
      <c r="I98" s="248"/>
      <c r="J98" s="247"/>
      <c r="K98" s="247"/>
      <c r="L98" s="247"/>
      <c r="M98" s="247"/>
      <c r="N98" s="247"/>
      <c r="O98" s="248"/>
      <c r="Q98" s="5"/>
      <c r="R98" s="5"/>
      <c r="S98" s="5"/>
    </row>
    <row r="99" spans="2:19">
      <c r="B99" s="41"/>
      <c r="C99" s="249"/>
      <c r="D99" s="249"/>
      <c r="E99" s="249"/>
      <c r="F99" s="249"/>
      <c r="G99" s="249"/>
      <c r="H99" s="249"/>
      <c r="I99" s="5"/>
      <c r="J99" s="249"/>
      <c r="K99" s="249"/>
      <c r="L99" s="249"/>
      <c r="M99" s="249"/>
      <c r="N99" s="249"/>
      <c r="O99" s="248"/>
      <c r="Q99" s="5"/>
      <c r="R99" s="5"/>
      <c r="S99" s="5"/>
    </row>
    <row r="100" spans="2:19">
      <c r="B100" s="41"/>
      <c r="C100" s="257"/>
      <c r="D100" s="248"/>
      <c r="E100" s="248"/>
      <c r="F100" s="248"/>
      <c r="G100" s="248"/>
      <c r="H100" s="248"/>
      <c r="I100" s="259"/>
      <c r="J100" s="248"/>
      <c r="K100" s="248"/>
      <c r="L100" s="248"/>
      <c r="M100" s="248"/>
      <c r="N100" s="248"/>
      <c r="O100" s="248"/>
      <c r="Q100" s="5"/>
      <c r="R100" s="5"/>
      <c r="S100" s="5"/>
    </row>
    <row r="101" spans="2:19" s="5" customFormat="1">
      <c r="B101" s="41"/>
      <c r="I101" s="259"/>
      <c r="O101" s="248"/>
      <c r="P101" s="39"/>
    </row>
    <row r="102" spans="2:19">
      <c r="B102" s="5"/>
      <c r="C102" s="259"/>
      <c r="D102" s="259"/>
      <c r="E102" s="259"/>
      <c r="F102" s="259"/>
      <c r="G102" s="259"/>
      <c r="H102" s="259"/>
      <c r="I102" s="247"/>
      <c r="J102" s="259"/>
      <c r="K102" s="259"/>
      <c r="L102" s="259"/>
      <c r="M102" s="259"/>
      <c r="N102" s="259"/>
      <c r="O102" s="5"/>
      <c r="Q102" s="5"/>
      <c r="R102" s="5"/>
      <c r="S102" s="5"/>
    </row>
    <row r="103" spans="2:19">
      <c r="B103" s="5"/>
      <c r="C103" s="259"/>
      <c r="D103" s="259"/>
      <c r="E103" s="259"/>
      <c r="F103" s="259"/>
      <c r="G103" s="259"/>
      <c r="H103" s="259"/>
      <c r="I103" s="5"/>
      <c r="J103" s="259"/>
      <c r="K103" s="259"/>
      <c r="L103" s="259"/>
      <c r="M103" s="259"/>
      <c r="N103" s="259"/>
      <c r="O103" s="5"/>
      <c r="P103" s="5"/>
      <c r="Q103" s="5"/>
      <c r="R103" s="5"/>
      <c r="S103" s="5"/>
    </row>
    <row r="104" spans="2:19">
      <c r="B104" s="5"/>
      <c r="C104" s="247"/>
      <c r="D104" s="247"/>
      <c r="E104" s="247"/>
      <c r="F104" s="247"/>
      <c r="G104" s="247"/>
      <c r="H104" s="247"/>
      <c r="I104" s="247"/>
      <c r="J104" s="247"/>
      <c r="K104" s="247"/>
      <c r="L104" s="247"/>
      <c r="M104" s="247"/>
      <c r="N104" s="247"/>
      <c r="O104" s="5"/>
      <c r="Q104" s="5"/>
      <c r="R104" s="5"/>
      <c r="S104" s="5"/>
    </row>
    <row r="105" spans="2:19" s="5" customFormat="1">
      <c r="P105" s="39"/>
    </row>
    <row r="106" spans="2:19" s="5" customFormat="1">
      <c r="C106" s="259"/>
      <c r="D106" s="247"/>
      <c r="E106" s="247"/>
      <c r="F106" s="247"/>
      <c r="G106" s="247"/>
      <c r="H106" s="247"/>
      <c r="I106" s="259"/>
      <c r="J106" s="247"/>
      <c r="K106" s="247"/>
      <c r="L106" s="247"/>
      <c r="M106" s="247"/>
      <c r="N106" s="247"/>
      <c r="P106" s="39"/>
    </row>
    <row r="107" spans="2:19">
      <c r="B107" s="5"/>
      <c r="C107" s="259"/>
      <c r="D107" s="5"/>
      <c r="E107" s="5"/>
      <c r="F107" s="5"/>
      <c r="G107" s="5"/>
      <c r="H107" s="5"/>
      <c r="I107" s="247"/>
      <c r="J107" s="5"/>
      <c r="K107" s="5"/>
      <c r="L107" s="5"/>
      <c r="M107" s="5"/>
      <c r="N107" s="5"/>
      <c r="O107" s="5"/>
      <c r="P107" s="5"/>
      <c r="Q107" s="5"/>
      <c r="R107" s="5"/>
      <c r="S107" s="5"/>
    </row>
    <row r="108" spans="2:19">
      <c r="B108" s="5"/>
      <c r="C108" s="259"/>
      <c r="D108" s="259"/>
      <c r="E108" s="259"/>
      <c r="F108" s="259"/>
      <c r="G108" s="259"/>
      <c r="H108" s="259"/>
      <c r="I108" s="249"/>
      <c r="J108" s="259"/>
      <c r="K108" s="259"/>
      <c r="L108" s="259"/>
      <c r="M108" s="259"/>
      <c r="N108" s="259"/>
      <c r="O108" s="5"/>
      <c r="P108" s="5"/>
      <c r="Q108" s="5"/>
      <c r="R108" s="5"/>
      <c r="S108" s="5"/>
    </row>
    <row r="109" spans="2:19">
      <c r="B109" s="5"/>
      <c r="C109" s="247"/>
      <c r="D109" s="247"/>
      <c r="E109" s="247"/>
      <c r="F109" s="247"/>
      <c r="G109" s="247"/>
      <c r="H109" s="247"/>
      <c r="I109" s="249"/>
      <c r="J109" s="247"/>
      <c r="K109" s="247"/>
      <c r="L109" s="247"/>
      <c r="M109" s="247"/>
      <c r="N109" s="247"/>
      <c r="O109" s="5"/>
      <c r="Q109" s="5"/>
      <c r="R109" s="5"/>
      <c r="S109" s="5"/>
    </row>
    <row r="110" spans="2:19">
      <c r="B110" s="41"/>
      <c r="C110" s="249"/>
      <c r="D110" s="249"/>
      <c r="E110" s="249"/>
      <c r="F110" s="249"/>
      <c r="G110" s="249"/>
      <c r="H110" s="249"/>
      <c r="I110" s="247"/>
      <c r="J110" s="249"/>
      <c r="K110" s="249"/>
      <c r="L110" s="249"/>
      <c r="M110" s="249"/>
      <c r="N110" s="249"/>
      <c r="O110" s="5"/>
      <c r="Q110" s="5"/>
      <c r="R110" s="5"/>
      <c r="S110" s="5"/>
    </row>
    <row r="111" spans="2:19">
      <c r="B111" s="5"/>
      <c r="C111" s="249"/>
      <c r="D111" s="249"/>
      <c r="E111" s="249"/>
      <c r="F111" s="249"/>
      <c r="G111" s="249"/>
      <c r="H111" s="249"/>
      <c r="I111" s="5"/>
      <c r="J111" s="249"/>
      <c r="K111" s="249"/>
      <c r="L111" s="249"/>
      <c r="M111" s="249"/>
      <c r="N111" s="249"/>
      <c r="O111" s="5"/>
      <c r="Q111" s="5"/>
      <c r="R111" s="5"/>
      <c r="S111" s="5"/>
    </row>
    <row r="112" spans="2:19">
      <c r="B112" s="5"/>
      <c r="C112" s="247"/>
      <c r="D112" s="247"/>
      <c r="E112" s="247"/>
      <c r="F112" s="247"/>
      <c r="G112" s="247"/>
      <c r="H112" s="247"/>
      <c r="I112" s="5"/>
      <c r="J112" s="247"/>
      <c r="K112" s="247"/>
      <c r="L112" s="247"/>
      <c r="M112" s="247"/>
      <c r="N112" s="247"/>
      <c r="O112" s="5"/>
      <c r="Q112" s="5"/>
      <c r="R112" s="5"/>
      <c r="S112" s="5"/>
    </row>
    <row r="113" spans="2:19">
      <c r="B113" s="5"/>
      <c r="C113" s="5"/>
      <c r="D113" s="5"/>
      <c r="E113" s="5"/>
      <c r="F113" s="5"/>
      <c r="G113" s="5"/>
      <c r="H113" s="5"/>
      <c r="I113" s="5"/>
      <c r="J113" s="5"/>
      <c r="K113" s="5"/>
      <c r="L113" s="5"/>
      <c r="M113" s="5"/>
      <c r="N113" s="5"/>
      <c r="O113" s="5"/>
      <c r="Q113" s="5"/>
      <c r="R113" s="5"/>
      <c r="S113" s="5"/>
    </row>
    <row r="114" spans="2:19">
      <c r="B114" s="5"/>
      <c r="C114" s="5"/>
      <c r="D114" s="5"/>
      <c r="E114" s="5"/>
      <c r="F114" s="5"/>
      <c r="G114" s="5"/>
      <c r="H114" s="5"/>
      <c r="I114" s="5"/>
      <c r="J114" s="5"/>
      <c r="K114" s="5"/>
      <c r="L114" s="5"/>
      <c r="M114" s="5"/>
      <c r="N114" s="5"/>
      <c r="O114" s="5"/>
      <c r="Q114" s="5"/>
      <c r="R114" s="5"/>
      <c r="S114" s="5"/>
    </row>
    <row r="115" spans="2:19">
      <c r="B115" s="5"/>
      <c r="C115" s="5"/>
      <c r="D115" s="5"/>
      <c r="E115" s="5"/>
      <c r="F115" s="5"/>
      <c r="G115" s="5"/>
      <c r="H115" s="5"/>
      <c r="I115" s="49"/>
      <c r="J115" s="5"/>
      <c r="K115" s="5"/>
      <c r="L115" s="5"/>
      <c r="M115" s="5"/>
      <c r="N115" s="5"/>
      <c r="O115" s="5"/>
      <c r="Q115" s="41"/>
      <c r="R115" s="5"/>
      <c r="S115" s="5"/>
    </row>
    <row r="116" spans="2:19">
      <c r="B116" s="5"/>
      <c r="C116" s="5"/>
      <c r="D116" s="5"/>
      <c r="E116" s="5"/>
      <c r="F116" s="5"/>
      <c r="G116" s="5"/>
      <c r="H116" s="5"/>
      <c r="I116" s="5"/>
      <c r="J116" s="5"/>
      <c r="K116" s="5"/>
      <c r="L116" s="5"/>
      <c r="M116" s="5"/>
      <c r="N116" s="5"/>
      <c r="O116" s="5"/>
      <c r="Q116" s="5"/>
      <c r="R116" s="5"/>
      <c r="S116" s="5"/>
    </row>
    <row r="117" spans="2:19">
      <c r="B117" s="41"/>
      <c r="C117" s="49"/>
      <c r="D117" s="49"/>
      <c r="E117" s="49"/>
      <c r="F117" s="49"/>
      <c r="G117" s="49"/>
      <c r="H117" s="49"/>
      <c r="I117" s="254"/>
      <c r="J117" s="49"/>
      <c r="K117" s="49"/>
      <c r="L117" s="49"/>
      <c r="M117" s="49"/>
      <c r="N117" s="49"/>
      <c r="O117" s="49"/>
      <c r="Q117" s="5"/>
      <c r="R117" s="5"/>
      <c r="S117" s="5"/>
    </row>
    <row r="118" spans="2:19">
      <c r="B118" s="5"/>
      <c r="C118" s="5"/>
      <c r="D118" s="5"/>
      <c r="E118" s="5"/>
      <c r="F118" s="5"/>
      <c r="G118" s="5"/>
      <c r="H118" s="5"/>
      <c r="I118" s="249"/>
      <c r="J118" s="5"/>
      <c r="K118" s="5"/>
      <c r="L118" s="5"/>
      <c r="M118" s="5"/>
      <c r="N118" s="5"/>
      <c r="O118" s="5"/>
      <c r="Q118" s="5"/>
      <c r="R118" s="5"/>
      <c r="S118" s="5"/>
    </row>
    <row r="119" spans="2:19">
      <c r="B119" s="41"/>
      <c r="C119" s="254"/>
      <c r="D119" s="254"/>
      <c r="E119" s="254"/>
      <c r="F119" s="254"/>
      <c r="G119" s="254"/>
      <c r="H119" s="254"/>
      <c r="I119" s="254"/>
      <c r="J119" s="254"/>
      <c r="K119" s="254"/>
      <c r="L119" s="254"/>
      <c r="M119" s="254"/>
      <c r="N119" s="254"/>
      <c r="O119" s="248"/>
      <c r="Q119" s="5"/>
      <c r="R119" s="5"/>
      <c r="S119" s="5"/>
    </row>
    <row r="120" spans="2:19">
      <c r="B120" s="41"/>
      <c r="C120" s="254"/>
      <c r="D120" s="249"/>
      <c r="E120" s="249"/>
      <c r="F120" s="249"/>
      <c r="G120" s="249"/>
      <c r="H120" s="249"/>
      <c r="I120" s="254"/>
      <c r="J120" s="249"/>
      <c r="K120" s="249"/>
      <c r="L120" s="249"/>
      <c r="M120" s="249"/>
      <c r="N120" s="249"/>
      <c r="O120" s="248"/>
      <c r="Q120" s="5"/>
      <c r="R120" s="5"/>
      <c r="S120" s="5"/>
    </row>
    <row r="121" spans="2:19">
      <c r="B121" s="41"/>
      <c r="C121" s="254"/>
      <c r="D121" s="254"/>
      <c r="E121" s="254"/>
      <c r="F121" s="254"/>
      <c r="G121" s="254"/>
      <c r="H121" s="254"/>
      <c r="I121" s="254"/>
      <c r="J121" s="254"/>
      <c r="K121" s="254"/>
      <c r="L121" s="254"/>
      <c r="M121" s="254"/>
      <c r="N121" s="254"/>
      <c r="O121" s="248"/>
      <c r="Q121" s="5"/>
      <c r="R121" s="5"/>
      <c r="S121" s="5"/>
    </row>
    <row r="122" spans="2:19">
      <c r="B122" s="41"/>
      <c r="C122" s="254"/>
      <c r="D122" s="254"/>
      <c r="E122" s="254"/>
      <c r="F122" s="254"/>
      <c r="G122" s="254"/>
      <c r="H122" s="254"/>
      <c r="I122" s="254"/>
      <c r="J122" s="254"/>
      <c r="K122" s="254"/>
      <c r="L122" s="254"/>
      <c r="M122" s="254"/>
      <c r="N122" s="254"/>
      <c r="O122" s="248"/>
      <c r="Q122" s="5"/>
      <c r="R122" s="5"/>
      <c r="S122" s="5"/>
    </row>
    <row r="123" spans="2:19">
      <c r="B123" s="41"/>
      <c r="C123" s="254"/>
      <c r="D123" s="254"/>
      <c r="E123" s="254"/>
      <c r="F123" s="254"/>
      <c r="G123" s="254"/>
      <c r="H123" s="254"/>
      <c r="I123" s="254"/>
      <c r="J123" s="254"/>
      <c r="K123" s="254"/>
      <c r="L123" s="254"/>
      <c r="M123" s="254"/>
      <c r="N123" s="254"/>
      <c r="O123" s="248"/>
      <c r="Q123" s="5"/>
      <c r="R123" s="5"/>
      <c r="S123" s="5"/>
    </row>
    <row r="124" spans="2:19">
      <c r="B124" s="41"/>
      <c r="C124" s="254"/>
      <c r="D124" s="254"/>
      <c r="E124" s="254"/>
      <c r="F124" s="254"/>
      <c r="G124" s="254"/>
      <c r="H124" s="254"/>
      <c r="I124" s="254"/>
      <c r="J124" s="254"/>
      <c r="K124" s="254"/>
      <c r="L124" s="254"/>
      <c r="M124" s="254"/>
      <c r="N124" s="254"/>
      <c r="O124" s="248"/>
      <c r="Q124" s="5"/>
      <c r="R124" s="5"/>
      <c r="S124" s="5"/>
    </row>
    <row r="125" spans="2:19">
      <c r="B125" s="41"/>
      <c r="C125" s="254"/>
      <c r="D125" s="254"/>
      <c r="E125" s="254"/>
      <c r="F125" s="254"/>
      <c r="G125" s="254"/>
      <c r="H125" s="254"/>
      <c r="I125" s="254"/>
      <c r="J125" s="254"/>
      <c r="K125" s="254"/>
      <c r="L125" s="254"/>
      <c r="M125" s="254"/>
      <c r="N125" s="254"/>
      <c r="O125" s="5"/>
      <c r="Q125" s="5"/>
      <c r="R125" s="5"/>
      <c r="S125" s="5"/>
    </row>
    <row r="126" spans="2:19">
      <c r="B126" s="41"/>
      <c r="C126" s="254"/>
      <c r="D126" s="254"/>
      <c r="E126" s="254"/>
      <c r="F126" s="254"/>
      <c r="G126" s="254"/>
      <c r="H126" s="254"/>
      <c r="I126" s="254"/>
      <c r="J126" s="254"/>
      <c r="K126" s="254"/>
      <c r="L126" s="254"/>
      <c r="M126" s="254"/>
      <c r="N126" s="254"/>
      <c r="O126" s="5"/>
      <c r="Q126" s="5"/>
      <c r="R126" s="5"/>
      <c r="S126" s="5"/>
    </row>
    <row r="127" spans="2:19">
      <c r="B127" s="41"/>
      <c r="C127" s="254"/>
      <c r="D127" s="254"/>
      <c r="E127" s="254"/>
      <c r="F127" s="254"/>
      <c r="G127" s="254"/>
      <c r="H127" s="254"/>
      <c r="I127" s="18"/>
      <c r="J127" s="254"/>
      <c r="K127" s="254"/>
      <c r="L127" s="254"/>
      <c r="M127" s="254"/>
      <c r="N127" s="254"/>
      <c r="O127" s="5"/>
      <c r="Q127" s="5"/>
      <c r="R127" s="5"/>
      <c r="S127" s="5"/>
    </row>
    <row r="128" spans="2:19">
      <c r="B128" s="41"/>
      <c r="C128" s="254"/>
      <c r="D128" s="254"/>
      <c r="E128" s="254"/>
      <c r="F128" s="254"/>
      <c r="G128" s="254"/>
      <c r="H128" s="254"/>
      <c r="I128" s="5"/>
      <c r="J128" s="254"/>
      <c r="K128" s="254"/>
      <c r="L128" s="254"/>
      <c r="M128" s="254"/>
      <c r="N128" s="254"/>
      <c r="O128" s="5"/>
      <c r="Q128" s="5"/>
      <c r="R128" s="5"/>
      <c r="S128" s="5"/>
    </row>
    <row r="129" spans="2:27">
      <c r="B129" s="5"/>
      <c r="C129" s="5"/>
      <c r="D129" s="18"/>
      <c r="E129" s="18"/>
      <c r="F129" s="18"/>
      <c r="G129" s="18"/>
      <c r="H129" s="18"/>
      <c r="I129" s="254"/>
      <c r="J129" s="18"/>
      <c r="K129" s="18"/>
      <c r="L129" s="18"/>
      <c r="M129" s="18"/>
      <c r="N129" s="18"/>
      <c r="O129" s="5"/>
      <c r="Q129" s="5"/>
      <c r="R129" s="5"/>
      <c r="S129" s="5"/>
    </row>
    <row r="130" spans="2:27">
      <c r="B130" s="5"/>
      <c r="C130" s="5"/>
      <c r="D130" s="5"/>
      <c r="E130" s="5"/>
      <c r="F130" s="5"/>
      <c r="G130" s="5"/>
      <c r="H130" s="5"/>
      <c r="I130" s="18"/>
      <c r="J130" s="5"/>
      <c r="K130" s="5"/>
      <c r="L130" s="5"/>
      <c r="M130" s="5"/>
      <c r="N130" s="5"/>
      <c r="O130" s="5"/>
      <c r="Q130" s="5"/>
      <c r="R130" s="5"/>
      <c r="S130" s="5"/>
    </row>
    <row r="131" spans="2:27">
      <c r="B131" s="41"/>
      <c r="C131" s="254"/>
      <c r="D131" s="254"/>
      <c r="E131" s="254"/>
      <c r="F131" s="254"/>
      <c r="G131" s="254"/>
      <c r="H131" s="254"/>
      <c r="I131" s="5"/>
      <c r="J131" s="254"/>
      <c r="K131" s="254"/>
      <c r="L131" s="254"/>
      <c r="M131" s="254"/>
      <c r="N131" s="254"/>
      <c r="O131" s="5"/>
      <c r="Q131" s="5"/>
      <c r="R131" s="5"/>
      <c r="S131" s="5"/>
    </row>
    <row r="132" spans="2:27">
      <c r="B132" s="5"/>
      <c r="C132" s="259"/>
      <c r="D132" s="18"/>
      <c r="E132" s="18"/>
      <c r="F132" s="18"/>
      <c r="G132" s="18"/>
      <c r="H132" s="18"/>
      <c r="I132" s="5"/>
      <c r="J132" s="18"/>
      <c r="K132" s="18"/>
      <c r="L132" s="18"/>
      <c r="M132" s="18"/>
      <c r="N132" s="18"/>
      <c r="O132" s="5"/>
      <c r="Q132" s="5"/>
      <c r="R132" s="5"/>
      <c r="S132" s="5"/>
    </row>
    <row r="133" spans="2:27">
      <c r="B133" s="5"/>
      <c r="C133" s="5"/>
      <c r="D133" s="5"/>
      <c r="E133" s="5"/>
      <c r="F133" s="5"/>
      <c r="G133" s="5"/>
      <c r="H133" s="5"/>
      <c r="I133" s="17"/>
      <c r="J133" s="5"/>
      <c r="K133" s="5"/>
      <c r="L133" s="5"/>
      <c r="M133" s="5"/>
      <c r="N133" s="5"/>
      <c r="O133" s="5"/>
      <c r="Q133" s="5"/>
      <c r="R133" s="5"/>
      <c r="S133" s="5"/>
    </row>
    <row r="134" spans="2:27">
      <c r="B134" s="41"/>
      <c r="C134" s="5"/>
      <c r="D134" s="5"/>
      <c r="E134" s="5"/>
      <c r="F134" s="5"/>
      <c r="G134" s="5"/>
      <c r="H134" s="5"/>
      <c r="I134" s="17"/>
      <c r="J134" s="5"/>
      <c r="K134" s="5"/>
      <c r="L134" s="5"/>
      <c r="M134" s="5"/>
      <c r="N134" s="5"/>
      <c r="O134" s="5"/>
      <c r="Q134" s="5"/>
      <c r="R134" s="5"/>
      <c r="S134" s="5"/>
    </row>
    <row r="135" spans="2:27">
      <c r="B135" s="5"/>
      <c r="C135" s="17"/>
      <c r="D135" s="17"/>
      <c r="E135" s="17"/>
      <c r="F135" s="17"/>
      <c r="G135" s="17"/>
      <c r="H135" s="17"/>
      <c r="I135" s="17"/>
      <c r="J135" s="17"/>
      <c r="K135" s="17"/>
      <c r="L135" s="17"/>
      <c r="M135" s="17"/>
      <c r="N135" s="17"/>
      <c r="O135" s="5"/>
      <c r="Q135" s="41"/>
      <c r="R135" s="5"/>
      <c r="S135" s="5"/>
    </row>
    <row r="136" spans="2:27">
      <c r="B136" s="5"/>
      <c r="C136" s="17"/>
      <c r="D136" s="17"/>
      <c r="E136" s="17"/>
      <c r="F136" s="17"/>
      <c r="G136" s="17"/>
      <c r="H136" s="17"/>
      <c r="I136" s="17"/>
      <c r="J136" s="17"/>
      <c r="K136" s="17"/>
      <c r="L136" s="17"/>
      <c r="M136" s="17"/>
      <c r="N136" s="17"/>
      <c r="O136" s="5"/>
      <c r="Q136" s="5"/>
      <c r="R136" s="5"/>
      <c r="S136" s="5"/>
      <c r="X136" s="304"/>
    </row>
    <row r="137" spans="2:27">
      <c r="B137" s="5"/>
      <c r="C137" s="5"/>
      <c r="D137" s="17"/>
      <c r="E137" s="17"/>
      <c r="F137" s="17"/>
      <c r="G137" s="17"/>
      <c r="H137" s="17"/>
      <c r="I137" s="17"/>
      <c r="J137" s="17"/>
      <c r="K137" s="17"/>
      <c r="L137" s="17"/>
      <c r="M137" s="17"/>
      <c r="N137" s="17"/>
      <c r="O137" s="5"/>
      <c r="Q137" s="5"/>
      <c r="R137" s="5"/>
      <c r="S137" s="5"/>
      <c r="X137" s="10"/>
      <c r="Y137" s="304"/>
      <c r="Z137" s="304"/>
      <c r="AA137" s="304"/>
    </row>
    <row r="138" spans="2:27">
      <c r="B138" s="5"/>
      <c r="C138" s="5"/>
      <c r="D138" s="17"/>
      <c r="E138" s="17"/>
      <c r="F138" s="17"/>
      <c r="G138" s="17"/>
      <c r="H138" s="17"/>
      <c r="I138" s="17"/>
      <c r="J138" s="17"/>
      <c r="K138" s="17"/>
      <c r="L138" s="17"/>
      <c r="M138" s="17"/>
      <c r="N138" s="17"/>
      <c r="O138" s="5"/>
      <c r="Q138" s="5"/>
      <c r="R138" s="5"/>
      <c r="S138" s="5"/>
      <c r="Y138" s="10"/>
      <c r="Z138" s="10"/>
      <c r="AA138" s="10"/>
    </row>
    <row r="139" spans="2:27">
      <c r="B139" s="5"/>
      <c r="C139" s="5"/>
      <c r="D139" s="17"/>
      <c r="E139" s="17"/>
      <c r="F139" s="17"/>
      <c r="G139" s="17"/>
      <c r="H139" s="17"/>
      <c r="I139" s="5"/>
      <c r="J139" s="17"/>
      <c r="K139" s="17"/>
      <c r="L139" s="17"/>
      <c r="M139" s="17"/>
      <c r="N139" s="17"/>
      <c r="O139" s="5"/>
      <c r="Q139" s="5"/>
      <c r="R139" s="5"/>
      <c r="S139" s="5"/>
    </row>
    <row r="140" spans="2:27">
      <c r="B140" s="5"/>
      <c r="C140" s="17"/>
      <c r="D140" s="17"/>
      <c r="E140" s="17"/>
      <c r="F140" s="17"/>
      <c r="G140" s="17"/>
      <c r="H140" s="17"/>
      <c r="I140" s="5"/>
      <c r="J140" s="17"/>
      <c r="K140" s="17"/>
      <c r="L140" s="17"/>
      <c r="M140" s="17"/>
      <c r="N140" s="17"/>
      <c r="O140" s="5"/>
      <c r="Q140" s="5"/>
      <c r="R140" s="5"/>
      <c r="S140" s="5"/>
    </row>
    <row r="141" spans="2:27">
      <c r="B141" s="5"/>
      <c r="C141" s="5"/>
      <c r="D141" s="5"/>
      <c r="E141" s="5"/>
      <c r="F141" s="5"/>
      <c r="G141" s="5"/>
      <c r="H141" s="5"/>
      <c r="I141" s="5"/>
      <c r="J141" s="5"/>
      <c r="K141" s="5"/>
      <c r="L141" s="5"/>
      <c r="M141" s="5"/>
      <c r="N141" s="5"/>
      <c r="O141" s="5"/>
      <c r="Q141" s="5"/>
      <c r="R141" s="5"/>
      <c r="S141" s="5"/>
    </row>
    <row r="142" spans="2:27">
      <c r="B142" s="5"/>
      <c r="C142" s="5"/>
      <c r="D142" s="5"/>
      <c r="E142" s="5"/>
      <c r="F142" s="5"/>
      <c r="G142" s="5"/>
      <c r="H142" s="5"/>
      <c r="I142" s="5"/>
      <c r="J142" s="5"/>
      <c r="K142" s="5"/>
      <c r="L142" s="5"/>
      <c r="M142" s="5"/>
      <c r="N142" s="5"/>
      <c r="O142" s="5"/>
      <c r="Q142" s="5"/>
      <c r="R142" s="5"/>
      <c r="S142" s="5"/>
    </row>
    <row r="143" spans="2:27">
      <c r="B143" s="5"/>
      <c r="C143" s="5"/>
      <c r="D143" s="5"/>
      <c r="E143" s="5"/>
      <c r="F143" s="5"/>
      <c r="G143" s="5"/>
      <c r="H143" s="5"/>
      <c r="I143" s="5"/>
      <c r="J143" s="5"/>
      <c r="K143" s="5"/>
      <c r="L143" s="5"/>
      <c r="M143" s="5"/>
      <c r="N143" s="5"/>
      <c r="O143" s="5"/>
      <c r="Q143" s="5"/>
      <c r="R143" s="5"/>
      <c r="S143" s="5"/>
    </row>
    <row r="144" spans="2:27">
      <c r="B144" s="5"/>
      <c r="C144" s="5"/>
      <c r="D144" s="5"/>
      <c r="E144" s="5"/>
      <c r="F144" s="5"/>
      <c r="G144" s="5"/>
      <c r="H144" s="5"/>
      <c r="I144" s="5"/>
      <c r="J144" s="5"/>
      <c r="K144" s="5"/>
      <c r="L144" s="5"/>
      <c r="M144" s="5"/>
      <c r="N144" s="5"/>
      <c r="O144" s="5"/>
      <c r="Q144" s="5"/>
      <c r="R144" s="5"/>
      <c r="S144" s="5"/>
    </row>
    <row r="145" spans="2:19">
      <c r="B145" s="5"/>
      <c r="C145" s="5"/>
      <c r="D145" s="5"/>
      <c r="E145" s="5"/>
      <c r="F145" s="5"/>
      <c r="G145" s="5"/>
      <c r="H145" s="5"/>
      <c r="I145" s="5"/>
      <c r="J145" s="5"/>
      <c r="K145" s="5"/>
      <c r="L145" s="5"/>
      <c r="M145" s="5"/>
      <c r="N145" s="5"/>
      <c r="O145" s="5"/>
      <c r="Q145" s="5"/>
      <c r="R145" s="5"/>
      <c r="S145" s="5"/>
    </row>
    <row r="146" spans="2:19">
      <c r="B146" s="5"/>
      <c r="C146" s="5"/>
      <c r="D146" s="5"/>
      <c r="E146" s="5"/>
      <c r="F146" s="5"/>
      <c r="G146" s="5"/>
      <c r="H146" s="5"/>
      <c r="I146" s="5"/>
      <c r="J146" s="5"/>
      <c r="K146" s="5"/>
      <c r="L146" s="5"/>
      <c r="M146" s="5"/>
      <c r="N146" s="5"/>
      <c r="O146" s="5"/>
      <c r="Q146" s="5"/>
      <c r="R146" s="5"/>
      <c r="S146" s="5"/>
    </row>
    <row r="147" spans="2:19">
      <c r="B147" s="5"/>
      <c r="C147" s="5"/>
      <c r="D147" s="5"/>
      <c r="E147" s="5"/>
      <c r="F147" s="5"/>
      <c r="G147" s="5"/>
      <c r="H147" s="5"/>
      <c r="I147" s="5"/>
      <c r="J147" s="5"/>
      <c r="K147" s="5"/>
      <c r="L147" s="5"/>
      <c r="M147" s="5"/>
      <c r="N147" s="5"/>
      <c r="O147" s="5"/>
      <c r="Q147" s="5"/>
      <c r="R147" s="5"/>
      <c r="S147" s="5"/>
    </row>
    <row r="148" spans="2:19">
      <c r="B148" s="5"/>
      <c r="C148" s="5"/>
      <c r="D148" s="5"/>
      <c r="E148" s="5"/>
      <c r="F148" s="5"/>
      <c r="G148" s="5"/>
      <c r="H148" s="5"/>
      <c r="I148" s="5"/>
      <c r="J148" s="5"/>
      <c r="K148" s="5"/>
      <c r="L148" s="5"/>
      <c r="M148" s="5"/>
      <c r="N148" s="5"/>
      <c r="O148" s="5"/>
      <c r="Q148" s="5"/>
      <c r="R148" s="5"/>
      <c r="S148" s="5"/>
    </row>
    <row r="149" spans="2:19">
      <c r="B149" s="5"/>
      <c r="C149" s="5"/>
      <c r="D149" s="5"/>
      <c r="E149" s="5"/>
      <c r="F149" s="5"/>
      <c r="G149" s="5"/>
      <c r="H149" s="5"/>
      <c r="J149" s="5"/>
      <c r="K149" s="5"/>
      <c r="L149" s="5"/>
      <c r="M149" s="5"/>
      <c r="N149" s="5"/>
      <c r="O149" s="5"/>
      <c r="Q149" s="5"/>
      <c r="R149" s="5"/>
      <c r="S149" s="5"/>
    </row>
    <row r="150" spans="2:19">
      <c r="B150" s="5"/>
      <c r="C150" s="5"/>
      <c r="D150" s="5"/>
      <c r="E150" s="5"/>
      <c r="F150" s="5"/>
      <c r="G150" s="5"/>
      <c r="H150" s="5"/>
      <c r="J150" s="5"/>
      <c r="K150" s="5"/>
      <c r="L150" s="5"/>
      <c r="M150" s="5"/>
      <c r="N150" s="5"/>
      <c r="O150" s="5"/>
      <c r="Q150" s="5"/>
      <c r="R150" s="5"/>
      <c r="S150" s="5"/>
    </row>
    <row r="151" spans="2:19">
      <c r="Q151" s="5"/>
      <c r="R151" s="5"/>
      <c r="S151" s="5"/>
    </row>
    <row r="152" spans="2:19">
      <c r="Q152" s="5"/>
      <c r="R152" s="5"/>
      <c r="S152" s="5"/>
    </row>
    <row r="153" spans="2:19">
      <c r="C153" s="263"/>
      <c r="Q153" s="5"/>
      <c r="R153" s="5"/>
      <c r="S153" s="5"/>
    </row>
    <row r="154" spans="2:19">
      <c r="Q154" s="5"/>
      <c r="R154" s="5"/>
      <c r="S154" s="5"/>
    </row>
    <row r="155" spans="2:19">
      <c r="Q155" s="5"/>
      <c r="R155" s="5"/>
      <c r="S155" s="5"/>
    </row>
    <row r="156" spans="2:19">
      <c r="Q156" s="5"/>
      <c r="R156" s="5"/>
      <c r="S156" s="5"/>
    </row>
    <row r="157" spans="2:19">
      <c r="Q157" s="5"/>
      <c r="R157" s="5"/>
      <c r="S157" s="5"/>
    </row>
    <row r="158" spans="2:19">
      <c r="Q158" s="5"/>
      <c r="R158" s="5"/>
      <c r="S158" s="5"/>
    </row>
    <row r="159" spans="2:19">
      <c r="Q159" s="5"/>
      <c r="R159" s="5"/>
      <c r="S159" s="5"/>
    </row>
    <row r="160" spans="2:19">
      <c r="Q160" s="5"/>
      <c r="R160" s="5"/>
      <c r="S160" s="5"/>
    </row>
    <row r="161" spans="17:19">
      <c r="Q161" s="5"/>
      <c r="R161" s="5"/>
      <c r="S161" s="5"/>
    </row>
    <row r="162" spans="17:19">
      <c r="Q162" s="5"/>
      <c r="R162" s="5"/>
      <c r="S162" s="5"/>
    </row>
    <row r="163" spans="17:19">
      <c r="Q163" s="5"/>
      <c r="R163" s="5"/>
      <c r="S163" s="5"/>
    </row>
    <row r="164" spans="17:19">
      <c r="Q164" s="5"/>
      <c r="R164" s="5"/>
      <c r="S164" s="5"/>
    </row>
    <row r="165" spans="17:19">
      <c r="Q165" s="5"/>
      <c r="R165" s="5"/>
      <c r="S165" s="5"/>
    </row>
  </sheetData>
  <phoneticPr fontId="7" type="noConversion"/>
  <hyperlinks>
    <hyperlink ref="C2" location="TKGSOP!A1" display="Jump to TKG SOP" xr:uid="{00000000-0004-0000-6800-000001000000}"/>
  </hyperlinks>
  <pageMargins left="0.75" right="0.75" top="1" bottom="1" header="0.5" footer="0.5"/>
  <pageSetup scale="71" orientation="landscape" r:id="rId1"/>
  <headerFooter alignWithMargins="0"/>
  <drawing r:id="rId2"/>
  <legacyDrawing r:id="rId3"/>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sheetPr codeName="Sheet91">
    <pageSetUpPr fitToPage="1"/>
  </sheetPr>
  <dimension ref="B1:AR165"/>
  <sheetViews>
    <sheetView showGridLines="0" zoomScale="80" zoomScaleNormal="80" workbookViewId="0"/>
  </sheetViews>
  <sheetFormatPr defaultColWidth="9.109375" defaultRowHeight="12"/>
  <cols>
    <col min="1" max="1" width="2.33203125" style="39" customWidth="1"/>
    <col min="2" max="2" width="26.5546875" style="39" customWidth="1"/>
    <col min="3" max="9" width="10" style="39" customWidth="1"/>
    <col min="10" max="10" width="26.6640625" style="39" customWidth="1"/>
    <col min="11" max="16" width="10" style="39" customWidth="1"/>
    <col min="17" max="19" width="8.6640625" style="39" customWidth="1"/>
    <col min="20" max="28" width="8.6640625" style="5" customWidth="1"/>
    <col min="29" max="44" width="9.109375" style="5"/>
    <col min="45" max="16384" width="9.109375" style="39"/>
  </cols>
  <sheetData>
    <row r="1" spans="2:44" s="312" customFormat="1">
      <c r="T1" s="149"/>
      <c r="U1" s="149"/>
      <c r="V1" s="149"/>
      <c r="W1" s="149"/>
      <c r="X1" s="149"/>
      <c r="Y1" s="149"/>
      <c r="Z1" s="149"/>
      <c r="AA1" s="149"/>
      <c r="AB1" s="149"/>
      <c r="AC1" s="149"/>
      <c r="AD1" s="149"/>
      <c r="AE1" s="149"/>
      <c r="AF1" s="149"/>
      <c r="AG1" s="149"/>
      <c r="AH1" s="149"/>
      <c r="AI1" s="149"/>
      <c r="AJ1" s="149"/>
      <c r="AK1" s="149"/>
      <c r="AL1" s="149"/>
      <c r="AM1" s="149"/>
      <c r="AN1" s="149"/>
      <c r="AO1" s="149"/>
      <c r="AP1" s="149"/>
      <c r="AQ1" s="149"/>
      <c r="AR1" s="149"/>
    </row>
    <row r="2" spans="2:44" s="149" customFormat="1"/>
    <row r="3" spans="2:44" s="149" customFormat="1">
      <c r="H3" s="153"/>
      <c r="P3" s="153"/>
    </row>
    <row r="4" spans="2:44" s="156" customFormat="1" ht="21">
      <c r="B4" s="129" t="s">
        <v>699</v>
      </c>
      <c r="H4" s="222"/>
      <c r="P4" s="222"/>
    </row>
    <row r="5" spans="2:44" s="149" customFormat="1">
      <c r="C5" s="153"/>
      <c r="D5" s="153" t="str" cm="1">
        <f t="array" ref="D5:H5">headings</f>
        <v>2023E</v>
      </c>
      <c r="E5" s="153" t="str">
        <v>2024E</v>
      </c>
      <c r="F5" s="153" t="str">
        <v>2025E</v>
      </c>
      <c r="G5" s="153" t="str">
        <v>2026E</v>
      </c>
      <c r="H5" s="153" t="str">
        <v>23E-26E</v>
      </c>
      <c r="I5" s="153"/>
      <c r="J5" s="153"/>
      <c r="K5" s="153"/>
      <c r="L5" s="153" t="str" cm="1">
        <f t="array" ref="L5:P5">headings</f>
        <v>2023E</v>
      </c>
      <c r="M5" s="153" t="str">
        <v>2024E</v>
      </c>
      <c r="N5" s="153" t="str">
        <v>2025E</v>
      </c>
      <c r="O5" s="153" t="str">
        <v>2026E</v>
      </c>
      <c r="P5" s="153" t="str">
        <v>23E-26E</v>
      </c>
      <c r="Q5" s="162"/>
      <c r="R5" s="162"/>
      <c r="S5" s="162"/>
      <c r="T5" s="162"/>
      <c r="U5" s="162"/>
      <c r="V5" s="162"/>
      <c r="W5" s="162"/>
      <c r="X5" s="162"/>
      <c r="Y5" s="162"/>
    </row>
    <row r="6" spans="2:44">
      <c r="I6" s="5"/>
      <c r="J6" s="5"/>
      <c r="K6" s="5"/>
      <c r="L6" s="5"/>
      <c r="M6" s="5"/>
      <c r="N6" s="5"/>
      <c r="O6" s="49"/>
    </row>
    <row r="7" spans="2:44" ht="12.6" thickBot="1">
      <c r="B7" s="306" t="s">
        <v>271</v>
      </c>
      <c r="C7" s="265"/>
      <c r="D7" s="265" t="str">
        <f>D5</f>
        <v>2023E</v>
      </c>
      <c r="E7" s="265" t="str">
        <f t="shared" ref="E7:H7" si="0">E5</f>
        <v>2024E</v>
      </c>
      <c r="F7" s="265" t="str">
        <f t="shared" si="0"/>
        <v>2025E</v>
      </c>
      <c r="G7" s="265" t="str">
        <f t="shared" si="0"/>
        <v>2026E</v>
      </c>
      <c r="H7" s="265" t="str">
        <f t="shared" si="0"/>
        <v>23E-26E</v>
      </c>
      <c r="I7" s="49"/>
      <c r="J7" s="306" t="s">
        <v>180</v>
      </c>
      <c r="K7" s="306"/>
      <c r="L7" s="265" t="str">
        <f>L5</f>
        <v>2023E</v>
      </c>
      <c r="M7" s="265" t="str">
        <f t="shared" ref="M7:P7" si="1">M5</f>
        <v>2024E</v>
      </c>
      <c r="N7" s="265" t="str">
        <f t="shared" si="1"/>
        <v>2025E</v>
      </c>
      <c r="O7" s="265" t="str">
        <f t="shared" si="1"/>
        <v>2026E</v>
      </c>
      <c r="P7" s="265" t="str">
        <f t="shared" si="1"/>
        <v>23E-26E</v>
      </c>
    </row>
    <row r="8" spans="2:44" ht="12.6" thickTop="1">
      <c r="I8" s="5"/>
      <c r="J8" s="5"/>
      <c r="K8" s="5"/>
      <c r="L8" s="5"/>
      <c r="M8" s="5"/>
      <c r="N8" s="5"/>
      <c r="S8" s="88"/>
      <c r="T8" s="42"/>
      <c r="U8" s="42"/>
      <c r="V8" s="42"/>
      <c r="W8" s="42"/>
      <c r="X8" s="42"/>
      <c r="Y8" s="42"/>
      <c r="Z8" s="42"/>
      <c r="AA8" s="42"/>
    </row>
    <row r="9" spans="2:44">
      <c r="B9" s="41" t="s">
        <v>15</v>
      </c>
      <c r="C9" s="287">
        <f>Prices!C41</f>
        <v>166</v>
      </c>
      <c r="D9" s="535">
        <v>0</v>
      </c>
      <c r="E9" s="536">
        <v>0</v>
      </c>
      <c r="F9" s="536">
        <v>0</v>
      </c>
      <c r="G9" s="536">
        <v>0</v>
      </c>
      <c r="H9" s="249"/>
      <c r="I9" s="249"/>
      <c r="J9" s="5" t="s">
        <v>273</v>
      </c>
      <c r="L9" s="529">
        <f>'US TELCO'!D37</f>
        <v>2.5137859043736563</v>
      </c>
      <c r="M9" s="529">
        <f>'US TELCO'!E37</f>
        <v>2.3418033291822886</v>
      </c>
      <c r="N9" s="529">
        <f>'US TELCO'!F37</f>
        <v>2.1405480707080522</v>
      </c>
      <c r="O9" s="529">
        <f>'US TELCO'!G37</f>
        <v>1.9475888569848374</v>
      </c>
      <c r="P9" s="279">
        <f>'US TELCO'!H37</f>
        <v>1.8592642260168768E-2</v>
      </c>
      <c r="S9" s="88"/>
      <c r="T9" s="42"/>
      <c r="U9" s="42"/>
      <c r="V9" s="42"/>
      <c r="W9" s="42"/>
      <c r="X9" s="42"/>
      <c r="Y9" s="42"/>
      <c r="Z9" s="42"/>
      <c r="AA9" s="42"/>
    </row>
    <row r="10" spans="2:44">
      <c r="B10" s="5" t="s">
        <v>274</v>
      </c>
      <c r="C10" s="5"/>
      <c r="D10" s="531">
        <v>1241.0080814999999</v>
      </c>
      <c r="E10" s="531">
        <v>1159.4631324717129</v>
      </c>
      <c r="F10" s="531">
        <v>1048.6515025629951</v>
      </c>
      <c r="G10" s="531">
        <v>946.25819719795754</v>
      </c>
      <c r="H10" s="247"/>
      <c r="I10" s="247"/>
      <c r="J10" s="5" t="s">
        <v>184</v>
      </c>
      <c r="L10" s="529">
        <f>'US TELCO'!D38</f>
        <v>7.0004799345610245</v>
      </c>
      <c r="M10" s="529">
        <f>'US TELCO'!E38</f>
        <v>6.3659497867265147</v>
      </c>
      <c r="N10" s="529">
        <f>'US TELCO'!F38</f>
        <v>5.7745168477785871</v>
      </c>
      <c r="O10" s="529">
        <f>'US TELCO'!G38</f>
        <v>5.2274604613312263</v>
      </c>
      <c r="P10" s="279">
        <f>'US TELCO'!H38</f>
        <v>3.1183334923203576E-2</v>
      </c>
      <c r="S10" s="88"/>
      <c r="T10" s="42"/>
      <c r="U10" s="42"/>
      <c r="V10" s="42"/>
      <c r="W10" s="288"/>
      <c r="X10" s="288"/>
      <c r="Y10" s="288"/>
      <c r="Z10" s="288"/>
      <c r="AA10" s="42"/>
    </row>
    <row r="11" spans="2:44">
      <c r="B11" s="41" t="s">
        <v>442</v>
      </c>
      <c r="C11" s="5"/>
      <c r="D11" s="532">
        <f>$C$9*D10</f>
        <v>206007.34152899997</v>
      </c>
      <c r="E11" s="532">
        <f>$C$9*E10</f>
        <v>192470.87999030435</v>
      </c>
      <c r="F11" s="532">
        <f>$C$9*F10</f>
        <v>174076.1494254572</v>
      </c>
      <c r="G11" s="532">
        <f>$C$9*G10</f>
        <v>157078.86073486097</v>
      </c>
      <c r="H11" s="249"/>
      <c r="I11" s="249"/>
      <c r="J11" s="5" t="s">
        <v>185</v>
      </c>
      <c r="L11" s="529">
        <f>'US TELCO'!D39</f>
        <v>12.361344840920768</v>
      </c>
      <c r="M11" s="529">
        <f>'US TELCO'!E39</f>
        <v>10.302089191081508</v>
      </c>
      <c r="N11" s="529">
        <f>'US TELCO'!F39</f>
        <v>9.1394962866691269</v>
      </c>
      <c r="O11" s="529">
        <f>'US TELCO'!G39</f>
        <v>8.1609892306538363</v>
      </c>
      <c r="P11" s="279">
        <f>'US TELCO'!H39</f>
        <v>7.4396303115465079E-2</v>
      </c>
      <c r="S11" s="88"/>
      <c r="T11" s="42"/>
      <c r="U11" s="42"/>
      <c r="V11" s="42"/>
      <c r="W11" s="288"/>
      <c r="X11" s="288"/>
      <c r="Y11" s="288"/>
      <c r="Z11" s="288"/>
      <c r="AA11" s="42"/>
    </row>
    <row r="12" spans="2:44">
      <c r="B12" s="5" t="s">
        <v>24</v>
      </c>
      <c r="C12" s="249"/>
      <c r="D12" s="533">
        <v>66741</v>
      </c>
      <c r="E12" s="533">
        <v>73519.440882862866</v>
      </c>
      <c r="F12" s="533">
        <v>78378.854461961193</v>
      </c>
      <c r="G12" s="533">
        <v>83108.981461362157</v>
      </c>
      <c r="H12" s="247"/>
      <c r="I12" s="247"/>
      <c r="J12" s="5" t="s">
        <v>466</v>
      </c>
      <c r="L12" s="529">
        <f>'US TELCO'!D40</f>
        <v>17.910316859783464</v>
      </c>
      <c r="M12" s="529">
        <f>'US TELCO'!E40</f>
        <v>15.566299432140243</v>
      </c>
      <c r="N12" s="529">
        <f>'US TELCO'!F40</f>
        <v>13.78175372330595</v>
      </c>
      <c r="O12" s="529">
        <f>'US TELCO'!G40</f>
        <v>12.15772695095534</v>
      </c>
      <c r="P12" s="279">
        <f>'US TELCO'!H40</f>
        <v>6.4487323949837583E-2</v>
      </c>
      <c r="S12" s="88"/>
      <c r="T12" s="42"/>
      <c r="U12" s="42"/>
      <c r="V12" s="42"/>
      <c r="W12" s="288"/>
      <c r="X12" s="288"/>
      <c r="Y12" s="288"/>
      <c r="Z12" s="288"/>
      <c r="AA12" s="42"/>
    </row>
    <row r="13" spans="2:44">
      <c r="B13" s="5" t="s">
        <v>529</v>
      </c>
      <c r="C13" s="257"/>
      <c r="D13" s="533">
        <v>0</v>
      </c>
      <c r="E13" s="533">
        <v>0</v>
      </c>
      <c r="F13" s="533">
        <v>0</v>
      </c>
      <c r="G13" s="533">
        <v>0</v>
      </c>
      <c r="H13" s="247"/>
      <c r="I13" s="247"/>
      <c r="J13" s="5" t="s">
        <v>530</v>
      </c>
      <c r="L13" s="529">
        <f>'US TELCO'!D41</f>
        <v>1.2910316989935113</v>
      </c>
      <c r="M13" s="529">
        <f>'US TELCO'!E41</f>
        <v>1.606660528917552</v>
      </c>
      <c r="N13" s="529">
        <f>'US TELCO'!F41</f>
        <v>1.5314525021709535</v>
      </c>
      <c r="O13" s="529">
        <f>'US TELCO'!G41</f>
        <v>1.4556441037262229</v>
      </c>
      <c r="P13" s="279">
        <f>'US TELCO'!H41</f>
        <v>-0.10115646387707644</v>
      </c>
      <c r="S13" s="88"/>
      <c r="T13" s="42"/>
      <c r="U13" s="42"/>
      <c r="V13" s="42"/>
      <c r="W13" s="42"/>
      <c r="X13" s="42"/>
      <c r="Y13" s="42"/>
      <c r="Z13" s="42"/>
      <c r="AA13" s="42"/>
    </row>
    <row r="14" spans="2:44">
      <c r="B14" s="5" t="s">
        <v>532</v>
      </c>
      <c r="C14" s="257"/>
      <c r="D14" s="533">
        <v>0</v>
      </c>
      <c r="E14" s="533">
        <v>0</v>
      </c>
      <c r="F14" s="533">
        <v>0</v>
      </c>
      <c r="G14" s="533">
        <v>0</v>
      </c>
      <c r="H14" s="247"/>
      <c r="I14" s="247"/>
      <c r="J14" s="5" t="s">
        <v>593</v>
      </c>
      <c r="L14" s="529">
        <f>'US TELCO'!D42</f>
        <v>3.2281499736577772</v>
      </c>
      <c r="M14" s="529">
        <f>'US TELCO'!E42</f>
        <v>3.084908599069784</v>
      </c>
      <c r="N14" s="529">
        <f>'US TELCO'!F42</f>
        <v>2.9153254467268015</v>
      </c>
      <c r="O14" s="529">
        <f>'US TELCO'!G42</f>
        <v>2.743204647593728</v>
      </c>
      <c r="P14" s="279">
        <f>'US TELCO'!H42</f>
        <v>-1.2306873951881125E-2</v>
      </c>
      <c r="S14" s="88"/>
      <c r="T14" s="42"/>
      <c r="U14" s="42"/>
      <c r="V14" s="42"/>
      <c r="W14" s="42"/>
      <c r="X14" s="42"/>
      <c r="Y14" s="42"/>
      <c r="Z14" s="42"/>
      <c r="AA14" s="42"/>
    </row>
    <row r="15" spans="2:44">
      <c r="B15" s="5" t="s">
        <v>531</v>
      </c>
      <c r="C15" s="274"/>
      <c r="D15" s="533">
        <v>0</v>
      </c>
      <c r="E15" s="533">
        <v>0</v>
      </c>
      <c r="F15" s="533">
        <v>0</v>
      </c>
      <c r="G15" s="533">
        <v>0</v>
      </c>
      <c r="H15" s="247"/>
      <c r="I15" s="247"/>
      <c r="J15" s="5" t="s">
        <v>475</v>
      </c>
      <c r="L15" s="529">
        <f>'US TELCO'!D43</f>
        <v>11.977596383177456</v>
      </c>
      <c r="M15" s="529">
        <f>'US TELCO'!E43</f>
        <v>13.890630468073612</v>
      </c>
      <c r="N15" s="529">
        <f>'US TELCO'!F43</f>
        <v>12.689138672587029</v>
      </c>
      <c r="O15" s="529">
        <f>'US TELCO'!G43</f>
        <v>11.703960467522332</v>
      </c>
      <c r="P15" s="279">
        <f>'US TELCO'!H43</f>
        <v>-2.422411565871474E-2</v>
      </c>
      <c r="S15" s="88"/>
      <c r="T15" s="42"/>
      <c r="U15" s="42"/>
      <c r="V15" s="42"/>
      <c r="W15" s="42"/>
      <c r="X15" s="42"/>
      <c r="Y15" s="42"/>
      <c r="Z15" s="42"/>
      <c r="AA15" s="42"/>
    </row>
    <row r="16" spans="2:44">
      <c r="B16" s="5" t="s">
        <v>534</v>
      </c>
      <c r="C16" s="257"/>
      <c r="D16" s="533">
        <v>747</v>
      </c>
      <c r="E16" s="533">
        <v>3797.5</v>
      </c>
      <c r="F16" s="533">
        <v>6854.5</v>
      </c>
      <c r="G16" s="533">
        <v>10058.1918326216</v>
      </c>
      <c r="H16" s="247"/>
      <c r="I16" s="247"/>
      <c r="J16" s="5" t="s">
        <v>533</v>
      </c>
      <c r="L16" s="529">
        <f>'US TELCO'!D44</f>
        <v>11.558228079590609</v>
      </c>
      <c r="M16" s="529">
        <f>'US TELCO'!E44</f>
        <v>11.252240008169979</v>
      </c>
      <c r="N16" s="529">
        <f>'US TELCO'!F44</f>
        <v>10.240241297777224</v>
      </c>
      <c r="O16" s="529">
        <f>'US TELCO'!G44</f>
        <v>9.3292815694175619</v>
      </c>
      <c r="P16" s="279">
        <f>'US TELCO'!H44</f>
        <v>3.9965241834319487E-2</v>
      </c>
      <c r="S16" s="88"/>
      <c r="T16" s="42"/>
      <c r="U16" s="42"/>
      <c r="V16" s="42"/>
      <c r="W16" s="42"/>
      <c r="X16" s="42"/>
      <c r="Y16" s="42"/>
      <c r="Z16" s="42"/>
      <c r="AA16" s="42"/>
    </row>
    <row r="17" spans="2:27">
      <c r="B17" s="5" t="s">
        <v>6</v>
      </c>
      <c r="C17" s="257"/>
      <c r="D17" s="533">
        <v>0</v>
      </c>
      <c r="E17" s="533">
        <v>0</v>
      </c>
      <c r="F17" s="533">
        <v>0</v>
      </c>
      <c r="G17" s="533">
        <v>0</v>
      </c>
      <c r="H17" s="247"/>
      <c r="I17" s="247"/>
      <c r="J17" s="5" t="s">
        <v>580</v>
      </c>
      <c r="L17" s="248">
        <f>'US TELCO'!D45</f>
        <v>3.7573059207814459E-2</v>
      </c>
      <c r="M17" s="248">
        <f>'US TELCO'!E45</f>
        <v>4.3542837531484802E-2</v>
      </c>
      <c r="N17" s="248">
        <f>'US TELCO'!F45</f>
        <v>4.5586452724386897E-2</v>
      </c>
      <c r="O17" s="248">
        <f>'US TELCO'!G45</f>
        <v>4.7939440955118998E-2</v>
      </c>
      <c r="P17" s="279">
        <f>'US TELCO'!H45</f>
        <v>5.0211107719274395E-2</v>
      </c>
      <c r="S17" s="88"/>
      <c r="T17" s="42"/>
      <c r="U17" s="42"/>
      <c r="V17" s="42"/>
      <c r="W17" s="42"/>
      <c r="X17" s="42"/>
      <c r="Y17" s="42"/>
      <c r="Z17" s="42"/>
      <c r="AA17" s="42"/>
    </row>
    <row r="18" spans="2:27" ht="12.6" thickBot="1">
      <c r="B18" s="41" t="s">
        <v>518</v>
      </c>
      <c r="C18" s="249"/>
      <c r="D18" s="534">
        <f>D11+D12+D13-D14+D15-D16-D17</f>
        <v>272001.34152899997</v>
      </c>
      <c r="E18" s="534">
        <f>E11+E12+E13-E14+E15-E16-E17</f>
        <v>262192.82087316725</v>
      </c>
      <c r="F18" s="534">
        <f>F11+F12+F13-F14+F15-F16-F17</f>
        <v>245600.5038874184</v>
      </c>
      <c r="G18" s="534">
        <f>G11+G12+G13-G14+G15-G16-G17</f>
        <v>230129.65036360151</v>
      </c>
      <c r="H18" s="276">
        <f>IF(D18=0,"nm",IF(G18=0,"nm",(G18/D18)^(1/3)-1))</f>
        <v>-5.4197384771116131E-2</v>
      </c>
      <c r="I18" s="254"/>
      <c r="J18" s="5" t="s">
        <v>36</v>
      </c>
      <c r="L18" s="248">
        <f>'US TELCO'!D46</f>
        <v>6.2248073075755299E-2</v>
      </c>
      <c r="M18" s="248">
        <f>'US TELCO'!E46</f>
        <v>7.7326889817020045E-2</v>
      </c>
      <c r="N18" s="248">
        <f>'US TELCO'!F46</f>
        <v>8.3529460308981493E-2</v>
      </c>
      <c r="O18" s="248">
        <f>'US TELCO'!G46</f>
        <v>9.1689652210717787E-2</v>
      </c>
      <c r="P18" s="279">
        <f>'US TELCO'!H46</f>
        <v>0.10171503351667854</v>
      </c>
      <c r="S18" s="88"/>
      <c r="T18" s="42"/>
      <c r="U18" s="42"/>
      <c r="V18" s="42"/>
      <c r="W18" s="42"/>
      <c r="X18" s="42"/>
      <c r="Y18" s="42"/>
      <c r="Z18" s="42"/>
      <c r="AA18" s="42"/>
    </row>
    <row r="19" spans="2:27" ht="12.6" thickTop="1">
      <c r="B19" s="41"/>
      <c r="C19" s="249"/>
      <c r="D19" s="229"/>
      <c r="E19" s="229"/>
      <c r="F19" s="229"/>
      <c r="G19" s="229"/>
      <c r="H19" s="276"/>
      <c r="I19" s="254"/>
      <c r="J19" s="5" t="s">
        <v>581</v>
      </c>
      <c r="L19" s="248">
        <f>'US TELCO'!D47</f>
        <v>8.3489205013161136E-2</v>
      </c>
      <c r="M19" s="248">
        <f>'US TELCO'!E47</f>
        <v>7.1990972785462237E-2</v>
      </c>
      <c r="N19" s="248">
        <f>'US TELCO'!F47</f>
        <v>7.8807555485255212E-2</v>
      </c>
      <c r="O19" s="248">
        <f>'US TELCO'!G47</f>
        <v>8.5441163508278226E-2</v>
      </c>
      <c r="P19" s="279">
        <f>'US TELCO'!H47</f>
        <v>-2.422411565871474E-2</v>
      </c>
      <c r="S19" s="88"/>
      <c r="T19" s="42"/>
      <c r="U19" s="42"/>
      <c r="V19" s="42"/>
      <c r="W19" s="42"/>
      <c r="X19" s="42"/>
      <c r="Y19" s="42"/>
      <c r="Z19" s="42"/>
      <c r="AA19" s="42"/>
    </row>
    <row r="20" spans="2:27">
      <c r="H20" s="277"/>
      <c r="I20" s="17"/>
      <c r="J20" s="5" t="s">
        <v>604</v>
      </c>
      <c r="L20" s="305">
        <f>'US TELCO'!D48</f>
        <v>0.45003493807243083</v>
      </c>
      <c r="M20" s="305">
        <f>'US TELCO'!E48</f>
        <v>0.60483746568122188</v>
      </c>
      <c r="N20" s="305">
        <f>'US TELCO'!F48</f>
        <v>0.57845282021107813</v>
      </c>
      <c r="O20" s="305">
        <f>'US TELCO'!G48</f>
        <v>0.56108132177383385</v>
      </c>
      <c r="P20" s="279" t="str">
        <f>'US TELCO'!H48</f>
        <v>nm</v>
      </c>
      <c r="S20" s="88"/>
      <c r="T20" s="42"/>
      <c r="U20" s="42"/>
      <c r="V20" s="42"/>
      <c r="W20" s="42"/>
      <c r="X20" s="42"/>
      <c r="Y20" s="42"/>
      <c r="Z20" s="42"/>
      <c r="AA20" s="42"/>
    </row>
    <row r="21" spans="2:27" ht="12.6" thickBot="1">
      <c r="B21" s="306" t="s">
        <v>924</v>
      </c>
      <c r="C21" s="265"/>
      <c r="D21" s="265" t="str">
        <f>D5</f>
        <v>2023E</v>
      </c>
      <c r="E21" s="265" t="str">
        <f t="shared" ref="E21:H21" si="2">E5</f>
        <v>2024E</v>
      </c>
      <c r="F21" s="265" t="str">
        <f t="shared" si="2"/>
        <v>2025E</v>
      </c>
      <c r="G21" s="265" t="str">
        <f t="shared" si="2"/>
        <v>2026E</v>
      </c>
      <c r="H21" s="265" t="str">
        <f t="shared" si="2"/>
        <v>23E-26E</v>
      </c>
      <c r="I21" s="49"/>
      <c r="J21" s="41"/>
      <c r="L21" s="250"/>
      <c r="M21" s="250"/>
      <c r="N21" s="250"/>
      <c r="O21" s="250"/>
      <c r="P21" s="279"/>
      <c r="S21" s="88"/>
      <c r="T21" s="42"/>
      <c r="U21" s="42"/>
      <c r="V21" s="42"/>
      <c r="W21" s="42"/>
      <c r="X21" s="42"/>
      <c r="Y21" s="42"/>
      <c r="Z21" s="42"/>
      <c r="AA21" s="42"/>
    </row>
    <row r="22" spans="2:27" ht="12.6" thickTop="1">
      <c r="B22" s="5"/>
      <c r="C22" s="257"/>
      <c r="D22" s="17"/>
      <c r="E22" s="17"/>
      <c r="F22" s="17"/>
      <c r="G22" s="17"/>
      <c r="H22" s="17"/>
      <c r="I22" s="17"/>
      <c r="P22" s="277"/>
      <c r="S22" s="88"/>
      <c r="T22" s="42"/>
      <c r="U22" s="42"/>
      <c r="V22" s="42"/>
      <c r="W22" s="42"/>
      <c r="X22" s="42"/>
      <c r="Y22" s="42"/>
      <c r="Z22" s="42"/>
      <c r="AA22" s="42"/>
    </row>
    <row r="23" spans="2:27" ht="12.6" thickBot="1">
      <c r="B23" s="5" t="s">
        <v>584</v>
      </c>
      <c r="C23" s="548">
        <v>79571</v>
      </c>
      <c r="D23" s="533">
        <v>78558</v>
      </c>
      <c r="E23" s="533">
        <v>81741.349773599635</v>
      </c>
      <c r="F23" s="533">
        <v>85416.573572544192</v>
      </c>
      <c r="G23" s="533">
        <v>88848.4986153434</v>
      </c>
      <c r="H23" s="279">
        <f t="shared" ref="H23:H32" si="3">IF(D23=0,"nm",IF(G23=0,"nm",(G23/D23)^(1/3)-1))</f>
        <v>4.188525468612303E-2</v>
      </c>
      <c r="I23" s="247"/>
      <c r="J23" s="306" t="s">
        <v>9</v>
      </c>
      <c r="K23" s="306"/>
      <c r="L23" s="265" t="str">
        <f>D21</f>
        <v>2023E</v>
      </c>
      <c r="M23" s="265" t="str">
        <f t="shared" ref="M23:P23" si="4">E21</f>
        <v>2024E</v>
      </c>
      <c r="N23" s="265" t="str">
        <f t="shared" si="4"/>
        <v>2025E</v>
      </c>
      <c r="O23" s="265" t="str">
        <f t="shared" si="4"/>
        <v>2026E</v>
      </c>
      <c r="P23" s="265" t="str">
        <f t="shared" si="4"/>
        <v>23E-26E</v>
      </c>
      <c r="S23" s="88"/>
      <c r="T23" s="42"/>
      <c r="U23" s="42"/>
      <c r="V23" s="42"/>
      <c r="W23" s="42"/>
      <c r="X23" s="42"/>
      <c r="Y23" s="42"/>
      <c r="Z23" s="42"/>
      <c r="AA23" s="42"/>
    </row>
    <row r="24" spans="2:27" ht="12.6" thickTop="1">
      <c r="B24" s="5" t="s">
        <v>483</v>
      </c>
      <c r="C24" s="549">
        <v>26391</v>
      </c>
      <c r="D24" s="533">
        <v>29091</v>
      </c>
      <c r="E24" s="533">
        <v>31622.614520812152</v>
      </c>
      <c r="F24" s="533">
        <v>33974.352150378421</v>
      </c>
      <c r="G24" s="533">
        <v>36255.504512347303</v>
      </c>
      <c r="H24" s="279">
        <f t="shared" si="3"/>
        <v>7.6147416782025745E-2</v>
      </c>
      <c r="I24" s="249"/>
      <c r="J24" s="17"/>
      <c r="K24" s="17"/>
      <c r="L24" s="17"/>
      <c r="M24" s="17"/>
      <c r="N24" s="17"/>
      <c r="O24" s="248"/>
      <c r="S24" s="88"/>
      <c r="T24" s="42"/>
      <c r="U24" s="42"/>
      <c r="V24" s="42"/>
      <c r="W24" s="42" t="s">
        <v>693</v>
      </c>
      <c r="X24" s="42" t="s">
        <v>700</v>
      </c>
      <c r="Y24" s="42"/>
      <c r="Z24" s="42"/>
      <c r="AA24" s="42"/>
    </row>
    <row r="25" spans="2:27">
      <c r="B25" s="5" t="s">
        <v>183</v>
      </c>
      <c r="C25" s="548">
        <v>12421</v>
      </c>
      <c r="D25" s="533">
        <v>19290</v>
      </c>
      <c r="E25" s="533">
        <v>22562.647149854598</v>
      </c>
      <c r="F25" s="533">
        <v>24846.44900757607</v>
      </c>
      <c r="G25" s="533">
        <v>27097.833149212936</v>
      </c>
      <c r="H25" s="279">
        <f t="shared" si="3"/>
        <v>0.11995553100529999</v>
      </c>
      <c r="I25" s="248"/>
      <c r="J25" s="247" t="s">
        <v>10</v>
      </c>
      <c r="K25" s="247"/>
      <c r="L25" s="321">
        <v>0</v>
      </c>
      <c r="M25" s="321">
        <v>0</v>
      </c>
      <c r="N25" s="321">
        <v>0</v>
      </c>
      <c r="O25" s="321">
        <v>0</v>
      </c>
      <c r="P25" s="279" t="str">
        <f>IF(L25=0,"nm",IF(O25=0,"nm",(O25/L25)^(1/3)-1))</f>
        <v>nm</v>
      </c>
      <c r="S25" s="88"/>
      <c r="T25" s="42"/>
      <c r="U25" s="42"/>
      <c r="V25" s="147" t="s">
        <v>273</v>
      </c>
      <c r="W25" s="288">
        <f>D37/L9</f>
        <v>1.3773754598803047</v>
      </c>
      <c r="X25" s="288">
        <v>1</v>
      </c>
      <c r="Y25" s="42"/>
      <c r="Z25" s="42"/>
      <c r="AA25" s="42"/>
    </row>
    <row r="26" spans="2:27">
      <c r="B26" s="5" t="s">
        <v>586</v>
      </c>
      <c r="C26" s="548">
        <v>7656</v>
      </c>
      <c r="D26" s="533">
        <v>13586</v>
      </c>
      <c r="E26" s="533">
        <v>16645.565575066557</v>
      </c>
      <c r="F26" s="533">
        <v>18193.917125342421</v>
      </c>
      <c r="G26" s="533">
        <v>19518.357108855973</v>
      </c>
      <c r="H26" s="279">
        <f>IF(D26=0,"nm",IF(G26=0,"nm",(G26/D26)^(1/3)-1))</f>
        <v>0.12836745054202159</v>
      </c>
      <c r="I26" s="249"/>
      <c r="J26" s="249" t="s">
        <v>11</v>
      </c>
      <c r="K26" s="249"/>
      <c r="L26" s="281">
        <f>D11+L25</f>
        <v>206007.34152899997</v>
      </c>
      <c r="M26" s="281">
        <f>E11+M25</f>
        <v>192470.87999030435</v>
      </c>
      <c r="N26" s="281">
        <f>F11+N25</f>
        <v>174076.1494254572</v>
      </c>
      <c r="O26" s="281">
        <f>G11+O25</f>
        <v>157078.86073486097</v>
      </c>
      <c r="P26" s="279">
        <f>IF(L26=0,"nm",IF(O26=0,"nm",(O26/L26)^(1/3)-1))</f>
        <v>-8.6423299393016295E-2</v>
      </c>
      <c r="Q26" s="5"/>
      <c r="S26" s="88"/>
      <c r="T26" s="42"/>
      <c r="U26" s="42"/>
      <c r="V26" s="147" t="s">
        <v>184</v>
      </c>
      <c r="W26" s="288">
        <f t="shared" ref="W26:W33" si="5">D38/L10</f>
        <v>1.3356251262282748</v>
      </c>
      <c r="X26" s="288">
        <v>1</v>
      </c>
      <c r="Y26" s="42"/>
      <c r="Z26" s="42"/>
      <c r="AA26" s="42"/>
    </row>
    <row r="27" spans="2:27">
      <c r="B27" s="5" t="s">
        <v>587</v>
      </c>
      <c r="C27" s="549">
        <v>145435</v>
      </c>
      <c r="D27" s="533">
        <v>142732</v>
      </c>
      <c r="E27" s="533">
        <v>141243.09665807983</v>
      </c>
      <c r="F27" s="533">
        <v>138382.93874934208</v>
      </c>
      <c r="G27" s="533">
        <v>134730.80581315534</v>
      </c>
      <c r="H27" s="279">
        <f t="shared" si="3"/>
        <v>-1.9046279566965474E-2</v>
      </c>
      <c r="I27" s="249"/>
      <c r="J27" s="248"/>
      <c r="K27" s="248"/>
      <c r="L27" s="248"/>
      <c r="M27" s="248"/>
      <c r="N27" s="248"/>
      <c r="O27" s="248"/>
      <c r="Q27" s="41"/>
      <c r="S27" s="88"/>
      <c r="T27" s="42"/>
      <c r="U27" s="42"/>
      <c r="V27" s="147" t="s">
        <v>185</v>
      </c>
      <c r="W27" s="288">
        <f t="shared" si="5"/>
        <v>1.1407043465270468</v>
      </c>
      <c r="X27" s="288">
        <v>1</v>
      </c>
      <c r="Y27" s="42"/>
      <c r="Z27" s="42"/>
      <c r="AA27" s="42"/>
    </row>
    <row r="28" spans="2:27" ht="12.6" thickBot="1">
      <c r="B28" s="5" t="s">
        <v>592</v>
      </c>
      <c r="C28" s="548">
        <v>42086</v>
      </c>
      <c r="D28" s="533">
        <v>40432</v>
      </c>
      <c r="E28" s="533">
        <v>35914.888607451088</v>
      </c>
      <c r="F28" s="533">
        <v>31764.872886976736</v>
      </c>
      <c r="G28" s="533">
        <v>27579.256746985477</v>
      </c>
      <c r="H28" s="279">
        <f t="shared" si="3"/>
        <v>-0.11972349374419411</v>
      </c>
      <c r="I28" s="248"/>
      <c r="J28" s="306" t="s">
        <v>1362</v>
      </c>
      <c r="K28" s="306"/>
      <c r="L28" s="306"/>
      <c r="M28" s="306"/>
      <c r="N28" s="266"/>
      <c r="O28" s="266"/>
      <c r="P28" s="266"/>
      <c r="Q28" s="5"/>
      <c r="S28" s="88"/>
      <c r="T28" s="42"/>
      <c r="U28" s="42"/>
      <c r="V28" s="147" t="s">
        <v>466</v>
      </c>
      <c r="W28" s="288">
        <f t="shared" si="5"/>
        <v>1.1178310440362211</v>
      </c>
      <c r="X28" s="288">
        <v>1</v>
      </c>
      <c r="Y28" s="42"/>
      <c r="Z28" s="42"/>
      <c r="AA28" s="42"/>
    </row>
    <row r="29" spans="2:27" ht="12.6" thickTop="1">
      <c r="B29" s="5" t="s">
        <v>588</v>
      </c>
      <c r="C29" s="548">
        <v>9322</v>
      </c>
      <c r="D29" s="533">
        <v>13034</v>
      </c>
      <c r="E29" s="533">
        <v>3167.8311836664884</v>
      </c>
      <c r="F29" s="533">
        <v>3851.4861800448498</v>
      </c>
      <c r="G29" s="533">
        <v>4224.4535504756341</v>
      </c>
      <c r="H29" s="279">
        <f t="shared" si="3"/>
        <v>-0.31309352922142308</v>
      </c>
      <c r="I29" s="252"/>
      <c r="J29" s="249"/>
      <c r="K29" s="249"/>
      <c r="L29" s="249"/>
      <c r="M29" s="249"/>
      <c r="N29" s="249"/>
      <c r="O29" s="251"/>
      <c r="Q29" s="5"/>
      <c r="S29" s="88"/>
      <c r="T29" s="42"/>
      <c r="U29" s="42"/>
      <c r="V29" s="147" t="s">
        <v>530</v>
      </c>
      <c r="W29" s="288">
        <f t="shared" si="5"/>
        <v>1.4760898332605399</v>
      </c>
      <c r="X29" s="288">
        <v>1</v>
      </c>
      <c r="Y29" s="42"/>
      <c r="Z29" s="42"/>
      <c r="AA29" s="42"/>
    </row>
    <row r="30" spans="2:27">
      <c r="B30" s="5" t="s">
        <v>589</v>
      </c>
      <c r="C30" s="549">
        <v>2692.8836513534407</v>
      </c>
      <c r="D30" s="533">
        <v>8602.0395690595815</v>
      </c>
      <c r="E30" s="533">
        <v>10357.762233146386</v>
      </c>
      <c r="F30" s="533">
        <v>12340.519216604671</v>
      </c>
      <c r="G30" s="533">
        <v>13945.060172669242</v>
      </c>
      <c r="H30" s="279">
        <f t="shared" si="3"/>
        <v>0.17473430729807138</v>
      </c>
      <c r="I30" s="254"/>
      <c r="J30" s="248"/>
      <c r="K30" s="248"/>
      <c r="L30" s="248"/>
      <c r="M30" s="248"/>
      <c r="N30" s="248"/>
      <c r="O30" s="5"/>
      <c r="Q30" s="5"/>
      <c r="S30" s="88"/>
      <c r="T30" s="42"/>
      <c r="U30" s="42"/>
      <c r="V30" s="147" t="s">
        <v>593</v>
      </c>
      <c r="W30" s="288">
        <f t="shared" si="5"/>
        <v>2.0839731463104059</v>
      </c>
      <c r="X30" s="288">
        <v>1</v>
      </c>
      <c r="Y30" s="42"/>
      <c r="Z30" s="42"/>
      <c r="AA30" s="42"/>
    </row>
    <row r="31" spans="2:27">
      <c r="B31" s="5" t="s">
        <v>590</v>
      </c>
      <c r="C31" s="549">
        <v>0</v>
      </c>
      <c r="D31" s="533">
        <v>747</v>
      </c>
      <c r="E31" s="533">
        <v>3050.5</v>
      </c>
      <c r="F31" s="533">
        <v>3057</v>
      </c>
      <c r="G31" s="533">
        <v>3203.6918326216005</v>
      </c>
      <c r="H31" s="279">
        <f t="shared" si="3"/>
        <v>0.62471320685589027</v>
      </c>
      <c r="I31" s="254"/>
      <c r="J31" s="252"/>
      <c r="K31" s="252"/>
      <c r="L31" s="252"/>
      <c r="M31" s="252"/>
      <c r="N31" s="252"/>
      <c r="O31" s="5"/>
      <c r="Q31" s="5"/>
      <c r="S31" s="88"/>
      <c r="T31" s="42"/>
      <c r="U31" s="42"/>
      <c r="V31" s="147" t="s">
        <v>475</v>
      </c>
      <c r="W31" s="288">
        <f t="shared" si="5"/>
        <v>1.3195787303307489</v>
      </c>
      <c r="X31" s="288">
        <v>1</v>
      </c>
      <c r="Y31" s="42"/>
      <c r="Z31" s="42"/>
      <c r="AA31" s="42"/>
    </row>
    <row r="32" spans="2:27">
      <c r="B32" s="5" t="s">
        <v>606</v>
      </c>
      <c r="C32" s="550">
        <v>3000</v>
      </c>
      <c r="D32" s="533">
        <v>13074</v>
      </c>
      <c r="E32" s="533">
        <v>17447.006457929419</v>
      </c>
      <c r="F32" s="533">
        <v>18896.330704440748</v>
      </c>
      <c r="G32" s="533">
        <v>21044.792275635336</v>
      </c>
      <c r="H32" s="279">
        <f t="shared" si="3"/>
        <v>0.17195801699036917</v>
      </c>
      <c r="I32" s="254"/>
      <c r="J32" s="254"/>
      <c r="K32" s="254"/>
      <c r="L32" s="254"/>
      <c r="M32" s="254"/>
      <c r="N32" s="254"/>
      <c r="O32" s="251"/>
      <c r="Q32" s="5"/>
      <c r="S32" s="88"/>
      <c r="T32" s="42"/>
      <c r="U32" s="42"/>
      <c r="V32" s="147" t="s">
        <v>533</v>
      </c>
      <c r="W32" s="288">
        <f t="shared" si="5"/>
        <v>2.0720011949840473</v>
      </c>
      <c r="X32" s="288">
        <v>1</v>
      </c>
      <c r="Y32" s="42"/>
      <c r="Z32" s="42"/>
      <c r="AA32" s="42"/>
    </row>
    <row r="33" spans="2:27">
      <c r="B33" s="5" t="s">
        <v>5</v>
      </c>
      <c r="C33" s="549">
        <v>3397</v>
      </c>
      <c r="D33" s="533">
        <v>3267</v>
      </c>
      <c r="E33" s="533">
        <v>3508.5012400078067</v>
      </c>
      <c r="F33" s="533">
        <v>3679.668002095575</v>
      </c>
      <c r="G33" s="533">
        <v>3706.2896241305698</v>
      </c>
      <c r="H33" s="279">
        <f>IF(D33=0,"nm",IF(G33=0,"nm",(G33/D33)^(1/3)-1))</f>
        <v>4.2949803077116044E-2</v>
      </c>
      <c r="I33" s="5"/>
      <c r="J33" s="254"/>
      <c r="K33" s="254"/>
      <c r="L33" s="254"/>
      <c r="M33" s="254"/>
      <c r="N33" s="254"/>
      <c r="O33" s="251"/>
      <c r="Q33" s="5"/>
      <c r="S33" s="88"/>
      <c r="T33" s="42"/>
      <c r="U33" s="42"/>
      <c r="V33" s="147" t="s">
        <v>580</v>
      </c>
      <c r="W33" s="288">
        <f t="shared" si="5"/>
        <v>9.6507562613013201E-2</v>
      </c>
      <c r="X33" s="288">
        <v>1</v>
      </c>
      <c r="Y33" s="42"/>
      <c r="Z33" s="42"/>
      <c r="AA33" s="42"/>
    </row>
    <row r="34" spans="2:27">
      <c r="H34" s="277"/>
      <c r="I34" s="49"/>
      <c r="J34" s="254"/>
      <c r="K34" s="254"/>
      <c r="L34" s="254"/>
      <c r="M34" s="254"/>
      <c r="N34" s="254"/>
      <c r="O34" s="251"/>
      <c r="Q34" s="5"/>
      <c r="S34" s="88"/>
      <c r="T34" s="42"/>
      <c r="U34" s="42"/>
      <c r="V34" s="147" t="s">
        <v>581</v>
      </c>
      <c r="W34" s="288">
        <f>D47/L19</f>
        <v>0.75781761028336125</v>
      </c>
      <c r="X34" s="288">
        <v>1</v>
      </c>
      <c r="Y34" s="288"/>
      <c r="Z34" s="288"/>
      <c r="AA34" s="42"/>
    </row>
    <row r="35" spans="2:27" ht="12.6" thickBot="1">
      <c r="B35" s="306" t="s">
        <v>701</v>
      </c>
      <c r="C35" s="265"/>
      <c r="D35" s="265" t="str">
        <f>D5</f>
        <v>2023E</v>
      </c>
      <c r="E35" s="265" t="str">
        <f t="shared" ref="E35:H35" si="6">E5</f>
        <v>2024E</v>
      </c>
      <c r="F35" s="265" t="str">
        <f t="shared" si="6"/>
        <v>2025E</v>
      </c>
      <c r="G35" s="265" t="str">
        <f t="shared" si="6"/>
        <v>2026E</v>
      </c>
      <c r="H35" s="265" t="str">
        <f t="shared" si="6"/>
        <v>23E-26E</v>
      </c>
      <c r="I35" s="254"/>
      <c r="J35" s="5"/>
      <c r="K35" s="5"/>
      <c r="L35" s="5"/>
      <c r="M35" s="5"/>
      <c r="N35" s="5"/>
      <c r="O35" s="5"/>
      <c r="Q35" s="5"/>
      <c r="S35" s="88"/>
      <c r="T35" s="42"/>
      <c r="U35" s="42"/>
      <c r="V35" s="42"/>
      <c r="W35" s="42"/>
      <c r="X35" s="42"/>
      <c r="Y35" s="288"/>
      <c r="Z35" s="288"/>
      <c r="AA35" s="42"/>
    </row>
    <row r="36" spans="2:27" ht="12.6" thickTop="1">
      <c r="B36" s="41"/>
      <c r="C36" s="249"/>
      <c r="D36" s="254"/>
      <c r="E36" s="254"/>
      <c r="F36" s="254"/>
      <c r="G36" s="254"/>
      <c r="H36" s="254"/>
      <c r="I36" s="17"/>
      <c r="J36" s="49"/>
      <c r="K36" s="49"/>
      <c r="L36" s="49"/>
      <c r="M36" s="49"/>
      <c r="N36" s="49"/>
      <c r="O36" s="49"/>
      <c r="Q36" s="5"/>
      <c r="S36" s="88"/>
      <c r="T36" s="42"/>
      <c r="U36" s="42"/>
      <c r="V36" s="42"/>
      <c r="W36" s="42"/>
      <c r="X36" s="42"/>
      <c r="Y36" s="288"/>
      <c r="Z36" s="288"/>
      <c r="AA36" s="42"/>
    </row>
    <row r="37" spans="2:27">
      <c r="B37" s="5" t="s">
        <v>273</v>
      </c>
      <c r="C37" s="247"/>
      <c r="D37" s="529">
        <f>D$18/D23</f>
        <v>3.4624270160772928</v>
      </c>
      <c r="E37" s="529">
        <f t="shared" ref="E37:G41" si="7">E$18/E23</f>
        <v>3.2075910368420271</v>
      </c>
      <c r="F37" s="529">
        <f t="shared" si="7"/>
        <v>2.8753261061078526</v>
      </c>
      <c r="G37" s="529">
        <f t="shared" si="7"/>
        <v>2.5901354997557609</v>
      </c>
      <c r="H37" s="17">
        <f t="shared" ref="H37:H44" si="8">H23</f>
        <v>4.188525468612303E-2</v>
      </c>
      <c r="I37" s="5"/>
      <c r="J37" s="259"/>
      <c r="K37" s="259"/>
      <c r="L37" s="259"/>
      <c r="M37" s="259"/>
      <c r="N37" s="259"/>
      <c r="O37" s="18"/>
      <c r="Q37" s="5"/>
      <c r="R37" s="5"/>
      <c r="S37" s="42"/>
      <c r="T37" s="42"/>
      <c r="U37" s="42"/>
      <c r="V37" s="42"/>
      <c r="W37" s="42"/>
      <c r="X37" s="42"/>
      <c r="Y37" s="42"/>
      <c r="Z37" s="42"/>
      <c r="AA37" s="42"/>
    </row>
    <row r="38" spans="2:27">
      <c r="B38" s="5" t="s">
        <v>184</v>
      </c>
      <c r="C38" s="247"/>
      <c r="D38" s="529">
        <f>D$18/D24</f>
        <v>9.3500168962565731</v>
      </c>
      <c r="E38" s="529">
        <f t="shared" si="7"/>
        <v>8.2913074976962235</v>
      </c>
      <c r="F38" s="529">
        <f t="shared" si="7"/>
        <v>7.2289974154719179</v>
      </c>
      <c r="G38" s="529">
        <f t="shared" si="7"/>
        <v>6.347440297934007</v>
      </c>
      <c r="H38" s="17">
        <f t="shared" si="8"/>
        <v>7.6147416782025745E-2</v>
      </c>
      <c r="I38" s="259"/>
      <c r="J38" s="17"/>
      <c r="K38" s="17"/>
      <c r="L38" s="17"/>
      <c r="M38" s="17"/>
      <c r="N38" s="17"/>
      <c r="O38" s="5"/>
      <c r="Q38" s="5"/>
      <c r="R38" s="5"/>
      <c r="S38" s="42"/>
      <c r="T38" s="42"/>
      <c r="U38" s="42"/>
      <c r="V38" s="42"/>
      <c r="W38" s="42"/>
      <c r="X38" s="42"/>
      <c r="Y38" s="42"/>
      <c r="Z38" s="42"/>
      <c r="AA38" s="42"/>
    </row>
    <row r="39" spans="2:27">
      <c r="B39" s="5" t="s">
        <v>185</v>
      </c>
      <c r="C39" s="247"/>
      <c r="D39" s="529">
        <f>D$18/D25</f>
        <v>14.100639788958008</v>
      </c>
      <c r="E39" s="529">
        <f t="shared" si="7"/>
        <v>11.620658654623197</v>
      </c>
      <c r="F39" s="529">
        <f t="shared" si="7"/>
        <v>9.8847325753684547</v>
      </c>
      <c r="G39" s="529">
        <f t="shared" si="7"/>
        <v>8.4925480608137001</v>
      </c>
      <c r="H39" s="17">
        <f t="shared" si="8"/>
        <v>0.11995553100529999</v>
      </c>
      <c r="I39" s="17"/>
      <c r="J39" s="5"/>
      <c r="K39" s="5"/>
      <c r="L39" s="5"/>
      <c r="M39" s="5"/>
      <c r="N39" s="5"/>
      <c r="O39" s="5"/>
      <c r="Q39" s="5"/>
      <c r="R39" s="5"/>
      <c r="S39" s="42"/>
      <c r="T39" s="42"/>
      <c r="U39" s="42"/>
      <c r="V39" s="42"/>
      <c r="W39" s="42"/>
      <c r="X39" s="42"/>
      <c r="Y39" s="42"/>
      <c r="Z39" s="42"/>
      <c r="AA39" s="42"/>
    </row>
    <row r="40" spans="2:27">
      <c r="B40" s="5" t="s">
        <v>466</v>
      </c>
      <c r="C40" s="247"/>
      <c r="D40" s="529">
        <f>D$18/D26</f>
        <v>20.020708194391283</v>
      </c>
      <c r="E40" s="529">
        <f>E$18/E26</f>
        <v>15.751511697860639</v>
      </c>
      <c r="F40" s="529">
        <f t="shared" si="7"/>
        <v>13.499044883815587</v>
      </c>
      <c r="G40" s="529">
        <f t="shared" si="7"/>
        <v>11.79042114457399</v>
      </c>
      <c r="H40" s="17">
        <f t="shared" si="8"/>
        <v>0.12836745054202159</v>
      </c>
      <c r="I40" s="5"/>
      <c r="J40" s="259"/>
      <c r="K40" s="259"/>
      <c r="L40" s="259"/>
      <c r="M40" s="259"/>
      <c r="N40" s="259"/>
      <c r="O40" s="18"/>
      <c r="Q40" s="5"/>
      <c r="R40" s="5"/>
      <c r="S40" s="42"/>
      <c r="T40" s="42"/>
      <c r="U40" s="42"/>
      <c r="V40" s="42"/>
      <c r="W40" s="288"/>
      <c r="X40" s="288"/>
      <c r="Y40" s="42"/>
      <c r="Z40" s="42"/>
      <c r="AA40" s="42"/>
    </row>
    <row r="41" spans="2:27">
      <c r="B41" s="5" t="s">
        <v>530</v>
      </c>
      <c r="C41" s="247"/>
      <c r="D41" s="529">
        <f>D$18/D27</f>
        <v>1.9056787653014038</v>
      </c>
      <c r="E41" s="529">
        <f t="shared" si="7"/>
        <v>1.8563230846452026</v>
      </c>
      <c r="F41" s="529">
        <f t="shared" si="7"/>
        <v>1.7747889017755527</v>
      </c>
      <c r="G41" s="529">
        <f t="shared" si="7"/>
        <v>1.7080700213635274</v>
      </c>
      <c r="H41" s="17">
        <f t="shared" si="8"/>
        <v>-1.9046279566965474E-2</v>
      </c>
      <c r="I41" s="247"/>
      <c r="J41" s="17"/>
      <c r="K41" s="17"/>
      <c r="L41" s="17"/>
      <c r="M41" s="17"/>
      <c r="N41" s="17"/>
      <c r="O41" s="5"/>
      <c r="Q41" s="5"/>
      <c r="R41" s="5"/>
      <c r="S41" s="42"/>
      <c r="T41" s="42"/>
      <c r="U41" s="42"/>
      <c r="V41" s="42"/>
      <c r="W41" s="288"/>
      <c r="X41" s="288"/>
      <c r="Y41" s="288"/>
      <c r="Z41" s="288"/>
      <c r="AA41" s="42"/>
    </row>
    <row r="42" spans="2:27">
      <c r="B42" s="5" t="s">
        <v>593</v>
      </c>
      <c r="C42" s="247"/>
      <c r="D42" s="529">
        <f>D18/D28</f>
        <v>6.7273778573654521</v>
      </c>
      <c r="E42" s="529">
        <f>E18/E28</f>
        <v>7.3003935426037039</v>
      </c>
      <c r="F42" s="529">
        <f>F18/F28</f>
        <v>7.7318270644839258</v>
      </c>
      <c r="G42" s="529">
        <f>G18/G28</f>
        <v>8.3443021135352247</v>
      </c>
      <c r="H42" s="17">
        <f t="shared" si="8"/>
        <v>-0.11972349374419411</v>
      </c>
      <c r="I42" s="248"/>
      <c r="J42" s="5"/>
      <c r="K42" s="5"/>
      <c r="L42" s="5"/>
      <c r="M42" s="5"/>
      <c r="N42" s="5"/>
      <c r="O42" s="5"/>
      <c r="Q42" s="5"/>
      <c r="R42" s="5"/>
      <c r="S42" s="42"/>
      <c r="T42" s="42"/>
      <c r="U42" s="42"/>
      <c r="V42" s="42"/>
      <c r="W42" s="288"/>
      <c r="X42" s="288"/>
      <c r="Y42" s="288"/>
      <c r="Z42" s="288"/>
      <c r="AA42" s="42"/>
    </row>
    <row r="43" spans="2:27">
      <c r="B43" s="5" t="s">
        <v>475</v>
      </c>
      <c r="C43" s="247"/>
      <c r="D43" s="529">
        <f>L26/D29</f>
        <v>15.805381427727479</v>
      </c>
      <c r="E43" s="529">
        <f>M26/E29</f>
        <v>60.757934634488976</v>
      </c>
      <c r="F43" s="529">
        <f>N26/F29</f>
        <v>45.197137231693276</v>
      </c>
      <c r="G43" s="529">
        <f>O26/G29</f>
        <v>37.183237750874397</v>
      </c>
      <c r="H43" s="17">
        <f t="shared" si="8"/>
        <v>-0.31309352922142308</v>
      </c>
      <c r="I43" s="247"/>
      <c r="J43" s="247"/>
      <c r="K43" s="247"/>
      <c r="L43" s="247"/>
      <c r="M43" s="247"/>
      <c r="N43" s="247"/>
      <c r="O43" s="18"/>
      <c r="Q43" s="5"/>
      <c r="R43" s="5"/>
      <c r="S43" s="42"/>
      <c r="T43" s="42"/>
      <c r="U43" s="42"/>
      <c r="V43" s="42"/>
      <c r="W43" s="288"/>
      <c r="X43" s="288"/>
      <c r="Y43" s="288"/>
      <c r="Z43" s="288"/>
      <c r="AA43" s="42"/>
    </row>
    <row r="44" spans="2:27">
      <c r="B44" s="5" t="s">
        <v>533</v>
      </c>
      <c r="C44" s="69"/>
      <c r="D44" s="529">
        <f>D11/D30</f>
        <v>23.948662392809911</v>
      </c>
      <c r="E44" s="529">
        <f>E11/E30</f>
        <v>18.582284054983305</v>
      </c>
      <c r="F44" s="529">
        <f>F11/F30</f>
        <v>14.106063640436673</v>
      </c>
      <c r="G44" s="529">
        <f>G11/G30</f>
        <v>11.264122118506018</v>
      </c>
      <c r="H44" s="17">
        <f t="shared" si="8"/>
        <v>0.17473430729807138</v>
      </c>
      <c r="I44" s="247"/>
      <c r="J44" s="248"/>
      <c r="K44" s="248"/>
      <c r="L44" s="248"/>
      <c r="M44" s="248"/>
      <c r="N44" s="248"/>
      <c r="O44" s="248"/>
      <c r="Q44" s="5"/>
      <c r="R44" s="5"/>
      <c r="S44" s="42"/>
      <c r="T44" s="42"/>
      <c r="U44" s="42"/>
      <c r="V44" s="42"/>
      <c r="W44" s="325"/>
      <c r="X44" s="325"/>
      <c r="Y44" s="288"/>
      <c r="Z44" s="288"/>
      <c r="AA44" s="42"/>
    </row>
    <row r="45" spans="2:27">
      <c r="B45" s="5" t="s">
        <v>580</v>
      </c>
      <c r="C45" s="247"/>
      <c r="D45" s="248">
        <f>D31/D11</f>
        <v>3.6260843640606062E-3</v>
      </c>
      <c r="E45" s="248">
        <f>E31/E11</f>
        <v>1.5849150791816754E-2</v>
      </c>
      <c r="F45" s="248">
        <f>F31/F11</f>
        <v>1.7561279992059264E-2</v>
      </c>
      <c r="G45" s="248">
        <f>G31/G11</f>
        <v>2.0395435882548364E-2</v>
      </c>
      <c r="H45" s="17">
        <f>H31</f>
        <v>0.62471320685589027</v>
      </c>
      <c r="I45" s="248"/>
      <c r="J45" s="247"/>
      <c r="K45" s="247"/>
      <c r="L45" s="247"/>
      <c r="M45" s="247"/>
      <c r="N45" s="247"/>
      <c r="O45" s="248"/>
      <c r="Q45" s="5"/>
      <c r="R45" s="5"/>
      <c r="S45" s="42"/>
      <c r="T45" s="42"/>
      <c r="U45" s="42"/>
      <c r="V45" s="42"/>
      <c r="W45" s="42"/>
      <c r="X45" s="42"/>
      <c r="Y45" s="325"/>
      <c r="Z45" s="325"/>
      <c r="AA45" s="42"/>
    </row>
    <row r="46" spans="2:27">
      <c r="B46" s="5" t="s">
        <v>605</v>
      </c>
      <c r="C46" s="247"/>
      <c r="D46" s="248">
        <f>(D31+D32)/D11</f>
        <v>6.708984202902496E-2</v>
      </c>
      <c r="E46" s="248">
        <f>(E31+E32)/E11</f>
        <v>0.10649666307423737</v>
      </c>
      <c r="F46" s="248">
        <f>(F31+F32)/F11</f>
        <v>0.12611337496203978</v>
      </c>
      <c r="G46" s="248">
        <f>(G31+G32)/G11</f>
        <v>0.15437140296800866</v>
      </c>
      <c r="H46" s="17">
        <f>H32</f>
        <v>0.17195801699036917</v>
      </c>
      <c r="I46" s="247"/>
      <c r="J46" s="247"/>
      <c r="K46" s="247"/>
      <c r="L46" s="247"/>
      <c r="M46" s="247"/>
      <c r="N46" s="247"/>
      <c r="O46" s="18"/>
      <c r="Q46" s="5"/>
      <c r="R46" s="5"/>
      <c r="S46" s="42"/>
      <c r="T46" s="42"/>
      <c r="U46" s="42"/>
      <c r="V46" s="42"/>
      <c r="W46" s="42"/>
      <c r="X46" s="42"/>
      <c r="Y46" s="42"/>
      <c r="Z46" s="42"/>
      <c r="AA46" s="326"/>
    </row>
    <row r="47" spans="2:27">
      <c r="B47" s="5" t="s">
        <v>581</v>
      </c>
      <c r="C47" s="5"/>
      <c r="D47" s="248">
        <f>1/D43</f>
        <v>6.3269589827531392E-2</v>
      </c>
      <c r="E47" s="248">
        <f>1/E43</f>
        <v>1.6458755650860364E-2</v>
      </c>
      <c r="F47" s="248">
        <f>1/F43</f>
        <v>2.2125295123753479E-2</v>
      </c>
      <c r="G47" s="248">
        <f>1/G43</f>
        <v>2.6893838742606112E-2</v>
      </c>
      <c r="H47" s="17">
        <f>H29</f>
        <v>-0.31309352922142308</v>
      </c>
      <c r="I47" s="17"/>
      <c r="J47" s="248"/>
      <c r="K47" s="248"/>
      <c r="L47" s="248"/>
      <c r="M47" s="248"/>
      <c r="N47" s="248"/>
      <c r="O47" s="248"/>
      <c r="Q47" s="5"/>
      <c r="R47" s="5"/>
      <c r="S47" s="42"/>
      <c r="T47" s="42"/>
      <c r="U47" s="42"/>
      <c r="V47" s="42"/>
      <c r="W47" s="42"/>
      <c r="X47" s="42"/>
      <c r="Y47" s="42"/>
      <c r="Z47" s="42"/>
      <c r="AA47" s="326"/>
    </row>
    <row r="48" spans="2:27">
      <c r="B48" s="5" t="s">
        <v>618</v>
      </c>
      <c r="C48" s="5"/>
      <c r="D48" s="305">
        <f>D31/D29</f>
        <v>5.7311646463096513E-2</v>
      </c>
      <c r="E48" s="305">
        <f>E31/E29</f>
        <v>0.96296166782136172</v>
      </c>
      <c r="F48" s="305">
        <f>F31/F29</f>
        <v>0.79371958176529189</v>
      </c>
      <c r="G48" s="305">
        <f>G31/G29</f>
        <v>0.75836834145351051</v>
      </c>
      <c r="H48" s="279" t="s">
        <v>607</v>
      </c>
      <c r="I48" s="247"/>
      <c r="J48" s="247"/>
      <c r="K48" s="247"/>
      <c r="L48" s="247"/>
      <c r="M48" s="247"/>
      <c r="N48" s="247"/>
      <c r="O48" s="248"/>
      <c r="Q48" s="5"/>
      <c r="R48" s="5"/>
      <c r="S48" s="42"/>
      <c r="T48" s="42"/>
      <c r="U48" s="42"/>
      <c r="V48" s="42"/>
      <c r="W48" s="42"/>
      <c r="X48" s="42"/>
      <c r="Y48" s="42"/>
      <c r="Z48" s="42"/>
      <c r="AA48" s="326"/>
    </row>
    <row r="49" spans="2:27">
      <c r="B49" s="41"/>
      <c r="C49" s="17"/>
      <c r="D49" s="17"/>
      <c r="E49" s="17"/>
      <c r="F49" s="17"/>
      <c r="G49" s="17"/>
      <c r="H49" s="17"/>
      <c r="I49" s="254"/>
      <c r="J49" s="17"/>
      <c r="K49" s="17"/>
      <c r="L49" s="17"/>
      <c r="M49" s="17"/>
      <c r="N49" s="17"/>
      <c r="O49" s="248"/>
      <c r="Q49" s="5"/>
      <c r="R49" s="5"/>
      <c r="S49" s="42"/>
      <c r="T49" s="42"/>
      <c r="U49" s="42"/>
      <c r="V49" s="42"/>
      <c r="W49" s="42"/>
      <c r="X49" s="42"/>
      <c r="Y49" s="42"/>
      <c r="Z49" s="42"/>
      <c r="AA49" s="326"/>
    </row>
    <row r="50" spans="2:27">
      <c r="B50" s="5"/>
      <c r="C50" s="257"/>
      <c r="D50" s="257"/>
      <c r="E50" s="257"/>
      <c r="F50" s="5"/>
      <c r="G50" s="41"/>
      <c r="H50" s="249"/>
      <c r="I50" s="17"/>
      <c r="J50" s="249"/>
      <c r="K50" s="249"/>
      <c r="L50" s="249"/>
      <c r="M50" s="249"/>
      <c r="N50" s="249"/>
      <c r="O50" s="250"/>
      <c r="Q50" s="5"/>
      <c r="R50" s="5"/>
      <c r="S50" s="42"/>
      <c r="T50" s="42"/>
      <c r="U50" s="42"/>
      <c r="V50" s="42"/>
      <c r="W50" s="288"/>
      <c r="X50" s="288"/>
      <c r="Y50" s="42"/>
      <c r="Z50" s="42"/>
      <c r="AA50" s="326"/>
    </row>
    <row r="51" spans="2:27">
      <c r="B51" s="41"/>
      <c r="C51" s="249"/>
      <c r="D51" s="254"/>
      <c r="E51" s="254"/>
      <c r="F51" s="254"/>
      <c r="G51" s="254"/>
      <c r="H51" s="254"/>
      <c r="I51" s="259"/>
      <c r="J51" s="254"/>
      <c r="K51" s="254"/>
      <c r="L51" s="254"/>
      <c r="M51" s="254"/>
      <c r="N51" s="254"/>
      <c r="O51" s="251"/>
      <c r="Q51" s="5"/>
      <c r="R51" s="5"/>
      <c r="S51" s="42"/>
      <c r="T51" s="42"/>
      <c r="U51" s="42"/>
      <c r="V51" s="42"/>
      <c r="W51" s="288"/>
      <c r="X51" s="288"/>
      <c r="Y51" s="288"/>
      <c r="Z51" s="288"/>
      <c r="AA51" s="42"/>
    </row>
    <row r="52" spans="2:27">
      <c r="B52" s="5"/>
      <c r="C52" s="257"/>
      <c r="D52" s="17"/>
      <c r="E52" s="17"/>
      <c r="F52" s="17"/>
      <c r="G52" s="17"/>
      <c r="H52" s="17"/>
      <c r="I52" s="254"/>
      <c r="J52" s="17"/>
      <c r="K52" s="17"/>
      <c r="L52" s="17"/>
      <c r="M52" s="17"/>
      <c r="N52" s="17"/>
      <c r="O52" s="248"/>
      <c r="Q52" s="5"/>
      <c r="R52" s="5"/>
      <c r="S52" s="5"/>
      <c r="Y52" s="10"/>
      <c r="Z52" s="10"/>
    </row>
    <row r="53" spans="2:27">
      <c r="B53" s="5"/>
      <c r="C53" s="257"/>
      <c r="D53" s="257"/>
      <c r="E53" s="257"/>
      <c r="F53" s="5"/>
      <c r="G53" s="5"/>
      <c r="H53" s="259"/>
      <c r="I53" s="17"/>
      <c r="J53" s="259"/>
      <c r="K53" s="259"/>
      <c r="L53" s="259"/>
      <c r="M53" s="259"/>
      <c r="N53" s="259"/>
      <c r="O53" s="18"/>
      <c r="Q53" s="5"/>
      <c r="R53" s="5"/>
      <c r="S53" s="5"/>
    </row>
    <row r="54" spans="2:27">
      <c r="B54" s="41"/>
      <c r="C54" s="249"/>
      <c r="D54" s="254"/>
      <c r="E54" s="254"/>
      <c r="F54" s="254"/>
      <c r="G54" s="254"/>
      <c r="H54" s="254"/>
      <c r="I54" s="259"/>
      <c r="J54" s="254"/>
      <c r="K54" s="254"/>
      <c r="L54" s="254"/>
      <c r="M54" s="254"/>
      <c r="N54" s="254"/>
      <c r="O54" s="251"/>
      <c r="Q54" s="5"/>
      <c r="R54" s="5"/>
      <c r="S54" s="5"/>
    </row>
    <row r="55" spans="2:27">
      <c r="B55" s="5"/>
      <c r="C55" s="257"/>
      <c r="D55" s="17"/>
      <c r="E55" s="17"/>
      <c r="F55" s="17"/>
      <c r="G55" s="17"/>
      <c r="H55" s="17"/>
      <c r="I55" s="249"/>
      <c r="J55" s="17"/>
      <c r="K55" s="17"/>
      <c r="L55" s="17"/>
      <c r="M55" s="17"/>
      <c r="N55" s="17"/>
      <c r="O55" s="18"/>
      <c r="Q55" s="5"/>
      <c r="R55" s="5"/>
      <c r="S55" s="5"/>
    </row>
    <row r="56" spans="2:27">
      <c r="B56" s="5"/>
      <c r="C56" s="248"/>
      <c r="D56" s="248"/>
      <c r="E56" s="248"/>
      <c r="F56" s="5"/>
      <c r="G56" s="5"/>
      <c r="H56" s="259"/>
      <c r="I56" s="248"/>
      <c r="J56" s="259"/>
      <c r="K56" s="259"/>
      <c r="L56" s="259"/>
      <c r="M56" s="259"/>
      <c r="N56" s="259"/>
      <c r="O56" s="18"/>
      <c r="Q56" s="5"/>
      <c r="R56" s="5"/>
      <c r="S56" s="5"/>
    </row>
    <row r="57" spans="2:27">
      <c r="B57" s="41"/>
      <c r="C57" s="249"/>
      <c r="D57" s="249"/>
      <c r="E57" s="249"/>
      <c r="F57" s="249"/>
      <c r="G57" s="249"/>
      <c r="H57" s="249"/>
      <c r="I57" s="5"/>
      <c r="J57" s="249"/>
      <c r="K57" s="249"/>
      <c r="L57" s="249"/>
      <c r="M57" s="249"/>
      <c r="N57" s="249"/>
      <c r="O57" s="251"/>
      <c r="Q57" s="5"/>
      <c r="R57" s="5"/>
      <c r="S57" s="5"/>
    </row>
    <row r="58" spans="2:27">
      <c r="B58" s="5"/>
      <c r="C58" s="5"/>
      <c r="D58" s="248"/>
      <c r="E58" s="248"/>
      <c r="F58" s="248"/>
      <c r="G58" s="248"/>
      <c r="H58" s="248"/>
      <c r="I58" s="17"/>
      <c r="J58" s="248"/>
      <c r="K58" s="248"/>
      <c r="L58" s="248"/>
      <c r="M58" s="248"/>
      <c r="N58" s="248"/>
      <c r="O58" s="18"/>
      <c r="Q58" s="5"/>
      <c r="R58" s="5"/>
      <c r="S58" s="5"/>
    </row>
    <row r="59" spans="2:27">
      <c r="B59" s="5"/>
      <c r="C59" s="5"/>
      <c r="D59" s="5"/>
      <c r="E59" s="5"/>
      <c r="F59" s="5"/>
      <c r="G59" s="5"/>
      <c r="H59" s="5"/>
      <c r="I59" s="5"/>
      <c r="J59" s="5"/>
      <c r="K59" s="5"/>
      <c r="L59" s="5"/>
      <c r="M59" s="5"/>
      <c r="N59" s="5"/>
      <c r="O59" s="5"/>
      <c r="Q59" s="5"/>
      <c r="R59" s="5"/>
      <c r="S59" s="5"/>
    </row>
    <row r="60" spans="2:27">
      <c r="B60" s="41"/>
      <c r="C60" s="17"/>
      <c r="D60" s="17"/>
      <c r="E60" s="17"/>
      <c r="F60" s="17"/>
      <c r="G60" s="17"/>
      <c r="H60" s="17"/>
      <c r="I60" s="249"/>
      <c r="J60" s="17"/>
      <c r="K60" s="17"/>
      <c r="L60" s="17"/>
      <c r="M60" s="17"/>
      <c r="N60" s="17"/>
      <c r="O60" s="251"/>
      <c r="Q60" s="5"/>
      <c r="R60" s="5"/>
      <c r="S60" s="5"/>
    </row>
    <row r="61" spans="2:27">
      <c r="B61" s="5"/>
      <c r="C61" s="5"/>
      <c r="D61" s="5"/>
      <c r="E61" s="5"/>
      <c r="F61" s="5"/>
      <c r="G61" s="5"/>
      <c r="H61" s="5"/>
      <c r="I61" s="5"/>
      <c r="J61" s="5"/>
      <c r="K61" s="5"/>
      <c r="L61" s="5"/>
      <c r="M61" s="5"/>
      <c r="N61" s="5"/>
      <c r="O61" s="5"/>
      <c r="Q61" s="41"/>
      <c r="R61" s="5"/>
      <c r="S61" s="5"/>
    </row>
    <row r="62" spans="2:27">
      <c r="B62" s="41"/>
      <c r="C62" s="249"/>
      <c r="D62" s="249"/>
      <c r="E62" s="249"/>
      <c r="F62" s="249"/>
      <c r="G62" s="249"/>
      <c r="H62" s="249"/>
      <c r="I62" s="5"/>
      <c r="J62" s="249"/>
      <c r="K62" s="249"/>
      <c r="L62" s="249"/>
      <c r="M62" s="249"/>
      <c r="N62" s="249"/>
      <c r="O62" s="251"/>
      <c r="Q62" s="5"/>
      <c r="R62" s="5"/>
      <c r="S62" s="5"/>
    </row>
    <row r="63" spans="2:27">
      <c r="B63" s="5"/>
      <c r="C63" s="5"/>
      <c r="D63" s="5"/>
      <c r="E63" s="5"/>
      <c r="F63" s="5"/>
      <c r="G63" s="5"/>
      <c r="H63" s="5"/>
      <c r="I63" s="254"/>
      <c r="J63" s="5"/>
      <c r="K63" s="5"/>
      <c r="L63" s="5"/>
      <c r="M63" s="5"/>
      <c r="N63" s="5"/>
      <c r="O63" s="5"/>
      <c r="Q63" s="5"/>
      <c r="R63" s="5"/>
      <c r="S63" s="5"/>
    </row>
    <row r="64" spans="2:27">
      <c r="B64" s="5"/>
      <c r="C64" s="5"/>
      <c r="D64" s="5"/>
      <c r="E64" s="5"/>
      <c r="F64" s="5"/>
      <c r="G64" s="5"/>
      <c r="H64" s="5"/>
      <c r="I64" s="17"/>
      <c r="J64" s="5"/>
      <c r="K64" s="5"/>
      <c r="L64" s="5"/>
      <c r="M64" s="5"/>
      <c r="N64" s="5"/>
      <c r="O64" s="5"/>
      <c r="Q64" s="5"/>
      <c r="R64" s="5"/>
      <c r="S64" s="5"/>
    </row>
    <row r="65" spans="2:26">
      <c r="B65" s="41"/>
      <c r="C65" s="249"/>
      <c r="D65" s="254"/>
      <c r="E65" s="254"/>
      <c r="F65" s="254"/>
      <c r="G65" s="254"/>
      <c r="H65" s="254"/>
      <c r="I65" s="254"/>
      <c r="J65" s="254"/>
      <c r="K65" s="254"/>
      <c r="L65" s="254"/>
      <c r="M65" s="254"/>
      <c r="N65" s="254"/>
      <c r="O65" s="251"/>
      <c r="Q65" s="5"/>
      <c r="R65" s="5"/>
      <c r="S65" s="5"/>
    </row>
    <row r="66" spans="2:26">
      <c r="B66" s="5"/>
      <c r="C66" s="5"/>
      <c r="D66" s="17"/>
      <c r="E66" s="17"/>
      <c r="F66" s="17"/>
      <c r="G66" s="17"/>
      <c r="H66" s="17"/>
      <c r="I66" s="248"/>
      <c r="J66" s="17"/>
      <c r="K66" s="17"/>
      <c r="L66" s="17"/>
      <c r="M66" s="17"/>
      <c r="N66" s="17"/>
      <c r="O66" s="5"/>
      <c r="Q66" s="5"/>
      <c r="R66" s="5"/>
      <c r="S66" s="5"/>
    </row>
    <row r="67" spans="2:26">
      <c r="B67" s="41"/>
      <c r="C67" s="249"/>
      <c r="D67" s="254"/>
      <c r="E67" s="254"/>
      <c r="F67" s="254"/>
      <c r="G67" s="254"/>
      <c r="H67" s="254"/>
      <c r="I67" s="5"/>
      <c r="J67" s="254"/>
      <c r="K67" s="254"/>
      <c r="L67" s="254"/>
      <c r="M67" s="254"/>
      <c r="N67" s="254"/>
      <c r="O67" s="251"/>
      <c r="Q67" s="41"/>
      <c r="R67" s="5"/>
      <c r="S67" s="5"/>
    </row>
    <row r="68" spans="2:26">
      <c r="B68" s="5"/>
      <c r="C68" s="5"/>
      <c r="D68" s="248"/>
      <c r="E68" s="248"/>
      <c r="F68" s="248"/>
      <c r="G68" s="248"/>
      <c r="H68" s="248"/>
      <c r="I68" s="245"/>
      <c r="J68" s="248"/>
      <c r="K68" s="248"/>
      <c r="L68" s="248"/>
      <c r="M68" s="248"/>
      <c r="N68" s="248"/>
      <c r="O68" s="5"/>
      <c r="Q68" s="5"/>
      <c r="R68" s="5"/>
      <c r="S68" s="5"/>
    </row>
    <row r="69" spans="2:26">
      <c r="B69" s="41"/>
      <c r="C69" s="5"/>
      <c r="D69" s="5"/>
      <c r="E69" s="5"/>
      <c r="F69" s="5"/>
      <c r="G69" s="5"/>
      <c r="H69" s="5"/>
      <c r="I69" s="248"/>
      <c r="J69" s="5"/>
      <c r="K69" s="5"/>
      <c r="L69" s="5"/>
      <c r="M69" s="5"/>
      <c r="N69" s="5"/>
      <c r="O69" s="5"/>
      <c r="Q69" s="5"/>
      <c r="R69" s="5"/>
      <c r="S69" s="5"/>
    </row>
    <row r="70" spans="2:26">
      <c r="B70" s="41"/>
      <c r="C70" s="245"/>
      <c r="D70" s="245"/>
      <c r="E70" s="245"/>
      <c r="F70" s="245"/>
      <c r="G70" s="245"/>
      <c r="H70" s="245"/>
      <c r="I70" s="5"/>
      <c r="J70" s="245"/>
      <c r="K70" s="245"/>
      <c r="L70" s="245"/>
      <c r="M70" s="245"/>
      <c r="N70" s="245"/>
      <c r="O70" s="251"/>
      <c r="Q70" s="5"/>
      <c r="R70" s="5"/>
      <c r="S70" s="5"/>
      <c r="W70" s="76"/>
      <c r="X70" s="76"/>
    </row>
    <row r="71" spans="2:26">
      <c r="B71" s="5"/>
      <c r="C71" s="5"/>
      <c r="D71" s="248"/>
      <c r="E71" s="248"/>
      <c r="F71" s="248"/>
      <c r="G71" s="248"/>
      <c r="H71" s="248"/>
      <c r="I71" s="245"/>
      <c r="J71" s="248"/>
      <c r="K71" s="248"/>
      <c r="L71" s="248"/>
      <c r="M71" s="248"/>
      <c r="N71" s="248"/>
      <c r="O71" s="5"/>
      <c r="Q71" s="5"/>
      <c r="R71" s="5"/>
      <c r="S71" s="5"/>
      <c r="W71" s="76"/>
      <c r="X71" s="76"/>
      <c r="Y71" s="76"/>
      <c r="Z71" s="76"/>
    </row>
    <row r="72" spans="2:26">
      <c r="B72" s="41"/>
      <c r="C72" s="5"/>
      <c r="D72" s="5"/>
      <c r="E72" s="5"/>
      <c r="F72" s="5"/>
      <c r="G72" s="5"/>
      <c r="H72" s="5"/>
      <c r="I72" s="18"/>
      <c r="J72" s="5"/>
      <c r="K72" s="5"/>
      <c r="L72" s="5"/>
      <c r="M72" s="5"/>
      <c r="N72" s="5"/>
      <c r="O72" s="5"/>
      <c r="Q72" s="5"/>
      <c r="R72" s="5"/>
      <c r="S72" s="5"/>
      <c r="Y72" s="76"/>
      <c r="Z72" s="76"/>
    </row>
    <row r="73" spans="2:26">
      <c r="B73" s="41"/>
      <c r="C73" s="245"/>
      <c r="D73" s="245"/>
      <c r="E73" s="245"/>
      <c r="F73" s="245"/>
      <c r="G73" s="245"/>
      <c r="H73" s="245"/>
      <c r="I73" s="5"/>
      <c r="J73" s="245"/>
      <c r="K73" s="245"/>
      <c r="L73" s="245"/>
      <c r="M73" s="245"/>
      <c r="N73" s="245"/>
      <c r="O73" s="251"/>
      <c r="Q73" s="5"/>
      <c r="R73" s="5"/>
      <c r="S73" s="5"/>
    </row>
    <row r="74" spans="2:26">
      <c r="B74" s="5"/>
      <c r="C74" s="5"/>
      <c r="D74" s="18"/>
      <c r="E74" s="18"/>
      <c r="F74" s="18"/>
      <c r="G74" s="18"/>
      <c r="H74" s="18"/>
      <c r="I74" s="249"/>
      <c r="J74" s="18"/>
      <c r="K74" s="18"/>
      <c r="L74" s="18"/>
      <c r="M74" s="18"/>
      <c r="N74" s="18"/>
      <c r="O74" s="5"/>
      <c r="Q74" s="5"/>
      <c r="R74" s="5"/>
      <c r="S74" s="5"/>
    </row>
    <row r="75" spans="2:26">
      <c r="B75" s="41"/>
      <c r="C75" s="5"/>
      <c r="D75" s="5"/>
      <c r="E75" s="5"/>
      <c r="F75" s="5"/>
      <c r="G75" s="5"/>
      <c r="H75" s="5"/>
      <c r="I75" s="248"/>
      <c r="J75" s="5"/>
      <c r="K75" s="5"/>
      <c r="L75" s="5"/>
      <c r="M75" s="5"/>
      <c r="N75" s="5"/>
      <c r="O75" s="5"/>
      <c r="Q75" s="5"/>
      <c r="R75" s="5"/>
      <c r="S75" s="5"/>
    </row>
    <row r="76" spans="2:26">
      <c r="B76" s="41"/>
      <c r="C76" s="249"/>
      <c r="D76" s="249"/>
      <c r="E76" s="249"/>
      <c r="F76" s="249"/>
      <c r="G76" s="249"/>
      <c r="H76" s="249"/>
      <c r="I76" s="5"/>
      <c r="J76" s="249"/>
      <c r="K76" s="249"/>
      <c r="L76" s="249"/>
      <c r="M76" s="249"/>
      <c r="N76" s="249"/>
      <c r="O76" s="251"/>
      <c r="Q76" s="5"/>
      <c r="R76" s="5"/>
      <c r="S76" s="5"/>
    </row>
    <row r="77" spans="2:26">
      <c r="B77" s="5"/>
      <c r="C77" s="5"/>
      <c r="D77" s="248"/>
      <c r="E77" s="248"/>
      <c r="F77" s="248"/>
      <c r="G77" s="248"/>
      <c r="H77" s="248"/>
      <c r="I77" s="245"/>
      <c r="J77" s="248"/>
      <c r="K77" s="248"/>
      <c r="L77" s="248"/>
      <c r="M77" s="248"/>
      <c r="N77" s="248"/>
      <c r="O77" s="5"/>
      <c r="Q77" s="5"/>
      <c r="R77" s="5"/>
      <c r="S77" s="5"/>
    </row>
    <row r="78" spans="2:26">
      <c r="B78" s="41"/>
      <c r="C78" s="5"/>
      <c r="D78" s="5"/>
      <c r="E78" s="5"/>
      <c r="F78" s="5"/>
      <c r="G78" s="5"/>
      <c r="H78" s="5"/>
      <c r="I78" s="248"/>
      <c r="J78" s="5"/>
      <c r="K78" s="5"/>
      <c r="L78" s="5"/>
      <c r="M78" s="5"/>
      <c r="N78" s="5"/>
      <c r="O78" s="5"/>
      <c r="Q78" s="5"/>
      <c r="R78" s="5"/>
      <c r="S78" s="5"/>
    </row>
    <row r="79" spans="2:26">
      <c r="B79" s="41"/>
      <c r="C79" s="245"/>
      <c r="D79" s="245"/>
      <c r="E79" s="245"/>
      <c r="F79" s="245"/>
      <c r="G79" s="245"/>
      <c r="H79" s="245"/>
      <c r="I79" s="5"/>
      <c r="J79" s="245"/>
      <c r="K79" s="245"/>
      <c r="L79" s="245"/>
      <c r="M79" s="245"/>
      <c r="N79" s="245"/>
      <c r="O79" s="251"/>
      <c r="Q79" s="5"/>
      <c r="R79" s="5"/>
      <c r="S79" s="5"/>
    </row>
    <row r="80" spans="2:26">
      <c r="B80" s="5"/>
      <c r="C80" s="5"/>
      <c r="D80" s="248"/>
      <c r="E80" s="248"/>
      <c r="F80" s="248"/>
      <c r="G80" s="248"/>
      <c r="H80" s="248"/>
      <c r="I80" s="249"/>
      <c r="J80" s="248"/>
      <c r="K80" s="248"/>
      <c r="L80" s="248"/>
      <c r="M80" s="248"/>
      <c r="N80" s="248"/>
      <c r="O80" s="5"/>
      <c r="Q80" s="5"/>
      <c r="R80" s="5"/>
      <c r="S80" s="5"/>
    </row>
    <row r="81" spans="2:26">
      <c r="B81" s="41"/>
      <c r="C81" s="5"/>
      <c r="D81" s="5"/>
      <c r="E81" s="5"/>
      <c r="F81" s="5"/>
      <c r="G81" s="5"/>
      <c r="H81" s="5"/>
      <c r="I81" s="248"/>
      <c r="J81" s="5"/>
      <c r="K81" s="5"/>
      <c r="L81" s="5"/>
      <c r="M81" s="5"/>
      <c r="N81" s="5"/>
      <c r="O81" s="5"/>
      <c r="Q81" s="5"/>
      <c r="R81" s="5"/>
      <c r="S81" s="5"/>
    </row>
    <row r="82" spans="2:26">
      <c r="B82" s="41"/>
      <c r="C82" s="249"/>
      <c r="D82" s="249"/>
      <c r="E82" s="249"/>
      <c r="F82" s="249"/>
      <c r="G82" s="249"/>
      <c r="H82" s="249"/>
      <c r="I82" s="259"/>
      <c r="J82" s="249"/>
      <c r="K82" s="249"/>
      <c r="L82" s="249"/>
      <c r="M82" s="249"/>
      <c r="N82" s="249"/>
      <c r="O82" s="251"/>
      <c r="Q82" s="5"/>
      <c r="R82" s="5"/>
      <c r="S82" s="5"/>
    </row>
    <row r="83" spans="2:26">
      <c r="B83" s="5"/>
      <c r="C83" s="5"/>
      <c r="D83" s="248"/>
      <c r="E83" s="248"/>
      <c r="F83" s="248"/>
      <c r="G83" s="248"/>
      <c r="H83" s="248"/>
      <c r="I83" s="5"/>
      <c r="J83" s="248"/>
      <c r="K83" s="248"/>
      <c r="L83" s="248"/>
      <c r="M83" s="248"/>
      <c r="N83" s="248"/>
      <c r="O83" s="5"/>
      <c r="Q83" s="5"/>
      <c r="R83" s="5"/>
      <c r="S83" s="5"/>
    </row>
    <row r="84" spans="2:26">
      <c r="B84" s="5"/>
      <c r="C84" s="259"/>
      <c r="D84" s="259"/>
      <c r="E84" s="259"/>
      <c r="F84" s="259"/>
      <c r="G84" s="259"/>
      <c r="H84" s="259"/>
      <c r="I84" s="245"/>
      <c r="J84" s="259"/>
      <c r="K84" s="259"/>
      <c r="L84" s="259"/>
      <c r="M84" s="259"/>
      <c r="N84" s="259"/>
      <c r="O84" s="251"/>
      <c r="Q84" s="5"/>
      <c r="R84" s="5"/>
      <c r="S84" s="5"/>
    </row>
    <row r="85" spans="2:26">
      <c r="B85" s="41"/>
      <c r="C85" s="5"/>
      <c r="D85" s="5"/>
      <c r="E85" s="5"/>
      <c r="F85" s="5"/>
      <c r="G85" s="5"/>
      <c r="H85" s="5"/>
      <c r="I85" s="248"/>
      <c r="J85" s="5"/>
      <c r="K85" s="5"/>
      <c r="L85" s="5"/>
      <c r="M85" s="5"/>
      <c r="N85" s="5"/>
      <c r="O85" s="5"/>
      <c r="Q85" s="5"/>
      <c r="R85" s="5"/>
      <c r="S85" s="5"/>
    </row>
    <row r="86" spans="2:26">
      <c r="B86" s="41"/>
      <c r="C86" s="245"/>
      <c r="D86" s="245"/>
      <c r="E86" s="245"/>
      <c r="F86" s="245"/>
      <c r="G86" s="245"/>
      <c r="H86" s="245"/>
      <c r="I86" s="5"/>
      <c r="J86" s="245"/>
      <c r="K86" s="245"/>
      <c r="L86" s="245"/>
      <c r="M86" s="245"/>
      <c r="N86" s="245"/>
      <c r="O86" s="251"/>
      <c r="Q86" s="5"/>
      <c r="R86" s="5"/>
      <c r="S86" s="5"/>
    </row>
    <row r="87" spans="2:26">
      <c r="B87" s="5"/>
      <c r="C87" s="5"/>
      <c r="D87" s="248"/>
      <c r="E87" s="248"/>
      <c r="F87" s="248"/>
      <c r="G87" s="248"/>
      <c r="H87" s="248"/>
      <c r="I87" s="5"/>
      <c r="J87" s="248"/>
      <c r="K87" s="248"/>
      <c r="L87" s="248"/>
      <c r="M87" s="248"/>
      <c r="N87" s="248"/>
      <c r="O87" s="5"/>
      <c r="Q87" s="5"/>
      <c r="R87" s="5"/>
      <c r="S87" s="5"/>
    </row>
    <row r="88" spans="2:26">
      <c r="B88" s="41"/>
      <c r="C88" s="5"/>
      <c r="D88" s="5"/>
      <c r="E88" s="5"/>
      <c r="F88" s="5"/>
      <c r="G88" s="5"/>
      <c r="H88" s="5"/>
      <c r="I88" s="5"/>
      <c r="J88" s="5"/>
      <c r="K88" s="5"/>
      <c r="L88" s="5"/>
      <c r="M88" s="5"/>
      <c r="N88" s="5"/>
      <c r="O88" s="5"/>
      <c r="Q88" s="5"/>
      <c r="R88" s="5"/>
      <c r="S88" s="5"/>
    </row>
    <row r="89" spans="2:26">
      <c r="B89" s="41"/>
      <c r="C89" s="5"/>
      <c r="D89" s="5"/>
      <c r="E89" s="5"/>
      <c r="F89" s="5"/>
      <c r="G89" s="5"/>
      <c r="H89" s="5"/>
      <c r="I89" s="5"/>
      <c r="J89" s="5"/>
      <c r="K89" s="5"/>
      <c r="L89" s="5"/>
      <c r="M89" s="5"/>
      <c r="N89" s="5"/>
      <c r="O89" s="5"/>
      <c r="Q89" s="5"/>
      <c r="R89" s="5"/>
      <c r="S89" s="5"/>
    </row>
    <row r="90" spans="2:26">
      <c r="B90" s="41"/>
      <c r="C90" s="5"/>
      <c r="D90" s="5"/>
      <c r="E90" s="5"/>
      <c r="F90" s="5"/>
      <c r="G90" s="5"/>
      <c r="H90" s="5"/>
      <c r="I90" s="49"/>
      <c r="J90" s="5"/>
      <c r="K90" s="5"/>
      <c r="L90" s="5"/>
      <c r="M90" s="5"/>
      <c r="N90" s="5"/>
      <c r="O90" s="5"/>
      <c r="Q90" s="41"/>
      <c r="R90" s="5"/>
      <c r="S90" s="5"/>
    </row>
    <row r="91" spans="2:26">
      <c r="B91" s="5"/>
      <c r="C91" s="5"/>
      <c r="D91" s="5"/>
      <c r="E91" s="5"/>
      <c r="F91" s="5"/>
      <c r="G91" s="5"/>
      <c r="H91" s="5"/>
      <c r="I91" s="5"/>
      <c r="J91" s="5"/>
      <c r="K91" s="5"/>
      <c r="L91" s="5"/>
      <c r="M91" s="5"/>
      <c r="N91" s="5"/>
      <c r="O91" s="5"/>
      <c r="Q91" s="5"/>
      <c r="R91" s="5"/>
      <c r="S91" s="5"/>
    </row>
    <row r="92" spans="2:26">
      <c r="B92" s="41"/>
      <c r="C92" s="49"/>
      <c r="D92" s="49"/>
      <c r="E92" s="49"/>
      <c r="F92" s="49"/>
      <c r="G92" s="49"/>
      <c r="H92" s="49"/>
      <c r="I92" s="247"/>
      <c r="J92" s="49"/>
      <c r="K92" s="49"/>
      <c r="L92" s="49"/>
      <c r="M92" s="49"/>
      <c r="N92" s="49"/>
      <c r="O92" s="49"/>
      <c r="Q92" s="5"/>
      <c r="R92" s="5"/>
      <c r="S92" s="5"/>
      <c r="W92" s="21"/>
      <c r="X92" s="21"/>
    </row>
    <row r="93" spans="2:26">
      <c r="B93" s="5"/>
      <c r="C93" s="5"/>
      <c r="D93" s="5"/>
      <c r="E93" s="5"/>
      <c r="F93" s="5"/>
      <c r="G93" s="5"/>
      <c r="H93" s="5"/>
      <c r="I93" s="247"/>
      <c r="J93" s="5"/>
      <c r="K93" s="5"/>
      <c r="L93" s="5"/>
      <c r="M93" s="5"/>
      <c r="N93" s="5"/>
      <c r="O93" s="5"/>
      <c r="Q93" s="5"/>
      <c r="R93" s="5"/>
      <c r="S93" s="5"/>
      <c r="W93" s="21"/>
      <c r="X93" s="21"/>
      <c r="Y93" s="21"/>
      <c r="Z93" s="21"/>
    </row>
    <row r="94" spans="2:26">
      <c r="B94" s="5"/>
      <c r="C94" s="259"/>
      <c r="D94" s="247"/>
      <c r="E94" s="247"/>
      <c r="F94" s="247"/>
      <c r="G94" s="247"/>
      <c r="H94" s="247"/>
      <c r="I94" s="247"/>
      <c r="J94" s="247"/>
      <c r="K94" s="247"/>
      <c r="L94" s="247"/>
      <c r="M94" s="247"/>
      <c r="N94" s="247"/>
      <c r="O94" s="248"/>
      <c r="Q94" s="5"/>
      <c r="R94" s="5"/>
      <c r="S94" s="5"/>
      <c r="Y94" s="21"/>
      <c r="Z94" s="21"/>
    </row>
    <row r="95" spans="2:26">
      <c r="B95" s="5"/>
      <c r="C95" s="259"/>
      <c r="D95" s="247"/>
      <c r="E95" s="247"/>
      <c r="F95" s="247"/>
      <c r="G95" s="247"/>
      <c r="H95" s="247"/>
      <c r="I95" s="248"/>
      <c r="J95" s="247"/>
      <c r="K95" s="247"/>
      <c r="L95" s="247"/>
      <c r="M95" s="247"/>
      <c r="N95" s="247"/>
      <c r="O95" s="248"/>
      <c r="Q95" s="5"/>
      <c r="R95" s="5"/>
      <c r="S95" s="5"/>
    </row>
    <row r="96" spans="2:26">
      <c r="B96" s="5"/>
      <c r="C96" s="259"/>
      <c r="D96" s="247"/>
      <c r="E96" s="247"/>
      <c r="F96" s="247"/>
      <c r="G96" s="247"/>
      <c r="H96" s="247"/>
      <c r="I96" s="247"/>
      <c r="J96" s="247"/>
      <c r="K96" s="247"/>
      <c r="L96" s="247"/>
      <c r="M96" s="247"/>
      <c r="N96" s="247"/>
      <c r="O96" s="248"/>
      <c r="Q96" s="5"/>
      <c r="R96" s="5"/>
      <c r="S96" s="5"/>
    </row>
    <row r="97" spans="2:19">
      <c r="B97" s="5"/>
      <c r="C97" s="259"/>
      <c r="D97" s="248"/>
      <c r="E97" s="248"/>
      <c r="F97" s="248"/>
      <c r="G97" s="248"/>
      <c r="H97" s="248"/>
      <c r="I97" s="249"/>
      <c r="J97" s="248"/>
      <c r="K97" s="248"/>
      <c r="L97" s="248"/>
      <c r="M97" s="248"/>
      <c r="N97" s="248"/>
      <c r="O97" s="248"/>
      <c r="Q97" s="5"/>
      <c r="R97" s="5"/>
      <c r="S97" s="5"/>
    </row>
    <row r="98" spans="2:19">
      <c r="B98" s="5"/>
      <c r="C98" s="259"/>
      <c r="D98" s="247"/>
      <c r="E98" s="247"/>
      <c r="F98" s="247"/>
      <c r="G98" s="247"/>
      <c r="H98" s="247"/>
      <c r="I98" s="248"/>
      <c r="J98" s="247"/>
      <c r="K98" s="247"/>
      <c r="L98" s="247"/>
      <c r="M98" s="247"/>
      <c r="N98" s="247"/>
      <c r="O98" s="248"/>
      <c r="Q98" s="5"/>
      <c r="R98" s="5"/>
      <c r="S98" s="5"/>
    </row>
    <row r="99" spans="2:19">
      <c r="B99" s="41"/>
      <c r="C99" s="249"/>
      <c r="D99" s="249"/>
      <c r="E99" s="249"/>
      <c r="F99" s="249"/>
      <c r="G99" s="249"/>
      <c r="H99" s="249"/>
      <c r="I99" s="5"/>
      <c r="J99" s="249"/>
      <c r="K99" s="249"/>
      <c r="L99" s="249"/>
      <c r="M99" s="249"/>
      <c r="N99" s="249"/>
      <c r="O99" s="248"/>
      <c r="Q99" s="5"/>
      <c r="R99" s="5"/>
      <c r="S99" s="5"/>
    </row>
    <row r="100" spans="2:19">
      <c r="B100" s="41"/>
      <c r="C100" s="257"/>
      <c r="D100" s="248"/>
      <c r="E100" s="248"/>
      <c r="F100" s="248"/>
      <c r="G100" s="248"/>
      <c r="H100" s="248"/>
      <c r="I100" s="259"/>
      <c r="J100" s="248"/>
      <c r="K100" s="248"/>
      <c r="L100" s="248"/>
      <c r="M100" s="248"/>
      <c r="N100" s="248"/>
      <c r="O100" s="248"/>
      <c r="Q100" s="5"/>
      <c r="R100" s="5"/>
      <c r="S100" s="5"/>
    </row>
    <row r="101" spans="2:19" s="5" customFormat="1">
      <c r="B101" s="41"/>
      <c r="I101" s="259"/>
      <c r="O101" s="248"/>
      <c r="P101" s="39"/>
    </row>
    <row r="102" spans="2:19">
      <c r="B102" s="5"/>
      <c r="C102" s="259"/>
      <c r="D102" s="259"/>
      <c r="E102" s="259"/>
      <c r="F102" s="259"/>
      <c r="G102" s="259"/>
      <c r="H102" s="259"/>
      <c r="I102" s="247"/>
      <c r="J102" s="259"/>
      <c r="K102" s="259"/>
      <c r="L102" s="259"/>
      <c r="M102" s="259"/>
      <c r="N102" s="259"/>
      <c r="O102" s="5"/>
      <c r="Q102" s="5"/>
      <c r="R102" s="5"/>
      <c r="S102" s="5"/>
    </row>
    <row r="103" spans="2:19">
      <c r="B103" s="5"/>
      <c r="C103" s="259"/>
      <c r="D103" s="259"/>
      <c r="E103" s="259"/>
      <c r="F103" s="259"/>
      <c r="G103" s="259"/>
      <c r="H103" s="259"/>
      <c r="I103" s="5"/>
      <c r="J103" s="259"/>
      <c r="K103" s="259"/>
      <c r="L103" s="259"/>
      <c r="M103" s="259"/>
      <c r="N103" s="259"/>
      <c r="O103" s="5"/>
      <c r="P103" s="5"/>
      <c r="Q103" s="5"/>
      <c r="R103" s="5"/>
      <c r="S103" s="5"/>
    </row>
    <row r="104" spans="2:19">
      <c r="B104" s="5"/>
      <c r="C104" s="247"/>
      <c r="D104" s="247"/>
      <c r="E104" s="247"/>
      <c r="F104" s="247"/>
      <c r="G104" s="247"/>
      <c r="H104" s="247"/>
      <c r="I104" s="247"/>
      <c r="J104" s="247"/>
      <c r="K104" s="247"/>
      <c r="L104" s="247"/>
      <c r="M104" s="247"/>
      <c r="N104" s="247"/>
      <c r="O104" s="5"/>
      <c r="Q104" s="5"/>
      <c r="R104" s="5"/>
      <c r="S104" s="5"/>
    </row>
    <row r="105" spans="2:19" s="5" customFormat="1">
      <c r="P105" s="39"/>
    </row>
    <row r="106" spans="2:19" s="5" customFormat="1">
      <c r="C106" s="259"/>
      <c r="D106" s="247"/>
      <c r="E106" s="247"/>
      <c r="F106" s="247"/>
      <c r="G106" s="247"/>
      <c r="H106" s="247"/>
      <c r="I106" s="259"/>
      <c r="J106" s="247"/>
      <c r="K106" s="247"/>
      <c r="L106" s="247"/>
      <c r="M106" s="247"/>
      <c r="N106" s="247"/>
      <c r="P106" s="39"/>
    </row>
    <row r="107" spans="2:19">
      <c r="B107" s="5"/>
      <c r="C107" s="259"/>
      <c r="D107" s="5"/>
      <c r="E107" s="5"/>
      <c r="F107" s="5"/>
      <c r="G107" s="5"/>
      <c r="H107" s="5"/>
      <c r="I107" s="247"/>
      <c r="J107" s="5"/>
      <c r="K107" s="5"/>
      <c r="L107" s="5"/>
      <c r="M107" s="5"/>
      <c r="N107" s="5"/>
      <c r="O107" s="5"/>
      <c r="P107" s="5"/>
      <c r="Q107" s="5"/>
      <c r="R107" s="5"/>
      <c r="S107" s="5"/>
    </row>
    <row r="108" spans="2:19">
      <c r="B108" s="5"/>
      <c r="C108" s="259"/>
      <c r="D108" s="259"/>
      <c r="E108" s="259"/>
      <c r="F108" s="259"/>
      <c r="G108" s="259"/>
      <c r="H108" s="259"/>
      <c r="I108" s="249"/>
      <c r="J108" s="259"/>
      <c r="K108" s="259"/>
      <c r="L108" s="259"/>
      <c r="M108" s="259"/>
      <c r="N108" s="259"/>
      <c r="O108" s="5"/>
      <c r="P108" s="5"/>
      <c r="Q108" s="5"/>
      <c r="R108" s="5"/>
      <c r="S108" s="5"/>
    </row>
    <row r="109" spans="2:19">
      <c r="B109" s="5"/>
      <c r="C109" s="247"/>
      <c r="D109" s="247"/>
      <c r="E109" s="247"/>
      <c r="F109" s="247"/>
      <c r="G109" s="247"/>
      <c r="H109" s="247"/>
      <c r="I109" s="249"/>
      <c r="J109" s="247"/>
      <c r="K109" s="247"/>
      <c r="L109" s="247"/>
      <c r="M109" s="247"/>
      <c r="N109" s="247"/>
      <c r="O109" s="5"/>
      <c r="Q109" s="5"/>
      <c r="R109" s="5"/>
      <c r="S109" s="5"/>
    </row>
    <row r="110" spans="2:19">
      <c r="B110" s="41"/>
      <c r="C110" s="249"/>
      <c r="D110" s="249"/>
      <c r="E110" s="249"/>
      <c r="F110" s="249"/>
      <c r="G110" s="249"/>
      <c r="H110" s="249"/>
      <c r="I110" s="247"/>
      <c r="J110" s="249"/>
      <c r="K110" s="249"/>
      <c r="L110" s="249"/>
      <c r="M110" s="249"/>
      <c r="N110" s="249"/>
      <c r="O110" s="5"/>
      <c r="Q110" s="5"/>
      <c r="R110" s="5"/>
      <c r="S110" s="5"/>
    </row>
    <row r="111" spans="2:19">
      <c r="B111" s="5"/>
      <c r="C111" s="249"/>
      <c r="D111" s="249"/>
      <c r="E111" s="249"/>
      <c r="F111" s="249"/>
      <c r="G111" s="249"/>
      <c r="H111" s="249"/>
      <c r="I111" s="5"/>
      <c r="J111" s="249"/>
      <c r="K111" s="249"/>
      <c r="L111" s="249"/>
      <c r="M111" s="249"/>
      <c r="N111" s="249"/>
      <c r="O111" s="5"/>
      <c r="Q111" s="5"/>
      <c r="R111" s="5"/>
      <c r="S111" s="5"/>
    </row>
    <row r="112" spans="2:19">
      <c r="B112" s="5"/>
      <c r="C112" s="247"/>
      <c r="D112" s="247"/>
      <c r="E112" s="247"/>
      <c r="F112" s="247"/>
      <c r="G112" s="247"/>
      <c r="H112" s="247"/>
      <c r="I112" s="5"/>
      <c r="J112" s="247"/>
      <c r="K112" s="247"/>
      <c r="L112" s="247"/>
      <c r="M112" s="247"/>
      <c r="N112" s="247"/>
      <c r="O112" s="5"/>
      <c r="Q112" s="5"/>
      <c r="R112" s="5"/>
      <c r="S112" s="5"/>
    </row>
    <row r="113" spans="2:19">
      <c r="B113" s="5"/>
      <c r="C113" s="5"/>
      <c r="D113" s="5"/>
      <c r="E113" s="5"/>
      <c r="F113" s="5"/>
      <c r="G113" s="5"/>
      <c r="H113" s="5"/>
      <c r="I113" s="5"/>
      <c r="J113" s="5"/>
      <c r="K113" s="5"/>
      <c r="L113" s="5"/>
      <c r="M113" s="5"/>
      <c r="N113" s="5"/>
      <c r="O113" s="5"/>
      <c r="Q113" s="5"/>
      <c r="R113" s="5"/>
      <c r="S113" s="5"/>
    </row>
    <row r="114" spans="2:19">
      <c r="B114" s="5"/>
      <c r="C114" s="5"/>
      <c r="D114" s="5"/>
      <c r="E114" s="5"/>
      <c r="F114" s="5"/>
      <c r="G114" s="5"/>
      <c r="H114" s="5"/>
      <c r="I114" s="5"/>
      <c r="J114" s="5"/>
      <c r="K114" s="5"/>
      <c r="L114" s="5"/>
      <c r="M114" s="5"/>
      <c r="N114" s="5"/>
      <c r="O114" s="5"/>
      <c r="Q114" s="5"/>
      <c r="R114" s="5"/>
      <c r="S114" s="5"/>
    </row>
    <row r="115" spans="2:19">
      <c r="B115" s="5"/>
      <c r="C115" s="5"/>
      <c r="D115" s="5"/>
      <c r="E115" s="5"/>
      <c r="F115" s="5"/>
      <c r="G115" s="5"/>
      <c r="H115" s="5"/>
      <c r="I115" s="49"/>
      <c r="J115" s="5"/>
      <c r="K115" s="5"/>
      <c r="L115" s="5"/>
      <c r="M115" s="5"/>
      <c r="N115" s="5"/>
      <c r="O115" s="5"/>
      <c r="Q115" s="41"/>
      <c r="R115" s="5"/>
      <c r="S115" s="5"/>
    </row>
    <row r="116" spans="2:19">
      <c r="B116" s="5"/>
      <c r="C116" s="5"/>
      <c r="D116" s="5"/>
      <c r="E116" s="5"/>
      <c r="F116" s="5"/>
      <c r="G116" s="5"/>
      <c r="H116" s="5"/>
      <c r="I116" s="5"/>
      <c r="J116" s="5"/>
      <c r="K116" s="5"/>
      <c r="L116" s="5"/>
      <c r="M116" s="5"/>
      <c r="N116" s="5"/>
      <c r="O116" s="5"/>
      <c r="Q116" s="5"/>
      <c r="R116" s="5"/>
      <c r="S116" s="5"/>
    </row>
    <row r="117" spans="2:19">
      <c r="B117" s="41"/>
      <c r="C117" s="49"/>
      <c r="D117" s="49"/>
      <c r="E117" s="49"/>
      <c r="F117" s="49"/>
      <c r="G117" s="49"/>
      <c r="H117" s="49"/>
      <c r="I117" s="254"/>
      <c r="J117" s="49"/>
      <c r="K117" s="49"/>
      <c r="L117" s="49"/>
      <c r="M117" s="49"/>
      <c r="N117" s="49"/>
      <c r="O117" s="49"/>
      <c r="Q117" s="5"/>
      <c r="R117" s="5"/>
      <c r="S117" s="5"/>
    </row>
    <row r="118" spans="2:19">
      <c r="B118" s="5"/>
      <c r="C118" s="5"/>
      <c r="D118" s="5"/>
      <c r="E118" s="5"/>
      <c r="F118" s="5"/>
      <c r="G118" s="5"/>
      <c r="H118" s="5"/>
      <c r="I118" s="249"/>
      <c r="J118" s="5"/>
      <c r="K118" s="5"/>
      <c r="L118" s="5"/>
      <c r="M118" s="5"/>
      <c r="N118" s="5"/>
      <c r="O118" s="5"/>
      <c r="Q118" s="5"/>
      <c r="R118" s="5"/>
      <c r="S118" s="5"/>
    </row>
    <row r="119" spans="2:19">
      <c r="B119" s="41"/>
      <c r="C119" s="254"/>
      <c r="D119" s="254"/>
      <c r="E119" s="254"/>
      <c r="F119" s="254"/>
      <c r="G119" s="254"/>
      <c r="H119" s="254"/>
      <c r="I119" s="254"/>
      <c r="J119" s="254"/>
      <c r="K119" s="254"/>
      <c r="L119" s="254"/>
      <c r="M119" s="254"/>
      <c r="N119" s="254"/>
      <c r="O119" s="248"/>
      <c r="Q119" s="5"/>
      <c r="R119" s="5"/>
      <c r="S119" s="5"/>
    </row>
    <row r="120" spans="2:19">
      <c r="B120" s="41"/>
      <c r="C120" s="254"/>
      <c r="D120" s="249"/>
      <c r="E120" s="249"/>
      <c r="F120" s="249"/>
      <c r="G120" s="249"/>
      <c r="H120" s="249"/>
      <c r="I120" s="254"/>
      <c r="J120" s="249"/>
      <c r="K120" s="249"/>
      <c r="L120" s="249"/>
      <c r="M120" s="249"/>
      <c r="N120" s="249"/>
      <c r="O120" s="248"/>
      <c r="Q120" s="5"/>
      <c r="R120" s="5"/>
      <c r="S120" s="5"/>
    </row>
    <row r="121" spans="2:19">
      <c r="B121" s="41"/>
      <c r="C121" s="254"/>
      <c r="D121" s="254"/>
      <c r="E121" s="254"/>
      <c r="F121" s="254"/>
      <c r="G121" s="254"/>
      <c r="H121" s="254"/>
      <c r="I121" s="254"/>
      <c r="J121" s="254"/>
      <c r="K121" s="254"/>
      <c r="L121" s="254"/>
      <c r="M121" s="254"/>
      <c r="N121" s="254"/>
      <c r="O121" s="248"/>
      <c r="Q121" s="5"/>
      <c r="R121" s="5"/>
      <c r="S121" s="5"/>
    </row>
    <row r="122" spans="2:19">
      <c r="B122" s="41"/>
      <c r="C122" s="254"/>
      <c r="D122" s="254"/>
      <c r="E122" s="254"/>
      <c r="F122" s="254"/>
      <c r="G122" s="254"/>
      <c r="H122" s="254"/>
      <c r="I122" s="254"/>
      <c r="J122" s="254"/>
      <c r="K122" s="254"/>
      <c r="L122" s="254"/>
      <c r="M122" s="254"/>
      <c r="N122" s="254"/>
      <c r="O122" s="248"/>
      <c r="Q122" s="5"/>
      <c r="R122" s="5"/>
      <c r="S122" s="5"/>
    </row>
    <row r="123" spans="2:19">
      <c r="B123" s="41"/>
      <c r="C123" s="254"/>
      <c r="D123" s="254"/>
      <c r="E123" s="254"/>
      <c r="F123" s="254"/>
      <c r="G123" s="254"/>
      <c r="H123" s="254"/>
      <c r="I123" s="254"/>
      <c r="J123" s="254"/>
      <c r="K123" s="254"/>
      <c r="L123" s="254"/>
      <c r="M123" s="254"/>
      <c r="N123" s="254"/>
      <c r="O123" s="248"/>
      <c r="Q123" s="5"/>
      <c r="R123" s="5"/>
      <c r="S123" s="5"/>
    </row>
    <row r="124" spans="2:19">
      <c r="B124" s="41"/>
      <c r="C124" s="254"/>
      <c r="D124" s="254"/>
      <c r="E124" s="254"/>
      <c r="F124" s="254"/>
      <c r="G124" s="254"/>
      <c r="H124" s="254"/>
      <c r="I124" s="254"/>
      <c r="J124" s="254"/>
      <c r="K124" s="254"/>
      <c r="L124" s="254"/>
      <c r="M124" s="254"/>
      <c r="N124" s="254"/>
      <c r="O124" s="248"/>
      <c r="Q124" s="5"/>
      <c r="R124" s="5"/>
      <c r="S124" s="5"/>
    </row>
    <row r="125" spans="2:19">
      <c r="B125" s="41"/>
      <c r="C125" s="254"/>
      <c r="D125" s="254"/>
      <c r="E125" s="254"/>
      <c r="F125" s="254"/>
      <c r="G125" s="254"/>
      <c r="H125" s="254"/>
      <c r="I125" s="254"/>
      <c r="J125" s="254"/>
      <c r="K125" s="254"/>
      <c r="L125" s="254"/>
      <c r="M125" s="254"/>
      <c r="N125" s="254"/>
      <c r="O125" s="5"/>
      <c r="Q125" s="5"/>
      <c r="R125" s="5"/>
      <c r="S125" s="5"/>
    </row>
    <row r="126" spans="2:19">
      <c r="B126" s="41"/>
      <c r="C126" s="254"/>
      <c r="D126" s="254"/>
      <c r="E126" s="254"/>
      <c r="F126" s="254"/>
      <c r="G126" s="254"/>
      <c r="H126" s="254"/>
      <c r="I126" s="254"/>
      <c r="J126" s="254"/>
      <c r="K126" s="254"/>
      <c r="L126" s="254"/>
      <c r="M126" s="254"/>
      <c r="N126" s="254"/>
      <c r="O126" s="5"/>
      <c r="Q126" s="5"/>
      <c r="R126" s="5"/>
      <c r="S126" s="5"/>
    </row>
    <row r="127" spans="2:19">
      <c r="B127" s="41"/>
      <c r="C127" s="254"/>
      <c r="D127" s="254"/>
      <c r="E127" s="254"/>
      <c r="F127" s="254"/>
      <c r="G127" s="254"/>
      <c r="H127" s="254"/>
      <c r="I127" s="18"/>
      <c r="J127" s="254"/>
      <c r="K127" s="254"/>
      <c r="L127" s="254"/>
      <c r="M127" s="254"/>
      <c r="N127" s="254"/>
      <c r="O127" s="5"/>
      <c r="Q127" s="5"/>
      <c r="R127" s="5"/>
      <c r="S127" s="5"/>
    </row>
    <row r="128" spans="2:19">
      <c r="B128" s="41"/>
      <c r="C128" s="254"/>
      <c r="D128" s="254"/>
      <c r="E128" s="254"/>
      <c r="F128" s="254"/>
      <c r="G128" s="254"/>
      <c r="H128" s="254"/>
      <c r="I128" s="5"/>
      <c r="J128" s="254"/>
      <c r="K128" s="254"/>
      <c r="L128" s="254"/>
      <c r="M128" s="254"/>
      <c r="N128" s="254"/>
      <c r="O128" s="5"/>
      <c r="Q128" s="5"/>
      <c r="R128" s="5"/>
      <c r="S128" s="5"/>
    </row>
    <row r="129" spans="2:27">
      <c r="B129" s="5"/>
      <c r="C129" s="5"/>
      <c r="D129" s="18"/>
      <c r="E129" s="18"/>
      <c r="F129" s="18"/>
      <c r="G129" s="18"/>
      <c r="H129" s="18"/>
      <c r="I129" s="254"/>
      <c r="J129" s="18"/>
      <c r="K129" s="18"/>
      <c r="L129" s="18"/>
      <c r="M129" s="18"/>
      <c r="N129" s="18"/>
      <c r="O129" s="5"/>
      <c r="Q129" s="5"/>
      <c r="R129" s="5"/>
      <c r="S129" s="5"/>
    </row>
    <row r="130" spans="2:27">
      <c r="B130" s="5"/>
      <c r="C130" s="5"/>
      <c r="D130" s="5"/>
      <c r="E130" s="5"/>
      <c r="F130" s="5"/>
      <c r="G130" s="5"/>
      <c r="H130" s="5"/>
      <c r="I130" s="18"/>
      <c r="J130" s="5"/>
      <c r="K130" s="5"/>
      <c r="L130" s="5"/>
      <c r="M130" s="5"/>
      <c r="N130" s="5"/>
      <c r="O130" s="5"/>
      <c r="Q130" s="5"/>
      <c r="R130" s="5"/>
      <c r="S130" s="5"/>
    </row>
    <row r="131" spans="2:27">
      <c r="B131" s="41"/>
      <c r="C131" s="254"/>
      <c r="D131" s="254"/>
      <c r="E131" s="254"/>
      <c r="F131" s="254"/>
      <c r="G131" s="254"/>
      <c r="H131" s="254"/>
      <c r="I131" s="5"/>
      <c r="J131" s="254"/>
      <c r="K131" s="254"/>
      <c r="L131" s="254"/>
      <c r="M131" s="254"/>
      <c r="N131" s="254"/>
      <c r="O131" s="5"/>
      <c r="Q131" s="5"/>
      <c r="R131" s="5"/>
      <c r="S131" s="5"/>
    </row>
    <row r="132" spans="2:27">
      <c r="B132" s="5"/>
      <c r="C132" s="259"/>
      <c r="D132" s="18"/>
      <c r="E132" s="18"/>
      <c r="F132" s="18"/>
      <c r="G132" s="18"/>
      <c r="H132" s="18"/>
      <c r="I132" s="5"/>
      <c r="J132" s="18"/>
      <c r="K132" s="18"/>
      <c r="L132" s="18"/>
      <c r="M132" s="18"/>
      <c r="N132" s="18"/>
      <c r="O132" s="5"/>
      <c r="Q132" s="5"/>
      <c r="R132" s="5"/>
      <c r="S132" s="5"/>
    </row>
    <row r="133" spans="2:27">
      <c r="B133" s="5"/>
      <c r="C133" s="5"/>
      <c r="D133" s="5"/>
      <c r="E133" s="5"/>
      <c r="F133" s="5"/>
      <c r="G133" s="5"/>
      <c r="H133" s="5"/>
      <c r="I133" s="17"/>
      <c r="J133" s="5"/>
      <c r="K133" s="5"/>
      <c r="L133" s="5"/>
      <c r="M133" s="5"/>
      <c r="N133" s="5"/>
      <c r="O133" s="5"/>
      <c r="Q133" s="5"/>
      <c r="R133" s="5"/>
      <c r="S133" s="5"/>
    </row>
    <row r="134" spans="2:27">
      <c r="B134" s="41"/>
      <c r="C134" s="5"/>
      <c r="D134" s="5"/>
      <c r="E134" s="5"/>
      <c r="F134" s="5"/>
      <c r="G134" s="5"/>
      <c r="H134" s="5"/>
      <c r="I134" s="17"/>
      <c r="J134" s="5"/>
      <c r="K134" s="5"/>
      <c r="L134" s="5"/>
      <c r="M134" s="5"/>
      <c r="N134" s="5"/>
      <c r="O134" s="5"/>
      <c r="Q134" s="5"/>
      <c r="R134" s="5"/>
      <c r="S134" s="5"/>
    </row>
    <row r="135" spans="2:27">
      <c r="B135" s="5"/>
      <c r="C135" s="17"/>
      <c r="D135" s="17"/>
      <c r="E135" s="17"/>
      <c r="F135" s="17"/>
      <c r="G135" s="17"/>
      <c r="H135" s="17"/>
      <c r="I135" s="17"/>
      <c r="J135" s="17"/>
      <c r="K135" s="17"/>
      <c r="L135" s="17"/>
      <c r="M135" s="17"/>
      <c r="N135" s="17"/>
      <c r="O135" s="5"/>
      <c r="Q135" s="41"/>
      <c r="R135" s="5"/>
      <c r="S135" s="5"/>
    </row>
    <row r="136" spans="2:27">
      <c r="B136" s="5"/>
      <c r="C136" s="17"/>
      <c r="D136" s="17"/>
      <c r="E136" s="17"/>
      <c r="F136" s="17"/>
      <c r="G136" s="17"/>
      <c r="H136" s="17"/>
      <c r="I136" s="17"/>
      <c r="J136" s="17"/>
      <c r="K136" s="17"/>
      <c r="L136" s="17"/>
      <c r="M136" s="17"/>
      <c r="N136" s="17"/>
      <c r="O136" s="5"/>
      <c r="Q136" s="5"/>
      <c r="R136" s="5"/>
      <c r="S136" s="5"/>
      <c r="X136" s="304"/>
    </row>
    <row r="137" spans="2:27">
      <c r="B137" s="5"/>
      <c r="C137" s="5"/>
      <c r="D137" s="17"/>
      <c r="E137" s="17"/>
      <c r="F137" s="17"/>
      <c r="G137" s="17"/>
      <c r="H137" s="17"/>
      <c r="I137" s="17"/>
      <c r="J137" s="17"/>
      <c r="K137" s="17"/>
      <c r="L137" s="17"/>
      <c r="M137" s="17"/>
      <c r="N137" s="17"/>
      <c r="O137" s="5"/>
      <c r="Q137" s="5"/>
      <c r="R137" s="5"/>
      <c r="S137" s="5"/>
      <c r="X137" s="10"/>
      <c r="Y137" s="304"/>
      <c r="Z137" s="304"/>
      <c r="AA137" s="304"/>
    </row>
    <row r="138" spans="2:27">
      <c r="B138" s="5"/>
      <c r="C138" s="5"/>
      <c r="D138" s="17"/>
      <c r="E138" s="17"/>
      <c r="F138" s="17"/>
      <c r="G138" s="17"/>
      <c r="H138" s="17"/>
      <c r="I138" s="17"/>
      <c r="J138" s="17"/>
      <c r="K138" s="17"/>
      <c r="L138" s="17"/>
      <c r="M138" s="17"/>
      <c r="N138" s="17"/>
      <c r="O138" s="5"/>
      <c r="Q138" s="5"/>
      <c r="R138" s="5"/>
      <c r="S138" s="5"/>
      <c r="Y138" s="10"/>
      <c r="Z138" s="10"/>
      <c r="AA138" s="10"/>
    </row>
    <row r="139" spans="2:27">
      <c r="B139" s="5"/>
      <c r="C139" s="5"/>
      <c r="D139" s="17"/>
      <c r="E139" s="17"/>
      <c r="F139" s="17"/>
      <c r="G139" s="17"/>
      <c r="H139" s="17"/>
      <c r="I139" s="5"/>
      <c r="J139" s="17"/>
      <c r="K139" s="17"/>
      <c r="L139" s="17"/>
      <c r="M139" s="17"/>
      <c r="N139" s="17"/>
      <c r="O139" s="5"/>
      <c r="Q139" s="5"/>
      <c r="R139" s="5"/>
      <c r="S139" s="5"/>
    </row>
    <row r="140" spans="2:27">
      <c r="B140" s="5"/>
      <c r="C140" s="17"/>
      <c r="D140" s="17"/>
      <c r="E140" s="17"/>
      <c r="F140" s="17"/>
      <c r="G140" s="17"/>
      <c r="H140" s="17"/>
      <c r="I140" s="5"/>
      <c r="J140" s="17"/>
      <c r="K140" s="17"/>
      <c r="L140" s="17"/>
      <c r="M140" s="17"/>
      <c r="N140" s="17"/>
      <c r="O140" s="5"/>
      <c r="Q140" s="5"/>
      <c r="R140" s="5"/>
      <c r="S140" s="5"/>
    </row>
    <row r="141" spans="2:27">
      <c r="B141" s="5"/>
      <c r="C141" s="5"/>
      <c r="D141" s="5"/>
      <c r="E141" s="5"/>
      <c r="F141" s="5"/>
      <c r="G141" s="5"/>
      <c r="H141" s="5"/>
      <c r="I141" s="5"/>
      <c r="J141" s="5"/>
      <c r="K141" s="5"/>
      <c r="L141" s="5"/>
      <c r="M141" s="5"/>
      <c r="N141" s="5"/>
      <c r="O141" s="5"/>
      <c r="Q141" s="5"/>
      <c r="R141" s="5"/>
      <c r="S141" s="5"/>
    </row>
    <row r="142" spans="2:27">
      <c r="B142" s="5"/>
      <c r="C142" s="5"/>
      <c r="D142" s="5"/>
      <c r="E142" s="5"/>
      <c r="F142" s="5"/>
      <c r="G142" s="5"/>
      <c r="H142" s="5"/>
      <c r="I142" s="5"/>
      <c r="J142" s="5"/>
      <c r="K142" s="5"/>
      <c r="L142" s="5"/>
      <c r="M142" s="5"/>
      <c r="N142" s="5"/>
      <c r="O142" s="5"/>
      <c r="Q142" s="5"/>
      <c r="R142" s="5"/>
      <c r="S142" s="5"/>
    </row>
    <row r="143" spans="2:27">
      <c r="B143" s="5"/>
      <c r="C143" s="5"/>
      <c r="D143" s="5"/>
      <c r="E143" s="5"/>
      <c r="F143" s="5"/>
      <c r="G143" s="5"/>
      <c r="H143" s="5"/>
      <c r="I143" s="5"/>
      <c r="J143" s="5"/>
      <c r="K143" s="5"/>
      <c r="L143" s="5"/>
      <c r="M143" s="5"/>
      <c r="N143" s="5"/>
      <c r="O143" s="5"/>
      <c r="Q143" s="5"/>
      <c r="R143" s="5"/>
      <c r="S143" s="5"/>
    </row>
    <row r="144" spans="2:27">
      <c r="B144" s="5"/>
      <c r="C144" s="5"/>
      <c r="D144" s="5"/>
      <c r="E144" s="5"/>
      <c r="F144" s="5"/>
      <c r="G144" s="5"/>
      <c r="H144" s="5"/>
      <c r="I144" s="5"/>
      <c r="J144" s="5"/>
      <c r="K144" s="5"/>
      <c r="L144" s="5"/>
      <c r="M144" s="5"/>
      <c r="N144" s="5"/>
      <c r="O144" s="5"/>
      <c r="Q144" s="5"/>
      <c r="R144" s="5"/>
      <c r="S144" s="5"/>
    </row>
    <row r="145" spans="2:19">
      <c r="B145" s="5"/>
      <c r="C145" s="5"/>
      <c r="D145" s="5"/>
      <c r="E145" s="5"/>
      <c r="F145" s="5"/>
      <c r="G145" s="5"/>
      <c r="H145" s="5"/>
      <c r="I145" s="5"/>
      <c r="J145" s="5"/>
      <c r="K145" s="5"/>
      <c r="L145" s="5"/>
      <c r="M145" s="5"/>
      <c r="N145" s="5"/>
      <c r="O145" s="5"/>
      <c r="Q145" s="5"/>
      <c r="R145" s="5"/>
      <c r="S145" s="5"/>
    </row>
    <row r="146" spans="2:19">
      <c r="B146" s="5"/>
      <c r="C146" s="5"/>
      <c r="D146" s="5"/>
      <c r="E146" s="5"/>
      <c r="F146" s="5"/>
      <c r="G146" s="5"/>
      <c r="H146" s="5"/>
      <c r="I146" s="5"/>
      <c r="J146" s="5"/>
      <c r="K146" s="5"/>
      <c r="L146" s="5"/>
      <c r="M146" s="5"/>
      <c r="N146" s="5"/>
      <c r="O146" s="5"/>
      <c r="Q146" s="5"/>
      <c r="R146" s="5"/>
      <c r="S146" s="5"/>
    </row>
    <row r="147" spans="2:19">
      <c r="B147" s="5"/>
      <c r="C147" s="5"/>
      <c r="D147" s="5"/>
      <c r="E147" s="5"/>
      <c r="F147" s="5"/>
      <c r="G147" s="5"/>
      <c r="H147" s="5"/>
      <c r="I147" s="5"/>
      <c r="J147" s="5"/>
      <c r="K147" s="5"/>
      <c r="L147" s="5"/>
      <c r="M147" s="5"/>
      <c r="N147" s="5"/>
      <c r="O147" s="5"/>
      <c r="Q147" s="5"/>
      <c r="R147" s="5"/>
      <c r="S147" s="5"/>
    </row>
    <row r="148" spans="2:19">
      <c r="B148" s="5"/>
      <c r="C148" s="5"/>
      <c r="D148" s="5"/>
      <c r="E148" s="5"/>
      <c r="F148" s="5"/>
      <c r="G148" s="5"/>
      <c r="H148" s="5"/>
      <c r="I148" s="5"/>
      <c r="J148" s="5"/>
      <c r="K148" s="5"/>
      <c r="L148" s="5"/>
      <c r="M148" s="5"/>
      <c r="N148" s="5"/>
      <c r="O148" s="5"/>
      <c r="Q148" s="5"/>
      <c r="R148" s="5"/>
      <c r="S148" s="5"/>
    </row>
    <row r="149" spans="2:19">
      <c r="B149" s="5"/>
      <c r="C149" s="5"/>
      <c r="D149" s="5"/>
      <c r="E149" s="5"/>
      <c r="F149" s="5"/>
      <c r="G149" s="5"/>
      <c r="H149" s="5"/>
      <c r="J149" s="5"/>
      <c r="K149" s="5"/>
      <c r="L149" s="5"/>
      <c r="M149" s="5"/>
      <c r="N149" s="5"/>
      <c r="O149" s="5"/>
      <c r="Q149" s="5"/>
      <c r="R149" s="5"/>
      <c r="S149" s="5"/>
    </row>
    <row r="150" spans="2:19">
      <c r="B150" s="5"/>
      <c r="C150" s="5"/>
      <c r="D150" s="5"/>
      <c r="E150" s="5"/>
      <c r="F150" s="5"/>
      <c r="G150" s="5"/>
      <c r="H150" s="5"/>
      <c r="J150" s="5"/>
      <c r="K150" s="5"/>
      <c r="L150" s="5"/>
      <c r="M150" s="5"/>
      <c r="N150" s="5"/>
      <c r="O150" s="5"/>
      <c r="Q150" s="5"/>
      <c r="R150" s="5"/>
      <c r="S150" s="5"/>
    </row>
    <row r="151" spans="2:19">
      <c r="Q151" s="5"/>
      <c r="R151" s="5"/>
      <c r="S151" s="5"/>
    </row>
    <row r="152" spans="2:19">
      <c r="Q152" s="5"/>
      <c r="R152" s="5"/>
      <c r="S152" s="5"/>
    </row>
    <row r="153" spans="2:19">
      <c r="C153" s="263"/>
      <c r="Q153" s="5"/>
      <c r="R153" s="5"/>
      <c r="S153" s="5"/>
    </row>
    <row r="154" spans="2:19">
      <c r="Q154" s="5"/>
      <c r="R154" s="5"/>
      <c r="S154" s="5"/>
    </row>
    <row r="155" spans="2:19">
      <c r="Q155" s="5"/>
      <c r="R155" s="5"/>
      <c r="S155" s="5"/>
    </row>
    <row r="156" spans="2:19">
      <c r="Q156" s="5"/>
      <c r="R156" s="5"/>
      <c r="S156" s="5"/>
    </row>
    <row r="157" spans="2:19">
      <c r="Q157" s="5"/>
      <c r="R157" s="5"/>
      <c r="S157" s="5"/>
    </row>
    <row r="158" spans="2:19">
      <c r="Q158" s="5"/>
      <c r="R158" s="5"/>
      <c r="S158" s="5"/>
    </row>
    <row r="159" spans="2:19">
      <c r="Q159" s="5"/>
      <c r="R159" s="5"/>
      <c r="S159" s="5"/>
    </row>
    <row r="160" spans="2:19">
      <c r="Q160" s="5"/>
      <c r="R160" s="5"/>
      <c r="S160" s="5"/>
    </row>
    <row r="161" spans="17:19">
      <c r="Q161" s="5"/>
      <c r="R161" s="5"/>
      <c r="S161" s="5"/>
    </row>
    <row r="162" spans="17:19">
      <c r="Q162" s="5"/>
      <c r="R162" s="5"/>
      <c r="S162" s="5"/>
    </row>
    <row r="163" spans="17:19">
      <c r="Q163" s="5"/>
      <c r="R163" s="5"/>
      <c r="S163" s="5"/>
    </row>
    <row r="164" spans="17:19">
      <c r="Q164" s="5"/>
      <c r="R164" s="5"/>
      <c r="S164" s="5"/>
    </row>
    <row r="165" spans="17:19">
      <c r="Q165" s="5"/>
      <c r="R165" s="5"/>
      <c r="S165" s="5"/>
    </row>
  </sheetData>
  <phoneticPr fontId="7" type="noConversion"/>
  <pageMargins left="0.75" right="0.75" top="1" bottom="1" header="0.5" footer="0.5"/>
  <pageSetup scale="71" orientation="landscape" r:id="rId1"/>
  <headerFooter alignWithMargins="0"/>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sheetPr codeName="Sheet9">
    <pageSetUpPr fitToPage="1"/>
  </sheetPr>
  <dimension ref="A1:AR165"/>
  <sheetViews>
    <sheetView showGridLines="0" zoomScale="80" zoomScaleNormal="80" zoomScaleSheetLayoutView="80" workbookViewId="0">
      <selection activeCell="D39" sqref="D39"/>
    </sheetView>
  </sheetViews>
  <sheetFormatPr defaultColWidth="9.109375" defaultRowHeight="12"/>
  <cols>
    <col min="1" max="1" width="2.33203125" style="39" customWidth="1"/>
    <col min="2" max="2" width="26.5546875" style="39" customWidth="1"/>
    <col min="3" max="9" width="10" style="39" customWidth="1"/>
    <col min="10" max="10" width="26.6640625" style="39" customWidth="1"/>
    <col min="11" max="16" width="10" style="39" customWidth="1"/>
    <col min="17" max="19" width="8.6640625" style="39" customWidth="1"/>
    <col min="20" max="28" width="8.6640625" style="5" customWidth="1"/>
    <col min="29" max="44" width="9.109375" style="5"/>
    <col min="45" max="16384" width="9.109375" style="39"/>
  </cols>
  <sheetData>
    <row r="1" spans="2:44" s="312" customFormat="1">
      <c r="T1" s="149"/>
      <c r="U1" s="149"/>
      <c r="V1" s="149"/>
      <c r="W1" s="149"/>
      <c r="X1" s="149"/>
      <c r="Y1" s="149"/>
      <c r="Z1" s="149"/>
      <c r="AA1" s="149"/>
      <c r="AB1" s="149"/>
      <c r="AC1" s="149"/>
      <c r="AD1" s="149"/>
      <c r="AE1" s="149"/>
      <c r="AF1" s="149"/>
      <c r="AG1" s="149"/>
      <c r="AH1" s="149"/>
      <c r="AI1" s="149"/>
      <c r="AJ1" s="149"/>
      <c r="AK1" s="149"/>
      <c r="AL1" s="149"/>
      <c r="AM1" s="149"/>
      <c r="AN1" s="149"/>
      <c r="AO1" s="149"/>
      <c r="AP1" s="149"/>
      <c r="AQ1" s="149"/>
      <c r="AR1" s="149"/>
    </row>
    <row r="2" spans="2:44" s="149" customFormat="1"/>
    <row r="3" spans="2:44" s="149" customFormat="1">
      <c r="H3" s="153"/>
      <c r="P3" s="153"/>
    </row>
    <row r="4" spans="2:44" s="156" customFormat="1" ht="21">
      <c r="B4" s="129" t="s">
        <v>599</v>
      </c>
      <c r="H4" s="222"/>
      <c r="P4" s="222"/>
    </row>
    <row r="5" spans="2:44" s="149" customFormat="1">
      <c r="C5" s="153"/>
      <c r="D5" s="153" t="str" cm="1">
        <f t="array" ref="D5:H5">headings</f>
        <v>2023E</v>
      </c>
      <c r="E5" s="153" t="str">
        <v>2024E</v>
      </c>
      <c r="F5" s="153" t="str">
        <v>2025E</v>
      </c>
      <c r="G5" s="153" t="str">
        <v>2026E</v>
      </c>
      <c r="H5" s="153" t="str">
        <v>23E-26E</v>
      </c>
      <c r="I5" s="153"/>
      <c r="J5" s="153"/>
      <c r="K5" s="153"/>
      <c r="L5" s="153" t="str" cm="1">
        <f t="array" ref="L5:P5">headings</f>
        <v>2023E</v>
      </c>
      <c r="M5" s="153" t="str">
        <v>2024E</v>
      </c>
      <c r="N5" s="153" t="str">
        <v>2025E</v>
      </c>
      <c r="O5" s="153" t="str">
        <v>2026E</v>
      </c>
      <c r="P5" s="153" t="str">
        <v>23E-26E</v>
      </c>
      <c r="Q5" s="162"/>
      <c r="R5" s="162"/>
      <c r="S5" s="162"/>
      <c r="T5" s="162"/>
      <c r="U5" s="162"/>
      <c r="V5" s="162"/>
      <c r="W5" s="162"/>
      <c r="X5" s="162"/>
      <c r="Y5" s="162"/>
    </row>
    <row r="6" spans="2:44">
      <c r="I6" s="5"/>
      <c r="J6" s="5"/>
      <c r="K6" s="5"/>
      <c r="L6" s="5"/>
      <c r="M6" s="5"/>
      <c r="N6" s="5"/>
      <c r="O6" s="49"/>
    </row>
    <row r="7" spans="2:44" ht="12.6" thickBot="1">
      <c r="B7" s="306" t="s">
        <v>271</v>
      </c>
      <c r="C7" s="265"/>
      <c r="D7" s="265" t="str">
        <f>D5</f>
        <v>2023E</v>
      </c>
      <c r="E7" s="265" t="str">
        <f t="shared" ref="E7:H7" si="0">E5</f>
        <v>2024E</v>
      </c>
      <c r="F7" s="265" t="str">
        <f t="shared" si="0"/>
        <v>2025E</v>
      </c>
      <c r="G7" s="265" t="str">
        <f t="shared" si="0"/>
        <v>2026E</v>
      </c>
      <c r="H7" s="265" t="str">
        <f t="shared" si="0"/>
        <v>23E-26E</v>
      </c>
      <c r="I7" s="49"/>
      <c r="J7" s="306" t="s">
        <v>35</v>
      </c>
      <c r="K7" s="306"/>
      <c r="L7" s="265" t="str">
        <f>L5</f>
        <v>2023E</v>
      </c>
      <c r="M7" s="265" t="str">
        <f t="shared" ref="M7:P7" si="1">M5</f>
        <v>2024E</v>
      </c>
      <c r="N7" s="265" t="str">
        <f t="shared" si="1"/>
        <v>2025E</v>
      </c>
      <c r="O7" s="265" t="str">
        <f t="shared" si="1"/>
        <v>2026E</v>
      </c>
      <c r="P7" s="265" t="str">
        <f t="shared" si="1"/>
        <v>23E-26E</v>
      </c>
    </row>
    <row r="8" spans="2:44" ht="12.6" thickTop="1">
      <c r="B8" s="5"/>
      <c r="C8" s="5"/>
      <c r="D8" s="5"/>
      <c r="E8" s="5"/>
      <c r="F8" s="5"/>
      <c r="G8" s="5"/>
      <c r="H8" s="5"/>
      <c r="I8" s="5"/>
      <c r="J8" s="5"/>
      <c r="K8" s="5"/>
      <c r="L8" s="5"/>
      <c r="M8" s="5"/>
      <c r="N8" s="5"/>
      <c r="S8" s="88"/>
      <c r="T8" s="42"/>
      <c r="U8" s="42"/>
      <c r="V8" s="42"/>
      <c r="W8" s="42"/>
      <c r="X8" s="42"/>
      <c r="Y8" s="42"/>
      <c r="Z8" s="42"/>
      <c r="AA8" s="42"/>
    </row>
    <row r="9" spans="2:44">
      <c r="B9" s="41" t="s">
        <v>25</v>
      </c>
      <c r="C9" s="287">
        <f>Prices!C18</f>
        <v>123.7</v>
      </c>
      <c r="D9" s="535">
        <v>0</v>
      </c>
      <c r="E9" s="536">
        <v>0</v>
      </c>
      <c r="F9" s="536">
        <v>0</v>
      </c>
      <c r="G9" s="536">
        <v>0</v>
      </c>
      <c r="H9" s="249"/>
      <c r="I9" s="249"/>
      <c r="J9" s="5" t="s">
        <v>273</v>
      </c>
      <c r="L9" s="529">
        <f>'W.EUR INCUMB'!D37</f>
        <v>2.1820368783030246</v>
      </c>
      <c r="M9" s="529">
        <f>'W.EUR INCUMB'!E37</f>
        <v>2.0995807894380842</v>
      </c>
      <c r="N9" s="529">
        <f>'W.EUR INCUMB'!F37</f>
        <v>2.0073776110351829</v>
      </c>
      <c r="O9" s="529">
        <f>'W.EUR INCUMB'!G37</f>
        <v>1.9004321192081457</v>
      </c>
      <c r="P9" s="279">
        <f>'W.EUR INCUMB'!H37</f>
        <v>1.5546449189376421E-2</v>
      </c>
      <c r="S9" s="88"/>
      <c r="T9" s="42"/>
      <c r="U9" s="42"/>
      <c r="V9" s="42"/>
      <c r="W9" s="42"/>
      <c r="X9" s="42"/>
      <c r="Y9" s="42"/>
      <c r="Z9" s="42"/>
      <c r="AA9" s="42"/>
    </row>
    <row r="10" spans="2:44">
      <c r="B10" s="5" t="s">
        <v>274</v>
      </c>
      <c r="C10" s="5"/>
      <c r="D10" s="531">
        <v>1386.7080329999999</v>
      </c>
      <c r="E10" s="531">
        <v>1374.7474326247655</v>
      </c>
      <c r="F10" s="531">
        <v>1374.7474326247655</v>
      </c>
      <c r="G10" s="531">
        <v>1374.7474326247655</v>
      </c>
      <c r="H10" s="247"/>
      <c r="I10" s="247"/>
      <c r="J10" s="5" t="s">
        <v>184</v>
      </c>
      <c r="L10" s="529">
        <f>'W.EUR INCUMB'!D38</f>
        <v>6.6561389315824204</v>
      </c>
      <c r="M10" s="529">
        <f>'W.EUR INCUMB'!E38</f>
        <v>6.276659180358183</v>
      </c>
      <c r="N10" s="529">
        <f>'W.EUR INCUMB'!F38</f>
        <v>5.9086011977805715</v>
      </c>
      <c r="O10" s="529">
        <f>'W.EUR INCUMB'!G38</f>
        <v>5.5249848727361259</v>
      </c>
      <c r="P10" s="279">
        <f>'W.EUR INCUMB'!H38</f>
        <v>3.1953936851226938E-2</v>
      </c>
      <c r="S10" s="88"/>
      <c r="T10" s="42"/>
      <c r="U10" s="42"/>
      <c r="V10" s="42"/>
      <c r="W10" s="288"/>
      <c r="X10" s="288"/>
      <c r="Y10" s="288"/>
      <c r="Z10" s="288"/>
      <c r="AA10" s="42"/>
    </row>
    <row r="11" spans="2:44">
      <c r="B11" s="41" t="s">
        <v>275</v>
      </c>
      <c r="C11" s="5"/>
      <c r="D11" s="532">
        <f>$C$9*D10</f>
        <v>171535.78368209998</v>
      </c>
      <c r="E11" s="532">
        <f>$C$9*E10</f>
        <v>170056.2574156835</v>
      </c>
      <c r="F11" s="532">
        <f>$C$9*F10</f>
        <v>170056.2574156835</v>
      </c>
      <c r="G11" s="532">
        <f>$C$9*G10</f>
        <v>170056.2574156835</v>
      </c>
      <c r="H11" s="249"/>
      <c r="I11" s="249"/>
      <c r="J11" s="5" t="s">
        <v>185</v>
      </c>
      <c r="L11" s="529">
        <f>'W.EUR INCUMB'!D39</f>
        <v>13.860323858751276</v>
      </c>
      <c r="M11" s="529">
        <f>'W.EUR INCUMB'!E39</f>
        <v>12.09622383745986</v>
      </c>
      <c r="N11" s="529">
        <f>'W.EUR INCUMB'!F39</f>
        <v>10.876080155020103</v>
      </c>
      <c r="O11" s="529">
        <f>'W.EUR INCUMB'!G39</f>
        <v>9.7993857809910292</v>
      </c>
      <c r="P11" s="279">
        <f>'W.EUR INCUMB'!H39</f>
        <v>8.864945159447446E-2</v>
      </c>
      <c r="S11" s="88"/>
      <c r="T11" s="42"/>
      <c r="U11" s="42"/>
      <c r="V11" s="42"/>
      <c r="W11" s="288"/>
      <c r="X11" s="288"/>
      <c r="Y11" s="288"/>
      <c r="Z11" s="288"/>
      <c r="AA11" s="42"/>
    </row>
    <row r="12" spans="2:44">
      <c r="B12" s="5" t="s">
        <v>24</v>
      </c>
      <c r="C12" s="249"/>
      <c r="D12" s="533">
        <v>82840.049726765414</v>
      </c>
      <c r="E12" s="533">
        <v>82256.900079556945</v>
      </c>
      <c r="F12" s="533">
        <v>79985.200074748107</v>
      </c>
      <c r="G12" s="533">
        <v>81104.80328567572</v>
      </c>
      <c r="H12" s="247"/>
      <c r="I12" s="247"/>
      <c r="J12" s="5" t="s">
        <v>466</v>
      </c>
      <c r="L12" s="529">
        <f>'W.EUR INCUMB'!D40</f>
        <v>18.773170831659439</v>
      </c>
      <c r="M12" s="529">
        <f>'W.EUR INCUMB'!E40</f>
        <v>16.316100899802951</v>
      </c>
      <c r="N12" s="529">
        <f>'W.EUR INCUMB'!F40</f>
        <v>14.678691432593167</v>
      </c>
      <c r="O12" s="529">
        <f>'W.EUR INCUMB'!G40</f>
        <v>13.250660214807615</v>
      </c>
      <c r="P12" s="279">
        <f>'W.EUR INCUMB'!H40</f>
        <v>8.9255902689365119E-2</v>
      </c>
      <c r="S12" s="88"/>
      <c r="T12" s="42"/>
      <c r="U12" s="42"/>
      <c r="V12" s="42"/>
      <c r="W12" s="288"/>
      <c r="X12" s="288"/>
      <c r="Y12" s="288"/>
      <c r="Z12" s="288"/>
      <c r="AA12" s="42"/>
    </row>
    <row r="13" spans="2:44">
      <c r="B13" s="5" t="s">
        <v>529</v>
      </c>
      <c r="C13" s="257"/>
      <c r="D13" s="533">
        <v>34129.960779432004</v>
      </c>
      <c r="E13" s="533">
        <v>34129.960779432004</v>
      </c>
      <c r="F13" s="533">
        <v>34129.960779432004</v>
      </c>
      <c r="G13" s="533">
        <v>34129.960779432004</v>
      </c>
      <c r="H13" s="247"/>
      <c r="I13" s="247"/>
      <c r="J13" s="5" t="s">
        <v>530</v>
      </c>
      <c r="L13" s="529">
        <f>'W.EUR INCUMB'!D41</f>
        <v>1.4554049615742648</v>
      </c>
      <c r="M13" s="529">
        <f>'W.EUR INCUMB'!E41</f>
        <v>1.3652506578772214</v>
      </c>
      <c r="N13" s="529">
        <f>'W.EUR INCUMB'!F41</f>
        <v>1.2968813123150413</v>
      </c>
      <c r="O13" s="529">
        <f>'W.EUR INCUMB'!G41</f>
        <v>1.2281427713802577</v>
      </c>
      <c r="P13" s="279">
        <f>'W.EUR INCUMB'!H41</f>
        <v>2.6301307293472354E-2</v>
      </c>
      <c r="S13" s="88"/>
      <c r="T13" s="42"/>
      <c r="U13" s="42"/>
      <c r="V13" s="42"/>
      <c r="W13" s="42"/>
      <c r="X13" s="42"/>
      <c r="Y13" s="42"/>
      <c r="Z13" s="42"/>
      <c r="AA13" s="42"/>
    </row>
    <row r="14" spans="2:44">
      <c r="B14" s="5" t="s">
        <v>532</v>
      </c>
      <c r="C14" s="257"/>
      <c r="D14" s="533">
        <f>E14</f>
        <v>68772.85947669344</v>
      </c>
      <c r="E14" s="612">
        <f>TNORSOP!R43</f>
        <v>68772.85947669344</v>
      </c>
      <c r="F14" s="533">
        <f>E14</f>
        <v>68772.85947669344</v>
      </c>
      <c r="G14" s="533">
        <f>F14</f>
        <v>68772.85947669344</v>
      </c>
      <c r="H14" s="247"/>
      <c r="I14" s="247"/>
      <c r="J14" s="5" t="s">
        <v>593</v>
      </c>
      <c r="L14" s="529">
        <f>'W.EUR INCUMB'!D42</f>
        <v>3.3234793761102739</v>
      </c>
      <c r="M14" s="529">
        <f>'W.EUR INCUMB'!E42</f>
        <v>3.2424169171692641</v>
      </c>
      <c r="N14" s="529">
        <f>'W.EUR INCUMB'!F42</f>
        <v>3.1662515332190617</v>
      </c>
      <c r="O14" s="529">
        <f>'W.EUR INCUMB'!G42</f>
        <v>3.0630241710617754</v>
      </c>
      <c r="P14" s="279">
        <f>'W.EUR INCUMB'!H42</f>
        <v>-3.4232783193558491E-3</v>
      </c>
      <c r="S14" s="88"/>
      <c r="T14" s="42"/>
      <c r="U14" s="42"/>
      <c r="V14" s="42"/>
      <c r="W14" s="42"/>
      <c r="X14" s="42"/>
      <c r="Y14" s="42"/>
      <c r="Z14" s="42"/>
      <c r="AA14" s="42"/>
    </row>
    <row r="15" spans="2:44">
      <c r="B15" s="5" t="s">
        <v>531</v>
      </c>
      <c r="C15" s="274"/>
      <c r="D15" s="533">
        <f>E15</f>
        <v>26157.447898067192</v>
      </c>
      <c r="E15" s="612">
        <f>TNORSOP!T36</f>
        <v>26157.447898067192</v>
      </c>
      <c r="F15" s="533">
        <f>E15</f>
        <v>26157.447898067192</v>
      </c>
      <c r="G15" s="533">
        <f>F15</f>
        <v>26157.447898067192</v>
      </c>
      <c r="H15" s="247"/>
      <c r="I15" s="247"/>
      <c r="J15" s="5" t="s">
        <v>475</v>
      </c>
      <c r="L15" s="529">
        <f>'W.EUR INCUMB'!D43</f>
        <v>15.36919487731438</v>
      </c>
      <c r="M15" s="529">
        <f>'W.EUR INCUMB'!E43</f>
        <v>13.900480990887658</v>
      </c>
      <c r="N15" s="529">
        <f>'W.EUR INCUMB'!F43</f>
        <v>11.808036199618913</v>
      </c>
      <c r="O15" s="529">
        <f>'W.EUR INCUMB'!G43</f>
        <v>10.77079458313478</v>
      </c>
      <c r="P15" s="279">
        <f>'W.EUR INCUMB'!H43</f>
        <v>0.11736524628436351</v>
      </c>
      <c r="S15" s="88"/>
      <c r="T15" s="42"/>
      <c r="U15" s="42"/>
      <c r="V15" s="42"/>
      <c r="W15" s="42"/>
      <c r="X15" s="42"/>
      <c r="Y15" s="42"/>
      <c r="Z15" s="42"/>
      <c r="AA15" s="42"/>
    </row>
    <row r="16" spans="2:44">
      <c r="B16" s="5" t="s">
        <v>534</v>
      </c>
      <c r="C16" s="257"/>
      <c r="D16" s="533">
        <v>0</v>
      </c>
      <c r="E16" s="533">
        <v>13230.581342852996</v>
      </c>
      <c r="F16" s="533">
        <v>26543.793576345975</v>
      </c>
      <c r="G16" s="533">
        <v>40123.270054508816</v>
      </c>
      <c r="H16" s="247"/>
      <c r="I16" s="247"/>
      <c r="J16" s="5" t="s">
        <v>533</v>
      </c>
      <c r="L16" s="529">
        <f>'W.EUR INCUMB'!D44</f>
        <v>13.849445280082518</v>
      </c>
      <c r="M16" s="529">
        <f>'W.EUR INCUMB'!E44</f>
        <v>12.437286696089576</v>
      </c>
      <c r="N16" s="529">
        <f>'W.EUR INCUMB'!F44</f>
        <v>11.380437598490861</v>
      </c>
      <c r="O16" s="529">
        <f>'W.EUR INCUMB'!G44</f>
        <v>10.478743141097034</v>
      </c>
      <c r="P16" s="279">
        <f>'W.EUR INCUMB'!H44</f>
        <v>9.2323853476973694E-2</v>
      </c>
      <c r="S16" s="88"/>
      <c r="T16" s="42"/>
      <c r="U16" s="42"/>
      <c r="V16" s="42"/>
      <c r="W16" s="42"/>
      <c r="X16" s="42"/>
      <c r="Y16" s="42"/>
      <c r="Z16" s="42"/>
      <c r="AA16" s="42"/>
    </row>
    <row r="17" spans="2:27">
      <c r="B17" s="5" t="s">
        <v>6</v>
      </c>
      <c r="C17" s="257"/>
      <c r="D17" s="533">
        <v>4856.6653377110679</v>
      </c>
      <c r="E17" s="533">
        <v>4856.6653377110679</v>
      </c>
      <c r="F17" s="533">
        <v>4856.6653377110679</v>
      </c>
      <c r="G17" s="533">
        <v>4856.6653377110679</v>
      </c>
      <c r="H17" s="247"/>
      <c r="I17" s="247"/>
      <c r="J17" s="5" t="s">
        <v>580</v>
      </c>
      <c r="L17" s="248">
        <f>'W.EUR INCUMB'!D45</f>
        <v>4.9929768285127372E-2</v>
      </c>
      <c r="M17" s="248">
        <f>'W.EUR INCUMB'!E45</f>
        <v>5.2540326500089954E-2</v>
      </c>
      <c r="N17" s="248">
        <f>'W.EUR INCUMB'!F45</f>
        <v>5.4852141769022943E-2</v>
      </c>
      <c r="O17" s="248">
        <f>'W.EUR INCUMB'!G45</f>
        <v>5.8322596586761276E-2</v>
      </c>
      <c r="P17" s="279">
        <f>'W.EUR INCUMB'!H45</f>
        <v>4.8261067786518064E-2</v>
      </c>
      <c r="S17" s="88"/>
      <c r="T17" s="42"/>
      <c r="U17" s="42"/>
      <c r="V17" s="42"/>
      <c r="W17" s="42"/>
      <c r="X17" s="42"/>
      <c r="Y17" s="42"/>
      <c r="Z17" s="42"/>
      <c r="AA17" s="42"/>
    </row>
    <row r="18" spans="2:27" ht="12.6" thickBot="1">
      <c r="B18" s="41" t="s">
        <v>583</v>
      </c>
      <c r="C18" s="249"/>
      <c r="D18" s="534">
        <f>D11+D12+D13-D14+D15-D16-D17</f>
        <v>241033.71727196002</v>
      </c>
      <c r="E18" s="534">
        <f>E11+E12+E13-E14+E15-E16-E17</f>
        <v>225740.46001548209</v>
      </c>
      <c r="F18" s="534">
        <f>F11+F12+F13-F14+F15-F16-F17</f>
        <v>210155.54777718027</v>
      </c>
      <c r="G18" s="534">
        <f>G11+G12+G13-G14+G15-G16-G17</f>
        <v>197695.67450994512</v>
      </c>
      <c r="H18" s="276">
        <f>IF(D18=0,"nm",IF(G18=0,"nm",(G18/D18)^(1/3)-1))</f>
        <v>-6.3934031829348315E-2</v>
      </c>
      <c r="I18" s="254"/>
      <c r="J18" s="5" t="s">
        <v>36</v>
      </c>
      <c r="L18" s="248">
        <f>'W.EUR INCUMB'!D46</f>
        <v>4.9929768285127372E-2</v>
      </c>
      <c r="M18" s="248">
        <f>'W.EUR INCUMB'!E46</f>
        <v>5.2540326500089954E-2</v>
      </c>
      <c r="N18" s="248">
        <f>'W.EUR INCUMB'!F46</f>
        <v>5.4852141769022943E-2</v>
      </c>
      <c r="O18" s="248">
        <f>'W.EUR INCUMB'!G46</f>
        <v>5.8322596586761276E-2</v>
      </c>
      <c r="P18" s="279">
        <f>'W.EUR INCUMB'!H46</f>
        <v>4.8261067786518064E-2</v>
      </c>
      <c r="S18" s="88"/>
      <c r="T18" s="42"/>
      <c r="U18" s="42"/>
      <c r="V18" s="42"/>
      <c r="W18" s="42"/>
      <c r="X18" s="42"/>
      <c r="Y18" s="42"/>
      <c r="Z18" s="42"/>
      <c r="AA18" s="42"/>
    </row>
    <row r="19" spans="2:27" ht="12.6" thickTop="1">
      <c r="B19" s="41"/>
      <c r="C19" s="249"/>
      <c r="D19" s="229"/>
      <c r="E19" s="229"/>
      <c r="F19" s="229"/>
      <c r="G19" s="229"/>
      <c r="H19" s="276"/>
      <c r="I19" s="254"/>
      <c r="J19" s="5" t="s">
        <v>581</v>
      </c>
      <c r="L19" s="248">
        <f>'W.EUR INCUMB'!D47</f>
        <v>6.5065217012508891E-2</v>
      </c>
      <c r="M19" s="248">
        <f>'W.EUR INCUMB'!E47</f>
        <v>7.1939956657294191E-2</v>
      </c>
      <c r="N19" s="248">
        <f>'W.EUR INCUMB'!F47</f>
        <v>8.4688087256395234E-2</v>
      </c>
      <c r="O19" s="248">
        <f>'W.EUR INCUMB'!G47</f>
        <v>9.2843660909272999E-2</v>
      </c>
      <c r="P19" s="279">
        <f>'W.EUR INCUMB'!H47</f>
        <v>0.11736524628436351</v>
      </c>
      <c r="S19" s="88"/>
      <c r="T19" s="42"/>
      <c r="U19" s="42"/>
      <c r="V19" s="42"/>
      <c r="W19" s="42"/>
      <c r="X19" s="42"/>
      <c r="Y19" s="42"/>
      <c r="Z19" s="42"/>
      <c r="AA19" s="42"/>
    </row>
    <row r="20" spans="2:27">
      <c r="H20" s="277"/>
      <c r="I20" s="17"/>
      <c r="J20" s="5" t="s">
        <v>604</v>
      </c>
      <c r="L20" s="305">
        <f>'W.EUR INCUMB'!D48</f>
        <v>0.69753103513272863</v>
      </c>
      <c r="M20" s="305">
        <f>'W.EUR INCUMB'!E48</f>
        <v>0.66278263399293669</v>
      </c>
      <c r="N20" s="305">
        <f>'W.EUR INCUMB'!F48</f>
        <v>0.5878425682239502</v>
      </c>
      <c r="O20" s="305">
        <f>'W.EUR INCUMB'!G48</f>
        <v>0.5759521808171526</v>
      </c>
      <c r="P20" s="279" t="str">
        <f>'W.EUR INCUMB'!H48</f>
        <v>nm</v>
      </c>
      <c r="S20" s="88"/>
      <c r="T20" s="42"/>
      <c r="U20" s="42"/>
      <c r="V20" s="42"/>
      <c r="W20" s="42"/>
      <c r="X20" s="42"/>
      <c r="Y20" s="42"/>
      <c r="Z20" s="42"/>
      <c r="AA20" s="42"/>
    </row>
    <row r="21" spans="2:27" ht="12.6" thickBot="1">
      <c r="B21" s="306" t="s">
        <v>956</v>
      </c>
      <c r="C21" s="265"/>
      <c r="D21" s="265" t="str">
        <f>D5</f>
        <v>2023E</v>
      </c>
      <c r="E21" s="265" t="str">
        <f t="shared" ref="E21:H21" si="2">E5</f>
        <v>2024E</v>
      </c>
      <c r="F21" s="265" t="str">
        <f t="shared" si="2"/>
        <v>2025E</v>
      </c>
      <c r="G21" s="265" t="str">
        <f t="shared" si="2"/>
        <v>2026E</v>
      </c>
      <c r="H21" s="265" t="str">
        <f t="shared" si="2"/>
        <v>23E-26E</v>
      </c>
      <c r="I21" s="49"/>
      <c r="J21" s="41"/>
      <c r="L21" s="250"/>
      <c r="M21" s="250"/>
      <c r="N21" s="250"/>
      <c r="O21" s="250"/>
      <c r="P21" s="279"/>
      <c r="S21" s="88"/>
      <c r="T21" s="42"/>
      <c r="U21" s="42"/>
      <c r="V21" s="42"/>
      <c r="W21" s="42"/>
      <c r="X21" s="42"/>
      <c r="Y21" s="42"/>
      <c r="Z21" s="42"/>
      <c r="AA21" s="42"/>
    </row>
    <row r="22" spans="2:27" ht="12.6" thickTop="1">
      <c r="B22" s="5"/>
      <c r="C22" s="257"/>
      <c r="D22" s="17"/>
      <c r="E22" s="17"/>
      <c r="F22" s="17"/>
      <c r="G22" s="17"/>
      <c r="H22" s="17"/>
      <c r="I22" s="17"/>
      <c r="P22" s="277"/>
      <c r="S22" s="88"/>
      <c r="T22" s="42"/>
      <c r="U22" s="42"/>
      <c r="V22" s="42"/>
      <c r="W22" s="42"/>
      <c r="X22" s="42"/>
      <c r="Y22" s="42"/>
      <c r="Z22" s="42"/>
      <c r="AA22" s="42"/>
    </row>
    <row r="23" spans="2:27" ht="12.6" thickBot="1">
      <c r="B23" s="5" t="s">
        <v>584</v>
      </c>
      <c r="C23" s="548">
        <v>75814.827569877278</v>
      </c>
      <c r="D23" s="540">
        <v>76374.164584885177</v>
      </c>
      <c r="E23" s="540">
        <v>73328.806506062785</v>
      </c>
      <c r="F23" s="540">
        <v>74463.042104068605</v>
      </c>
      <c r="G23" s="540">
        <v>75597.83825098825</v>
      </c>
      <c r="H23" s="279">
        <f t="shared" ref="H23:H32" si="3">IF(D23=0,"nm",IF(G23=0,"nm",(G23/D23)^(1/3)-1))</f>
        <v>-3.3998044944076877E-3</v>
      </c>
      <c r="I23" s="247"/>
      <c r="J23" s="306" t="s">
        <v>9</v>
      </c>
      <c r="K23" s="306"/>
      <c r="L23" s="265" t="str">
        <f>D21</f>
        <v>2023E</v>
      </c>
      <c r="M23" s="265" t="str">
        <f t="shared" ref="M23:P23" si="4">E21</f>
        <v>2024E</v>
      </c>
      <c r="N23" s="265" t="str">
        <f t="shared" si="4"/>
        <v>2025E</v>
      </c>
      <c r="O23" s="265" t="str">
        <f t="shared" si="4"/>
        <v>2026E</v>
      </c>
      <c r="P23" s="265" t="str">
        <f t="shared" si="4"/>
        <v>23E-26E</v>
      </c>
      <c r="S23" s="88"/>
      <c r="T23" s="42"/>
      <c r="U23" s="42"/>
      <c r="V23" s="42"/>
      <c r="W23" s="42"/>
      <c r="X23" s="42"/>
      <c r="Y23" s="42"/>
      <c r="Z23" s="42"/>
      <c r="AA23" s="42"/>
    </row>
    <row r="24" spans="2:27" ht="12.6" thickTop="1">
      <c r="B24" s="5" t="s">
        <v>483</v>
      </c>
      <c r="C24" s="549">
        <v>40950.719913028355</v>
      </c>
      <c r="D24" s="540">
        <v>34485.483065828754</v>
      </c>
      <c r="E24" s="540">
        <v>35196.754238831913</v>
      </c>
      <c r="F24" s="540">
        <v>34161.358507641584</v>
      </c>
      <c r="G24" s="540">
        <v>34879.626534573406</v>
      </c>
      <c r="H24" s="279">
        <f t="shared" si="3"/>
        <v>3.7953297753920978E-3</v>
      </c>
      <c r="I24" s="249"/>
      <c r="J24" s="17"/>
      <c r="K24" s="17"/>
      <c r="L24" s="17"/>
      <c r="M24" s="17"/>
      <c r="N24" s="17"/>
      <c r="O24" s="248"/>
      <c r="S24" s="88"/>
      <c r="T24" s="42"/>
      <c r="U24" s="42"/>
      <c r="V24" s="42"/>
      <c r="W24" s="42" t="s">
        <v>462</v>
      </c>
      <c r="X24" s="42" t="s">
        <v>251</v>
      </c>
      <c r="Y24" s="42"/>
      <c r="Z24" s="42"/>
      <c r="AA24" s="42"/>
    </row>
    <row r="25" spans="2:27">
      <c r="B25" s="5" t="s">
        <v>183</v>
      </c>
      <c r="C25" s="548">
        <v>20270.012670343251</v>
      </c>
      <c r="D25" s="540">
        <v>21670.562284077958</v>
      </c>
      <c r="E25" s="540">
        <v>23383.70830685916</v>
      </c>
      <c r="F25" s="540">
        <v>23163.765436149493</v>
      </c>
      <c r="G25" s="540">
        <v>23845.559349085721</v>
      </c>
      <c r="H25" s="279">
        <f t="shared" si="3"/>
        <v>3.2394727823750857E-2</v>
      </c>
      <c r="I25" s="248"/>
      <c r="J25" s="247" t="s">
        <v>10</v>
      </c>
      <c r="K25" s="247"/>
      <c r="L25" s="321">
        <v>42036</v>
      </c>
      <c r="M25" s="321">
        <v>42036</v>
      </c>
      <c r="N25" s="321">
        <v>42036</v>
      </c>
      <c r="O25" s="321">
        <v>42036</v>
      </c>
      <c r="P25" s="279">
        <f>IF(L25=0,"nm",IF(O25=0,"nm",(O25/L25)^(1/3)-1))</f>
        <v>0</v>
      </c>
      <c r="S25" s="88"/>
      <c r="T25" s="42"/>
      <c r="U25" s="42"/>
      <c r="V25" s="147" t="s">
        <v>273</v>
      </c>
      <c r="W25" s="288">
        <f>D37/L9</f>
        <v>1.4463361446239711</v>
      </c>
      <c r="X25" s="288">
        <v>1</v>
      </c>
      <c r="Y25" s="42"/>
      <c r="Z25" s="42"/>
      <c r="AA25" s="42"/>
    </row>
    <row r="26" spans="2:27">
      <c r="B26" s="5" t="s">
        <v>586</v>
      </c>
      <c r="C26" s="548">
        <v>15810.609882867737</v>
      </c>
      <c r="D26" s="540">
        <v>16903.038581580808</v>
      </c>
      <c r="E26" s="540">
        <v>18239.292479350144</v>
      </c>
      <c r="F26" s="540">
        <v>18067.737040196604</v>
      </c>
      <c r="G26" s="540">
        <v>18599.536292286863</v>
      </c>
      <c r="H26" s="279">
        <f t="shared" si="3"/>
        <v>3.2394727823750857E-2</v>
      </c>
      <c r="I26" s="249"/>
      <c r="J26" s="249" t="s">
        <v>11</v>
      </c>
      <c r="K26" s="249"/>
      <c r="L26" s="281">
        <f>D11+L25</f>
        <v>213571.78368209998</v>
      </c>
      <c r="M26" s="281">
        <f>E11+M25</f>
        <v>212092.2574156835</v>
      </c>
      <c r="N26" s="281">
        <f>F11+N25</f>
        <v>212092.2574156835</v>
      </c>
      <c r="O26" s="281">
        <f>G11+O25</f>
        <v>212092.2574156835</v>
      </c>
      <c r="P26" s="279">
        <f>IF(L26=0,"nm",IF(O26=0,"nm",(O26/L26)^(1/3)-1))</f>
        <v>-2.3145316628383483E-3</v>
      </c>
      <c r="Q26" s="5"/>
      <c r="S26" s="88"/>
      <c r="T26" s="42"/>
      <c r="U26" s="42"/>
      <c r="V26" s="147" t="s">
        <v>184</v>
      </c>
      <c r="W26" s="288">
        <f t="shared" ref="W26:W33" si="5">D38/L10</f>
        <v>1.0500720681825988</v>
      </c>
      <c r="X26" s="288">
        <v>1</v>
      </c>
      <c r="Y26" s="42"/>
      <c r="Z26" s="42"/>
      <c r="AA26" s="42"/>
    </row>
    <row r="27" spans="2:27">
      <c r="B27" s="5" t="s">
        <v>587</v>
      </c>
      <c r="C27" s="549">
        <v>162250.65032040287</v>
      </c>
      <c r="D27" s="540">
        <v>-9326.1346792880504</v>
      </c>
      <c r="E27" s="540">
        <v>-10104.519380107857</v>
      </c>
      <c r="F27" s="540">
        <v>-13195.423404850226</v>
      </c>
      <c r="G27" s="540">
        <v>-11472.476382553941</v>
      </c>
      <c r="H27" s="279">
        <f t="shared" si="3"/>
        <v>7.1482699459306298E-2</v>
      </c>
      <c r="I27" s="249"/>
      <c r="J27" s="248"/>
      <c r="K27" s="248"/>
      <c r="L27" s="248"/>
      <c r="M27" s="248"/>
      <c r="N27" s="248"/>
      <c r="O27" s="248"/>
      <c r="Q27" s="41"/>
      <c r="S27" s="88"/>
      <c r="T27" s="42"/>
      <c r="U27" s="42"/>
      <c r="V27" s="147" t="s">
        <v>185</v>
      </c>
      <c r="W27" s="288">
        <f t="shared" si="5"/>
        <v>0.802480042604377</v>
      </c>
      <c r="X27" s="288">
        <v>1</v>
      </c>
      <c r="Y27" s="42"/>
      <c r="Z27" s="42"/>
      <c r="AA27" s="42"/>
    </row>
    <row r="28" spans="2:27" ht="12.6" thickBot="1">
      <c r="B28" s="5" t="s">
        <v>592</v>
      </c>
      <c r="C28" s="548">
        <v>65659.013834158948</v>
      </c>
      <c r="D28" s="540">
        <v>-81388.438222250319</v>
      </c>
      <c r="E28" s="540">
        <v>-87099.16154659263</v>
      </c>
      <c r="F28" s="540">
        <v>-96455.849681283551</v>
      </c>
      <c r="G28" s="540">
        <v>-100737.78313965563</v>
      </c>
      <c r="H28" s="279">
        <f t="shared" si="3"/>
        <v>7.3684190099372548E-2</v>
      </c>
      <c r="I28" s="248"/>
      <c r="J28" s="306" t="s">
        <v>1362</v>
      </c>
      <c r="K28" s="306"/>
      <c r="L28" s="306"/>
      <c r="M28" s="306"/>
      <c r="N28" s="266"/>
      <c r="O28" s="266"/>
      <c r="P28" s="266"/>
      <c r="Q28" s="5"/>
      <c r="S28" s="88"/>
      <c r="T28" s="42"/>
      <c r="U28" s="42"/>
      <c r="V28" s="147" t="s">
        <v>466</v>
      </c>
      <c r="W28" s="288">
        <f t="shared" si="5"/>
        <v>0.75958325767938961</v>
      </c>
      <c r="X28" s="288">
        <v>1</v>
      </c>
      <c r="Y28" s="42"/>
      <c r="Z28" s="42"/>
      <c r="AA28" s="42"/>
    </row>
    <row r="29" spans="2:27" ht="12.6" thickTop="1">
      <c r="B29" s="5" t="s">
        <v>588</v>
      </c>
      <c r="C29" s="548">
        <v>32400.247229121254</v>
      </c>
      <c r="D29" s="540">
        <v>10416.817433846798</v>
      </c>
      <c r="E29" s="540">
        <v>11691.786478116552</v>
      </c>
      <c r="F29" s="540">
        <v>13575.930109135928</v>
      </c>
      <c r="G29" s="540">
        <v>15624.398459769556</v>
      </c>
      <c r="H29" s="279">
        <f t="shared" si="3"/>
        <v>0.14469402980253543</v>
      </c>
      <c r="I29" s="252"/>
      <c r="J29" s="249"/>
      <c r="K29" s="249"/>
      <c r="L29" s="249"/>
      <c r="M29" s="249"/>
      <c r="N29" s="249"/>
      <c r="O29" s="251"/>
      <c r="Q29" s="5"/>
      <c r="S29" s="88"/>
      <c r="T29" s="42"/>
      <c r="U29" s="42"/>
      <c r="V29" s="147" t="s">
        <v>530</v>
      </c>
      <c r="W29" s="288">
        <f t="shared" si="5"/>
        <v>-17.757926930075563</v>
      </c>
      <c r="X29" s="288">
        <v>1</v>
      </c>
      <c r="Y29" s="42"/>
      <c r="Z29" s="42"/>
      <c r="AA29" s="42"/>
    </row>
    <row r="30" spans="2:27">
      <c r="B30" s="5" t="s">
        <v>589</v>
      </c>
      <c r="C30" s="549">
        <v>15224.110939575276</v>
      </c>
      <c r="D30" s="540">
        <v>8046.1264885545443</v>
      </c>
      <c r="E30" s="540">
        <v>8247.3925762119397</v>
      </c>
      <c r="F30" s="540">
        <v>8709.3250985625473</v>
      </c>
      <c r="G30" s="540">
        <v>10400.781617009041</v>
      </c>
      <c r="H30" s="279">
        <f t="shared" si="3"/>
        <v>8.9330609907736003E-2</v>
      </c>
      <c r="I30" s="254"/>
      <c r="J30" s="248"/>
      <c r="K30" s="248"/>
      <c r="L30" s="248"/>
      <c r="M30" s="248"/>
      <c r="N30" s="248"/>
      <c r="O30" s="5"/>
      <c r="Q30" s="5"/>
      <c r="S30" s="88"/>
      <c r="T30" s="42"/>
      <c r="U30" s="42"/>
      <c r="V30" s="147" t="s">
        <v>593</v>
      </c>
      <c r="W30" s="288">
        <f t="shared" si="5"/>
        <v>-0.89109107872142024</v>
      </c>
      <c r="X30" s="288">
        <v>1</v>
      </c>
      <c r="Y30" s="42"/>
      <c r="Z30" s="42"/>
      <c r="AA30" s="42"/>
    </row>
    <row r="31" spans="2:27">
      <c r="B31" s="5" t="s">
        <v>590</v>
      </c>
      <c r="C31" s="549">
        <v>13154.9055102</v>
      </c>
      <c r="D31" s="540">
        <v>13230.581342852996</v>
      </c>
      <c r="E31" s="540">
        <v>13313.212233492979</v>
      </c>
      <c r="F31" s="540">
        <v>13579.476478162838</v>
      </c>
      <c r="G31" s="540">
        <v>14054.758154898536</v>
      </c>
      <c r="H31" s="279">
        <f t="shared" si="3"/>
        <v>2.0347606146203789E-2</v>
      </c>
      <c r="I31" s="254"/>
      <c r="J31" s="252"/>
      <c r="K31" s="252"/>
      <c r="L31" s="252"/>
      <c r="M31" s="252"/>
      <c r="N31" s="252"/>
      <c r="O31" s="5"/>
      <c r="Q31" s="5"/>
      <c r="S31" s="88"/>
      <c r="T31" s="42"/>
      <c r="U31" s="42"/>
      <c r="V31" s="147" t="s">
        <v>475</v>
      </c>
      <c r="W31" s="288">
        <f t="shared" si="5"/>
        <v>1.3340057595588279</v>
      </c>
      <c r="X31" s="288">
        <v>1</v>
      </c>
      <c r="Y31" s="42"/>
      <c r="Z31" s="42"/>
      <c r="AA31" s="42"/>
    </row>
    <row r="32" spans="2:27">
      <c r="B32" s="5" t="s">
        <v>606</v>
      </c>
      <c r="C32" s="550">
        <v>0</v>
      </c>
      <c r="D32" s="540">
        <v>0</v>
      </c>
      <c r="E32" s="540">
        <v>0</v>
      </c>
      <c r="F32" s="540">
        <v>0</v>
      </c>
      <c r="G32" s="540">
        <v>0</v>
      </c>
      <c r="H32" s="279" t="str">
        <f t="shared" si="3"/>
        <v>nm</v>
      </c>
      <c r="I32" s="254"/>
      <c r="J32" s="254"/>
      <c r="K32" s="254"/>
      <c r="L32" s="254"/>
      <c r="M32" s="254"/>
      <c r="N32" s="254"/>
      <c r="O32" s="251"/>
      <c r="Q32" s="5"/>
      <c r="S32" s="88"/>
      <c r="T32" s="42"/>
      <c r="U32" s="42"/>
      <c r="V32" s="147" t="s">
        <v>533</v>
      </c>
      <c r="W32" s="288">
        <f t="shared" si="5"/>
        <v>1.5393433388072182</v>
      </c>
      <c r="X32" s="288">
        <v>1</v>
      </c>
      <c r="Y32" s="42"/>
      <c r="Z32" s="42"/>
      <c r="AA32" s="42"/>
    </row>
    <row r="33" spans="1:27">
      <c r="B33" s="5" t="s">
        <v>5</v>
      </c>
      <c r="C33" s="549">
        <v>-3004</v>
      </c>
      <c r="D33" s="540">
        <v>-2975.9204269468064</v>
      </c>
      <c r="E33" s="540">
        <v>-2776.8491838895229</v>
      </c>
      <c r="F33" s="540">
        <v>-2765.9462140059841</v>
      </c>
      <c r="G33" s="540">
        <v>-2809.6466328507636</v>
      </c>
      <c r="H33" s="279">
        <f>IF(D33=0,"nm",IF(G33=0,"nm",(G33/D33)^(1/3)-1))</f>
        <v>-1.8982406621526948E-2</v>
      </c>
      <c r="I33" s="5"/>
      <c r="J33" s="254"/>
      <c r="K33" s="254"/>
      <c r="L33" s="254"/>
      <c r="M33" s="254"/>
      <c r="N33" s="254"/>
      <c r="O33" s="251"/>
      <c r="Q33" s="5"/>
      <c r="S33" s="88"/>
      <c r="T33" s="42"/>
      <c r="U33" s="42"/>
      <c r="V33" s="147" t="s">
        <v>580</v>
      </c>
      <c r="W33" s="288">
        <f t="shared" si="5"/>
        <v>1.5447729129635861</v>
      </c>
      <c r="X33" s="288">
        <v>1</v>
      </c>
      <c r="Y33" s="42"/>
      <c r="Z33" s="42"/>
      <c r="AA33" s="42"/>
    </row>
    <row r="34" spans="1:27">
      <c r="H34" s="277"/>
      <c r="I34" s="49"/>
      <c r="J34" s="254"/>
      <c r="K34" s="254"/>
      <c r="L34" s="254"/>
      <c r="M34" s="254"/>
      <c r="N34" s="254"/>
      <c r="O34" s="251"/>
      <c r="Q34" s="5"/>
      <c r="S34" s="88"/>
      <c r="T34" s="42"/>
      <c r="U34" s="42"/>
      <c r="V34" s="147" t="s">
        <v>581</v>
      </c>
      <c r="W34" s="288">
        <f>D47/L19</f>
        <v>0.74962195090575334</v>
      </c>
      <c r="X34" s="288">
        <v>1</v>
      </c>
      <c r="Y34" s="288"/>
      <c r="Z34" s="288"/>
      <c r="AA34" s="42"/>
    </row>
    <row r="35" spans="1:27" ht="12.6" thickBot="1">
      <c r="B35" s="306" t="s">
        <v>282</v>
      </c>
      <c r="C35" s="265"/>
      <c r="D35" s="265" t="str">
        <f>D5</f>
        <v>2023E</v>
      </c>
      <c r="E35" s="265" t="str">
        <f t="shared" ref="E35:H35" si="6">E5</f>
        <v>2024E</v>
      </c>
      <c r="F35" s="265" t="str">
        <f t="shared" si="6"/>
        <v>2025E</v>
      </c>
      <c r="G35" s="265" t="str">
        <f t="shared" si="6"/>
        <v>2026E</v>
      </c>
      <c r="H35" s="265" t="str">
        <f t="shared" si="6"/>
        <v>23E-26E</v>
      </c>
      <c r="I35" s="254"/>
      <c r="J35" s="5"/>
      <c r="K35" s="5"/>
      <c r="L35" s="5"/>
      <c r="M35" s="5"/>
      <c r="N35" s="5"/>
      <c r="O35" s="5"/>
      <c r="Q35" s="5"/>
      <c r="S35" s="88"/>
      <c r="T35" s="42"/>
      <c r="U35" s="42"/>
      <c r="V35" s="42"/>
      <c r="W35" s="42"/>
      <c r="X35" s="42"/>
      <c r="Y35" s="288"/>
      <c r="Z35" s="288"/>
      <c r="AA35" s="42"/>
    </row>
    <row r="36" spans="1:27" ht="12.6" thickTop="1">
      <c r="B36" s="41"/>
      <c r="C36" s="249"/>
      <c r="D36" s="254"/>
      <c r="E36" s="254"/>
      <c r="F36" s="254"/>
      <c r="G36" s="254"/>
      <c r="H36" s="254"/>
      <c r="I36" s="17"/>
      <c r="J36" s="49"/>
      <c r="K36" s="49"/>
      <c r="L36" s="49"/>
      <c r="M36" s="49"/>
      <c r="N36" s="49"/>
      <c r="O36" s="49"/>
      <c r="Q36" s="5"/>
      <c r="S36" s="88"/>
      <c r="T36" s="42"/>
      <c r="U36" s="42"/>
      <c r="V36" s="42"/>
      <c r="W36" s="42"/>
      <c r="X36" s="42"/>
      <c r="Y36" s="288"/>
      <c r="Z36" s="288"/>
      <c r="AA36" s="42"/>
    </row>
    <row r="37" spans="1:27">
      <c r="B37" s="5" t="s">
        <v>273</v>
      </c>
      <c r="C37" s="247"/>
      <c r="D37" s="529">
        <f>D$18/D23</f>
        <v>3.155958805992122</v>
      </c>
      <c r="E37" s="529">
        <f>E$18/E23</f>
        <v>3.0784690324506783</v>
      </c>
      <c r="F37" s="529">
        <f>F$18/F23</f>
        <v>2.8222799101260132</v>
      </c>
      <c r="G37" s="529">
        <f>G$18/G23</f>
        <v>2.6150969271579765</v>
      </c>
      <c r="H37" s="17">
        <f t="shared" ref="H37:H45" si="7">H23</f>
        <v>-3.3998044944076877E-3</v>
      </c>
      <c r="I37" s="5"/>
      <c r="J37" s="259"/>
      <c r="K37" s="259"/>
      <c r="L37" s="259"/>
      <c r="M37" s="259"/>
      <c r="N37" s="259"/>
      <c r="O37" s="18"/>
      <c r="Q37" s="5"/>
      <c r="R37" s="5"/>
      <c r="S37" s="42"/>
      <c r="T37" s="42"/>
      <c r="U37" s="42"/>
      <c r="V37" s="42"/>
      <c r="W37" s="42"/>
      <c r="X37" s="42"/>
      <c r="Y37" s="42"/>
      <c r="Z37" s="42"/>
      <c r="AA37" s="42"/>
    </row>
    <row r="38" spans="1:27">
      <c r="A38" s="5"/>
      <c r="B38" s="5" t="s">
        <v>184</v>
      </c>
      <c r="C38" s="247"/>
      <c r="D38" s="529">
        <f>D18/D24</f>
        <v>6.9894255739974653</v>
      </c>
      <c r="E38" s="529">
        <f t="shared" ref="E38:G38" si="8">E18/E24</f>
        <v>6.4136726495770713</v>
      </c>
      <c r="F38" s="529">
        <f t="shared" si="8"/>
        <v>6.1518498372999542</v>
      </c>
      <c r="G38" s="529">
        <f t="shared" si="8"/>
        <v>5.6679412640495181</v>
      </c>
      <c r="H38" s="17">
        <f t="shared" si="7"/>
        <v>3.7953297753920978E-3</v>
      </c>
      <c r="I38" s="259"/>
      <c r="J38" s="17"/>
      <c r="K38" s="17"/>
      <c r="L38" s="17"/>
      <c r="M38" s="17"/>
      <c r="N38" s="17"/>
      <c r="O38" s="5"/>
      <c r="Q38" s="5"/>
      <c r="R38" s="5"/>
      <c r="S38" s="42"/>
      <c r="T38" s="42"/>
      <c r="U38" s="42"/>
      <c r="V38" s="42"/>
      <c r="W38" s="42"/>
      <c r="X38" s="42"/>
      <c r="Y38" s="42"/>
      <c r="Z38" s="42"/>
      <c r="AA38" s="42"/>
    </row>
    <row r="39" spans="1:27">
      <c r="A39" s="5"/>
      <c r="B39" s="5" t="s">
        <v>185</v>
      </c>
      <c r="C39" s="247"/>
      <c r="D39" s="529">
        <f>D18/D25</f>
        <v>11.122633280681187</v>
      </c>
      <c r="E39" s="529">
        <f t="shared" ref="E39:G39" si="9">E18/E25</f>
        <v>9.6537493990748029</v>
      </c>
      <c r="F39" s="529">
        <f t="shared" si="9"/>
        <v>9.0725986824754496</v>
      </c>
      <c r="G39" s="529">
        <f t="shared" si="9"/>
        <v>8.2906704605159582</v>
      </c>
      <c r="H39" s="17">
        <f t="shared" si="7"/>
        <v>3.2394727823750857E-2</v>
      </c>
      <c r="I39" s="17"/>
      <c r="J39" s="5"/>
      <c r="K39" s="5"/>
      <c r="L39" s="5"/>
      <c r="M39" s="5"/>
      <c r="N39" s="5"/>
      <c r="O39" s="5"/>
      <c r="Q39" s="5"/>
      <c r="R39" s="5"/>
      <c r="S39" s="42"/>
      <c r="T39" s="42"/>
      <c r="U39" s="42"/>
      <c r="V39" s="42"/>
      <c r="W39" s="42"/>
      <c r="X39" s="42"/>
      <c r="Y39" s="42"/>
      <c r="Z39" s="42"/>
      <c r="AA39" s="42"/>
    </row>
    <row r="40" spans="1:27">
      <c r="A40" s="5"/>
      <c r="B40" s="5" t="s">
        <v>466</v>
      </c>
      <c r="C40" s="247"/>
      <c r="D40" s="529">
        <f>D18/D26</f>
        <v>14.259786257283572</v>
      </c>
      <c r="E40" s="529">
        <f t="shared" ref="E40:G40" si="10">E18/E26</f>
        <v>12.376601793685646</v>
      </c>
      <c r="F40" s="529">
        <f t="shared" si="10"/>
        <v>11.631536772404424</v>
      </c>
      <c r="G40" s="529">
        <f t="shared" si="10"/>
        <v>10.629064692969177</v>
      </c>
      <c r="H40" s="17">
        <f t="shared" si="7"/>
        <v>3.2394727823750857E-2</v>
      </c>
      <c r="I40" s="5"/>
      <c r="J40" s="259"/>
      <c r="K40" s="259"/>
      <c r="L40" s="259"/>
      <c r="M40" s="259"/>
      <c r="N40" s="259"/>
      <c r="O40" s="18"/>
      <c r="Q40" s="5"/>
      <c r="R40" s="5"/>
      <c r="S40" s="42"/>
      <c r="T40" s="42"/>
      <c r="U40" s="42"/>
      <c r="V40" s="42"/>
      <c r="W40" s="288"/>
      <c r="X40" s="288"/>
      <c r="Y40" s="42"/>
      <c r="Z40" s="42"/>
      <c r="AA40" s="42"/>
    </row>
    <row r="41" spans="1:27">
      <c r="B41" s="5" t="s">
        <v>530</v>
      </c>
      <c r="C41" s="247"/>
      <c r="D41" s="529">
        <f>D$18/D27</f>
        <v>-25.844974961305226</v>
      </c>
      <c r="E41" s="529">
        <f>E$18/E27</f>
        <v>-22.340544020320589</v>
      </c>
      <c r="F41" s="529">
        <f>F$18/F27</f>
        <v>-15.926396700535857</v>
      </c>
      <c r="G41" s="529">
        <f>G$18/G27</f>
        <v>-17.232170973180523</v>
      </c>
      <c r="H41" s="17">
        <f t="shared" si="7"/>
        <v>7.1482699459306298E-2</v>
      </c>
      <c r="I41" s="247"/>
      <c r="J41" s="17"/>
      <c r="K41" s="17"/>
      <c r="L41" s="17"/>
      <c r="M41" s="17"/>
      <c r="N41" s="17"/>
      <c r="O41" s="5"/>
      <c r="Q41" s="5"/>
      <c r="R41" s="5"/>
      <c r="S41" s="42"/>
      <c r="T41" s="42"/>
      <c r="U41" s="42"/>
      <c r="V41" s="42"/>
      <c r="W41" s="288"/>
      <c r="X41" s="288"/>
      <c r="Y41" s="288"/>
      <c r="Z41" s="288"/>
      <c r="AA41" s="42"/>
    </row>
    <row r="42" spans="1:27">
      <c r="B42" s="5" t="s">
        <v>593</v>
      </c>
      <c r="C42" s="247"/>
      <c r="D42" s="529">
        <f>D18/D28</f>
        <v>-2.9615228223664967</v>
      </c>
      <c r="E42" s="529">
        <f>E18/E28</f>
        <v>-2.5917638701346739</v>
      </c>
      <c r="F42" s="529">
        <f>F18/F28</f>
        <v>-2.1787745219350776</v>
      </c>
      <c r="G42" s="529">
        <f>G18/G28</f>
        <v>-1.9624779139310027</v>
      </c>
      <c r="H42" s="17">
        <f t="shared" si="7"/>
        <v>7.3684190099372548E-2</v>
      </c>
      <c r="I42" s="248"/>
      <c r="J42" s="5"/>
      <c r="K42" s="5"/>
      <c r="L42" s="5"/>
      <c r="M42" s="5"/>
      <c r="N42" s="5"/>
      <c r="O42" s="5"/>
      <c r="Q42" s="5"/>
      <c r="R42" s="5"/>
      <c r="S42" s="42"/>
      <c r="T42" s="42"/>
      <c r="U42" s="42"/>
      <c r="V42" s="42"/>
      <c r="W42" s="288"/>
      <c r="X42" s="288"/>
      <c r="Y42" s="288"/>
      <c r="Z42" s="288"/>
      <c r="AA42" s="42"/>
    </row>
    <row r="43" spans="1:27">
      <c r="B43" s="5" t="s">
        <v>475</v>
      </c>
      <c r="C43" s="247"/>
      <c r="D43" s="529">
        <f>L26/D29</f>
        <v>20.502594486119417</v>
      </c>
      <c r="E43" s="529">
        <f>M26/E29</f>
        <v>18.140278033015342</v>
      </c>
      <c r="F43" s="529">
        <f>N26/F29</f>
        <v>15.62266862827733</v>
      </c>
      <c r="G43" s="529">
        <f>O26/G29</f>
        <v>13.574427070698992</v>
      </c>
      <c r="H43" s="17">
        <f t="shared" si="7"/>
        <v>0.14469402980253543</v>
      </c>
      <c r="I43" s="247"/>
      <c r="J43" s="247"/>
      <c r="K43" s="247"/>
      <c r="L43" s="247"/>
      <c r="M43" s="247"/>
      <c r="N43" s="247"/>
      <c r="O43" s="18"/>
      <c r="Q43" s="5"/>
      <c r="R43" s="5"/>
      <c r="S43" s="42"/>
      <c r="T43" s="42"/>
      <c r="U43" s="42"/>
      <c r="V43" s="42"/>
      <c r="W43" s="288"/>
      <c r="X43" s="288"/>
      <c r="Y43" s="288"/>
      <c r="Z43" s="288"/>
      <c r="AA43" s="42"/>
    </row>
    <row r="44" spans="1:27">
      <c r="B44" s="5" t="s">
        <v>533</v>
      </c>
      <c r="C44" s="69"/>
      <c r="D44" s="529">
        <f>D11/D30</f>
        <v>21.319051338070093</v>
      </c>
      <c r="E44" s="529">
        <f>E11/E30</f>
        <v>20.619396475217993</v>
      </c>
      <c r="F44" s="529">
        <f>F11/F30</f>
        <v>19.525767552729299</v>
      </c>
      <c r="G44" s="529">
        <f>G11/G30</f>
        <v>16.350334395790025</v>
      </c>
      <c r="H44" s="17">
        <f t="shared" si="7"/>
        <v>8.9330609907736003E-2</v>
      </c>
      <c r="I44" s="247"/>
      <c r="J44" s="248"/>
      <c r="K44" s="248"/>
      <c r="L44" s="248"/>
      <c r="M44" s="248"/>
      <c r="N44" s="248"/>
      <c r="O44" s="248"/>
      <c r="Q44" s="5"/>
      <c r="R44" s="5"/>
      <c r="S44" s="42"/>
      <c r="T44" s="42"/>
      <c r="U44" s="42"/>
      <c r="V44" s="42"/>
      <c r="W44" s="325"/>
      <c r="X44" s="325"/>
      <c r="Y44" s="288"/>
      <c r="Z44" s="288"/>
      <c r="AA44" s="42"/>
    </row>
    <row r="45" spans="1:27">
      <c r="B45" s="5" t="s">
        <v>580</v>
      </c>
      <c r="C45" s="247"/>
      <c r="D45" s="248">
        <f>D31/D11</f>
        <v>7.7130153597413084E-2</v>
      </c>
      <c r="E45" s="248">
        <f>E31/E11</f>
        <v>7.8287105901374276E-2</v>
      </c>
      <c r="F45" s="248">
        <f>F31/F11</f>
        <v>7.9852848019401762E-2</v>
      </c>
      <c r="G45" s="248">
        <f>G31/G11</f>
        <v>8.2647697700080819E-2</v>
      </c>
      <c r="H45" s="17">
        <f t="shared" si="7"/>
        <v>2.0347606146203789E-2</v>
      </c>
      <c r="I45" s="248"/>
      <c r="J45" s="247"/>
      <c r="K45" s="247"/>
      <c r="L45" s="247"/>
      <c r="M45" s="247"/>
      <c r="N45" s="247"/>
      <c r="O45" s="248"/>
      <c r="Q45" s="5"/>
      <c r="R45" s="5"/>
      <c r="S45" s="42"/>
      <c r="T45" s="42"/>
      <c r="U45" s="42"/>
      <c r="V45" s="42"/>
      <c r="W45" s="42"/>
      <c r="X45" s="42"/>
      <c r="Y45" s="325"/>
      <c r="Z45" s="325"/>
      <c r="AA45" s="42"/>
    </row>
    <row r="46" spans="1:27">
      <c r="B46" s="5" t="s">
        <v>605</v>
      </c>
      <c r="C46" s="247"/>
      <c r="D46" s="248">
        <f>(D31+D32)/D11</f>
        <v>7.7130153597413084E-2</v>
      </c>
      <c r="E46" s="248">
        <f>(E31+E32)/E11</f>
        <v>7.8287105901374276E-2</v>
      </c>
      <c r="F46" s="248">
        <f>(F31+F32)/F11</f>
        <v>7.9852848019401762E-2</v>
      </c>
      <c r="G46" s="248">
        <f>(G31+G32)/G11</f>
        <v>8.2647697700080819E-2</v>
      </c>
      <c r="H46" s="279">
        <f>((G31+G32)/(D31+D32))^(1/3)-1</f>
        <v>2.0347606146203789E-2</v>
      </c>
      <c r="I46" s="247"/>
      <c r="J46" s="247"/>
      <c r="K46" s="247"/>
      <c r="L46" s="247"/>
      <c r="M46" s="247"/>
      <c r="N46" s="247"/>
      <c r="O46" s="18"/>
      <c r="Q46" s="5"/>
      <c r="R46" s="5"/>
      <c r="S46" s="42"/>
      <c r="T46" s="42"/>
      <c r="U46" s="42"/>
      <c r="V46" s="42"/>
      <c r="W46" s="42"/>
      <c r="X46" s="42"/>
      <c r="Y46" s="42"/>
      <c r="Z46" s="42"/>
      <c r="AA46" s="326"/>
    </row>
    <row r="47" spans="1:27">
      <c r="B47" s="5" t="s">
        <v>581</v>
      </c>
      <c r="C47" s="5"/>
      <c r="D47" s="248">
        <f>1/D43</f>
        <v>4.8774314913023128E-2</v>
      </c>
      <c r="E47" s="248">
        <f>1/E43</f>
        <v>5.5125946701588477E-2</v>
      </c>
      <c r="F47" s="248">
        <f>1/F43</f>
        <v>6.4009550723618427E-2</v>
      </c>
      <c r="G47" s="248">
        <f>1/G43</f>
        <v>7.3667934181807546E-2</v>
      </c>
      <c r="H47" s="17">
        <f>H29</f>
        <v>0.14469402980253543</v>
      </c>
      <c r="I47" s="17"/>
      <c r="J47" s="248"/>
      <c r="K47" s="248"/>
      <c r="L47" s="248"/>
      <c r="M47" s="248"/>
      <c r="N47" s="248"/>
      <c r="O47" s="248"/>
      <c r="Q47" s="5"/>
      <c r="R47" s="5"/>
      <c r="S47" s="42"/>
      <c r="T47" s="42"/>
      <c r="U47" s="42"/>
      <c r="V47" s="42"/>
      <c r="W47" s="42"/>
      <c r="X47" s="42"/>
      <c r="Y47" s="42"/>
      <c r="Z47" s="42"/>
      <c r="AA47" s="326"/>
    </row>
    <row r="48" spans="1:27">
      <c r="B48" s="5" t="s">
        <v>618</v>
      </c>
      <c r="C48" s="5"/>
      <c r="D48" s="305">
        <f>D31/D29</f>
        <v>1.2701174256797079</v>
      </c>
      <c r="E48" s="305">
        <f>E31/E29</f>
        <v>1.1386807532288792</v>
      </c>
      <c r="F48" s="305">
        <f>F31/F29</f>
        <v>1.0002612247557552</v>
      </c>
      <c r="G48" s="305">
        <f>G31/G29</f>
        <v>0.89953915288882291</v>
      </c>
      <c r="H48" s="279" t="s">
        <v>607</v>
      </c>
      <c r="I48" s="247"/>
      <c r="J48" s="247"/>
      <c r="K48" s="247"/>
      <c r="L48" s="247"/>
      <c r="M48" s="247"/>
      <c r="N48" s="247"/>
      <c r="O48" s="248"/>
      <c r="Q48" s="5"/>
      <c r="R48" s="5"/>
      <c r="S48" s="42"/>
      <c r="T48" s="42"/>
      <c r="U48" s="42"/>
      <c r="V48" s="42"/>
      <c r="W48" s="42"/>
      <c r="X48" s="42"/>
      <c r="Y48" s="42"/>
      <c r="Z48" s="42"/>
      <c r="AA48" s="326"/>
    </row>
    <row r="49" spans="2:27">
      <c r="B49" s="41"/>
      <c r="C49" s="17"/>
      <c r="D49" s="17"/>
      <c r="E49" s="17"/>
      <c r="F49" s="17"/>
      <c r="G49" s="17"/>
      <c r="H49" s="17"/>
      <c r="I49" s="254"/>
      <c r="J49" s="17"/>
      <c r="K49" s="17"/>
      <c r="L49" s="17"/>
      <c r="M49" s="17"/>
      <c r="N49" s="17"/>
      <c r="O49" s="248"/>
      <c r="Q49" s="5"/>
      <c r="R49" s="5"/>
      <c r="S49" s="42"/>
      <c r="T49" s="42"/>
      <c r="U49" s="42"/>
      <c r="V49" s="42"/>
      <c r="W49" s="42"/>
      <c r="X49" s="42"/>
      <c r="Y49" s="42"/>
      <c r="Z49" s="42"/>
      <c r="AA49" s="326"/>
    </row>
    <row r="50" spans="2:27">
      <c r="B50" s="5"/>
      <c r="C50" s="257"/>
      <c r="D50" s="257"/>
      <c r="E50" s="257"/>
      <c r="F50" s="5"/>
      <c r="G50" s="41"/>
      <c r="H50" s="249"/>
      <c r="I50" s="17"/>
      <c r="J50" s="249"/>
      <c r="K50" s="249"/>
      <c r="L50" s="249"/>
      <c r="M50" s="249"/>
      <c r="N50" s="249"/>
      <c r="O50" s="250"/>
      <c r="Q50" s="5"/>
      <c r="R50" s="5"/>
      <c r="S50" s="42"/>
      <c r="T50" s="42"/>
      <c r="U50" s="42"/>
      <c r="V50" s="42"/>
      <c r="W50" s="288"/>
      <c r="X50" s="288"/>
      <c r="Y50" s="42"/>
      <c r="Z50" s="42"/>
      <c r="AA50" s="326"/>
    </row>
    <row r="51" spans="2:27">
      <c r="B51" s="41"/>
      <c r="C51" s="249"/>
      <c r="D51" s="254"/>
      <c r="E51" s="254"/>
      <c r="F51" s="254"/>
      <c r="G51" s="254"/>
      <c r="H51" s="254"/>
      <c r="I51" s="259"/>
      <c r="J51" s="254"/>
      <c r="K51" s="254"/>
      <c r="L51" s="254"/>
      <c r="M51" s="254"/>
      <c r="N51" s="254"/>
      <c r="O51" s="251"/>
      <c r="Q51" s="5"/>
      <c r="R51" s="5"/>
      <c r="S51" s="42"/>
      <c r="T51" s="42"/>
      <c r="U51" s="42"/>
      <c r="V51" s="42"/>
      <c r="W51" s="288"/>
      <c r="X51" s="288"/>
      <c r="Y51" s="288"/>
      <c r="Z51" s="288"/>
      <c r="AA51" s="42"/>
    </row>
    <row r="52" spans="2:27">
      <c r="B52" s="5"/>
      <c r="C52" s="257"/>
      <c r="D52" s="17"/>
      <c r="E52" s="17"/>
      <c r="F52" s="17"/>
      <c r="G52" s="17"/>
      <c r="H52" s="17"/>
      <c r="I52" s="254"/>
      <c r="J52" s="17"/>
      <c r="K52" s="17"/>
      <c r="L52" s="17"/>
      <c r="M52" s="17"/>
      <c r="N52" s="17"/>
      <c r="O52" s="248"/>
      <c r="Q52" s="5"/>
      <c r="R52" s="5"/>
      <c r="S52" s="5"/>
      <c r="Y52" s="10"/>
      <c r="Z52" s="10"/>
    </row>
    <row r="53" spans="2:27">
      <c r="B53" s="5"/>
      <c r="C53" s="257"/>
      <c r="D53" s="257"/>
      <c r="E53" s="257"/>
      <c r="F53" s="5"/>
      <c r="G53" s="5"/>
      <c r="H53" s="259"/>
      <c r="I53" s="17"/>
      <c r="J53" s="259"/>
      <c r="K53" s="259"/>
      <c r="L53" s="259"/>
      <c r="M53" s="259"/>
      <c r="N53" s="259"/>
      <c r="O53" s="18"/>
      <c r="Q53" s="5"/>
      <c r="R53" s="5"/>
      <c r="S53" s="5"/>
    </row>
    <row r="54" spans="2:27">
      <c r="B54" s="41"/>
      <c r="C54" s="249"/>
      <c r="D54" s="254"/>
      <c r="E54" s="254"/>
      <c r="F54" s="254"/>
      <c r="G54" s="254"/>
      <c r="H54" s="254"/>
      <c r="I54" s="259"/>
      <c r="J54" s="254"/>
      <c r="K54" s="254"/>
      <c r="L54" s="254"/>
      <c r="M54" s="254"/>
      <c r="N54" s="254"/>
      <c r="O54" s="251"/>
      <c r="Q54" s="5"/>
      <c r="R54" s="5"/>
      <c r="S54" s="5"/>
    </row>
    <row r="55" spans="2:27">
      <c r="B55" s="5"/>
      <c r="C55" s="257"/>
      <c r="D55" s="17"/>
      <c r="E55" s="17"/>
      <c r="F55" s="17"/>
      <c r="G55" s="17"/>
      <c r="H55" s="17"/>
      <c r="I55" s="249"/>
      <c r="J55" s="17"/>
      <c r="K55" s="17"/>
      <c r="L55" s="17"/>
      <c r="M55" s="17"/>
      <c r="N55" s="17"/>
      <c r="O55" s="18"/>
      <c r="Q55" s="5"/>
      <c r="R55" s="5"/>
      <c r="S55" s="5"/>
    </row>
    <row r="56" spans="2:27">
      <c r="B56" s="5"/>
      <c r="C56" s="248"/>
      <c r="D56" s="248"/>
      <c r="E56" s="248"/>
      <c r="F56" s="5"/>
      <c r="G56" s="5"/>
      <c r="H56" s="259"/>
      <c r="I56" s="248"/>
      <c r="J56" s="259"/>
      <c r="K56" s="259"/>
      <c r="L56" s="259"/>
      <c r="M56" s="259"/>
      <c r="N56" s="259"/>
      <c r="O56" s="18"/>
      <c r="Q56" s="5"/>
      <c r="R56" s="5"/>
      <c r="S56" s="5"/>
    </row>
    <row r="57" spans="2:27">
      <c r="B57" s="41"/>
      <c r="C57" s="249"/>
      <c r="D57" s="249"/>
      <c r="E57" s="249"/>
      <c r="F57" s="249"/>
      <c r="G57" s="249"/>
      <c r="H57" s="249"/>
      <c r="I57" s="5"/>
      <c r="J57" s="249"/>
      <c r="K57" s="249"/>
      <c r="L57" s="249"/>
      <c r="M57" s="249"/>
      <c r="N57" s="249"/>
      <c r="O57" s="251"/>
      <c r="Q57" s="5"/>
      <c r="R57" s="5"/>
      <c r="S57" s="5"/>
    </row>
    <row r="58" spans="2:27">
      <c r="B58" s="5"/>
      <c r="C58" s="5"/>
      <c r="D58" s="248"/>
      <c r="E58" s="248"/>
      <c r="F58" s="248"/>
      <c r="G58" s="248"/>
      <c r="H58" s="248"/>
      <c r="I58" s="17"/>
      <c r="J58" s="248"/>
      <c r="K58" s="248"/>
      <c r="L58" s="248"/>
      <c r="M58" s="248"/>
      <c r="N58" s="248"/>
      <c r="O58" s="18"/>
      <c r="Q58" s="5"/>
      <c r="R58" s="5"/>
      <c r="S58" s="5"/>
    </row>
    <row r="59" spans="2:27">
      <c r="B59" s="5"/>
      <c r="C59" s="5"/>
      <c r="D59" s="5"/>
      <c r="E59" s="5"/>
      <c r="F59" s="5"/>
      <c r="G59" s="5"/>
      <c r="H59" s="5"/>
      <c r="I59" s="5"/>
      <c r="J59" s="5"/>
      <c r="K59" s="5"/>
      <c r="L59" s="5"/>
      <c r="M59" s="5"/>
      <c r="N59" s="5"/>
      <c r="O59" s="5"/>
      <c r="Q59" s="5"/>
      <c r="R59" s="5"/>
      <c r="S59" s="5"/>
    </row>
    <row r="60" spans="2:27">
      <c r="B60" s="41"/>
      <c r="C60" s="17"/>
      <c r="D60" s="17"/>
      <c r="E60" s="17"/>
      <c r="F60" s="17"/>
      <c r="G60" s="17"/>
      <c r="H60" s="17"/>
      <c r="I60" s="249"/>
      <c r="J60" s="17"/>
      <c r="K60" s="17"/>
      <c r="L60" s="17"/>
      <c r="M60" s="17"/>
      <c r="N60" s="17"/>
      <c r="O60" s="251"/>
      <c r="Q60" s="5"/>
      <c r="R60" s="5"/>
      <c r="S60" s="5"/>
    </row>
    <row r="61" spans="2:27">
      <c r="B61" s="5"/>
      <c r="C61" s="5"/>
      <c r="D61" s="5"/>
      <c r="E61" s="5"/>
      <c r="F61" s="5"/>
      <c r="G61" s="5"/>
      <c r="H61" s="5"/>
      <c r="I61" s="5"/>
      <c r="J61" s="5"/>
      <c r="K61" s="5"/>
      <c r="L61" s="5"/>
      <c r="M61" s="5"/>
      <c r="N61" s="5"/>
      <c r="O61" s="5"/>
      <c r="Q61" s="41"/>
      <c r="R61" s="5"/>
      <c r="S61" s="5"/>
    </row>
    <row r="62" spans="2:27">
      <c r="B62" s="41"/>
      <c r="C62" s="249"/>
      <c r="D62" s="249"/>
      <c r="E62" s="249"/>
      <c r="F62" s="249"/>
      <c r="G62" s="249"/>
      <c r="H62" s="249"/>
      <c r="I62" s="5"/>
      <c r="J62" s="249"/>
      <c r="K62" s="249"/>
      <c r="L62" s="249"/>
      <c r="M62" s="249"/>
      <c r="N62" s="249"/>
      <c r="O62" s="251"/>
      <c r="Q62" s="5"/>
      <c r="R62" s="5"/>
      <c r="S62" s="5"/>
    </row>
    <row r="63" spans="2:27">
      <c r="B63" s="5"/>
      <c r="C63" s="5"/>
      <c r="D63" s="5"/>
      <c r="E63" s="5"/>
      <c r="F63" s="5"/>
      <c r="G63" s="5"/>
      <c r="H63" s="5"/>
      <c r="I63" s="254"/>
      <c r="J63" s="5"/>
      <c r="K63" s="5"/>
      <c r="L63" s="5"/>
      <c r="M63" s="5"/>
      <c r="N63" s="5"/>
      <c r="O63" s="5"/>
      <c r="Q63" s="5"/>
      <c r="R63" s="5"/>
      <c r="S63" s="5"/>
    </row>
    <row r="64" spans="2:27">
      <c r="B64" s="5"/>
      <c r="C64" s="5"/>
      <c r="D64" s="5"/>
      <c r="E64" s="5"/>
      <c r="F64" s="5"/>
      <c r="G64" s="5"/>
      <c r="H64" s="5"/>
      <c r="I64" s="17"/>
      <c r="J64" s="5"/>
      <c r="K64" s="5"/>
      <c r="L64" s="5"/>
      <c r="M64" s="5"/>
      <c r="N64" s="5"/>
      <c r="O64" s="5"/>
      <c r="Q64" s="5"/>
      <c r="R64" s="5"/>
      <c r="S64" s="5"/>
    </row>
    <row r="65" spans="2:26">
      <c r="B65" s="41"/>
      <c r="C65" s="249"/>
      <c r="D65" s="254"/>
      <c r="E65" s="254"/>
      <c r="F65" s="254"/>
      <c r="G65" s="254"/>
      <c r="H65" s="254"/>
      <c r="I65" s="254"/>
      <c r="J65" s="254"/>
      <c r="K65" s="254"/>
      <c r="L65" s="254"/>
      <c r="M65" s="254"/>
      <c r="N65" s="254"/>
      <c r="O65" s="251"/>
      <c r="Q65" s="5"/>
      <c r="R65" s="5"/>
      <c r="S65" s="5"/>
    </row>
    <row r="66" spans="2:26">
      <c r="B66" s="5"/>
      <c r="C66" s="5"/>
      <c r="D66" s="17"/>
      <c r="E66" s="17"/>
      <c r="F66" s="17"/>
      <c r="G66" s="17"/>
      <c r="H66" s="17"/>
      <c r="I66" s="248"/>
      <c r="J66" s="17"/>
      <c r="K66" s="17"/>
      <c r="L66" s="17"/>
      <c r="M66" s="17"/>
      <c r="N66" s="17"/>
      <c r="O66" s="5"/>
      <c r="Q66" s="5"/>
      <c r="R66" s="5"/>
      <c r="S66" s="5"/>
    </row>
    <row r="67" spans="2:26">
      <c r="B67" s="41"/>
      <c r="C67" s="249"/>
      <c r="D67" s="254"/>
      <c r="E67" s="254"/>
      <c r="F67" s="254"/>
      <c r="G67" s="254"/>
      <c r="H67" s="254"/>
      <c r="I67" s="5"/>
      <c r="J67" s="254"/>
      <c r="K67" s="254"/>
      <c r="L67" s="254"/>
      <c r="M67" s="254"/>
      <c r="N67" s="254"/>
      <c r="O67" s="251"/>
      <c r="Q67" s="41"/>
      <c r="R67" s="5"/>
      <c r="S67" s="5"/>
    </row>
    <row r="68" spans="2:26">
      <c r="B68" s="5"/>
      <c r="C68" s="5"/>
      <c r="D68" s="248"/>
      <c r="E68" s="248"/>
      <c r="F68" s="248"/>
      <c r="G68" s="248"/>
      <c r="H68" s="248"/>
      <c r="I68" s="245"/>
      <c r="J68" s="248"/>
      <c r="K68" s="248"/>
      <c r="L68" s="248"/>
      <c r="M68" s="248"/>
      <c r="N68" s="248"/>
      <c r="O68" s="5"/>
      <c r="Q68" s="5"/>
      <c r="R68" s="5"/>
      <c r="S68" s="5"/>
    </row>
    <row r="69" spans="2:26">
      <c r="B69" s="41"/>
      <c r="C69" s="5"/>
      <c r="D69" s="5"/>
      <c r="E69" s="5"/>
      <c r="F69" s="5"/>
      <c r="G69" s="5"/>
      <c r="H69" s="5"/>
      <c r="I69" s="248"/>
      <c r="J69" s="5"/>
      <c r="K69" s="5"/>
      <c r="L69" s="5"/>
      <c r="M69" s="5"/>
      <c r="N69" s="5"/>
      <c r="O69" s="5"/>
      <c r="Q69" s="5"/>
      <c r="R69" s="5"/>
      <c r="S69" s="5"/>
    </row>
    <row r="70" spans="2:26">
      <c r="B70" s="41"/>
      <c r="C70" s="245"/>
      <c r="D70" s="245"/>
      <c r="E70" s="245"/>
      <c r="F70" s="245"/>
      <c r="G70" s="245"/>
      <c r="H70" s="245"/>
      <c r="I70" s="5"/>
      <c r="J70" s="245"/>
      <c r="K70" s="245"/>
      <c r="L70" s="245"/>
      <c r="M70" s="245"/>
      <c r="N70" s="245"/>
      <c r="O70" s="251"/>
      <c r="Q70" s="5"/>
      <c r="R70" s="5"/>
      <c r="S70" s="5"/>
      <c r="W70" s="76"/>
      <c r="X70" s="76"/>
    </row>
    <row r="71" spans="2:26">
      <c r="B71" s="5"/>
      <c r="C71" s="5"/>
      <c r="D71" s="248"/>
      <c r="E71" s="248"/>
      <c r="F71" s="248"/>
      <c r="G71" s="248"/>
      <c r="H71" s="248"/>
      <c r="I71" s="245"/>
      <c r="J71" s="248"/>
      <c r="K71" s="248"/>
      <c r="L71" s="248"/>
      <c r="M71" s="248"/>
      <c r="N71" s="248"/>
      <c r="O71" s="5"/>
      <c r="Q71" s="5"/>
      <c r="R71" s="5"/>
      <c r="S71" s="5"/>
      <c r="W71" s="76"/>
      <c r="X71" s="76"/>
      <c r="Y71" s="76"/>
      <c r="Z71" s="76"/>
    </row>
    <row r="72" spans="2:26">
      <c r="B72" s="41"/>
      <c r="C72" s="5"/>
      <c r="D72" s="5"/>
      <c r="E72" s="5"/>
      <c r="F72" s="5"/>
      <c r="G72" s="5"/>
      <c r="H72" s="5"/>
      <c r="I72" s="18"/>
      <c r="J72" s="5"/>
      <c r="K72" s="5"/>
      <c r="L72" s="5"/>
      <c r="M72" s="5"/>
      <c r="N72" s="5"/>
      <c r="O72" s="5"/>
      <c r="Q72" s="5"/>
      <c r="R72" s="5"/>
      <c r="S72" s="5"/>
      <c r="Y72" s="76"/>
      <c r="Z72" s="76"/>
    </row>
    <row r="73" spans="2:26">
      <c r="B73" s="41"/>
      <c r="C73" s="245"/>
      <c r="D73" s="245"/>
      <c r="E73" s="245"/>
      <c r="F73" s="245"/>
      <c r="G73" s="245"/>
      <c r="H73" s="245"/>
      <c r="I73" s="5"/>
      <c r="J73" s="245"/>
      <c r="K73" s="245"/>
      <c r="L73" s="245"/>
      <c r="M73" s="245"/>
      <c r="N73" s="245"/>
      <c r="O73" s="251"/>
      <c r="Q73" s="5"/>
      <c r="R73" s="5"/>
      <c r="S73" s="5"/>
    </row>
    <row r="74" spans="2:26">
      <c r="B74" s="5"/>
      <c r="C74" s="5"/>
      <c r="D74" s="18"/>
      <c r="E74" s="18"/>
      <c r="F74" s="18"/>
      <c r="G74" s="18"/>
      <c r="H74" s="18"/>
      <c r="I74" s="249"/>
      <c r="J74" s="18"/>
      <c r="K74" s="18"/>
      <c r="L74" s="18"/>
      <c r="M74" s="18"/>
      <c r="N74" s="18"/>
      <c r="O74" s="5"/>
      <c r="Q74" s="5"/>
      <c r="R74" s="5"/>
      <c r="S74" s="5"/>
    </row>
    <row r="75" spans="2:26">
      <c r="B75" s="41"/>
      <c r="C75" s="5"/>
      <c r="D75" s="5"/>
      <c r="E75" s="5"/>
      <c r="F75" s="5"/>
      <c r="G75" s="5"/>
      <c r="H75" s="5"/>
      <c r="I75" s="248"/>
      <c r="J75" s="5"/>
      <c r="K75" s="5"/>
      <c r="L75" s="5"/>
      <c r="M75" s="5"/>
      <c r="N75" s="5"/>
      <c r="O75" s="5"/>
      <c r="Q75" s="5"/>
      <c r="R75" s="5"/>
      <c r="S75" s="5"/>
    </row>
    <row r="76" spans="2:26">
      <c r="B76" s="41"/>
      <c r="C76" s="249"/>
      <c r="D76" s="249"/>
      <c r="E76" s="249"/>
      <c r="F76" s="249"/>
      <c r="G76" s="249"/>
      <c r="H76" s="249"/>
      <c r="I76" s="5"/>
      <c r="J76" s="249"/>
      <c r="K76" s="249"/>
      <c r="L76" s="249"/>
      <c r="M76" s="249"/>
      <c r="N76" s="249"/>
      <c r="O76" s="251"/>
      <c r="Q76" s="5"/>
      <c r="R76" s="5"/>
      <c r="S76" s="5"/>
    </row>
    <row r="77" spans="2:26">
      <c r="B77" s="5"/>
      <c r="C77" s="5"/>
      <c r="D77" s="248"/>
      <c r="E77" s="248"/>
      <c r="F77" s="248"/>
      <c r="G77" s="248"/>
      <c r="H77" s="248"/>
      <c r="I77" s="245"/>
      <c r="J77" s="248"/>
      <c r="K77" s="248"/>
      <c r="L77" s="248"/>
      <c r="M77" s="248"/>
      <c r="N77" s="248"/>
      <c r="O77" s="5"/>
      <c r="Q77" s="5"/>
      <c r="R77" s="5"/>
      <c r="S77" s="5"/>
    </row>
    <row r="78" spans="2:26">
      <c r="B78" s="41"/>
      <c r="C78" s="5"/>
      <c r="D78" s="5"/>
      <c r="E78" s="5"/>
      <c r="F78" s="5"/>
      <c r="G78" s="5"/>
      <c r="H78" s="5"/>
      <c r="I78" s="248"/>
      <c r="J78" s="5"/>
      <c r="K78" s="5"/>
      <c r="L78" s="5"/>
      <c r="M78" s="5"/>
      <c r="N78" s="5"/>
      <c r="O78" s="5"/>
      <c r="Q78" s="5"/>
      <c r="R78" s="5"/>
      <c r="S78" s="5"/>
    </row>
    <row r="79" spans="2:26">
      <c r="B79" s="41"/>
      <c r="C79" s="245"/>
      <c r="D79" s="245"/>
      <c r="E79" s="245"/>
      <c r="F79" s="245"/>
      <c r="G79" s="245"/>
      <c r="H79" s="245"/>
      <c r="I79" s="5"/>
      <c r="J79" s="245"/>
      <c r="K79" s="245"/>
      <c r="L79" s="245"/>
      <c r="M79" s="245"/>
      <c r="N79" s="245"/>
      <c r="O79" s="251"/>
      <c r="Q79" s="5"/>
      <c r="R79" s="5"/>
      <c r="S79" s="5"/>
    </row>
    <row r="80" spans="2:26">
      <c r="B80" s="5"/>
      <c r="C80" s="5"/>
      <c r="D80" s="248"/>
      <c r="E80" s="248"/>
      <c r="F80" s="248"/>
      <c r="G80" s="248"/>
      <c r="H80" s="248"/>
      <c r="I80" s="249"/>
      <c r="J80" s="248"/>
      <c r="K80" s="248"/>
      <c r="L80" s="248"/>
      <c r="M80" s="248"/>
      <c r="N80" s="248"/>
      <c r="O80" s="5"/>
      <c r="Q80" s="5"/>
      <c r="R80" s="5"/>
      <c r="S80" s="5"/>
    </row>
    <row r="81" spans="2:26">
      <c r="B81" s="41"/>
      <c r="C81" s="5"/>
      <c r="D81" s="5"/>
      <c r="E81" s="5"/>
      <c r="F81" s="5"/>
      <c r="G81" s="5"/>
      <c r="H81" s="5"/>
      <c r="I81" s="248"/>
      <c r="J81" s="5"/>
      <c r="K81" s="5"/>
      <c r="L81" s="5"/>
      <c r="M81" s="5"/>
      <c r="N81" s="5"/>
      <c r="O81" s="5"/>
      <c r="Q81" s="5"/>
      <c r="R81" s="5"/>
      <c r="S81" s="5"/>
    </row>
    <row r="82" spans="2:26">
      <c r="B82" s="41"/>
      <c r="C82" s="249"/>
      <c r="D82" s="249"/>
      <c r="E82" s="249"/>
      <c r="F82" s="249"/>
      <c r="G82" s="249"/>
      <c r="H82" s="249"/>
      <c r="I82" s="259"/>
      <c r="J82" s="249"/>
      <c r="K82" s="249"/>
      <c r="L82" s="249"/>
      <c r="M82" s="249"/>
      <c r="N82" s="249"/>
      <c r="O82" s="251"/>
      <c r="Q82" s="5"/>
      <c r="R82" s="5"/>
      <c r="S82" s="5"/>
    </row>
    <row r="83" spans="2:26">
      <c r="B83" s="5"/>
      <c r="C83" s="5"/>
      <c r="D83" s="248"/>
      <c r="E83" s="248"/>
      <c r="F83" s="248"/>
      <c r="G83" s="248"/>
      <c r="H83" s="248"/>
      <c r="I83" s="5"/>
      <c r="J83" s="248"/>
      <c r="K83" s="248"/>
      <c r="L83" s="248"/>
      <c r="M83" s="248"/>
      <c r="N83" s="248"/>
      <c r="O83" s="5"/>
      <c r="Q83" s="5"/>
      <c r="R83" s="5"/>
      <c r="S83" s="5"/>
    </row>
    <row r="84" spans="2:26">
      <c r="B84" s="5"/>
      <c r="C84" s="259"/>
      <c r="D84" s="259"/>
      <c r="E84" s="259"/>
      <c r="F84" s="259"/>
      <c r="G84" s="259"/>
      <c r="H84" s="259"/>
      <c r="I84" s="245"/>
      <c r="J84" s="259"/>
      <c r="K84" s="259"/>
      <c r="L84" s="259"/>
      <c r="M84" s="259"/>
      <c r="N84" s="259"/>
      <c r="O84" s="251"/>
      <c r="Q84" s="5"/>
      <c r="R84" s="5"/>
      <c r="S84" s="5"/>
    </row>
    <row r="85" spans="2:26">
      <c r="B85" s="41"/>
      <c r="C85" s="5"/>
      <c r="D85" s="5"/>
      <c r="E85" s="5"/>
      <c r="F85" s="5"/>
      <c r="G85" s="5"/>
      <c r="H85" s="5"/>
      <c r="I85" s="248"/>
      <c r="J85" s="5"/>
      <c r="K85" s="5"/>
      <c r="L85" s="5"/>
      <c r="M85" s="5"/>
      <c r="N85" s="5"/>
      <c r="O85" s="5"/>
      <c r="Q85" s="5"/>
      <c r="R85" s="5"/>
      <c r="S85" s="5"/>
    </row>
    <row r="86" spans="2:26">
      <c r="B86" s="41"/>
      <c r="C86" s="245"/>
      <c r="D86" s="245"/>
      <c r="E86" s="245"/>
      <c r="F86" s="245"/>
      <c r="G86" s="245"/>
      <c r="H86" s="245"/>
      <c r="I86" s="5"/>
      <c r="J86" s="245"/>
      <c r="K86" s="245"/>
      <c r="L86" s="245"/>
      <c r="M86" s="245"/>
      <c r="N86" s="245"/>
      <c r="O86" s="251"/>
      <c r="Q86" s="5"/>
      <c r="R86" s="5"/>
      <c r="S86" s="5"/>
    </row>
    <row r="87" spans="2:26">
      <c r="B87" s="5"/>
      <c r="C87" s="5"/>
      <c r="D87" s="248"/>
      <c r="E87" s="248"/>
      <c r="F87" s="248"/>
      <c r="G87" s="248"/>
      <c r="H87" s="248"/>
      <c r="I87" s="5"/>
      <c r="J87" s="248"/>
      <c r="K87" s="248"/>
      <c r="L87" s="248"/>
      <c r="M87" s="248"/>
      <c r="N87" s="248"/>
      <c r="O87" s="5"/>
      <c r="Q87" s="5"/>
      <c r="R87" s="5"/>
      <c r="S87" s="5"/>
    </row>
    <row r="88" spans="2:26">
      <c r="B88" s="41"/>
      <c r="C88" s="5"/>
      <c r="D88" s="5"/>
      <c r="E88" s="5"/>
      <c r="F88" s="5"/>
      <c r="G88" s="5"/>
      <c r="H88" s="5"/>
      <c r="I88" s="5"/>
      <c r="J88" s="5"/>
      <c r="K88" s="5"/>
      <c r="L88" s="5"/>
      <c r="M88" s="5"/>
      <c r="N88" s="5"/>
      <c r="O88" s="5"/>
      <c r="Q88" s="5"/>
      <c r="R88" s="5"/>
      <c r="S88" s="5"/>
    </row>
    <row r="89" spans="2:26">
      <c r="B89" s="41"/>
      <c r="C89" s="5"/>
      <c r="D89" s="5"/>
      <c r="E89" s="5"/>
      <c r="F89" s="5"/>
      <c r="G89" s="5"/>
      <c r="H89" s="5"/>
      <c r="I89" s="5"/>
      <c r="J89" s="5"/>
      <c r="K89" s="5"/>
      <c r="L89" s="5"/>
      <c r="M89" s="5"/>
      <c r="N89" s="5"/>
      <c r="O89" s="5"/>
      <c r="Q89" s="5"/>
      <c r="R89" s="5"/>
      <c r="S89" s="5"/>
    </row>
    <row r="90" spans="2:26">
      <c r="B90" s="41"/>
      <c r="C90" s="5"/>
      <c r="D90" s="5"/>
      <c r="E90" s="5"/>
      <c r="F90" s="5"/>
      <c r="G90" s="5"/>
      <c r="H90" s="5"/>
      <c r="I90" s="49"/>
      <c r="J90" s="5"/>
      <c r="K90" s="5"/>
      <c r="L90" s="5"/>
      <c r="M90" s="5"/>
      <c r="N90" s="5"/>
      <c r="O90" s="5"/>
      <c r="Q90" s="41"/>
      <c r="R90" s="5"/>
      <c r="S90" s="5"/>
    </row>
    <row r="91" spans="2:26">
      <c r="B91" s="5"/>
      <c r="C91" s="5"/>
      <c r="D91" s="5"/>
      <c r="E91" s="5"/>
      <c r="F91" s="5"/>
      <c r="G91" s="5"/>
      <c r="H91" s="5"/>
      <c r="I91" s="5"/>
      <c r="J91" s="5"/>
      <c r="K91" s="5"/>
      <c r="L91" s="5"/>
      <c r="M91" s="5"/>
      <c r="N91" s="5"/>
      <c r="O91" s="5"/>
      <c r="Q91" s="5"/>
      <c r="R91" s="5"/>
      <c r="S91" s="5"/>
    </row>
    <row r="92" spans="2:26">
      <c r="B92" s="41"/>
      <c r="C92" s="49"/>
      <c r="D92" s="49"/>
      <c r="E92" s="49"/>
      <c r="F92" s="49"/>
      <c r="G92" s="49"/>
      <c r="H92" s="49"/>
      <c r="I92" s="247"/>
      <c r="J92" s="49"/>
      <c r="K92" s="49"/>
      <c r="L92" s="49"/>
      <c r="M92" s="49"/>
      <c r="N92" s="49"/>
      <c r="O92" s="49"/>
      <c r="Q92" s="5"/>
      <c r="R92" s="5"/>
      <c r="S92" s="5"/>
      <c r="W92" s="21"/>
      <c r="X92" s="21"/>
    </row>
    <row r="93" spans="2:26">
      <c r="B93" s="5"/>
      <c r="C93" s="5"/>
      <c r="D93" s="5"/>
      <c r="E93" s="5"/>
      <c r="F93" s="5"/>
      <c r="G93" s="5"/>
      <c r="H93" s="5"/>
      <c r="I93" s="247"/>
      <c r="J93" s="5"/>
      <c r="K93" s="5"/>
      <c r="L93" s="5"/>
      <c r="M93" s="5"/>
      <c r="N93" s="5"/>
      <c r="O93" s="5"/>
      <c r="Q93" s="5"/>
      <c r="R93" s="5"/>
      <c r="S93" s="5"/>
      <c r="W93" s="21"/>
      <c r="X93" s="21"/>
      <c r="Y93" s="21"/>
      <c r="Z93" s="21"/>
    </row>
    <row r="94" spans="2:26">
      <c r="B94" s="5"/>
      <c r="C94" s="259"/>
      <c r="D94" s="247"/>
      <c r="E94" s="247"/>
      <c r="F94" s="247"/>
      <c r="G94" s="247"/>
      <c r="H94" s="247"/>
      <c r="I94" s="247"/>
      <c r="J94" s="247"/>
      <c r="K94" s="247"/>
      <c r="L94" s="247"/>
      <c r="M94" s="247"/>
      <c r="N94" s="247"/>
      <c r="O94" s="248"/>
      <c r="Q94" s="5"/>
      <c r="R94" s="5"/>
      <c r="S94" s="5"/>
      <c r="Y94" s="21"/>
      <c r="Z94" s="21"/>
    </row>
    <row r="95" spans="2:26">
      <c r="B95" s="5"/>
      <c r="C95" s="259"/>
      <c r="D95" s="247"/>
      <c r="E95" s="247"/>
      <c r="F95" s="247"/>
      <c r="G95" s="247"/>
      <c r="H95" s="247"/>
      <c r="I95" s="248"/>
      <c r="J95" s="247"/>
      <c r="K95" s="247"/>
      <c r="L95" s="247"/>
      <c r="M95" s="247"/>
      <c r="N95" s="247"/>
      <c r="O95" s="248"/>
      <c r="Q95" s="5"/>
      <c r="R95" s="5"/>
      <c r="S95" s="5"/>
    </row>
    <row r="96" spans="2:26">
      <c r="B96" s="5"/>
      <c r="C96" s="259"/>
      <c r="D96" s="247"/>
      <c r="E96" s="247"/>
      <c r="F96" s="247"/>
      <c r="G96" s="247"/>
      <c r="H96" s="247"/>
      <c r="I96" s="247"/>
      <c r="J96" s="247"/>
      <c r="K96" s="247"/>
      <c r="L96" s="247"/>
      <c r="M96" s="247"/>
      <c r="N96" s="247"/>
      <c r="O96" s="248"/>
      <c r="Q96" s="5"/>
      <c r="R96" s="5"/>
      <c r="S96" s="5"/>
    </row>
    <row r="97" spans="2:19">
      <c r="B97" s="5"/>
      <c r="C97" s="259"/>
      <c r="D97" s="248"/>
      <c r="E97" s="248"/>
      <c r="F97" s="248"/>
      <c r="G97" s="248"/>
      <c r="H97" s="248"/>
      <c r="I97" s="249"/>
      <c r="J97" s="248"/>
      <c r="K97" s="248"/>
      <c r="L97" s="248"/>
      <c r="M97" s="248"/>
      <c r="N97" s="248"/>
      <c r="O97" s="248"/>
      <c r="Q97" s="5"/>
      <c r="R97" s="5"/>
      <c r="S97" s="5"/>
    </row>
    <row r="98" spans="2:19">
      <c r="B98" s="5"/>
      <c r="C98" s="259"/>
      <c r="D98" s="247"/>
      <c r="E98" s="247"/>
      <c r="F98" s="247"/>
      <c r="G98" s="247"/>
      <c r="H98" s="247"/>
      <c r="I98" s="248"/>
      <c r="J98" s="247"/>
      <c r="K98" s="247"/>
      <c r="L98" s="247"/>
      <c r="M98" s="247"/>
      <c r="N98" s="247"/>
      <c r="O98" s="248"/>
      <c r="Q98" s="5"/>
      <c r="R98" s="5"/>
      <c r="S98" s="5"/>
    </row>
    <row r="99" spans="2:19">
      <c r="B99" s="41"/>
      <c r="C99" s="249"/>
      <c r="D99" s="249"/>
      <c r="E99" s="249"/>
      <c r="F99" s="249"/>
      <c r="G99" s="249"/>
      <c r="H99" s="249"/>
      <c r="I99" s="5"/>
      <c r="J99" s="249"/>
      <c r="K99" s="249"/>
      <c r="L99" s="249"/>
      <c r="M99" s="249"/>
      <c r="N99" s="249"/>
      <c r="O99" s="248"/>
      <c r="Q99" s="5"/>
      <c r="R99" s="5"/>
      <c r="S99" s="5"/>
    </row>
    <row r="100" spans="2:19">
      <c r="B100" s="41"/>
      <c r="C100" s="257"/>
      <c r="D100" s="248"/>
      <c r="E100" s="248"/>
      <c r="F100" s="248"/>
      <c r="G100" s="248"/>
      <c r="H100" s="248"/>
      <c r="I100" s="259"/>
      <c r="J100" s="248"/>
      <c r="K100" s="248"/>
      <c r="L100" s="248"/>
      <c r="M100" s="248"/>
      <c r="N100" s="248"/>
      <c r="O100" s="248"/>
      <c r="Q100" s="5"/>
      <c r="R100" s="5"/>
      <c r="S100" s="5"/>
    </row>
    <row r="101" spans="2:19" s="5" customFormat="1">
      <c r="B101" s="41"/>
      <c r="I101" s="259"/>
      <c r="O101" s="248"/>
      <c r="P101" s="39"/>
    </row>
    <row r="102" spans="2:19">
      <c r="B102" s="5"/>
      <c r="C102" s="259"/>
      <c r="D102" s="259"/>
      <c r="E102" s="259"/>
      <c r="F102" s="259"/>
      <c r="G102" s="259"/>
      <c r="H102" s="259"/>
      <c r="I102" s="247"/>
      <c r="J102" s="259"/>
      <c r="K102" s="259"/>
      <c r="L102" s="259"/>
      <c r="M102" s="259"/>
      <c r="N102" s="259"/>
      <c r="O102" s="5"/>
      <c r="Q102" s="5"/>
      <c r="R102" s="5"/>
      <c r="S102" s="5"/>
    </row>
    <row r="103" spans="2:19">
      <c r="B103" s="5"/>
      <c r="C103" s="259"/>
      <c r="D103" s="259"/>
      <c r="E103" s="259"/>
      <c r="F103" s="259"/>
      <c r="G103" s="259"/>
      <c r="H103" s="259"/>
      <c r="I103" s="5"/>
      <c r="J103" s="259"/>
      <c r="K103" s="259"/>
      <c r="L103" s="259"/>
      <c r="M103" s="259"/>
      <c r="N103" s="259"/>
      <c r="O103" s="5"/>
      <c r="P103" s="5"/>
      <c r="Q103" s="5"/>
      <c r="R103" s="5"/>
      <c r="S103" s="5"/>
    </row>
    <row r="104" spans="2:19">
      <c r="B104" s="5"/>
      <c r="C104" s="247"/>
      <c r="D104" s="247"/>
      <c r="E104" s="247"/>
      <c r="F104" s="247"/>
      <c r="G104" s="247"/>
      <c r="H104" s="247"/>
      <c r="I104" s="247"/>
      <c r="J104" s="247"/>
      <c r="K104" s="247"/>
      <c r="L104" s="247"/>
      <c r="M104" s="247"/>
      <c r="N104" s="247"/>
      <c r="O104" s="5"/>
      <c r="Q104" s="5"/>
      <c r="R104" s="5"/>
      <c r="S104" s="5"/>
    </row>
    <row r="105" spans="2:19" s="5" customFormat="1">
      <c r="P105" s="39"/>
    </row>
    <row r="106" spans="2:19" s="5" customFormat="1">
      <c r="C106" s="259"/>
      <c r="D106" s="247"/>
      <c r="E106" s="247"/>
      <c r="F106" s="247"/>
      <c r="G106" s="247"/>
      <c r="H106" s="247"/>
      <c r="I106" s="259"/>
      <c r="J106" s="247"/>
      <c r="K106" s="247"/>
      <c r="L106" s="247"/>
      <c r="M106" s="247"/>
      <c r="N106" s="247"/>
      <c r="P106" s="39"/>
    </row>
    <row r="107" spans="2:19">
      <c r="B107" s="5"/>
      <c r="C107" s="259"/>
      <c r="D107" s="5"/>
      <c r="E107" s="5"/>
      <c r="F107" s="5"/>
      <c r="G107" s="5"/>
      <c r="H107" s="5"/>
      <c r="I107" s="247"/>
      <c r="J107" s="5"/>
      <c r="K107" s="5"/>
      <c r="L107" s="5"/>
      <c r="M107" s="5"/>
      <c r="N107" s="5"/>
      <c r="O107" s="5"/>
      <c r="P107" s="5"/>
      <c r="Q107" s="5"/>
      <c r="R107" s="5"/>
      <c r="S107" s="5"/>
    </row>
    <row r="108" spans="2:19">
      <c r="B108" s="5"/>
      <c r="C108" s="259"/>
      <c r="D108" s="259"/>
      <c r="E108" s="259"/>
      <c r="F108" s="259"/>
      <c r="G108" s="259"/>
      <c r="H108" s="259"/>
      <c r="I108" s="249"/>
      <c r="J108" s="259"/>
      <c r="K108" s="259"/>
      <c r="L108" s="259"/>
      <c r="M108" s="259"/>
      <c r="N108" s="259"/>
      <c r="O108" s="5"/>
      <c r="P108" s="5"/>
      <c r="Q108" s="5"/>
      <c r="R108" s="5"/>
      <c r="S108" s="5"/>
    </row>
    <row r="109" spans="2:19">
      <c r="B109" s="5"/>
      <c r="C109" s="247"/>
      <c r="D109" s="247"/>
      <c r="E109" s="247"/>
      <c r="F109" s="247"/>
      <c r="G109" s="247"/>
      <c r="H109" s="247"/>
      <c r="I109" s="249"/>
      <c r="J109" s="247"/>
      <c r="K109" s="247"/>
      <c r="L109" s="247"/>
      <c r="M109" s="247"/>
      <c r="N109" s="247"/>
      <c r="O109" s="5"/>
      <c r="Q109" s="5"/>
      <c r="R109" s="5"/>
      <c r="S109" s="5"/>
    </row>
    <row r="110" spans="2:19">
      <c r="B110" s="41"/>
      <c r="C110" s="249"/>
      <c r="D110" s="249"/>
      <c r="E110" s="249"/>
      <c r="F110" s="249"/>
      <c r="G110" s="249"/>
      <c r="H110" s="249"/>
      <c r="I110" s="247"/>
      <c r="J110" s="249"/>
      <c r="K110" s="249"/>
      <c r="L110" s="249"/>
      <c r="M110" s="249"/>
      <c r="N110" s="249"/>
      <c r="O110" s="5"/>
      <c r="Q110" s="5"/>
      <c r="R110" s="5"/>
      <c r="S110" s="5"/>
    </row>
    <row r="111" spans="2:19">
      <c r="B111" s="5"/>
      <c r="C111" s="249"/>
      <c r="D111" s="249"/>
      <c r="E111" s="249"/>
      <c r="F111" s="249"/>
      <c r="G111" s="249"/>
      <c r="H111" s="249"/>
      <c r="I111" s="5"/>
      <c r="J111" s="249"/>
      <c r="K111" s="249"/>
      <c r="L111" s="249"/>
      <c r="M111" s="249"/>
      <c r="N111" s="249"/>
      <c r="O111" s="5"/>
      <c r="Q111" s="5"/>
      <c r="R111" s="5"/>
      <c r="S111" s="5"/>
    </row>
    <row r="112" spans="2:19">
      <c r="B112" s="5"/>
      <c r="C112" s="247"/>
      <c r="D112" s="247"/>
      <c r="E112" s="247"/>
      <c r="F112" s="247"/>
      <c r="G112" s="247"/>
      <c r="H112" s="247"/>
      <c r="I112" s="5"/>
      <c r="J112" s="247"/>
      <c r="K112" s="247"/>
      <c r="L112" s="247"/>
      <c r="M112" s="247"/>
      <c r="N112" s="247"/>
      <c r="O112" s="5"/>
      <c r="Q112" s="5"/>
      <c r="R112" s="5"/>
      <c r="S112" s="5"/>
    </row>
    <row r="113" spans="2:19">
      <c r="B113" s="5"/>
      <c r="C113" s="5"/>
      <c r="D113" s="5"/>
      <c r="E113" s="5"/>
      <c r="F113" s="5"/>
      <c r="G113" s="5"/>
      <c r="H113" s="5"/>
      <c r="I113" s="5"/>
      <c r="J113" s="5"/>
      <c r="K113" s="5"/>
      <c r="L113" s="5"/>
      <c r="M113" s="5"/>
      <c r="N113" s="5"/>
      <c r="O113" s="5"/>
      <c r="Q113" s="5"/>
      <c r="R113" s="5"/>
      <c r="S113" s="5"/>
    </row>
    <row r="114" spans="2:19">
      <c r="B114" s="5"/>
      <c r="C114" s="5"/>
      <c r="D114" s="5"/>
      <c r="E114" s="5"/>
      <c r="F114" s="5"/>
      <c r="G114" s="5"/>
      <c r="H114" s="5"/>
      <c r="I114" s="5"/>
      <c r="J114" s="5"/>
      <c r="K114" s="5"/>
      <c r="L114" s="5"/>
      <c r="M114" s="5"/>
      <c r="N114" s="5"/>
      <c r="O114" s="5"/>
      <c r="Q114" s="5"/>
      <c r="R114" s="5"/>
      <c r="S114" s="5"/>
    </row>
    <row r="115" spans="2:19">
      <c r="B115" s="5"/>
      <c r="C115" s="5"/>
      <c r="D115" s="5"/>
      <c r="E115" s="5"/>
      <c r="F115" s="5"/>
      <c r="G115" s="5"/>
      <c r="H115" s="5"/>
      <c r="I115" s="49"/>
      <c r="J115" s="5"/>
      <c r="K115" s="5"/>
      <c r="L115" s="5"/>
      <c r="M115" s="5"/>
      <c r="N115" s="5"/>
      <c r="O115" s="5"/>
      <c r="Q115" s="41"/>
      <c r="R115" s="5"/>
      <c r="S115" s="5"/>
    </row>
    <row r="116" spans="2:19">
      <c r="B116" s="5"/>
      <c r="C116" s="5"/>
      <c r="D116" s="5"/>
      <c r="E116" s="5"/>
      <c r="F116" s="5"/>
      <c r="G116" s="5"/>
      <c r="H116" s="5"/>
      <c r="I116" s="5"/>
      <c r="J116" s="5"/>
      <c r="K116" s="5"/>
      <c r="L116" s="5"/>
      <c r="M116" s="5"/>
      <c r="N116" s="5"/>
      <c r="O116" s="5"/>
      <c r="Q116" s="5"/>
      <c r="R116" s="5"/>
      <c r="S116" s="5"/>
    </row>
    <row r="117" spans="2:19">
      <c r="B117" s="41"/>
      <c r="C117" s="49"/>
      <c r="D117" s="49"/>
      <c r="E117" s="49"/>
      <c r="F117" s="49"/>
      <c r="G117" s="49"/>
      <c r="H117" s="49"/>
      <c r="I117" s="254"/>
      <c r="J117" s="49"/>
      <c r="K117" s="49"/>
      <c r="L117" s="49"/>
      <c r="M117" s="49"/>
      <c r="N117" s="49"/>
      <c r="O117" s="49"/>
      <c r="Q117" s="5"/>
      <c r="R117" s="5"/>
      <c r="S117" s="5"/>
    </row>
    <row r="118" spans="2:19">
      <c r="B118" s="5"/>
      <c r="C118" s="5"/>
      <c r="D118" s="5"/>
      <c r="E118" s="5"/>
      <c r="F118" s="5"/>
      <c r="G118" s="5"/>
      <c r="H118" s="5"/>
      <c r="I118" s="249"/>
      <c r="J118" s="5"/>
      <c r="K118" s="5"/>
      <c r="L118" s="5"/>
      <c r="M118" s="5"/>
      <c r="N118" s="5"/>
      <c r="O118" s="5"/>
      <c r="Q118" s="5"/>
      <c r="R118" s="5"/>
      <c r="S118" s="5"/>
    </row>
    <row r="119" spans="2:19">
      <c r="B119" s="41"/>
      <c r="C119" s="254"/>
      <c r="D119" s="254"/>
      <c r="E119" s="254"/>
      <c r="F119" s="254"/>
      <c r="G119" s="254"/>
      <c r="H119" s="254"/>
      <c r="I119" s="254"/>
      <c r="J119" s="254"/>
      <c r="K119" s="254"/>
      <c r="L119" s="254"/>
      <c r="M119" s="254"/>
      <c r="N119" s="254"/>
      <c r="O119" s="248"/>
      <c r="Q119" s="5"/>
      <c r="R119" s="5"/>
      <c r="S119" s="5"/>
    </row>
    <row r="120" spans="2:19">
      <c r="B120" s="41"/>
      <c r="C120" s="254"/>
      <c r="D120" s="249"/>
      <c r="E120" s="249"/>
      <c r="F120" s="249"/>
      <c r="G120" s="249"/>
      <c r="H120" s="249"/>
      <c r="I120" s="254"/>
      <c r="J120" s="249"/>
      <c r="K120" s="249"/>
      <c r="L120" s="249"/>
      <c r="M120" s="249"/>
      <c r="N120" s="249"/>
      <c r="O120" s="248"/>
      <c r="Q120" s="5"/>
      <c r="R120" s="5"/>
      <c r="S120" s="5"/>
    </row>
    <row r="121" spans="2:19">
      <c r="B121" s="41"/>
      <c r="C121" s="254"/>
      <c r="D121" s="254"/>
      <c r="E121" s="254"/>
      <c r="F121" s="254"/>
      <c r="G121" s="254"/>
      <c r="H121" s="254"/>
      <c r="I121" s="254"/>
      <c r="J121" s="254"/>
      <c r="K121" s="254"/>
      <c r="L121" s="254"/>
      <c r="M121" s="254"/>
      <c r="N121" s="254"/>
      <c r="O121" s="248"/>
      <c r="Q121" s="5"/>
      <c r="R121" s="5"/>
      <c r="S121" s="5"/>
    </row>
    <row r="122" spans="2:19">
      <c r="B122" s="41"/>
      <c r="C122" s="254"/>
      <c r="D122" s="254"/>
      <c r="E122" s="254"/>
      <c r="F122" s="254"/>
      <c r="G122" s="254"/>
      <c r="H122" s="254"/>
      <c r="I122" s="254"/>
      <c r="J122" s="254"/>
      <c r="K122" s="254"/>
      <c r="L122" s="254"/>
      <c r="M122" s="254"/>
      <c r="N122" s="254"/>
      <c r="O122" s="248"/>
      <c r="Q122" s="5"/>
      <c r="R122" s="5"/>
      <c r="S122" s="5"/>
    </row>
    <row r="123" spans="2:19">
      <c r="B123" s="41"/>
      <c r="C123" s="254"/>
      <c r="D123" s="254"/>
      <c r="E123" s="254"/>
      <c r="F123" s="254"/>
      <c r="G123" s="254"/>
      <c r="H123" s="254"/>
      <c r="I123" s="254"/>
      <c r="J123" s="254"/>
      <c r="K123" s="254"/>
      <c r="L123" s="254"/>
      <c r="M123" s="254"/>
      <c r="N123" s="254"/>
      <c r="O123" s="248"/>
      <c r="Q123" s="5"/>
      <c r="R123" s="5"/>
      <c r="S123" s="5"/>
    </row>
    <row r="124" spans="2:19">
      <c r="B124" s="41"/>
      <c r="C124" s="254"/>
      <c r="D124" s="254"/>
      <c r="E124" s="254"/>
      <c r="F124" s="254"/>
      <c r="G124" s="254"/>
      <c r="H124" s="254"/>
      <c r="I124" s="254"/>
      <c r="J124" s="254"/>
      <c r="K124" s="254"/>
      <c r="L124" s="254"/>
      <c r="M124" s="254"/>
      <c r="N124" s="254"/>
      <c r="O124" s="248"/>
      <c r="Q124" s="5"/>
      <c r="R124" s="5"/>
      <c r="S124" s="5"/>
    </row>
    <row r="125" spans="2:19">
      <c r="B125" s="41"/>
      <c r="C125" s="254"/>
      <c r="D125" s="254"/>
      <c r="E125" s="254"/>
      <c r="F125" s="254"/>
      <c r="G125" s="254"/>
      <c r="H125" s="254"/>
      <c r="I125" s="254"/>
      <c r="J125" s="254"/>
      <c r="K125" s="254"/>
      <c r="L125" s="254"/>
      <c r="M125" s="254"/>
      <c r="N125" s="254"/>
      <c r="O125" s="5"/>
      <c r="Q125" s="5"/>
      <c r="R125" s="5"/>
      <c r="S125" s="5"/>
    </row>
    <row r="126" spans="2:19">
      <c r="B126" s="41"/>
      <c r="C126" s="254"/>
      <c r="D126" s="254"/>
      <c r="E126" s="254"/>
      <c r="F126" s="254"/>
      <c r="G126" s="254"/>
      <c r="H126" s="254"/>
      <c r="I126" s="254"/>
      <c r="J126" s="254"/>
      <c r="K126" s="254"/>
      <c r="L126" s="254"/>
      <c r="M126" s="254"/>
      <c r="N126" s="254"/>
      <c r="O126" s="5"/>
      <c r="Q126" s="5"/>
      <c r="R126" s="5"/>
      <c r="S126" s="5"/>
    </row>
    <row r="127" spans="2:19">
      <c r="B127" s="41"/>
      <c r="C127" s="254"/>
      <c r="D127" s="254"/>
      <c r="E127" s="254"/>
      <c r="F127" s="254"/>
      <c r="G127" s="254"/>
      <c r="H127" s="254"/>
      <c r="I127" s="18"/>
      <c r="J127" s="254"/>
      <c r="K127" s="254"/>
      <c r="L127" s="254"/>
      <c r="M127" s="254"/>
      <c r="N127" s="254"/>
      <c r="O127" s="5"/>
      <c r="Q127" s="5"/>
      <c r="R127" s="5"/>
      <c r="S127" s="5"/>
    </row>
    <row r="128" spans="2:19">
      <c r="B128" s="41"/>
      <c r="C128" s="254"/>
      <c r="D128" s="254"/>
      <c r="E128" s="254"/>
      <c r="F128" s="254"/>
      <c r="G128" s="254"/>
      <c r="H128" s="254"/>
      <c r="I128" s="5"/>
      <c r="J128" s="254"/>
      <c r="K128" s="254"/>
      <c r="L128" s="254"/>
      <c r="M128" s="254"/>
      <c r="N128" s="254"/>
      <c r="O128" s="5"/>
      <c r="Q128" s="5"/>
      <c r="R128" s="5"/>
      <c r="S128" s="5"/>
    </row>
    <row r="129" spans="2:27">
      <c r="B129" s="5"/>
      <c r="C129" s="5"/>
      <c r="D129" s="18"/>
      <c r="E129" s="18"/>
      <c r="F129" s="18"/>
      <c r="G129" s="18"/>
      <c r="H129" s="18"/>
      <c r="I129" s="254"/>
      <c r="J129" s="18"/>
      <c r="K129" s="18"/>
      <c r="L129" s="18"/>
      <c r="M129" s="18"/>
      <c r="N129" s="18"/>
      <c r="O129" s="5"/>
      <c r="Q129" s="5"/>
      <c r="R129" s="5"/>
      <c r="S129" s="5"/>
    </row>
    <row r="130" spans="2:27">
      <c r="B130" s="5"/>
      <c r="C130" s="5"/>
      <c r="D130" s="5"/>
      <c r="E130" s="5"/>
      <c r="F130" s="5"/>
      <c r="G130" s="5"/>
      <c r="H130" s="5"/>
      <c r="I130" s="18"/>
      <c r="J130" s="5"/>
      <c r="K130" s="5"/>
      <c r="L130" s="5"/>
      <c r="M130" s="5"/>
      <c r="N130" s="5"/>
      <c r="O130" s="5"/>
      <c r="Q130" s="5"/>
      <c r="R130" s="5"/>
      <c r="S130" s="5"/>
    </row>
    <row r="131" spans="2:27">
      <c r="B131" s="41"/>
      <c r="C131" s="254"/>
      <c r="D131" s="254"/>
      <c r="E131" s="254"/>
      <c r="F131" s="254"/>
      <c r="G131" s="254"/>
      <c r="H131" s="254"/>
      <c r="I131" s="5"/>
      <c r="J131" s="254"/>
      <c r="K131" s="254"/>
      <c r="L131" s="254"/>
      <c r="M131" s="254"/>
      <c r="N131" s="254"/>
      <c r="O131" s="5"/>
      <c r="Q131" s="5"/>
      <c r="R131" s="5"/>
      <c r="S131" s="5"/>
    </row>
    <row r="132" spans="2:27">
      <c r="B132" s="5"/>
      <c r="C132" s="259"/>
      <c r="D132" s="18"/>
      <c r="E132" s="18"/>
      <c r="F132" s="18"/>
      <c r="G132" s="18"/>
      <c r="H132" s="18"/>
      <c r="I132" s="5"/>
      <c r="J132" s="18"/>
      <c r="K132" s="18"/>
      <c r="L132" s="18"/>
      <c r="M132" s="18"/>
      <c r="N132" s="18"/>
      <c r="O132" s="5"/>
      <c r="Q132" s="5"/>
      <c r="R132" s="5"/>
      <c r="S132" s="5"/>
    </row>
    <row r="133" spans="2:27">
      <c r="B133" s="5"/>
      <c r="C133" s="5"/>
      <c r="D133" s="5"/>
      <c r="E133" s="5"/>
      <c r="F133" s="5"/>
      <c r="G133" s="5"/>
      <c r="H133" s="5"/>
      <c r="I133" s="17"/>
      <c r="J133" s="5"/>
      <c r="K133" s="5"/>
      <c r="L133" s="5"/>
      <c r="M133" s="5"/>
      <c r="N133" s="5"/>
      <c r="O133" s="5"/>
      <c r="Q133" s="5"/>
      <c r="R133" s="5"/>
      <c r="S133" s="5"/>
    </row>
    <row r="134" spans="2:27">
      <c r="B134" s="41"/>
      <c r="C134" s="5"/>
      <c r="D134" s="5"/>
      <c r="E134" s="5"/>
      <c r="F134" s="5"/>
      <c r="G134" s="5"/>
      <c r="H134" s="5"/>
      <c r="I134" s="17"/>
      <c r="J134" s="5"/>
      <c r="K134" s="5"/>
      <c r="L134" s="5"/>
      <c r="M134" s="5"/>
      <c r="N134" s="5"/>
      <c r="O134" s="5"/>
      <c r="Q134" s="5"/>
      <c r="R134" s="5"/>
      <c r="S134" s="5"/>
    </row>
    <row r="135" spans="2:27">
      <c r="B135" s="5"/>
      <c r="C135" s="17"/>
      <c r="D135" s="17"/>
      <c r="E135" s="17"/>
      <c r="F135" s="17"/>
      <c r="G135" s="17"/>
      <c r="H135" s="17"/>
      <c r="I135" s="17"/>
      <c r="J135" s="17"/>
      <c r="K135" s="17"/>
      <c r="L135" s="17"/>
      <c r="M135" s="17"/>
      <c r="N135" s="17"/>
      <c r="O135" s="5"/>
      <c r="Q135" s="41"/>
      <c r="R135" s="5"/>
      <c r="S135" s="5"/>
    </row>
    <row r="136" spans="2:27">
      <c r="B136" s="5"/>
      <c r="C136" s="17"/>
      <c r="D136" s="17"/>
      <c r="E136" s="17"/>
      <c r="F136" s="17"/>
      <c r="G136" s="17"/>
      <c r="H136" s="17"/>
      <c r="I136" s="17"/>
      <c r="J136" s="17"/>
      <c r="K136" s="17"/>
      <c r="L136" s="17"/>
      <c r="M136" s="17"/>
      <c r="N136" s="17"/>
      <c r="O136" s="5"/>
      <c r="Q136" s="5"/>
      <c r="R136" s="5"/>
      <c r="S136" s="5"/>
      <c r="X136" s="304"/>
    </row>
    <row r="137" spans="2:27">
      <c r="B137" s="5"/>
      <c r="C137" s="5"/>
      <c r="D137" s="17"/>
      <c r="E137" s="17"/>
      <c r="F137" s="17"/>
      <c r="G137" s="17"/>
      <c r="H137" s="17"/>
      <c r="I137" s="17"/>
      <c r="J137" s="17"/>
      <c r="K137" s="17"/>
      <c r="L137" s="17"/>
      <c r="M137" s="17"/>
      <c r="N137" s="17"/>
      <c r="O137" s="5"/>
      <c r="Q137" s="5"/>
      <c r="R137" s="5"/>
      <c r="S137" s="5"/>
      <c r="X137" s="10"/>
      <c r="Y137" s="304"/>
      <c r="Z137" s="304"/>
      <c r="AA137" s="304"/>
    </row>
    <row r="138" spans="2:27">
      <c r="B138" s="5"/>
      <c r="C138" s="5"/>
      <c r="D138" s="17"/>
      <c r="E138" s="17"/>
      <c r="F138" s="17"/>
      <c r="G138" s="17"/>
      <c r="H138" s="17"/>
      <c r="I138" s="17"/>
      <c r="J138" s="17"/>
      <c r="K138" s="17"/>
      <c r="L138" s="17"/>
      <c r="M138" s="17"/>
      <c r="N138" s="17"/>
      <c r="O138" s="5"/>
      <c r="Q138" s="5"/>
      <c r="R138" s="5"/>
      <c r="S138" s="5"/>
      <c r="Y138" s="10"/>
      <c r="Z138" s="10"/>
      <c r="AA138" s="10"/>
    </row>
    <row r="139" spans="2:27">
      <c r="B139" s="5"/>
      <c r="C139" s="5"/>
      <c r="D139" s="17"/>
      <c r="E139" s="17"/>
      <c r="F139" s="17"/>
      <c r="G139" s="17"/>
      <c r="H139" s="17"/>
      <c r="I139" s="5"/>
      <c r="J139" s="17"/>
      <c r="K139" s="17"/>
      <c r="L139" s="17"/>
      <c r="M139" s="17"/>
      <c r="N139" s="17"/>
      <c r="O139" s="5"/>
      <c r="Q139" s="5"/>
      <c r="R139" s="5"/>
      <c r="S139" s="5"/>
    </row>
    <row r="140" spans="2:27">
      <c r="B140" s="5"/>
      <c r="C140" s="17"/>
      <c r="D140" s="17"/>
      <c r="E140" s="17"/>
      <c r="F140" s="17"/>
      <c r="G140" s="17"/>
      <c r="H140" s="17"/>
      <c r="I140" s="5"/>
      <c r="J140" s="17"/>
      <c r="K140" s="17"/>
      <c r="L140" s="17"/>
      <c r="M140" s="17"/>
      <c r="N140" s="17"/>
      <c r="O140" s="5"/>
      <c r="Q140" s="5"/>
      <c r="R140" s="5"/>
      <c r="S140" s="5"/>
    </row>
    <row r="141" spans="2:27">
      <c r="B141" s="5"/>
      <c r="C141" s="5"/>
      <c r="D141" s="5"/>
      <c r="E141" s="5"/>
      <c r="F141" s="5"/>
      <c r="G141" s="5"/>
      <c r="H141" s="5"/>
      <c r="I141" s="5"/>
      <c r="J141" s="5"/>
      <c r="K141" s="5"/>
      <c r="L141" s="5"/>
      <c r="M141" s="5"/>
      <c r="N141" s="5"/>
      <c r="O141" s="5"/>
      <c r="Q141" s="5"/>
      <c r="R141" s="5"/>
      <c r="S141" s="5"/>
    </row>
    <row r="142" spans="2:27">
      <c r="B142" s="5"/>
      <c r="C142" s="5"/>
      <c r="D142" s="5"/>
      <c r="E142" s="5"/>
      <c r="F142" s="5"/>
      <c r="G142" s="5"/>
      <c r="H142" s="5"/>
      <c r="I142" s="5"/>
      <c r="J142" s="5"/>
      <c r="K142" s="5"/>
      <c r="L142" s="5"/>
      <c r="M142" s="5"/>
      <c r="N142" s="5"/>
      <c r="O142" s="5"/>
      <c r="Q142" s="5"/>
      <c r="R142" s="5"/>
      <c r="S142" s="5"/>
    </row>
    <row r="143" spans="2:27">
      <c r="B143" s="5"/>
      <c r="C143" s="5"/>
      <c r="D143" s="5"/>
      <c r="E143" s="5"/>
      <c r="F143" s="5"/>
      <c r="G143" s="5"/>
      <c r="H143" s="5"/>
      <c r="I143" s="5"/>
      <c r="J143" s="5"/>
      <c r="K143" s="5"/>
      <c r="L143" s="5"/>
      <c r="M143" s="5"/>
      <c r="N143" s="5"/>
      <c r="O143" s="5"/>
      <c r="Q143" s="5"/>
      <c r="R143" s="5"/>
      <c r="S143" s="5"/>
    </row>
    <row r="144" spans="2:27">
      <c r="B144" s="5"/>
      <c r="C144" s="5"/>
      <c r="D144" s="5"/>
      <c r="E144" s="5"/>
      <c r="F144" s="5"/>
      <c r="G144" s="5"/>
      <c r="H144" s="5"/>
      <c r="I144" s="5"/>
      <c r="J144" s="5"/>
      <c r="K144" s="5"/>
      <c r="L144" s="5"/>
      <c r="M144" s="5"/>
      <c r="N144" s="5"/>
      <c r="O144" s="5"/>
      <c r="Q144" s="5"/>
      <c r="R144" s="5"/>
      <c r="S144" s="5"/>
    </row>
    <row r="145" spans="2:19">
      <c r="B145" s="5"/>
      <c r="C145" s="5"/>
      <c r="D145" s="5"/>
      <c r="E145" s="5"/>
      <c r="F145" s="5"/>
      <c r="G145" s="5"/>
      <c r="H145" s="5"/>
      <c r="I145" s="5"/>
      <c r="J145" s="5"/>
      <c r="K145" s="5"/>
      <c r="L145" s="5"/>
      <c r="M145" s="5"/>
      <c r="N145" s="5"/>
      <c r="O145" s="5"/>
      <c r="Q145" s="5"/>
      <c r="R145" s="5"/>
      <c r="S145" s="5"/>
    </row>
    <row r="146" spans="2:19">
      <c r="B146" s="5"/>
      <c r="C146" s="5"/>
      <c r="D146" s="5"/>
      <c r="E146" s="5"/>
      <c r="F146" s="5"/>
      <c r="G146" s="5"/>
      <c r="H146" s="5"/>
      <c r="I146" s="5"/>
      <c r="J146" s="5"/>
      <c r="K146" s="5"/>
      <c r="L146" s="5"/>
      <c r="M146" s="5"/>
      <c r="N146" s="5"/>
      <c r="O146" s="5"/>
      <c r="Q146" s="5"/>
      <c r="R146" s="5"/>
      <c r="S146" s="5"/>
    </row>
    <row r="147" spans="2:19">
      <c r="B147" s="5"/>
      <c r="C147" s="5"/>
      <c r="D147" s="5"/>
      <c r="E147" s="5"/>
      <c r="F147" s="5"/>
      <c r="G147" s="5"/>
      <c r="H147" s="5"/>
      <c r="I147" s="5"/>
      <c r="J147" s="5"/>
      <c r="K147" s="5"/>
      <c r="L147" s="5"/>
      <c r="M147" s="5"/>
      <c r="N147" s="5"/>
      <c r="O147" s="5"/>
      <c r="Q147" s="5"/>
      <c r="R147" s="5"/>
      <c r="S147" s="5"/>
    </row>
    <row r="148" spans="2:19">
      <c r="B148" s="5"/>
      <c r="C148" s="5"/>
      <c r="D148" s="5"/>
      <c r="E148" s="5"/>
      <c r="F148" s="5"/>
      <c r="G148" s="5"/>
      <c r="H148" s="5"/>
      <c r="I148" s="5"/>
      <c r="J148" s="5"/>
      <c r="K148" s="5"/>
      <c r="L148" s="5"/>
      <c r="M148" s="5"/>
      <c r="N148" s="5"/>
      <c r="O148" s="5"/>
      <c r="Q148" s="5"/>
      <c r="R148" s="5"/>
      <c r="S148" s="5"/>
    </row>
    <row r="149" spans="2:19">
      <c r="B149" s="5"/>
      <c r="C149" s="5"/>
      <c r="D149" s="5"/>
      <c r="E149" s="5"/>
      <c r="F149" s="5"/>
      <c r="G149" s="5"/>
      <c r="H149" s="5"/>
      <c r="J149" s="5"/>
      <c r="K149" s="5"/>
      <c r="L149" s="5"/>
      <c r="M149" s="5"/>
      <c r="N149" s="5"/>
      <c r="O149" s="5"/>
      <c r="Q149" s="5"/>
      <c r="R149" s="5"/>
      <c r="S149" s="5"/>
    </row>
    <row r="150" spans="2:19">
      <c r="B150" s="5"/>
      <c r="C150" s="5"/>
      <c r="D150" s="5"/>
      <c r="E150" s="5"/>
      <c r="F150" s="5"/>
      <c r="G150" s="5"/>
      <c r="H150" s="5"/>
      <c r="J150" s="5"/>
      <c r="K150" s="5"/>
      <c r="L150" s="5"/>
      <c r="M150" s="5"/>
      <c r="N150" s="5"/>
      <c r="O150" s="5"/>
      <c r="Q150" s="5"/>
      <c r="R150" s="5"/>
      <c r="S150" s="5"/>
    </row>
    <row r="151" spans="2:19">
      <c r="Q151" s="5"/>
      <c r="R151" s="5"/>
      <c r="S151" s="5"/>
    </row>
    <row r="152" spans="2:19">
      <c r="Q152" s="5"/>
      <c r="R152" s="5"/>
      <c r="S152" s="5"/>
    </row>
    <row r="153" spans="2:19">
      <c r="C153" s="263"/>
      <c r="Q153" s="5"/>
      <c r="R153" s="5"/>
      <c r="S153" s="5"/>
    </row>
    <row r="154" spans="2:19">
      <c r="Q154" s="5"/>
      <c r="R154" s="5"/>
      <c r="S154" s="5"/>
    </row>
    <row r="155" spans="2:19">
      <c r="Q155" s="5"/>
      <c r="R155" s="5"/>
      <c r="S155" s="5"/>
    </row>
    <row r="156" spans="2:19">
      <c r="Q156" s="5"/>
      <c r="R156" s="5"/>
      <c r="S156" s="5"/>
    </row>
    <row r="157" spans="2:19">
      <c r="Q157" s="5"/>
      <c r="R157" s="5"/>
      <c r="S157" s="5"/>
    </row>
    <row r="158" spans="2:19">
      <c r="Q158" s="5"/>
      <c r="R158" s="5"/>
      <c r="S158" s="5"/>
    </row>
    <row r="159" spans="2:19">
      <c r="Q159" s="5"/>
      <c r="R159" s="5"/>
      <c r="S159" s="5"/>
    </row>
    <row r="160" spans="2:19">
      <c r="Q160" s="5"/>
      <c r="R160" s="5"/>
      <c r="S160" s="5"/>
    </row>
    <row r="161" spans="17:19">
      <c r="Q161" s="5"/>
      <c r="R161" s="5"/>
      <c r="S161" s="5"/>
    </row>
    <row r="162" spans="17:19">
      <c r="Q162" s="5"/>
      <c r="R162" s="5"/>
      <c r="S162" s="5"/>
    </row>
    <row r="163" spans="17:19">
      <c r="Q163" s="5"/>
      <c r="R163" s="5"/>
      <c r="S163" s="5"/>
    </row>
    <row r="164" spans="17:19">
      <c r="Q164" s="5"/>
      <c r="R164" s="5"/>
      <c r="S164" s="5"/>
    </row>
    <row r="165" spans="17:19">
      <c r="Q165" s="5"/>
      <c r="R165" s="5"/>
      <c r="S165" s="5"/>
    </row>
  </sheetData>
  <phoneticPr fontId="7" type="noConversion"/>
  <hyperlinks>
    <hyperlink ref="C2" location="TNORSOP!A1" display="Jump to Telenor SOP" xr:uid="{00000000-0004-0000-6B00-000001000000}"/>
  </hyperlinks>
  <pageMargins left="0.75" right="0.75" top="1" bottom="1" header="0.5" footer="0.5"/>
  <pageSetup scale="71" orientation="landscape" r:id="rId1"/>
  <headerFooter alignWithMargins="0"/>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sheetPr codeName="Sheet181">
    <pageSetUpPr fitToPage="1"/>
  </sheetPr>
  <dimension ref="B1:AR165"/>
  <sheetViews>
    <sheetView showGridLines="0" zoomScale="80" zoomScaleNormal="80" workbookViewId="0"/>
  </sheetViews>
  <sheetFormatPr defaultColWidth="9.109375" defaultRowHeight="12"/>
  <cols>
    <col min="1" max="1" width="2.33203125" style="39" customWidth="1"/>
    <col min="2" max="2" width="26.5546875" style="39" customWidth="1"/>
    <col min="3" max="9" width="10" style="39" customWidth="1"/>
    <col min="10" max="10" width="26.6640625" style="39" customWidth="1"/>
    <col min="11" max="16" width="10" style="39" customWidth="1"/>
    <col min="17" max="19" width="8.6640625" style="39" customWidth="1"/>
    <col min="20" max="28" width="8.6640625" style="5" customWidth="1"/>
    <col min="29" max="44" width="9.109375" style="5"/>
    <col min="45" max="16384" width="9.109375" style="39"/>
  </cols>
  <sheetData>
    <row r="1" spans="2:44" s="312" customFormat="1">
      <c r="T1" s="149"/>
      <c r="U1" s="149"/>
      <c r="V1" s="149"/>
      <c r="W1" s="149"/>
      <c r="X1" s="149"/>
      <c r="Y1" s="149"/>
      <c r="Z1" s="149"/>
      <c r="AA1" s="149"/>
      <c r="AB1" s="149"/>
      <c r="AC1" s="149"/>
      <c r="AD1" s="149"/>
      <c r="AE1" s="149"/>
      <c r="AF1" s="149"/>
      <c r="AG1" s="149"/>
      <c r="AH1" s="149"/>
      <c r="AI1" s="149"/>
      <c r="AJ1" s="149"/>
      <c r="AK1" s="149"/>
      <c r="AL1" s="149"/>
      <c r="AM1" s="149"/>
      <c r="AN1" s="149"/>
      <c r="AO1" s="149"/>
      <c r="AP1" s="149"/>
      <c r="AQ1" s="149"/>
      <c r="AR1" s="149"/>
    </row>
    <row r="2" spans="2:44" s="149" customFormat="1"/>
    <row r="3" spans="2:44" s="149" customFormat="1">
      <c r="H3" s="153"/>
      <c r="P3" s="153"/>
    </row>
    <row r="4" spans="2:44" s="156" customFormat="1" ht="21">
      <c r="B4" s="129" t="s">
        <v>777</v>
      </c>
      <c r="H4" s="222"/>
      <c r="P4" s="222"/>
    </row>
    <row r="5" spans="2:44" s="149" customFormat="1">
      <c r="C5" s="153"/>
      <c r="D5" s="153" t="str" cm="1">
        <f t="array" ref="D5:H5">headings</f>
        <v>2023E</v>
      </c>
      <c r="E5" s="153" t="str">
        <v>2024E</v>
      </c>
      <c r="F5" s="153" t="str">
        <v>2025E</v>
      </c>
      <c r="G5" s="153" t="str">
        <v>2026E</v>
      </c>
      <c r="H5" s="153" t="str">
        <v>23E-26E</v>
      </c>
      <c r="I5" s="153"/>
      <c r="J5" s="153"/>
      <c r="K5" s="153"/>
      <c r="L5" s="153" t="str" cm="1">
        <f t="array" ref="L5:P5">headings</f>
        <v>2023E</v>
      </c>
      <c r="M5" s="153" t="str">
        <v>2024E</v>
      </c>
      <c r="N5" s="153" t="str">
        <v>2025E</v>
      </c>
      <c r="O5" s="153" t="str">
        <v>2026E</v>
      </c>
      <c r="P5" s="153" t="str">
        <v>23E-26E</v>
      </c>
      <c r="Q5" s="162"/>
      <c r="R5" s="162"/>
      <c r="S5" s="162"/>
      <c r="T5" s="162"/>
      <c r="U5" s="162"/>
      <c r="V5" s="162"/>
      <c r="W5" s="162"/>
      <c r="X5" s="162"/>
      <c r="Y5" s="162"/>
    </row>
    <row r="6" spans="2:44">
      <c r="I6" s="5"/>
      <c r="J6" s="5"/>
      <c r="K6" s="5"/>
      <c r="L6" s="5"/>
      <c r="M6" s="5"/>
      <c r="N6" s="5"/>
      <c r="O6" s="49"/>
    </row>
    <row r="7" spans="2:44" ht="12.6" thickBot="1">
      <c r="B7" s="306" t="s">
        <v>271</v>
      </c>
      <c r="C7" s="265"/>
      <c r="D7" s="265" t="str">
        <f>D5</f>
        <v>2023E</v>
      </c>
      <c r="E7" s="265" t="str">
        <f t="shared" ref="E7:H7" si="0">E5</f>
        <v>2024E</v>
      </c>
      <c r="F7" s="265" t="str">
        <f t="shared" si="0"/>
        <v>2025E</v>
      </c>
      <c r="G7" s="265" t="str">
        <f t="shared" si="0"/>
        <v>2026E</v>
      </c>
      <c r="H7" s="265" t="str">
        <f t="shared" si="0"/>
        <v>23E-26E</v>
      </c>
      <c r="I7" s="49"/>
      <c r="J7" s="306" t="s">
        <v>778</v>
      </c>
      <c r="K7" s="306"/>
      <c r="L7" s="265" t="str">
        <f>L5</f>
        <v>2023E</v>
      </c>
      <c r="M7" s="265" t="str">
        <f t="shared" ref="M7:P7" si="1">M5</f>
        <v>2024E</v>
      </c>
      <c r="N7" s="265" t="str">
        <f t="shared" si="1"/>
        <v>2025E</v>
      </c>
      <c r="O7" s="265" t="str">
        <f t="shared" si="1"/>
        <v>2026E</v>
      </c>
      <c r="P7" s="265" t="str">
        <f t="shared" si="1"/>
        <v>23E-26E</v>
      </c>
    </row>
    <row r="8" spans="2:44" ht="12.6" thickTop="1">
      <c r="B8" s="5"/>
      <c r="C8" s="5"/>
      <c r="D8" s="5"/>
      <c r="E8" s="5"/>
      <c r="F8" s="5"/>
      <c r="G8" s="5"/>
      <c r="H8" s="5"/>
      <c r="I8" s="5"/>
      <c r="J8" s="5"/>
      <c r="K8" s="5"/>
      <c r="L8" s="5"/>
      <c r="M8" s="5"/>
      <c r="N8" s="5"/>
      <c r="S8" s="88"/>
      <c r="T8" s="42"/>
      <c r="U8" s="42"/>
      <c r="V8" s="42"/>
      <c r="W8" s="42"/>
      <c r="X8" s="42"/>
      <c r="Y8" s="42"/>
      <c r="Z8" s="42"/>
      <c r="AA8" s="42"/>
    </row>
    <row r="9" spans="2:44">
      <c r="B9" s="41" t="s">
        <v>147</v>
      </c>
      <c r="C9" s="290">
        <f>Prices!$C$99</f>
        <v>765</v>
      </c>
      <c r="D9" s="535">
        <v>0</v>
      </c>
      <c r="E9" s="536">
        <v>0</v>
      </c>
      <c r="F9" s="536">
        <v>0</v>
      </c>
      <c r="G9" s="536">
        <v>0</v>
      </c>
      <c r="H9" s="249"/>
      <c r="I9" s="249"/>
      <c r="J9" s="5" t="s">
        <v>273</v>
      </c>
      <c r="L9" s="529">
        <f>'EM TOWERS'!D37</f>
        <v>2.6715013852627854</v>
      </c>
      <c r="M9" s="529">
        <f>'EM TOWERS'!E37</f>
        <v>2.4664165959079525</v>
      </c>
      <c r="N9" s="529">
        <f>'EM TOWERS'!F37</f>
        <v>2.131979937672341</v>
      </c>
      <c r="O9" s="529">
        <f>'EM TOWERS'!G37</f>
        <v>1.8017346387407094</v>
      </c>
      <c r="P9" s="18">
        <f>'EM TOWERS'!H37</f>
        <v>4.1506270779823939E-2</v>
      </c>
      <c r="S9" s="88"/>
      <c r="T9" s="42"/>
      <c r="U9" s="42"/>
      <c r="V9" s="42"/>
      <c r="W9" s="42"/>
      <c r="X9" s="42"/>
      <c r="Y9" s="42"/>
      <c r="Z9" s="42"/>
      <c r="AA9" s="42"/>
    </row>
    <row r="10" spans="2:44">
      <c r="B10" s="5" t="s">
        <v>274</v>
      </c>
      <c r="C10" s="5"/>
      <c r="D10" s="531">
        <v>49798.9398</v>
      </c>
      <c r="E10" s="531">
        <v>49798.9398</v>
      </c>
      <c r="F10" s="531">
        <v>49798.9398</v>
      </c>
      <c r="G10" s="531">
        <v>49798.9398</v>
      </c>
      <c r="H10" s="247"/>
      <c r="I10" s="247"/>
      <c r="J10" s="5" t="s">
        <v>184</v>
      </c>
      <c r="L10" s="529">
        <f>'EM TOWERS'!D38</f>
        <v>4.1489124394973578</v>
      </c>
      <c r="M10" s="529">
        <f>'EM TOWERS'!E38</f>
        <v>3.7837744083979801</v>
      </c>
      <c r="N10" s="529">
        <f>'EM TOWERS'!F38</f>
        <v>3.2477275158639292</v>
      </c>
      <c r="O10" s="529">
        <f>'EM TOWERS'!G38</f>
        <v>2.7428587919433522</v>
      </c>
      <c r="P10" s="18">
        <f>'EM TOWERS'!H38</f>
        <v>4.8457032571161518E-2</v>
      </c>
      <c r="S10" s="88"/>
      <c r="T10" s="42"/>
      <c r="U10" s="42"/>
      <c r="V10" s="42"/>
      <c r="W10" s="288"/>
      <c r="X10" s="288"/>
      <c r="Y10" s="288"/>
      <c r="Z10" s="288"/>
      <c r="AA10" s="42"/>
    </row>
    <row r="11" spans="2:44">
      <c r="B11" s="41" t="s">
        <v>875</v>
      </c>
      <c r="C11" s="5"/>
      <c r="D11" s="532">
        <f>$C$9*D10/1000</f>
        <v>38096.188946999995</v>
      </c>
      <c r="E11" s="532">
        <f>$C$9*E10/1000</f>
        <v>38096.188946999995</v>
      </c>
      <c r="F11" s="532">
        <f>$C$9*F10/1000</f>
        <v>38096.188946999995</v>
      </c>
      <c r="G11" s="532">
        <f>$C$9*G10/1000</f>
        <v>38096.188946999995</v>
      </c>
      <c r="H11" s="249"/>
      <c r="I11" s="249"/>
      <c r="J11" s="5" t="s">
        <v>185</v>
      </c>
      <c r="L11" s="529">
        <f>'EM TOWERS'!D39</f>
        <v>6.1861038573799814</v>
      </c>
      <c r="M11" s="529">
        <f>'EM TOWERS'!E39</f>
        <v>5.4605168948171618</v>
      </c>
      <c r="N11" s="529">
        <f>'EM TOWERS'!F39</f>
        <v>4.6533902775737461</v>
      </c>
      <c r="O11" s="529">
        <f>'EM TOWERS'!G39</f>
        <v>3.9147674085760911</v>
      </c>
      <c r="P11" s="18">
        <f>'EM TOWERS'!H39</f>
        <v>6.3842766266186013E-2</v>
      </c>
      <c r="S11" s="88"/>
      <c r="T11" s="42"/>
      <c r="U11" s="42"/>
      <c r="V11" s="42"/>
      <c r="W11" s="288"/>
      <c r="X11" s="288"/>
      <c r="Y11" s="288"/>
      <c r="Z11" s="288"/>
      <c r="AA11" s="42"/>
    </row>
    <row r="12" spans="2:44">
      <c r="B12" s="5" t="s">
        <v>24</v>
      </c>
      <c r="C12" s="249"/>
      <c r="D12" s="533">
        <v>42877.238729593417</v>
      </c>
      <c r="E12" s="533">
        <v>40494.119185563002</v>
      </c>
      <c r="F12" s="533">
        <v>37401.429072585379</v>
      </c>
      <c r="G12" s="533">
        <v>33777.011569900082</v>
      </c>
      <c r="H12" s="247"/>
      <c r="I12" s="247"/>
      <c r="J12" s="5" t="s">
        <v>466</v>
      </c>
      <c r="L12" s="529">
        <f>'EM TOWERS'!D40</f>
        <v>6.9439536333859468</v>
      </c>
      <c r="M12" s="529">
        <f>'EM TOWERS'!E40</f>
        <v>6.0970821330239104</v>
      </c>
      <c r="N12" s="529">
        <f>'EM TOWERS'!F40</f>
        <v>5.1683449334617251</v>
      </c>
      <c r="O12" s="529">
        <f>'EM TOWERS'!G40</f>
        <v>4.3328952437227697</v>
      </c>
      <c r="P12" s="18">
        <f>'EM TOWERS'!H40</f>
        <v>6.8849532391503709E-2</v>
      </c>
      <c r="S12" s="88"/>
      <c r="T12" s="42"/>
      <c r="U12" s="42"/>
      <c r="V12" s="42"/>
      <c r="W12" s="288"/>
      <c r="X12" s="288"/>
      <c r="Y12" s="288"/>
      <c r="Z12" s="288"/>
      <c r="AA12" s="42"/>
    </row>
    <row r="13" spans="2:44">
      <c r="B13" s="5" t="s">
        <v>529</v>
      </c>
      <c r="C13" s="257"/>
      <c r="D13" s="533">
        <v>0</v>
      </c>
      <c r="E13" s="533">
        <v>0</v>
      </c>
      <c r="F13" s="533">
        <v>0</v>
      </c>
      <c r="G13" s="533">
        <v>0</v>
      </c>
      <c r="H13" s="247"/>
      <c r="I13" s="247"/>
      <c r="J13" s="5" t="s">
        <v>530</v>
      </c>
      <c r="L13" s="529">
        <f>'EM TOWERS'!D41</f>
        <v>1.1753130739039299</v>
      </c>
      <c r="M13" s="529">
        <f>'EM TOWERS'!E41</f>
        <v>1.1757567202913304</v>
      </c>
      <c r="N13" s="529">
        <f>'EM TOWERS'!F41</f>
        <v>1.1263024096489058</v>
      </c>
      <c r="O13" s="529">
        <f>'EM TOWERS'!G41</f>
        <v>1.0471547147878779</v>
      </c>
      <c r="P13" s="18">
        <f>'EM TOWERS'!H41</f>
        <v>-5.0806835295409858E-2</v>
      </c>
      <c r="S13" s="88"/>
      <c r="T13" s="42"/>
      <c r="U13" s="42"/>
      <c r="V13" s="42"/>
      <c r="W13" s="42"/>
      <c r="X13" s="42"/>
      <c r="Y13" s="42"/>
      <c r="Z13" s="42"/>
      <c r="AA13" s="42"/>
    </row>
    <row r="14" spans="2:44">
      <c r="B14" s="5" t="s">
        <v>532</v>
      </c>
      <c r="C14" s="257"/>
      <c r="D14" s="533">
        <v>0</v>
      </c>
      <c r="E14" s="533">
        <v>0</v>
      </c>
      <c r="F14" s="533">
        <v>0</v>
      </c>
      <c r="G14" s="533">
        <v>0</v>
      </c>
      <c r="H14" s="247"/>
      <c r="I14" s="247"/>
      <c r="J14" s="5" t="s">
        <v>593</v>
      </c>
      <c r="L14" s="529">
        <f>'EM TOWERS'!D42</f>
        <v>1.6549220743785771</v>
      </c>
      <c r="M14" s="529">
        <f>'EM TOWERS'!E42</f>
        <v>1.784519754580798</v>
      </c>
      <c r="N14" s="529">
        <f>'EM TOWERS'!F42</f>
        <v>1.8716160063762746</v>
      </c>
      <c r="O14" s="529">
        <f>'EM TOWERS'!G42</f>
        <v>1.9406589591487502</v>
      </c>
      <c r="P14" s="18">
        <f>'EM TOWERS'!H42</f>
        <v>-0.13386988386454612</v>
      </c>
      <c r="S14" s="88"/>
      <c r="T14" s="42"/>
      <c r="U14" s="42"/>
      <c r="V14" s="42"/>
      <c r="W14" s="42"/>
      <c r="X14" s="42"/>
      <c r="Y14" s="42"/>
      <c r="Z14" s="42"/>
      <c r="AA14" s="42"/>
    </row>
    <row r="15" spans="2:44">
      <c r="B15" s="5" t="s">
        <v>531</v>
      </c>
      <c r="C15" s="274"/>
      <c r="D15" s="533">
        <v>0</v>
      </c>
      <c r="E15" s="533">
        <v>0</v>
      </c>
      <c r="F15" s="533">
        <v>0</v>
      </c>
      <c r="G15" s="533">
        <v>0</v>
      </c>
      <c r="H15" s="247"/>
      <c r="I15" s="247"/>
      <c r="J15" s="5" t="s">
        <v>475</v>
      </c>
      <c r="L15" s="529">
        <f>'EM TOWERS'!D43</f>
        <v>5.976608052052339</v>
      </c>
      <c r="M15" s="529">
        <f>'EM TOWERS'!E43</f>
        <v>5.4088146449510912</v>
      </c>
      <c r="N15" s="529">
        <f>'EM TOWERS'!F43</f>
        <v>5.0599476755573729</v>
      </c>
      <c r="O15" s="529">
        <f>'EM TOWERS'!G43</f>
        <v>4.7743105797072269</v>
      </c>
      <c r="P15" s="18">
        <f>'EM TOWERS'!H43</f>
        <v>7.5289713595871444E-2</v>
      </c>
      <c r="S15" s="88"/>
      <c r="T15" s="42"/>
      <c r="U15" s="42"/>
      <c r="V15" s="42"/>
      <c r="W15" s="42"/>
      <c r="X15" s="42"/>
      <c r="Y15" s="42"/>
      <c r="Z15" s="42"/>
      <c r="AA15" s="42"/>
    </row>
    <row r="16" spans="2:44">
      <c r="B16" s="5" t="s">
        <v>534</v>
      </c>
      <c r="C16" s="257"/>
      <c r="D16" s="533">
        <v>0</v>
      </c>
      <c r="E16" s="533">
        <v>2049.0072560377012</v>
      </c>
      <c r="F16" s="533">
        <v>4408.4133705898994</v>
      </c>
      <c r="G16" s="533">
        <v>7132.2641632576597</v>
      </c>
      <c r="H16" s="247"/>
      <c r="I16" s="247"/>
      <c r="J16" s="5" t="s">
        <v>533</v>
      </c>
      <c r="L16" s="529">
        <f>'EM TOWERS'!D44</f>
        <v>14.893977546972051</v>
      </c>
      <c r="M16" s="529">
        <f>'EM TOWERS'!E44</f>
        <v>11.840472853769791</v>
      </c>
      <c r="N16" s="529">
        <f>'EM TOWERS'!F44</f>
        <v>9.5746290752304422</v>
      </c>
      <c r="O16" s="529">
        <f>'EM TOWERS'!G44</f>
        <v>8.1150344654722684</v>
      </c>
      <c r="P16" s="18">
        <f>'EM TOWERS'!H44</f>
        <v>0.22156776501415409</v>
      </c>
      <c r="S16" s="88"/>
      <c r="T16" s="42"/>
      <c r="U16" s="42"/>
      <c r="V16" s="42"/>
      <c r="W16" s="42"/>
      <c r="X16" s="42"/>
      <c r="Y16" s="42"/>
      <c r="Z16" s="42"/>
      <c r="AA16" s="42"/>
    </row>
    <row r="17" spans="2:27">
      <c r="B17" s="5" t="s">
        <v>6</v>
      </c>
      <c r="C17" s="257"/>
      <c r="D17" s="533">
        <v>0</v>
      </c>
      <c r="E17" s="533">
        <v>0</v>
      </c>
      <c r="F17" s="533">
        <v>0</v>
      </c>
      <c r="G17" s="533">
        <v>0</v>
      </c>
      <c r="H17" s="247"/>
      <c r="I17" s="247"/>
      <c r="J17" s="5" t="s">
        <v>580</v>
      </c>
      <c r="L17" s="18">
        <f>'EM TOWERS'!D45</f>
        <v>3.4154898105313747E-2</v>
      </c>
      <c r="M17" s="18">
        <f>'EM TOWERS'!E45</f>
        <v>4.4073955051740152E-2</v>
      </c>
      <c r="N17" s="18">
        <f>'EM TOWERS'!F45</f>
        <v>5.4312748525084206E-2</v>
      </c>
      <c r="O17" s="18">
        <f>'EM TOWERS'!G45</f>
        <v>6.3843538763397198E-2</v>
      </c>
      <c r="P17" s="18">
        <f>'EM TOWERS'!H45</f>
        <v>0.22903836843887304</v>
      </c>
      <c r="S17" s="88"/>
      <c r="T17" s="42"/>
      <c r="U17" s="42"/>
      <c r="V17" s="42"/>
      <c r="W17" s="42"/>
      <c r="X17" s="42"/>
      <c r="Y17" s="42"/>
      <c r="Z17" s="42"/>
      <c r="AA17" s="42"/>
    </row>
    <row r="18" spans="2:27" ht="12.6" thickBot="1">
      <c r="B18" s="41" t="s">
        <v>583</v>
      </c>
      <c r="C18" s="249"/>
      <c r="D18" s="534">
        <f>D11+D12+D13-D14+D15-D16-D17</f>
        <v>80973.427676593419</v>
      </c>
      <c r="E18" s="534">
        <f>E11+E12+E13-E14+E15-E16-E17</f>
        <v>76541.300876525289</v>
      </c>
      <c r="F18" s="534">
        <f>F11+F12+F13-F14+F15-F16-F17</f>
        <v>71089.204648995481</v>
      </c>
      <c r="G18" s="534">
        <f>G11+G12+G13-G14+G15-G16-G17</f>
        <v>64740.936353642421</v>
      </c>
      <c r="H18" s="276">
        <f>IF(D18=0,"nm",IF(G18=0,"nm",(G18/D18)^(1/3)-1))</f>
        <v>-7.1862861535332279E-2</v>
      </c>
      <c r="I18" s="254"/>
      <c r="J18" s="5" t="s">
        <v>36</v>
      </c>
      <c r="L18" s="18">
        <f>'EM TOWERS'!D46</f>
        <v>2.9269707798486252E-2</v>
      </c>
      <c r="M18" s="18">
        <f>'EM TOWERS'!E46</f>
        <v>3.8525771742588415E-2</v>
      </c>
      <c r="N18" s="18">
        <f>'EM TOWERS'!F46</f>
        <v>4.8168804565408389E-2</v>
      </c>
      <c r="O18" s="18">
        <f>'EM TOWERS'!G46</f>
        <v>5.7376762666392481E-2</v>
      </c>
      <c r="P18" s="18">
        <f>'EM TOWERS'!H46</f>
        <v>0.24867669579952301</v>
      </c>
      <c r="S18" s="88"/>
      <c r="T18" s="42"/>
      <c r="U18" s="42"/>
      <c r="V18" s="42"/>
      <c r="W18" s="42"/>
      <c r="X18" s="42"/>
      <c r="Y18" s="42"/>
      <c r="Z18" s="42"/>
      <c r="AA18" s="42"/>
    </row>
    <row r="19" spans="2:27" ht="12.6" thickTop="1">
      <c r="B19" s="41"/>
      <c r="C19" s="249"/>
      <c r="D19" s="229"/>
      <c r="E19" s="229"/>
      <c r="F19" s="229"/>
      <c r="G19" s="229"/>
      <c r="H19" s="276"/>
      <c r="I19" s="254"/>
      <c r="J19" s="5" t="s">
        <v>581</v>
      </c>
      <c r="L19" s="18">
        <f>'EM TOWERS'!D47</f>
        <v>0.1673189861691875</v>
      </c>
      <c r="M19" s="18">
        <f>'EM TOWERS'!E47</f>
        <v>0.18488339232209766</v>
      </c>
      <c r="N19" s="18">
        <f>'EM TOWERS'!F47</f>
        <v>0.19763050215531056</v>
      </c>
      <c r="O19" s="18">
        <f>'EM TOWERS'!G47</f>
        <v>0.20945432503918138</v>
      </c>
      <c r="P19" s="18">
        <f>'EM TOWERS'!H47</f>
        <v>7.5289713595871444E-2</v>
      </c>
      <c r="S19" s="88"/>
      <c r="T19" s="42"/>
      <c r="U19" s="42"/>
      <c r="V19" s="42"/>
      <c r="W19" s="42"/>
      <c r="X19" s="42"/>
      <c r="Y19" s="42"/>
      <c r="Z19" s="42"/>
      <c r="AA19" s="42"/>
    </row>
    <row r="20" spans="2:27">
      <c r="H20" s="277"/>
      <c r="I20" s="17"/>
      <c r="J20" s="5" t="s">
        <v>604</v>
      </c>
      <c r="L20" s="552">
        <f>'EM TOWERS'!D48</f>
        <v>0.20413043903324535</v>
      </c>
      <c r="M20" s="552">
        <f>'EM TOWERS'!E48</f>
        <v>0.2383878535447683</v>
      </c>
      <c r="N20" s="552">
        <f>'EM TOWERS'!F48</f>
        <v>0.27481966565263194</v>
      </c>
      <c r="O20" s="552">
        <f>'EM TOWERS'!G48</f>
        <v>0.30480888256403571</v>
      </c>
      <c r="P20" s="18" t="str">
        <f>'EM TOWERS'!H48</f>
        <v>nm</v>
      </c>
      <c r="S20" s="88"/>
      <c r="T20" s="42"/>
      <c r="U20" s="42"/>
      <c r="V20" s="42"/>
      <c r="W20" s="42"/>
      <c r="X20" s="42"/>
      <c r="Y20" s="42"/>
      <c r="Z20" s="42"/>
      <c r="AA20" s="42"/>
    </row>
    <row r="21" spans="2:27" ht="12.6" thickBot="1">
      <c r="B21" s="306" t="s">
        <v>948</v>
      </c>
      <c r="C21" s="265"/>
      <c r="D21" s="265" t="str">
        <f>D5</f>
        <v>2023E</v>
      </c>
      <c r="E21" s="265" t="str">
        <f t="shared" ref="E21:H21" si="2">E5</f>
        <v>2024E</v>
      </c>
      <c r="F21" s="265" t="str">
        <f t="shared" si="2"/>
        <v>2025E</v>
      </c>
      <c r="G21" s="265" t="str">
        <f t="shared" si="2"/>
        <v>2026E</v>
      </c>
      <c r="H21" s="265" t="str">
        <f t="shared" si="2"/>
        <v>23E-26E</v>
      </c>
      <c r="I21" s="49"/>
      <c r="J21" s="41"/>
      <c r="L21" s="251"/>
      <c r="M21" s="251"/>
      <c r="N21" s="251"/>
      <c r="O21" s="251"/>
      <c r="P21" s="18"/>
      <c r="S21" s="88"/>
      <c r="T21" s="42"/>
      <c r="U21" s="42"/>
      <c r="V21" s="42"/>
      <c r="W21" s="42"/>
      <c r="X21" s="42"/>
      <c r="Y21" s="42"/>
      <c r="Z21" s="42"/>
      <c r="AA21" s="42"/>
    </row>
    <row r="22" spans="2:27" ht="12.6" thickTop="1">
      <c r="B22" s="5"/>
      <c r="C22" s="257"/>
      <c r="D22" s="17"/>
      <c r="E22" s="17"/>
      <c r="F22" s="17"/>
      <c r="G22" s="17"/>
      <c r="H22" s="17"/>
      <c r="I22" s="17"/>
      <c r="P22" s="277"/>
      <c r="S22" s="88"/>
      <c r="T22" s="42"/>
      <c r="U22" s="42"/>
      <c r="V22" s="42"/>
      <c r="W22" s="42"/>
      <c r="X22" s="42"/>
      <c r="Y22" s="42"/>
      <c r="Z22" s="42"/>
      <c r="AA22" s="42"/>
    </row>
    <row r="23" spans="2:27" ht="12.6" thickBot="1">
      <c r="B23" s="5" t="s">
        <v>584</v>
      </c>
      <c r="C23" s="548">
        <v>11035.7</v>
      </c>
      <c r="D23" s="540">
        <v>11447.942133499108</v>
      </c>
      <c r="E23" s="540">
        <v>12183.853206529991</v>
      </c>
      <c r="F23" s="540">
        <v>13025.425133444862</v>
      </c>
      <c r="G23" s="540">
        <v>13918.270047489665</v>
      </c>
      <c r="H23" s="279">
        <f>IF(D23=0,"nm",IF(G23=0,"nm",(G23/D23)^(1/3)-1))</f>
        <v>6.7298611321429558E-2</v>
      </c>
      <c r="I23" s="247"/>
      <c r="J23" s="306" t="s">
        <v>9</v>
      </c>
      <c r="K23" s="306"/>
      <c r="L23" s="265" t="str">
        <f>D21</f>
        <v>2023E</v>
      </c>
      <c r="M23" s="265" t="str">
        <f t="shared" ref="M23:P23" si="3">E21</f>
        <v>2024E</v>
      </c>
      <c r="N23" s="265" t="str">
        <f t="shared" si="3"/>
        <v>2025E</v>
      </c>
      <c r="O23" s="265" t="str">
        <f t="shared" si="3"/>
        <v>2026E</v>
      </c>
      <c r="P23" s="265" t="str">
        <f t="shared" si="3"/>
        <v>23E-26E</v>
      </c>
      <c r="S23" s="88"/>
      <c r="T23" s="42"/>
      <c r="U23" s="42"/>
      <c r="V23" s="42"/>
      <c r="W23" s="42"/>
      <c r="X23" s="42"/>
      <c r="Y23" s="42"/>
      <c r="Z23" s="42"/>
      <c r="AA23" s="42"/>
    </row>
    <row r="24" spans="2:27" ht="12.6" thickTop="1">
      <c r="B24" s="5" t="s">
        <v>483</v>
      </c>
      <c r="C24" s="549">
        <v>9516.6</v>
      </c>
      <c r="D24" s="540">
        <v>9856.8523903956084</v>
      </c>
      <c r="E24" s="540">
        <v>10507.293032460148</v>
      </c>
      <c r="F24" s="540">
        <v>11250.672081448009</v>
      </c>
      <c r="G24" s="540">
        <v>12049.528019034085</v>
      </c>
      <c r="H24" s="279">
        <f>IF(D24=0,"nm",IF(G24=0,"nm",(G24/D24)^(1/3)-1))</f>
        <v>6.9245081027656363E-2</v>
      </c>
      <c r="I24" s="249"/>
      <c r="J24" s="17"/>
      <c r="K24" s="17"/>
      <c r="L24" s="17"/>
      <c r="M24" s="17"/>
      <c r="N24" s="17"/>
      <c r="O24" s="248"/>
      <c r="S24" s="88"/>
      <c r="T24" s="42"/>
      <c r="U24" s="42"/>
      <c r="V24" s="42"/>
      <c r="W24" s="42" t="s">
        <v>779</v>
      </c>
      <c r="X24" s="42" t="s">
        <v>780</v>
      </c>
      <c r="Y24" s="42"/>
      <c r="Z24" s="42"/>
      <c r="AA24" s="42"/>
    </row>
    <row r="25" spans="2:27">
      <c r="B25" s="5" t="s">
        <v>183</v>
      </c>
      <c r="C25" s="548">
        <v>2487.2000000000007</v>
      </c>
      <c r="D25" s="540">
        <v>7223.8256996908131</v>
      </c>
      <c r="E25" s="540">
        <v>8070.5223911541489</v>
      </c>
      <c r="F25" s="540">
        <v>9036.3498087623811</v>
      </c>
      <c r="G25" s="540">
        <v>9822.60481143574</v>
      </c>
      <c r="H25" s="279">
        <f>IF(D25=0,"nm",IF(G25=0,"nm",(G25/D25)^(1/3)-1))</f>
        <v>0.10786405308072244</v>
      </c>
      <c r="I25" s="248"/>
      <c r="J25" s="247" t="s">
        <v>10</v>
      </c>
      <c r="K25" s="247"/>
      <c r="L25" s="321">
        <v>0</v>
      </c>
      <c r="M25" s="321">
        <v>0</v>
      </c>
      <c r="N25" s="321">
        <v>0</v>
      </c>
      <c r="O25" s="321">
        <v>0</v>
      </c>
      <c r="P25" s="279" t="str">
        <f>IF(L25=0,"nm",IF(O25=0,"nm",(O25/L25)^(1/3)-1))</f>
        <v>nm</v>
      </c>
      <c r="S25" s="88"/>
      <c r="T25" s="42"/>
      <c r="U25" s="42"/>
      <c r="V25" s="147" t="s">
        <v>273</v>
      </c>
      <c r="W25" s="288">
        <f t="shared" ref="W25:W30" si="4">E37/M9</f>
        <v>2.547092676974712</v>
      </c>
      <c r="X25" s="288">
        <v>1</v>
      </c>
      <c r="Y25" s="42"/>
      <c r="Z25" s="42"/>
      <c r="AA25" s="42"/>
    </row>
    <row r="26" spans="2:27">
      <c r="B26" s="5" t="s">
        <v>586</v>
      </c>
      <c r="C26" s="548">
        <v>1741.0400000000004</v>
      </c>
      <c r="D26" s="540">
        <v>5056.6779897835686</v>
      </c>
      <c r="E26" s="540">
        <v>5649.3656738079035</v>
      </c>
      <c r="F26" s="540">
        <v>6325.4448661336664</v>
      </c>
      <c r="G26" s="540">
        <v>6875.823368005018</v>
      </c>
      <c r="H26" s="279">
        <f>IF(D26=0,"nm",IF(G26=0,"nm",(G26/D26)^(1/3)-1))</f>
        <v>0.10786405308072244</v>
      </c>
      <c r="I26" s="249"/>
      <c r="J26" s="249" t="s">
        <v>11</v>
      </c>
      <c r="K26" s="249"/>
      <c r="L26" s="281">
        <f>D11+L25</f>
        <v>38096.188946999995</v>
      </c>
      <c r="M26" s="281">
        <f>E11+M25</f>
        <v>38096.188946999995</v>
      </c>
      <c r="N26" s="281">
        <f>F11+N25</f>
        <v>38096.188946999995</v>
      </c>
      <c r="O26" s="281">
        <f>G11+O25</f>
        <v>38096.188946999995</v>
      </c>
      <c r="P26" s="279">
        <f>IF(L26=0,"nm",IF(O26=0,"nm",(O26/L26)^(1/3)-1))</f>
        <v>0</v>
      </c>
      <c r="Q26" s="5"/>
      <c r="S26" s="88"/>
      <c r="T26" s="42"/>
      <c r="U26" s="42"/>
      <c r="V26" s="147" t="s">
        <v>184</v>
      </c>
      <c r="W26" s="288">
        <f t="shared" si="4"/>
        <v>1.9252173166390261</v>
      </c>
      <c r="X26" s="288">
        <v>1</v>
      </c>
      <c r="Y26" s="42"/>
      <c r="Z26" s="42"/>
      <c r="AA26" s="42"/>
    </row>
    <row r="27" spans="2:27">
      <c r="B27" s="5" t="s">
        <v>587</v>
      </c>
      <c r="C27" s="549">
        <v>59079.866000000002</v>
      </c>
      <c r="D27" s="540">
        <v>59573.427004336831</v>
      </c>
      <c r="E27" s="540">
        <v>59759.300752236864</v>
      </c>
      <c r="F27" s="540">
        <v>59616.516561571625</v>
      </c>
      <c r="G27" s="540">
        <v>59389.241100667918</v>
      </c>
      <c r="H27" s="279">
        <f>IF(ISERROR((G27/D27)^(1/3)-1),"na",(G27/D27)^(1/3)-1)</f>
        <v>-1.0316459218443486E-3</v>
      </c>
      <c r="I27" s="249"/>
      <c r="J27" s="248"/>
      <c r="K27" s="248"/>
      <c r="L27" s="248"/>
      <c r="M27" s="248"/>
      <c r="N27" s="248"/>
      <c r="O27" s="248"/>
      <c r="Q27" s="41"/>
      <c r="S27" s="88"/>
      <c r="T27" s="42"/>
      <c r="U27" s="42"/>
      <c r="V27" s="147" t="s">
        <v>185</v>
      </c>
      <c r="W27" s="288">
        <f t="shared" si="4"/>
        <v>1.7368424982410287</v>
      </c>
      <c r="X27" s="288">
        <v>1</v>
      </c>
      <c r="Y27" s="42"/>
      <c r="Z27" s="42"/>
      <c r="AA27" s="42"/>
    </row>
    <row r="28" spans="2:27">
      <c r="B28" s="5" t="s">
        <v>592</v>
      </c>
      <c r="C28" s="548">
        <v>37152.091999999997</v>
      </c>
      <c r="D28" s="540">
        <v>46775.989690704795</v>
      </c>
      <c r="E28" s="540">
        <v>46922.818934004841</v>
      </c>
      <c r="F28" s="540">
        <v>46737.317782704282</v>
      </c>
      <c r="G28" s="540">
        <v>46464.65775921497</v>
      </c>
      <c r="H28" s="279">
        <f>IF(ISERROR((G28/D28)^(1/3)-1),"na",(G28/D28)^(1/3)-1)</f>
        <v>-2.2235426101423483E-3</v>
      </c>
      <c r="I28" s="248"/>
      <c r="Q28" s="5"/>
      <c r="S28" s="88"/>
      <c r="T28" s="42"/>
      <c r="U28" s="42"/>
      <c r="V28" s="147" t="s">
        <v>466</v>
      </c>
      <c r="W28" s="288">
        <f t="shared" si="4"/>
        <v>2.2221537633814892</v>
      </c>
      <c r="X28" s="288">
        <v>1</v>
      </c>
      <c r="Y28" s="42"/>
      <c r="Z28" s="42"/>
      <c r="AA28" s="42"/>
    </row>
    <row r="29" spans="2:27" ht="12.6" thickBot="1">
      <c r="B29" s="5" t="s">
        <v>588</v>
      </c>
      <c r="C29" s="548">
        <v>-103.03999999999905</v>
      </c>
      <c r="D29" s="540">
        <v>3728.9425358203594</v>
      </c>
      <c r="E29" s="540">
        <v>4590.895992589898</v>
      </c>
      <c r="F29" s="540">
        <v>5610.5539647673386</v>
      </c>
      <c r="G29" s="540">
        <v>6506.1796002085021</v>
      </c>
      <c r="H29" s="279">
        <f>IF(D29=0,"nm",IF(G29=0,"nm",(G29/D29)^(1/3)-1))</f>
        <v>0.2038714603288565</v>
      </c>
      <c r="I29" s="252"/>
      <c r="J29" s="306" t="s">
        <v>1363</v>
      </c>
      <c r="K29" s="306"/>
      <c r="L29" s="265" t="str">
        <f>L$5</f>
        <v>2023E</v>
      </c>
      <c r="M29" s="265" t="str">
        <f t="shared" ref="M29:P29" si="5">M$5</f>
        <v>2024E</v>
      </c>
      <c r="N29" s="265" t="str">
        <f t="shared" si="5"/>
        <v>2025E</v>
      </c>
      <c r="O29" s="265" t="str">
        <f t="shared" si="5"/>
        <v>2026E</v>
      </c>
      <c r="P29" s="265" t="str">
        <f t="shared" si="5"/>
        <v>23E-26E</v>
      </c>
      <c r="Q29" s="5"/>
      <c r="S29" s="88"/>
      <c r="T29" s="42"/>
      <c r="U29" s="42"/>
      <c r="V29" s="147" t="s">
        <v>530</v>
      </c>
      <c r="W29" s="288">
        <f t="shared" si="4"/>
        <v>1.0893636065020009</v>
      </c>
      <c r="X29" s="288">
        <v>1</v>
      </c>
      <c r="Y29" s="42"/>
      <c r="Z29" s="42"/>
      <c r="AA29" s="42"/>
    </row>
    <row r="30" spans="2:27" ht="12.6" thickTop="1">
      <c r="B30" s="5" t="s">
        <v>589</v>
      </c>
      <c r="C30" s="549">
        <v>4619.68</v>
      </c>
      <c r="D30" s="540">
        <v>4064.2092282094491</v>
      </c>
      <c r="E30" s="540">
        <v>4618.0005479681549</v>
      </c>
      <c r="F30" s="540">
        <v>5311.312036864585</v>
      </c>
      <c r="G30" s="540">
        <v>6124.9928344493565</v>
      </c>
      <c r="H30" s="279">
        <f>IF(D30=0,"nm",IF(G30=0,"nm",(G30/D30)^(1/3)-1))</f>
        <v>0.14650646793172895</v>
      </c>
      <c r="I30" s="254"/>
      <c r="J30" s="248"/>
      <c r="K30" s="248"/>
      <c r="L30" s="248"/>
      <c r="M30" s="248"/>
      <c r="N30" s="248"/>
      <c r="O30" s="5"/>
      <c r="Q30" s="5"/>
      <c r="S30" s="88"/>
      <c r="T30" s="42"/>
      <c r="U30" s="42"/>
      <c r="V30" s="147" t="s">
        <v>593</v>
      </c>
      <c r="W30" s="288">
        <f t="shared" si="4"/>
        <v>0.91409300228772872</v>
      </c>
      <c r="X30" s="288">
        <v>1</v>
      </c>
      <c r="Y30" s="42"/>
      <c r="Z30" s="42"/>
      <c r="AA30" s="42"/>
    </row>
    <row r="31" spans="2:27">
      <c r="B31" s="5" t="s">
        <v>590</v>
      </c>
      <c r="C31" s="549">
        <v>1200.15444918</v>
      </c>
      <c r="D31" s="540">
        <v>1800.3549534660417</v>
      </c>
      <c r="E31" s="540">
        <v>2049.0072560377012</v>
      </c>
      <c r="F31" s="540">
        <v>2359.4061145521982</v>
      </c>
      <c r="G31" s="540">
        <v>2723.8507926677598</v>
      </c>
      <c r="H31" s="279">
        <f>IF(D31=0,"nm",IF(G31=0,"nm",(G31/D31)^(1/3)-1))</f>
        <v>0.14799956995093133</v>
      </c>
      <c r="I31" s="254"/>
      <c r="J31" s="5" t="s">
        <v>737</v>
      </c>
      <c r="K31" s="247"/>
      <c r="L31" s="322">
        <v>30494</v>
      </c>
      <c r="M31" s="322">
        <v>31194</v>
      </c>
      <c r="N31" s="322">
        <v>31894</v>
      </c>
      <c r="O31" s="322">
        <v>32594</v>
      </c>
      <c r="Q31" s="5"/>
      <c r="S31" s="88"/>
      <c r="T31" s="42"/>
      <c r="U31" s="42"/>
      <c r="V31" s="147" t="s">
        <v>144</v>
      </c>
      <c r="W31" s="288">
        <f>F43/N15</f>
        <v>1.3419296916274142</v>
      </c>
      <c r="X31" s="288">
        <v>1</v>
      </c>
      <c r="Y31" s="42"/>
      <c r="Z31" s="42"/>
      <c r="AA31" s="42"/>
    </row>
    <row r="32" spans="2:27">
      <c r="B32" s="5" t="s">
        <v>606</v>
      </c>
      <c r="C32" s="550">
        <v>0</v>
      </c>
      <c r="D32" s="540">
        <v>0</v>
      </c>
      <c r="E32" s="540">
        <v>0</v>
      </c>
      <c r="F32" s="540">
        <v>0</v>
      </c>
      <c r="G32" s="540">
        <v>0</v>
      </c>
      <c r="H32" s="279" t="str">
        <f>IF(D32=0,"nm",IF(G32=0,"nm",(G32/D32)^(1/3)-1))</f>
        <v>nm</v>
      </c>
      <c r="I32" s="254"/>
      <c r="J32" s="5" t="s">
        <v>1361</v>
      </c>
      <c r="K32" s="254"/>
      <c r="L32" s="322">
        <v>56891.984592199777</v>
      </c>
      <c r="M32" s="322">
        <v>58779.938776243544</v>
      </c>
      <c r="N32" s="322">
        <v>60699.962845508962</v>
      </c>
      <c r="O32" s="322">
        <v>62652.50940228207</v>
      </c>
      <c r="Q32" s="5"/>
      <c r="S32" s="88"/>
      <c r="T32" s="42"/>
      <c r="U32" s="42"/>
      <c r="V32" s="147" t="s">
        <v>533</v>
      </c>
      <c r="W32" s="288">
        <f>E44/M16</f>
        <v>0.69672036568454399</v>
      </c>
      <c r="X32" s="288">
        <v>1</v>
      </c>
      <c r="Y32" s="42"/>
      <c r="Z32" s="42"/>
      <c r="AA32" s="42"/>
    </row>
    <row r="33" spans="2:27">
      <c r="B33" s="5" t="s">
        <v>5</v>
      </c>
      <c r="C33" s="549">
        <v>-2368.3890000000001</v>
      </c>
      <c r="D33" s="540">
        <v>-2336.4015928512449</v>
      </c>
      <c r="E33" s="540">
        <v>-2244.7858348633054</v>
      </c>
      <c r="F33" s="540">
        <v>-2121.7278443896053</v>
      </c>
      <c r="G33" s="540">
        <v>-1961.8983489305538</v>
      </c>
      <c r="H33" s="279">
        <f>IF(ISERROR((G33/D33)^(1/3)-1),"na",(G33/D33)^(1/3)-1)</f>
        <v>-5.6570027914908061E-2</v>
      </c>
      <c r="I33" s="5"/>
      <c r="Q33" s="5"/>
      <c r="S33" s="88"/>
      <c r="T33" s="42"/>
      <c r="U33" s="42"/>
      <c r="V33" s="147" t="s">
        <v>580</v>
      </c>
      <c r="W33" s="42">
        <f>E45/M17</f>
        <v>1.2203374518896755</v>
      </c>
      <c r="X33" s="288">
        <v>1</v>
      </c>
      <c r="Y33" s="42"/>
      <c r="Z33" s="42"/>
      <c r="AA33" s="42"/>
    </row>
    <row r="34" spans="2:27">
      <c r="D34" s="303"/>
      <c r="E34" s="5"/>
      <c r="F34" s="5"/>
      <c r="G34" s="5"/>
      <c r="I34" s="49"/>
      <c r="Q34" s="5"/>
      <c r="S34" s="88"/>
      <c r="T34" s="42"/>
      <c r="U34" s="42"/>
      <c r="V34" s="147" t="s">
        <v>145</v>
      </c>
      <c r="W34" s="288">
        <f>E47/M19</f>
        <v>0.65180549982868929</v>
      </c>
      <c r="X34" s="288">
        <v>1</v>
      </c>
      <c r="Y34" s="288"/>
      <c r="Z34" s="288"/>
      <c r="AA34" s="42"/>
    </row>
    <row r="35" spans="2:27" ht="12.6" thickBot="1">
      <c r="B35" s="306" t="s">
        <v>775</v>
      </c>
      <c r="C35" s="265"/>
      <c r="D35" s="265" t="str">
        <f>D5</f>
        <v>2023E</v>
      </c>
      <c r="E35" s="265" t="str">
        <f t="shared" ref="E35:H35" si="6">E5</f>
        <v>2024E</v>
      </c>
      <c r="F35" s="265" t="str">
        <f t="shared" si="6"/>
        <v>2025E</v>
      </c>
      <c r="G35" s="265" t="str">
        <f t="shared" si="6"/>
        <v>2026E</v>
      </c>
      <c r="H35" s="265" t="str">
        <f t="shared" si="6"/>
        <v>23E-26E</v>
      </c>
      <c r="I35" s="254"/>
      <c r="J35" s="306" t="s">
        <v>1362</v>
      </c>
      <c r="K35" s="306"/>
      <c r="L35" s="306"/>
      <c r="M35" s="306"/>
      <c r="N35" s="266"/>
      <c r="O35" s="266"/>
      <c r="P35" s="266"/>
      <c r="Q35" s="5"/>
      <c r="S35" s="88"/>
      <c r="T35" s="42"/>
      <c r="U35" s="42"/>
      <c r="V35" s="42"/>
      <c r="W35" s="42"/>
      <c r="X35" s="42"/>
      <c r="Y35" s="288"/>
      <c r="Z35" s="288"/>
      <c r="AA35" s="42"/>
    </row>
    <row r="36" spans="2:27" ht="12.6" thickTop="1">
      <c r="B36" s="41"/>
      <c r="C36" s="249"/>
      <c r="D36" s="254"/>
      <c r="E36" s="254"/>
      <c r="F36" s="254"/>
      <c r="G36" s="254"/>
      <c r="H36" s="254"/>
      <c r="I36" s="17"/>
      <c r="J36" s="249"/>
      <c r="K36" s="249"/>
      <c r="L36" s="249"/>
      <c r="M36" s="249"/>
      <c r="N36" s="249"/>
      <c r="O36" s="251"/>
      <c r="Q36" s="5"/>
      <c r="S36" s="88"/>
      <c r="T36" s="42"/>
      <c r="U36" s="42"/>
      <c r="V36" s="42"/>
      <c r="W36" s="42"/>
      <c r="X36" s="42"/>
      <c r="Y36" s="288"/>
      <c r="Z36" s="288"/>
      <c r="AA36" s="42"/>
    </row>
    <row r="37" spans="2:27">
      <c r="B37" s="5" t="s">
        <v>273</v>
      </c>
      <c r="C37" s="247"/>
      <c r="D37" s="529">
        <f>D$18/D23</f>
        <v>7.0731863187574984</v>
      </c>
      <c r="E37" s="529">
        <f t="shared" ref="E37:G41" si="7">E$18/E23</f>
        <v>6.2821916498060428</v>
      </c>
      <c r="F37" s="529">
        <f t="shared" si="7"/>
        <v>5.4577262485247084</v>
      </c>
      <c r="G37" s="529">
        <f t="shared" si="7"/>
        <v>4.6515074167079593</v>
      </c>
      <c r="H37" s="17">
        <f t="shared" ref="H37:H45" si="8">H23</f>
        <v>6.7298611321429558E-2</v>
      </c>
      <c r="I37" s="5"/>
      <c r="J37" s="248"/>
      <c r="K37" s="248"/>
      <c r="L37" s="248"/>
      <c r="M37" s="248"/>
      <c r="N37" s="248"/>
      <c r="O37" s="5"/>
      <c r="Q37" s="5"/>
      <c r="R37" s="5"/>
      <c r="S37" s="42"/>
      <c r="T37" s="42"/>
      <c r="U37" s="42"/>
      <c r="V37" s="42"/>
      <c r="W37" s="42"/>
      <c r="X37" s="42"/>
      <c r="Y37" s="42"/>
      <c r="Z37" s="42"/>
      <c r="AA37" s="42"/>
    </row>
    <row r="38" spans="2:27">
      <c r="B38" s="5" t="s">
        <v>184</v>
      </c>
      <c r="C38" s="247"/>
      <c r="D38" s="529">
        <f>D$18/D24</f>
        <v>8.2149376362268445</v>
      </c>
      <c r="E38" s="529">
        <f t="shared" si="7"/>
        <v>7.2845880133033774</v>
      </c>
      <c r="F38" s="529">
        <f t="shared" si="7"/>
        <v>6.3186629326988619</v>
      </c>
      <c r="G38" s="529">
        <f t="shared" si="7"/>
        <v>5.3729022623437315</v>
      </c>
      <c r="H38" s="17">
        <f t="shared" si="8"/>
        <v>6.9245081027656363E-2</v>
      </c>
      <c r="I38" s="259"/>
      <c r="J38" s="252"/>
      <c r="K38" s="252"/>
      <c r="L38" s="252"/>
      <c r="M38" s="252"/>
      <c r="N38" s="252"/>
      <c r="O38" s="5"/>
      <c r="Q38" s="5"/>
      <c r="R38" s="5"/>
      <c r="S38" s="42"/>
      <c r="T38" s="42"/>
      <c r="U38" s="42"/>
      <c r="V38" s="42"/>
      <c r="W38" s="42"/>
      <c r="X38" s="42"/>
      <c r="Y38" s="42"/>
      <c r="Z38" s="42"/>
      <c r="AA38" s="42"/>
    </row>
    <row r="39" spans="2:27">
      <c r="B39" s="5" t="s">
        <v>185</v>
      </c>
      <c r="C39" s="247"/>
      <c r="D39" s="529">
        <f>D$18/D25</f>
        <v>11.209216700793204</v>
      </c>
      <c r="E39" s="529">
        <f t="shared" si="7"/>
        <v>9.4840578052815836</v>
      </c>
      <c r="F39" s="529">
        <f t="shared" si="7"/>
        <v>7.8670266372447859</v>
      </c>
      <c r="G39" s="529">
        <f t="shared" si="7"/>
        <v>6.5910150715082505</v>
      </c>
      <c r="H39" s="17">
        <f t="shared" si="8"/>
        <v>0.10786405308072244</v>
      </c>
      <c r="I39" s="17"/>
      <c r="J39" s="259"/>
      <c r="K39" s="259"/>
      <c r="L39" s="259"/>
      <c r="M39" s="259"/>
      <c r="N39" s="259"/>
      <c r="O39" s="18"/>
      <c r="Q39" s="5"/>
      <c r="R39" s="5"/>
      <c r="S39" s="42"/>
      <c r="T39" s="42"/>
      <c r="U39" s="42"/>
      <c r="V39" s="42"/>
      <c r="W39" s="42"/>
      <c r="X39" s="42"/>
      <c r="Y39" s="42"/>
      <c r="Z39" s="42"/>
      <c r="AA39" s="42"/>
    </row>
    <row r="40" spans="2:27">
      <c r="B40" s="5" t="s">
        <v>466</v>
      </c>
      <c r="C40" s="247"/>
      <c r="D40" s="529">
        <f>D$18/D26</f>
        <v>16.013166715418865</v>
      </c>
      <c r="E40" s="529">
        <f t="shared" si="7"/>
        <v>13.548654007545119</v>
      </c>
      <c r="F40" s="529">
        <f t="shared" si="7"/>
        <v>11.238609481778266</v>
      </c>
      <c r="G40" s="529">
        <f t="shared" si="7"/>
        <v>9.4157358164403586</v>
      </c>
      <c r="H40" s="17">
        <f t="shared" si="8"/>
        <v>0.10786405308072244</v>
      </c>
      <c r="I40" s="5"/>
      <c r="J40" s="259"/>
      <c r="K40" s="259"/>
      <c r="L40" s="259"/>
      <c r="M40" s="259"/>
      <c r="N40" s="259"/>
      <c r="O40" s="18"/>
      <c r="Q40" s="5"/>
      <c r="R40" s="5"/>
      <c r="S40" s="42"/>
      <c r="T40" s="42"/>
      <c r="U40" s="42"/>
      <c r="V40" s="42"/>
      <c r="W40" s="288"/>
      <c r="X40" s="288"/>
      <c r="Y40" s="42"/>
      <c r="Z40" s="42"/>
      <c r="AA40" s="42"/>
    </row>
    <row r="41" spans="2:27">
      <c r="B41" s="5" t="s">
        <v>530</v>
      </c>
      <c r="C41" s="247"/>
      <c r="D41" s="529">
        <f>D$18/D27</f>
        <v>1.3592205744802748</v>
      </c>
      <c r="E41" s="529">
        <f t="shared" si="7"/>
        <v>1.2808265811855279</v>
      </c>
      <c r="F41" s="529">
        <f t="shared" si="7"/>
        <v>1.1924414365199436</v>
      </c>
      <c r="G41" s="529">
        <f t="shared" si="7"/>
        <v>1.0901122013649425</v>
      </c>
      <c r="H41" s="17">
        <f t="shared" si="8"/>
        <v>-1.0316459218443486E-3</v>
      </c>
      <c r="I41" s="247"/>
      <c r="J41" s="259"/>
      <c r="K41" s="259"/>
      <c r="L41" s="259"/>
      <c r="M41" s="259"/>
      <c r="N41" s="259"/>
      <c r="O41" s="18"/>
      <c r="Q41" s="5"/>
      <c r="R41" s="5"/>
      <c r="S41" s="42"/>
      <c r="T41" s="42"/>
      <c r="U41" s="42"/>
      <c r="V41" s="42"/>
      <c r="W41" s="288"/>
      <c r="X41" s="288"/>
      <c r="Y41" s="288"/>
      <c r="Z41" s="288"/>
      <c r="AA41" s="42"/>
    </row>
    <row r="42" spans="2:27">
      <c r="B42" s="5" t="s">
        <v>593</v>
      </c>
      <c r="C42" s="247"/>
      <c r="D42" s="529">
        <f>D18/D28</f>
        <v>1.7310895656513337</v>
      </c>
      <c r="E42" s="529">
        <f>E18/E28</f>
        <v>1.6312170201065226</v>
      </c>
      <c r="F42" s="529">
        <f>F18/F28</f>
        <v>1.5210373213865285</v>
      </c>
      <c r="G42" s="529">
        <f>G18/G28</f>
        <v>1.3933372045724981</v>
      </c>
      <c r="H42" s="17">
        <f t="shared" si="8"/>
        <v>-2.2235426101423483E-3</v>
      </c>
      <c r="I42" s="248"/>
      <c r="J42" s="5"/>
      <c r="K42" s="5"/>
      <c r="L42" s="5"/>
      <c r="M42" s="5"/>
      <c r="N42" s="5"/>
      <c r="O42" s="5"/>
      <c r="Q42" s="5"/>
      <c r="R42" s="5"/>
      <c r="S42" s="42"/>
      <c r="T42" s="42"/>
      <c r="U42" s="42"/>
      <c r="V42" s="42"/>
      <c r="W42" s="288"/>
      <c r="X42" s="288"/>
      <c r="Y42" s="288"/>
      <c r="Z42" s="288"/>
      <c r="AA42" s="42"/>
    </row>
    <row r="43" spans="2:27">
      <c r="B43" s="5" t="s">
        <v>475</v>
      </c>
      <c r="C43" s="247"/>
      <c r="D43" s="529">
        <f>L26/D29</f>
        <v>10.216351842659575</v>
      </c>
      <c r="E43" s="529">
        <f>M26/E29</f>
        <v>8.2982034462315255</v>
      </c>
      <c r="F43" s="529">
        <f>N26/F29</f>
        <v>6.7900940239115561</v>
      </c>
      <c r="G43" s="529">
        <f>O26/G29</f>
        <v>5.8553853855769882</v>
      </c>
      <c r="H43" s="17">
        <f t="shared" si="8"/>
        <v>0.2038714603288565</v>
      </c>
      <c r="I43" s="247"/>
      <c r="J43" s="69"/>
      <c r="K43" s="69"/>
      <c r="L43" s="69"/>
      <c r="M43" s="69"/>
      <c r="N43" s="69"/>
      <c r="O43" s="69"/>
      <c r="Q43" s="5"/>
      <c r="R43" s="5"/>
      <c r="S43" s="42"/>
      <c r="T43" s="42"/>
      <c r="U43" s="42"/>
      <c r="V43" s="42"/>
      <c r="W43" s="288"/>
      <c r="X43" s="288"/>
      <c r="Y43" s="288"/>
      <c r="Z43" s="288"/>
      <c r="AA43" s="42"/>
    </row>
    <row r="44" spans="2:27">
      <c r="B44" s="5" t="s">
        <v>533</v>
      </c>
      <c r="C44" s="69"/>
      <c r="D44" s="529">
        <f>D11/D30</f>
        <v>9.3735796579015851</v>
      </c>
      <c r="E44" s="529">
        <f>E11/E30</f>
        <v>8.2494985765564053</v>
      </c>
      <c r="F44" s="529">
        <f>F11/F30</f>
        <v>7.1726512550163095</v>
      </c>
      <c r="G44" s="529">
        <f>G11/G30</f>
        <v>6.2197932269785072</v>
      </c>
      <c r="H44" s="17">
        <f t="shared" si="8"/>
        <v>0.14650646793172895</v>
      </c>
      <c r="I44" s="247"/>
      <c r="J44" s="259"/>
      <c r="K44" s="259"/>
      <c r="L44" s="259"/>
      <c r="M44" s="259"/>
      <c r="N44" s="259"/>
      <c r="O44" s="18"/>
      <c r="Q44" s="5"/>
      <c r="R44" s="5"/>
      <c r="S44" s="42"/>
      <c r="T44" s="42"/>
      <c r="U44" s="42"/>
      <c r="V44" s="42"/>
      <c r="W44" s="325"/>
      <c r="X44" s="325"/>
      <c r="Y44" s="288"/>
      <c r="Z44" s="288"/>
      <c r="AA44" s="42"/>
    </row>
    <row r="45" spans="2:27">
      <c r="B45" s="5" t="s">
        <v>580</v>
      </c>
      <c r="C45" s="247"/>
      <c r="D45" s="248">
        <f>D31/D11</f>
        <v>4.7258137972035028E-2</v>
      </c>
      <c r="E45" s="248">
        <f>E31/E11</f>
        <v>5.3785098002540666E-2</v>
      </c>
      <c r="F45" s="248">
        <f>F31/F11</f>
        <v>6.1932864671441032E-2</v>
      </c>
      <c r="G45" s="248">
        <f>G31/G11</f>
        <v>7.1499298695132552E-2</v>
      </c>
      <c r="H45" s="17">
        <f t="shared" si="8"/>
        <v>0.14799956995093133</v>
      </c>
      <c r="I45" s="248"/>
      <c r="J45" s="17"/>
      <c r="K45" s="17"/>
      <c r="L45" s="17"/>
      <c r="M45" s="17"/>
      <c r="N45" s="17"/>
      <c r="O45" s="5"/>
      <c r="Q45" s="5"/>
      <c r="R45" s="5"/>
      <c r="S45" s="42"/>
      <c r="T45" s="42"/>
      <c r="U45" s="42"/>
      <c r="V45" s="42"/>
      <c r="W45" s="42"/>
      <c r="X45" s="42"/>
      <c r="Y45" s="325"/>
      <c r="Z45" s="325"/>
      <c r="AA45" s="42"/>
    </row>
    <row r="46" spans="2:27">
      <c r="B46" s="5" t="s">
        <v>605</v>
      </c>
      <c r="C46" s="247"/>
      <c r="D46" s="248">
        <f>(D31+D32)/D11</f>
        <v>4.7258137972035028E-2</v>
      </c>
      <c r="E46" s="248">
        <f>(E31+E32)/E11</f>
        <v>5.3785098002540666E-2</v>
      </c>
      <c r="F46" s="248">
        <f>(F31+F32)/F11</f>
        <v>6.1932864671441032E-2</v>
      </c>
      <c r="G46" s="248">
        <f>(G31+G32)/G11</f>
        <v>7.1499298695132552E-2</v>
      </c>
      <c r="H46" s="279">
        <f>((G31+G32)/(D31+D32))^(1/3)-1</f>
        <v>0.14799956995093133</v>
      </c>
      <c r="I46" s="247"/>
      <c r="J46" s="5"/>
      <c r="K46" s="5"/>
      <c r="L46" s="5"/>
      <c r="M46" s="5"/>
      <c r="N46" s="5"/>
      <c r="O46" s="5"/>
      <c r="Q46" s="5"/>
      <c r="R46" s="5"/>
      <c r="S46" s="42"/>
      <c r="T46" s="42"/>
      <c r="U46" s="42"/>
      <c r="V46" s="42"/>
      <c r="W46" s="42"/>
      <c r="X46" s="42"/>
      <c r="Y46" s="42"/>
      <c r="Z46" s="42"/>
      <c r="AA46" s="326"/>
    </row>
    <row r="47" spans="2:27">
      <c r="B47" s="5" t="s">
        <v>581</v>
      </c>
      <c r="C47" s="5"/>
      <c r="D47" s="248">
        <f>1/D43</f>
        <v>9.7882298436941323E-2</v>
      </c>
      <c r="E47" s="248">
        <f>1/E43</f>
        <v>0.12050801194252853</v>
      </c>
      <c r="F47" s="248">
        <f>1/F43</f>
        <v>0.14727336565273833</v>
      </c>
      <c r="G47" s="248">
        <f>1/G43</f>
        <v>0.17078295178711969</v>
      </c>
      <c r="H47" s="17">
        <f>H29</f>
        <v>0.2038714603288565</v>
      </c>
      <c r="I47" s="17"/>
      <c r="J47" s="259"/>
      <c r="K47" s="259"/>
      <c r="L47" s="259"/>
      <c r="M47" s="259"/>
      <c r="N47" s="259"/>
      <c r="O47" s="18"/>
      <c r="Q47" s="5"/>
      <c r="R47" s="5"/>
      <c r="S47" s="42"/>
      <c r="T47" s="42"/>
      <c r="U47" s="42"/>
      <c r="V47" s="42"/>
      <c r="W47" s="42"/>
      <c r="X47" s="42"/>
      <c r="Y47" s="42"/>
      <c r="Z47" s="42"/>
      <c r="AA47" s="326"/>
    </row>
    <row r="48" spans="2:27">
      <c r="B48" s="5" t="s">
        <v>618</v>
      </c>
      <c r="C48" s="5"/>
      <c r="D48" s="305">
        <f>D31/D29</f>
        <v>0.48280576495126049</v>
      </c>
      <c r="E48" s="305">
        <f>E31/E29</f>
        <v>0.44631968560058333</v>
      </c>
      <c r="F48" s="305">
        <f>F31/F29</f>
        <v>0.42052997428927491</v>
      </c>
      <c r="G48" s="305">
        <f>G31/G29</f>
        <v>0.41865594865848293</v>
      </c>
      <c r="H48" s="279" t="s">
        <v>607</v>
      </c>
      <c r="I48" s="247"/>
      <c r="J48" s="17"/>
      <c r="K48" s="17"/>
      <c r="L48" s="17"/>
      <c r="M48" s="17"/>
      <c r="N48" s="17"/>
      <c r="O48" s="5"/>
      <c r="Q48" s="5"/>
      <c r="R48" s="5"/>
      <c r="S48" s="42"/>
      <c r="T48" s="42"/>
      <c r="U48" s="42"/>
      <c r="V48" s="42"/>
      <c r="W48" s="42"/>
      <c r="X48" s="42"/>
      <c r="Y48" s="42"/>
      <c r="Z48" s="42"/>
      <c r="AA48" s="326"/>
    </row>
    <row r="49" spans="2:27">
      <c r="B49" s="41"/>
      <c r="C49" s="17"/>
      <c r="D49" s="17"/>
      <c r="E49" s="17"/>
      <c r="F49" s="17"/>
      <c r="G49" s="17"/>
      <c r="H49" s="17"/>
      <c r="I49" s="254"/>
      <c r="J49" s="5"/>
      <c r="K49" s="5"/>
      <c r="L49" s="5"/>
      <c r="M49" s="5"/>
      <c r="N49" s="5"/>
      <c r="O49" s="5"/>
      <c r="Q49" s="5"/>
      <c r="R49" s="5"/>
      <c r="S49" s="42"/>
      <c r="T49" s="42"/>
      <c r="U49" s="42"/>
      <c r="V49" s="42"/>
      <c r="W49" s="42"/>
      <c r="X49" s="42"/>
      <c r="Y49" s="42"/>
      <c r="Z49" s="42"/>
      <c r="AA49" s="326"/>
    </row>
    <row r="50" spans="2:27">
      <c r="B50" s="5"/>
      <c r="C50" s="257"/>
      <c r="D50" s="257"/>
      <c r="E50" s="257"/>
      <c r="F50" s="5"/>
      <c r="G50" s="41"/>
      <c r="H50" s="249"/>
      <c r="I50" s="17"/>
      <c r="J50" s="249"/>
      <c r="K50" s="249"/>
      <c r="L50" s="249"/>
      <c r="M50" s="249"/>
      <c r="N50" s="249"/>
      <c r="O50" s="251"/>
      <c r="Q50" s="5"/>
      <c r="R50" s="5"/>
      <c r="S50" s="42"/>
      <c r="T50" s="42"/>
      <c r="U50" s="42"/>
      <c r="V50" s="42"/>
      <c r="W50" s="288"/>
      <c r="X50" s="288"/>
      <c r="Y50" s="42"/>
      <c r="Z50" s="42"/>
      <c r="AA50" s="326"/>
    </row>
    <row r="51" spans="2:27">
      <c r="B51" s="41"/>
      <c r="C51" s="249"/>
      <c r="D51" s="254"/>
      <c r="E51" s="254"/>
      <c r="F51" s="254"/>
      <c r="G51" s="254"/>
      <c r="H51" s="254"/>
      <c r="I51" s="259"/>
      <c r="J51" s="248"/>
      <c r="K51" s="248"/>
      <c r="L51" s="248"/>
      <c r="M51" s="248"/>
      <c r="N51" s="248"/>
      <c r="O51" s="248"/>
      <c r="Q51" s="5"/>
      <c r="R51" s="5"/>
      <c r="S51" s="42"/>
      <c r="T51" s="42"/>
      <c r="U51" s="42"/>
      <c r="V51" s="42"/>
      <c r="W51" s="288"/>
      <c r="X51" s="288"/>
      <c r="Y51" s="288"/>
      <c r="Z51" s="288"/>
      <c r="AA51" s="42"/>
    </row>
    <row r="52" spans="2:27">
      <c r="B52" s="5"/>
      <c r="C52" s="257"/>
      <c r="D52" s="17"/>
      <c r="E52" s="17"/>
      <c r="F52" s="17"/>
      <c r="G52" s="17"/>
      <c r="H52" s="17"/>
      <c r="I52" s="254"/>
      <c r="J52" s="247"/>
      <c r="K52" s="247"/>
      <c r="L52" s="247"/>
      <c r="M52" s="247"/>
      <c r="N52" s="247"/>
      <c r="O52" s="248"/>
      <c r="Q52" s="5"/>
      <c r="R52" s="5"/>
      <c r="S52" s="5"/>
      <c r="Y52" s="10"/>
      <c r="Z52" s="10"/>
    </row>
    <row r="53" spans="2:27">
      <c r="B53" s="5"/>
      <c r="C53" s="257"/>
      <c r="D53" s="257"/>
      <c r="E53" s="257"/>
      <c r="F53" s="5"/>
      <c r="G53" s="5"/>
      <c r="H53" s="259"/>
      <c r="I53" s="17"/>
      <c r="J53" s="249"/>
      <c r="K53" s="249"/>
      <c r="L53" s="249"/>
      <c r="M53" s="249"/>
      <c r="N53" s="249"/>
      <c r="O53" s="251"/>
      <c r="Q53" s="5"/>
      <c r="R53" s="5"/>
      <c r="S53" s="5"/>
    </row>
    <row r="54" spans="2:27">
      <c r="B54" s="41"/>
      <c r="C54" s="247"/>
      <c r="D54" s="17"/>
      <c r="E54" s="17"/>
      <c r="F54" s="17"/>
      <c r="G54" s="17"/>
      <c r="H54" s="254"/>
      <c r="I54" s="259"/>
      <c r="J54" s="248"/>
      <c r="K54" s="248"/>
      <c r="L54" s="248"/>
      <c r="M54" s="248"/>
      <c r="N54" s="248"/>
      <c r="O54" s="248"/>
      <c r="Q54" s="5"/>
      <c r="R54" s="5"/>
      <c r="S54" s="5"/>
    </row>
    <row r="55" spans="2:27">
      <c r="B55" s="5"/>
      <c r="C55" s="249"/>
      <c r="D55" s="17"/>
      <c r="E55" s="17"/>
      <c r="F55" s="17"/>
      <c r="G55" s="17"/>
      <c r="H55" s="17"/>
      <c r="I55" s="249"/>
      <c r="J55" s="247"/>
      <c r="K55" s="247"/>
      <c r="L55" s="247"/>
      <c r="M55" s="247"/>
      <c r="N55" s="247"/>
      <c r="O55" s="248"/>
      <c r="Q55" s="5"/>
      <c r="R55" s="5"/>
      <c r="S55" s="5"/>
    </row>
    <row r="56" spans="2:27">
      <c r="B56" s="5"/>
      <c r="C56" s="247"/>
      <c r="D56" s="17"/>
      <c r="E56" s="17"/>
      <c r="F56" s="17"/>
      <c r="G56" s="17"/>
      <c r="H56" s="259"/>
      <c r="I56" s="248"/>
      <c r="J56" s="17"/>
      <c r="K56" s="17"/>
      <c r="L56" s="17"/>
      <c r="M56" s="17"/>
      <c r="N56" s="17"/>
      <c r="O56" s="248"/>
      <c r="Q56" s="5"/>
      <c r="R56" s="5"/>
      <c r="S56" s="5"/>
    </row>
    <row r="57" spans="2:27">
      <c r="B57" s="41"/>
      <c r="C57" s="247"/>
      <c r="D57" s="17"/>
      <c r="E57" s="17"/>
      <c r="F57" s="17"/>
      <c r="G57" s="17"/>
      <c r="H57" s="249"/>
      <c r="I57" s="5"/>
      <c r="J57" s="249"/>
      <c r="K57" s="249"/>
      <c r="L57" s="249"/>
      <c r="M57" s="249"/>
      <c r="N57" s="249"/>
      <c r="O57" s="251"/>
      <c r="Q57" s="5"/>
      <c r="R57" s="5"/>
      <c r="S57" s="5"/>
    </row>
    <row r="58" spans="2:27">
      <c r="B58" s="5"/>
      <c r="C58" s="249"/>
      <c r="D58" s="17"/>
      <c r="E58" s="17"/>
      <c r="F58" s="17"/>
      <c r="G58" s="17"/>
      <c r="H58" s="248"/>
      <c r="I58" s="17"/>
      <c r="J58" s="248"/>
      <c r="K58" s="248"/>
      <c r="L58" s="248"/>
      <c r="M58" s="248"/>
      <c r="N58" s="248"/>
      <c r="O58" s="18"/>
      <c r="Q58" s="5"/>
      <c r="R58" s="5"/>
      <c r="S58" s="5"/>
    </row>
    <row r="59" spans="2:27">
      <c r="B59" s="5"/>
      <c r="C59" s="247"/>
      <c r="D59" s="17"/>
      <c r="E59" s="17"/>
      <c r="F59" s="17"/>
      <c r="G59" s="17"/>
      <c r="H59" s="5"/>
      <c r="I59" s="5"/>
      <c r="J59" s="5"/>
      <c r="K59" s="5"/>
      <c r="L59" s="5"/>
      <c r="M59" s="5"/>
      <c r="N59" s="5"/>
      <c r="O59" s="5"/>
      <c r="Q59" s="5"/>
      <c r="R59" s="5"/>
      <c r="S59" s="5"/>
    </row>
    <row r="60" spans="2:27">
      <c r="B60" s="41"/>
      <c r="C60" s="247"/>
      <c r="D60" s="17"/>
      <c r="E60" s="17"/>
      <c r="F60" s="17"/>
      <c r="G60" s="17"/>
      <c r="H60" s="17"/>
      <c r="I60" s="249"/>
      <c r="J60" s="17"/>
      <c r="K60" s="17"/>
      <c r="L60" s="17"/>
      <c r="M60" s="17"/>
      <c r="N60" s="17"/>
      <c r="O60" s="251"/>
      <c r="Q60" s="5"/>
      <c r="R60" s="5"/>
      <c r="S60" s="5"/>
    </row>
    <row r="61" spans="2:27">
      <c r="B61" s="5"/>
      <c r="C61" s="249"/>
      <c r="D61" s="17"/>
      <c r="E61" s="17"/>
      <c r="F61" s="17"/>
      <c r="G61" s="17"/>
      <c r="H61" s="5"/>
      <c r="I61" s="5"/>
      <c r="J61" s="5"/>
      <c r="K61" s="5"/>
      <c r="L61" s="5"/>
      <c r="M61" s="5"/>
      <c r="N61" s="5"/>
      <c r="O61" s="5"/>
      <c r="Q61" s="41"/>
      <c r="R61" s="5"/>
      <c r="S61" s="5"/>
    </row>
    <row r="62" spans="2:27">
      <c r="B62" s="41"/>
      <c r="C62" s="249"/>
      <c r="D62" s="17"/>
      <c r="E62" s="17"/>
      <c r="F62" s="17"/>
      <c r="G62" s="17"/>
      <c r="H62" s="249"/>
      <c r="I62" s="5"/>
      <c r="J62" s="249"/>
      <c r="K62" s="249"/>
      <c r="L62" s="249"/>
      <c r="M62" s="249"/>
      <c r="N62" s="249"/>
      <c r="O62" s="251"/>
      <c r="Q62" s="5"/>
      <c r="R62" s="5"/>
      <c r="S62" s="5"/>
    </row>
    <row r="63" spans="2:27">
      <c r="B63" s="5"/>
      <c r="C63" s="270"/>
      <c r="D63" s="17"/>
      <c r="E63" s="17"/>
      <c r="F63" s="17"/>
      <c r="G63" s="17"/>
      <c r="H63" s="5"/>
      <c r="I63" s="254"/>
      <c r="J63" s="5"/>
      <c r="K63" s="5"/>
      <c r="L63" s="5"/>
      <c r="M63" s="5"/>
      <c r="N63" s="5"/>
      <c r="O63" s="5"/>
      <c r="Q63" s="5"/>
      <c r="R63" s="5"/>
      <c r="S63" s="5"/>
    </row>
    <row r="64" spans="2:27">
      <c r="B64" s="5"/>
      <c r="C64" s="249"/>
      <c r="D64" s="17"/>
      <c r="E64" s="17"/>
      <c r="F64" s="17"/>
      <c r="G64" s="17"/>
      <c r="H64" s="5"/>
      <c r="I64" s="17"/>
      <c r="J64" s="5"/>
      <c r="K64" s="5"/>
      <c r="L64" s="5"/>
      <c r="M64" s="5"/>
      <c r="N64" s="5"/>
      <c r="O64" s="5"/>
      <c r="Q64" s="5"/>
      <c r="R64" s="5"/>
      <c r="S64" s="5"/>
    </row>
    <row r="65" spans="2:26">
      <c r="B65" s="41"/>
      <c r="C65" s="249"/>
      <c r="D65" s="17"/>
      <c r="E65" s="17"/>
      <c r="F65" s="17"/>
      <c r="G65" s="17"/>
      <c r="H65" s="254"/>
      <c r="I65" s="254"/>
      <c r="J65" s="254"/>
      <c r="K65" s="254"/>
      <c r="L65" s="254"/>
      <c r="M65" s="254"/>
      <c r="N65" s="254"/>
      <c r="O65" s="251"/>
      <c r="Q65" s="5"/>
      <c r="R65" s="5"/>
      <c r="S65" s="5"/>
    </row>
    <row r="66" spans="2:26">
      <c r="B66" s="5"/>
      <c r="C66" s="5"/>
      <c r="D66" s="17"/>
      <c r="E66" s="17"/>
      <c r="F66" s="17"/>
      <c r="G66" s="17"/>
      <c r="H66" s="17"/>
      <c r="I66" s="248"/>
      <c r="J66" s="17"/>
      <c r="K66" s="17"/>
      <c r="L66" s="17"/>
      <c r="M66" s="17"/>
      <c r="N66" s="17"/>
      <c r="O66" s="5"/>
      <c r="Q66" s="5"/>
      <c r="R66" s="5"/>
      <c r="S66" s="5"/>
    </row>
    <row r="67" spans="2:26">
      <c r="B67" s="41"/>
      <c r="C67" s="249"/>
      <c r="D67" s="254"/>
      <c r="E67" s="254"/>
      <c r="F67" s="254"/>
      <c r="G67" s="254"/>
      <c r="H67" s="254"/>
      <c r="I67" s="5"/>
      <c r="J67" s="254"/>
      <c r="K67" s="254"/>
      <c r="L67" s="254"/>
      <c r="M67" s="254"/>
      <c r="N67" s="254"/>
      <c r="O67" s="251"/>
      <c r="Q67" s="41"/>
      <c r="R67" s="5"/>
      <c r="S67" s="5"/>
    </row>
    <row r="68" spans="2:26">
      <c r="B68" s="5"/>
      <c r="C68" s="5"/>
      <c r="D68" s="248"/>
      <c r="E68" s="248"/>
      <c r="F68" s="248"/>
      <c r="G68" s="248"/>
      <c r="H68" s="248"/>
      <c r="I68" s="245"/>
      <c r="J68" s="248"/>
      <c r="K68" s="248"/>
      <c r="L68" s="248"/>
      <c r="M68" s="248"/>
      <c r="N68" s="248"/>
      <c r="O68" s="5"/>
      <c r="Q68" s="5"/>
      <c r="R68" s="5"/>
      <c r="S68" s="5"/>
    </row>
    <row r="69" spans="2:26">
      <c r="B69" s="41"/>
      <c r="C69" s="5"/>
      <c r="D69" s="5"/>
      <c r="E69" s="5"/>
      <c r="F69" s="5"/>
      <c r="G69" s="5"/>
      <c r="H69" s="5"/>
      <c r="I69" s="248"/>
      <c r="J69" s="5"/>
      <c r="K69" s="5"/>
      <c r="L69" s="5"/>
      <c r="M69" s="5"/>
      <c r="N69" s="5"/>
      <c r="O69" s="5"/>
      <c r="Q69" s="5"/>
      <c r="R69" s="5"/>
      <c r="S69" s="5"/>
    </row>
    <row r="70" spans="2:26">
      <c r="B70" s="41"/>
      <c r="C70" s="245"/>
      <c r="D70" s="245"/>
      <c r="E70" s="245"/>
      <c r="F70" s="245"/>
      <c r="G70" s="245"/>
      <c r="H70" s="245"/>
      <c r="I70" s="5"/>
      <c r="J70" s="245"/>
      <c r="K70" s="245"/>
      <c r="L70" s="245"/>
      <c r="M70" s="245"/>
      <c r="N70" s="245"/>
      <c r="O70" s="251"/>
      <c r="Q70" s="5"/>
      <c r="R70" s="5"/>
      <c r="S70" s="5"/>
      <c r="W70" s="76"/>
      <c r="X70" s="76"/>
    </row>
    <row r="71" spans="2:26">
      <c r="B71" s="5"/>
      <c r="C71" s="5"/>
      <c r="D71" s="248"/>
      <c r="E71" s="248"/>
      <c r="F71" s="248"/>
      <c r="G71" s="248"/>
      <c r="H71" s="248"/>
      <c r="I71" s="245"/>
      <c r="J71" s="248"/>
      <c r="K71" s="248"/>
      <c r="L71" s="248"/>
      <c r="M71" s="248"/>
      <c r="N71" s="248"/>
      <c r="O71" s="5"/>
      <c r="Q71" s="5"/>
      <c r="R71" s="5"/>
      <c r="S71" s="5"/>
      <c r="W71" s="76"/>
      <c r="X71" s="76"/>
      <c r="Y71" s="76"/>
      <c r="Z71" s="76"/>
    </row>
    <row r="72" spans="2:26">
      <c r="B72" s="41"/>
      <c r="C72" s="5"/>
      <c r="D72" s="5"/>
      <c r="E72" s="5"/>
      <c r="F72" s="5"/>
      <c r="G72" s="5"/>
      <c r="H72" s="5"/>
      <c r="I72" s="18"/>
      <c r="J72" s="5"/>
      <c r="K72" s="5"/>
      <c r="L72" s="5"/>
      <c r="M72" s="5"/>
      <c r="N72" s="5"/>
      <c r="O72" s="5"/>
      <c r="Q72" s="5"/>
      <c r="R72" s="5"/>
      <c r="S72" s="5"/>
      <c r="Y72" s="76"/>
      <c r="Z72" s="76"/>
    </row>
    <row r="73" spans="2:26">
      <c r="B73" s="41"/>
      <c r="C73" s="245"/>
      <c r="D73" s="245"/>
      <c r="E73" s="245"/>
      <c r="F73" s="245"/>
      <c r="G73" s="245"/>
      <c r="H73" s="245"/>
      <c r="I73" s="5"/>
      <c r="J73" s="245"/>
      <c r="K73" s="245"/>
      <c r="L73" s="245"/>
      <c r="M73" s="245"/>
      <c r="N73" s="245"/>
      <c r="O73" s="251"/>
      <c r="Q73" s="5"/>
      <c r="R73" s="5"/>
      <c r="S73" s="5"/>
    </row>
    <row r="74" spans="2:26">
      <c r="B74" s="5"/>
      <c r="C74" s="5"/>
      <c r="D74" s="18"/>
      <c r="E74" s="18"/>
      <c r="F74" s="18"/>
      <c r="G74" s="18"/>
      <c r="H74" s="18"/>
      <c r="I74" s="249"/>
      <c r="J74" s="18"/>
      <c r="K74" s="18"/>
      <c r="L74" s="18"/>
      <c r="M74" s="18"/>
      <c r="N74" s="18"/>
      <c r="O74" s="5"/>
      <c r="Q74" s="5"/>
      <c r="R74" s="5"/>
      <c r="S74" s="5"/>
    </row>
    <row r="75" spans="2:26">
      <c r="B75" s="41"/>
      <c r="C75" s="5"/>
      <c r="D75" s="5"/>
      <c r="E75" s="5"/>
      <c r="F75" s="5"/>
      <c r="G75" s="5"/>
      <c r="H75" s="5"/>
      <c r="I75" s="248"/>
      <c r="J75" s="5"/>
      <c r="K75" s="5"/>
      <c r="L75" s="5"/>
      <c r="M75" s="5"/>
      <c r="N75" s="5"/>
      <c r="O75" s="5"/>
      <c r="Q75" s="5"/>
      <c r="R75" s="5"/>
      <c r="S75" s="5"/>
    </row>
    <row r="76" spans="2:26">
      <c r="B76" s="41"/>
      <c r="C76" s="249"/>
      <c r="D76" s="249"/>
      <c r="E76" s="249"/>
      <c r="F76" s="249"/>
      <c r="G76" s="249"/>
      <c r="H76" s="249"/>
      <c r="I76" s="5"/>
      <c r="J76" s="249"/>
      <c r="K76" s="249"/>
      <c r="L76" s="249"/>
      <c r="M76" s="249"/>
      <c r="N76" s="249"/>
      <c r="O76" s="251"/>
      <c r="Q76" s="5"/>
      <c r="R76" s="5"/>
      <c r="S76" s="5"/>
    </row>
    <row r="77" spans="2:26">
      <c r="B77" s="5"/>
      <c r="C77" s="5"/>
      <c r="D77" s="248"/>
      <c r="E77" s="248"/>
      <c r="F77" s="248"/>
      <c r="G77" s="248"/>
      <c r="H77" s="248"/>
      <c r="I77" s="245"/>
      <c r="J77" s="248"/>
      <c r="K77" s="248"/>
      <c r="L77" s="248"/>
      <c r="M77" s="248"/>
      <c r="N77" s="248"/>
      <c r="O77" s="5"/>
      <c r="Q77" s="5"/>
      <c r="R77" s="5"/>
      <c r="S77" s="5"/>
    </row>
    <row r="78" spans="2:26">
      <c r="B78" s="41"/>
      <c r="C78" s="5"/>
      <c r="D78" s="5"/>
      <c r="E78" s="5"/>
      <c r="F78" s="5"/>
      <c r="G78" s="5"/>
      <c r="H78" s="5"/>
      <c r="I78" s="248"/>
      <c r="J78" s="5"/>
      <c r="K78" s="5"/>
      <c r="L78" s="5"/>
      <c r="M78" s="5"/>
      <c r="N78" s="5"/>
      <c r="O78" s="5"/>
      <c r="Q78" s="5"/>
      <c r="R78" s="5"/>
      <c r="S78" s="5"/>
    </row>
    <row r="79" spans="2:26">
      <c r="B79" s="41"/>
      <c r="C79" s="245"/>
      <c r="D79" s="245"/>
      <c r="E79" s="245"/>
      <c r="F79" s="245"/>
      <c r="G79" s="245"/>
      <c r="H79" s="245"/>
      <c r="I79" s="5"/>
      <c r="J79" s="245"/>
      <c r="K79" s="245"/>
      <c r="L79" s="245"/>
      <c r="M79" s="245"/>
      <c r="N79" s="245"/>
      <c r="O79" s="251"/>
      <c r="Q79" s="5"/>
      <c r="R79" s="5"/>
      <c r="S79" s="5"/>
    </row>
    <row r="80" spans="2:26">
      <c r="B80" s="5"/>
      <c r="C80" s="5"/>
      <c r="D80" s="248"/>
      <c r="E80" s="248"/>
      <c r="F80" s="248"/>
      <c r="G80" s="248"/>
      <c r="H80" s="248"/>
      <c r="I80" s="249"/>
      <c r="J80" s="248"/>
      <c r="K80" s="248"/>
      <c r="L80" s="248"/>
      <c r="M80" s="248"/>
      <c r="N80" s="248"/>
      <c r="O80" s="5"/>
      <c r="Q80" s="5"/>
      <c r="R80" s="5"/>
      <c r="S80" s="5"/>
    </row>
    <row r="81" spans="2:26">
      <c r="B81" s="41"/>
      <c r="C81" s="5"/>
      <c r="D81" s="5"/>
      <c r="E81" s="5"/>
      <c r="F81" s="5"/>
      <c r="G81" s="5"/>
      <c r="H81" s="5"/>
      <c r="I81" s="248"/>
      <c r="J81" s="5"/>
      <c r="K81" s="5"/>
      <c r="L81" s="5"/>
      <c r="M81" s="5"/>
      <c r="N81" s="5"/>
      <c r="O81" s="5"/>
      <c r="Q81" s="5"/>
      <c r="R81" s="5"/>
      <c r="S81" s="5"/>
    </row>
    <row r="82" spans="2:26">
      <c r="B82" s="41"/>
      <c r="C82" s="249"/>
      <c r="D82" s="249"/>
      <c r="E82" s="249"/>
      <c r="F82" s="249"/>
      <c r="G82" s="249"/>
      <c r="H82" s="249"/>
      <c r="I82" s="259"/>
      <c r="J82" s="249"/>
      <c r="K82" s="249"/>
      <c r="L82" s="249"/>
      <c r="M82" s="249"/>
      <c r="N82" s="249"/>
      <c r="O82" s="251"/>
      <c r="Q82" s="5"/>
      <c r="R82" s="5"/>
      <c r="S82" s="5"/>
    </row>
    <row r="83" spans="2:26">
      <c r="B83" s="5"/>
      <c r="C83" s="5"/>
      <c r="D83" s="248"/>
      <c r="E83" s="248"/>
      <c r="F83" s="248"/>
      <c r="G83" s="248"/>
      <c r="H83" s="248"/>
      <c r="I83" s="5"/>
      <c r="J83" s="248"/>
      <c r="K83" s="248"/>
      <c r="L83" s="248"/>
      <c r="M83" s="248"/>
      <c r="N83" s="248"/>
      <c r="O83" s="5"/>
      <c r="Q83" s="5"/>
      <c r="R83" s="5"/>
      <c r="S83" s="5"/>
    </row>
    <row r="84" spans="2:26">
      <c r="B84" s="5"/>
      <c r="C84" s="259"/>
      <c r="D84" s="259"/>
      <c r="E84" s="259"/>
      <c r="F84" s="259"/>
      <c r="G84" s="259"/>
      <c r="H84" s="259"/>
      <c r="I84" s="245"/>
      <c r="J84" s="259"/>
      <c r="K84" s="259"/>
      <c r="L84" s="259"/>
      <c r="M84" s="259"/>
      <c r="N84" s="259"/>
      <c r="O84" s="251"/>
      <c r="Q84" s="5"/>
      <c r="R84" s="5"/>
      <c r="S84" s="5"/>
    </row>
    <row r="85" spans="2:26">
      <c r="B85" s="41"/>
      <c r="C85" s="5"/>
      <c r="D85" s="5"/>
      <c r="E85" s="5"/>
      <c r="F85" s="5"/>
      <c r="G85" s="5"/>
      <c r="H85" s="5"/>
      <c r="I85" s="248"/>
      <c r="J85" s="5"/>
      <c r="K85" s="5"/>
      <c r="L85" s="5"/>
      <c r="M85" s="5"/>
      <c r="N85" s="5"/>
      <c r="O85" s="5"/>
      <c r="Q85" s="5"/>
      <c r="R85" s="5"/>
      <c r="S85" s="5"/>
    </row>
    <row r="86" spans="2:26">
      <c r="B86" s="41"/>
      <c r="C86" s="245"/>
      <c r="D86" s="245"/>
      <c r="E86" s="245"/>
      <c r="F86" s="245"/>
      <c r="G86" s="245"/>
      <c r="H86" s="245"/>
      <c r="I86" s="5"/>
      <c r="J86" s="245"/>
      <c r="K86" s="245"/>
      <c r="L86" s="245"/>
      <c r="M86" s="245"/>
      <c r="N86" s="245"/>
      <c r="O86" s="251"/>
      <c r="Q86" s="5"/>
      <c r="R86" s="5"/>
      <c r="S86" s="5"/>
    </row>
    <row r="87" spans="2:26">
      <c r="B87" s="5"/>
      <c r="C87" s="5"/>
      <c r="D87" s="248"/>
      <c r="E87" s="248"/>
      <c r="F87" s="248"/>
      <c r="G87" s="248"/>
      <c r="H87" s="248"/>
      <c r="I87" s="5"/>
      <c r="J87" s="248"/>
      <c r="K87" s="248"/>
      <c r="L87" s="248"/>
      <c r="M87" s="248"/>
      <c r="N87" s="248"/>
      <c r="O87" s="5"/>
      <c r="Q87" s="5"/>
      <c r="R87" s="5"/>
      <c r="S87" s="5"/>
    </row>
    <row r="88" spans="2:26">
      <c r="B88" s="41"/>
      <c r="C88" s="5"/>
      <c r="D88" s="5"/>
      <c r="E88" s="5"/>
      <c r="F88" s="5"/>
      <c r="G88" s="5"/>
      <c r="H88" s="5"/>
      <c r="I88" s="5"/>
      <c r="J88" s="5"/>
      <c r="K88" s="5"/>
      <c r="L88" s="5"/>
      <c r="M88" s="5"/>
      <c r="N88" s="5"/>
      <c r="O88" s="5"/>
      <c r="Q88" s="5"/>
      <c r="R88" s="5"/>
      <c r="S88" s="5"/>
    </row>
    <row r="89" spans="2:26">
      <c r="B89" s="41"/>
      <c r="C89" s="5"/>
      <c r="D89" s="5"/>
      <c r="E89" s="5"/>
      <c r="F89" s="5"/>
      <c r="G89" s="5"/>
      <c r="H89" s="5"/>
      <c r="I89" s="5"/>
      <c r="J89" s="5"/>
      <c r="K89" s="5"/>
      <c r="L89" s="5"/>
      <c r="M89" s="5"/>
      <c r="N89" s="5"/>
      <c r="O89" s="5"/>
      <c r="Q89" s="5"/>
      <c r="R89" s="5"/>
      <c r="S89" s="5"/>
    </row>
    <row r="90" spans="2:26">
      <c r="B90" s="41"/>
      <c r="C90" s="5"/>
      <c r="D90" s="5"/>
      <c r="E90" s="5"/>
      <c r="F90" s="5"/>
      <c r="G90" s="5"/>
      <c r="H90" s="5"/>
      <c r="I90" s="49"/>
      <c r="J90" s="5"/>
      <c r="K90" s="5"/>
      <c r="L90" s="5"/>
      <c r="M90" s="5"/>
      <c r="N90" s="5"/>
      <c r="O90" s="5"/>
      <c r="Q90" s="41"/>
      <c r="R90" s="5"/>
      <c r="S90" s="5"/>
    </row>
    <row r="91" spans="2:26">
      <c r="B91" s="5"/>
      <c r="C91" s="5"/>
      <c r="D91" s="5"/>
      <c r="E91" s="5"/>
      <c r="F91" s="5"/>
      <c r="G91" s="5"/>
      <c r="H91" s="5"/>
      <c r="I91" s="5"/>
      <c r="J91" s="5"/>
      <c r="K91" s="5"/>
      <c r="L91" s="5"/>
      <c r="M91" s="5"/>
      <c r="N91" s="5"/>
      <c r="O91" s="5"/>
      <c r="Q91" s="5"/>
      <c r="R91" s="5"/>
      <c r="S91" s="5"/>
    </row>
    <row r="92" spans="2:26">
      <c r="B92" s="41"/>
      <c r="C92" s="49"/>
      <c r="D92" s="49"/>
      <c r="E92" s="49"/>
      <c r="F92" s="49"/>
      <c r="G92" s="49"/>
      <c r="H92" s="49"/>
      <c r="I92" s="247"/>
      <c r="J92" s="49"/>
      <c r="K92" s="49"/>
      <c r="L92" s="49"/>
      <c r="M92" s="49"/>
      <c r="N92" s="49"/>
      <c r="O92" s="49"/>
      <c r="Q92" s="5"/>
      <c r="R92" s="5"/>
      <c r="S92" s="5"/>
      <c r="W92" s="21"/>
      <c r="X92" s="21"/>
    </row>
    <row r="93" spans="2:26">
      <c r="B93" s="5"/>
      <c r="C93" s="5"/>
      <c r="D93" s="5"/>
      <c r="E93" s="5"/>
      <c r="F93" s="5"/>
      <c r="G93" s="5"/>
      <c r="H93" s="5"/>
      <c r="I93" s="247"/>
      <c r="J93" s="5"/>
      <c r="K93" s="5"/>
      <c r="L93" s="5"/>
      <c r="M93" s="5"/>
      <c r="N93" s="5"/>
      <c r="O93" s="5"/>
      <c r="Q93" s="5"/>
      <c r="R93" s="5"/>
      <c r="S93" s="5"/>
      <c r="W93" s="21"/>
      <c r="X93" s="21"/>
      <c r="Y93" s="21"/>
      <c r="Z93" s="21"/>
    </row>
    <row r="94" spans="2:26">
      <c r="B94" s="5"/>
      <c r="C94" s="259"/>
      <c r="D94" s="247"/>
      <c r="E94" s="247"/>
      <c r="F94" s="247"/>
      <c r="G94" s="247"/>
      <c r="H94" s="247"/>
      <c r="I94" s="247"/>
      <c r="J94" s="247"/>
      <c r="K94" s="247"/>
      <c r="L94" s="247"/>
      <c r="M94" s="247"/>
      <c r="N94" s="247"/>
      <c r="O94" s="248"/>
      <c r="Q94" s="5"/>
      <c r="R94" s="5"/>
      <c r="S94" s="5"/>
      <c r="Y94" s="21"/>
      <c r="Z94" s="21"/>
    </row>
    <row r="95" spans="2:26">
      <c r="B95" s="5"/>
      <c r="C95" s="259"/>
      <c r="D95" s="247"/>
      <c r="E95" s="247"/>
      <c r="F95" s="247"/>
      <c r="G95" s="247"/>
      <c r="H95" s="247"/>
      <c r="I95" s="248"/>
      <c r="J95" s="247"/>
      <c r="K95" s="247"/>
      <c r="L95" s="247"/>
      <c r="M95" s="247"/>
      <c r="N95" s="247"/>
      <c r="O95" s="248"/>
      <c r="Q95" s="5"/>
      <c r="R95" s="5"/>
      <c r="S95" s="5"/>
    </row>
    <row r="96" spans="2:26">
      <c r="B96" s="5"/>
      <c r="C96" s="259"/>
      <c r="D96" s="247"/>
      <c r="E96" s="247"/>
      <c r="F96" s="247"/>
      <c r="G96" s="247"/>
      <c r="H96" s="247"/>
      <c r="I96" s="247"/>
      <c r="J96" s="247"/>
      <c r="K96" s="247"/>
      <c r="L96" s="247"/>
      <c r="M96" s="247"/>
      <c r="N96" s="247"/>
      <c r="O96" s="248"/>
      <c r="Q96" s="5"/>
      <c r="R96" s="5"/>
      <c r="S96" s="5"/>
    </row>
    <row r="97" spans="2:19">
      <c r="B97" s="5"/>
      <c r="C97" s="259"/>
      <c r="D97" s="248"/>
      <c r="E97" s="248"/>
      <c r="F97" s="248"/>
      <c r="G97" s="248"/>
      <c r="H97" s="248"/>
      <c r="I97" s="249"/>
      <c r="J97" s="248"/>
      <c r="K97" s="248"/>
      <c r="L97" s="248"/>
      <c r="M97" s="248"/>
      <c r="N97" s="248"/>
      <c r="O97" s="248"/>
      <c r="Q97" s="5"/>
      <c r="R97" s="5"/>
      <c r="S97" s="5"/>
    </row>
    <row r="98" spans="2:19">
      <c r="B98" s="5"/>
      <c r="C98" s="259"/>
      <c r="D98" s="247"/>
      <c r="E98" s="247"/>
      <c r="F98" s="247"/>
      <c r="G98" s="247"/>
      <c r="H98" s="247"/>
      <c r="I98" s="248"/>
      <c r="J98" s="247"/>
      <c r="K98" s="247"/>
      <c r="L98" s="247"/>
      <c r="M98" s="247"/>
      <c r="N98" s="247"/>
      <c r="O98" s="248"/>
      <c r="Q98" s="5"/>
      <c r="R98" s="5"/>
      <c r="S98" s="5"/>
    </row>
    <row r="99" spans="2:19">
      <c r="B99" s="41"/>
      <c r="C99" s="249"/>
      <c r="D99" s="249"/>
      <c r="E99" s="249"/>
      <c r="F99" s="249"/>
      <c r="G99" s="249"/>
      <c r="H99" s="249"/>
      <c r="I99" s="5"/>
      <c r="J99" s="249"/>
      <c r="K99" s="249"/>
      <c r="L99" s="249"/>
      <c r="M99" s="249"/>
      <c r="N99" s="249"/>
      <c r="O99" s="248"/>
      <c r="Q99" s="5"/>
      <c r="R99" s="5"/>
      <c r="S99" s="5"/>
    </row>
    <row r="100" spans="2:19">
      <c r="B100" s="41"/>
      <c r="C100" s="257"/>
      <c r="D100" s="248"/>
      <c r="E100" s="248"/>
      <c r="F100" s="248"/>
      <c r="G100" s="248"/>
      <c r="H100" s="248"/>
      <c r="I100" s="259"/>
      <c r="J100" s="248"/>
      <c r="K100" s="248"/>
      <c r="L100" s="248"/>
      <c r="M100" s="248"/>
      <c r="N100" s="248"/>
      <c r="O100" s="248"/>
      <c r="Q100" s="5"/>
      <c r="R100" s="5"/>
      <c r="S100" s="5"/>
    </row>
    <row r="101" spans="2:19" s="5" customFormat="1">
      <c r="B101" s="41"/>
      <c r="I101" s="259"/>
      <c r="O101" s="248"/>
      <c r="P101" s="39"/>
    </row>
    <row r="102" spans="2:19">
      <c r="B102" s="5"/>
      <c r="C102" s="259"/>
      <c r="D102" s="259"/>
      <c r="E102" s="259"/>
      <c r="F102" s="259"/>
      <c r="G102" s="259"/>
      <c r="H102" s="259"/>
      <c r="I102" s="247"/>
      <c r="J102" s="259"/>
      <c r="K102" s="259"/>
      <c r="L102" s="259"/>
      <c r="M102" s="259"/>
      <c r="N102" s="259"/>
      <c r="O102" s="5"/>
      <c r="Q102" s="5"/>
      <c r="R102" s="5"/>
      <c r="S102" s="5"/>
    </row>
    <row r="103" spans="2:19">
      <c r="B103" s="5"/>
      <c r="C103" s="259"/>
      <c r="D103" s="259"/>
      <c r="E103" s="259"/>
      <c r="F103" s="259"/>
      <c r="G103" s="259"/>
      <c r="H103" s="259"/>
      <c r="I103" s="5"/>
      <c r="J103" s="259"/>
      <c r="K103" s="259"/>
      <c r="L103" s="259"/>
      <c r="M103" s="259"/>
      <c r="N103" s="259"/>
      <c r="O103" s="5"/>
      <c r="P103" s="5"/>
      <c r="Q103" s="5"/>
      <c r="R103" s="5"/>
      <c r="S103" s="5"/>
    </row>
    <row r="104" spans="2:19">
      <c r="B104" s="5"/>
      <c r="C104" s="247"/>
      <c r="D104" s="247"/>
      <c r="E104" s="247"/>
      <c r="F104" s="247"/>
      <c r="G104" s="247"/>
      <c r="H104" s="247"/>
      <c r="I104" s="247"/>
      <c r="J104" s="247"/>
      <c r="K104" s="247"/>
      <c r="L104" s="247"/>
      <c r="M104" s="247"/>
      <c r="N104" s="247"/>
      <c r="O104" s="5"/>
      <c r="Q104" s="5"/>
      <c r="R104" s="5"/>
      <c r="S104" s="5"/>
    </row>
    <row r="105" spans="2:19" s="5" customFormat="1">
      <c r="P105" s="39"/>
    </row>
    <row r="106" spans="2:19" s="5" customFormat="1">
      <c r="C106" s="259"/>
      <c r="D106" s="247"/>
      <c r="E106" s="247"/>
      <c r="F106" s="247"/>
      <c r="G106" s="247"/>
      <c r="H106" s="247"/>
      <c r="I106" s="259"/>
      <c r="J106" s="247"/>
      <c r="K106" s="247"/>
      <c r="L106" s="247"/>
      <c r="M106" s="247"/>
      <c r="N106" s="247"/>
      <c r="P106" s="39"/>
    </row>
    <row r="107" spans="2:19">
      <c r="B107" s="5"/>
      <c r="C107" s="259"/>
      <c r="D107" s="5"/>
      <c r="E107" s="5"/>
      <c r="F107" s="5"/>
      <c r="G107" s="5"/>
      <c r="H107" s="5"/>
      <c r="I107" s="247"/>
      <c r="J107" s="5"/>
      <c r="K107" s="5"/>
      <c r="L107" s="5"/>
      <c r="M107" s="5"/>
      <c r="N107" s="5"/>
      <c r="O107" s="5"/>
      <c r="P107" s="5"/>
      <c r="Q107" s="5"/>
      <c r="R107" s="5"/>
      <c r="S107" s="5"/>
    </row>
    <row r="108" spans="2:19">
      <c r="B108" s="5"/>
      <c r="C108" s="259"/>
      <c r="D108" s="259"/>
      <c r="E108" s="259"/>
      <c r="F108" s="259"/>
      <c r="G108" s="259"/>
      <c r="H108" s="259"/>
      <c r="I108" s="249"/>
      <c r="J108" s="259"/>
      <c r="K108" s="259"/>
      <c r="L108" s="259"/>
      <c r="M108" s="259"/>
      <c r="N108" s="259"/>
      <c r="O108" s="5"/>
      <c r="P108" s="5"/>
      <c r="Q108" s="5"/>
      <c r="R108" s="5"/>
      <c r="S108" s="5"/>
    </row>
    <row r="109" spans="2:19">
      <c r="B109" s="5"/>
      <c r="C109" s="247"/>
      <c r="D109" s="247"/>
      <c r="E109" s="247"/>
      <c r="F109" s="247"/>
      <c r="G109" s="247"/>
      <c r="H109" s="247"/>
      <c r="I109" s="249"/>
      <c r="J109" s="247"/>
      <c r="K109" s="247"/>
      <c r="L109" s="247"/>
      <c r="M109" s="247"/>
      <c r="N109" s="247"/>
      <c r="O109" s="5"/>
      <c r="Q109" s="5"/>
      <c r="R109" s="5"/>
      <c r="S109" s="5"/>
    </row>
    <row r="110" spans="2:19">
      <c r="B110" s="41"/>
      <c r="C110" s="249"/>
      <c r="D110" s="249"/>
      <c r="E110" s="249"/>
      <c r="F110" s="249"/>
      <c r="G110" s="249"/>
      <c r="H110" s="249"/>
      <c r="I110" s="247"/>
      <c r="J110" s="249"/>
      <c r="K110" s="249"/>
      <c r="L110" s="249"/>
      <c r="M110" s="249"/>
      <c r="N110" s="249"/>
      <c r="O110" s="5"/>
      <c r="Q110" s="5"/>
      <c r="R110" s="5"/>
      <c r="S110" s="5"/>
    </row>
    <row r="111" spans="2:19">
      <c r="B111" s="5"/>
      <c r="C111" s="249"/>
      <c r="D111" s="249"/>
      <c r="E111" s="249"/>
      <c r="F111" s="249"/>
      <c r="G111" s="249"/>
      <c r="H111" s="249"/>
      <c r="I111" s="5"/>
      <c r="J111" s="249"/>
      <c r="K111" s="249"/>
      <c r="L111" s="249"/>
      <c r="M111" s="249"/>
      <c r="N111" s="249"/>
      <c r="O111" s="5"/>
      <c r="Q111" s="5"/>
      <c r="R111" s="5"/>
      <c r="S111" s="5"/>
    </row>
    <row r="112" spans="2:19">
      <c r="B112" s="5"/>
      <c r="C112" s="247"/>
      <c r="D112" s="247"/>
      <c r="E112" s="247"/>
      <c r="F112" s="247"/>
      <c r="G112" s="247"/>
      <c r="H112" s="247"/>
      <c r="I112" s="5"/>
      <c r="J112" s="247"/>
      <c r="K112" s="247"/>
      <c r="L112" s="247"/>
      <c r="M112" s="247"/>
      <c r="N112" s="247"/>
      <c r="O112" s="5"/>
      <c r="Q112" s="5"/>
      <c r="R112" s="5"/>
      <c r="S112" s="5"/>
    </row>
    <row r="113" spans="2:19">
      <c r="B113" s="5"/>
      <c r="C113" s="5"/>
      <c r="D113" s="5"/>
      <c r="E113" s="5"/>
      <c r="F113" s="5"/>
      <c r="G113" s="5"/>
      <c r="H113" s="5"/>
      <c r="I113" s="5"/>
      <c r="J113" s="5"/>
      <c r="K113" s="5"/>
      <c r="L113" s="5"/>
      <c r="M113" s="5"/>
      <c r="N113" s="5"/>
      <c r="O113" s="5"/>
      <c r="Q113" s="5"/>
      <c r="R113" s="5"/>
      <c r="S113" s="5"/>
    </row>
    <row r="114" spans="2:19">
      <c r="B114" s="5"/>
      <c r="C114" s="5"/>
      <c r="D114" s="5"/>
      <c r="E114" s="5"/>
      <c r="F114" s="5"/>
      <c r="G114" s="5"/>
      <c r="H114" s="5"/>
      <c r="I114" s="5"/>
      <c r="J114" s="5"/>
      <c r="K114" s="5"/>
      <c r="L114" s="5"/>
      <c r="M114" s="5"/>
      <c r="N114" s="5"/>
      <c r="O114" s="5"/>
      <c r="Q114" s="5"/>
      <c r="R114" s="5"/>
      <c r="S114" s="5"/>
    </row>
    <row r="115" spans="2:19">
      <c r="B115" s="5"/>
      <c r="C115" s="5"/>
      <c r="D115" s="5"/>
      <c r="E115" s="5"/>
      <c r="F115" s="5"/>
      <c r="G115" s="5"/>
      <c r="H115" s="5"/>
      <c r="I115" s="49"/>
      <c r="J115" s="5"/>
      <c r="K115" s="5"/>
      <c r="L115" s="5"/>
      <c r="M115" s="5"/>
      <c r="N115" s="5"/>
      <c r="O115" s="5"/>
      <c r="Q115" s="41"/>
      <c r="R115" s="5"/>
      <c r="S115" s="5"/>
    </row>
    <row r="116" spans="2:19">
      <c r="B116" s="5"/>
      <c r="C116" s="5"/>
      <c r="D116" s="5"/>
      <c r="E116" s="5"/>
      <c r="F116" s="5"/>
      <c r="G116" s="5"/>
      <c r="H116" s="5"/>
      <c r="I116" s="5"/>
      <c r="J116" s="5"/>
      <c r="K116" s="5"/>
      <c r="L116" s="5"/>
      <c r="M116" s="5"/>
      <c r="N116" s="5"/>
      <c r="O116" s="5"/>
      <c r="Q116" s="5"/>
      <c r="R116" s="5"/>
      <c r="S116" s="5"/>
    </row>
    <row r="117" spans="2:19">
      <c r="B117" s="41"/>
      <c r="C117" s="49"/>
      <c r="D117" s="49"/>
      <c r="E117" s="49"/>
      <c r="F117" s="49"/>
      <c r="G117" s="49"/>
      <c r="H117" s="49"/>
      <c r="I117" s="254"/>
      <c r="J117" s="49"/>
      <c r="K117" s="49"/>
      <c r="L117" s="49"/>
      <c r="M117" s="49"/>
      <c r="N117" s="49"/>
      <c r="O117" s="49"/>
      <c r="Q117" s="5"/>
      <c r="R117" s="5"/>
      <c r="S117" s="5"/>
    </row>
    <row r="118" spans="2:19">
      <c r="B118" s="5"/>
      <c r="C118" s="5"/>
      <c r="D118" s="5"/>
      <c r="E118" s="5"/>
      <c r="F118" s="5"/>
      <c r="G118" s="5"/>
      <c r="H118" s="5"/>
      <c r="I118" s="249"/>
      <c r="J118" s="5"/>
      <c r="K118" s="5"/>
      <c r="L118" s="5"/>
      <c r="M118" s="5"/>
      <c r="N118" s="5"/>
      <c r="O118" s="5"/>
      <c r="Q118" s="5"/>
      <c r="R118" s="5"/>
      <c r="S118" s="5"/>
    </row>
    <row r="119" spans="2:19">
      <c r="B119" s="41"/>
      <c r="C119" s="254"/>
      <c r="D119" s="254"/>
      <c r="E119" s="254"/>
      <c r="F119" s="254"/>
      <c r="G119" s="254"/>
      <c r="H119" s="254"/>
      <c r="I119" s="254"/>
      <c r="J119" s="254"/>
      <c r="K119" s="254"/>
      <c r="L119" s="254"/>
      <c r="M119" s="254"/>
      <c r="N119" s="254"/>
      <c r="O119" s="248"/>
      <c r="Q119" s="5"/>
      <c r="R119" s="5"/>
      <c r="S119" s="5"/>
    </row>
    <row r="120" spans="2:19">
      <c r="B120" s="41"/>
      <c r="C120" s="254"/>
      <c r="D120" s="249"/>
      <c r="E120" s="249"/>
      <c r="F120" s="249"/>
      <c r="G120" s="249"/>
      <c r="H120" s="249"/>
      <c r="I120" s="254"/>
      <c r="J120" s="249"/>
      <c r="K120" s="249"/>
      <c r="L120" s="249"/>
      <c r="M120" s="249"/>
      <c r="N120" s="249"/>
      <c r="O120" s="248"/>
      <c r="Q120" s="5"/>
      <c r="R120" s="5"/>
      <c r="S120" s="5"/>
    </row>
    <row r="121" spans="2:19">
      <c r="B121" s="41"/>
      <c r="C121" s="254"/>
      <c r="D121" s="254"/>
      <c r="E121" s="254"/>
      <c r="F121" s="254"/>
      <c r="G121" s="254"/>
      <c r="H121" s="254"/>
      <c r="I121" s="254"/>
      <c r="J121" s="254"/>
      <c r="K121" s="254"/>
      <c r="L121" s="254"/>
      <c r="M121" s="254"/>
      <c r="N121" s="254"/>
      <c r="O121" s="248"/>
      <c r="Q121" s="5"/>
      <c r="R121" s="5"/>
      <c r="S121" s="5"/>
    </row>
    <row r="122" spans="2:19">
      <c r="B122" s="41"/>
      <c r="C122" s="254"/>
      <c r="D122" s="254"/>
      <c r="E122" s="254"/>
      <c r="F122" s="254"/>
      <c r="G122" s="254"/>
      <c r="H122" s="254"/>
      <c r="I122" s="254"/>
      <c r="J122" s="254"/>
      <c r="K122" s="254"/>
      <c r="L122" s="254"/>
      <c r="M122" s="254"/>
      <c r="N122" s="254"/>
      <c r="O122" s="248"/>
      <c r="Q122" s="5"/>
      <c r="R122" s="5"/>
      <c r="S122" s="5"/>
    </row>
    <row r="123" spans="2:19">
      <c r="B123" s="41"/>
      <c r="C123" s="254"/>
      <c r="D123" s="254"/>
      <c r="E123" s="254"/>
      <c r="F123" s="254"/>
      <c r="G123" s="254"/>
      <c r="H123" s="254"/>
      <c r="I123" s="254"/>
      <c r="J123" s="254"/>
      <c r="K123" s="254"/>
      <c r="L123" s="254"/>
      <c r="M123" s="254"/>
      <c r="N123" s="254"/>
      <c r="O123" s="248"/>
      <c r="Q123" s="5"/>
      <c r="R123" s="5"/>
      <c r="S123" s="5"/>
    </row>
    <row r="124" spans="2:19">
      <c r="B124" s="41"/>
      <c r="C124" s="254"/>
      <c r="D124" s="254"/>
      <c r="E124" s="254"/>
      <c r="F124" s="254"/>
      <c r="G124" s="254"/>
      <c r="H124" s="254"/>
      <c r="I124" s="254"/>
      <c r="J124" s="254"/>
      <c r="K124" s="254"/>
      <c r="L124" s="254"/>
      <c r="M124" s="254"/>
      <c r="N124" s="254"/>
      <c r="O124" s="248"/>
      <c r="Q124" s="5"/>
      <c r="R124" s="5"/>
      <c r="S124" s="5"/>
    </row>
    <row r="125" spans="2:19">
      <c r="B125" s="41"/>
      <c r="C125" s="254"/>
      <c r="D125" s="254"/>
      <c r="E125" s="254"/>
      <c r="F125" s="254"/>
      <c r="G125" s="254"/>
      <c r="H125" s="254"/>
      <c r="I125" s="254"/>
      <c r="J125" s="254"/>
      <c r="K125" s="254"/>
      <c r="L125" s="254"/>
      <c r="M125" s="254"/>
      <c r="N125" s="254"/>
      <c r="O125" s="5"/>
      <c r="Q125" s="5"/>
      <c r="R125" s="5"/>
      <c r="S125" s="5"/>
    </row>
    <row r="126" spans="2:19">
      <c r="B126" s="41"/>
      <c r="C126" s="254"/>
      <c r="D126" s="254"/>
      <c r="E126" s="254"/>
      <c r="F126" s="254"/>
      <c r="G126" s="254"/>
      <c r="H126" s="254"/>
      <c r="I126" s="254"/>
      <c r="J126" s="254"/>
      <c r="K126" s="254"/>
      <c r="L126" s="254"/>
      <c r="M126" s="254"/>
      <c r="N126" s="254"/>
      <c r="O126" s="5"/>
      <c r="Q126" s="5"/>
      <c r="R126" s="5"/>
      <c r="S126" s="5"/>
    </row>
    <row r="127" spans="2:19">
      <c r="B127" s="41"/>
      <c r="C127" s="254"/>
      <c r="D127" s="254"/>
      <c r="E127" s="254"/>
      <c r="F127" s="254"/>
      <c r="G127" s="254"/>
      <c r="H127" s="254"/>
      <c r="I127" s="18"/>
      <c r="J127" s="254"/>
      <c r="K127" s="254"/>
      <c r="L127" s="254"/>
      <c r="M127" s="254"/>
      <c r="N127" s="254"/>
      <c r="O127" s="5"/>
      <c r="Q127" s="5"/>
      <c r="R127" s="5"/>
      <c r="S127" s="5"/>
    </row>
    <row r="128" spans="2:19">
      <c r="B128" s="41"/>
      <c r="C128" s="254"/>
      <c r="D128" s="254"/>
      <c r="E128" s="254"/>
      <c r="F128" s="254"/>
      <c r="G128" s="254"/>
      <c r="H128" s="254"/>
      <c r="I128" s="5"/>
      <c r="J128" s="254"/>
      <c r="K128" s="254"/>
      <c r="L128" s="254"/>
      <c r="M128" s="254"/>
      <c r="N128" s="254"/>
      <c r="O128" s="5"/>
      <c r="Q128" s="5"/>
      <c r="R128" s="5"/>
      <c r="S128" s="5"/>
    </row>
    <row r="129" spans="2:27">
      <c r="B129" s="5"/>
      <c r="C129" s="5"/>
      <c r="D129" s="18"/>
      <c r="E129" s="18"/>
      <c r="F129" s="18"/>
      <c r="G129" s="18"/>
      <c r="H129" s="18"/>
      <c r="I129" s="254"/>
      <c r="J129" s="18"/>
      <c r="K129" s="18"/>
      <c r="L129" s="18"/>
      <c r="M129" s="18"/>
      <c r="N129" s="18"/>
      <c r="O129" s="5"/>
      <c r="Q129" s="5"/>
      <c r="R129" s="5"/>
      <c r="S129" s="5"/>
    </row>
    <row r="130" spans="2:27">
      <c r="B130" s="5"/>
      <c r="C130" s="5"/>
      <c r="D130" s="5"/>
      <c r="E130" s="5"/>
      <c r="F130" s="5"/>
      <c r="G130" s="5"/>
      <c r="H130" s="5"/>
      <c r="I130" s="18"/>
      <c r="J130" s="5"/>
      <c r="K130" s="5"/>
      <c r="L130" s="5"/>
      <c r="M130" s="5"/>
      <c r="N130" s="5"/>
      <c r="O130" s="5"/>
      <c r="Q130" s="5"/>
      <c r="R130" s="5"/>
      <c r="S130" s="5"/>
    </row>
    <row r="131" spans="2:27">
      <c r="B131" s="41"/>
      <c r="C131" s="254"/>
      <c r="D131" s="254"/>
      <c r="E131" s="254"/>
      <c r="F131" s="254"/>
      <c r="G131" s="254"/>
      <c r="H131" s="254"/>
      <c r="I131" s="5"/>
      <c r="J131" s="254"/>
      <c r="K131" s="254"/>
      <c r="L131" s="254"/>
      <c r="M131" s="254"/>
      <c r="N131" s="254"/>
      <c r="O131" s="5"/>
      <c r="Q131" s="5"/>
      <c r="R131" s="5"/>
      <c r="S131" s="5"/>
    </row>
    <row r="132" spans="2:27">
      <c r="B132" s="5"/>
      <c r="C132" s="259"/>
      <c r="D132" s="18"/>
      <c r="E132" s="18"/>
      <c r="F132" s="18"/>
      <c r="G132" s="18"/>
      <c r="H132" s="18"/>
      <c r="I132" s="5"/>
      <c r="J132" s="18"/>
      <c r="K132" s="18"/>
      <c r="L132" s="18"/>
      <c r="M132" s="18"/>
      <c r="N132" s="18"/>
      <c r="O132" s="5"/>
      <c r="Q132" s="5"/>
      <c r="R132" s="5"/>
      <c r="S132" s="5"/>
    </row>
    <row r="133" spans="2:27">
      <c r="B133" s="5"/>
      <c r="C133" s="5"/>
      <c r="D133" s="5"/>
      <c r="E133" s="5"/>
      <c r="F133" s="5"/>
      <c r="G133" s="5"/>
      <c r="H133" s="5"/>
      <c r="I133" s="17"/>
      <c r="J133" s="5"/>
      <c r="K133" s="5"/>
      <c r="L133" s="5"/>
      <c r="M133" s="5"/>
      <c r="N133" s="5"/>
      <c r="O133" s="5"/>
      <c r="Q133" s="5"/>
      <c r="R133" s="5"/>
      <c r="S133" s="5"/>
    </row>
    <row r="134" spans="2:27">
      <c r="B134" s="41"/>
      <c r="C134" s="5"/>
      <c r="D134" s="5"/>
      <c r="E134" s="5"/>
      <c r="F134" s="5"/>
      <c r="G134" s="5"/>
      <c r="H134" s="5"/>
      <c r="I134" s="17"/>
      <c r="J134" s="5"/>
      <c r="K134" s="5"/>
      <c r="L134" s="5"/>
      <c r="M134" s="5"/>
      <c r="N134" s="5"/>
      <c r="O134" s="5"/>
      <c r="Q134" s="5"/>
      <c r="R134" s="5"/>
      <c r="S134" s="5"/>
    </row>
    <row r="135" spans="2:27">
      <c r="B135" s="5"/>
      <c r="C135" s="17"/>
      <c r="D135" s="17"/>
      <c r="E135" s="17"/>
      <c r="F135" s="17"/>
      <c r="G135" s="17"/>
      <c r="H135" s="17"/>
      <c r="I135" s="17"/>
      <c r="J135" s="17"/>
      <c r="K135" s="17"/>
      <c r="L135" s="17"/>
      <c r="M135" s="17"/>
      <c r="N135" s="17"/>
      <c r="O135" s="5"/>
      <c r="Q135" s="41"/>
      <c r="R135" s="5"/>
      <c r="S135" s="5"/>
    </row>
    <row r="136" spans="2:27">
      <c r="B136" s="5"/>
      <c r="C136" s="17"/>
      <c r="D136" s="17"/>
      <c r="E136" s="17"/>
      <c r="F136" s="17"/>
      <c r="G136" s="17"/>
      <c r="H136" s="17"/>
      <c r="I136" s="17"/>
      <c r="J136" s="17"/>
      <c r="K136" s="17"/>
      <c r="L136" s="17"/>
      <c r="M136" s="17"/>
      <c r="N136" s="17"/>
      <c r="O136" s="5"/>
      <c r="Q136" s="5"/>
      <c r="R136" s="5"/>
      <c r="S136" s="5"/>
      <c r="X136" s="304"/>
    </row>
    <row r="137" spans="2:27">
      <c r="B137" s="5"/>
      <c r="C137" s="5"/>
      <c r="D137" s="17"/>
      <c r="E137" s="17"/>
      <c r="F137" s="17"/>
      <c r="G137" s="17"/>
      <c r="H137" s="17"/>
      <c r="I137" s="17"/>
      <c r="J137" s="17"/>
      <c r="K137" s="17"/>
      <c r="L137" s="17"/>
      <c r="M137" s="17"/>
      <c r="N137" s="17"/>
      <c r="O137" s="5"/>
      <c r="Q137" s="5"/>
      <c r="R137" s="5"/>
      <c r="S137" s="5"/>
      <c r="X137" s="10"/>
      <c r="Y137" s="304"/>
      <c r="Z137" s="304"/>
      <c r="AA137" s="304"/>
    </row>
    <row r="138" spans="2:27">
      <c r="B138" s="5"/>
      <c r="C138" s="5"/>
      <c r="D138" s="17"/>
      <c r="E138" s="17"/>
      <c r="F138" s="17"/>
      <c r="G138" s="17"/>
      <c r="H138" s="17"/>
      <c r="I138" s="17"/>
      <c r="J138" s="17"/>
      <c r="K138" s="17"/>
      <c r="L138" s="17"/>
      <c r="M138" s="17"/>
      <c r="N138" s="17"/>
      <c r="O138" s="5"/>
      <c r="Q138" s="5"/>
      <c r="R138" s="5"/>
      <c r="S138" s="5"/>
      <c r="Y138" s="10"/>
      <c r="Z138" s="10"/>
      <c r="AA138" s="10"/>
    </row>
    <row r="139" spans="2:27">
      <c r="B139" s="5"/>
      <c r="C139" s="5"/>
      <c r="D139" s="17"/>
      <c r="E139" s="17"/>
      <c r="F139" s="17"/>
      <c r="G139" s="17"/>
      <c r="H139" s="17"/>
      <c r="I139" s="5"/>
      <c r="J139" s="17"/>
      <c r="K139" s="17"/>
      <c r="L139" s="17"/>
      <c r="M139" s="17"/>
      <c r="N139" s="17"/>
      <c r="O139" s="5"/>
      <c r="Q139" s="5"/>
      <c r="R139" s="5"/>
      <c r="S139" s="5"/>
    </row>
    <row r="140" spans="2:27">
      <c r="B140" s="5"/>
      <c r="C140" s="17"/>
      <c r="D140" s="17"/>
      <c r="E140" s="17"/>
      <c r="F140" s="17"/>
      <c r="G140" s="17"/>
      <c r="H140" s="17"/>
      <c r="I140" s="5"/>
      <c r="J140" s="17"/>
      <c r="K140" s="17"/>
      <c r="L140" s="17"/>
      <c r="M140" s="17"/>
      <c r="N140" s="17"/>
      <c r="O140" s="5"/>
      <c r="Q140" s="5"/>
      <c r="R140" s="5"/>
      <c r="S140" s="5"/>
    </row>
    <row r="141" spans="2:27">
      <c r="B141" s="5"/>
      <c r="C141" s="5"/>
      <c r="D141" s="5"/>
      <c r="E141" s="5"/>
      <c r="F141" s="5"/>
      <c r="G141" s="5"/>
      <c r="H141" s="5"/>
      <c r="I141" s="5"/>
      <c r="J141" s="5"/>
      <c r="K141" s="5"/>
      <c r="L141" s="5"/>
      <c r="M141" s="5"/>
      <c r="N141" s="5"/>
      <c r="O141" s="5"/>
      <c r="Q141" s="5"/>
      <c r="R141" s="5"/>
      <c r="S141" s="5"/>
    </row>
    <row r="142" spans="2:27">
      <c r="B142" s="5"/>
      <c r="C142" s="5"/>
      <c r="D142" s="5"/>
      <c r="E142" s="5"/>
      <c r="F142" s="5"/>
      <c r="G142" s="5"/>
      <c r="H142" s="5"/>
      <c r="I142" s="5"/>
      <c r="J142" s="5"/>
      <c r="K142" s="5"/>
      <c r="L142" s="5"/>
      <c r="M142" s="5"/>
      <c r="N142" s="5"/>
      <c r="O142" s="5"/>
      <c r="Q142" s="5"/>
      <c r="R142" s="5"/>
      <c r="S142" s="5"/>
    </row>
    <row r="143" spans="2:27">
      <c r="B143" s="5"/>
      <c r="C143" s="5"/>
      <c r="D143" s="5"/>
      <c r="E143" s="5"/>
      <c r="F143" s="5"/>
      <c r="G143" s="5"/>
      <c r="H143" s="5"/>
      <c r="I143" s="5"/>
      <c r="J143" s="5"/>
      <c r="K143" s="5"/>
      <c r="L143" s="5"/>
      <c r="M143" s="5"/>
      <c r="N143" s="5"/>
      <c r="O143" s="5"/>
      <c r="Q143" s="5"/>
      <c r="R143" s="5"/>
      <c r="S143" s="5"/>
    </row>
    <row r="144" spans="2:27">
      <c r="B144" s="5"/>
      <c r="C144" s="5"/>
      <c r="D144" s="5"/>
      <c r="E144" s="5"/>
      <c r="F144" s="5"/>
      <c r="G144" s="5"/>
      <c r="H144" s="5"/>
      <c r="I144" s="5"/>
      <c r="J144" s="5"/>
      <c r="K144" s="5"/>
      <c r="L144" s="5"/>
      <c r="M144" s="5"/>
      <c r="N144" s="5"/>
      <c r="O144" s="5"/>
      <c r="Q144" s="5"/>
      <c r="R144" s="5"/>
      <c r="S144" s="5"/>
    </row>
    <row r="145" spans="2:19">
      <c r="B145" s="5"/>
      <c r="C145" s="5"/>
      <c r="D145" s="5"/>
      <c r="E145" s="5"/>
      <c r="F145" s="5"/>
      <c r="G145" s="5"/>
      <c r="H145" s="5"/>
      <c r="I145" s="5"/>
      <c r="J145" s="5"/>
      <c r="K145" s="5"/>
      <c r="L145" s="5"/>
      <c r="M145" s="5"/>
      <c r="N145" s="5"/>
      <c r="O145" s="5"/>
      <c r="Q145" s="5"/>
      <c r="R145" s="5"/>
      <c r="S145" s="5"/>
    </row>
    <row r="146" spans="2:19">
      <c r="B146" s="5"/>
      <c r="C146" s="5"/>
      <c r="D146" s="5"/>
      <c r="E146" s="5"/>
      <c r="F146" s="5"/>
      <c r="G146" s="5"/>
      <c r="H146" s="5"/>
      <c r="I146" s="5"/>
      <c r="J146" s="5"/>
      <c r="K146" s="5"/>
      <c r="L146" s="5"/>
      <c r="M146" s="5"/>
      <c r="N146" s="5"/>
      <c r="O146" s="5"/>
      <c r="Q146" s="5"/>
      <c r="R146" s="5"/>
      <c r="S146" s="5"/>
    </row>
    <row r="147" spans="2:19">
      <c r="B147" s="5"/>
      <c r="C147" s="5"/>
      <c r="D147" s="5"/>
      <c r="E147" s="5"/>
      <c r="F147" s="5"/>
      <c r="G147" s="5"/>
      <c r="H147" s="5"/>
      <c r="I147" s="5"/>
      <c r="J147" s="5"/>
      <c r="K147" s="5"/>
      <c r="L147" s="5"/>
      <c r="M147" s="5"/>
      <c r="N147" s="5"/>
      <c r="O147" s="5"/>
      <c r="Q147" s="5"/>
      <c r="R147" s="5"/>
      <c r="S147" s="5"/>
    </row>
    <row r="148" spans="2:19">
      <c r="B148" s="5"/>
      <c r="C148" s="5"/>
      <c r="D148" s="5"/>
      <c r="E148" s="5"/>
      <c r="F148" s="5"/>
      <c r="G148" s="5"/>
      <c r="H148" s="5"/>
      <c r="I148" s="5"/>
      <c r="J148" s="5"/>
      <c r="K148" s="5"/>
      <c r="L148" s="5"/>
      <c r="M148" s="5"/>
      <c r="N148" s="5"/>
      <c r="O148" s="5"/>
      <c r="Q148" s="5"/>
      <c r="R148" s="5"/>
      <c r="S148" s="5"/>
    </row>
    <row r="149" spans="2:19">
      <c r="B149" s="5"/>
      <c r="C149" s="5"/>
      <c r="D149" s="5"/>
      <c r="E149" s="5"/>
      <c r="F149" s="5"/>
      <c r="G149" s="5"/>
      <c r="H149" s="5"/>
      <c r="J149" s="5"/>
      <c r="K149" s="5"/>
      <c r="L149" s="5"/>
      <c r="M149" s="5"/>
      <c r="N149" s="5"/>
      <c r="O149" s="5"/>
      <c r="Q149" s="5"/>
      <c r="R149" s="5"/>
      <c r="S149" s="5"/>
    </row>
    <row r="150" spans="2:19">
      <c r="B150" s="5"/>
      <c r="C150" s="5"/>
      <c r="D150" s="5"/>
      <c r="E150" s="5"/>
      <c r="F150" s="5"/>
      <c r="G150" s="5"/>
      <c r="H150" s="5"/>
      <c r="J150" s="5"/>
      <c r="K150" s="5"/>
      <c r="L150" s="5"/>
      <c r="M150" s="5"/>
      <c r="N150" s="5"/>
      <c r="O150" s="5"/>
      <c r="Q150" s="5"/>
      <c r="R150" s="5"/>
      <c r="S150" s="5"/>
    </row>
    <row r="151" spans="2:19">
      <c r="Q151" s="5"/>
      <c r="R151" s="5"/>
      <c r="S151" s="5"/>
    </row>
    <row r="152" spans="2:19">
      <c r="Q152" s="5"/>
      <c r="R152" s="5"/>
      <c r="S152" s="5"/>
    </row>
    <row r="153" spans="2:19">
      <c r="C153" s="263"/>
      <c r="Q153" s="5"/>
      <c r="R153" s="5"/>
      <c r="S153" s="5"/>
    </row>
    <row r="154" spans="2:19">
      <c r="Q154" s="5"/>
      <c r="R154" s="5"/>
      <c r="S154" s="5"/>
    </row>
    <row r="155" spans="2:19">
      <c r="Q155" s="5"/>
      <c r="R155" s="5"/>
      <c r="S155" s="5"/>
    </row>
    <row r="156" spans="2:19">
      <c r="Q156" s="5"/>
      <c r="R156" s="5"/>
      <c r="S156" s="5"/>
    </row>
    <row r="157" spans="2:19">
      <c r="Q157" s="5"/>
      <c r="R157" s="5"/>
      <c r="S157" s="5"/>
    </row>
    <row r="158" spans="2:19">
      <c r="Q158" s="5"/>
      <c r="R158" s="5"/>
      <c r="S158" s="5"/>
    </row>
    <row r="159" spans="2:19">
      <c r="Q159" s="5"/>
      <c r="R159" s="5"/>
      <c r="S159" s="5"/>
    </row>
    <row r="160" spans="2:19">
      <c r="Q160" s="5"/>
      <c r="R160" s="5"/>
      <c r="S160" s="5"/>
    </row>
    <row r="161" spans="17:19">
      <c r="Q161" s="5"/>
      <c r="R161" s="5"/>
      <c r="S161" s="5"/>
    </row>
    <row r="162" spans="17:19">
      <c r="Q162" s="5"/>
      <c r="R162" s="5"/>
      <c r="S162" s="5"/>
    </row>
    <row r="163" spans="17:19">
      <c r="Q163" s="5"/>
      <c r="R163" s="5"/>
      <c r="S163" s="5"/>
    </row>
    <row r="164" spans="17:19">
      <c r="Q164" s="5"/>
      <c r="R164" s="5"/>
      <c r="S164" s="5"/>
    </row>
    <row r="165" spans="17:19">
      <c r="Q165" s="5"/>
      <c r="R165" s="5"/>
      <c r="S165" s="5"/>
    </row>
  </sheetData>
  <pageMargins left="0.75" right="0.75" top="1" bottom="1" header="0.5" footer="0.5"/>
  <pageSetup scale="21" orientation="landscape" r:id="rId1"/>
  <headerFooter alignWithMargins="0"/>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sheetPr codeName="Sheet228">
    <pageSetUpPr fitToPage="1"/>
  </sheetPr>
  <dimension ref="B1:AR165"/>
  <sheetViews>
    <sheetView showGridLines="0" zoomScale="80" zoomScaleNormal="80" workbookViewId="0"/>
  </sheetViews>
  <sheetFormatPr defaultColWidth="9.109375" defaultRowHeight="12"/>
  <cols>
    <col min="1" max="1" width="2.33203125" style="39" customWidth="1"/>
    <col min="2" max="2" width="26.5546875" style="39" customWidth="1"/>
    <col min="3" max="9" width="10" style="39" customWidth="1"/>
    <col min="10" max="10" width="26.6640625" style="39" customWidth="1"/>
    <col min="11" max="16" width="10" style="39" customWidth="1"/>
    <col min="17" max="19" width="8.6640625" style="39" customWidth="1"/>
    <col min="20" max="28" width="8.6640625" style="5" customWidth="1"/>
    <col min="29" max="44" width="9.109375" style="5"/>
    <col min="45" max="16384" width="9.109375" style="39"/>
  </cols>
  <sheetData>
    <row r="1" spans="2:44" s="312" customFormat="1">
      <c r="T1" s="149"/>
      <c r="U1" s="149"/>
      <c r="V1" s="149"/>
      <c r="W1" s="149"/>
      <c r="X1" s="149"/>
      <c r="Y1" s="149"/>
      <c r="Z1" s="149"/>
      <c r="AA1" s="149"/>
      <c r="AB1" s="149"/>
      <c r="AC1" s="149"/>
      <c r="AD1" s="149"/>
      <c r="AE1" s="149"/>
      <c r="AF1" s="149"/>
      <c r="AG1" s="149"/>
      <c r="AH1" s="149"/>
      <c r="AI1" s="149"/>
      <c r="AJ1" s="149"/>
      <c r="AK1" s="149"/>
      <c r="AL1" s="149"/>
      <c r="AM1" s="149"/>
      <c r="AN1" s="149"/>
      <c r="AO1" s="149"/>
      <c r="AP1" s="149"/>
      <c r="AQ1" s="149"/>
      <c r="AR1" s="149"/>
    </row>
    <row r="2" spans="2:44" s="149" customFormat="1"/>
    <row r="3" spans="2:44" s="149" customFormat="1">
      <c r="H3" s="153"/>
      <c r="P3" s="153"/>
    </row>
    <row r="4" spans="2:44" s="156" customFormat="1" ht="21">
      <c r="B4" s="129" t="s">
        <v>971</v>
      </c>
      <c r="H4" s="222"/>
      <c r="P4" s="222"/>
    </row>
    <row r="5" spans="2:44" s="149" customFormat="1">
      <c r="C5" s="153"/>
      <c r="D5" s="153" t="str" cm="1">
        <f t="array" ref="D5:H5">headings</f>
        <v>2023E</v>
      </c>
      <c r="E5" s="153" t="str">
        <v>2024E</v>
      </c>
      <c r="F5" s="153" t="str">
        <v>2025E</v>
      </c>
      <c r="G5" s="153" t="str">
        <v>2026E</v>
      </c>
      <c r="H5" s="153" t="str">
        <v>23E-26E</v>
      </c>
      <c r="I5" s="153"/>
      <c r="J5" s="153"/>
      <c r="K5" s="153"/>
      <c r="L5" s="153" t="str" cm="1">
        <f t="array" ref="L5:P5">headings</f>
        <v>2023E</v>
      </c>
      <c r="M5" s="153" t="str">
        <v>2024E</v>
      </c>
      <c r="N5" s="153" t="str">
        <v>2025E</v>
      </c>
      <c r="O5" s="153" t="str">
        <v>2026E</v>
      </c>
      <c r="P5" s="153" t="str">
        <v>23E-26E</v>
      </c>
      <c r="Q5" s="162"/>
      <c r="R5" s="162"/>
      <c r="S5" s="162"/>
      <c r="T5" s="162"/>
      <c r="U5" s="162"/>
      <c r="V5" s="162"/>
      <c r="W5" s="162"/>
      <c r="X5" s="162"/>
      <c r="Y5" s="162"/>
    </row>
    <row r="6" spans="2:44">
      <c r="I6" s="5"/>
      <c r="J6" s="5"/>
      <c r="K6" s="5"/>
      <c r="L6" s="5"/>
      <c r="M6" s="5"/>
      <c r="N6" s="5"/>
      <c r="O6" s="49"/>
    </row>
    <row r="7" spans="2:44" ht="12.6" thickBot="1">
      <c r="B7" s="306" t="s">
        <v>271</v>
      </c>
      <c r="C7" s="265"/>
      <c r="D7" s="265" t="str">
        <f>D5</f>
        <v>2023E</v>
      </c>
      <c r="E7" s="265" t="str">
        <f t="shared" ref="E7:H7" si="0">E5</f>
        <v>2024E</v>
      </c>
      <c r="F7" s="265" t="str">
        <f t="shared" si="0"/>
        <v>2025E</v>
      </c>
      <c r="G7" s="265" t="str">
        <f t="shared" si="0"/>
        <v>2026E</v>
      </c>
      <c r="H7" s="265" t="str">
        <f t="shared" si="0"/>
        <v>23E-26E</v>
      </c>
      <c r="I7" s="49"/>
      <c r="J7" s="306" t="s">
        <v>1026</v>
      </c>
      <c r="K7" s="306"/>
      <c r="L7" s="265" t="str">
        <f>L5</f>
        <v>2023E</v>
      </c>
      <c r="M7" s="265" t="str">
        <f t="shared" ref="M7:P7" si="1">M5</f>
        <v>2024E</v>
      </c>
      <c r="N7" s="265" t="str">
        <f t="shared" si="1"/>
        <v>2025E</v>
      </c>
      <c r="O7" s="265" t="str">
        <f t="shared" si="1"/>
        <v>2026E</v>
      </c>
      <c r="P7" s="265" t="str">
        <f t="shared" si="1"/>
        <v>23E-26E</v>
      </c>
    </row>
    <row r="8" spans="2:44" ht="12.6" thickTop="1">
      <c r="B8" s="5"/>
      <c r="C8" s="5"/>
      <c r="D8" s="5"/>
      <c r="E8" s="5"/>
      <c r="F8" s="5"/>
      <c r="G8" s="5"/>
      <c r="H8" s="5"/>
      <c r="I8" s="5"/>
      <c r="J8" s="5"/>
      <c r="K8" s="5"/>
      <c r="L8" s="5"/>
      <c r="M8" s="5"/>
      <c r="N8" s="5"/>
      <c r="S8" s="88"/>
      <c r="T8" s="42"/>
      <c r="U8" s="42"/>
      <c r="V8" s="42"/>
      <c r="W8" s="42"/>
      <c r="X8" s="42"/>
      <c r="Y8" s="42"/>
      <c r="Z8" s="42"/>
      <c r="AA8" s="42"/>
    </row>
    <row r="9" spans="2:44">
      <c r="B9" s="41" t="s">
        <v>887</v>
      </c>
      <c r="C9" s="287">
        <f>Prices!C70</f>
        <v>4.5999999999999996</v>
      </c>
      <c r="D9" s="535">
        <v>931.67219679839138</v>
      </c>
      <c r="E9" s="543">
        <v>934.00137729038738</v>
      </c>
      <c r="F9" s="543">
        <v>936.3363807336134</v>
      </c>
      <c r="G9" s="543">
        <v>938.67722168544742</v>
      </c>
      <c r="H9" s="249"/>
      <c r="I9" s="249"/>
      <c r="J9" s="5" t="s">
        <v>273</v>
      </c>
      <c r="L9" s="529">
        <f>'DM ASIA OTHER'!D37</f>
        <v>1.8367575076363669</v>
      </c>
      <c r="M9" s="529">
        <f>'DM ASIA OTHER'!E37</f>
        <v>1.639300994694695</v>
      </c>
      <c r="N9" s="529">
        <f>'DM ASIA OTHER'!F37</f>
        <v>1.4602856449172372</v>
      </c>
      <c r="O9" s="529">
        <f>'DM ASIA OTHER'!G37</f>
        <v>1.2903900123930629</v>
      </c>
      <c r="P9" s="286">
        <f>'DM ASIA OTHER'!H37</f>
        <v>5.3559427902102774E-2</v>
      </c>
      <c r="S9" s="88"/>
      <c r="T9" s="42"/>
      <c r="U9" s="42"/>
      <c r="V9" s="42"/>
      <c r="W9" s="42"/>
      <c r="X9" s="42"/>
      <c r="Y9" s="42"/>
      <c r="Z9" s="42"/>
      <c r="AA9" s="42"/>
    </row>
    <row r="10" spans="2:44">
      <c r="B10" s="5" t="s">
        <v>274</v>
      </c>
      <c r="C10" s="5"/>
      <c r="D10" s="531">
        <v>931.67219679839138</v>
      </c>
      <c r="E10" s="531">
        <v>934.00137729038738</v>
      </c>
      <c r="F10" s="531">
        <v>936.3363807336134</v>
      </c>
      <c r="G10" s="531">
        <v>938.67722168544742</v>
      </c>
      <c r="H10" s="247"/>
      <c r="I10" s="247"/>
      <c r="J10" s="5" t="s">
        <v>184</v>
      </c>
      <c r="L10" s="529">
        <f>'DM ASIA OTHER'!D38</f>
        <v>7.3258495291616414</v>
      </c>
      <c r="M10" s="529">
        <f>'DM ASIA OTHER'!E38</f>
        <v>6.7092804879076917</v>
      </c>
      <c r="N10" s="529">
        <f>'DM ASIA OTHER'!F38</f>
        <v>5.899034748802352</v>
      </c>
      <c r="O10" s="529">
        <f>'DM ASIA OTHER'!G38</f>
        <v>5.1300483034137692</v>
      </c>
      <c r="P10" s="286">
        <f>'DM ASIA OTHER'!H38</f>
        <v>5.4696749337629358E-2</v>
      </c>
      <c r="S10" s="88"/>
      <c r="T10" s="42"/>
      <c r="U10" s="42"/>
      <c r="V10" s="42"/>
      <c r="W10" s="288"/>
      <c r="X10" s="288"/>
      <c r="Y10" s="288"/>
      <c r="Z10" s="288"/>
      <c r="AA10" s="42"/>
    </row>
    <row r="11" spans="2:44">
      <c r="B11" s="41" t="s">
        <v>888</v>
      </c>
      <c r="C11" s="5"/>
      <c r="D11" s="532">
        <f>D10*C9</f>
        <v>4285.6921052726002</v>
      </c>
      <c r="E11" s="532">
        <f>E10*$C$9</f>
        <v>4296.4063355357812</v>
      </c>
      <c r="F11" s="532">
        <f t="shared" ref="F11:G11" si="2">F10*$C$9</f>
        <v>4307.1473513746214</v>
      </c>
      <c r="G11" s="532">
        <f t="shared" si="2"/>
        <v>4317.9152197530575</v>
      </c>
      <c r="H11" s="249"/>
      <c r="I11" s="249"/>
      <c r="J11" s="5" t="s">
        <v>185</v>
      </c>
      <c r="L11" s="529">
        <f>'DM ASIA OTHER'!D39</f>
        <v>14.075420842229162</v>
      </c>
      <c r="M11" s="529">
        <f>'DM ASIA OTHER'!E39</f>
        <v>11.092965616512378</v>
      </c>
      <c r="N11" s="529">
        <f>'DM ASIA OTHER'!F39</f>
        <v>9.5483718953953414</v>
      </c>
      <c r="O11" s="529">
        <f>'DM ASIA OTHER'!G39</f>
        <v>8.2908468131168434</v>
      </c>
      <c r="P11" s="286">
        <f>'DM ASIA OTHER'!H39</f>
        <v>0.11729947188557732</v>
      </c>
      <c r="S11" s="88"/>
      <c r="T11" s="42"/>
      <c r="U11" s="42"/>
      <c r="V11" s="42"/>
      <c r="W11" s="288"/>
      <c r="X11" s="288"/>
      <c r="Y11" s="288"/>
      <c r="Z11" s="288"/>
      <c r="AA11" s="42"/>
    </row>
    <row r="12" spans="2:44">
      <c r="B12" s="5" t="s">
        <v>24</v>
      </c>
      <c r="C12" s="249"/>
      <c r="D12" s="533">
        <v>2013.3658667997497</v>
      </c>
      <c r="E12" s="533">
        <v>1903.4899149544517</v>
      </c>
      <c r="F12" s="533">
        <v>1821.5986748365094</v>
      </c>
      <c r="G12" s="533">
        <v>1730.2229438169265</v>
      </c>
      <c r="H12" s="247"/>
      <c r="I12" s="247"/>
      <c r="J12" s="5" t="s">
        <v>466</v>
      </c>
      <c r="L12" s="529">
        <f>'DM ASIA OTHER'!D40</f>
        <v>19.370348083126483</v>
      </c>
      <c r="M12" s="529">
        <f>'DM ASIA OTHER'!E40</f>
        <v>15.410727862351104</v>
      </c>
      <c r="N12" s="529">
        <f>'DM ASIA OTHER'!F40</f>
        <v>13.436366988392662</v>
      </c>
      <c r="O12" s="529">
        <f>'DM ASIA OTHER'!G40</f>
        <v>11.776196143347512</v>
      </c>
      <c r="P12" s="286">
        <f>'DM ASIA OTHER'!H40</f>
        <v>0.10558692088844279</v>
      </c>
      <c r="S12" s="88"/>
      <c r="T12" s="42"/>
      <c r="U12" s="42"/>
      <c r="V12" s="42"/>
      <c r="W12" s="288"/>
      <c r="X12" s="288"/>
      <c r="Y12" s="288"/>
      <c r="Z12" s="288"/>
      <c r="AA12" s="42"/>
    </row>
    <row r="13" spans="2:44">
      <c r="B13" s="5" t="s">
        <v>529</v>
      </c>
      <c r="C13" s="257"/>
      <c r="D13" s="533">
        <v>0</v>
      </c>
      <c r="E13" s="533">
        <v>0</v>
      </c>
      <c r="F13" s="533">
        <v>0</v>
      </c>
      <c r="G13" s="533">
        <v>0</v>
      </c>
      <c r="H13" s="247"/>
      <c r="I13" s="247"/>
      <c r="J13" s="5" t="s">
        <v>530</v>
      </c>
      <c r="L13" s="529">
        <f>'DM ASIA OTHER'!D41</f>
        <v>1.7916462792273016</v>
      </c>
      <c r="M13" s="529">
        <f>'DM ASIA OTHER'!E41</f>
        <v>1.7058565442492049</v>
      </c>
      <c r="N13" s="529">
        <f>'DM ASIA OTHER'!F41</f>
        <v>1.6096907463854528</v>
      </c>
      <c r="O13" s="529">
        <f>'DM ASIA OTHER'!G41</f>
        <v>1.4987153103503199</v>
      </c>
      <c r="P13" s="286">
        <f>'DM ASIA OTHER'!H41</f>
        <v>-5.9845449451896293E-3</v>
      </c>
      <c r="S13" s="88"/>
      <c r="T13" s="42"/>
      <c r="U13" s="42"/>
      <c r="V13" s="42"/>
      <c r="W13" s="42"/>
      <c r="X13" s="42"/>
      <c r="Y13" s="42"/>
      <c r="Z13" s="42"/>
      <c r="AA13" s="42"/>
    </row>
    <row r="14" spans="2:44">
      <c r="B14" s="5" t="s">
        <v>532</v>
      </c>
      <c r="C14" s="257"/>
      <c r="D14" s="533"/>
      <c r="E14" s="533"/>
      <c r="F14" s="533"/>
      <c r="G14" s="533"/>
      <c r="H14" s="247"/>
      <c r="I14" s="247"/>
      <c r="J14" s="5" t="s">
        <v>593</v>
      </c>
      <c r="L14" s="529">
        <f>'DM ASIA OTHER'!D42</f>
        <v>4.560852656781643</v>
      </c>
      <c r="M14" s="529">
        <f>'DM ASIA OTHER'!E42</f>
        <v>4.4391781472313179</v>
      </c>
      <c r="N14" s="529">
        <f>'DM ASIA OTHER'!F42</f>
        <v>4.2798853129501655</v>
      </c>
      <c r="O14" s="529">
        <f>'DM ASIA OTHER'!G42</f>
        <v>4.0773979497299528</v>
      </c>
      <c r="P14" s="286">
        <f>'DM ASIA OTHER'!H42</f>
        <v>-2.776838011546956E-2</v>
      </c>
      <c r="S14" s="88"/>
      <c r="T14" s="42"/>
      <c r="U14" s="42"/>
      <c r="V14" s="42"/>
      <c r="W14" s="42"/>
      <c r="X14" s="42"/>
      <c r="Y14" s="42"/>
      <c r="Z14" s="42"/>
      <c r="AA14" s="42"/>
    </row>
    <row r="15" spans="2:44">
      <c r="B15" s="5" t="s">
        <v>531</v>
      </c>
      <c r="C15" s="274"/>
      <c r="D15" s="533">
        <v>4.7</v>
      </c>
      <c r="E15" s="533">
        <v>4.7</v>
      </c>
      <c r="F15" s="533">
        <v>4.7</v>
      </c>
      <c r="G15" s="533">
        <v>4.7</v>
      </c>
      <c r="H15" s="247"/>
      <c r="I15" s="247"/>
      <c r="J15" s="5" t="s">
        <v>475</v>
      </c>
      <c r="L15" s="529">
        <f>'DM ASIA OTHER'!D43</f>
        <v>10.544407216099238</v>
      </c>
      <c r="M15" s="529">
        <f>'DM ASIA OTHER'!E43</f>
        <v>7.0257134327626716</v>
      </c>
      <c r="N15" s="529">
        <f>'DM ASIA OTHER'!F43</f>
        <v>6.3693466797417377</v>
      </c>
      <c r="O15" s="529">
        <f>'DM ASIA OTHER'!G43</f>
        <v>5.9902141583935169</v>
      </c>
      <c r="P15" s="286">
        <f>'DM ASIA OTHER'!H43</f>
        <v>0.17983109862883917</v>
      </c>
      <c r="S15" s="88"/>
      <c r="T15" s="42"/>
      <c r="U15" s="42"/>
      <c r="V15" s="42"/>
      <c r="W15" s="42"/>
      <c r="X15" s="42"/>
      <c r="Y15" s="42"/>
      <c r="Z15" s="42"/>
      <c r="AA15" s="42"/>
    </row>
    <row r="16" spans="2:44">
      <c r="B16" s="5" t="s">
        <v>534</v>
      </c>
      <c r="C16" s="257"/>
      <c r="D16" s="533">
        <v>102.48394164782304</v>
      </c>
      <c r="E16" s="533">
        <v>112.08016527484648</v>
      </c>
      <c r="F16" s="533">
        <v>121.72372949536974</v>
      </c>
      <c r="G16" s="533">
        <v>131.41481103596263</v>
      </c>
      <c r="H16" s="247"/>
      <c r="I16" s="247"/>
      <c r="J16" s="5" t="s">
        <v>533</v>
      </c>
      <c r="L16" s="529">
        <f>'DM ASIA OTHER'!D44</f>
        <v>23.939959255329136</v>
      </c>
      <c r="M16" s="529">
        <f>'DM ASIA OTHER'!E44</f>
        <v>19.092338414310159</v>
      </c>
      <c r="N16" s="529">
        <f>'DM ASIA OTHER'!F44</f>
        <v>16.97809271236245</v>
      </c>
      <c r="O16" s="529">
        <f>'DM ASIA OTHER'!G44</f>
        <v>15.388231404346129</v>
      </c>
      <c r="P16" s="286">
        <f>'DM ASIA OTHER'!H44</f>
        <v>0.14585153350726876</v>
      </c>
      <c r="S16" s="88"/>
      <c r="T16" s="42"/>
      <c r="U16" s="42"/>
      <c r="V16" s="42"/>
      <c r="W16" s="42"/>
      <c r="X16" s="42"/>
      <c r="Y16" s="42"/>
      <c r="Z16" s="42"/>
      <c r="AA16" s="42"/>
    </row>
    <row r="17" spans="2:27">
      <c r="B17" s="5" t="s">
        <v>6</v>
      </c>
      <c r="C17" s="257"/>
      <c r="D17" s="533">
        <v>0</v>
      </c>
      <c r="E17" s="533">
        <v>0</v>
      </c>
      <c r="F17" s="533">
        <v>0</v>
      </c>
      <c r="G17" s="533">
        <v>0</v>
      </c>
      <c r="H17" s="247"/>
      <c r="I17" s="247"/>
      <c r="J17" s="5" t="s">
        <v>580</v>
      </c>
      <c r="L17" s="248">
        <f>'DM ASIA OTHER'!D45</f>
        <v>3.7986924913411727E-2</v>
      </c>
      <c r="M17" s="248">
        <f>'DM ASIA OTHER'!E45</f>
        <v>3.9710475797061488E-2</v>
      </c>
      <c r="N17" s="248">
        <f>'DM ASIA OTHER'!F45</f>
        <v>4.2651580040166739E-2</v>
      </c>
      <c r="O17" s="248">
        <f>'DM ASIA OTHER'!G45</f>
        <v>4.435877655873157E-2</v>
      </c>
      <c r="P17" s="286">
        <f>'DM ASIA OTHER'!H45</f>
        <v>4.1354483578221801E-2</v>
      </c>
      <c r="S17" s="88"/>
      <c r="T17" s="42"/>
      <c r="U17" s="42"/>
      <c r="V17" s="42"/>
      <c r="W17" s="42"/>
      <c r="X17" s="42"/>
      <c r="Y17" s="42"/>
      <c r="Z17" s="42"/>
      <c r="AA17" s="42"/>
    </row>
    <row r="18" spans="2:27" ht="12.6" thickBot="1">
      <c r="B18" s="41" t="s">
        <v>583</v>
      </c>
      <c r="C18" s="249"/>
      <c r="D18" s="534">
        <f>D11+D12+D13-D14+D15-D16-D17</f>
        <v>6201.2740304245262</v>
      </c>
      <c r="E18" s="534">
        <f>E11+E12+E13-E14+E15-E16-E17</f>
        <v>6092.5160852153858</v>
      </c>
      <c r="F18" s="534">
        <f>F11+F12+F13-F14+F15-F16-F17</f>
        <v>6011.7222967157613</v>
      </c>
      <c r="G18" s="534">
        <f>G11+G12+G13-G14+G15-G16-G17</f>
        <v>5921.4233525340205</v>
      </c>
      <c r="H18" s="276">
        <f>IF(D18=0,"nm",IF(G18=0,"nm",(G18/D18)^(1/3)-1))</f>
        <v>-1.5274775065336477E-2</v>
      </c>
      <c r="I18" s="254"/>
      <c r="J18" s="5" t="s">
        <v>36</v>
      </c>
      <c r="L18" s="248">
        <f>'DM ASIA OTHER'!D46</f>
        <v>4.6986261175090624E-2</v>
      </c>
      <c r="M18" s="248">
        <f>'DM ASIA OTHER'!E46</f>
        <v>5.8582666975493018E-2</v>
      </c>
      <c r="N18" s="248">
        <f>'DM ASIA OTHER'!F46</f>
        <v>5.3715214121812398E-2</v>
      </c>
      <c r="O18" s="248">
        <f>'DM ASIA OTHER'!G46</f>
        <v>2.3993687474799737E-2</v>
      </c>
      <c r="P18" s="286">
        <f>'DM ASIA OTHER'!H46</f>
        <v>-0.20957836211079617</v>
      </c>
      <c r="S18" s="88"/>
      <c r="T18" s="42"/>
      <c r="U18" s="42"/>
      <c r="V18" s="42"/>
      <c r="W18" s="42"/>
      <c r="X18" s="42"/>
      <c r="Y18" s="42"/>
      <c r="Z18" s="42"/>
      <c r="AA18" s="42"/>
    </row>
    <row r="19" spans="2:27" ht="12.6" thickTop="1">
      <c r="B19" s="41"/>
      <c r="C19" s="249"/>
      <c r="D19" s="229"/>
      <c r="E19" s="229"/>
      <c r="F19" s="229"/>
      <c r="G19" s="229"/>
      <c r="H19" s="276"/>
      <c r="I19" s="254"/>
      <c r="J19" s="5" t="s">
        <v>581</v>
      </c>
      <c r="L19" s="248">
        <f>'DM ASIA OTHER'!D47</f>
        <v>9.4837005011831912E-2</v>
      </c>
      <c r="M19" s="248">
        <f>'DM ASIA OTHER'!E47</f>
        <v>0.1423342995085379</v>
      </c>
      <c r="N19" s="248">
        <f>'DM ASIA OTHER'!F47</f>
        <v>0.15700197371585803</v>
      </c>
      <c r="O19" s="248">
        <f>'DM ASIA OTHER'!G47</f>
        <v>0.16693893967026124</v>
      </c>
      <c r="P19" s="286">
        <f>'DM ASIA OTHER'!H47</f>
        <v>0.17983109862883917</v>
      </c>
      <c r="S19" s="88"/>
      <c r="T19" s="42"/>
      <c r="U19" s="42"/>
      <c r="V19" s="42"/>
      <c r="W19" s="42"/>
      <c r="X19" s="42"/>
      <c r="Y19" s="42"/>
      <c r="Z19" s="42"/>
      <c r="AA19" s="42"/>
    </row>
    <row r="20" spans="2:27">
      <c r="H20" s="277"/>
      <c r="I20" s="17"/>
      <c r="J20" s="5" t="s">
        <v>604</v>
      </c>
      <c r="L20" s="305">
        <f>'DM ASIA OTHER'!D48</f>
        <v>0.8133255445584151</v>
      </c>
      <c r="M20" s="305">
        <f>'DM ASIA OTHER'!E48</f>
        <v>0.57216139328324611</v>
      </c>
      <c r="N20" s="305">
        <f>'DM ASIA OTHER'!F48</f>
        <v>0.56427885109408016</v>
      </c>
      <c r="O20" s="305">
        <f>'DM ASIA OTHER'!G48</f>
        <v>0.55924314359302019</v>
      </c>
      <c r="P20" s="286" t="str">
        <f>'DM ASIA OTHER'!H48</f>
        <v>nm</v>
      </c>
      <c r="S20" s="88"/>
      <c r="T20" s="42"/>
      <c r="U20" s="42"/>
      <c r="V20" s="42"/>
      <c r="W20" s="42"/>
      <c r="X20" s="42"/>
      <c r="Y20" s="42"/>
      <c r="Z20" s="42"/>
      <c r="AA20" s="42"/>
    </row>
    <row r="21" spans="2:27" ht="12.6" thickBot="1">
      <c r="B21" s="306" t="s">
        <v>955</v>
      </c>
      <c r="C21" s="265"/>
      <c r="D21" s="265" t="str">
        <f>D5</f>
        <v>2023E</v>
      </c>
      <c r="E21" s="265" t="str">
        <f t="shared" ref="E21:H21" si="3">E5</f>
        <v>2024E</v>
      </c>
      <c r="F21" s="265" t="str">
        <f t="shared" si="3"/>
        <v>2025E</v>
      </c>
      <c r="G21" s="265" t="str">
        <f t="shared" si="3"/>
        <v>2026E</v>
      </c>
      <c r="H21" s="265" t="str">
        <f t="shared" si="3"/>
        <v>23E-26E</v>
      </c>
      <c r="I21" s="49"/>
      <c r="J21" s="41"/>
      <c r="L21" s="250"/>
      <c r="M21" s="250"/>
      <c r="N21" s="250"/>
      <c r="O21" s="250"/>
      <c r="P21" s="286"/>
      <c r="S21" s="88"/>
      <c r="T21" s="42"/>
      <c r="U21" s="42"/>
      <c r="V21" s="42"/>
      <c r="W21" s="42"/>
      <c r="X21" s="42"/>
      <c r="Y21" s="42"/>
      <c r="Z21" s="42"/>
      <c r="AA21" s="42"/>
    </row>
    <row r="22" spans="2:27" ht="12.6" thickTop="1">
      <c r="B22" s="5"/>
      <c r="C22" s="257"/>
      <c r="D22" s="17"/>
      <c r="E22" s="17"/>
      <c r="F22" s="17"/>
      <c r="G22" s="17"/>
      <c r="H22" s="17"/>
      <c r="I22" s="17"/>
      <c r="P22" s="277"/>
      <c r="S22" s="88"/>
      <c r="T22" s="42"/>
      <c r="U22" s="42"/>
      <c r="V22" s="42"/>
      <c r="W22" s="42"/>
      <c r="X22" s="42"/>
      <c r="Y22" s="42"/>
      <c r="Z22" s="42"/>
      <c r="AA22" s="42"/>
    </row>
    <row r="23" spans="2:27" ht="12.6" thickBot="1">
      <c r="B23" s="5" t="s">
        <v>584</v>
      </c>
      <c r="C23" s="548">
        <v>2777.8601207510701</v>
      </c>
      <c r="D23" s="540">
        <v>2977.0221629880307</v>
      </c>
      <c r="E23" s="540">
        <v>3105.3626927238815</v>
      </c>
      <c r="F23" s="540">
        <v>3199.9500977349526</v>
      </c>
      <c r="G23" s="540">
        <v>3277.1449191140878</v>
      </c>
      <c r="H23" s="279">
        <f>IF(D23=0,"nm",IF(G23=0,"nm",(G23/D23)^(1/3)-1))</f>
        <v>3.2534392300954673E-2</v>
      </c>
      <c r="I23" s="247"/>
      <c r="J23" s="306" t="s">
        <v>9</v>
      </c>
      <c r="K23" s="306"/>
      <c r="L23" s="265" t="str">
        <f>D21</f>
        <v>2023E</v>
      </c>
      <c r="M23" s="265" t="str">
        <f t="shared" ref="M23:P23" si="4">E21</f>
        <v>2024E</v>
      </c>
      <c r="N23" s="265" t="str">
        <f t="shared" si="4"/>
        <v>2025E</v>
      </c>
      <c r="O23" s="265" t="str">
        <f t="shared" si="4"/>
        <v>2026E</v>
      </c>
      <c r="P23" s="265" t="str">
        <f t="shared" si="4"/>
        <v>23E-26E</v>
      </c>
      <c r="S23" s="88"/>
      <c r="T23" s="42"/>
      <c r="U23" s="42"/>
      <c r="V23" s="42"/>
      <c r="W23" s="42"/>
      <c r="X23" s="42"/>
      <c r="Y23" s="42"/>
      <c r="Z23" s="42"/>
      <c r="AA23" s="42"/>
    </row>
    <row r="24" spans="2:27" ht="12.6" thickTop="1">
      <c r="B24" s="5" t="s">
        <v>483</v>
      </c>
      <c r="C24" s="549">
        <v>786.66195284095454</v>
      </c>
      <c r="D24" s="540">
        <v>759.21972691097437</v>
      </c>
      <c r="E24" s="540">
        <v>743.79315449909268</v>
      </c>
      <c r="F24" s="540">
        <v>770.92757865270528</v>
      </c>
      <c r="G24" s="540">
        <v>795.47124607313503</v>
      </c>
      <c r="H24" s="279">
        <f>IF(D24=0,"nm",IF(G24=0,"nm",(G24/D24)^(1/3)-1))</f>
        <v>1.5669319800876602E-2</v>
      </c>
      <c r="I24" s="249"/>
      <c r="J24" s="17"/>
      <c r="K24" s="17"/>
      <c r="L24" s="17"/>
      <c r="M24" s="17"/>
      <c r="N24" s="17"/>
      <c r="O24" s="248"/>
      <c r="S24" s="88"/>
      <c r="T24" s="42"/>
      <c r="U24" s="42"/>
      <c r="V24" s="42"/>
      <c r="W24" s="42" t="s">
        <v>306</v>
      </c>
      <c r="X24" s="42" t="s">
        <v>259</v>
      </c>
      <c r="Y24" s="42"/>
      <c r="Z24" s="42"/>
      <c r="AA24" s="42"/>
    </row>
    <row r="25" spans="2:27">
      <c r="B25" s="5" t="s">
        <v>183</v>
      </c>
      <c r="C25" s="548">
        <v>318.55400891572094</v>
      </c>
      <c r="D25" s="540">
        <v>403.56222691097435</v>
      </c>
      <c r="E25" s="540">
        <v>417.76589949909265</v>
      </c>
      <c r="F25" s="540">
        <v>420.27968220270526</v>
      </c>
      <c r="G25" s="540">
        <v>440.80391272963504</v>
      </c>
      <c r="H25" s="279">
        <f>IF(D25=0,"nm",IF(G25=0,"nm",(G25/D25)^(1/3)-1))</f>
        <v>2.9860284419041871E-2</v>
      </c>
      <c r="I25" s="248"/>
      <c r="J25" s="247" t="s">
        <v>10</v>
      </c>
      <c r="K25" s="247"/>
      <c r="L25" s="321">
        <v>0</v>
      </c>
      <c r="M25" s="321">
        <v>0</v>
      </c>
      <c r="N25" s="321">
        <v>0</v>
      </c>
      <c r="O25" s="321">
        <v>0</v>
      </c>
      <c r="P25" s="279" t="str">
        <f>IF(L25=0,"nm",IF(O25=0,"nm",(O25/L25)^(1/3)-1))</f>
        <v>nm</v>
      </c>
      <c r="S25" s="88"/>
      <c r="T25" s="42"/>
      <c r="U25" s="42"/>
      <c r="V25" s="147" t="s">
        <v>273</v>
      </c>
      <c r="W25" s="288">
        <f>D37/L9</f>
        <v>1.1340887216226074</v>
      </c>
      <c r="X25" s="288">
        <v>1</v>
      </c>
      <c r="Y25" s="42"/>
      <c r="Z25" s="42"/>
      <c r="AA25" s="42"/>
    </row>
    <row r="26" spans="2:27">
      <c r="B26" s="5" t="s">
        <v>586</v>
      </c>
      <c r="C26" s="548">
        <v>222.98780624100465</v>
      </c>
      <c r="D26" s="540">
        <v>282.49355883768203</v>
      </c>
      <c r="E26" s="540">
        <v>292.43612964936483</v>
      </c>
      <c r="F26" s="540">
        <v>294.19577754189368</v>
      </c>
      <c r="G26" s="540">
        <v>308.56273891074449</v>
      </c>
      <c r="H26" s="279">
        <f>IF(D26=0,"nm",IF(G26=0,"nm",(G26/D26)^(1/3)-1))</f>
        <v>2.9860284419041871E-2</v>
      </c>
      <c r="I26" s="249"/>
      <c r="J26" s="249" t="s">
        <v>11</v>
      </c>
      <c r="K26" s="249"/>
      <c r="L26" s="281">
        <f>D11+L25</f>
        <v>4285.6921052726002</v>
      </c>
      <c r="M26" s="281">
        <f>E11+M25</f>
        <v>4296.4063355357812</v>
      </c>
      <c r="N26" s="281">
        <f>F11+N25</f>
        <v>4307.1473513746214</v>
      </c>
      <c r="O26" s="281">
        <f>G11+O25</f>
        <v>4317.9152197530575</v>
      </c>
      <c r="P26" s="279">
        <f>IF(L26=0,"nm",IF(O26=0,"nm",(O26/L26)^(1/3)-1))</f>
        <v>2.4999999999999467E-3</v>
      </c>
      <c r="Q26" s="5"/>
      <c r="S26" s="88"/>
      <c r="T26" s="42"/>
      <c r="U26" s="42"/>
      <c r="V26" s="147" t="s">
        <v>184</v>
      </c>
      <c r="W26" s="288">
        <f t="shared" ref="W26:W33" si="5">D38/L10</f>
        <v>1.1149501362659431</v>
      </c>
      <c r="X26" s="288">
        <v>1</v>
      </c>
      <c r="Y26" s="42"/>
      <c r="Z26" s="42"/>
      <c r="AA26" s="42"/>
    </row>
    <row r="27" spans="2:27">
      <c r="B27" s="5" t="s">
        <v>587</v>
      </c>
      <c r="C27" s="549">
        <v>4692.8325597604071</v>
      </c>
      <c r="D27" s="540">
        <v>5064.5087204165848</v>
      </c>
      <c r="E27" s="540">
        <v>5094.4934879828697</v>
      </c>
      <c r="F27" s="540">
        <v>5161.9091164444171</v>
      </c>
      <c r="G27" s="540">
        <v>5225.7733743611616</v>
      </c>
      <c r="H27" s="279">
        <f>IF(ISERROR((G27/D27)^(1/3)-1),"na",(G27/D27)^(1/3)-1)</f>
        <v>1.0503331129055438E-2</v>
      </c>
      <c r="I27" s="249"/>
      <c r="J27" s="248"/>
      <c r="K27" s="248"/>
      <c r="L27" s="248"/>
      <c r="M27" s="248"/>
      <c r="N27" s="248"/>
      <c r="O27" s="248"/>
      <c r="Q27" s="41"/>
      <c r="S27" s="88"/>
      <c r="T27" s="42"/>
      <c r="U27" s="42"/>
      <c r="V27" s="147" t="s">
        <v>185</v>
      </c>
      <c r="W27" s="288">
        <f t="shared" si="5"/>
        <v>1.0917143637519691</v>
      </c>
      <c r="X27" s="288">
        <v>1</v>
      </c>
      <c r="Y27" s="42"/>
      <c r="Z27" s="42"/>
      <c r="AA27" s="42"/>
    </row>
    <row r="28" spans="2:27" ht="12.6" thickBot="1">
      <c r="B28" s="5" t="s">
        <v>592</v>
      </c>
      <c r="C28" s="548">
        <v>1705.2231808217769</v>
      </c>
      <c r="D28" s="540">
        <v>1830.675551410837</v>
      </c>
      <c r="E28" s="540">
        <v>1909.5616069703742</v>
      </c>
      <c r="F28" s="540">
        <v>2002.4186864793739</v>
      </c>
      <c r="G28" s="540">
        <v>2086.7594971481585</v>
      </c>
      <c r="H28" s="279">
        <f>IF(ISERROR((G28/D28)^(1/3)-1),"na",(G28/D28)^(1/3)-1)</f>
        <v>4.4608781409746667E-2</v>
      </c>
      <c r="I28" s="248"/>
      <c r="J28" s="306" t="s">
        <v>1362</v>
      </c>
      <c r="K28" s="306"/>
      <c r="L28" s="306"/>
      <c r="M28" s="306"/>
      <c r="N28" s="266"/>
      <c r="O28" s="266"/>
      <c r="P28" s="266"/>
      <c r="Q28" s="5"/>
      <c r="S28" s="88"/>
      <c r="T28" s="42"/>
      <c r="U28" s="42"/>
      <c r="V28" s="147" t="s">
        <v>466</v>
      </c>
      <c r="W28" s="288">
        <f t="shared" si="5"/>
        <v>1.1332740598724735</v>
      </c>
      <c r="X28" s="288">
        <v>1</v>
      </c>
      <c r="Y28" s="42"/>
      <c r="Z28" s="42"/>
      <c r="AA28" s="42"/>
    </row>
    <row r="29" spans="2:27" ht="12.6" thickTop="1">
      <c r="B29" s="5" t="s">
        <v>588</v>
      </c>
      <c r="C29" s="548">
        <v>127.12598032893777</v>
      </c>
      <c r="D29" s="540">
        <v>216.79646332703987</v>
      </c>
      <c r="E29" s="540">
        <v>242.29109855034557</v>
      </c>
      <c r="F29" s="540">
        <v>223.48108125917742</v>
      </c>
      <c r="G29" s="540">
        <v>242.17319318048158</v>
      </c>
      <c r="H29" s="279">
        <f>IF(D29=0,"nm",IF(G29=0,"nm",(G29/D29)^(1/3)-1))</f>
        <v>3.7587246610938374E-2</v>
      </c>
      <c r="I29" s="252"/>
      <c r="J29" s="249"/>
      <c r="K29" s="249"/>
      <c r="L29" s="249"/>
      <c r="M29" s="249"/>
      <c r="N29" s="249"/>
      <c r="O29" s="251"/>
      <c r="Q29" s="5"/>
      <c r="S29" s="88"/>
      <c r="T29" s="42"/>
      <c r="U29" s="42"/>
      <c r="V29" s="147" t="s">
        <v>530</v>
      </c>
      <c r="W29" s="288">
        <f t="shared" si="5"/>
        <v>0.68342573374806248</v>
      </c>
      <c r="X29" s="288">
        <v>1</v>
      </c>
      <c r="Y29" s="42"/>
      <c r="Z29" s="42"/>
      <c r="AA29" s="42"/>
    </row>
    <row r="30" spans="2:27">
      <c r="B30" s="5" t="s">
        <v>589</v>
      </c>
      <c r="C30" s="549">
        <v>296.20537618828155</v>
      </c>
      <c r="D30" s="540">
        <v>243.33262385258661</v>
      </c>
      <c r="E30" s="540">
        <v>247.17586636034224</v>
      </c>
      <c r="F30" s="540">
        <v>265.7967094768515</v>
      </c>
      <c r="G30" s="540">
        <v>280.93745199245848</v>
      </c>
      <c r="H30" s="279">
        <f>IF(D30=0,"nm",IF(G30=0,"nm",(G30/D30)^(1/3)-1))</f>
        <v>4.9066696052127545E-2</v>
      </c>
      <c r="I30" s="254"/>
      <c r="J30" s="248"/>
      <c r="K30" s="248"/>
      <c r="L30" s="248"/>
      <c r="M30" s="248"/>
      <c r="N30" s="248"/>
      <c r="O30" s="5"/>
      <c r="Q30" s="5"/>
      <c r="S30" s="88"/>
      <c r="T30" s="42"/>
      <c r="U30" s="42"/>
      <c r="V30" s="147" t="s">
        <v>593</v>
      </c>
      <c r="W30" s="288">
        <f t="shared" si="5"/>
        <v>0.74271723034523562</v>
      </c>
      <c r="X30" s="288">
        <v>1</v>
      </c>
      <c r="Y30" s="42"/>
      <c r="Z30" s="42"/>
      <c r="AA30" s="42"/>
    </row>
    <row r="31" spans="2:27">
      <c r="B31" s="5" t="s">
        <v>590</v>
      </c>
      <c r="C31" s="549">
        <v>92.934882473654994</v>
      </c>
      <c r="D31" s="540">
        <v>102.48394164782304</v>
      </c>
      <c r="E31" s="540">
        <v>112.08016527484648</v>
      </c>
      <c r="F31" s="540">
        <v>121.72372949536974</v>
      </c>
      <c r="G31" s="540">
        <v>131.41481103596263</v>
      </c>
      <c r="H31" s="279">
        <f>IF(D31=0,"nm",IF(G31=0,"nm",(G31/D31)^(1/3)-1))</f>
        <v>8.6416029568481711E-2</v>
      </c>
      <c r="I31" s="254"/>
      <c r="J31" s="252"/>
      <c r="K31" s="252"/>
      <c r="L31" s="252"/>
      <c r="M31" s="252"/>
      <c r="N31" s="252"/>
      <c r="O31" s="5"/>
      <c r="Q31" s="5"/>
      <c r="S31" s="88"/>
      <c r="T31" s="42"/>
      <c r="U31" s="42"/>
      <c r="V31" s="147" t="s">
        <v>475</v>
      </c>
      <c r="W31" s="288">
        <f t="shared" si="5"/>
        <v>1.8747639948986783</v>
      </c>
      <c r="X31" s="288">
        <v>1</v>
      </c>
      <c r="Y31" s="42"/>
      <c r="Z31" s="42"/>
      <c r="AA31" s="42"/>
    </row>
    <row r="32" spans="2:27">
      <c r="B32" s="5" t="s">
        <v>606</v>
      </c>
      <c r="C32" s="550">
        <v>12.818199288798951</v>
      </c>
      <c r="D32" s="540">
        <v>13.235752130631681</v>
      </c>
      <c r="E32" s="540">
        <v>13.666906756287062</v>
      </c>
      <c r="F32" s="540">
        <v>14.112106243873086</v>
      </c>
      <c r="G32" s="540">
        <v>14.571808104767342</v>
      </c>
      <c r="H32" s="279">
        <f>IF(D32=0,"nm",IF(G32=0,"nm",(G32/D32)^(1/3)-1))</f>
        <v>3.2575000000002907E-2</v>
      </c>
      <c r="I32" s="254"/>
      <c r="J32" s="254"/>
      <c r="K32" s="254"/>
      <c r="L32" s="254"/>
      <c r="M32" s="254"/>
      <c r="N32" s="254"/>
      <c r="O32" s="251"/>
      <c r="Q32" s="5"/>
      <c r="S32" s="88"/>
      <c r="T32" s="42"/>
      <c r="U32" s="42"/>
      <c r="V32" s="147" t="s">
        <v>533</v>
      </c>
      <c r="W32" s="288">
        <f t="shared" si="5"/>
        <v>0.73569401157972958</v>
      </c>
      <c r="X32" s="288">
        <v>1</v>
      </c>
      <c r="Y32" s="42"/>
      <c r="Z32" s="42"/>
      <c r="AA32" s="42"/>
    </row>
    <row r="33" spans="2:27">
      <c r="B33" s="5" t="s">
        <v>5</v>
      </c>
      <c r="C33" s="549">
        <v>96.742562911081819</v>
      </c>
      <c r="D33" s="540">
        <v>126.41636342491078</v>
      </c>
      <c r="E33" s="540">
        <v>97.921394543855044</v>
      </c>
      <c r="F33" s="540">
        <v>93.127214744774079</v>
      </c>
      <c r="G33" s="540">
        <v>88.795540466336107</v>
      </c>
      <c r="H33" s="279">
        <f>IF(ISERROR((G33/D33)^(1/3)-1),"na",(G33/D33)^(1/3)-1)</f>
        <v>-0.11108011651946204</v>
      </c>
      <c r="I33" s="5"/>
      <c r="J33" s="254"/>
      <c r="K33" s="254"/>
      <c r="L33" s="254"/>
      <c r="M33" s="254"/>
      <c r="N33" s="254"/>
      <c r="O33" s="251"/>
      <c r="Q33" s="5"/>
      <c r="S33" s="88"/>
      <c r="T33" s="42"/>
      <c r="U33" s="42"/>
      <c r="V33" s="147" t="s">
        <v>580</v>
      </c>
      <c r="W33" s="288">
        <f t="shared" si="5"/>
        <v>0.62950721946482413</v>
      </c>
      <c r="X33" s="288">
        <v>1</v>
      </c>
      <c r="Y33" s="42"/>
      <c r="Z33" s="42"/>
      <c r="AA33" s="42"/>
    </row>
    <row r="34" spans="2:27">
      <c r="D34" s="5"/>
      <c r="E34" s="5"/>
      <c r="F34" s="5"/>
      <c r="G34" s="5"/>
      <c r="I34" s="49"/>
      <c r="J34" s="254"/>
      <c r="K34" s="254"/>
      <c r="L34" s="254"/>
      <c r="M34" s="254"/>
      <c r="N34" s="254"/>
      <c r="O34" s="251"/>
      <c r="Q34" s="5"/>
      <c r="S34" s="88"/>
      <c r="T34" s="42"/>
      <c r="U34" s="42"/>
      <c r="V34" s="147" t="s">
        <v>581</v>
      </c>
      <c r="W34" s="288">
        <f>D47/L19</f>
        <v>0.53340047212398334</v>
      </c>
      <c r="X34" s="288">
        <v>1</v>
      </c>
      <c r="Y34" s="288"/>
      <c r="Z34" s="288"/>
      <c r="AA34" s="42"/>
    </row>
    <row r="35" spans="2:27" ht="12.6" thickBot="1">
      <c r="B35" s="306" t="s">
        <v>649</v>
      </c>
      <c r="C35" s="265"/>
      <c r="D35" s="265" t="str">
        <f>D5</f>
        <v>2023E</v>
      </c>
      <c r="E35" s="265" t="str">
        <f t="shared" ref="E35:H35" si="6">E5</f>
        <v>2024E</v>
      </c>
      <c r="F35" s="265" t="str">
        <f t="shared" si="6"/>
        <v>2025E</v>
      </c>
      <c r="G35" s="265" t="str">
        <f t="shared" si="6"/>
        <v>2026E</v>
      </c>
      <c r="H35" s="265" t="str">
        <f t="shared" si="6"/>
        <v>23E-26E</v>
      </c>
      <c r="I35" s="254"/>
      <c r="J35" s="5"/>
      <c r="K35" s="5"/>
      <c r="L35" s="5"/>
      <c r="M35" s="5"/>
      <c r="N35" s="5"/>
      <c r="O35" s="5"/>
      <c r="Q35" s="5"/>
      <c r="S35" s="88"/>
      <c r="T35" s="42"/>
      <c r="U35" s="42"/>
      <c r="V35" s="42"/>
      <c r="W35" s="42"/>
      <c r="X35" s="42"/>
      <c r="Y35" s="288"/>
      <c r="Z35" s="288"/>
      <c r="AA35" s="42"/>
    </row>
    <row r="36" spans="2:27" ht="12.6" thickTop="1">
      <c r="B36" s="41"/>
      <c r="C36" s="249"/>
      <c r="D36" s="254"/>
      <c r="E36" s="254"/>
      <c r="F36" s="254"/>
      <c r="G36" s="254"/>
      <c r="H36" s="254"/>
      <c r="I36" s="17"/>
      <c r="J36" s="49"/>
      <c r="K36" s="49"/>
      <c r="L36" s="49"/>
      <c r="M36" s="49"/>
      <c r="N36" s="49"/>
      <c r="O36" s="49"/>
      <c r="Q36" s="5"/>
      <c r="S36" s="88"/>
      <c r="T36" s="42"/>
      <c r="U36" s="42"/>
      <c r="V36" s="42"/>
      <c r="W36" s="42"/>
      <c r="X36" s="42"/>
      <c r="Y36" s="288"/>
      <c r="Z36" s="288"/>
      <c r="AA36" s="42"/>
    </row>
    <row r="37" spans="2:27">
      <c r="B37" s="5" t="s">
        <v>273</v>
      </c>
      <c r="C37" s="247"/>
      <c r="D37" s="529">
        <f>D$18/D23</f>
        <v>2.0830459737660538</v>
      </c>
      <c r="E37" s="529">
        <f t="shared" ref="E37:G40" si="7">E$18/E23</f>
        <v>1.9619338183879933</v>
      </c>
      <c r="F37" s="529">
        <f t="shared" si="7"/>
        <v>1.8786925149148697</v>
      </c>
      <c r="G37" s="529">
        <f t="shared" si="7"/>
        <v>1.8068848032923615</v>
      </c>
      <c r="H37" s="17">
        <f t="shared" ref="H37:H45" si="8">H23</f>
        <v>3.2534392300954673E-2</v>
      </c>
      <c r="I37" s="5"/>
      <c r="J37" s="259"/>
      <c r="K37" s="259"/>
      <c r="L37" s="259"/>
      <c r="M37" s="259"/>
      <c r="N37" s="259"/>
      <c r="O37" s="18"/>
      <c r="Q37" s="5"/>
      <c r="R37" s="5"/>
      <c r="S37" s="42"/>
      <c r="T37" s="42"/>
      <c r="U37" s="42"/>
      <c r="V37" s="42"/>
      <c r="W37" s="42"/>
      <c r="X37" s="42"/>
      <c r="Y37" s="42"/>
      <c r="Z37" s="42"/>
      <c r="AA37" s="42"/>
    </row>
    <row r="38" spans="2:27">
      <c r="B38" s="5" t="s">
        <v>184</v>
      </c>
      <c r="C38" s="247"/>
      <c r="D38" s="529">
        <f>D$18/D24</f>
        <v>8.1679569308025677</v>
      </c>
      <c r="E38" s="529">
        <f t="shared" si="7"/>
        <v>8.1911429923261245</v>
      </c>
      <c r="F38" s="529">
        <f t="shared" si="7"/>
        <v>7.7980376668091393</v>
      </c>
      <c r="G38" s="529">
        <f t="shared" si="7"/>
        <v>7.4439187862104186</v>
      </c>
      <c r="H38" s="17">
        <f t="shared" si="8"/>
        <v>1.5669319800876602E-2</v>
      </c>
      <c r="I38" s="259"/>
      <c r="J38" s="17"/>
      <c r="K38" s="17"/>
      <c r="L38" s="17"/>
      <c r="M38" s="17"/>
      <c r="N38" s="17"/>
      <c r="O38" s="5"/>
      <c r="Q38" s="5"/>
      <c r="R38" s="5"/>
      <c r="S38" s="42"/>
      <c r="T38" s="42"/>
      <c r="U38" s="42"/>
      <c r="V38" s="42"/>
      <c r="W38" s="42"/>
      <c r="X38" s="42"/>
      <c r="Y38" s="42"/>
      <c r="Z38" s="42"/>
      <c r="AA38" s="42"/>
    </row>
    <row r="39" spans="2:27">
      <c r="B39" s="5" t="s">
        <v>185</v>
      </c>
      <c r="C39" s="247"/>
      <c r="D39" s="529">
        <f>D$18/D25</f>
        <v>15.366339109315414</v>
      </c>
      <c r="E39" s="529">
        <f t="shared" si="7"/>
        <v>14.583564844618483</v>
      </c>
      <c r="F39" s="529">
        <f t="shared" si="7"/>
        <v>14.30409927315079</v>
      </c>
      <c r="G39" s="529">
        <f t="shared" si="7"/>
        <v>13.433236823752734</v>
      </c>
      <c r="H39" s="17">
        <f t="shared" si="8"/>
        <v>2.9860284419041871E-2</v>
      </c>
      <c r="I39" s="17"/>
      <c r="J39" s="5"/>
      <c r="K39" s="5"/>
      <c r="L39" s="5"/>
      <c r="M39" s="5"/>
      <c r="N39" s="5"/>
      <c r="O39" s="5"/>
      <c r="Q39" s="5"/>
      <c r="R39" s="5"/>
      <c r="S39" s="42"/>
      <c r="T39" s="42"/>
      <c r="U39" s="42"/>
      <c r="V39" s="42"/>
      <c r="W39" s="42"/>
      <c r="X39" s="42"/>
      <c r="Y39" s="42"/>
      <c r="Z39" s="42"/>
      <c r="AA39" s="42"/>
    </row>
    <row r="40" spans="2:27">
      <c r="B40" s="5" t="s">
        <v>466</v>
      </c>
      <c r="C40" s="247"/>
      <c r="D40" s="529">
        <f>D$18/D26</f>
        <v>21.951913013307735</v>
      </c>
      <c r="E40" s="529">
        <f t="shared" si="7"/>
        <v>20.833664063740692</v>
      </c>
      <c r="F40" s="529">
        <f t="shared" si="7"/>
        <v>20.434427533072558</v>
      </c>
      <c r="G40" s="529">
        <f t="shared" si="7"/>
        <v>19.190338319646767</v>
      </c>
      <c r="H40" s="17">
        <f t="shared" si="8"/>
        <v>2.9860284419041871E-2</v>
      </c>
      <c r="I40" s="5"/>
      <c r="J40" s="259"/>
      <c r="K40" s="259"/>
      <c r="L40" s="259"/>
      <c r="M40" s="259"/>
      <c r="N40" s="259"/>
      <c r="O40" s="18"/>
      <c r="Q40" s="5"/>
      <c r="R40" s="5"/>
      <c r="S40" s="42"/>
      <c r="T40" s="42"/>
      <c r="U40" s="42"/>
      <c r="V40" s="42"/>
      <c r="W40" s="288"/>
      <c r="X40" s="288"/>
      <c r="Y40" s="42"/>
      <c r="Z40" s="42"/>
      <c r="AA40" s="42"/>
    </row>
    <row r="41" spans="2:27">
      <c r="B41" s="5" t="s">
        <v>530</v>
      </c>
      <c r="C41" s="247"/>
      <c r="D41" s="529">
        <f>D18/D27</f>
        <v>1.2244571729979046</v>
      </c>
      <c r="E41" s="529">
        <f t="shared" ref="E41:G41" si="9">E18/E27</f>
        <v>1.1959022225834028</v>
      </c>
      <c r="F41" s="529">
        <f t="shared" si="9"/>
        <v>1.1646315657833017</v>
      </c>
      <c r="G41" s="529">
        <f t="shared" si="9"/>
        <v>1.1331190482897473</v>
      </c>
      <c r="H41" s="17">
        <f t="shared" si="8"/>
        <v>1.0503331129055438E-2</v>
      </c>
      <c r="I41" s="247"/>
      <c r="J41" s="17"/>
      <c r="K41" s="17"/>
      <c r="L41" s="17"/>
      <c r="M41" s="17"/>
      <c r="N41" s="17"/>
      <c r="O41" s="5"/>
      <c r="Q41" s="5"/>
      <c r="R41" s="5"/>
      <c r="S41" s="42"/>
      <c r="T41" s="42"/>
      <c r="U41" s="42"/>
      <c r="V41" s="42"/>
      <c r="W41" s="288"/>
      <c r="X41" s="288"/>
      <c r="Y41" s="288"/>
      <c r="Z41" s="288"/>
      <c r="AA41" s="42"/>
    </row>
    <row r="42" spans="2:27">
      <c r="B42" s="5" t="s">
        <v>593</v>
      </c>
      <c r="C42" s="247"/>
      <c r="D42" s="529">
        <f>D18/D28</f>
        <v>3.3874238532575713</v>
      </c>
      <c r="E42" s="529">
        <f t="shared" ref="E42:G42" si="10">E18/E28</f>
        <v>3.1905313046597654</v>
      </c>
      <c r="F42" s="529">
        <f t="shared" si="10"/>
        <v>3.0022304212939064</v>
      </c>
      <c r="G42" s="529">
        <f t="shared" si="10"/>
        <v>2.8376165823739887</v>
      </c>
      <c r="H42" s="17">
        <f t="shared" si="8"/>
        <v>4.4608781409746667E-2</v>
      </c>
      <c r="I42" s="248"/>
      <c r="J42" s="5"/>
      <c r="K42" s="5"/>
      <c r="L42" s="5"/>
      <c r="M42" s="5"/>
      <c r="N42" s="5"/>
      <c r="O42" s="5"/>
      <c r="Q42" s="5"/>
      <c r="R42" s="5"/>
      <c r="S42" s="42"/>
      <c r="T42" s="42"/>
      <c r="U42" s="42"/>
      <c r="V42" s="42"/>
      <c r="W42" s="288"/>
      <c r="X42" s="288"/>
      <c r="Y42" s="288"/>
      <c r="Z42" s="288"/>
      <c r="AA42" s="42"/>
    </row>
    <row r="43" spans="2:27">
      <c r="B43" s="5" t="s">
        <v>475</v>
      </c>
      <c r="C43" s="247"/>
      <c r="D43" s="529">
        <f>L26/D29</f>
        <v>19.768274996292657</v>
      </c>
      <c r="E43" s="529">
        <f>M26/E29</f>
        <v>17.732415104152217</v>
      </c>
      <c r="F43" s="529">
        <f>N26/F29</f>
        <v>19.272984214621278</v>
      </c>
      <c r="G43" s="529">
        <f>O26/G29</f>
        <v>17.82986449922678</v>
      </c>
      <c r="H43" s="17">
        <f t="shared" si="8"/>
        <v>3.7587246610938374E-2</v>
      </c>
      <c r="I43" s="247"/>
      <c r="J43" s="247"/>
      <c r="K43" s="247"/>
      <c r="L43" s="247"/>
      <c r="M43" s="247"/>
      <c r="N43" s="247"/>
      <c r="O43" s="18"/>
      <c r="Q43" s="5"/>
      <c r="R43" s="5"/>
      <c r="S43" s="42"/>
      <c r="T43" s="42"/>
      <c r="U43" s="42"/>
      <c r="V43" s="42"/>
      <c r="W43" s="288"/>
      <c r="X43" s="288"/>
      <c r="Y43" s="288"/>
      <c r="Z43" s="288"/>
      <c r="AA43" s="42"/>
    </row>
    <row r="44" spans="2:27">
      <c r="B44" s="5" t="s">
        <v>533</v>
      </c>
      <c r="C44" s="69"/>
      <c r="D44" s="529">
        <f>D11/D30</f>
        <v>17.612484661608367</v>
      </c>
      <c r="E44" s="529">
        <f>E11/E30</f>
        <v>17.381981496819431</v>
      </c>
      <c r="F44" s="529">
        <f>F11/F30</f>
        <v>16.204667694540195</v>
      </c>
      <c r="G44" s="529">
        <f>G11/G30</f>
        <v>15.36966747982383</v>
      </c>
      <c r="H44" s="17">
        <f t="shared" si="8"/>
        <v>4.9066696052127545E-2</v>
      </c>
      <c r="I44" s="247"/>
      <c r="J44" s="248"/>
      <c r="K44" s="248"/>
      <c r="L44" s="248"/>
      <c r="M44" s="248"/>
      <c r="N44" s="248"/>
      <c r="O44" s="248"/>
      <c r="Q44" s="5"/>
      <c r="R44" s="5"/>
      <c r="S44" s="42"/>
      <c r="T44" s="42"/>
      <c r="U44" s="42"/>
      <c r="V44" s="42"/>
      <c r="W44" s="325"/>
      <c r="X44" s="325"/>
      <c r="Y44" s="288"/>
      <c r="Z44" s="288"/>
      <c r="AA44" s="42"/>
    </row>
    <row r="45" spans="2:27">
      <c r="B45" s="5" t="s">
        <v>580</v>
      </c>
      <c r="C45" s="247"/>
      <c r="D45" s="248">
        <f>D31/D11</f>
        <v>2.391304347826087E-2</v>
      </c>
      <c r="E45" s="248">
        <f>E31/E11</f>
        <v>2.6086956521739132E-2</v>
      </c>
      <c r="F45" s="248">
        <f>F31/F11</f>
        <v>2.8260869565217391E-2</v>
      </c>
      <c r="G45" s="248">
        <f>G31/G11</f>
        <v>3.0434782608695653E-2</v>
      </c>
      <c r="H45" s="17">
        <f t="shared" si="8"/>
        <v>8.6416029568481711E-2</v>
      </c>
      <c r="I45" s="248"/>
      <c r="J45" s="247"/>
      <c r="K45" s="247"/>
      <c r="L45" s="247"/>
      <c r="M45" s="247"/>
      <c r="N45" s="247"/>
      <c r="O45" s="248"/>
      <c r="Q45" s="5"/>
      <c r="R45" s="5"/>
      <c r="S45" s="42"/>
      <c r="T45" s="42"/>
      <c r="U45" s="42"/>
      <c r="V45" s="42"/>
      <c r="W45" s="42"/>
      <c r="X45" s="42"/>
      <c r="Y45" s="325"/>
      <c r="Z45" s="325"/>
      <c r="AA45" s="42"/>
    </row>
    <row r="46" spans="2:27">
      <c r="B46" s="5" t="s">
        <v>605</v>
      </c>
      <c r="C46" s="247"/>
      <c r="D46" s="248">
        <f>(D31+D32)/D11</f>
        <v>2.7001401625676078E-2</v>
      </c>
      <c r="E46" s="248">
        <f>(E31+E32)/E11</f>
        <v>2.9267965413576815E-2</v>
      </c>
      <c r="F46" s="248">
        <f>(F31+F32)/F11</f>
        <v>3.1537308723810199E-2</v>
      </c>
      <c r="G46" s="248">
        <f>(G31+G32)/G11</f>
        <v>3.3809514942046266E-2</v>
      </c>
      <c r="H46" s="279">
        <f>((G31+G32)/(D31+D32))^(1/3)-1</f>
        <v>8.0526091874885797E-2</v>
      </c>
      <c r="I46" s="247"/>
      <c r="J46" s="247"/>
      <c r="K46" s="247"/>
      <c r="L46" s="247"/>
      <c r="M46" s="247"/>
      <c r="N46" s="247"/>
      <c r="O46" s="18"/>
      <c r="Q46" s="5"/>
      <c r="R46" s="5"/>
      <c r="S46" s="42"/>
      <c r="T46" s="42"/>
      <c r="U46" s="42"/>
      <c r="V46" s="42"/>
      <c r="W46" s="42"/>
      <c r="X46" s="42"/>
      <c r="Y46" s="42"/>
      <c r="Z46" s="42"/>
      <c r="AA46" s="326"/>
    </row>
    <row r="47" spans="2:27">
      <c r="B47" s="5" t="s">
        <v>581</v>
      </c>
      <c r="C47" s="5"/>
      <c r="D47" s="248">
        <f>1/D43</f>
        <v>5.0586103248135714E-2</v>
      </c>
      <c r="E47" s="248">
        <f>1/E43</f>
        <v>5.6393897510657771E-2</v>
      </c>
      <c r="F47" s="248">
        <f>1/F43</f>
        <v>5.188610071300525E-2</v>
      </c>
      <c r="G47" s="248">
        <f>1/G43</f>
        <v>5.6085675807764357E-2</v>
      </c>
      <c r="H47" s="17">
        <f>H29</f>
        <v>3.7587246610938374E-2</v>
      </c>
      <c r="I47" s="17"/>
      <c r="J47" s="248"/>
      <c r="K47" s="248"/>
      <c r="L47" s="248"/>
      <c r="M47" s="248"/>
      <c r="N47" s="248"/>
      <c r="O47" s="248"/>
      <c r="Q47" s="5"/>
      <c r="R47" s="5"/>
      <c r="S47" s="42"/>
      <c r="T47" s="42"/>
      <c r="U47" s="42"/>
      <c r="V47" s="42"/>
      <c r="W47" s="42"/>
      <c r="X47" s="42"/>
      <c r="Y47" s="42"/>
      <c r="Z47" s="42"/>
      <c r="AA47" s="326"/>
    </row>
    <row r="48" spans="2:27">
      <c r="B48" s="5" t="s">
        <v>618</v>
      </c>
      <c r="C48" s="5"/>
      <c r="D48" s="305">
        <f>D31/D29</f>
        <v>0.47271961947656349</v>
      </c>
      <c r="E48" s="305">
        <f>E31/E29</f>
        <v>0.46258474184744919</v>
      </c>
      <c r="F48" s="305">
        <f>F31/F29</f>
        <v>0.54467129302190564</v>
      </c>
      <c r="G48" s="305">
        <f>G31/G29</f>
        <v>0.54264804997646732</v>
      </c>
      <c r="H48" s="279" t="s">
        <v>607</v>
      </c>
      <c r="I48" s="247"/>
      <c r="J48" s="247"/>
      <c r="K48" s="247"/>
      <c r="L48" s="247"/>
      <c r="M48" s="247"/>
      <c r="N48" s="247"/>
      <c r="O48" s="248"/>
      <c r="Q48" s="5"/>
      <c r="R48" s="5"/>
      <c r="S48" s="42"/>
      <c r="T48" s="42"/>
      <c r="U48" s="42"/>
      <c r="V48" s="42"/>
      <c r="W48" s="42"/>
      <c r="X48" s="42"/>
      <c r="Y48" s="42"/>
      <c r="Z48" s="42"/>
      <c r="AA48" s="326"/>
    </row>
    <row r="49" spans="2:27">
      <c r="B49" s="41"/>
      <c r="C49" s="17"/>
      <c r="D49" s="17"/>
      <c r="E49" s="17"/>
      <c r="F49" s="17"/>
      <c r="G49" s="17"/>
      <c r="H49" s="17"/>
      <c r="I49" s="254"/>
      <c r="J49" s="17"/>
      <c r="K49" s="17"/>
      <c r="L49" s="17"/>
      <c r="M49" s="17"/>
      <c r="N49" s="17"/>
      <c r="O49" s="248"/>
      <c r="Q49" s="5"/>
      <c r="R49" s="5"/>
      <c r="S49" s="42"/>
      <c r="T49" s="42"/>
      <c r="U49" s="42"/>
      <c r="V49" s="42"/>
      <c r="W49" s="42"/>
      <c r="X49" s="42"/>
      <c r="Y49" s="42"/>
      <c r="Z49" s="42"/>
      <c r="AA49" s="326"/>
    </row>
    <row r="50" spans="2:27">
      <c r="B50" s="5"/>
      <c r="C50" s="257"/>
      <c r="D50" s="257"/>
      <c r="E50" s="257"/>
      <c r="F50" s="5"/>
      <c r="G50" s="41"/>
      <c r="H50" s="249"/>
      <c r="I50" s="17"/>
      <c r="J50" s="249"/>
      <c r="K50" s="249"/>
      <c r="L50" s="249"/>
      <c r="M50" s="249"/>
      <c r="N50" s="249"/>
      <c r="O50" s="250"/>
      <c r="Q50" s="5"/>
      <c r="R50" s="5"/>
      <c r="S50" s="42"/>
      <c r="T50" s="42"/>
      <c r="U50" s="42"/>
      <c r="V50" s="42"/>
      <c r="W50" s="288"/>
      <c r="X50" s="288"/>
      <c r="Y50" s="42"/>
      <c r="Z50" s="42"/>
      <c r="AA50" s="326"/>
    </row>
    <row r="51" spans="2:27">
      <c r="B51" s="41"/>
      <c r="C51" s="249"/>
      <c r="D51" s="254"/>
      <c r="E51" s="254"/>
      <c r="F51" s="254"/>
      <c r="G51" s="254"/>
      <c r="H51" s="254"/>
      <c r="I51" s="259"/>
      <c r="J51" s="254"/>
      <c r="K51" s="254"/>
      <c r="L51" s="254"/>
      <c r="M51" s="254"/>
      <c r="N51" s="254"/>
      <c r="O51" s="251"/>
      <c r="Q51" s="5"/>
      <c r="R51" s="5"/>
      <c r="S51" s="42"/>
      <c r="T51" s="42"/>
      <c r="U51" s="42"/>
      <c r="V51" s="42"/>
      <c r="W51" s="288"/>
      <c r="X51" s="288"/>
      <c r="Y51" s="288"/>
      <c r="Z51" s="288"/>
      <c r="AA51" s="42"/>
    </row>
    <row r="52" spans="2:27">
      <c r="B52" s="5"/>
      <c r="C52" s="257"/>
      <c r="D52" s="17"/>
      <c r="E52" s="17"/>
      <c r="F52" s="17"/>
      <c r="G52" s="17"/>
      <c r="H52" s="17"/>
      <c r="I52" s="254"/>
      <c r="J52" s="17"/>
      <c r="K52" s="17"/>
      <c r="L52" s="17"/>
      <c r="M52" s="17"/>
      <c r="N52" s="17"/>
      <c r="O52" s="248"/>
      <c r="Q52" s="5"/>
      <c r="R52" s="5"/>
      <c r="S52" s="5"/>
      <c r="Y52" s="10"/>
      <c r="Z52" s="10"/>
    </row>
    <row r="53" spans="2:27">
      <c r="B53" s="5"/>
      <c r="C53" s="257"/>
      <c r="D53" s="257"/>
      <c r="E53" s="257"/>
      <c r="F53" s="5"/>
      <c r="G53" s="5"/>
      <c r="H53" s="259"/>
      <c r="I53" s="17"/>
      <c r="J53" s="259"/>
      <c r="K53" s="259"/>
      <c r="L53" s="259"/>
      <c r="M53" s="259"/>
      <c r="N53" s="259"/>
      <c r="O53" s="18"/>
      <c r="Q53" s="5"/>
      <c r="R53" s="5"/>
      <c r="S53" s="5"/>
    </row>
    <row r="54" spans="2:27">
      <c r="B54" s="41"/>
      <c r="C54" s="249"/>
      <c r="D54" s="254"/>
      <c r="E54" s="254"/>
      <c r="F54" s="254"/>
      <c r="G54" s="254"/>
      <c r="H54" s="254"/>
      <c r="I54" s="259"/>
      <c r="J54" s="254"/>
      <c r="K54" s="254"/>
      <c r="L54" s="254"/>
      <c r="M54" s="254"/>
      <c r="N54" s="254"/>
      <c r="O54" s="251"/>
      <c r="Q54" s="5"/>
      <c r="R54" s="5"/>
      <c r="S54" s="5"/>
    </row>
    <row r="55" spans="2:27">
      <c r="B55" s="5"/>
      <c r="C55" s="257"/>
      <c r="D55" s="17"/>
      <c r="E55" s="17"/>
      <c r="F55" s="17"/>
      <c r="G55" s="17"/>
      <c r="H55" s="17"/>
      <c r="I55" s="249"/>
      <c r="J55" s="17"/>
      <c r="K55" s="17"/>
      <c r="L55" s="17"/>
      <c r="M55" s="17"/>
      <c r="N55" s="17"/>
      <c r="O55" s="18"/>
      <c r="Q55" s="5"/>
      <c r="R55" s="5"/>
      <c r="S55" s="5"/>
    </row>
    <row r="56" spans="2:27">
      <c r="B56" s="5"/>
      <c r="C56" s="248"/>
      <c r="D56" s="248"/>
      <c r="E56" s="248"/>
      <c r="F56" s="5"/>
      <c r="G56" s="5"/>
      <c r="H56" s="259"/>
      <c r="I56" s="248"/>
      <c r="J56" s="259"/>
      <c r="K56" s="259"/>
      <c r="L56" s="259"/>
      <c r="M56" s="259"/>
      <c r="N56" s="259"/>
      <c r="O56" s="18"/>
      <c r="Q56" s="5"/>
      <c r="R56" s="5"/>
      <c r="S56" s="5"/>
    </row>
    <row r="57" spans="2:27">
      <c r="B57" s="41"/>
      <c r="C57" s="249"/>
      <c r="D57" s="249"/>
      <c r="E57" s="249"/>
      <c r="F57" s="249"/>
      <c r="G57" s="249"/>
      <c r="H57" s="249"/>
      <c r="I57" s="5"/>
      <c r="J57" s="249"/>
      <c r="K57" s="249"/>
      <c r="L57" s="249"/>
      <c r="M57" s="249"/>
      <c r="N57" s="249"/>
      <c r="O57" s="251"/>
      <c r="Q57" s="5"/>
      <c r="R57" s="5"/>
      <c r="S57" s="5"/>
    </row>
    <row r="58" spans="2:27">
      <c r="B58" s="5"/>
      <c r="C58" s="5"/>
      <c r="D58" s="248"/>
      <c r="E58" s="248"/>
      <c r="F58" s="248"/>
      <c r="G58" s="248"/>
      <c r="H58" s="248"/>
      <c r="I58" s="17"/>
      <c r="J58" s="248"/>
      <c r="K58" s="248"/>
      <c r="L58" s="248"/>
      <c r="M58" s="248"/>
      <c r="N58" s="248"/>
      <c r="O58" s="18"/>
      <c r="Q58" s="5"/>
      <c r="R58" s="5"/>
      <c r="S58" s="5"/>
    </row>
    <row r="59" spans="2:27">
      <c r="B59" s="5"/>
      <c r="C59" s="5"/>
      <c r="D59" s="5"/>
      <c r="E59" s="5"/>
      <c r="F59" s="5"/>
      <c r="G59" s="5"/>
      <c r="H59" s="5"/>
      <c r="I59" s="5"/>
      <c r="J59" s="5"/>
      <c r="K59" s="5"/>
      <c r="L59" s="5"/>
      <c r="M59" s="5"/>
      <c r="N59" s="5"/>
      <c r="O59" s="5"/>
      <c r="Q59" s="5"/>
      <c r="R59" s="5"/>
      <c r="S59" s="5"/>
    </row>
    <row r="60" spans="2:27">
      <c r="B60" s="41"/>
      <c r="C60" s="17"/>
      <c r="D60" s="17"/>
      <c r="E60" s="17"/>
      <c r="F60" s="17"/>
      <c r="G60" s="17"/>
      <c r="H60" s="17"/>
      <c r="I60" s="249"/>
      <c r="J60" s="17"/>
      <c r="K60" s="17"/>
      <c r="L60" s="17"/>
      <c r="M60" s="17"/>
      <c r="N60" s="17"/>
      <c r="O60" s="251"/>
      <c r="Q60" s="5"/>
      <c r="R60" s="5"/>
      <c r="S60" s="5"/>
    </row>
    <row r="61" spans="2:27">
      <c r="B61" s="5"/>
      <c r="C61" s="5"/>
      <c r="D61" s="5"/>
      <c r="E61" s="5"/>
      <c r="F61" s="5"/>
      <c r="G61" s="5"/>
      <c r="H61" s="5"/>
      <c r="I61" s="5"/>
      <c r="J61" s="5"/>
      <c r="K61" s="5"/>
      <c r="L61" s="5"/>
      <c r="M61" s="5"/>
      <c r="N61" s="5"/>
      <c r="O61" s="5"/>
      <c r="Q61" s="41"/>
      <c r="R61" s="5"/>
      <c r="S61" s="5"/>
    </row>
    <row r="62" spans="2:27">
      <c r="B62" s="41"/>
      <c r="C62" s="249"/>
      <c r="D62" s="249"/>
      <c r="E62" s="249"/>
      <c r="F62" s="249"/>
      <c r="G62" s="249"/>
      <c r="H62" s="249"/>
      <c r="I62" s="5"/>
      <c r="J62" s="249"/>
      <c r="K62" s="249"/>
      <c r="L62" s="249"/>
      <c r="M62" s="249"/>
      <c r="N62" s="249"/>
      <c r="O62" s="251"/>
      <c r="Q62" s="5"/>
      <c r="R62" s="5"/>
      <c r="S62" s="5"/>
    </row>
    <row r="63" spans="2:27">
      <c r="B63" s="5"/>
      <c r="C63" s="5"/>
      <c r="D63" s="5"/>
      <c r="E63" s="5"/>
      <c r="F63" s="5"/>
      <c r="G63" s="5"/>
      <c r="H63" s="5"/>
      <c r="I63" s="254"/>
      <c r="J63" s="5"/>
      <c r="K63" s="5"/>
      <c r="L63" s="5"/>
      <c r="M63" s="5"/>
      <c r="N63" s="5"/>
      <c r="O63" s="5"/>
      <c r="Q63" s="5"/>
      <c r="R63" s="5"/>
      <c r="S63" s="5"/>
    </row>
    <row r="64" spans="2:27">
      <c r="B64" s="5"/>
      <c r="C64" s="5"/>
      <c r="D64" s="5"/>
      <c r="E64" s="5"/>
      <c r="F64" s="5"/>
      <c r="G64" s="5"/>
      <c r="H64" s="5"/>
      <c r="I64" s="17"/>
      <c r="J64" s="5"/>
      <c r="K64" s="5"/>
      <c r="L64" s="5"/>
      <c r="M64" s="5"/>
      <c r="N64" s="5"/>
      <c r="O64" s="5"/>
      <c r="Q64" s="5"/>
      <c r="R64" s="5"/>
      <c r="S64" s="5"/>
    </row>
    <row r="65" spans="2:26">
      <c r="B65" s="41"/>
      <c r="C65" s="249"/>
      <c r="D65" s="254"/>
      <c r="E65" s="254"/>
      <c r="F65" s="254"/>
      <c r="G65" s="254"/>
      <c r="H65" s="254"/>
      <c r="I65" s="254"/>
      <c r="J65" s="254"/>
      <c r="K65" s="254"/>
      <c r="L65" s="254"/>
      <c r="M65" s="254"/>
      <c r="N65" s="254"/>
      <c r="O65" s="251"/>
      <c r="Q65" s="5"/>
      <c r="R65" s="5"/>
      <c r="S65" s="5"/>
    </row>
    <row r="66" spans="2:26">
      <c r="B66" s="5"/>
      <c r="C66" s="5"/>
      <c r="D66" s="17"/>
      <c r="E66" s="17"/>
      <c r="F66" s="17"/>
      <c r="G66" s="17"/>
      <c r="H66" s="17"/>
      <c r="I66" s="248"/>
      <c r="J66" s="17"/>
      <c r="K66" s="17"/>
      <c r="L66" s="17"/>
      <c r="M66" s="17"/>
      <c r="N66" s="17"/>
      <c r="O66" s="5"/>
      <c r="Q66" s="5"/>
      <c r="R66" s="5"/>
      <c r="S66" s="5"/>
    </row>
    <row r="67" spans="2:26">
      <c r="B67" s="41"/>
      <c r="C67" s="249"/>
      <c r="D67" s="254"/>
      <c r="E67" s="254"/>
      <c r="F67" s="254"/>
      <c r="G67" s="254"/>
      <c r="H67" s="254"/>
      <c r="I67" s="5"/>
      <c r="J67" s="254"/>
      <c r="K67" s="254"/>
      <c r="L67" s="254"/>
      <c r="M67" s="254"/>
      <c r="N67" s="254"/>
      <c r="O67" s="251"/>
      <c r="Q67" s="41"/>
      <c r="R67" s="5"/>
      <c r="S67" s="5"/>
    </row>
    <row r="68" spans="2:26">
      <c r="B68" s="5"/>
      <c r="C68" s="5"/>
      <c r="D68" s="248"/>
      <c r="E68" s="248"/>
      <c r="F68" s="248"/>
      <c r="G68" s="248"/>
      <c r="H68" s="248"/>
      <c r="I68" s="245"/>
      <c r="J68" s="248"/>
      <c r="K68" s="248"/>
      <c r="L68" s="248"/>
      <c r="M68" s="248"/>
      <c r="N68" s="248"/>
      <c r="O68" s="5"/>
      <c r="Q68" s="5"/>
      <c r="R68" s="5"/>
      <c r="S68" s="5"/>
    </row>
    <row r="69" spans="2:26">
      <c r="B69" s="41"/>
      <c r="C69" s="5"/>
      <c r="D69" s="5"/>
      <c r="E69" s="5"/>
      <c r="F69" s="5"/>
      <c r="G69" s="5"/>
      <c r="H69" s="5"/>
      <c r="I69" s="248"/>
      <c r="J69" s="5"/>
      <c r="K69" s="5"/>
      <c r="L69" s="5"/>
      <c r="M69" s="5"/>
      <c r="N69" s="5"/>
      <c r="O69" s="5"/>
      <c r="Q69" s="5"/>
      <c r="R69" s="5"/>
      <c r="S69" s="5"/>
    </row>
    <row r="70" spans="2:26">
      <c r="B70" s="41"/>
      <c r="C70" s="245"/>
      <c r="D70" s="245"/>
      <c r="E70" s="245"/>
      <c r="F70" s="245"/>
      <c r="G70" s="245"/>
      <c r="H70" s="245"/>
      <c r="I70" s="5"/>
      <c r="J70" s="245"/>
      <c r="K70" s="245"/>
      <c r="L70" s="245"/>
      <c r="M70" s="245"/>
      <c r="N70" s="245"/>
      <c r="O70" s="251"/>
      <c r="Q70" s="5"/>
      <c r="R70" s="5"/>
      <c r="S70" s="5"/>
      <c r="W70" s="76"/>
      <c r="X70" s="76"/>
    </row>
    <row r="71" spans="2:26">
      <c r="B71" s="5"/>
      <c r="C71" s="5"/>
      <c r="D71" s="248"/>
      <c r="E71" s="248"/>
      <c r="F71" s="248"/>
      <c r="G71" s="248"/>
      <c r="H71" s="248"/>
      <c r="I71" s="245"/>
      <c r="J71" s="248"/>
      <c r="K71" s="248"/>
      <c r="L71" s="248"/>
      <c r="M71" s="248"/>
      <c r="N71" s="248"/>
      <c r="O71" s="5"/>
      <c r="Q71" s="5"/>
      <c r="R71" s="5"/>
      <c r="S71" s="5"/>
      <c r="W71" s="76"/>
      <c r="X71" s="76"/>
      <c r="Y71" s="76"/>
      <c r="Z71" s="76"/>
    </row>
    <row r="72" spans="2:26">
      <c r="B72" s="41"/>
      <c r="C72" s="5"/>
      <c r="D72" s="5"/>
      <c r="E72" s="5"/>
      <c r="F72" s="5"/>
      <c r="G72" s="5"/>
      <c r="H72" s="5"/>
      <c r="I72" s="18"/>
      <c r="J72" s="5"/>
      <c r="K72" s="5"/>
      <c r="L72" s="5"/>
      <c r="M72" s="5"/>
      <c r="N72" s="5"/>
      <c r="O72" s="5"/>
      <c r="Q72" s="5"/>
      <c r="R72" s="5"/>
      <c r="S72" s="5"/>
      <c r="Y72" s="76"/>
      <c r="Z72" s="76"/>
    </row>
    <row r="73" spans="2:26">
      <c r="B73" s="41"/>
      <c r="C73" s="245"/>
      <c r="D73" s="245"/>
      <c r="E73" s="245"/>
      <c r="F73" s="245"/>
      <c r="G73" s="245"/>
      <c r="H73" s="245"/>
      <c r="I73" s="5"/>
      <c r="J73" s="245"/>
      <c r="K73" s="245"/>
      <c r="L73" s="245"/>
      <c r="M73" s="245"/>
      <c r="N73" s="245"/>
      <c r="O73" s="251"/>
      <c r="Q73" s="5"/>
      <c r="R73" s="5"/>
      <c r="S73" s="5"/>
    </row>
    <row r="74" spans="2:26">
      <c r="B74" s="5"/>
      <c r="C74" s="5"/>
      <c r="D74" s="18"/>
      <c r="E74" s="18"/>
      <c r="F74" s="18"/>
      <c r="G74" s="18"/>
      <c r="H74" s="18"/>
      <c r="I74" s="249"/>
      <c r="J74" s="18"/>
      <c r="K74" s="18"/>
      <c r="L74" s="18"/>
      <c r="M74" s="18"/>
      <c r="N74" s="18"/>
      <c r="O74" s="5"/>
      <c r="Q74" s="5"/>
      <c r="R74" s="5"/>
      <c r="S74" s="5"/>
    </row>
    <row r="75" spans="2:26">
      <c r="B75" s="41"/>
      <c r="C75" s="5"/>
      <c r="D75" s="5"/>
      <c r="E75" s="5"/>
      <c r="F75" s="5"/>
      <c r="G75" s="5"/>
      <c r="H75" s="5"/>
      <c r="I75" s="248"/>
      <c r="J75" s="5"/>
      <c r="K75" s="5"/>
      <c r="L75" s="5"/>
      <c r="M75" s="5"/>
      <c r="N75" s="5"/>
      <c r="O75" s="5"/>
      <c r="Q75" s="5"/>
      <c r="R75" s="5"/>
      <c r="S75" s="5"/>
    </row>
    <row r="76" spans="2:26">
      <c r="B76" s="41"/>
      <c r="C76" s="249"/>
      <c r="D76" s="249"/>
      <c r="E76" s="249"/>
      <c r="F76" s="249"/>
      <c r="G76" s="249"/>
      <c r="H76" s="249"/>
      <c r="I76" s="5"/>
      <c r="J76" s="249"/>
      <c r="K76" s="249"/>
      <c r="L76" s="249"/>
      <c r="M76" s="249"/>
      <c r="N76" s="249"/>
      <c r="O76" s="251"/>
      <c r="Q76" s="5"/>
      <c r="R76" s="5"/>
      <c r="S76" s="5"/>
    </row>
    <row r="77" spans="2:26">
      <c r="B77" s="5"/>
      <c r="C77" s="5"/>
      <c r="D77" s="248"/>
      <c r="E77" s="248"/>
      <c r="F77" s="248"/>
      <c r="G77" s="248"/>
      <c r="H77" s="248"/>
      <c r="I77" s="245"/>
      <c r="J77" s="248"/>
      <c r="K77" s="248"/>
      <c r="L77" s="248"/>
      <c r="M77" s="248"/>
      <c r="N77" s="248"/>
      <c r="O77" s="5"/>
      <c r="Q77" s="5"/>
      <c r="R77" s="5"/>
      <c r="S77" s="5"/>
    </row>
    <row r="78" spans="2:26">
      <c r="B78" s="41"/>
      <c r="C78" s="5"/>
      <c r="D78" s="5"/>
      <c r="E78" s="5"/>
      <c r="F78" s="5"/>
      <c r="G78" s="5"/>
      <c r="H78" s="5"/>
      <c r="I78" s="248"/>
      <c r="J78" s="5"/>
      <c r="K78" s="5"/>
      <c r="L78" s="5"/>
      <c r="M78" s="5"/>
      <c r="N78" s="5"/>
      <c r="O78" s="5"/>
      <c r="Q78" s="5"/>
      <c r="R78" s="5"/>
      <c r="S78" s="5"/>
    </row>
    <row r="79" spans="2:26">
      <c r="B79" s="41"/>
      <c r="C79" s="245"/>
      <c r="D79" s="245"/>
      <c r="E79" s="245"/>
      <c r="F79" s="245"/>
      <c r="G79" s="245"/>
      <c r="H79" s="245"/>
      <c r="I79" s="5"/>
      <c r="J79" s="245"/>
      <c r="K79" s="245"/>
      <c r="L79" s="245"/>
      <c r="M79" s="245"/>
      <c r="N79" s="245"/>
      <c r="O79" s="251"/>
      <c r="Q79" s="5"/>
      <c r="R79" s="5"/>
      <c r="S79" s="5"/>
    </row>
    <row r="80" spans="2:26">
      <c r="B80" s="5"/>
      <c r="C80" s="5"/>
      <c r="D80" s="248"/>
      <c r="E80" s="248"/>
      <c r="F80" s="248"/>
      <c r="G80" s="248"/>
      <c r="H80" s="248"/>
      <c r="I80" s="249"/>
      <c r="J80" s="248"/>
      <c r="K80" s="248"/>
      <c r="L80" s="248"/>
      <c r="M80" s="248"/>
      <c r="N80" s="248"/>
      <c r="O80" s="5"/>
      <c r="Q80" s="5"/>
      <c r="R80" s="5"/>
      <c r="S80" s="5"/>
    </row>
    <row r="81" spans="2:26">
      <c r="B81" s="41"/>
      <c r="C81" s="5"/>
      <c r="D81" s="5"/>
      <c r="E81" s="5"/>
      <c r="F81" s="5"/>
      <c r="G81" s="5"/>
      <c r="H81" s="5"/>
      <c r="I81" s="248"/>
      <c r="J81" s="5"/>
      <c r="K81" s="5"/>
      <c r="L81" s="5"/>
      <c r="M81" s="5"/>
      <c r="N81" s="5"/>
      <c r="O81" s="5"/>
      <c r="Q81" s="5"/>
      <c r="R81" s="5"/>
      <c r="S81" s="5"/>
    </row>
    <row r="82" spans="2:26">
      <c r="B82" s="41"/>
      <c r="C82" s="249"/>
      <c r="D82" s="249"/>
      <c r="E82" s="249"/>
      <c r="F82" s="249"/>
      <c r="G82" s="249"/>
      <c r="H82" s="249"/>
      <c r="I82" s="259"/>
      <c r="J82" s="249"/>
      <c r="K82" s="249"/>
      <c r="L82" s="249"/>
      <c r="M82" s="249"/>
      <c r="N82" s="249"/>
      <c r="O82" s="251"/>
      <c r="Q82" s="5"/>
      <c r="R82" s="5"/>
      <c r="S82" s="5"/>
    </row>
    <row r="83" spans="2:26">
      <c r="B83" s="5"/>
      <c r="C83" s="5"/>
      <c r="D83" s="248"/>
      <c r="E83" s="248"/>
      <c r="F83" s="248"/>
      <c r="G83" s="248"/>
      <c r="H83" s="248"/>
      <c r="I83" s="5"/>
      <c r="J83" s="248"/>
      <c r="K83" s="248"/>
      <c r="L83" s="248"/>
      <c r="M83" s="248"/>
      <c r="N83" s="248"/>
      <c r="O83" s="5"/>
      <c r="Q83" s="5"/>
      <c r="R83" s="5"/>
      <c r="S83" s="5"/>
    </row>
    <row r="84" spans="2:26">
      <c r="B84" s="5"/>
      <c r="C84" s="259"/>
      <c r="D84" s="259"/>
      <c r="E84" s="259"/>
      <c r="F84" s="259"/>
      <c r="G84" s="259"/>
      <c r="H84" s="259"/>
      <c r="I84" s="245"/>
      <c r="J84" s="259"/>
      <c r="K84" s="259"/>
      <c r="L84" s="259"/>
      <c r="M84" s="259"/>
      <c r="N84" s="259"/>
      <c r="O84" s="251"/>
      <c r="Q84" s="5"/>
      <c r="R84" s="5"/>
      <c r="S84" s="5"/>
    </row>
    <row r="85" spans="2:26">
      <c r="B85" s="41"/>
      <c r="C85" s="5"/>
      <c r="D85" s="5"/>
      <c r="E85" s="5"/>
      <c r="F85" s="5"/>
      <c r="G85" s="5"/>
      <c r="H85" s="5"/>
      <c r="I85" s="248"/>
      <c r="J85" s="5"/>
      <c r="K85" s="5"/>
      <c r="L85" s="5"/>
      <c r="M85" s="5"/>
      <c r="N85" s="5"/>
      <c r="O85" s="5"/>
      <c r="Q85" s="5"/>
      <c r="R85" s="5"/>
      <c r="S85" s="5"/>
    </row>
    <row r="86" spans="2:26">
      <c r="B86" s="41"/>
      <c r="C86" s="245"/>
      <c r="D86" s="245"/>
      <c r="E86" s="245"/>
      <c r="F86" s="245"/>
      <c r="G86" s="245"/>
      <c r="H86" s="245"/>
      <c r="I86" s="5"/>
      <c r="J86" s="245"/>
      <c r="K86" s="245"/>
      <c r="L86" s="245"/>
      <c r="M86" s="245"/>
      <c r="N86" s="245"/>
      <c r="O86" s="251"/>
      <c r="Q86" s="5"/>
      <c r="R86" s="5"/>
      <c r="S86" s="5"/>
    </row>
    <row r="87" spans="2:26">
      <c r="B87" s="5"/>
      <c r="C87" s="5"/>
      <c r="D87" s="248"/>
      <c r="E87" s="248"/>
      <c r="F87" s="248"/>
      <c r="G87" s="248"/>
      <c r="H87" s="248"/>
      <c r="I87" s="5"/>
      <c r="J87" s="248"/>
      <c r="K87" s="248"/>
      <c r="L87" s="248"/>
      <c r="M87" s="248"/>
      <c r="N87" s="248"/>
      <c r="O87" s="5"/>
      <c r="Q87" s="5"/>
      <c r="R87" s="5"/>
      <c r="S87" s="5"/>
    </row>
    <row r="88" spans="2:26">
      <c r="B88" s="41"/>
      <c r="C88" s="5"/>
      <c r="D88" s="5"/>
      <c r="E88" s="5"/>
      <c r="F88" s="5"/>
      <c r="G88" s="5"/>
      <c r="H88" s="5"/>
      <c r="I88" s="5"/>
      <c r="J88" s="5"/>
      <c r="K88" s="5"/>
      <c r="L88" s="5"/>
      <c r="M88" s="5"/>
      <c r="N88" s="5"/>
      <c r="O88" s="5"/>
      <c r="Q88" s="5"/>
      <c r="R88" s="5"/>
      <c r="S88" s="5"/>
    </row>
    <row r="89" spans="2:26">
      <c r="B89" s="41"/>
      <c r="C89" s="5"/>
      <c r="D89" s="5"/>
      <c r="E89" s="5"/>
      <c r="F89" s="5"/>
      <c r="G89" s="5"/>
      <c r="H89" s="5"/>
      <c r="I89" s="5"/>
      <c r="J89" s="5"/>
      <c r="K89" s="5"/>
      <c r="L89" s="5"/>
      <c r="M89" s="5"/>
      <c r="N89" s="5"/>
      <c r="O89" s="5"/>
      <c r="Q89" s="5"/>
      <c r="R89" s="5"/>
      <c r="S89" s="5"/>
    </row>
    <row r="90" spans="2:26">
      <c r="B90" s="41"/>
      <c r="C90" s="5"/>
      <c r="D90" s="5"/>
      <c r="E90" s="5"/>
      <c r="F90" s="5"/>
      <c r="G90" s="5"/>
      <c r="H90" s="5"/>
      <c r="I90" s="49"/>
      <c r="J90" s="5"/>
      <c r="K90" s="5"/>
      <c r="L90" s="5"/>
      <c r="M90" s="5"/>
      <c r="N90" s="5"/>
      <c r="O90" s="5"/>
      <c r="Q90" s="41"/>
      <c r="R90" s="5"/>
      <c r="S90" s="5"/>
    </row>
    <row r="91" spans="2:26">
      <c r="B91" s="5"/>
      <c r="C91" s="5"/>
      <c r="D91" s="5"/>
      <c r="E91" s="5"/>
      <c r="F91" s="5"/>
      <c r="G91" s="5"/>
      <c r="H91" s="5"/>
      <c r="I91" s="5"/>
      <c r="J91" s="5"/>
      <c r="K91" s="5"/>
      <c r="L91" s="5"/>
      <c r="M91" s="5"/>
      <c r="N91" s="5"/>
      <c r="O91" s="5"/>
      <c r="Q91" s="5"/>
      <c r="R91" s="5"/>
      <c r="S91" s="5"/>
    </row>
    <row r="92" spans="2:26">
      <c r="B92" s="41"/>
      <c r="C92" s="49"/>
      <c r="D92" s="49"/>
      <c r="E92" s="49"/>
      <c r="F92" s="49"/>
      <c r="G92" s="49"/>
      <c r="H92" s="49"/>
      <c r="I92" s="247"/>
      <c r="J92" s="49"/>
      <c r="K92" s="49"/>
      <c r="L92" s="49"/>
      <c r="M92" s="49"/>
      <c r="N92" s="49"/>
      <c r="O92" s="49"/>
      <c r="Q92" s="5"/>
      <c r="R92" s="5"/>
      <c r="S92" s="5"/>
      <c r="W92" s="21"/>
      <c r="X92" s="21"/>
    </row>
    <row r="93" spans="2:26">
      <c r="B93" s="5"/>
      <c r="C93" s="5"/>
      <c r="D93" s="5"/>
      <c r="E93" s="5"/>
      <c r="F93" s="5"/>
      <c r="G93" s="5"/>
      <c r="H93" s="5"/>
      <c r="I93" s="247"/>
      <c r="J93" s="5"/>
      <c r="K93" s="5"/>
      <c r="L93" s="5"/>
      <c r="M93" s="5"/>
      <c r="N93" s="5"/>
      <c r="O93" s="5"/>
      <c r="Q93" s="5"/>
      <c r="R93" s="5"/>
      <c r="S93" s="5"/>
      <c r="W93" s="21"/>
      <c r="X93" s="21"/>
      <c r="Y93" s="21"/>
      <c r="Z93" s="21"/>
    </row>
    <row r="94" spans="2:26">
      <c r="B94" s="5"/>
      <c r="C94" s="259"/>
      <c r="D94" s="247"/>
      <c r="E94" s="247"/>
      <c r="F94" s="247"/>
      <c r="G94" s="247"/>
      <c r="H94" s="247"/>
      <c r="I94" s="247"/>
      <c r="J94" s="247"/>
      <c r="K94" s="247"/>
      <c r="L94" s="247"/>
      <c r="M94" s="247"/>
      <c r="N94" s="247"/>
      <c r="O94" s="248"/>
      <c r="Q94" s="5"/>
      <c r="R94" s="5"/>
      <c r="S94" s="5"/>
      <c r="Y94" s="21"/>
      <c r="Z94" s="21"/>
    </row>
    <row r="95" spans="2:26">
      <c r="B95" s="5"/>
      <c r="C95" s="259"/>
      <c r="D95" s="247"/>
      <c r="E95" s="247"/>
      <c r="F95" s="247"/>
      <c r="G95" s="247"/>
      <c r="H95" s="247"/>
      <c r="I95" s="248"/>
      <c r="J95" s="247"/>
      <c r="K95" s="247"/>
      <c r="L95" s="247"/>
      <c r="M95" s="247"/>
      <c r="N95" s="247"/>
      <c r="O95" s="248"/>
      <c r="Q95" s="5"/>
      <c r="R95" s="5"/>
      <c r="S95" s="5"/>
    </row>
    <row r="96" spans="2:26">
      <c r="B96" s="5"/>
      <c r="C96" s="259"/>
      <c r="D96" s="247"/>
      <c r="E96" s="247"/>
      <c r="F96" s="247"/>
      <c r="G96" s="247"/>
      <c r="H96" s="247"/>
      <c r="I96" s="247"/>
      <c r="J96" s="247"/>
      <c r="K96" s="247"/>
      <c r="L96" s="247"/>
      <c r="M96" s="247"/>
      <c r="N96" s="247"/>
      <c r="O96" s="248"/>
      <c r="Q96" s="5"/>
      <c r="R96" s="5"/>
      <c r="S96" s="5"/>
    </row>
    <row r="97" spans="2:19">
      <c r="B97" s="5"/>
      <c r="C97" s="259"/>
      <c r="D97" s="248"/>
      <c r="E97" s="248"/>
      <c r="F97" s="248"/>
      <c r="G97" s="248"/>
      <c r="H97" s="248"/>
      <c r="I97" s="249"/>
      <c r="J97" s="248"/>
      <c r="K97" s="248"/>
      <c r="L97" s="248"/>
      <c r="M97" s="248"/>
      <c r="N97" s="248"/>
      <c r="O97" s="248"/>
      <c r="Q97" s="5"/>
      <c r="R97" s="5"/>
      <c r="S97" s="5"/>
    </row>
    <row r="98" spans="2:19">
      <c r="B98" s="5"/>
      <c r="C98" s="259"/>
      <c r="D98" s="247"/>
      <c r="E98" s="247"/>
      <c r="F98" s="247"/>
      <c r="G98" s="247"/>
      <c r="H98" s="247"/>
      <c r="I98" s="248"/>
      <c r="J98" s="247"/>
      <c r="K98" s="247"/>
      <c r="L98" s="247"/>
      <c r="M98" s="247"/>
      <c r="N98" s="247"/>
      <c r="O98" s="248"/>
      <c r="Q98" s="5"/>
      <c r="R98" s="5"/>
      <c r="S98" s="5"/>
    </row>
    <row r="99" spans="2:19">
      <c r="B99" s="41"/>
      <c r="C99" s="249"/>
      <c r="D99" s="249"/>
      <c r="E99" s="249"/>
      <c r="F99" s="249"/>
      <c r="G99" s="249"/>
      <c r="H99" s="249"/>
      <c r="I99" s="5"/>
      <c r="J99" s="249"/>
      <c r="K99" s="249"/>
      <c r="L99" s="249"/>
      <c r="M99" s="249"/>
      <c r="N99" s="249"/>
      <c r="O99" s="248"/>
      <c r="Q99" s="5"/>
      <c r="R99" s="5"/>
      <c r="S99" s="5"/>
    </row>
    <row r="100" spans="2:19">
      <c r="B100" s="41"/>
      <c r="C100" s="257"/>
      <c r="D100" s="248"/>
      <c r="E100" s="248"/>
      <c r="F100" s="248"/>
      <c r="G100" s="248"/>
      <c r="H100" s="248"/>
      <c r="I100" s="259"/>
      <c r="J100" s="248"/>
      <c r="K100" s="248"/>
      <c r="L100" s="248"/>
      <c r="M100" s="248"/>
      <c r="N100" s="248"/>
      <c r="O100" s="248"/>
      <c r="Q100" s="5"/>
      <c r="R100" s="5"/>
      <c r="S100" s="5"/>
    </row>
    <row r="101" spans="2:19" s="5" customFormat="1">
      <c r="B101" s="41"/>
      <c r="I101" s="259"/>
      <c r="O101" s="248"/>
      <c r="P101" s="39"/>
    </row>
    <row r="102" spans="2:19">
      <c r="B102" s="5"/>
      <c r="C102" s="259"/>
      <c r="D102" s="259"/>
      <c r="E102" s="259"/>
      <c r="F102" s="259"/>
      <c r="G102" s="259"/>
      <c r="H102" s="259"/>
      <c r="I102" s="247"/>
      <c r="J102" s="259"/>
      <c r="K102" s="259"/>
      <c r="L102" s="259"/>
      <c r="M102" s="259"/>
      <c r="N102" s="259"/>
      <c r="O102" s="5"/>
      <c r="Q102" s="5"/>
      <c r="R102" s="5"/>
      <c r="S102" s="5"/>
    </row>
    <row r="103" spans="2:19">
      <c r="B103" s="5"/>
      <c r="C103" s="259"/>
      <c r="D103" s="259"/>
      <c r="E103" s="259"/>
      <c r="F103" s="259"/>
      <c r="G103" s="259"/>
      <c r="H103" s="259"/>
      <c r="I103" s="5"/>
      <c r="J103" s="259"/>
      <c r="K103" s="259"/>
      <c r="L103" s="259"/>
      <c r="M103" s="259"/>
      <c r="N103" s="259"/>
      <c r="O103" s="5"/>
      <c r="P103" s="5"/>
      <c r="Q103" s="5"/>
      <c r="R103" s="5"/>
      <c r="S103" s="5"/>
    </row>
    <row r="104" spans="2:19">
      <c r="B104" s="5"/>
      <c r="C104" s="247"/>
      <c r="D104" s="247"/>
      <c r="E104" s="247"/>
      <c r="F104" s="247"/>
      <c r="G104" s="247"/>
      <c r="H104" s="247"/>
      <c r="I104" s="247"/>
      <c r="J104" s="247"/>
      <c r="K104" s="247"/>
      <c r="L104" s="247"/>
      <c r="M104" s="247"/>
      <c r="N104" s="247"/>
      <c r="O104" s="5"/>
      <c r="Q104" s="5"/>
      <c r="R104" s="5"/>
      <c r="S104" s="5"/>
    </row>
    <row r="105" spans="2:19" s="5" customFormat="1">
      <c r="P105" s="39"/>
    </row>
    <row r="106" spans="2:19" s="5" customFormat="1">
      <c r="C106" s="259"/>
      <c r="D106" s="247"/>
      <c r="E106" s="247"/>
      <c r="F106" s="247"/>
      <c r="G106" s="247"/>
      <c r="H106" s="247"/>
      <c r="I106" s="259"/>
      <c r="J106" s="247"/>
      <c r="K106" s="247"/>
      <c r="L106" s="247"/>
      <c r="M106" s="247"/>
      <c r="N106" s="247"/>
      <c r="P106" s="39"/>
    </row>
    <row r="107" spans="2:19">
      <c r="B107" s="5"/>
      <c r="C107" s="259"/>
      <c r="D107" s="5"/>
      <c r="E107" s="5"/>
      <c r="F107" s="5"/>
      <c r="G107" s="5"/>
      <c r="H107" s="5"/>
      <c r="I107" s="247"/>
      <c r="J107" s="5"/>
      <c r="K107" s="5"/>
      <c r="L107" s="5"/>
      <c r="M107" s="5"/>
      <c r="N107" s="5"/>
      <c r="O107" s="5"/>
      <c r="P107" s="5"/>
      <c r="Q107" s="5"/>
      <c r="R107" s="5"/>
      <c r="S107" s="5"/>
    </row>
    <row r="108" spans="2:19">
      <c r="B108" s="5"/>
      <c r="C108" s="259"/>
      <c r="D108" s="259"/>
      <c r="E108" s="259"/>
      <c r="F108" s="259"/>
      <c r="G108" s="259"/>
      <c r="H108" s="259"/>
      <c r="I108" s="249"/>
      <c r="J108" s="259"/>
      <c r="K108" s="259"/>
      <c r="L108" s="259"/>
      <c r="M108" s="259"/>
      <c r="N108" s="259"/>
      <c r="O108" s="5"/>
      <c r="P108" s="5"/>
      <c r="Q108" s="5"/>
      <c r="R108" s="5"/>
      <c r="S108" s="5"/>
    </row>
    <row r="109" spans="2:19">
      <c r="B109" s="5"/>
      <c r="C109" s="247"/>
      <c r="D109" s="247"/>
      <c r="E109" s="247"/>
      <c r="F109" s="247"/>
      <c r="G109" s="247"/>
      <c r="H109" s="247"/>
      <c r="I109" s="249"/>
      <c r="J109" s="247"/>
      <c r="K109" s="247"/>
      <c r="L109" s="247"/>
      <c r="M109" s="247"/>
      <c r="N109" s="247"/>
      <c r="O109" s="5"/>
      <c r="Q109" s="5"/>
      <c r="R109" s="5"/>
      <c r="S109" s="5"/>
    </row>
    <row r="110" spans="2:19">
      <c r="B110" s="41"/>
      <c r="C110" s="249"/>
      <c r="D110" s="249"/>
      <c r="E110" s="249"/>
      <c r="F110" s="249"/>
      <c r="G110" s="249"/>
      <c r="H110" s="249"/>
      <c r="I110" s="247"/>
      <c r="J110" s="249"/>
      <c r="K110" s="249"/>
      <c r="L110" s="249"/>
      <c r="M110" s="249"/>
      <c r="N110" s="249"/>
      <c r="O110" s="5"/>
      <c r="Q110" s="5"/>
      <c r="R110" s="5"/>
      <c r="S110" s="5"/>
    </row>
    <row r="111" spans="2:19">
      <c r="B111" s="5"/>
      <c r="C111" s="249"/>
      <c r="D111" s="249"/>
      <c r="E111" s="249"/>
      <c r="F111" s="249"/>
      <c r="G111" s="249"/>
      <c r="H111" s="249"/>
      <c r="I111" s="5"/>
      <c r="J111" s="249"/>
      <c r="K111" s="249"/>
      <c r="L111" s="249"/>
      <c r="M111" s="249"/>
      <c r="N111" s="249"/>
      <c r="O111" s="5"/>
      <c r="Q111" s="5"/>
      <c r="R111" s="5"/>
      <c r="S111" s="5"/>
    </row>
    <row r="112" spans="2:19">
      <c r="B112" s="5"/>
      <c r="C112" s="247"/>
      <c r="D112" s="247"/>
      <c r="E112" s="247"/>
      <c r="F112" s="247"/>
      <c r="G112" s="247"/>
      <c r="H112" s="247"/>
      <c r="I112" s="5"/>
      <c r="J112" s="247"/>
      <c r="K112" s="247"/>
      <c r="L112" s="247"/>
      <c r="M112" s="247"/>
      <c r="N112" s="247"/>
      <c r="O112" s="5"/>
      <c r="Q112" s="5"/>
      <c r="R112" s="5"/>
      <c r="S112" s="5"/>
    </row>
    <row r="113" spans="2:19">
      <c r="B113" s="5"/>
      <c r="C113" s="5"/>
      <c r="D113" s="5"/>
      <c r="E113" s="5"/>
      <c r="F113" s="5"/>
      <c r="G113" s="5"/>
      <c r="H113" s="5"/>
      <c r="I113" s="5"/>
      <c r="J113" s="5"/>
      <c r="K113" s="5"/>
      <c r="L113" s="5"/>
      <c r="M113" s="5"/>
      <c r="N113" s="5"/>
      <c r="O113" s="5"/>
      <c r="Q113" s="5"/>
      <c r="R113" s="5"/>
      <c r="S113" s="5"/>
    </row>
    <row r="114" spans="2:19">
      <c r="B114" s="5"/>
      <c r="C114" s="5"/>
      <c r="D114" s="5"/>
      <c r="E114" s="5"/>
      <c r="F114" s="5"/>
      <c r="G114" s="5"/>
      <c r="H114" s="5"/>
      <c r="I114" s="5"/>
      <c r="J114" s="5"/>
      <c r="K114" s="5"/>
      <c r="L114" s="5"/>
      <c r="M114" s="5"/>
      <c r="N114" s="5"/>
      <c r="O114" s="5"/>
      <c r="Q114" s="5"/>
      <c r="R114" s="5"/>
      <c r="S114" s="5"/>
    </row>
    <row r="115" spans="2:19">
      <c r="B115" s="5"/>
      <c r="C115" s="5"/>
      <c r="D115" s="5"/>
      <c r="E115" s="5"/>
      <c r="F115" s="5"/>
      <c r="G115" s="5"/>
      <c r="H115" s="5"/>
      <c r="I115" s="49"/>
      <c r="J115" s="5"/>
      <c r="K115" s="5"/>
      <c r="L115" s="5"/>
      <c r="M115" s="5"/>
      <c r="N115" s="5"/>
      <c r="O115" s="5"/>
      <c r="Q115" s="41"/>
      <c r="R115" s="5"/>
      <c r="S115" s="5"/>
    </row>
    <row r="116" spans="2:19">
      <c r="B116" s="5"/>
      <c r="C116" s="5"/>
      <c r="D116" s="5"/>
      <c r="E116" s="5"/>
      <c r="F116" s="5"/>
      <c r="G116" s="5"/>
      <c r="H116" s="5"/>
      <c r="I116" s="5"/>
      <c r="J116" s="5"/>
      <c r="K116" s="5"/>
      <c r="L116" s="5"/>
      <c r="M116" s="5"/>
      <c r="N116" s="5"/>
      <c r="O116" s="5"/>
      <c r="Q116" s="5"/>
      <c r="R116" s="5"/>
      <c r="S116" s="5"/>
    </row>
    <row r="117" spans="2:19">
      <c r="B117" s="41"/>
      <c r="C117" s="49"/>
      <c r="D117" s="49"/>
      <c r="E117" s="49"/>
      <c r="F117" s="49"/>
      <c r="G117" s="49"/>
      <c r="H117" s="49"/>
      <c r="I117" s="254"/>
      <c r="J117" s="49"/>
      <c r="K117" s="49"/>
      <c r="L117" s="49"/>
      <c r="M117" s="49"/>
      <c r="N117" s="49"/>
      <c r="O117" s="49"/>
      <c r="Q117" s="5"/>
      <c r="R117" s="5"/>
      <c r="S117" s="5"/>
    </row>
    <row r="118" spans="2:19">
      <c r="B118" s="5"/>
      <c r="C118" s="5"/>
      <c r="D118" s="5"/>
      <c r="E118" s="5"/>
      <c r="F118" s="5"/>
      <c r="G118" s="5"/>
      <c r="H118" s="5"/>
      <c r="I118" s="249"/>
      <c r="J118" s="5"/>
      <c r="K118" s="5"/>
      <c r="L118" s="5"/>
      <c r="M118" s="5"/>
      <c r="N118" s="5"/>
      <c r="O118" s="5"/>
      <c r="Q118" s="5"/>
      <c r="R118" s="5"/>
      <c r="S118" s="5"/>
    </row>
    <row r="119" spans="2:19">
      <c r="B119" s="41"/>
      <c r="C119" s="254"/>
      <c r="D119" s="254"/>
      <c r="E119" s="254"/>
      <c r="F119" s="254"/>
      <c r="G119" s="254"/>
      <c r="H119" s="254"/>
      <c r="I119" s="254"/>
      <c r="J119" s="254"/>
      <c r="K119" s="254"/>
      <c r="L119" s="254"/>
      <c r="M119" s="254"/>
      <c r="N119" s="254"/>
      <c r="O119" s="248"/>
      <c r="Q119" s="5"/>
      <c r="R119" s="5"/>
      <c r="S119" s="5"/>
    </row>
    <row r="120" spans="2:19">
      <c r="B120" s="41"/>
      <c r="C120" s="254"/>
      <c r="D120" s="249"/>
      <c r="E120" s="249"/>
      <c r="F120" s="249"/>
      <c r="G120" s="249"/>
      <c r="H120" s="249"/>
      <c r="I120" s="254"/>
      <c r="J120" s="249"/>
      <c r="K120" s="249"/>
      <c r="L120" s="249"/>
      <c r="M120" s="249"/>
      <c r="N120" s="249"/>
      <c r="O120" s="248"/>
      <c r="Q120" s="5"/>
      <c r="R120" s="5"/>
      <c r="S120" s="5"/>
    </row>
    <row r="121" spans="2:19">
      <c r="B121" s="41"/>
      <c r="C121" s="254"/>
      <c r="D121" s="254"/>
      <c r="E121" s="254"/>
      <c r="F121" s="254"/>
      <c r="G121" s="254"/>
      <c r="H121" s="254"/>
      <c r="I121" s="254"/>
      <c r="J121" s="254"/>
      <c r="K121" s="254"/>
      <c r="L121" s="254"/>
      <c r="M121" s="254"/>
      <c r="N121" s="254"/>
      <c r="O121" s="248"/>
      <c r="Q121" s="5"/>
      <c r="R121" s="5"/>
      <c r="S121" s="5"/>
    </row>
    <row r="122" spans="2:19">
      <c r="B122" s="41"/>
      <c r="C122" s="254"/>
      <c r="D122" s="254"/>
      <c r="E122" s="254"/>
      <c r="F122" s="254"/>
      <c r="G122" s="254"/>
      <c r="H122" s="254"/>
      <c r="I122" s="254"/>
      <c r="J122" s="254"/>
      <c r="K122" s="254"/>
      <c r="L122" s="254"/>
      <c r="M122" s="254"/>
      <c r="N122" s="254"/>
      <c r="O122" s="248"/>
      <c r="Q122" s="5"/>
      <c r="R122" s="5"/>
      <c r="S122" s="5"/>
    </row>
    <row r="123" spans="2:19">
      <c r="B123" s="41"/>
      <c r="C123" s="254"/>
      <c r="D123" s="254"/>
      <c r="E123" s="254"/>
      <c r="F123" s="254"/>
      <c r="G123" s="254"/>
      <c r="H123" s="254"/>
      <c r="I123" s="254"/>
      <c r="J123" s="254"/>
      <c r="K123" s="254"/>
      <c r="L123" s="254"/>
      <c r="M123" s="254"/>
      <c r="N123" s="254"/>
      <c r="O123" s="248"/>
      <c r="Q123" s="5"/>
      <c r="R123" s="5"/>
      <c r="S123" s="5"/>
    </row>
    <row r="124" spans="2:19">
      <c r="B124" s="41"/>
      <c r="C124" s="254"/>
      <c r="D124" s="254"/>
      <c r="E124" s="254"/>
      <c r="F124" s="254"/>
      <c r="G124" s="254"/>
      <c r="H124" s="254"/>
      <c r="I124" s="254"/>
      <c r="J124" s="254"/>
      <c r="K124" s="254"/>
      <c r="L124" s="254"/>
      <c r="M124" s="254"/>
      <c r="N124" s="254"/>
      <c r="O124" s="248"/>
      <c r="Q124" s="5"/>
      <c r="R124" s="5"/>
      <c r="S124" s="5"/>
    </row>
    <row r="125" spans="2:19">
      <c r="B125" s="41"/>
      <c r="C125" s="254"/>
      <c r="D125" s="254"/>
      <c r="E125" s="254"/>
      <c r="F125" s="254"/>
      <c r="G125" s="254"/>
      <c r="H125" s="254"/>
      <c r="I125" s="254"/>
      <c r="J125" s="254"/>
      <c r="K125" s="254"/>
      <c r="L125" s="254"/>
      <c r="M125" s="254"/>
      <c r="N125" s="254"/>
      <c r="O125" s="5"/>
      <c r="Q125" s="5"/>
      <c r="R125" s="5"/>
      <c r="S125" s="5"/>
    </row>
    <row r="126" spans="2:19">
      <c r="B126" s="41"/>
      <c r="C126" s="254"/>
      <c r="D126" s="254"/>
      <c r="E126" s="254"/>
      <c r="F126" s="254"/>
      <c r="G126" s="254"/>
      <c r="H126" s="254"/>
      <c r="I126" s="254"/>
      <c r="J126" s="254"/>
      <c r="K126" s="254"/>
      <c r="L126" s="254"/>
      <c r="M126" s="254"/>
      <c r="N126" s="254"/>
      <c r="O126" s="5"/>
      <c r="Q126" s="5"/>
      <c r="R126" s="5"/>
      <c r="S126" s="5"/>
    </row>
    <row r="127" spans="2:19">
      <c r="B127" s="41"/>
      <c r="C127" s="254"/>
      <c r="D127" s="254"/>
      <c r="E127" s="254"/>
      <c r="F127" s="254"/>
      <c r="G127" s="254"/>
      <c r="H127" s="254"/>
      <c r="I127" s="18"/>
      <c r="J127" s="254"/>
      <c r="K127" s="254"/>
      <c r="L127" s="254"/>
      <c r="M127" s="254"/>
      <c r="N127" s="254"/>
      <c r="O127" s="5"/>
      <c r="Q127" s="5"/>
      <c r="R127" s="5"/>
      <c r="S127" s="5"/>
    </row>
    <row r="128" spans="2:19">
      <c r="B128" s="41"/>
      <c r="C128" s="254"/>
      <c r="D128" s="254"/>
      <c r="E128" s="254"/>
      <c r="F128" s="254"/>
      <c r="G128" s="254"/>
      <c r="H128" s="254"/>
      <c r="I128" s="5"/>
      <c r="J128" s="254"/>
      <c r="K128" s="254"/>
      <c r="L128" s="254"/>
      <c r="M128" s="254"/>
      <c r="N128" s="254"/>
      <c r="O128" s="5"/>
      <c r="Q128" s="5"/>
      <c r="R128" s="5"/>
      <c r="S128" s="5"/>
    </row>
    <row r="129" spans="2:27">
      <c r="B129" s="5"/>
      <c r="C129" s="5"/>
      <c r="D129" s="18"/>
      <c r="E129" s="18"/>
      <c r="F129" s="18"/>
      <c r="G129" s="18"/>
      <c r="H129" s="18"/>
      <c r="I129" s="254"/>
      <c r="J129" s="18"/>
      <c r="K129" s="18"/>
      <c r="L129" s="18"/>
      <c r="M129" s="18"/>
      <c r="N129" s="18"/>
      <c r="O129" s="5"/>
      <c r="Q129" s="5"/>
      <c r="R129" s="5"/>
      <c r="S129" s="5"/>
    </row>
    <row r="130" spans="2:27">
      <c r="B130" s="5"/>
      <c r="C130" s="5"/>
      <c r="D130" s="5"/>
      <c r="E130" s="5"/>
      <c r="F130" s="5"/>
      <c r="G130" s="5"/>
      <c r="H130" s="5"/>
      <c r="I130" s="18"/>
      <c r="J130" s="5"/>
      <c r="K130" s="5"/>
      <c r="L130" s="5"/>
      <c r="M130" s="5"/>
      <c r="N130" s="5"/>
      <c r="O130" s="5"/>
      <c r="Q130" s="5"/>
      <c r="R130" s="5"/>
      <c r="S130" s="5"/>
    </row>
    <row r="131" spans="2:27">
      <c r="B131" s="41"/>
      <c r="C131" s="254"/>
      <c r="D131" s="254"/>
      <c r="E131" s="254"/>
      <c r="F131" s="254"/>
      <c r="G131" s="254"/>
      <c r="H131" s="254"/>
      <c r="I131" s="5"/>
      <c r="J131" s="254"/>
      <c r="K131" s="254"/>
      <c r="L131" s="254"/>
      <c r="M131" s="254"/>
      <c r="N131" s="254"/>
      <c r="O131" s="5"/>
      <c r="Q131" s="5"/>
      <c r="R131" s="5"/>
      <c r="S131" s="5"/>
    </row>
    <row r="132" spans="2:27">
      <c r="B132" s="5"/>
      <c r="C132" s="259"/>
      <c r="D132" s="18"/>
      <c r="E132" s="18"/>
      <c r="F132" s="18"/>
      <c r="G132" s="18"/>
      <c r="H132" s="18"/>
      <c r="I132" s="5"/>
      <c r="J132" s="18"/>
      <c r="K132" s="18"/>
      <c r="L132" s="18"/>
      <c r="M132" s="18"/>
      <c r="N132" s="18"/>
      <c r="O132" s="5"/>
      <c r="Q132" s="5"/>
      <c r="R132" s="5"/>
      <c r="S132" s="5"/>
    </row>
    <row r="133" spans="2:27">
      <c r="B133" s="5"/>
      <c r="C133" s="5"/>
      <c r="D133" s="5"/>
      <c r="E133" s="5"/>
      <c r="F133" s="5"/>
      <c r="G133" s="5"/>
      <c r="H133" s="5"/>
      <c r="I133" s="17"/>
      <c r="J133" s="5"/>
      <c r="K133" s="5"/>
      <c r="L133" s="5"/>
      <c r="M133" s="5"/>
      <c r="N133" s="5"/>
      <c r="O133" s="5"/>
      <c r="Q133" s="5"/>
      <c r="R133" s="5"/>
      <c r="S133" s="5"/>
    </row>
    <row r="134" spans="2:27">
      <c r="B134" s="41"/>
      <c r="C134" s="5"/>
      <c r="D134" s="5"/>
      <c r="E134" s="5"/>
      <c r="F134" s="5"/>
      <c r="G134" s="5"/>
      <c r="H134" s="5"/>
      <c r="I134" s="17"/>
      <c r="J134" s="5"/>
      <c r="K134" s="5"/>
      <c r="L134" s="5"/>
      <c r="M134" s="5"/>
      <c r="N134" s="5"/>
      <c r="O134" s="5"/>
      <c r="Q134" s="5"/>
      <c r="R134" s="5"/>
      <c r="S134" s="5"/>
    </row>
    <row r="135" spans="2:27">
      <c r="B135" s="5"/>
      <c r="C135" s="17"/>
      <c r="D135" s="17"/>
      <c r="E135" s="17"/>
      <c r="F135" s="17"/>
      <c r="G135" s="17"/>
      <c r="H135" s="17"/>
      <c r="I135" s="17"/>
      <c r="J135" s="17"/>
      <c r="K135" s="17"/>
      <c r="L135" s="17"/>
      <c r="M135" s="17"/>
      <c r="N135" s="17"/>
      <c r="O135" s="5"/>
      <c r="Q135" s="41"/>
      <c r="R135" s="5"/>
      <c r="S135" s="5"/>
    </row>
    <row r="136" spans="2:27">
      <c r="B136" s="5"/>
      <c r="C136" s="17"/>
      <c r="D136" s="17"/>
      <c r="E136" s="17"/>
      <c r="F136" s="17"/>
      <c r="G136" s="17"/>
      <c r="H136" s="17"/>
      <c r="I136" s="17"/>
      <c r="J136" s="17"/>
      <c r="K136" s="17"/>
      <c r="L136" s="17"/>
      <c r="M136" s="17"/>
      <c r="N136" s="17"/>
      <c r="O136" s="5"/>
      <c r="Q136" s="5"/>
      <c r="R136" s="5"/>
      <c r="S136" s="5"/>
      <c r="X136" s="304"/>
    </row>
    <row r="137" spans="2:27">
      <c r="B137" s="5"/>
      <c r="C137" s="5"/>
      <c r="D137" s="17"/>
      <c r="E137" s="17"/>
      <c r="F137" s="17"/>
      <c r="G137" s="17"/>
      <c r="H137" s="17"/>
      <c r="I137" s="17"/>
      <c r="J137" s="17"/>
      <c r="K137" s="17"/>
      <c r="L137" s="17"/>
      <c r="M137" s="17"/>
      <c r="N137" s="17"/>
      <c r="O137" s="5"/>
      <c r="Q137" s="5"/>
      <c r="R137" s="5"/>
      <c r="S137" s="5"/>
      <c r="X137" s="10"/>
      <c r="Y137" s="304"/>
      <c r="Z137" s="304"/>
      <c r="AA137" s="304"/>
    </row>
    <row r="138" spans="2:27">
      <c r="B138" s="5"/>
      <c r="C138" s="5"/>
      <c r="D138" s="17"/>
      <c r="E138" s="17"/>
      <c r="F138" s="17"/>
      <c r="G138" s="17"/>
      <c r="H138" s="17"/>
      <c r="I138" s="17"/>
      <c r="J138" s="17"/>
      <c r="K138" s="17"/>
      <c r="L138" s="17"/>
      <c r="M138" s="17"/>
      <c r="N138" s="17"/>
      <c r="O138" s="5"/>
      <c r="Q138" s="5"/>
      <c r="R138" s="5"/>
      <c r="S138" s="5"/>
      <c r="Y138" s="10"/>
      <c r="Z138" s="10"/>
      <c r="AA138" s="10"/>
    </row>
    <row r="139" spans="2:27">
      <c r="B139" s="5"/>
      <c r="C139" s="5"/>
      <c r="D139" s="17"/>
      <c r="E139" s="17"/>
      <c r="F139" s="17"/>
      <c r="G139" s="17"/>
      <c r="H139" s="17"/>
      <c r="I139" s="5"/>
      <c r="J139" s="17"/>
      <c r="K139" s="17"/>
      <c r="L139" s="17"/>
      <c r="M139" s="17"/>
      <c r="N139" s="17"/>
      <c r="O139" s="5"/>
      <c r="Q139" s="5"/>
      <c r="R139" s="5"/>
      <c r="S139" s="5"/>
    </row>
    <row r="140" spans="2:27">
      <c r="B140" s="5"/>
      <c r="C140" s="17"/>
      <c r="D140" s="17"/>
      <c r="E140" s="17"/>
      <c r="F140" s="17"/>
      <c r="G140" s="17"/>
      <c r="H140" s="17"/>
      <c r="I140" s="5"/>
      <c r="J140" s="17"/>
      <c r="K140" s="17"/>
      <c r="L140" s="17"/>
      <c r="M140" s="17"/>
      <c r="N140" s="17"/>
      <c r="O140" s="5"/>
      <c r="Q140" s="5"/>
      <c r="R140" s="5"/>
      <c r="S140" s="5"/>
    </row>
    <row r="141" spans="2:27">
      <c r="B141" s="5"/>
      <c r="C141" s="5"/>
      <c r="D141" s="5"/>
      <c r="E141" s="5"/>
      <c r="F141" s="5"/>
      <c r="G141" s="5"/>
      <c r="H141" s="5"/>
      <c r="I141" s="5"/>
      <c r="J141" s="5"/>
      <c r="K141" s="5"/>
      <c r="L141" s="5"/>
      <c r="M141" s="5"/>
      <c r="N141" s="5"/>
      <c r="O141" s="5"/>
      <c r="Q141" s="5"/>
      <c r="R141" s="5"/>
      <c r="S141" s="5"/>
    </row>
    <row r="142" spans="2:27">
      <c r="B142" s="5"/>
      <c r="C142" s="5"/>
      <c r="D142" s="5"/>
      <c r="E142" s="5"/>
      <c r="F142" s="5"/>
      <c r="G142" s="5"/>
      <c r="H142" s="5"/>
      <c r="I142" s="5"/>
      <c r="J142" s="5"/>
      <c r="K142" s="5"/>
      <c r="L142" s="5"/>
      <c r="M142" s="5"/>
      <c r="N142" s="5"/>
      <c r="O142" s="5"/>
      <c r="Q142" s="5"/>
      <c r="R142" s="5"/>
      <c r="S142" s="5"/>
    </row>
    <row r="143" spans="2:27">
      <c r="B143" s="5"/>
      <c r="C143" s="5"/>
      <c r="D143" s="5"/>
      <c r="E143" s="5"/>
      <c r="F143" s="5"/>
      <c r="G143" s="5"/>
      <c r="H143" s="5"/>
      <c r="I143" s="5"/>
      <c r="J143" s="5"/>
      <c r="K143" s="5"/>
      <c r="L143" s="5"/>
      <c r="M143" s="5"/>
      <c r="N143" s="5"/>
      <c r="O143" s="5"/>
      <c r="Q143" s="5"/>
      <c r="R143" s="5"/>
      <c r="S143" s="5"/>
    </row>
    <row r="144" spans="2:27">
      <c r="B144" s="5"/>
      <c r="C144" s="5"/>
      <c r="D144" s="5"/>
      <c r="E144" s="5"/>
      <c r="F144" s="5"/>
      <c r="G144" s="5"/>
      <c r="H144" s="5"/>
      <c r="I144" s="5"/>
      <c r="J144" s="5"/>
      <c r="K144" s="5"/>
      <c r="L144" s="5"/>
      <c r="M144" s="5"/>
      <c r="N144" s="5"/>
      <c r="O144" s="5"/>
      <c r="Q144" s="5"/>
      <c r="R144" s="5"/>
      <c r="S144" s="5"/>
    </row>
    <row r="145" spans="2:19">
      <c r="B145" s="5"/>
      <c r="C145" s="5"/>
      <c r="D145" s="5"/>
      <c r="E145" s="5"/>
      <c r="F145" s="5"/>
      <c r="G145" s="5"/>
      <c r="H145" s="5"/>
      <c r="I145" s="5"/>
      <c r="J145" s="5"/>
      <c r="K145" s="5"/>
      <c r="L145" s="5"/>
      <c r="M145" s="5"/>
      <c r="N145" s="5"/>
      <c r="O145" s="5"/>
      <c r="Q145" s="5"/>
      <c r="R145" s="5"/>
      <c r="S145" s="5"/>
    </row>
    <row r="146" spans="2:19">
      <c r="B146" s="5"/>
      <c r="C146" s="5"/>
      <c r="D146" s="5"/>
      <c r="E146" s="5"/>
      <c r="F146" s="5"/>
      <c r="G146" s="5"/>
      <c r="H146" s="5"/>
      <c r="I146" s="5"/>
      <c r="J146" s="5"/>
      <c r="K146" s="5"/>
      <c r="L146" s="5"/>
      <c r="M146" s="5"/>
      <c r="N146" s="5"/>
      <c r="O146" s="5"/>
      <c r="Q146" s="5"/>
      <c r="R146" s="5"/>
      <c r="S146" s="5"/>
    </row>
    <row r="147" spans="2:19">
      <c r="B147" s="5"/>
      <c r="C147" s="5"/>
      <c r="D147" s="5"/>
      <c r="E147" s="5"/>
      <c r="F147" s="5"/>
      <c r="G147" s="5"/>
      <c r="H147" s="5"/>
      <c r="I147" s="5"/>
      <c r="J147" s="5"/>
      <c r="K147" s="5"/>
      <c r="L147" s="5"/>
      <c r="M147" s="5"/>
      <c r="N147" s="5"/>
      <c r="O147" s="5"/>
      <c r="Q147" s="5"/>
      <c r="R147" s="5"/>
      <c r="S147" s="5"/>
    </row>
    <row r="148" spans="2:19">
      <c r="B148" s="5"/>
      <c r="C148" s="5"/>
      <c r="D148" s="5"/>
      <c r="E148" s="5"/>
      <c r="F148" s="5"/>
      <c r="G148" s="5"/>
      <c r="H148" s="5"/>
      <c r="I148" s="5"/>
      <c r="J148" s="5"/>
      <c r="K148" s="5"/>
      <c r="L148" s="5"/>
      <c r="M148" s="5"/>
      <c r="N148" s="5"/>
      <c r="O148" s="5"/>
      <c r="Q148" s="5"/>
      <c r="R148" s="5"/>
      <c r="S148" s="5"/>
    </row>
    <row r="149" spans="2:19">
      <c r="B149" s="5"/>
      <c r="C149" s="5"/>
      <c r="D149" s="5"/>
      <c r="E149" s="5"/>
      <c r="F149" s="5"/>
      <c r="G149" s="5"/>
      <c r="H149" s="5"/>
      <c r="J149" s="5"/>
      <c r="K149" s="5"/>
      <c r="L149" s="5"/>
      <c r="M149" s="5"/>
      <c r="N149" s="5"/>
      <c r="O149" s="5"/>
      <c r="Q149" s="5"/>
      <c r="R149" s="5"/>
      <c r="S149" s="5"/>
    </row>
    <row r="150" spans="2:19">
      <c r="B150" s="5"/>
      <c r="C150" s="5"/>
      <c r="D150" s="5"/>
      <c r="E150" s="5"/>
      <c r="F150" s="5"/>
      <c r="G150" s="5"/>
      <c r="H150" s="5"/>
      <c r="J150" s="5"/>
      <c r="K150" s="5"/>
      <c r="L150" s="5"/>
      <c r="M150" s="5"/>
      <c r="N150" s="5"/>
      <c r="O150" s="5"/>
      <c r="Q150" s="5"/>
      <c r="R150" s="5"/>
      <c r="S150" s="5"/>
    </row>
    <row r="151" spans="2:19">
      <c r="Q151" s="5"/>
      <c r="R151" s="5"/>
      <c r="S151" s="5"/>
    </row>
    <row r="152" spans="2:19">
      <c r="Q152" s="5"/>
      <c r="R152" s="5"/>
      <c r="S152" s="5"/>
    </row>
    <row r="153" spans="2:19">
      <c r="C153" s="263"/>
      <c r="Q153" s="5"/>
      <c r="R153" s="5"/>
      <c r="S153" s="5"/>
    </row>
    <row r="154" spans="2:19">
      <c r="Q154" s="5"/>
      <c r="R154" s="5"/>
      <c r="S154" s="5"/>
    </row>
    <row r="155" spans="2:19">
      <c r="Q155" s="5"/>
      <c r="R155" s="5"/>
      <c r="S155" s="5"/>
    </row>
    <row r="156" spans="2:19">
      <c r="Q156" s="5"/>
      <c r="R156" s="5"/>
      <c r="S156" s="5"/>
    </row>
    <row r="157" spans="2:19">
      <c r="Q157" s="5"/>
      <c r="R157" s="5"/>
      <c r="S157" s="5"/>
    </row>
    <row r="158" spans="2:19">
      <c r="Q158" s="5"/>
      <c r="R158" s="5"/>
      <c r="S158" s="5"/>
    </row>
    <row r="159" spans="2:19">
      <c r="Q159" s="5"/>
      <c r="R159" s="5"/>
      <c r="S159" s="5"/>
    </row>
    <row r="160" spans="2:19">
      <c r="Q160" s="5"/>
      <c r="R160" s="5"/>
      <c r="S160" s="5"/>
    </row>
    <row r="161" spans="17:19">
      <c r="Q161" s="5"/>
      <c r="R161" s="5"/>
      <c r="S161" s="5"/>
    </row>
    <row r="162" spans="17:19">
      <c r="Q162" s="5"/>
      <c r="R162" s="5"/>
      <c r="S162" s="5"/>
    </row>
    <row r="163" spans="17:19">
      <c r="Q163" s="5"/>
      <c r="R163" s="5"/>
      <c r="S163" s="5"/>
    </row>
    <row r="164" spans="17:19">
      <c r="Q164" s="5"/>
      <c r="R164" s="5"/>
      <c r="S164" s="5"/>
    </row>
    <row r="165" spans="17:19">
      <c r="Q165" s="5"/>
      <c r="R165" s="5"/>
      <c r="S165" s="5"/>
    </row>
  </sheetData>
  <pageMargins left="0.75" right="0.75" top="1" bottom="1" header="0.5" footer="0.5"/>
  <pageSetup scale="71" orientation="landscape" r:id="rId1"/>
  <headerFooter alignWithMargins="0"/>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sheetPr codeName="Sheet205">
    <pageSetUpPr fitToPage="1"/>
  </sheetPr>
  <dimension ref="B1:AR165"/>
  <sheetViews>
    <sheetView showGridLines="0" zoomScale="80" zoomScaleNormal="80" workbookViewId="0"/>
  </sheetViews>
  <sheetFormatPr defaultColWidth="9.109375" defaultRowHeight="12"/>
  <cols>
    <col min="1" max="1" width="2.33203125" style="39" customWidth="1"/>
    <col min="2" max="2" width="26.5546875" style="39" customWidth="1"/>
    <col min="3" max="9" width="10" style="39" customWidth="1"/>
    <col min="10" max="10" width="26.6640625" style="39" customWidth="1"/>
    <col min="11" max="16" width="10" style="39" customWidth="1"/>
    <col min="17" max="19" width="8.6640625" style="39" customWidth="1"/>
    <col min="20" max="28" width="8.6640625" style="5" customWidth="1"/>
    <col min="29" max="44" width="9.109375" style="5"/>
    <col min="45" max="16384" width="9.109375" style="39"/>
  </cols>
  <sheetData>
    <row r="1" spans="2:44" s="312" customFormat="1">
      <c r="T1" s="149"/>
      <c r="U1" s="149"/>
      <c r="V1" s="149"/>
      <c r="W1" s="149"/>
      <c r="X1" s="149"/>
      <c r="Y1" s="149"/>
      <c r="Z1" s="149"/>
      <c r="AA1" s="149"/>
      <c r="AB1" s="149"/>
      <c r="AC1" s="149"/>
      <c r="AD1" s="149"/>
      <c r="AE1" s="149"/>
      <c r="AF1" s="149"/>
      <c r="AG1" s="149"/>
      <c r="AH1" s="149"/>
      <c r="AI1" s="149"/>
      <c r="AJ1" s="149"/>
      <c r="AK1" s="149"/>
      <c r="AL1" s="149"/>
      <c r="AM1" s="149"/>
      <c r="AN1" s="149"/>
      <c r="AO1" s="149"/>
      <c r="AP1" s="149"/>
      <c r="AQ1" s="149"/>
      <c r="AR1" s="149"/>
    </row>
    <row r="2" spans="2:44" s="149" customFormat="1"/>
    <row r="3" spans="2:44" s="149" customFormat="1">
      <c r="H3" s="153"/>
      <c r="P3" s="153"/>
    </row>
    <row r="4" spans="2:44" s="156" customFormat="1" ht="21">
      <c r="B4" s="129" t="s">
        <v>40</v>
      </c>
      <c r="H4" s="222"/>
      <c r="P4" s="222"/>
    </row>
    <row r="5" spans="2:44" s="149" customFormat="1">
      <c r="C5" s="153"/>
      <c r="D5" s="153" t="str" cm="1">
        <f t="array" ref="D5:H5">headings</f>
        <v>2023E</v>
      </c>
      <c r="E5" s="153" t="str">
        <v>2024E</v>
      </c>
      <c r="F5" s="153" t="str">
        <v>2025E</v>
      </c>
      <c r="G5" s="153" t="str">
        <v>2026E</v>
      </c>
      <c r="H5" s="153" t="str">
        <v>23E-26E</v>
      </c>
      <c r="I5" s="153"/>
      <c r="J5" s="153"/>
      <c r="K5" s="153"/>
      <c r="L5" s="153" t="str" cm="1">
        <f t="array" ref="L5:P5">headings</f>
        <v>2023E</v>
      </c>
      <c r="M5" s="153" t="str">
        <v>2024E</v>
      </c>
      <c r="N5" s="153" t="str">
        <v>2025E</v>
      </c>
      <c r="O5" s="153" t="str">
        <v>2026E</v>
      </c>
      <c r="P5" s="153" t="str">
        <v>23E-26E</v>
      </c>
      <c r="Q5" s="162"/>
      <c r="R5" s="162"/>
      <c r="S5" s="162"/>
      <c r="T5" s="162"/>
      <c r="U5" s="162"/>
      <c r="V5" s="162"/>
      <c r="W5" s="162"/>
      <c r="X5" s="162"/>
      <c r="Y5" s="162"/>
    </row>
    <row r="6" spans="2:44">
      <c r="I6" s="5"/>
      <c r="J6" s="5"/>
      <c r="K6" s="5"/>
      <c r="L6" s="5"/>
      <c r="M6" s="5"/>
      <c r="N6" s="5"/>
      <c r="O6" s="49"/>
    </row>
    <row r="7" spans="2:44" ht="12.6" thickBot="1">
      <c r="B7" s="306" t="s">
        <v>271</v>
      </c>
      <c r="C7" s="265"/>
      <c r="D7" s="265" t="str">
        <f>D5</f>
        <v>2023E</v>
      </c>
      <c r="E7" s="265" t="str">
        <f t="shared" ref="E7:H7" si="0">E5</f>
        <v>2024E</v>
      </c>
      <c r="F7" s="265" t="str">
        <f t="shared" si="0"/>
        <v>2025E</v>
      </c>
      <c r="G7" s="265" t="str">
        <f t="shared" si="0"/>
        <v>2026E</v>
      </c>
      <c r="H7" s="265" t="str">
        <f t="shared" si="0"/>
        <v>23E-26E</v>
      </c>
      <c r="I7" s="49"/>
      <c r="J7" s="306" t="s">
        <v>74</v>
      </c>
      <c r="K7" s="306"/>
      <c r="L7" s="265" t="str">
        <f>L5</f>
        <v>2023E</v>
      </c>
      <c r="M7" s="265" t="str">
        <f t="shared" ref="M7:P7" si="1">M5</f>
        <v>2024E</v>
      </c>
      <c r="N7" s="265" t="str">
        <f t="shared" si="1"/>
        <v>2025E</v>
      </c>
      <c r="O7" s="265" t="str">
        <f t="shared" si="1"/>
        <v>2026E</v>
      </c>
      <c r="P7" s="265" t="str">
        <f t="shared" si="1"/>
        <v>23E-26E</v>
      </c>
    </row>
    <row r="8" spans="2:44" ht="12.6" thickTop="1">
      <c r="B8" s="5"/>
      <c r="C8" s="5"/>
      <c r="D8" s="5"/>
      <c r="E8" s="5"/>
      <c r="F8" s="5"/>
      <c r="G8" s="5"/>
      <c r="H8" s="5"/>
      <c r="I8" s="5"/>
      <c r="J8" s="5"/>
      <c r="K8" s="5"/>
      <c r="L8" s="5"/>
      <c r="M8" s="5"/>
      <c r="N8" s="5"/>
      <c r="S8" s="88"/>
      <c r="T8" s="42"/>
      <c r="U8" s="42"/>
      <c r="V8" s="42"/>
      <c r="W8" s="42"/>
      <c r="X8" s="42"/>
      <c r="Y8" s="42"/>
      <c r="Z8" s="42"/>
      <c r="AA8" s="42"/>
    </row>
    <row r="9" spans="2:44">
      <c r="B9" s="41" t="s">
        <v>205</v>
      </c>
      <c r="C9" s="267">
        <f>Prices!$C$93</f>
        <v>8</v>
      </c>
      <c r="D9" s="535">
        <v>0</v>
      </c>
      <c r="E9" s="536">
        <v>0</v>
      </c>
      <c r="F9" s="536">
        <v>0</v>
      </c>
      <c r="G9" s="536">
        <v>0</v>
      </c>
      <c r="H9" s="249"/>
      <c r="I9" s="249"/>
      <c r="J9" s="5" t="s">
        <v>273</v>
      </c>
      <c r="L9" s="529">
        <f>'AGG ASIA CELLULAR'!D37</f>
        <v>2.0832818906884643</v>
      </c>
      <c r="M9" s="529">
        <f>'AGG ASIA CELLULAR'!E37</f>
        <v>1.9180381131180324</v>
      </c>
      <c r="N9" s="529">
        <f>'AGG ASIA CELLULAR'!F37</f>
        <v>1.6973984727138696</v>
      </c>
      <c r="O9" s="529">
        <f>'AGG ASIA CELLULAR'!G37</f>
        <v>1.4849146547081604</v>
      </c>
      <c r="P9" s="286">
        <f>'EMEA INCUMB'!H37</f>
        <v>1.947512825024833E-2</v>
      </c>
      <c r="R9" s="5"/>
      <c r="S9" s="42"/>
      <c r="T9" s="42"/>
      <c r="U9" s="42"/>
      <c r="V9" s="42"/>
      <c r="W9" s="42"/>
      <c r="X9" s="42"/>
      <c r="Y9" s="42"/>
      <c r="Z9" s="42"/>
      <c r="AA9" s="42"/>
    </row>
    <row r="10" spans="2:44">
      <c r="B10" s="5" t="s">
        <v>274</v>
      </c>
      <c r="C10" s="5"/>
      <c r="D10" s="531">
        <v>34552.100801000001</v>
      </c>
      <c r="E10" s="531">
        <v>34552.100801000001</v>
      </c>
      <c r="F10" s="531">
        <v>34552.100801000001</v>
      </c>
      <c r="G10" s="531">
        <v>34552.100801000001</v>
      </c>
      <c r="H10" s="247"/>
      <c r="I10" s="247"/>
      <c r="J10" s="5" t="s">
        <v>184</v>
      </c>
      <c r="L10" s="529">
        <f>'AGG ASIA CELLULAR'!D38</f>
        <v>6.3578764048835863</v>
      </c>
      <c r="M10" s="529">
        <f>'AGG ASIA CELLULAR'!E38</f>
        <v>5.8349432944863064</v>
      </c>
      <c r="N10" s="529">
        <f>'AGG ASIA CELLULAR'!F38</f>
        <v>5.103853656504258</v>
      </c>
      <c r="O10" s="529">
        <f>'AGG ASIA CELLULAR'!G38</f>
        <v>4.4165179955724438</v>
      </c>
      <c r="P10" s="286">
        <f>'EMEA INCUMB'!H38</f>
        <v>6.71694721895566E-3</v>
      </c>
      <c r="R10" s="5"/>
      <c r="S10" s="42"/>
      <c r="T10" s="42"/>
      <c r="U10" s="42"/>
      <c r="V10" s="42"/>
      <c r="W10" s="288"/>
      <c r="X10" s="288"/>
      <c r="Y10" s="288"/>
      <c r="Z10" s="288"/>
      <c r="AA10" s="42"/>
    </row>
    <row r="11" spans="2:44">
      <c r="B11" s="41" t="s">
        <v>314</v>
      </c>
      <c r="C11" s="5"/>
      <c r="D11" s="532">
        <f>($C$9*D10)</f>
        <v>276416.806408</v>
      </c>
      <c r="E11" s="532">
        <f>($C$9*E10)</f>
        <v>276416.806408</v>
      </c>
      <c r="F11" s="532">
        <f>($C$9*F10)</f>
        <v>276416.806408</v>
      </c>
      <c r="G11" s="532">
        <f>($C$9*G10)</f>
        <v>276416.806408</v>
      </c>
      <c r="H11" s="249"/>
      <c r="I11" s="249"/>
      <c r="J11" s="5" t="s">
        <v>185</v>
      </c>
      <c r="L11" s="529">
        <f>'AGG ASIA CELLULAR'!D39</f>
        <v>12.256315794878686</v>
      </c>
      <c r="M11" s="529">
        <f>'AGG ASIA CELLULAR'!E39</f>
        <v>10.532349001792122</v>
      </c>
      <c r="N11" s="529">
        <f>'AGG ASIA CELLULAR'!F39</f>
        <v>8.8097379743624202</v>
      </c>
      <c r="O11" s="529">
        <f>'AGG ASIA CELLULAR'!G39</f>
        <v>7.3400525025099741</v>
      </c>
      <c r="P11" s="286">
        <f>'EMEA INCUMB'!H39</f>
        <v>6.2049124089686991E-3</v>
      </c>
      <c r="R11" s="5"/>
      <c r="S11" s="42"/>
      <c r="T11" s="42"/>
      <c r="U11" s="42"/>
      <c r="V11" s="42"/>
      <c r="W11" s="288"/>
      <c r="X11" s="288"/>
      <c r="Y11" s="288"/>
      <c r="Z11" s="288"/>
      <c r="AA11" s="42"/>
    </row>
    <row r="12" spans="2:44">
      <c r="B12" s="5" t="s">
        <v>38</v>
      </c>
      <c r="C12" s="249"/>
      <c r="D12" s="533">
        <v>494613</v>
      </c>
      <c r="E12" s="533">
        <v>458121.94412825658</v>
      </c>
      <c r="F12" s="533">
        <v>424782.68453937117</v>
      </c>
      <c r="G12" s="533">
        <v>387642.21457509836</v>
      </c>
      <c r="H12" s="247"/>
      <c r="I12" s="247"/>
      <c r="J12" s="5" t="s">
        <v>466</v>
      </c>
      <c r="L12" s="529">
        <f>'AGG ASIA CELLULAR'!D40</f>
        <v>15.951300793811486</v>
      </c>
      <c r="M12" s="529">
        <f>'AGG ASIA CELLULAR'!E40</f>
        <v>13.847183646795452</v>
      </c>
      <c r="N12" s="529">
        <f>'AGG ASIA CELLULAR'!F40</f>
        <v>11.626709680654198</v>
      </c>
      <c r="O12" s="529">
        <f>'AGG ASIA CELLULAR'!G40</f>
        <v>9.7078389032116537</v>
      </c>
      <c r="P12" s="286">
        <f>'EMEA INCUMB'!H40</f>
        <v>6.2049124089686991E-3</v>
      </c>
      <c r="R12" s="5"/>
      <c r="S12" s="42"/>
      <c r="T12" s="42"/>
      <c r="U12" s="42"/>
      <c r="V12" s="42"/>
      <c r="W12" s="288"/>
      <c r="X12" s="288"/>
      <c r="Y12" s="288"/>
      <c r="Z12" s="288"/>
      <c r="AA12" s="42"/>
    </row>
    <row r="13" spans="2:44">
      <c r="B13" s="5" t="s">
        <v>39</v>
      </c>
      <c r="C13" s="257"/>
      <c r="D13" s="620">
        <v>0</v>
      </c>
      <c r="E13" s="620">
        <v>0</v>
      </c>
      <c r="F13" s="620">
        <v>0</v>
      </c>
      <c r="G13" s="620">
        <v>0</v>
      </c>
      <c r="H13" s="247"/>
      <c r="I13" s="247"/>
      <c r="J13" s="5" t="s">
        <v>530</v>
      </c>
      <c r="L13" s="529">
        <f>'AGG ASIA CELLULAR'!D41</f>
        <v>1.4274445412547272</v>
      </c>
      <c r="M13" s="529">
        <f>'AGG ASIA CELLULAR'!E41</f>
        <v>1.4179696737537477</v>
      </c>
      <c r="N13" s="529">
        <f>'AGG ASIA CELLULAR'!F41</f>
        <v>1.3450707920768976</v>
      </c>
      <c r="O13" s="529">
        <f>'AGG ASIA CELLULAR'!G41</f>
        <v>1.2618986136137988</v>
      </c>
      <c r="P13" s="286">
        <f>'EMEA INCUMB'!H41</f>
        <v>-4.0694686979287908E-3</v>
      </c>
      <c r="R13" s="5"/>
      <c r="S13" s="42"/>
      <c r="T13" s="42"/>
      <c r="U13" s="42"/>
      <c r="V13" s="42"/>
      <c r="W13" s="42"/>
      <c r="X13" s="42"/>
      <c r="Y13" s="42"/>
      <c r="Z13" s="42"/>
      <c r="AA13" s="42"/>
    </row>
    <row r="14" spans="2:44">
      <c r="B14" s="5" t="s">
        <v>532</v>
      </c>
      <c r="C14" s="257"/>
      <c r="D14" s="620">
        <v>0</v>
      </c>
      <c r="E14" s="620">
        <f t="shared" ref="E14:G15" si="2">D14</f>
        <v>0</v>
      </c>
      <c r="F14" s="620">
        <f t="shared" si="2"/>
        <v>0</v>
      </c>
      <c r="G14" s="620">
        <f t="shared" si="2"/>
        <v>0</v>
      </c>
      <c r="H14" s="247"/>
      <c r="I14" s="247"/>
      <c r="J14" s="5" t="s">
        <v>593</v>
      </c>
      <c r="L14" s="529">
        <f>'AGG ASIA CELLULAR'!D42</f>
        <v>2.9130695199933734</v>
      </c>
      <c r="M14" s="529">
        <f>'AGG ASIA CELLULAR'!E42</f>
        <v>2.8146219035099969</v>
      </c>
      <c r="N14" s="529">
        <f>'AGG ASIA CELLULAR'!F42</f>
        <v>2.5888583636405476</v>
      </c>
      <c r="O14" s="529">
        <f>'AGG ASIA CELLULAR'!G42</f>
        <v>2.3605815546209548</v>
      </c>
      <c r="P14" s="286">
        <f>'EMEA INCUMB'!H42</f>
        <v>1.4111258607638399E-2</v>
      </c>
      <c r="R14" s="5"/>
      <c r="S14" s="42"/>
      <c r="T14" s="42"/>
      <c r="U14" s="42"/>
      <c r="V14" s="42"/>
      <c r="W14" s="42"/>
      <c r="X14" s="42"/>
      <c r="Y14" s="42"/>
      <c r="Z14" s="42"/>
      <c r="AA14" s="42"/>
    </row>
    <row r="15" spans="2:44">
      <c r="B15" s="5" t="s">
        <v>531</v>
      </c>
      <c r="C15" s="274"/>
      <c r="D15" s="620">
        <v>0</v>
      </c>
      <c r="E15" s="620">
        <f t="shared" si="2"/>
        <v>0</v>
      </c>
      <c r="F15" s="620">
        <f t="shared" si="2"/>
        <v>0</v>
      </c>
      <c r="G15" s="620">
        <f t="shared" si="2"/>
        <v>0</v>
      </c>
      <c r="H15" s="247"/>
      <c r="I15" s="247"/>
      <c r="J15" s="5" t="s">
        <v>475</v>
      </c>
      <c r="L15" s="529">
        <f>'AGG ASIA CELLULAR'!D43</f>
        <v>19.278364274513134</v>
      </c>
      <c r="M15" s="529">
        <f>'AGG ASIA CELLULAR'!E43</f>
        <v>15.523038202411636</v>
      </c>
      <c r="N15" s="529">
        <f>'AGG ASIA CELLULAR'!F43</f>
        <v>13.257386088679914</v>
      </c>
      <c r="O15" s="529">
        <f>'AGG ASIA CELLULAR'!G43</f>
        <v>11.466142328229227</v>
      </c>
      <c r="P15" s="286">
        <f>'EMEA INCUMB'!H43</f>
        <v>6.0036813160782021E-3</v>
      </c>
      <c r="R15" s="5"/>
      <c r="S15" s="42"/>
      <c r="T15" s="42"/>
      <c r="U15" s="42"/>
      <c r="V15" s="42"/>
      <c r="W15" s="42"/>
      <c r="X15" s="42"/>
      <c r="Y15" s="42"/>
      <c r="Z15" s="42"/>
      <c r="AA15" s="42"/>
    </row>
    <row r="16" spans="2:44">
      <c r="B16" s="5" t="s">
        <v>534</v>
      </c>
      <c r="C16" s="257"/>
      <c r="D16" s="620">
        <v>0</v>
      </c>
      <c r="E16" s="620">
        <v>0</v>
      </c>
      <c r="F16" s="620">
        <v>4962.3864852483039</v>
      </c>
      <c r="G16" s="620">
        <v>21674.387304351832</v>
      </c>
      <c r="H16" s="247"/>
      <c r="I16" s="247"/>
      <c r="J16" s="5" t="s">
        <v>533</v>
      </c>
      <c r="L16" s="529">
        <f>'AGG ASIA CELLULAR'!D44</f>
        <v>20.50009040888548</v>
      </c>
      <c r="M16" s="529">
        <f>'AGG ASIA CELLULAR'!E44</f>
        <v>17.31807909095523</v>
      </c>
      <c r="N16" s="529">
        <f>'AGG ASIA CELLULAR'!F44</f>
        <v>14.883294016253318</v>
      </c>
      <c r="O16" s="529">
        <f>'AGG ASIA CELLULAR'!G44</f>
        <v>13.16548576425039</v>
      </c>
      <c r="P16" s="286">
        <f>'EMEA INCUMB'!H44</f>
        <v>-3.031445748740591E-3</v>
      </c>
      <c r="R16" s="5"/>
      <c r="S16" s="42"/>
      <c r="T16" s="42"/>
      <c r="U16" s="42"/>
      <c r="V16" s="42"/>
      <c r="W16" s="42"/>
      <c r="X16" s="42"/>
      <c r="Y16" s="42"/>
      <c r="Z16" s="42"/>
      <c r="AA16" s="42"/>
    </row>
    <row r="17" spans="2:27">
      <c r="B17" s="5" t="s">
        <v>6</v>
      </c>
      <c r="C17" s="257"/>
      <c r="D17" s="620">
        <v>0</v>
      </c>
      <c r="E17" s="620">
        <v>0</v>
      </c>
      <c r="F17" s="620">
        <v>0</v>
      </c>
      <c r="G17" s="620">
        <v>0</v>
      </c>
      <c r="H17" s="247"/>
      <c r="I17" s="247"/>
      <c r="J17" s="5" t="s">
        <v>580</v>
      </c>
      <c r="L17" s="248">
        <f>'AGG ASIA CELLULAR'!D45</f>
        <v>4.174038595528512E-2</v>
      </c>
      <c r="M17" s="248">
        <f>'AGG ASIA CELLULAR'!E45</f>
        <v>4.4792872771489058E-2</v>
      </c>
      <c r="N17" s="248">
        <f>'AGG ASIA CELLULAR'!F45</f>
        <v>5.1203391440393167E-2</v>
      </c>
      <c r="O17" s="248">
        <f>'AGG ASIA CELLULAR'!G45</f>
        <v>5.7913719466381006E-2</v>
      </c>
      <c r="P17" s="286">
        <f>'EMEA INCUMB'!H45</f>
        <v>1.4582676697889596E-3</v>
      </c>
      <c r="R17" s="5"/>
      <c r="S17" s="42"/>
      <c r="T17" s="42"/>
      <c r="U17" s="42"/>
      <c r="V17" s="42"/>
      <c r="W17" s="42"/>
      <c r="X17" s="42"/>
      <c r="Y17" s="42"/>
      <c r="Z17" s="42"/>
      <c r="AA17" s="42"/>
    </row>
    <row r="18" spans="2:27" ht="12.6" thickBot="1">
      <c r="B18" s="41" t="s">
        <v>583</v>
      </c>
      <c r="C18" s="249"/>
      <c r="D18" s="534">
        <f>D11+D12+D13-D14+D15-D16-D17</f>
        <v>771029.80640799995</v>
      </c>
      <c r="E18" s="534">
        <f>E11+E12+E13-E14+E15-E16-E17</f>
        <v>734538.75053625659</v>
      </c>
      <c r="F18" s="534">
        <f>F11+F12+F13-F14+F15-F16-F17</f>
        <v>696237.10446212278</v>
      </c>
      <c r="G18" s="534">
        <f>G11+G12+G13-G14+G15-G16-G17</f>
        <v>642384.63367874653</v>
      </c>
      <c r="H18" s="276">
        <f>IF(D18=0,"nm",IF(G18=0,"nm",(G18/D18)^(1/3)-1))</f>
        <v>-5.9032423751077312E-2</v>
      </c>
      <c r="I18" s="254"/>
      <c r="J18" s="5" t="s">
        <v>36</v>
      </c>
      <c r="L18" s="248" t="e">
        <f>'AGG ASIA CELLULAR'!D46</f>
        <v>#VALUE!</v>
      </c>
      <c r="M18" s="248" t="e">
        <f>'AGG ASIA CELLULAR'!E46</f>
        <v>#VALUE!</v>
      </c>
      <c r="N18" s="248" t="e">
        <f>'AGG ASIA CELLULAR'!F46</f>
        <v>#VALUE!</v>
      </c>
      <c r="O18" s="248" t="e">
        <f>'AGG ASIA CELLULAR'!G46</f>
        <v>#VALUE!</v>
      </c>
      <c r="P18" s="286">
        <f>'EMEA INCUMB'!H46</f>
        <v>1.4582676697889596E-3</v>
      </c>
      <c r="R18" s="5"/>
      <c r="S18" s="42"/>
      <c r="T18" s="42"/>
      <c r="U18" s="42"/>
      <c r="V18" s="42"/>
      <c r="W18" s="42"/>
      <c r="X18" s="42"/>
      <c r="Y18" s="42"/>
      <c r="Z18" s="42"/>
      <c r="AA18" s="42"/>
    </row>
    <row r="19" spans="2:27" ht="12.6" thickTop="1">
      <c r="B19" s="41"/>
      <c r="C19" s="249"/>
      <c r="D19" s="229"/>
      <c r="E19" s="229"/>
      <c r="F19" s="229"/>
      <c r="G19" s="229"/>
      <c r="H19" s="276"/>
      <c r="I19" s="254"/>
      <c r="J19" s="5" t="s">
        <v>581</v>
      </c>
      <c r="L19" s="248">
        <f>'AGG ASIA CELLULAR'!D47</f>
        <v>5.1871620732991598E-2</v>
      </c>
      <c r="M19" s="248">
        <f>'AGG ASIA CELLULAR'!E47</f>
        <v>6.4420378727447922E-2</v>
      </c>
      <c r="N19" s="248">
        <f>'AGG ASIA CELLULAR'!F47</f>
        <v>7.5429650559386677E-2</v>
      </c>
      <c r="O19" s="248">
        <f>'AGG ASIA CELLULAR'!G47</f>
        <v>8.7213290344219457E-2</v>
      </c>
      <c r="P19" s="286">
        <f>'EMEA INCUMB'!H47</f>
        <v>6.0036813160782021E-3</v>
      </c>
      <c r="R19" s="5"/>
      <c r="S19" s="42"/>
      <c r="T19" s="42"/>
      <c r="U19" s="42"/>
      <c r="V19" s="42"/>
      <c r="W19" s="42"/>
      <c r="X19" s="42"/>
      <c r="Y19" s="42"/>
      <c r="Z19" s="42"/>
      <c r="AA19" s="42"/>
    </row>
    <row r="20" spans="2:27">
      <c r="H20" s="277"/>
      <c r="I20" s="17"/>
      <c r="J20" s="5" t="s">
        <v>604</v>
      </c>
      <c r="L20" s="305">
        <f>'AGG ASIA CELLULAR'!D48</f>
        <v>0.92045377326476352</v>
      </c>
      <c r="M20" s="305">
        <f>'AGG ASIA CELLULAR'!E48</f>
        <v>0.79490390762892493</v>
      </c>
      <c r="N20" s="305">
        <f>'AGG ASIA CELLULAR'!F48</f>
        <v>0.7763724496707467</v>
      </c>
      <c r="O20" s="305">
        <f>'AGG ASIA CELLULAR'!G48</f>
        <v>0.75978089170129071</v>
      </c>
      <c r="P20" s="286">
        <f>'EMEA INCUMB'!H48</f>
        <v>-3.031445748740591E-3</v>
      </c>
      <c r="R20" s="5"/>
      <c r="S20" s="42"/>
      <c r="T20" s="42"/>
      <c r="U20" s="42"/>
      <c r="V20" s="42"/>
      <c r="W20" s="42"/>
      <c r="X20" s="42"/>
      <c r="Y20" s="42"/>
      <c r="Z20" s="42"/>
      <c r="AA20" s="42"/>
    </row>
    <row r="21" spans="2:27" ht="12.6" thickBot="1">
      <c r="B21" s="306" t="s">
        <v>923</v>
      </c>
      <c r="C21" s="265"/>
      <c r="D21" s="265" t="str">
        <f>D5</f>
        <v>2023E</v>
      </c>
      <c r="E21" s="265" t="str">
        <f t="shared" ref="E21:H21" si="3">E5</f>
        <v>2024E</v>
      </c>
      <c r="F21" s="265" t="str">
        <f t="shared" si="3"/>
        <v>2025E</v>
      </c>
      <c r="G21" s="265" t="str">
        <f t="shared" si="3"/>
        <v>2026E</v>
      </c>
      <c r="H21" s="265" t="str">
        <f t="shared" si="3"/>
        <v>23E-26E</v>
      </c>
      <c r="I21" s="49"/>
      <c r="J21" s="41"/>
      <c r="L21" s="250"/>
      <c r="M21" s="250"/>
      <c r="N21" s="250"/>
      <c r="O21" s="250"/>
      <c r="P21" s="286"/>
      <c r="R21" s="5"/>
      <c r="S21" s="42"/>
      <c r="T21" s="42"/>
      <c r="U21" s="42"/>
      <c r="V21" s="42"/>
      <c r="W21" s="42"/>
      <c r="X21" s="42"/>
      <c r="Y21" s="42"/>
      <c r="Z21" s="42"/>
      <c r="AA21" s="42"/>
    </row>
    <row r="22" spans="2:27" ht="12.6" thickTop="1">
      <c r="B22" s="5"/>
      <c r="C22" s="257"/>
      <c r="D22" s="17"/>
      <c r="E22" s="17"/>
      <c r="F22" s="17"/>
      <c r="G22" s="17"/>
      <c r="H22" s="17"/>
      <c r="I22" s="17"/>
      <c r="P22" s="277"/>
      <c r="R22" s="5"/>
      <c r="S22" s="42"/>
      <c r="T22" s="42"/>
      <c r="U22" s="42"/>
      <c r="V22" s="42"/>
      <c r="W22" s="42"/>
      <c r="X22" s="42"/>
      <c r="Y22" s="42"/>
      <c r="Z22" s="42"/>
      <c r="AA22" s="42"/>
    </row>
    <row r="23" spans="2:27" ht="12.6" thickBot="1">
      <c r="B23" s="5" t="s">
        <v>584</v>
      </c>
      <c r="C23" s="548">
        <v>135076</v>
      </c>
      <c r="D23" s="540">
        <v>202856</v>
      </c>
      <c r="E23" s="540">
        <v>209959.279756565</v>
      </c>
      <c r="F23" s="540">
        <v>217203.07480990616</v>
      </c>
      <c r="G23" s="540">
        <v>224749.82891320949</v>
      </c>
      <c r="H23" s="279">
        <f t="shared" ref="H23:H32" si="4">IF(D23=0,"nm",IF(G23=0,"nm",(G23/D23)^(1/3)-1))</f>
        <v>3.4754135372314421E-2</v>
      </c>
      <c r="I23" s="247"/>
      <c r="J23" s="306" t="s">
        <v>9</v>
      </c>
      <c r="K23" s="306"/>
      <c r="L23" s="265" t="str">
        <f>D21</f>
        <v>2023E</v>
      </c>
      <c r="M23" s="265" t="str">
        <f t="shared" ref="M23:P23" si="5">E21</f>
        <v>2024E</v>
      </c>
      <c r="N23" s="265" t="str">
        <f t="shared" si="5"/>
        <v>2025E</v>
      </c>
      <c r="O23" s="265" t="str">
        <f t="shared" si="5"/>
        <v>2026E</v>
      </c>
      <c r="P23" s="265" t="str">
        <f t="shared" si="5"/>
        <v>23E-26E</v>
      </c>
      <c r="R23" s="5"/>
      <c r="S23" s="42"/>
      <c r="T23" s="42"/>
      <c r="U23" s="42"/>
      <c r="V23" s="42"/>
      <c r="W23" s="42"/>
      <c r="X23" s="42"/>
      <c r="Y23" s="42"/>
      <c r="Z23" s="42"/>
      <c r="AA23" s="42"/>
    </row>
    <row r="24" spans="2:27" ht="12.6" thickTop="1">
      <c r="B24" s="5" t="s">
        <v>483</v>
      </c>
      <c r="C24" s="549">
        <v>52804</v>
      </c>
      <c r="D24" s="540">
        <v>85735</v>
      </c>
      <c r="E24" s="540">
        <v>96609.99395080065</v>
      </c>
      <c r="F24" s="540">
        <v>106484.31504469833</v>
      </c>
      <c r="G24" s="540">
        <v>116212.8460575302</v>
      </c>
      <c r="H24" s="279">
        <f t="shared" si="4"/>
        <v>0.10670531330914002</v>
      </c>
      <c r="I24" s="249"/>
      <c r="J24" s="17"/>
      <c r="K24" s="17"/>
      <c r="L24" s="17"/>
      <c r="M24" s="17"/>
      <c r="N24" s="17"/>
      <c r="O24" s="248"/>
      <c r="R24" s="5"/>
      <c r="S24" s="42"/>
      <c r="T24" s="42"/>
      <c r="U24" s="42"/>
      <c r="V24" s="42"/>
      <c r="W24" s="42" t="b">
        <v>1</v>
      </c>
      <c r="X24" s="42" t="s">
        <v>257</v>
      </c>
      <c r="Y24" s="42"/>
      <c r="Z24" s="42"/>
      <c r="AA24" s="42"/>
    </row>
    <row r="25" spans="2:27">
      <c r="B25" s="5" t="s">
        <v>183</v>
      </c>
      <c r="C25" s="548">
        <v>13611</v>
      </c>
      <c r="D25" s="540">
        <v>48623</v>
      </c>
      <c r="E25" s="540">
        <v>67215.694784881547</v>
      </c>
      <c r="F25" s="540">
        <v>78247.915319410531</v>
      </c>
      <c r="G25" s="540">
        <v>86995.368298812973</v>
      </c>
      <c r="H25" s="279">
        <f t="shared" si="4"/>
        <v>0.21399843450490885</v>
      </c>
      <c r="I25" s="248"/>
      <c r="J25" s="247" t="s">
        <v>10</v>
      </c>
      <c r="K25" s="247"/>
      <c r="L25" s="321">
        <v>0</v>
      </c>
      <c r="M25" s="321">
        <v>0</v>
      </c>
      <c r="N25" s="321">
        <v>0</v>
      </c>
      <c r="O25" s="321">
        <v>0</v>
      </c>
      <c r="P25" s="279" t="str">
        <f>IF(L25=0,"nm",IF(O25=0,"nm",(O25/L25)^(1/3)-1))</f>
        <v>nm</v>
      </c>
      <c r="R25" s="5"/>
      <c r="S25" s="42"/>
      <c r="T25" s="42"/>
      <c r="U25" s="42"/>
      <c r="V25" s="147" t="s">
        <v>273</v>
      </c>
      <c r="W25" s="288">
        <f>D37/L9</f>
        <v>1.824463884942531</v>
      </c>
      <c r="X25" s="288">
        <v>1</v>
      </c>
      <c r="Y25" s="42"/>
      <c r="Z25" s="42"/>
      <c r="AA25" s="42"/>
    </row>
    <row r="26" spans="2:27">
      <c r="B26" s="5" t="s">
        <v>586</v>
      </c>
      <c r="C26" s="548">
        <v>13929.031923878159</v>
      </c>
      <c r="D26" s="540">
        <v>54969.985073555799</v>
      </c>
      <c r="E26" s="540">
        <v>57133.340567149316</v>
      </c>
      <c r="F26" s="540">
        <v>62598.332255528425</v>
      </c>
      <c r="G26" s="540">
        <v>69596.294639050378</v>
      </c>
      <c r="H26" s="279">
        <f t="shared" si="4"/>
        <v>8.1816247416002685E-2</v>
      </c>
      <c r="I26" s="249"/>
      <c r="J26" s="249" t="s">
        <v>11</v>
      </c>
      <c r="K26" s="249"/>
      <c r="L26" s="281">
        <f>D11+L25</f>
        <v>276416.806408</v>
      </c>
      <c r="M26" s="281">
        <f>E11+M25</f>
        <v>276416.806408</v>
      </c>
      <c r="N26" s="281">
        <f>F11+N25</f>
        <v>276416.806408</v>
      </c>
      <c r="O26" s="281">
        <f>G11+O25</f>
        <v>276416.806408</v>
      </c>
      <c r="P26" s="279">
        <f>IF(L26=0,"nm",IF(O26=0,"nm",(O26/L26)^(1/3)-1))</f>
        <v>0</v>
      </c>
      <c r="Q26" s="5"/>
      <c r="R26" s="5"/>
      <c r="S26" s="42"/>
      <c r="T26" s="42"/>
      <c r="U26" s="42"/>
      <c r="V26" s="147" t="s">
        <v>184</v>
      </c>
      <c r="W26" s="288">
        <f t="shared" ref="W26:W33" si="6">D38/L10</f>
        <v>1.4144934280322048</v>
      </c>
      <c r="X26" s="288">
        <v>1</v>
      </c>
      <c r="Y26" s="42"/>
      <c r="Z26" s="42"/>
      <c r="AA26" s="42"/>
    </row>
    <row r="27" spans="2:27">
      <c r="B27" s="5" t="s">
        <v>587</v>
      </c>
      <c r="C27" s="549">
        <v>326533.07900000003</v>
      </c>
      <c r="D27" s="540">
        <v>530083</v>
      </c>
      <c r="E27" s="540">
        <v>496787.39143203758</v>
      </c>
      <c r="F27" s="540">
        <v>478451.70567101333</v>
      </c>
      <c r="G27" s="540">
        <v>458219.26288210892</v>
      </c>
      <c r="H27" s="279">
        <f t="shared" si="4"/>
        <v>-4.7401656487550348E-2</v>
      </c>
      <c r="I27" s="249"/>
      <c r="J27" s="248"/>
      <c r="K27" s="248"/>
      <c r="L27" s="248"/>
      <c r="M27" s="248"/>
      <c r="N27" s="248"/>
      <c r="O27" s="248"/>
      <c r="Q27" s="41"/>
      <c r="R27" s="5"/>
      <c r="S27" s="42"/>
      <c r="T27" s="42"/>
      <c r="U27" s="42"/>
      <c r="V27" s="147" t="s">
        <v>185</v>
      </c>
      <c r="W27" s="288">
        <f t="shared" si="6"/>
        <v>1.2938069327101129</v>
      </c>
      <c r="X27" s="288">
        <v>1</v>
      </c>
      <c r="Y27" s="42"/>
      <c r="Z27" s="42"/>
      <c r="AA27" s="42"/>
    </row>
    <row r="28" spans="2:27" ht="12.6" thickBot="1">
      <c r="B28" s="5" t="s">
        <v>592</v>
      </c>
      <c r="C28" s="548">
        <v>253016</v>
      </c>
      <c r="D28" s="540">
        <v>222628</v>
      </c>
      <c r="E28" s="540">
        <v>193025.87916591909</v>
      </c>
      <c r="F28" s="540">
        <v>171075.55030806793</v>
      </c>
      <c r="G28" s="540">
        <v>155813.38498668751</v>
      </c>
      <c r="H28" s="279">
        <f t="shared" si="4"/>
        <v>-0.11214578817069887</v>
      </c>
      <c r="I28" s="248"/>
      <c r="J28" s="306" t="s">
        <v>1362</v>
      </c>
      <c r="K28" s="306"/>
      <c r="L28" s="306"/>
      <c r="M28" s="306"/>
      <c r="N28" s="266"/>
      <c r="O28" s="266"/>
      <c r="P28" s="266"/>
      <c r="Q28" s="5"/>
      <c r="R28" s="5"/>
      <c r="S28" s="42"/>
      <c r="T28" s="42"/>
      <c r="U28" s="42"/>
      <c r="V28" s="147" t="s">
        <v>466</v>
      </c>
      <c r="W28" s="288">
        <f t="shared" si="6"/>
        <v>0.87932504643997023</v>
      </c>
      <c r="X28" s="288">
        <v>1</v>
      </c>
      <c r="Y28" s="42"/>
      <c r="Z28" s="42"/>
      <c r="AA28" s="42"/>
    </row>
    <row r="29" spans="2:27" ht="12.6" thickTop="1">
      <c r="B29" s="5" t="s">
        <v>588</v>
      </c>
      <c r="C29" s="548">
        <v>-9713.8407362784455</v>
      </c>
      <c r="D29" s="540">
        <v>33208.444444444438</v>
      </c>
      <c r="E29" s="540">
        <v>49426.830862290633</v>
      </c>
      <c r="F29" s="540">
        <v>58544.319243288832</v>
      </c>
      <c r="G29" s="540">
        <v>65730.611404031923</v>
      </c>
      <c r="H29" s="279">
        <f t="shared" si="4"/>
        <v>0.2555664808277105</v>
      </c>
      <c r="I29" s="252"/>
      <c r="J29" s="249"/>
      <c r="K29" s="249"/>
      <c r="L29" s="249"/>
      <c r="M29" s="249"/>
      <c r="N29" s="249"/>
      <c r="O29" s="251"/>
      <c r="Q29" s="5"/>
      <c r="R29" s="5"/>
      <c r="S29" s="42"/>
      <c r="T29" s="42"/>
      <c r="U29" s="42"/>
      <c r="V29" s="147" t="s">
        <v>530</v>
      </c>
      <c r="W29" s="288">
        <f t="shared" si="6"/>
        <v>1.0189855999979043</v>
      </c>
      <c r="X29" s="288">
        <v>1</v>
      </c>
      <c r="Y29" s="42"/>
      <c r="Z29" s="42"/>
      <c r="AA29" s="42"/>
    </row>
    <row r="30" spans="2:27">
      <c r="B30" s="5" t="s">
        <v>589</v>
      </c>
      <c r="C30" s="549">
        <v>-18285</v>
      </c>
      <c r="D30" s="540">
        <v>-15689</v>
      </c>
      <c r="E30" s="540">
        <v>3380.2655837652869</v>
      </c>
      <c r="F30" s="540">
        <v>19849.545940993215</v>
      </c>
      <c r="G30" s="540">
        <v>33424.001638207053</v>
      </c>
      <c r="H30" s="279">
        <f t="shared" si="4"/>
        <v>-2.286730889898839</v>
      </c>
      <c r="I30" s="254"/>
      <c r="J30" s="248"/>
      <c r="K30" s="248"/>
      <c r="L30" s="248"/>
      <c r="M30" s="248"/>
      <c r="N30" s="248"/>
      <c r="O30" s="5"/>
      <c r="Q30" s="5"/>
      <c r="R30" s="5"/>
      <c r="S30" s="42"/>
      <c r="T30" s="42"/>
      <c r="U30" s="42"/>
      <c r="V30" s="147" t="s">
        <v>593</v>
      </c>
      <c r="W30" s="288">
        <f t="shared" si="6"/>
        <v>1.1888868771509622</v>
      </c>
      <c r="X30" s="288">
        <v>1</v>
      </c>
      <c r="Y30" s="42"/>
      <c r="Z30" s="42"/>
      <c r="AA30" s="42"/>
    </row>
    <row r="31" spans="2:27">
      <c r="B31" s="5" t="s">
        <v>590</v>
      </c>
      <c r="C31" s="549">
        <v>2335.7736710700001</v>
      </c>
      <c r="D31" s="540">
        <v>0</v>
      </c>
      <c r="E31" s="540">
        <v>845.06639594132173</v>
      </c>
      <c r="F31" s="540">
        <v>4962.3864852483039</v>
      </c>
      <c r="G31" s="540">
        <v>16712.000819103527</v>
      </c>
      <c r="H31" s="279" t="str">
        <f t="shared" si="4"/>
        <v>nm</v>
      </c>
      <c r="I31" s="254"/>
      <c r="J31" s="252"/>
      <c r="K31" s="252"/>
      <c r="L31" s="252"/>
      <c r="M31" s="252"/>
      <c r="N31" s="252"/>
      <c r="O31" s="5"/>
      <c r="Q31" s="5"/>
      <c r="R31" s="5"/>
      <c r="S31" s="42"/>
      <c r="T31" s="42"/>
      <c r="U31" s="42"/>
      <c r="V31" s="147" t="s">
        <v>475</v>
      </c>
      <c r="W31" s="288">
        <f t="shared" si="6"/>
        <v>0.43176330557149079</v>
      </c>
      <c r="X31" s="288">
        <v>1</v>
      </c>
      <c r="Y31" s="42"/>
      <c r="Z31" s="42"/>
      <c r="AA31" s="42"/>
    </row>
    <row r="32" spans="2:27">
      <c r="B32" s="5" t="s">
        <v>606</v>
      </c>
      <c r="C32" s="550" t="e">
        <v>#VALUE!</v>
      </c>
      <c r="D32" s="540" t="e">
        <v>#VALUE!</v>
      </c>
      <c r="E32" s="540" t="e">
        <v>#VALUE!</v>
      </c>
      <c r="F32" s="540" t="e">
        <v>#VALUE!</v>
      </c>
      <c r="G32" s="540" t="e">
        <v>#VALUE!</v>
      </c>
      <c r="H32" s="279" t="e">
        <f t="shared" si="4"/>
        <v>#VALUE!</v>
      </c>
      <c r="I32" s="254"/>
      <c r="J32" s="254"/>
      <c r="K32" s="254"/>
      <c r="L32" s="254"/>
      <c r="M32" s="254"/>
      <c r="N32" s="254"/>
      <c r="O32" s="251"/>
      <c r="Q32" s="5"/>
      <c r="R32" s="5"/>
      <c r="S32" s="42"/>
      <c r="T32" s="42"/>
      <c r="U32" s="42"/>
      <c r="V32" s="147" t="s">
        <v>533</v>
      </c>
      <c r="W32" s="288">
        <f t="shared" si="6"/>
        <v>-0.85943573130426676</v>
      </c>
      <c r="X32" s="288">
        <v>1</v>
      </c>
      <c r="Y32" s="42"/>
      <c r="Z32" s="42"/>
      <c r="AA32" s="42"/>
    </row>
    <row r="33" spans="2:27">
      <c r="B33" s="5" t="s">
        <v>5</v>
      </c>
      <c r="C33" s="549">
        <v>16477</v>
      </c>
      <c r="D33" s="540">
        <v>23300</v>
      </c>
      <c r="E33" s="540">
        <v>25938.51391191165</v>
      </c>
      <c r="F33" s="540">
        <v>24298.691625728072</v>
      </c>
      <c r="G33" s="540">
        <v>22705.953169527824</v>
      </c>
      <c r="H33" s="279">
        <f>IF(D33=0,"nm",IF(G33=0,"nm",(G33/D33)^(1/3)-1))</f>
        <v>-8.5717896803458871E-3</v>
      </c>
      <c r="I33" s="5"/>
      <c r="J33" s="254"/>
      <c r="K33" s="254"/>
      <c r="L33" s="254"/>
      <c r="M33" s="254"/>
      <c r="N33" s="254"/>
      <c r="O33" s="251"/>
      <c r="Q33" s="5"/>
      <c r="R33" s="5"/>
      <c r="S33" s="42"/>
      <c r="T33" s="42"/>
      <c r="U33" s="42"/>
      <c r="V33" s="147" t="s">
        <v>580</v>
      </c>
      <c r="W33" s="288">
        <f t="shared" si="6"/>
        <v>0</v>
      </c>
      <c r="X33" s="288">
        <v>1</v>
      </c>
      <c r="Y33" s="42"/>
      <c r="Z33" s="42"/>
      <c r="AA33" s="42"/>
    </row>
    <row r="34" spans="2:27">
      <c r="C34" s="5"/>
      <c r="D34" s="5"/>
      <c r="E34" s="5"/>
      <c r="F34" s="5"/>
      <c r="G34" s="5"/>
      <c r="I34" s="49"/>
      <c r="J34" s="254"/>
      <c r="K34" s="254"/>
      <c r="L34" s="254"/>
      <c r="M34" s="254"/>
      <c r="N34" s="254"/>
      <c r="O34" s="251"/>
      <c r="Q34" s="5"/>
      <c r="R34" s="5"/>
      <c r="S34" s="42"/>
      <c r="T34" s="42"/>
      <c r="U34" s="42"/>
      <c r="V34" s="147" t="s">
        <v>581</v>
      </c>
      <c r="W34" s="288">
        <f>D47/L19</f>
        <v>2.316083805862982</v>
      </c>
      <c r="X34" s="288">
        <v>1</v>
      </c>
      <c r="Y34" s="288"/>
      <c r="Z34" s="288"/>
      <c r="AA34" s="42"/>
    </row>
    <row r="35" spans="2:27" ht="12.6" thickBot="1">
      <c r="B35" s="306" t="s">
        <v>41</v>
      </c>
      <c r="C35" s="265"/>
      <c r="D35" s="265" t="str">
        <f>D5</f>
        <v>2023E</v>
      </c>
      <c r="E35" s="265" t="str">
        <f t="shared" ref="E35:H35" si="7">E5</f>
        <v>2024E</v>
      </c>
      <c r="F35" s="265" t="str">
        <f t="shared" si="7"/>
        <v>2025E</v>
      </c>
      <c r="G35" s="265" t="str">
        <f t="shared" si="7"/>
        <v>2026E</v>
      </c>
      <c r="H35" s="265" t="str">
        <f t="shared" si="7"/>
        <v>23E-26E</v>
      </c>
      <c r="I35" s="254"/>
      <c r="J35" s="5"/>
      <c r="K35" s="5"/>
      <c r="L35" s="5"/>
      <c r="M35" s="5"/>
      <c r="N35" s="5"/>
      <c r="O35" s="5"/>
      <c r="Q35" s="5"/>
      <c r="R35" s="5"/>
      <c r="S35" s="42"/>
      <c r="T35" s="42"/>
      <c r="U35" s="42"/>
      <c r="V35" s="42"/>
      <c r="W35" s="42"/>
      <c r="X35" s="42"/>
      <c r="Y35" s="288"/>
      <c r="Z35" s="288"/>
      <c r="AA35" s="42"/>
    </row>
    <row r="36" spans="2:27" ht="12.6" thickTop="1">
      <c r="B36" s="41"/>
      <c r="C36" s="249"/>
      <c r="D36" s="254"/>
      <c r="E36" s="254"/>
      <c r="F36" s="254"/>
      <c r="G36" s="254"/>
      <c r="H36" s="254"/>
      <c r="I36" s="17"/>
      <c r="J36" s="49"/>
      <c r="K36" s="49"/>
      <c r="L36" s="49"/>
      <c r="M36" s="49"/>
      <c r="N36" s="49"/>
      <c r="O36" s="49"/>
      <c r="Q36" s="5"/>
      <c r="R36" s="5"/>
      <c r="S36" s="42"/>
      <c r="T36" s="42"/>
      <c r="U36" s="42"/>
      <c r="V36" s="42"/>
      <c r="W36" s="42"/>
      <c r="X36" s="42"/>
      <c r="Y36" s="288"/>
      <c r="Z36" s="288"/>
      <c r="AA36" s="42"/>
    </row>
    <row r="37" spans="2:27">
      <c r="B37" s="5" t="s">
        <v>273</v>
      </c>
      <c r="C37" s="247"/>
      <c r="D37" s="529">
        <f>D$18/D23</f>
        <v>3.8008725717158969</v>
      </c>
      <c r="E37" s="529">
        <f t="shared" ref="E37:G41" si="8">E$18/E23</f>
        <v>3.4984819503472746</v>
      </c>
      <c r="F37" s="529">
        <f t="shared" si="8"/>
        <v>3.2054661522239596</v>
      </c>
      <c r="G37" s="529">
        <f t="shared" si="8"/>
        <v>2.8582207905787236</v>
      </c>
      <c r="H37" s="17">
        <f t="shared" ref="H37:H45" si="9">H23</f>
        <v>3.4754135372314421E-2</v>
      </c>
      <c r="I37" s="5"/>
      <c r="J37" s="259"/>
      <c r="K37" s="259"/>
      <c r="L37" s="259"/>
      <c r="M37" s="259"/>
      <c r="N37" s="259"/>
      <c r="O37" s="18"/>
      <c r="Q37" s="5"/>
      <c r="R37" s="5"/>
      <c r="S37" s="42"/>
      <c r="T37" s="42"/>
      <c r="U37" s="42"/>
      <c r="V37" s="42"/>
      <c r="W37" s="42"/>
      <c r="X37" s="42"/>
      <c r="Y37" s="42"/>
      <c r="Z37" s="42"/>
      <c r="AA37" s="42"/>
    </row>
    <row r="38" spans="2:27">
      <c r="B38" s="5" t="s">
        <v>184</v>
      </c>
      <c r="C38" s="247"/>
      <c r="D38" s="529">
        <f>D$18/D24</f>
        <v>8.9931743909488535</v>
      </c>
      <c r="E38" s="529">
        <f t="shared" si="8"/>
        <v>7.6031342151861212</v>
      </c>
      <c r="F38" s="529">
        <f t="shared" si="8"/>
        <v>6.5384005538267971</v>
      </c>
      <c r="G38" s="529">
        <f t="shared" si="8"/>
        <v>5.5276559818588327</v>
      </c>
      <c r="H38" s="17">
        <f t="shared" si="9"/>
        <v>0.10670531330914002</v>
      </c>
      <c r="I38" s="259"/>
      <c r="J38" s="17"/>
      <c r="K38" s="17"/>
      <c r="L38" s="17"/>
      <c r="M38" s="17"/>
      <c r="N38" s="17"/>
      <c r="O38" s="5"/>
      <c r="Q38" s="5"/>
      <c r="R38" s="5"/>
      <c r="S38" s="42"/>
      <c r="T38" s="42"/>
      <c r="U38" s="42"/>
      <c r="V38" s="42"/>
      <c r="W38" s="42"/>
      <c r="X38" s="42"/>
      <c r="Y38" s="42"/>
      <c r="Z38" s="42"/>
      <c r="AA38" s="42"/>
    </row>
    <row r="39" spans="2:27">
      <c r="B39" s="5" t="s">
        <v>185</v>
      </c>
      <c r="C39" s="247"/>
      <c r="D39" s="529">
        <f>D$18/D25</f>
        <v>15.857306344898504</v>
      </c>
      <c r="E39" s="529">
        <f t="shared" si="8"/>
        <v>10.928083878134252</v>
      </c>
      <c r="F39" s="529">
        <f t="shared" si="8"/>
        <v>8.8978358288532071</v>
      </c>
      <c r="G39" s="529">
        <f t="shared" si="8"/>
        <v>7.3841245372083986</v>
      </c>
      <c r="H39" s="17">
        <f t="shared" si="9"/>
        <v>0.21399843450490885</v>
      </c>
      <c r="I39" s="17"/>
      <c r="J39" s="5"/>
      <c r="K39" s="5"/>
      <c r="L39" s="5"/>
      <c r="M39" s="5"/>
      <c r="N39" s="5"/>
      <c r="O39" s="5"/>
      <c r="Q39" s="5"/>
      <c r="R39" s="5"/>
      <c r="S39" s="42"/>
      <c r="T39" s="42"/>
      <c r="U39" s="42"/>
      <c r="V39" s="42"/>
      <c r="W39" s="42"/>
      <c r="X39" s="42"/>
      <c r="Y39" s="42"/>
      <c r="Z39" s="42"/>
      <c r="AA39" s="42"/>
    </row>
    <row r="40" spans="2:27">
      <c r="B40" s="5" t="s">
        <v>466</v>
      </c>
      <c r="C40" s="247"/>
      <c r="D40" s="529">
        <f>D$18/D26</f>
        <v>14.026378311296218</v>
      </c>
      <c r="E40" s="529">
        <f>E$18/E26</f>
        <v>12.856569268393239</v>
      </c>
      <c r="F40" s="529">
        <f t="shared" si="8"/>
        <v>11.12229478606651</v>
      </c>
      <c r="G40" s="529">
        <f t="shared" si="8"/>
        <v>9.2301556715104986</v>
      </c>
      <c r="H40" s="17">
        <f t="shared" si="9"/>
        <v>8.1816247416002685E-2</v>
      </c>
      <c r="I40" s="5"/>
      <c r="J40" s="259"/>
      <c r="K40" s="259"/>
      <c r="L40" s="259"/>
      <c r="M40" s="259"/>
      <c r="N40" s="259"/>
      <c r="O40" s="18"/>
      <c r="Q40" s="5"/>
      <c r="R40" s="5"/>
      <c r="S40" s="42"/>
      <c r="T40" s="42"/>
      <c r="U40" s="42"/>
      <c r="V40" s="42"/>
      <c r="W40" s="288"/>
      <c r="X40" s="288"/>
      <c r="Y40" s="42"/>
      <c r="Z40" s="42"/>
      <c r="AA40" s="42"/>
    </row>
    <row r="41" spans="2:27">
      <c r="B41" s="5" t="s">
        <v>530</v>
      </c>
      <c r="C41" s="247"/>
      <c r="D41" s="529">
        <f>D$18/D27</f>
        <v>1.4545454323341815</v>
      </c>
      <c r="E41" s="529">
        <f t="shared" si="8"/>
        <v>1.4785776837428941</v>
      </c>
      <c r="F41" s="529">
        <f t="shared" si="8"/>
        <v>1.4551878407156524</v>
      </c>
      <c r="G41" s="529">
        <f t="shared" si="8"/>
        <v>1.4019153835617335</v>
      </c>
      <c r="H41" s="17">
        <f t="shared" si="9"/>
        <v>-4.7401656487550348E-2</v>
      </c>
      <c r="I41" s="247"/>
      <c r="J41" s="17"/>
      <c r="K41" s="17"/>
      <c r="L41" s="17"/>
      <c r="M41" s="17"/>
      <c r="N41" s="17"/>
      <c r="O41" s="5"/>
      <c r="Q41" s="5"/>
      <c r="R41" s="5"/>
      <c r="S41" s="42"/>
      <c r="T41" s="42"/>
      <c r="U41" s="42"/>
      <c r="V41" s="42"/>
      <c r="W41" s="288"/>
      <c r="X41" s="288"/>
      <c r="Y41" s="288"/>
      <c r="Z41" s="288"/>
      <c r="AA41" s="42"/>
    </row>
    <row r="42" spans="2:27">
      <c r="B42" s="5" t="s">
        <v>593</v>
      </c>
      <c r="C42" s="247"/>
      <c r="D42" s="529">
        <f>D18/D28</f>
        <v>3.463310124548574</v>
      </c>
      <c r="E42" s="529">
        <f>E18/E28</f>
        <v>3.8053900011245112</v>
      </c>
      <c r="F42" s="529">
        <f>F18/F28</f>
        <v>4.0697639330012914</v>
      </c>
      <c r="G42" s="529">
        <f>G18/G28</f>
        <v>4.1227820943215567</v>
      </c>
      <c r="H42" s="17">
        <f t="shared" si="9"/>
        <v>-0.11214578817069887</v>
      </c>
      <c r="I42" s="248"/>
      <c r="J42" s="5"/>
      <c r="K42" s="5"/>
      <c r="L42" s="5"/>
      <c r="M42" s="5"/>
      <c r="N42" s="5"/>
      <c r="O42" s="5"/>
      <c r="Q42" s="5"/>
      <c r="R42" s="5"/>
      <c r="S42" s="42"/>
      <c r="T42" s="42"/>
      <c r="U42" s="42"/>
      <c r="V42" s="42"/>
      <c r="W42" s="288"/>
      <c r="X42" s="288"/>
      <c r="Y42" s="288"/>
      <c r="Z42" s="288"/>
      <c r="AA42" s="42"/>
    </row>
    <row r="43" spans="2:27">
      <c r="B43" s="5" t="s">
        <v>475</v>
      </c>
      <c r="C43" s="247"/>
      <c r="D43" s="529">
        <f>L26/D29</f>
        <v>8.3236902851751253</v>
      </c>
      <c r="E43" s="529">
        <f>M26/E29</f>
        <v>5.5924444595311398</v>
      </c>
      <c r="F43" s="529">
        <f>N26/F29</f>
        <v>4.7214966367498885</v>
      </c>
      <c r="G43" s="529">
        <f>O26/G29</f>
        <v>4.2052979654932061</v>
      </c>
      <c r="H43" s="17">
        <f t="shared" si="9"/>
        <v>0.2555664808277105</v>
      </c>
      <c r="I43" s="247"/>
      <c r="J43" s="247"/>
      <c r="K43" s="247"/>
      <c r="L43" s="247"/>
      <c r="M43" s="247"/>
      <c r="N43" s="247"/>
      <c r="O43" s="18"/>
      <c r="Q43" s="5"/>
      <c r="R43" s="5"/>
      <c r="S43" s="42"/>
      <c r="T43" s="42"/>
      <c r="U43" s="42"/>
      <c r="V43" s="42"/>
      <c r="W43" s="288"/>
      <c r="X43" s="288"/>
      <c r="Y43" s="288"/>
      <c r="Z43" s="288"/>
      <c r="AA43" s="42"/>
    </row>
    <row r="44" spans="2:27">
      <c r="B44" s="5" t="s">
        <v>533</v>
      </c>
      <c r="C44" s="69"/>
      <c r="D44" s="529">
        <f>D11/D30</f>
        <v>-17.618510192364077</v>
      </c>
      <c r="E44" s="529">
        <f>E11/E30</f>
        <v>81.773694864561079</v>
      </c>
      <c r="F44" s="529">
        <f>F11/F30</f>
        <v>13.925598461028015</v>
      </c>
      <c r="G44" s="529">
        <f>G11/G30</f>
        <v>8.2700093603402447</v>
      </c>
      <c r="H44" s="17">
        <f t="shared" si="9"/>
        <v>-2.286730889898839</v>
      </c>
      <c r="I44" s="247"/>
      <c r="J44" s="248"/>
      <c r="K44" s="248"/>
      <c r="L44" s="248"/>
      <c r="M44" s="248"/>
      <c r="N44" s="248"/>
      <c r="O44" s="248"/>
      <c r="Q44" s="5"/>
      <c r="R44" s="5"/>
      <c r="S44" s="42"/>
      <c r="T44" s="42"/>
      <c r="U44" s="42"/>
      <c r="V44" s="42"/>
      <c r="W44" s="325"/>
      <c r="X44" s="325"/>
      <c r="Y44" s="288"/>
      <c r="Z44" s="288"/>
      <c r="AA44" s="42"/>
    </row>
    <row r="45" spans="2:27">
      <c r="B45" s="5" t="s">
        <v>580</v>
      </c>
      <c r="C45" s="247"/>
      <c r="D45" s="248">
        <f>D31/D11</f>
        <v>0</v>
      </c>
      <c r="E45" s="248">
        <f>E31/E11</f>
        <v>3.057217854886786E-3</v>
      </c>
      <c r="F45" s="248">
        <f>F31/F11</f>
        <v>1.795254980959321E-2</v>
      </c>
      <c r="G45" s="248">
        <f>G31/G11</f>
        <v>6.0459423709700491E-2</v>
      </c>
      <c r="H45" s="17" t="str">
        <f t="shared" si="9"/>
        <v>nm</v>
      </c>
      <c r="I45" s="248"/>
      <c r="J45" s="247"/>
      <c r="K45" s="247"/>
      <c r="L45" s="247"/>
      <c r="M45" s="247"/>
      <c r="N45" s="247"/>
      <c r="O45" s="248"/>
      <c r="Q45" s="5"/>
      <c r="R45" s="5"/>
      <c r="S45" s="42"/>
      <c r="T45" s="42"/>
      <c r="U45" s="42"/>
      <c r="V45" s="42"/>
      <c r="W45" s="42"/>
      <c r="X45" s="42"/>
      <c r="Y45" s="325"/>
      <c r="Z45" s="325"/>
      <c r="AA45" s="42"/>
    </row>
    <row r="46" spans="2:27">
      <c r="B46" s="5" t="s">
        <v>605</v>
      </c>
      <c r="C46" s="247"/>
      <c r="D46" s="248" t="e">
        <f>(D31+D32)/D11</f>
        <v>#VALUE!</v>
      </c>
      <c r="E46" s="248" t="e">
        <f>(E31+E32)/E11</f>
        <v>#VALUE!</v>
      </c>
      <c r="F46" s="248" t="e">
        <f>(F31+F32)/F11</f>
        <v>#VALUE!</v>
      </c>
      <c r="G46" s="248" t="e">
        <f>(G31+G32)/G11</f>
        <v>#VALUE!</v>
      </c>
      <c r="H46" s="279" t="e">
        <f>((G31+G32)/(D31+D32))^(1/3)-1</f>
        <v>#VALUE!</v>
      </c>
      <c r="I46" s="247"/>
      <c r="J46" s="247"/>
      <c r="K46" s="247"/>
      <c r="L46" s="247"/>
      <c r="M46" s="247"/>
      <c r="N46" s="247"/>
      <c r="O46" s="18"/>
      <c r="Q46" s="5"/>
      <c r="R46" s="5"/>
      <c r="S46" s="42"/>
      <c r="T46" s="42"/>
      <c r="U46" s="42"/>
      <c r="V46" s="42"/>
      <c r="W46" s="42"/>
      <c r="X46" s="42"/>
      <c r="Y46" s="42"/>
      <c r="Z46" s="42"/>
      <c r="AA46" s="326"/>
    </row>
    <row r="47" spans="2:27">
      <c r="B47" s="5" t="s">
        <v>581</v>
      </c>
      <c r="C47" s="5"/>
      <c r="D47" s="248">
        <f>1/D43</f>
        <v>0.12013902076354835</v>
      </c>
      <c r="E47" s="248">
        <f>1/E43</f>
        <v>0.17881268329732114</v>
      </c>
      <c r="F47" s="248">
        <f>1/F43</f>
        <v>0.21179724924856977</v>
      </c>
      <c r="G47" s="248">
        <f>1/G43</f>
        <v>0.23779527829075434</v>
      </c>
      <c r="H47" s="17">
        <f>H29</f>
        <v>0.2555664808277105</v>
      </c>
      <c r="I47" s="17"/>
      <c r="J47" s="248"/>
      <c r="K47" s="248"/>
      <c r="L47" s="248"/>
      <c r="M47" s="248"/>
      <c r="N47" s="248"/>
      <c r="O47" s="248"/>
      <c r="Q47" s="5"/>
      <c r="R47" s="5"/>
      <c r="S47" s="42"/>
      <c r="T47" s="42"/>
      <c r="U47" s="42"/>
      <c r="V47" s="42"/>
      <c r="W47" s="42"/>
      <c r="X47" s="42"/>
      <c r="Y47" s="42"/>
      <c r="Z47" s="42"/>
      <c r="AA47" s="326"/>
    </row>
    <row r="48" spans="2:27">
      <c r="B48" s="5" t="s">
        <v>618</v>
      </c>
      <c r="C48" s="5"/>
      <c r="D48" s="305">
        <f>D31/D29</f>
        <v>0</v>
      </c>
      <c r="E48" s="305">
        <f>E31/E29</f>
        <v>1.709732105414128E-2</v>
      </c>
      <c r="F48" s="305">
        <f>F31/F29</f>
        <v>8.4762903547079202E-2</v>
      </c>
      <c r="G48" s="305">
        <f>G31/G29</f>
        <v>0.25424989152129523</v>
      </c>
      <c r="H48" s="279" t="s">
        <v>607</v>
      </c>
      <c r="I48" s="247"/>
      <c r="J48" s="247"/>
      <c r="K48" s="247"/>
      <c r="L48" s="247"/>
      <c r="M48" s="247"/>
      <c r="N48" s="247"/>
      <c r="O48" s="248"/>
      <c r="Q48" s="5"/>
      <c r="R48" s="5"/>
      <c r="S48" s="42"/>
      <c r="T48" s="42"/>
      <c r="U48" s="42"/>
      <c r="V48" s="42"/>
      <c r="W48" s="42"/>
      <c r="X48" s="42"/>
      <c r="Y48" s="42"/>
      <c r="Z48" s="42"/>
      <c r="AA48" s="326"/>
    </row>
    <row r="49" spans="2:27">
      <c r="B49" s="41"/>
      <c r="C49" s="17"/>
      <c r="D49" s="17"/>
      <c r="E49" s="17"/>
      <c r="F49" s="17"/>
      <c r="G49" s="17"/>
      <c r="H49" s="17"/>
      <c r="I49" s="254"/>
      <c r="J49" s="17"/>
      <c r="K49" s="17"/>
      <c r="L49" s="17"/>
      <c r="M49" s="17"/>
      <c r="N49" s="17"/>
      <c r="O49" s="248"/>
      <c r="Q49" s="5"/>
      <c r="R49" s="5"/>
      <c r="S49" s="42"/>
      <c r="T49" s="42"/>
      <c r="U49" s="42"/>
      <c r="V49" s="42"/>
      <c r="W49" s="42"/>
      <c r="X49" s="42"/>
      <c r="Y49" s="42"/>
      <c r="Z49" s="42"/>
      <c r="AA49" s="326"/>
    </row>
    <row r="50" spans="2:27">
      <c r="B50" s="5"/>
      <c r="C50" s="257"/>
      <c r="D50" s="257"/>
      <c r="E50" s="257"/>
      <c r="F50" s="5"/>
      <c r="G50" s="41"/>
      <c r="H50" s="249"/>
      <c r="I50" s="17"/>
      <c r="J50" s="249"/>
      <c r="K50" s="249"/>
      <c r="L50" s="249"/>
      <c r="M50" s="249"/>
      <c r="N50" s="249"/>
      <c r="O50" s="250"/>
      <c r="Q50" s="5"/>
      <c r="R50" s="5"/>
      <c r="S50" s="42"/>
      <c r="T50" s="42"/>
      <c r="U50" s="42"/>
      <c r="V50" s="42"/>
      <c r="W50" s="288"/>
      <c r="X50" s="288"/>
      <c r="Y50" s="42"/>
      <c r="Z50" s="42"/>
      <c r="AA50" s="326"/>
    </row>
    <row r="51" spans="2:27">
      <c r="B51" s="41"/>
      <c r="C51" s="249"/>
      <c r="D51" s="254"/>
      <c r="E51" s="254"/>
      <c r="F51" s="254"/>
      <c r="G51" s="254"/>
      <c r="H51" s="254"/>
      <c r="I51" s="259"/>
      <c r="J51" s="254"/>
      <c r="K51" s="254"/>
      <c r="L51" s="254"/>
      <c r="M51" s="254"/>
      <c r="N51" s="254"/>
      <c r="O51" s="251"/>
      <c r="Q51" s="5"/>
      <c r="R51" s="5"/>
      <c r="S51" s="42"/>
      <c r="T51" s="42"/>
      <c r="U51" s="42"/>
      <c r="V51" s="42"/>
      <c r="W51" s="288"/>
      <c r="X51" s="288"/>
      <c r="Y51" s="288"/>
      <c r="Z51" s="288"/>
      <c r="AA51" s="42"/>
    </row>
    <row r="52" spans="2:27">
      <c r="B52" s="5"/>
      <c r="C52" s="257"/>
      <c r="D52" s="17"/>
      <c r="E52" s="17"/>
      <c r="F52" s="17"/>
      <c r="G52" s="17"/>
      <c r="H52" s="17"/>
      <c r="I52" s="254"/>
      <c r="J52" s="17"/>
      <c r="K52" s="17"/>
      <c r="L52" s="17"/>
      <c r="M52" s="17"/>
      <c r="N52" s="17"/>
      <c r="O52" s="248"/>
      <c r="Q52" s="5"/>
      <c r="R52" s="5"/>
      <c r="S52" s="5"/>
      <c r="Y52" s="10"/>
      <c r="Z52" s="10"/>
    </row>
    <row r="53" spans="2:27">
      <c r="B53" s="5"/>
      <c r="C53" s="257"/>
      <c r="D53" s="257"/>
      <c r="E53" s="257"/>
      <c r="F53" s="5"/>
      <c r="G53" s="5"/>
      <c r="H53" s="259"/>
      <c r="I53" s="17"/>
      <c r="J53" s="259"/>
      <c r="K53" s="259"/>
      <c r="L53" s="259"/>
      <c r="M53" s="259"/>
      <c r="N53" s="259"/>
      <c r="O53" s="18"/>
      <c r="Q53" s="5"/>
      <c r="R53" s="5"/>
      <c r="S53" s="5"/>
    </row>
    <row r="54" spans="2:27">
      <c r="B54" s="41"/>
      <c r="C54" s="249"/>
      <c r="D54" s="254"/>
      <c r="E54" s="254"/>
      <c r="F54" s="254"/>
      <c r="G54" s="254"/>
      <c r="H54" s="254"/>
      <c r="I54" s="259"/>
      <c r="J54" s="254"/>
      <c r="K54" s="254"/>
      <c r="L54" s="254"/>
      <c r="M54" s="254"/>
      <c r="N54" s="254"/>
      <c r="O54" s="251"/>
      <c r="Q54" s="5"/>
      <c r="R54" s="5"/>
      <c r="S54" s="5"/>
    </row>
    <row r="55" spans="2:27">
      <c r="B55" s="5"/>
      <c r="C55" s="257"/>
      <c r="D55" s="17"/>
      <c r="E55" s="17"/>
      <c r="F55" s="17"/>
      <c r="G55" s="17"/>
      <c r="H55" s="17"/>
      <c r="I55" s="249"/>
      <c r="J55" s="17"/>
      <c r="K55" s="17"/>
      <c r="L55" s="17"/>
      <c r="M55" s="17"/>
      <c r="N55" s="17"/>
      <c r="O55" s="18"/>
      <c r="Q55" s="5"/>
      <c r="R55" s="5"/>
      <c r="S55" s="5"/>
    </row>
    <row r="56" spans="2:27">
      <c r="B56" s="5"/>
      <c r="C56" s="248"/>
      <c r="D56" s="248"/>
      <c r="E56" s="248"/>
      <c r="F56" s="5"/>
      <c r="G56" s="5"/>
      <c r="H56" s="259"/>
      <c r="I56" s="248"/>
      <c r="J56" s="259"/>
      <c r="K56" s="259"/>
      <c r="L56" s="259"/>
      <c r="M56" s="259"/>
      <c r="N56" s="259"/>
      <c r="O56" s="18"/>
      <c r="Q56" s="5"/>
      <c r="R56" s="5"/>
      <c r="S56" s="5"/>
    </row>
    <row r="57" spans="2:27">
      <c r="B57" s="41"/>
      <c r="C57" s="249"/>
      <c r="D57" s="249"/>
      <c r="E57" s="249"/>
      <c r="F57" s="249"/>
      <c r="G57" s="249"/>
      <c r="H57" s="249"/>
      <c r="I57" s="5"/>
      <c r="J57" s="249"/>
      <c r="K57" s="249"/>
      <c r="L57" s="249"/>
      <c r="M57" s="249"/>
      <c r="N57" s="249"/>
      <c r="O57" s="251"/>
      <c r="Q57" s="5"/>
      <c r="R57" s="5"/>
      <c r="S57" s="5"/>
    </row>
    <row r="58" spans="2:27">
      <c r="B58" s="5"/>
      <c r="C58" s="5"/>
      <c r="D58" s="248"/>
      <c r="E58" s="248"/>
      <c r="F58" s="248"/>
      <c r="G58" s="248"/>
      <c r="H58" s="248"/>
      <c r="I58" s="17"/>
      <c r="J58" s="248"/>
      <c r="K58" s="248"/>
      <c r="L58" s="248"/>
      <c r="M58" s="248"/>
      <c r="N58" s="248"/>
      <c r="O58" s="18"/>
      <c r="Q58" s="5"/>
      <c r="R58" s="5"/>
      <c r="S58" s="5"/>
    </row>
    <row r="59" spans="2:27">
      <c r="B59" s="5"/>
      <c r="C59" s="5"/>
      <c r="D59" s="5"/>
      <c r="E59" s="5"/>
      <c r="F59" s="5"/>
      <c r="G59" s="5"/>
      <c r="H59" s="5"/>
      <c r="I59" s="5"/>
      <c r="J59" s="5"/>
      <c r="K59" s="5"/>
      <c r="L59" s="5"/>
      <c r="M59" s="5"/>
      <c r="N59" s="5"/>
      <c r="O59" s="5"/>
      <c r="Q59" s="5"/>
      <c r="R59" s="5"/>
      <c r="S59" s="5"/>
    </row>
    <row r="60" spans="2:27">
      <c r="B60" s="41"/>
      <c r="C60" s="17"/>
      <c r="D60" s="17"/>
      <c r="E60" s="17"/>
      <c r="F60" s="17"/>
      <c r="G60" s="17"/>
      <c r="H60" s="17"/>
      <c r="I60" s="249"/>
      <c r="J60" s="17"/>
      <c r="K60" s="17"/>
      <c r="L60" s="17"/>
      <c r="M60" s="17"/>
      <c r="N60" s="17"/>
      <c r="O60" s="251"/>
      <c r="Q60" s="5"/>
      <c r="R60" s="5"/>
      <c r="S60" s="5"/>
    </row>
    <row r="61" spans="2:27">
      <c r="B61" s="5"/>
      <c r="C61" s="5"/>
      <c r="D61" s="5"/>
      <c r="E61" s="5"/>
      <c r="F61" s="5"/>
      <c r="G61" s="5"/>
      <c r="H61" s="5"/>
      <c r="I61" s="5"/>
      <c r="J61" s="5"/>
      <c r="K61" s="5"/>
      <c r="L61" s="5"/>
      <c r="M61" s="5"/>
      <c r="N61" s="5"/>
      <c r="O61" s="5"/>
      <c r="Q61" s="41"/>
      <c r="R61" s="5"/>
      <c r="S61" s="5"/>
    </row>
    <row r="62" spans="2:27">
      <c r="B62" s="41"/>
      <c r="C62" s="249"/>
      <c r="D62" s="249"/>
      <c r="E62" s="249"/>
      <c r="F62" s="249"/>
      <c r="G62" s="249"/>
      <c r="H62" s="249"/>
      <c r="I62" s="5"/>
      <c r="J62" s="249"/>
      <c r="K62" s="249"/>
      <c r="L62" s="249"/>
      <c r="M62" s="249"/>
      <c r="N62" s="249"/>
      <c r="O62" s="251"/>
      <c r="Q62" s="5"/>
      <c r="R62" s="5"/>
      <c r="S62" s="5"/>
    </row>
    <row r="63" spans="2:27">
      <c r="B63" s="5"/>
      <c r="C63" s="5"/>
      <c r="D63" s="5"/>
      <c r="E63" s="5"/>
      <c r="F63" s="5"/>
      <c r="G63" s="5"/>
      <c r="H63" s="5"/>
      <c r="I63" s="254"/>
      <c r="J63" s="5"/>
      <c r="K63" s="5"/>
      <c r="L63" s="5"/>
      <c r="M63" s="5"/>
      <c r="N63" s="5"/>
      <c r="O63" s="5"/>
      <c r="Q63" s="5"/>
      <c r="R63" s="5"/>
      <c r="S63" s="5"/>
    </row>
    <row r="64" spans="2:27">
      <c r="B64" s="5"/>
      <c r="C64" s="5"/>
      <c r="D64" s="5"/>
      <c r="E64" s="5"/>
      <c r="F64" s="5"/>
      <c r="G64" s="5"/>
      <c r="H64" s="5"/>
      <c r="I64" s="17"/>
      <c r="J64" s="5"/>
      <c r="K64" s="5"/>
      <c r="L64" s="5"/>
      <c r="M64" s="5"/>
      <c r="N64" s="5"/>
      <c r="O64" s="5"/>
      <c r="Q64" s="5"/>
      <c r="R64" s="5"/>
      <c r="S64" s="5"/>
    </row>
    <row r="65" spans="2:26">
      <c r="B65" s="41"/>
      <c r="C65" s="249"/>
      <c r="D65" s="254"/>
      <c r="E65" s="254"/>
      <c r="F65" s="254"/>
      <c r="G65" s="254"/>
      <c r="H65" s="254"/>
      <c r="I65" s="254"/>
      <c r="J65" s="254"/>
      <c r="K65" s="254"/>
      <c r="L65" s="254"/>
      <c r="M65" s="254"/>
      <c r="N65" s="254"/>
      <c r="O65" s="251"/>
      <c r="Q65" s="5"/>
      <c r="R65" s="5"/>
      <c r="S65" s="5"/>
    </row>
    <row r="66" spans="2:26">
      <c r="B66" s="5"/>
      <c r="C66" s="5"/>
      <c r="D66" s="17"/>
      <c r="E66" s="17"/>
      <c r="F66" s="17"/>
      <c r="G66" s="17"/>
      <c r="H66" s="17"/>
      <c r="I66" s="248"/>
      <c r="J66" s="17"/>
      <c r="K66" s="17"/>
      <c r="L66" s="17"/>
      <c r="M66" s="17"/>
      <c r="N66" s="17"/>
      <c r="O66" s="5"/>
      <c r="Q66" s="5"/>
      <c r="R66" s="5"/>
      <c r="S66" s="5"/>
    </row>
    <row r="67" spans="2:26">
      <c r="B67" s="41"/>
      <c r="C67" s="249"/>
      <c r="D67" s="254"/>
      <c r="E67" s="254"/>
      <c r="F67" s="254"/>
      <c r="G67" s="254"/>
      <c r="H67" s="254"/>
      <c r="I67" s="5"/>
      <c r="J67" s="254"/>
      <c r="K67" s="254"/>
      <c r="L67" s="254"/>
      <c r="M67" s="254"/>
      <c r="N67" s="254"/>
      <c r="O67" s="251"/>
      <c r="Q67" s="41"/>
      <c r="R67" s="5"/>
      <c r="S67" s="5"/>
    </row>
    <row r="68" spans="2:26">
      <c r="B68" s="5"/>
      <c r="C68" s="5"/>
      <c r="D68" s="248"/>
      <c r="E68" s="248"/>
      <c r="F68" s="248"/>
      <c r="G68" s="248"/>
      <c r="H68" s="248"/>
      <c r="I68" s="245"/>
      <c r="J68" s="248"/>
      <c r="K68" s="248"/>
      <c r="L68" s="248"/>
      <c r="M68" s="248"/>
      <c r="N68" s="248"/>
      <c r="O68" s="5"/>
      <c r="Q68" s="5"/>
      <c r="R68" s="5"/>
      <c r="S68" s="5"/>
    </row>
    <row r="69" spans="2:26">
      <c r="B69" s="41"/>
      <c r="C69" s="5"/>
      <c r="D69" s="5"/>
      <c r="E69" s="5"/>
      <c r="F69" s="5"/>
      <c r="G69" s="5"/>
      <c r="H69" s="5"/>
      <c r="I69" s="248"/>
      <c r="J69" s="5"/>
      <c r="K69" s="5"/>
      <c r="L69" s="5"/>
      <c r="M69" s="5"/>
      <c r="N69" s="5"/>
      <c r="O69" s="5"/>
      <c r="Q69" s="5"/>
      <c r="R69" s="5"/>
      <c r="S69" s="5"/>
    </row>
    <row r="70" spans="2:26">
      <c r="B70" s="41"/>
      <c r="C70" s="245"/>
      <c r="D70" s="245"/>
      <c r="E70" s="245"/>
      <c r="F70" s="245"/>
      <c r="G70" s="245"/>
      <c r="H70" s="245"/>
      <c r="I70" s="5"/>
      <c r="J70" s="245"/>
      <c r="K70" s="245"/>
      <c r="L70" s="245"/>
      <c r="M70" s="245"/>
      <c r="N70" s="245"/>
      <c r="O70" s="251"/>
      <c r="Q70" s="5"/>
      <c r="R70" s="5"/>
      <c r="S70" s="5"/>
      <c r="W70" s="76"/>
      <c r="X70" s="76"/>
    </row>
    <row r="71" spans="2:26">
      <c r="B71" s="5"/>
      <c r="C71" s="5"/>
      <c r="D71" s="248"/>
      <c r="E71" s="248"/>
      <c r="F71" s="248"/>
      <c r="G71" s="248"/>
      <c r="H71" s="248"/>
      <c r="I71" s="245"/>
      <c r="J71" s="248"/>
      <c r="K71" s="248"/>
      <c r="L71" s="248"/>
      <c r="M71" s="248"/>
      <c r="N71" s="248"/>
      <c r="O71" s="5"/>
      <c r="Q71" s="5"/>
      <c r="R71" s="5"/>
      <c r="S71" s="5"/>
      <c r="W71" s="76"/>
      <c r="X71" s="76"/>
      <c r="Y71" s="76"/>
      <c r="Z71" s="76"/>
    </row>
    <row r="72" spans="2:26">
      <c r="B72" s="41"/>
      <c r="C72" s="5"/>
      <c r="D72" s="5"/>
      <c r="E72" s="5"/>
      <c r="F72" s="5"/>
      <c r="G72" s="5"/>
      <c r="H72" s="5"/>
      <c r="I72" s="18"/>
      <c r="J72" s="5"/>
      <c r="K72" s="5"/>
      <c r="L72" s="5"/>
      <c r="M72" s="5"/>
      <c r="N72" s="5"/>
      <c r="O72" s="5"/>
      <c r="Q72" s="5"/>
      <c r="R72" s="5"/>
      <c r="S72" s="5"/>
      <c r="Y72" s="76"/>
      <c r="Z72" s="76"/>
    </row>
    <row r="73" spans="2:26">
      <c r="B73" s="41"/>
      <c r="C73" s="245"/>
      <c r="D73" s="245"/>
      <c r="E73" s="245"/>
      <c r="F73" s="245"/>
      <c r="G73" s="245"/>
      <c r="H73" s="245"/>
      <c r="I73" s="5"/>
      <c r="J73" s="245"/>
      <c r="K73" s="245"/>
      <c r="L73" s="245"/>
      <c r="M73" s="245"/>
      <c r="N73" s="245"/>
      <c r="O73" s="251"/>
      <c r="Q73" s="5"/>
      <c r="R73" s="5"/>
      <c r="S73" s="5"/>
    </row>
    <row r="74" spans="2:26">
      <c r="B74" s="5"/>
      <c r="C74" s="5"/>
      <c r="D74" s="18"/>
      <c r="E74" s="18"/>
      <c r="F74" s="18"/>
      <c r="G74" s="18"/>
      <c r="H74" s="18"/>
      <c r="I74" s="249"/>
      <c r="J74" s="18"/>
      <c r="K74" s="18"/>
      <c r="L74" s="18"/>
      <c r="M74" s="18"/>
      <c r="N74" s="18"/>
      <c r="O74" s="5"/>
      <c r="Q74" s="5"/>
      <c r="R74" s="5"/>
      <c r="S74" s="5"/>
    </row>
    <row r="75" spans="2:26">
      <c r="B75" s="41"/>
      <c r="C75" s="5"/>
      <c r="D75" s="5"/>
      <c r="E75" s="5"/>
      <c r="F75" s="5"/>
      <c r="G75" s="5"/>
      <c r="H75" s="5"/>
      <c r="I75" s="248"/>
      <c r="J75" s="5"/>
      <c r="K75" s="5"/>
      <c r="L75" s="5"/>
      <c r="M75" s="5"/>
      <c r="N75" s="5"/>
      <c r="O75" s="5"/>
      <c r="Q75" s="5"/>
      <c r="R75" s="5"/>
      <c r="S75" s="5"/>
    </row>
    <row r="76" spans="2:26">
      <c r="B76" s="41"/>
      <c r="C76" s="249"/>
      <c r="D76" s="249"/>
      <c r="E76" s="249"/>
      <c r="F76" s="249"/>
      <c r="G76" s="249"/>
      <c r="H76" s="249"/>
      <c r="I76" s="5"/>
      <c r="J76" s="249"/>
      <c r="K76" s="249"/>
      <c r="L76" s="249"/>
      <c r="M76" s="249"/>
      <c r="N76" s="249"/>
      <c r="O76" s="251"/>
      <c r="Q76" s="5"/>
      <c r="R76" s="5"/>
      <c r="S76" s="5"/>
    </row>
    <row r="77" spans="2:26">
      <c r="B77" s="5"/>
      <c r="C77" s="5"/>
      <c r="D77" s="248"/>
      <c r="E77" s="248"/>
      <c r="F77" s="248"/>
      <c r="G77" s="248"/>
      <c r="H77" s="248"/>
      <c r="I77" s="245"/>
      <c r="J77" s="248"/>
      <c r="K77" s="248"/>
      <c r="L77" s="248"/>
      <c r="M77" s="248"/>
      <c r="N77" s="248"/>
      <c r="O77" s="5"/>
      <c r="Q77" s="5"/>
      <c r="R77" s="5"/>
      <c r="S77" s="5"/>
    </row>
    <row r="78" spans="2:26">
      <c r="B78" s="41"/>
      <c r="C78" s="5"/>
      <c r="D78" s="5"/>
      <c r="E78" s="5"/>
      <c r="F78" s="5"/>
      <c r="G78" s="5"/>
      <c r="H78" s="5"/>
      <c r="I78" s="248"/>
      <c r="J78" s="5"/>
      <c r="K78" s="5"/>
      <c r="L78" s="5"/>
      <c r="M78" s="5"/>
      <c r="N78" s="5"/>
      <c r="O78" s="5"/>
      <c r="Q78" s="5"/>
      <c r="R78" s="5"/>
      <c r="S78" s="5"/>
    </row>
    <row r="79" spans="2:26">
      <c r="B79" s="41"/>
      <c r="C79" s="245"/>
      <c r="D79" s="245"/>
      <c r="E79" s="245"/>
      <c r="F79" s="245"/>
      <c r="G79" s="245"/>
      <c r="H79" s="245"/>
      <c r="I79" s="5"/>
      <c r="J79" s="245"/>
      <c r="K79" s="245"/>
      <c r="L79" s="245"/>
      <c r="M79" s="245"/>
      <c r="N79" s="245"/>
      <c r="O79" s="251"/>
      <c r="Q79" s="5"/>
      <c r="R79" s="5"/>
      <c r="S79" s="5"/>
    </row>
    <row r="80" spans="2:26">
      <c r="B80" s="5"/>
      <c r="C80" s="5"/>
      <c r="D80" s="248"/>
      <c r="E80" s="248"/>
      <c r="F80" s="248"/>
      <c r="G80" s="248"/>
      <c r="H80" s="248"/>
      <c r="I80" s="249"/>
      <c r="J80" s="248"/>
      <c r="K80" s="248"/>
      <c r="L80" s="248"/>
      <c r="M80" s="248"/>
      <c r="N80" s="248"/>
      <c r="O80" s="5"/>
      <c r="Q80" s="5"/>
      <c r="R80" s="5"/>
      <c r="S80" s="5"/>
    </row>
    <row r="81" spans="2:26">
      <c r="B81" s="41"/>
      <c r="C81" s="5"/>
      <c r="D81" s="5"/>
      <c r="E81" s="5"/>
      <c r="F81" s="5"/>
      <c r="G81" s="5"/>
      <c r="H81" s="5"/>
      <c r="I81" s="248"/>
      <c r="J81" s="5"/>
      <c r="K81" s="5"/>
      <c r="L81" s="5"/>
      <c r="M81" s="5"/>
      <c r="N81" s="5"/>
      <c r="O81" s="5"/>
      <c r="Q81" s="5"/>
      <c r="R81" s="5"/>
      <c r="S81" s="5"/>
    </row>
    <row r="82" spans="2:26">
      <c r="B82" s="41"/>
      <c r="C82" s="249"/>
      <c r="D82" s="249"/>
      <c r="E82" s="249"/>
      <c r="F82" s="249"/>
      <c r="G82" s="249"/>
      <c r="H82" s="249"/>
      <c r="I82" s="259"/>
      <c r="J82" s="249"/>
      <c r="K82" s="249"/>
      <c r="L82" s="249"/>
      <c r="M82" s="249"/>
      <c r="N82" s="249"/>
      <c r="O82" s="251"/>
      <c r="Q82" s="5"/>
      <c r="R82" s="5"/>
      <c r="S82" s="5"/>
    </row>
    <row r="83" spans="2:26">
      <c r="B83" s="5"/>
      <c r="C83" s="5"/>
      <c r="D83" s="248"/>
      <c r="E83" s="248"/>
      <c r="F83" s="248"/>
      <c r="G83" s="248"/>
      <c r="H83" s="248"/>
      <c r="I83" s="5"/>
      <c r="J83" s="248"/>
      <c r="K83" s="248"/>
      <c r="L83" s="248"/>
      <c r="M83" s="248"/>
      <c r="N83" s="248"/>
      <c r="O83" s="5"/>
      <c r="Q83" s="5"/>
      <c r="R83" s="5"/>
      <c r="S83" s="5"/>
    </row>
    <row r="84" spans="2:26">
      <c r="B84" s="5"/>
      <c r="C84" s="259"/>
      <c r="D84" s="259"/>
      <c r="E84" s="259"/>
      <c r="F84" s="259"/>
      <c r="G84" s="259"/>
      <c r="H84" s="259"/>
      <c r="I84" s="245"/>
      <c r="J84" s="259"/>
      <c r="K84" s="259"/>
      <c r="L84" s="259"/>
      <c r="M84" s="259"/>
      <c r="N84" s="259"/>
      <c r="O84" s="251"/>
      <c r="Q84" s="5"/>
      <c r="R84" s="5"/>
      <c r="S84" s="5"/>
    </row>
    <row r="85" spans="2:26">
      <c r="B85" s="41"/>
      <c r="C85" s="5"/>
      <c r="D85" s="5"/>
      <c r="E85" s="5"/>
      <c r="F85" s="5"/>
      <c r="G85" s="5"/>
      <c r="H85" s="5"/>
      <c r="I85" s="248"/>
      <c r="J85" s="5"/>
      <c r="K85" s="5"/>
      <c r="L85" s="5"/>
      <c r="M85" s="5"/>
      <c r="N85" s="5"/>
      <c r="O85" s="5"/>
      <c r="Q85" s="5"/>
      <c r="R85" s="5"/>
      <c r="S85" s="5"/>
    </row>
    <row r="86" spans="2:26">
      <c r="B86" s="41"/>
      <c r="C86" s="245"/>
      <c r="D86" s="245"/>
      <c r="E86" s="245"/>
      <c r="F86" s="245"/>
      <c r="G86" s="245"/>
      <c r="H86" s="245"/>
      <c r="I86" s="5"/>
      <c r="J86" s="245"/>
      <c r="K86" s="245"/>
      <c r="L86" s="245"/>
      <c r="M86" s="245"/>
      <c r="N86" s="245"/>
      <c r="O86" s="251"/>
      <c r="Q86" s="5"/>
      <c r="R86" s="5"/>
      <c r="S86" s="5"/>
    </row>
    <row r="87" spans="2:26">
      <c r="B87" s="5"/>
      <c r="C87" s="5"/>
      <c r="D87" s="248"/>
      <c r="E87" s="248"/>
      <c r="F87" s="248"/>
      <c r="G87" s="248"/>
      <c r="H87" s="248"/>
      <c r="I87" s="5"/>
      <c r="J87" s="248"/>
      <c r="K87" s="248"/>
      <c r="L87" s="248"/>
      <c r="M87" s="248"/>
      <c r="N87" s="248"/>
      <c r="O87" s="5"/>
      <c r="Q87" s="5"/>
      <c r="R87" s="5"/>
      <c r="S87" s="5"/>
    </row>
    <row r="88" spans="2:26">
      <c r="B88" s="41"/>
      <c r="C88" s="5"/>
      <c r="D88" s="5"/>
      <c r="E88" s="5"/>
      <c r="F88" s="5"/>
      <c r="G88" s="5"/>
      <c r="H88" s="5"/>
      <c r="I88" s="5"/>
      <c r="J88" s="5"/>
      <c r="K88" s="5"/>
      <c r="L88" s="5"/>
      <c r="M88" s="5"/>
      <c r="N88" s="5"/>
      <c r="O88" s="5"/>
      <c r="Q88" s="5"/>
      <c r="R88" s="5"/>
      <c r="S88" s="5"/>
    </row>
    <row r="89" spans="2:26">
      <c r="B89" s="41"/>
      <c r="C89" s="5"/>
      <c r="D89" s="5"/>
      <c r="E89" s="5"/>
      <c r="F89" s="5"/>
      <c r="G89" s="5"/>
      <c r="H89" s="5"/>
      <c r="I89" s="5"/>
      <c r="J89" s="5"/>
      <c r="K89" s="5"/>
      <c r="L89" s="5"/>
      <c r="M89" s="5"/>
      <c r="N89" s="5"/>
      <c r="O89" s="5"/>
      <c r="Q89" s="5"/>
      <c r="R89" s="5"/>
      <c r="S89" s="5"/>
    </row>
    <row r="90" spans="2:26">
      <c r="B90" s="41"/>
      <c r="C90" s="5"/>
      <c r="D90" s="5"/>
      <c r="E90" s="5"/>
      <c r="F90" s="5"/>
      <c r="G90" s="5"/>
      <c r="H90" s="5"/>
      <c r="I90" s="49"/>
      <c r="J90" s="5"/>
      <c r="K90" s="5"/>
      <c r="L90" s="5"/>
      <c r="M90" s="5"/>
      <c r="N90" s="5"/>
      <c r="O90" s="5"/>
      <c r="Q90" s="41"/>
      <c r="R90" s="5"/>
      <c r="S90" s="5"/>
    </row>
    <row r="91" spans="2:26">
      <c r="B91" s="5"/>
      <c r="C91" s="5"/>
      <c r="D91" s="5"/>
      <c r="E91" s="5"/>
      <c r="F91" s="5"/>
      <c r="G91" s="5"/>
      <c r="H91" s="5"/>
      <c r="I91" s="5"/>
      <c r="J91" s="5"/>
      <c r="K91" s="5"/>
      <c r="L91" s="5"/>
      <c r="M91" s="5"/>
      <c r="N91" s="5"/>
      <c r="O91" s="5"/>
      <c r="Q91" s="5"/>
      <c r="R91" s="5"/>
      <c r="S91" s="5"/>
    </row>
    <row r="92" spans="2:26">
      <c r="B92" s="41"/>
      <c r="C92" s="49"/>
      <c r="D92" s="49"/>
      <c r="E92" s="49"/>
      <c r="F92" s="49"/>
      <c r="G92" s="49"/>
      <c r="H92" s="49"/>
      <c r="I92" s="247"/>
      <c r="J92" s="49"/>
      <c r="K92" s="49"/>
      <c r="L92" s="49"/>
      <c r="M92" s="49"/>
      <c r="N92" s="49"/>
      <c r="O92" s="49"/>
      <c r="Q92" s="5"/>
      <c r="R92" s="5"/>
      <c r="S92" s="5"/>
      <c r="W92" s="21"/>
      <c r="X92" s="21"/>
    </row>
    <row r="93" spans="2:26">
      <c r="B93" s="5"/>
      <c r="C93" s="5"/>
      <c r="D93" s="5"/>
      <c r="E93" s="5"/>
      <c r="F93" s="5"/>
      <c r="G93" s="5"/>
      <c r="H93" s="5"/>
      <c r="I93" s="247"/>
      <c r="J93" s="5"/>
      <c r="K93" s="5"/>
      <c r="L93" s="5"/>
      <c r="M93" s="5"/>
      <c r="N93" s="5"/>
      <c r="O93" s="5"/>
      <c r="Q93" s="5"/>
      <c r="R93" s="5"/>
      <c r="S93" s="5"/>
      <c r="W93" s="21"/>
      <c r="X93" s="21"/>
      <c r="Y93" s="21"/>
      <c r="Z93" s="21"/>
    </row>
    <row r="94" spans="2:26">
      <c r="B94" s="5"/>
      <c r="C94" s="259"/>
      <c r="D94" s="247"/>
      <c r="E94" s="247"/>
      <c r="F94" s="247"/>
      <c r="G94" s="247"/>
      <c r="H94" s="247"/>
      <c r="I94" s="247"/>
      <c r="J94" s="247"/>
      <c r="K94" s="247"/>
      <c r="L94" s="247"/>
      <c r="M94" s="247"/>
      <c r="N94" s="247"/>
      <c r="O94" s="248"/>
      <c r="Q94" s="5"/>
      <c r="R94" s="5"/>
      <c r="S94" s="5"/>
      <c r="Y94" s="21"/>
      <c r="Z94" s="21"/>
    </row>
    <row r="95" spans="2:26">
      <c r="B95" s="5"/>
      <c r="C95" s="259"/>
      <c r="D95" s="247"/>
      <c r="E95" s="247"/>
      <c r="F95" s="247"/>
      <c r="G95" s="247"/>
      <c r="H95" s="247"/>
      <c r="I95" s="248"/>
      <c r="J95" s="247"/>
      <c r="K95" s="247"/>
      <c r="L95" s="247"/>
      <c r="M95" s="247"/>
      <c r="N95" s="247"/>
      <c r="O95" s="248"/>
      <c r="Q95" s="5"/>
      <c r="R95" s="5"/>
      <c r="S95" s="5"/>
    </row>
    <row r="96" spans="2:26">
      <c r="B96" s="5"/>
      <c r="C96" s="259"/>
      <c r="D96" s="247"/>
      <c r="E96" s="247"/>
      <c r="F96" s="247"/>
      <c r="G96" s="247"/>
      <c r="H96" s="247"/>
      <c r="I96" s="247"/>
      <c r="J96" s="247"/>
      <c r="K96" s="247"/>
      <c r="L96" s="247"/>
      <c r="M96" s="247"/>
      <c r="N96" s="247"/>
      <c r="O96" s="248"/>
      <c r="Q96" s="5"/>
      <c r="R96" s="5"/>
      <c r="S96" s="5"/>
    </row>
    <row r="97" spans="2:19">
      <c r="B97" s="5"/>
      <c r="C97" s="259"/>
      <c r="D97" s="248"/>
      <c r="E97" s="248"/>
      <c r="F97" s="248"/>
      <c r="G97" s="248"/>
      <c r="H97" s="248"/>
      <c r="I97" s="249"/>
      <c r="J97" s="248"/>
      <c r="K97" s="248"/>
      <c r="L97" s="248"/>
      <c r="M97" s="248"/>
      <c r="N97" s="248"/>
      <c r="O97" s="248"/>
      <c r="Q97" s="5"/>
      <c r="R97" s="5"/>
      <c r="S97" s="5"/>
    </row>
    <row r="98" spans="2:19">
      <c r="B98" s="5"/>
      <c r="C98" s="259"/>
      <c r="D98" s="247"/>
      <c r="E98" s="247"/>
      <c r="F98" s="247"/>
      <c r="G98" s="247"/>
      <c r="H98" s="247"/>
      <c r="I98" s="248"/>
      <c r="J98" s="247"/>
      <c r="K98" s="247"/>
      <c r="L98" s="247"/>
      <c r="M98" s="247"/>
      <c r="N98" s="247"/>
      <c r="O98" s="248"/>
      <c r="Q98" s="5"/>
      <c r="R98" s="5"/>
      <c r="S98" s="5"/>
    </row>
    <row r="99" spans="2:19">
      <c r="B99" s="41"/>
      <c r="C99" s="249"/>
      <c r="D99" s="249"/>
      <c r="E99" s="249"/>
      <c r="F99" s="249"/>
      <c r="G99" s="249"/>
      <c r="H99" s="249"/>
      <c r="I99" s="5"/>
      <c r="J99" s="249"/>
      <c r="K99" s="249"/>
      <c r="L99" s="249"/>
      <c r="M99" s="249"/>
      <c r="N99" s="249"/>
      <c r="O99" s="248"/>
      <c r="Q99" s="5"/>
      <c r="R99" s="5"/>
      <c r="S99" s="5"/>
    </row>
    <row r="100" spans="2:19">
      <c r="B100" s="41"/>
      <c r="C100" s="257"/>
      <c r="D100" s="248"/>
      <c r="E100" s="248"/>
      <c r="F100" s="248"/>
      <c r="G100" s="248"/>
      <c r="H100" s="248"/>
      <c r="I100" s="259"/>
      <c r="J100" s="248"/>
      <c r="K100" s="248"/>
      <c r="L100" s="248"/>
      <c r="M100" s="248"/>
      <c r="N100" s="248"/>
      <c r="O100" s="248"/>
      <c r="Q100" s="5"/>
      <c r="R100" s="5"/>
      <c r="S100" s="5"/>
    </row>
    <row r="101" spans="2:19" s="5" customFormat="1">
      <c r="B101" s="41"/>
      <c r="I101" s="259"/>
      <c r="O101" s="248"/>
      <c r="P101" s="39"/>
    </row>
    <row r="102" spans="2:19">
      <c r="B102" s="5"/>
      <c r="C102" s="259"/>
      <c r="D102" s="259"/>
      <c r="E102" s="259"/>
      <c r="F102" s="259"/>
      <c r="G102" s="259"/>
      <c r="H102" s="259"/>
      <c r="I102" s="247"/>
      <c r="J102" s="259"/>
      <c r="K102" s="259"/>
      <c r="L102" s="259"/>
      <c r="M102" s="259"/>
      <c r="N102" s="259"/>
      <c r="O102" s="5"/>
      <c r="Q102" s="5"/>
      <c r="R102" s="5"/>
      <c r="S102" s="5"/>
    </row>
    <row r="103" spans="2:19">
      <c r="B103" s="5"/>
      <c r="C103" s="259"/>
      <c r="D103" s="259"/>
      <c r="E103" s="259"/>
      <c r="F103" s="259"/>
      <c r="G103" s="259"/>
      <c r="H103" s="259"/>
      <c r="I103" s="5"/>
      <c r="J103" s="259"/>
      <c r="K103" s="259"/>
      <c r="L103" s="259"/>
      <c r="M103" s="259"/>
      <c r="N103" s="259"/>
      <c r="O103" s="5"/>
      <c r="P103" s="5"/>
      <c r="Q103" s="5"/>
      <c r="R103" s="5"/>
      <c r="S103" s="5"/>
    </row>
    <row r="104" spans="2:19">
      <c r="B104" s="5"/>
      <c r="C104" s="247"/>
      <c r="D104" s="247"/>
      <c r="E104" s="247"/>
      <c r="F104" s="247"/>
      <c r="G104" s="247"/>
      <c r="H104" s="247"/>
      <c r="I104" s="247"/>
      <c r="J104" s="247"/>
      <c r="K104" s="247"/>
      <c r="L104" s="247"/>
      <c r="M104" s="247"/>
      <c r="N104" s="247"/>
      <c r="O104" s="5"/>
      <c r="Q104" s="5"/>
      <c r="R104" s="5"/>
      <c r="S104" s="5"/>
    </row>
    <row r="105" spans="2:19" s="5" customFormat="1">
      <c r="P105" s="39"/>
    </row>
    <row r="106" spans="2:19" s="5" customFormat="1">
      <c r="C106" s="259"/>
      <c r="D106" s="247"/>
      <c r="E106" s="247"/>
      <c r="F106" s="247"/>
      <c r="G106" s="247"/>
      <c r="H106" s="247"/>
      <c r="I106" s="259"/>
      <c r="J106" s="247"/>
      <c r="K106" s="247"/>
      <c r="L106" s="247"/>
      <c r="M106" s="247"/>
      <c r="N106" s="247"/>
      <c r="P106" s="39"/>
    </row>
    <row r="107" spans="2:19">
      <c r="B107" s="5"/>
      <c r="C107" s="259"/>
      <c r="D107" s="5"/>
      <c r="E107" s="5"/>
      <c r="F107" s="5"/>
      <c r="G107" s="5"/>
      <c r="H107" s="5"/>
      <c r="I107" s="247"/>
      <c r="J107" s="5"/>
      <c r="K107" s="5"/>
      <c r="L107" s="5"/>
      <c r="M107" s="5"/>
      <c r="N107" s="5"/>
      <c r="O107" s="5"/>
      <c r="P107" s="5"/>
      <c r="Q107" s="5"/>
      <c r="R107" s="5"/>
      <c r="S107" s="5"/>
    </row>
    <row r="108" spans="2:19">
      <c r="B108" s="5"/>
      <c r="C108" s="259"/>
      <c r="D108" s="259"/>
      <c r="E108" s="259"/>
      <c r="F108" s="259"/>
      <c r="G108" s="259"/>
      <c r="H108" s="259"/>
      <c r="I108" s="249"/>
      <c r="J108" s="259"/>
      <c r="K108" s="259"/>
      <c r="L108" s="259"/>
      <c r="M108" s="259"/>
      <c r="N108" s="259"/>
      <c r="O108" s="5"/>
      <c r="P108" s="5"/>
      <c r="Q108" s="5"/>
      <c r="R108" s="5"/>
      <c r="S108" s="5"/>
    </row>
    <row r="109" spans="2:19">
      <c r="B109" s="5"/>
      <c r="C109" s="247"/>
      <c r="D109" s="247"/>
      <c r="E109" s="247"/>
      <c r="F109" s="247"/>
      <c r="G109" s="247"/>
      <c r="H109" s="247"/>
      <c r="I109" s="249"/>
      <c r="J109" s="247"/>
      <c r="K109" s="247"/>
      <c r="L109" s="247"/>
      <c r="M109" s="247"/>
      <c r="N109" s="247"/>
      <c r="O109" s="5"/>
      <c r="Q109" s="5"/>
      <c r="R109" s="5"/>
      <c r="S109" s="5"/>
    </row>
    <row r="110" spans="2:19">
      <c r="B110" s="41"/>
      <c r="C110" s="249"/>
      <c r="D110" s="249"/>
      <c r="E110" s="249"/>
      <c r="F110" s="249"/>
      <c r="G110" s="249"/>
      <c r="H110" s="249"/>
      <c r="I110" s="247"/>
      <c r="J110" s="249"/>
      <c r="K110" s="249"/>
      <c r="L110" s="249"/>
      <c r="M110" s="249"/>
      <c r="N110" s="249"/>
      <c r="O110" s="5"/>
      <c r="Q110" s="5"/>
      <c r="R110" s="5"/>
      <c r="S110" s="5"/>
    </row>
    <row r="111" spans="2:19">
      <c r="B111" s="5"/>
      <c r="C111" s="249"/>
      <c r="D111" s="249"/>
      <c r="E111" s="249"/>
      <c r="F111" s="249"/>
      <c r="G111" s="249"/>
      <c r="H111" s="249"/>
      <c r="I111" s="5"/>
      <c r="J111" s="249"/>
      <c r="K111" s="249"/>
      <c r="L111" s="249"/>
      <c r="M111" s="249"/>
      <c r="N111" s="249"/>
      <c r="O111" s="5"/>
      <c r="Q111" s="5"/>
      <c r="R111" s="5"/>
      <c r="S111" s="5"/>
    </row>
    <row r="112" spans="2:19">
      <c r="B112" s="5"/>
      <c r="C112" s="247"/>
      <c r="D112" s="247"/>
      <c r="E112" s="247"/>
      <c r="F112" s="247"/>
      <c r="G112" s="247"/>
      <c r="H112" s="247"/>
      <c r="I112" s="5"/>
      <c r="J112" s="247"/>
      <c r="K112" s="247"/>
      <c r="L112" s="247"/>
      <c r="M112" s="247"/>
      <c r="N112" s="247"/>
      <c r="O112" s="5"/>
      <c r="Q112" s="5"/>
      <c r="R112" s="5"/>
      <c r="S112" s="5"/>
    </row>
    <row r="113" spans="2:19">
      <c r="B113" s="5"/>
      <c r="C113" s="5"/>
      <c r="D113" s="5"/>
      <c r="E113" s="5"/>
      <c r="F113" s="5"/>
      <c r="G113" s="5"/>
      <c r="H113" s="5"/>
      <c r="I113" s="5"/>
      <c r="J113" s="5"/>
      <c r="K113" s="5"/>
      <c r="L113" s="5"/>
      <c r="M113" s="5"/>
      <c r="N113" s="5"/>
      <c r="O113" s="5"/>
      <c r="Q113" s="5"/>
      <c r="R113" s="5"/>
      <c r="S113" s="5"/>
    </row>
    <row r="114" spans="2:19">
      <c r="B114" s="5"/>
      <c r="C114" s="5"/>
      <c r="D114" s="5"/>
      <c r="E114" s="5"/>
      <c r="F114" s="5"/>
      <c r="G114" s="5"/>
      <c r="H114" s="5"/>
      <c r="I114" s="5"/>
      <c r="J114" s="5"/>
      <c r="K114" s="5"/>
      <c r="L114" s="5"/>
      <c r="M114" s="5"/>
      <c r="N114" s="5"/>
      <c r="O114" s="5"/>
      <c r="Q114" s="5"/>
      <c r="R114" s="5"/>
      <c r="S114" s="5"/>
    </row>
    <row r="115" spans="2:19">
      <c r="B115" s="5"/>
      <c r="C115" s="5"/>
      <c r="D115" s="5"/>
      <c r="E115" s="5"/>
      <c r="F115" s="5"/>
      <c r="G115" s="5"/>
      <c r="H115" s="5"/>
      <c r="I115" s="49"/>
      <c r="J115" s="5"/>
      <c r="K115" s="5"/>
      <c r="L115" s="5"/>
      <c r="M115" s="5"/>
      <c r="N115" s="5"/>
      <c r="O115" s="5"/>
      <c r="Q115" s="41"/>
      <c r="R115" s="5"/>
      <c r="S115" s="5"/>
    </row>
    <row r="116" spans="2:19">
      <c r="B116" s="5"/>
      <c r="C116" s="5"/>
      <c r="D116" s="5"/>
      <c r="E116" s="5"/>
      <c r="F116" s="5"/>
      <c r="G116" s="5"/>
      <c r="H116" s="5"/>
      <c r="I116" s="5"/>
      <c r="J116" s="5"/>
      <c r="K116" s="5"/>
      <c r="L116" s="5"/>
      <c r="M116" s="5"/>
      <c r="N116" s="5"/>
      <c r="O116" s="5"/>
      <c r="Q116" s="5"/>
      <c r="R116" s="5"/>
      <c r="S116" s="5"/>
    </row>
    <row r="117" spans="2:19">
      <c r="B117" s="41"/>
      <c r="C117" s="49"/>
      <c r="D117" s="49"/>
      <c r="E117" s="49"/>
      <c r="F117" s="49"/>
      <c r="G117" s="49"/>
      <c r="H117" s="49"/>
      <c r="I117" s="254"/>
      <c r="J117" s="49"/>
      <c r="K117" s="49"/>
      <c r="L117" s="49"/>
      <c r="M117" s="49"/>
      <c r="N117" s="49"/>
      <c r="O117" s="49"/>
      <c r="Q117" s="5"/>
      <c r="R117" s="5"/>
      <c r="S117" s="5"/>
    </row>
    <row r="118" spans="2:19">
      <c r="B118" s="5"/>
      <c r="C118" s="5"/>
      <c r="D118" s="5"/>
      <c r="E118" s="5"/>
      <c r="F118" s="5"/>
      <c r="G118" s="5"/>
      <c r="H118" s="5"/>
      <c r="I118" s="249"/>
      <c r="J118" s="5"/>
      <c r="K118" s="5"/>
      <c r="L118" s="5"/>
      <c r="M118" s="5"/>
      <c r="N118" s="5"/>
      <c r="O118" s="5"/>
      <c r="Q118" s="5"/>
      <c r="R118" s="5"/>
      <c r="S118" s="5"/>
    </row>
    <row r="119" spans="2:19">
      <c r="B119" s="41"/>
      <c r="C119" s="254"/>
      <c r="D119" s="254"/>
      <c r="E119" s="254"/>
      <c r="F119" s="254"/>
      <c r="G119" s="254"/>
      <c r="H119" s="254"/>
      <c r="I119" s="254"/>
      <c r="J119" s="254"/>
      <c r="K119" s="254"/>
      <c r="L119" s="254"/>
      <c r="M119" s="254"/>
      <c r="N119" s="254"/>
      <c r="O119" s="248"/>
      <c r="Q119" s="5"/>
      <c r="R119" s="5"/>
      <c r="S119" s="5"/>
    </row>
    <row r="120" spans="2:19">
      <c r="B120" s="41"/>
      <c r="C120" s="254"/>
      <c r="D120" s="249"/>
      <c r="E120" s="249"/>
      <c r="F120" s="249"/>
      <c r="G120" s="249"/>
      <c r="H120" s="249"/>
      <c r="I120" s="254"/>
      <c r="J120" s="249"/>
      <c r="K120" s="249"/>
      <c r="L120" s="249"/>
      <c r="M120" s="249"/>
      <c r="N120" s="249"/>
      <c r="O120" s="248"/>
      <c r="Q120" s="5"/>
      <c r="R120" s="5"/>
      <c r="S120" s="5"/>
    </row>
    <row r="121" spans="2:19">
      <c r="B121" s="41"/>
      <c r="C121" s="254"/>
      <c r="D121" s="254"/>
      <c r="E121" s="254"/>
      <c r="F121" s="254"/>
      <c r="G121" s="254"/>
      <c r="H121" s="254"/>
      <c r="I121" s="254"/>
      <c r="J121" s="254"/>
      <c r="K121" s="254"/>
      <c r="L121" s="254"/>
      <c r="M121" s="254"/>
      <c r="N121" s="254"/>
      <c r="O121" s="248"/>
      <c r="Q121" s="5"/>
      <c r="R121" s="5"/>
      <c r="S121" s="5"/>
    </row>
    <row r="122" spans="2:19">
      <c r="B122" s="41"/>
      <c r="C122" s="254"/>
      <c r="D122" s="254"/>
      <c r="E122" s="254"/>
      <c r="F122" s="254"/>
      <c r="G122" s="254"/>
      <c r="H122" s="254"/>
      <c r="I122" s="254"/>
      <c r="J122" s="254"/>
      <c r="K122" s="254"/>
      <c r="L122" s="254"/>
      <c r="M122" s="254"/>
      <c r="N122" s="254"/>
      <c r="O122" s="248"/>
      <c r="Q122" s="5"/>
      <c r="R122" s="5"/>
      <c r="S122" s="5"/>
    </row>
    <row r="123" spans="2:19">
      <c r="B123" s="41"/>
      <c r="C123" s="254"/>
      <c r="D123" s="254"/>
      <c r="E123" s="254"/>
      <c r="F123" s="254"/>
      <c r="G123" s="254"/>
      <c r="H123" s="254"/>
      <c r="I123" s="254"/>
      <c r="J123" s="254"/>
      <c r="K123" s="254"/>
      <c r="L123" s="254"/>
      <c r="M123" s="254"/>
      <c r="N123" s="254"/>
      <c r="O123" s="248"/>
      <c r="Q123" s="5"/>
      <c r="R123" s="5"/>
      <c r="S123" s="5"/>
    </row>
    <row r="124" spans="2:19">
      <c r="B124" s="41"/>
      <c r="C124" s="254"/>
      <c r="D124" s="254"/>
      <c r="E124" s="254"/>
      <c r="F124" s="254"/>
      <c r="G124" s="254"/>
      <c r="H124" s="254"/>
      <c r="I124" s="254"/>
      <c r="J124" s="254"/>
      <c r="K124" s="254"/>
      <c r="L124" s="254"/>
      <c r="M124" s="254"/>
      <c r="N124" s="254"/>
      <c r="O124" s="248"/>
      <c r="Q124" s="5"/>
      <c r="R124" s="5"/>
      <c r="S124" s="5"/>
    </row>
    <row r="125" spans="2:19">
      <c r="B125" s="41"/>
      <c r="C125" s="254"/>
      <c r="D125" s="254"/>
      <c r="E125" s="254"/>
      <c r="F125" s="254"/>
      <c r="G125" s="254"/>
      <c r="H125" s="254"/>
      <c r="I125" s="254"/>
      <c r="J125" s="254"/>
      <c r="K125" s="254"/>
      <c r="L125" s="254"/>
      <c r="M125" s="254"/>
      <c r="N125" s="254"/>
      <c r="O125" s="5"/>
      <c r="Q125" s="5"/>
      <c r="R125" s="5"/>
      <c r="S125" s="5"/>
    </row>
    <row r="126" spans="2:19">
      <c r="B126" s="41"/>
      <c r="C126" s="254"/>
      <c r="D126" s="254"/>
      <c r="E126" s="254"/>
      <c r="F126" s="254"/>
      <c r="G126" s="254"/>
      <c r="H126" s="254"/>
      <c r="I126" s="254"/>
      <c r="J126" s="254"/>
      <c r="K126" s="254"/>
      <c r="L126" s="254"/>
      <c r="M126" s="254"/>
      <c r="N126" s="254"/>
      <c r="O126" s="5"/>
      <c r="Q126" s="5"/>
      <c r="R126" s="5"/>
      <c r="S126" s="5"/>
    </row>
    <row r="127" spans="2:19">
      <c r="B127" s="41"/>
      <c r="C127" s="254"/>
      <c r="D127" s="254"/>
      <c r="E127" s="254"/>
      <c r="F127" s="254"/>
      <c r="G127" s="254"/>
      <c r="H127" s="254"/>
      <c r="I127" s="18"/>
      <c r="J127" s="254"/>
      <c r="K127" s="254"/>
      <c r="L127" s="254"/>
      <c r="M127" s="254"/>
      <c r="N127" s="254"/>
      <c r="O127" s="5"/>
      <c r="Q127" s="5"/>
      <c r="R127" s="5"/>
      <c r="S127" s="5"/>
    </row>
    <row r="128" spans="2:19">
      <c r="B128" s="41"/>
      <c r="C128" s="254"/>
      <c r="D128" s="254"/>
      <c r="E128" s="254"/>
      <c r="F128" s="254"/>
      <c r="G128" s="254"/>
      <c r="H128" s="254"/>
      <c r="I128" s="5"/>
      <c r="J128" s="254"/>
      <c r="K128" s="254"/>
      <c r="L128" s="254"/>
      <c r="M128" s="254"/>
      <c r="N128" s="254"/>
      <c r="O128" s="5"/>
      <c r="Q128" s="5"/>
      <c r="R128" s="5"/>
      <c r="S128" s="5"/>
    </row>
    <row r="129" spans="2:27">
      <c r="B129" s="5"/>
      <c r="C129" s="5"/>
      <c r="D129" s="18"/>
      <c r="E129" s="18"/>
      <c r="F129" s="18"/>
      <c r="G129" s="18"/>
      <c r="H129" s="18"/>
      <c r="I129" s="254"/>
      <c r="J129" s="18"/>
      <c r="K129" s="18"/>
      <c r="L129" s="18"/>
      <c r="M129" s="18"/>
      <c r="N129" s="18"/>
      <c r="O129" s="5"/>
      <c r="Q129" s="5"/>
      <c r="R129" s="5"/>
      <c r="S129" s="5"/>
    </row>
    <row r="130" spans="2:27">
      <c r="B130" s="5"/>
      <c r="C130" s="5"/>
      <c r="D130" s="5"/>
      <c r="E130" s="5"/>
      <c r="F130" s="5"/>
      <c r="G130" s="5"/>
      <c r="H130" s="5"/>
      <c r="I130" s="18"/>
      <c r="J130" s="5"/>
      <c r="K130" s="5"/>
      <c r="L130" s="5"/>
      <c r="M130" s="5"/>
      <c r="N130" s="5"/>
      <c r="O130" s="5"/>
      <c r="Q130" s="5"/>
      <c r="R130" s="5"/>
      <c r="S130" s="5"/>
    </row>
    <row r="131" spans="2:27">
      <c r="B131" s="41"/>
      <c r="C131" s="254"/>
      <c r="D131" s="254"/>
      <c r="E131" s="254"/>
      <c r="F131" s="254"/>
      <c r="G131" s="254"/>
      <c r="H131" s="254"/>
      <c r="I131" s="5"/>
      <c r="J131" s="254"/>
      <c r="K131" s="254"/>
      <c r="L131" s="254"/>
      <c r="M131" s="254"/>
      <c r="N131" s="254"/>
      <c r="O131" s="5"/>
      <c r="Q131" s="5"/>
      <c r="R131" s="5"/>
      <c r="S131" s="5"/>
    </row>
    <row r="132" spans="2:27">
      <c r="B132" s="5"/>
      <c r="C132" s="259"/>
      <c r="D132" s="18"/>
      <c r="E132" s="18"/>
      <c r="F132" s="18"/>
      <c r="G132" s="18"/>
      <c r="H132" s="18"/>
      <c r="I132" s="5"/>
      <c r="J132" s="18"/>
      <c r="K132" s="18"/>
      <c r="L132" s="18"/>
      <c r="M132" s="18"/>
      <c r="N132" s="18"/>
      <c r="O132" s="5"/>
      <c r="Q132" s="5"/>
      <c r="R132" s="5"/>
      <c r="S132" s="5"/>
    </row>
    <row r="133" spans="2:27">
      <c r="B133" s="5"/>
      <c r="C133" s="5"/>
      <c r="D133" s="5"/>
      <c r="E133" s="5"/>
      <c r="F133" s="5"/>
      <c r="G133" s="5"/>
      <c r="H133" s="5"/>
      <c r="I133" s="17"/>
      <c r="J133" s="5"/>
      <c r="K133" s="5"/>
      <c r="L133" s="5"/>
      <c r="M133" s="5"/>
      <c r="N133" s="5"/>
      <c r="O133" s="5"/>
      <c r="Q133" s="5"/>
      <c r="R133" s="5"/>
      <c r="S133" s="5"/>
    </row>
    <row r="134" spans="2:27">
      <c r="B134" s="41"/>
      <c r="C134" s="5"/>
      <c r="D134" s="5"/>
      <c r="E134" s="5"/>
      <c r="F134" s="5"/>
      <c r="G134" s="5"/>
      <c r="H134" s="5"/>
      <c r="I134" s="17"/>
      <c r="J134" s="5"/>
      <c r="K134" s="5"/>
      <c r="L134" s="5"/>
      <c r="M134" s="5"/>
      <c r="N134" s="5"/>
      <c r="O134" s="5"/>
      <c r="Q134" s="5"/>
      <c r="R134" s="5"/>
      <c r="S134" s="5"/>
    </row>
    <row r="135" spans="2:27">
      <c r="B135" s="5"/>
      <c r="C135" s="17"/>
      <c r="D135" s="17"/>
      <c r="E135" s="17"/>
      <c r="F135" s="17"/>
      <c r="G135" s="17"/>
      <c r="H135" s="17"/>
      <c r="I135" s="17"/>
      <c r="J135" s="17"/>
      <c r="K135" s="17"/>
      <c r="L135" s="17"/>
      <c r="M135" s="17"/>
      <c r="N135" s="17"/>
      <c r="O135" s="5"/>
      <c r="Q135" s="41"/>
      <c r="R135" s="5"/>
      <c r="S135" s="5"/>
    </row>
    <row r="136" spans="2:27">
      <c r="B136" s="5"/>
      <c r="C136" s="17"/>
      <c r="D136" s="17"/>
      <c r="E136" s="17"/>
      <c r="F136" s="17"/>
      <c r="G136" s="17"/>
      <c r="H136" s="17"/>
      <c r="I136" s="17"/>
      <c r="J136" s="17"/>
      <c r="K136" s="17"/>
      <c r="L136" s="17"/>
      <c r="M136" s="17"/>
      <c r="N136" s="17"/>
      <c r="O136" s="5"/>
      <c r="Q136" s="5"/>
      <c r="R136" s="5"/>
      <c r="S136" s="5"/>
      <c r="X136" s="304"/>
    </row>
    <row r="137" spans="2:27">
      <c r="B137" s="5"/>
      <c r="C137" s="5"/>
      <c r="D137" s="17"/>
      <c r="E137" s="17"/>
      <c r="F137" s="17"/>
      <c r="G137" s="17"/>
      <c r="H137" s="17"/>
      <c r="I137" s="17"/>
      <c r="J137" s="17"/>
      <c r="K137" s="17"/>
      <c r="L137" s="17"/>
      <c r="M137" s="17"/>
      <c r="N137" s="17"/>
      <c r="O137" s="5"/>
      <c r="Q137" s="5"/>
      <c r="R137" s="5"/>
      <c r="S137" s="5"/>
      <c r="X137" s="10"/>
      <c r="Y137" s="304"/>
      <c r="Z137" s="304"/>
      <c r="AA137" s="304"/>
    </row>
    <row r="138" spans="2:27">
      <c r="B138" s="5"/>
      <c r="C138" s="5"/>
      <c r="D138" s="17"/>
      <c r="E138" s="17"/>
      <c r="F138" s="17"/>
      <c r="G138" s="17"/>
      <c r="H138" s="17"/>
      <c r="I138" s="17"/>
      <c r="J138" s="17"/>
      <c r="K138" s="17"/>
      <c r="L138" s="17"/>
      <c r="M138" s="17"/>
      <c r="N138" s="17"/>
      <c r="O138" s="5"/>
      <c r="Q138" s="5"/>
      <c r="R138" s="5"/>
      <c r="S138" s="5"/>
      <c r="Y138" s="10"/>
      <c r="Z138" s="10"/>
      <c r="AA138" s="10"/>
    </row>
    <row r="139" spans="2:27">
      <c r="B139" s="5"/>
      <c r="C139" s="5"/>
      <c r="D139" s="17"/>
      <c r="E139" s="17"/>
      <c r="F139" s="17"/>
      <c r="G139" s="17"/>
      <c r="H139" s="17"/>
      <c r="I139" s="5"/>
      <c r="J139" s="17"/>
      <c r="K139" s="17"/>
      <c r="L139" s="17"/>
      <c r="M139" s="17"/>
      <c r="N139" s="17"/>
      <c r="O139" s="5"/>
      <c r="Q139" s="5"/>
      <c r="R139" s="5"/>
      <c r="S139" s="5"/>
    </row>
    <row r="140" spans="2:27">
      <c r="B140" s="5"/>
      <c r="C140" s="17"/>
      <c r="D140" s="17"/>
      <c r="E140" s="17"/>
      <c r="F140" s="17"/>
      <c r="G140" s="17"/>
      <c r="H140" s="17"/>
      <c r="I140" s="5"/>
      <c r="J140" s="17"/>
      <c r="K140" s="17"/>
      <c r="L140" s="17"/>
      <c r="M140" s="17"/>
      <c r="N140" s="17"/>
      <c r="O140" s="5"/>
      <c r="Q140" s="5"/>
      <c r="R140" s="5"/>
      <c r="S140" s="5"/>
    </row>
    <row r="141" spans="2:27">
      <c r="B141" s="5"/>
      <c r="C141" s="5"/>
      <c r="D141" s="5"/>
      <c r="E141" s="5"/>
      <c r="F141" s="5"/>
      <c r="G141" s="5"/>
      <c r="H141" s="5"/>
      <c r="I141" s="5"/>
      <c r="J141" s="5"/>
      <c r="K141" s="5"/>
      <c r="L141" s="5"/>
      <c r="M141" s="5"/>
      <c r="N141" s="5"/>
      <c r="O141" s="5"/>
      <c r="Q141" s="5"/>
      <c r="R141" s="5"/>
      <c r="S141" s="5"/>
    </row>
    <row r="142" spans="2:27">
      <c r="B142" s="5"/>
      <c r="C142" s="5"/>
      <c r="D142" s="5"/>
      <c r="E142" s="5"/>
      <c r="F142" s="5"/>
      <c r="G142" s="5"/>
      <c r="H142" s="5"/>
      <c r="I142" s="5"/>
      <c r="J142" s="5"/>
      <c r="K142" s="5"/>
      <c r="L142" s="5"/>
      <c r="M142" s="5"/>
      <c r="N142" s="5"/>
      <c r="O142" s="5"/>
      <c r="Q142" s="5"/>
      <c r="R142" s="5"/>
      <c r="S142" s="5"/>
    </row>
    <row r="143" spans="2:27">
      <c r="B143" s="5"/>
      <c r="C143" s="5"/>
      <c r="D143" s="5"/>
      <c r="E143" s="5"/>
      <c r="F143" s="5"/>
      <c r="G143" s="5"/>
      <c r="H143" s="5"/>
      <c r="I143" s="5"/>
      <c r="J143" s="5"/>
      <c r="K143" s="5"/>
      <c r="L143" s="5"/>
      <c r="M143" s="5"/>
      <c r="N143" s="5"/>
      <c r="O143" s="5"/>
      <c r="Q143" s="5"/>
      <c r="R143" s="5"/>
      <c r="S143" s="5"/>
    </row>
    <row r="144" spans="2:27">
      <c r="B144" s="5"/>
      <c r="C144" s="5"/>
      <c r="D144" s="5"/>
      <c r="E144" s="5"/>
      <c r="F144" s="5"/>
      <c r="G144" s="5"/>
      <c r="H144" s="5"/>
      <c r="I144" s="5"/>
      <c r="J144" s="5"/>
      <c r="K144" s="5"/>
      <c r="L144" s="5"/>
      <c r="M144" s="5"/>
      <c r="N144" s="5"/>
      <c r="O144" s="5"/>
      <c r="Q144" s="5"/>
      <c r="R144" s="5"/>
      <c r="S144" s="5"/>
    </row>
    <row r="145" spans="2:19">
      <c r="B145" s="5"/>
      <c r="C145" s="5"/>
      <c r="D145" s="5"/>
      <c r="E145" s="5"/>
      <c r="F145" s="5"/>
      <c r="G145" s="5"/>
      <c r="H145" s="5"/>
      <c r="I145" s="5"/>
      <c r="J145" s="5"/>
      <c r="K145" s="5"/>
      <c r="L145" s="5"/>
      <c r="M145" s="5"/>
      <c r="N145" s="5"/>
      <c r="O145" s="5"/>
      <c r="Q145" s="5"/>
      <c r="R145" s="5"/>
      <c r="S145" s="5"/>
    </row>
    <row r="146" spans="2:19">
      <c r="B146" s="5"/>
      <c r="C146" s="5"/>
      <c r="D146" s="5"/>
      <c r="E146" s="5"/>
      <c r="F146" s="5"/>
      <c r="G146" s="5"/>
      <c r="H146" s="5"/>
      <c r="I146" s="5"/>
      <c r="J146" s="5"/>
      <c r="K146" s="5"/>
      <c r="L146" s="5"/>
      <c r="M146" s="5"/>
      <c r="N146" s="5"/>
      <c r="O146" s="5"/>
      <c r="Q146" s="5"/>
      <c r="R146" s="5"/>
      <c r="S146" s="5"/>
    </row>
    <row r="147" spans="2:19">
      <c r="B147" s="5"/>
      <c r="C147" s="5"/>
      <c r="D147" s="5"/>
      <c r="E147" s="5"/>
      <c r="F147" s="5"/>
      <c r="G147" s="5"/>
      <c r="H147" s="5"/>
      <c r="I147" s="5"/>
      <c r="J147" s="5"/>
      <c r="K147" s="5"/>
      <c r="L147" s="5"/>
      <c r="M147" s="5"/>
      <c r="N147" s="5"/>
      <c r="O147" s="5"/>
      <c r="Q147" s="5"/>
      <c r="R147" s="5"/>
      <c r="S147" s="5"/>
    </row>
    <row r="148" spans="2:19">
      <c r="B148" s="5"/>
      <c r="C148" s="5"/>
      <c r="D148" s="5"/>
      <c r="E148" s="5"/>
      <c r="F148" s="5"/>
      <c r="G148" s="5"/>
      <c r="H148" s="5"/>
      <c r="I148" s="5"/>
      <c r="J148" s="5"/>
      <c r="K148" s="5"/>
      <c r="L148" s="5"/>
      <c r="M148" s="5"/>
      <c r="N148" s="5"/>
      <c r="O148" s="5"/>
      <c r="Q148" s="5"/>
      <c r="R148" s="5"/>
      <c r="S148" s="5"/>
    </row>
    <row r="149" spans="2:19">
      <c r="B149" s="5"/>
      <c r="C149" s="5"/>
      <c r="D149" s="5"/>
      <c r="E149" s="5"/>
      <c r="F149" s="5"/>
      <c r="G149" s="5"/>
      <c r="H149" s="5"/>
      <c r="J149" s="5"/>
      <c r="K149" s="5"/>
      <c r="L149" s="5"/>
      <c r="M149" s="5"/>
      <c r="N149" s="5"/>
      <c r="O149" s="5"/>
      <c r="Q149" s="5"/>
      <c r="R149" s="5"/>
      <c r="S149" s="5"/>
    </row>
    <row r="150" spans="2:19">
      <c r="B150" s="5"/>
      <c r="C150" s="5"/>
      <c r="D150" s="5"/>
      <c r="E150" s="5"/>
      <c r="F150" s="5"/>
      <c r="G150" s="5"/>
      <c r="H150" s="5"/>
      <c r="J150" s="5"/>
      <c r="K150" s="5"/>
      <c r="L150" s="5"/>
      <c r="M150" s="5"/>
      <c r="N150" s="5"/>
      <c r="O150" s="5"/>
      <c r="Q150" s="5"/>
      <c r="R150" s="5"/>
      <c r="S150" s="5"/>
    </row>
    <row r="151" spans="2:19">
      <c r="Q151" s="5"/>
      <c r="R151" s="5"/>
      <c r="S151" s="5"/>
    </row>
    <row r="152" spans="2:19">
      <c r="Q152" s="5"/>
      <c r="R152" s="5"/>
      <c r="S152" s="5"/>
    </row>
    <row r="153" spans="2:19">
      <c r="C153" s="263"/>
      <c r="Q153" s="5"/>
      <c r="R153" s="5"/>
      <c r="S153" s="5"/>
    </row>
    <row r="154" spans="2:19">
      <c r="Q154" s="5"/>
      <c r="R154" s="5"/>
      <c r="S154" s="5"/>
    </row>
    <row r="155" spans="2:19">
      <c r="Q155" s="5"/>
      <c r="R155" s="5"/>
      <c r="S155" s="5"/>
    </row>
    <row r="156" spans="2:19">
      <c r="Q156" s="5"/>
      <c r="R156" s="5"/>
      <c r="S156" s="5"/>
    </row>
    <row r="157" spans="2:19">
      <c r="Q157" s="5"/>
      <c r="R157" s="5"/>
      <c r="S157" s="5"/>
    </row>
    <row r="158" spans="2:19">
      <c r="Q158" s="5"/>
      <c r="R158" s="5"/>
      <c r="S158" s="5"/>
    </row>
    <row r="159" spans="2:19">
      <c r="Q159" s="5"/>
      <c r="R159" s="5"/>
      <c r="S159" s="5"/>
    </row>
    <row r="160" spans="2:19">
      <c r="Q160" s="5"/>
      <c r="R160" s="5"/>
      <c r="S160" s="5"/>
    </row>
    <row r="161" spans="17:19">
      <c r="Q161" s="5"/>
      <c r="R161" s="5"/>
      <c r="S161" s="5"/>
    </row>
    <row r="162" spans="17:19">
      <c r="Q162" s="5"/>
      <c r="R162" s="5"/>
      <c r="S162" s="5"/>
    </row>
    <row r="163" spans="17:19">
      <c r="Q163" s="5"/>
      <c r="R163" s="5"/>
      <c r="S163" s="5"/>
    </row>
    <row r="164" spans="17:19">
      <c r="Q164" s="5"/>
      <c r="R164" s="5"/>
      <c r="S164" s="5"/>
    </row>
    <row r="165" spans="17:19">
      <c r="Q165" s="5"/>
      <c r="R165" s="5"/>
      <c r="S165" s="5"/>
    </row>
  </sheetData>
  <phoneticPr fontId="0" type="noConversion"/>
  <pageMargins left="0.75" right="0.75" top="1" bottom="1" header="0.5" footer="0.5"/>
  <pageSetup scale="71" orientation="landscape" r:id="rId1"/>
  <headerFooter alignWithMargins="0"/>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0-000000000000}">
  <sheetPr codeName="Sheet210">
    <pageSetUpPr fitToPage="1"/>
  </sheetPr>
  <dimension ref="B1:AR165"/>
  <sheetViews>
    <sheetView showGridLines="0" zoomScale="80" zoomScaleNormal="80" workbookViewId="0"/>
  </sheetViews>
  <sheetFormatPr defaultColWidth="9.109375" defaultRowHeight="12"/>
  <cols>
    <col min="1" max="1" width="2.33203125" style="39" customWidth="1"/>
    <col min="2" max="2" width="26.5546875" style="39" customWidth="1"/>
    <col min="3" max="9" width="10" style="39" customWidth="1"/>
    <col min="10" max="10" width="26.6640625" style="39" customWidth="1"/>
    <col min="11" max="16" width="10" style="39" customWidth="1"/>
    <col min="17" max="18" width="8.6640625" style="39" customWidth="1"/>
    <col min="19" max="28" width="8.6640625" style="5" customWidth="1"/>
    <col min="29" max="44" width="9.109375" style="5"/>
    <col min="45" max="16384" width="9.109375" style="39"/>
  </cols>
  <sheetData>
    <row r="1" spans="2:44" s="312" customFormat="1">
      <c r="S1" s="149"/>
      <c r="T1" s="149"/>
      <c r="U1" s="149"/>
      <c r="V1" s="149"/>
      <c r="W1" s="149"/>
      <c r="X1" s="149"/>
      <c r="Y1" s="149"/>
      <c r="Z1" s="149"/>
      <c r="AA1" s="149"/>
      <c r="AB1" s="149"/>
      <c r="AC1" s="149"/>
      <c r="AD1" s="149"/>
      <c r="AE1" s="149"/>
      <c r="AF1" s="149"/>
      <c r="AG1" s="149"/>
      <c r="AH1" s="149"/>
      <c r="AI1" s="149"/>
      <c r="AJ1" s="149"/>
      <c r="AK1" s="149"/>
      <c r="AL1" s="149"/>
      <c r="AM1" s="149"/>
      <c r="AN1" s="149"/>
      <c r="AO1" s="149"/>
      <c r="AP1" s="149"/>
      <c r="AQ1" s="149"/>
      <c r="AR1" s="149"/>
    </row>
    <row r="2" spans="2:44" s="149" customFormat="1"/>
    <row r="3" spans="2:44" s="149" customFormat="1">
      <c r="H3" s="153"/>
      <c r="P3" s="153"/>
    </row>
    <row r="4" spans="2:44" s="156" customFormat="1" ht="21">
      <c r="B4" s="129" t="s">
        <v>674</v>
      </c>
      <c r="H4" s="222"/>
      <c r="P4" s="222"/>
    </row>
    <row r="5" spans="2:44" s="149" customFormat="1">
      <c r="C5" s="153"/>
      <c r="D5" s="153" t="str" cm="1">
        <f t="array" ref="D5:H5">headings</f>
        <v>2023E</v>
      </c>
      <c r="E5" s="153" t="str">
        <v>2024E</v>
      </c>
      <c r="F5" s="153" t="str">
        <v>2025E</v>
      </c>
      <c r="G5" s="153" t="str">
        <v>2026E</v>
      </c>
      <c r="H5" s="153" t="str">
        <v>23E-26E</v>
      </c>
      <c r="I5" s="153"/>
      <c r="J5" s="153"/>
      <c r="K5" s="153"/>
      <c r="L5" s="153" t="str" cm="1">
        <f t="array" ref="L5:P5">headings</f>
        <v>2023E</v>
      </c>
      <c r="M5" s="153" t="str">
        <v>2024E</v>
      </c>
      <c r="N5" s="153" t="str">
        <v>2025E</v>
      </c>
      <c r="O5" s="153" t="str">
        <v>2026E</v>
      </c>
      <c r="P5" s="153" t="str">
        <v>23E-26E</v>
      </c>
      <c r="Q5" s="162"/>
      <c r="R5" s="162"/>
      <c r="S5" s="162"/>
      <c r="T5" s="162"/>
      <c r="U5" s="162"/>
      <c r="V5" s="162"/>
      <c r="W5" s="162"/>
      <c r="X5" s="162"/>
      <c r="Y5" s="162"/>
    </row>
    <row r="6" spans="2:44">
      <c r="I6" s="5"/>
      <c r="J6" s="5"/>
      <c r="K6" s="5"/>
      <c r="L6" s="5"/>
      <c r="M6" s="5"/>
      <c r="N6" s="5"/>
      <c r="O6" s="49"/>
    </row>
    <row r="7" spans="2:44" ht="12.6" thickBot="1">
      <c r="B7" s="306" t="s">
        <v>675</v>
      </c>
      <c r="C7" s="265"/>
      <c r="D7" s="265" t="str">
        <f>D5</f>
        <v>2023E</v>
      </c>
      <c r="E7" s="265" t="str">
        <f t="shared" ref="E7:H7" si="0">E5</f>
        <v>2024E</v>
      </c>
      <c r="F7" s="265" t="str">
        <f t="shared" si="0"/>
        <v>2025E</v>
      </c>
      <c r="G7" s="265" t="str">
        <f t="shared" si="0"/>
        <v>2026E</v>
      </c>
      <c r="H7" s="265" t="str">
        <f t="shared" si="0"/>
        <v>23E-26E</v>
      </c>
      <c r="I7" s="49"/>
      <c r="J7" s="306" t="s">
        <v>476</v>
      </c>
      <c r="K7" s="306"/>
      <c r="L7" s="265" t="str">
        <f>L5</f>
        <v>2023E</v>
      </c>
      <c r="M7" s="265" t="str">
        <f t="shared" ref="M7:P7" si="1">M5</f>
        <v>2024E</v>
      </c>
      <c r="N7" s="265" t="str">
        <f t="shared" si="1"/>
        <v>2025E</v>
      </c>
      <c r="O7" s="265" t="str">
        <f t="shared" si="1"/>
        <v>2026E</v>
      </c>
      <c r="P7" s="265" t="str">
        <f t="shared" si="1"/>
        <v>23E-26E</v>
      </c>
    </row>
    <row r="8" spans="2:44" ht="12.6" thickTop="1">
      <c r="B8" s="5"/>
      <c r="C8" s="5"/>
      <c r="D8" s="5"/>
      <c r="E8" s="5"/>
      <c r="F8" s="5"/>
      <c r="G8" s="5"/>
      <c r="H8" s="5"/>
      <c r="I8" s="5"/>
      <c r="J8" s="5"/>
      <c r="K8" s="5"/>
      <c r="L8" s="5"/>
      <c r="M8" s="5"/>
      <c r="N8" s="5"/>
      <c r="S8" s="42"/>
      <c r="T8" s="42"/>
      <c r="U8" s="42"/>
      <c r="V8" s="42"/>
      <c r="W8" s="42"/>
      <c r="X8" s="42"/>
      <c r="Y8" s="42"/>
      <c r="Z8" s="42"/>
      <c r="AA8" s="42"/>
    </row>
    <row r="9" spans="2:44">
      <c r="B9" s="41" t="s">
        <v>15</v>
      </c>
      <c r="C9" s="267">
        <f>Prices!$C$124</f>
        <v>3.14</v>
      </c>
      <c r="D9" s="535">
        <v>0</v>
      </c>
      <c r="E9" s="536">
        <v>0</v>
      </c>
      <c r="F9" s="536">
        <v>0</v>
      </c>
      <c r="G9" s="536">
        <v>0</v>
      </c>
      <c r="H9" s="249"/>
      <c r="I9" s="249"/>
      <c r="J9" s="5" t="s">
        <v>273</v>
      </c>
      <c r="L9" s="529">
        <f>'LATAM INCUMB'!D37</f>
        <v>1.6754972545250479</v>
      </c>
      <c r="M9" s="529">
        <f>'LATAM INCUMB'!E37</f>
        <v>1.5413873359407957</v>
      </c>
      <c r="N9" s="529">
        <f>'LATAM INCUMB'!F37</f>
        <v>1.4052879925497239</v>
      </c>
      <c r="O9" s="529">
        <f>'LATAM INCUMB'!G37</f>
        <v>1.2861713457611794</v>
      </c>
      <c r="P9" s="286">
        <f>'LATAM INCUMB'!H37</f>
        <v>3.2286309728766227E-2</v>
      </c>
      <c r="S9" s="42"/>
      <c r="T9" s="42"/>
      <c r="U9" s="42"/>
      <c r="V9" s="42"/>
      <c r="W9" s="42"/>
      <c r="X9" s="42"/>
      <c r="Y9" s="42"/>
      <c r="Z9" s="42"/>
      <c r="AA9" s="42"/>
    </row>
    <row r="10" spans="2:44">
      <c r="B10" s="5" t="s">
        <v>274</v>
      </c>
      <c r="C10" s="5"/>
      <c r="D10" s="531">
        <v>573.38307692307694</v>
      </c>
      <c r="E10" s="531">
        <v>573.38307692307694</v>
      </c>
      <c r="F10" s="531">
        <v>573.38307692307694</v>
      </c>
      <c r="G10" s="531">
        <v>573.38307692307694</v>
      </c>
      <c r="H10" s="247"/>
      <c r="I10" s="247"/>
      <c r="J10" s="5" t="s">
        <v>184</v>
      </c>
      <c r="L10" s="529">
        <f>'LATAM INCUMB'!D38</f>
        <v>4.4371486159074989</v>
      </c>
      <c r="M10" s="529">
        <f>'LATAM INCUMB'!E38</f>
        <v>3.9890624654994724</v>
      </c>
      <c r="N10" s="529">
        <f>'LATAM INCUMB'!F38</f>
        <v>3.5635773257800083</v>
      </c>
      <c r="O10" s="529">
        <f>'LATAM INCUMB'!G38</f>
        <v>3.2131957346788256</v>
      </c>
      <c r="P10" s="286">
        <f>'LATAM INCUMB'!H38</f>
        <v>5.2545313573403529E-2</v>
      </c>
      <c r="S10" s="42"/>
      <c r="T10" s="42"/>
      <c r="U10" s="42"/>
      <c r="V10" s="42"/>
      <c r="W10" s="288"/>
      <c r="X10" s="288"/>
      <c r="Y10" s="288"/>
      <c r="Z10" s="288"/>
      <c r="AA10" s="42"/>
    </row>
    <row r="11" spans="2:44">
      <c r="B11" s="41" t="s">
        <v>275</v>
      </c>
      <c r="C11" s="5"/>
      <c r="D11" s="532">
        <f>$C$9*D10</f>
        <v>1800.4228615384616</v>
      </c>
      <c r="E11" s="532">
        <f>$C$9*E10</f>
        <v>1800.4228615384616</v>
      </c>
      <c r="F11" s="532">
        <f>$C$9*F10</f>
        <v>1800.4228615384616</v>
      </c>
      <c r="G11" s="532">
        <f>$C$9*G10</f>
        <v>1800.4228615384616</v>
      </c>
      <c r="H11" s="249"/>
      <c r="I11" s="249"/>
      <c r="J11" s="5" t="s">
        <v>185</v>
      </c>
      <c r="L11" s="529">
        <f>'LATAM INCUMB'!D39</f>
        <v>8.7775076030846968</v>
      </c>
      <c r="M11" s="529">
        <f>'LATAM INCUMB'!E39</f>
        <v>7.0717582272737056</v>
      </c>
      <c r="N11" s="529">
        <f>'LATAM INCUMB'!F39</f>
        <v>5.9348076148416871</v>
      </c>
      <c r="O11" s="529">
        <f>'LATAM INCUMB'!G39</f>
        <v>5.0856006821112363</v>
      </c>
      <c r="P11" s="286">
        <f>'LATAM INCUMB'!H39</f>
        <v>0.13377842924611083</v>
      </c>
      <c r="S11" s="42"/>
      <c r="T11" s="42"/>
      <c r="U11" s="42"/>
      <c r="V11" s="42"/>
      <c r="W11" s="288"/>
      <c r="X11" s="288"/>
      <c r="Y11" s="288"/>
      <c r="Z11" s="288"/>
      <c r="AA11" s="42"/>
    </row>
    <row r="12" spans="2:44">
      <c r="B12" s="5" t="s">
        <v>24</v>
      </c>
      <c r="C12" s="249"/>
      <c r="D12" s="533">
        <v>3790.1896766414238</v>
      </c>
      <c r="E12" s="533">
        <v>3618.1358930888273</v>
      </c>
      <c r="F12" s="533">
        <v>3529.859422038945</v>
      </c>
      <c r="G12" s="533">
        <v>3367.6245819194587</v>
      </c>
      <c r="H12" s="247"/>
      <c r="I12" s="247"/>
      <c r="J12" s="5" t="s">
        <v>466</v>
      </c>
      <c r="L12" s="529">
        <f>'LATAM INCUMB'!D40</f>
        <v>14.26260581436496</v>
      </c>
      <c r="M12" s="529">
        <f>'LATAM INCUMB'!E40</f>
        <v>10.423838597934619</v>
      </c>
      <c r="N12" s="529">
        <f>'LATAM INCUMB'!F40</f>
        <v>8.6569763163017868</v>
      </c>
      <c r="O12" s="529">
        <f>'LATAM INCUMB'!G40</f>
        <v>7.3396218928570018</v>
      </c>
      <c r="P12" s="286">
        <f>'LATAM INCUMB'!H40</f>
        <v>0.17948820297265589</v>
      </c>
      <c r="S12" s="42"/>
      <c r="T12" s="42"/>
      <c r="U12" s="42"/>
      <c r="V12" s="42"/>
      <c r="W12" s="288"/>
      <c r="X12" s="288"/>
      <c r="Y12" s="288"/>
      <c r="Z12" s="288"/>
      <c r="AA12" s="42"/>
    </row>
    <row r="13" spans="2:44">
      <c r="B13" s="5" t="s">
        <v>529</v>
      </c>
      <c r="C13" s="257"/>
      <c r="D13" s="533">
        <v>0</v>
      </c>
      <c r="E13" s="533">
        <v>0</v>
      </c>
      <c r="F13" s="533">
        <v>0</v>
      </c>
      <c r="G13" s="533">
        <v>0</v>
      </c>
      <c r="H13" s="247"/>
      <c r="I13" s="247"/>
      <c r="J13" s="5" t="s">
        <v>530</v>
      </c>
      <c r="L13" s="529">
        <f>'LATAM INCUMB'!D41</f>
        <v>1.2450541555502495</v>
      </c>
      <c r="M13" s="529">
        <f>'LATAM INCUMB'!E41</f>
        <v>1.1922739983005051</v>
      </c>
      <c r="N13" s="529">
        <f>'LATAM INCUMB'!F41</f>
        <v>1.1271780163435798</v>
      </c>
      <c r="O13" s="529">
        <f>'LATAM INCUMB'!G41</f>
        <v>1.0560147649150291</v>
      </c>
      <c r="P13" s="286">
        <f>'LATAM INCUMB'!H41</f>
        <v>-1.4772716171091993E-3</v>
      </c>
      <c r="S13" s="42"/>
      <c r="T13" s="42"/>
      <c r="U13" s="42"/>
      <c r="V13" s="42"/>
      <c r="W13" s="42"/>
      <c r="X13" s="42"/>
      <c r="Y13" s="42"/>
      <c r="Z13" s="42"/>
      <c r="AA13" s="42"/>
    </row>
    <row r="14" spans="2:44">
      <c r="B14" s="5" t="s">
        <v>532</v>
      </c>
      <c r="C14" s="257"/>
      <c r="D14" s="533">
        <v>6060.678127413229</v>
      </c>
      <c r="E14" s="533">
        <v>6060.678127413229</v>
      </c>
      <c r="F14" s="533">
        <v>6060.678127413229</v>
      </c>
      <c r="G14" s="533">
        <v>6060.678127413229</v>
      </c>
      <c r="H14" s="247"/>
      <c r="I14" s="247"/>
      <c r="J14" s="5" t="s">
        <v>593</v>
      </c>
      <c r="L14" s="529">
        <f>'LATAM INCUMB'!D42</f>
        <v>2.1427162563071951</v>
      </c>
      <c r="M14" s="529">
        <f>'LATAM INCUMB'!E42</f>
        <v>2.1067241831034007</v>
      </c>
      <c r="N14" s="529">
        <f>'LATAM INCUMB'!F42</f>
        <v>2.0337088917341903</v>
      </c>
      <c r="O14" s="529">
        <f>'LATAM INCUMB'!G42</f>
        <v>1.9591699426923035</v>
      </c>
      <c r="P14" s="286">
        <f>'LATAM INCUMB'!H42</f>
        <v>-2.6170957037785714E-2</v>
      </c>
      <c r="S14" s="42"/>
      <c r="T14" s="42"/>
      <c r="U14" s="42"/>
      <c r="V14" s="42"/>
      <c r="W14" s="42"/>
      <c r="X14" s="42"/>
      <c r="Y14" s="42"/>
      <c r="Z14" s="42"/>
      <c r="AA14" s="42"/>
    </row>
    <row r="15" spans="2:44">
      <c r="B15" s="5" t="s">
        <v>531</v>
      </c>
      <c r="C15" s="274"/>
      <c r="D15" s="533">
        <v>1204.7723920855979</v>
      </c>
      <c r="E15" s="533">
        <v>1204.7723920855979</v>
      </c>
      <c r="F15" s="533">
        <v>1204.7723920855979</v>
      </c>
      <c r="G15" s="533">
        <v>1204.7723920855979</v>
      </c>
      <c r="H15" s="247"/>
      <c r="I15" s="247"/>
      <c r="J15" s="5" t="s">
        <v>475</v>
      </c>
      <c r="L15" s="529">
        <f>'LATAM INCUMB'!D43</f>
        <v>29.880211958442072</v>
      </c>
      <c r="M15" s="529">
        <f>'LATAM INCUMB'!E43</f>
        <v>15.108036348468724</v>
      </c>
      <c r="N15" s="529">
        <f>'LATAM INCUMB'!F43</f>
        <v>11.334385891328045</v>
      </c>
      <c r="O15" s="529">
        <f>'LATAM INCUMB'!G43</f>
        <v>8.9831000045763254</v>
      </c>
      <c r="P15" s="286">
        <f>'LATAM INCUMB'!H43</f>
        <v>0.45506380228138199</v>
      </c>
      <c r="S15" s="42"/>
      <c r="T15" s="42"/>
      <c r="U15" s="42"/>
      <c r="V15" s="42"/>
      <c r="W15" s="42"/>
      <c r="X15" s="42"/>
      <c r="Y15" s="42"/>
      <c r="Z15" s="42"/>
      <c r="AA15" s="42"/>
    </row>
    <row r="16" spans="2:44">
      <c r="B16" s="5" t="s">
        <v>534</v>
      </c>
      <c r="C16" s="257"/>
      <c r="D16" s="533">
        <v>0</v>
      </c>
      <c r="E16" s="533">
        <v>65.008509893573375</v>
      </c>
      <c r="F16" s="533">
        <v>131.31718998501825</v>
      </c>
      <c r="G16" s="533">
        <v>198.952043678292</v>
      </c>
      <c r="H16" s="247"/>
      <c r="I16" s="247"/>
      <c r="J16" s="5" t="s">
        <v>533</v>
      </c>
      <c r="L16" s="529">
        <f>'LATAM INCUMB'!D44</f>
        <v>15.253817863531252</v>
      </c>
      <c r="M16" s="529">
        <f>'LATAM INCUMB'!E44</f>
        <v>11.073980990801601</v>
      </c>
      <c r="N16" s="529">
        <f>'LATAM INCUMB'!F44</f>
        <v>8.2928435180962055</v>
      </c>
      <c r="O16" s="529">
        <f>'LATAM INCUMB'!G44</f>
        <v>6.6146703376605194</v>
      </c>
      <c r="P16" s="286">
        <f>'LATAM INCUMB'!H44</f>
        <v>0.2809349860711805</v>
      </c>
      <c r="S16" s="42"/>
      <c r="T16" s="42"/>
      <c r="U16" s="42"/>
      <c r="V16" s="42"/>
      <c r="W16" s="42"/>
      <c r="X16" s="42"/>
      <c r="Y16" s="42"/>
      <c r="Z16" s="42"/>
      <c r="AA16" s="42"/>
    </row>
    <row r="17" spans="2:27">
      <c r="B17" s="5" t="s">
        <v>6</v>
      </c>
      <c r="C17" s="257"/>
      <c r="D17" s="533">
        <v>0</v>
      </c>
      <c r="E17" s="533">
        <v>0</v>
      </c>
      <c r="F17" s="533">
        <v>0</v>
      </c>
      <c r="G17" s="533">
        <v>0</v>
      </c>
      <c r="H17" s="247"/>
      <c r="I17" s="247"/>
      <c r="J17" s="5" t="s">
        <v>580</v>
      </c>
      <c r="L17" s="248">
        <f>'LATAM INCUMB'!D45</f>
        <v>3.5776465076388382E-2</v>
      </c>
      <c r="M17" s="248">
        <f>'LATAM INCUMB'!E45</f>
        <v>3.9720772392338836E-2</v>
      </c>
      <c r="N17" s="248">
        <f>'LATAM INCUMB'!F45</f>
        <v>4.6101210230168325E-2</v>
      </c>
      <c r="O17" s="248">
        <f>'LATAM INCUMB'!G45</f>
        <v>5.1630244536013982E-2</v>
      </c>
      <c r="P17" s="286">
        <f>'LATAM INCUMB'!H45</f>
        <v>9.5651796667158839E-2</v>
      </c>
      <c r="S17" s="42"/>
      <c r="T17" s="42"/>
      <c r="U17" s="42"/>
      <c r="V17" s="42"/>
      <c r="W17" s="42"/>
      <c r="X17" s="42"/>
      <c r="Y17" s="42"/>
      <c r="Z17" s="42"/>
      <c r="AA17" s="42"/>
    </row>
    <row r="18" spans="2:27" ht="12.6" thickBot="1">
      <c r="B18" s="41" t="s">
        <v>583</v>
      </c>
      <c r="C18" s="249"/>
      <c r="D18" s="534">
        <f>D11+D12+D13-D14+D15-D16-D17</f>
        <v>734.70680285225444</v>
      </c>
      <c r="E18" s="534">
        <f>E11+E12+E13-E14+E15-E16-E17</f>
        <v>497.64450940608452</v>
      </c>
      <c r="F18" s="534">
        <f>F11+F12+F13-F14+F15-F16-F17</f>
        <v>343.05935826475741</v>
      </c>
      <c r="G18" s="534">
        <f>G11+G12+G13-G14+G15-G16-G17</f>
        <v>113.18966445199686</v>
      </c>
      <c r="H18" s="276">
        <f>IF(D18=0,"nm",IF(G18=0,"nm",(G18/D18)^(1/3)-1))</f>
        <v>-0.46391839672871649</v>
      </c>
      <c r="I18" s="254"/>
      <c r="J18" s="5" t="s">
        <v>36</v>
      </c>
      <c r="L18" s="248">
        <f>'LATAM INCUMB'!D46</f>
        <v>3.6168407328364835E-2</v>
      </c>
      <c r="M18" s="248">
        <f>'LATAM INCUMB'!E46</f>
        <v>4.0015836588525255E-2</v>
      </c>
      <c r="N18" s="248">
        <f>'LATAM INCUMB'!F46</f>
        <v>3.7334375846412596E-2</v>
      </c>
      <c r="O18" s="248">
        <f>'LATAM INCUMB'!G46</f>
        <v>8.0938216079071201E-2</v>
      </c>
      <c r="P18" s="286">
        <f>'LATAM INCUMB'!H46</f>
        <v>0.26817265579733318</v>
      </c>
      <c r="S18" s="42"/>
      <c r="T18" s="42"/>
      <c r="U18" s="42"/>
      <c r="V18" s="42"/>
      <c r="W18" s="42"/>
      <c r="X18" s="42"/>
      <c r="Y18" s="42"/>
      <c r="Z18" s="42"/>
      <c r="AA18" s="42"/>
    </row>
    <row r="19" spans="2:27" ht="12.6" thickTop="1">
      <c r="B19" s="41"/>
      <c r="C19" s="249"/>
      <c r="D19" s="229"/>
      <c r="E19" s="229"/>
      <c r="F19" s="229"/>
      <c r="G19" s="229"/>
      <c r="H19" s="276"/>
      <c r="I19" s="254"/>
      <c r="J19" s="5" t="s">
        <v>581</v>
      </c>
      <c r="L19" s="248">
        <f>'LATAM INCUMB'!D47</f>
        <v>3.3466964738764829E-2</v>
      </c>
      <c r="M19" s="248">
        <f>'LATAM INCUMB'!E47</f>
        <v>6.6189938714395199E-2</v>
      </c>
      <c r="N19" s="248">
        <f>'LATAM INCUMB'!F47</f>
        <v>8.8227100222968535E-2</v>
      </c>
      <c r="O19" s="248">
        <f>'LATAM INCUMB'!G47</f>
        <v>0.11132014555003983</v>
      </c>
      <c r="P19" s="286">
        <f>'LATAM INCUMB'!H47</f>
        <v>0.45506380228138199</v>
      </c>
      <c r="S19" s="42"/>
      <c r="T19" s="42"/>
      <c r="U19" s="42"/>
      <c r="V19" s="42"/>
      <c r="W19" s="42"/>
      <c r="X19" s="42"/>
      <c r="Y19" s="42"/>
      <c r="Z19" s="42"/>
      <c r="AA19" s="42"/>
    </row>
    <row r="20" spans="2:27">
      <c r="H20" s="277"/>
      <c r="I20" s="17"/>
      <c r="J20" s="5" t="s">
        <v>604</v>
      </c>
      <c r="L20" s="305">
        <f>'LATAM INCUMB'!D48</f>
        <v>0.89089234361336911</v>
      </c>
      <c r="M20" s="305">
        <f>'LATAM INCUMB'!E48</f>
        <v>0.49796671924446828</v>
      </c>
      <c r="N20" s="305">
        <f>'LATAM INCUMB'!F48</f>
        <v>0.43114661193935117</v>
      </c>
      <c r="O20" s="305">
        <f>'LATAM INCUMB'!G48</f>
        <v>0.38036170164883265</v>
      </c>
      <c r="P20" s="286" t="str">
        <f>'LATAM INCUMB'!H48</f>
        <v>nm</v>
      </c>
      <c r="S20" s="42"/>
      <c r="T20" s="42"/>
      <c r="U20" s="42"/>
      <c r="V20" s="42"/>
      <c r="W20" s="42"/>
      <c r="X20" s="42"/>
      <c r="Y20" s="42"/>
      <c r="Z20" s="42"/>
      <c r="AA20" s="42"/>
    </row>
    <row r="21" spans="2:27" ht="12.6" thickBot="1">
      <c r="B21" s="306" t="s">
        <v>940</v>
      </c>
      <c r="C21" s="265"/>
      <c r="D21" s="265" t="str">
        <f>D5</f>
        <v>2023E</v>
      </c>
      <c r="E21" s="265" t="str">
        <f t="shared" ref="E21:H21" si="2">E5</f>
        <v>2024E</v>
      </c>
      <c r="F21" s="265" t="str">
        <f t="shared" si="2"/>
        <v>2025E</v>
      </c>
      <c r="G21" s="265" t="str">
        <f t="shared" si="2"/>
        <v>2026E</v>
      </c>
      <c r="H21" s="265" t="str">
        <f t="shared" si="2"/>
        <v>23E-26E</v>
      </c>
      <c r="I21" s="49"/>
      <c r="J21" s="41"/>
      <c r="L21" s="250"/>
      <c r="M21" s="250"/>
      <c r="N21" s="250"/>
      <c r="O21" s="250"/>
      <c r="P21" s="286"/>
      <c r="S21" s="42"/>
      <c r="T21" s="42"/>
      <c r="U21" s="42"/>
      <c r="V21" s="42"/>
      <c r="W21" s="42"/>
      <c r="X21" s="42"/>
      <c r="Y21" s="42"/>
      <c r="Z21" s="42"/>
      <c r="AA21" s="42"/>
    </row>
    <row r="22" spans="2:27" ht="12.6" thickTop="1">
      <c r="B22" s="5"/>
      <c r="C22" s="257"/>
      <c r="D22" s="17"/>
      <c r="E22" s="17"/>
      <c r="F22" s="17"/>
      <c r="G22" s="17"/>
      <c r="H22" s="17"/>
      <c r="I22" s="17"/>
      <c r="P22" s="277"/>
      <c r="S22" s="42"/>
      <c r="T22" s="42"/>
      <c r="U22" s="42"/>
      <c r="V22" s="42"/>
      <c r="W22" s="42"/>
      <c r="X22" s="42"/>
      <c r="Y22" s="42"/>
      <c r="Z22" s="42"/>
      <c r="AA22" s="42"/>
    </row>
    <row r="23" spans="2:27" ht="12.6" thickBot="1">
      <c r="B23" s="5" t="s">
        <v>584</v>
      </c>
      <c r="C23" s="548">
        <v>4554.5967134026841</v>
      </c>
      <c r="D23" s="540">
        <v>4476.5162361289649</v>
      </c>
      <c r="E23" s="540">
        <v>4504.9534076507525</v>
      </c>
      <c r="F23" s="540">
        <v>4569.829191172943</v>
      </c>
      <c r="G23" s="540">
        <v>4647.9607528963315</v>
      </c>
      <c r="H23" s="279">
        <f t="shared" ref="H23:H32" si="3">IF(D23=0,"nm",IF(G23=0,"nm",(G23/D23)^(1/3)-1))</f>
        <v>1.2606621051490574E-2</v>
      </c>
      <c r="I23" s="247"/>
      <c r="J23" s="306" t="s">
        <v>9</v>
      </c>
      <c r="K23" s="306"/>
      <c r="L23" s="265" t="str">
        <f>D21</f>
        <v>2023E</v>
      </c>
      <c r="M23" s="265" t="str">
        <f t="shared" ref="M23:P23" si="4">E21</f>
        <v>2024E</v>
      </c>
      <c r="N23" s="265" t="str">
        <f t="shared" si="4"/>
        <v>2025E</v>
      </c>
      <c r="O23" s="265" t="str">
        <f t="shared" si="4"/>
        <v>2026E</v>
      </c>
      <c r="P23" s="265" t="str">
        <f t="shared" si="4"/>
        <v>23E-26E</v>
      </c>
      <c r="S23" s="42"/>
      <c r="T23" s="42"/>
      <c r="U23" s="42"/>
      <c r="V23" s="42"/>
      <c r="W23" s="42"/>
      <c r="X23" s="42"/>
      <c r="Y23" s="42"/>
      <c r="Z23" s="42"/>
      <c r="AA23" s="42"/>
    </row>
    <row r="24" spans="2:27" ht="12.6" thickTop="1">
      <c r="B24" s="5" t="s">
        <v>483</v>
      </c>
      <c r="C24" s="549">
        <v>1538.0630182421228</v>
      </c>
      <c r="D24" s="540">
        <v>1414.1883261920655</v>
      </c>
      <c r="E24" s="540">
        <v>1460.9879233756385</v>
      </c>
      <c r="F24" s="540">
        <v>1469.4253167101283</v>
      </c>
      <c r="G24" s="540">
        <v>1478.1388025057122</v>
      </c>
      <c r="H24" s="279">
        <f t="shared" si="3"/>
        <v>1.485187073949934E-2</v>
      </c>
      <c r="I24" s="249"/>
      <c r="J24" s="17"/>
      <c r="K24" s="17"/>
      <c r="L24" s="17"/>
      <c r="M24" s="17"/>
      <c r="N24" s="17"/>
      <c r="O24" s="248"/>
      <c r="S24" s="42"/>
      <c r="T24" s="42"/>
      <c r="U24" s="42"/>
      <c r="V24" s="42"/>
      <c r="W24" s="42" t="s">
        <v>673</v>
      </c>
      <c r="X24" s="42" t="s">
        <v>263</v>
      </c>
      <c r="Y24" s="42"/>
      <c r="Z24" s="42"/>
      <c r="AA24" s="42"/>
    </row>
    <row r="25" spans="2:27">
      <c r="B25" s="5" t="s">
        <v>183</v>
      </c>
      <c r="C25" s="548">
        <v>499.97105382180013</v>
      </c>
      <c r="D25" s="540">
        <v>534.43820146626251</v>
      </c>
      <c r="E25" s="540">
        <v>589.23668790605518</v>
      </c>
      <c r="F25" s="540">
        <v>592.11068205136485</v>
      </c>
      <c r="G25" s="540">
        <v>601.07544293846559</v>
      </c>
      <c r="H25" s="279">
        <f t="shared" si="3"/>
        <v>3.9945301517286813E-2</v>
      </c>
      <c r="I25" s="248"/>
      <c r="J25" s="247" t="s">
        <v>10</v>
      </c>
      <c r="K25" s="247"/>
      <c r="L25" s="321">
        <v>-340.90982614975411</v>
      </c>
      <c r="M25" s="321">
        <v>-340.90982614975411</v>
      </c>
      <c r="N25" s="321">
        <v>-340.90982614975411</v>
      </c>
      <c r="O25" s="321">
        <v>-340.90982614975411</v>
      </c>
      <c r="P25" s="279">
        <f>IF(L25=0,"nm",IF(O25=0,"nm",(O25/L25)^(1/3)-1))</f>
        <v>0</v>
      </c>
      <c r="S25" s="42"/>
      <c r="T25" s="42"/>
      <c r="U25" s="42"/>
      <c r="V25" s="147" t="s">
        <v>273</v>
      </c>
      <c r="W25" s="288">
        <f>D37/L9</f>
        <v>9.7955804679680708E-2</v>
      </c>
      <c r="X25" s="288">
        <v>1</v>
      </c>
      <c r="Y25" s="42"/>
      <c r="Z25" s="42"/>
      <c r="AA25" s="42"/>
    </row>
    <row r="26" spans="2:27">
      <c r="B26" s="5" t="s">
        <v>586</v>
      </c>
      <c r="C26" s="548">
        <v>574.45898280759184</v>
      </c>
      <c r="D26" s="540">
        <v>400.82865109969691</v>
      </c>
      <c r="E26" s="540">
        <v>424.25041529235966</v>
      </c>
      <c r="F26" s="540">
        <v>426.31969107698268</v>
      </c>
      <c r="G26" s="540">
        <v>432.77431891569523</v>
      </c>
      <c r="H26" s="279">
        <f t="shared" si="3"/>
        <v>2.5890263698069571E-2</v>
      </c>
      <c r="I26" s="249"/>
      <c r="J26" s="249" t="s">
        <v>11</v>
      </c>
      <c r="K26" s="249"/>
      <c r="L26" s="281">
        <f>D11+L25</f>
        <v>1459.5130353887075</v>
      </c>
      <c r="M26" s="281">
        <f>E11+M25</f>
        <v>1459.5130353887075</v>
      </c>
      <c r="N26" s="281">
        <f>F11+N25</f>
        <v>1459.5130353887075</v>
      </c>
      <c r="O26" s="281">
        <f>G11+O25</f>
        <v>1459.5130353887075</v>
      </c>
      <c r="P26" s="279">
        <f>IF(L26=0,"nm",IF(O26=0,"nm",(O26/L26)^(1/3)-1))</f>
        <v>0</v>
      </c>
      <c r="Q26" s="5"/>
      <c r="S26" s="42"/>
      <c r="T26" s="42"/>
      <c r="U26" s="42"/>
      <c r="V26" s="147" t="s">
        <v>184</v>
      </c>
      <c r="W26" s="288">
        <f t="shared" ref="W26:W33" si="5">D38/L10</f>
        <v>0.11708542539696658</v>
      </c>
      <c r="X26" s="288">
        <v>1</v>
      </c>
      <c r="Y26" s="42"/>
      <c r="Z26" s="42"/>
      <c r="AA26" s="42"/>
    </row>
    <row r="27" spans="2:27">
      <c r="B27" s="5" t="s">
        <v>587</v>
      </c>
      <c r="C27" s="549">
        <v>11849.926126941053</v>
      </c>
      <c r="D27" s="540">
        <v>12199.17928242093</v>
      </c>
      <c r="E27" s="540">
        <v>12038.274828624462</v>
      </c>
      <c r="F27" s="540">
        <v>12089.25959160116</v>
      </c>
      <c r="G27" s="540">
        <v>12245.645762823757</v>
      </c>
      <c r="H27" s="279">
        <f t="shared" si="3"/>
        <v>1.2680527424493437E-3</v>
      </c>
      <c r="I27" s="249"/>
      <c r="J27" s="248"/>
      <c r="K27" s="248"/>
      <c r="L27" s="248"/>
      <c r="M27" s="248"/>
      <c r="N27" s="248"/>
      <c r="O27" s="248"/>
      <c r="Q27" s="41"/>
      <c r="S27" s="42"/>
      <c r="T27" s="42"/>
      <c r="U27" s="42"/>
      <c r="V27" s="147" t="s">
        <v>185</v>
      </c>
      <c r="W27" s="288">
        <f t="shared" si="5"/>
        <v>0.15661932683215429</v>
      </c>
      <c r="X27" s="288">
        <v>1</v>
      </c>
      <c r="Y27" s="42"/>
      <c r="Z27" s="42"/>
      <c r="AA27" s="42"/>
    </row>
    <row r="28" spans="2:27" ht="12.6" thickBot="1">
      <c r="B28" s="5" t="s">
        <v>592</v>
      </c>
      <c r="C28" s="548">
        <v>4959.2281019146685</v>
      </c>
      <c r="D28" s="540">
        <v>4810.3861384168176</v>
      </c>
      <c r="E28" s="540">
        <v>4684.4165549214586</v>
      </c>
      <c r="F28" s="540">
        <v>4590.1376860517503</v>
      </c>
      <c r="G28" s="540">
        <v>4515.1618954320511</v>
      </c>
      <c r="H28" s="279">
        <f t="shared" si="3"/>
        <v>-2.0890804844164723E-2</v>
      </c>
      <c r="I28" s="248"/>
      <c r="J28" s="306" t="s">
        <v>1362</v>
      </c>
      <c r="K28" s="306"/>
      <c r="L28" s="306"/>
      <c r="M28" s="306"/>
      <c r="N28" s="266"/>
      <c r="O28" s="266"/>
      <c r="P28" s="266"/>
      <c r="Q28" s="5"/>
      <c r="S28" s="42"/>
      <c r="T28" s="42"/>
      <c r="U28" s="42"/>
      <c r="V28" s="147" t="s">
        <v>466</v>
      </c>
      <c r="W28" s="288">
        <f t="shared" si="5"/>
        <v>0.12851577053562432</v>
      </c>
      <c r="X28" s="288">
        <v>1</v>
      </c>
      <c r="Y28" s="42"/>
      <c r="Z28" s="42"/>
      <c r="AA28" s="42"/>
    </row>
    <row r="29" spans="2:27" ht="12.6" thickTop="1">
      <c r="B29" s="5" t="s">
        <v>588</v>
      </c>
      <c r="C29" s="548">
        <v>-842.32850897030028</v>
      </c>
      <c r="D29" s="540">
        <v>-312.6036020461064</v>
      </c>
      <c r="E29" s="540">
        <v>168.37688952781062</v>
      </c>
      <c r="F29" s="540">
        <v>221.38362839998999</v>
      </c>
      <c r="G29" s="540">
        <v>289.80356670987271</v>
      </c>
      <c r="H29" s="279">
        <f t="shared" si="3"/>
        <v>-1.9750717692940676</v>
      </c>
      <c r="I29" s="252"/>
      <c r="J29" s="249"/>
      <c r="K29" s="249"/>
      <c r="L29" s="249"/>
      <c r="M29" s="249"/>
      <c r="N29" s="249"/>
      <c r="O29" s="251"/>
      <c r="Q29" s="5"/>
      <c r="S29" s="42"/>
      <c r="T29" s="42"/>
      <c r="U29" s="42"/>
      <c r="V29" s="147" t="s">
        <v>530</v>
      </c>
      <c r="W29" s="288">
        <f t="shared" si="5"/>
        <v>4.8372129302047664E-2</v>
      </c>
      <c r="X29" s="288">
        <v>1</v>
      </c>
      <c r="Y29" s="42"/>
      <c r="Z29" s="42"/>
      <c r="AA29" s="42"/>
    </row>
    <row r="30" spans="2:27">
      <c r="B30" s="5" t="s">
        <v>589</v>
      </c>
      <c r="C30" s="549">
        <v>-925.89486883159964</v>
      </c>
      <c r="D30" s="540">
        <v>-79.221553720532185</v>
      </c>
      <c r="E30" s="540">
        <v>34.246621150477552</v>
      </c>
      <c r="F30" s="540">
        <v>116.28055945949063</v>
      </c>
      <c r="G30" s="540">
        <v>216.87524629236736</v>
      </c>
      <c r="H30" s="279">
        <f t="shared" si="3"/>
        <v>-2.3989071069474379</v>
      </c>
      <c r="I30" s="254"/>
      <c r="J30" s="248"/>
      <c r="K30" s="248"/>
      <c r="L30" s="248"/>
      <c r="M30" s="248"/>
      <c r="N30" s="248"/>
      <c r="O30" s="5"/>
      <c r="Q30" s="5"/>
      <c r="S30" s="42"/>
      <c r="T30" s="42"/>
      <c r="U30" s="42"/>
      <c r="V30" s="147" t="s">
        <v>593</v>
      </c>
      <c r="W30" s="288">
        <f t="shared" si="5"/>
        <v>7.1280289882089176E-2</v>
      </c>
      <c r="X30" s="288">
        <v>1</v>
      </c>
      <c r="Y30" s="42"/>
      <c r="Z30" s="42"/>
      <c r="AA30" s="42"/>
    </row>
    <row r="31" spans="2:27">
      <c r="B31" s="5" t="s">
        <v>590</v>
      </c>
      <c r="C31" s="549">
        <v>61.027988977394017</v>
      </c>
      <c r="D31" s="540">
        <v>61.027988977394017</v>
      </c>
      <c r="E31" s="540">
        <v>61.027988977394017</v>
      </c>
      <c r="F31" s="540">
        <v>61.027988977394017</v>
      </c>
      <c r="G31" s="540">
        <v>61.027988977394017</v>
      </c>
      <c r="H31" s="279">
        <f t="shared" si="3"/>
        <v>0</v>
      </c>
      <c r="I31" s="254"/>
      <c r="J31" s="252"/>
      <c r="K31" s="252"/>
      <c r="L31" s="252"/>
      <c r="M31" s="252"/>
      <c r="N31" s="252"/>
      <c r="O31" s="5"/>
      <c r="Q31" s="5"/>
      <c r="S31" s="42"/>
      <c r="T31" s="42"/>
      <c r="U31" s="42"/>
      <c r="V31" s="147" t="s">
        <v>475</v>
      </c>
      <c r="W31" s="288">
        <f t="shared" si="5"/>
        <v>-0.156253705879938</v>
      </c>
      <c r="X31" s="288">
        <v>1</v>
      </c>
      <c r="Y31" s="42"/>
      <c r="Z31" s="42"/>
      <c r="AA31" s="42"/>
    </row>
    <row r="32" spans="2:27">
      <c r="B32" s="5" t="s">
        <v>606</v>
      </c>
      <c r="C32" s="550">
        <v>0</v>
      </c>
      <c r="D32" s="540">
        <v>0</v>
      </c>
      <c r="E32" s="540">
        <v>0</v>
      </c>
      <c r="F32" s="540">
        <v>0</v>
      </c>
      <c r="G32" s="540">
        <v>0</v>
      </c>
      <c r="H32" s="279" t="str">
        <f t="shared" si="3"/>
        <v>nm</v>
      </c>
      <c r="I32" s="254"/>
      <c r="J32" s="254"/>
      <c r="K32" s="254"/>
      <c r="L32" s="254"/>
      <c r="M32" s="254"/>
      <c r="N32" s="254"/>
      <c r="O32" s="251"/>
      <c r="Q32" s="5"/>
      <c r="S32" s="42"/>
      <c r="T32" s="42"/>
      <c r="U32" s="42"/>
      <c r="V32" s="147" t="s">
        <v>533</v>
      </c>
      <c r="W32" s="288">
        <f t="shared" si="5"/>
        <v>-1.489884516443797</v>
      </c>
      <c r="X32" s="288">
        <v>1</v>
      </c>
      <c r="Y32" s="42"/>
      <c r="Z32" s="42"/>
      <c r="AA32" s="42"/>
    </row>
    <row r="33" spans="2:27">
      <c r="B33" s="5" t="s">
        <v>5</v>
      </c>
      <c r="C33" s="549">
        <v>555.17563696668185</v>
      </c>
      <c r="D33" s="540">
        <v>282.5376258735547</v>
      </c>
      <c r="E33" s="540">
        <v>274.56031440990193</v>
      </c>
      <c r="F33" s="540">
        <v>267.99263248755011</v>
      </c>
      <c r="G33" s="540">
        <v>261.22091872699451</v>
      </c>
      <c r="H33" s="279">
        <f>IF(D33=0,"nm",IF(G33=0,"nm",(G33/D33)^(1/3)-1))</f>
        <v>-2.5809507046737457E-2</v>
      </c>
      <c r="I33" s="5"/>
      <c r="J33" s="254"/>
      <c r="K33" s="254"/>
      <c r="L33" s="254"/>
      <c r="M33" s="254"/>
      <c r="N33" s="254"/>
      <c r="O33" s="251"/>
      <c r="Q33" s="5"/>
      <c r="S33" s="42"/>
      <c r="T33" s="42"/>
      <c r="U33" s="42"/>
      <c r="V33" s="147" t="s">
        <v>580</v>
      </c>
      <c r="W33" s="288">
        <f t="shared" si="5"/>
        <v>0.94745177267055425</v>
      </c>
      <c r="X33" s="288">
        <v>1</v>
      </c>
      <c r="Y33" s="42"/>
      <c r="Z33" s="42"/>
      <c r="AA33" s="42"/>
    </row>
    <row r="34" spans="2:27">
      <c r="D34" s="5"/>
      <c r="E34" s="5"/>
      <c r="F34" s="5"/>
      <c r="G34" s="5"/>
      <c r="I34" s="49"/>
      <c r="J34" s="254"/>
      <c r="K34" s="254"/>
      <c r="L34" s="254"/>
      <c r="M34" s="254"/>
      <c r="N34" s="254"/>
      <c r="O34" s="251"/>
      <c r="Q34" s="5"/>
      <c r="S34" s="42"/>
      <c r="T34" s="42"/>
      <c r="U34" s="42"/>
      <c r="V34" s="147" t="s">
        <v>581</v>
      </c>
      <c r="W34" s="288">
        <f>D47/L19</f>
        <v>-6.3998482107578205</v>
      </c>
      <c r="X34" s="288">
        <v>1</v>
      </c>
      <c r="Y34" s="288"/>
      <c r="Z34" s="288"/>
      <c r="AA34" s="42"/>
    </row>
    <row r="35" spans="2:27" ht="12.6" thickBot="1">
      <c r="B35" s="306" t="s">
        <v>676</v>
      </c>
      <c r="C35" s="265"/>
      <c r="D35" s="265" t="str">
        <f>D5</f>
        <v>2023E</v>
      </c>
      <c r="E35" s="265" t="str">
        <f t="shared" ref="E35:H35" si="6">E5</f>
        <v>2024E</v>
      </c>
      <c r="F35" s="265" t="str">
        <f t="shared" si="6"/>
        <v>2025E</v>
      </c>
      <c r="G35" s="265" t="str">
        <f t="shared" si="6"/>
        <v>2026E</v>
      </c>
      <c r="H35" s="265" t="str">
        <f t="shared" si="6"/>
        <v>23E-26E</v>
      </c>
      <c r="I35" s="254"/>
      <c r="J35" s="5"/>
      <c r="K35" s="5"/>
      <c r="L35" s="5"/>
      <c r="M35" s="5"/>
      <c r="N35" s="5"/>
      <c r="O35" s="5"/>
      <c r="Q35" s="5"/>
      <c r="S35" s="42"/>
      <c r="T35" s="42"/>
      <c r="U35" s="42"/>
      <c r="V35" s="42"/>
      <c r="W35" s="42"/>
      <c r="X35" s="42"/>
      <c r="Y35" s="288"/>
      <c r="Z35" s="288"/>
      <c r="AA35" s="42"/>
    </row>
    <row r="36" spans="2:27" ht="12.6" thickTop="1">
      <c r="B36" s="41"/>
      <c r="C36" s="249"/>
      <c r="D36" s="254"/>
      <c r="E36" s="254"/>
      <c r="F36" s="254"/>
      <c r="G36" s="254"/>
      <c r="H36" s="254"/>
      <c r="I36" s="17"/>
      <c r="J36" s="49"/>
      <c r="K36" s="49"/>
      <c r="L36" s="49"/>
      <c r="M36" s="49"/>
      <c r="N36" s="49"/>
      <c r="O36" s="49"/>
      <c r="Q36" s="5"/>
      <c r="S36" s="42"/>
      <c r="T36" s="42"/>
      <c r="U36" s="42"/>
      <c r="V36" s="42"/>
      <c r="W36" s="42"/>
      <c r="X36" s="42"/>
      <c r="Y36" s="288"/>
      <c r="Z36" s="288"/>
      <c r="AA36" s="42"/>
    </row>
    <row r="37" spans="2:27">
      <c r="B37" s="5" t="s">
        <v>273</v>
      </c>
      <c r="C37" s="247"/>
      <c r="D37" s="529">
        <f>D$18/D23</f>
        <v>0.16412468180559686</v>
      </c>
      <c r="E37" s="529">
        <f t="shared" ref="E37:G41" si="7">E$18/E23</f>
        <v>0.11046607242617336</v>
      </c>
      <c r="F37" s="529">
        <f t="shared" si="7"/>
        <v>7.5070499117868339E-2</v>
      </c>
      <c r="G37" s="529">
        <f t="shared" si="7"/>
        <v>2.4352543076329513E-2</v>
      </c>
      <c r="H37" s="17">
        <f t="shared" ref="H37:H45" si="8">H23</f>
        <v>1.2606621051490574E-2</v>
      </c>
      <c r="I37" s="5"/>
      <c r="J37" s="259"/>
      <c r="K37" s="259"/>
      <c r="L37" s="259"/>
      <c r="M37" s="259"/>
      <c r="N37" s="259"/>
      <c r="O37" s="18"/>
      <c r="Q37" s="5"/>
      <c r="R37" s="5"/>
      <c r="S37" s="42"/>
      <c r="T37" s="42"/>
      <c r="U37" s="42"/>
      <c r="V37" s="42"/>
      <c r="W37" s="42"/>
      <c r="X37" s="42"/>
      <c r="Y37" s="42"/>
      <c r="Z37" s="42"/>
      <c r="AA37" s="42"/>
    </row>
    <row r="38" spans="2:27">
      <c r="B38" s="5" t="s">
        <v>184</v>
      </c>
      <c r="C38" s="247"/>
      <c r="D38" s="529">
        <f>D$18/D24</f>
        <v>0.51952543324309097</v>
      </c>
      <c r="E38" s="529">
        <f t="shared" si="7"/>
        <v>0.34062191852775076</v>
      </c>
      <c r="F38" s="529">
        <f t="shared" si="7"/>
        <v>0.23346498414279893</v>
      </c>
      <c r="G38" s="529">
        <f t="shared" si="7"/>
        <v>7.6575802123670614E-2</v>
      </c>
      <c r="H38" s="17">
        <f t="shared" si="8"/>
        <v>1.485187073949934E-2</v>
      </c>
      <c r="I38" s="259"/>
      <c r="J38" s="17"/>
      <c r="K38" s="17"/>
      <c r="L38" s="17"/>
      <c r="M38" s="17"/>
      <c r="N38" s="17"/>
      <c r="O38" s="5"/>
      <c r="Q38" s="5"/>
      <c r="R38" s="5"/>
      <c r="S38" s="42"/>
      <c r="T38" s="42"/>
      <c r="U38" s="42"/>
      <c r="V38" s="42"/>
      <c r="W38" s="42"/>
      <c r="X38" s="42"/>
      <c r="Y38" s="42"/>
      <c r="Z38" s="42"/>
      <c r="AA38" s="42"/>
    </row>
    <row r="39" spans="2:27">
      <c r="B39" s="5" t="s">
        <v>185</v>
      </c>
      <c r="C39" s="247"/>
      <c r="D39" s="529">
        <f>D$18/D25</f>
        <v>1.3747273320592415</v>
      </c>
      <c r="E39" s="529">
        <f t="shared" si="7"/>
        <v>0.84455791640290123</v>
      </c>
      <c r="F39" s="529">
        <f t="shared" si="7"/>
        <v>0.57938383593457521</v>
      </c>
      <c r="G39" s="529">
        <f t="shared" si="7"/>
        <v>0.18831190956437813</v>
      </c>
      <c r="H39" s="17">
        <f t="shared" si="8"/>
        <v>3.9945301517286813E-2</v>
      </c>
      <c r="I39" s="17"/>
      <c r="J39" s="5"/>
      <c r="K39" s="5"/>
      <c r="L39" s="5"/>
      <c r="M39" s="5"/>
      <c r="N39" s="5"/>
      <c r="O39" s="5"/>
      <c r="Q39" s="5"/>
      <c r="R39" s="5"/>
      <c r="S39" s="42"/>
      <c r="T39" s="42"/>
      <c r="U39" s="42"/>
      <c r="V39" s="42"/>
      <c r="W39" s="42"/>
      <c r="X39" s="42"/>
      <c r="Y39" s="42"/>
      <c r="Z39" s="42"/>
      <c r="AA39" s="42"/>
    </row>
    <row r="40" spans="2:27">
      <c r="B40" s="5" t="s">
        <v>466</v>
      </c>
      <c r="C40" s="247"/>
      <c r="D40" s="529">
        <f>D$18/D26</f>
        <v>1.8329697760789885</v>
      </c>
      <c r="E40" s="529">
        <f t="shared" si="7"/>
        <v>1.1729971061151407</v>
      </c>
      <c r="F40" s="529">
        <f t="shared" si="7"/>
        <v>0.80469977213135446</v>
      </c>
      <c r="G40" s="529">
        <f t="shared" si="7"/>
        <v>0.26154431883941409</v>
      </c>
      <c r="H40" s="17">
        <f t="shared" si="8"/>
        <v>2.5890263698069571E-2</v>
      </c>
      <c r="I40" s="5"/>
      <c r="J40" s="259"/>
      <c r="K40" s="259"/>
      <c r="L40" s="259"/>
      <c r="M40" s="259"/>
      <c r="N40" s="259"/>
      <c r="O40" s="18"/>
      <c r="Q40" s="5"/>
      <c r="R40" s="5"/>
      <c r="S40" s="42"/>
      <c r="T40" s="42"/>
      <c r="U40" s="42"/>
      <c r="V40" s="42"/>
      <c r="W40" s="288"/>
      <c r="X40" s="288"/>
      <c r="Y40" s="42"/>
      <c r="Z40" s="42"/>
      <c r="AA40" s="42"/>
    </row>
    <row r="41" spans="2:27">
      <c r="B41" s="5" t="s">
        <v>530</v>
      </c>
      <c r="C41" s="247"/>
      <c r="D41" s="529">
        <f>D$18/D27</f>
        <v>6.0225920600328428E-2</v>
      </c>
      <c r="E41" s="529">
        <f t="shared" si="7"/>
        <v>4.1338523707964495E-2</v>
      </c>
      <c r="F41" s="529">
        <f t="shared" si="7"/>
        <v>2.8377201735587925E-2</v>
      </c>
      <c r="G41" s="529">
        <f t="shared" si="7"/>
        <v>9.2432581053117236E-3</v>
      </c>
      <c r="H41" s="17">
        <f t="shared" si="8"/>
        <v>1.2680527424493437E-3</v>
      </c>
      <c r="I41" s="247"/>
      <c r="J41" s="17"/>
      <c r="K41" s="17"/>
      <c r="L41" s="17"/>
      <c r="M41" s="17"/>
      <c r="N41" s="17"/>
      <c r="O41" s="5"/>
      <c r="Q41" s="5"/>
      <c r="R41" s="5"/>
      <c r="S41" s="42"/>
      <c r="T41" s="42"/>
      <c r="U41" s="42"/>
      <c r="V41" s="42"/>
      <c r="W41" s="288"/>
      <c r="X41" s="288"/>
      <c r="Y41" s="288"/>
      <c r="Z41" s="288"/>
      <c r="AA41" s="42"/>
    </row>
    <row r="42" spans="2:27">
      <c r="B42" s="5" t="s">
        <v>593</v>
      </c>
      <c r="C42" s="247"/>
      <c r="D42" s="529">
        <f>D18/D28</f>
        <v>0.15273343588464175</v>
      </c>
      <c r="E42" s="529">
        <f>E18/E28</f>
        <v>0.10623404293182639</v>
      </c>
      <c r="F42" s="529">
        <f>F18/F28</f>
        <v>7.4738359005488378E-2</v>
      </c>
      <c r="G42" s="529">
        <f>G18/G28</f>
        <v>2.5068794225631165E-2</v>
      </c>
      <c r="H42" s="17">
        <f t="shared" si="8"/>
        <v>-2.0890804844164723E-2</v>
      </c>
      <c r="I42" s="248"/>
      <c r="J42" s="5"/>
      <c r="K42" s="5"/>
      <c r="L42" s="5"/>
      <c r="M42" s="5"/>
      <c r="N42" s="5"/>
      <c r="O42" s="5"/>
      <c r="Q42" s="5"/>
      <c r="R42" s="5"/>
      <c r="S42" s="42"/>
      <c r="T42" s="42"/>
      <c r="U42" s="42"/>
      <c r="V42" s="42"/>
      <c r="W42" s="288"/>
      <c r="X42" s="288"/>
      <c r="Y42" s="288"/>
      <c r="Z42" s="288"/>
      <c r="AA42" s="42"/>
    </row>
    <row r="43" spans="2:27">
      <c r="B43" s="5" t="s">
        <v>475</v>
      </c>
      <c r="C43" s="247"/>
      <c r="D43" s="529">
        <f>L26/D29</f>
        <v>-4.6688938509846141</v>
      </c>
      <c r="E43" s="529">
        <f>M26/E29</f>
        <v>8.6681315914654746</v>
      </c>
      <c r="F43" s="529">
        <f>N26/F29</f>
        <v>6.592687300036923</v>
      </c>
      <c r="G43" s="529">
        <f>O26/G29</f>
        <v>5.0362148815437147</v>
      </c>
      <c r="H43" s="17">
        <f t="shared" si="8"/>
        <v>-1.9750717692940676</v>
      </c>
      <c r="I43" s="247"/>
      <c r="J43" s="247"/>
      <c r="K43" s="247"/>
      <c r="L43" s="247"/>
      <c r="M43" s="247"/>
      <c r="N43" s="247"/>
      <c r="O43" s="18"/>
      <c r="Q43" s="5"/>
      <c r="R43" s="5"/>
      <c r="S43" s="42"/>
      <c r="T43" s="42"/>
      <c r="U43" s="42"/>
      <c r="V43" s="42"/>
      <c r="W43" s="288"/>
      <c r="X43" s="288"/>
      <c r="Y43" s="288"/>
      <c r="Z43" s="288"/>
      <c r="AA43" s="42"/>
    </row>
    <row r="44" spans="2:27">
      <c r="B44" s="5" t="s">
        <v>533</v>
      </c>
      <c r="C44" s="69"/>
      <c r="D44" s="529">
        <f>D11/D30</f>
        <v>-22.726427051529011</v>
      </c>
      <c r="E44" s="529">
        <f>E11/E30</f>
        <v>52.572277236563394</v>
      </c>
      <c r="F44" s="529">
        <f>F11/F30</f>
        <v>15.48343824545913</v>
      </c>
      <c r="G44" s="529">
        <f>G11/G30</f>
        <v>8.3016521816940294</v>
      </c>
      <c r="H44" s="17">
        <f t="shared" si="8"/>
        <v>-2.3989071069474379</v>
      </c>
      <c r="I44" s="247"/>
      <c r="J44" s="248"/>
      <c r="K44" s="248"/>
      <c r="L44" s="248"/>
      <c r="M44" s="248"/>
      <c r="N44" s="248"/>
      <c r="O44" s="248"/>
      <c r="Q44" s="5"/>
      <c r="R44" s="5"/>
      <c r="S44" s="42"/>
      <c r="T44" s="42"/>
      <c r="U44" s="42"/>
      <c r="V44" s="42"/>
      <c r="W44" s="325"/>
      <c r="X44" s="325"/>
      <c r="Y44" s="288"/>
      <c r="Z44" s="288"/>
      <c r="AA44" s="42"/>
    </row>
    <row r="45" spans="2:27">
      <c r="B45" s="5" t="s">
        <v>580</v>
      </c>
      <c r="C45" s="247"/>
      <c r="D45" s="248">
        <f>D31/D11</f>
        <v>3.389647525651035E-2</v>
      </c>
      <c r="E45" s="248">
        <f>E31/E11</f>
        <v>3.389647525651035E-2</v>
      </c>
      <c r="F45" s="248">
        <f>F31/F11</f>
        <v>3.389647525651035E-2</v>
      </c>
      <c r="G45" s="248">
        <f>G31/G11</f>
        <v>3.389647525651035E-2</v>
      </c>
      <c r="H45" s="17">
        <f t="shared" si="8"/>
        <v>0</v>
      </c>
      <c r="I45" s="248"/>
      <c r="J45" s="247"/>
      <c r="K45" s="247"/>
      <c r="L45" s="247"/>
      <c r="M45" s="247"/>
      <c r="N45" s="247"/>
      <c r="O45" s="248"/>
      <c r="Q45" s="5"/>
      <c r="R45" s="5"/>
      <c r="S45" s="42"/>
      <c r="T45" s="42"/>
      <c r="U45" s="42"/>
      <c r="V45" s="42"/>
      <c r="W45" s="42"/>
      <c r="X45" s="42"/>
      <c r="Y45" s="325"/>
      <c r="Z45" s="325"/>
      <c r="AA45" s="42"/>
    </row>
    <row r="46" spans="2:27">
      <c r="B46" s="5" t="s">
        <v>605</v>
      </c>
      <c r="C46" s="247"/>
      <c r="D46" s="248">
        <f>(D31+D32)/D11</f>
        <v>3.389647525651035E-2</v>
      </c>
      <c r="E46" s="248">
        <f>(E31+E32)/E11</f>
        <v>3.389647525651035E-2</v>
      </c>
      <c r="F46" s="248">
        <f>(F31+F32)/F11</f>
        <v>3.389647525651035E-2</v>
      </c>
      <c r="G46" s="248">
        <f>(G31+G32)/G11</f>
        <v>3.389647525651035E-2</v>
      </c>
      <c r="H46" s="279">
        <f>((G31+G32)/(D31+D32))^(1/3)-1</f>
        <v>0</v>
      </c>
      <c r="I46" s="247"/>
      <c r="J46" s="247"/>
      <c r="K46" s="247"/>
      <c r="L46" s="247"/>
      <c r="M46" s="247"/>
      <c r="N46" s="247"/>
      <c r="O46" s="18"/>
      <c r="Q46" s="5"/>
      <c r="R46" s="5"/>
      <c r="S46" s="42"/>
      <c r="T46" s="42"/>
      <c r="U46" s="42"/>
      <c r="V46" s="42"/>
      <c r="W46" s="42"/>
      <c r="X46" s="42"/>
      <c r="Y46" s="42"/>
      <c r="Z46" s="42"/>
      <c r="AA46" s="326"/>
    </row>
    <row r="47" spans="2:27">
      <c r="B47" s="5" t="s">
        <v>581</v>
      </c>
      <c r="C47" s="5"/>
      <c r="D47" s="248">
        <f>1/D43</f>
        <v>-0.21418349440287915</v>
      </c>
      <c r="E47" s="248">
        <f>1/E43</f>
        <v>0.11536511524404942</v>
      </c>
      <c r="F47" s="248">
        <f>1/F43</f>
        <v>0.15168321421742534</v>
      </c>
      <c r="G47" s="248">
        <f>1/G43</f>
        <v>0.19856182143155043</v>
      </c>
      <c r="H47" s="17">
        <f>H29</f>
        <v>-1.9750717692940676</v>
      </c>
      <c r="I47" s="17"/>
      <c r="J47" s="248"/>
      <c r="K47" s="248"/>
      <c r="L47" s="248"/>
      <c r="M47" s="248"/>
      <c r="N47" s="248"/>
      <c r="O47" s="248"/>
      <c r="Q47" s="5"/>
      <c r="R47" s="5"/>
      <c r="S47" s="42"/>
      <c r="T47" s="42"/>
      <c r="U47" s="42"/>
      <c r="V47" s="42"/>
      <c r="W47" s="42"/>
      <c r="X47" s="42"/>
      <c r="Y47" s="42"/>
      <c r="Z47" s="42"/>
      <c r="AA47" s="326"/>
    </row>
    <row r="48" spans="2:27">
      <c r="B48" s="5" t="s">
        <v>618</v>
      </c>
      <c r="C48" s="5"/>
      <c r="D48" s="305">
        <f>D31/D29</f>
        <v>-0.19522484250962951</v>
      </c>
      <c r="E48" s="305">
        <f>E31/E29</f>
        <v>0.36244872528847905</v>
      </c>
      <c r="F48" s="305">
        <f>F31/F29</f>
        <v>0.27566622436565313</v>
      </c>
      <c r="G48" s="305">
        <f>G31/G29</f>
        <v>0.21058398166124082</v>
      </c>
      <c r="H48" s="279" t="s">
        <v>607</v>
      </c>
      <c r="I48" s="247"/>
      <c r="J48" s="247"/>
      <c r="K48" s="247"/>
      <c r="L48" s="247"/>
      <c r="M48" s="247"/>
      <c r="N48" s="247"/>
      <c r="O48" s="248"/>
      <c r="Q48" s="5"/>
      <c r="R48" s="5"/>
      <c r="S48" s="42"/>
      <c r="T48" s="42"/>
      <c r="U48" s="42"/>
      <c r="V48" s="42"/>
      <c r="W48" s="42"/>
      <c r="X48" s="42"/>
      <c r="Y48" s="42"/>
      <c r="Z48" s="42"/>
      <c r="AA48" s="326"/>
    </row>
    <row r="49" spans="2:27">
      <c r="B49" s="41"/>
      <c r="C49" s="17"/>
      <c r="D49" s="17"/>
      <c r="E49" s="17"/>
      <c r="F49" s="17"/>
      <c r="G49" s="17"/>
      <c r="H49" s="17"/>
      <c r="I49" s="254"/>
      <c r="J49" s="17"/>
      <c r="K49" s="17"/>
      <c r="L49" s="17"/>
      <c r="M49" s="17"/>
      <c r="N49" s="17"/>
      <c r="O49" s="248"/>
      <c r="Q49" s="5"/>
      <c r="R49" s="5"/>
      <c r="S49" s="42"/>
      <c r="T49" s="42"/>
      <c r="U49" s="42"/>
      <c r="V49" s="42"/>
      <c r="W49" s="42"/>
      <c r="X49" s="42"/>
      <c r="Y49" s="42"/>
      <c r="Z49" s="42"/>
      <c r="AA49" s="326"/>
    </row>
    <row r="50" spans="2:27">
      <c r="B50" s="5"/>
      <c r="C50" s="257"/>
      <c r="D50" s="257"/>
      <c r="E50" s="257"/>
      <c r="F50" s="5"/>
      <c r="G50" s="41"/>
      <c r="H50" s="249"/>
      <c r="I50" s="17"/>
      <c r="J50" s="249"/>
      <c r="K50" s="249"/>
      <c r="L50" s="249"/>
      <c r="M50" s="249"/>
      <c r="N50" s="249"/>
      <c r="O50" s="250"/>
      <c r="Q50" s="5"/>
      <c r="R50" s="5"/>
      <c r="S50" s="42"/>
      <c r="T50" s="42"/>
      <c r="U50" s="42"/>
      <c r="V50" s="42"/>
      <c r="W50" s="288"/>
      <c r="X50" s="288"/>
      <c r="Y50" s="42"/>
      <c r="Z50" s="42"/>
      <c r="AA50" s="326"/>
    </row>
    <row r="51" spans="2:27">
      <c r="B51" s="41"/>
      <c r="C51" s="249"/>
      <c r="D51" s="254"/>
      <c r="E51" s="254"/>
      <c r="F51" s="254"/>
      <c r="G51" s="254"/>
      <c r="H51" s="254"/>
      <c r="I51" s="259"/>
      <c r="J51" s="254"/>
      <c r="K51" s="254"/>
      <c r="L51" s="254"/>
      <c r="M51" s="254"/>
      <c r="N51" s="254"/>
      <c r="O51" s="251"/>
      <c r="Q51" s="5"/>
      <c r="R51" s="5"/>
      <c r="S51" s="42"/>
      <c r="T51" s="42"/>
      <c r="U51" s="42"/>
      <c r="V51" s="42"/>
      <c r="W51" s="288"/>
      <c r="X51" s="288"/>
      <c r="Y51" s="288"/>
      <c r="Z51" s="288"/>
      <c r="AA51" s="42"/>
    </row>
    <row r="52" spans="2:27">
      <c r="B52" s="5"/>
      <c r="C52" s="257"/>
      <c r="D52" s="17"/>
      <c r="E52" s="17"/>
      <c r="F52" s="17"/>
      <c r="G52" s="17"/>
      <c r="H52" s="17"/>
      <c r="I52" s="254"/>
      <c r="J52" s="17"/>
      <c r="K52" s="17"/>
      <c r="L52" s="17"/>
      <c r="M52" s="17"/>
      <c r="N52" s="17"/>
      <c r="O52" s="248"/>
      <c r="Q52" s="5"/>
      <c r="R52" s="5"/>
      <c r="Y52" s="10"/>
      <c r="Z52" s="10"/>
    </row>
    <row r="53" spans="2:27">
      <c r="B53" s="5"/>
      <c r="C53" s="257"/>
      <c r="D53" s="257"/>
      <c r="E53" s="257"/>
      <c r="F53" s="5"/>
      <c r="G53" s="5"/>
      <c r="H53" s="259"/>
      <c r="I53" s="17"/>
      <c r="J53" s="259"/>
      <c r="K53" s="259"/>
      <c r="L53" s="259"/>
      <c r="M53" s="259"/>
      <c r="N53" s="259"/>
      <c r="O53" s="18"/>
      <c r="Q53" s="5"/>
      <c r="R53" s="5"/>
    </row>
    <row r="54" spans="2:27">
      <c r="B54" s="41"/>
      <c r="C54" s="249"/>
      <c r="D54" s="254"/>
      <c r="E54" s="254"/>
      <c r="F54" s="254"/>
      <c r="G54" s="254"/>
      <c r="H54" s="254"/>
      <c r="I54" s="259"/>
      <c r="J54" s="254"/>
      <c r="K54" s="254"/>
      <c r="L54" s="254"/>
      <c r="M54" s="254"/>
      <c r="N54" s="254"/>
      <c r="O54" s="251"/>
      <c r="Q54" s="5"/>
      <c r="R54" s="5"/>
    </row>
    <row r="55" spans="2:27">
      <c r="B55" s="5"/>
      <c r="C55" s="257"/>
      <c r="D55" s="17"/>
      <c r="E55" s="17"/>
      <c r="F55" s="17"/>
      <c r="G55" s="17"/>
      <c r="H55" s="17"/>
      <c r="I55" s="249"/>
      <c r="J55" s="17"/>
      <c r="K55" s="17"/>
      <c r="L55" s="17"/>
      <c r="M55" s="17"/>
      <c r="N55" s="17"/>
      <c r="O55" s="18"/>
      <c r="Q55" s="5"/>
      <c r="R55" s="5"/>
    </row>
    <row r="56" spans="2:27">
      <c r="B56" s="5"/>
      <c r="C56" s="248"/>
      <c r="D56" s="248"/>
      <c r="E56" s="248"/>
      <c r="F56" s="5"/>
      <c r="G56" s="5"/>
      <c r="H56" s="259"/>
      <c r="I56" s="248"/>
      <c r="J56" s="259"/>
      <c r="K56" s="259"/>
      <c r="L56" s="259"/>
      <c r="M56" s="259"/>
      <c r="N56" s="259"/>
      <c r="O56" s="18"/>
      <c r="Q56" s="5"/>
      <c r="R56" s="5"/>
    </row>
    <row r="57" spans="2:27">
      <c r="B57" s="41"/>
      <c r="C57" s="249"/>
      <c r="D57" s="249"/>
      <c r="E57" s="249"/>
      <c r="F57" s="249"/>
      <c r="G57" s="249"/>
      <c r="H57" s="249"/>
      <c r="I57" s="5"/>
      <c r="J57" s="249"/>
      <c r="K57" s="249"/>
      <c r="L57" s="249"/>
      <c r="M57" s="249"/>
      <c r="N57" s="249"/>
      <c r="O57" s="251"/>
      <c r="Q57" s="5"/>
      <c r="R57" s="5"/>
    </row>
    <row r="58" spans="2:27">
      <c r="B58" s="5"/>
      <c r="C58" s="5"/>
      <c r="D58" s="248"/>
      <c r="E58" s="248"/>
      <c r="F58" s="248"/>
      <c r="G58" s="248"/>
      <c r="H58" s="248"/>
      <c r="I58" s="17"/>
      <c r="J58" s="248"/>
      <c r="K58" s="248"/>
      <c r="L58" s="248"/>
      <c r="M58" s="248"/>
      <c r="N58" s="248"/>
      <c r="O58" s="18"/>
      <c r="Q58" s="5"/>
      <c r="R58" s="5"/>
    </row>
    <row r="59" spans="2:27">
      <c r="B59" s="5"/>
      <c r="C59" s="5"/>
      <c r="D59" s="5"/>
      <c r="E59" s="5"/>
      <c r="F59" s="5"/>
      <c r="G59" s="5"/>
      <c r="H59" s="5"/>
      <c r="I59" s="5"/>
      <c r="J59" s="5"/>
      <c r="K59" s="5"/>
      <c r="L59" s="5"/>
      <c r="M59" s="5"/>
      <c r="N59" s="5"/>
      <c r="O59" s="5"/>
      <c r="Q59" s="5"/>
      <c r="R59" s="5"/>
    </row>
    <row r="60" spans="2:27">
      <c r="B60" s="41"/>
      <c r="C60" s="17"/>
      <c r="D60" s="17"/>
      <c r="E60" s="17"/>
      <c r="F60" s="17"/>
      <c r="G60" s="17"/>
      <c r="H60" s="17"/>
      <c r="I60" s="249"/>
      <c r="J60" s="17"/>
      <c r="K60" s="17"/>
      <c r="L60" s="17"/>
      <c r="M60" s="17"/>
      <c r="N60" s="17"/>
      <c r="O60" s="251"/>
      <c r="Q60" s="5"/>
      <c r="R60" s="5"/>
    </row>
    <row r="61" spans="2:27">
      <c r="B61" s="5"/>
      <c r="C61" s="5"/>
      <c r="D61" s="5"/>
      <c r="E61" s="5"/>
      <c r="F61" s="5"/>
      <c r="G61" s="5"/>
      <c r="H61" s="5"/>
      <c r="I61" s="5"/>
      <c r="J61" s="5"/>
      <c r="K61" s="5"/>
      <c r="L61" s="5"/>
      <c r="M61" s="5"/>
      <c r="N61" s="5"/>
      <c r="O61" s="5"/>
      <c r="Q61" s="41"/>
      <c r="R61" s="5"/>
    </row>
    <row r="62" spans="2:27">
      <c r="B62" s="41"/>
      <c r="C62" s="249"/>
      <c r="D62" s="249"/>
      <c r="E62" s="249"/>
      <c r="F62" s="249"/>
      <c r="G62" s="249"/>
      <c r="H62" s="249"/>
      <c r="I62" s="5"/>
      <c r="J62" s="249"/>
      <c r="K62" s="249"/>
      <c r="L62" s="249"/>
      <c r="M62" s="249"/>
      <c r="N62" s="249"/>
      <c r="O62" s="251"/>
      <c r="Q62" s="5"/>
      <c r="R62" s="5"/>
    </row>
    <row r="63" spans="2:27">
      <c r="B63" s="5"/>
      <c r="C63" s="5"/>
      <c r="D63" s="5"/>
      <c r="E63" s="5"/>
      <c r="F63" s="5"/>
      <c r="G63" s="5"/>
      <c r="H63" s="5"/>
      <c r="I63" s="254"/>
      <c r="J63" s="5"/>
      <c r="K63" s="5"/>
      <c r="L63" s="5"/>
      <c r="M63" s="5"/>
      <c r="N63" s="5"/>
      <c r="O63" s="5"/>
      <c r="Q63" s="5"/>
      <c r="R63" s="5"/>
    </row>
    <row r="64" spans="2:27">
      <c r="B64" s="5"/>
      <c r="C64" s="5"/>
      <c r="D64" s="5"/>
      <c r="E64" s="5"/>
      <c r="F64" s="5"/>
      <c r="G64" s="5"/>
      <c r="H64" s="5"/>
      <c r="I64" s="17"/>
      <c r="J64" s="5"/>
      <c r="K64" s="5"/>
      <c r="L64" s="5"/>
      <c r="M64" s="5"/>
      <c r="N64" s="5"/>
      <c r="O64" s="5"/>
      <c r="Q64" s="5"/>
      <c r="R64" s="5"/>
    </row>
    <row r="65" spans="2:26">
      <c r="B65" s="41"/>
      <c r="C65" s="249"/>
      <c r="D65" s="254"/>
      <c r="E65" s="254"/>
      <c r="F65" s="254"/>
      <c r="G65" s="254"/>
      <c r="H65" s="254"/>
      <c r="I65" s="254"/>
      <c r="J65" s="254"/>
      <c r="K65" s="254"/>
      <c r="L65" s="254"/>
      <c r="M65" s="254"/>
      <c r="N65" s="254"/>
      <c r="O65" s="251"/>
      <c r="Q65" s="5"/>
      <c r="R65" s="5"/>
    </row>
    <row r="66" spans="2:26">
      <c r="B66" s="5"/>
      <c r="C66" s="5"/>
      <c r="D66" s="17"/>
      <c r="E66" s="17"/>
      <c r="F66" s="17"/>
      <c r="G66" s="17"/>
      <c r="H66" s="17"/>
      <c r="I66" s="248"/>
      <c r="J66" s="17"/>
      <c r="K66" s="17"/>
      <c r="L66" s="17"/>
      <c r="M66" s="17"/>
      <c r="N66" s="17"/>
      <c r="O66" s="5"/>
      <c r="Q66" s="5"/>
      <c r="R66" s="5"/>
    </row>
    <row r="67" spans="2:26">
      <c r="B67" s="41"/>
      <c r="C67" s="249"/>
      <c r="D67" s="254"/>
      <c r="E67" s="254"/>
      <c r="F67" s="254"/>
      <c r="G67" s="254"/>
      <c r="H67" s="254"/>
      <c r="I67" s="5"/>
      <c r="J67" s="254"/>
      <c r="K67" s="254"/>
      <c r="L67" s="254"/>
      <c r="M67" s="254"/>
      <c r="N67" s="254"/>
      <c r="O67" s="251"/>
      <c r="Q67" s="41"/>
      <c r="R67" s="5"/>
    </row>
    <row r="68" spans="2:26">
      <c r="B68" s="5"/>
      <c r="C68" s="5"/>
      <c r="D68" s="248"/>
      <c r="E68" s="248"/>
      <c r="F68" s="248"/>
      <c r="G68" s="248"/>
      <c r="H68" s="248"/>
      <c r="I68" s="245"/>
      <c r="J68" s="248"/>
      <c r="K68" s="248"/>
      <c r="L68" s="248"/>
      <c r="M68" s="248"/>
      <c r="N68" s="248"/>
      <c r="O68" s="5"/>
      <c r="Q68" s="5"/>
      <c r="R68" s="5"/>
    </row>
    <row r="69" spans="2:26">
      <c r="B69" s="41"/>
      <c r="C69" s="5"/>
      <c r="D69" s="5"/>
      <c r="E69" s="5"/>
      <c r="F69" s="5"/>
      <c r="G69" s="5"/>
      <c r="H69" s="5"/>
      <c r="I69" s="248"/>
      <c r="J69" s="5"/>
      <c r="K69" s="5"/>
      <c r="L69" s="5"/>
      <c r="M69" s="5"/>
      <c r="N69" s="5"/>
      <c r="O69" s="5"/>
      <c r="Q69" s="5"/>
      <c r="R69" s="5"/>
    </row>
    <row r="70" spans="2:26">
      <c r="B70" s="41"/>
      <c r="C70" s="245"/>
      <c r="D70" s="245"/>
      <c r="E70" s="245"/>
      <c r="F70" s="245"/>
      <c r="G70" s="245"/>
      <c r="H70" s="245"/>
      <c r="I70" s="5"/>
      <c r="J70" s="245"/>
      <c r="K70" s="245"/>
      <c r="L70" s="245"/>
      <c r="M70" s="245"/>
      <c r="N70" s="245"/>
      <c r="O70" s="251"/>
      <c r="Q70" s="5"/>
      <c r="R70" s="5"/>
      <c r="W70" s="76"/>
      <c r="X70" s="76"/>
    </row>
    <row r="71" spans="2:26">
      <c r="B71" s="5"/>
      <c r="C71" s="5"/>
      <c r="D71" s="248"/>
      <c r="E71" s="248"/>
      <c r="F71" s="248"/>
      <c r="G71" s="248"/>
      <c r="H71" s="248"/>
      <c r="I71" s="245"/>
      <c r="J71" s="248"/>
      <c r="K71" s="248"/>
      <c r="L71" s="248"/>
      <c r="M71" s="248"/>
      <c r="N71" s="248"/>
      <c r="O71" s="5"/>
      <c r="Q71" s="5"/>
      <c r="R71" s="5"/>
      <c r="W71" s="76"/>
      <c r="X71" s="76"/>
      <c r="Y71" s="76"/>
      <c r="Z71" s="76"/>
    </row>
    <row r="72" spans="2:26">
      <c r="B72" s="41"/>
      <c r="C72" s="5"/>
      <c r="D72" s="5"/>
      <c r="E72" s="5"/>
      <c r="F72" s="5"/>
      <c r="G72" s="5"/>
      <c r="H72" s="5"/>
      <c r="I72" s="18"/>
      <c r="J72" s="5"/>
      <c r="K72" s="5"/>
      <c r="L72" s="5"/>
      <c r="M72" s="5"/>
      <c r="N72" s="5"/>
      <c r="O72" s="5"/>
      <c r="Q72" s="5"/>
      <c r="R72" s="5"/>
      <c r="Y72" s="76"/>
      <c r="Z72" s="76"/>
    </row>
    <row r="73" spans="2:26">
      <c r="B73" s="41"/>
      <c r="C73" s="245"/>
      <c r="D73" s="245"/>
      <c r="E73" s="245"/>
      <c r="F73" s="245"/>
      <c r="G73" s="245"/>
      <c r="H73" s="245"/>
      <c r="I73" s="5"/>
      <c r="J73" s="245"/>
      <c r="K73" s="245"/>
      <c r="L73" s="245"/>
      <c r="M73" s="245"/>
      <c r="N73" s="245"/>
      <c r="O73" s="251"/>
      <c r="Q73" s="5"/>
      <c r="R73" s="5"/>
    </row>
    <row r="74" spans="2:26">
      <c r="B74" s="5"/>
      <c r="C74" s="5"/>
      <c r="D74" s="18"/>
      <c r="E74" s="18"/>
      <c r="F74" s="18"/>
      <c r="G74" s="18"/>
      <c r="H74" s="18"/>
      <c r="I74" s="249"/>
      <c r="J74" s="18"/>
      <c r="K74" s="18"/>
      <c r="L74" s="18"/>
      <c r="M74" s="18"/>
      <c r="N74" s="18"/>
      <c r="O74" s="5"/>
      <c r="Q74" s="5"/>
      <c r="R74" s="5"/>
    </row>
    <row r="75" spans="2:26">
      <c r="B75" s="41"/>
      <c r="C75" s="5"/>
      <c r="D75" s="5"/>
      <c r="E75" s="5"/>
      <c r="F75" s="5"/>
      <c r="G75" s="5"/>
      <c r="H75" s="5"/>
      <c r="I75" s="248"/>
      <c r="J75" s="5"/>
      <c r="K75" s="5"/>
      <c r="L75" s="5"/>
      <c r="M75" s="5"/>
      <c r="N75" s="5"/>
      <c r="O75" s="5"/>
      <c r="Q75" s="5"/>
      <c r="R75" s="5"/>
    </row>
    <row r="76" spans="2:26">
      <c r="B76" s="41"/>
      <c r="C76" s="249"/>
      <c r="D76" s="249"/>
      <c r="E76" s="249"/>
      <c r="F76" s="249"/>
      <c r="G76" s="249"/>
      <c r="H76" s="249"/>
      <c r="I76" s="5"/>
      <c r="J76" s="249"/>
      <c r="K76" s="249"/>
      <c r="L76" s="249"/>
      <c r="M76" s="249"/>
      <c r="N76" s="249"/>
      <c r="O76" s="251"/>
      <c r="Q76" s="5"/>
      <c r="R76" s="5"/>
    </row>
    <row r="77" spans="2:26">
      <c r="B77" s="5"/>
      <c r="C77" s="5"/>
      <c r="D77" s="248"/>
      <c r="E77" s="248"/>
      <c r="F77" s="248"/>
      <c r="G77" s="248"/>
      <c r="H77" s="248"/>
      <c r="I77" s="245"/>
      <c r="J77" s="248"/>
      <c r="K77" s="248"/>
      <c r="L77" s="248"/>
      <c r="M77" s="248"/>
      <c r="N77" s="248"/>
      <c r="O77" s="5"/>
      <c r="Q77" s="5"/>
      <c r="R77" s="5"/>
    </row>
    <row r="78" spans="2:26">
      <c r="B78" s="41"/>
      <c r="C78" s="5"/>
      <c r="D78" s="5"/>
      <c r="E78" s="5"/>
      <c r="F78" s="5"/>
      <c r="G78" s="5"/>
      <c r="H78" s="5"/>
      <c r="I78" s="248"/>
      <c r="J78" s="5"/>
      <c r="K78" s="5"/>
      <c r="L78" s="5"/>
      <c r="M78" s="5"/>
      <c r="N78" s="5"/>
      <c r="O78" s="5"/>
      <c r="Q78" s="5"/>
      <c r="R78" s="5"/>
    </row>
    <row r="79" spans="2:26">
      <c r="B79" s="41"/>
      <c r="C79" s="245"/>
      <c r="D79" s="245"/>
      <c r="E79" s="245"/>
      <c r="F79" s="245"/>
      <c r="G79" s="245"/>
      <c r="H79" s="245"/>
      <c r="I79" s="5"/>
      <c r="J79" s="245"/>
      <c r="K79" s="245"/>
      <c r="L79" s="245"/>
      <c r="M79" s="245"/>
      <c r="N79" s="245"/>
      <c r="O79" s="251"/>
      <c r="Q79" s="5"/>
      <c r="R79" s="5"/>
    </row>
    <row r="80" spans="2:26">
      <c r="B80" s="5"/>
      <c r="C80" s="5"/>
      <c r="D80" s="248"/>
      <c r="E80" s="248"/>
      <c r="F80" s="248"/>
      <c r="G80" s="248"/>
      <c r="H80" s="248"/>
      <c r="I80" s="249"/>
      <c r="J80" s="248"/>
      <c r="K80" s="248"/>
      <c r="L80" s="248"/>
      <c r="M80" s="248"/>
      <c r="N80" s="248"/>
      <c r="O80" s="5"/>
      <c r="Q80" s="5"/>
      <c r="R80" s="5"/>
    </row>
    <row r="81" spans="2:26">
      <c r="B81" s="41"/>
      <c r="C81" s="5"/>
      <c r="D81" s="5"/>
      <c r="E81" s="5"/>
      <c r="F81" s="5"/>
      <c r="G81" s="5"/>
      <c r="H81" s="5"/>
      <c r="I81" s="248"/>
      <c r="J81" s="5"/>
      <c r="K81" s="5"/>
      <c r="L81" s="5"/>
      <c r="M81" s="5"/>
      <c r="N81" s="5"/>
      <c r="O81" s="5"/>
      <c r="Q81" s="5"/>
      <c r="R81" s="5"/>
    </row>
    <row r="82" spans="2:26">
      <c r="B82" s="41"/>
      <c r="C82" s="249"/>
      <c r="D82" s="249"/>
      <c r="E82" s="249"/>
      <c r="F82" s="249"/>
      <c r="G82" s="249"/>
      <c r="H82" s="249"/>
      <c r="I82" s="259"/>
      <c r="J82" s="249"/>
      <c r="K82" s="249"/>
      <c r="L82" s="249"/>
      <c r="M82" s="249"/>
      <c r="N82" s="249"/>
      <c r="O82" s="251"/>
      <c r="Q82" s="5"/>
      <c r="R82" s="5"/>
    </row>
    <row r="83" spans="2:26">
      <c r="B83" s="5"/>
      <c r="C83" s="5"/>
      <c r="D83" s="248"/>
      <c r="E83" s="248"/>
      <c r="F83" s="248"/>
      <c r="G83" s="248"/>
      <c r="H83" s="248"/>
      <c r="I83" s="5"/>
      <c r="J83" s="248"/>
      <c r="K83" s="248"/>
      <c r="L83" s="248"/>
      <c r="M83" s="248"/>
      <c r="N83" s="248"/>
      <c r="O83" s="5"/>
      <c r="Q83" s="5"/>
      <c r="R83" s="5"/>
    </row>
    <row r="84" spans="2:26">
      <c r="B84" s="5"/>
      <c r="C84" s="259"/>
      <c r="D84" s="259"/>
      <c r="E84" s="259"/>
      <c r="F84" s="259"/>
      <c r="G84" s="259"/>
      <c r="H84" s="259"/>
      <c r="I84" s="245"/>
      <c r="J84" s="259"/>
      <c r="K84" s="259"/>
      <c r="L84" s="259"/>
      <c r="M84" s="259"/>
      <c r="N84" s="259"/>
      <c r="O84" s="251"/>
      <c r="Q84" s="5"/>
      <c r="R84" s="5"/>
    </row>
    <row r="85" spans="2:26">
      <c r="B85" s="41"/>
      <c r="C85" s="5"/>
      <c r="D85" s="5"/>
      <c r="E85" s="5"/>
      <c r="F85" s="5"/>
      <c r="G85" s="5"/>
      <c r="H85" s="5"/>
      <c r="I85" s="248"/>
      <c r="J85" s="5"/>
      <c r="K85" s="5"/>
      <c r="L85" s="5"/>
      <c r="M85" s="5"/>
      <c r="N85" s="5"/>
      <c r="O85" s="5"/>
      <c r="Q85" s="5"/>
      <c r="R85" s="5"/>
    </row>
    <row r="86" spans="2:26">
      <c r="B86" s="41"/>
      <c r="C86" s="245"/>
      <c r="D86" s="245"/>
      <c r="E86" s="245"/>
      <c r="F86" s="245"/>
      <c r="G86" s="245"/>
      <c r="H86" s="245"/>
      <c r="I86" s="5"/>
      <c r="J86" s="245"/>
      <c r="K86" s="245"/>
      <c r="L86" s="245"/>
      <c r="M86" s="245"/>
      <c r="N86" s="245"/>
      <c r="O86" s="251"/>
      <c r="Q86" s="5"/>
      <c r="R86" s="5"/>
    </row>
    <row r="87" spans="2:26">
      <c r="B87" s="5"/>
      <c r="C87" s="5"/>
      <c r="D87" s="248"/>
      <c r="E87" s="248"/>
      <c r="F87" s="248"/>
      <c r="G87" s="248"/>
      <c r="H87" s="248"/>
      <c r="I87" s="5"/>
      <c r="J87" s="248"/>
      <c r="K87" s="248"/>
      <c r="L87" s="248"/>
      <c r="M87" s="248"/>
      <c r="N87" s="248"/>
      <c r="O87" s="5"/>
      <c r="Q87" s="5"/>
      <c r="R87" s="5"/>
    </row>
    <row r="88" spans="2:26">
      <c r="B88" s="41"/>
      <c r="C88" s="5"/>
      <c r="D88" s="5"/>
      <c r="E88" s="5"/>
      <c r="F88" s="5"/>
      <c r="G88" s="5"/>
      <c r="H88" s="5"/>
      <c r="I88" s="5"/>
      <c r="J88" s="5"/>
      <c r="K88" s="5"/>
      <c r="L88" s="5"/>
      <c r="M88" s="5"/>
      <c r="N88" s="5"/>
      <c r="O88" s="5"/>
      <c r="Q88" s="5"/>
      <c r="R88" s="5"/>
    </row>
    <row r="89" spans="2:26">
      <c r="B89" s="41"/>
      <c r="C89" s="5"/>
      <c r="D89" s="5"/>
      <c r="E89" s="5"/>
      <c r="F89" s="5"/>
      <c r="G89" s="5"/>
      <c r="H89" s="5"/>
      <c r="I89" s="5"/>
      <c r="J89" s="5"/>
      <c r="K89" s="5"/>
      <c r="L89" s="5"/>
      <c r="M89" s="5"/>
      <c r="N89" s="5"/>
      <c r="O89" s="5"/>
      <c r="Q89" s="5"/>
      <c r="R89" s="5"/>
    </row>
    <row r="90" spans="2:26">
      <c r="B90" s="41"/>
      <c r="C90" s="5"/>
      <c r="D90" s="5"/>
      <c r="E90" s="5"/>
      <c r="F90" s="5"/>
      <c r="G90" s="5"/>
      <c r="H90" s="5"/>
      <c r="I90" s="49"/>
      <c r="J90" s="5"/>
      <c r="K90" s="5"/>
      <c r="L90" s="5"/>
      <c r="M90" s="5"/>
      <c r="N90" s="5"/>
      <c r="O90" s="5"/>
      <c r="Q90" s="41"/>
      <c r="R90" s="5"/>
    </row>
    <row r="91" spans="2:26">
      <c r="B91" s="5"/>
      <c r="C91" s="5"/>
      <c r="D91" s="5"/>
      <c r="E91" s="5"/>
      <c r="F91" s="5"/>
      <c r="G91" s="5"/>
      <c r="H91" s="5"/>
      <c r="I91" s="5"/>
      <c r="J91" s="5"/>
      <c r="K91" s="5"/>
      <c r="L91" s="5"/>
      <c r="M91" s="5"/>
      <c r="N91" s="5"/>
      <c r="O91" s="5"/>
      <c r="Q91" s="5"/>
      <c r="R91" s="5"/>
    </row>
    <row r="92" spans="2:26">
      <c r="B92" s="41"/>
      <c r="C92" s="49"/>
      <c r="D92" s="49"/>
      <c r="E92" s="49"/>
      <c r="F92" s="49"/>
      <c r="G92" s="49"/>
      <c r="H92" s="49"/>
      <c r="I92" s="247"/>
      <c r="J92" s="49"/>
      <c r="K92" s="49"/>
      <c r="L92" s="49"/>
      <c r="M92" s="49"/>
      <c r="N92" s="49"/>
      <c r="O92" s="49"/>
      <c r="Q92" s="5"/>
      <c r="R92" s="5"/>
      <c r="W92" s="21"/>
      <c r="X92" s="21"/>
    </row>
    <row r="93" spans="2:26">
      <c r="B93" s="5"/>
      <c r="C93" s="5"/>
      <c r="D93" s="5"/>
      <c r="E93" s="5"/>
      <c r="F93" s="5"/>
      <c r="G93" s="5"/>
      <c r="H93" s="5"/>
      <c r="I93" s="247"/>
      <c r="J93" s="5"/>
      <c r="K93" s="5"/>
      <c r="L93" s="5"/>
      <c r="M93" s="5"/>
      <c r="N93" s="5"/>
      <c r="O93" s="5"/>
      <c r="Q93" s="5"/>
      <c r="R93" s="5"/>
      <c r="W93" s="21"/>
      <c r="X93" s="21"/>
      <c r="Y93" s="21"/>
      <c r="Z93" s="21"/>
    </row>
    <row r="94" spans="2:26">
      <c r="B94" s="5"/>
      <c r="C94" s="259"/>
      <c r="D94" s="247"/>
      <c r="E94" s="247"/>
      <c r="F94" s="247"/>
      <c r="G94" s="247"/>
      <c r="H94" s="247"/>
      <c r="I94" s="247"/>
      <c r="J94" s="247"/>
      <c r="K94" s="247"/>
      <c r="L94" s="247"/>
      <c r="M94" s="247"/>
      <c r="N94" s="247"/>
      <c r="O94" s="248"/>
      <c r="Q94" s="5"/>
      <c r="R94" s="5"/>
      <c r="Y94" s="21"/>
      <c r="Z94" s="21"/>
    </row>
    <row r="95" spans="2:26">
      <c r="B95" s="5"/>
      <c r="C95" s="259"/>
      <c r="D95" s="247"/>
      <c r="E95" s="247"/>
      <c r="F95" s="247"/>
      <c r="G95" s="247"/>
      <c r="H95" s="247"/>
      <c r="I95" s="248"/>
      <c r="J95" s="247"/>
      <c r="K95" s="247"/>
      <c r="L95" s="247"/>
      <c r="M95" s="247"/>
      <c r="N95" s="247"/>
      <c r="O95" s="248"/>
      <c r="Q95" s="5"/>
      <c r="R95" s="5"/>
    </row>
    <row r="96" spans="2:26">
      <c r="B96" s="5"/>
      <c r="C96" s="259"/>
      <c r="D96" s="247"/>
      <c r="E96" s="247"/>
      <c r="F96" s="247"/>
      <c r="G96" s="247"/>
      <c r="H96" s="247"/>
      <c r="I96" s="247"/>
      <c r="J96" s="247"/>
      <c r="K96" s="247"/>
      <c r="L96" s="247"/>
      <c r="M96" s="247"/>
      <c r="N96" s="247"/>
      <c r="O96" s="248"/>
      <c r="Q96" s="5"/>
      <c r="R96" s="5"/>
    </row>
    <row r="97" spans="2:18">
      <c r="B97" s="5"/>
      <c r="C97" s="259"/>
      <c r="D97" s="248"/>
      <c r="E97" s="248"/>
      <c r="F97" s="248"/>
      <c r="G97" s="248"/>
      <c r="H97" s="248"/>
      <c r="I97" s="249"/>
      <c r="J97" s="248"/>
      <c r="K97" s="248"/>
      <c r="L97" s="248"/>
      <c r="M97" s="248"/>
      <c r="N97" s="248"/>
      <c r="O97" s="248"/>
      <c r="Q97" s="5"/>
      <c r="R97" s="5"/>
    </row>
    <row r="98" spans="2:18">
      <c r="B98" s="5"/>
      <c r="C98" s="259"/>
      <c r="D98" s="247"/>
      <c r="E98" s="247"/>
      <c r="F98" s="247"/>
      <c r="G98" s="247"/>
      <c r="H98" s="247"/>
      <c r="I98" s="248"/>
      <c r="J98" s="247"/>
      <c r="K98" s="247"/>
      <c r="L98" s="247"/>
      <c r="M98" s="247"/>
      <c r="N98" s="247"/>
      <c r="O98" s="248"/>
      <c r="Q98" s="5"/>
      <c r="R98" s="5"/>
    </row>
    <row r="99" spans="2:18">
      <c r="B99" s="41"/>
      <c r="C99" s="249"/>
      <c r="D99" s="249"/>
      <c r="E99" s="249"/>
      <c r="F99" s="249"/>
      <c r="G99" s="249"/>
      <c r="H99" s="249"/>
      <c r="I99" s="5"/>
      <c r="J99" s="249"/>
      <c r="K99" s="249"/>
      <c r="L99" s="249"/>
      <c r="M99" s="249"/>
      <c r="N99" s="249"/>
      <c r="O99" s="248"/>
      <c r="Q99" s="5"/>
      <c r="R99" s="5"/>
    </row>
    <row r="100" spans="2:18">
      <c r="B100" s="41"/>
      <c r="C100" s="257"/>
      <c r="D100" s="248"/>
      <c r="E100" s="248"/>
      <c r="F100" s="248"/>
      <c r="G100" s="248"/>
      <c r="H100" s="248"/>
      <c r="I100" s="259"/>
      <c r="J100" s="248"/>
      <c r="K100" s="248"/>
      <c r="L100" s="248"/>
      <c r="M100" s="248"/>
      <c r="N100" s="248"/>
      <c r="O100" s="248"/>
      <c r="Q100" s="5"/>
      <c r="R100" s="5"/>
    </row>
    <row r="101" spans="2:18" s="5" customFormat="1">
      <c r="B101" s="41"/>
      <c r="I101" s="259"/>
      <c r="O101" s="248"/>
      <c r="P101" s="39"/>
    </row>
    <row r="102" spans="2:18">
      <c r="B102" s="5"/>
      <c r="C102" s="259"/>
      <c r="D102" s="259"/>
      <c r="E102" s="259"/>
      <c r="F102" s="259"/>
      <c r="G102" s="259"/>
      <c r="H102" s="259"/>
      <c r="I102" s="247"/>
      <c r="J102" s="259"/>
      <c r="K102" s="259"/>
      <c r="L102" s="259"/>
      <c r="M102" s="259"/>
      <c r="N102" s="259"/>
      <c r="O102" s="5"/>
      <c r="Q102" s="5"/>
      <c r="R102" s="5"/>
    </row>
    <row r="103" spans="2:18">
      <c r="B103" s="5"/>
      <c r="C103" s="259"/>
      <c r="D103" s="259"/>
      <c r="E103" s="259"/>
      <c r="F103" s="259"/>
      <c r="G103" s="259"/>
      <c r="H103" s="259"/>
      <c r="I103" s="5"/>
      <c r="J103" s="259"/>
      <c r="K103" s="259"/>
      <c r="L103" s="259"/>
      <c r="M103" s="259"/>
      <c r="N103" s="259"/>
      <c r="O103" s="5"/>
      <c r="P103" s="5"/>
      <c r="Q103" s="5"/>
      <c r="R103" s="5"/>
    </row>
    <row r="104" spans="2:18">
      <c r="B104" s="5"/>
      <c r="C104" s="247"/>
      <c r="D104" s="247"/>
      <c r="E104" s="247"/>
      <c r="F104" s="247"/>
      <c r="G104" s="247"/>
      <c r="H104" s="247"/>
      <c r="I104" s="247"/>
      <c r="J104" s="247"/>
      <c r="K104" s="247"/>
      <c r="L104" s="247"/>
      <c r="M104" s="247"/>
      <c r="N104" s="247"/>
      <c r="O104" s="5"/>
      <c r="Q104" s="5"/>
      <c r="R104" s="5"/>
    </row>
    <row r="105" spans="2:18" s="5" customFormat="1">
      <c r="P105" s="39"/>
    </row>
    <row r="106" spans="2:18" s="5" customFormat="1">
      <c r="C106" s="259"/>
      <c r="D106" s="247"/>
      <c r="E106" s="247"/>
      <c r="F106" s="247"/>
      <c r="G106" s="247"/>
      <c r="H106" s="247"/>
      <c r="I106" s="259"/>
      <c r="J106" s="247"/>
      <c r="K106" s="247"/>
      <c r="L106" s="247"/>
      <c r="M106" s="247"/>
      <c r="N106" s="247"/>
      <c r="P106" s="39"/>
    </row>
    <row r="107" spans="2:18">
      <c r="B107" s="5"/>
      <c r="C107" s="259"/>
      <c r="D107" s="5"/>
      <c r="E107" s="5"/>
      <c r="F107" s="5"/>
      <c r="G107" s="5"/>
      <c r="H107" s="5"/>
      <c r="I107" s="247"/>
      <c r="J107" s="5"/>
      <c r="K107" s="5"/>
      <c r="L107" s="5"/>
      <c r="M107" s="5"/>
      <c r="N107" s="5"/>
      <c r="O107" s="5"/>
      <c r="P107" s="5"/>
      <c r="Q107" s="5"/>
      <c r="R107" s="5"/>
    </row>
    <row r="108" spans="2:18">
      <c r="B108" s="5"/>
      <c r="C108" s="259"/>
      <c r="D108" s="259"/>
      <c r="E108" s="259"/>
      <c r="F108" s="259"/>
      <c r="G108" s="259"/>
      <c r="H108" s="259"/>
      <c r="I108" s="249"/>
      <c r="J108" s="259"/>
      <c r="K108" s="259"/>
      <c r="L108" s="259"/>
      <c r="M108" s="259"/>
      <c r="N108" s="259"/>
      <c r="O108" s="5"/>
      <c r="P108" s="5"/>
      <c r="Q108" s="5"/>
      <c r="R108" s="5"/>
    </row>
    <row r="109" spans="2:18">
      <c r="B109" s="5"/>
      <c r="C109" s="247"/>
      <c r="D109" s="247"/>
      <c r="E109" s="247"/>
      <c r="F109" s="247"/>
      <c r="G109" s="247"/>
      <c r="H109" s="247"/>
      <c r="I109" s="249"/>
      <c r="J109" s="247"/>
      <c r="K109" s="247"/>
      <c r="L109" s="247"/>
      <c r="M109" s="247"/>
      <c r="N109" s="247"/>
      <c r="O109" s="5"/>
      <c r="Q109" s="5"/>
      <c r="R109" s="5"/>
    </row>
    <row r="110" spans="2:18">
      <c r="B110" s="41"/>
      <c r="C110" s="249"/>
      <c r="D110" s="249"/>
      <c r="E110" s="249"/>
      <c r="F110" s="249"/>
      <c r="G110" s="249"/>
      <c r="H110" s="249"/>
      <c r="I110" s="247"/>
      <c r="J110" s="249"/>
      <c r="K110" s="249"/>
      <c r="L110" s="249"/>
      <c r="M110" s="249"/>
      <c r="N110" s="249"/>
      <c r="O110" s="5"/>
      <c r="Q110" s="5"/>
      <c r="R110" s="5"/>
    </row>
    <row r="111" spans="2:18">
      <c r="B111" s="5"/>
      <c r="C111" s="249"/>
      <c r="D111" s="249"/>
      <c r="E111" s="249"/>
      <c r="F111" s="249"/>
      <c r="G111" s="249"/>
      <c r="H111" s="249"/>
      <c r="I111" s="5"/>
      <c r="J111" s="249"/>
      <c r="K111" s="249"/>
      <c r="L111" s="249"/>
      <c r="M111" s="249"/>
      <c r="N111" s="249"/>
      <c r="O111" s="5"/>
      <c r="Q111" s="5"/>
      <c r="R111" s="5"/>
    </row>
    <row r="112" spans="2:18">
      <c r="B112" s="5"/>
      <c r="C112" s="247"/>
      <c r="D112" s="247"/>
      <c r="E112" s="247"/>
      <c r="F112" s="247"/>
      <c r="G112" s="247"/>
      <c r="H112" s="247"/>
      <c r="I112" s="5"/>
      <c r="J112" s="247"/>
      <c r="K112" s="247"/>
      <c r="L112" s="247"/>
      <c r="M112" s="247"/>
      <c r="N112" s="247"/>
      <c r="O112" s="5"/>
      <c r="Q112" s="5"/>
      <c r="R112" s="5"/>
    </row>
    <row r="113" spans="2:18">
      <c r="B113" s="5"/>
      <c r="C113" s="5"/>
      <c r="D113" s="5"/>
      <c r="E113" s="5"/>
      <c r="F113" s="5"/>
      <c r="G113" s="5"/>
      <c r="H113" s="5"/>
      <c r="I113" s="5"/>
      <c r="J113" s="5"/>
      <c r="K113" s="5"/>
      <c r="L113" s="5"/>
      <c r="M113" s="5"/>
      <c r="N113" s="5"/>
      <c r="O113" s="5"/>
      <c r="Q113" s="5"/>
      <c r="R113" s="5"/>
    </row>
    <row r="114" spans="2:18">
      <c r="B114" s="5"/>
      <c r="C114" s="5"/>
      <c r="D114" s="5"/>
      <c r="E114" s="5"/>
      <c r="F114" s="5"/>
      <c r="G114" s="5"/>
      <c r="H114" s="5"/>
      <c r="I114" s="5"/>
      <c r="J114" s="5"/>
      <c r="K114" s="5"/>
      <c r="L114" s="5"/>
      <c r="M114" s="5"/>
      <c r="N114" s="5"/>
      <c r="O114" s="5"/>
      <c r="Q114" s="5"/>
      <c r="R114" s="5"/>
    </row>
    <row r="115" spans="2:18">
      <c r="B115" s="5"/>
      <c r="C115" s="5"/>
      <c r="D115" s="5"/>
      <c r="E115" s="5"/>
      <c r="F115" s="5"/>
      <c r="G115" s="5"/>
      <c r="H115" s="5"/>
      <c r="I115" s="49"/>
      <c r="J115" s="5"/>
      <c r="K115" s="5"/>
      <c r="L115" s="5"/>
      <c r="M115" s="5"/>
      <c r="N115" s="5"/>
      <c r="O115" s="5"/>
      <c r="Q115" s="41"/>
      <c r="R115" s="5"/>
    </row>
    <row r="116" spans="2:18">
      <c r="B116" s="5"/>
      <c r="C116" s="5"/>
      <c r="D116" s="5"/>
      <c r="E116" s="5"/>
      <c r="F116" s="5"/>
      <c r="G116" s="5"/>
      <c r="H116" s="5"/>
      <c r="I116" s="5"/>
      <c r="J116" s="5"/>
      <c r="K116" s="5"/>
      <c r="L116" s="5"/>
      <c r="M116" s="5"/>
      <c r="N116" s="5"/>
      <c r="O116" s="5"/>
      <c r="Q116" s="5"/>
      <c r="R116" s="5"/>
    </row>
    <row r="117" spans="2:18">
      <c r="B117" s="41"/>
      <c r="C117" s="49"/>
      <c r="D117" s="49"/>
      <c r="E117" s="49"/>
      <c r="F117" s="49"/>
      <c r="G117" s="49"/>
      <c r="H117" s="49"/>
      <c r="I117" s="254"/>
      <c r="J117" s="49"/>
      <c r="K117" s="49"/>
      <c r="L117" s="49"/>
      <c r="M117" s="49"/>
      <c r="N117" s="49"/>
      <c r="O117" s="49"/>
      <c r="Q117" s="5"/>
      <c r="R117" s="5"/>
    </row>
    <row r="118" spans="2:18">
      <c r="B118" s="5"/>
      <c r="C118" s="5"/>
      <c r="D118" s="5"/>
      <c r="E118" s="5"/>
      <c r="F118" s="5"/>
      <c r="G118" s="5"/>
      <c r="H118" s="5"/>
      <c r="I118" s="249"/>
      <c r="J118" s="5"/>
      <c r="K118" s="5"/>
      <c r="L118" s="5"/>
      <c r="M118" s="5"/>
      <c r="N118" s="5"/>
      <c r="O118" s="5"/>
      <c r="Q118" s="5"/>
      <c r="R118" s="5"/>
    </row>
    <row r="119" spans="2:18">
      <c r="B119" s="41"/>
      <c r="C119" s="254"/>
      <c r="D119" s="254"/>
      <c r="E119" s="254"/>
      <c r="F119" s="254"/>
      <c r="G119" s="254"/>
      <c r="H119" s="254"/>
      <c r="I119" s="254"/>
      <c r="J119" s="254"/>
      <c r="K119" s="254"/>
      <c r="L119" s="254"/>
      <c r="M119" s="254"/>
      <c r="N119" s="254"/>
      <c r="O119" s="248"/>
      <c r="Q119" s="5"/>
      <c r="R119" s="5"/>
    </row>
    <row r="120" spans="2:18">
      <c r="B120" s="41"/>
      <c r="C120" s="254"/>
      <c r="D120" s="249"/>
      <c r="E120" s="249"/>
      <c r="F120" s="249"/>
      <c r="G120" s="249"/>
      <c r="H120" s="249"/>
      <c r="I120" s="254"/>
      <c r="J120" s="249"/>
      <c r="K120" s="249"/>
      <c r="L120" s="249"/>
      <c r="M120" s="249"/>
      <c r="N120" s="249"/>
      <c r="O120" s="248"/>
      <c r="Q120" s="5"/>
      <c r="R120" s="5"/>
    </row>
    <row r="121" spans="2:18">
      <c r="B121" s="41"/>
      <c r="C121" s="254"/>
      <c r="D121" s="254"/>
      <c r="E121" s="254"/>
      <c r="F121" s="254"/>
      <c r="G121" s="254"/>
      <c r="H121" s="254"/>
      <c r="I121" s="254"/>
      <c r="J121" s="254"/>
      <c r="K121" s="254"/>
      <c r="L121" s="254"/>
      <c r="M121" s="254"/>
      <c r="N121" s="254"/>
      <c r="O121" s="248"/>
      <c r="Q121" s="5"/>
      <c r="R121" s="5"/>
    </row>
    <row r="122" spans="2:18">
      <c r="B122" s="41"/>
      <c r="C122" s="254"/>
      <c r="D122" s="254"/>
      <c r="E122" s="254"/>
      <c r="F122" s="254"/>
      <c r="G122" s="254"/>
      <c r="H122" s="254"/>
      <c r="I122" s="254"/>
      <c r="J122" s="254"/>
      <c r="K122" s="254"/>
      <c r="L122" s="254"/>
      <c r="M122" s="254"/>
      <c r="N122" s="254"/>
      <c r="O122" s="248"/>
      <c r="Q122" s="5"/>
      <c r="R122" s="5"/>
    </row>
    <row r="123" spans="2:18">
      <c r="B123" s="41"/>
      <c r="C123" s="254"/>
      <c r="D123" s="254"/>
      <c r="E123" s="254"/>
      <c r="F123" s="254"/>
      <c r="G123" s="254"/>
      <c r="H123" s="254"/>
      <c r="I123" s="254"/>
      <c r="J123" s="254"/>
      <c r="K123" s="254"/>
      <c r="L123" s="254"/>
      <c r="M123" s="254"/>
      <c r="N123" s="254"/>
      <c r="O123" s="248"/>
      <c r="Q123" s="5"/>
      <c r="R123" s="5"/>
    </row>
    <row r="124" spans="2:18">
      <c r="B124" s="41"/>
      <c r="C124" s="254"/>
      <c r="D124" s="254"/>
      <c r="E124" s="254"/>
      <c r="F124" s="254"/>
      <c r="G124" s="254"/>
      <c r="H124" s="254"/>
      <c r="I124" s="254"/>
      <c r="J124" s="254"/>
      <c r="K124" s="254"/>
      <c r="L124" s="254"/>
      <c r="M124" s="254"/>
      <c r="N124" s="254"/>
      <c r="O124" s="248"/>
      <c r="Q124" s="5"/>
      <c r="R124" s="5"/>
    </row>
    <row r="125" spans="2:18">
      <c r="B125" s="41"/>
      <c r="C125" s="254"/>
      <c r="D125" s="254"/>
      <c r="E125" s="254"/>
      <c r="F125" s="254"/>
      <c r="G125" s="254"/>
      <c r="H125" s="254"/>
      <c r="I125" s="254"/>
      <c r="J125" s="254"/>
      <c r="K125" s="254"/>
      <c r="L125" s="254"/>
      <c r="M125" s="254"/>
      <c r="N125" s="254"/>
      <c r="O125" s="5"/>
      <c r="Q125" s="5"/>
      <c r="R125" s="5"/>
    </row>
    <row r="126" spans="2:18">
      <c r="B126" s="41"/>
      <c r="C126" s="254"/>
      <c r="D126" s="254"/>
      <c r="E126" s="254"/>
      <c r="F126" s="254"/>
      <c r="G126" s="254"/>
      <c r="H126" s="254"/>
      <c r="I126" s="254"/>
      <c r="J126" s="254"/>
      <c r="K126" s="254"/>
      <c r="L126" s="254"/>
      <c r="M126" s="254"/>
      <c r="N126" s="254"/>
      <c r="O126" s="5"/>
      <c r="Q126" s="5"/>
      <c r="R126" s="5"/>
    </row>
    <row r="127" spans="2:18">
      <c r="B127" s="41"/>
      <c r="C127" s="254"/>
      <c r="D127" s="254"/>
      <c r="E127" s="254"/>
      <c r="F127" s="254"/>
      <c r="G127" s="254"/>
      <c r="H127" s="254"/>
      <c r="I127" s="18"/>
      <c r="J127" s="254"/>
      <c r="K127" s="254"/>
      <c r="L127" s="254"/>
      <c r="M127" s="254"/>
      <c r="N127" s="254"/>
      <c r="O127" s="5"/>
      <c r="Q127" s="5"/>
      <c r="R127" s="5"/>
    </row>
    <row r="128" spans="2:18">
      <c r="B128" s="41"/>
      <c r="C128" s="254"/>
      <c r="D128" s="254"/>
      <c r="E128" s="254"/>
      <c r="F128" s="254"/>
      <c r="G128" s="254"/>
      <c r="H128" s="254"/>
      <c r="I128" s="5"/>
      <c r="J128" s="254"/>
      <c r="K128" s="254"/>
      <c r="L128" s="254"/>
      <c r="M128" s="254"/>
      <c r="N128" s="254"/>
      <c r="O128" s="5"/>
      <c r="Q128" s="5"/>
      <c r="R128" s="5"/>
    </row>
    <row r="129" spans="2:27">
      <c r="B129" s="5"/>
      <c r="C129" s="5"/>
      <c r="D129" s="18"/>
      <c r="E129" s="18"/>
      <c r="F129" s="18"/>
      <c r="G129" s="18"/>
      <c r="H129" s="18"/>
      <c r="I129" s="254"/>
      <c r="J129" s="18"/>
      <c r="K129" s="18"/>
      <c r="L129" s="18"/>
      <c r="M129" s="18"/>
      <c r="N129" s="18"/>
      <c r="O129" s="5"/>
      <c r="Q129" s="5"/>
      <c r="R129" s="5"/>
    </row>
    <row r="130" spans="2:27">
      <c r="B130" s="5"/>
      <c r="C130" s="5"/>
      <c r="D130" s="5"/>
      <c r="E130" s="5"/>
      <c r="F130" s="5"/>
      <c r="G130" s="5"/>
      <c r="H130" s="5"/>
      <c r="I130" s="18"/>
      <c r="J130" s="5"/>
      <c r="K130" s="5"/>
      <c r="L130" s="5"/>
      <c r="M130" s="5"/>
      <c r="N130" s="5"/>
      <c r="O130" s="5"/>
      <c r="Q130" s="5"/>
      <c r="R130" s="5"/>
    </row>
    <row r="131" spans="2:27">
      <c r="B131" s="41"/>
      <c r="C131" s="254"/>
      <c r="D131" s="254"/>
      <c r="E131" s="254"/>
      <c r="F131" s="254"/>
      <c r="G131" s="254"/>
      <c r="H131" s="254"/>
      <c r="I131" s="5"/>
      <c r="J131" s="254"/>
      <c r="K131" s="254"/>
      <c r="L131" s="254"/>
      <c r="M131" s="254"/>
      <c r="N131" s="254"/>
      <c r="O131" s="5"/>
      <c r="Q131" s="5"/>
      <c r="R131" s="5"/>
    </row>
    <row r="132" spans="2:27">
      <c r="B132" s="5"/>
      <c r="C132" s="259"/>
      <c r="D132" s="18"/>
      <c r="E132" s="18"/>
      <c r="F132" s="18"/>
      <c r="G132" s="18"/>
      <c r="H132" s="18"/>
      <c r="I132" s="5"/>
      <c r="J132" s="18"/>
      <c r="K132" s="18"/>
      <c r="L132" s="18"/>
      <c r="M132" s="18"/>
      <c r="N132" s="18"/>
      <c r="O132" s="5"/>
      <c r="Q132" s="5"/>
      <c r="R132" s="5"/>
    </row>
    <row r="133" spans="2:27">
      <c r="B133" s="5"/>
      <c r="C133" s="5"/>
      <c r="D133" s="5"/>
      <c r="E133" s="5"/>
      <c r="F133" s="5"/>
      <c r="G133" s="5"/>
      <c r="H133" s="5"/>
      <c r="I133" s="17"/>
      <c r="J133" s="5"/>
      <c r="K133" s="5"/>
      <c r="L133" s="5"/>
      <c r="M133" s="5"/>
      <c r="N133" s="5"/>
      <c r="O133" s="5"/>
      <c r="Q133" s="5"/>
      <c r="R133" s="5"/>
    </row>
    <row r="134" spans="2:27">
      <c r="B134" s="41"/>
      <c r="C134" s="5"/>
      <c r="D134" s="5"/>
      <c r="E134" s="5"/>
      <c r="F134" s="5"/>
      <c r="G134" s="5"/>
      <c r="H134" s="5"/>
      <c r="I134" s="17"/>
      <c r="J134" s="5"/>
      <c r="K134" s="5"/>
      <c r="L134" s="5"/>
      <c r="M134" s="5"/>
      <c r="N134" s="5"/>
      <c r="O134" s="5"/>
      <c r="Q134" s="5"/>
      <c r="R134" s="5"/>
    </row>
    <row r="135" spans="2:27">
      <c r="B135" s="5"/>
      <c r="C135" s="17"/>
      <c r="D135" s="17"/>
      <c r="E135" s="17"/>
      <c r="F135" s="17"/>
      <c r="G135" s="17"/>
      <c r="H135" s="17"/>
      <c r="I135" s="17"/>
      <c r="J135" s="17"/>
      <c r="K135" s="17"/>
      <c r="L135" s="17"/>
      <c r="M135" s="17"/>
      <c r="N135" s="17"/>
      <c r="O135" s="5"/>
      <c r="Q135" s="41"/>
      <c r="R135" s="5"/>
    </row>
    <row r="136" spans="2:27">
      <c r="B136" s="5"/>
      <c r="C136" s="17"/>
      <c r="D136" s="17"/>
      <c r="E136" s="17"/>
      <c r="F136" s="17"/>
      <c r="G136" s="17"/>
      <c r="H136" s="17"/>
      <c r="I136" s="17"/>
      <c r="J136" s="17"/>
      <c r="K136" s="17"/>
      <c r="L136" s="17"/>
      <c r="M136" s="17"/>
      <c r="N136" s="17"/>
      <c r="O136" s="5"/>
      <c r="Q136" s="5"/>
      <c r="R136" s="5"/>
      <c r="X136" s="304"/>
    </row>
    <row r="137" spans="2:27">
      <c r="B137" s="5"/>
      <c r="C137" s="5"/>
      <c r="D137" s="17"/>
      <c r="E137" s="17"/>
      <c r="F137" s="17"/>
      <c r="G137" s="17"/>
      <c r="H137" s="17"/>
      <c r="I137" s="17"/>
      <c r="J137" s="17"/>
      <c r="K137" s="17"/>
      <c r="L137" s="17"/>
      <c r="M137" s="17"/>
      <c r="N137" s="17"/>
      <c r="O137" s="5"/>
      <c r="Q137" s="5"/>
      <c r="R137" s="5"/>
      <c r="X137" s="10"/>
      <c r="Y137" s="304"/>
      <c r="Z137" s="304"/>
      <c r="AA137" s="304"/>
    </row>
    <row r="138" spans="2:27">
      <c r="B138" s="5"/>
      <c r="C138" s="5"/>
      <c r="D138" s="17"/>
      <c r="E138" s="17"/>
      <c r="F138" s="17"/>
      <c r="G138" s="17"/>
      <c r="H138" s="17"/>
      <c r="I138" s="17"/>
      <c r="J138" s="17"/>
      <c r="K138" s="17"/>
      <c r="L138" s="17"/>
      <c r="M138" s="17"/>
      <c r="N138" s="17"/>
      <c r="O138" s="5"/>
      <c r="Q138" s="5"/>
      <c r="R138" s="5"/>
      <c r="Y138" s="10"/>
      <c r="Z138" s="10"/>
      <c r="AA138" s="10"/>
    </row>
    <row r="139" spans="2:27">
      <c r="B139" s="5"/>
      <c r="C139" s="5"/>
      <c r="D139" s="17"/>
      <c r="E139" s="17"/>
      <c r="F139" s="17"/>
      <c r="G139" s="17"/>
      <c r="H139" s="17"/>
      <c r="I139" s="5"/>
      <c r="J139" s="17"/>
      <c r="K139" s="17"/>
      <c r="L139" s="17"/>
      <c r="M139" s="17"/>
      <c r="N139" s="17"/>
      <c r="O139" s="5"/>
      <c r="Q139" s="5"/>
      <c r="R139" s="5"/>
    </row>
    <row r="140" spans="2:27">
      <c r="B140" s="5"/>
      <c r="C140" s="17"/>
      <c r="D140" s="17"/>
      <c r="E140" s="17"/>
      <c r="F140" s="17"/>
      <c r="G140" s="17"/>
      <c r="H140" s="17"/>
      <c r="I140" s="5"/>
      <c r="J140" s="17"/>
      <c r="K140" s="17"/>
      <c r="L140" s="17"/>
      <c r="M140" s="17"/>
      <c r="N140" s="17"/>
      <c r="O140" s="5"/>
      <c r="Q140" s="5"/>
      <c r="R140" s="5"/>
    </row>
    <row r="141" spans="2:27">
      <c r="B141" s="5"/>
      <c r="C141" s="5"/>
      <c r="D141" s="5"/>
      <c r="E141" s="5"/>
      <c r="F141" s="5"/>
      <c r="G141" s="5"/>
      <c r="H141" s="5"/>
      <c r="I141" s="5"/>
      <c r="J141" s="5"/>
      <c r="K141" s="5"/>
      <c r="L141" s="5"/>
      <c r="M141" s="5"/>
      <c r="N141" s="5"/>
      <c r="O141" s="5"/>
      <c r="Q141" s="5"/>
      <c r="R141" s="5"/>
    </row>
    <row r="142" spans="2:27">
      <c r="B142" s="5"/>
      <c r="C142" s="5"/>
      <c r="D142" s="5"/>
      <c r="E142" s="5"/>
      <c r="F142" s="5"/>
      <c r="G142" s="5"/>
      <c r="H142" s="5"/>
      <c r="I142" s="5"/>
      <c r="J142" s="5"/>
      <c r="K142" s="5"/>
      <c r="L142" s="5"/>
      <c r="M142" s="5"/>
      <c r="N142" s="5"/>
      <c r="O142" s="5"/>
      <c r="Q142" s="5"/>
      <c r="R142" s="5"/>
    </row>
    <row r="143" spans="2:27">
      <c r="B143" s="5"/>
      <c r="C143" s="5"/>
      <c r="D143" s="5"/>
      <c r="E143" s="5"/>
      <c r="F143" s="5"/>
      <c r="G143" s="5"/>
      <c r="H143" s="5"/>
      <c r="I143" s="5"/>
      <c r="J143" s="5"/>
      <c r="K143" s="5"/>
      <c r="L143" s="5"/>
      <c r="M143" s="5"/>
      <c r="N143" s="5"/>
      <c r="O143" s="5"/>
      <c r="Q143" s="5"/>
      <c r="R143" s="5"/>
    </row>
    <row r="144" spans="2:27">
      <c r="B144" s="5"/>
      <c r="C144" s="5"/>
      <c r="D144" s="5"/>
      <c r="E144" s="5"/>
      <c r="F144" s="5"/>
      <c r="G144" s="5"/>
      <c r="H144" s="5"/>
      <c r="I144" s="5"/>
      <c r="J144" s="5"/>
      <c r="K144" s="5"/>
      <c r="L144" s="5"/>
      <c r="M144" s="5"/>
      <c r="N144" s="5"/>
      <c r="O144" s="5"/>
      <c r="Q144" s="5"/>
      <c r="R144" s="5"/>
    </row>
    <row r="145" spans="2:18">
      <c r="B145" s="5"/>
      <c r="C145" s="5"/>
      <c r="D145" s="5"/>
      <c r="E145" s="5"/>
      <c r="F145" s="5"/>
      <c r="G145" s="5"/>
      <c r="H145" s="5"/>
      <c r="I145" s="5"/>
      <c r="J145" s="5"/>
      <c r="K145" s="5"/>
      <c r="L145" s="5"/>
      <c r="M145" s="5"/>
      <c r="N145" s="5"/>
      <c r="O145" s="5"/>
      <c r="Q145" s="5"/>
      <c r="R145" s="5"/>
    </row>
    <row r="146" spans="2:18">
      <c r="B146" s="5"/>
      <c r="C146" s="5"/>
      <c r="D146" s="5"/>
      <c r="E146" s="5"/>
      <c r="F146" s="5"/>
      <c r="G146" s="5"/>
      <c r="H146" s="5"/>
      <c r="I146" s="5"/>
      <c r="J146" s="5"/>
      <c r="K146" s="5"/>
      <c r="L146" s="5"/>
      <c r="M146" s="5"/>
      <c r="N146" s="5"/>
      <c r="O146" s="5"/>
      <c r="Q146" s="5"/>
      <c r="R146" s="5"/>
    </row>
    <row r="147" spans="2:18">
      <c r="B147" s="5"/>
      <c r="C147" s="5"/>
      <c r="D147" s="5"/>
      <c r="E147" s="5"/>
      <c r="F147" s="5"/>
      <c r="G147" s="5"/>
      <c r="H147" s="5"/>
      <c r="I147" s="5"/>
      <c r="J147" s="5"/>
      <c r="K147" s="5"/>
      <c r="L147" s="5"/>
      <c r="M147" s="5"/>
      <c r="N147" s="5"/>
      <c r="O147" s="5"/>
      <c r="Q147" s="5"/>
      <c r="R147" s="5"/>
    </row>
    <row r="148" spans="2:18">
      <c r="B148" s="5"/>
      <c r="C148" s="5"/>
      <c r="D148" s="5"/>
      <c r="E148" s="5"/>
      <c r="F148" s="5"/>
      <c r="G148" s="5"/>
      <c r="H148" s="5"/>
      <c r="I148" s="5"/>
      <c r="J148" s="5"/>
      <c r="K148" s="5"/>
      <c r="L148" s="5"/>
      <c r="M148" s="5"/>
      <c r="N148" s="5"/>
      <c r="O148" s="5"/>
      <c r="Q148" s="5"/>
      <c r="R148" s="5"/>
    </row>
    <row r="149" spans="2:18">
      <c r="B149" s="5"/>
      <c r="C149" s="5"/>
      <c r="D149" s="5"/>
      <c r="E149" s="5"/>
      <c r="F149" s="5"/>
      <c r="G149" s="5"/>
      <c r="H149" s="5"/>
      <c r="J149" s="5"/>
      <c r="K149" s="5"/>
      <c r="L149" s="5"/>
      <c r="M149" s="5"/>
      <c r="N149" s="5"/>
      <c r="O149" s="5"/>
      <c r="Q149" s="5"/>
      <c r="R149" s="5"/>
    </row>
    <row r="150" spans="2:18">
      <c r="B150" s="5"/>
      <c r="C150" s="5"/>
      <c r="D150" s="5"/>
      <c r="E150" s="5"/>
      <c r="F150" s="5"/>
      <c r="G150" s="5"/>
      <c r="H150" s="5"/>
      <c r="J150" s="5"/>
      <c r="K150" s="5"/>
      <c r="L150" s="5"/>
      <c r="M150" s="5"/>
      <c r="N150" s="5"/>
      <c r="O150" s="5"/>
      <c r="Q150" s="5"/>
      <c r="R150" s="5"/>
    </row>
    <row r="151" spans="2:18">
      <c r="Q151" s="5"/>
      <c r="R151" s="5"/>
    </row>
    <row r="152" spans="2:18">
      <c r="Q152" s="5"/>
      <c r="R152" s="5"/>
    </row>
    <row r="153" spans="2:18">
      <c r="C153" s="263"/>
      <c r="Q153" s="5"/>
      <c r="R153" s="5"/>
    </row>
    <row r="154" spans="2:18">
      <c r="Q154" s="5"/>
      <c r="R154" s="5"/>
    </row>
    <row r="155" spans="2:18">
      <c r="Q155" s="5"/>
      <c r="R155" s="5"/>
    </row>
    <row r="156" spans="2:18">
      <c r="Q156" s="5"/>
      <c r="R156" s="5"/>
    </row>
    <row r="157" spans="2:18">
      <c r="Q157" s="5"/>
      <c r="R157" s="5"/>
    </row>
    <row r="158" spans="2:18">
      <c r="Q158" s="5"/>
      <c r="R158" s="5"/>
    </row>
    <row r="159" spans="2:18">
      <c r="Q159" s="5"/>
      <c r="R159" s="5"/>
    </row>
    <row r="160" spans="2:18">
      <c r="Q160" s="5"/>
      <c r="R160" s="5"/>
    </row>
    <row r="161" spans="17:18">
      <c r="Q161" s="5"/>
      <c r="R161" s="5"/>
    </row>
    <row r="162" spans="17:18">
      <c r="Q162" s="5"/>
      <c r="R162" s="5"/>
    </row>
    <row r="163" spans="17:18">
      <c r="Q163" s="5"/>
      <c r="R163" s="5"/>
    </row>
    <row r="164" spans="17:18">
      <c r="Q164" s="5"/>
      <c r="R164" s="5"/>
    </row>
    <row r="165" spans="17:18">
      <c r="Q165" s="5"/>
      <c r="R165" s="5"/>
    </row>
  </sheetData>
  <pageMargins left="0.75" right="0.75" top="1" bottom="1" header="0.5" footer="0.5"/>
  <pageSetup scale="71" orientation="landscape"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24B7C0-A85E-4188-8ACF-C86B6B6ACE46}">
  <sheetPr codeName="Sheet100">
    <pageSetUpPr fitToPage="1"/>
  </sheetPr>
  <dimension ref="B1:AA165"/>
  <sheetViews>
    <sheetView showGridLines="0" zoomScale="80" zoomScaleNormal="80" zoomScaleSheetLayoutView="80" workbookViewId="0"/>
  </sheetViews>
  <sheetFormatPr defaultColWidth="9.109375" defaultRowHeight="12"/>
  <cols>
    <col min="1" max="1" width="2.33203125" style="39" customWidth="1"/>
    <col min="2" max="2" width="26.5546875" style="39" customWidth="1"/>
    <col min="3" max="9" width="10" style="39" customWidth="1"/>
    <col min="10" max="10" width="26.6640625" style="39" customWidth="1"/>
    <col min="11" max="16" width="10" style="39" customWidth="1"/>
    <col min="17" max="19" width="8.6640625" style="39" customWidth="1"/>
    <col min="20" max="27" width="8.6640625" style="5" customWidth="1"/>
    <col min="28" max="28" width="8.6640625" style="39" customWidth="1"/>
    <col min="29" max="16384" width="9.109375" style="39"/>
  </cols>
  <sheetData>
    <row r="1" spans="2:27" s="312" customFormat="1">
      <c r="T1" s="149"/>
      <c r="U1" s="149"/>
      <c r="V1" s="149"/>
      <c r="W1" s="149"/>
      <c r="X1" s="149"/>
      <c r="Y1" s="149"/>
      <c r="Z1" s="149"/>
      <c r="AA1" s="149"/>
    </row>
    <row r="2" spans="2:27" s="149" customFormat="1"/>
    <row r="3" spans="2:27" s="149" customFormat="1">
      <c r="H3" s="153"/>
      <c r="P3" s="153"/>
    </row>
    <row r="4" spans="2:27" s="156" customFormat="1" ht="21">
      <c r="B4" s="129" t="s">
        <v>1084</v>
      </c>
      <c r="H4" s="153"/>
      <c r="P4" s="222"/>
    </row>
    <row r="5" spans="2:27" s="149" customFormat="1">
      <c r="C5" s="153"/>
      <c r="D5" s="611" t="s">
        <v>1449</v>
      </c>
      <c r="E5" s="611" t="s">
        <v>1450</v>
      </c>
      <c r="F5" s="611" t="s">
        <v>1451</v>
      </c>
      <c r="G5" s="611" t="s">
        <v>1562</v>
      </c>
      <c r="H5" s="611" t="s">
        <v>1563</v>
      </c>
      <c r="I5" s="153"/>
      <c r="J5" s="153"/>
      <c r="K5" s="153"/>
      <c r="L5" s="153" t="str" cm="1">
        <f t="array" ref="L5:P5">headings</f>
        <v>2023E</v>
      </c>
      <c r="M5" s="153" t="str">
        <v>2024E</v>
      </c>
      <c r="N5" s="153" t="str">
        <v>2025E</v>
      </c>
      <c r="O5" s="153" t="str">
        <v>2026E</v>
      </c>
      <c r="P5" s="153" t="str">
        <v>23E-26E</v>
      </c>
      <c r="Q5" s="162"/>
      <c r="R5" s="162"/>
      <c r="S5" s="162"/>
      <c r="T5" s="162"/>
      <c r="U5" s="162"/>
      <c r="V5" s="162"/>
      <c r="W5" s="162"/>
      <c r="X5" s="162"/>
      <c r="Y5" s="162"/>
    </row>
    <row r="6" spans="2:27">
      <c r="I6" s="5"/>
      <c r="J6" s="5"/>
      <c r="K6" s="5"/>
      <c r="L6" s="5"/>
      <c r="M6" s="5"/>
      <c r="N6" s="5"/>
      <c r="O6" s="49"/>
    </row>
    <row r="7" spans="2:27" ht="12.6" thickBot="1">
      <c r="B7" s="306" t="s">
        <v>271</v>
      </c>
      <c r="C7" s="265"/>
      <c r="D7" s="265" t="str">
        <f>D5</f>
        <v>2023E</v>
      </c>
      <c r="E7" s="265" t="str">
        <f t="shared" ref="E7:H7" si="0">E5</f>
        <v>2024E</v>
      </c>
      <c r="F7" s="265" t="str">
        <f t="shared" si="0"/>
        <v>2025E</v>
      </c>
      <c r="G7" s="265" t="str">
        <f t="shared" si="0"/>
        <v>2026E</v>
      </c>
      <c r="H7" s="265" t="str">
        <f t="shared" si="0"/>
        <v>23E-26E</v>
      </c>
      <c r="I7" s="49"/>
      <c r="J7" s="306" t="s">
        <v>380</v>
      </c>
      <c r="K7" s="306"/>
      <c r="L7" s="265" t="str">
        <f>L5</f>
        <v>2023E</v>
      </c>
      <c r="M7" s="265" t="str">
        <f t="shared" ref="M7:P7" si="1">M5</f>
        <v>2024E</v>
      </c>
      <c r="N7" s="265" t="str">
        <f t="shared" si="1"/>
        <v>2025E</v>
      </c>
      <c r="O7" s="265" t="str">
        <f t="shared" si="1"/>
        <v>2026E</v>
      </c>
      <c r="P7" s="265" t="str">
        <f t="shared" si="1"/>
        <v>23E-26E</v>
      </c>
    </row>
    <row r="8" spans="2:27" ht="12.6" thickTop="1">
      <c r="B8" s="5"/>
      <c r="C8" s="5"/>
      <c r="D8" s="5"/>
      <c r="E8" s="5"/>
      <c r="F8" s="5"/>
      <c r="G8" s="5"/>
      <c r="H8" s="5"/>
      <c r="I8" s="5"/>
      <c r="J8" s="5"/>
      <c r="K8" s="5"/>
      <c r="L8" s="5"/>
      <c r="M8" s="5"/>
      <c r="N8" s="5"/>
      <c r="S8" s="88"/>
      <c r="T8" s="42"/>
      <c r="U8" s="42"/>
      <c r="V8" s="42"/>
      <c r="W8" s="42"/>
      <c r="X8" s="42"/>
      <c r="Y8" s="42"/>
      <c r="Z8" s="42"/>
      <c r="AA8" s="42"/>
    </row>
    <row r="9" spans="2:27">
      <c r="B9" s="41" t="s">
        <v>117</v>
      </c>
      <c r="C9" s="287">
        <f>Prices!C108/Prices!C153</f>
        <v>1.5413584692807256</v>
      </c>
      <c r="D9" s="530">
        <v>0</v>
      </c>
      <c r="E9" s="530">
        <v>0</v>
      </c>
      <c r="F9" s="530">
        <v>0</v>
      </c>
      <c r="G9" s="530">
        <v>0</v>
      </c>
      <c r="H9" s="249"/>
      <c r="I9" s="249"/>
      <c r="J9" s="5" t="s">
        <v>273</v>
      </c>
      <c r="L9" s="529">
        <f>'EMEA CELLULAR'!D37</f>
        <v>3.0372013947638039</v>
      </c>
      <c r="M9" s="529">
        <f>'EMEA CELLULAR'!E37</f>
        <v>3.0765788213213532</v>
      </c>
      <c r="N9" s="529">
        <f>'EMEA CELLULAR'!F37</f>
        <v>2.7986180316483407</v>
      </c>
      <c r="O9" s="529">
        <f>'EMEA CELLULAR'!G37</f>
        <v>2.565989431468322</v>
      </c>
      <c r="P9" s="286">
        <f>'LATAM INCUMB'!H37</f>
        <v>3.2286309728766227E-2</v>
      </c>
      <c r="S9" s="88"/>
      <c r="T9" s="42"/>
      <c r="U9" s="42"/>
      <c r="V9" s="42"/>
      <c r="W9" s="42"/>
      <c r="X9" s="42"/>
      <c r="Y9" s="42"/>
      <c r="Z9" s="42"/>
      <c r="AA9" s="42"/>
    </row>
    <row r="10" spans="2:27">
      <c r="B10" s="5" t="s">
        <v>274</v>
      </c>
      <c r="C10" s="5"/>
      <c r="D10" s="531">
        <v>3752</v>
      </c>
      <c r="E10" s="531">
        <v>3674</v>
      </c>
      <c r="F10" s="531">
        <v>3674</v>
      </c>
      <c r="G10" s="531">
        <v>3674</v>
      </c>
      <c r="H10" s="249"/>
      <c r="I10" s="247"/>
      <c r="J10" s="5" t="s">
        <v>184</v>
      </c>
      <c r="L10" s="529">
        <f>'EMEA CELLULAR'!D38</f>
        <v>7.2238222733245729</v>
      </c>
      <c r="M10" s="529">
        <f>'EMEA CELLULAR'!E38</f>
        <v>7.4237558505709842</v>
      </c>
      <c r="N10" s="529">
        <f>'EMEA CELLULAR'!F38</f>
        <v>6.674196011969129</v>
      </c>
      <c r="O10" s="529">
        <f>'EMEA CELLULAR'!G38</f>
        <v>6.0998043636708204</v>
      </c>
      <c r="P10" s="286">
        <f>'LATAM INCUMB'!H38</f>
        <v>5.2545313573403529E-2</v>
      </c>
      <c r="S10" s="88"/>
      <c r="T10" s="42"/>
      <c r="U10" s="42"/>
      <c r="V10" s="42"/>
      <c r="W10" s="288"/>
      <c r="X10" s="288"/>
      <c r="Y10" s="288"/>
      <c r="Z10" s="288"/>
      <c r="AA10" s="42"/>
    </row>
    <row r="11" spans="2:27">
      <c r="B11" s="41" t="s">
        <v>314</v>
      </c>
      <c r="C11" s="5"/>
      <c r="D11" s="532">
        <f>($C$9*D10)</f>
        <v>5783.1769767412825</v>
      </c>
      <c r="E11" s="532">
        <f>($C$9*E10)</f>
        <v>5662.9510161373855</v>
      </c>
      <c r="F11" s="532">
        <f>($C$9*F10)</f>
        <v>5662.9510161373855</v>
      </c>
      <c r="G11" s="532">
        <f>($C$9*G10)</f>
        <v>5662.9510161373855</v>
      </c>
      <c r="H11" s="249"/>
      <c r="I11" s="249"/>
      <c r="J11" s="5" t="s">
        <v>185</v>
      </c>
      <c r="L11" s="529">
        <f>'EMEA CELLULAR'!D39</f>
        <v>13.934000165140167</v>
      </c>
      <c r="M11" s="529">
        <f>'EMEA CELLULAR'!E39</f>
        <v>14.181691463921256</v>
      </c>
      <c r="N11" s="529">
        <f>'EMEA CELLULAR'!F39</f>
        <v>12.081890560836975</v>
      </c>
      <c r="O11" s="529">
        <f>'EMEA CELLULAR'!G39</f>
        <v>10.645257413209695</v>
      </c>
      <c r="P11" s="286">
        <f>'LATAM INCUMB'!H39</f>
        <v>0.13377842924611083</v>
      </c>
      <c r="S11" s="88"/>
      <c r="T11" s="42"/>
      <c r="U11" s="42"/>
      <c r="V11" s="42"/>
      <c r="W11" s="288"/>
      <c r="X11" s="288"/>
      <c r="Y11" s="288"/>
      <c r="Z11" s="288"/>
      <c r="AA11" s="42"/>
    </row>
    <row r="12" spans="2:27">
      <c r="B12" s="5" t="s">
        <v>24</v>
      </c>
      <c r="C12" s="249"/>
      <c r="D12" s="533">
        <v>3103.3849178236946</v>
      </c>
      <c r="E12" s="533">
        <v>3196.280687684552</v>
      </c>
      <c r="F12" s="533">
        <v>3229.9598838367269</v>
      </c>
      <c r="G12" s="533">
        <v>3272.4647988180604</v>
      </c>
      <c r="H12" s="247"/>
      <c r="I12" s="247"/>
      <c r="J12" s="5" t="s">
        <v>466</v>
      </c>
      <c r="L12" s="529">
        <f>'EMEA CELLULAR'!D40</f>
        <v>20.693503485744461</v>
      </c>
      <c r="M12" s="529">
        <f>'EMEA CELLULAR'!E40</f>
        <v>20.954826177285547</v>
      </c>
      <c r="N12" s="529">
        <f>'EMEA CELLULAR'!F40</f>
        <v>17.986415749594904</v>
      </c>
      <c r="O12" s="529">
        <f>'EMEA CELLULAR'!G40</f>
        <v>15.937236715818882</v>
      </c>
      <c r="P12" s="286">
        <f>'LATAM INCUMB'!H40</f>
        <v>0.17948820297265589</v>
      </c>
      <c r="S12" s="88"/>
      <c r="T12" s="42"/>
      <c r="U12" s="42"/>
      <c r="V12" s="42"/>
      <c r="W12" s="288"/>
      <c r="X12" s="288"/>
      <c r="Y12" s="288"/>
      <c r="Z12" s="288"/>
      <c r="AA12" s="42"/>
    </row>
    <row r="13" spans="2:27">
      <c r="B13" s="5" t="s">
        <v>529</v>
      </c>
      <c r="C13" s="257"/>
      <c r="D13" s="533">
        <v>532</v>
      </c>
      <c r="E13" s="533">
        <v>532</v>
      </c>
      <c r="F13" s="533">
        <v>532</v>
      </c>
      <c r="G13" s="533">
        <v>532</v>
      </c>
      <c r="H13" s="247"/>
      <c r="I13" s="247"/>
      <c r="J13" s="5" t="s">
        <v>530</v>
      </c>
      <c r="L13" s="529">
        <f>'EMEA CELLULAR'!D41</f>
        <v>2.9063718801101484</v>
      </c>
      <c r="M13" s="529">
        <f>'EMEA CELLULAR'!E41</f>
        <v>2.8096465424917763</v>
      </c>
      <c r="N13" s="529">
        <f>'EMEA CELLULAR'!F41</f>
        <v>2.6770412504562215</v>
      </c>
      <c r="O13" s="529">
        <f>'EMEA CELLULAR'!G41</f>
        <v>2.5396311085256196</v>
      </c>
      <c r="P13" s="286">
        <f>'LATAM INCUMB'!H41</f>
        <v>-1.4772716171091993E-3</v>
      </c>
      <c r="S13" s="88"/>
      <c r="T13" s="42"/>
      <c r="U13" s="42"/>
      <c r="V13" s="42"/>
      <c r="W13" s="42"/>
      <c r="X13" s="42"/>
      <c r="Y13" s="42"/>
      <c r="Z13" s="42"/>
      <c r="AA13" s="42"/>
    </row>
    <row r="14" spans="2:27">
      <c r="B14" s="5" t="s">
        <v>532</v>
      </c>
      <c r="C14" s="257"/>
      <c r="D14" s="533">
        <v>0</v>
      </c>
      <c r="E14" s="533">
        <v>0</v>
      </c>
      <c r="F14" s="533">
        <v>0</v>
      </c>
      <c r="G14" s="533">
        <v>0</v>
      </c>
      <c r="H14" s="247"/>
      <c r="I14" s="247"/>
      <c r="J14" s="5" t="s">
        <v>593</v>
      </c>
      <c r="L14" s="529">
        <f>'EMEA CELLULAR'!D42</f>
        <v>4.1985652011209735</v>
      </c>
      <c r="M14" s="529">
        <f>'EMEA CELLULAR'!E42</f>
        <v>4.0862699766964772</v>
      </c>
      <c r="N14" s="529">
        <f>'EMEA CELLULAR'!F42</f>
        <v>3.913769934902958</v>
      </c>
      <c r="O14" s="529">
        <f>'EMEA CELLULAR'!G42</f>
        <v>3.7199710824883767</v>
      </c>
      <c r="P14" s="286">
        <f>'LATAM INCUMB'!H42</f>
        <v>-2.6170957037785714E-2</v>
      </c>
      <c r="S14" s="88"/>
      <c r="T14" s="42"/>
      <c r="U14" s="42"/>
      <c r="V14" s="42"/>
      <c r="W14" s="42"/>
      <c r="X14" s="42"/>
      <c r="Y14" s="42"/>
      <c r="Z14" s="42"/>
      <c r="AA14" s="42"/>
    </row>
    <row r="15" spans="2:27">
      <c r="B15" s="5" t="s">
        <v>531</v>
      </c>
      <c r="C15" s="274"/>
      <c r="D15" s="533">
        <v>2075.3465014625258</v>
      </c>
      <c r="E15" s="533">
        <v>2075.3465014625258</v>
      </c>
      <c r="F15" s="533">
        <v>2075.3465014625258</v>
      </c>
      <c r="G15" s="533">
        <v>2075.3465014625258</v>
      </c>
      <c r="H15" s="247"/>
      <c r="I15" s="247"/>
      <c r="J15" s="5" t="s">
        <v>475</v>
      </c>
      <c r="L15" s="529">
        <f>'EMEA CELLULAR'!D43</f>
        <v>31.153660262051059</v>
      </c>
      <c r="M15" s="529">
        <f>'EMEA CELLULAR'!E43</f>
        <v>40.589413647062131</v>
      </c>
      <c r="N15" s="529">
        <f>'EMEA CELLULAR'!F43</f>
        <v>28.94936800421025</v>
      </c>
      <c r="O15" s="529">
        <f>'EMEA CELLULAR'!G43</f>
        <v>25.752132437276039</v>
      </c>
      <c r="P15" s="286">
        <f>'LATAM INCUMB'!H43</f>
        <v>0.45506380228138199</v>
      </c>
      <c r="S15" s="88"/>
      <c r="T15" s="42"/>
      <c r="U15" s="42"/>
      <c r="V15" s="42"/>
      <c r="W15" s="42"/>
      <c r="X15" s="42"/>
      <c r="Y15" s="42"/>
      <c r="Z15" s="42"/>
      <c r="AA15" s="42"/>
    </row>
    <row r="16" spans="2:27">
      <c r="B16" s="5" t="s">
        <v>534</v>
      </c>
      <c r="C16" s="257"/>
      <c r="D16" s="533">
        <v>227.35244000000003</v>
      </c>
      <c r="E16" s="533">
        <v>472.02247000000011</v>
      </c>
      <c r="F16" s="533">
        <v>745.73155719000022</v>
      </c>
      <c r="G16" s="533">
        <v>1060.0149878435002</v>
      </c>
      <c r="H16" s="247"/>
      <c r="I16" s="247"/>
      <c r="J16" s="5" t="s">
        <v>533</v>
      </c>
      <c r="L16" s="529">
        <f>'EMEA CELLULAR'!D44</f>
        <v>27.614186259633261</v>
      </c>
      <c r="M16" s="529">
        <f>'EMEA CELLULAR'!E44</f>
        <v>26.587472010710737</v>
      </c>
      <c r="N16" s="529">
        <f>'EMEA CELLULAR'!F44</f>
        <v>20.63478491648139</v>
      </c>
      <c r="O16" s="529">
        <f>'EMEA CELLULAR'!G44</f>
        <v>18.214851681953164</v>
      </c>
      <c r="P16" s="286">
        <f>'LATAM INCUMB'!H44</f>
        <v>0.2809349860711805</v>
      </c>
      <c r="S16" s="88"/>
      <c r="T16" s="42"/>
      <c r="U16" s="42"/>
      <c r="V16" s="42"/>
      <c r="W16" s="42"/>
      <c r="X16" s="42"/>
      <c r="Y16" s="42"/>
      <c r="Z16" s="42"/>
      <c r="AA16" s="42"/>
    </row>
    <row r="17" spans="2:27">
      <c r="B17" s="5" t="s">
        <v>6</v>
      </c>
      <c r="C17" s="257"/>
      <c r="D17" s="533">
        <v>0</v>
      </c>
      <c r="E17" s="533">
        <v>0</v>
      </c>
      <c r="F17" s="533">
        <v>0</v>
      </c>
      <c r="G17" s="533">
        <v>0</v>
      </c>
      <c r="H17" s="247"/>
      <c r="I17" s="247"/>
      <c r="J17" s="5" t="s">
        <v>580</v>
      </c>
      <c r="L17" s="248">
        <f>'EMEA CELLULAR'!D45</f>
        <v>2.0041910197939054E-2</v>
      </c>
      <c r="M17" s="248">
        <f>'EMEA CELLULAR'!E45</f>
        <v>2.2662064400045302E-2</v>
      </c>
      <c r="N17" s="248">
        <f>'EMEA CELLULAR'!F45</f>
        <v>2.6655091715603346E-2</v>
      </c>
      <c r="O17" s="248">
        <f>'EMEA CELLULAR'!G45</f>
        <v>2.9169701214626476E-2</v>
      </c>
      <c r="P17" s="286">
        <f>'LATAM INCUMB'!H45</f>
        <v>9.5651796667158839E-2</v>
      </c>
      <c r="S17" s="88"/>
      <c r="T17" s="42"/>
      <c r="U17" s="42"/>
      <c r="V17" s="42"/>
      <c r="W17" s="42"/>
      <c r="X17" s="42"/>
      <c r="Y17" s="42"/>
      <c r="Z17" s="42"/>
      <c r="AA17" s="42"/>
    </row>
    <row r="18" spans="2:27" ht="12.6" thickBot="1">
      <c r="B18" s="41" t="s">
        <v>89</v>
      </c>
      <c r="C18" s="249"/>
      <c r="D18" s="534">
        <f>D11+D12+D13-D14+D15-D16-D17</f>
        <v>11266.555956027501</v>
      </c>
      <c r="E18" s="534">
        <f>E11+E12+E13-E14+E15-E16-E17</f>
        <v>10994.555735284463</v>
      </c>
      <c r="F18" s="534">
        <f>F11+F12+F13-F14+F15-F16-F17</f>
        <v>10754.525844246638</v>
      </c>
      <c r="G18" s="534">
        <f>G11+G12+G13-G14+G15-G16-G17</f>
        <v>10482.747328574471</v>
      </c>
      <c r="H18" s="276">
        <f>IF(D18=0,"nm",IF(G18=0,"nm",(G18/D18)^(1/3)-1))</f>
        <v>-2.3749401131931247E-2</v>
      </c>
      <c r="I18" s="254"/>
      <c r="J18" s="5" t="s">
        <v>36</v>
      </c>
      <c r="L18" s="248">
        <f>'EMEA CELLULAR'!D46</f>
        <v>2.1131796481131483E-2</v>
      </c>
      <c r="M18" s="248">
        <f>'EMEA CELLULAR'!E46</f>
        <v>1.7391477966924081E-2</v>
      </c>
      <c r="N18" s="248">
        <f>'EMEA CELLULAR'!F46</f>
        <v>3.2252261934863267E-2</v>
      </c>
      <c r="O18" s="248">
        <f>'EMEA CELLULAR'!G46</f>
        <v>2.8815660020290752E-2</v>
      </c>
      <c r="P18" s="286">
        <f>'LATAM INCUMB'!H46</f>
        <v>0.26817265579733318</v>
      </c>
      <c r="S18" s="88"/>
      <c r="T18" s="42"/>
      <c r="U18" s="42"/>
      <c r="V18" s="42"/>
      <c r="W18" s="42"/>
      <c r="X18" s="42"/>
      <c r="Y18" s="42"/>
      <c r="Z18" s="42"/>
      <c r="AA18" s="42"/>
    </row>
    <row r="19" spans="2:27" ht="12.6" thickTop="1">
      <c r="B19" s="41"/>
      <c r="C19" s="249"/>
      <c r="D19" s="229"/>
      <c r="E19" s="229"/>
      <c r="F19" s="229"/>
      <c r="G19" s="229"/>
      <c r="H19" s="276"/>
      <c r="I19" s="254"/>
      <c r="J19" s="5" t="s">
        <v>581</v>
      </c>
      <c r="L19" s="248">
        <f>'EMEA CELLULAR'!D47</f>
        <v>3.2098956963272834E-2</v>
      </c>
      <c r="M19" s="248">
        <f>'EMEA CELLULAR'!E47</f>
        <v>2.4636965901880678E-2</v>
      </c>
      <c r="N19" s="248">
        <f>'EMEA CELLULAR'!F47</f>
        <v>3.4543068430874381E-2</v>
      </c>
      <c r="O19" s="248">
        <f>'EMEA CELLULAR'!G47</f>
        <v>3.8831735679974472E-2</v>
      </c>
      <c r="P19" s="286">
        <f>'LATAM INCUMB'!H47</f>
        <v>0.45506380228138199</v>
      </c>
      <c r="S19" s="88"/>
      <c r="T19" s="42"/>
      <c r="U19" s="42"/>
      <c r="V19" s="42"/>
      <c r="W19" s="42"/>
      <c r="X19" s="42"/>
      <c r="Y19" s="42"/>
      <c r="Z19" s="42"/>
      <c r="AA19" s="42"/>
    </row>
    <row r="20" spans="2:27">
      <c r="H20" s="277"/>
      <c r="I20" s="17"/>
      <c r="J20" s="5" t="s">
        <v>604</v>
      </c>
      <c r="L20" s="305">
        <f>'EMEA CELLULAR'!D48</f>
        <v>0.66646495357608038</v>
      </c>
      <c r="M20" s="305">
        <f>'EMEA CELLULAR'!E48</f>
        <v>0.98055252685916661</v>
      </c>
      <c r="N20" s="305">
        <f>'EMEA CELLULAR'!F48</f>
        <v>0.8225795047533091</v>
      </c>
      <c r="O20" s="305">
        <f>'EMEA CELLULAR'!G48</f>
        <v>0.80076262408893306</v>
      </c>
      <c r="P20" s="286" t="str">
        <f>'LATAM INCUMB'!H48</f>
        <v>nm</v>
      </c>
      <c r="S20" s="88"/>
      <c r="T20" s="42"/>
      <c r="U20" s="42"/>
      <c r="V20" s="42"/>
      <c r="W20" s="42"/>
      <c r="X20" s="42"/>
      <c r="Y20" s="42"/>
      <c r="Z20" s="42"/>
      <c r="AA20" s="42"/>
    </row>
    <row r="21" spans="2:27" ht="12.6" thickBot="1">
      <c r="B21" s="306" t="s">
        <v>927</v>
      </c>
      <c r="C21" s="265"/>
      <c r="D21" s="265" t="str">
        <f>D5</f>
        <v>2023E</v>
      </c>
      <c r="E21" s="265" t="str">
        <f t="shared" ref="E21:H21" si="2">E5</f>
        <v>2024E</v>
      </c>
      <c r="F21" s="265" t="str">
        <f t="shared" si="2"/>
        <v>2025E</v>
      </c>
      <c r="G21" s="265" t="str">
        <f t="shared" si="2"/>
        <v>2026E</v>
      </c>
      <c r="H21" s="265" t="str">
        <f t="shared" si="2"/>
        <v>23E-26E</v>
      </c>
      <c r="I21" s="49"/>
      <c r="J21" s="41"/>
      <c r="L21" s="250"/>
      <c r="M21" s="250"/>
      <c r="N21" s="250"/>
      <c r="O21" s="250"/>
      <c r="P21" s="286"/>
      <c r="S21" s="88"/>
      <c r="T21" s="42"/>
      <c r="U21" s="42"/>
      <c r="V21" s="42"/>
      <c r="W21" s="42"/>
      <c r="X21" s="42"/>
      <c r="Y21" s="42"/>
      <c r="Z21" s="42"/>
      <c r="AA21" s="42"/>
    </row>
    <row r="22" spans="2:27" ht="12.6" thickTop="1">
      <c r="B22" s="5"/>
      <c r="C22" s="257"/>
      <c r="D22" s="17"/>
      <c r="E22" s="17"/>
      <c r="F22" s="17"/>
      <c r="G22" s="17"/>
      <c r="H22" s="17"/>
      <c r="I22" s="17"/>
      <c r="P22" s="277"/>
      <c r="S22" s="88"/>
      <c r="T22" s="42"/>
      <c r="U22" s="42"/>
      <c r="V22" s="42"/>
      <c r="W22" s="42"/>
      <c r="X22" s="42"/>
      <c r="Y22" s="42"/>
      <c r="Z22" s="42"/>
      <c r="AA22" s="42"/>
    </row>
    <row r="23" spans="2:27" ht="12.6" thickBot="1">
      <c r="B23" s="5" t="s">
        <v>584</v>
      </c>
      <c r="C23" s="548">
        <v>5255</v>
      </c>
      <c r="D23" s="540">
        <v>5024.3832046639136</v>
      </c>
      <c r="E23" s="540">
        <v>4902.8533047431047</v>
      </c>
      <c r="F23" s="540">
        <v>5403.8375408012334</v>
      </c>
      <c r="G23" s="540">
        <v>5830.0863608068175</v>
      </c>
      <c r="H23" s="279">
        <f t="shared" ref="H23:H32" si="3">IF(D23=0,"nm",IF(G23=0,"nm",(G23/D23)^(1/3)-1))</f>
        <v>5.0825841545305339E-2</v>
      </c>
      <c r="I23" s="247"/>
      <c r="J23" s="306" t="s">
        <v>9</v>
      </c>
      <c r="K23" s="306"/>
      <c r="L23" s="265" t="str">
        <f>D21</f>
        <v>2023E</v>
      </c>
      <c r="M23" s="265" t="str">
        <f t="shared" ref="M23:P23" si="4">E21</f>
        <v>2024E</v>
      </c>
      <c r="N23" s="265" t="str">
        <f t="shared" si="4"/>
        <v>2025E</v>
      </c>
      <c r="O23" s="265" t="str">
        <f t="shared" si="4"/>
        <v>2026E</v>
      </c>
      <c r="P23" s="265" t="str">
        <f t="shared" si="4"/>
        <v>23E-26E</v>
      </c>
      <c r="S23" s="88"/>
      <c r="T23" s="42"/>
      <c r="U23" s="42"/>
      <c r="V23" s="42"/>
      <c r="W23" s="42"/>
      <c r="X23" s="42"/>
      <c r="Y23" s="42"/>
      <c r="Z23" s="42"/>
      <c r="AA23" s="42"/>
    </row>
    <row r="24" spans="2:27" ht="12.6" thickTop="1">
      <c r="B24" s="5" t="s">
        <v>483</v>
      </c>
      <c r="C24" s="549">
        <v>2296</v>
      </c>
      <c r="D24" s="540">
        <v>2153.6009897600416</v>
      </c>
      <c r="E24" s="540">
        <v>2015.7483156939834</v>
      </c>
      <c r="F24" s="540">
        <v>2249.2759445633847</v>
      </c>
      <c r="G24" s="540">
        <v>2442.3705270517439</v>
      </c>
      <c r="H24" s="279">
        <f t="shared" si="3"/>
        <v>4.283460967218744E-2</v>
      </c>
      <c r="I24" s="249"/>
      <c r="J24" s="17"/>
      <c r="K24" s="17"/>
      <c r="L24" s="17"/>
      <c r="M24" s="17"/>
      <c r="N24" s="17"/>
      <c r="O24" s="248"/>
      <c r="S24" s="88"/>
      <c r="T24" s="42"/>
      <c r="U24" s="42"/>
      <c r="V24" s="42"/>
      <c r="W24" s="42" t="s">
        <v>571</v>
      </c>
      <c r="X24" s="42" t="s">
        <v>512</v>
      </c>
      <c r="Y24" s="42"/>
      <c r="Z24" s="42"/>
      <c r="AA24" s="42"/>
    </row>
    <row r="25" spans="2:27">
      <c r="B25" s="5" t="s">
        <v>183</v>
      </c>
      <c r="C25" s="548">
        <v>1548</v>
      </c>
      <c r="D25" s="540">
        <v>1338.8599264438567</v>
      </c>
      <c r="E25" s="540">
        <v>1164.1484819920217</v>
      </c>
      <c r="F25" s="540">
        <v>1341.8663062221544</v>
      </c>
      <c r="G25" s="540">
        <v>1484.7589988644527</v>
      </c>
      <c r="H25" s="279">
        <f t="shared" si="3"/>
        <v>3.5079262624339913E-2</v>
      </c>
      <c r="I25" s="248"/>
      <c r="J25" s="247" t="s">
        <v>10</v>
      </c>
      <c r="K25" s="247"/>
      <c r="L25" s="321">
        <v>0</v>
      </c>
      <c r="M25" s="321">
        <v>0</v>
      </c>
      <c r="N25" s="321">
        <v>0</v>
      </c>
      <c r="O25" s="321">
        <v>0</v>
      </c>
      <c r="P25" s="279" t="str">
        <f>IF(L25=0,"nm",IF(O25=0,"nm",(O25/L25)^(1/3)-1))</f>
        <v>nm</v>
      </c>
      <c r="S25" s="88"/>
      <c r="T25" s="42"/>
      <c r="U25" s="42"/>
      <c r="V25" s="147" t="s">
        <v>273</v>
      </c>
      <c r="W25" s="288">
        <f t="shared" ref="W25:W33" si="5">D37/L9</f>
        <v>0.73830333833954198</v>
      </c>
      <c r="X25" s="288">
        <v>1</v>
      </c>
      <c r="Y25" s="42"/>
      <c r="Z25" s="42"/>
      <c r="AA25" s="42"/>
    </row>
    <row r="26" spans="2:27">
      <c r="B26" s="5" t="s">
        <v>586</v>
      </c>
      <c r="C26" s="548">
        <v>1122.8239845261121</v>
      </c>
      <c r="D26" s="540">
        <v>803.31595586631397</v>
      </c>
      <c r="E26" s="540">
        <v>698.48908919521307</v>
      </c>
      <c r="F26" s="540">
        <v>805.11978373329259</v>
      </c>
      <c r="G26" s="540">
        <v>890.85539931867163</v>
      </c>
      <c r="H26" s="279">
        <f t="shared" si="3"/>
        <v>3.5079262624339913E-2</v>
      </c>
      <c r="I26" s="249"/>
      <c r="J26" s="249" t="s">
        <v>11</v>
      </c>
      <c r="K26" s="249"/>
      <c r="L26" s="281">
        <f>D11+L25</f>
        <v>5783.1769767412825</v>
      </c>
      <c r="M26" s="281">
        <f>E11+M25</f>
        <v>5662.9510161373855</v>
      </c>
      <c r="N26" s="281">
        <f>F11+N25</f>
        <v>5662.9510161373855</v>
      </c>
      <c r="O26" s="281">
        <f>G11+O25</f>
        <v>5662.9510161373855</v>
      </c>
      <c r="P26" s="279">
        <f>IF(L26=0,"nm",IF(O26=0,"nm",(O26/L26)^(1/3)-1))</f>
        <v>-6.9782198089330949E-3</v>
      </c>
      <c r="Q26" s="5"/>
      <c r="S26" s="88"/>
      <c r="T26" s="42"/>
      <c r="U26" s="42"/>
      <c r="V26" s="147" t="s">
        <v>184</v>
      </c>
      <c r="W26" s="288">
        <f t="shared" si="5"/>
        <v>0.72420060501422179</v>
      </c>
      <c r="X26" s="288">
        <v>1</v>
      </c>
      <c r="Y26" s="42"/>
      <c r="Z26" s="42"/>
      <c r="AA26" s="42"/>
    </row>
    <row r="27" spans="2:27">
      <c r="B27" s="5" t="s">
        <v>587</v>
      </c>
      <c r="C27" s="549">
        <v>7505</v>
      </c>
      <c r="D27" s="540">
        <v>6601.0325961467188</v>
      </c>
      <c r="E27" s="540">
        <v>6528.1494955403787</v>
      </c>
      <c r="F27" s="540">
        <v>6759.26574128846</v>
      </c>
      <c r="G27" s="540">
        <v>7021.0392383499693</v>
      </c>
      <c r="H27" s="279">
        <f t="shared" si="3"/>
        <v>2.0774567136006894E-2</v>
      </c>
      <c r="I27" s="249"/>
      <c r="J27" s="248"/>
      <c r="K27" s="248"/>
      <c r="L27" s="248"/>
      <c r="M27" s="248"/>
      <c r="N27" s="248"/>
      <c r="O27" s="248"/>
      <c r="Q27" s="41"/>
      <c r="S27" s="88"/>
      <c r="T27" s="42"/>
      <c r="U27" s="42"/>
      <c r="V27" s="147" t="s">
        <v>185</v>
      </c>
      <c r="W27" s="288">
        <f t="shared" si="5"/>
        <v>0.60392112837179079</v>
      </c>
      <c r="X27" s="288">
        <v>1</v>
      </c>
      <c r="Y27" s="42"/>
      <c r="Z27" s="42"/>
      <c r="AA27" s="42"/>
    </row>
    <row r="28" spans="2:27" ht="12.6" thickBot="1">
      <c r="B28" s="5" t="s">
        <v>592</v>
      </c>
      <c r="C28" s="548">
        <v>4817</v>
      </c>
      <c r="D28" s="540">
        <v>4256.5143364498472</v>
      </c>
      <c r="E28" s="540">
        <v>4404.7442155800027</v>
      </c>
      <c r="F28" s="540">
        <v>4594.5891572157034</v>
      </c>
      <c r="G28" s="540">
        <v>4813.9155860630381</v>
      </c>
      <c r="H28" s="279">
        <f t="shared" si="3"/>
        <v>4.1873015604453556E-2</v>
      </c>
      <c r="I28" s="248"/>
      <c r="J28" s="306" t="s">
        <v>1362</v>
      </c>
      <c r="K28" s="306"/>
      <c r="L28" s="306"/>
      <c r="M28" s="306"/>
      <c r="N28" s="266"/>
      <c r="O28" s="266"/>
      <c r="P28" s="266"/>
      <c r="Q28" s="5"/>
      <c r="S28" s="88"/>
      <c r="T28" s="42"/>
      <c r="U28" s="42"/>
      <c r="V28" s="147" t="s">
        <v>466</v>
      </c>
      <c r="W28" s="288">
        <f t="shared" si="5"/>
        <v>0.6777519257240322</v>
      </c>
      <c r="X28" s="288">
        <v>1</v>
      </c>
      <c r="Y28" s="42"/>
      <c r="Z28" s="42"/>
      <c r="AA28" s="42"/>
    </row>
    <row r="29" spans="2:27" ht="12.6" thickTop="1">
      <c r="B29" s="5" t="s">
        <v>588</v>
      </c>
      <c r="C29" s="548">
        <v>748</v>
      </c>
      <c r="D29" s="540">
        <v>1003.6883480053516</v>
      </c>
      <c r="E29" s="540">
        <v>485.40740856463299</v>
      </c>
      <c r="F29" s="540">
        <v>477.84324343313278</v>
      </c>
      <c r="G29" s="540">
        <v>510.6070542554894</v>
      </c>
      <c r="H29" s="279">
        <f t="shared" si="3"/>
        <v>-0.2017064088299837</v>
      </c>
      <c r="I29" s="252"/>
      <c r="J29" s="249"/>
      <c r="K29" s="249"/>
      <c r="L29" s="249"/>
      <c r="M29" s="249"/>
      <c r="N29" s="249"/>
      <c r="O29" s="251"/>
      <c r="Q29" s="5"/>
      <c r="S29" s="88"/>
      <c r="T29" s="42"/>
      <c r="U29" s="42"/>
      <c r="V29" s="147" t="s">
        <v>530</v>
      </c>
      <c r="W29" s="288">
        <f t="shared" si="5"/>
        <v>0.58725688575500967</v>
      </c>
      <c r="X29" s="288">
        <v>1</v>
      </c>
      <c r="Y29" s="42"/>
      <c r="Z29" s="42"/>
      <c r="AA29" s="42"/>
    </row>
    <row r="30" spans="2:27">
      <c r="B30" s="5" t="s">
        <v>589</v>
      </c>
      <c r="C30" s="549">
        <v>578</v>
      </c>
      <c r="D30" s="540">
        <v>-482.46432167697628</v>
      </c>
      <c r="E30" s="540">
        <v>125.09494654772863</v>
      </c>
      <c r="F30" s="540">
        <v>716.33319083644199</v>
      </c>
      <c r="G30" s="540">
        <v>794.53849234709969</v>
      </c>
      <c r="H30" s="279">
        <f>IF(D30=0,"nm",IF(G30=0,"nm",(G30/D30)^(1/3)-1))</f>
        <v>-2.1809094004388401</v>
      </c>
      <c r="I30" s="254"/>
      <c r="J30" s="248"/>
      <c r="K30" s="248"/>
      <c r="L30" s="248"/>
      <c r="M30" s="248"/>
      <c r="N30" s="248"/>
      <c r="O30" s="5"/>
      <c r="Q30" s="5"/>
      <c r="S30" s="88"/>
      <c r="T30" s="42"/>
      <c r="U30" s="42"/>
      <c r="V30" s="147" t="s">
        <v>593</v>
      </c>
      <c r="W30" s="288">
        <f t="shared" si="5"/>
        <v>0.63042898974418082</v>
      </c>
      <c r="X30" s="288">
        <v>1</v>
      </c>
      <c r="Y30" s="42"/>
      <c r="Z30" s="42"/>
      <c r="AA30" s="42"/>
    </row>
    <row r="31" spans="2:27">
      <c r="B31" s="5" t="s">
        <v>590</v>
      </c>
      <c r="C31" s="549">
        <v>-195</v>
      </c>
      <c r="D31" s="540">
        <v>-211.988</v>
      </c>
      <c r="E31" s="540">
        <v>-225.40322000000003</v>
      </c>
      <c r="F31" s="540">
        <v>-244.67003000000005</v>
      </c>
      <c r="G31" s="540">
        <v>-273.7090871900001</v>
      </c>
      <c r="H31" s="279">
        <f t="shared" si="3"/>
        <v>8.8911655055702976E-2</v>
      </c>
      <c r="I31" s="254"/>
      <c r="J31" s="252"/>
      <c r="K31" s="252"/>
      <c r="L31" s="252"/>
      <c r="M31" s="252"/>
      <c r="N31" s="252"/>
      <c r="O31" s="5"/>
      <c r="Q31" s="5"/>
      <c r="S31" s="88"/>
      <c r="T31" s="42"/>
      <c r="U31" s="42"/>
      <c r="V31" s="147" t="s">
        <v>475</v>
      </c>
      <c r="W31" s="288">
        <f t="shared" si="5"/>
        <v>0.18495178234989226</v>
      </c>
      <c r="X31" s="288">
        <v>1</v>
      </c>
      <c r="Y31" s="42"/>
      <c r="Z31" s="42"/>
      <c r="AA31" s="42"/>
    </row>
    <row r="32" spans="2:27">
      <c r="B32" s="5" t="s">
        <v>606</v>
      </c>
      <c r="C32" s="550">
        <v>0</v>
      </c>
      <c r="D32" s="540">
        <v>0</v>
      </c>
      <c r="E32" s="540">
        <v>0</v>
      </c>
      <c r="F32" s="540">
        <v>0</v>
      </c>
      <c r="G32" s="540">
        <v>0</v>
      </c>
      <c r="H32" s="279" t="str">
        <f t="shared" si="3"/>
        <v>nm</v>
      </c>
      <c r="I32" s="254"/>
      <c r="J32" s="254"/>
      <c r="K32" s="254"/>
      <c r="L32" s="254"/>
      <c r="M32" s="254"/>
      <c r="N32" s="254"/>
      <c r="O32" s="251"/>
      <c r="Q32" s="5"/>
      <c r="S32" s="88"/>
      <c r="T32" s="42"/>
      <c r="U32" s="42"/>
      <c r="V32" s="147" t="s">
        <v>533</v>
      </c>
      <c r="W32" s="288">
        <f t="shared" si="5"/>
        <v>-0.43407925415122839</v>
      </c>
      <c r="X32" s="288">
        <v>1</v>
      </c>
      <c r="Y32" s="42"/>
      <c r="Z32" s="42"/>
      <c r="AA32" s="42"/>
    </row>
    <row r="33" spans="2:27">
      <c r="B33" s="5" t="s">
        <v>5</v>
      </c>
      <c r="C33" s="549">
        <v>-723</v>
      </c>
      <c r="D33" s="540">
        <v>-1723.6295331929509</v>
      </c>
      <c r="E33" s="540">
        <v>-767.78562133697324</v>
      </c>
      <c r="F33" s="540">
        <v>-497.96066980642684</v>
      </c>
      <c r="G33" s="540">
        <v>-563.8384885001343</v>
      </c>
      <c r="H33" s="279">
        <f>IF(D33=0,"nm",IF(G33=0,"nm",(G33/D33)^(1/3)-1))</f>
        <v>-0.31097190515548057</v>
      </c>
      <c r="I33" s="5"/>
      <c r="J33" s="254"/>
      <c r="K33" s="254"/>
      <c r="L33" s="254"/>
      <c r="M33" s="254"/>
      <c r="N33" s="254"/>
      <c r="O33" s="251"/>
      <c r="Q33" s="5"/>
      <c r="S33" s="88"/>
      <c r="T33" s="42"/>
      <c r="U33" s="42"/>
      <c r="V33" s="147" t="s">
        <v>580</v>
      </c>
      <c r="W33" s="288">
        <f t="shared" si="5"/>
        <v>-1.8289662137763523</v>
      </c>
      <c r="X33" s="288">
        <v>1</v>
      </c>
      <c r="Y33" s="42"/>
      <c r="Z33" s="42"/>
      <c r="AA33" s="42"/>
    </row>
    <row r="34" spans="2:27">
      <c r="H34" s="277"/>
      <c r="I34" s="49"/>
      <c r="J34" s="254"/>
      <c r="K34" s="254"/>
      <c r="L34" s="254"/>
      <c r="M34" s="254"/>
      <c r="N34" s="254"/>
      <c r="O34" s="251"/>
      <c r="Q34" s="5"/>
      <c r="S34" s="88"/>
      <c r="T34" s="42"/>
      <c r="U34" s="42"/>
      <c r="V34" s="147" t="s">
        <v>581</v>
      </c>
      <c r="W34" s="288">
        <f>D47/L19</f>
        <v>5.4068146156504584</v>
      </c>
      <c r="X34" s="288">
        <v>1</v>
      </c>
      <c r="Y34" s="288"/>
      <c r="Z34" s="288"/>
      <c r="AA34" s="42"/>
    </row>
    <row r="35" spans="2:27" ht="12.6" thickBot="1">
      <c r="B35" s="306" t="s">
        <v>1374</v>
      </c>
      <c r="C35" s="265"/>
      <c r="D35" s="265" t="str">
        <f>D5</f>
        <v>2023E</v>
      </c>
      <c r="E35" s="265" t="str">
        <f t="shared" ref="E35:H35" si="6">E5</f>
        <v>2024E</v>
      </c>
      <c r="F35" s="265" t="str">
        <f t="shared" si="6"/>
        <v>2025E</v>
      </c>
      <c r="G35" s="265" t="str">
        <f t="shared" si="6"/>
        <v>2026E</v>
      </c>
      <c r="H35" s="265" t="str">
        <f t="shared" si="6"/>
        <v>23E-26E</v>
      </c>
      <c r="I35" s="254"/>
      <c r="J35" s="5"/>
      <c r="K35" s="5"/>
      <c r="L35" s="5"/>
      <c r="M35" s="5"/>
      <c r="N35" s="5"/>
      <c r="O35" s="5"/>
      <c r="Q35" s="5"/>
      <c r="S35" s="88"/>
      <c r="T35" s="42"/>
      <c r="U35" s="42"/>
      <c r="V35" s="42"/>
      <c r="W35" s="42"/>
      <c r="X35" s="42"/>
      <c r="Y35" s="288"/>
      <c r="Z35" s="288"/>
      <c r="AA35" s="42"/>
    </row>
    <row r="36" spans="2:27" ht="12.6" thickTop="1">
      <c r="B36" s="41"/>
      <c r="C36" s="249"/>
      <c r="D36" s="254"/>
      <c r="E36" s="254"/>
      <c r="F36" s="254"/>
      <c r="G36" s="254"/>
      <c r="H36" s="254"/>
      <c r="I36" s="17"/>
      <c r="J36" s="49"/>
      <c r="K36" s="49"/>
      <c r="L36" s="49"/>
      <c r="M36" s="49"/>
      <c r="N36" s="49"/>
      <c r="O36" s="49"/>
      <c r="Q36" s="5"/>
      <c r="S36" s="88"/>
      <c r="T36" s="42"/>
      <c r="U36" s="42"/>
      <c r="V36" s="42"/>
      <c r="W36" s="42"/>
      <c r="X36" s="42"/>
      <c r="Y36" s="288"/>
      <c r="Z36" s="288"/>
      <c r="AA36" s="42"/>
    </row>
    <row r="37" spans="2:27">
      <c r="B37" s="5" t="s">
        <v>273</v>
      </c>
      <c r="C37" s="247"/>
      <c r="D37" s="529">
        <f>D$18/D23</f>
        <v>2.2423759289636296</v>
      </c>
      <c r="E37" s="529">
        <f t="shared" ref="E37:G41" si="7">E$18/E23</f>
        <v>2.2424810721234798</v>
      </c>
      <c r="F37" s="529">
        <f t="shared" si="7"/>
        <v>1.9901645382647926</v>
      </c>
      <c r="G37" s="529">
        <f t="shared" si="7"/>
        <v>1.7980432329520035</v>
      </c>
      <c r="H37" s="17">
        <f t="shared" ref="H37:H45" si="8">H23</f>
        <v>5.0825841545305339E-2</v>
      </c>
      <c r="I37" s="5"/>
      <c r="J37" s="259"/>
      <c r="K37" s="259"/>
      <c r="L37" s="259"/>
      <c r="M37" s="259"/>
      <c r="N37" s="259"/>
      <c r="O37" s="18"/>
      <c r="Q37" s="5"/>
      <c r="R37" s="5"/>
      <c r="S37" s="42"/>
      <c r="T37" s="42"/>
      <c r="U37" s="42"/>
      <c r="V37" s="42"/>
      <c r="W37" s="42"/>
      <c r="X37" s="42"/>
      <c r="Y37" s="42"/>
      <c r="Z37" s="42"/>
      <c r="AA37" s="42"/>
    </row>
    <row r="38" spans="2:27">
      <c r="B38" s="5" t="s">
        <v>184</v>
      </c>
      <c r="C38" s="247"/>
      <c r="D38" s="529">
        <f>D$18/D24</f>
        <v>5.2314964608568664</v>
      </c>
      <c r="E38" s="529">
        <f t="shared" si="7"/>
        <v>5.4543296153018233</v>
      </c>
      <c r="F38" s="529">
        <f t="shared" si="7"/>
        <v>4.7813279069830799</v>
      </c>
      <c r="G38" s="529">
        <f t="shared" si="7"/>
        <v>4.2920380885976783</v>
      </c>
      <c r="H38" s="17">
        <f t="shared" si="8"/>
        <v>4.283460967218744E-2</v>
      </c>
      <c r="I38" s="259"/>
      <c r="J38" s="17"/>
      <c r="K38" s="17"/>
      <c r="L38" s="17"/>
      <c r="M38" s="17"/>
      <c r="N38" s="17"/>
      <c r="O38" s="5"/>
      <c r="Q38" s="5"/>
      <c r="R38" s="5"/>
      <c r="S38" s="42"/>
      <c r="T38" s="42"/>
      <c r="U38" s="42"/>
      <c r="V38" s="42"/>
      <c r="W38" s="42"/>
      <c r="X38" s="42"/>
      <c r="Y38" s="42"/>
      <c r="Z38" s="42"/>
      <c r="AA38" s="42"/>
    </row>
    <row r="39" spans="2:27">
      <c r="B39" s="5" t="s">
        <v>185</v>
      </c>
      <c r="C39" s="247"/>
      <c r="D39" s="529">
        <f>D$18/D25</f>
        <v>8.4150371024641686</v>
      </c>
      <c r="E39" s="529">
        <f t="shared" si="7"/>
        <v>9.4442898868632561</v>
      </c>
      <c r="F39" s="529">
        <f t="shared" si="7"/>
        <v>8.0146030900236038</v>
      </c>
      <c r="G39" s="529">
        <f t="shared" si="7"/>
        <v>7.0602349179844683</v>
      </c>
      <c r="H39" s="17">
        <f t="shared" si="8"/>
        <v>3.5079262624339913E-2</v>
      </c>
      <c r="I39" s="17"/>
      <c r="J39" s="5"/>
      <c r="K39" s="5"/>
      <c r="L39" s="5"/>
      <c r="M39" s="5"/>
      <c r="N39" s="5"/>
      <c r="O39" s="5"/>
      <c r="Q39" s="5"/>
      <c r="R39" s="5"/>
      <c r="S39" s="42"/>
      <c r="T39" s="42"/>
      <c r="U39" s="42"/>
      <c r="V39" s="42"/>
      <c r="W39" s="42"/>
      <c r="X39" s="42"/>
      <c r="Y39" s="42"/>
      <c r="Z39" s="42"/>
      <c r="AA39" s="42"/>
    </row>
    <row r="40" spans="2:27">
      <c r="B40" s="5" t="s">
        <v>466</v>
      </c>
      <c r="C40" s="247"/>
      <c r="D40" s="529">
        <f>D$18/D26</f>
        <v>14.025061837440282</v>
      </c>
      <c r="E40" s="529">
        <f t="shared" si="7"/>
        <v>15.740483144772094</v>
      </c>
      <c r="F40" s="529">
        <f t="shared" si="7"/>
        <v>13.357671816706008</v>
      </c>
      <c r="G40" s="529">
        <f t="shared" si="7"/>
        <v>11.767058196640781</v>
      </c>
      <c r="H40" s="17">
        <f t="shared" si="8"/>
        <v>3.5079262624339913E-2</v>
      </c>
      <c r="I40" s="5"/>
      <c r="J40" s="259"/>
      <c r="K40" s="259"/>
      <c r="L40" s="259"/>
      <c r="M40" s="259"/>
      <c r="N40" s="259"/>
      <c r="O40" s="18"/>
      <c r="Q40" s="5"/>
      <c r="R40" s="5"/>
      <c r="S40" s="42"/>
      <c r="T40" s="42"/>
      <c r="U40" s="42"/>
      <c r="V40" s="42"/>
      <c r="W40" s="288"/>
      <c r="X40" s="288"/>
      <c r="Y40" s="42"/>
      <c r="Z40" s="42"/>
      <c r="AA40" s="42"/>
    </row>
    <row r="41" spans="2:27">
      <c r="B41" s="5" t="s">
        <v>530</v>
      </c>
      <c r="C41" s="247"/>
      <c r="D41" s="529">
        <f>D$18/D27</f>
        <v>1.7067868991594182</v>
      </c>
      <c r="E41" s="529">
        <f t="shared" si="7"/>
        <v>1.6841764642178081</v>
      </c>
      <c r="F41" s="529">
        <f t="shared" si="7"/>
        <v>1.5910790100400161</v>
      </c>
      <c r="G41" s="529">
        <f t="shared" si="7"/>
        <v>1.4930478199461032</v>
      </c>
      <c r="H41" s="17">
        <f t="shared" si="8"/>
        <v>2.0774567136006894E-2</v>
      </c>
      <c r="I41" s="247"/>
      <c r="J41" s="17"/>
      <c r="K41" s="17"/>
      <c r="L41" s="17"/>
      <c r="M41" s="17"/>
      <c r="N41" s="17"/>
      <c r="O41" s="5"/>
      <c r="Q41" s="5"/>
      <c r="R41" s="5"/>
      <c r="S41" s="42"/>
      <c r="T41" s="42"/>
      <c r="U41" s="42"/>
      <c r="V41" s="42"/>
      <c r="W41" s="288"/>
      <c r="X41" s="288"/>
      <c r="Y41" s="288"/>
      <c r="Z41" s="288"/>
      <c r="AA41" s="42"/>
    </row>
    <row r="42" spans="2:27">
      <c r="B42" s="5" t="s">
        <v>593</v>
      </c>
      <c r="C42" s="247"/>
      <c r="D42" s="529">
        <f>D18/D28</f>
        <v>2.6468972181177688</v>
      </c>
      <c r="E42" s="529">
        <f>E18/E28</f>
        <v>2.4960713260932756</v>
      </c>
      <c r="F42" s="529">
        <f>F18/F28</f>
        <v>2.3406936890879324</v>
      </c>
      <c r="G42" s="529">
        <f>G18/G28</f>
        <v>2.1775926771386471</v>
      </c>
      <c r="H42" s="17">
        <f t="shared" si="8"/>
        <v>4.1873015604453556E-2</v>
      </c>
      <c r="I42" s="248"/>
      <c r="J42" s="5"/>
      <c r="K42" s="5"/>
      <c r="L42" s="5"/>
      <c r="M42" s="5"/>
      <c r="N42" s="5"/>
      <c r="O42" s="5"/>
      <c r="Q42" s="5"/>
      <c r="R42" s="5"/>
      <c r="S42" s="42"/>
      <c r="T42" s="42"/>
      <c r="U42" s="42"/>
      <c r="V42" s="42"/>
      <c r="W42" s="288"/>
      <c r="X42" s="288"/>
      <c r="Y42" s="288"/>
      <c r="Z42" s="288"/>
      <c r="AA42" s="42"/>
    </row>
    <row r="43" spans="2:27">
      <c r="B43" s="5" t="s">
        <v>475</v>
      </c>
      <c r="C43" s="247"/>
      <c r="D43" s="529">
        <f>L26/D29</f>
        <v>5.7619249921893552</v>
      </c>
      <c r="E43" s="529">
        <f>M26/E29</f>
        <v>11.666387690461779</v>
      </c>
      <c r="F43" s="529">
        <f>N26/F29</f>
        <v>11.851064326976998</v>
      </c>
      <c r="G43" s="529">
        <f>O26/G29</f>
        <v>11.090624324402398</v>
      </c>
      <c r="H43" s="17">
        <f t="shared" si="8"/>
        <v>-0.2017064088299837</v>
      </c>
      <c r="I43" s="247"/>
      <c r="J43" s="247"/>
      <c r="K43" s="247"/>
      <c r="L43" s="247"/>
      <c r="M43" s="247"/>
      <c r="N43" s="247"/>
      <c r="O43" s="18"/>
      <c r="Q43" s="5"/>
      <c r="R43" s="5"/>
      <c r="S43" s="42"/>
      <c r="T43" s="42"/>
      <c r="U43" s="42"/>
      <c r="V43" s="42"/>
      <c r="W43" s="288"/>
      <c r="X43" s="288"/>
      <c r="Y43" s="288"/>
      <c r="Z43" s="288"/>
      <c r="AA43" s="42"/>
    </row>
    <row r="44" spans="2:27">
      <c r="B44" s="5" t="s">
        <v>533</v>
      </c>
      <c r="C44" s="69"/>
      <c r="D44" s="529">
        <f>D11/D30</f>
        <v>-11.986745375574705</v>
      </c>
      <c r="E44" s="529">
        <f>E11/E30</f>
        <v>45.269222877654357</v>
      </c>
      <c r="F44" s="529">
        <f>F11/F30</f>
        <v>7.9054706505012255</v>
      </c>
      <c r="G44" s="529">
        <f>G11/G30</f>
        <v>7.1273463409038786</v>
      </c>
      <c r="H44" s="17">
        <f t="shared" si="8"/>
        <v>-2.1809094004388401</v>
      </c>
      <c r="I44" s="247"/>
      <c r="J44" s="248"/>
      <c r="K44" s="248"/>
      <c r="L44" s="248"/>
      <c r="M44" s="248"/>
      <c r="N44" s="248"/>
      <c r="O44" s="248"/>
      <c r="Q44" s="5"/>
      <c r="R44" s="5"/>
      <c r="S44" s="42"/>
      <c r="T44" s="42"/>
      <c r="U44" s="42"/>
      <c r="V44" s="42"/>
      <c r="W44" s="325"/>
      <c r="X44" s="325"/>
      <c r="Y44" s="288"/>
      <c r="Z44" s="288"/>
      <c r="AA44" s="42"/>
    </row>
    <row r="45" spans="2:27">
      <c r="B45" s="5" t="s">
        <v>580</v>
      </c>
      <c r="C45" s="247"/>
      <c r="D45" s="248">
        <f>D31/D11</f>
        <v>-3.6655976611570253E-2</v>
      </c>
      <c r="E45" s="248">
        <f>E31/E11</f>
        <v>-3.9803137861811173E-2</v>
      </c>
      <c r="F45" s="248">
        <f>F31/F11</f>
        <v>-4.3205394025619848E-2</v>
      </c>
      <c r="G45" s="248">
        <f>G31/G11</f>
        <v>-4.833329591056449E-2</v>
      </c>
      <c r="H45" s="17">
        <f t="shared" si="8"/>
        <v>8.8911655055702976E-2</v>
      </c>
      <c r="I45" s="248"/>
      <c r="J45" s="247"/>
      <c r="K45" s="247"/>
      <c r="L45" s="247"/>
      <c r="M45" s="247"/>
      <c r="N45" s="247"/>
      <c r="O45" s="248"/>
      <c r="Q45" s="5"/>
      <c r="R45" s="5"/>
      <c r="S45" s="42"/>
      <c r="T45" s="42"/>
      <c r="U45" s="42"/>
      <c r="V45" s="42"/>
      <c r="W45" s="42"/>
      <c r="X45" s="42"/>
      <c r="Y45" s="325"/>
      <c r="Z45" s="325"/>
      <c r="AA45" s="42"/>
    </row>
    <row r="46" spans="2:27">
      <c r="B46" s="5" t="s">
        <v>605</v>
      </c>
      <c r="C46" s="247"/>
      <c r="D46" s="248">
        <f>(D31+D32)/D11</f>
        <v>-3.6655976611570253E-2</v>
      </c>
      <c r="E46" s="248">
        <f>(E31+E32)/E11</f>
        <v>-3.9803137861811173E-2</v>
      </c>
      <c r="F46" s="248">
        <f>(F31+F32)/F11</f>
        <v>-4.3205394025619848E-2</v>
      </c>
      <c r="G46" s="248">
        <f>(G31+G32)/G11</f>
        <v>-4.833329591056449E-2</v>
      </c>
      <c r="H46" s="279">
        <f>((G31+G32)/(D31+D32))^(1/3)-1</f>
        <v>8.8911655055702976E-2</v>
      </c>
      <c r="I46" s="247"/>
      <c r="J46" s="247"/>
      <c r="K46" s="247"/>
      <c r="L46" s="247"/>
      <c r="M46" s="247"/>
      <c r="N46" s="247"/>
      <c r="O46" s="18"/>
      <c r="Q46" s="5"/>
      <c r="R46" s="5"/>
      <c r="S46" s="42"/>
      <c r="T46" s="42"/>
      <c r="U46" s="42"/>
      <c r="V46" s="42"/>
      <c r="W46" s="42"/>
      <c r="X46" s="42"/>
      <c r="Y46" s="42"/>
      <c r="Z46" s="42"/>
      <c r="AA46" s="326"/>
    </row>
    <row r="47" spans="2:27">
      <c r="B47" s="5" t="s">
        <v>581</v>
      </c>
      <c r="C47" s="5"/>
      <c r="D47" s="248">
        <f>1/D43</f>
        <v>0.17355310965615861</v>
      </c>
      <c r="E47" s="248">
        <f>1/E43</f>
        <v>8.5716335384395062E-2</v>
      </c>
      <c r="F47" s="248">
        <f>1/F43</f>
        <v>8.4380606872891964E-2</v>
      </c>
      <c r="G47" s="248">
        <f>1/G43</f>
        <v>9.0166249504973969E-2</v>
      </c>
      <c r="H47" s="17">
        <f>H29</f>
        <v>-0.2017064088299837</v>
      </c>
      <c r="I47" s="17"/>
      <c r="J47" s="248"/>
      <c r="K47" s="248"/>
      <c r="L47" s="248"/>
      <c r="M47" s="248"/>
      <c r="N47" s="248"/>
      <c r="O47" s="248"/>
      <c r="Q47" s="5"/>
      <c r="R47" s="5"/>
      <c r="S47" s="42"/>
      <c r="T47" s="42"/>
      <c r="U47" s="42"/>
      <c r="V47" s="42"/>
      <c r="W47" s="42"/>
      <c r="X47" s="42"/>
      <c r="Y47" s="42"/>
      <c r="Z47" s="42"/>
      <c r="AA47" s="326"/>
    </row>
    <row r="48" spans="2:27">
      <c r="B48" s="5" t="s">
        <v>618</v>
      </c>
      <c r="C48" s="5"/>
      <c r="D48" s="305">
        <f>D31/D29</f>
        <v>-0.21120898775131511</v>
      </c>
      <c r="E48" s="305">
        <f>E31/E29</f>
        <v>-0.46435883759278701</v>
      </c>
      <c r="F48" s="305">
        <f>F31/F29</f>
        <v>-0.51202990387000846</v>
      </c>
      <c r="G48" s="305">
        <f>G31/G29</f>
        <v>-0.53604642730424545</v>
      </c>
      <c r="H48" s="279" t="s">
        <v>607</v>
      </c>
      <c r="I48" s="247"/>
      <c r="J48" s="247"/>
      <c r="K48" s="247"/>
      <c r="L48" s="247"/>
      <c r="M48" s="247"/>
      <c r="N48" s="247"/>
      <c r="O48" s="248"/>
      <c r="Q48" s="5"/>
      <c r="R48" s="5"/>
      <c r="S48" s="42"/>
      <c r="T48" s="42"/>
      <c r="U48" s="42"/>
      <c r="V48" s="42"/>
      <c r="W48" s="42"/>
      <c r="X48" s="42"/>
      <c r="Y48" s="42"/>
      <c r="Z48" s="42"/>
      <c r="AA48" s="326"/>
    </row>
    <row r="49" spans="2:27">
      <c r="B49" s="41"/>
      <c r="C49" s="17"/>
      <c r="D49" s="17"/>
      <c r="E49" s="17"/>
      <c r="F49" s="17"/>
      <c r="G49" s="17"/>
      <c r="H49" s="17"/>
      <c r="I49" s="254"/>
      <c r="J49" s="17"/>
      <c r="K49" s="17"/>
      <c r="L49" s="17"/>
      <c r="M49" s="17"/>
      <c r="N49" s="17"/>
      <c r="O49" s="248"/>
      <c r="Q49" s="5"/>
      <c r="R49" s="5"/>
      <c r="S49" s="42"/>
      <c r="T49" s="42"/>
      <c r="U49" s="42"/>
      <c r="V49" s="42"/>
      <c r="W49" s="42"/>
      <c r="X49" s="42"/>
      <c r="Y49" s="42"/>
      <c r="Z49" s="42"/>
      <c r="AA49" s="326"/>
    </row>
    <row r="50" spans="2:27">
      <c r="B50" s="5"/>
      <c r="C50" s="257"/>
      <c r="D50" s="257"/>
      <c r="E50" s="257"/>
      <c r="F50" s="5"/>
      <c r="G50" s="41"/>
      <c r="H50" s="249"/>
      <c r="I50" s="17"/>
      <c r="J50" s="249"/>
      <c r="K50" s="249"/>
      <c r="L50" s="249"/>
      <c r="M50" s="249"/>
      <c r="N50" s="249"/>
      <c r="O50" s="250"/>
      <c r="Q50" s="5"/>
      <c r="R50" s="5"/>
      <c r="S50" s="42"/>
      <c r="T50" s="42"/>
      <c r="U50" s="42"/>
      <c r="V50" s="42"/>
      <c r="W50" s="288"/>
      <c r="X50" s="288"/>
      <c r="Y50" s="42"/>
      <c r="Z50" s="42"/>
      <c r="AA50" s="326"/>
    </row>
    <row r="51" spans="2:27">
      <c r="B51" s="41"/>
      <c r="C51" s="249"/>
      <c r="D51" s="254"/>
      <c r="E51" s="254"/>
      <c r="F51" s="254"/>
      <c r="G51" s="254"/>
      <c r="H51" s="254"/>
      <c r="I51" s="259"/>
      <c r="J51" s="254"/>
      <c r="K51" s="254"/>
      <c r="L51" s="254"/>
      <c r="M51" s="254"/>
      <c r="N51" s="254"/>
      <c r="O51" s="251"/>
      <c r="Q51" s="5"/>
      <c r="R51" s="5"/>
      <c r="S51" s="42"/>
      <c r="T51" s="42"/>
      <c r="U51" s="42"/>
      <c r="V51" s="42"/>
      <c r="W51" s="288"/>
      <c r="X51" s="288"/>
      <c r="Y51" s="288"/>
      <c r="Z51" s="288"/>
      <c r="AA51" s="42"/>
    </row>
    <row r="52" spans="2:27">
      <c r="B52" s="5"/>
      <c r="C52" s="257"/>
      <c r="D52" s="17"/>
      <c r="E52" s="17"/>
      <c r="F52" s="17"/>
      <c r="G52" s="17"/>
      <c r="H52" s="17"/>
      <c r="I52" s="254"/>
      <c r="J52" s="17"/>
      <c r="K52" s="17"/>
      <c r="L52" s="17"/>
      <c r="M52" s="17"/>
      <c r="N52" s="17"/>
      <c r="O52" s="248"/>
      <c r="Q52" s="5"/>
      <c r="R52" s="5"/>
      <c r="S52" s="5"/>
      <c r="Y52" s="10"/>
      <c r="Z52" s="10"/>
    </row>
    <row r="53" spans="2:27">
      <c r="B53" s="5"/>
      <c r="C53" s="257"/>
      <c r="D53" s="257"/>
      <c r="E53" s="257"/>
      <c r="F53" s="5"/>
      <c r="G53" s="5"/>
      <c r="H53" s="259"/>
      <c r="I53" s="17"/>
      <c r="J53" s="259"/>
      <c r="K53" s="259"/>
      <c r="L53" s="259"/>
      <c r="M53" s="259"/>
      <c r="N53" s="259"/>
      <c r="O53" s="18"/>
      <c r="Q53" s="5"/>
      <c r="R53" s="5"/>
      <c r="S53" s="5"/>
    </row>
    <row r="54" spans="2:27">
      <c r="B54" s="41"/>
      <c r="C54" s="249"/>
      <c r="D54" s="254"/>
      <c r="E54" s="254"/>
      <c r="F54" s="254"/>
      <c r="G54" s="254"/>
      <c r="H54" s="254"/>
      <c r="I54" s="259"/>
      <c r="J54" s="254"/>
      <c r="K54" s="254"/>
      <c r="L54" s="254"/>
      <c r="M54" s="254"/>
      <c r="N54" s="254"/>
      <c r="O54" s="251"/>
      <c r="Q54" s="5"/>
      <c r="R54" s="5"/>
      <c r="S54" s="5"/>
    </row>
    <row r="55" spans="2:27">
      <c r="B55" s="5"/>
      <c r="C55" s="257"/>
      <c r="D55" s="17"/>
      <c r="E55" s="17"/>
      <c r="F55" s="17"/>
      <c r="G55" s="17"/>
      <c r="H55" s="17"/>
      <c r="I55" s="249"/>
      <c r="J55" s="17"/>
      <c r="K55" s="17"/>
      <c r="L55" s="17"/>
      <c r="M55" s="17"/>
      <c r="N55" s="17"/>
      <c r="O55" s="18"/>
      <c r="Q55" s="5"/>
      <c r="R55" s="5"/>
      <c r="S55" s="5"/>
    </row>
    <row r="56" spans="2:27">
      <c r="B56" s="5"/>
      <c r="C56" s="248"/>
      <c r="D56" s="248"/>
      <c r="E56" s="248"/>
      <c r="F56" s="5"/>
      <c r="G56" s="5"/>
      <c r="H56" s="259"/>
      <c r="I56" s="248"/>
      <c r="J56" s="259"/>
      <c r="K56" s="259"/>
      <c r="L56" s="259"/>
      <c r="M56" s="259"/>
      <c r="N56" s="259"/>
      <c r="O56" s="18"/>
      <c r="Q56" s="5"/>
      <c r="R56" s="5"/>
      <c r="S56" s="5"/>
    </row>
    <row r="57" spans="2:27">
      <c r="B57" s="41"/>
      <c r="C57" s="249"/>
      <c r="D57" s="249"/>
      <c r="E57" s="249"/>
      <c r="F57" s="249"/>
      <c r="G57" s="249"/>
      <c r="H57" s="249"/>
      <c r="I57" s="5"/>
      <c r="J57" s="249"/>
      <c r="K57" s="249"/>
      <c r="L57" s="249"/>
      <c r="M57" s="249"/>
      <c r="N57" s="249"/>
      <c r="O57" s="251"/>
      <c r="Q57" s="5"/>
      <c r="R57" s="5"/>
      <c r="S57" s="5"/>
    </row>
    <row r="58" spans="2:27">
      <c r="B58" s="5"/>
      <c r="C58" s="5"/>
      <c r="D58" s="248"/>
      <c r="E58" s="248"/>
      <c r="F58" s="248"/>
      <c r="G58" s="248"/>
      <c r="H58" s="248"/>
      <c r="I58" s="17"/>
      <c r="J58" s="248"/>
      <c r="K58" s="248"/>
      <c r="L58" s="248"/>
      <c r="M58" s="248"/>
      <c r="N58" s="248"/>
      <c r="O58" s="18"/>
      <c r="Q58" s="5"/>
      <c r="R58" s="5"/>
      <c r="S58" s="5"/>
    </row>
    <row r="59" spans="2:27">
      <c r="B59" s="5"/>
      <c r="C59" s="5"/>
      <c r="D59" s="5"/>
      <c r="E59" s="5"/>
      <c r="F59" s="5"/>
      <c r="G59" s="5"/>
      <c r="H59" s="5"/>
      <c r="I59" s="5"/>
      <c r="J59" s="5"/>
      <c r="K59" s="5"/>
      <c r="L59" s="5"/>
      <c r="M59" s="5"/>
      <c r="N59" s="5"/>
      <c r="O59" s="5"/>
      <c r="Q59" s="5"/>
      <c r="R59" s="5"/>
      <c r="S59" s="5"/>
    </row>
    <row r="60" spans="2:27">
      <c r="B60" s="41"/>
      <c r="C60" s="17"/>
      <c r="D60" s="17"/>
      <c r="E60" s="17"/>
      <c r="F60" s="17"/>
      <c r="G60" s="17"/>
      <c r="H60" s="17"/>
      <c r="I60" s="249"/>
      <c r="J60" s="17"/>
      <c r="K60" s="17"/>
      <c r="L60" s="17"/>
      <c r="M60" s="17"/>
      <c r="N60" s="17"/>
      <c r="O60" s="251"/>
      <c r="Q60" s="5"/>
      <c r="R60" s="5"/>
      <c r="S60" s="5"/>
    </row>
    <row r="61" spans="2:27">
      <c r="B61" s="5"/>
      <c r="C61" s="5"/>
      <c r="D61" s="5"/>
      <c r="E61" s="5"/>
      <c r="F61" s="5"/>
      <c r="G61" s="5"/>
      <c r="H61" s="5"/>
      <c r="I61" s="5"/>
      <c r="J61" s="5"/>
      <c r="K61" s="5"/>
      <c r="L61" s="5"/>
      <c r="M61" s="5"/>
      <c r="N61" s="5"/>
      <c r="O61" s="5"/>
      <c r="Q61" s="41"/>
      <c r="R61" s="5"/>
      <c r="S61" s="5"/>
    </row>
    <row r="62" spans="2:27">
      <c r="B62" s="41"/>
      <c r="C62" s="249"/>
      <c r="D62" s="249"/>
      <c r="E62" s="249"/>
      <c r="F62" s="249"/>
      <c r="G62" s="249"/>
      <c r="H62" s="249"/>
      <c r="I62" s="5"/>
      <c r="J62" s="249"/>
      <c r="K62" s="249"/>
      <c r="L62" s="249"/>
      <c r="M62" s="249"/>
      <c r="N62" s="249"/>
      <c r="O62" s="251"/>
      <c r="Q62" s="5"/>
      <c r="R62" s="5"/>
      <c r="S62" s="5"/>
    </row>
    <row r="63" spans="2:27">
      <c r="B63" s="5"/>
      <c r="C63" s="5"/>
      <c r="D63" s="5"/>
      <c r="E63" s="5"/>
      <c r="F63" s="5"/>
      <c r="G63" s="5"/>
      <c r="H63" s="5"/>
      <c r="I63" s="254"/>
      <c r="J63" s="5"/>
      <c r="K63" s="5"/>
      <c r="L63" s="5"/>
      <c r="M63" s="5"/>
      <c r="N63" s="5"/>
      <c r="O63" s="5"/>
      <c r="Q63" s="5"/>
      <c r="R63" s="5"/>
      <c r="S63" s="5"/>
    </row>
    <row r="64" spans="2:27">
      <c r="B64" s="5"/>
      <c r="C64" s="5"/>
      <c r="D64" s="5"/>
      <c r="E64" s="5"/>
      <c r="F64" s="5"/>
      <c r="G64" s="5"/>
      <c r="H64" s="5"/>
      <c r="I64" s="17"/>
      <c r="J64" s="5"/>
      <c r="K64" s="5"/>
      <c r="L64" s="5"/>
      <c r="M64" s="5"/>
      <c r="N64" s="5"/>
      <c r="O64" s="5"/>
      <c r="Q64" s="5"/>
      <c r="R64" s="5"/>
      <c r="S64" s="5"/>
    </row>
    <row r="65" spans="2:26">
      <c r="B65" s="41"/>
      <c r="C65" s="249"/>
      <c r="D65" s="254"/>
      <c r="E65" s="254"/>
      <c r="F65" s="254"/>
      <c r="G65" s="254"/>
      <c r="H65" s="254"/>
      <c r="I65" s="254"/>
      <c r="J65" s="254"/>
      <c r="K65" s="254"/>
      <c r="L65" s="254"/>
      <c r="M65" s="254"/>
      <c r="N65" s="254"/>
      <c r="O65" s="251"/>
      <c r="Q65" s="5"/>
      <c r="R65" s="5"/>
      <c r="S65" s="5"/>
    </row>
    <row r="66" spans="2:26">
      <c r="B66" s="5"/>
      <c r="C66" s="5"/>
      <c r="D66" s="17"/>
      <c r="E66" s="17"/>
      <c r="F66" s="17"/>
      <c r="G66" s="17"/>
      <c r="H66" s="17"/>
      <c r="I66" s="248"/>
      <c r="J66" s="17"/>
      <c r="K66" s="17"/>
      <c r="L66" s="17"/>
      <c r="M66" s="17"/>
      <c r="N66" s="17"/>
      <c r="O66" s="5"/>
      <c r="Q66" s="5"/>
      <c r="R66" s="5"/>
      <c r="S66" s="5"/>
    </row>
    <row r="67" spans="2:26">
      <c r="B67" s="41"/>
      <c r="C67" s="249"/>
      <c r="D67" s="254"/>
      <c r="E67" s="254"/>
      <c r="F67" s="254"/>
      <c r="G67" s="254"/>
      <c r="H67" s="254"/>
      <c r="I67" s="5"/>
      <c r="J67" s="254"/>
      <c r="K67" s="254"/>
      <c r="L67" s="254"/>
      <c r="M67" s="254"/>
      <c r="N67" s="254"/>
      <c r="O67" s="251"/>
      <c r="Q67" s="41"/>
      <c r="R67" s="5"/>
      <c r="S67" s="5"/>
    </row>
    <row r="68" spans="2:26">
      <c r="B68" s="5"/>
      <c r="C68" s="5"/>
      <c r="D68" s="248"/>
      <c r="E68" s="248"/>
      <c r="F68" s="248"/>
      <c r="G68" s="248"/>
      <c r="H68" s="248"/>
      <c r="I68" s="245"/>
      <c r="J68" s="248"/>
      <c r="K68" s="248"/>
      <c r="L68" s="248"/>
      <c r="M68" s="248"/>
      <c r="N68" s="248"/>
      <c r="O68" s="5"/>
      <c r="Q68" s="5"/>
      <c r="R68" s="5"/>
      <c r="S68" s="5"/>
    </row>
    <row r="69" spans="2:26">
      <c r="B69" s="41"/>
      <c r="C69" s="5"/>
      <c r="D69" s="5"/>
      <c r="E69" s="5"/>
      <c r="F69" s="5"/>
      <c r="G69" s="5"/>
      <c r="H69" s="5"/>
      <c r="I69" s="248"/>
      <c r="J69" s="5"/>
      <c r="K69" s="5"/>
      <c r="L69" s="5"/>
      <c r="M69" s="5"/>
      <c r="N69" s="5"/>
      <c r="O69" s="5"/>
      <c r="Q69" s="5"/>
      <c r="R69" s="5"/>
      <c r="S69" s="5"/>
    </row>
    <row r="70" spans="2:26">
      <c r="B70" s="41"/>
      <c r="C70" s="245"/>
      <c r="D70" s="245"/>
      <c r="E70" s="245"/>
      <c r="F70" s="245"/>
      <c r="G70" s="245"/>
      <c r="H70" s="245"/>
      <c r="I70" s="5"/>
      <c r="J70" s="245"/>
      <c r="K70" s="245"/>
      <c r="L70" s="245"/>
      <c r="M70" s="245"/>
      <c r="N70" s="245"/>
      <c r="O70" s="251"/>
      <c r="Q70" s="5"/>
      <c r="R70" s="5"/>
      <c r="S70" s="5"/>
      <c r="W70" s="76"/>
      <c r="X70" s="76"/>
    </row>
    <row r="71" spans="2:26">
      <c r="B71" s="5"/>
      <c r="C71" s="5"/>
      <c r="D71" s="248"/>
      <c r="E71" s="248"/>
      <c r="F71" s="248"/>
      <c r="G71" s="248"/>
      <c r="H71" s="248"/>
      <c r="I71" s="245"/>
      <c r="J71" s="248"/>
      <c r="K71" s="248"/>
      <c r="L71" s="248"/>
      <c r="M71" s="248"/>
      <c r="N71" s="248"/>
      <c r="O71" s="5"/>
      <c r="Q71" s="5"/>
      <c r="R71" s="5"/>
      <c r="S71" s="5"/>
      <c r="W71" s="76"/>
      <c r="X71" s="76"/>
      <c r="Y71" s="76"/>
      <c r="Z71" s="76"/>
    </row>
    <row r="72" spans="2:26">
      <c r="B72" s="41"/>
      <c r="C72" s="5"/>
      <c r="D72" s="5"/>
      <c r="E72" s="5"/>
      <c r="F72" s="5"/>
      <c r="G72" s="5"/>
      <c r="H72" s="5"/>
      <c r="I72" s="18"/>
      <c r="J72" s="5"/>
      <c r="K72" s="5"/>
      <c r="L72" s="5"/>
      <c r="M72" s="5"/>
      <c r="N72" s="5"/>
      <c r="O72" s="5"/>
      <c r="Q72" s="5"/>
      <c r="R72" s="5"/>
      <c r="S72" s="5"/>
      <c r="Y72" s="76"/>
      <c r="Z72" s="76"/>
    </row>
    <row r="73" spans="2:26">
      <c r="B73" s="41"/>
      <c r="C73" s="245"/>
      <c r="D73" s="245"/>
      <c r="E73" s="245"/>
      <c r="F73" s="245"/>
      <c r="G73" s="245"/>
      <c r="H73" s="245"/>
      <c r="I73" s="5"/>
      <c r="J73" s="245"/>
      <c r="K73" s="245"/>
      <c r="L73" s="245"/>
      <c r="M73" s="245"/>
      <c r="N73" s="245"/>
      <c r="O73" s="251"/>
      <c r="Q73" s="5"/>
      <c r="R73" s="5"/>
      <c r="S73" s="5"/>
    </row>
    <row r="74" spans="2:26">
      <c r="B74" s="5"/>
      <c r="C74" s="5"/>
      <c r="D74" s="18"/>
      <c r="E74" s="18"/>
      <c r="F74" s="18"/>
      <c r="G74" s="18"/>
      <c r="H74" s="18"/>
      <c r="I74" s="249"/>
      <c r="J74" s="18"/>
      <c r="K74" s="18"/>
      <c r="L74" s="18"/>
      <c r="M74" s="18"/>
      <c r="N74" s="18"/>
      <c r="O74" s="5"/>
      <c r="Q74" s="5"/>
      <c r="R74" s="5"/>
      <c r="S74" s="5"/>
    </row>
    <row r="75" spans="2:26">
      <c r="B75" s="41"/>
      <c r="C75" s="5"/>
      <c r="D75" s="5"/>
      <c r="E75" s="5"/>
      <c r="F75" s="5"/>
      <c r="G75" s="5"/>
      <c r="H75" s="5"/>
      <c r="I75" s="248"/>
      <c r="J75" s="5"/>
      <c r="K75" s="5"/>
      <c r="L75" s="5"/>
      <c r="M75" s="5"/>
      <c r="N75" s="5"/>
      <c r="O75" s="5"/>
      <c r="Q75" s="5"/>
      <c r="R75" s="5"/>
      <c r="S75" s="5"/>
    </row>
    <row r="76" spans="2:26">
      <c r="B76" s="41"/>
      <c r="C76" s="249"/>
      <c r="D76" s="249"/>
      <c r="E76" s="249"/>
      <c r="F76" s="249"/>
      <c r="G76" s="249"/>
      <c r="H76" s="249"/>
      <c r="I76" s="5"/>
      <c r="J76" s="249"/>
      <c r="K76" s="249"/>
      <c r="L76" s="249"/>
      <c r="M76" s="249"/>
      <c r="N76" s="249"/>
      <c r="O76" s="251"/>
      <c r="Q76" s="5"/>
      <c r="R76" s="5"/>
      <c r="S76" s="5"/>
    </row>
    <row r="77" spans="2:26">
      <c r="B77" s="5"/>
      <c r="C77" s="5"/>
      <c r="D77" s="248"/>
      <c r="E77" s="248"/>
      <c r="F77" s="248"/>
      <c r="G77" s="248"/>
      <c r="H77" s="248"/>
      <c r="I77" s="245"/>
      <c r="J77" s="248"/>
      <c r="K77" s="248"/>
      <c r="L77" s="248"/>
      <c r="M77" s="248"/>
      <c r="N77" s="248"/>
      <c r="O77" s="5"/>
      <c r="Q77" s="5"/>
      <c r="R77" s="5"/>
      <c r="S77" s="5"/>
    </row>
    <row r="78" spans="2:26">
      <c r="B78" s="41"/>
      <c r="C78" s="5"/>
      <c r="D78" s="5"/>
      <c r="E78" s="5"/>
      <c r="F78" s="5"/>
      <c r="G78" s="5"/>
      <c r="H78" s="5"/>
      <c r="I78" s="248"/>
      <c r="J78" s="5"/>
      <c r="K78" s="5"/>
      <c r="L78" s="5"/>
      <c r="M78" s="5"/>
      <c r="N78" s="5"/>
      <c r="O78" s="5"/>
      <c r="Q78" s="5"/>
      <c r="R78" s="5"/>
      <c r="S78" s="5"/>
    </row>
    <row r="79" spans="2:26">
      <c r="B79" s="41"/>
      <c r="C79" s="245"/>
      <c r="D79" s="245"/>
      <c r="E79" s="245"/>
      <c r="F79" s="245"/>
      <c r="G79" s="245"/>
      <c r="H79" s="245"/>
      <c r="I79" s="5"/>
      <c r="J79" s="245"/>
      <c r="K79" s="245"/>
      <c r="L79" s="245"/>
      <c r="M79" s="245"/>
      <c r="N79" s="245"/>
      <c r="O79" s="251"/>
      <c r="Q79" s="5"/>
      <c r="R79" s="5"/>
      <c r="S79" s="5"/>
    </row>
    <row r="80" spans="2:26">
      <c r="B80" s="5"/>
      <c r="C80" s="5"/>
      <c r="D80" s="248"/>
      <c r="E80" s="248"/>
      <c r="F80" s="248"/>
      <c r="G80" s="248"/>
      <c r="H80" s="248"/>
      <c r="I80" s="249"/>
      <c r="J80" s="248"/>
      <c r="K80" s="248"/>
      <c r="L80" s="248"/>
      <c r="M80" s="248"/>
      <c r="N80" s="248"/>
      <c r="O80" s="5"/>
      <c r="Q80" s="5"/>
      <c r="R80" s="5"/>
      <c r="S80" s="5"/>
    </row>
    <row r="81" spans="2:26">
      <c r="B81" s="41"/>
      <c r="C81" s="5"/>
      <c r="D81" s="5"/>
      <c r="E81" s="5"/>
      <c r="F81" s="5"/>
      <c r="G81" s="5"/>
      <c r="H81" s="5"/>
      <c r="I81" s="248"/>
      <c r="J81" s="5"/>
      <c r="K81" s="5"/>
      <c r="L81" s="5"/>
      <c r="M81" s="5"/>
      <c r="N81" s="5"/>
      <c r="O81" s="5"/>
      <c r="Q81" s="5"/>
      <c r="R81" s="5"/>
      <c r="S81" s="5"/>
    </row>
    <row r="82" spans="2:26">
      <c r="B82" s="41"/>
      <c r="C82" s="249"/>
      <c r="D82" s="249"/>
      <c r="E82" s="249"/>
      <c r="F82" s="249"/>
      <c r="G82" s="249"/>
      <c r="H82" s="249"/>
      <c r="I82" s="259"/>
      <c r="J82" s="249"/>
      <c r="K82" s="249"/>
      <c r="L82" s="249"/>
      <c r="M82" s="249"/>
      <c r="N82" s="249"/>
      <c r="O82" s="251"/>
      <c r="Q82" s="5"/>
      <c r="R82" s="5"/>
      <c r="S82" s="5"/>
    </row>
    <row r="83" spans="2:26">
      <c r="B83" s="5"/>
      <c r="C83" s="5"/>
      <c r="D83" s="248"/>
      <c r="E83" s="248"/>
      <c r="F83" s="248"/>
      <c r="G83" s="248"/>
      <c r="H83" s="248"/>
      <c r="I83" s="5"/>
      <c r="J83" s="248"/>
      <c r="K83" s="248"/>
      <c r="L83" s="248"/>
      <c r="M83" s="248"/>
      <c r="N83" s="248"/>
      <c r="O83" s="5"/>
      <c r="Q83" s="5"/>
      <c r="R83" s="5"/>
      <c r="S83" s="5"/>
    </row>
    <row r="84" spans="2:26">
      <c r="B84" s="5"/>
      <c r="C84" s="259"/>
      <c r="D84" s="259"/>
      <c r="E84" s="259"/>
      <c r="F84" s="259"/>
      <c r="G84" s="259"/>
      <c r="H84" s="259"/>
      <c r="I84" s="245"/>
      <c r="J84" s="259"/>
      <c r="K84" s="259"/>
      <c r="L84" s="259"/>
      <c r="M84" s="259"/>
      <c r="N84" s="259"/>
      <c r="O84" s="251"/>
      <c r="Q84" s="5"/>
      <c r="R84" s="5"/>
      <c r="S84" s="5"/>
    </row>
    <row r="85" spans="2:26">
      <c r="B85" s="41"/>
      <c r="C85" s="5"/>
      <c r="D85" s="5"/>
      <c r="E85" s="5"/>
      <c r="F85" s="5"/>
      <c r="G85" s="5"/>
      <c r="H85" s="5"/>
      <c r="I85" s="248"/>
      <c r="J85" s="5"/>
      <c r="K85" s="5"/>
      <c r="L85" s="5"/>
      <c r="M85" s="5"/>
      <c r="N85" s="5"/>
      <c r="O85" s="5"/>
      <c r="Q85" s="5"/>
      <c r="R85" s="5"/>
      <c r="S85" s="5"/>
    </row>
    <row r="86" spans="2:26">
      <c r="B86" s="41"/>
      <c r="C86" s="245"/>
      <c r="D86" s="245"/>
      <c r="E86" s="245"/>
      <c r="F86" s="245"/>
      <c r="G86" s="245"/>
      <c r="H86" s="245"/>
      <c r="I86" s="5"/>
      <c r="J86" s="245"/>
      <c r="K86" s="245"/>
      <c r="L86" s="245"/>
      <c r="M86" s="245"/>
      <c r="N86" s="245"/>
      <c r="O86" s="251"/>
      <c r="Q86" s="5"/>
      <c r="R86" s="5"/>
      <c r="S86" s="5"/>
    </row>
    <row r="87" spans="2:26">
      <c r="B87" s="5"/>
      <c r="C87" s="5"/>
      <c r="D87" s="248"/>
      <c r="E87" s="248"/>
      <c r="F87" s="248"/>
      <c r="G87" s="248"/>
      <c r="H87" s="248"/>
      <c r="I87" s="5"/>
      <c r="J87" s="248"/>
      <c r="K87" s="248"/>
      <c r="L87" s="248"/>
      <c r="M87" s="248"/>
      <c r="N87" s="248"/>
      <c r="O87" s="5"/>
      <c r="Q87" s="5"/>
      <c r="R87" s="5"/>
      <c r="S87" s="5"/>
    </row>
    <row r="88" spans="2:26">
      <c r="B88" s="41"/>
      <c r="C88" s="5"/>
      <c r="D88" s="5"/>
      <c r="E88" s="5"/>
      <c r="F88" s="5"/>
      <c r="G88" s="5"/>
      <c r="H88" s="5"/>
      <c r="I88" s="5"/>
      <c r="J88" s="5"/>
      <c r="K88" s="5"/>
      <c r="L88" s="5"/>
      <c r="M88" s="5"/>
      <c r="N88" s="5"/>
      <c r="O88" s="5"/>
      <c r="Q88" s="5"/>
      <c r="R88" s="5"/>
      <c r="S88" s="5"/>
    </row>
    <row r="89" spans="2:26">
      <c r="B89" s="41"/>
      <c r="C89" s="5"/>
      <c r="D89" s="5"/>
      <c r="E89" s="5"/>
      <c r="F89" s="5"/>
      <c r="G89" s="5"/>
      <c r="H89" s="5"/>
      <c r="I89" s="5"/>
      <c r="J89" s="5"/>
      <c r="K89" s="5"/>
      <c r="L89" s="5"/>
      <c r="M89" s="5"/>
      <c r="N89" s="5"/>
      <c r="O89" s="5"/>
      <c r="Q89" s="5"/>
      <c r="R89" s="5"/>
      <c r="S89" s="5"/>
    </row>
    <row r="90" spans="2:26">
      <c r="B90" s="41"/>
      <c r="C90" s="5"/>
      <c r="D90" s="5"/>
      <c r="E90" s="5"/>
      <c r="F90" s="5"/>
      <c r="G90" s="5"/>
      <c r="H90" s="5"/>
      <c r="I90" s="49"/>
      <c r="J90" s="5"/>
      <c r="K90" s="5"/>
      <c r="L90" s="5"/>
      <c r="M90" s="5"/>
      <c r="N90" s="5"/>
      <c r="O90" s="5"/>
      <c r="Q90" s="41"/>
      <c r="R90" s="5"/>
      <c r="S90" s="5"/>
    </row>
    <row r="91" spans="2:26">
      <c r="B91" s="5"/>
      <c r="C91" s="5"/>
      <c r="D91" s="5"/>
      <c r="E91" s="5"/>
      <c r="F91" s="5"/>
      <c r="G91" s="5"/>
      <c r="H91" s="5"/>
      <c r="I91" s="5"/>
      <c r="J91" s="5"/>
      <c r="K91" s="5"/>
      <c r="L91" s="5"/>
      <c r="M91" s="5"/>
      <c r="N91" s="5"/>
      <c r="O91" s="5"/>
      <c r="Q91" s="5"/>
      <c r="R91" s="5"/>
      <c r="S91" s="5"/>
    </row>
    <row r="92" spans="2:26">
      <c r="B92" s="41"/>
      <c r="C92" s="49"/>
      <c r="D92" s="49"/>
      <c r="E92" s="49"/>
      <c r="F92" s="49"/>
      <c r="G92" s="49"/>
      <c r="H92" s="49"/>
      <c r="I92" s="247"/>
      <c r="J92" s="49"/>
      <c r="K92" s="49"/>
      <c r="L92" s="49"/>
      <c r="M92" s="49"/>
      <c r="N92" s="49"/>
      <c r="O92" s="49"/>
      <c r="Q92" s="5"/>
      <c r="R92" s="5"/>
      <c r="S92" s="5"/>
      <c r="W92" s="21"/>
      <c r="X92" s="21"/>
    </row>
    <row r="93" spans="2:26">
      <c r="B93" s="5"/>
      <c r="C93" s="5"/>
      <c r="D93" s="5"/>
      <c r="E93" s="5"/>
      <c r="F93" s="5"/>
      <c r="G93" s="5"/>
      <c r="H93" s="5"/>
      <c r="I93" s="247"/>
      <c r="J93" s="5"/>
      <c r="K93" s="5"/>
      <c r="L93" s="5"/>
      <c r="M93" s="5"/>
      <c r="N93" s="5"/>
      <c r="O93" s="5"/>
      <c r="Q93" s="5"/>
      <c r="R93" s="5"/>
      <c r="S93" s="5"/>
      <c r="W93" s="21"/>
      <c r="X93" s="21"/>
      <c r="Y93" s="21"/>
      <c r="Z93" s="21"/>
    </row>
    <row r="94" spans="2:26">
      <c r="B94" s="5"/>
      <c r="C94" s="259"/>
      <c r="D94" s="247"/>
      <c r="E94" s="247"/>
      <c r="F94" s="247"/>
      <c r="G94" s="247"/>
      <c r="H94" s="247"/>
      <c r="I94" s="247"/>
      <c r="J94" s="247"/>
      <c r="K94" s="247"/>
      <c r="L94" s="247"/>
      <c r="M94" s="247"/>
      <c r="N94" s="247"/>
      <c r="O94" s="248"/>
      <c r="Q94" s="5"/>
      <c r="R94" s="5"/>
      <c r="S94" s="5"/>
      <c r="Y94" s="21"/>
      <c r="Z94" s="21"/>
    </row>
    <row r="95" spans="2:26">
      <c r="B95" s="5"/>
      <c r="C95" s="259"/>
      <c r="D95" s="247"/>
      <c r="E95" s="247"/>
      <c r="F95" s="247"/>
      <c r="G95" s="247"/>
      <c r="H95" s="247"/>
      <c r="I95" s="248"/>
      <c r="J95" s="247"/>
      <c r="K95" s="247"/>
      <c r="L95" s="247"/>
      <c r="M95" s="247"/>
      <c r="N95" s="247"/>
      <c r="O95" s="248"/>
      <c r="Q95" s="5"/>
      <c r="R95" s="5"/>
      <c r="S95" s="5"/>
    </row>
    <row r="96" spans="2:26">
      <c r="B96" s="5"/>
      <c r="C96" s="259"/>
      <c r="D96" s="247"/>
      <c r="E96" s="247"/>
      <c r="F96" s="247"/>
      <c r="G96" s="247"/>
      <c r="H96" s="247"/>
      <c r="I96" s="247"/>
      <c r="J96" s="247"/>
      <c r="K96" s="247"/>
      <c r="L96" s="247"/>
      <c r="M96" s="247"/>
      <c r="N96" s="247"/>
      <c r="O96" s="248"/>
      <c r="Q96" s="5"/>
      <c r="R96" s="5"/>
      <c r="S96" s="5"/>
    </row>
    <row r="97" spans="2:19">
      <c r="B97" s="5"/>
      <c r="C97" s="259"/>
      <c r="D97" s="248"/>
      <c r="E97" s="248"/>
      <c r="F97" s="248"/>
      <c r="G97" s="248"/>
      <c r="H97" s="248"/>
      <c r="I97" s="249"/>
      <c r="J97" s="248"/>
      <c r="K97" s="248"/>
      <c r="L97" s="248"/>
      <c r="M97" s="248"/>
      <c r="N97" s="248"/>
      <c r="O97" s="248"/>
      <c r="Q97" s="5"/>
      <c r="R97" s="5"/>
      <c r="S97" s="5"/>
    </row>
    <row r="98" spans="2:19">
      <c r="B98" s="5"/>
      <c r="C98" s="259"/>
      <c r="D98" s="247"/>
      <c r="E98" s="247"/>
      <c r="F98" s="247"/>
      <c r="G98" s="247"/>
      <c r="H98" s="247"/>
      <c r="I98" s="248"/>
      <c r="J98" s="247"/>
      <c r="K98" s="247"/>
      <c r="L98" s="247"/>
      <c r="M98" s="247"/>
      <c r="N98" s="247"/>
      <c r="O98" s="248"/>
      <c r="Q98" s="5"/>
      <c r="R98" s="5"/>
      <c r="S98" s="5"/>
    </row>
    <row r="99" spans="2:19">
      <c r="B99" s="41"/>
      <c r="C99" s="249"/>
      <c r="D99" s="249"/>
      <c r="E99" s="249"/>
      <c r="F99" s="249"/>
      <c r="G99" s="249"/>
      <c r="H99" s="249"/>
      <c r="I99" s="5"/>
      <c r="J99" s="249"/>
      <c r="K99" s="249"/>
      <c r="L99" s="249"/>
      <c r="M99" s="249"/>
      <c r="N99" s="249"/>
      <c r="O99" s="248"/>
      <c r="Q99" s="5"/>
      <c r="R99" s="5"/>
      <c r="S99" s="5"/>
    </row>
    <row r="100" spans="2:19">
      <c r="B100" s="41"/>
      <c r="C100" s="257"/>
      <c r="D100" s="248"/>
      <c r="E100" s="248"/>
      <c r="F100" s="248"/>
      <c r="G100" s="248"/>
      <c r="H100" s="248"/>
      <c r="I100" s="259"/>
      <c r="J100" s="248"/>
      <c r="K100" s="248"/>
      <c r="L100" s="248"/>
      <c r="M100" s="248"/>
      <c r="N100" s="248"/>
      <c r="O100" s="248"/>
      <c r="Q100" s="5"/>
      <c r="R100" s="5"/>
      <c r="S100" s="5"/>
    </row>
    <row r="101" spans="2:19" s="5" customFormat="1">
      <c r="B101" s="41"/>
      <c r="I101" s="259"/>
      <c r="O101" s="248"/>
      <c r="P101" s="39"/>
    </row>
    <row r="102" spans="2:19">
      <c r="B102" s="5"/>
      <c r="C102" s="259"/>
      <c r="D102" s="259"/>
      <c r="E102" s="259"/>
      <c r="F102" s="259"/>
      <c r="G102" s="259"/>
      <c r="H102" s="259"/>
      <c r="I102" s="247"/>
      <c r="J102" s="259"/>
      <c r="K102" s="259"/>
      <c r="L102" s="259"/>
      <c r="M102" s="259"/>
      <c r="N102" s="259"/>
      <c r="O102" s="5"/>
      <c r="Q102" s="5"/>
      <c r="R102" s="5"/>
      <c r="S102" s="5"/>
    </row>
    <row r="103" spans="2:19">
      <c r="B103" s="5"/>
      <c r="C103" s="259"/>
      <c r="D103" s="259"/>
      <c r="E103" s="259"/>
      <c r="F103" s="259"/>
      <c r="G103" s="259"/>
      <c r="H103" s="259"/>
      <c r="I103" s="5"/>
      <c r="J103" s="259"/>
      <c r="K103" s="259"/>
      <c r="L103" s="259"/>
      <c r="M103" s="259"/>
      <c r="N103" s="259"/>
      <c r="O103" s="5"/>
      <c r="P103" s="5"/>
      <c r="Q103" s="5"/>
      <c r="R103" s="5"/>
      <c r="S103" s="5"/>
    </row>
    <row r="104" spans="2:19">
      <c r="B104" s="5"/>
      <c r="C104" s="247"/>
      <c r="D104" s="247"/>
      <c r="E104" s="247"/>
      <c r="F104" s="247"/>
      <c r="G104" s="247"/>
      <c r="H104" s="247"/>
      <c r="I104" s="247"/>
      <c r="J104" s="247"/>
      <c r="K104" s="247"/>
      <c r="L104" s="247"/>
      <c r="M104" s="247"/>
      <c r="N104" s="247"/>
      <c r="O104" s="5"/>
      <c r="Q104" s="5"/>
      <c r="R104" s="5"/>
      <c r="S104" s="5"/>
    </row>
    <row r="105" spans="2:19" s="5" customFormat="1">
      <c r="P105" s="39"/>
    </row>
    <row r="106" spans="2:19" s="5" customFormat="1">
      <c r="C106" s="259"/>
      <c r="D106" s="247"/>
      <c r="E106" s="247"/>
      <c r="F106" s="247"/>
      <c r="G106" s="247"/>
      <c r="H106" s="247"/>
      <c r="I106" s="259"/>
      <c r="J106" s="247"/>
      <c r="K106" s="247"/>
      <c r="L106" s="247"/>
      <c r="M106" s="247"/>
      <c r="N106" s="247"/>
      <c r="P106" s="39"/>
    </row>
    <row r="107" spans="2:19">
      <c r="B107" s="5"/>
      <c r="C107" s="259"/>
      <c r="D107" s="5"/>
      <c r="E107" s="5"/>
      <c r="F107" s="5"/>
      <c r="G107" s="5"/>
      <c r="H107" s="5"/>
      <c r="I107" s="247"/>
      <c r="J107" s="5"/>
      <c r="K107" s="5"/>
      <c r="L107" s="5"/>
      <c r="M107" s="5"/>
      <c r="N107" s="5"/>
      <c r="O107" s="5"/>
      <c r="P107" s="5"/>
      <c r="Q107" s="5"/>
      <c r="R107" s="5"/>
      <c r="S107" s="5"/>
    </row>
    <row r="108" spans="2:19">
      <c r="B108" s="5"/>
      <c r="C108" s="259"/>
      <c r="D108" s="259"/>
      <c r="E108" s="259"/>
      <c r="F108" s="259"/>
      <c r="G108" s="259"/>
      <c r="H108" s="259"/>
      <c r="I108" s="249"/>
      <c r="J108" s="259"/>
      <c r="K108" s="259"/>
      <c r="L108" s="259"/>
      <c r="M108" s="259"/>
      <c r="N108" s="259"/>
      <c r="O108" s="5"/>
      <c r="P108" s="5"/>
      <c r="Q108" s="5"/>
      <c r="R108" s="5"/>
      <c r="S108" s="5"/>
    </row>
    <row r="109" spans="2:19">
      <c r="B109" s="5"/>
      <c r="C109" s="247"/>
      <c r="D109" s="247"/>
      <c r="E109" s="247"/>
      <c r="F109" s="247"/>
      <c r="G109" s="247"/>
      <c r="H109" s="247"/>
      <c r="I109" s="249"/>
      <c r="J109" s="247"/>
      <c r="K109" s="247"/>
      <c r="L109" s="247"/>
      <c r="M109" s="247"/>
      <c r="N109" s="247"/>
      <c r="O109" s="5"/>
      <c r="Q109" s="5"/>
      <c r="R109" s="5"/>
      <c r="S109" s="5"/>
    </row>
    <row r="110" spans="2:19">
      <c r="B110" s="41"/>
      <c r="C110" s="249"/>
      <c r="D110" s="249"/>
      <c r="E110" s="249"/>
      <c r="F110" s="249"/>
      <c r="G110" s="249"/>
      <c r="H110" s="249"/>
      <c r="I110" s="247"/>
      <c r="J110" s="249"/>
      <c r="K110" s="249"/>
      <c r="L110" s="249"/>
      <c r="M110" s="249"/>
      <c r="N110" s="249"/>
      <c r="O110" s="5"/>
      <c r="Q110" s="5"/>
      <c r="R110" s="5"/>
      <c r="S110" s="5"/>
    </row>
    <row r="111" spans="2:19">
      <c r="B111" s="5"/>
      <c r="C111" s="249"/>
      <c r="D111" s="249"/>
      <c r="E111" s="249"/>
      <c r="F111" s="249"/>
      <c r="G111" s="249"/>
      <c r="H111" s="249"/>
      <c r="I111" s="5"/>
      <c r="J111" s="249"/>
      <c r="K111" s="249"/>
      <c r="L111" s="249"/>
      <c r="M111" s="249"/>
      <c r="N111" s="249"/>
      <c r="O111" s="5"/>
      <c r="Q111" s="5"/>
      <c r="R111" s="5"/>
      <c r="S111" s="5"/>
    </row>
    <row r="112" spans="2:19">
      <c r="B112" s="5"/>
      <c r="C112" s="247"/>
      <c r="D112" s="247"/>
      <c r="E112" s="247"/>
      <c r="F112" s="247"/>
      <c r="G112" s="247"/>
      <c r="H112" s="247"/>
      <c r="I112" s="5"/>
      <c r="J112" s="247"/>
      <c r="K112" s="247"/>
      <c r="L112" s="247"/>
      <c r="M112" s="247"/>
      <c r="N112" s="247"/>
      <c r="O112" s="5"/>
      <c r="Q112" s="5"/>
      <c r="R112" s="5"/>
      <c r="S112" s="5"/>
    </row>
    <row r="113" spans="2:19">
      <c r="B113" s="5"/>
      <c r="C113" s="5"/>
      <c r="D113" s="5"/>
      <c r="E113" s="5"/>
      <c r="F113" s="5"/>
      <c r="G113" s="5"/>
      <c r="H113" s="5"/>
      <c r="I113" s="5"/>
      <c r="J113" s="5"/>
      <c r="K113" s="5"/>
      <c r="L113" s="5"/>
      <c r="M113" s="5"/>
      <c r="N113" s="5"/>
      <c r="O113" s="5"/>
      <c r="Q113" s="5"/>
      <c r="R113" s="5"/>
      <c r="S113" s="5"/>
    </row>
    <row r="114" spans="2:19">
      <c r="B114" s="5"/>
      <c r="C114" s="5"/>
      <c r="D114" s="5"/>
      <c r="E114" s="5"/>
      <c r="F114" s="5"/>
      <c r="G114" s="5"/>
      <c r="H114" s="5"/>
      <c r="I114" s="5"/>
      <c r="J114" s="5"/>
      <c r="K114" s="5"/>
      <c r="L114" s="5"/>
      <c r="M114" s="5"/>
      <c r="N114" s="5"/>
      <c r="O114" s="5"/>
      <c r="Q114" s="5"/>
      <c r="R114" s="5"/>
      <c r="S114" s="5"/>
    </row>
    <row r="115" spans="2:19">
      <c r="B115" s="5"/>
      <c r="C115" s="5"/>
      <c r="D115" s="5"/>
      <c r="E115" s="5"/>
      <c r="F115" s="5"/>
      <c r="G115" s="5"/>
      <c r="H115" s="5"/>
      <c r="I115" s="49"/>
      <c r="J115" s="5"/>
      <c r="K115" s="5"/>
      <c r="L115" s="5"/>
      <c r="M115" s="5"/>
      <c r="N115" s="5"/>
      <c r="O115" s="5"/>
      <c r="Q115" s="41"/>
      <c r="R115" s="5"/>
      <c r="S115" s="5"/>
    </row>
    <row r="116" spans="2:19">
      <c r="B116" s="5"/>
      <c r="C116" s="5"/>
      <c r="D116" s="5"/>
      <c r="E116" s="5"/>
      <c r="F116" s="5"/>
      <c r="G116" s="5"/>
      <c r="H116" s="5"/>
      <c r="I116" s="5"/>
      <c r="J116" s="5"/>
      <c r="K116" s="5"/>
      <c r="L116" s="5"/>
      <c r="M116" s="5"/>
      <c r="N116" s="5"/>
      <c r="O116" s="5"/>
      <c r="Q116" s="5"/>
      <c r="R116" s="5"/>
      <c r="S116" s="5"/>
    </row>
    <row r="117" spans="2:19">
      <c r="B117" s="41"/>
      <c r="C117" s="49"/>
      <c r="D117" s="49"/>
      <c r="E117" s="49"/>
      <c r="F117" s="49"/>
      <c r="G117" s="49"/>
      <c r="H117" s="49"/>
      <c r="I117" s="254"/>
      <c r="J117" s="49"/>
      <c r="K117" s="49"/>
      <c r="L117" s="49"/>
      <c r="M117" s="49"/>
      <c r="N117" s="49"/>
      <c r="O117" s="49"/>
      <c r="Q117" s="5"/>
      <c r="R117" s="5"/>
      <c r="S117" s="5"/>
    </row>
    <row r="118" spans="2:19">
      <c r="B118" s="5"/>
      <c r="C118" s="5"/>
      <c r="D118" s="5"/>
      <c r="E118" s="5"/>
      <c r="F118" s="5"/>
      <c r="G118" s="5"/>
      <c r="H118" s="5"/>
      <c r="I118" s="249"/>
      <c r="J118" s="5"/>
      <c r="K118" s="5"/>
      <c r="L118" s="5"/>
      <c r="M118" s="5"/>
      <c r="N118" s="5"/>
      <c r="O118" s="5"/>
      <c r="Q118" s="5"/>
      <c r="R118" s="5"/>
      <c r="S118" s="5"/>
    </row>
    <row r="119" spans="2:19">
      <c r="B119" s="41"/>
      <c r="C119" s="254"/>
      <c r="D119" s="254"/>
      <c r="E119" s="254"/>
      <c r="F119" s="254"/>
      <c r="G119" s="254"/>
      <c r="H119" s="254"/>
      <c r="I119" s="254"/>
      <c r="J119" s="254"/>
      <c r="K119" s="254"/>
      <c r="L119" s="254"/>
      <c r="M119" s="254"/>
      <c r="N119" s="254"/>
      <c r="O119" s="248"/>
      <c r="Q119" s="5"/>
      <c r="R119" s="5"/>
      <c r="S119" s="5"/>
    </row>
    <row r="120" spans="2:19">
      <c r="B120" s="41"/>
      <c r="C120" s="254"/>
      <c r="D120" s="249"/>
      <c r="E120" s="249"/>
      <c r="F120" s="249"/>
      <c r="G120" s="249"/>
      <c r="H120" s="249"/>
      <c r="I120" s="254"/>
      <c r="J120" s="249"/>
      <c r="K120" s="249"/>
      <c r="L120" s="249"/>
      <c r="M120" s="249"/>
      <c r="N120" s="249"/>
      <c r="O120" s="248"/>
      <c r="Q120" s="5"/>
      <c r="R120" s="5"/>
      <c r="S120" s="5"/>
    </row>
    <row r="121" spans="2:19">
      <c r="B121" s="41"/>
      <c r="C121" s="254"/>
      <c r="D121" s="254"/>
      <c r="E121" s="254"/>
      <c r="F121" s="254"/>
      <c r="G121" s="254"/>
      <c r="H121" s="254"/>
      <c r="I121" s="254"/>
      <c r="J121" s="254"/>
      <c r="K121" s="254"/>
      <c r="L121" s="254"/>
      <c r="M121" s="254"/>
      <c r="N121" s="254"/>
      <c r="O121" s="248"/>
      <c r="Q121" s="5"/>
      <c r="R121" s="5"/>
      <c r="S121" s="5"/>
    </row>
    <row r="122" spans="2:19">
      <c r="B122" s="41"/>
      <c r="C122" s="254"/>
      <c r="D122" s="254"/>
      <c r="E122" s="254"/>
      <c r="F122" s="254"/>
      <c r="G122" s="254"/>
      <c r="H122" s="254"/>
      <c r="I122" s="254"/>
      <c r="J122" s="254"/>
      <c r="K122" s="254"/>
      <c r="L122" s="254"/>
      <c r="M122" s="254"/>
      <c r="N122" s="254"/>
      <c r="O122" s="248"/>
      <c r="Q122" s="5"/>
      <c r="R122" s="5"/>
      <c r="S122" s="5"/>
    </row>
    <row r="123" spans="2:19">
      <c r="B123" s="41"/>
      <c r="C123" s="254"/>
      <c r="D123" s="254"/>
      <c r="E123" s="254"/>
      <c r="F123" s="254"/>
      <c r="G123" s="254"/>
      <c r="H123" s="254"/>
      <c r="I123" s="254"/>
      <c r="J123" s="254"/>
      <c r="K123" s="254"/>
      <c r="L123" s="254"/>
      <c r="M123" s="254"/>
      <c r="N123" s="254"/>
      <c r="O123" s="248"/>
      <c r="Q123" s="5"/>
      <c r="R123" s="5"/>
      <c r="S123" s="5"/>
    </row>
    <row r="124" spans="2:19">
      <c r="B124" s="41"/>
      <c r="C124" s="254"/>
      <c r="D124" s="254"/>
      <c r="E124" s="254"/>
      <c r="F124" s="254"/>
      <c r="G124" s="254"/>
      <c r="H124" s="254"/>
      <c r="I124" s="254"/>
      <c r="J124" s="254"/>
      <c r="K124" s="254"/>
      <c r="L124" s="254"/>
      <c r="M124" s="254"/>
      <c r="N124" s="254"/>
      <c r="O124" s="248"/>
      <c r="Q124" s="5"/>
      <c r="R124" s="5"/>
      <c r="S124" s="5"/>
    </row>
    <row r="125" spans="2:19">
      <c r="B125" s="41"/>
      <c r="C125" s="254"/>
      <c r="D125" s="254"/>
      <c r="E125" s="254"/>
      <c r="F125" s="254"/>
      <c r="G125" s="254"/>
      <c r="H125" s="254"/>
      <c r="I125" s="254"/>
      <c r="J125" s="254"/>
      <c r="K125" s="254"/>
      <c r="L125" s="254"/>
      <c r="M125" s="254"/>
      <c r="N125" s="254"/>
      <c r="O125" s="5"/>
      <c r="Q125" s="5"/>
      <c r="R125" s="5"/>
      <c r="S125" s="5"/>
    </row>
    <row r="126" spans="2:19">
      <c r="B126" s="41"/>
      <c r="C126" s="254"/>
      <c r="D126" s="254"/>
      <c r="E126" s="254"/>
      <c r="F126" s="254"/>
      <c r="G126" s="254"/>
      <c r="H126" s="254"/>
      <c r="I126" s="254"/>
      <c r="J126" s="254"/>
      <c r="K126" s="254"/>
      <c r="L126" s="254"/>
      <c r="M126" s="254"/>
      <c r="N126" s="254"/>
      <c r="O126" s="5"/>
      <c r="Q126" s="5"/>
      <c r="R126" s="5"/>
      <c r="S126" s="5"/>
    </row>
    <row r="127" spans="2:19">
      <c r="B127" s="41"/>
      <c r="C127" s="254"/>
      <c r="D127" s="254"/>
      <c r="E127" s="254"/>
      <c r="F127" s="254"/>
      <c r="G127" s="254"/>
      <c r="H127" s="254"/>
      <c r="I127" s="18"/>
      <c r="J127" s="254"/>
      <c r="K127" s="254"/>
      <c r="L127" s="254"/>
      <c r="M127" s="254"/>
      <c r="N127" s="254"/>
      <c r="O127" s="5"/>
      <c r="Q127" s="5"/>
      <c r="R127" s="5"/>
      <c r="S127" s="5"/>
    </row>
    <row r="128" spans="2:19">
      <c r="B128" s="41"/>
      <c r="C128" s="254"/>
      <c r="D128" s="254"/>
      <c r="E128" s="254"/>
      <c r="F128" s="254"/>
      <c r="G128" s="254"/>
      <c r="H128" s="254"/>
      <c r="I128" s="5"/>
      <c r="J128" s="254"/>
      <c r="K128" s="254"/>
      <c r="L128" s="254"/>
      <c r="M128" s="254"/>
      <c r="N128" s="254"/>
      <c r="O128" s="5"/>
      <c r="Q128" s="5"/>
      <c r="R128" s="5"/>
      <c r="S128" s="5"/>
    </row>
    <row r="129" spans="2:27">
      <c r="B129" s="5"/>
      <c r="C129" s="5"/>
      <c r="D129" s="18"/>
      <c r="E129" s="18"/>
      <c r="F129" s="18"/>
      <c r="G129" s="18"/>
      <c r="H129" s="18"/>
      <c r="I129" s="254"/>
      <c r="J129" s="18"/>
      <c r="K129" s="18"/>
      <c r="L129" s="18"/>
      <c r="M129" s="18"/>
      <c r="N129" s="18"/>
      <c r="O129" s="5"/>
      <c r="Q129" s="5"/>
      <c r="R129" s="5"/>
      <c r="S129" s="5"/>
    </row>
    <row r="130" spans="2:27">
      <c r="B130" s="5"/>
      <c r="C130" s="5"/>
      <c r="D130" s="5"/>
      <c r="E130" s="5"/>
      <c r="F130" s="5"/>
      <c r="G130" s="5"/>
      <c r="H130" s="5"/>
      <c r="I130" s="18"/>
      <c r="J130" s="5"/>
      <c r="K130" s="5"/>
      <c r="L130" s="5"/>
      <c r="M130" s="5"/>
      <c r="N130" s="5"/>
      <c r="O130" s="5"/>
      <c r="Q130" s="5"/>
      <c r="R130" s="5"/>
      <c r="S130" s="5"/>
    </row>
    <row r="131" spans="2:27">
      <c r="B131" s="41"/>
      <c r="C131" s="254"/>
      <c r="D131" s="254"/>
      <c r="E131" s="254"/>
      <c r="F131" s="254"/>
      <c r="G131" s="254"/>
      <c r="H131" s="254"/>
      <c r="I131" s="5"/>
      <c r="J131" s="254"/>
      <c r="K131" s="254"/>
      <c r="L131" s="254"/>
      <c r="M131" s="254"/>
      <c r="N131" s="254"/>
      <c r="O131" s="5"/>
      <c r="Q131" s="5"/>
      <c r="R131" s="5"/>
      <c r="S131" s="5"/>
    </row>
    <row r="132" spans="2:27">
      <c r="B132" s="5"/>
      <c r="C132" s="259"/>
      <c r="D132" s="18"/>
      <c r="E132" s="18"/>
      <c r="F132" s="18"/>
      <c r="G132" s="18"/>
      <c r="H132" s="18"/>
      <c r="I132" s="5"/>
      <c r="J132" s="18"/>
      <c r="K132" s="18"/>
      <c r="L132" s="18"/>
      <c r="M132" s="18"/>
      <c r="N132" s="18"/>
      <c r="O132" s="5"/>
      <c r="Q132" s="5"/>
      <c r="R132" s="5"/>
      <c r="S132" s="5"/>
    </row>
    <row r="133" spans="2:27">
      <c r="B133" s="5"/>
      <c r="C133" s="5"/>
      <c r="D133" s="5"/>
      <c r="E133" s="5"/>
      <c r="F133" s="5"/>
      <c r="G133" s="5"/>
      <c r="H133" s="5"/>
      <c r="I133" s="17"/>
      <c r="J133" s="5"/>
      <c r="K133" s="5"/>
      <c r="L133" s="5"/>
      <c r="M133" s="5"/>
      <c r="N133" s="5"/>
      <c r="O133" s="5"/>
      <c r="Q133" s="5"/>
      <c r="R133" s="5"/>
      <c r="S133" s="5"/>
    </row>
    <row r="134" spans="2:27">
      <c r="B134" s="41"/>
      <c r="C134" s="5"/>
      <c r="D134" s="5"/>
      <c r="E134" s="5"/>
      <c r="F134" s="5"/>
      <c r="G134" s="5"/>
      <c r="H134" s="5"/>
      <c r="I134" s="17"/>
      <c r="J134" s="5"/>
      <c r="K134" s="5"/>
      <c r="L134" s="5"/>
      <c r="M134" s="5"/>
      <c r="N134" s="5"/>
      <c r="O134" s="5"/>
      <c r="Q134" s="5"/>
      <c r="R134" s="5"/>
      <c r="S134" s="5"/>
    </row>
    <row r="135" spans="2:27">
      <c r="B135" s="5"/>
      <c r="C135" s="17"/>
      <c r="D135" s="17"/>
      <c r="E135" s="17"/>
      <c r="F135" s="17"/>
      <c r="G135" s="17"/>
      <c r="H135" s="17"/>
      <c r="I135" s="17"/>
      <c r="J135" s="17"/>
      <c r="K135" s="17"/>
      <c r="L135" s="17"/>
      <c r="M135" s="17"/>
      <c r="N135" s="17"/>
      <c r="O135" s="5"/>
      <c r="Q135" s="41"/>
      <c r="R135" s="5"/>
      <c r="S135" s="5"/>
    </row>
    <row r="136" spans="2:27">
      <c r="B136" s="5"/>
      <c r="C136" s="17"/>
      <c r="D136" s="17"/>
      <c r="E136" s="17"/>
      <c r="F136" s="17"/>
      <c r="G136" s="17"/>
      <c r="H136" s="17"/>
      <c r="I136" s="17"/>
      <c r="J136" s="17"/>
      <c r="K136" s="17"/>
      <c r="L136" s="17"/>
      <c r="M136" s="17"/>
      <c r="N136" s="17"/>
      <c r="O136" s="5"/>
      <c r="Q136" s="5"/>
      <c r="R136" s="5"/>
      <c r="S136" s="5"/>
      <c r="X136" s="304"/>
    </row>
    <row r="137" spans="2:27">
      <c r="B137" s="5"/>
      <c r="C137" s="5"/>
      <c r="D137" s="17"/>
      <c r="E137" s="17"/>
      <c r="F137" s="17"/>
      <c r="G137" s="17"/>
      <c r="H137" s="17"/>
      <c r="I137" s="17"/>
      <c r="J137" s="17"/>
      <c r="K137" s="17"/>
      <c r="L137" s="17"/>
      <c r="M137" s="17"/>
      <c r="N137" s="17"/>
      <c r="O137" s="5"/>
      <c r="Q137" s="5"/>
      <c r="R137" s="5"/>
      <c r="S137" s="5"/>
      <c r="X137" s="10"/>
      <c r="Y137" s="304"/>
      <c r="Z137" s="304"/>
      <c r="AA137" s="304"/>
    </row>
    <row r="138" spans="2:27">
      <c r="B138" s="5"/>
      <c r="C138" s="5"/>
      <c r="D138" s="17"/>
      <c r="E138" s="17"/>
      <c r="F138" s="17"/>
      <c r="G138" s="17"/>
      <c r="H138" s="17"/>
      <c r="I138" s="17"/>
      <c r="J138" s="17"/>
      <c r="K138" s="17"/>
      <c r="L138" s="17"/>
      <c r="M138" s="17"/>
      <c r="N138" s="17"/>
      <c r="O138" s="5"/>
      <c r="Q138" s="5"/>
      <c r="R138" s="5"/>
      <c r="S138" s="5"/>
      <c r="Y138" s="10"/>
      <c r="Z138" s="10"/>
      <c r="AA138" s="10"/>
    </row>
    <row r="139" spans="2:27">
      <c r="B139" s="5"/>
      <c r="C139" s="5"/>
      <c r="D139" s="17"/>
      <c r="E139" s="17"/>
      <c r="F139" s="17"/>
      <c r="G139" s="17"/>
      <c r="H139" s="17"/>
      <c r="I139" s="5"/>
      <c r="J139" s="17"/>
      <c r="K139" s="17"/>
      <c r="L139" s="17"/>
      <c r="M139" s="17"/>
      <c r="N139" s="17"/>
      <c r="O139" s="5"/>
      <c r="Q139" s="5"/>
      <c r="R139" s="5"/>
      <c r="S139" s="5"/>
    </row>
    <row r="140" spans="2:27">
      <c r="B140" s="5"/>
      <c r="C140" s="17"/>
      <c r="D140" s="17"/>
      <c r="E140" s="17"/>
      <c r="F140" s="17"/>
      <c r="G140" s="17"/>
      <c r="H140" s="17"/>
      <c r="I140" s="5"/>
      <c r="J140" s="17"/>
      <c r="K140" s="17"/>
      <c r="L140" s="17"/>
      <c r="M140" s="17"/>
      <c r="N140" s="17"/>
      <c r="O140" s="5"/>
      <c r="Q140" s="5"/>
      <c r="R140" s="5"/>
      <c r="S140" s="5"/>
    </row>
    <row r="141" spans="2:27">
      <c r="B141" s="5"/>
      <c r="C141" s="5"/>
      <c r="D141" s="5"/>
      <c r="E141" s="5"/>
      <c r="F141" s="5"/>
      <c r="G141" s="5"/>
      <c r="H141" s="5"/>
      <c r="I141" s="5"/>
      <c r="J141" s="5"/>
      <c r="K141" s="5"/>
      <c r="L141" s="5"/>
      <c r="M141" s="5"/>
      <c r="N141" s="5"/>
      <c r="O141" s="5"/>
      <c r="Q141" s="5"/>
      <c r="R141" s="5"/>
      <c r="S141" s="5"/>
    </row>
    <row r="142" spans="2:27">
      <c r="B142" s="5"/>
      <c r="C142" s="5"/>
      <c r="D142" s="5"/>
      <c r="E142" s="5"/>
      <c r="F142" s="5"/>
      <c r="G142" s="5"/>
      <c r="H142" s="5"/>
      <c r="I142" s="5"/>
      <c r="J142" s="5"/>
      <c r="K142" s="5"/>
      <c r="L142" s="5"/>
      <c r="M142" s="5"/>
      <c r="N142" s="5"/>
      <c r="O142" s="5"/>
      <c r="Q142" s="5"/>
      <c r="R142" s="5"/>
      <c r="S142" s="5"/>
    </row>
    <row r="143" spans="2:27">
      <c r="B143" s="5"/>
      <c r="C143" s="5"/>
      <c r="D143" s="5"/>
      <c r="E143" s="5"/>
      <c r="F143" s="5"/>
      <c r="G143" s="5"/>
      <c r="H143" s="5"/>
      <c r="I143" s="5"/>
      <c r="J143" s="5"/>
      <c r="K143" s="5"/>
      <c r="L143" s="5"/>
      <c r="M143" s="5"/>
      <c r="N143" s="5"/>
      <c r="O143" s="5"/>
      <c r="Q143" s="5"/>
      <c r="R143" s="5"/>
      <c r="S143" s="5"/>
    </row>
    <row r="144" spans="2:27">
      <c r="B144" s="5"/>
      <c r="C144" s="5"/>
      <c r="D144" s="5"/>
      <c r="E144" s="5"/>
      <c r="F144" s="5"/>
      <c r="G144" s="5"/>
      <c r="H144" s="5"/>
      <c r="I144" s="5"/>
      <c r="J144" s="5"/>
      <c r="K144" s="5"/>
      <c r="L144" s="5"/>
      <c r="M144" s="5"/>
      <c r="N144" s="5"/>
      <c r="O144" s="5"/>
      <c r="Q144" s="5"/>
      <c r="R144" s="5"/>
      <c r="S144" s="5"/>
    </row>
    <row r="145" spans="2:19">
      <c r="B145" s="5"/>
      <c r="C145" s="5"/>
      <c r="D145" s="5"/>
      <c r="E145" s="5"/>
      <c r="F145" s="5"/>
      <c r="G145" s="5"/>
      <c r="H145" s="5"/>
      <c r="I145" s="5"/>
      <c r="J145" s="5"/>
      <c r="K145" s="5"/>
      <c r="L145" s="5"/>
      <c r="M145" s="5"/>
      <c r="N145" s="5"/>
      <c r="O145" s="5"/>
      <c r="Q145" s="5"/>
      <c r="R145" s="5"/>
      <c r="S145" s="5"/>
    </row>
    <row r="146" spans="2:19">
      <c r="B146" s="5"/>
      <c r="C146" s="5"/>
      <c r="D146" s="5"/>
      <c r="E146" s="5"/>
      <c r="F146" s="5"/>
      <c r="G146" s="5"/>
      <c r="H146" s="5"/>
      <c r="I146" s="5"/>
      <c r="J146" s="5"/>
      <c r="K146" s="5"/>
      <c r="L146" s="5"/>
      <c r="M146" s="5"/>
      <c r="N146" s="5"/>
      <c r="O146" s="5"/>
      <c r="Q146" s="5"/>
      <c r="R146" s="5"/>
      <c r="S146" s="5"/>
    </row>
    <row r="147" spans="2:19">
      <c r="B147" s="5"/>
      <c r="C147" s="5"/>
      <c r="D147" s="5"/>
      <c r="E147" s="5"/>
      <c r="F147" s="5"/>
      <c r="G147" s="5"/>
      <c r="H147" s="5"/>
      <c r="I147" s="5"/>
      <c r="J147" s="5"/>
      <c r="K147" s="5"/>
      <c r="L147" s="5"/>
      <c r="M147" s="5"/>
      <c r="N147" s="5"/>
      <c r="O147" s="5"/>
      <c r="Q147" s="5"/>
      <c r="R147" s="5"/>
      <c r="S147" s="5"/>
    </row>
    <row r="148" spans="2:19">
      <c r="B148" s="5"/>
      <c r="C148" s="5"/>
      <c r="D148" s="5"/>
      <c r="E148" s="5"/>
      <c r="F148" s="5"/>
      <c r="G148" s="5"/>
      <c r="H148" s="5"/>
      <c r="I148" s="5"/>
      <c r="J148" s="5"/>
      <c r="K148" s="5"/>
      <c r="L148" s="5"/>
      <c r="M148" s="5"/>
      <c r="N148" s="5"/>
      <c r="O148" s="5"/>
      <c r="Q148" s="5"/>
      <c r="R148" s="5"/>
      <c r="S148" s="5"/>
    </row>
    <row r="149" spans="2:19">
      <c r="B149" s="5"/>
      <c r="C149" s="5"/>
      <c r="D149" s="5"/>
      <c r="E149" s="5"/>
      <c r="F149" s="5"/>
      <c r="G149" s="5"/>
      <c r="H149" s="5"/>
      <c r="J149" s="5"/>
      <c r="K149" s="5"/>
      <c r="L149" s="5"/>
      <c r="M149" s="5"/>
      <c r="N149" s="5"/>
      <c r="O149" s="5"/>
      <c r="Q149" s="5"/>
      <c r="R149" s="5"/>
      <c r="S149" s="5"/>
    </row>
    <row r="150" spans="2:19">
      <c r="B150" s="5"/>
      <c r="C150" s="5"/>
      <c r="D150" s="5"/>
      <c r="E150" s="5"/>
      <c r="F150" s="5"/>
      <c r="G150" s="5"/>
      <c r="H150" s="5"/>
      <c r="J150" s="5"/>
      <c r="K150" s="5"/>
      <c r="L150" s="5"/>
      <c r="M150" s="5"/>
      <c r="N150" s="5"/>
      <c r="O150" s="5"/>
      <c r="Q150" s="5"/>
      <c r="R150" s="5"/>
      <c r="S150" s="5"/>
    </row>
    <row r="151" spans="2:19">
      <c r="Q151" s="5"/>
      <c r="R151" s="5"/>
      <c r="S151" s="5"/>
    </row>
    <row r="152" spans="2:19">
      <c r="Q152" s="5"/>
      <c r="R152" s="5"/>
      <c r="S152" s="5"/>
    </row>
    <row r="153" spans="2:19">
      <c r="C153" s="263"/>
      <c r="Q153" s="5"/>
      <c r="R153" s="5"/>
      <c r="S153" s="5"/>
    </row>
    <row r="154" spans="2:19">
      <c r="Q154" s="5"/>
      <c r="R154" s="5"/>
      <c r="S154" s="5"/>
    </row>
    <row r="155" spans="2:19">
      <c r="Q155" s="5"/>
      <c r="R155" s="5"/>
      <c r="S155" s="5"/>
    </row>
    <row r="156" spans="2:19">
      <c r="Q156" s="5"/>
      <c r="R156" s="5"/>
      <c r="S156" s="5"/>
    </row>
    <row r="157" spans="2:19">
      <c r="Q157" s="5"/>
      <c r="R157" s="5"/>
      <c r="S157" s="5"/>
    </row>
    <row r="158" spans="2:19">
      <c r="Q158" s="5"/>
      <c r="R158" s="5"/>
      <c r="S158" s="5"/>
    </row>
    <row r="159" spans="2:19">
      <c r="Q159" s="5"/>
      <c r="R159" s="5"/>
      <c r="S159" s="5"/>
    </row>
    <row r="160" spans="2:19">
      <c r="Q160" s="5"/>
      <c r="R160" s="5"/>
      <c r="S160" s="5"/>
    </row>
    <row r="161" spans="17:19">
      <c r="Q161" s="5"/>
      <c r="R161" s="5"/>
      <c r="S161" s="5"/>
    </row>
    <row r="162" spans="17:19">
      <c r="Q162" s="5"/>
      <c r="R162" s="5"/>
      <c r="S162" s="5"/>
    </row>
    <row r="163" spans="17:19">
      <c r="Q163" s="5"/>
      <c r="R163" s="5"/>
      <c r="S163" s="5"/>
    </row>
    <row r="164" spans="17:19">
      <c r="Q164" s="5"/>
      <c r="R164" s="5"/>
      <c r="S164" s="5"/>
    </row>
    <row r="165" spans="17:19">
      <c r="Q165" s="5"/>
      <c r="R165" s="5"/>
      <c r="S165" s="5"/>
    </row>
  </sheetData>
  <hyperlinks>
    <hyperlink ref="C2" location="AMXSOP!A1" display="Jump to AMXSop" xr:uid="{231034AE-3E8F-44E8-ACAD-80A8DB231252}"/>
  </hyperlinks>
  <pageMargins left="0.75" right="0.75" top="1" bottom="1" header="0.5" footer="0.5"/>
  <pageSetup scale="71" orientation="landscape" r:id="rId1"/>
  <headerFooter alignWithMargins="0"/>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sheetPr codeName="Sheet223">
    <pageSetUpPr fitToPage="1"/>
  </sheetPr>
  <dimension ref="B1:AR165"/>
  <sheetViews>
    <sheetView showGridLines="0" zoomScale="80" zoomScaleNormal="80" zoomScaleSheetLayoutView="70" workbookViewId="0"/>
  </sheetViews>
  <sheetFormatPr defaultColWidth="9.109375" defaultRowHeight="12"/>
  <cols>
    <col min="1" max="1" width="2.33203125" style="39" customWidth="1"/>
    <col min="2" max="2" width="26.5546875" style="39" customWidth="1"/>
    <col min="3" max="9" width="10" style="39" customWidth="1"/>
    <col min="10" max="10" width="26.6640625" style="39" customWidth="1"/>
    <col min="11" max="16" width="10" style="39" customWidth="1"/>
    <col min="17" max="19" width="8.6640625" style="39" customWidth="1"/>
    <col min="20" max="28" width="8.6640625" style="5" customWidth="1"/>
    <col min="29" max="44" width="9.109375" style="5"/>
    <col min="45" max="16384" width="9.109375" style="39"/>
  </cols>
  <sheetData>
    <row r="1" spans="2:44" s="312" customFormat="1">
      <c r="T1" s="149"/>
      <c r="U1" s="149"/>
      <c r="V1" s="149"/>
      <c r="W1" s="149"/>
      <c r="X1" s="149"/>
      <c r="Y1" s="149"/>
      <c r="Z1" s="149"/>
      <c r="AA1" s="149"/>
      <c r="AB1" s="149"/>
      <c r="AC1" s="149"/>
      <c r="AD1" s="149"/>
      <c r="AE1" s="149"/>
      <c r="AF1" s="149"/>
      <c r="AG1" s="149"/>
      <c r="AH1" s="149"/>
      <c r="AI1" s="149"/>
      <c r="AJ1" s="149"/>
      <c r="AK1" s="149"/>
      <c r="AL1" s="149"/>
      <c r="AM1" s="149"/>
      <c r="AN1" s="149"/>
      <c r="AO1" s="149"/>
      <c r="AP1" s="149"/>
      <c r="AQ1" s="149"/>
      <c r="AR1" s="149"/>
    </row>
    <row r="2" spans="2:44" s="149" customFormat="1"/>
    <row r="3" spans="2:44" s="149" customFormat="1">
      <c r="H3" s="153"/>
      <c r="P3" s="153"/>
    </row>
    <row r="4" spans="2:44" s="156" customFormat="1" ht="21">
      <c r="B4" s="129" t="s">
        <v>898</v>
      </c>
      <c r="H4" s="222"/>
      <c r="P4" s="222"/>
    </row>
    <row r="5" spans="2:44" s="149" customFormat="1">
      <c r="C5" s="153"/>
      <c r="D5" s="153" t="str" cm="1">
        <f t="array" ref="D5:H5">headings</f>
        <v>2023E</v>
      </c>
      <c r="E5" s="153" t="str">
        <v>2024E</v>
      </c>
      <c r="F5" s="153" t="str">
        <v>2025E</v>
      </c>
      <c r="G5" s="153" t="str">
        <v>2026E</v>
      </c>
      <c r="H5" s="153" t="str">
        <v>23E-26E</v>
      </c>
      <c r="I5" s="153"/>
      <c r="J5" s="153"/>
      <c r="K5" s="153"/>
      <c r="L5" s="153" t="str" cm="1">
        <f t="array" ref="L5:P5">headings</f>
        <v>2023E</v>
      </c>
      <c r="M5" s="153" t="str">
        <v>2024E</v>
      </c>
      <c r="N5" s="153" t="str">
        <v>2025E</v>
      </c>
      <c r="O5" s="153" t="str">
        <v>2026E</v>
      </c>
      <c r="P5" s="153" t="str">
        <v>23E-26E</v>
      </c>
      <c r="Q5" s="162"/>
      <c r="R5" s="162"/>
      <c r="S5" s="162"/>
      <c r="T5" s="162"/>
      <c r="U5" s="162"/>
      <c r="V5" s="162"/>
      <c r="W5" s="162"/>
      <c r="X5" s="162"/>
      <c r="Y5" s="162"/>
    </row>
    <row r="6" spans="2:44">
      <c r="I6" s="5"/>
      <c r="J6" s="5"/>
      <c r="K6" s="5"/>
      <c r="L6" s="5"/>
      <c r="M6" s="5"/>
      <c r="N6" s="5"/>
      <c r="O6" s="49"/>
    </row>
    <row r="7" spans="2:44" ht="12.6" thickBot="1">
      <c r="B7" s="306" t="s">
        <v>271</v>
      </c>
      <c r="C7" s="265"/>
      <c r="D7" s="265" t="str">
        <f>D5</f>
        <v>2023E</v>
      </c>
      <c r="E7" s="265" t="str">
        <f t="shared" ref="E7:H7" si="0">E5</f>
        <v>2024E</v>
      </c>
      <c r="F7" s="265" t="str">
        <f t="shared" si="0"/>
        <v>2025E</v>
      </c>
      <c r="G7" s="265" t="str">
        <f t="shared" si="0"/>
        <v>2026E</v>
      </c>
      <c r="H7" s="265" t="str">
        <f t="shared" si="0"/>
        <v>23E-26E</v>
      </c>
      <c r="I7" s="49"/>
      <c r="J7" s="306" t="s">
        <v>1389</v>
      </c>
      <c r="K7" s="306"/>
      <c r="L7" s="265" t="str">
        <f>L5</f>
        <v>2023E</v>
      </c>
      <c r="M7" s="265" t="str">
        <f t="shared" ref="M7:P7" si="1">M5</f>
        <v>2024E</v>
      </c>
      <c r="N7" s="265" t="str">
        <f t="shared" si="1"/>
        <v>2025E</v>
      </c>
      <c r="O7" s="265" t="str">
        <f t="shared" si="1"/>
        <v>2026E</v>
      </c>
      <c r="P7" s="265" t="str">
        <f t="shared" si="1"/>
        <v>23E-26E</v>
      </c>
    </row>
    <row r="8" spans="2:44" ht="12.6" thickTop="1">
      <c r="B8" s="5"/>
      <c r="C8" s="5"/>
      <c r="D8" s="5"/>
      <c r="E8" s="5"/>
      <c r="F8" s="5"/>
      <c r="G8" s="5"/>
      <c r="H8" s="5"/>
      <c r="I8" s="5"/>
      <c r="J8" s="5"/>
      <c r="K8" s="5"/>
      <c r="L8" s="5"/>
      <c r="M8" s="5"/>
      <c r="N8" s="5"/>
      <c r="S8" s="88"/>
      <c r="T8" s="42"/>
      <c r="U8" s="42"/>
      <c r="V8" s="42"/>
      <c r="W8" s="42"/>
      <c r="X8" s="42"/>
      <c r="Y8" s="42"/>
      <c r="Z8" s="42"/>
      <c r="AA8" s="42"/>
    </row>
    <row r="9" spans="2:44">
      <c r="B9" s="41" t="s">
        <v>900</v>
      </c>
      <c r="C9" s="267">
        <f>Prices!C31</f>
        <v>22.08</v>
      </c>
      <c r="D9" s="535">
        <v>0</v>
      </c>
      <c r="E9" s="536">
        <v>0</v>
      </c>
      <c r="F9" s="536">
        <v>0</v>
      </c>
      <c r="G9" s="536">
        <v>0</v>
      </c>
      <c r="H9" s="249"/>
      <c r="I9" s="249"/>
      <c r="J9" s="5" t="s">
        <v>273</v>
      </c>
      <c r="L9" s="529">
        <f>'W.EUR OTHER'!D37</f>
        <v>1.625740200561925</v>
      </c>
      <c r="M9" s="529">
        <f>'W.EUR OTHER'!E37</f>
        <v>1.4744355877361912</v>
      </c>
      <c r="N9" s="529">
        <f>'W.EUR OTHER'!F37</f>
        <v>1.3838130671688169</v>
      </c>
      <c r="O9" s="529">
        <f>'W.EUR OTHER'!G37</f>
        <v>1.2773151297065752</v>
      </c>
      <c r="P9" s="279">
        <f>'W.EUR OTHER'!H37</f>
        <v>1.5716493135688125E-2</v>
      </c>
      <c r="S9" s="88"/>
      <c r="T9" s="42"/>
      <c r="U9" s="42"/>
      <c r="V9" s="42"/>
      <c r="W9" s="42"/>
      <c r="X9" s="42"/>
      <c r="Y9" s="42"/>
      <c r="Z9" s="42"/>
      <c r="AA9" s="42"/>
    </row>
    <row r="10" spans="2:44">
      <c r="B10" s="5" t="s">
        <v>274</v>
      </c>
      <c r="C10" s="5"/>
      <c r="D10" s="531">
        <v>172.816295</v>
      </c>
      <c r="E10" s="531">
        <v>172.816295</v>
      </c>
      <c r="F10" s="531">
        <v>172.816295</v>
      </c>
      <c r="G10" s="531">
        <v>172.816295</v>
      </c>
      <c r="H10" s="247"/>
      <c r="I10" s="247"/>
      <c r="J10" s="5" t="s">
        <v>184</v>
      </c>
      <c r="L10" s="529">
        <f>'W.EUR OTHER'!D38</f>
        <v>5.2795254299348739</v>
      </c>
      <c r="M10" s="529">
        <f>'W.EUR OTHER'!E38</f>
        <v>4.974469712304483</v>
      </c>
      <c r="N10" s="529">
        <f>'W.EUR OTHER'!F38</f>
        <v>4.5174816735135677</v>
      </c>
      <c r="O10" s="529">
        <f>'W.EUR OTHER'!G38</f>
        <v>4.0920709682728358</v>
      </c>
      <c r="P10" s="279">
        <f>'W.EUR OTHER'!H38</f>
        <v>2.0325446875936182E-2</v>
      </c>
      <c r="S10" s="88"/>
      <c r="T10" s="42"/>
      <c r="U10" s="42"/>
      <c r="V10" s="42"/>
      <c r="W10" s="288"/>
      <c r="X10" s="288"/>
      <c r="Y10" s="288"/>
      <c r="Z10" s="288"/>
      <c r="AA10" s="42"/>
    </row>
    <row r="11" spans="2:44">
      <c r="B11" s="41" t="s">
        <v>275</v>
      </c>
      <c r="C11" s="5"/>
      <c r="D11" s="532">
        <f>$C$9*D10</f>
        <v>3815.7837935999996</v>
      </c>
      <c r="E11" s="532">
        <f>$C$9*E10</f>
        <v>3815.7837935999996</v>
      </c>
      <c r="F11" s="532">
        <f>$C$9*F10</f>
        <v>3815.7837935999996</v>
      </c>
      <c r="G11" s="532">
        <f>$C$9*G10</f>
        <v>3815.7837935999996</v>
      </c>
      <c r="H11" s="249"/>
      <c r="I11" s="249"/>
      <c r="J11" s="5" t="s">
        <v>185</v>
      </c>
      <c r="L11" s="529">
        <f>'W.EUR OTHER'!D39</f>
        <v>12.736189476818824</v>
      </c>
      <c r="M11" s="529">
        <f>'W.EUR OTHER'!E39</f>
        <v>12.065966967777575</v>
      </c>
      <c r="N11" s="529">
        <f>'W.EUR OTHER'!F39</f>
        <v>9.9478093470125</v>
      </c>
      <c r="O11" s="529">
        <f>'W.EUR OTHER'!G39</f>
        <v>8.473000290176449</v>
      </c>
      <c r="P11" s="279">
        <f>'W.EUR OTHER'!H39</f>
        <v>7.3632307659955432E-2</v>
      </c>
      <c r="S11" s="88"/>
      <c r="T11" s="42"/>
      <c r="U11" s="42"/>
      <c r="V11" s="42"/>
      <c r="W11" s="288"/>
      <c r="X11" s="288"/>
      <c r="Y11" s="288"/>
      <c r="Z11" s="288"/>
      <c r="AA11" s="42"/>
    </row>
    <row r="12" spans="2:44">
      <c r="B12" s="5" t="s">
        <v>24</v>
      </c>
      <c r="C12" s="249"/>
      <c r="D12" s="533">
        <v>2436.5720000000001</v>
      </c>
      <c r="E12" s="533">
        <v>2823.8443037654097</v>
      </c>
      <c r="F12" s="533">
        <v>3548.2202776495201</v>
      </c>
      <c r="G12" s="533">
        <v>3450.8925914496022</v>
      </c>
      <c r="H12" s="247"/>
      <c r="I12" s="247"/>
      <c r="J12" s="5" t="s">
        <v>466</v>
      </c>
      <c r="L12" s="529">
        <f>'W.EUR OTHER'!D40</f>
        <v>17.537055550367363</v>
      </c>
      <c r="M12" s="529">
        <f>'W.EUR OTHER'!E40</f>
        <v>16.571844500633869</v>
      </c>
      <c r="N12" s="529">
        <f>'W.EUR OTHER'!F40</f>
        <v>13.70048405868403</v>
      </c>
      <c r="O12" s="529">
        <f>'W.EUR OTHER'!G40</f>
        <v>11.681030567966248</v>
      </c>
      <c r="P12" s="279">
        <f>'W.EUR OTHER'!H40</f>
        <v>7.319831169942681E-2</v>
      </c>
      <c r="S12" s="88"/>
      <c r="T12" s="42"/>
      <c r="U12" s="42"/>
      <c r="V12" s="42"/>
      <c r="W12" s="288"/>
      <c r="X12" s="288"/>
      <c r="Y12" s="288"/>
      <c r="Z12" s="288"/>
      <c r="AA12" s="42"/>
    </row>
    <row r="13" spans="2:44">
      <c r="B13" s="5" t="s">
        <v>529</v>
      </c>
      <c r="C13" s="257"/>
      <c r="D13" s="533">
        <v>1401.4150623957446</v>
      </c>
      <c r="E13" s="533">
        <v>1451.3285865138637</v>
      </c>
      <c r="F13" s="533">
        <v>935.51627322377874</v>
      </c>
      <c r="G13" s="533">
        <v>908.30034725654821</v>
      </c>
      <c r="H13" s="247"/>
      <c r="I13" s="247"/>
      <c r="J13" s="5" t="s">
        <v>530</v>
      </c>
      <c r="L13" s="529">
        <f>'W.EUR OTHER'!D41</f>
        <v>0.73407860349270371</v>
      </c>
      <c r="M13" s="529">
        <f>'W.EUR OTHER'!E41</f>
        <v>0.70658465772315859</v>
      </c>
      <c r="N13" s="529">
        <f>'W.EUR OTHER'!F41</f>
        <v>0.66539496043406632</v>
      </c>
      <c r="O13" s="529">
        <f>'W.EUR OTHER'!G41</f>
        <v>0.63140864888435067</v>
      </c>
      <c r="P13" s="279">
        <f>'W.EUR OTHER'!H41</f>
        <v>-1.4479895812281707E-2</v>
      </c>
      <c r="S13" s="88"/>
      <c r="T13" s="42"/>
      <c r="U13" s="42"/>
      <c r="V13" s="42"/>
      <c r="W13" s="42"/>
      <c r="X13" s="42"/>
      <c r="Y13" s="42"/>
      <c r="Z13" s="42"/>
      <c r="AA13" s="42"/>
    </row>
    <row r="14" spans="2:44">
      <c r="B14" s="5" t="s">
        <v>532</v>
      </c>
      <c r="C14" s="257"/>
      <c r="D14" s="533">
        <v>127.30200000000001</v>
      </c>
      <c r="E14" s="533">
        <v>127.30200000000001</v>
      </c>
      <c r="F14" s="533">
        <v>127.30200000000001</v>
      </c>
      <c r="G14" s="533">
        <v>127.30200000000001</v>
      </c>
      <c r="H14" s="247"/>
      <c r="I14" s="247"/>
      <c r="J14" s="5" t="s">
        <v>593</v>
      </c>
      <c r="L14" s="529">
        <f>'W.EUR OTHER'!D42</f>
        <v>1.7744255045715212</v>
      </c>
      <c r="M14" s="529">
        <f>'W.EUR OTHER'!E42</f>
        <v>1.6143851746135043</v>
      </c>
      <c r="N14" s="529">
        <f>'W.EUR OTHER'!F42</f>
        <v>1.516251557360391</v>
      </c>
      <c r="O14" s="529">
        <f>'W.EUR OTHER'!G42</f>
        <v>1.4124281433920347</v>
      </c>
      <c r="P14" s="279">
        <f>'W.EUR OTHER'!H42</f>
        <v>1.1312273411797191E-2</v>
      </c>
      <c r="S14" s="88"/>
      <c r="T14" s="42"/>
      <c r="U14" s="42"/>
      <c r="V14" s="42"/>
      <c r="W14" s="42"/>
      <c r="X14" s="42"/>
      <c r="Y14" s="42"/>
      <c r="Z14" s="42"/>
      <c r="AA14" s="42"/>
    </row>
    <row r="15" spans="2:44">
      <c r="B15" s="5" t="s">
        <v>531</v>
      </c>
      <c r="C15" s="274"/>
      <c r="D15" s="533">
        <v>2325.9090404237659</v>
      </c>
      <c r="E15" s="533">
        <v>2325.9090404237659</v>
      </c>
      <c r="F15" s="533">
        <v>2325.9090404237659</v>
      </c>
      <c r="G15" s="533">
        <v>2325.9090404237659</v>
      </c>
      <c r="H15" s="247"/>
      <c r="I15" s="247"/>
      <c r="J15" s="5" t="s">
        <v>475</v>
      </c>
      <c r="L15" s="529">
        <f>'W.EUR OTHER'!D43</f>
        <v>16.766632642192913</v>
      </c>
      <c r="M15" s="529">
        <f>'W.EUR OTHER'!E43</f>
        <v>18.03434445713204</v>
      </c>
      <c r="N15" s="529">
        <f>'W.EUR OTHER'!F43</f>
        <v>10.571394482468753</v>
      </c>
      <c r="O15" s="529">
        <f>'W.EUR OTHER'!G43</f>
        <v>8.2021597370687243</v>
      </c>
      <c r="P15" s="279">
        <f>'W.EUR OTHER'!H43</f>
        <v>0.21960762754614027</v>
      </c>
      <c r="S15" s="88"/>
      <c r="T15" s="42"/>
      <c r="U15" s="42"/>
      <c r="V15" s="42"/>
      <c r="W15" s="42"/>
      <c r="X15" s="42"/>
      <c r="Y15" s="42"/>
      <c r="Z15" s="42"/>
      <c r="AA15" s="42"/>
    </row>
    <row r="16" spans="2:44">
      <c r="B16" s="5" t="s">
        <v>534</v>
      </c>
      <c r="C16" s="257"/>
      <c r="D16" s="533">
        <v>0</v>
      </c>
      <c r="E16" s="533">
        <v>86.408147499999998</v>
      </c>
      <c r="F16" s="533">
        <v>172.816295</v>
      </c>
      <c r="G16" s="533">
        <v>259.22444250000001</v>
      </c>
      <c r="H16" s="247"/>
      <c r="I16" s="247"/>
      <c r="J16" s="5" t="s">
        <v>533</v>
      </c>
      <c r="L16" s="529">
        <f>'W.EUR OTHER'!D44</f>
        <v>14.93276596244098</v>
      </c>
      <c r="M16" s="529">
        <f>'W.EUR OTHER'!E44</f>
        <v>11.776896223765881</v>
      </c>
      <c r="N16" s="529">
        <f>'W.EUR OTHER'!F44</f>
        <v>9.7753259947195836</v>
      </c>
      <c r="O16" s="529">
        <f>'W.EUR OTHER'!G44</f>
        <v>8.6831119730060706</v>
      </c>
      <c r="P16" s="279">
        <f>'W.EUR OTHER'!H44</f>
        <v>0.16793708979658639</v>
      </c>
      <c r="S16" s="88"/>
      <c r="T16" s="42"/>
      <c r="U16" s="42"/>
      <c r="V16" s="42"/>
      <c r="W16" s="42"/>
      <c r="X16" s="42"/>
      <c r="Y16" s="42"/>
      <c r="Z16" s="42"/>
      <c r="AA16" s="42"/>
    </row>
    <row r="17" spans="2:27">
      <c r="B17" s="5" t="s">
        <v>6</v>
      </c>
      <c r="C17" s="257"/>
      <c r="D17" s="533">
        <v>0</v>
      </c>
      <c r="E17" s="533">
        <v>0</v>
      </c>
      <c r="F17" s="533">
        <v>0</v>
      </c>
      <c r="G17" s="533">
        <v>0</v>
      </c>
      <c r="H17" s="247"/>
      <c r="I17" s="247"/>
      <c r="J17" s="5" t="s">
        <v>580</v>
      </c>
      <c r="L17" s="248">
        <f>'W.EUR OTHER'!D45</f>
        <v>7.0241435315537989E-2</v>
      </c>
      <c r="M17" s="248">
        <f>'W.EUR OTHER'!E45</f>
        <v>4.5697904024259245E-2</v>
      </c>
      <c r="N17" s="248">
        <f>'W.EUR OTHER'!F45</f>
        <v>4.7170150494817063E-2</v>
      </c>
      <c r="O17" s="248">
        <f>'W.EUR OTHER'!G45</f>
        <v>4.8241300976334903E-2</v>
      </c>
      <c r="P17" s="279">
        <f>'W.EUR OTHER'!H45</f>
        <v>-0.13991829578276849</v>
      </c>
      <c r="S17" s="88"/>
      <c r="T17" s="42"/>
      <c r="U17" s="42"/>
      <c r="V17" s="42"/>
      <c r="W17" s="42"/>
      <c r="X17" s="42"/>
      <c r="Y17" s="42"/>
      <c r="Z17" s="42"/>
      <c r="AA17" s="42"/>
    </row>
    <row r="18" spans="2:27" ht="12.6" thickBot="1">
      <c r="B18" s="41" t="s">
        <v>583</v>
      </c>
      <c r="C18" s="249"/>
      <c r="D18" s="534">
        <f>D11+D12+D13-D14+D15-D16-D17</f>
        <v>9852.3778964195117</v>
      </c>
      <c r="E18" s="534">
        <f>E11+E12+E13-E14+E15-E16-E17</f>
        <v>10203.155576803039</v>
      </c>
      <c r="F18" s="534">
        <f>F11+F12+F13-F14+F15-F16-F17</f>
        <v>10325.311089897063</v>
      </c>
      <c r="G18" s="534">
        <f>G11+G12+G13-G14+G15-G16-G17</f>
        <v>10114.359330229914</v>
      </c>
      <c r="H18" s="276">
        <f>IF(D18=0,"nm",IF(G18=0,"nm",(G18/D18)^(1/3)-1))</f>
        <v>8.7861378958808967E-3</v>
      </c>
      <c r="I18" s="254"/>
      <c r="J18" s="5" t="s">
        <v>36</v>
      </c>
      <c r="L18" s="248">
        <f>'W.EUR OTHER'!D46</f>
        <v>7.0241435315537989E-2</v>
      </c>
      <c r="M18" s="248">
        <f>'W.EUR OTHER'!E46</f>
        <v>4.5697904024259245E-2</v>
      </c>
      <c r="N18" s="248">
        <f>'W.EUR OTHER'!F46</f>
        <v>4.7170150494817063E-2</v>
      </c>
      <c r="O18" s="248">
        <f>'W.EUR OTHER'!G46</f>
        <v>4.8241300976334903E-2</v>
      </c>
      <c r="P18" s="279">
        <f>'W.EUR OTHER'!H46</f>
        <v>-0.13991829578276849</v>
      </c>
      <c r="S18" s="88"/>
      <c r="T18" s="42"/>
      <c r="U18" s="42"/>
      <c r="V18" s="42"/>
      <c r="W18" s="42"/>
      <c r="X18" s="42"/>
      <c r="Y18" s="42"/>
      <c r="Z18" s="42"/>
      <c r="AA18" s="42"/>
    </row>
    <row r="19" spans="2:27" ht="12.6" thickTop="1">
      <c r="B19" s="41"/>
      <c r="C19" s="249"/>
      <c r="D19" s="229"/>
      <c r="E19" s="229"/>
      <c r="F19" s="229"/>
      <c r="G19" s="229"/>
      <c r="H19" s="276"/>
      <c r="I19" s="254"/>
      <c r="J19" s="5" t="s">
        <v>581</v>
      </c>
      <c r="L19" s="248">
        <f>'W.EUR OTHER'!D47</f>
        <v>5.9642268148913748E-2</v>
      </c>
      <c r="M19" s="248">
        <f>'W.EUR OTHER'!E47</f>
        <v>5.5449756012868556E-2</v>
      </c>
      <c r="N19" s="248">
        <f>'W.EUR OTHER'!F47</f>
        <v>9.4594899628271986E-2</v>
      </c>
      <c r="O19" s="248">
        <f>'W.EUR OTHER'!G47</f>
        <v>0.12191910814423843</v>
      </c>
      <c r="P19" s="279">
        <f>'W.EUR OTHER'!H47</f>
        <v>0.21960762754614027</v>
      </c>
      <c r="S19" s="88"/>
      <c r="T19" s="42"/>
      <c r="U19" s="42"/>
      <c r="V19" s="42"/>
      <c r="W19" s="42"/>
      <c r="X19" s="42"/>
      <c r="Y19" s="42"/>
      <c r="Z19" s="42"/>
      <c r="AA19" s="42"/>
    </row>
    <row r="20" spans="2:27">
      <c r="H20" s="277"/>
      <c r="I20" s="17"/>
      <c r="J20" s="5" t="s">
        <v>604</v>
      </c>
      <c r="L20" s="305">
        <f>'W.EUR OTHER'!D48</f>
        <v>1.1058218246883247</v>
      </c>
      <c r="M20" s="305">
        <f>'W.EUR OTHER'!E48</f>
        <v>0.7720587558994737</v>
      </c>
      <c r="N20" s="305">
        <f>'W.EUR OTHER'!F48</f>
        <v>0.47387935381738827</v>
      </c>
      <c r="O20" s="305">
        <f>'W.EUR OTHER'!G48</f>
        <v>0.38783222312893756</v>
      </c>
      <c r="P20" s="279" t="str">
        <f>'W.EUR OTHER'!H48</f>
        <v>nm</v>
      </c>
      <c r="S20" s="88"/>
      <c r="T20" s="42"/>
      <c r="U20" s="42"/>
      <c r="V20" s="42"/>
      <c r="W20" s="42"/>
      <c r="X20" s="42"/>
      <c r="Y20" s="42"/>
      <c r="Z20" s="42"/>
      <c r="AA20" s="42"/>
    </row>
    <row r="21" spans="2:27" ht="12.6" thickBot="1">
      <c r="B21" s="306" t="s">
        <v>936</v>
      </c>
      <c r="C21" s="265"/>
      <c r="D21" s="265" t="str">
        <f>D5</f>
        <v>2023E</v>
      </c>
      <c r="E21" s="265" t="str">
        <f t="shared" ref="E21:H21" si="2">E5</f>
        <v>2024E</v>
      </c>
      <c r="F21" s="265" t="str">
        <f t="shared" si="2"/>
        <v>2025E</v>
      </c>
      <c r="G21" s="265" t="str">
        <f t="shared" si="2"/>
        <v>2026E</v>
      </c>
      <c r="H21" s="265" t="str">
        <f t="shared" si="2"/>
        <v>23E-26E</v>
      </c>
      <c r="I21" s="49"/>
      <c r="J21" s="41"/>
      <c r="L21" s="251"/>
      <c r="M21" s="251"/>
      <c r="N21" s="251"/>
      <c r="O21" s="251"/>
      <c r="P21" s="18"/>
      <c r="S21" s="88"/>
      <c r="T21" s="42"/>
      <c r="U21" s="42"/>
      <c r="V21" s="42"/>
      <c r="W21" s="42"/>
      <c r="X21" s="42"/>
      <c r="Y21" s="42"/>
      <c r="Z21" s="42"/>
      <c r="AA21" s="42"/>
    </row>
    <row r="22" spans="2:27" ht="12.6" thickTop="1">
      <c r="B22" s="5"/>
      <c r="C22" s="257"/>
      <c r="D22" s="17"/>
      <c r="E22" s="17"/>
      <c r="F22" s="17"/>
      <c r="G22" s="17"/>
      <c r="H22" s="17"/>
      <c r="I22" s="17"/>
      <c r="P22" s="277"/>
      <c r="S22" s="88"/>
      <c r="T22" s="42"/>
      <c r="U22" s="42"/>
      <c r="V22" s="42"/>
      <c r="W22" s="42"/>
      <c r="X22" s="42"/>
      <c r="Y22" s="42"/>
      <c r="Z22" s="42"/>
      <c r="AA22" s="42"/>
    </row>
    <row r="23" spans="2:27" ht="12.6" thickBot="1">
      <c r="B23" s="5" t="s">
        <v>584</v>
      </c>
      <c r="C23" s="548">
        <v>6213.2160000000003</v>
      </c>
      <c r="D23" s="533">
        <v>6536.5700580937701</v>
      </c>
      <c r="E23" s="533">
        <v>6800.6099816059905</v>
      </c>
      <c r="F23" s="533">
        <v>7000.9717606210988</v>
      </c>
      <c r="G23" s="533">
        <v>7165.128419255997</v>
      </c>
      <c r="H23" s="279">
        <f>IF(D23=0,"nm",IF(G23=0,"nm",(G23/D23)^(1/3)-1))</f>
        <v>3.1077601892839812E-2</v>
      </c>
      <c r="I23" s="247"/>
      <c r="J23" s="306" t="s">
        <v>9</v>
      </c>
      <c r="K23" s="306"/>
      <c r="L23" s="265" t="str">
        <f>D21</f>
        <v>2023E</v>
      </c>
      <c r="M23" s="265" t="str">
        <f t="shared" ref="M23:P23" si="3">E21</f>
        <v>2024E</v>
      </c>
      <c r="N23" s="265" t="str">
        <f t="shared" si="3"/>
        <v>2025E</v>
      </c>
      <c r="O23" s="265" t="str">
        <f t="shared" si="3"/>
        <v>2026E</v>
      </c>
      <c r="P23" s="265" t="str">
        <f t="shared" si="3"/>
        <v>23E-26E</v>
      </c>
      <c r="S23" s="88"/>
      <c r="T23" s="42"/>
      <c r="U23" s="42"/>
      <c r="V23" s="42"/>
      <c r="W23" s="42"/>
      <c r="X23" s="42"/>
      <c r="Y23" s="42"/>
      <c r="Z23" s="42"/>
      <c r="AA23" s="42"/>
    </row>
    <row r="24" spans="2:27" ht="12.6" thickTop="1">
      <c r="B24" s="5" t="s">
        <v>483</v>
      </c>
      <c r="C24" s="549">
        <v>1140.3340000000001</v>
      </c>
      <c r="D24" s="533">
        <v>1155.77</v>
      </c>
      <c r="E24" s="533">
        <v>1261.0997925893712</v>
      </c>
      <c r="F24" s="533">
        <v>1389.2528109915856</v>
      </c>
      <c r="G24" s="533">
        <v>1490.975751985023</v>
      </c>
      <c r="H24" s="279">
        <f>IF(D24=0,"nm",IF(G24=0,"nm",(G24/D24)^(1/3)-1))</f>
        <v>8.8595131486410628E-2</v>
      </c>
      <c r="I24" s="249"/>
      <c r="J24" s="17"/>
      <c r="K24" s="17"/>
      <c r="L24" s="17"/>
      <c r="M24" s="17"/>
      <c r="N24" s="17"/>
      <c r="O24" s="248"/>
      <c r="S24" s="88"/>
      <c r="T24" s="42"/>
      <c r="U24" s="42"/>
      <c r="V24" s="42"/>
      <c r="W24" s="42" t="s">
        <v>898</v>
      </c>
      <c r="X24" s="42" t="s">
        <v>1390</v>
      </c>
      <c r="Y24" s="42"/>
      <c r="Z24" s="42"/>
      <c r="AA24" s="42"/>
    </row>
    <row r="25" spans="2:27">
      <c r="B25" s="5" t="s">
        <v>183</v>
      </c>
      <c r="C25" s="548">
        <v>458.95600000000002</v>
      </c>
      <c r="D25" s="533">
        <v>357.87799999999993</v>
      </c>
      <c r="E25" s="533">
        <v>386.44871758937109</v>
      </c>
      <c r="F25" s="533">
        <v>549.0255798719428</v>
      </c>
      <c r="G25" s="533">
        <v>701.01648557433964</v>
      </c>
      <c r="H25" s="279">
        <f>IF(D25=0,"nm",IF(G25=0,"nm",(G25/D25)^(1/3)-1))</f>
        <v>0.25121250595556455</v>
      </c>
      <c r="I25" s="248"/>
      <c r="J25" s="247" t="s">
        <v>10</v>
      </c>
      <c r="K25" s="247"/>
      <c r="L25" s="321">
        <v>1401.4150623957446</v>
      </c>
      <c r="M25" s="321">
        <v>1451.3285865138637</v>
      </c>
      <c r="N25" s="321">
        <v>935.51627322377874</v>
      </c>
      <c r="O25" s="321">
        <v>908.30034725654821</v>
      </c>
      <c r="P25" s="279">
        <f>IF(L25=0,"nm",IF(O25=0,"nm",(O25/L25)^(1/3)-1))</f>
        <v>-0.13459201162526258</v>
      </c>
      <c r="S25" s="88"/>
      <c r="T25" s="42"/>
      <c r="U25" s="42"/>
      <c r="V25" s="147" t="s">
        <v>273</v>
      </c>
      <c r="W25" s="288">
        <f>D37/L9</f>
        <v>0.92712863779159638</v>
      </c>
      <c r="X25" s="288">
        <v>1</v>
      </c>
      <c r="Y25" s="42"/>
      <c r="Z25" s="42"/>
      <c r="AA25" s="42"/>
    </row>
    <row r="26" spans="2:27">
      <c r="B26" s="5" t="s">
        <v>586</v>
      </c>
      <c r="C26" s="548">
        <v>318.97442000000007</v>
      </c>
      <c r="D26" s="533">
        <v>248.72520999999998</v>
      </c>
      <c r="E26" s="533">
        <v>268.58185872461291</v>
      </c>
      <c r="F26" s="533">
        <v>381.57277801100025</v>
      </c>
      <c r="G26" s="533">
        <v>487.20645747416609</v>
      </c>
      <c r="H26" s="279">
        <f>IF(D26=0,"nm",IF(G26=0,"nm",(G26/D26)^(1/3)-1))</f>
        <v>0.25121250595556455</v>
      </c>
      <c r="I26" s="249"/>
      <c r="J26" s="249" t="s">
        <v>11</v>
      </c>
      <c r="K26" s="249"/>
      <c r="L26" s="281">
        <f>D11+L25</f>
        <v>5217.1988559957445</v>
      </c>
      <c r="M26" s="281">
        <f>E11+M25</f>
        <v>5267.1123801138638</v>
      </c>
      <c r="N26" s="281">
        <f>F11+N25</f>
        <v>4751.3000668237783</v>
      </c>
      <c r="O26" s="281">
        <f>G11+O25</f>
        <v>4724.0841408565475</v>
      </c>
      <c r="P26" s="279">
        <f>IF(L26=0,"nm",IF(O26=0,"nm",(O26/L26)^(1/3)-1))</f>
        <v>-3.2553974825644372E-2</v>
      </c>
      <c r="Q26" s="5"/>
      <c r="S26" s="88"/>
      <c r="T26" s="42"/>
      <c r="U26" s="42"/>
      <c r="V26" s="147" t="s">
        <v>184</v>
      </c>
      <c r="W26" s="288">
        <f t="shared" ref="W26:W33" si="4">D38/L10</f>
        <v>1.6146364699841771</v>
      </c>
      <c r="X26" s="288">
        <v>1</v>
      </c>
      <c r="Y26" s="42"/>
      <c r="Z26" s="42"/>
      <c r="AA26" s="42"/>
    </row>
    <row r="27" spans="2:27">
      <c r="B27" s="5" t="s">
        <v>587</v>
      </c>
      <c r="C27" s="549">
        <v>7961.6639999999998</v>
      </c>
      <c r="D27" s="533">
        <v>8648.6520000000019</v>
      </c>
      <c r="E27" s="533">
        <v>9539.7370768391447</v>
      </c>
      <c r="F27" s="533">
        <v>10810.715391697899</v>
      </c>
      <c r="G27" s="533">
        <v>11078.472996905808</v>
      </c>
      <c r="H27" s="279">
        <f>IF(ISERROR((G27/D27)^(1/3)-1),"na",(G27/D27)^(1/3)-1)</f>
        <v>8.6035013375705738E-2</v>
      </c>
      <c r="I27" s="249"/>
      <c r="J27" s="248"/>
      <c r="K27" s="248"/>
      <c r="L27" s="248"/>
      <c r="M27" s="248"/>
      <c r="N27" s="248"/>
      <c r="O27" s="248"/>
      <c r="Q27" s="41"/>
      <c r="S27" s="88"/>
      <c r="T27" s="42"/>
      <c r="U27" s="42"/>
      <c r="V27" s="147" t="s">
        <v>185</v>
      </c>
      <c r="W27" s="288">
        <f t="shared" si="4"/>
        <v>2.1615562824256371</v>
      </c>
      <c r="X27" s="288">
        <v>1</v>
      </c>
      <c r="Y27" s="42"/>
      <c r="Z27" s="42"/>
      <c r="AA27" s="42"/>
    </row>
    <row r="28" spans="2:27" ht="12.6" thickBot="1">
      <c r="B28" s="5" t="s">
        <v>592</v>
      </c>
      <c r="C28" s="548">
        <v>1850.999</v>
      </c>
      <c r="D28" s="533">
        <v>2405.3119999999999</v>
      </c>
      <c r="E28" s="533">
        <v>3020.6218807216765</v>
      </c>
      <c r="F28" s="533">
        <v>3577.072938471199</v>
      </c>
      <c r="G28" s="533">
        <v>4039.7994524137903</v>
      </c>
      <c r="H28" s="279">
        <f>IF(ISERROR((G28/D28)^(1/3)-1),"na",(G28/D28)^(1/3)-1)</f>
        <v>0.1886740891435108</v>
      </c>
      <c r="I28" s="248"/>
      <c r="J28" s="306" t="s">
        <v>1362</v>
      </c>
      <c r="K28" s="306"/>
      <c r="L28" s="306"/>
      <c r="M28" s="306"/>
      <c r="N28" s="266"/>
      <c r="O28" s="266"/>
      <c r="P28" s="266"/>
      <c r="Q28" s="5"/>
      <c r="S28" s="88"/>
      <c r="T28" s="42"/>
      <c r="U28" s="42"/>
      <c r="V28" s="147" t="s">
        <v>466</v>
      </c>
      <c r="W28" s="288">
        <f t="shared" si="4"/>
        <v>2.258731337919365</v>
      </c>
      <c r="X28" s="288">
        <v>1</v>
      </c>
      <c r="Y28" s="42"/>
      <c r="Z28" s="42"/>
      <c r="AA28" s="42"/>
    </row>
    <row r="29" spans="2:27" ht="12.6" thickTop="1">
      <c r="B29" s="5" t="s">
        <v>588</v>
      </c>
      <c r="C29" s="548">
        <v>-226.32499999999999</v>
      </c>
      <c r="D29" s="533">
        <v>-158.44100000000012</v>
      </c>
      <c r="E29" s="533">
        <v>-237.68706807024967</v>
      </c>
      <c r="F29" s="533">
        <v>243.94326181104952</v>
      </c>
      <c r="G29" s="533">
        <v>400.63759760311814</v>
      </c>
      <c r="H29" s="279">
        <f>IF(D29=0,"nm",IF(G29=0,"nm",(G29/D29)^(1/3)-1))</f>
        <v>-2.3623688634692099</v>
      </c>
      <c r="I29" s="252"/>
      <c r="J29" s="249"/>
      <c r="K29" s="249"/>
      <c r="L29" s="249"/>
      <c r="M29" s="249"/>
      <c r="N29" s="249"/>
      <c r="O29" s="251"/>
      <c r="Q29" s="5"/>
      <c r="S29" s="88"/>
      <c r="T29" s="42"/>
      <c r="U29" s="42"/>
      <c r="V29" s="147" t="s">
        <v>530</v>
      </c>
      <c r="W29" s="288">
        <f t="shared" si="4"/>
        <v>1.551851187898418</v>
      </c>
      <c r="X29" s="288">
        <v>1</v>
      </c>
      <c r="Y29" s="42"/>
      <c r="Z29" s="42"/>
      <c r="AA29" s="42"/>
    </row>
    <row r="30" spans="2:27">
      <c r="B30" s="5" t="s">
        <v>589</v>
      </c>
      <c r="C30" s="549">
        <v>464.70999999999992</v>
      </c>
      <c r="D30" s="533">
        <v>350.92299999999989</v>
      </c>
      <c r="E30" s="533">
        <v>458.75061348171795</v>
      </c>
      <c r="F30" s="533">
        <v>482.64652981742898</v>
      </c>
      <c r="G30" s="533">
        <v>470.27687760496462</v>
      </c>
      <c r="H30" s="279">
        <f>IF(D30=0,"nm",IF(G30=0,"nm",(G30/D30)^(1/3)-1))</f>
        <v>0.1025050756798529</v>
      </c>
      <c r="I30" s="254"/>
      <c r="J30" s="248"/>
      <c r="K30" s="248"/>
      <c r="L30" s="248"/>
      <c r="M30" s="248"/>
      <c r="N30" s="248"/>
      <c r="O30" s="5"/>
      <c r="Q30" s="5"/>
      <c r="S30" s="88"/>
      <c r="T30" s="42"/>
      <c r="U30" s="42"/>
      <c r="V30" s="147" t="s">
        <v>593</v>
      </c>
      <c r="W30" s="288">
        <f t="shared" si="4"/>
        <v>2.3084042866637877</v>
      </c>
      <c r="X30" s="288">
        <v>1</v>
      </c>
      <c r="Y30" s="42"/>
      <c r="Z30" s="42"/>
      <c r="AA30" s="42"/>
    </row>
    <row r="31" spans="2:27">
      <c r="B31" s="5" t="s">
        <v>590</v>
      </c>
      <c r="C31" s="549">
        <v>93.3579455</v>
      </c>
      <c r="D31" s="533">
        <v>86.408147499999998</v>
      </c>
      <c r="E31" s="533">
        <v>86.408147499999998</v>
      </c>
      <c r="F31" s="533">
        <v>86.408147499999998</v>
      </c>
      <c r="G31" s="533">
        <v>86.408147499999998</v>
      </c>
      <c r="H31" s="279">
        <f>IF(D31=0,"nm",IF(G31=0,"nm",(G31/D31)^(1/3)-1))</f>
        <v>0</v>
      </c>
      <c r="I31" s="254"/>
      <c r="J31" s="252"/>
      <c r="K31" s="252"/>
      <c r="L31" s="252"/>
      <c r="M31" s="252"/>
      <c r="N31" s="252"/>
      <c r="O31" s="5"/>
      <c r="Q31" s="5"/>
      <c r="S31" s="88"/>
      <c r="T31" s="42"/>
      <c r="U31" s="42"/>
      <c r="V31" s="147" t="s">
        <v>144</v>
      </c>
      <c r="W31" s="288">
        <f t="shared" si="4"/>
        <v>-1.9639207853743919</v>
      </c>
      <c r="X31" s="288">
        <v>1</v>
      </c>
      <c r="Y31" s="42"/>
      <c r="Z31" s="42"/>
      <c r="AA31" s="42"/>
    </row>
    <row r="32" spans="2:27">
      <c r="B32" s="5" t="s">
        <v>606</v>
      </c>
      <c r="C32" s="550">
        <v>0</v>
      </c>
      <c r="D32" s="533">
        <v>0</v>
      </c>
      <c r="E32" s="533">
        <v>0</v>
      </c>
      <c r="F32" s="533">
        <v>0</v>
      </c>
      <c r="G32" s="533">
        <v>0</v>
      </c>
      <c r="H32" s="279" t="str">
        <f>IF(D32=0,"nm",IF(G32=0,"nm",(G32/D32)^(1/3)-1))</f>
        <v>nm</v>
      </c>
      <c r="I32" s="254"/>
      <c r="J32" s="254"/>
      <c r="K32" s="254"/>
      <c r="L32" s="254"/>
      <c r="M32" s="254"/>
      <c r="N32" s="254"/>
      <c r="O32" s="251"/>
      <c r="Q32" s="5"/>
      <c r="S32" s="88"/>
      <c r="T32" s="42"/>
      <c r="U32" s="42"/>
      <c r="V32" s="147" t="s">
        <v>533</v>
      </c>
      <c r="W32" s="288">
        <f t="shared" si="4"/>
        <v>0.72816813009017234</v>
      </c>
      <c r="X32" s="288">
        <v>1</v>
      </c>
      <c r="Y32" s="42"/>
      <c r="Z32" s="42"/>
      <c r="AA32" s="42"/>
    </row>
    <row r="33" spans="2:27">
      <c r="B33" s="5" t="s">
        <v>5</v>
      </c>
      <c r="C33" s="549">
        <v>38.188000000000002</v>
      </c>
      <c r="D33" s="533">
        <v>98.192000000000007</v>
      </c>
      <c r="E33" s="533">
        <v>120.54742661914912</v>
      </c>
      <c r="F33" s="533">
        <v>152.08681516094276</v>
      </c>
      <c r="G33" s="533">
        <v>172.49962973353144</v>
      </c>
      <c r="H33" s="279">
        <f>IF(ISERROR((G33/D33)^(1/3)-1),"na",(G33/D33)^(1/3)-1)</f>
        <v>0.20662046542737178</v>
      </c>
      <c r="I33" s="5"/>
      <c r="J33" s="254"/>
      <c r="K33" s="254"/>
      <c r="L33" s="254"/>
      <c r="M33" s="254"/>
      <c r="N33" s="254"/>
      <c r="O33" s="251"/>
      <c r="Q33" s="5"/>
      <c r="S33" s="88"/>
      <c r="T33" s="42"/>
      <c r="U33" s="42"/>
      <c r="V33" s="147" t="s">
        <v>580</v>
      </c>
      <c r="W33" s="288">
        <f t="shared" si="4"/>
        <v>0.3223870274647227</v>
      </c>
      <c r="X33" s="288">
        <v>1</v>
      </c>
      <c r="Y33" s="42"/>
      <c r="Z33" s="42"/>
      <c r="AA33" s="42"/>
    </row>
    <row r="34" spans="2:27">
      <c r="D34" s="5"/>
      <c r="E34" s="5"/>
      <c r="F34" s="5"/>
      <c r="G34" s="5"/>
      <c r="I34" s="49"/>
      <c r="J34" s="254"/>
      <c r="K34" s="254"/>
      <c r="L34" s="254"/>
      <c r="M34" s="254"/>
      <c r="N34" s="254"/>
      <c r="O34" s="251"/>
      <c r="Q34" s="5"/>
      <c r="S34" s="88"/>
      <c r="T34" s="42"/>
      <c r="U34" s="42"/>
      <c r="V34" s="147" t="s">
        <v>145</v>
      </c>
      <c r="W34" s="288">
        <f>D47/L19</f>
        <v>-0.5091855065882227</v>
      </c>
      <c r="X34" s="288">
        <v>1</v>
      </c>
      <c r="Y34" s="288"/>
      <c r="Z34" s="288"/>
      <c r="AA34" s="42"/>
    </row>
    <row r="35" spans="2:27" ht="12.6" thickBot="1">
      <c r="B35" s="306" t="s">
        <v>903</v>
      </c>
      <c r="C35" s="265"/>
      <c r="D35" s="265" t="str">
        <f>D5</f>
        <v>2023E</v>
      </c>
      <c r="E35" s="265" t="str">
        <f t="shared" ref="E35:H35" si="5">E5</f>
        <v>2024E</v>
      </c>
      <c r="F35" s="265" t="str">
        <f t="shared" si="5"/>
        <v>2025E</v>
      </c>
      <c r="G35" s="265" t="str">
        <f t="shared" si="5"/>
        <v>2026E</v>
      </c>
      <c r="H35" s="265" t="str">
        <f t="shared" si="5"/>
        <v>23E-26E</v>
      </c>
      <c r="I35" s="254"/>
      <c r="J35" s="5"/>
      <c r="K35" s="5"/>
      <c r="L35" s="5"/>
      <c r="M35" s="5"/>
      <c r="N35" s="5"/>
      <c r="O35" s="5"/>
      <c r="Q35" s="5"/>
      <c r="S35" s="88"/>
      <c r="T35" s="42"/>
      <c r="U35" s="42"/>
      <c r="V35" s="42"/>
      <c r="W35" s="289"/>
      <c r="X35" s="42"/>
      <c r="Y35" s="288"/>
      <c r="Z35" s="288"/>
      <c r="AA35" s="42"/>
    </row>
    <row r="36" spans="2:27" ht="12.6" thickTop="1">
      <c r="B36" s="41"/>
      <c r="C36" s="249"/>
      <c r="D36" s="254"/>
      <c r="E36" s="254"/>
      <c r="F36" s="254"/>
      <c r="G36" s="254"/>
      <c r="H36" s="254"/>
      <c r="I36" s="17"/>
      <c r="J36" s="49"/>
      <c r="K36" s="49"/>
      <c r="L36" s="49"/>
      <c r="M36" s="49"/>
      <c r="N36" s="49"/>
      <c r="O36" s="49"/>
      <c r="Q36" s="5"/>
      <c r="S36" s="88"/>
      <c r="T36" s="42"/>
      <c r="U36" s="42"/>
      <c r="V36" s="42"/>
      <c r="W36" s="42"/>
      <c r="X36" s="42"/>
      <c r="Y36" s="288"/>
      <c r="Z36" s="288"/>
      <c r="AA36" s="42"/>
    </row>
    <row r="37" spans="2:27">
      <c r="B37" s="5" t="s">
        <v>273</v>
      </c>
      <c r="C37" s="247"/>
      <c r="D37" s="529">
        <f>D$18/D23</f>
        <v>1.5072702975500143</v>
      </c>
      <c r="E37" s="529">
        <f t="shared" ref="E37:G41" si="6">E$18/E23</f>
        <v>1.5003294710915807</v>
      </c>
      <c r="F37" s="529">
        <f t="shared" si="6"/>
        <v>1.474839699822049</v>
      </c>
      <c r="G37" s="529">
        <f t="shared" si="6"/>
        <v>1.4116089396315601</v>
      </c>
      <c r="H37" s="17">
        <f t="shared" ref="H37:H45" si="7">H23</f>
        <v>3.1077601892839812E-2</v>
      </c>
      <c r="I37" s="5"/>
      <c r="J37" s="259"/>
      <c r="K37" s="259"/>
      <c r="L37" s="259"/>
      <c r="M37" s="259"/>
      <c r="N37" s="259"/>
      <c r="O37" s="18"/>
      <c r="Q37" s="5"/>
      <c r="R37" s="5"/>
      <c r="S37" s="42"/>
      <c r="T37" s="42"/>
      <c r="U37" s="42"/>
      <c r="V37" s="42"/>
      <c r="W37" s="42"/>
      <c r="X37" s="42"/>
      <c r="Y37" s="42"/>
      <c r="Z37" s="42"/>
      <c r="AA37" s="42"/>
    </row>
    <row r="38" spans="2:27">
      <c r="B38" s="5" t="s">
        <v>184</v>
      </c>
      <c r="C38" s="247"/>
      <c r="D38" s="529">
        <f>D$18/D24</f>
        <v>8.5245143033817392</v>
      </c>
      <c r="E38" s="529">
        <f t="shared" si="6"/>
        <v>8.0906805605393561</v>
      </c>
      <c r="F38" s="529">
        <f t="shared" si="6"/>
        <v>7.4322765505346169</v>
      </c>
      <c r="G38" s="529">
        <f t="shared" si="6"/>
        <v>6.7837181904293731</v>
      </c>
      <c r="H38" s="17">
        <f t="shared" si="7"/>
        <v>8.8595131486410628E-2</v>
      </c>
      <c r="I38" s="259"/>
      <c r="J38" s="17"/>
      <c r="K38" s="17"/>
      <c r="L38" s="17"/>
      <c r="M38" s="17"/>
      <c r="N38" s="17"/>
      <c r="O38" s="5"/>
      <c r="Q38" s="5"/>
      <c r="R38" s="5"/>
      <c r="S38" s="42"/>
      <c r="T38" s="42"/>
      <c r="U38" s="42"/>
      <c r="V38" s="42"/>
      <c r="W38" s="42"/>
      <c r="X38" s="42"/>
      <c r="Y38" s="42"/>
      <c r="Z38" s="42"/>
      <c r="AA38" s="42"/>
    </row>
    <row r="39" spans="2:27">
      <c r="B39" s="5" t="s">
        <v>185</v>
      </c>
      <c r="C39" s="247"/>
      <c r="D39" s="529">
        <f>D$18/D25</f>
        <v>27.529990377781015</v>
      </c>
      <c r="E39" s="529">
        <f t="shared" si="6"/>
        <v>26.402353306925988</v>
      </c>
      <c r="F39" s="529">
        <f t="shared" si="6"/>
        <v>18.806612056774085</v>
      </c>
      <c r="G39" s="529">
        <f t="shared" si="6"/>
        <v>14.428133344030083</v>
      </c>
      <c r="H39" s="17">
        <f t="shared" si="7"/>
        <v>0.25121250595556455</v>
      </c>
      <c r="I39" s="17"/>
      <c r="J39" s="5"/>
      <c r="K39" s="5"/>
      <c r="L39" s="5"/>
      <c r="M39" s="5"/>
      <c r="N39" s="5"/>
      <c r="O39" s="5"/>
      <c r="Q39" s="5"/>
      <c r="R39" s="5"/>
      <c r="S39" s="42"/>
      <c r="T39" s="42"/>
      <c r="U39" s="42"/>
      <c r="V39" s="42"/>
      <c r="W39" s="42"/>
      <c r="X39" s="42"/>
      <c r="Y39" s="42"/>
      <c r="Z39" s="42"/>
      <c r="AA39" s="42"/>
    </row>
    <row r="40" spans="2:27">
      <c r="B40" s="5" t="s">
        <v>466</v>
      </c>
      <c r="C40" s="247"/>
      <c r="D40" s="529">
        <f>D$18/D26</f>
        <v>39.611496946447495</v>
      </c>
      <c r="E40" s="529">
        <f t="shared" si="6"/>
        <v>37.988997563922283</v>
      </c>
      <c r="F40" s="529">
        <f t="shared" si="6"/>
        <v>27.059873462984292</v>
      </c>
      <c r="G40" s="529">
        <f t="shared" si="6"/>
        <v>20.759904092129617</v>
      </c>
      <c r="H40" s="17">
        <f t="shared" si="7"/>
        <v>0.25121250595556455</v>
      </c>
      <c r="I40" s="5"/>
      <c r="J40" s="259"/>
      <c r="K40" s="259"/>
      <c r="L40" s="259"/>
      <c r="M40" s="259"/>
      <c r="N40" s="259"/>
      <c r="O40" s="18"/>
      <c r="Q40" s="5"/>
      <c r="R40" s="5"/>
      <c r="S40" s="42"/>
      <c r="T40" s="42"/>
      <c r="U40" s="42"/>
      <c r="V40" s="42"/>
      <c r="W40" s="288"/>
      <c r="X40" s="288"/>
      <c r="Y40" s="42"/>
      <c r="Z40" s="42"/>
      <c r="AA40" s="42"/>
    </row>
    <row r="41" spans="2:27">
      <c r="B41" s="5" t="s">
        <v>530</v>
      </c>
      <c r="C41" s="247"/>
      <c r="D41" s="529">
        <f>D$18/D27</f>
        <v>1.1391807528409641</v>
      </c>
      <c r="E41" s="529">
        <f t="shared" si="6"/>
        <v>1.0695426398673566</v>
      </c>
      <c r="F41" s="529">
        <f t="shared" si="6"/>
        <v>0.95509970578139514</v>
      </c>
      <c r="G41" s="529">
        <f t="shared" si="6"/>
        <v>0.91297413759593327</v>
      </c>
      <c r="H41" s="17">
        <f t="shared" si="7"/>
        <v>8.6035013375705738E-2</v>
      </c>
      <c r="I41" s="247"/>
      <c r="J41" s="17"/>
      <c r="K41" s="17"/>
      <c r="L41" s="17"/>
      <c r="M41" s="17"/>
      <c r="N41" s="17"/>
      <c r="O41" s="5"/>
      <c r="Q41" s="5"/>
      <c r="R41" s="5"/>
      <c r="S41" s="42"/>
      <c r="T41" s="42"/>
      <c r="U41" s="42"/>
      <c r="V41" s="42"/>
      <c r="W41" s="288"/>
      <c r="X41" s="288"/>
      <c r="Y41" s="288"/>
      <c r="Z41" s="288"/>
      <c r="AA41" s="42"/>
    </row>
    <row r="42" spans="2:27">
      <c r="B42" s="5" t="s">
        <v>593</v>
      </c>
      <c r="C42" s="247"/>
      <c r="D42" s="529">
        <f>D18/D28</f>
        <v>4.0960914411184541</v>
      </c>
      <c r="E42" s="529">
        <f>E18/E28</f>
        <v>3.3778327707688249</v>
      </c>
      <c r="F42" s="529">
        <f>F18/F28</f>
        <v>2.8865251750527583</v>
      </c>
      <c r="G42" s="529">
        <f>G18/G28</f>
        <v>2.5036785734961571</v>
      </c>
      <c r="H42" s="17">
        <f t="shared" si="7"/>
        <v>0.1886740891435108</v>
      </c>
      <c r="I42" s="248"/>
      <c r="J42" s="5"/>
      <c r="K42" s="5"/>
      <c r="L42" s="5"/>
      <c r="M42" s="5"/>
      <c r="N42" s="5"/>
      <c r="O42" s="5"/>
      <c r="Q42" s="5"/>
      <c r="R42" s="5"/>
      <c r="S42" s="42"/>
      <c r="T42" s="42"/>
      <c r="U42" s="42"/>
      <c r="V42" s="42"/>
      <c r="W42" s="288"/>
      <c r="X42" s="288"/>
      <c r="Y42" s="288"/>
      <c r="Z42" s="288"/>
      <c r="AA42" s="42"/>
    </row>
    <row r="43" spans="2:27">
      <c r="B43" s="5" t="s">
        <v>475</v>
      </c>
      <c r="C43" s="247"/>
      <c r="D43" s="529">
        <f>L26/D29</f>
        <v>-32.928338346739423</v>
      </c>
      <c r="E43" s="529">
        <f>M26/E29</f>
        <v>-22.15986095868346</v>
      </c>
      <c r="F43" s="529">
        <f>N26/F29</f>
        <v>19.477070330001489</v>
      </c>
      <c r="G43" s="529">
        <f>O26/G29</f>
        <v>11.791414907435488</v>
      </c>
      <c r="H43" s="17">
        <f t="shared" si="7"/>
        <v>-2.3623688634692099</v>
      </c>
      <c r="I43" s="247"/>
      <c r="J43" s="247"/>
      <c r="K43" s="247"/>
      <c r="L43" s="247"/>
      <c r="M43" s="247"/>
      <c r="N43" s="247"/>
      <c r="O43" s="18"/>
      <c r="Q43" s="5"/>
      <c r="R43" s="5"/>
      <c r="S43" s="42"/>
      <c r="T43" s="42"/>
      <c r="U43" s="42"/>
      <c r="V43" s="42"/>
      <c r="W43" s="288"/>
      <c r="X43" s="288"/>
      <c r="Y43" s="288"/>
      <c r="Z43" s="288"/>
      <c r="AA43" s="42"/>
    </row>
    <row r="44" spans="2:27">
      <c r="B44" s="5" t="s">
        <v>533</v>
      </c>
      <c r="C44" s="69"/>
      <c r="D44" s="529">
        <f>D11/D30</f>
        <v>10.873564267944822</v>
      </c>
      <c r="E44" s="529">
        <f>E11/E30</f>
        <v>8.3177737129109381</v>
      </c>
      <c r="F44" s="529">
        <f>F11/F30</f>
        <v>7.9059592431823731</v>
      </c>
      <c r="G44" s="529">
        <f>G11/G30</f>
        <v>8.1139090083125041</v>
      </c>
      <c r="H44" s="17">
        <f t="shared" si="7"/>
        <v>0.1025050756798529</v>
      </c>
      <c r="I44" s="247"/>
      <c r="J44" s="248"/>
      <c r="K44" s="248"/>
      <c r="L44" s="248"/>
      <c r="M44" s="248"/>
      <c r="N44" s="248"/>
      <c r="O44" s="248"/>
      <c r="Q44" s="5"/>
      <c r="R44" s="5"/>
      <c r="S44" s="42"/>
      <c r="T44" s="42"/>
      <c r="U44" s="42"/>
      <c r="V44" s="42"/>
      <c r="W44" s="325"/>
      <c r="X44" s="325"/>
      <c r="Y44" s="288"/>
      <c r="Z44" s="288"/>
      <c r="AA44" s="42"/>
    </row>
    <row r="45" spans="2:27">
      <c r="B45" s="5" t="s">
        <v>580</v>
      </c>
      <c r="C45" s="247"/>
      <c r="D45" s="248">
        <f>D31/D11</f>
        <v>2.2644927536231887E-2</v>
      </c>
      <c r="E45" s="248">
        <f>E31/E11</f>
        <v>2.2644927536231887E-2</v>
      </c>
      <c r="F45" s="248">
        <f>F31/F11</f>
        <v>2.2644927536231887E-2</v>
      </c>
      <c r="G45" s="248">
        <f>G31/G11</f>
        <v>2.2644927536231887E-2</v>
      </c>
      <c r="H45" s="17">
        <f t="shared" si="7"/>
        <v>0</v>
      </c>
      <c r="I45" s="248"/>
      <c r="J45" s="247"/>
      <c r="K45" s="247"/>
      <c r="L45" s="247"/>
      <c r="M45" s="247"/>
      <c r="N45" s="247"/>
      <c r="O45" s="248"/>
      <c r="Q45" s="5"/>
      <c r="R45" s="5"/>
      <c r="S45" s="42"/>
      <c r="T45" s="42"/>
      <c r="U45" s="42"/>
      <c r="V45" s="42"/>
      <c r="W45" s="42"/>
      <c r="X45" s="42"/>
      <c r="Y45" s="325"/>
      <c r="Z45" s="325"/>
      <c r="AA45" s="42"/>
    </row>
    <row r="46" spans="2:27">
      <c r="B46" s="5" t="s">
        <v>605</v>
      </c>
      <c r="C46" s="247"/>
      <c r="D46" s="248">
        <f>(D31+D32)/D11</f>
        <v>2.2644927536231887E-2</v>
      </c>
      <c r="E46" s="248">
        <f>(E31+E32)/E11</f>
        <v>2.2644927536231887E-2</v>
      </c>
      <c r="F46" s="248">
        <f>(F31+F32)/F11</f>
        <v>2.2644927536231887E-2</v>
      </c>
      <c r="G46" s="248">
        <f>(G31+G32)/G11</f>
        <v>2.2644927536231887E-2</v>
      </c>
      <c r="H46" s="279">
        <f>((G31+G32)/(D31+D32))^(1/3)-1</f>
        <v>0</v>
      </c>
      <c r="I46" s="247"/>
      <c r="J46" s="247"/>
      <c r="K46" s="247"/>
      <c r="L46" s="247"/>
      <c r="M46" s="247"/>
      <c r="N46" s="247"/>
      <c r="O46" s="18"/>
      <c r="Q46" s="5"/>
      <c r="R46" s="5"/>
      <c r="S46" s="42"/>
      <c r="T46" s="42"/>
      <c r="U46" s="42"/>
      <c r="V46" s="42"/>
      <c r="W46" s="42"/>
      <c r="X46" s="42"/>
      <c r="Y46" s="42"/>
      <c r="Z46" s="42"/>
      <c r="AA46" s="326"/>
    </row>
    <row r="47" spans="2:27">
      <c r="B47" s="5" t="s">
        <v>581</v>
      </c>
      <c r="C47" s="5"/>
      <c r="D47" s="248">
        <f>1/D43</f>
        <v>-3.0368978521475267E-2</v>
      </c>
      <c r="E47" s="248">
        <f>1/E43</f>
        <v>-4.5126636934431877E-2</v>
      </c>
      <c r="F47" s="248">
        <f>1/F43</f>
        <v>5.1342423837719108E-2</v>
      </c>
      <c r="G47" s="248">
        <f>1/G43</f>
        <v>8.4807464401020702E-2</v>
      </c>
      <c r="H47" s="17">
        <f>H29</f>
        <v>-2.3623688634692099</v>
      </c>
      <c r="I47" s="17"/>
      <c r="J47" s="248"/>
      <c r="K47" s="248"/>
      <c r="L47" s="248"/>
      <c r="M47" s="248"/>
      <c r="N47" s="248"/>
      <c r="O47" s="248"/>
      <c r="Q47" s="5"/>
      <c r="R47" s="5"/>
      <c r="S47" s="42"/>
      <c r="T47" s="42"/>
      <c r="U47" s="42"/>
      <c r="V47" s="42"/>
      <c r="W47" s="42"/>
      <c r="X47" s="42"/>
      <c r="Y47" s="42"/>
      <c r="Z47" s="42"/>
      <c r="AA47" s="326"/>
    </row>
    <row r="48" spans="2:27">
      <c r="B48" s="5" t="s">
        <v>618</v>
      </c>
      <c r="C48" s="5"/>
      <c r="D48" s="305">
        <f>D31/D29</f>
        <v>-0.54536482034321887</v>
      </c>
      <c r="E48" s="305">
        <f>E31/E29</f>
        <v>-0.36353743685567957</v>
      </c>
      <c r="F48" s="305">
        <f>F31/F29</f>
        <v>0.35421411871965919</v>
      </c>
      <c r="G48" s="305">
        <f>G31/G29</f>
        <v>0.21567658157135347</v>
      </c>
      <c r="H48" s="279" t="s">
        <v>607</v>
      </c>
      <c r="I48" s="247"/>
      <c r="J48" s="247"/>
      <c r="K48" s="247"/>
      <c r="L48" s="247"/>
      <c r="M48" s="247"/>
      <c r="N48" s="247"/>
      <c r="O48" s="248"/>
      <c r="Q48" s="5"/>
      <c r="R48" s="5"/>
      <c r="S48" s="42"/>
      <c r="T48" s="42"/>
      <c r="U48" s="42"/>
      <c r="V48" s="42"/>
      <c r="W48" s="42"/>
      <c r="X48" s="42"/>
      <c r="Y48" s="42"/>
      <c r="Z48" s="42"/>
      <c r="AA48" s="326"/>
    </row>
    <row r="49" spans="2:27">
      <c r="B49" s="41"/>
      <c r="C49" s="17"/>
      <c r="D49" s="17"/>
      <c r="E49" s="17"/>
      <c r="F49" s="17"/>
      <c r="G49" s="17"/>
      <c r="H49" s="17"/>
      <c r="I49" s="254"/>
      <c r="J49" s="17"/>
      <c r="K49" s="17"/>
      <c r="L49" s="17"/>
      <c r="M49" s="17"/>
      <c r="N49" s="17"/>
      <c r="O49" s="248"/>
      <c r="Q49" s="5"/>
      <c r="R49" s="5"/>
      <c r="S49" s="42"/>
      <c r="T49" s="42"/>
      <c r="U49" s="42"/>
      <c r="V49" s="42"/>
      <c r="W49" s="42"/>
      <c r="X49" s="42"/>
      <c r="Y49" s="42"/>
      <c r="Z49" s="42"/>
      <c r="AA49" s="326"/>
    </row>
    <row r="50" spans="2:27">
      <c r="B50" s="5"/>
      <c r="C50" s="257"/>
      <c r="D50" s="257"/>
      <c r="E50" s="257"/>
      <c r="F50" s="5"/>
      <c r="G50" s="41"/>
      <c r="H50" s="249"/>
      <c r="I50" s="17"/>
      <c r="J50" s="249"/>
      <c r="K50" s="249"/>
      <c r="L50" s="249"/>
      <c r="M50" s="249"/>
      <c r="N50" s="249"/>
      <c r="O50" s="250"/>
      <c r="Q50" s="5"/>
      <c r="R50" s="5"/>
      <c r="S50" s="42"/>
      <c r="T50" s="42"/>
      <c r="U50" s="42"/>
      <c r="V50" s="42"/>
      <c r="W50" s="288"/>
      <c r="X50" s="288"/>
      <c r="Y50" s="42"/>
      <c r="Z50" s="42"/>
      <c r="AA50" s="326"/>
    </row>
    <row r="51" spans="2:27">
      <c r="B51" s="41"/>
      <c r="C51" s="249"/>
      <c r="D51" s="254"/>
      <c r="E51" s="254"/>
      <c r="F51" s="254"/>
      <c r="G51" s="254"/>
      <c r="H51" s="254"/>
      <c r="I51" s="259"/>
      <c r="J51" s="254"/>
      <c r="K51" s="254"/>
      <c r="L51" s="254"/>
      <c r="M51" s="254"/>
      <c r="N51" s="254"/>
      <c r="O51" s="251"/>
      <c r="Q51" s="5"/>
      <c r="R51" s="5"/>
      <c r="S51" s="42"/>
      <c r="T51" s="42"/>
      <c r="U51" s="42"/>
      <c r="V51" s="42"/>
      <c r="W51" s="288"/>
      <c r="X51" s="288"/>
      <c r="Y51" s="288"/>
      <c r="Z51" s="288"/>
      <c r="AA51" s="42"/>
    </row>
    <row r="52" spans="2:27">
      <c r="B52" s="5"/>
      <c r="C52" s="257"/>
      <c r="D52" s="17"/>
      <c r="E52" s="17"/>
      <c r="F52" s="17"/>
      <c r="G52" s="17"/>
      <c r="H52" s="17"/>
      <c r="I52" s="254"/>
      <c r="J52" s="17"/>
      <c r="K52" s="17"/>
      <c r="L52" s="17"/>
      <c r="M52" s="17"/>
      <c r="N52" s="17"/>
      <c r="O52" s="248"/>
      <c r="Q52" s="5"/>
      <c r="R52" s="5"/>
      <c r="S52" s="5"/>
      <c r="Y52" s="10"/>
      <c r="Z52" s="10"/>
    </row>
    <row r="53" spans="2:27">
      <c r="B53" s="5"/>
      <c r="C53" s="257"/>
      <c r="D53" s="257"/>
      <c r="E53" s="257"/>
      <c r="F53" s="5"/>
      <c r="G53" s="5"/>
      <c r="H53" s="259"/>
      <c r="I53" s="17"/>
      <c r="J53" s="259"/>
      <c r="K53" s="259"/>
      <c r="L53" s="259"/>
      <c r="M53" s="259"/>
      <c r="N53" s="259"/>
      <c r="O53" s="18"/>
      <c r="Q53" s="5"/>
      <c r="R53" s="5"/>
      <c r="S53" s="5"/>
    </row>
    <row r="54" spans="2:27">
      <c r="B54" s="41"/>
      <c r="C54" s="249"/>
      <c r="D54" s="254"/>
      <c r="E54" s="254"/>
      <c r="F54" s="254"/>
      <c r="G54" s="254"/>
      <c r="H54" s="254"/>
      <c r="I54" s="259"/>
      <c r="J54" s="254"/>
      <c r="K54" s="254"/>
      <c r="L54" s="254"/>
      <c r="M54" s="254"/>
      <c r="N54" s="254"/>
      <c r="O54" s="251"/>
      <c r="Q54" s="5"/>
      <c r="R54" s="5"/>
      <c r="S54" s="5"/>
    </row>
    <row r="55" spans="2:27">
      <c r="B55" s="5"/>
      <c r="C55" s="257"/>
      <c r="D55" s="17"/>
      <c r="E55" s="17"/>
      <c r="F55" s="17"/>
      <c r="G55" s="17"/>
      <c r="H55" s="17"/>
      <c r="I55" s="249"/>
      <c r="J55" s="17"/>
      <c r="K55" s="17"/>
      <c r="L55" s="17"/>
      <c r="M55" s="17"/>
      <c r="N55" s="17"/>
      <c r="O55" s="18"/>
      <c r="Q55" s="5"/>
      <c r="R55" s="5"/>
      <c r="S55" s="5"/>
    </row>
    <row r="56" spans="2:27">
      <c r="B56" s="5"/>
      <c r="C56" s="248"/>
      <c r="D56" s="248"/>
      <c r="E56" s="248"/>
      <c r="F56" s="5"/>
      <c r="G56" s="5"/>
      <c r="H56" s="259"/>
      <c r="I56" s="248"/>
      <c r="J56" s="259"/>
      <c r="K56" s="259"/>
      <c r="L56" s="259"/>
      <c r="M56" s="259"/>
      <c r="N56" s="259"/>
      <c r="O56" s="18"/>
      <c r="Q56" s="5"/>
      <c r="R56" s="5"/>
      <c r="S56" s="5"/>
    </row>
    <row r="57" spans="2:27">
      <c r="B57" s="41"/>
      <c r="C57" s="249"/>
      <c r="D57" s="249"/>
      <c r="E57" s="249"/>
      <c r="F57" s="249"/>
      <c r="G57" s="249"/>
      <c r="H57" s="249"/>
      <c r="I57" s="5"/>
      <c r="J57" s="249"/>
      <c r="K57" s="249"/>
      <c r="L57" s="249"/>
      <c r="M57" s="249"/>
      <c r="N57" s="249"/>
      <c r="O57" s="251"/>
      <c r="Q57" s="5"/>
      <c r="R57" s="5"/>
      <c r="S57" s="5"/>
    </row>
    <row r="58" spans="2:27">
      <c r="B58" s="5"/>
      <c r="C58" s="5"/>
      <c r="D58" s="248"/>
      <c r="E58" s="248"/>
      <c r="F58" s="248"/>
      <c r="G58" s="248"/>
      <c r="H58" s="248"/>
      <c r="I58" s="17"/>
      <c r="J58" s="248"/>
      <c r="K58" s="248"/>
      <c r="L58" s="248"/>
      <c r="M58" s="248"/>
      <c r="N58" s="248"/>
      <c r="O58" s="18"/>
      <c r="Q58" s="5"/>
      <c r="R58" s="5"/>
      <c r="S58" s="5"/>
    </row>
    <row r="59" spans="2:27">
      <c r="B59" s="5"/>
      <c r="C59" s="5"/>
      <c r="D59" s="5"/>
      <c r="E59" s="5"/>
      <c r="F59" s="5"/>
      <c r="G59" s="5"/>
      <c r="H59" s="5"/>
      <c r="I59" s="5"/>
      <c r="J59" s="5"/>
      <c r="K59" s="5"/>
      <c r="L59" s="5"/>
      <c r="M59" s="5"/>
      <c r="N59" s="5"/>
      <c r="O59" s="5"/>
      <c r="Q59" s="5"/>
      <c r="R59" s="5"/>
      <c r="S59" s="5"/>
    </row>
    <row r="60" spans="2:27">
      <c r="B60" s="41"/>
      <c r="C60" s="17"/>
      <c r="D60" s="17"/>
      <c r="E60" s="17"/>
      <c r="F60" s="17"/>
      <c r="G60" s="17"/>
      <c r="H60" s="17"/>
      <c r="I60" s="249"/>
      <c r="J60" s="17"/>
      <c r="K60" s="17"/>
      <c r="L60" s="17"/>
      <c r="M60" s="17"/>
      <c r="N60" s="17"/>
      <c r="O60" s="251"/>
      <c r="Q60" s="5"/>
      <c r="R60" s="5"/>
      <c r="S60" s="5"/>
    </row>
    <row r="61" spans="2:27">
      <c r="B61" s="5"/>
      <c r="C61" s="5"/>
      <c r="D61" s="5"/>
      <c r="E61" s="5"/>
      <c r="F61" s="5"/>
      <c r="G61" s="5"/>
      <c r="H61" s="5"/>
      <c r="I61" s="5"/>
      <c r="J61" s="5"/>
      <c r="K61" s="5"/>
      <c r="L61" s="5"/>
      <c r="M61" s="5"/>
      <c r="N61" s="5"/>
      <c r="O61" s="5"/>
      <c r="Q61" s="41"/>
      <c r="R61" s="5"/>
      <c r="S61" s="5"/>
    </row>
    <row r="62" spans="2:27">
      <c r="B62" s="41"/>
      <c r="C62" s="249"/>
      <c r="D62" s="249"/>
      <c r="E62" s="249"/>
      <c r="F62" s="249"/>
      <c r="G62" s="249"/>
      <c r="H62" s="249"/>
      <c r="I62" s="5"/>
      <c r="J62" s="249"/>
      <c r="K62" s="249"/>
      <c r="L62" s="249"/>
      <c r="M62" s="249"/>
      <c r="N62" s="249"/>
      <c r="O62" s="251"/>
      <c r="Q62" s="5"/>
      <c r="R62" s="5"/>
      <c r="S62" s="5"/>
    </row>
    <row r="63" spans="2:27">
      <c r="B63" s="5"/>
      <c r="C63" s="5"/>
      <c r="D63" s="5"/>
      <c r="E63" s="5"/>
      <c r="F63" s="5"/>
      <c r="G63" s="5"/>
      <c r="H63" s="5"/>
      <c r="I63" s="254"/>
      <c r="J63" s="5"/>
      <c r="K63" s="5"/>
      <c r="L63" s="5"/>
      <c r="M63" s="5"/>
      <c r="N63" s="5"/>
      <c r="O63" s="5"/>
      <c r="Q63" s="5"/>
      <c r="R63" s="5"/>
      <c r="S63" s="5"/>
    </row>
    <row r="64" spans="2:27">
      <c r="B64" s="5"/>
      <c r="C64" s="5"/>
      <c r="D64" s="5"/>
      <c r="E64" s="5"/>
      <c r="F64" s="5"/>
      <c r="G64" s="5"/>
      <c r="H64" s="5"/>
      <c r="I64" s="17"/>
      <c r="J64" s="5"/>
      <c r="K64" s="5"/>
      <c r="L64" s="5"/>
      <c r="M64" s="5"/>
      <c r="N64" s="5"/>
      <c r="O64" s="5"/>
      <c r="Q64" s="5"/>
      <c r="R64" s="5"/>
      <c r="S64" s="5"/>
    </row>
    <row r="65" spans="2:26">
      <c r="B65" s="41"/>
      <c r="C65" s="249"/>
      <c r="D65" s="254"/>
      <c r="E65" s="254"/>
      <c r="F65" s="254"/>
      <c r="G65" s="254"/>
      <c r="H65" s="254"/>
      <c r="I65" s="254"/>
      <c r="J65" s="254"/>
      <c r="K65" s="254"/>
      <c r="L65" s="254"/>
      <c r="M65" s="254"/>
      <c r="N65" s="254"/>
      <c r="O65" s="251"/>
      <c r="Q65" s="5"/>
      <c r="R65" s="5"/>
      <c r="S65" s="5"/>
    </row>
    <row r="66" spans="2:26">
      <c r="B66" s="5"/>
      <c r="C66" s="5"/>
      <c r="D66" s="17"/>
      <c r="E66" s="17"/>
      <c r="F66" s="17"/>
      <c r="G66" s="17"/>
      <c r="H66" s="17"/>
      <c r="I66" s="248"/>
      <c r="J66" s="17"/>
      <c r="K66" s="17"/>
      <c r="L66" s="17"/>
      <c r="M66" s="17"/>
      <c r="N66" s="17"/>
      <c r="O66" s="5"/>
      <c r="Q66" s="5"/>
      <c r="R66" s="5"/>
      <c r="S66" s="5"/>
    </row>
    <row r="67" spans="2:26">
      <c r="B67" s="41"/>
      <c r="C67" s="249"/>
      <c r="D67" s="254"/>
      <c r="E67" s="254"/>
      <c r="F67" s="254"/>
      <c r="G67" s="254"/>
      <c r="H67" s="254"/>
      <c r="I67" s="5"/>
      <c r="J67" s="254"/>
      <c r="K67" s="254"/>
      <c r="L67" s="254"/>
      <c r="M67" s="254"/>
      <c r="N67" s="254"/>
      <c r="O67" s="251"/>
      <c r="Q67" s="41"/>
      <c r="R67" s="5"/>
      <c r="S67" s="5"/>
    </row>
    <row r="68" spans="2:26">
      <c r="B68" s="5"/>
      <c r="C68" s="5"/>
      <c r="D68" s="248"/>
      <c r="E68" s="248"/>
      <c r="F68" s="248"/>
      <c r="G68" s="248"/>
      <c r="H68" s="248"/>
      <c r="I68" s="245"/>
      <c r="J68" s="248"/>
      <c r="K68" s="248"/>
      <c r="L68" s="248"/>
      <c r="M68" s="248"/>
      <c r="N68" s="248"/>
      <c r="O68" s="5"/>
      <c r="Q68" s="5"/>
      <c r="R68" s="5"/>
      <c r="S68" s="5"/>
    </row>
    <row r="69" spans="2:26">
      <c r="B69" s="41"/>
      <c r="C69" s="5"/>
      <c r="D69" s="5"/>
      <c r="E69" s="5"/>
      <c r="F69" s="5"/>
      <c r="G69" s="5"/>
      <c r="H69" s="5"/>
      <c r="I69" s="248"/>
      <c r="J69" s="5"/>
      <c r="K69" s="5"/>
      <c r="L69" s="5"/>
      <c r="M69" s="5"/>
      <c r="N69" s="5"/>
      <c r="O69" s="5"/>
      <c r="Q69" s="5"/>
      <c r="R69" s="5"/>
      <c r="S69" s="5"/>
    </row>
    <row r="70" spans="2:26">
      <c r="B70" s="41"/>
      <c r="C70" s="245"/>
      <c r="D70" s="245"/>
      <c r="E70" s="245"/>
      <c r="F70" s="245"/>
      <c r="G70" s="245"/>
      <c r="H70" s="245"/>
      <c r="I70" s="5"/>
      <c r="J70" s="245"/>
      <c r="K70" s="245"/>
      <c r="L70" s="245"/>
      <c r="M70" s="245"/>
      <c r="N70" s="245"/>
      <c r="O70" s="251"/>
      <c r="Q70" s="5"/>
      <c r="R70" s="5"/>
      <c r="S70" s="5"/>
      <c r="W70" s="76"/>
      <c r="X70" s="76"/>
    </row>
    <row r="71" spans="2:26">
      <c r="B71" s="5"/>
      <c r="C71" s="5"/>
      <c r="D71" s="248"/>
      <c r="E71" s="248"/>
      <c r="F71" s="248"/>
      <c r="G71" s="248"/>
      <c r="H71" s="248"/>
      <c r="I71" s="245"/>
      <c r="J71" s="248"/>
      <c r="K71" s="248"/>
      <c r="L71" s="248"/>
      <c r="M71" s="248"/>
      <c r="N71" s="248"/>
      <c r="O71" s="5"/>
      <c r="Q71" s="5"/>
      <c r="R71" s="5"/>
      <c r="S71" s="5"/>
      <c r="W71" s="76"/>
      <c r="X71" s="76"/>
      <c r="Y71" s="76"/>
      <c r="Z71" s="76"/>
    </row>
    <row r="72" spans="2:26">
      <c r="B72" s="41"/>
      <c r="C72" s="5"/>
      <c r="D72" s="5"/>
      <c r="E72" s="5"/>
      <c r="F72" s="5"/>
      <c r="G72" s="5"/>
      <c r="H72" s="5"/>
      <c r="I72" s="18"/>
      <c r="J72" s="5"/>
      <c r="K72" s="5"/>
      <c r="L72" s="5"/>
      <c r="M72" s="5"/>
      <c r="N72" s="5"/>
      <c r="O72" s="5"/>
      <c r="Q72" s="5"/>
      <c r="R72" s="5"/>
      <c r="S72" s="5"/>
      <c r="Y72" s="76"/>
      <c r="Z72" s="76"/>
    </row>
    <row r="73" spans="2:26">
      <c r="B73" s="41"/>
      <c r="C73" s="245"/>
      <c r="D73" s="245"/>
      <c r="E73" s="245"/>
      <c r="F73" s="245"/>
      <c r="G73" s="245"/>
      <c r="H73" s="245"/>
      <c r="I73" s="5"/>
      <c r="J73" s="245"/>
      <c r="K73" s="245"/>
      <c r="L73" s="245"/>
      <c r="M73" s="245"/>
      <c r="N73" s="245"/>
      <c r="O73" s="251"/>
      <c r="Q73" s="5"/>
      <c r="R73" s="5"/>
      <c r="S73" s="5"/>
    </row>
    <row r="74" spans="2:26">
      <c r="B74" s="5"/>
      <c r="C74" s="5"/>
      <c r="D74" s="18"/>
      <c r="E74" s="18"/>
      <c r="F74" s="18"/>
      <c r="G74" s="18"/>
      <c r="H74" s="18"/>
      <c r="I74" s="249"/>
      <c r="J74" s="18"/>
      <c r="K74" s="18"/>
      <c r="L74" s="18"/>
      <c r="M74" s="18"/>
      <c r="N74" s="18"/>
      <c r="O74" s="5"/>
      <c r="Q74" s="5"/>
      <c r="R74" s="5"/>
      <c r="S74" s="5"/>
    </row>
    <row r="75" spans="2:26">
      <c r="B75" s="41"/>
      <c r="C75" s="5"/>
      <c r="D75" s="5"/>
      <c r="E75" s="5"/>
      <c r="F75" s="5"/>
      <c r="G75" s="5"/>
      <c r="H75" s="5"/>
      <c r="I75" s="248"/>
      <c r="J75" s="5"/>
      <c r="K75" s="5"/>
      <c r="L75" s="5"/>
      <c r="M75" s="5"/>
      <c r="N75" s="5"/>
      <c r="O75" s="5"/>
      <c r="Q75" s="5"/>
      <c r="R75" s="5"/>
      <c r="S75" s="5"/>
    </row>
    <row r="76" spans="2:26">
      <c r="B76" s="41"/>
      <c r="C76" s="249"/>
      <c r="D76" s="249"/>
      <c r="E76" s="249"/>
      <c r="F76" s="249"/>
      <c r="G76" s="249"/>
      <c r="H76" s="249"/>
      <c r="I76" s="5"/>
      <c r="J76" s="249"/>
      <c r="K76" s="249"/>
      <c r="L76" s="249"/>
      <c r="M76" s="249"/>
      <c r="N76" s="249"/>
      <c r="O76" s="251"/>
      <c r="Q76" s="5"/>
      <c r="R76" s="5"/>
      <c r="S76" s="5"/>
    </row>
    <row r="77" spans="2:26">
      <c r="B77" s="5"/>
      <c r="C77" s="5"/>
      <c r="D77" s="248"/>
      <c r="E77" s="248"/>
      <c r="F77" s="248"/>
      <c r="G77" s="248"/>
      <c r="H77" s="248"/>
      <c r="I77" s="245"/>
      <c r="J77" s="248"/>
      <c r="K77" s="248"/>
      <c r="L77" s="248"/>
      <c r="M77" s="248"/>
      <c r="N77" s="248"/>
      <c r="O77" s="5"/>
      <c r="Q77" s="5"/>
      <c r="R77" s="5"/>
      <c r="S77" s="5"/>
    </row>
    <row r="78" spans="2:26">
      <c r="B78" s="41"/>
      <c r="C78" s="5"/>
      <c r="D78" s="5"/>
      <c r="E78" s="5"/>
      <c r="F78" s="5"/>
      <c r="G78" s="5"/>
      <c r="H78" s="5"/>
      <c r="I78" s="248"/>
      <c r="J78" s="5"/>
      <c r="K78" s="5"/>
      <c r="L78" s="5"/>
      <c r="M78" s="5"/>
      <c r="N78" s="5"/>
      <c r="O78" s="5"/>
      <c r="Q78" s="5"/>
      <c r="R78" s="5"/>
      <c r="S78" s="5"/>
    </row>
    <row r="79" spans="2:26">
      <c r="B79" s="41"/>
      <c r="C79" s="245"/>
      <c r="D79" s="245"/>
      <c r="E79" s="245"/>
      <c r="F79" s="245"/>
      <c r="G79" s="245"/>
      <c r="H79" s="245"/>
      <c r="I79" s="5"/>
      <c r="J79" s="245"/>
      <c r="K79" s="245"/>
      <c r="L79" s="245"/>
      <c r="M79" s="245"/>
      <c r="N79" s="245"/>
      <c r="O79" s="251"/>
      <c r="Q79" s="5"/>
      <c r="R79" s="5"/>
      <c r="S79" s="5"/>
    </row>
    <row r="80" spans="2:26">
      <c r="B80" s="5"/>
      <c r="C80" s="5"/>
      <c r="D80" s="248"/>
      <c r="E80" s="248"/>
      <c r="F80" s="248"/>
      <c r="G80" s="248"/>
      <c r="H80" s="248"/>
      <c r="I80" s="249"/>
      <c r="J80" s="248"/>
      <c r="K80" s="248"/>
      <c r="L80" s="248"/>
      <c r="M80" s="248"/>
      <c r="N80" s="248"/>
      <c r="O80" s="5"/>
      <c r="Q80" s="5"/>
      <c r="R80" s="5"/>
      <c r="S80" s="5"/>
    </row>
    <row r="81" spans="2:26">
      <c r="B81" s="41"/>
      <c r="C81" s="5"/>
      <c r="D81" s="5"/>
      <c r="E81" s="5"/>
      <c r="F81" s="5"/>
      <c r="G81" s="5"/>
      <c r="H81" s="5"/>
      <c r="I81" s="248"/>
      <c r="J81" s="5"/>
      <c r="K81" s="5"/>
      <c r="L81" s="5"/>
      <c r="M81" s="5"/>
      <c r="N81" s="5"/>
      <c r="O81" s="5"/>
      <c r="Q81" s="5"/>
      <c r="R81" s="5"/>
      <c r="S81" s="5"/>
    </row>
    <row r="82" spans="2:26">
      <c r="B82" s="41"/>
      <c r="C82" s="249"/>
      <c r="D82" s="249"/>
      <c r="E82" s="249"/>
      <c r="F82" s="249"/>
      <c r="G82" s="249"/>
      <c r="H82" s="249"/>
      <c r="I82" s="259"/>
      <c r="J82" s="249"/>
      <c r="K82" s="249"/>
      <c r="L82" s="249"/>
      <c r="M82" s="249"/>
      <c r="N82" s="249"/>
      <c r="O82" s="251"/>
      <c r="Q82" s="5"/>
      <c r="R82" s="5"/>
      <c r="S82" s="5"/>
    </row>
    <row r="83" spans="2:26">
      <c r="B83" s="5"/>
      <c r="C83" s="5"/>
      <c r="D83" s="248"/>
      <c r="E83" s="248"/>
      <c r="F83" s="248"/>
      <c r="G83" s="248"/>
      <c r="H83" s="248"/>
      <c r="I83" s="5"/>
      <c r="J83" s="248"/>
      <c r="K83" s="248"/>
      <c r="L83" s="248"/>
      <c r="M83" s="248"/>
      <c r="N83" s="248"/>
      <c r="O83" s="5"/>
      <c r="Q83" s="5"/>
      <c r="R83" s="5"/>
      <c r="S83" s="5"/>
    </row>
    <row r="84" spans="2:26">
      <c r="B84" s="5"/>
      <c r="C84" s="259"/>
      <c r="D84" s="259"/>
      <c r="E84" s="259"/>
      <c r="F84" s="259"/>
      <c r="G84" s="259"/>
      <c r="H84" s="259"/>
      <c r="I84" s="245"/>
      <c r="J84" s="259"/>
      <c r="K84" s="259"/>
      <c r="L84" s="259"/>
      <c r="M84" s="259"/>
      <c r="N84" s="259"/>
      <c r="O84" s="251"/>
      <c r="Q84" s="5"/>
      <c r="R84" s="5"/>
      <c r="S84" s="5"/>
    </row>
    <row r="85" spans="2:26">
      <c r="B85" s="41"/>
      <c r="C85" s="5"/>
      <c r="D85" s="5"/>
      <c r="E85" s="5"/>
      <c r="F85" s="5"/>
      <c r="G85" s="5"/>
      <c r="H85" s="5"/>
      <c r="I85" s="248"/>
      <c r="J85" s="5"/>
      <c r="K85" s="5"/>
      <c r="L85" s="5"/>
      <c r="M85" s="5"/>
      <c r="N85" s="5"/>
      <c r="O85" s="5"/>
      <c r="Q85" s="5"/>
      <c r="R85" s="5"/>
      <c r="S85" s="5"/>
    </row>
    <row r="86" spans="2:26">
      <c r="B86" s="41"/>
      <c r="C86" s="245"/>
      <c r="D86" s="245"/>
      <c r="E86" s="245"/>
      <c r="F86" s="245"/>
      <c r="G86" s="245"/>
      <c r="H86" s="245"/>
      <c r="I86" s="5"/>
      <c r="J86" s="245"/>
      <c r="K86" s="245"/>
      <c r="L86" s="245"/>
      <c r="M86" s="245"/>
      <c r="N86" s="245"/>
      <c r="O86" s="251"/>
      <c r="Q86" s="5"/>
      <c r="R86" s="5"/>
      <c r="S86" s="5"/>
    </row>
    <row r="87" spans="2:26">
      <c r="B87" s="5"/>
      <c r="C87" s="5"/>
      <c r="D87" s="248"/>
      <c r="E87" s="248"/>
      <c r="F87" s="248"/>
      <c r="G87" s="248"/>
      <c r="H87" s="248"/>
      <c r="I87" s="5"/>
      <c r="J87" s="248"/>
      <c r="K87" s="248"/>
      <c r="L87" s="248"/>
      <c r="M87" s="248"/>
      <c r="N87" s="248"/>
      <c r="O87" s="5"/>
      <c r="Q87" s="5"/>
      <c r="R87" s="5"/>
      <c r="S87" s="5"/>
    </row>
    <row r="88" spans="2:26">
      <c r="B88" s="41"/>
      <c r="C88" s="5"/>
      <c r="D88" s="5"/>
      <c r="E88" s="5"/>
      <c r="F88" s="5"/>
      <c r="G88" s="5"/>
      <c r="H88" s="5"/>
      <c r="I88" s="5"/>
      <c r="J88" s="5"/>
      <c r="K88" s="5"/>
      <c r="L88" s="5"/>
      <c r="M88" s="5"/>
      <c r="N88" s="5"/>
      <c r="O88" s="5"/>
      <c r="Q88" s="5"/>
      <c r="R88" s="5"/>
      <c r="S88" s="5"/>
    </row>
    <row r="89" spans="2:26">
      <c r="B89" s="41"/>
      <c r="C89" s="5"/>
      <c r="D89" s="5"/>
      <c r="E89" s="5"/>
      <c r="F89" s="5"/>
      <c r="G89" s="5"/>
      <c r="H89" s="5"/>
      <c r="I89" s="5"/>
      <c r="J89" s="5"/>
      <c r="K89" s="5"/>
      <c r="L89" s="5"/>
      <c r="M89" s="5"/>
      <c r="N89" s="5"/>
      <c r="O89" s="5"/>
      <c r="Q89" s="5"/>
      <c r="R89" s="5"/>
      <c r="S89" s="5"/>
    </row>
    <row r="90" spans="2:26">
      <c r="B90" s="41"/>
      <c r="C90" s="5"/>
      <c r="D90" s="5"/>
      <c r="E90" s="5"/>
      <c r="F90" s="5"/>
      <c r="G90" s="5"/>
      <c r="H90" s="5"/>
      <c r="I90" s="49"/>
      <c r="J90" s="5"/>
      <c r="K90" s="5"/>
      <c r="L90" s="5"/>
      <c r="M90" s="5"/>
      <c r="N90" s="5"/>
      <c r="O90" s="5"/>
      <c r="Q90" s="41"/>
      <c r="R90" s="5"/>
      <c r="S90" s="5"/>
    </row>
    <row r="91" spans="2:26">
      <c r="B91" s="5"/>
      <c r="C91" s="5"/>
      <c r="D91" s="5"/>
      <c r="E91" s="5"/>
      <c r="F91" s="5"/>
      <c r="G91" s="5"/>
      <c r="H91" s="5"/>
      <c r="I91" s="5"/>
      <c r="J91" s="5"/>
      <c r="K91" s="5"/>
      <c r="L91" s="5"/>
      <c r="M91" s="5"/>
      <c r="N91" s="5"/>
      <c r="O91" s="5"/>
      <c r="Q91" s="5"/>
      <c r="R91" s="5"/>
      <c r="S91" s="5"/>
    </row>
    <row r="92" spans="2:26">
      <c r="B92" s="41"/>
      <c r="C92" s="49"/>
      <c r="D92" s="49"/>
      <c r="E92" s="49"/>
      <c r="F92" s="49"/>
      <c r="G92" s="49"/>
      <c r="H92" s="49"/>
      <c r="I92" s="247"/>
      <c r="J92" s="49"/>
      <c r="K92" s="49"/>
      <c r="L92" s="49"/>
      <c r="M92" s="49"/>
      <c r="N92" s="49"/>
      <c r="O92" s="49"/>
      <c r="Q92" s="5"/>
      <c r="R92" s="5"/>
      <c r="S92" s="5"/>
      <c r="W92" s="21"/>
      <c r="X92" s="21"/>
    </row>
    <row r="93" spans="2:26">
      <c r="B93" s="5"/>
      <c r="C93" s="5"/>
      <c r="D93" s="5"/>
      <c r="E93" s="5"/>
      <c r="F93" s="5"/>
      <c r="G93" s="5"/>
      <c r="H93" s="5"/>
      <c r="I93" s="247"/>
      <c r="J93" s="5"/>
      <c r="K93" s="5"/>
      <c r="L93" s="5"/>
      <c r="M93" s="5"/>
      <c r="N93" s="5"/>
      <c r="O93" s="5"/>
      <c r="Q93" s="5"/>
      <c r="R93" s="5"/>
      <c r="S93" s="5"/>
      <c r="W93" s="21"/>
      <c r="X93" s="21"/>
      <c r="Y93" s="21"/>
      <c r="Z93" s="21"/>
    </row>
    <row r="94" spans="2:26">
      <c r="B94" s="5"/>
      <c r="C94" s="259"/>
      <c r="D94" s="247"/>
      <c r="E94" s="247"/>
      <c r="F94" s="247"/>
      <c r="G94" s="247"/>
      <c r="H94" s="247"/>
      <c r="I94" s="247"/>
      <c r="J94" s="247"/>
      <c r="K94" s="247"/>
      <c r="L94" s="247"/>
      <c r="M94" s="247"/>
      <c r="N94" s="247"/>
      <c r="O94" s="248"/>
      <c r="Q94" s="5"/>
      <c r="R94" s="5"/>
      <c r="S94" s="5"/>
      <c r="Y94" s="21"/>
      <c r="Z94" s="21"/>
    </row>
    <row r="95" spans="2:26">
      <c r="B95" s="5"/>
      <c r="C95" s="259"/>
      <c r="D95" s="247"/>
      <c r="E95" s="247"/>
      <c r="F95" s="247"/>
      <c r="G95" s="247"/>
      <c r="H95" s="247"/>
      <c r="I95" s="248"/>
      <c r="J95" s="247"/>
      <c r="K95" s="247"/>
      <c r="L95" s="247"/>
      <c r="M95" s="247"/>
      <c r="N95" s="247"/>
      <c r="O95" s="248"/>
      <c r="Q95" s="5"/>
      <c r="R95" s="5"/>
      <c r="S95" s="5"/>
    </row>
    <row r="96" spans="2:26">
      <c r="B96" s="5"/>
      <c r="C96" s="259"/>
      <c r="D96" s="247"/>
      <c r="E96" s="247"/>
      <c r="F96" s="247"/>
      <c r="G96" s="247"/>
      <c r="H96" s="247"/>
      <c r="I96" s="247"/>
      <c r="J96" s="247"/>
      <c r="K96" s="247"/>
      <c r="L96" s="247"/>
      <c r="M96" s="247"/>
      <c r="N96" s="247"/>
      <c r="O96" s="248"/>
      <c r="Q96" s="5"/>
      <c r="R96" s="5"/>
      <c r="S96" s="5"/>
    </row>
    <row r="97" spans="2:19">
      <c r="B97" s="5"/>
      <c r="C97" s="259"/>
      <c r="D97" s="248"/>
      <c r="E97" s="248"/>
      <c r="F97" s="248"/>
      <c r="G97" s="248"/>
      <c r="H97" s="248"/>
      <c r="I97" s="249"/>
      <c r="J97" s="248"/>
      <c r="K97" s="248"/>
      <c r="L97" s="248"/>
      <c r="M97" s="248"/>
      <c r="N97" s="248"/>
      <c r="O97" s="248"/>
      <c r="Q97" s="5"/>
      <c r="R97" s="5"/>
      <c r="S97" s="5"/>
    </row>
    <row r="98" spans="2:19">
      <c r="B98" s="5"/>
      <c r="C98" s="259"/>
      <c r="D98" s="247"/>
      <c r="E98" s="247"/>
      <c r="F98" s="247"/>
      <c r="G98" s="247"/>
      <c r="H98" s="247"/>
      <c r="I98" s="248"/>
      <c r="J98" s="247"/>
      <c r="K98" s="247"/>
      <c r="L98" s="247"/>
      <c r="M98" s="247"/>
      <c r="N98" s="247"/>
      <c r="O98" s="248"/>
      <c r="Q98" s="5"/>
      <c r="R98" s="5"/>
      <c r="S98" s="5"/>
    </row>
    <row r="99" spans="2:19">
      <c r="B99" s="41"/>
      <c r="C99" s="249"/>
      <c r="D99" s="249"/>
      <c r="E99" s="249"/>
      <c r="F99" s="249"/>
      <c r="G99" s="249"/>
      <c r="H99" s="249"/>
      <c r="I99" s="5"/>
      <c r="J99" s="249"/>
      <c r="K99" s="249"/>
      <c r="L99" s="249"/>
      <c r="M99" s="249"/>
      <c r="N99" s="249"/>
      <c r="O99" s="248"/>
      <c r="Q99" s="5"/>
      <c r="R99" s="5"/>
      <c r="S99" s="5"/>
    </row>
    <row r="100" spans="2:19">
      <c r="B100" s="41"/>
      <c r="C100" s="257"/>
      <c r="D100" s="248"/>
      <c r="E100" s="248"/>
      <c r="F100" s="248"/>
      <c r="G100" s="248"/>
      <c r="H100" s="248"/>
      <c r="I100" s="259"/>
      <c r="J100" s="248"/>
      <c r="K100" s="248"/>
      <c r="L100" s="248"/>
      <c r="M100" s="248"/>
      <c r="N100" s="248"/>
      <c r="O100" s="248"/>
      <c r="Q100" s="5"/>
      <c r="R100" s="5"/>
      <c r="S100" s="5"/>
    </row>
    <row r="101" spans="2:19" s="5" customFormat="1">
      <c r="B101" s="41"/>
      <c r="I101" s="259"/>
      <c r="O101" s="248"/>
      <c r="P101" s="39"/>
    </row>
    <row r="102" spans="2:19">
      <c r="B102" s="5"/>
      <c r="C102" s="259"/>
      <c r="D102" s="259"/>
      <c r="E102" s="259"/>
      <c r="F102" s="259"/>
      <c r="G102" s="259"/>
      <c r="H102" s="259"/>
      <c r="I102" s="247"/>
      <c r="J102" s="259"/>
      <c r="K102" s="259"/>
      <c r="L102" s="259"/>
      <c r="M102" s="259"/>
      <c r="N102" s="259"/>
      <c r="O102" s="5"/>
      <c r="Q102" s="5"/>
      <c r="R102" s="5"/>
      <c r="S102" s="5"/>
    </row>
    <row r="103" spans="2:19">
      <c r="B103" s="5"/>
      <c r="C103" s="259"/>
      <c r="D103" s="259"/>
      <c r="E103" s="259"/>
      <c r="F103" s="259"/>
      <c r="G103" s="259"/>
      <c r="H103" s="259"/>
      <c r="I103" s="5"/>
      <c r="J103" s="259"/>
      <c r="K103" s="259"/>
      <c r="L103" s="259"/>
      <c r="M103" s="259"/>
      <c r="N103" s="259"/>
      <c r="O103" s="5"/>
      <c r="P103" s="5"/>
      <c r="Q103" s="5"/>
      <c r="R103" s="5"/>
      <c r="S103" s="5"/>
    </row>
    <row r="104" spans="2:19">
      <c r="B104" s="5"/>
      <c r="C104" s="247"/>
      <c r="D104" s="247"/>
      <c r="E104" s="247"/>
      <c r="F104" s="247"/>
      <c r="G104" s="247"/>
      <c r="H104" s="247"/>
      <c r="I104" s="247"/>
      <c r="J104" s="247"/>
      <c r="K104" s="247"/>
      <c r="L104" s="247"/>
      <c r="M104" s="247"/>
      <c r="N104" s="247"/>
      <c r="O104" s="5"/>
      <c r="Q104" s="5"/>
      <c r="R104" s="5"/>
      <c r="S104" s="5"/>
    </row>
    <row r="105" spans="2:19" s="5" customFormat="1">
      <c r="P105" s="39"/>
    </row>
    <row r="106" spans="2:19" s="5" customFormat="1">
      <c r="C106" s="259"/>
      <c r="D106" s="247"/>
      <c r="E106" s="247"/>
      <c r="F106" s="247"/>
      <c r="G106" s="247"/>
      <c r="H106" s="247"/>
      <c r="I106" s="259"/>
      <c r="J106" s="247"/>
      <c r="K106" s="247"/>
      <c r="L106" s="247"/>
      <c r="M106" s="247"/>
      <c r="N106" s="247"/>
      <c r="P106" s="39"/>
    </row>
    <row r="107" spans="2:19">
      <c r="B107" s="5"/>
      <c r="C107" s="259"/>
      <c r="D107" s="5"/>
      <c r="E107" s="5"/>
      <c r="F107" s="5"/>
      <c r="G107" s="5"/>
      <c r="H107" s="5"/>
      <c r="I107" s="247"/>
      <c r="J107" s="5"/>
      <c r="K107" s="5"/>
      <c r="L107" s="5"/>
      <c r="M107" s="5"/>
      <c r="N107" s="5"/>
      <c r="O107" s="5"/>
      <c r="P107" s="5"/>
      <c r="Q107" s="5"/>
      <c r="R107" s="5"/>
      <c r="S107" s="5"/>
    </row>
    <row r="108" spans="2:19">
      <c r="B108" s="5"/>
      <c r="C108" s="259"/>
      <c r="D108" s="259"/>
      <c r="E108" s="259"/>
      <c r="F108" s="259"/>
      <c r="G108" s="259"/>
      <c r="H108" s="259"/>
      <c r="I108" s="249"/>
      <c r="J108" s="259"/>
      <c r="K108" s="259"/>
      <c r="L108" s="259"/>
      <c r="M108" s="259"/>
      <c r="N108" s="259"/>
      <c r="O108" s="5"/>
      <c r="P108" s="5"/>
      <c r="Q108" s="5"/>
      <c r="R108" s="5"/>
      <c r="S108" s="5"/>
    </row>
    <row r="109" spans="2:19">
      <c r="B109" s="5"/>
      <c r="C109" s="247"/>
      <c r="D109" s="247"/>
      <c r="E109" s="247"/>
      <c r="F109" s="247"/>
      <c r="G109" s="247"/>
      <c r="H109" s="247"/>
      <c r="I109" s="249"/>
      <c r="J109" s="247"/>
      <c r="K109" s="247"/>
      <c r="L109" s="247"/>
      <c r="M109" s="247"/>
      <c r="N109" s="247"/>
      <c r="O109" s="5"/>
      <c r="Q109" s="5"/>
      <c r="R109" s="5"/>
      <c r="S109" s="5"/>
    </row>
    <row r="110" spans="2:19">
      <c r="B110" s="41"/>
      <c r="C110" s="249"/>
      <c r="D110" s="249"/>
      <c r="E110" s="249"/>
      <c r="F110" s="249"/>
      <c r="G110" s="249"/>
      <c r="H110" s="249"/>
      <c r="I110" s="247"/>
      <c r="J110" s="249"/>
      <c r="K110" s="249"/>
      <c r="L110" s="249"/>
      <c r="M110" s="249"/>
      <c r="N110" s="249"/>
      <c r="O110" s="5"/>
      <c r="Q110" s="5"/>
      <c r="R110" s="5"/>
      <c r="S110" s="5"/>
    </row>
    <row r="111" spans="2:19">
      <c r="B111" s="5"/>
      <c r="C111" s="249"/>
      <c r="D111" s="249"/>
      <c r="E111" s="249"/>
      <c r="F111" s="249"/>
      <c r="G111" s="249"/>
      <c r="H111" s="249"/>
      <c r="I111" s="5"/>
      <c r="J111" s="249"/>
      <c r="K111" s="249"/>
      <c r="L111" s="249"/>
      <c r="M111" s="249"/>
      <c r="N111" s="249"/>
      <c r="O111" s="5"/>
      <c r="Q111" s="5"/>
      <c r="R111" s="5"/>
      <c r="S111" s="5"/>
    </row>
    <row r="112" spans="2:19">
      <c r="B112" s="5"/>
      <c r="C112" s="247"/>
      <c r="D112" s="247"/>
      <c r="E112" s="247"/>
      <c r="F112" s="247"/>
      <c r="G112" s="247"/>
      <c r="H112" s="247"/>
      <c r="I112" s="5"/>
      <c r="J112" s="247"/>
      <c r="K112" s="247"/>
      <c r="L112" s="247"/>
      <c r="M112" s="247"/>
      <c r="N112" s="247"/>
      <c r="O112" s="5"/>
      <c r="Q112" s="5"/>
      <c r="R112" s="5"/>
      <c r="S112" s="5"/>
    </row>
    <row r="113" spans="2:19">
      <c r="B113" s="5"/>
      <c r="C113" s="5"/>
      <c r="D113" s="5"/>
      <c r="E113" s="5"/>
      <c r="F113" s="5"/>
      <c r="G113" s="5"/>
      <c r="H113" s="5"/>
      <c r="I113" s="5"/>
      <c r="J113" s="5"/>
      <c r="K113" s="5"/>
      <c r="L113" s="5"/>
      <c r="M113" s="5"/>
      <c r="N113" s="5"/>
      <c r="O113" s="5"/>
      <c r="Q113" s="5"/>
      <c r="R113" s="5"/>
      <c r="S113" s="5"/>
    </row>
    <row r="114" spans="2:19">
      <c r="B114" s="5"/>
      <c r="C114" s="5"/>
      <c r="D114" s="5"/>
      <c r="E114" s="5"/>
      <c r="F114" s="5"/>
      <c r="G114" s="5"/>
      <c r="H114" s="5"/>
      <c r="I114" s="5"/>
      <c r="J114" s="5"/>
      <c r="K114" s="5"/>
      <c r="L114" s="5"/>
      <c r="M114" s="5"/>
      <c r="N114" s="5"/>
      <c r="O114" s="5"/>
      <c r="Q114" s="5"/>
      <c r="R114" s="5"/>
      <c r="S114" s="5"/>
    </row>
    <row r="115" spans="2:19">
      <c r="B115" s="5"/>
      <c r="C115" s="5"/>
      <c r="D115" s="5"/>
      <c r="E115" s="5"/>
      <c r="F115" s="5"/>
      <c r="G115" s="5"/>
      <c r="H115" s="5"/>
      <c r="I115" s="49"/>
      <c r="J115" s="5"/>
      <c r="K115" s="5"/>
      <c r="L115" s="5"/>
      <c r="M115" s="5"/>
      <c r="N115" s="5"/>
      <c r="O115" s="5"/>
      <c r="Q115" s="41"/>
      <c r="R115" s="5"/>
      <c r="S115" s="5"/>
    </row>
    <row r="116" spans="2:19">
      <c r="B116" s="5"/>
      <c r="C116" s="5"/>
      <c r="D116" s="5"/>
      <c r="E116" s="5"/>
      <c r="F116" s="5"/>
      <c r="G116" s="5"/>
      <c r="H116" s="5"/>
      <c r="I116" s="5"/>
      <c r="J116" s="5"/>
      <c r="K116" s="5"/>
      <c r="L116" s="5"/>
      <c r="M116" s="5"/>
      <c r="N116" s="5"/>
      <c r="O116" s="5"/>
      <c r="Q116" s="5"/>
      <c r="R116" s="5"/>
      <c r="S116" s="5"/>
    </row>
    <row r="117" spans="2:19">
      <c r="B117" s="41"/>
      <c r="C117" s="49"/>
      <c r="D117" s="49"/>
      <c r="E117" s="49"/>
      <c r="F117" s="49"/>
      <c r="G117" s="49"/>
      <c r="H117" s="49"/>
      <c r="I117" s="254"/>
      <c r="J117" s="49"/>
      <c r="K117" s="49"/>
      <c r="L117" s="49"/>
      <c r="M117" s="49"/>
      <c r="N117" s="49"/>
      <c r="O117" s="49"/>
      <c r="Q117" s="5"/>
      <c r="R117" s="5"/>
      <c r="S117" s="5"/>
    </row>
    <row r="118" spans="2:19">
      <c r="B118" s="5"/>
      <c r="C118" s="5"/>
      <c r="D118" s="5"/>
      <c r="E118" s="5"/>
      <c r="F118" s="5"/>
      <c r="G118" s="5"/>
      <c r="H118" s="5"/>
      <c r="I118" s="249"/>
      <c r="J118" s="5"/>
      <c r="K118" s="5"/>
      <c r="L118" s="5"/>
      <c r="M118" s="5"/>
      <c r="N118" s="5"/>
      <c r="O118" s="5"/>
      <c r="Q118" s="5"/>
      <c r="R118" s="5"/>
      <c r="S118" s="5"/>
    </row>
    <row r="119" spans="2:19">
      <c r="B119" s="41"/>
      <c r="C119" s="254"/>
      <c r="D119" s="254"/>
      <c r="E119" s="254"/>
      <c r="F119" s="254"/>
      <c r="G119" s="254"/>
      <c r="H119" s="254"/>
      <c r="I119" s="254"/>
      <c r="J119" s="254"/>
      <c r="K119" s="254"/>
      <c r="L119" s="254"/>
      <c r="M119" s="254"/>
      <c r="N119" s="254"/>
      <c r="O119" s="248"/>
      <c r="Q119" s="5"/>
      <c r="R119" s="5"/>
      <c r="S119" s="5"/>
    </row>
    <row r="120" spans="2:19">
      <c r="B120" s="41"/>
      <c r="C120" s="254"/>
      <c r="D120" s="249"/>
      <c r="E120" s="249"/>
      <c r="F120" s="249"/>
      <c r="G120" s="249"/>
      <c r="H120" s="249"/>
      <c r="I120" s="254"/>
      <c r="J120" s="249"/>
      <c r="K120" s="249"/>
      <c r="L120" s="249"/>
      <c r="M120" s="249"/>
      <c r="N120" s="249"/>
      <c r="O120" s="248"/>
      <c r="Q120" s="5"/>
      <c r="R120" s="5"/>
      <c r="S120" s="5"/>
    </row>
    <row r="121" spans="2:19">
      <c r="B121" s="41"/>
      <c r="C121" s="254"/>
      <c r="D121" s="254"/>
      <c r="E121" s="254"/>
      <c r="F121" s="254"/>
      <c r="G121" s="254"/>
      <c r="H121" s="254"/>
      <c r="I121" s="254"/>
      <c r="J121" s="254"/>
      <c r="K121" s="254"/>
      <c r="L121" s="254"/>
      <c r="M121" s="254"/>
      <c r="N121" s="254"/>
      <c r="O121" s="248"/>
      <c r="Q121" s="5"/>
      <c r="R121" s="5"/>
      <c r="S121" s="5"/>
    </row>
    <row r="122" spans="2:19">
      <c r="B122" s="41"/>
      <c r="C122" s="254"/>
      <c r="D122" s="254"/>
      <c r="E122" s="254"/>
      <c r="F122" s="254"/>
      <c r="G122" s="254"/>
      <c r="H122" s="254"/>
      <c r="I122" s="254"/>
      <c r="J122" s="254"/>
      <c r="K122" s="254"/>
      <c r="L122" s="254"/>
      <c r="M122" s="254"/>
      <c r="N122" s="254"/>
      <c r="O122" s="248"/>
      <c r="Q122" s="5"/>
      <c r="R122" s="5"/>
      <c r="S122" s="5"/>
    </row>
    <row r="123" spans="2:19">
      <c r="B123" s="41"/>
      <c r="C123" s="254"/>
      <c r="D123" s="254"/>
      <c r="E123" s="254"/>
      <c r="F123" s="254"/>
      <c r="G123" s="254"/>
      <c r="H123" s="254"/>
      <c r="I123" s="254"/>
      <c r="J123" s="254"/>
      <c r="K123" s="254"/>
      <c r="L123" s="254"/>
      <c r="M123" s="254"/>
      <c r="N123" s="254"/>
      <c r="O123" s="248"/>
      <c r="Q123" s="5"/>
      <c r="R123" s="5"/>
      <c r="S123" s="5"/>
    </row>
    <row r="124" spans="2:19">
      <c r="B124" s="41"/>
      <c r="C124" s="254"/>
      <c r="D124" s="254"/>
      <c r="E124" s="254"/>
      <c r="F124" s="254"/>
      <c r="G124" s="254"/>
      <c r="H124" s="254"/>
      <c r="I124" s="254"/>
      <c r="J124" s="254"/>
      <c r="K124" s="254"/>
      <c r="L124" s="254"/>
      <c r="M124" s="254"/>
      <c r="N124" s="254"/>
      <c r="O124" s="248"/>
      <c r="Q124" s="5"/>
      <c r="R124" s="5"/>
      <c r="S124" s="5"/>
    </row>
    <row r="125" spans="2:19">
      <c r="B125" s="41"/>
      <c r="C125" s="254"/>
      <c r="D125" s="254"/>
      <c r="E125" s="254"/>
      <c r="F125" s="254"/>
      <c r="G125" s="254"/>
      <c r="H125" s="254"/>
      <c r="I125" s="254"/>
      <c r="J125" s="254"/>
      <c r="K125" s="254"/>
      <c r="L125" s="254"/>
      <c r="M125" s="254"/>
      <c r="N125" s="254"/>
      <c r="O125" s="5"/>
      <c r="Q125" s="5"/>
      <c r="R125" s="5"/>
      <c r="S125" s="5"/>
    </row>
    <row r="126" spans="2:19">
      <c r="B126" s="41"/>
      <c r="C126" s="254"/>
      <c r="D126" s="254"/>
      <c r="E126" s="254"/>
      <c r="F126" s="254"/>
      <c r="G126" s="254"/>
      <c r="H126" s="254"/>
      <c r="I126" s="254"/>
      <c r="J126" s="254"/>
      <c r="K126" s="254"/>
      <c r="L126" s="254"/>
      <c r="M126" s="254"/>
      <c r="N126" s="254"/>
      <c r="O126" s="5"/>
      <c r="Q126" s="5"/>
      <c r="R126" s="5"/>
      <c r="S126" s="5"/>
    </row>
    <row r="127" spans="2:19">
      <c r="B127" s="41"/>
      <c r="C127" s="254"/>
      <c r="D127" s="254"/>
      <c r="E127" s="254"/>
      <c r="F127" s="254"/>
      <c r="G127" s="254"/>
      <c r="H127" s="254"/>
      <c r="I127" s="18"/>
      <c r="J127" s="254"/>
      <c r="K127" s="254"/>
      <c r="L127" s="254"/>
      <c r="M127" s="254"/>
      <c r="N127" s="254"/>
      <c r="O127" s="5"/>
      <c r="Q127" s="5"/>
      <c r="R127" s="5"/>
      <c r="S127" s="5"/>
    </row>
    <row r="128" spans="2:19">
      <c r="B128" s="41"/>
      <c r="C128" s="254"/>
      <c r="D128" s="254"/>
      <c r="E128" s="254"/>
      <c r="F128" s="254"/>
      <c r="G128" s="254"/>
      <c r="H128" s="254"/>
      <c r="I128" s="5"/>
      <c r="J128" s="254"/>
      <c r="K128" s="254"/>
      <c r="L128" s="254"/>
      <c r="M128" s="254"/>
      <c r="N128" s="254"/>
      <c r="O128" s="5"/>
      <c r="Q128" s="5"/>
      <c r="R128" s="5"/>
      <c r="S128" s="5"/>
    </row>
    <row r="129" spans="2:27">
      <c r="B129" s="5"/>
      <c r="C129" s="5"/>
      <c r="D129" s="18"/>
      <c r="E129" s="18"/>
      <c r="F129" s="18"/>
      <c r="G129" s="18"/>
      <c r="H129" s="18"/>
      <c r="I129" s="254"/>
      <c r="J129" s="18"/>
      <c r="K129" s="18"/>
      <c r="L129" s="18"/>
      <c r="M129" s="18"/>
      <c r="N129" s="18"/>
      <c r="O129" s="5"/>
      <c r="Q129" s="5"/>
      <c r="R129" s="5"/>
      <c r="S129" s="5"/>
    </row>
    <row r="130" spans="2:27">
      <c r="B130" s="5"/>
      <c r="C130" s="5"/>
      <c r="D130" s="5"/>
      <c r="E130" s="5"/>
      <c r="F130" s="5"/>
      <c r="G130" s="5"/>
      <c r="H130" s="5"/>
      <c r="I130" s="18"/>
      <c r="J130" s="5"/>
      <c r="K130" s="5"/>
      <c r="L130" s="5"/>
      <c r="M130" s="5"/>
      <c r="N130" s="5"/>
      <c r="O130" s="5"/>
      <c r="Q130" s="5"/>
      <c r="R130" s="5"/>
      <c r="S130" s="5"/>
    </row>
    <row r="131" spans="2:27">
      <c r="B131" s="41"/>
      <c r="C131" s="254"/>
      <c r="D131" s="254"/>
      <c r="E131" s="254"/>
      <c r="F131" s="254"/>
      <c r="G131" s="254"/>
      <c r="H131" s="254"/>
      <c r="I131" s="5"/>
      <c r="J131" s="254"/>
      <c r="K131" s="254"/>
      <c r="L131" s="254"/>
      <c r="M131" s="254"/>
      <c r="N131" s="254"/>
      <c r="O131" s="5"/>
      <c r="Q131" s="5"/>
      <c r="R131" s="5"/>
      <c r="S131" s="5"/>
    </row>
    <row r="132" spans="2:27">
      <c r="B132" s="5"/>
      <c r="C132" s="259"/>
      <c r="D132" s="18"/>
      <c r="E132" s="18"/>
      <c r="F132" s="18"/>
      <c r="G132" s="18"/>
      <c r="H132" s="18"/>
      <c r="I132" s="5"/>
      <c r="J132" s="18"/>
      <c r="K132" s="18"/>
      <c r="L132" s="18"/>
      <c r="M132" s="18"/>
      <c r="N132" s="18"/>
      <c r="O132" s="5"/>
      <c r="Q132" s="5"/>
      <c r="R132" s="5"/>
      <c r="S132" s="5"/>
    </row>
    <row r="133" spans="2:27">
      <c r="B133" s="5"/>
      <c r="C133" s="5"/>
      <c r="D133" s="5"/>
      <c r="E133" s="5"/>
      <c r="F133" s="5"/>
      <c r="G133" s="5"/>
      <c r="H133" s="5"/>
      <c r="I133" s="17"/>
      <c r="J133" s="5"/>
      <c r="K133" s="5"/>
      <c r="L133" s="5"/>
      <c r="M133" s="5"/>
      <c r="N133" s="5"/>
      <c r="O133" s="5"/>
      <c r="Q133" s="5"/>
      <c r="R133" s="5"/>
      <c r="S133" s="5"/>
    </row>
    <row r="134" spans="2:27">
      <c r="B134" s="41"/>
      <c r="C134" s="5"/>
      <c r="D134" s="5"/>
      <c r="E134" s="5"/>
      <c r="F134" s="5"/>
      <c r="G134" s="5"/>
      <c r="H134" s="5"/>
      <c r="I134" s="17"/>
      <c r="J134" s="5"/>
      <c r="K134" s="5"/>
      <c r="L134" s="5"/>
      <c r="M134" s="5"/>
      <c r="N134" s="5"/>
      <c r="O134" s="5"/>
      <c r="Q134" s="5"/>
      <c r="R134" s="5"/>
      <c r="S134" s="5"/>
    </row>
    <row r="135" spans="2:27">
      <c r="B135" s="5"/>
      <c r="C135" s="17"/>
      <c r="D135" s="17"/>
      <c r="E135" s="17"/>
      <c r="F135" s="17"/>
      <c r="G135" s="17"/>
      <c r="H135" s="17"/>
      <c r="I135" s="17"/>
      <c r="J135" s="17"/>
      <c r="K135" s="17"/>
      <c r="L135" s="17"/>
      <c r="M135" s="17"/>
      <c r="N135" s="17"/>
      <c r="O135" s="5"/>
      <c r="Q135" s="41"/>
      <c r="R135" s="5"/>
      <c r="S135" s="5"/>
    </row>
    <row r="136" spans="2:27">
      <c r="B136" s="5"/>
      <c r="C136" s="17"/>
      <c r="D136" s="17"/>
      <c r="E136" s="17"/>
      <c r="F136" s="17"/>
      <c r="G136" s="17"/>
      <c r="H136" s="17"/>
      <c r="I136" s="17"/>
      <c r="J136" s="17"/>
      <c r="K136" s="17"/>
      <c r="L136" s="17"/>
      <c r="M136" s="17"/>
      <c r="N136" s="17"/>
      <c r="O136" s="5"/>
      <c r="Q136" s="5"/>
      <c r="R136" s="5"/>
      <c r="S136" s="5"/>
      <c r="X136" s="304"/>
    </row>
    <row r="137" spans="2:27">
      <c r="B137" s="5"/>
      <c r="C137" s="5"/>
      <c r="D137" s="17"/>
      <c r="E137" s="17"/>
      <c r="F137" s="17"/>
      <c r="G137" s="17"/>
      <c r="H137" s="17"/>
      <c r="I137" s="17"/>
      <c r="J137" s="17"/>
      <c r="K137" s="17"/>
      <c r="L137" s="17"/>
      <c r="M137" s="17"/>
      <c r="N137" s="17"/>
      <c r="O137" s="5"/>
      <c r="Q137" s="5"/>
      <c r="R137" s="5"/>
      <c r="S137" s="5"/>
      <c r="X137" s="10"/>
      <c r="Y137" s="304"/>
      <c r="Z137" s="304"/>
      <c r="AA137" s="304"/>
    </row>
    <row r="138" spans="2:27">
      <c r="B138" s="5"/>
      <c r="C138" s="5"/>
      <c r="D138" s="17"/>
      <c r="E138" s="17"/>
      <c r="F138" s="17"/>
      <c r="G138" s="17"/>
      <c r="H138" s="17"/>
      <c r="I138" s="17"/>
      <c r="J138" s="17"/>
      <c r="K138" s="17"/>
      <c r="L138" s="17"/>
      <c r="M138" s="17"/>
      <c r="N138" s="17"/>
      <c r="O138" s="5"/>
      <c r="Q138" s="5"/>
      <c r="R138" s="5"/>
      <c r="S138" s="5"/>
      <c r="Y138" s="10"/>
      <c r="Z138" s="10"/>
      <c r="AA138" s="10"/>
    </row>
    <row r="139" spans="2:27">
      <c r="B139" s="5"/>
      <c r="C139" s="5"/>
      <c r="D139" s="17"/>
      <c r="E139" s="17"/>
      <c r="F139" s="17"/>
      <c r="G139" s="17"/>
      <c r="H139" s="17"/>
      <c r="I139" s="5"/>
      <c r="J139" s="17"/>
      <c r="K139" s="17"/>
      <c r="L139" s="17"/>
      <c r="M139" s="17"/>
      <c r="N139" s="17"/>
      <c r="O139" s="5"/>
      <c r="Q139" s="5"/>
      <c r="R139" s="5"/>
      <c r="S139" s="5"/>
    </row>
    <row r="140" spans="2:27">
      <c r="B140" s="5"/>
      <c r="C140" s="17"/>
      <c r="D140" s="17"/>
      <c r="E140" s="17"/>
      <c r="F140" s="17"/>
      <c r="G140" s="17"/>
      <c r="H140" s="17"/>
      <c r="I140" s="5"/>
      <c r="J140" s="17"/>
      <c r="K140" s="17"/>
      <c r="L140" s="17"/>
      <c r="M140" s="17"/>
      <c r="N140" s="17"/>
      <c r="O140" s="5"/>
      <c r="Q140" s="5"/>
      <c r="R140" s="5"/>
      <c r="S140" s="5"/>
    </row>
    <row r="141" spans="2:27">
      <c r="B141" s="5"/>
      <c r="C141" s="5"/>
      <c r="D141" s="5"/>
      <c r="E141" s="5"/>
      <c r="F141" s="5"/>
      <c r="G141" s="5"/>
      <c r="H141" s="5"/>
      <c r="I141" s="5"/>
      <c r="J141" s="5"/>
      <c r="K141" s="5"/>
      <c r="L141" s="5"/>
      <c r="M141" s="5"/>
      <c r="N141" s="5"/>
      <c r="O141" s="5"/>
      <c r="Q141" s="5"/>
      <c r="R141" s="5"/>
      <c r="S141" s="5"/>
    </row>
    <row r="142" spans="2:27">
      <c r="B142" s="5"/>
      <c r="C142" s="5"/>
      <c r="D142" s="5"/>
      <c r="E142" s="5"/>
      <c r="F142" s="5"/>
      <c r="G142" s="5"/>
      <c r="H142" s="5"/>
      <c r="I142" s="5"/>
      <c r="J142" s="5"/>
      <c r="K142" s="5"/>
      <c r="L142" s="5"/>
      <c r="M142" s="5"/>
      <c r="N142" s="5"/>
      <c r="O142" s="5"/>
      <c r="Q142" s="5"/>
      <c r="R142" s="5"/>
      <c r="S142" s="5"/>
    </row>
    <row r="143" spans="2:27">
      <c r="B143" s="5"/>
      <c r="C143" s="5"/>
      <c r="D143" s="5"/>
      <c r="E143" s="5"/>
      <c r="F143" s="5"/>
      <c r="G143" s="5"/>
      <c r="H143" s="5"/>
      <c r="I143" s="5"/>
      <c r="J143" s="5"/>
      <c r="K143" s="5"/>
      <c r="L143" s="5"/>
      <c r="M143" s="5"/>
      <c r="N143" s="5"/>
      <c r="O143" s="5"/>
      <c r="Q143" s="5"/>
      <c r="R143" s="5"/>
      <c r="S143" s="5"/>
    </row>
    <row r="144" spans="2:27">
      <c r="B144" s="5"/>
      <c r="C144" s="5"/>
      <c r="D144" s="5"/>
      <c r="E144" s="5"/>
      <c r="F144" s="5"/>
      <c r="G144" s="5"/>
      <c r="H144" s="5"/>
      <c r="I144" s="5"/>
      <c r="J144" s="5"/>
      <c r="K144" s="5"/>
      <c r="L144" s="5"/>
      <c r="M144" s="5"/>
      <c r="N144" s="5"/>
      <c r="O144" s="5"/>
      <c r="Q144" s="5"/>
      <c r="R144" s="5"/>
      <c r="S144" s="5"/>
    </row>
    <row r="145" spans="2:19">
      <c r="B145" s="5"/>
      <c r="C145" s="5"/>
      <c r="D145" s="5"/>
      <c r="E145" s="5"/>
      <c r="F145" s="5"/>
      <c r="G145" s="5"/>
      <c r="H145" s="5"/>
      <c r="I145" s="5"/>
      <c r="J145" s="5"/>
      <c r="K145" s="5"/>
      <c r="L145" s="5"/>
      <c r="M145" s="5"/>
      <c r="N145" s="5"/>
      <c r="O145" s="5"/>
      <c r="Q145" s="5"/>
      <c r="R145" s="5"/>
      <c r="S145" s="5"/>
    </row>
    <row r="146" spans="2:19">
      <c r="B146" s="5"/>
      <c r="C146" s="5"/>
      <c r="D146" s="5"/>
      <c r="E146" s="5"/>
      <c r="F146" s="5"/>
      <c r="G146" s="5"/>
      <c r="H146" s="5"/>
      <c r="I146" s="5"/>
      <c r="J146" s="5"/>
      <c r="K146" s="5"/>
      <c r="L146" s="5"/>
      <c r="M146" s="5"/>
      <c r="N146" s="5"/>
      <c r="O146" s="5"/>
      <c r="Q146" s="5"/>
      <c r="R146" s="5"/>
      <c r="S146" s="5"/>
    </row>
    <row r="147" spans="2:19">
      <c r="B147" s="5"/>
      <c r="C147" s="5"/>
      <c r="D147" s="5"/>
      <c r="E147" s="5"/>
      <c r="F147" s="5"/>
      <c r="G147" s="5"/>
      <c r="H147" s="5"/>
      <c r="I147" s="5"/>
      <c r="J147" s="5"/>
      <c r="K147" s="5"/>
      <c r="L147" s="5"/>
      <c r="M147" s="5"/>
      <c r="N147" s="5"/>
      <c r="O147" s="5"/>
      <c r="Q147" s="5"/>
      <c r="R147" s="5"/>
      <c r="S147" s="5"/>
    </row>
    <row r="148" spans="2:19">
      <c r="B148" s="5"/>
      <c r="C148" s="5"/>
      <c r="D148" s="5"/>
      <c r="E148" s="5"/>
      <c r="F148" s="5"/>
      <c r="G148" s="5"/>
      <c r="H148" s="5"/>
      <c r="I148" s="5"/>
      <c r="J148" s="5"/>
      <c r="K148" s="5"/>
      <c r="L148" s="5"/>
      <c r="M148" s="5"/>
      <c r="N148" s="5"/>
      <c r="O148" s="5"/>
      <c r="Q148" s="5"/>
      <c r="R148" s="5"/>
      <c r="S148" s="5"/>
    </row>
    <row r="149" spans="2:19">
      <c r="B149" s="5"/>
      <c r="C149" s="5"/>
      <c r="D149" s="5"/>
      <c r="E149" s="5"/>
      <c r="F149" s="5"/>
      <c r="G149" s="5"/>
      <c r="H149" s="5"/>
      <c r="J149" s="5"/>
      <c r="K149" s="5"/>
      <c r="L149" s="5"/>
      <c r="M149" s="5"/>
      <c r="N149" s="5"/>
      <c r="O149" s="5"/>
      <c r="Q149" s="5"/>
      <c r="R149" s="5"/>
      <c r="S149" s="5"/>
    </row>
    <row r="150" spans="2:19">
      <c r="B150" s="5"/>
      <c r="C150" s="5"/>
      <c r="D150" s="5"/>
      <c r="E150" s="5"/>
      <c r="F150" s="5"/>
      <c r="G150" s="5"/>
      <c r="H150" s="5"/>
      <c r="J150" s="5"/>
      <c r="K150" s="5"/>
      <c r="L150" s="5"/>
      <c r="M150" s="5"/>
      <c r="N150" s="5"/>
      <c r="O150" s="5"/>
      <c r="Q150" s="5"/>
      <c r="R150" s="5"/>
      <c r="S150" s="5"/>
    </row>
    <row r="151" spans="2:19">
      <c r="Q151" s="5"/>
      <c r="R151" s="5"/>
      <c r="S151" s="5"/>
    </row>
    <row r="152" spans="2:19">
      <c r="Q152" s="5"/>
      <c r="R152" s="5"/>
      <c r="S152" s="5"/>
    </row>
    <row r="153" spans="2:19">
      <c r="C153" s="263"/>
      <c r="Q153" s="5"/>
      <c r="R153" s="5"/>
      <c r="S153" s="5"/>
    </row>
    <row r="154" spans="2:19">
      <c r="Q154" s="5"/>
      <c r="R154" s="5"/>
      <c r="S154" s="5"/>
    </row>
    <row r="155" spans="2:19">
      <c r="Q155" s="5"/>
      <c r="R155" s="5"/>
      <c r="S155" s="5"/>
    </row>
    <row r="156" spans="2:19">
      <c r="Q156" s="5"/>
      <c r="R156" s="5"/>
      <c r="S156" s="5"/>
    </row>
    <row r="157" spans="2:19">
      <c r="Q157" s="5"/>
      <c r="R157" s="5"/>
      <c r="S157" s="5"/>
    </row>
    <row r="158" spans="2:19">
      <c r="Q158" s="5"/>
      <c r="R158" s="5"/>
      <c r="S158" s="5"/>
    </row>
    <row r="159" spans="2:19">
      <c r="Q159" s="5"/>
      <c r="R159" s="5"/>
      <c r="S159" s="5"/>
    </row>
    <row r="160" spans="2:19">
      <c r="Q160" s="5"/>
      <c r="R160" s="5"/>
      <c r="S160" s="5"/>
    </row>
    <row r="161" spans="17:19">
      <c r="Q161" s="5"/>
      <c r="R161" s="5"/>
      <c r="S161" s="5"/>
    </row>
    <row r="162" spans="17:19">
      <c r="Q162" s="5"/>
      <c r="R162" s="5"/>
      <c r="S162" s="5"/>
    </row>
    <row r="163" spans="17:19">
      <c r="Q163" s="5"/>
      <c r="R163" s="5"/>
      <c r="S163" s="5"/>
    </row>
    <row r="164" spans="17:19">
      <c r="Q164" s="5"/>
      <c r="R164" s="5"/>
      <c r="S164" s="5"/>
    </row>
    <row r="165" spans="17:19">
      <c r="Q165" s="5"/>
      <c r="R165" s="5"/>
      <c r="S165" s="5"/>
    </row>
  </sheetData>
  <hyperlinks>
    <hyperlink ref="C2" location="UTDISOP!A1" display="Jump to UTDI SOP" xr:uid="{00000000-0004-0000-7200-000001000000}"/>
  </hyperlinks>
  <pageMargins left="0.75" right="0.75" top="1" bottom="1" header="0.5" footer="0.5"/>
  <pageSetup scale="71" orientation="landscape" r:id="rId1"/>
  <headerFooter alignWithMargins="0"/>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0-000000000000}">
  <sheetPr codeName="Sheet87">
    <pageSetUpPr fitToPage="1"/>
  </sheetPr>
  <dimension ref="B1:AR165"/>
  <sheetViews>
    <sheetView showGridLines="0" zoomScale="80" zoomScaleNormal="80" workbookViewId="0"/>
  </sheetViews>
  <sheetFormatPr defaultColWidth="9.109375" defaultRowHeight="12"/>
  <cols>
    <col min="1" max="1" width="2.33203125" style="39" customWidth="1"/>
    <col min="2" max="2" width="26.5546875" style="39" customWidth="1"/>
    <col min="3" max="9" width="10" style="39" customWidth="1"/>
    <col min="10" max="10" width="26.6640625" style="39" customWidth="1"/>
    <col min="11" max="16" width="10" style="39" customWidth="1"/>
    <col min="17" max="19" width="8.6640625" style="39" customWidth="1"/>
    <col min="20" max="28" width="8.6640625" style="5" customWidth="1"/>
    <col min="29" max="44" width="9.109375" style="5"/>
    <col min="45" max="16384" width="9.109375" style="39"/>
  </cols>
  <sheetData>
    <row r="1" spans="2:44" s="312" customFormat="1">
      <c r="T1" s="149"/>
      <c r="U1" s="149"/>
      <c r="V1" s="149"/>
      <c r="W1" s="149"/>
      <c r="X1" s="149"/>
      <c r="Y1" s="149"/>
      <c r="Z1" s="149"/>
      <c r="AA1" s="149"/>
      <c r="AB1" s="149"/>
      <c r="AC1" s="149"/>
      <c r="AD1" s="149"/>
      <c r="AE1" s="149"/>
      <c r="AF1" s="149"/>
      <c r="AG1" s="149"/>
      <c r="AH1" s="149"/>
      <c r="AI1" s="149"/>
      <c r="AJ1" s="149"/>
      <c r="AK1" s="149"/>
      <c r="AL1" s="149"/>
      <c r="AM1" s="149"/>
      <c r="AN1" s="149"/>
      <c r="AO1" s="149"/>
      <c r="AP1" s="149"/>
      <c r="AQ1" s="149"/>
      <c r="AR1" s="149"/>
    </row>
    <row r="2" spans="2:44" s="149" customFormat="1"/>
    <row r="3" spans="2:44" s="149" customFormat="1">
      <c r="H3" s="153"/>
      <c r="P3" s="153"/>
    </row>
    <row r="4" spans="2:44" s="156" customFormat="1" ht="21">
      <c r="B4" s="129" t="s">
        <v>987</v>
      </c>
      <c r="H4" s="222"/>
      <c r="P4" s="222"/>
    </row>
    <row r="5" spans="2:44" s="149" customFormat="1">
      <c r="C5" s="153"/>
      <c r="D5" s="153" t="str" cm="1">
        <f t="array" ref="D5:H5">headings</f>
        <v>2023E</v>
      </c>
      <c r="E5" s="153" t="str">
        <v>2024E</v>
      </c>
      <c r="F5" s="153" t="str">
        <v>2025E</v>
      </c>
      <c r="G5" s="153" t="str">
        <v>2026E</v>
      </c>
      <c r="H5" s="153" t="str">
        <v>23E-26E</v>
      </c>
      <c r="I5" s="153"/>
      <c r="J5" s="153"/>
      <c r="K5" s="153"/>
      <c r="L5" s="153" t="str" cm="1">
        <f t="array" ref="L5:P5">headings</f>
        <v>2023E</v>
      </c>
      <c r="M5" s="153" t="str">
        <v>2024E</v>
      </c>
      <c r="N5" s="153" t="str">
        <v>2025E</v>
      </c>
      <c r="O5" s="153" t="str">
        <v>2026E</v>
      </c>
      <c r="P5" s="153" t="str">
        <v>23E-26E</v>
      </c>
      <c r="Q5" s="162"/>
      <c r="R5" s="162"/>
      <c r="S5" s="162"/>
      <c r="T5" s="162"/>
      <c r="U5" s="162"/>
      <c r="V5" s="162"/>
      <c r="W5" s="162"/>
      <c r="X5" s="162"/>
      <c r="Y5" s="162"/>
    </row>
    <row r="6" spans="2:44">
      <c r="I6" s="5"/>
      <c r="J6" s="5"/>
      <c r="K6" s="5"/>
      <c r="L6" s="5"/>
      <c r="M6" s="5"/>
      <c r="N6" s="5"/>
      <c r="O6" s="49"/>
    </row>
    <row r="7" spans="2:44" ht="12.6" thickBot="1">
      <c r="B7" s="306" t="s">
        <v>271</v>
      </c>
      <c r="C7" s="265"/>
      <c r="D7" s="265" t="str">
        <f>D5</f>
        <v>2023E</v>
      </c>
      <c r="E7" s="265" t="str">
        <f t="shared" ref="E7:H7" si="0">E5</f>
        <v>2024E</v>
      </c>
      <c r="F7" s="265" t="str">
        <f t="shared" si="0"/>
        <v>2025E</v>
      </c>
      <c r="G7" s="265" t="str">
        <f t="shared" si="0"/>
        <v>2026E</v>
      </c>
      <c r="H7" s="265" t="str">
        <f t="shared" si="0"/>
        <v>23E-26E</v>
      </c>
      <c r="I7" s="49"/>
      <c r="J7" s="306" t="s">
        <v>380</v>
      </c>
      <c r="K7" s="306"/>
      <c r="L7" s="265" t="str">
        <f>L5</f>
        <v>2023E</v>
      </c>
      <c r="M7" s="265" t="str">
        <f t="shared" ref="M7:P7" si="1">M5</f>
        <v>2024E</v>
      </c>
      <c r="N7" s="265" t="str">
        <f t="shared" si="1"/>
        <v>2025E</v>
      </c>
      <c r="O7" s="265" t="str">
        <f t="shared" si="1"/>
        <v>2026E</v>
      </c>
      <c r="P7" s="265" t="str">
        <f t="shared" si="1"/>
        <v>23E-26E</v>
      </c>
    </row>
    <row r="8" spans="2:44" ht="12.6" thickTop="1">
      <c r="B8" s="5"/>
      <c r="C8" s="5"/>
      <c r="D8" s="5"/>
      <c r="E8" s="5"/>
      <c r="F8" s="5"/>
      <c r="G8" s="5"/>
      <c r="H8" s="5"/>
      <c r="I8" s="5"/>
      <c r="J8" s="5"/>
      <c r="K8" s="5"/>
      <c r="L8" s="5"/>
      <c r="M8" s="5"/>
      <c r="N8" s="5"/>
      <c r="S8" s="88"/>
      <c r="T8" s="42"/>
      <c r="U8" s="42"/>
      <c r="V8" s="42"/>
      <c r="W8" s="42"/>
      <c r="X8" s="42"/>
      <c r="Y8" s="42"/>
      <c r="Z8" s="42"/>
      <c r="AA8" s="42"/>
    </row>
    <row r="9" spans="2:44">
      <c r="B9" s="41" t="s">
        <v>15</v>
      </c>
      <c r="C9" s="267">
        <f>Prices!C113</f>
        <v>25.53</v>
      </c>
      <c r="D9" s="535">
        <v>0</v>
      </c>
      <c r="E9" s="536">
        <v>0</v>
      </c>
      <c r="F9" s="536">
        <v>0</v>
      </c>
      <c r="G9" s="536">
        <v>0</v>
      </c>
      <c r="H9" s="249"/>
      <c r="I9" s="249"/>
      <c r="J9" s="5" t="s">
        <v>273</v>
      </c>
      <c r="L9" s="529">
        <f>'EMEA CELLULAR'!D37</f>
        <v>3.0372013947638039</v>
      </c>
      <c r="M9" s="529">
        <f>'EMEA CELLULAR'!E37</f>
        <v>3.0765788213213532</v>
      </c>
      <c r="N9" s="529">
        <f>'EMEA CELLULAR'!F37</f>
        <v>2.7986180316483407</v>
      </c>
      <c r="O9" s="529">
        <f>'EMEA CELLULAR'!G37</f>
        <v>2.565989431468322</v>
      </c>
      <c r="P9" s="286">
        <f>'EMEA CELLULAR'!H37</f>
        <v>4.2716103268778172E-2</v>
      </c>
      <c r="S9" s="88"/>
      <c r="T9" s="42"/>
      <c r="U9" s="42"/>
      <c r="V9" s="42"/>
      <c r="W9" s="42"/>
      <c r="X9" s="42"/>
      <c r="Y9" s="42"/>
      <c r="Z9" s="42"/>
      <c r="AA9" s="42"/>
    </row>
    <row r="10" spans="2:44">
      <c r="B10" s="5" t="s">
        <v>274</v>
      </c>
      <c r="C10" s="5"/>
      <c r="D10" s="531">
        <v>1753.3566760000001</v>
      </c>
      <c r="E10" s="531">
        <v>1753.3566760000001</v>
      </c>
      <c r="F10" s="531">
        <v>1753.3566760000001</v>
      </c>
      <c r="G10" s="531">
        <v>1753.3566760000001</v>
      </c>
      <c r="H10" s="247"/>
      <c r="I10" s="247"/>
      <c r="J10" s="5" t="s">
        <v>184</v>
      </c>
      <c r="L10" s="529">
        <f>'EMEA CELLULAR'!D38</f>
        <v>7.2238222733245729</v>
      </c>
      <c r="M10" s="529">
        <f>'EMEA CELLULAR'!E38</f>
        <v>7.4237558505709842</v>
      </c>
      <c r="N10" s="529">
        <f>'EMEA CELLULAR'!F38</f>
        <v>6.674196011969129</v>
      </c>
      <c r="O10" s="529">
        <f>'EMEA CELLULAR'!G38</f>
        <v>6.0998043636708204</v>
      </c>
      <c r="P10" s="286">
        <f>'EMEA CELLULAR'!H38</f>
        <v>4.2902128020809061E-2</v>
      </c>
      <c r="S10" s="88"/>
      <c r="T10" s="42"/>
      <c r="U10" s="42"/>
      <c r="V10" s="42"/>
      <c r="W10" s="288"/>
      <c r="X10" s="288"/>
      <c r="Y10" s="288"/>
      <c r="Z10" s="288"/>
      <c r="AA10" s="42"/>
    </row>
    <row r="11" spans="2:44">
      <c r="B11" s="41" t="s">
        <v>275</v>
      </c>
      <c r="C11" s="5"/>
      <c r="D11" s="532">
        <f>$C$9*D10</f>
        <v>44763.195938280005</v>
      </c>
      <c r="E11" s="532">
        <f>$C$9*E10</f>
        <v>44763.195938280005</v>
      </c>
      <c r="F11" s="532">
        <f>$C$9*F10</f>
        <v>44763.195938280005</v>
      </c>
      <c r="G11" s="532">
        <f>$C$9*G10</f>
        <v>44763.195938280005</v>
      </c>
      <c r="H11" s="249"/>
      <c r="I11" s="249"/>
      <c r="J11" s="5" t="s">
        <v>185</v>
      </c>
      <c r="L11" s="529">
        <f>'EMEA CELLULAR'!D39</f>
        <v>13.934000165140167</v>
      </c>
      <c r="M11" s="529">
        <f>'EMEA CELLULAR'!E39</f>
        <v>14.181691463921256</v>
      </c>
      <c r="N11" s="529">
        <f>'EMEA CELLULAR'!F39</f>
        <v>12.081890560836975</v>
      </c>
      <c r="O11" s="529">
        <f>'EMEA CELLULAR'!G39</f>
        <v>10.645257413209695</v>
      </c>
      <c r="P11" s="286">
        <f>'EMEA CELLULAR'!H39</f>
        <v>7.8283731285485381E-2</v>
      </c>
      <c r="S11" s="88"/>
      <c r="T11" s="42"/>
      <c r="U11" s="42"/>
      <c r="V11" s="42"/>
      <c r="W11" s="288"/>
      <c r="X11" s="288"/>
      <c r="Y11" s="288"/>
      <c r="Z11" s="288"/>
      <c r="AA11" s="42"/>
    </row>
    <row r="12" spans="2:44">
      <c r="B12" s="5" t="s">
        <v>24</v>
      </c>
      <c r="C12" s="249"/>
      <c r="D12" s="533">
        <v>2608.856273669046</v>
      </c>
      <c r="E12" s="533">
        <v>2245.9275094244263</v>
      </c>
      <c r="F12" s="533">
        <v>1919.7316541204605</v>
      </c>
      <c r="G12" s="533">
        <v>1670.7324453981964</v>
      </c>
      <c r="H12" s="247"/>
      <c r="I12" s="247"/>
      <c r="J12" s="5" t="s">
        <v>466</v>
      </c>
      <c r="L12" s="529">
        <f>'EMEA CELLULAR'!D40</f>
        <v>20.693503485744461</v>
      </c>
      <c r="M12" s="529">
        <f>'EMEA CELLULAR'!E40</f>
        <v>20.954826177285547</v>
      </c>
      <c r="N12" s="529">
        <f>'EMEA CELLULAR'!F40</f>
        <v>17.986415749594904</v>
      </c>
      <c r="O12" s="529">
        <f>'EMEA CELLULAR'!G40</f>
        <v>15.937236715818882</v>
      </c>
      <c r="P12" s="286">
        <f>'EMEA CELLULAR'!H40</f>
        <v>7.539209226558885E-2</v>
      </c>
      <c r="S12" s="88"/>
      <c r="T12" s="42"/>
      <c r="U12" s="42"/>
      <c r="V12" s="42"/>
      <c r="W12" s="288"/>
      <c r="X12" s="288"/>
      <c r="Y12" s="288"/>
      <c r="Z12" s="288"/>
      <c r="AA12" s="42"/>
    </row>
    <row r="13" spans="2:44">
      <c r="B13" s="5" t="s">
        <v>529</v>
      </c>
      <c r="C13" s="257"/>
      <c r="D13" s="533">
        <v>-800</v>
      </c>
      <c r="E13" s="533">
        <v>-800</v>
      </c>
      <c r="F13" s="533">
        <v>-800</v>
      </c>
      <c r="G13" s="533">
        <v>-800</v>
      </c>
      <c r="H13" s="247"/>
      <c r="I13" s="247"/>
      <c r="J13" s="5" t="s">
        <v>530</v>
      </c>
      <c r="L13" s="529">
        <f>'EMEA CELLULAR'!D41</f>
        <v>2.9063718801101484</v>
      </c>
      <c r="M13" s="529">
        <f>'EMEA CELLULAR'!E41</f>
        <v>2.8096465424917763</v>
      </c>
      <c r="N13" s="529">
        <f>'EMEA CELLULAR'!F41</f>
        <v>2.6770412504562215</v>
      </c>
      <c r="O13" s="529">
        <f>'EMEA CELLULAR'!G41</f>
        <v>2.5396311085256196</v>
      </c>
      <c r="P13" s="286">
        <f>'EMEA CELLULAR'!H41</f>
        <v>3.1066523451782402E-2</v>
      </c>
      <c r="S13" s="88"/>
      <c r="T13" s="42"/>
      <c r="U13" s="42"/>
      <c r="V13" s="42"/>
      <c r="W13" s="42"/>
      <c r="X13" s="42"/>
      <c r="Y13" s="42"/>
      <c r="Z13" s="42"/>
      <c r="AA13" s="42"/>
    </row>
    <row r="14" spans="2:44">
      <c r="B14" s="5" t="s">
        <v>532</v>
      </c>
      <c r="C14" s="257"/>
      <c r="D14" s="533">
        <v>0</v>
      </c>
      <c r="E14" s="533">
        <v>0</v>
      </c>
      <c r="F14" s="533">
        <v>0</v>
      </c>
      <c r="G14" s="533">
        <v>0</v>
      </c>
      <c r="H14" s="247"/>
      <c r="I14" s="247"/>
      <c r="J14" s="5" t="s">
        <v>593</v>
      </c>
      <c r="L14" s="529">
        <f>'EMEA CELLULAR'!D42</f>
        <v>4.1985652011209735</v>
      </c>
      <c r="M14" s="529">
        <f>'EMEA CELLULAR'!E42</f>
        <v>4.0862699766964772</v>
      </c>
      <c r="N14" s="529">
        <f>'EMEA CELLULAR'!F42</f>
        <v>3.913769934902958</v>
      </c>
      <c r="O14" s="529">
        <f>'EMEA CELLULAR'!G42</f>
        <v>3.7199710824883767</v>
      </c>
      <c r="P14" s="286">
        <f>'EMEA CELLULAR'!H42</f>
        <v>2.6314073359182233E-2</v>
      </c>
      <c r="S14" s="88"/>
      <c r="T14" s="42"/>
      <c r="U14" s="42"/>
      <c r="V14" s="42"/>
      <c r="W14" s="42"/>
      <c r="X14" s="42"/>
      <c r="Y14" s="42"/>
      <c r="Z14" s="42"/>
      <c r="AA14" s="42"/>
    </row>
    <row r="15" spans="2:44">
      <c r="B15" s="5" t="s">
        <v>531</v>
      </c>
      <c r="C15" s="274"/>
      <c r="D15" s="533">
        <v>369.32933976584809</v>
      </c>
      <c r="E15" s="533">
        <v>369.32933976584809</v>
      </c>
      <c r="F15" s="533">
        <v>369.32933976584809</v>
      </c>
      <c r="G15" s="533">
        <v>369.32933976584809</v>
      </c>
      <c r="H15" s="247"/>
      <c r="I15" s="247"/>
      <c r="J15" s="5" t="s">
        <v>475</v>
      </c>
      <c r="L15" s="529">
        <f>'EMEA CELLULAR'!D43</f>
        <v>31.153660262051059</v>
      </c>
      <c r="M15" s="529">
        <f>'EMEA CELLULAR'!E43</f>
        <v>40.589413647062131</v>
      </c>
      <c r="N15" s="529">
        <f>'EMEA CELLULAR'!F43</f>
        <v>28.94936800421025</v>
      </c>
      <c r="O15" s="529">
        <f>'EMEA CELLULAR'!G43</f>
        <v>25.752132437276039</v>
      </c>
      <c r="P15" s="286">
        <f>'EMEA CELLULAR'!H43</f>
        <v>6.5529048867266182E-2</v>
      </c>
      <c r="S15" s="88"/>
      <c r="T15" s="42"/>
      <c r="U15" s="42"/>
      <c r="V15" s="42"/>
      <c r="W15" s="42"/>
      <c r="X15" s="42"/>
      <c r="Y15" s="42"/>
      <c r="Z15" s="42"/>
      <c r="AA15" s="42"/>
    </row>
    <row r="16" spans="2:44">
      <c r="B16" s="5" t="s">
        <v>534</v>
      </c>
      <c r="C16" s="257"/>
      <c r="D16" s="533">
        <v>0</v>
      </c>
      <c r="E16" s="533">
        <v>0</v>
      </c>
      <c r="F16" s="533">
        <v>62.571863165476877</v>
      </c>
      <c r="G16" s="533">
        <v>244.03624528778676</v>
      </c>
      <c r="H16" s="247"/>
      <c r="I16" s="247"/>
      <c r="J16" s="5" t="s">
        <v>533</v>
      </c>
      <c r="L16" s="529">
        <f>'EMEA CELLULAR'!D44</f>
        <v>27.614186259633261</v>
      </c>
      <c r="M16" s="529">
        <f>'EMEA CELLULAR'!E44</f>
        <v>26.587472010710737</v>
      </c>
      <c r="N16" s="529">
        <f>'EMEA CELLULAR'!F44</f>
        <v>20.63478491648139</v>
      </c>
      <c r="O16" s="529">
        <f>'EMEA CELLULAR'!G44</f>
        <v>18.214851681953164</v>
      </c>
      <c r="P16" s="286">
        <f>'EMEA CELLULAR'!H44</f>
        <v>0.14827356589829632</v>
      </c>
      <c r="S16" s="88"/>
      <c r="T16" s="42"/>
      <c r="U16" s="42"/>
      <c r="V16" s="42"/>
      <c r="W16" s="42"/>
      <c r="X16" s="42"/>
      <c r="Y16" s="42"/>
      <c r="Z16" s="42"/>
      <c r="AA16" s="42"/>
    </row>
    <row r="17" spans="2:27">
      <c r="B17" s="5" t="s">
        <v>6</v>
      </c>
      <c r="C17" s="257"/>
      <c r="D17" s="533">
        <v>0</v>
      </c>
      <c r="E17" s="533">
        <v>0</v>
      </c>
      <c r="F17" s="533">
        <v>0</v>
      </c>
      <c r="G17" s="533">
        <v>0</v>
      </c>
      <c r="H17" s="247"/>
      <c r="I17" s="247"/>
      <c r="J17" s="5" t="s">
        <v>580</v>
      </c>
      <c r="L17" s="248">
        <f>'EMEA CELLULAR'!D45</f>
        <v>2.0041910197939054E-2</v>
      </c>
      <c r="M17" s="248">
        <f>'EMEA CELLULAR'!E45</f>
        <v>2.2662064400045302E-2</v>
      </c>
      <c r="N17" s="248">
        <f>'EMEA CELLULAR'!F45</f>
        <v>2.6655091715603346E-2</v>
      </c>
      <c r="O17" s="248">
        <f>'EMEA CELLULAR'!G45</f>
        <v>2.9169701214626476E-2</v>
      </c>
      <c r="P17" s="286">
        <f>'EMEA CELLULAR'!H45</f>
        <v>0.13276751641400475</v>
      </c>
      <c r="S17" s="88"/>
      <c r="T17" s="42"/>
      <c r="U17" s="42"/>
      <c r="V17" s="42"/>
      <c r="W17" s="42"/>
      <c r="X17" s="42"/>
      <c r="Y17" s="42"/>
      <c r="Z17" s="42"/>
      <c r="AA17" s="42"/>
    </row>
    <row r="18" spans="2:27" ht="12.6" thickBot="1">
      <c r="B18" s="41" t="s">
        <v>583</v>
      </c>
      <c r="C18" s="249"/>
      <c r="D18" s="534">
        <f>D11+D12+D13-D14+D15-D16-D17</f>
        <v>46941.381551714898</v>
      </c>
      <c r="E18" s="534">
        <f>E11+E12+E13-E14+E15-E16-E17</f>
        <v>46578.452787470284</v>
      </c>
      <c r="F18" s="534">
        <f>F11+F12+F13-F14+F15-F16-F17</f>
        <v>46189.685069000843</v>
      </c>
      <c r="G18" s="534">
        <f>G11+G12+G13-G14+G15-G16-G17</f>
        <v>45759.221478156258</v>
      </c>
      <c r="H18" s="276">
        <f>IF(D18=0,"nm",IF(G18=0,"nm",(G18/D18)^(1/3)-1))</f>
        <v>-8.4660555614636257E-3</v>
      </c>
      <c r="I18" s="254"/>
      <c r="J18" s="5" t="s">
        <v>36</v>
      </c>
      <c r="L18" s="248">
        <f>'EMEA CELLULAR'!D46</f>
        <v>2.1131796481131483E-2</v>
      </c>
      <c r="M18" s="248">
        <f>'EMEA CELLULAR'!E46</f>
        <v>1.7391477966924081E-2</v>
      </c>
      <c r="N18" s="248">
        <f>'EMEA CELLULAR'!F46</f>
        <v>3.2252261934863267E-2</v>
      </c>
      <c r="O18" s="248">
        <f>'EMEA CELLULAR'!G46</f>
        <v>2.8815660020290752E-2</v>
      </c>
      <c r="P18" s="286">
        <f>'EMEA CELLULAR'!H46</f>
        <v>0.10842730164220327</v>
      </c>
      <c r="S18" s="88"/>
      <c r="T18" s="42"/>
      <c r="U18" s="42"/>
      <c r="V18" s="42"/>
      <c r="W18" s="42"/>
      <c r="X18" s="42"/>
      <c r="Y18" s="42"/>
      <c r="Z18" s="42"/>
      <c r="AA18" s="42"/>
    </row>
    <row r="19" spans="2:27" ht="12.6" thickTop="1">
      <c r="B19" s="41"/>
      <c r="C19" s="249"/>
      <c r="D19" s="229"/>
      <c r="E19" s="229"/>
      <c r="F19" s="229"/>
      <c r="G19" s="229"/>
      <c r="H19" s="276"/>
      <c r="I19" s="254"/>
      <c r="J19" s="5" t="s">
        <v>581</v>
      </c>
      <c r="L19" s="248">
        <f>'EMEA CELLULAR'!D47</f>
        <v>3.2098956963272834E-2</v>
      </c>
      <c r="M19" s="248">
        <f>'EMEA CELLULAR'!E47</f>
        <v>2.4636965901880678E-2</v>
      </c>
      <c r="N19" s="248">
        <f>'EMEA CELLULAR'!F47</f>
        <v>3.4543068430874381E-2</v>
      </c>
      <c r="O19" s="248">
        <f>'EMEA CELLULAR'!G47</f>
        <v>3.8831735679974472E-2</v>
      </c>
      <c r="P19" s="286">
        <f>'EMEA CELLULAR'!H47</f>
        <v>6.5529048867266182E-2</v>
      </c>
      <c r="S19" s="88"/>
      <c r="T19" s="42"/>
      <c r="U19" s="42"/>
      <c r="V19" s="42"/>
      <c r="W19" s="42"/>
      <c r="X19" s="42"/>
      <c r="Y19" s="42"/>
      <c r="Z19" s="42"/>
      <c r="AA19" s="42"/>
    </row>
    <row r="20" spans="2:27">
      <c r="H20" s="277"/>
      <c r="I20" s="17"/>
      <c r="J20" s="5" t="s">
        <v>604</v>
      </c>
      <c r="L20" s="305">
        <f>'EMEA CELLULAR'!D48</f>
        <v>0.66646495357608038</v>
      </c>
      <c r="M20" s="305">
        <f>'EMEA CELLULAR'!E48</f>
        <v>0.98055252685916661</v>
      </c>
      <c r="N20" s="305">
        <f>'EMEA CELLULAR'!F48</f>
        <v>0.8225795047533091</v>
      </c>
      <c r="O20" s="305">
        <f>'EMEA CELLULAR'!G48</f>
        <v>0.80076262408893306</v>
      </c>
      <c r="P20" s="286" t="str">
        <f>'EMEA CELLULAR'!H48</f>
        <v>nm</v>
      </c>
      <c r="S20" s="88"/>
      <c r="T20" s="42"/>
      <c r="U20" s="42"/>
      <c r="V20" s="42"/>
      <c r="W20" s="42"/>
      <c r="X20" s="42"/>
      <c r="Y20" s="42"/>
      <c r="Z20" s="42"/>
      <c r="AA20" s="42"/>
    </row>
    <row r="21" spans="2:27" ht="12.6" thickBot="1">
      <c r="B21" s="306" t="s">
        <v>925</v>
      </c>
      <c r="C21" s="265"/>
      <c r="D21" s="265" t="str">
        <f>D5</f>
        <v>2023E</v>
      </c>
      <c r="E21" s="265" t="str">
        <f t="shared" ref="E21:H21" si="2">E5</f>
        <v>2024E</v>
      </c>
      <c r="F21" s="265" t="str">
        <f t="shared" si="2"/>
        <v>2025E</v>
      </c>
      <c r="G21" s="265" t="str">
        <f t="shared" si="2"/>
        <v>2026E</v>
      </c>
      <c r="H21" s="265" t="str">
        <f t="shared" si="2"/>
        <v>23E-26E</v>
      </c>
      <c r="I21" s="49"/>
      <c r="J21" s="41"/>
      <c r="L21" s="250"/>
      <c r="M21" s="250"/>
      <c r="N21" s="250"/>
      <c r="O21" s="250"/>
      <c r="P21" s="286"/>
      <c r="S21" s="88"/>
      <c r="T21" s="42"/>
      <c r="U21" s="42"/>
      <c r="V21" s="42"/>
      <c r="W21" s="42"/>
      <c r="X21" s="42"/>
      <c r="Y21" s="42"/>
      <c r="Z21" s="42"/>
      <c r="AA21" s="42"/>
    </row>
    <row r="22" spans="2:27" ht="12.6" thickTop="1">
      <c r="B22" s="5"/>
      <c r="C22" s="257"/>
      <c r="D22" s="17"/>
      <c r="E22" s="17"/>
      <c r="F22" s="17"/>
      <c r="G22" s="17"/>
      <c r="H22" s="17"/>
      <c r="I22" s="17"/>
      <c r="P22" s="277"/>
      <c r="S22" s="88"/>
      <c r="T22" s="42"/>
      <c r="U22" s="42"/>
      <c r="V22" s="42"/>
      <c r="W22" s="42"/>
      <c r="X22" s="42"/>
      <c r="Y22" s="42"/>
      <c r="Z22" s="42"/>
      <c r="AA22" s="42"/>
    </row>
    <row r="23" spans="2:27" ht="12.6" thickBot="1">
      <c r="B23" s="5" t="s">
        <v>584</v>
      </c>
      <c r="C23" s="548">
        <v>3755.4095505823193</v>
      </c>
      <c r="D23" s="540">
        <v>3523.0074964013406</v>
      </c>
      <c r="E23" s="540">
        <v>3689.8785343824002</v>
      </c>
      <c r="F23" s="540">
        <v>3857.1563490844578</v>
      </c>
      <c r="G23" s="540">
        <v>4003.4027988518105</v>
      </c>
      <c r="H23" s="279">
        <f t="shared" ref="H23:H32" si="3">IF(D23=0,"nm",IF(G23=0,"nm",(G23/D23)^(1/3)-1))</f>
        <v>4.353072435664318E-2</v>
      </c>
      <c r="I23" s="247"/>
      <c r="J23" s="306" t="s">
        <v>9</v>
      </c>
      <c r="K23" s="306"/>
      <c r="L23" s="265" t="str">
        <f>D21</f>
        <v>2023E</v>
      </c>
      <c r="M23" s="265" t="str">
        <f t="shared" ref="M23:P23" si="4">E21</f>
        <v>2024E</v>
      </c>
      <c r="N23" s="265" t="str">
        <f t="shared" si="4"/>
        <v>2025E</v>
      </c>
      <c r="O23" s="265" t="str">
        <f t="shared" si="4"/>
        <v>2026E</v>
      </c>
      <c r="P23" s="265" t="str">
        <f t="shared" si="4"/>
        <v>23E-26E</v>
      </c>
      <c r="S23" s="88"/>
      <c r="T23" s="42"/>
      <c r="U23" s="42"/>
      <c r="V23" s="42"/>
      <c r="W23" s="42"/>
      <c r="X23" s="42"/>
      <c r="Y23" s="42"/>
      <c r="Z23" s="42"/>
      <c r="AA23" s="42"/>
    </row>
    <row r="24" spans="2:27" ht="12.6" thickTop="1">
      <c r="B24" s="5" t="s">
        <v>483</v>
      </c>
      <c r="C24" s="549">
        <v>1743</v>
      </c>
      <c r="D24" s="540">
        <v>1536.1354857190167</v>
      </c>
      <c r="E24" s="540">
        <v>1715.8267150595152</v>
      </c>
      <c r="F24" s="540">
        <v>1801.4540758827711</v>
      </c>
      <c r="G24" s="540">
        <v>1869.772662427036</v>
      </c>
      <c r="H24" s="279">
        <f t="shared" si="3"/>
        <v>6.7709469932891286E-2</v>
      </c>
      <c r="I24" s="249"/>
      <c r="J24" s="17"/>
      <c r="K24" s="17"/>
      <c r="L24" s="17"/>
      <c r="M24" s="17"/>
      <c r="N24" s="17"/>
      <c r="O24" s="248"/>
      <c r="S24" s="88"/>
      <c r="T24" s="42"/>
      <c r="U24" s="42"/>
      <c r="V24" s="42"/>
      <c r="W24" s="42" t="s">
        <v>192</v>
      </c>
      <c r="X24" s="42" t="s">
        <v>513</v>
      </c>
      <c r="Y24" s="42"/>
      <c r="Z24" s="42"/>
      <c r="AA24" s="42"/>
    </row>
    <row r="25" spans="2:27">
      <c r="B25" s="5" t="s">
        <v>183</v>
      </c>
      <c r="C25" s="548">
        <v>902</v>
      </c>
      <c r="D25" s="540">
        <v>762.60142491813065</v>
      </c>
      <c r="E25" s="540">
        <v>923.22823360981886</v>
      </c>
      <c r="F25" s="540">
        <v>941.3400433224773</v>
      </c>
      <c r="G25" s="540">
        <v>986.77104853884896</v>
      </c>
      <c r="H25" s="279">
        <f t="shared" si="3"/>
        <v>8.9698271943677632E-2</v>
      </c>
      <c r="I25" s="248"/>
      <c r="J25" s="247" t="s">
        <v>10</v>
      </c>
      <c r="K25" s="247"/>
      <c r="L25" s="321">
        <v>0</v>
      </c>
      <c r="M25" s="321">
        <v>0</v>
      </c>
      <c r="N25" s="321">
        <v>0</v>
      </c>
      <c r="O25" s="321">
        <v>0</v>
      </c>
      <c r="P25" s="279" t="str">
        <f>IF(L25=0,"nm",IF(O25=0,"nm",(O25/L25)^(1/3)-1))</f>
        <v>nm</v>
      </c>
      <c r="S25" s="88"/>
      <c r="T25" s="42"/>
      <c r="U25" s="42"/>
      <c r="V25" s="147" t="s">
        <v>273</v>
      </c>
      <c r="W25" s="288">
        <f>D37/L9</f>
        <v>4.3870108591969172</v>
      </c>
      <c r="X25" s="288">
        <v>1</v>
      </c>
      <c r="Y25" s="42"/>
      <c r="Z25" s="42"/>
      <c r="AA25" s="42"/>
    </row>
    <row r="26" spans="2:27">
      <c r="B26" s="5" t="s">
        <v>586</v>
      </c>
      <c r="C26" s="548">
        <v>824.00751879699249</v>
      </c>
      <c r="D26" s="540">
        <v>565.85025728925291</v>
      </c>
      <c r="E26" s="540">
        <v>685.03534933848562</v>
      </c>
      <c r="F26" s="540">
        <v>698.47431214527819</v>
      </c>
      <c r="G26" s="540">
        <v>732.1841180158259</v>
      </c>
      <c r="H26" s="279">
        <f t="shared" si="3"/>
        <v>8.9698271943677632E-2</v>
      </c>
      <c r="I26" s="249"/>
      <c r="J26" s="249" t="s">
        <v>11</v>
      </c>
      <c r="K26" s="249"/>
      <c r="L26" s="281">
        <f>D11+L25</f>
        <v>44763.195938280005</v>
      </c>
      <c r="M26" s="281">
        <f>E11+M25</f>
        <v>44763.195938280005</v>
      </c>
      <c r="N26" s="281">
        <f>F11+N25</f>
        <v>44763.195938280005</v>
      </c>
      <c r="O26" s="281">
        <f>G11+O25</f>
        <v>44763.195938280005</v>
      </c>
      <c r="P26" s="279">
        <f>IF(L26=0,"nm",IF(O26=0,"nm",(O26/L26)^(1/3)-1))</f>
        <v>0</v>
      </c>
      <c r="Q26" s="5"/>
      <c r="S26" s="88"/>
      <c r="T26" s="42"/>
      <c r="U26" s="42"/>
      <c r="V26" s="147" t="s">
        <v>184</v>
      </c>
      <c r="W26" s="288">
        <f t="shared" ref="W26:W33" si="5">D38/L10</f>
        <v>4.2301843388683897</v>
      </c>
      <c r="X26" s="288">
        <v>1</v>
      </c>
      <c r="Y26" s="42"/>
      <c r="Z26" s="42"/>
      <c r="AA26" s="42"/>
    </row>
    <row r="27" spans="2:27">
      <c r="B27" s="5" t="s">
        <v>587</v>
      </c>
      <c r="C27" s="549">
        <v>5880</v>
      </c>
      <c r="D27" s="540">
        <v>3690.158844937715</v>
      </c>
      <c r="E27" s="540">
        <v>3882.4735097034427</v>
      </c>
      <c r="F27" s="540">
        <v>4112.5613317792595</v>
      </c>
      <c r="G27" s="540">
        <v>4344.2401196227638</v>
      </c>
      <c r="H27" s="279">
        <f t="shared" si="3"/>
        <v>5.5900317204622407E-2</v>
      </c>
      <c r="I27" s="249"/>
      <c r="J27" s="248"/>
      <c r="K27" s="248"/>
      <c r="L27" s="248"/>
      <c r="M27" s="248"/>
      <c r="N27" s="248"/>
      <c r="O27" s="248"/>
      <c r="Q27" s="41"/>
      <c r="S27" s="88"/>
      <c r="T27" s="42"/>
      <c r="U27" s="42"/>
      <c r="V27" s="147" t="s">
        <v>185</v>
      </c>
      <c r="W27" s="288">
        <f t="shared" si="5"/>
        <v>4.4175598649050789</v>
      </c>
      <c r="X27" s="288">
        <v>1</v>
      </c>
      <c r="Y27" s="42"/>
      <c r="Z27" s="42"/>
      <c r="AA27" s="42"/>
    </row>
    <row r="28" spans="2:27" ht="12.6" thickBot="1">
      <c r="B28" s="5" t="s">
        <v>592</v>
      </c>
      <c r="C28" s="548">
        <v>2848</v>
      </c>
      <c r="D28" s="540">
        <v>3071.8459815035876</v>
      </c>
      <c r="E28" s="540">
        <v>3275.7255671091934</v>
      </c>
      <c r="F28" s="540">
        <v>3506.5561580392373</v>
      </c>
      <c r="G28" s="540">
        <v>3719.702815234793</v>
      </c>
      <c r="H28" s="279">
        <f t="shared" si="3"/>
        <v>6.5866801561411004E-2</v>
      </c>
      <c r="I28" s="248"/>
      <c r="J28" s="306" t="s">
        <v>1362</v>
      </c>
      <c r="K28" s="306"/>
      <c r="L28" s="306"/>
      <c r="M28" s="306"/>
      <c r="N28" s="266"/>
      <c r="O28" s="266"/>
      <c r="P28" s="266"/>
      <c r="Q28" s="5"/>
      <c r="S28" s="88"/>
      <c r="T28" s="42"/>
      <c r="U28" s="42"/>
      <c r="V28" s="147" t="s">
        <v>466</v>
      </c>
      <c r="W28" s="288">
        <f t="shared" si="5"/>
        <v>4.0088547876318676</v>
      </c>
      <c r="X28" s="288">
        <v>1</v>
      </c>
      <c r="Y28" s="42"/>
      <c r="Z28" s="42"/>
      <c r="AA28" s="42"/>
    </row>
    <row r="29" spans="2:27" ht="12.6" thickTop="1">
      <c r="B29" s="5" t="s">
        <v>588</v>
      </c>
      <c r="C29" s="548">
        <v>175.88333333333333</v>
      </c>
      <c r="D29" s="540">
        <v>125.14372633095374</v>
      </c>
      <c r="E29" s="540">
        <v>362.92876424461974</v>
      </c>
      <c r="F29" s="540">
        <v>388.7677184694428</v>
      </c>
      <c r="G29" s="540">
        <v>430.46359084457401</v>
      </c>
      <c r="H29" s="279">
        <f t="shared" si="3"/>
        <v>0.50953242856473269</v>
      </c>
      <c r="I29" s="252"/>
      <c r="J29" s="249"/>
      <c r="K29" s="249"/>
      <c r="L29" s="249"/>
      <c r="M29" s="249"/>
      <c r="N29" s="249"/>
      <c r="O29" s="251"/>
      <c r="Q29" s="5"/>
      <c r="S29" s="88"/>
      <c r="T29" s="42"/>
      <c r="U29" s="42"/>
      <c r="V29" s="147" t="s">
        <v>530</v>
      </c>
      <c r="W29" s="288">
        <f t="shared" si="5"/>
        <v>4.3768294439786821</v>
      </c>
      <c r="X29" s="288">
        <v>1</v>
      </c>
      <c r="Y29" s="42"/>
      <c r="Z29" s="42"/>
      <c r="AA29" s="42"/>
    </row>
    <row r="30" spans="2:27">
      <c r="B30" s="5" t="s">
        <v>589</v>
      </c>
      <c r="C30" s="549">
        <v>192</v>
      </c>
      <c r="D30" s="540">
        <v>239.30257126866906</v>
      </c>
      <c r="E30" s="540">
        <v>473.71700677447586</v>
      </c>
      <c r="F30" s="540">
        <v>531.99640991087279</v>
      </c>
      <c r="G30" s="540">
        <v>570.17322465276379</v>
      </c>
      <c r="H30" s="279">
        <f t="shared" si="3"/>
        <v>0.3356309820416794</v>
      </c>
      <c r="I30" s="254"/>
      <c r="J30" s="248"/>
      <c r="K30" s="248"/>
      <c r="L30" s="248"/>
      <c r="M30" s="248"/>
      <c r="N30" s="248"/>
      <c r="O30" s="5"/>
      <c r="Q30" s="5"/>
      <c r="S30" s="88"/>
      <c r="T30" s="42"/>
      <c r="U30" s="42"/>
      <c r="V30" s="147" t="s">
        <v>593</v>
      </c>
      <c r="W30" s="288">
        <f t="shared" si="5"/>
        <v>3.6396156897560057</v>
      </c>
      <c r="X30" s="288">
        <v>1</v>
      </c>
      <c r="Y30" s="42"/>
      <c r="Z30" s="42"/>
      <c r="AA30" s="42"/>
    </row>
    <row r="31" spans="2:27">
      <c r="B31" s="5" t="s">
        <v>30</v>
      </c>
      <c r="C31" s="549">
        <v>0</v>
      </c>
      <c r="D31" s="540">
        <v>0</v>
      </c>
      <c r="E31" s="540">
        <v>62.565012031036069</v>
      </c>
      <c r="F31" s="540">
        <v>181.44451317778365</v>
      </c>
      <c r="G31" s="540">
        <v>194.36257570750379</v>
      </c>
      <c r="H31" s="279" t="str">
        <f t="shared" si="3"/>
        <v>nm</v>
      </c>
      <c r="I31" s="254"/>
      <c r="J31" s="252"/>
      <c r="K31" s="252"/>
      <c r="L31" s="252"/>
      <c r="M31" s="252"/>
      <c r="N31" s="252"/>
      <c r="O31" s="5"/>
      <c r="Q31" s="5"/>
      <c r="S31" s="88"/>
      <c r="T31" s="42"/>
      <c r="U31" s="42"/>
      <c r="V31" s="147" t="s">
        <v>475</v>
      </c>
      <c r="W31" s="288">
        <f t="shared" si="5"/>
        <v>11.481613518215978</v>
      </c>
      <c r="X31" s="288">
        <v>1</v>
      </c>
      <c r="Y31" s="42"/>
      <c r="Z31" s="42"/>
      <c r="AA31" s="42"/>
    </row>
    <row r="32" spans="2:27">
      <c r="B32" s="5" t="s">
        <v>606</v>
      </c>
      <c r="C32" s="550">
        <v>0</v>
      </c>
      <c r="D32" s="540">
        <v>0</v>
      </c>
      <c r="E32" s="540">
        <v>0</v>
      </c>
      <c r="F32" s="540">
        <v>0</v>
      </c>
      <c r="G32" s="540">
        <v>0</v>
      </c>
      <c r="H32" s="279" t="str">
        <f t="shared" si="3"/>
        <v>nm</v>
      </c>
      <c r="I32" s="254"/>
      <c r="J32" s="254"/>
      <c r="K32" s="254"/>
      <c r="L32" s="254"/>
      <c r="M32" s="254"/>
      <c r="N32" s="254"/>
      <c r="O32" s="251"/>
      <c r="Q32" s="5"/>
      <c r="S32" s="88"/>
      <c r="T32" s="42"/>
      <c r="U32" s="42"/>
      <c r="V32" s="147" t="s">
        <v>533</v>
      </c>
      <c r="W32" s="288">
        <f t="shared" si="5"/>
        <v>6.7739419588424727</v>
      </c>
      <c r="X32" s="288">
        <v>1</v>
      </c>
      <c r="Y32" s="42"/>
      <c r="Z32" s="42"/>
      <c r="AA32" s="42"/>
    </row>
    <row r="33" spans="2:27">
      <c r="B33" s="5" t="s">
        <v>5</v>
      </c>
      <c r="C33" s="549">
        <v>-551</v>
      </c>
      <c r="D33" s="540">
        <v>-461.17709421192234</v>
      </c>
      <c r="E33" s="540">
        <v>-289.17119173505591</v>
      </c>
      <c r="F33" s="540">
        <v>-263.39644795431553</v>
      </c>
      <c r="G33" s="540">
        <v>-241.88291472873698</v>
      </c>
      <c r="H33" s="279">
        <f>IF(D33=0,"nm",IF(G33=0,"nm",(G33/D33)^(1/3)-1))</f>
        <v>-0.1935468271598717</v>
      </c>
      <c r="I33" s="5"/>
      <c r="J33" s="254"/>
      <c r="K33" s="254"/>
      <c r="L33" s="254"/>
      <c r="M33" s="254"/>
      <c r="N33" s="254"/>
      <c r="O33" s="251"/>
      <c r="Q33" s="5"/>
      <c r="S33" s="88"/>
      <c r="T33" s="42"/>
      <c r="U33" s="42"/>
      <c r="V33" s="147" t="s">
        <v>580</v>
      </c>
      <c r="W33" s="288">
        <f t="shared" si="5"/>
        <v>0</v>
      </c>
      <c r="X33" s="288">
        <v>1</v>
      </c>
      <c r="Y33" s="42"/>
      <c r="Z33" s="42"/>
      <c r="AA33" s="42"/>
    </row>
    <row r="34" spans="2:27">
      <c r="H34" s="277"/>
      <c r="I34" s="49"/>
      <c r="J34" s="254"/>
      <c r="K34" s="254"/>
      <c r="L34" s="254"/>
      <c r="M34" s="254"/>
      <c r="N34" s="254"/>
      <c r="O34" s="251"/>
      <c r="Q34" s="5"/>
      <c r="S34" s="88"/>
      <c r="T34" s="42"/>
      <c r="U34" s="42"/>
      <c r="V34" s="147" t="s">
        <v>581</v>
      </c>
      <c r="W34" s="288">
        <f>D47/L19</f>
        <v>8.7095772594458554E-2</v>
      </c>
      <c r="X34" s="288">
        <v>1</v>
      </c>
      <c r="Y34" s="288"/>
      <c r="Z34" s="288"/>
      <c r="AA34" s="42"/>
    </row>
    <row r="35" spans="2:27" ht="12.6" thickBot="1">
      <c r="B35" s="306" t="s">
        <v>501</v>
      </c>
      <c r="C35" s="265"/>
      <c r="D35" s="265" t="str">
        <f>D5</f>
        <v>2023E</v>
      </c>
      <c r="E35" s="265" t="str">
        <f t="shared" ref="E35:H35" si="6">E5</f>
        <v>2024E</v>
      </c>
      <c r="F35" s="265" t="str">
        <f t="shared" si="6"/>
        <v>2025E</v>
      </c>
      <c r="G35" s="265" t="str">
        <f t="shared" si="6"/>
        <v>2026E</v>
      </c>
      <c r="H35" s="265" t="str">
        <f t="shared" si="6"/>
        <v>23E-26E</v>
      </c>
      <c r="I35" s="254"/>
      <c r="J35" s="5"/>
      <c r="K35" s="5"/>
      <c r="L35" s="5"/>
      <c r="M35" s="5"/>
      <c r="N35" s="5"/>
      <c r="O35" s="5"/>
      <c r="Q35" s="5"/>
      <c r="S35" s="88"/>
      <c r="T35" s="42"/>
      <c r="U35" s="42"/>
      <c r="V35" s="42"/>
      <c r="W35" s="42"/>
      <c r="X35" s="42"/>
      <c r="Y35" s="288"/>
      <c r="Z35" s="288"/>
      <c r="AA35" s="42"/>
    </row>
    <row r="36" spans="2:27" ht="12.6" thickTop="1">
      <c r="B36" s="41"/>
      <c r="C36" s="249"/>
      <c r="D36" s="254"/>
      <c r="E36" s="254"/>
      <c r="F36" s="254"/>
      <c r="G36" s="254"/>
      <c r="H36" s="254"/>
      <c r="I36" s="17"/>
      <c r="J36" s="49"/>
      <c r="K36" s="49"/>
      <c r="L36" s="49"/>
      <c r="M36" s="49"/>
      <c r="N36" s="49"/>
      <c r="O36" s="49"/>
      <c r="Q36" s="5"/>
      <c r="S36" s="88"/>
      <c r="T36" s="42"/>
      <c r="U36" s="42"/>
      <c r="V36" s="42"/>
      <c r="W36" s="42"/>
      <c r="X36" s="42"/>
      <c r="Y36" s="288"/>
      <c r="Z36" s="288"/>
      <c r="AA36" s="42"/>
    </row>
    <row r="37" spans="2:27">
      <c r="B37" s="5" t="s">
        <v>273</v>
      </c>
      <c r="C37" s="247"/>
      <c r="D37" s="529">
        <f>D$18/D23</f>
        <v>13.32423550039683</v>
      </c>
      <c r="E37" s="529">
        <f t="shared" ref="E37:G41" si="7">E$18/E23</f>
        <v>12.623302461978314</v>
      </c>
      <c r="F37" s="529">
        <f t="shared" si="7"/>
        <v>11.97506164871033</v>
      </c>
      <c r="G37" s="529">
        <f t="shared" si="7"/>
        <v>11.430081802230882</v>
      </c>
      <c r="H37" s="17">
        <f t="shared" ref="H37:H45" si="8">H23</f>
        <v>4.353072435664318E-2</v>
      </c>
      <c r="I37" s="5"/>
      <c r="J37" s="259"/>
      <c r="K37" s="259"/>
      <c r="L37" s="259"/>
      <c r="M37" s="259"/>
      <c r="N37" s="259"/>
      <c r="O37" s="18"/>
      <c r="Q37" s="5"/>
      <c r="R37" s="5"/>
      <c r="S37" s="42"/>
      <c r="T37" s="42"/>
      <c r="U37" s="42"/>
      <c r="V37" s="42"/>
      <c r="W37" s="42"/>
      <c r="X37" s="42"/>
      <c r="Y37" s="42"/>
      <c r="Z37" s="42"/>
      <c r="AA37" s="42"/>
    </row>
    <row r="38" spans="2:27">
      <c r="B38" s="5" t="s">
        <v>184</v>
      </c>
      <c r="C38" s="247"/>
      <c r="D38" s="529">
        <f>D$18/D24</f>
        <v>30.558099847386256</v>
      </c>
      <c r="E38" s="529">
        <f t="shared" si="7"/>
        <v>27.146361796712473</v>
      </c>
      <c r="F38" s="529">
        <f t="shared" si="7"/>
        <v>25.640223465794648</v>
      </c>
      <c r="G38" s="529">
        <f t="shared" si="7"/>
        <v>24.473147135844336</v>
      </c>
      <c r="H38" s="17">
        <f t="shared" si="8"/>
        <v>6.7709469932891286E-2</v>
      </c>
      <c r="I38" s="259"/>
      <c r="J38" s="17"/>
      <c r="K38" s="17"/>
      <c r="L38" s="17"/>
      <c r="M38" s="17"/>
      <c r="N38" s="17"/>
      <c r="O38" s="5"/>
      <c r="Q38" s="5"/>
      <c r="R38" s="5"/>
      <c r="S38" s="42"/>
      <c r="T38" s="42"/>
      <c r="U38" s="42"/>
      <c r="V38" s="42"/>
      <c r="W38" s="42"/>
      <c r="X38" s="42"/>
      <c r="Y38" s="42"/>
      <c r="Z38" s="42"/>
      <c r="AA38" s="42"/>
    </row>
    <row r="39" spans="2:27">
      <c r="B39" s="5" t="s">
        <v>185</v>
      </c>
      <c r="C39" s="247"/>
      <c r="D39" s="529">
        <f>D$18/D25</f>
        <v>61.554279887103945</v>
      </c>
      <c r="E39" s="529">
        <f t="shared" si="7"/>
        <v>50.45172048665443</v>
      </c>
      <c r="F39" s="529">
        <f t="shared" si="7"/>
        <v>49.068012560023988</v>
      </c>
      <c r="G39" s="529">
        <f t="shared" si="7"/>
        <v>46.372683456728645</v>
      </c>
      <c r="H39" s="17">
        <f t="shared" si="8"/>
        <v>8.9698271943677632E-2</v>
      </c>
      <c r="I39" s="17"/>
      <c r="J39" s="5"/>
      <c r="K39" s="5"/>
      <c r="L39" s="5"/>
      <c r="M39" s="5"/>
      <c r="N39" s="5"/>
      <c r="O39" s="5"/>
      <c r="Q39" s="5"/>
      <c r="R39" s="5"/>
      <c r="S39" s="42"/>
      <c r="T39" s="42"/>
      <c r="U39" s="42"/>
      <c r="V39" s="42"/>
      <c r="W39" s="42"/>
      <c r="X39" s="42"/>
      <c r="Y39" s="42"/>
      <c r="Z39" s="42"/>
      <c r="AA39" s="42"/>
    </row>
    <row r="40" spans="2:27">
      <c r="B40" s="5" t="s">
        <v>466</v>
      </c>
      <c r="C40" s="247"/>
      <c r="D40" s="529">
        <f>D$18/D26</f>
        <v>82.957250521703429</v>
      </c>
      <c r="E40" s="529">
        <f t="shared" si="7"/>
        <v>67.994232461798433</v>
      </c>
      <c r="F40" s="529">
        <f t="shared" si="7"/>
        <v>66.129396981164405</v>
      </c>
      <c r="G40" s="529">
        <f t="shared" si="7"/>
        <v>62.496877974027825</v>
      </c>
      <c r="H40" s="17">
        <f t="shared" si="8"/>
        <v>8.9698271943677632E-2</v>
      </c>
      <c r="I40" s="5"/>
      <c r="J40" s="259"/>
      <c r="K40" s="259"/>
      <c r="L40" s="259"/>
      <c r="M40" s="259"/>
      <c r="N40" s="259"/>
      <c r="O40" s="18"/>
      <c r="Q40" s="5"/>
      <c r="R40" s="5"/>
      <c r="S40" s="42"/>
      <c r="T40" s="42"/>
      <c r="U40" s="42"/>
      <c r="V40" s="42"/>
      <c r="W40" s="288"/>
      <c r="X40" s="288"/>
      <c r="Y40" s="42"/>
      <c r="Z40" s="42"/>
      <c r="AA40" s="42"/>
    </row>
    <row r="41" spans="2:27">
      <c r="B41" s="5" t="s">
        <v>530</v>
      </c>
      <c r="C41" s="247"/>
      <c r="D41" s="529">
        <f>D$18/D27</f>
        <v>12.720694020017778</v>
      </c>
      <c r="E41" s="529">
        <f t="shared" si="7"/>
        <v>11.997107686905535</v>
      </c>
      <c r="F41" s="529">
        <f t="shared" si="7"/>
        <v>11.231366864264448</v>
      </c>
      <c r="G41" s="529">
        <f t="shared" si="7"/>
        <v>10.533308523040343</v>
      </c>
      <c r="H41" s="17">
        <f t="shared" si="8"/>
        <v>5.5900317204622407E-2</v>
      </c>
      <c r="I41" s="247"/>
      <c r="J41" s="17"/>
      <c r="K41" s="17"/>
      <c r="L41" s="17"/>
      <c r="M41" s="17"/>
      <c r="N41" s="17"/>
      <c r="O41" s="5"/>
      <c r="Q41" s="5"/>
      <c r="R41" s="5"/>
      <c r="S41" s="42"/>
      <c r="T41" s="42"/>
      <c r="U41" s="42"/>
      <c r="V41" s="42"/>
      <c r="W41" s="288"/>
      <c r="X41" s="288"/>
      <c r="Y41" s="288"/>
      <c r="Z41" s="288"/>
      <c r="AA41" s="42"/>
    </row>
    <row r="42" spans="2:27">
      <c r="B42" s="5" t="s">
        <v>593</v>
      </c>
      <c r="C42" s="247"/>
      <c r="D42" s="529">
        <f>D18/D28</f>
        <v>15.281163780463475</v>
      </c>
      <c r="E42" s="529">
        <f>E18/E28</f>
        <v>14.219278090678232</v>
      </c>
      <c r="F42" s="529">
        <f>F18/F28</f>
        <v>13.172378535305921</v>
      </c>
      <c r="G42" s="529">
        <f>G18/G28</f>
        <v>12.301848763492648</v>
      </c>
      <c r="H42" s="17">
        <f t="shared" si="8"/>
        <v>6.5866801561411004E-2</v>
      </c>
      <c r="I42" s="248"/>
      <c r="J42" s="5"/>
      <c r="K42" s="5"/>
      <c r="L42" s="5"/>
      <c r="M42" s="5"/>
      <c r="N42" s="5"/>
      <c r="O42" s="5"/>
      <c r="Q42" s="5"/>
      <c r="R42" s="5"/>
      <c r="S42" s="42"/>
      <c r="T42" s="42"/>
      <c r="U42" s="42"/>
      <c r="V42" s="42"/>
      <c r="W42" s="288"/>
      <c r="X42" s="288"/>
      <c r="Y42" s="288"/>
      <c r="Z42" s="288"/>
      <c r="AA42" s="42"/>
    </row>
    <row r="43" spans="2:27">
      <c r="B43" s="5" t="s">
        <v>475</v>
      </c>
      <c r="C43" s="247"/>
      <c r="D43" s="529">
        <f>L26/D29</f>
        <v>357.69428680667335</v>
      </c>
      <c r="E43" s="529">
        <f>M26/E29</f>
        <v>123.33879358239267</v>
      </c>
      <c r="F43" s="529">
        <f>N26/F29</f>
        <v>115.14123681490391</v>
      </c>
      <c r="G43" s="529">
        <f>O26/G29</f>
        <v>103.9883439397375</v>
      </c>
      <c r="H43" s="17">
        <f t="shared" si="8"/>
        <v>0.50953242856473269</v>
      </c>
      <c r="I43" s="247"/>
      <c r="J43" s="247"/>
      <c r="K43" s="247"/>
      <c r="L43" s="247"/>
      <c r="M43" s="247"/>
      <c r="N43" s="247"/>
      <c r="O43" s="18"/>
      <c r="Q43" s="5"/>
      <c r="R43" s="5"/>
      <c r="S43" s="42"/>
      <c r="T43" s="42"/>
      <c r="U43" s="42"/>
      <c r="V43" s="42"/>
      <c r="W43" s="288"/>
      <c r="X43" s="288"/>
      <c r="Y43" s="288"/>
      <c r="Z43" s="288"/>
      <c r="AA43" s="42"/>
    </row>
    <row r="44" spans="2:27">
      <c r="B44" s="5" t="s">
        <v>533</v>
      </c>
      <c r="C44" s="69"/>
      <c r="D44" s="529">
        <f>D11/D30</f>
        <v>187.05689496342103</v>
      </c>
      <c r="E44" s="529">
        <f>E11/E30</f>
        <v>94.493537910051387</v>
      </c>
      <c r="F44" s="529">
        <f>F11/F30</f>
        <v>84.141913562498175</v>
      </c>
      <c r="G44" s="529">
        <f>G11/G30</f>
        <v>78.508063870485756</v>
      </c>
      <c r="H44" s="17">
        <f t="shared" si="8"/>
        <v>0.3356309820416794</v>
      </c>
      <c r="I44" s="247"/>
      <c r="J44" s="248"/>
      <c r="K44" s="248"/>
      <c r="L44" s="248"/>
      <c r="M44" s="248"/>
      <c r="N44" s="248"/>
      <c r="O44" s="248"/>
      <c r="Q44" s="5"/>
      <c r="R44" s="5"/>
      <c r="S44" s="42"/>
      <c r="T44" s="42"/>
      <c r="U44" s="42"/>
      <c r="V44" s="42"/>
      <c r="W44" s="325"/>
      <c r="X44" s="325"/>
      <c r="Y44" s="288"/>
      <c r="Z44" s="288"/>
      <c r="AA44" s="42"/>
    </row>
    <row r="45" spans="2:27">
      <c r="B45" s="5" t="s">
        <v>580</v>
      </c>
      <c r="C45" s="247"/>
      <c r="D45" s="248">
        <f>D31/D11</f>
        <v>0</v>
      </c>
      <c r="E45" s="248">
        <f>E31/E11</f>
        <v>1.3976886752523525E-3</v>
      </c>
      <c r="F45" s="248">
        <f>F31/F11</f>
        <v>4.053430711872346E-3</v>
      </c>
      <c r="G45" s="248">
        <f>G31/G11</f>
        <v>4.3420174014271251E-3</v>
      </c>
      <c r="H45" s="17" t="str">
        <f t="shared" si="8"/>
        <v>nm</v>
      </c>
      <c r="I45" s="248"/>
      <c r="J45" s="247"/>
      <c r="K45" s="247"/>
      <c r="L45" s="247"/>
      <c r="M45" s="247"/>
      <c r="N45" s="247"/>
      <c r="O45" s="248"/>
      <c r="Q45" s="5"/>
      <c r="R45" s="5"/>
      <c r="S45" s="42"/>
      <c r="T45" s="42"/>
      <c r="U45" s="42"/>
      <c r="V45" s="42"/>
      <c r="W45" s="42"/>
      <c r="X45" s="42"/>
      <c r="Y45" s="325"/>
      <c r="Z45" s="325"/>
      <c r="AA45" s="42"/>
    </row>
    <row r="46" spans="2:27">
      <c r="B46" s="5" t="s">
        <v>605</v>
      </c>
      <c r="C46" s="247"/>
      <c r="D46" s="248">
        <f>(D31+D32)/D11</f>
        <v>0</v>
      </c>
      <c r="E46" s="248">
        <f>(E31+E32)/E11</f>
        <v>1.3976886752523525E-3</v>
      </c>
      <c r="F46" s="248">
        <f>(F31+F32)/F11</f>
        <v>4.053430711872346E-3</v>
      </c>
      <c r="G46" s="248">
        <f>(G31+G32)/G11</f>
        <v>4.3420174014271251E-3</v>
      </c>
      <c r="H46" s="279" t="e">
        <f>((G31+G32)/(D31+D32))^(1/3)-1</f>
        <v>#DIV/0!</v>
      </c>
      <c r="I46" s="247"/>
      <c r="J46" s="247"/>
      <c r="K46" s="247"/>
      <c r="L46" s="247"/>
      <c r="M46" s="247"/>
      <c r="N46" s="247"/>
      <c r="O46" s="18"/>
      <c r="Q46" s="5"/>
      <c r="R46" s="5"/>
      <c r="S46" s="42"/>
      <c r="T46" s="42"/>
      <c r="U46" s="42"/>
      <c r="V46" s="42"/>
      <c r="W46" s="42"/>
      <c r="X46" s="42"/>
      <c r="Y46" s="42"/>
      <c r="Z46" s="42"/>
      <c r="AA46" s="326"/>
    </row>
    <row r="47" spans="2:27">
      <c r="B47" s="5" t="s">
        <v>581</v>
      </c>
      <c r="C47" s="5"/>
      <c r="D47" s="248">
        <f>1/D43</f>
        <v>2.7956834561925228E-3</v>
      </c>
      <c r="E47" s="248">
        <f>1/E43</f>
        <v>8.107749159488746E-3</v>
      </c>
      <c r="F47" s="248">
        <f>1/F43</f>
        <v>8.6849857415337382E-3</v>
      </c>
      <c r="G47" s="248">
        <f>1/G43</f>
        <v>9.6164624044740247E-3</v>
      </c>
      <c r="H47" s="17">
        <f>H29</f>
        <v>0.50953242856473269</v>
      </c>
      <c r="I47" s="17"/>
      <c r="J47" s="248"/>
      <c r="K47" s="248"/>
      <c r="L47" s="248"/>
      <c r="M47" s="248"/>
      <c r="N47" s="248"/>
      <c r="O47" s="248"/>
      <c r="Q47" s="5"/>
      <c r="R47" s="5"/>
      <c r="S47" s="42"/>
      <c r="T47" s="42"/>
      <c r="U47" s="42"/>
      <c r="V47" s="42"/>
      <c r="W47" s="42"/>
      <c r="X47" s="42"/>
      <c r="Y47" s="42"/>
      <c r="Z47" s="42"/>
      <c r="AA47" s="326"/>
    </row>
    <row r="48" spans="2:27">
      <c r="B48" s="5" t="s">
        <v>618</v>
      </c>
      <c r="C48" s="5"/>
      <c r="D48" s="305">
        <f>D31/D29</f>
        <v>0</v>
      </c>
      <c r="E48" s="305">
        <f>E31/E29</f>
        <v>0.17238923500939776</v>
      </c>
      <c r="F48" s="305">
        <f>F31/F29</f>
        <v>0.46671702550849836</v>
      </c>
      <c r="G48" s="305">
        <f>G31/G29</f>
        <v>0.45151919893192921</v>
      </c>
      <c r="H48" s="279" t="s">
        <v>607</v>
      </c>
      <c r="I48" s="247"/>
      <c r="J48" s="247"/>
      <c r="K48" s="247"/>
      <c r="L48" s="247"/>
      <c r="M48" s="247"/>
      <c r="N48" s="247"/>
      <c r="O48" s="248"/>
      <c r="Q48" s="5"/>
      <c r="R48" s="5"/>
      <c r="S48" s="42"/>
      <c r="T48" s="42"/>
      <c r="U48" s="42"/>
      <c r="V48" s="42"/>
      <c r="W48" s="42"/>
      <c r="X48" s="42"/>
      <c r="Y48" s="42"/>
      <c r="Z48" s="42"/>
      <c r="AA48" s="326"/>
    </row>
    <row r="49" spans="2:27">
      <c r="B49" s="41"/>
      <c r="C49" s="17"/>
      <c r="D49" s="17"/>
      <c r="E49" s="17"/>
      <c r="F49" s="17"/>
      <c r="G49" s="17"/>
      <c r="H49" s="17"/>
      <c r="I49" s="254"/>
      <c r="J49" s="17"/>
      <c r="K49" s="17"/>
      <c r="L49" s="17"/>
      <c r="M49" s="17"/>
      <c r="N49" s="17"/>
      <c r="O49" s="248"/>
      <c r="Q49" s="5"/>
      <c r="R49" s="5"/>
      <c r="S49" s="42"/>
      <c r="T49" s="42"/>
      <c r="U49" s="42"/>
      <c r="V49" s="42"/>
      <c r="W49" s="42"/>
      <c r="X49" s="42"/>
      <c r="Y49" s="42"/>
      <c r="Z49" s="42"/>
      <c r="AA49" s="326"/>
    </row>
    <row r="50" spans="2:27">
      <c r="B50" s="5"/>
      <c r="C50" s="257"/>
      <c r="D50" s="257"/>
      <c r="E50" s="257"/>
      <c r="F50" s="5"/>
      <c r="G50" s="41"/>
      <c r="H50" s="249"/>
      <c r="I50" s="17"/>
      <c r="J50" s="249"/>
      <c r="K50" s="249"/>
      <c r="L50" s="249"/>
      <c r="M50" s="249"/>
      <c r="N50" s="249"/>
      <c r="O50" s="250"/>
      <c r="Q50" s="5"/>
      <c r="R50" s="5"/>
      <c r="S50" s="42"/>
      <c r="T50" s="42"/>
      <c r="U50" s="42"/>
      <c r="V50" s="42"/>
      <c r="W50" s="288"/>
      <c r="X50" s="288"/>
      <c r="Y50" s="42"/>
      <c r="Z50" s="42"/>
      <c r="AA50" s="326"/>
    </row>
    <row r="51" spans="2:27">
      <c r="B51" s="41"/>
      <c r="C51" s="249"/>
      <c r="D51" s="254"/>
      <c r="E51" s="254"/>
      <c r="F51" s="254"/>
      <c r="G51" s="254"/>
      <c r="H51" s="254"/>
      <c r="I51" s="259"/>
      <c r="J51" s="254"/>
      <c r="K51" s="254"/>
      <c r="L51" s="254"/>
      <c r="M51" s="254"/>
      <c r="N51" s="254"/>
      <c r="O51" s="251"/>
      <c r="Q51" s="5"/>
      <c r="R51" s="5"/>
      <c r="S51" s="42"/>
      <c r="T51" s="42"/>
      <c r="U51" s="42"/>
      <c r="V51" s="42"/>
      <c r="W51" s="288"/>
      <c r="X51" s="288"/>
      <c r="Y51" s="288"/>
      <c r="Z51" s="288"/>
      <c r="AA51" s="42"/>
    </row>
    <row r="52" spans="2:27">
      <c r="B52" s="5"/>
      <c r="C52" s="257"/>
      <c r="D52" s="17"/>
      <c r="E52" s="17"/>
      <c r="F52" s="17"/>
      <c r="G52" s="17"/>
      <c r="H52" s="17"/>
      <c r="I52" s="254"/>
      <c r="J52" s="17"/>
      <c r="K52" s="17"/>
      <c r="L52" s="17"/>
      <c r="M52" s="17"/>
      <c r="N52" s="17"/>
      <c r="O52" s="248"/>
      <c r="Q52" s="5"/>
      <c r="R52" s="5"/>
      <c r="S52" s="5"/>
      <c r="Y52" s="10"/>
      <c r="Z52" s="10"/>
    </row>
    <row r="53" spans="2:27">
      <c r="B53" s="5"/>
      <c r="C53" s="257"/>
      <c r="D53" s="257"/>
      <c r="E53" s="257"/>
      <c r="F53" s="5"/>
      <c r="G53" s="5"/>
      <c r="H53" s="259"/>
      <c r="I53" s="17"/>
      <c r="J53" s="259"/>
      <c r="K53" s="259"/>
      <c r="L53" s="259"/>
      <c r="M53" s="259"/>
      <c r="N53" s="259"/>
      <c r="O53" s="18"/>
      <c r="Q53" s="5"/>
      <c r="R53" s="5"/>
      <c r="S53" s="5"/>
    </row>
    <row r="54" spans="2:27">
      <c r="B54" s="41"/>
      <c r="C54" s="249"/>
      <c r="D54" s="254"/>
      <c r="E54" s="254"/>
      <c r="F54" s="254"/>
      <c r="G54" s="254"/>
      <c r="H54" s="254"/>
      <c r="I54" s="259"/>
      <c r="J54" s="254"/>
      <c r="K54" s="254"/>
      <c r="L54" s="254"/>
      <c r="M54" s="254"/>
      <c r="N54" s="254"/>
      <c r="O54" s="251"/>
      <c r="Q54" s="5"/>
      <c r="R54" s="5"/>
      <c r="S54" s="5"/>
    </row>
    <row r="55" spans="2:27">
      <c r="B55" s="5"/>
      <c r="C55" s="257"/>
      <c r="D55" s="17"/>
      <c r="E55" s="17"/>
      <c r="F55" s="17"/>
      <c r="G55" s="17"/>
      <c r="H55" s="17"/>
      <c r="I55" s="249"/>
      <c r="J55" s="17"/>
      <c r="K55" s="17"/>
      <c r="L55" s="17"/>
      <c r="M55" s="17"/>
      <c r="N55" s="17"/>
      <c r="O55" s="18"/>
      <c r="Q55" s="5"/>
      <c r="R55" s="5"/>
      <c r="S55" s="5"/>
    </row>
    <row r="56" spans="2:27">
      <c r="B56" s="5"/>
      <c r="C56" s="248"/>
      <c r="D56" s="248"/>
      <c r="E56" s="248"/>
      <c r="F56" s="5"/>
      <c r="G56" s="5"/>
      <c r="H56" s="259"/>
      <c r="I56" s="248"/>
      <c r="J56" s="259"/>
      <c r="K56" s="259"/>
      <c r="L56" s="259"/>
      <c r="M56" s="259"/>
      <c r="N56" s="259"/>
      <c r="O56" s="18"/>
      <c r="Q56" s="5"/>
      <c r="R56" s="5"/>
      <c r="S56" s="5"/>
    </row>
    <row r="57" spans="2:27">
      <c r="B57" s="41"/>
      <c r="C57" s="249"/>
      <c r="D57" s="249"/>
      <c r="E57" s="249"/>
      <c r="F57" s="249"/>
      <c r="G57" s="249"/>
      <c r="H57" s="249"/>
      <c r="I57" s="5"/>
      <c r="J57" s="249"/>
      <c r="K57" s="249"/>
      <c r="L57" s="249"/>
      <c r="M57" s="249"/>
      <c r="N57" s="249"/>
      <c r="O57" s="251"/>
      <c r="Q57" s="5"/>
      <c r="R57" s="5"/>
      <c r="S57" s="5"/>
    </row>
    <row r="58" spans="2:27">
      <c r="B58" s="5"/>
      <c r="C58" s="5"/>
      <c r="D58" s="248"/>
      <c r="E58" s="248"/>
      <c r="F58" s="248"/>
      <c r="G58" s="248"/>
      <c r="H58" s="248"/>
      <c r="I58" s="17"/>
      <c r="J58" s="248"/>
      <c r="K58" s="248"/>
      <c r="L58" s="248"/>
      <c r="M58" s="248"/>
      <c r="N58" s="248"/>
      <c r="O58" s="18"/>
      <c r="Q58" s="5"/>
      <c r="R58" s="5"/>
      <c r="S58" s="5"/>
    </row>
    <row r="59" spans="2:27">
      <c r="B59" s="5"/>
      <c r="C59" s="5"/>
      <c r="D59" s="5"/>
      <c r="E59" s="5"/>
      <c r="F59" s="5"/>
      <c r="G59" s="5"/>
      <c r="H59" s="5"/>
      <c r="I59" s="5"/>
      <c r="J59" s="5"/>
      <c r="K59" s="5"/>
      <c r="L59" s="5"/>
      <c r="M59" s="5"/>
      <c r="N59" s="5"/>
      <c r="O59" s="5"/>
      <c r="Q59" s="5"/>
      <c r="R59" s="5"/>
      <c r="S59" s="5"/>
    </row>
    <row r="60" spans="2:27">
      <c r="B60" s="41"/>
      <c r="C60" s="17"/>
      <c r="D60" s="17"/>
      <c r="E60" s="17"/>
      <c r="F60" s="17"/>
      <c r="G60" s="17"/>
      <c r="H60" s="17"/>
      <c r="I60" s="249"/>
      <c r="J60" s="17"/>
      <c r="K60" s="17"/>
      <c r="L60" s="17"/>
      <c r="M60" s="17"/>
      <c r="N60" s="17"/>
      <c r="O60" s="251"/>
      <c r="Q60" s="5"/>
      <c r="R60" s="5"/>
      <c r="S60" s="5"/>
    </row>
    <row r="61" spans="2:27">
      <c r="B61" s="5"/>
      <c r="C61" s="5"/>
      <c r="D61" s="5"/>
      <c r="E61" s="5"/>
      <c r="F61" s="5"/>
      <c r="G61" s="5"/>
      <c r="H61" s="5"/>
      <c r="I61" s="5"/>
      <c r="J61" s="5"/>
      <c r="K61" s="5"/>
      <c r="L61" s="5"/>
      <c r="M61" s="5"/>
      <c r="N61" s="5"/>
      <c r="O61" s="5"/>
      <c r="Q61" s="41"/>
      <c r="R61" s="5"/>
      <c r="S61" s="5"/>
    </row>
    <row r="62" spans="2:27">
      <c r="B62" s="41"/>
      <c r="C62" s="249"/>
      <c r="D62" s="249"/>
      <c r="E62" s="249"/>
      <c r="F62" s="249"/>
      <c r="G62" s="249"/>
      <c r="H62" s="249"/>
      <c r="I62" s="5"/>
      <c r="J62" s="249"/>
      <c r="K62" s="249"/>
      <c r="L62" s="249"/>
      <c r="M62" s="249"/>
      <c r="N62" s="249"/>
      <c r="O62" s="251"/>
      <c r="Q62" s="5"/>
      <c r="R62" s="5"/>
      <c r="S62" s="5"/>
    </row>
    <row r="63" spans="2:27">
      <c r="B63" s="5"/>
      <c r="C63" s="5"/>
      <c r="D63" s="5"/>
      <c r="E63" s="5"/>
      <c r="F63" s="5"/>
      <c r="G63" s="5"/>
      <c r="H63" s="5"/>
      <c r="I63" s="254"/>
      <c r="J63" s="5"/>
      <c r="K63" s="5"/>
      <c r="L63" s="5"/>
      <c r="M63" s="5"/>
      <c r="N63" s="5"/>
      <c r="O63" s="5"/>
      <c r="Q63" s="5"/>
      <c r="R63" s="5"/>
      <c r="S63" s="5"/>
    </row>
    <row r="64" spans="2:27">
      <c r="B64" s="5"/>
      <c r="C64" s="5"/>
      <c r="D64" s="5"/>
      <c r="E64" s="5"/>
      <c r="F64" s="5"/>
      <c r="G64" s="5"/>
      <c r="H64" s="5"/>
      <c r="I64" s="17"/>
      <c r="J64" s="5"/>
      <c r="K64" s="5"/>
      <c r="L64" s="5"/>
      <c r="M64" s="5"/>
      <c r="N64" s="5"/>
      <c r="O64" s="5"/>
      <c r="Q64" s="5"/>
      <c r="R64" s="5"/>
      <c r="S64" s="5"/>
    </row>
    <row r="65" spans="2:26">
      <c r="B65" s="41"/>
      <c r="C65" s="249"/>
      <c r="D65" s="254"/>
      <c r="E65" s="254"/>
      <c r="F65" s="254"/>
      <c r="G65" s="254"/>
      <c r="H65" s="254"/>
      <c r="I65" s="254"/>
      <c r="J65" s="254"/>
      <c r="K65" s="254"/>
      <c r="L65" s="254"/>
      <c r="M65" s="254"/>
      <c r="N65" s="254"/>
      <c r="O65" s="251"/>
      <c r="Q65" s="5"/>
      <c r="R65" s="5"/>
      <c r="S65" s="5"/>
    </row>
    <row r="66" spans="2:26">
      <c r="B66" s="5"/>
      <c r="C66" s="5"/>
      <c r="D66" s="17"/>
      <c r="E66" s="17"/>
      <c r="F66" s="17"/>
      <c r="G66" s="17"/>
      <c r="H66" s="17"/>
      <c r="I66" s="248"/>
      <c r="J66" s="17"/>
      <c r="K66" s="17"/>
      <c r="L66" s="17"/>
      <c r="M66" s="17"/>
      <c r="N66" s="17"/>
      <c r="O66" s="5"/>
      <c r="Q66" s="5"/>
      <c r="R66" s="5"/>
      <c r="S66" s="5"/>
    </row>
    <row r="67" spans="2:26">
      <c r="B67" s="41"/>
      <c r="C67" s="249"/>
      <c r="D67" s="254"/>
      <c r="E67" s="254"/>
      <c r="F67" s="254"/>
      <c r="G67" s="254"/>
      <c r="H67" s="254"/>
      <c r="I67" s="5"/>
      <c r="J67" s="254"/>
      <c r="K67" s="254"/>
      <c r="L67" s="254"/>
      <c r="M67" s="254"/>
      <c r="N67" s="254"/>
      <c r="O67" s="251"/>
      <c r="Q67" s="41"/>
      <c r="R67" s="5"/>
      <c r="S67" s="5"/>
    </row>
    <row r="68" spans="2:26">
      <c r="B68" s="5"/>
      <c r="C68" s="5"/>
      <c r="D68" s="248"/>
      <c r="E68" s="248"/>
      <c r="F68" s="248"/>
      <c r="G68" s="248"/>
      <c r="H68" s="248"/>
      <c r="I68" s="245"/>
      <c r="J68" s="248"/>
      <c r="K68" s="248"/>
      <c r="L68" s="248"/>
      <c r="M68" s="248"/>
      <c r="N68" s="248"/>
      <c r="O68" s="5"/>
      <c r="Q68" s="5"/>
      <c r="R68" s="5"/>
      <c r="S68" s="5"/>
    </row>
    <row r="69" spans="2:26">
      <c r="B69" s="41"/>
      <c r="C69" s="5"/>
      <c r="D69" s="5"/>
      <c r="E69" s="5"/>
      <c r="F69" s="5"/>
      <c r="G69" s="5"/>
      <c r="H69" s="5"/>
      <c r="I69" s="248"/>
      <c r="J69" s="5"/>
      <c r="K69" s="5"/>
      <c r="L69" s="5"/>
      <c r="M69" s="5"/>
      <c r="N69" s="5"/>
      <c r="O69" s="5"/>
      <c r="Q69" s="5"/>
      <c r="R69" s="5"/>
      <c r="S69" s="5"/>
    </row>
    <row r="70" spans="2:26">
      <c r="B70" s="41"/>
      <c r="C70" s="245"/>
      <c r="D70" s="245"/>
      <c r="E70" s="245"/>
      <c r="F70" s="245"/>
      <c r="G70" s="245"/>
      <c r="H70" s="245"/>
      <c r="I70" s="5"/>
      <c r="J70" s="245"/>
      <c r="K70" s="245"/>
      <c r="L70" s="245"/>
      <c r="M70" s="245"/>
      <c r="N70" s="245"/>
      <c r="O70" s="251"/>
      <c r="Q70" s="5"/>
      <c r="R70" s="5"/>
      <c r="S70" s="5"/>
      <c r="W70" s="76"/>
      <c r="X70" s="76"/>
    </row>
    <row r="71" spans="2:26">
      <c r="B71" s="5"/>
      <c r="C71" s="5"/>
      <c r="D71" s="248"/>
      <c r="E71" s="248"/>
      <c r="F71" s="248"/>
      <c r="G71" s="248"/>
      <c r="H71" s="248"/>
      <c r="I71" s="245"/>
      <c r="J71" s="248"/>
      <c r="K71" s="248"/>
      <c r="L71" s="248"/>
      <c r="M71" s="248"/>
      <c r="N71" s="248"/>
      <c r="O71" s="5"/>
      <c r="Q71" s="5"/>
      <c r="R71" s="5"/>
      <c r="S71" s="5"/>
      <c r="W71" s="76"/>
      <c r="X71" s="76"/>
      <c r="Y71" s="76"/>
      <c r="Z71" s="76"/>
    </row>
    <row r="72" spans="2:26">
      <c r="B72" s="41"/>
      <c r="C72" s="5"/>
      <c r="D72" s="5"/>
      <c r="E72" s="5"/>
      <c r="F72" s="5"/>
      <c r="G72" s="5"/>
      <c r="H72" s="5"/>
      <c r="I72" s="18"/>
      <c r="J72" s="5"/>
      <c r="K72" s="5"/>
      <c r="L72" s="5"/>
      <c r="M72" s="5"/>
      <c r="N72" s="5"/>
      <c r="O72" s="5"/>
      <c r="Q72" s="5"/>
      <c r="R72" s="5"/>
      <c r="S72" s="5"/>
      <c r="Y72" s="76"/>
      <c r="Z72" s="76"/>
    </row>
    <row r="73" spans="2:26">
      <c r="B73" s="41"/>
      <c r="C73" s="245"/>
      <c r="D73" s="245"/>
      <c r="E73" s="245"/>
      <c r="F73" s="245"/>
      <c r="G73" s="245"/>
      <c r="H73" s="245"/>
      <c r="I73" s="5"/>
      <c r="J73" s="245"/>
      <c r="K73" s="245"/>
      <c r="L73" s="245"/>
      <c r="M73" s="245"/>
      <c r="N73" s="245"/>
      <c r="O73" s="251"/>
      <c r="Q73" s="5"/>
      <c r="R73" s="5"/>
      <c r="S73" s="5"/>
    </row>
    <row r="74" spans="2:26">
      <c r="B74" s="5"/>
      <c r="C74" s="5"/>
      <c r="D74" s="18"/>
      <c r="E74" s="18"/>
      <c r="F74" s="18"/>
      <c r="G74" s="18"/>
      <c r="H74" s="18"/>
      <c r="I74" s="249"/>
      <c r="J74" s="18"/>
      <c r="K74" s="18"/>
      <c r="L74" s="18"/>
      <c r="M74" s="18"/>
      <c r="N74" s="18"/>
      <c r="O74" s="5"/>
      <c r="Q74" s="5"/>
      <c r="R74" s="5"/>
      <c r="S74" s="5"/>
    </row>
    <row r="75" spans="2:26">
      <c r="B75" s="41"/>
      <c r="C75" s="5"/>
      <c r="D75" s="5"/>
      <c r="E75" s="5"/>
      <c r="F75" s="5"/>
      <c r="G75" s="5"/>
      <c r="H75" s="5"/>
      <c r="I75" s="248"/>
      <c r="J75" s="5"/>
      <c r="K75" s="5"/>
      <c r="L75" s="5"/>
      <c r="M75" s="5"/>
      <c r="N75" s="5"/>
      <c r="O75" s="5"/>
      <c r="Q75" s="5"/>
      <c r="R75" s="5"/>
      <c r="S75" s="5"/>
    </row>
    <row r="76" spans="2:26">
      <c r="B76" s="41"/>
      <c r="C76" s="249"/>
      <c r="D76" s="249"/>
      <c r="E76" s="249"/>
      <c r="F76" s="249"/>
      <c r="G76" s="249"/>
      <c r="H76" s="249"/>
      <c r="I76" s="5"/>
      <c r="J76" s="249"/>
      <c r="K76" s="249"/>
      <c r="L76" s="249"/>
      <c r="M76" s="249"/>
      <c r="N76" s="249"/>
      <c r="O76" s="251"/>
      <c r="Q76" s="5"/>
      <c r="R76" s="5"/>
      <c r="S76" s="5"/>
    </row>
    <row r="77" spans="2:26">
      <c r="B77" s="5"/>
      <c r="C77" s="5"/>
      <c r="D77" s="248"/>
      <c r="E77" s="248"/>
      <c r="F77" s="248"/>
      <c r="G77" s="248"/>
      <c r="H77" s="248"/>
      <c r="I77" s="245"/>
      <c r="J77" s="248"/>
      <c r="K77" s="248"/>
      <c r="L77" s="248"/>
      <c r="M77" s="248"/>
      <c r="N77" s="248"/>
      <c r="O77" s="5"/>
      <c r="Q77" s="5"/>
      <c r="R77" s="5"/>
      <c r="S77" s="5"/>
    </row>
    <row r="78" spans="2:26">
      <c r="B78" s="41"/>
      <c r="C78" s="5"/>
      <c r="D78" s="5"/>
      <c r="E78" s="5"/>
      <c r="F78" s="5"/>
      <c r="G78" s="5"/>
      <c r="H78" s="5"/>
      <c r="I78" s="248"/>
      <c r="J78" s="5"/>
      <c r="K78" s="5"/>
      <c r="L78" s="5"/>
      <c r="M78" s="5"/>
      <c r="N78" s="5"/>
      <c r="O78" s="5"/>
      <c r="Q78" s="5"/>
      <c r="R78" s="5"/>
      <c r="S78" s="5"/>
    </row>
    <row r="79" spans="2:26">
      <c r="B79" s="41"/>
      <c r="C79" s="245"/>
      <c r="D79" s="245"/>
      <c r="E79" s="245"/>
      <c r="F79" s="245"/>
      <c r="G79" s="245"/>
      <c r="H79" s="245"/>
      <c r="I79" s="5"/>
      <c r="J79" s="245"/>
      <c r="K79" s="245"/>
      <c r="L79" s="245"/>
      <c r="M79" s="245"/>
      <c r="N79" s="245"/>
      <c r="O79" s="251"/>
      <c r="Q79" s="5"/>
      <c r="R79" s="5"/>
      <c r="S79" s="5"/>
    </row>
    <row r="80" spans="2:26">
      <c r="B80" s="5"/>
      <c r="C80" s="5"/>
      <c r="D80" s="248"/>
      <c r="E80" s="248"/>
      <c r="F80" s="248"/>
      <c r="G80" s="248"/>
      <c r="H80" s="248"/>
      <c r="I80" s="249"/>
      <c r="J80" s="248"/>
      <c r="K80" s="248"/>
      <c r="L80" s="248"/>
      <c r="M80" s="248"/>
      <c r="N80" s="248"/>
      <c r="O80" s="5"/>
      <c r="Q80" s="5"/>
      <c r="R80" s="5"/>
      <c r="S80" s="5"/>
    </row>
    <row r="81" spans="2:26">
      <c r="B81" s="41"/>
      <c r="C81" s="5"/>
      <c r="D81" s="5"/>
      <c r="E81" s="5"/>
      <c r="F81" s="5"/>
      <c r="G81" s="5"/>
      <c r="H81" s="5"/>
      <c r="I81" s="248"/>
      <c r="J81" s="5"/>
      <c r="K81" s="5"/>
      <c r="L81" s="5"/>
      <c r="M81" s="5"/>
      <c r="N81" s="5"/>
      <c r="O81" s="5"/>
      <c r="Q81" s="5"/>
      <c r="R81" s="5"/>
      <c r="S81" s="5"/>
    </row>
    <row r="82" spans="2:26">
      <c r="B82" s="41"/>
      <c r="C82" s="249"/>
      <c r="D82" s="249"/>
      <c r="E82" s="249"/>
      <c r="F82" s="249"/>
      <c r="G82" s="249"/>
      <c r="H82" s="249"/>
      <c r="I82" s="259"/>
      <c r="J82" s="249"/>
      <c r="K82" s="249"/>
      <c r="L82" s="249"/>
      <c r="M82" s="249"/>
      <c r="N82" s="249"/>
      <c r="O82" s="251"/>
      <c r="Q82" s="5"/>
      <c r="R82" s="5"/>
      <c r="S82" s="5"/>
    </row>
    <row r="83" spans="2:26">
      <c r="B83" s="5"/>
      <c r="C83" s="5"/>
      <c r="D83" s="248"/>
      <c r="E83" s="248"/>
      <c r="F83" s="248"/>
      <c r="G83" s="248"/>
      <c r="H83" s="248"/>
      <c r="I83" s="5"/>
      <c r="J83" s="248"/>
      <c r="K83" s="248"/>
      <c r="L83" s="248"/>
      <c r="M83" s="248"/>
      <c r="N83" s="248"/>
      <c r="O83" s="5"/>
      <c r="Q83" s="5"/>
      <c r="R83" s="5"/>
      <c r="S83" s="5"/>
    </row>
    <row r="84" spans="2:26">
      <c r="B84" s="5"/>
      <c r="C84" s="259"/>
      <c r="D84" s="259"/>
      <c r="E84" s="259"/>
      <c r="F84" s="259"/>
      <c r="G84" s="259"/>
      <c r="H84" s="259"/>
      <c r="I84" s="245"/>
      <c r="J84" s="259"/>
      <c r="K84" s="259"/>
      <c r="L84" s="259"/>
      <c r="M84" s="259"/>
      <c r="N84" s="259"/>
      <c r="O84" s="251"/>
      <c r="Q84" s="5"/>
      <c r="R84" s="5"/>
      <c r="S84" s="5"/>
    </row>
    <row r="85" spans="2:26">
      <c r="B85" s="41"/>
      <c r="C85" s="5"/>
      <c r="D85" s="5"/>
      <c r="E85" s="5"/>
      <c r="F85" s="5"/>
      <c r="G85" s="5"/>
      <c r="H85" s="5"/>
      <c r="I85" s="248"/>
      <c r="J85" s="5"/>
      <c r="K85" s="5"/>
      <c r="L85" s="5"/>
      <c r="M85" s="5"/>
      <c r="N85" s="5"/>
      <c r="O85" s="5"/>
      <c r="Q85" s="5"/>
      <c r="R85" s="5"/>
      <c r="S85" s="5"/>
    </row>
    <row r="86" spans="2:26">
      <c r="B86" s="41"/>
      <c r="C86" s="245"/>
      <c r="D86" s="245"/>
      <c r="E86" s="245"/>
      <c r="F86" s="245"/>
      <c r="G86" s="245"/>
      <c r="H86" s="245"/>
      <c r="I86" s="5"/>
      <c r="J86" s="245"/>
      <c r="K86" s="245"/>
      <c r="L86" s="245"/>
      <c r="M86" s="245"/>
      <c r="N86" s="245"/>
      <c r="O86" s="251"/>
      <c r="Q86" s="5"/>
      <c r="R86" s="5"/>
      <c r="S86" s="5"/>
    </row>
    <row r="87" spans="2:26">
      <c r="B87" s="5"/>
      <c r="C87" s="5"/>
      <c r="D87" s="248"/>
      <c r="E87" s="248"/>
      <c r="F87" s="248"/>
      <c r="G87" s="248"/>
      <c r="H87" s="248"/>
      <c r="I87" s="5"/>
      <c r="J87" s="248"/>
      <c r="K87" s="248"/>
      <c r="L87" s="248"/>
      <c r="M87" s="248"/>
      <c r="N87" s="248"/>
      <c r="O87" s="5"/>
      <c r="Q87" s="5"/>
      <c r="R87" s="5"/>
      <c r="S87" s="5"/>
    </row>
    <row r="88" spans="2:26">
      <c r="B88" s="41"/>
      <c r="C88" s="5"/>
      <c r="D88" s="5"/>
      <c r="E88" s="5"/>
      <c r="F88" s="5"/>
      <c r="G88" s="5"/>
      <c r="H88" s="5"/>
      <c r="I88" s="5"/>
      <c r="J88" s="5"/>
      <c r="K88" s="5"/>
      <c r="L88" s="5"/>
      <c r="M88" s="5"/>
      <c r="N88" s="5"/>
      <c r="O88" s="5"/>
      <c r="Q88" s="5"/>
      <c r="R88" s="5"/>
      <c r="S88" s="5"/>
    </row>
    <row r="89" spans="2:26">
      <c r="B89" s="41"/>
      <c r="C89" s="5"/>
      <c r="D89" s="5"/>
      <c r="E89" s="5"/>
      <c r="F89" s="5"/>
      <c r="G89" s="5"/>
      <c r="H89" s="5"/>
      <c r="I89" s="5"/>
      <c r="J89" s="5"/>
      <c r="K89" s="5"/>
      <c r="L89" s="5"/>
      <c r="M89" s="5"/>
      <c r="N89" s="5"/>
      <c r="O89" s="5"/>
      <c r="Q89" s="5"/>
      <c r="R89" s="5"/>
      <c r="S89" s="5"/>
    </row>
    <row r="90" spans="2:26">
      <c r="B90" s="41"/>
      <c r="C90" s="5"/>
      <c r="D90" s="5"/>
      <c r="E90" s="5"/>
      <c r="F90" s="5"/>
      <c r="G90" s="5"/>
      <c r="H90" s="5"/>
      <c r="I90" s="49"/>
      <c r="J90" s="5"/>
      <c r="K90" s="5"/>
      <c r="L90" s="5"/>
      <c r="M90" s="5"/>
      <c r="N90" s="5"/>
      <c r="O90" s="5"/>
      <c r="Q90" s="41"/>
      <c r="R90" s="5"/>
      <c r="S90" s="5"/>
    </row>
    <row r="91" spans="2:26">
      <c r="B91" s="5"/>
      <c r="C91" s="5"/>
      <c r="D91" s="5"/>
      <c r="E91" s="5"/>
      <c r="F91" s="5"/>
      <c r="G91" s="5"/>
      <c r="H91" s="5"/>
      <c r="I91" s="5"/>
      <c r="J91" s="5"/>
      <c r="K91" s="5"/>
      <c r="L91" s="5"/>
      <c r="M91" s="5"/>
      <c r="N91" s="5"/>
      <c r="O91" s="5"/>
      <c r="Q91" s="5"/>
      <c r="R91" s="5"/>
      <c r="S91" s="5"/>
    </row>
    <row r="92" spans="2:26">
      <c r="B92" s="41"/>
      <c r="C92" s="49"/>
      <c r="D92" s="49"/>
      <c r="E92" s="49"/>
      <c r="F92" s="49"/>
      <c r="G92" s="49"/>
      <c r="H92" s="49"/>
      <c r="I92" s="247"/>
      <c r="J92" s="49"/>
      <c r="K92" s="49"/>
      <c r="L92" s="49"/>
      <c r="M92" s="49"/>
      <c r="N92" s="49"/>
      <c r="O92" s="49"/>
      <c r="Q92" s="5"/>
      <c r="R92" s="5"/>
      <c r="S92" s="5"/>
      <c r="W92" s="21"/>
      <c r="X92" s="21"/>
    </row>
    <row r="93" spans="2:26">
      <c r="B93" s="5"/>
      <c r="C93" s="5"/>
      <c r="D93" s="5"/>
      <c r="E93" s="5"/>
      <c r="F93" s="5"/>
      <c r="G93" s="5"/>
      <c r="H93" s="5"/>
      <c r="I93" s="247"/>
      <c r="J93" s="5"/>
      <c r="K93" s="5"/>
      <c r="L93" s="5"/>
      <c r="M93" s="5"/>
      <c r="N93" s="5"/>
      <c r="O93" s="5"/>
      <c r="Q93" s="5"/>
      <c r="R93" s="5"/>
      <c r="S93" s="5"/>
      <c r="W93" s="21"/>
      <c r="X93" s="21"/>
      <c r="Y93" s="21"/>
      <c r="Z93" s="21"/>
    </row>
    <row r="94" spans="2:26">
      <c r="B94" s="5"/>
      <c r="C94" s="259"/>
      <c r="D94" s="247"/>
      <c r="E94" s="247"/>
      <c r="F94" s="247"/>
      <c r="G94" s="247"/>
      <c r="H94" s="247"/>
      <c r="I94" s="247"/>
      <c r="J94" s="247"/>
      <c r="K94" s="247"/>
      <c r="L94" s="247"/>
      <c r="M94" s="247"/>
      <c r="N94" s="247"/>
      <c r="O94" s="248"/>
      <c r="Q94" s="5"/>
      <c r="R94" s="5"/>
      <c r="S94" s="5"/>
      <c r="Y94" s="21"/>
      <c r="Z94" s="21"/>
    </row>
    <row r="95" spans="2:26">
      <c r="B95" s="5"/>
      <c r="C95" s="259"/>
      <c r="D95" s="247"/>
      <c r="E95" s="247"/>
      <c r="F95" s="247"/>
      <c r="G95" s="247"/>
      <c r="H95" s="247"/>
      <c r="I95" s="248"/>
      <c r="J95" s="247"/>
      <c r="K95" s="247"/>
      <c r="L95" s="247"/>
      <c r="M95" s="247"/>
      <c r="N95" s="247"/>
      <c r="O95" s="248"/>
      <c r="Q95" s="5"/>
      <c r="R95" s="5"/>
      <c r="S95" s="5"/>
    </row>
    <row r="96" spans="2:26">
      <c r="B96" s="5"/>
      <c r="C96" s="259"/>
      <c r="D96" s="247"/>
      <c r="E96" s="247"/>
      <c r="F96" s="247"/>
      <c r="G96" s="247"/>
      <c r="H96" s="247"/>
      <c r="I96" s="247"/>
      <c r="J96" s="247"/>
      <c r="K96" s="247"/>
      <c r="L96" s="247"/>
      <c r="M96" s="247"/>
      <c r="N96" s="247"/>
      <c r="O96" s="248"/>
      <c r="Q96" s="5"/>
      <c r="R96" s="5"/>
      <c r="S96" s="5"/>
    </row>
    <row r="97" spans="2:19">
      <c r="B97" s="5"/>
      <c r="C97" s="259"/>
      <c r="D97" s="248"/>
      <c r="E97" s="248"/>
      <c r="F97" s="248"/>
      <c r="G97" s="248"/>
      <c r="H97" s="248"/>
      <c r="I97" s="249"/>
      <c r="J97" s="248"/>
      <c r="K97" s="248"/>
      <c r="L97" s="248"/>
      <c r="M97" s="248"/>
      <c r="N97" s="248"/>
      <c r="O97" s="248"/>
      <c r="Q97" s="5"/>
      <c r="R97" s="5"/>
      <c r="S97" s="5"/>
    </row>
    <row r="98" spans="2:19">
      <c r="B98" s="5"/>
      <c r="C98" s="259"/>
      <c r="D98" s="247"/>
      <c r="E98" s="247"/>
      <c r="F98" s="247"/>
      <c r="G98" s="247"/>
      <c r="H98" s="247"/>
      <c r="I98" s="248"/>
      <c r="J98" s="247"/>
      <c r="K98" s="247"/>
      <c r="L98" s="247"/>
      <c r="M98" s="247"/>
      <c r="N98" s="247"/>
      <c r="O98" s="248"/>
      <c r="Q98" s="5"/>
      <c r="R98" s="5"/>
      <c r="S98" s="5"/>
    </row>
    <row r="99" spans="2:19">
      <c r="B99" s="41"/>
      <c r="C99" s="249"/>
      <c r="D99" s="249"/>
      <c r="E99" s="249"/>
      <c r="F99" s="249"/>
      <c r="G99" s="249"/>
      <c r="H99" s="249"/>
      <c r="I99" s="5"/>
      <c r="J99" s="249"/>
      <c r="K99" s="249"/>
      <c r="L99" s="249"/>
      <c r="M99" s="249"/>
      <c r="N99" s="249"/>
      <c r="O99" s="248"/>
      <c r="Q99" s="5"/>
      <c r="R99" s="5"/>
      <c r="S99" s="5"/>
    </row>
    <row r="100" spans="2:19">
      <c r="B100" s="41"/>
      <c r="C100" s="257"/>
      <c r="D100" s="248"/>
      <c r="E100" s="248"/>
      <c r="F100" s="248"/>
      <c r="G100" s="248"/>
      <c r="H100" s="248"/>
      <c r="I100" s="259"/>
      <c r="J100" s="248"/>
      <c r="K100" s="248"/>
      <c r="L100" s="248"/>
      <c r="M100" s="248"/>
      <c r="N100" s="248"/>
      <c r="O100" s="248"/>
      <c r="Q100" s="5"/>
      <c r="R100" s="5"/>
      <c r="S100" s="5"/>
    </row>
    <row r="101" spans="2:19" s="5" customFormat="1">
      <c r="B101" s="41"/>
      <c r="I101" s="259"/>
      <c r="O101" s="248"/>
      <c r="P101" s="39"/>
    </row>
    <row r="102" spans="2:19">
      <c r="B102" s="5"/>
      <c r="C102" s="259"/>
      <c r="D102" s="259"/>
      <c r="E102" s="259"/>
      <c r="F102" s="259"/>
      <c r="G102" s="259"/>
      <c r="H102" s="259"/>
      <c r="I102" s="247"/>
      <c r="J102" s="259"/>
      <c r="K102" s="259"/>
      <c r="L102" s="259"/>
      <c r="M102" s="259"/>
      <c r="N102" s="259"/>
      <c r="O102" s="5"/>
      <c r="Q102" s="5"/>
      <c r="R102" s="5"/>
      <c r="S102" s="5"/>
    </row>
    <row r="103" spans="2:19">
      <c r="B103" s="5"/>
      <c r="C103" s="259"/>
      <c r="D103" s="259"/>
      <c r="E103" s="259"/>
      <c r="F103" s="259"/>
      <c r="G103" s="259"/>
      <c r="H103" s="259"/>
      <c r="I103" s="5"/>
      <c r="J103" s="259"/>
      <c r="K103" s="259"/>
      <c r="L103" s="259"/>
      <c r="M103" s="259"/>
      <c r="N103" s="259"/>
      <c r="O103" s="5"/>
      <c r="P103" s="5"/>
      <c r="Q103" s="5"/>
      <c r="R103" s="5"/>
      <c r="S103" s="5"/>
    </row>
    <row r="104" spans="2:19">
      <c r="B104" s="5"/>
      <c r="C104" s="247"/>
      <c r="D104" s="247"/>
      <c r="E104" s="247"/>
      <c r="F104" s="247"/>
      <c r="G104" s="247"/>
      <c r="H104" s="247"/>
      <c r="I104" s="247"/>
      <c r="J104" s="247"/>
      <c r="K104" s="247"/>
      <c r="L104" s="247"/>
      <c r="M104" s="247"/>
      <c r="N104" s="247"/>
      <c r="O104" s="5"/>
      <c r="Q104" s="5"/>
      <c r="R104" s="5"/>
      <c r="S104" s="5"/>
    </row>
    <row r="105" spans="2:19" s="5" customFormat="1">
      <c r="P105" s="39"/>
    </row>
    <row r="106" spans="2:19" s="5" customFormat="1">
      <c r="C106" s="259"/>
      <c r="D106" s="247"/>
      <c r="E106" s="247"/>
      <c r="F106" s="247"/>
      <c r="G106" s="247"/>
      <c r="H106" s="247"/>
      <c r="I106" s="259"/>
      <c r="J106" s="247"/>
      <c r="K106" s="247"/>
      <c r="L106" s="247"/>
      <c r="M106" s="247"/>
      <c r="N106" s="247"/>
      <c r="P106" s="39"/>
    </row>
    <row r="107" spans="2:19">
      <c r="B107" s="5"/>
      <c r="C107" s="259"/>
      <c r="D107" s="5"/>
      <c r="E107" s="5"/>
      <c r="F107" s="5"/>
      <c r="G107" s="5"/>
      <c r="H107" s="5"/>
      <c r="I107" s="247"/>
      <c r="J107" s="5"/>
      <c r="K107" s="5"/>
      <c r="L107" s="5"/>
      <c r="M107" s="5"/>
      <c r="N107" s="5"/>
      <c r="O107" s="5"/>
      <c r="P107" s="5"/>
      <c r="Q107" s="5"/>
      <c r="R107" s="5"/>
      <c r="S107" s="5"/>
    </row>
    <row r="108" spans="2:19">
      <c r="B108" s="5"/>
      <c r="C108" s="259"/>
      <c r="D108" s="259"/>
      <c r="E108" s="259"/>
      <c r="F108" s="259"/>
      <c r="G108" s="259"/>
      <c r="H108" s="259"/>
      <c r="I108" s="249"/>
      <c r="J108" s="259"/>
      <c r="K108" s="259"/>
      <c r="L108" s="259"/>
      <c r="M108" s="259"/>
      <c r="N108" s="259"/>
      <c r="O108" s="5"/>
      <c r="P108" s="5"/>
      <c r="Q108" s="5"/>
      <c r="R108" s="5"/>
      <c r="S108" s="5"/>
    </row>
    <row r="109" spans="2:19">
      <c r="B109" s="5"/>
      <c r="C109" s="247"/>
      <c r="D109" s="247"/>
      <c r="E109" s="247"/>
      <c r="F109" s="247"/>
      <c r="G109" s="247"/>
      <c r="H109" s="247"/>
      <c r="I109" s="249"/>
      <c r="J109" s="247"/>
      <c r="K109" s="247"/>
      <c r="L109" s="247"/>
      <c r="M109" s="247"/>
      <c r="N109" s="247"/>
      <c r="O109" s="5"/>
      <c r="Q109" s="5"/>
      <c r="R109" s="5"/>
      <c r="S109" s="5"/>
    </row>
    <row r="110" spans="2:19">
      <c r="B110" s="41"/>
      <c r="C110" s="249"/>
      <c r="D110" s="249"/>
      <c r="E110" s="249"/>
      <c r="F110" s="249"/>
      <c r="G110" s="249"/>
      <c r="H110" s="249"/>
      <c r="I110" s="247"/>
      <c r="J110" s="249"/>
      <c r="K110" s="249"/>
      <c r="L110" s="249"/>
      <c r="M110" s="249"/>
      <c r="N110" s="249"/>
      <c r="O110" s="5"/>
      <c r="Q110" s="5"/>
      <c r="R110" s="5"/>
      <c r="S110" s="5"/>
    </row>
    <row r="111" spans="2:19">
      <c r="B111" s="5"/>
      <c r="C111" s="249"/>
      <c r="D111" s="249"/>
      <c r="E111" s="249"/>
      <c r="F111" s="249"/>
      <c r="G111" s="249"/>
      <c r="H111" s="249"/>
      <c r="I111" s="5"/>
      <c r="J111" s="249"/>
      <c r="K111" s="249"/>
      <c r="L111" s="249"/>
      <c r="M111" s="249"/>
      <c r="N111" s="249"/>
      <c r="O111" s="5"/>
      <c r="Q111" s="5"/>
      <c r="R111" s="5"/>
      <c r="S111" s="5"/>
    </row>
    <row r="112" spans="2:19">
      <c r="B112" s="5"/>
      <c r="C112" s="247"/>
      <c r="D112" s="247"/>
      <c r="E112" s="247"/>
      <c r="F112" s="247"/>
      <c r="G112" s="247"/>
      <c r="H112" s="247"/>
      <c r="I112" s="5"/>
      <c r="J112" s="247"/>
      <c r="K112" s="247"/>
      <c r="L112" s="247"/>
      <c r="M112" s="247"/>
      <c r="N112" s="247"/>
      <c r="O112" s="5"/>
      <c r="Q112" s="5"/>
      <c r="R112" s="5"/>
      <c r="S112" s="5"/>
    </row>
    <row r="113" spans="2:19">
      <c r="B113" s="5"/>
      <c r="C113" s="5"/>
      <c r="D113" s="5"/>
      <c r="E113" s="5"/>
      <c r="F113" s="5"/>
      <c r="G113" s="5"/>
      <c r="H113" s="5"/>
      <c r="I113" s="5"/>
      <c r="J113" s="5"/>
      <c r="K113" s="5"/>
      <c r="L113" s="5"/>
      <c r="M113" s="5"/>
      <c r="N113" s="5"/>
      <c r="O113" s="5"/>
      <c r="Q113" s="5"/>
      <c r="R113" s="5"/>
      <c r="S113" s="5"/>
    </row>
    <row r="114" spans="2:19">
      <c r="B114" s="5"/>
      <c r="C114" s="5"/>
      <c r="D114" s="5"/>
      <c r="E114" s="5"/>
      <c r="F114" s="5"/>
      <c r="G114" s="5"/>
      <c r="H114" s="5"/>
      <c r="I114" s="5"/>
      <c r="J114" s="5"/>
      <c r="K114" s="5"/>
      <c r="L114" s="5"/>
      <c r="M114" s="5"/>
      <c r="N114" s="5"/>
      <c r="O114" s="5"/>
      <c r="Q114" s="5"/>
      <c r="R114" s="5"/>
      <c r="S114" s="5"/>
    </row>
    <row r="115" spans="2:19">
      <c r="B115" s="5"/>
      <c r="C115" s="5"/>
      <c r="D115" s="5"/>
      <c r="E115" s="5"/>
      <c r="F115" s="5"/>
      <c r="G115" s="5"/>
      <c r="H115" s="5"/>
      <c r="I115" s="49"/>
      <c r="J115" s="5"/>
      <c r="K115" s="5"/>
      <c r="L115" s="5"/>
      <c r="M115" s="5"/>
      <c r="N115" s="5"/>
      <c r="O115" s="5"/>
      <c r="Q115" s="41"/>
      <c r="R115" s="5"/>
      <c r="S115" s="5"/>
    </row>
    <row r="116" spans="2:19">
      <c r="B116" s="5"/>
      <c r="C116" s="5"/>
      <c r="D116" s="5"/>
      <c r="E116" s="5"/>
      <c r="F116" s="5"/>
      <c r="G116" s="5"/>
      <c r="H116" s="5"/>
      <c r="I116" s="5"/>
      <c r="J116" s="5"/>
      <c r="K116" s="5"/>
      <c r="L116" s="5"/>
      <c r="M116" s="5"/>
      <c r="N116" s="5"/>
      <c r="O116" s="5"/>
      <c r="Q116" s="5"/>
      <c r="R116" s="5"/>
      <c r="S116" s="5"/>
    </row>
    <row r="117" spans="2:19">
      <c r="B117" s="41"/>
      <c r="C117" s="49"/>
      <c r="D117" s="49"/>
      <c r="E117" s="49"/>
      <c r="F117" s="49"/>
      <c r="G117" s="49"/>
      <c r="H117" s="49"/>
      <c r="I117" s="254"/>
      <c r="J117" s="49"/>
      <c r="K117" s="49"/>
      <c r="L117" s="49"/>
      <c r="M117" s="49"/>
      <c r="N117" s="49"/>
      <c r="O117" s="49"/>
      <c r="Q117" s="5"/>
      <c r="R117" s="5"/>
      <c r="S117" s="5"/>
    </row>
    <row r="118" spans="2:19">
      <c r="B118" s="5"/>
      <c r="C118" s="5"/>
      <c r="D118" s="5"/>
      <c r="E118" s="5"/>
      <c r="F118" s="5"/>
      <c r="G118" s="5"/>
      <c r="H118" s="5"/>
      <c r="I118" s="249"/>
      <c r="J118" s="5"/>
      <c r="K118" s="5"/>
      <c r="L118" s="5"/>
      <c r="M118" s="5"/>
      <c r="N118" s="5"/>
      <c r="O118" s="5"/>
      <c r="Q118" s="5"/>
      <c r="R118" s="5"/>
      <c r="S118" s="5"/>
    </row>
    <row r="119" spans="2:19">
      <c r="B119" s="41"/>
      <c r="C119" s="254"/>
      <c r="D119" s="254"/>
      <c r="E119" s="254"/>
      <c r="F119" s="254"/>
      <c r="G119" s="254"/>
      <c r="H119" s="254"/>
      <c r="I119" s="254"/>
      <c r="J119" s="254"/>
      <c r="K119" s="254"/>
      <c r="L119" s="254"/>
      <c r="M119" s="254"/>
      <c r="N119" s="254"/>
      <c r="O119" s="248"/>
      <c r="Q119" s="5"/>
      <c r="R119" s="5"/>
      <c r="S119" s="5"/>
    </row>
    <row r="120" spans="2:19">
      <c r="B120" s="41"/>
      <c r="C120" s="254"/>
      <c r="D120" s="249"/>
      <c r="E120" s="249"/>
      <c r="F120" s="249"/>
      <c r="G120" s="249"/>
      <c r="H120" s="249"/>
      <c r="I120" s="254"/>
      <c r="J120" s="249"/>
      <c r="K120" s="249"/>
      <c r="L120" s="249"/>
      <c r="M120" s="249"/>
      <c r="N120" s="249"/>
      <c r="O120" s="248"/>
      <c r="Q120" s="5"/>
      <c r="R120" s="5"/>
      <c r="S120" s="5"/>
    </row>
    <row r="121" spans="2:19">
      <c r="B121" s="41"/>
      <c r="C121" s="254"/>
      <c r="D121" s="254"/>
      <c r="E121" s="254"/>
      <c r="F121" s="254"/>
      <c r="G121" s="254"/>
      <c r="H121" s="254"/>
      <c r="I121" s="254"/>
      <c r="J121" s="254"/>
      <c r="K121" s="254"/>
      <c r="L121" s="254"/>
      <c r="M121" s="254"/>
      <c r="N121" s="254"/>
      <c r="O121" s="248"/>
      <c r="Q121" s="5"/>
      <c r="R121" s="5"/>
      <c r="S121" s="5"/>
    </row>
    <row r="122" spans="2:19">
      <c r="B122" s="41"/>
      <c r="C122" s="254"/>
      <c r="D122" s="254"/>
      <c r="E122" s="254"/>
      <c r="F122" s="254"/>
      <c r="G122" s="254"/>
      <c r="H122" s="254"/>
      <c r="I122" s="254"/>
      <c r="J122" s="254"/>
      <c r="K122" s="254"/>
      <c r="L122" s="254"/>
      <c r="M122" s="254"/>
      <c r="N122" s="254"/>
      <c r="O122" s="248"/>
      <c r="Q122" s="5"/>
      <c r="R122" s="5"/>
      <c r="S122" s="5"/>
    </row>
    <row r="123" spans="2:19">
      <c r="B123" s="41"/>
      <c r="C123" s="254"/>
      <c r="D123" s="254"/>
      <c r="E123" s="254"/>
      <c r="F123" s="254"/>
      <c r="G123" s="254"/>
      <c r="H123" s="254"/>
      <c r="I123" s="254"/>
      <c r="J123" s="254"/>
      <c r="K123" s="254"/>
      <c r="L123" s="254"/>
      <c r="M123" s="254"/>
      <c r="N123" s="254"/>
      <c r="O123" s="248"/>
      <c r="Q123" s="5"/>
      <c r="R123" s="5"/>
      <c r="S123" s="5"/>
    </row>
    <row r="124" spans="2:19">
      <c r="B124" s="41"/>
      <c r="C124" s="254"/>
      <c r="D124" s="254"/>
      <c r="E124" s="254"/>
      <c r="F124" s="254"/>
      <c r="G124" s="254"/>
      <c r="H124" s="254"/>
      <c r="I124" s="254"/>
      <c r="J124" s="254"/>
      <c r="K124" s="254"/>
      <c r="L124" s="254"/>
      <c r="M124" s="254"/>
      <c r="N124" s="254"/>
      <c r="O124" s="248"/>
      <c r="Q124" s="5"/>
      <c r="R124" s="5"/>
      <c r="S124" s="5"/>
    </row>
    <row r="125" spans="2:19">
      <c r="B125" s="41"/>
      <c r="C125" s="254"/>
      <c r="D125" s="254"/>
      <c r="E125" s="254"/>
      <c r="F125" s="254"/>
      <c r="G125" s="254"/>
      <c r="H125" s="254"/>
      <c r="I125" s="254"/>
      <c r="J125" s="254"/>
      <c r="K125" s="254"/>
      <c r="L125" s="254"/>
      <c r="M125" s="254"/>
      <c r="N125" s="254"/>
      <c r="O125" s="5"/>
      <c r="Q125" s="5"/>
      <c r="R125" s="5"/>
      <c r="S125" s="5"/>
    </row>
    <row r="126" spans="2:19">
      <c r="B126" s="41"/>
      <c r="C126" s="254"/>
      <c r="D126" s="254"/>
      <c r="E126" s="254"/>
      <c r="F126" s="254"/>
      <c r="G126" s="254"/>
      <c r="H126" s="254"/>
      <c r="I126" s="254"/>
      <c r="J126" s="254"/>
      <c r="K126" s="254"/>
      <c r="L126" s="254"/>
      <c r="M126" s="254"/>
      <c r="N126" s="254"/>
      <c r="O126" s="5"/>
      <c r="Q126" s="5"/>
      <c r="R126" s="5"/>
      <c r="S126" s="5"/>
    </row>
    <row r="127" spans="2:19">
      <c r="B127" s="41"/>
      <c r="C127" s="254"/>
      <c r="D127" s="254"/>
      <c r="E127" s="254"/>
      <c r="F127" s="254"/>
      <c r="G127" s="254"/>
      <c r="H127" s="254"/>
      <c r="I127" s="18"/>
      <c r="J127" s="254"/>
      <c r="K127" s="254"/>
      <c r="L127" s="254"/>
      <c r="M127" s="254"/>
      <c r="N127" s="254"/>
      <c r="O127" s="5"/>
      <c r="Q127" s="5"/>
      <c r="R127" s="5"/>
      <c r="S127" s="5"/>
    </row>
    <row r="128" spans="2:19">
      <c r="B128" s="41"/>
      <c r="C128" s="254"/>
      <c r="D128" s="254"/>
      <c r="E128" s="254"/>
      <c r="F128" s="254"/>
      <c r="G128" s="254"/>
      <c r="H128" s="254"/>
      <c r="I128" s="5"/>
      <c r="J128" s="254"/>
      <c r="K128" s="254"/>
      <c r="L128" s="254"/>
      <c r="M128" s="254"/>
      <c r="N128" s="254"/>
      <c r="O128" s="5"/>
      <c r="Q128" s="5"/>
      <c r="R128" s="5"/>
      <c r="S128" s="5"/>
    </row>
    <row r="129" spans="2:27">
      <c r="B129" s="5"/>
      <c r="C129" s="5"/>
      <c r="D129" s="18"/>
      <c r="E129" s="18"/>
      <c r="F129" s="18"/>
      <c r="G129" s="18"/>
      <c r="H129" s="18"/>
      <c r="I129" s="254"/>
      <c r="J129" s="18"/>
      <c r="K129" s="18"/>
      <c r="L129" s="18"/>
      <c r="M129" s="18"/>
      <c r="N129" s="18"/>
      <c r="O129" s="5"/>
      <c r="Q129" s="5"/>
      <c r="R129" s="5"/>
      <c r="S129" s="5"/>
    </row>
    <row r="130" spans="2:27">
      <c r="B130" s="5"/>
      <c r="C130" s="5"/>
      <c r="D130" s="5"/>
      <c r="E130" s="5"/>
      <c r="F130" s="5"/>
      <c r="G130" s="5"/>
      <c r="H130" s="5"/>
      <c r="I130" s="18"/>
      <c r="J130" s="5"/>
      <c r="K130" s="5"/>
      <c r="L130" s="5"/>
      <c r="M130" s="5"/>
      <c r="N130" s="5"/>
      <c r="O130" s="5"/>
      <c r="Q130" s="5"/>
      <c r="R130" s="5"/>
      <c r="S130" s="5"/>
    </row>
    <row r="131" spans="2:27">
      <c r="B131" s="41"/>
      <c r="C131" s="254"/>
      <c r="D131" s="254"/>
      <c r="E131" s="254"/>
      <c r="F131" s="254"/>
      <c r="G131" s="254"/>
      <c r="H131" s="254"/>
      <c r="I131" s="5"/>
      <c r="J131" s="254"/>
      <c r="K131" s="254"/>
      <c r="L131" s="254"/>
      <c r="M131" s="254"/>
      <c r="N131" s="254"/>
      <c r="O131" s="5"/>
      <c r="Q131" s="5"/>
      <c r="R131" s="5"/>
      <c r="S131" s="5"/>
    </row>
    <row r="132" spans="2:27">
      <c r="B132" s="5"/>
      <c r="C132" s="259"/>
      <c r="D132" s="18"/>
      <c r="E132" s="18"/>
      <c r="F132" s="18"/>
      <c r="G132" s="18"/>
      <c r="H132" s="18"/>
      <c r="I132" s="5"/>
      <c r="J132" s="18"/>
      <c r="K132" s="18"/>
      <c r="L132" s="18"/>
      <c r="M132" s="18"/>
      <c r="N132" s="18"/>
      <c r="O132" s="5"/>
      <c r="Q132" s="5"/>
      <c r="R132" s="5"/>
      <c r="S132" s="5"/>
    </row>
    <row r="133" spans="2:27">
      <c r="B133" s="5"/>
      <c r="C133" s="5"/>
      <c r="D133" s="5"/>
      <c r="E133" s="5"/>
      <c r="F133" s="5"/>
      <c r="G133" s="5"/>
      <c r="H133" s="5"/>
      <c r="I133" s="17"/>
      <c r="J133" s="5"/>
      <c r="K133" s="5"/>
      <c r="L133" s="5"/>
      <c r="M133" s="5"/>
      <c r="N133" s="5"/>
      <c r="O133" s="5"/>
      <c r="Q133" s="5"/>
      <c r="R133" s="5"/>
      <c r="S133" s="5"/>
    </row>
    <row r="134" spans="2:27">
      <c r="B134" s="41"/>
      <c r="C134" s="5"/>
      <c r="D134" s="5"/>
      <c r="E134" s="5"/>
      <c r="F134" s="5"/>
      <c r="G134" s="5"/>
      <c r="H134" s="5"/>
      <c r="I134" s="17"/>
      <c r="J134" s="5"/>
      <c r="K134" s="5"/>
      <c r="L134" s="5"/>
      <c r="M134" s="5"/>
      <c r="N134" s="5"/>
      <c r="O134" s="5"/>
      <c r="Q134" s="5"/>
      <c r="R134" s="5"/>
      <c r="S134" s="5"/>
    </row>
    <row r="135" spans="2:27">
      <c r="B135" s="5"/>
      <c r="C135" s="17"/>
      <c r="D135" s="17"/>
      <c r="E135" s="17"/>
      <c r="F135" s="17"/>
      <c r="G135" s="17"/>
      <c r="H135" s="17"/>
      <c r="I135" s="17"/>
      <c r="J135" s="17"/>
      <c r="K135" s="17"/>
      <c r="L135" s="17"/>
      <c r="M135" s="17"/>
      <c r="N135" s="17"/>
      <c r="O135" s="5"/>
      <c r="Q135" s="41"/>
      <c r="R135" s="5"/>
      <c r="S135" s="5"/>
    </row>
    <row r="136" spans="2:27">
      <c r="B136" s="5"/>
      <c r="C136" s="17"/>
      <c r="D136" s="17"/>
      <c r="E136" s="17"/>
      <c r="F136" s="17"/>
      <c r="G136" s="17"/>
      <c r="H136" s="17"/>
      <c r="I136" s="17"/>
      <c r="J136" s="17"/>
      <c r="K136" s="17"/>
      <c r="L136" s="17"/>
      <c r="M136" s="17"/>
      <c r="N136" s="17"/>
      <c r="O136" s="5"/>
      <c r="Q136" s="5"/>
      <c r="R136" s="5"/>
      <c r="S136" s="5"/>
      <c r="X136" s="304"/>
    </row>
    <row r="137" spans="2:27">
      <c r="B137" s="5"/>
      <c r="C137" s="5"/>
      <c r="D137" s="17"/>
      <c r="E137" s="17"/>
      <c r="F137" s="17"/>
      <c r="G137" s="17"/>
      <c r="H137" s="17"/>
      <c r="I137" s="17"/>
      <c r="J137" s="17"/>
      <c r="K137" s="17"/>
      <c r="L137" s="17"/>
      <c r="M137" s="17"/>
      <c r="N137" s="17"/>
      <c r="O137" s="5"/>
      <c r="Q137" s="5"/>
      <c r="R137" s="5"/>
      <c r="S137" s="5"/>
      <c r="X137" s="10"/>
      <c r="Y137" s="304"/>
      <c r="Z137" s="304"/>
      <c r="AA137" s="304"/>
    </row>
    <row r="138" spans="2:27">
      <c r="B138" s="5"/>
      <c r="C138" s="5"/>
      <c r="D138" s="17"/>
      <c r="E138" s="17"/>
      <c r="F138" s="17"/>
      <c r="G138" s="17"/>
      <c r="H138" s="17"/>
      <c r="I138" s="17"/>
      <c r="J138" s="17"/>
      <c r="K138" s="17"/>
      <c r="L138" s="17"/>
      <c r="M138" s="17"/>
      <c r="N138" s="17"/>
      <c r="O138" s="5"/>
      <c r="Q138" s="5"/>
      <c r="R138" s="5"/>
      <c r="S138" s="5"/>
      <c r="Y138" s="10"/>
      <c r="Z138" s="10"/>
      <c r="AA138" s="10"/>
    </row>
    <row r="139" spans="2:27">
      <c r="B139" s="5"/>
      <c r="C139" s="5"/>
      <c r="D139" s="17"/>
      <c r="E139" s="17"/>
      <c r="F139" s="17"/>
      <c r="G139" s="17"/>
      <c r="H139" s="17"/>
      <c r="I139" s="5"/>
      <c r="J139" s="17"/>
      <c r="K139" s="17"/>
      <c r="L139" s="17"/>
      <c r="M139" s="17"/>
      <c r="N139" s="17"/>
      <c r="O139" s="5"/>
      <c r="Q139" s="5"/>
      <c r="R139" s="5"/>
      <c r="S139" s="5"/>
    </row>
    <row r="140" spans="2:27">
      <c r="B140" s="5"/>
      <c r="C140" s="17"/>
      <c r="D140" s="17"/>
      <c r="E140" s="17"/>
      <c r="F140" s="17"/>
      <c r="G140" s="17"/>
      <c r="H140" s="17"/>
      <c r="I140" s="5"/>
      <c r="J140" s="17"/>
      <c r="K140" s="17"/>
      <c r="L140" s="17"/>
      <c r="M140" s="17"/>
      <c r="N140" s="17"/>
      <c r="O140" s="5"/>
      <c r="Q140" s="5"/>
      <c r="R140" s="5"/>
      <c r="S140" s="5"/>
    </row>
    <row r="141" spans="2:27">
      <c r="B141" s="5"/>
      <c r="C141" s="5"/>
      <c r="D141" s="5"/>
      <c r="E141" s="5"/>
      <c r="F141" s="5"/>
      <c r="G141" s="5"/>
      <c r="H141" s="5"/>
      <c r="I141" s="5"/>
      <c r="J141" s="5"/>
      <c r="K141" s="5"/>
      <c r="L141" s="5"/>
      <c r="M141" s="5"/>
      <c r="N141" s="5"/>
      <c r="O141" s="5"/>
      <c r="Q141" s="5"/>
      <c r="R141" s="5"/>
      <c r="S141" s="5"/>
    </row>
    <row r="142" spans="2:27">
      <c r="B142" s="5"/>
      <c r="C142" s="5"/>
      <c r="D142" s="5"/>
      <c r="E142" s="5"/>
      <c r="F142" s="5"/>
      <c r="G142" s="5"/>
      <c r="H142" s="5"/>
      <c r="I142" s="5"/>
      <c r="J142" s="5"/>
      <c r="K142" s="5"/>
      <c r="L142" s="5"/>
      <c r="M142" s="5"/>
      <c r="N142" s="5"/>
      <c r="O142" s="5"/>
      <c r="Q142" s="5"/>
      <c r="R142" s="5"/>
      <c r="S142" s="5"/>
    </row>
    <row r="143" spans="2:27">
      <c r="B143" s="5"/>
      <c r="C143" s="5"/>
      <c r="D143" s="5"/>
      <c r="E143" s="5"/>
      <c r="F143" s="5"/>
      <c r="G143" s="5"/>
      <c r="H143" s="5"/>
      <c r="I143" s="5"/>
      <c r="J143" s="5"/>
      <c r="K143" s="5"/>
      <c r="L143" s="5"/>
      <c r="M143" s="5"/>
      <c r="N143" s="5"/>
      <c r="O143" s="5"/>
      <c r="Q143" s="5"/>
      <c r="R143" s="5"/>
      <c r="S143" s="5"/>
    </row>
    <row r="144" spans="2:27">
      <c r="B144" s="5"/>
      <c r="C144" s="5"/>
      <c r="D144" s="5"/>
      <c r="E144" s="5"/>
      <c r="F144" s="5"/>
      <c r="G144" s="5"/>
      <c r="H144" s="5"/>
      <c r="I144" s="5"/>
      <c r="J144" s="5"/>
      <c r="K144" s="5"/>
      <c r="L144" s="5"/>
      <c r="M144" s="5"/>
      <c r="N144" s="5"/>
      <c r="O144" s="5"/>
      <c r="Q144" s="5"/>
      <c r="R144" s="5"/>
      <c r="S144" s="5"/>
    </row>
    <row r="145" spans="2:19">
      <c r="B145" s="5"/>
      <c r="C145" s="5"/>
      <c r="D145" s="5"/>
      <c r="E145" s="5"/>
      <c r="F145" s="5"/>
      <c r="G145" s="5"/>
      <c r="H145" s="5"/>
      <c r="I145" s="5"/>
      <c r="J145" s="5"/>
      <c r="K145" s="5"/>
      <c r="L145" s="5"/>
      <c r="M145" s="5"/>
      <c r="N145" s="5"/>
      <c r="O145" s="5"/>
      <c r="Q145" s="5"/>
      <c r="R145" s="5"/>
      <c r="S145" s="5"/>
    </row>
    <row r="146" spans="2:19">
      <c r="B146" s="5"/>
      <c r="C146" s="5"/>
      <c r="D146" s="5"/>
      <c r="E146" s="5"/>
      <c r="F146" s="5"/>
      <c r="G146" s="5"/>
      <c r="H146" s="5"/>
      <c r="I146" s="5"/>
      <c r="J146" s="5"/>
      <c r="K146" s="5"/>
      <c r="L146" s="5"/>
      <c r="M146" s="5"/>
      <c r="N146" s="5"/>
      <c r="O146" s="5"/>
      <c r="Q146" s="5"/>
      <c r="R146" s="5"/>
      <c r="S146" s="5"/>
    </row>
    <row r="147" spans="2:19">
      <c r="B147" s="5"/>
      <c r="C147" s="5"/>
      <c r="D147" s="5"/>
      <c r="E147" s="5"/>
      <c r="F147" s="5"/>
      <c r="G147" s="5"/>
      <c r="H147" s="5"/>
      <c r="I147" s="5"/>
      <c r="J147" s="5"/>
      <c r="K147" s="5"/>
      <c r="L147" s="5"/>
      <c r="M147" s="5"/>
      <c r="N147" s="5"/>
      <c r="O147" s="5"/>
      <c r="Q147" s="5"/>
      <c r="R147" s="5"/>
      <c r="S147" s="5"/>
    </row>
    <row r="148" spans="2:19">
      <c r="B148" s="5"/>
      <c r="C148" s="5"/>
      <c r="D148" s="5"/>
      <c r="E148" s="5"/>
      <c r="F148" s="5"/>
      <c r="G148" s="5"/>
      <c r="H148" s="5"/>
      <c r="I148" s="5"/>
      <c r="J148" s="5"/>
      <c r="K148" s="5"/>
      <c r="L148" s="5"/>
      <c r="M148" s="5"/>
      <c r="N148" s="5"/>
      <c r="O148" s="5"/>
      <c r="Q148" s="5"/>
      <c r="R148" s="5"/>
      <c r="S148" s="5"/>
    </row>
    <row r="149" spans="2:19">
      <c r="B149" s="5"/>
      <c r="C149" s="5"/>
      <c r="D149" s="5"/>
      <c r="E149" s="5"/>
      <c r="F149" s="5"/>
      <c r="G149" s="5"/>
      <c r="H149" s="5"/>
      <c r="J149" s="5"/>
      <c r="K149" s="5"/>
      <c r="L149" s="5"/>
      <c r="M149" s="5"/>
      <c r="N149" s="5"/>
      <c r="O149" s="5"/>
      <c r="Q149" s="5"/>
      <c r="R149" s="5"/>
      <c r="S149" s="5"/>
    </row>
    <row r="150" spans="2:19">
      <c r="B150" s="5"/>
      <c r="C150" s="5"/>
      <c r="D150" s="5"/>
      <c r="E150" s="5"/>
      <c r="F150" s="5"/>
      <c r="G150" s="5"/>
      <c r="H150" s="5"/>
      <c r="J150" s="5"/>
      <c r="K150" s="5"/>
      <c r="L150" s="5"/>
      <c r="M150" s="5"/>
      <c r="N150" s="5"/>
      <c r="O150" s="5"/>
      <c r="Q150" s="5"/>
      <c r="R150" s="5"/>
      <c r="S150" s="5"/>
    </row>
    <row r="151" spans="2:19">
      <c r="Q151" s="5"/>
      <c r="R151" s="5"/>
      <c r="S151" s="5"/>
    </row>
    <row r="152" spans="2:19">
      <c r="Q152" s="5"/>
      <c r="R152" s="5"/>
      <c r="S152" s="5"/>
    </row>
    <row r="153" spans="2:19">
      <c r="C153" s="263"/>
      <c r="Q153" s="5"/>
      <c r="R153" s="5"/>
      <c r="S153" s="5"/>
    </row>
    <row r="154" spans="2:19">
      <c r="Q154" s="5"/>
      <c r="R154" s="5"/>
      <c r="S154" s="5"/>
    </row>
    <row r="155" spans="2:19">
      <c r="Q155" s="5"/>
      <c r="R155" s="5"/>
      <c r="S155" s="5"/>
    </row>
    <row r="156" spans="2:19">
      <c r="Q156" s="5"/>
      <c r="R156" s="5"/>
      <c r="S156" s="5"/>
    </row>
    <row r="157" spans="2:19">
      <c r="Q157" s="5"/>
      <c r="R157" s="5"/>
      <c r="S157" s="5"/>
    </row>
    <row r="158" spans="2:19">
      <c r="Q158" s="5"/>
      <c r="R158" s="5"/>
      <c r="S158" s="5"/>
    </row>
    <row r="159" spans="2:19">
      <c r="Q159" s="5"/>
      <c r="R159" s="5"/>
      <c r="S159" s="5"/>
    </row>
    <row r="160" spans="2:19">
      <c r="Q160" s="5"/>
      <c r="R160" s="5"/>
      <c r="S160" s="5"/>
    </row>
    <row r="161" spans="17:19">
      <c r="Q161" s="5"/>
      <c r="R161" s="5"/>
      <c r="S161" s="5"/>
    </row>
    <row r="162" spans="17:19">
      <c r="Q162" s="5"/>
      <c r="R162" s="5"/>
      <c r="S162" s="5"/>
    </row>
    <row r="163" spans="17:19">
      <c r="Q163" s="5"/>
      <c r="R163" s="5"/>
      <c r="S163" s="5"/>
    </row>
    <row r="164" spans="17:19">
      <c r="Q164" s="5"/>
      <c r="R164" s="5"/>
      <c r="S164" s="5"/>
    </row>
    <row r="165" spans="17:19">
      <c r="Q165" s="5"/>
      <c r="R165" s="5"/>
      <c r="S165" s="5"/>
    </row>
  </sheetData>
  <phoneticPr fontId="7" type="noConversion"/>
  <hyperlinks>
    <hyperlink ref="C2" location="VIMPSOP!A1" display="Jump to Vimpelcom SOP" xr:uid="{00000000-0004-0000-7300-000001000000}"/>
  </hyperlinks>
  <pageMargins left="0.75" right="0.75" top="1" bottom="1" header="0.5" footer="0.5"/>
  <pageSetup scale="71" orientation="landscape" r:id="rId1"/>
  <headerFooter alignWithMargins="0"/>
  <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0-000000000000}">
  <sheetPr codeName="Sheet143">
    <pageSetUpPr fitToPage="1"/>
  </sheetPr>
  <dimension ref="B1:AR165"/>
  <sheetViews>
    <sheetView showGridLines="0" zoomScale="80" zoomScaleNormal="80" workbookViewId="0"/>
  </sheetViews>
  <sheetFormatPr defaultColWidth="9.109375" defaultRowHeight="12"/>
  <cols>
    <col min="1" max="1" width="2.33203125" style="39" customWidth="1"/>
    <col min="2" max="2" width="26.5546875" style="39" customWidth="1"/>
    <col min="3" max="9" width="10" style="39" customWidth="1"/>
    <col min="10" max="10" width="26.6640625" style="39" customWidth="1"/>
    <col min="11" max="16" width="10" style="39" customWidth="1"/>
    <col min="17" max="18" width="8.6640625" style="39" customWidth="1"/>
    <col min="19" max="28" width="8.6640625" style="5" customWidth="1"/>
    <col min="29" max="44" width="9.109375" style="5"/>
    <col min="45" max="16384" width="9.109375" style="39"/>
  </cols>
  <sheetData>
    <row r="1" spans="2:44" s="312" customFormat="1">
      <c r="S1" s="149"/>
      <c r="T1" s="149"/>
      <c r="U1" s="149"/>
      <c r="V1" s="149"/>
      <c r="W1" s="149"/>
      <c r="X1" s="149"/>
      <c r="Y1" s="149"/>
      <c r="Z1" s="149"/>
      <c r="AA1" s="149"/>
      <c r="AB1" s="149"/>
      <c r="AC1" s="149"/>
      <c r="AD1" s="149"/>
      <c r="AE1" s="149"/>
      <c r="AF1" s="149"/>
      <c r="AG1" s="149"/>
      <c r="AH1" s="149"/>
      <c r="AI1" s="149"/>
      <c r="AJ1" s="149"/>
      <c r="AK1" s="149"/>
      <c r="AL1" s="149"/>
      <c r="AM1" s="149"/>
      <c r="AN1" s="149"/>
      <c r="AO1" s="149"/>
      <c r="AP1" s="149"/>
      <c r="AQ1" s="149"/>
      <c r="AR1" s="149"/>
    </row>
    <row r="2" spans="2:44" s="149" customFormat="1"/>
    <row r="3" spans="2:44" s="149" customFormat="1">
      <c r="H3" s="153"/>
      <c r="P3" s="153"/>
    </row>
    <row r="4" spans="2:44" s="156" customFormat="1" ht="21">
      <c r="B4" s="129" t="s">
        <v>620</v>
      </c>
      <c r="H4" s="222"/>
      <c r="P4" s="222"/>
    </row>
    <row r="5" spans="2:44" s="149" customFormat="1">
      <c r="C5" s="153"/>
      <c r="D5" s="153" t="str" cm="1">
        <f t="array" ref="D5:H5">headings</f>
        <v>2023E</v>
      </c>
      <c r="E5" s="153" t="str">
        <v>2024E</v>
      </c>
      <c r="F5" s="153" t="str">
        <v>2025E</v>
      </c>
      <c r="G5" s="153" t="str">
        <v>2026E</v>
      </c>
      <c r="H5" s="153" t="str">
        <v>23E-26E</v>
      </c>
      <c r="I5" s="153"/>
      <c r="J5" s="153"/>
      <c r="K5" s="153"/>
      <c r="L5" s="153" t="str" cm="1">
        <f t="array" ref="L5:P5">headings</f>
        <v>2023E</v>
      </c>
      <c r="M5" s="153" t="str">
        <v>2024E</v>
      </c>
      <c r="N5" s="153" t="str">
        <v>2025E</v>
      </c>
      <c r="O5" s="153" t="str">
        <v>2026E</v>
      </c>
      <c r="P5" s="153" t="str">
        <v>23E-26E</v>
      </c>
      <c r="Q5" s="162"/>
      <c r="R5" s="162"/>
      <c r="S5" s="162"/>
      <c r="T5" s="162"/>
      <c r="U5" s="162"/>
      <c r="V5" s="162"/>
      <c r="W5" s="162"/>
      <c r="X5" s="162"/>
      <c r="Y5" s="162"/>
    </row>
    <row r="6" spans="2:44">
      <c r="I6" s="5"/>
      <c r="J6" s="5"/>
      <c r="K6" s="5"/>
      <c r="L6" s="5"/>
      <c r="M6" s="5"/>
      <c r="N6" s="5"/>
      <c r="O6" s="49"/>
    </row>
    <row r="7" spans="2:44" ht="12.6" thickBot="1">
      <c r="B7" s="306" t="s">
        <v>271</v>
      </c>
      <c r="C7" s="265"/>
      <c r="D7" s="265" t="str">
        <f>D5</f>
        <v>2023E</v>
      </c>
      <c r="E7" s="265" t="str">
        <f t="shared" ref="E7:H7" si="0">E5</f>
        <v>2024E</v>
      </c>
      <c r="F7" s="265" t="str">
        <f t="shared" si="0"/>
        <v>2025E</v>
      </c>
      <c r="G7" s="265" t="str">
        <f t="shared" si="0"/>
        <v>2026E</v>
      </c>
      <c r="H7" s="265" t="str">
        <f t="shared" si="0"/>
        <v>23E-26E</v>
      </c>
      <c r="I7" s="49"/>
      <c r="J7" s="306" t="s">
        <v>476</v>
      </c>
      <c r="K7" s="306"/>
      <c r="L7" s="265" t="str">
        <f>L5</f>
        <v>2023E</v>
      </c>
      <c r="M7" s="265" t="str">
        <f t="shared" ref="M7:P7" si="1">M5</f>
        <v>2024E</v>
      </c>
      <c r="N7" s="265" t="str">
        <f t="shared" si="1"/>
        <v>2025E</v>
      </c>
      <c r="O7" s="265" t="str">
        <f t="shared" si="1"/>
        <v>2026E</v>
      </c>
      <c r="P7" s="265" t="str">
        <f t="shared" si="1"/>
        <v>23E-26E</v>
      </c>
    </row>
    <row r="8" spans="2:44" ht="12.6" thickTop="1">
      <c r="B8" s="5"/>
      <c r="C8" s="5"/>
      <c r="D8" s="5"/>
      <c r="E8" s="5"/>
      <c r="F8" s="5"/>
      <c r="G8" s="5"/>
      <c r="H8" s="5"/>
      <c r="I8" s="5"/>
      <c r="J8" s="5"/>
      <c r="K8" s="5"/>
      <c r="L8" s="5"/>
      <c r="M8" s="5"/>
      <c r="N8" s="5"/>
      <c r="S8" s="42"/>
      <c r="T8" s="42"/>
      <c r="U8" s="42"/>
      <c r="V8" s="42"/>
      <c r="W8" s="42"/>
      <c r="X8" s="42"/>
      <c r="Y8" s="42"/>
      <c r="Z8" s="42"/>
      <c r="AA8" s="42"/>
    </row>
    <row r="9" spans="2:44">
      <c r="B9" s="41" t="s">
        <v>197</v>
      </c>
      <c r="C9" s="287">
        <f>Prices!C125</f>
        <v>45.9</v>
      </c>
      <c r="D9" s="535">
        <v>0</v>
      </c>
      <c r="E9" s="536">
        <v>0</v>
      </c>
      <c r="F9" s="536">
        <v>0</v>
      </c>
      <c r="G9" s="536">
        <v>0</v>
      </c>
      <c r="H9" s="249" t="s">
        <v>146</v>
      </c>
      <c r="I9" s="249"/>
      <c r="J9" s="5" t="s">
        <v>273</v>
      </c>
      <c r="L9" s="529">
        <f>'LATAM INCUMB'!D37</f>
        <v>1.6754972545250479</v>
      </c>
      <c r="M9" s="529">
        <f>'LATAM INCUMB'!E37</f>
        <v>1.5413873359407957</v>
      </c>
      <c r="N9" s="529">
        <f>'LATAM INCUMB'!F37</f>
        <v>1.4052879925497239</v>
      </c>
      <c r="O9" s="529">
        <f>'LATAM INCUMB'!G37</f>
        <v>1.2861713457611794</v>
      </c>
      <c r="P9" s="286">
        <f>'LATAM INCUMB'!H37</f>
        <v>3.2286309728766227E-2</v>
      </c>
      <c r="S9" s="42"/>
      <c r="T9" s="42"/>
      <c r="U9" s="42"/>
      <c r="V9" s="42"/>
      <c r="W9" s="42"/>
      <c r="X9" s="42"/>
      <c r="Y9" s="42"/>
      <c r="Z9" s="42"/>
      <c r="AA9" s="42"/>
    </row>
    <row r="10" spans="2:44">
      <c r="B10" s="5" t="s">
        <v>274</v>
      </c>
      <c r="C10" s="5"/>
      <c r="D10" s="531">
        <v>1655.556</v>
      </c>
      <c r="E10" s="531">
        <v>1645.556</v>
      </c>
      <c r="F10" s="531">
        <v>1633.556</v>
      </c>
      <c r="G10" s="531">
        <v>1618.556</v>
      </c>
      <c r="H10" s="249" t="s">
        <v>179</v>
      </c>
      <c r="I10" s="247"/>
      <c r="J10" s="5" t="s">
        <v>184</v>
      </c>
      <c r="L10" s="529">
        <f>'LATAM INCUMB'!D38</f>
        <v>4.4371486159074989</v>
      </c>
      <c r="M10" s="529">
        <f>'LATAM INCUMB'!E38</f>
        <v>3.9890624654994724</v>
      </c>
      <c r="N10" s="529">
        <f>'LATAM INCUMB'!F38</f>
        <v>3.5635773257800083</v>
      </c>
      <c r="O10" s="529">
        <f>'LATAM INCUMB'!G38</f>
        <v>3.2131957346788256</v>
      </c>
      <c r="P10" s="286">
        <f>'LATAM INCUMB'!H38</f>
        <v>5.2545313573403529E-2</v>
      </c>
      <c r="S10" s="42"/>
      <c r="T10" s="42"/>
      <c r="U10" s="42"/>
      <c r="V10" s="42"/>
      <c r="W10" s="288"/>
      <c r="X10" s="288"/>
      <c r="Y10" s="288"/>
      <c r="Z10" s="288"/>
      <c r="AA10" s="42"/>
    </row>
    <row r="11" spans="2:44">
      <c r="B11" s="41" t="s">
        <v>275</v>
      </c>
      <c r="C11" s="5"/>
      <c r="D11" s="532">
        <f>$C$9*D10</f>
        <v>75990.020399999994</v>
      </c>
      <c r="E11" s="532">
        <f>$C$9*E10</f>
        <v>75531.020399999994</v>
      </c>
      <c r="F11" s="532">
        <f>$C$9*F10</f>
        <v>74980.220400000006</v>
      </c>
      <c r="G11" s="532">
        <f>$C$9*G10</f>
        <v>74291.720400000006</v>
      </c>
      <c r="H11" s="249"/>
      <c r="I11" s="249"/>
      <c r="J11" s="5" t="s">
        <v>185</v>
      </c>
      <c r="L11" s="529">
        <f>'LATAM INCUMB'!D39</f>
        <v>8.7775076030846968</v>
      </c>
      <c r="M11" s="529">
        <f>'LATAM INCUMB'!E39</f>
        <v>7.0717582272737056</v>
      </c>
      <c r="N11" s="529">
        <f>'LATAM INCUMB'!F39</f>
        <v>5.9348076148416871</v>
      </c>
      <c r="O11" s="529">
        <f>'LATAM INCUMB'!G39</f>
        <v>5.0856006821112363</v>
      </c>
      <c r="P11" s="286">
        <f>'LATAM INCUMB'!H39</f>
        <v>0.13377842924611083</v>
      </c>
      <c r="S11" s="42"/>
      <c r="T11" s="42"/>
      <c r="U11" s="42"/>
      <c r="V11" s="42"/>
      <c r="W11" s="288"/>
      <c r="X11" s="288"/>
      <c r="Y11" s="288"/>
      <c r="Z11" s="288"/>
      <c r="AA11" s="42"/>
    </row>
    <row r="12" spans="2:44">
      <c r="B12" s="5" t="s">
        <v>24</v>
      </c>
      <c r="C12" s="249"/>
      <c r="D12" s="533">
        <v>14962.479460032246</v>
      </c>
      <c r="E12" s="533">
        <v>14817.437057621271</v>
      </c>
      <c r="F12" s="533">
        <v>15415.721236209794</v>
      </c>
      <c r="G12" s="533">
        <v>17179.699940100763</v>
      </c>
      <c r="H12" s="247"/>
      <c r="I12" s="247"/>
      <c r="J12" s="5" t="s">
        <v>466</v>
      </c>
      <c r="L12" s="529">
        <f>'LATAM INCUMB'!D40</f>
        <v>14.26260581436496</v>
      </c>
      <c r="M12" s="529">
        <f>'LATAM INCUMB'!E40</f>
        <v>10.423838597934619</v>
      </c>
      <c r="N12" s="529">
        <f>'LATAM INCUMB'!F40</f>
        <v>8.6569763163017868</v>
      </c>
      <c r="O12" s="529">
        <f>'LATAM INCUMB'!G40</f>
        <v>7.3396218928570018</v>
      </c>
      <c r="P12" s="286">
        <f>'LATAM INCUMB'!H40</f>
        <v>0.17948820297265589</v>
      </c>
      <c r="S12" s="42"/>
      <c r="T12" s="42"/>
      <c r="U12" s="42"/>
      <c r="V12" s="42"/>
      <c r="W12" s="288"/>
      <c r="X12" s="288"/>
      <c r="Y12" s="288"/>
      <c r="Z12" s="288"/>
      <c r="AA12" s="42"/>
    </row>
    <row r="13" spans="2:44">
      <c r="B13" s="5" t="s">
        <v>529</v>
      </c>
      <c r="C13" s="257"/>
      <c r="D13" s="533">
        <v>1963</v>
      </c>
      <c r="E13" s="533">
        <v>1963</v>
      </c>
      <c r="F13" s="533">
        <v>1963</v>
      </c>
      <c r="G13" s="533">
        <v>1963</v>
      </c>
      <c r="H13" s="247"/>
      <c r="I13" s="247"/>
      <c r="J13" s="5" t="s">
        <v>530</v>
      </c>
      <c r="L13" s="529">
        <f>'LATAM INCUMB'!D41</f>
        <v>1.2450541555502495</v>
      </c>
      <c r="M13" s="529">
        <f>'LATAM INCUMB'!E41</f>
        <v>1.1922739983005051</v>
      </c>
      <c r="N13" s="529">
        <f>'LATAM INCUMB'!F41</f>
        <v>1.1271780163435798</v>
      </c>
      <c r="O13" s="529">
        <f>'LATAM INCUMB'!G41</f>
        <v>1.0560147649150291</v>
      </c>
      <c r="P13" s="286">
        <f>'LATAM INCUMB'!H41</f>
        <v>-1.4772716171091993E-3</v>
      </c>
      <c r="S13" s="42"/>
      <c r="T13" s="42"/>
      <c r="U13" s="42"/>
      <c r="V13" s="42"/>
      <c r="W13" s="42"/>
      <c r="X13" s="42"/>
      <c r="Y13" s="42"/>
      <c r="Z13" s="42"/>
      <c r="AA13" s="42"/>
    </row>
    <row r="14" spans="2:44">
      <c r="B14" s="5" t="s">
        <v>532</v>
      </c>
      <c r="C14" s="257"/>
      <c r="D14" s="533">
        <v>0</v>
      </c>
      <c r="E14" s="533">
        <f t="shared" ref="E14:G15" si="2">D14</f>
        <v>0</v>
      </c>
      <c r="F14" s="533">
        <f t="shared" si="2"/>
        <v>0</v>
      </c>
      <c r="G14" s="533">
        <f t="shared" si="2"/>
        <v>0</v>
      </c>
      <c r="H14" s="247"/>
      <c r="I14" s="247"/>
      <c r="J14" s="5" t="s">
        <v>593</v>
      </c>
      <c r="L14" s="529">
        <f>'LATAM INCUMB'!D42</f>
        <v>2.1427162563071951</v>
      </c>
      <c r="M14" s="529">
        <f>'LATAM INCUMB'!E42</f>
        <v>2.1067241831034007</v>
      </c>
      <c r="N14" s="529">
        <f>'LATAM INCUMB'!F42</f>
        <v>2.0337088917341903</v>
      </c>
      <c r="O14" s="529">
        <f>'LATAM INCUMB'!G42</f>
        <v>1.9591699426923035</v>
      </c>
      <c r="P14" s="286">
        <f>'LATAM INCUMB'!H42</f>
        <v>-2.6170957037785714E-2</v>
      </c>
      <c r="S14" s="42"/>
      <c r="T14" s="42"/>
      <c r="U14" s="42"/>
      <c r="V14" s="42"/>
      <c r="W14" s="42"/>
      <c r="X14" s="42"/>
      <c r="Y14" s="42"/>
      <c r="Z14" s="42"/>
      <c r="AA14" s="42"/>
    </row>
    <row r="15" spans="2:44">
      <c r="B15" s="5" t="s">
        <v>531</v>
      </c>
      <c r="C15" s="274"/>
      <c r="D15" s="533">
        <v>0</v>
      </c>
      <c r="E15" s="533">
        <f t="shared" si="2"/>
        <v>0</v>
      </c>
      <c r="F15" s="533">
        <f t="shared" si="2"/>
        <v>0</v>
      </c>
      <c r="G15" s="533">
        <f t="shared" si="2"/>
        <v>0</v>
      </c>
      <c r="H15" s="247"/>
      <c r="I15" s="247"/>
      <c r="J15" s="5" t="s">
        <v>475</v>
      </c>
      <c r="L15" s="529">
        <f>'LATAM INCUMB'!D43</f>
        <v>29.880211958442072</v>
      </c>
      <c r="M15" s="529">
        <f>'LATAM INCUMB'!E43</f>
        <v>15.108036348468724</v>
      </c>
      <c r="N15" s="529">
        <f>'LATAM INCUMB'!F43</f>
        <v>11.334385891328045</v>
      </c>
      <c r="O15" s="529">
        <f>'LATAM INCUMB'!G43</f>
        <v>8.9831000045763254</v>
      </c>
      <c r="P15" s="286">
        <f>'LATAM INCUMB'!H43</f>
        <v>0.45506380228138199</v>
      </c>
      <c r="S15" s="42"/>
      <c r="T15" s="42"/>
      <c r="U15" s="42"/>
      <c r="V15" s="42"/>
      <c r="W15" s="42"/>
      <c r="X15" s="42"/>
      <c r="Y15" s="42"/>
      <c r="Z15" s="42"/>
      <c r="AA15" s="42"/>
    </row>
    <row r="16" spans="2:44">
      <c r="B16" s="5" t="s">
        <v>534</v>
      </c>
      <c r="C16" s="257"/>
      <c r="D16" s="533">
        <v>3643.5097710960008</v>
      </c>
      <c r="E16" s="533">
        <v>9732.066971096001</v>
      </c>
      <c r="F16" s="533">
        <v>17001.391171096002</v>
      </c>
      <c r="G16" s="533">
        <v>25417.882371096002</v>
      </c>
      <c r="H16" s="247"/>
      <c r="I16" s="247"/>
      <c r="J16" s="5" t="s">
        <v>533</v>
      </c>
      <c r="L16" s="529">
        <f>'LATAM INCUMB'!D44</f>
        <v>15.253817863531252</v>
      </c>
      <c r="M16" s="529">
        <f>'LATAM INCUMB'!E44</f>
        <v>11.073980990801601</v>
      </c>
      <c r="N16" s="529">
        <f>'LATAM INCUMB'!F44</f>
        <v>8.2928435180962055</v>
      </c>
      <c r="O16" s="529">
        <f>'LATAM INCUMB'!G44</f>
        <v>6.6146703376605194</v>
      </c>
      <c r="P16" s="286">
        <f>'LATAM INCUMB'!H44</f>
        <v>0.2809349860711805</v>
      </c>
      <c r="S16" s="42"/>
      <c r="T16" s="42"/>
      <c r="U16" s="42"/>
      <c r="V16" s="42"/>
      <c r="W16" s="42"/>
      <c r="X16" s="42"/>
      <c r="Y16" s="42"/>
      <c r="Z16" s="42"/>
      <c r="AA16" s="42"/>
    </row>
    <row r="17" spans="2:27">
      <c r="B17" s="5" t="s">
        <v>6</v>
      </c>
      <c r="C17" s="257"/>
      <c r="D17" s="533">
        <v>6794.7391159759936</v>
      </c>
      <c r="E17" s="533">
        <v>5448.7755813143722</v>
      </c>
      <c r="F17" s="533">
        <v>4508.6354395538783</v>
      </c>
      <c r="G17" s="533">
        <v>3992.5477409573155</v>
      </c>
      <c r="H17" s="247"/>
      <c r="I17" s="247"/>
      <c r="J17" s="5" t="s">
        <v>580</v>
      </c>
      <c r="L17" s="248">
        <f>'LATAM INCUMB'!D45</f>
        <v>3.5776465076388382E-2</v>
      </c>
      <c r="M17" s="248">
        <f>'LATAM INCUMB'!E45</f>
        <v>3.9720772392338836E-2</v>
      </c>
      <c r="N17" s="248">
        <f>'LATAM INCUMB'!F45</f>
        <v>4.6101210230168325E-2</v>
      </c>
      <c r="O17" s="248">
        <f>'LATAM INCUMB'!G45</f>
        <v>5.1630244536013982E-2</v>
      </c>
      <c r="P17" s="286">
        <f>'LATAM INCUMB'!H45</f>
        <v>9.5651796667158839E-2</v>
      </c>
      <c r="S17" s="42"/>
      <c r="T17" s="42"/>
      <c r="U17" s="42"/>
      <c r="V17" s="42"/>
      <c r="W17" s="42"/>
      <c r="X17" s="42"/>
      <c r="Y17" s="42"/>
      <c r="Z17" s="42"/>
      <c r="AA17" s="42"/>
    </row>
    <row r="18" spans="2:27" ht="12.6" thickBot="1">
      <c r="B18" s="41" t="s">
        <v>583</v>
      </c>
      <c r="C18" s="249"/>
      <c r="D18" s="534">
        <f>D11+D12+D13-D14+D15-D16-D17</f>
        <v>82477.250972960261</v>
      </c>
      <c r="E18" s="534">
        <f>E11+E12+E13-E14+E15-E16-E17</f>
        <v>77130.614905210881</v>
      </c>
      <c r="F18" s="534">
        <f>F11+F12+F13-F14+F15-F16-F17</f>
        <v>70848.915025559923</v>
      </c>
      <c r="G18" s="534">
        <f>G11+G12+G13-G14+G15-G16-G17</f>
        <v>64023.990228047456</v>
      </c>
      <c r="H18" s="276">
        <f>IF(D18=0,"nm",IF(G18=0,"nm",(G18/D18)^(1/3)-1))</f>
        <v>-8.0956248192624924E-2</v>
      </c>
      <c r="I18" s="254"/>
      <c r="J18" s="5" t="s">
        <v>36</v>
      </c>
      <c r="L18" s="248">
        <f>'LATAM INCUMB'!D46</f>
        <v>3.6168407328364835E-2</v>
      </c>
      <c r="M18" s="248">
        <f>'LATAM INCUMB'!E46</f>
        <v>4.0015836588525255E-2</v>
      </c>
      <c r="N18" s="248">
        <f>'LATAM INCUMB'!F46</f>
        <v>3.7334375846412596E-2</v>
      </c>
      <c r="O18" s="248">
        <f>'LATAM INCUMB'!G46</f>
        <v>8.0938216079071201E-2</v>
      </c>
      <c r="P18" s="286">
        <f>'LATAM INCUMB'!H46</f>
        <v>0.26817265579733318</v>
      </c>
      <c r="S18" s="42"/>
      <c r="T18" s="42"/>
      <c r="U18" s="42"/>
      <c r="V18" s="42"/>
      <c r="W18" s="42"/>
      <c r="X18" s="42"/>
      <c r="Y18" s="42"/>
      <c r="Z18" s="42"/>
      <c r="AA18" s="42"/>
    </row>
    <row r="19" spans="2:27" ht="12.6" thickTop="1">
      <c r="B19" s="41"/>
      <c r="C19" s="249"/>
      <c r="D19" s="229"/>
      <c r="E19" s="229"/>
      <c r="F19" s="229"/>
      <c r="G19" s="229"/>
      <c r="H19" s="276"/>
      <c r="I19" s="254"/>
      <c r="J19" s="5" t="s">
        <v>581</v>
      </c>
      <c r="L19" s="248">
        <f>'LATAM INCUMB'!D47</f>
        <v>3.3466964738764829E-2</v>
      </c>
      <c r="M19" s="248">
        <f>'LATAM INCUMB'!E47</f>
        <v>6.6189938714395199E-2</v>
      </c>
      <c r="N19" s="248">
        <f>'LATAM INCUMB'!F47</f>
        <v>8.8227100222968535E-2</v>
      </c>
      <c r="O19" s="248">
        <f>'LATAM INCUMB'!G47</f>
        <v>0.11132014555003983</v>
      </c>
      <c r="P19" s="286">
        <f>'LATAM INCUMB'!H47</f>
        <v>0.45506380228138199</v>
      </c>
      <c r="S19" s="42"/>
      <c r="T19" s="42"/>
      <c r="U19" s="42"/>
      <c r="V19" s="42"/>
      <c r="W19" s="42"/>
      <c r="X19" s="42"/>
      <c r="Y19" s="42"/>
      <c r="Z19" s="42"/>
      <c r="AA19" s="42"/>
    </row>
    <row r="20" spans="2:27">
      <c r="H20" s="277"/>
      <c r="I20" s="17"/>
      <c r="J20" s="5" t="s">
        <v>604</v>
      </c>
      <c r="L20" s="305">
        <f>'LATAM INCUMB'!D48</f>
        <v>0.89089234361336911</v>
      </c>
      <c r="M20" s="305">
        <f>'LATAM INCUMB'!E48</f>
        <v>0.49796671924446828</v>
      </c>
      <c r="N20" s="305">
        <f>'LATAM INCUMB'!F48</f>
        <v>0.43114661193935117</v>
      </c>
      <c r="O20" s="305">
        <f>'LATAM INCUMB'!G48</f>
        <v>0.38036170164883265</v>
      </c>
      <c r="P20" s="286" t="str">
        <f>'LATAM INCUMB'!H48</f>
        <v>nm</v>
      </c>
      <c r="S20" s="42"/>
      <c r="T20" s="42"/>
      <c r="U20" s="42"/>
      <c r="V20" s="42"/>
      <c r="W20" s="42"/>
      <c r="X20" s="42"/>
      <c r="Y20" s="42"/>
      <c r="Z20" s="42"/>
      <c r="AA20" s="42"/>
    </row>
    <row r="21" spans="2:27" ht="12.6" thickBot="1">
      <c r="B21" s="306" t="s">
        <v>947</v>
      </c>
      <c r="C21" s="265"/>
      <c r="D21" s="265" t="str">
        <f>D5</f>
        <v>2023E</v>
      </c>
      <c r="E21" s="265" t="str">
        <f t="shared" ref="E21:H21" si="3">E5</f>
        <v>2024E</v>
      </c>
      <c r="F21" s="265" t="str">
        <f t="shared" si="3"/>
        <v>2025E</v>
      </c>
      <c r="G21" s="265" t="str">
        <f t="shared" si="3"/>
        <v>2026E</v>
      </c>
      <c r="H21" s="265" t="str">
        <f t="shared" si="3"/>
        <v>23E-26E</v>
      </c>
      <c r="I21" s="49"/>
      <c r="J21" s="41"/>
      <c r="L21" s="250"/>
      <c r="M21" s="250"/>
      <c r="N21" s="250"/>
      <c r="O21" s="250"/>
      <c r="P21" s="286"/>
      <c r="S21" s="42"/>
      <c r="T21" s="42"/>
      <c r="U21" s="42"/>
      <c r="V21" s="42"/>
      <c r="W21" s="42"/>
      <c r="X21" s="42"/>
      <c r="Y21" s="42"/>
      <c r="Z21" s="42"/>
      <c r="AA21" s="42"/>
    </row>
    <row r="22" spans="2:27" ht="12.6" thickTop="1">
      <c r="B22" s="5"/>
      <c r="C22" s="257"/>
      <c r="D22" s="17"/>
      <c r="E22" s="17"/>
      <c r="F22" s="17"/>
      <c r="G22" s="17"/>
      <c r="H22" s="17"/>
      <c r="I22" s="17"/>
      <c r="P22" s="277"/>
      <c r="S22" s="42"/>
      <c r="T22" s="42"/>
      <c r="U22" s="42"/>
      <c r="V22" s="42"/>
      <c r="W22" s="42"/>
      <c r="X22" s="42"/>
      <c r="Y22" s="42"/>
      <c r="Z22" s="42"/>
      <c r="AA22" s="42"/>
    </row>
    <row r="23" spans="2:27" ht="12.6" thickBot="1">
      <c r="B23" s="5" t="s">
        <v>584</v>
      </c>
      <c r="C23" s="548">
        <v>48041</v>
      </c>
      <c r="D23" s="540">
        <v>52105.004688145302</v>
      </c>
      <c r="E23" s="540">
        <v>54800.105351117549</v>
      </c>
      <c r="F23" s="540">
        <v>58138.328212947003</v>
      </c>
      <c r="G23" s="540">
        <v>60933.387982338172</v>
      </c>
      <c r="H23" s="279">
        <f t="shared" ref="H23:H32" si="4">IF(D23=0,"nm",IF(G23=0,"nm",(G23/D23)^(1/3)-1))</f>
        <v>5.3558436109118146E-2</v>
      </c>
      <c r="I23" s="247"/>
      <c r="J23" s="306" t="s">
        <v>9</v>
      </c>
      <c r="K23" s="306"/>
      <c r="L23" s="265" t="str">
        <f>D21</f>
        <v>2023E</v>
      </c>
      <c r="M23" s="265" t="str">
        <f t="shared" ref="M23:P23" si="5">E21</f>
        <v>2024E</v>
      </c>
      <c r="N23" s="265" t="str">
        <f t="shared" si="5"/>
        <v>2025E</v>
      </c>
      <c r="O23" s="265" t="str">
        <f t="shared" si="5"/>
        <v>2026E</v>
      </c>
      <c r="P23" s="265" t="str">
        <f t="shared" si="5"/>
        <v>23E-26E</v>
      </c>
      <c r="S23" s="42"/>
      <c r="T23" s="42"/>
      <c r="U23" s="42"/>
      <c r="V23" s="42"/>
      <c r="W23" s="42"/>
      <c r="X23" s="42"/>
      <c r="Y23" s="42"/>
      <c r="Z23" s="42"/>
      <c r="AA23" s="42"/>
    </row>
    <row r="24" spans="2:27" ht="12.6" thickTop="1">
      <c r="B24" s="5" t="s">
        <v>483</v>
      </c>
      <c r="C24" s="549">
        <v>19282</v>
      </c>
      <c r="D24" s="540">
        <v>21086.572975761956</v>
      </c>
      <c r="E24" s="540">
        <v>22708.264126610393</v>
      </c>
      <c r="F24" s="540">
        <v>24668.200679025758</v>
      </c>
      <c r="G24" s="540">
        <v>26157.755753581368</v>
      </c>
      <c r="H24" s="279">
        <f t="shared" si="4"/>
        <v>7.4479561881599876E-2</v>
      </c>
      <c r="I24" s="249"/>
      <c r="J24" s="17"/>
      <c r="K24" s="17"/>
      <c r="L24" s="17"/>
      <c r="M24" s="17"/>
      <c r="N24" s="17"/>
      <c r="O24" s="248"/>
      <c r="S24" s="42"/>
      <c r="T24" s="42"/>
      <c r="U24" s="42"/>
      <c r="V24" s="42"/>
      <c r="W24" s="42" t="s">
        <v>619</v>
      </c>
      <c r="X24" s="42" t="s">
        <v>512</v>
      </c>
      <c r="Y24" s="42"/>
      <c r="Z24" s="42"/>
      <c r="AA24" s="42"/>
    </row>
    <row r="25" spans="2:27">
      <c r="B25" s="5" t="s">
        <v>183</v>
      </c>
      <c r="C25" s="548">
        <v>9752</v>
      </c>
      <c r="D25" s="540">
        <v>12204.016924123996</v>
      </c>
      <c r="E25" s="540">
        <v>14067.461197918179</v>
      </c>
      <c r="F25" s="540">
        <v>15665.275798558263</v>
      </c>
      <c r="G25" s="540">
        <v>16962.234907987462</v>
      </c>
      <c r="H25" s="279">
        <f t="shared" si="4"/>
        <v>0.11598945437726726</v>
      </c>
      <c r="I25" s="248"/>
      <c r="J25" s="247" t="s">
        <v>10</v>
      </c>
      <c r="K25" s="247"/>
      <c r="L25" s="321">
        <v>-2074</v>
      </c>
      <c r="M25" s="321">
        <v>-2074</v>
      </c>
      <c r="N25" s="321">
        <v>-2074</v>
      </c>
      <c r="O25" s="321">
        <v>-2074</v>
      </c>
      <c r="P25" s="279">
        <f>IF(L25=0,"nm",IF(O25=0,"nm",(O25/L25)^(1/3)-1))</f>
        <v>0</v>
      </c>
      <c r="S25" s="42"/>
      <c r="T25" s="42"/>
      <c r="U25" s="42"/>
      <c r="V25" s="147" t="s">
        <v>273</v>
      </c>
      <c r="W25" s="288">
        <f>D37/L9</f>
        <v>0.94473720181651655</v>
      </c>
      <c r="X25" s="288">
        <v>1</v>
      </c>
      <c r="Y25" s="42"/>
      <c r="Z25" s="42"/>
      <c r="AA25" s="42"/>
    </row>
    <row r="26" spans="2:27">
      <c r="B26" s="5" t="s">
        <v>586</v>
      </c>
      <c r="C26" s="548">
        <v>8191.6799999999994</v>
      </c>
      <c r="D26" s="540">
        <v>8054.6511699218363</v>
      </c>
      <c r="E26" s="540">
        <v>9284.5243906259966</v>
      </c>
      <c r="F26" s="540">
        <v>10339.082027048453</v>
      </c>
      <c r="G26" s="540">
        <v>11195.075039271724</v>
      </c>
      <c r="H26" s="279">
        <f t="shared" si="4"/>
        <v>0.11598945437726726</v>
      </c>
      <c r="I26" s="249"/>
      <c r="J26" s="249" t="s">
        <v>11</v>
      </c>
      <c r="K26" s="249"/>
      <c r="L26" s="281">
        <f>D11+L25</f>
        <v>73916.020399999994</v>
      </c>
      <c r="M26" s="281">
        <f>E11+M25</f>
        <v>73457.020399999994</v>
      </c>
      <c r="N26" s="281">
        <f>F11+N25</f>
        <v>72906.220400000006</v>
      </c>
      <c r="O26" s="281">
        <f>G11+O25</f>
        <v>72217.720400000006</v>
      </c>
      <c r="P26" s="279">
        <f>IF(L26=0,"nm",IF(O26=0,"nm",(O26/L26)^(1/3)-1))</f>
        <v>-7.7181074676364592E-3</v>
      </c>
      <c r="Q26" s="5"/>
      <c r="S26" s="42"/>
      <c r="T26" s="42"/>
      <c r="U26" s="42"/>
      <c r="V26" s="147" t="s">
        <v>184</v>
      </c>
      <c r="W26" s="288">
        <f t="shared" ref="W26:W33" si="6">D38/L10</f>
        <v>0.88150382051253995</v>
      </c>
      <c r="X26" s="288">
        <v>1</v>
      </c>
      <c r="Y26" s="42"/>
      <c r="Z26" s="42"/>
      <c r="AA26" s="42"/>
    </row>
    <row r="27" spans="2:27">
      <c r="B27" s="5" t="s">
        <v>587</v>
      </c>
      <c r="C27" s="549">
        <v>85331</v>
      </c>
      <c r="D27" s="540">
        <v>82322.509275504868</v>
      </c>
      <c r="E27" s="540">
        <v>79942.559093239746</v>
      </c>
      <c r="F27" s="540">
        <v>78420.095566222255</v>
      </c>
      <c r="G27" s="540">
        <v>77851.186894568804</v>
      </c>
      <c r="H27" s="279">
        <f t="shared" si="4"/>
        <v>-1.84429513214317E-2</v>
      </c>
      <c r="I27" s="249"/>
      <c r="J27" s="248"/>
      <c r="K27" s="248"/>
      <c r="L27" s="248"/>
      <c r="M27" s="248"/>
      <c r="N27" s="248"/>
      <c r="O27" s="248"/>
      <c r="Q27" s="41"/>
      <c r="S27" s="42"/>
      <c r="T27" s="42"/>
      <c r="U27" s="42"/>
      <c r="V27" s="147" t="s">
        <v>185</v>
      </c>
      <c r="W27" s="288">
        <f t="shared" si="6"/>
        <v>0.76994581299051379</v>
      </c>
      <c r="X27" s="288">
        <v>1</v>
      </c>
      <c r="Y27" s="42"/>
      <c r="Z27" s="42"/>
      <c r="AA27" s="42"/>
    </row>
    <row r="28" spans="2:27" ht="12.6" thickBot="1">
      <c r="B28" s="5" t="s">
        <v>592</v>
      </c>
      <c r="C28" s="548">
        <v>45898</v>
      </c>
      <c r="D28" s="540">
        <v>47617.050055606131</v>
      </c>
      <c r="E28" s="540">
        <v>49376.551297896251</v>
      </c>
      <c r="F28" s="540">
        <v>51741.733676990276</v>
      </c>
      <c r="G28" s="540">
        <v>54496.794806406659</v>
      </c>
      <c r="H28" s="279">
        <f t="shared" si="4"/>
        <v>4.6010774055409209E-2</v>
      </c>
      <c r="I28" s="248"/>
      <c r="J28" s="306" t="s">
        <v>1362</v>
      </c>
      <c r="K28" s="306"/>
      <c r="L28" s="306"/>
      <c r="M28" s="306"/>
      <c r="N28" s="266"/>
      <c r="O28" s="266"/>
      <c r="P28" s="266"/>
      <c r="Q28" s="5"/>
      <c r="S28" s="42"/>
      <c r="T28" s="42"/>
      <c r="U28" s="42"/>
      <c r="V28" s="147" t="s">
        <v>466</v>
      </c>
      <c r="W28" s="288">
        <f t="shared" si="6"/>
        <v>0.71794067812063722</v>
      </c>
      <c r="X28" s="288">
        <v>1</v>
      </c>
      <c r="Y28" s="42"/>
      <c r="Z28" s="42"/>
      <c r="AA28" s="42"/>
    </row>
    <row r="29" spans="2:27" ht="12.6" thickTop="1">
      <c r="B29" s="5" t="s">
        <v>588</v>
      </c>
      <c r="C29" s="548">
        <v>3981</v>
      </c>
      <c r="D29" s="540">
        <v>7020.0025568338933</v>
      </c>
      <c r="E29" s="540">
        <v>8415.0263294136348</v>
      </c>
      <c r="F29" s="540">
        <v>9169.4921412859912</v>
      </c>
      <c r="G29" s="540">
        <v>9790.0408324807977</v>
      </c>
      <c r="H29" s="279">
        <f t="shared" si="4"/>
        <v>0.11724669242949792</v>
      </c>
      <c r="I29" s="252"/>
      <c r="J29" s="249"/>
      <c r="K29" s="249"/>
      <c r="L29" s="249"/>
      <c r="M29" s="249"/>
      <c r="N29" s="249"/>
      <c r="O29" s="251"/>
      <c r="Q29" s="5"/>
      <c r="S29" s="42"/>
      <c r="T29" s="42"/>
      <c r="U29" s="42"/>
      <c r="V29" s="147" t="s">
        <v>530</v>
      </c>
      <c r="W29" s="288">
        <f t="shared" si="6"/>
        <v>0.80468764869892384</v>
      </c>
      <c r="X29" s="288">
        <v>1</v>
      </c>
      <c r="Y29" s="42"/>
      <c r="Z29" s="42"/>
      <c r="AA29" s="42"/>
    </row>
    <row r="30" spans="2:27">
      <c r="B30" s="5" t="s">
        <v>589</v>
      </c>
      <c r="C30" s="549">
        <v>4378.4639999999999</v>
      </c>
      <c r="D30" s="540">
        <v>5372.2146208676177</v>
      </c>
      <c r="E30" s="540">
        <v>6559.7670225033462</v>
      </c>
      <c r="F30" s="540">
        <v>8148.0058202639048</v>
      </c>
      <c r="G30" s="540">
        <v>9221.5789611852415</v>
      </c>
      <c r="H30" s="279">
        <f t="shared" si="4"/>
        <v>0.19733950436133263</v>
      </c>
      <c r="I30" s="254"/>
      <c r="J30" s="248"/>
      <c r="K30" s="248"/>
      <c r="L30" s="248"/>
      <c r="M30" s="248"/>
      <c r="N30" s="248"/>
      <c r="O30" s="5"/>
      <c r="Q30" s="5"/>
      <c r="S30" s="42"/>
      <c r="T30" s="42"/>
      <c r="U30" s="42"/>
      <c r="V30" s="147" t="s">
        <v>593</v>
      </c>
      <c r="W30" s="288">
        <f t="shared" si="6"/>
        <v>0.80836411479744141</v>
      </c>
      <c r="X30" s="288">
        <v>1</v>
      </c>
      <c r="Y30" s="42"/>
      <c r="Z30" s="42"/>
      <c r="AA30" s="42"/>
    </row>
    <row r="31" spans="2:27">
      <c r="B31" s="5" t="s">
        <v>590</v>
      </c>
      <c r="C31" s="549">
        <v>6286.2059909999998</v>
      </c>
      <c r="D31" s="540">
        <v>3893.8921251829042</v>
      </c>
      <c r="E31" s="540">
        <v>4552.7790000000005</v>
      </c>
      <c r="F31" s="540">
        <v>6088.5572000000002</v>
      </c>
      <c r="G31" s="540">
        <v>7269.3241999999991</v>
      </c>
      <c r="H31" s="279">
        <f t="shared" si="4"/>
        <v>0.2313174684450654</v>
      </c>
      <c r="I31" s="254"/>
      <c r="J31" s="252"/>
      <c r="K31" s="252"/>
      <c r="L31" s="252"/>
      <c r="M31" s="252"/>
      <c r="N31" s="252"/>
      <c r="O31" s="5"/>
      <c r="Q31" s="5"/>
      <c r="S31" s="42"/>
      <c r="T31" s="42"/>
      <c r="U31" s="42"/>
      <c r="V31" s="147" t="s">
        <v>475</v>
      </c>
      <c r="W31" s="288">
        <f t="shared" si="6"/>
        <v>0.35238517768750083</v>
      </c>
      <c r="X31" s="288">
        <v>1</v>
      </c>
      <c r="Y31" s="42"/>
      <c r="Z31" s="42"/>
      <c r="AA31" s="42"/>
    </row>
    <row r="32" spans="2:27">
      <c r="B32" s="5" t="s">
        <v>606</v>
      </c>
      <c r="C32" s="550">
        <v>0</v>
      </c>
      <c r="D32" s="540">
        <v>0</v>
      </c>
      <c r="E32" s="540">
        <v>0</v>
      </c>
      <c r="F32" s="540">
        <v>0</v>
      </c>
      <c r="G32" s="540">
        <v>0</v>
      </c>
      <c r="H32" s="279" t="str">
        <f t="shared" si="4"/>
        <v>nm</v>
      </c>
      <c r="I32" s="254"/>
      <c r="J32" s="254"/>
      <c r="K32" s="254"/>
      <c r="L32" s="254"/>
      <c r="M32" s="254"/>
      <c r="N32" s="254"/>
      <c r="O32" s="251"/>
      <c r="Q32" s="5"/>
      <c r="S32" s="42"/>
      <c r="T32" s="42"/>
      <c r="U32" s="42"/>
      <c r="V32" s="147" t="s">
        <v>533</v>
      </c>
      <c r="W32" s="288">
        <f t="shared" si="6"/>
        <v>0.92730937436512739</v>
      </c>
      <c r="X32" s="288">
        <v>1</v>
      </c>
      <c r="Y32" s="42"/>
      <c r="Z32" s="42"/>
      <c r="AA32" s="42"/>
    </row>
    <row r="33" spans="2:27">
      <c r="B33" s="5" t="s">
        <v>5</v>
      </c>
      <c r="C33" s="549">
        <v>1766.3200000000002</v>
      </c>
      <c r="D33" s="540">
        <v>2315.5098996276679</v>
      </c>
      <c r="E33" s="540">
        <v>2064.5420244759462</v>
      </c>
      <c r="F33" s="540">
        <v>1989.4684896621404</v>
      </c>
      <c r="G33" s="540">
        <v>2029.675768007422</v>
      </c>
      <c r="H33" s="279">
        <f>IF(D33=0,"nm",IF(G33=0,"nm",(G33/D33)^(1/3)-1))</f>
        <v>-4.2967525125220951E-2</v>
      </c>
      <c r="I33" s="5"/>
      <c r="J33" s="254"/>
      <c r="K33" s="254"/>
      <c r="L33" s="254"/>
      <c r="M33" s="254"/>
      <c r="N33" s="254"/>
      <c r="O33" s="251"/>
      <c r="Q33" s="5"/>
      <c r="S33" s="42"/>
      <c r="T33" s="42"/>
      <c r="U33" s="42"/>
      <c r="V33" s="147" t="s">
        <v>580</v>
      </c>
      <c r="W33" s="288">
        <f t="shared" si="6"/>
        <v>1.4322865946712784</v>
      </c>
      <c r="X33" s="288">
        <v>1</v>
      </c>
      <c r="Y33" s="42"/>
      <c r="Z33" s="42"/>
      <c r="AA33" s="42"/>
    </row>
    <row r="34" spans="2:27">
      <c r="D34" s="5"/>
      <c r="E34" s="5"/>
      <c r="F34" s="5"/>
      <c r="G34" s="5"/>
      <c r="I34" s="49"/>
      <c r="J34" s="254"/>
      <c r="K34" s="254"/>
      <c r="L34" s="254"/>
      <c r="M34" s="254"/>
      <c r="N34" s="254"/>
      <c r="O34" s="251"/>
      <c r="Q34" s="5"/>
      <c r="S34" s="42"/>
      <c r="T34" s="42"/>
      <c r="U34" s="42"/>
      <c r="V34" s="147" t="s">
        <v>581</v>
      </c>
      <c r="W34" s="288">
        <f>D47/L19</f>
        <v>2.837803810484933</v>
      </c>
      <c r="X34" s="288">
        <v>1</v>
      </c>
      <c r="Y34" s="288"/>
      <c r="Z34" s="288"/>
      <c r="AA34" s="42"/>
    </row>
    <row r="35" spans="2:27" ht="12.6" thickBot="1">
      <c r="B35" s="306" t="s">
        <v>621</v>
      </c>
      <c r="C35" s="265"/>
      <c r="D35" s="265" t="str">
        <f>D5</f>
        <v>2023E</v>
      </c>
      <c r="E35" s="265" t="str">
        <f t="shared" ref="E35:H35" si="7">E5</f>
        <v>2024E</v>
      </c>
      <c r="F35" s="265" t="str">
        <f t="shared" si="7"/>
        <v>2025E</v>
      </c>
      <c r="G35" s="265" t="str">
        <f t="shared" si="7"/>
        <v>2026E</v>
      </c>
      <c r="H35" s="265" t="str">
        <f t="shared" si="7"/>
        <v>23E-26E</v>
      </c>
      <c r="I35" s="254"/>
      <c r="J35" s="5"/>
      <c r="K35" s="5"/>
      <c r="L35" s="5"/>
      <c r="M35" s="5"/>
      <c r="N35" s="5"/>
      <c r="O35" s="5"/>
      <c r="Q35" s="5"/>
      <c r="S35" s="42"/>
      <c r="T35" s="42"/>
      <c r="U35" s="42"/>
      <c r="V35" s="42"/>
      <c r="W35" s="42"/>
      <c r="X35" s="42"/>
      <c r="Y35" s="288"/>
      <c r="Z35" s="288"/>
      <c r="AA35" s="42"/>
    </row>
    <row r="36" spans="2:27" ht="12.6" thickTop="1">
      <c r="B36" s="41"/>
      <c r="C36" s="249"/>
      <c r="D36" s="254"/>
      <c r="E36" s="254"/>
      <c r="F36" s="254"/>
      <c r="G36" s="254"/>
      <c r="H36" s="254"/>
      <c r="I36" s="17"/>
      <c r="J36" s="49"/>
      <c r="K36" s="49"/>
      <c r="L36" s="49"/>
      <c r="M36" s="49"/>
      <c r="N36" s="49"/>
      <c r="O36" s="49"/>
      <c r="Q36" s="5"/>
      <c r="S36" s="42"/>
      <c r="T36" s="42"/>
      <c r="U36" s="42"/>
      <c r="V36" s="42"/>
      <c r="W36" s="42"/>
      <c r="X36" s="42"/>
      <c r="Y36" s="288"/>
      <c r="Z36" s="288"/>
      <c r="AA36" s="42"/>
    </row>
    <row r="37" spans="2:27">
      <c r="B37" s="5" t="s">
        <v>273</v>
      </c>
      <c r="C37" s="247"/>
      <c r="D37" s="529">
        <f>D$18/D23</f>
        <v>1.5829045878912495</v>
      </c>
      <c r="E37" s="529">
        <f t="shared" ref="E37:G41" si="8">E$18/E23</f>
        <v>1.4074902668711373</v>
      </c>
      <c r="F37" s="529">
        <f t="shared" si="8"/>
        <v>1.218626630715232</v>
      </c>
      <c r="G37" s="529">
        <f t="shared" si="8"/>
        <v>1.0507209979298231</v>
      </c>
      <c r="H37" s="17">
        <f t="shared" ref="H37:H45" si="9">H23</f>
        <v>5.3558436109118146E-2</v>
      </c>
      <c r="I37" s="5"/>
      <c r="J37" s="259"/>
      <c r="K37" s="259"/>
      <c r="L37" s="259"/>
      <c r="M37" s="259"/>
      <c r="N37" s="259"/>
      <c r="O37" s="18"/>
      <c r="Q37" s="5"/>
      <c r="R37" s="5"/>
      <c r="S37" s="42"/>
      <c r="T37" s="42"/>
      <c r="U37" s="42"/>
      <c r="V37" s="42"/>
      <c r="W37" s="42"/>
      <c r="X37" s="42"/>
      <c r="Y37" s="42"/>
      <c r="Z37" s="42"/>
      <c r="AA37" s="42"/>
    </row>
    <row r="38" spans="2:27">
      <c r="B38" s="5" t="s">
        <v>184</v>
      </c>
      <c r="C38" s="247"/>
      <c r="D38" s="529">
        <f>D$18/D24</f>
        <v>3.9113634571043887</v>
      </c>
      <c r="E38" s="529">
        <f t="shared" si="8"/>
        <v>3.3965878886720513</v>
      </c>
      <c r="F38" s="529">
        <f t="shared" si="8"/>
        <v>2.8720746984112022</v>
      </c>
      <c r="G38" s="529">
        <f>G$18/G24</f>
        <v>2.4476102166861797</v>
      </c>
      <c r="H38" s="17">
        <f t="shared" si="9"/>
        <v>7.4479561881599876E-2</v>
      </c>
      <c r="I38" s="259"/>
      <c r="J38" s="17"/>
      <c r="K38" s="17"/>
      <c r="L38" s="17"/>
      <c r="M38" s="17"/>
      <c r="N38" s="17"/>
      <c r="O38" s="5"/>
      <c r="Q38" s="5"/>
      <c r="R38" s="5"/>
      <c r="S38" s="42"/>
      <c r="T38" s="42"/>
      <c r="U38" s="42"/>
      <c r="V38" s="42"/>
      <c r="W38" s="42"/>
      <c r="X38" s="42"/>
      <c r="Y38" s="42"/>
      <c r="Z38" s="42"/>
      <c r="AA38" s="42"/>
    </row>
    <row r="39" spans="2:27">
      <c r="B39" s="5" t="s">
        <v>185</v>
      </c>
      <c r="C39" s="247"/>
      <c r="D39" s="529">
        <f>D$18/D25</f>
        <v>6.7582052274874629</v>
      </c>
      <c r="E39" s="529">
        <f t="shared" si="8"/>
        <v>5.4829093764712367</v>
      </c>
      <c r="F39" s="529">
        <f t="shared" si="8"/>
        <v>4.5226726893681901</v>
      </c>
      <c r="G39" s="529">
        <f t="shared" si="8"/>
        <v>3.7745020379300822</v>
      </c>
      <c r="H39" s="17">
        <f t="shared" si="9"/>
        <v>0.11598945437726726</v>
      </c>
      <c r="I39" s="17"/>
      <c r="J39" s="5"/>
      <c r="K39" s="5"/>
      <c r="L39" s="5"/>
      <c r="M39" s="5"/>
      <c r="N39" s="5"/>
      <c r="O39" s="5"/>
      <c r="Q39" s="5"/>
      <c r="R39" s="5"/>
      <c r="S39" s="42"/>
      <c r="T39" s="42"/>
      <c r="U39" s="42"/>
      <c r="V39" s="42"/>
      <c r="W39" s="42"/>
      <c r="X39" s="42"/>
      <c r="Y39" s="42"/>
      <c r="Z39" s="42"/>
      <c r="AA39" s="42"/>
    </row>
    <row r="40" spans="2:27">
      <c r="B40" s="5" t="s">
        <v>466</v>
      </c>
      <c r="C40" s="247"/>
      <c r="D40" s="529">
        <f>D$18/D26</f>
        <v>10.239704890132522</v>
      </c>
      <c r="E40" s="529">
        <f t="shared" si="8"/>
        <v>8.3074384491988447</v>
      </c>
      <c r="F40" s="529">
        <f t="shared" si="8"/>
        <v>6.852534377830592</v>
      </c>
      <c r="G40" s="529">
        <f t="shared" si="8"/>
        <v>5.7189424817122463</v>
      </c>
      <c r="H40" s="17">
        <f t="shared" si="9"/>
        <v>0.11598945437726726</v>
      </c>
      <c r="I40" s="5"/>
      <c r="J40" s="259"/>
      <c r="K40" s="259"/>
      <c r="L40" s="259"/>
      <c r="M40" s="259"/>
      <c r="N40" s="259"/>
      <c r="O40" s="18"/>
      <c r="Q40" s="5"/>
      <c r="R40" s="5"/>
      <c r="S40" s="42"/>
      <c r="T40" s="42"/>
      <c r="U40" s="42"/>
      <c r="V40" s="42"/>
      <c r="W40" s="288"/>
      <c r="X40" s="288"/>
      <c r="Y40" s="42"/>
      <c r="Z40" s="42"/>
      <c r="AA40" s="42"/>
    </row>
    <row r="41" spans="2:27">
      <c r="B41" s="5" t="s">
        <v>530</v>
      </c>
      <c r="C41" s="247"/>
      <c r="D41" s="529">
        <f>D$18/D27</f>
        <v>1.0018797009325544</v>
      </c>
      <c r="E41" s="529">
        <f t="shared" si="8"/>
        <v>0.96482544191825037</v>
      </c>
      <c r="F41" s="529">
        <f t="shared" si="8"/>
        <v>0.90345356651256803</v>
      </c>
      <c r="G41" s="529">
        <f t="shared" si="8"/>
        <v>0.82238939163192148</v>
      </c>
      <c r="H41" s="17">
        <f t="shared" si="9"/>
        <v>-1.84429513214317E-2</v>
      </c>
      <c r="I41" s="247"/>
      <c r="J41" s="17"/>
      <c r="K41" s="17"/>
      <c r="L41" s="17"/>
      <c r="M41" s="17"/>
      <c r="N41" s="17"/>
      <c r="O41" s="5"/>
      <c r="Q41" s="5"/>
      <c r="R41" s="5"/>
      <c r="S41" s="42"/>
      <c r="T41" s="42"/>
      <c r="U41" s="42"/>
      <c r="V41" s="42"/>
      <c r="W41" s="288"/>
      <c r="X41" s="288"/>
      <c r="Y41" s="288"/>
      <c r="Z41" s="288"/>
      <c r="AA41" s="42"/>
    </row>
    <row r="42" spans="2:27">
      <c r="B42" s="5" t="s">
        <v>593</v>
      </c>
      <c r="C42" s="247"/>
      <c r="D42" s="529">
        <f>D18/D28</f>
        <v>1.7320949297918533</v>
      </c>
      <c r="E42" s="529">
        <f>E18/E28</f>
        <v>1.5620899572323337</v>
      </c>
      <c r="F42" s="529">
        <f>F18/F28</f>
        <v>1.3692798828089263</v>
      </c>
      <c r="G42" s="529">
        <f>G18/G28</f>
        <v>1.1748212065587531</v>
      </c>
      <c r="H42" s="17">
        <f t="shared" si="9"/>
        <v>4.6010774055409209E-2</v>
      </c>
      <c r="I42" s="248"/>
      <c r="J42" s="5"/>
      <c r="K42" s="5"/>
      <c r="L42" s="5"/>
      <c r="M42" s="5"/>
      <c r="N42" s="5"/>
      <c r="O42" s="5"/>
      <c r="Q42" s="5"/>
      <c r="R42" s="5"/>
      <c r="S42" s="42"/>
      <c r="T42" s="42"/>
      <c r="U42" s="42"/>
      <c r="V42" s="42"/>
      <c r="W42" s="288"/>
      <c r="X42" s="288"/>
      <c r="Y42" s="288"/>
      <c r="Z42" s="288"/>
      <c r="AA42" s="42"/>
    </row>
    <row r="43" spans="2:27">
      <c r="B43" s="5" t="s">
        <v>475</v>
      </c>
      <c r="C43" s="247"/>
      <c r="D43" s="529">
        <f>L26/D29</f>
        <v>10.529343800315797</v>
      </c>
      <c r="E43" s="529">
        <f>M26/E29</f>
        <v>8.7292680408188978</v>
      </c>
      <c r="F43" s="529">
        <f>N26/F29</f>
        <v>7.9509551103421465</v>
      </c>
      <c r="G43" s="529">
        <f>O26/G29</f>
        <v>7.3766516029637463</v>
      </c>
      <c r="H43" s="17">
        <f t="shared" si="9"/>
        <v>0.11724669242949792</v>
      </c>
      <c r="I43" s="247"/>
      <c r="J43" s="247"/>
      <c r="K43" s="247"/>
      <c r="L43" s="247"/>
      <c r="M43" s="247"/>
      <c r="N43" s="247"/>
      <c r="O43" s="18"/>
      <c r="Q43" s="5"/>
      <c r="R43" s="5"/>
      <c r="S43" s="42"/>
      <c r="T43" s="42"/>
      <c r="U43" s="42"/>
      <c r="V43" s="42"/>
      <c r="W43" s="288"/>
      <c r="X43" s="288"/>
      <c r="Y43" s="288"/>
      <c r="Z43" s="288"/>
      <c r="AA43" s="42"/>
    </row>
    <row r="44" spans="2:27">
      <c r="B44" s="5" t="s">
        <v>533</v>
      </c>
      <c r="C44" s="69"/>
      <c r="D44" s="529">
        <f>D11/D30</f>
        <v>14.145008299710769</v>
      </c>
      <c r="E44" s="529">
        <f>E11/E30</f>
        <v>11.514283989185907</v>
      </c>
      <c r="F44" s="529">
        <f>F11/F30</f>
        <v>9.2022786991052339</v>
      </c>
      <c r="G44" s="529">
        <f>G11/G30</f>
        <v>8.0562906539870216</v>
      </c>
      <c r="H44" s="17">
        <f t="shared" si="9"/>
        <v>0.19733950436133263</v>
      </c>
      <c r="I44" s="247"/>
      <c r="J44" s="248"/>
      <c r="K44" s="248"/>
      <c r="L44" s="248"/>
      <c r="M44" s="248"/>
      <c r="N44" s="248"/>
      <c r="O44" s="248"/>
      <c r="Q44" s="5"/>
      <c r="R44" s="5"/>
      <c r="S44" s="42"/>
      <c r="T44" s="42"/>
      <c r="U44" s="42"/>
      <c r="V44" s="42"/>
      <c r="W44" s="325"/>
      <c r="X44" s="325"/>
      <c r="Y44" s="288"/>
      <c r="Z44" s="288"/>
      <c r="AA44" s="42"/>
    </row>
    <row r="45" spans="2:27">
      <c r="B45" s="5" t="s">
        <v>580</v>
      </c>
      <c r="C45" s="247"/>
      <c r="D45" s="248">
        <f>D31/D11</f>
        <v>5.1242151333636236E-2</v>
      </c>
      <c r="E45" s="248">
        <f>E31/E11</f>
        <v>6.027694284929852E-2</v>
      </c>
      <c r="F45" s="248">
        <f>F31/F11</f>
        <v>8.1202177954654287E-2</v>
      </c>
      <c r="G45" s="248">
        <f>G31/G11</f>
        <v>9.784837611594735E-2</v>
      </c>
      <c r="H45" s="17">
        <f t="shared" si="9"/>
        <v>0.2313174684450654</v>
      </c>
      <c r="I45" s="248"/>
      <c r="J45" s="247"/>
      <c r="K45" s="247"/>
      <c r="L45" s="247"/>
      <c r="M45" s="247"/>
      <c r="N45" s="247"/>
      <c r="O45" s="248"/>
      <c r="Q45" s="5"/>
      <c r="R45" s="5"/>
      <c r="S45" s="42"/>
      <c r="T45" s="42"/>
      <c r="U45" s="42"/>
      <c r="V45" s="42"/>
      <c r="W45" s="42"/>
      <c r="X45" s="42"/>
      <c r="Y45" s="325"/>
      <c r="Z45" s="325"/>
      <c r="AA45" s="42"/>
    </row>
    <row r="46" spans="2:27">
      <c r="B46" s="5" t="s">
        <v>605</v>
      </c>
      <c r="C46" s="247"/>
      <c r="D46" s="248">
        <f>(D31+D32)/D11</f>
        <v>5.1242151333636236E-2</v>
      </c>
      <c r="E46" s="248">
        <f>(E31+E32)/E11</f>
        <v>6.027694284929852E-2</v>
      </c>
      <c r="F46" s="248">
        <f>(F31+F32)/F11</f>
        <v>8.1202177954654287E-2</v>
      </c>
      <c r="G46" s="248">
        <f>(G31+G32)/G11</f>
        <v>9.784837611594735E-2</v>
      </c>
      <c r="H46" s="279">
        <f>((G31+G32)/(D31+D32))^(1/3)-1</f>
        <v>0.2313174684450654</v>
      </c>
      <c r="I46" s="247"/>
      <c r="J46" s="247"/>
      <c r="K46" s="247"/>
      <c r="L46" s="247"/>
      <c r="M46" s="247"/>
      <c r="N46" s="247"/>
      <c r="O46" s="18"/>
      <c r="Q46" s="5"/>
      <c r="R46" s="5"/>
      <c r="S46" s="42"/>
      <c r="T46" s="42"/>
      <c r="U46" s="42"/>
      <c r="V46" s="42"/>
      <c r="W46" s="42"/>
      <c r="X46" s="42"/>
      <c r="Y46" s="42"/>
      <c r="Z46" s="42"/>
      <c r="AA46" s="326"/>
    </row>
    <row r="47" spans="2:27">
      <c r="B47" s="5" t="s">
        <v>581</v>
      </c>
      <c r="C47" s="5"/>
      <c r="D47" s="248">
        <f>1/D43</f>
        <v>9.4972680061031725E-2</v>
      </c>
      <c r="E47" s="248">
        <f>1/E43</f>
        <v>0.11455714217090181</v>
      </c>
      <c r="F47" s="248">
        <f>1/F43</f>
        <v>0.12577105342970146</v>
      </c>
      <c r="G47" s="248">
        <f>1/G43</f>
        <v>0.13556286155607866</v>
      </c>
      <c r="H47" s="17">
        <f>H29</f>
        <v>0.11724669242949792</v>
      </c>
      <c r="I47" s="17"/>
      <c r="J47" s="248"/>
      <c r="K47" s="248"/>
      <c r="L47" s="248"/>
      <c r="M47" s="248"/>
      <c r="N47" s="248"/>
      <c r="O47" s="248"/>
      <c r="Q47" s="5"/>
      <c r="R47" s="5"/>
      <c r="S47" s="42"/>
      <c r="T47" s="42"/>
      <c r="U47" s="42"/>
      <c r="V47" s="42"/>
      <c r="W47" s="42"/>
      <c r="X47" s="42"/>
      <c r="Y47" s="42"/>
      <c r="Z47" s="42"/>
      <c r="AA47" s="326"/>
    </row>
    <row r="48" spans="2:27">
      <c r="B48" s="5" t="s">
        <v>618</v>
      </c>
      <c r="C48" s="5"/>
      <c r="D48" s="305">
        <f>D31/D29</f>
        <v>0.55468528588956767</v>
      </c>
      <c r="E48" s="305">
        <f>E31/E29</f>
        <v>0.5410296797392482</v>
      </c>
      <c r="F48" s="305">
        <f>F31/F29</f>
        <v>0.66400157240836022</v>
      </c>
      <c r="G48" s="305">
        <f>G31/G29</f>
        <v>0.74252235760675078</v>
      </c>
      <c r="H48" s="279" t="s">
        <v>607</v>
      </c>
      <c r="I48" s="247"/>
      <c r="J48" s="247"/>
      <c r="K48" s="247"/>
      <c r="L48" s="247"/>
      <c r="M48" s="247"/>
      <c r="N48" s="247"/>
      <c r="O48" s="248"/>
      <c r="Q48" s="5"/>
      <c r="R48" s="5"/>
      <c r="S48" s="42"/>
      <c r="T48" s="42"/>
      <c r="U48" s="42"/>
      <c r="V48" s="42"/>
      <c r="W48" s="42"/>
      <c r="X48" s="42"/>
      <c r="Y48" s="42"/>
      <c r="Z48" s="42"/>
      <c r="AA48" s="326"/>
    </row>
    <row r="49" spans="2:27">
      <c r="B49" s="41"/>
      <c r="C49" s="17"/>
      <c r="D49" s="17"/>
      <c r="E49" s="17"/>
      <c r="F49" s="17"/>
      <c r="G49" s="17"/>
      <c r="H49" s="17"/>
      <c r="I49" s="254"/>
      <c r="J49" s="17"/>
      <c r="K49" s="17"/>
      <c r="L49" s="17"/>
      <c r="M49" s="17"/>
      <c r="N49" s="17"/>
      <c r="O49" s="248"/>
      <c r="Q49" s="5"/>
      <c r="R49" s="5"/>
      <c r="S49" s="42"/>
      <c r="T49" s="42"/>
      <c r="U49" s="42"/>
      <c r="V49" s="42"/>
      <c r="W49" s="42"/>
      <c r="X49" s="42"/>
      <c r="Y49" s="42"/>
      <c r="Z49" s="42"/>
      <c r="AA49" s="326"/>
    </row>
    <row r="50" spans="2:27">
      <c r="B50" s="5"/>
      <c r="C50" s="257"/>
      <c r="D50" s="257"/>
      <c r="E50" s="257"/>
      <c r="F50" s="5"/>
      <c r="G50" s="41"/>
      <c r="H50" s="249"/>
      <c r="I50" s="17"/>
      <c r="J50" s="249"/>
      <c r="K50" s="249"/>
      <c r="L50" s="249"/>
      <c r="M50" s="249"/>
      <c r="N50" s="249"/>
      <c r="O50" s="250"/>
      <c r="Q50" s="5"/>
      <c r="R50" s="5"/>
      <c r="S50" s="42"/>
      <c r="T50" s="42"/>
      <c r="U50" s="42"/>
      <c r="V50" s="42"/>
      <c r="W50" s="288"/>
      <c r="X50" s="288"/>
      <c r="Y50" s="42"/>
      <c r="Z50" s="42"/>
      <c r="AA50" s="326"/>
    </row>
    <row r="51" spans="2:27">
      <c r="B51" s="41"/>
      <c r="C51" s="249"/>
      <c r="D51" s="254"/>
      <c r="E51" s="254"/>
      <c r="F51" s="254"/>
      <c r="G51" s="254"/>
      <c r="H51" s="254"/>
      <c r="I51" s="259"/>
      <c r="J51" s="254"/>
      <c r="K51" s="254"/>
      <c r="L51" s="254"/>
      <c r="M51" s="254"/>
      <c r="N51" s="254"/>
      <c r="O51" s="251"/>
      <c r="Q51" s="5"/>
      <c r="R51" s="5"/>
      <c r="S51" s="42"/>
      <c r="T51" s="42"/>
      <c r="U51" s="42"/>
      <c r="V51" s="42"/>
      <c r="W51" s="288"/>
      <c r="X51" s="288"/>
      <c r="Y51" s="288"/>
      <c r="Z51" s="288"/>
      <c r="AA51" s="42"/>
    </row>
    <row r="52" spans="2:27">
      <c r="B52" s="5"/>
      <c r="C52" s="257"/>
      <c r="D52" s="17"/>
      <c r="E52" s="17"/>
      <c r="F52" s="17"/>
      <c r="G52" s="17"/>
      <c r="H52" s="17"/>
      <c r="I52" s="254"/>
      <c r="J52" s="17"/>
      <c r="K52" s="17"/>
      <c r="L52" s="17"/>
      <c r="M52" s="17"/>
      <c r="N52" s="17"/>
      <c r="O52" s="248"/>
      <c r="Q52" s="5"/>
      <c r="R52" s="5"/>
      <c r="Y52" s="10"/>
      <c r="Z52" s="10"/>
    </row>
    <row r="53" spans="2:27">
      <c r="B53" s="5"/>
      <c r="C53" s="257"/>
      <c r="D53" s="257"/>
      <c r="E53" s="257"/>
      <c r="F53" s="5"/>
      <c r="G53" s="5"/>
      <c r="H53" s="259"/>
      <c r="I53" s="17"/>
      <c r="J53" s="259"/>
      <c r="K53" s="259"/>
      <c r="L53" s="259"/>
      <c r="M53" s="259"/>
      <c r="N53" s="259"/>
      <c r="O53" s="18"/>
      <c r="Q53" s="5"/>
      <c r="R53" s="5"/>
    </row>
    <row r="54" spans="2:27">
      <c r="B54" s="41"/>
      <c r="C54" s="249"/>
      <c r="D54" s="254"/>
      <c r="E54" s="254"/>
      <c r="F54" s="254"/>
      <c r="G54" s="254"/>
      <c r="H54" s="254"/>
      <c r="I54" s="259"/>
      <c r="J54" s="254"/>
      <c r="K54" s="254"/>
      <c r="L54" s="254"/>
      <c r="M54" s="254"/>
      <c r="N54" s="254"/>
      <c r="O54" s="251"/>
      <c r="Q54" s="5"/>
      <c r="R54" s="5"/>
    </row>
    <row r="55" spans="2:27">
      <c r="B55" s="5"/>
      <c r="C55" s="257"/>
      <c r="D55" s="17"/>
      <c r="E55" s="17"/>
      <c r="F55" s="17"/>
      <c r="G55" s="17"/>
      <c r="H55" s="17"/>
      <c r="I55" s="249"/>
      <c r="J55" s="17"/>
      <c r="K55" s="17"/>
      <c r="L55" s="17"/>
      <c r="M55" s="17"/>
      <c r="N55" s="17"/>
      <c r="O55" s="18"/>
      <c r="Q55" s="5"/>
      <c r="R55" s="5"/>
    </row>
    <row r="56" spans="2:27">
      <c r="B56" s="5"/>
      <c r="C56" s="248"/>
      <c r="D56" s="248"/>
      <c r="E56" s="248"/>
      <c r="F56" s="5"/>
      <c r="G56" s="5"/>
      <c r="H56" s="259"/>
      <c r="I56" s="248"/>
      <c r="J56" s="259"/>
      <c r="K56" s="259"/>
      <c r="L56" s="259"/>
      <c r="M56" s="259"/>
      <c r="N56" s="259"/>
      <c r="O56" s="18"/>
      <c r="Q56" s="5"/>
      <c r="R56" s="5"/>
    </row>
    <row r="57" spans="2:27">
      <c r="B57" s="41"/>
      <c r="C57" s="249"/>
      <c r="D57" s="249"/>
      <c r="E57" s="249"/>
      <c r="F57" s="249"/>
      <c r="G57" s="249"/>
      <c r="H57" s="249"/>
      <c r="I57" s="5"/>
      <c r="J57" s="249"/>
      <c r="K57" s="249"/>
      <c r="L57" s="249"/>
      <c r="M57" s="249"/>
      <c r="N57" s="249"/>
      <c r="O57" s="251"/>
      <c r="Q57" s="5"/>
      <c r="R57" s="5"/>
    </row>
    <row r="58" spans="2:27">
      <c r="B58" s="5"/>
      <c r="C58" s="5"/>
      <c r="D58" s="248"/>
      <c r="E58" s="248"/>
      <c r="F58" s="248"/>
      <c r="G58" s="248"/>
      <c r="H58" s="248"/>
      <c r="I58" s="17"/>
      <c r="J58" s="248"/>
      <c r="K58" s="248"/>
      <c r="L58" s="248"/>
      <c r="M58" s="248"/>
      <c r="N58" s="248"/>
      <c r="O58" s="18"/>
      <c r="Q58" s="5"/>
      <c r="R58" s="5"/>
    </row>
    <row r="59" spans="2:27">
      <c r="B59" s="5"/>
      <c r="C59" s="5"/>
      <c r="D59" s="5"/>
      <c r="E59" s="5"/>
      <c r="F59" s="5"/>
      <c r="G59" s="5"/>
      <c r="H59" s="5"/>
      <c r="I59" s="5"/>
      <c r="J59" s="5"/>
      <c r="K59" s="5"/>
      <c r="L59" s="5"/>
      <c r="M59" s="5"/>
      <c r="N59" s="5"/>
      <c r="O59" s="5"/>
      <c r="Q59" s="5"/>
      <c r="R59" s="5"/>
    </row>
    <row r="60" spans="2:27">
      <c r="B60" s="41"/>
      <c r="C60" s="17"/>
      <c r="D60" s="17"/>
      <c r="E60" s="17"/>
      <c r="F60" s="17"/>
      <c r="G60" s="17"/>
      <c r="H60" s="17"/>
      <c r="I60" s="249"/>
      <c r="J60" s="17"/>
      <c r="K60" s="17"/>
      <c r="L60" s="17"/>
      <c r="M60" s="17"/>
      <c r="N60" s="17"/>
      <c r="O60" s="251"/>
      <c r="Q60" s="5"/>
      <c r="R60" s="5"/>
    </row>
    <row r="61" spans="2:27">
      <c r="B61" s="5"/>
      <c r="C61" s="5"/>
      <c r="D61" s="5"/>
      <c r="E61" s="5"/>
      <c r="F61" s="5"/>
      <c r="G61" s="5"/>
      <c r="H61" s="5"/>
      <c r="I61" s="5"/>
      <c r="J61" s="5"/>
      <c r="K61" s="5"/>
      <c r="L61" s="5"/>
      <c r="M61" s="5"/>
      <c r="N61" s="5"/>
      <c r="O61" s="5"/>
      <c r="Q61" s="41"/>
      <c r="R61" s="5"/>
    </row>
    <row r="62" spans="2:27">
      <c r="B62" s="41"/>
      <c r="C62" s="249"/>
      <c r="D62" s="249"/>
      <c r="E62" s="249"/>
      <c r="F62" s="249"/>
      <c r="G62" s="249"/>
      <c r="H62" s="249"/>
      <c r="I62" s="5"/>
      <c r="J62" s="249"/>
      <c r="K62" s="249"/>
      <c r="L62" s="249"/>
      <c r="M62" s="249"/>
      <c r="N62" s="249"/>
      <c r="O62" s="251"/>
      <c r="Q62" s="5"/>
      <c r="R62" s="5"/>
    </row>
    <row r="63" spans="2:27">
      <c r="B63" s="5"/>
      <c r="C63" s="5"/>
      <c r="D63" s="5"/>
      <c r="E63" s="5"/>
      <c r="F63" s="5"/>
      <c r="G63" s="5"/>
      <c r="H63" s="5"/>
      <c r="I63" s="254"/>
      <c r="J63" s="5"/>
      <c r="K63" s="5"/>
      <c r="L63" s="5"/>
      <c r="M63" s="5"/>
      <c r="N63" s="5"/>
      <c r="O63" s="5"/>
      <c r="Q63" s="5"/>
      <c r="R63" s="5"/>
    </row>
    <row r="64" spans="2:27">
      <c r="B64" s="5"/>
      <c r="C64" s="5"/>
      <c r="D64" s="5"/>
      <c r="E64" s="5"/>
      <c r="F64" s="5"/>
      <c r="G64" s="5"/>
      <c r="H64" s="5"/>
      <c r="I64" s="17"/>
      <c r="J64" s="5"/>
      <c r="K64" s="5"/>
      <c r="L64" s="5"/>
      <c r="M64" s="5"/>
      <c r="N64" s="5"/>
      <c r="O64" s="5"/>
      <c r="Q64" s="5"/>
      <c r="R64" s="5"/>
    </row>
    <row r="65" spans="2:26">
      <c r="B65" s="41"/>
      <c r="C65" s="249"/>
      <c r="D65" s="254"/>
      <c r="E65" s="254"/>
      <c r="F65" s="254"/>
      <c r="G65" s="254"/>
      <c r="H65" s="254"/>
      <c r="I65" s="254"/>
      <c r="J65" s="254"/>
      <c r="K65" s="254"/>
      <c r="L65" s="254"/>
      <c r="M65" s="254"/>
      <c r="N65" s="254"/>
      <c r="O65" s="251"/>
      <c r="Q65" s="5"/>
      <c r="R65" s="5"/>
    </row>
    <row r="66" spans="2:26">
      <c r="B66" s="5"/>
      <c r="C66" s="5"/>
      <c r="D66" s="17"/>
      <c r="E66" s="17"/>
      <c r="F66" s="17"/>
      <c r="G66" s="17"/>
      <c r="H66" s="17"/>
      <c r="I66" s="248"/>
      <c r="J66" s="17"/>
      <c r="K66" s="17"/>
      <c r="L66" s="17"/>
      <c r="M66" s="17"/>
      <c r="N66" s="17"/>
      <c r="O66" s="5"/>
      <c r="Q66" s="5"/>
      <c r="R66" s="5"/>
    </row>
    <row r="67" spans="2:26">
      <c r="B67" s="41"/>
      <c r="C67" s="249"/>
      <c r="D67" s="254"/>
      <c r="E67" s="254"/>
      <c r="F67" s="254"/>
      <c r="G67" s="254"/>
      <c r="H67" s="254"/>
      <c r="I67" s="5"/>
      <c r="J67" s="254"/>
      <c r="K67" s="254"/>
      <c r="L67" s="254"/>
      <c r="M67" s="254"/>
      <c r="N67" s="254"/>
      <c r="O67" s="251"/>
      <c r="Q67" s="41"/>
      <c r="R67" s="5"/>
    </row>
    <row r="68" spans="2:26">
      <c r="B68" s="5"/>
      <c r="C68" s="5"/>
      <c r="D68" s="248"/>
      <c r="E68" s="248"/>
      <c r="F68" s="248"/>
      <c r="G68" s="248"/>
      <c r="H68" s="248"/>
      <c r="I68" s="245"/>
      <c r="J68" s="248"/>
      <c r="K68" s="248"/>
      <c r="L68" s="248"/>
      <c r="M68" s="248"/>
      <c r="N68" s="248"/>
      <c r="O68" s="5"/>
      <c r="Q68" s="5"/>
      <c r="R68" s="5"/>
    </row>
    <row r="69" spans="2:26">
      <c r="B69" s="41"/>
      <c r="C69" s="5"/>
      <c r="D69" s="5"/>
      <c r="E69" s="5"/>
      <c r="F69" s="5"/>
      <c r="G69" s="5"/>
      <c r="H69" s="5"/>
      <c r="I69" s="248"/>
      <c r="J69" s="5"/>
      <c r="K69" s="5"/>
      <c r="L69" s="5"/>
      <c r="M69" s="5"/>
      <c r="N69" s="5"/>
      <c r="O69" s="5"/>
      <c r="Q69" s="5"/>
      <c r="R69" s="5"/>
    </row>
    <row r="70" spans="2:26">
      <c r="B70" s="41"/>
      <c r="C70" s="245"/>
      <c r="D70" s="245"/>
      <c r="E70" s="245"/>
      <c r="F70" s="245"/>
      <c r="G70" s="245"/>
      <c r="H70" s="245"/>
      <c r="I70" s="5"/>
      <c r="J70" s="245"/>
      <c r="K70" s="245"/>
      <c r="L70" s="245"/>
      <c r="M70" s="245"/>
      <c r="N70" s="245"/>
      <c r="O70" s="251"/>
      <c r="Q70" s="5"/>
      <c r="R70" s="5"/>
      <c r="W70" s="76"/>
      <c r="X70" s="76"/>
    </row>
    <row r="71" spans="2:26">
      <c r="B71" s="5"/>
      <c r="C71" s="5"/>
      <c r="D71" s="248"/>
      <c r="E71" s="248"/>
      <c r="F71" s="248"/>
      <c r="G71" s="248"/>
      <c r="H71" s="248"/>
      <c r="I71" s="245"/>
      <c r="J71" s="248"/>
      <c r="K71" s="248"/>
      <c r="L71" s="248"/>
      <c r="M71" s="248"/>
      <c r="N71" s="248"/>
      <c r="O71" s="5"/>
      <c r="Q71" s="5"/>
      <c r="R71" s="5"/>
      <c r="W71" s="76"/>
      <c r="X71" s="76"/>
      <c r="Y71" s="76"/>
      <c r="Z71" s="76"/>
    </row>
    <row r="72" spans="2:26">
      <c r="B72" s="41"/>
      <c r="C72" s="5"/>
      <c r="D72" s="5"/>
      <c r="E72" s="5"/>
      <c r="F72" s="5"/>
      <c r="G72" s="5"/>
      <c r="H72" s="5"/>
      <c r="I72" s="18"/>
      <c r="J72" s="5"/>
      <c r="K72" s="5"/>
      <c r="L72" s="5"/>
      <c r="M72" s="5"/>
      <c r="N72" s="5"/>
      <c r="O72" s="5"/>
      <c r="Q72" s="5"/>
      <c r="R72" s="5"/>
      <c r="Y72" s="76"/>
      <c r="Z72" s="76"/>
    </row>
    <row r="73" spans="2:26">
      <c r="B73" s="41"/>
      <c r="C73" s="245"/>
      <c r="D73" s="245"/>
      <c r="E73" s="245"/>
      <c r="F73" s="245"/>
      <c r="G73" s="245"/>
      <c r="H73" s="245"/>
      <c r="I73" s="5"/>
      <c r="J73" s="245"/>
      <c r="K73" s="245"/>
      <c r="L73" s="245"/>
      <c r="M73" s="245"/>
      <c r="N73" s="245"/>
      <c r="O73" s="251"/>
      <c r="Q73" s="5"/>
      <c r="R73" s="5"/>
    </row>
    <row r="74" spans="2:26">
      <c r="B74" s="5"/>
      <c r="C74" s="5"/>
      <c r="D74" s="18"/>
      <c r="E74" s="18"/>
      <c r="F74" s="18"/>
      <c r="G74" s="18"/>
      <c r="H74" s="18"/>
      <c r="I74" s="249"/>
      <c r="J74" s="18"/>
      <c r="K74" s="18"/>
      <c r="L74" s="18"/>
      <c r="M74" s="18"/>
      <c r="N74" s="18"/>
      <c r="O74" s="5"/>
      <c r="Q74" s="5"/>
      <c r="R74" s="5"/>
    </row>
    <row r="75" spans="2:26">
      <c r="B75" s="41"/>
      <c r="C75" s="5"/>
      <c r="D75" s="5"/>
      <c r="E75" s="5"/>
      <c r="F75" s="5"/>
      <c r="G75" s="5"/>
      <c r="H75" s="5"/>
      <c r="I75" s="248"/>
      <c r="J75" s="5"/>
      <c r="K75" s="5"/>
      <c r="L75" s="5"/>
      <c r="M75" s="5"/>
      <c r="N75" s="5"/>
      <c r="O75" s="5"/>
      <c r="Q75" s="5"/>
      <c r="R75" s="5"/>
    </row>
    <row r="76" spans="2:26">
      <c r="B76" s="41"/>
      <c r="C76" s="249"/>
      <c r="D76" s="249"/>
      <c r="E76" s="249"/>
      <c r="F76" s="249"/>
      <c r="G76" s="249"/>
      <c r="H76" s="249"/>
      <c r="I76" s="5"/>
      <c r="J76" s="249"/>
      <c r="K76" s="249"/>
      <c r="L76" s="249"/>
      <c r="M76" s="249"/>
      <c r="N76" s="249"/>
      <c r="O76" s="251"/>
      <c r="Q76" s="5"/>
      <c r="R76" s="5"/>
    </row>
    <row r="77" spans="2:26">
      <c r="B77" s="5"/>
      <c r="C77" s="5"/>
      <c r="D77" s="248"/>
      <c r="E77" s="248"/>
      <c r="F77" s="248"/>
      <c r="G77" s="248"/>
      <c r="H77" s="248"/>
      <c r="I77" s="245"/>
      <c r="J77" s="248"/>
      <c r="K77" s="248"/>
      <c r="L77" s="248"/>
      <c r="M77" s="248"/>
      <c r="N77" s="248"/>
      <c r="O77" s="5"/>
      <c r="Q77" s="5"/>
      <c r="R77" s="5"/>
    </row>
    <row r="78" spans="2:26">
      <c r="B78" s="41"/>
      <c r="C78" s="5"/>
      <c r="D78" s="5"/>
      <c r="E78" s="5"/>
      <c r="F78" s="5"/>
      <c r="G78" s="5"/>
      <c r="H78" s="5"/>
      <c r="I78" s="248"/>
      <c r="J78" s="5"/>
      <c r="K78" s="5"/>
      <c r="L78" s="5"/>
      <c r="M78" s="5"/>
      <c r="N78" s="5"/>
      <c r="O78" s="5"/>
      <c r="Q78" s="5"/>
      <c r="R78" s="5"/>
    </row>
    <row r="79" spans="2:26">
      <c r="B79" s="41"/>
      <c r="C79" s="245"/>
      <c r="D79" s="245"/>
      <c r="E79" s="245"/>
      <c r="F79" s="245"/>
      <c r="G79" s="245"/>
      <c r="H79" s="245"/>
      <c r="I79" s="5"/>
      <c r="J79" s="245"/>
      <c r="K79" s="245"/>
      <c r="L79" s="245"/>
      <c r="M79" s="245"/>
      <c r="N79" s="245"/>
      <c r="O79" s="251"/>
      <c r="Q79" s="5"/>
      <c r="R79" s="5"/>
    </row>
    <row r="80" spans="2:26">
      <c r="B80" s="5"/>
      <c r="C80" s="5"/>
      <c r="D80" s="248"/>
      <c r="E80" s="248"/>
      <c r="F80" s="248"/>
      <c r="G80" s="248"/>
      <c r="H80" s="248"/>
      <c r="I80" s="249"/>
      <c r="J80" s="248"/>
      <c r="K80" s="248"/>
      <c r="L80" s="248"/>
      <c r="M80" s="248"/>
      <c r="N80" s="248"/>
      <c r="O80" s="5"/>
      <c r="Q80" s="5"/>
      <c r="R80" s="5"/>
    </row>
    <row r="81" spans="2:26">
      <c r="B81" s="41"/>
      <c r="C81" s="5"/>
      <c r="D81" s="5"/>
      <c r="E81" s="5"/>
      <c r="F81" s="5"/>
      <c r="G81" s="5"/>
      <c r="H81" s="5"/>
      <c r="I81" s="248"/>
      <c r="J81" s="5"/>
      <c r="K81" s="5"/>
      <c r="L81" s="5"/>
      <c r="M81" s="5"/>
      <c r="N81" s="5"/>
      <c r="O81" s="5"/>
      <c r="Q81" s="5"/>
      <c r="R81" s="5"/>
    </row>
    <row r="82" spans="2:26">
      <c r="B82" s="41"/>
      <c r="C82" s="249"/>
      <c r="D82" s="249"/>
      <c r="E82" s="249"/>
      <c r="F82" s="249"/>
      <c r="G82" s="249"/>
      <c r="H82" s="249"/>
      <c r="I82" s="259"/>
      <c r="J82" s="249"/>
      <c r="K82" s="249"/>
      <c r="L82" s="249"/>
      <c r="M82" s="249"/>
      <c r="N82" s="249"/>
      <c r="O82" s="251"/>
      <c r="Q82" s="5"/>
      <c r="R82" s="5"/>
    </row>
    <row r="83" spans="2:26">
      <c r="B83" s="5"/>
      <c r="C83" s="5"/>
      <c r="D83" s="248"/>
      <c r="E83" s="248"/>
      <c r="F83" s="248"/>
      <c r="G83" s="248"/>
      <c r="H83" s="248"/>
      <c r="I83" s="5"/>
      <c r="J83" s="248"/>
      <c r="K83" s="248"/>
      <c r="L83" s="248"/>
      <c r="M83" s="248"/>
      <c r="N83" s="248"/>
      <c r="O83" s="5"/>
      <c r="Q83" s="5"/>
      <c r="R83" s="5"/>
    </row>
    <row r="84" spans="2:26">
      <c r="B84" s="5"/>
      <c r="C84" s="259"/>
      <c r="D84" s="259"/>
      <c r="E84" s="259"/>
      <c r="F84" s="259"/>
      <c r="G84" s="259"/>
      <c r="H84" s="259"/>
      <c r="I84" s="245"/>
      <c r="J84" s="259"/>
      <c r="K84" s="259"/>
      <c r="L84" s="259"/>
      <c r="M84" s="259"/>
      <c r="N84" s="259"/>
      <c r="O84" s="251"/>
      <c r="Q84" s="5"/>
      <c r="R84" s="5"/>
    </row>
    <row r="85" spans="2:26">
      <c r="B85" s="41"/>
      <c r="C85" s="5"/>
      <c r="D85" s="5"/>
      <c r="E85" s="5"/>
      <c r="F85" s="5"/>
      <c r="G85" s="5"/>
      <c r="H85" s="5"/>
      <c r="I85" s="248"/>
      <c r="J85" s="5"/>
      <c r="K85" s="5"/>
      <c r="L85" s="5"/>
      <c r="M85" s="5"/>
      <c r="N85" s="5"/>
      <c r="O85" s="5"/>
      <c r="Q85" s="5"/>
      <c r="R85" s="5"/>
    </row>
    <row r="86" spans="2:26">
      <c r="B86" s="41"/>
      <c r="C86" s="245"/>
      <c r="D86" s="245"/>
      <c r="E86" s="245"/>
      <c r="F86" s="245"/>
      <c r="G86" s="245"/>
      <c r="H86" s="245"/>
      <c r="I86" s="5"/>
      <c r="J86" s="245"/>
      <c r="K86" s="245"/>
      <c r="L86" s="245"/>
      <c r="M86" s="245"/>
      <c r="N86" s="245"/>
      <c r="O86" s="251"/>
      <c r="Q86" s="5"/>
      <c r="R86" s="5"/>
    </row>
    <row r="87" spans="2:26">
      <c r="B87" s="5"/>
      <c r="C87" s="5"/>
      <c r="D87" s="248"/>
      <c r="E87" s="248"/>
      <c r="F87" s="248"/>
      <c r="G87" s="248"/>
      <c r="H87" s="248"/>
      <c r="I87" s="5"/>
      <c r="J87" s="248"/>
      <c r="K87" s="248"/>
      <c r="L87" s="248"/>
      <c r="M87" s="248"/>
      <c r="N87" s="248"/>
      <c r="O87" s="5"/>
      <c r="Q87" s="5"/>
      <c r="R87" s="5"/>
    </row>
    <row r="88" spans="2:26">
      <c r="B88" s="41"/>
      <c r="C88" s="5"/>
      <c r="D88" s="5"/>
      <c r="E88" s="5"/>
      <c r="F88" s="5"/>
      <c r="G88" s="5"/>
      <c r="H88" s="5"/>
      <c r="I88" s="5"/>
      <c r="J88" s="5"/>
      <c r="K88" s="5"/>
      <c r="L88" s="5"/>
      <c r="M88" s="5"/>
      <c r="N88" s="5"/>
      <c r="O88" s="5"/>
      <c r="Q88" s="5"/>
      <c r="R88" s="5"/>
    </row>
    <row r="89" spans="2:26">
      <c r="B89" s="41"/>
      <c r="C89" s="5"/>
      <c r="D89" s="5"/>
      <c r="E89" s="5"/>
      <c r="F89" s="5"/>
      <c r="G89" s="5"/>
      <c r="H89" s="5"/>
      <c r="I89" s="5"/>
      <c r="J89" s="5"/>
      <c r="K89" s="5"/>
      <c r="L89" s="5"/>
      <c r="M89" s="5"/>
      <c r="N89" s="5"/>
      <c r="O89" s="5"/>
      <c r="Q89" s="5"/>
      <c r="R89" s="5"/>
    </row>
    <row r="90" spans="2:26">
      <c r="B90" s="41"/>
      <c r="C90" s="5"/>
      <c r="D90" s="5"/>
      <c r="E90" s="5"/>
      <c r="F90" s="5"/>
      <c r="G90" s="5"/>
      <c r="H90" s="5"/>
      <c r="I90" s="49"/>
      <c r="J90" s="5"/>
      <c r="K90" s="5"/>
      <c r="L90" s="5"/>
      <c r="M90" s="5"/>
      <c r="N90" s="5"/>
      <c r="O90" s="5"/>
      <c r="Q90" s="41"/>
      <c r="R90" s="5"/>
    </row>
    <row r="91" spans="2:26">
      <c r="B91" s="5"/>
      <c r="C91" s="5"/>
      <c r="D91" s="5"/>
      <c r="E91" s="5"/>
      <c r="F91" s="5"/>
      <c r="G91" s="5"/>
      <c r="H91" s="5"/>
      <c r="I91" s="5"/>
      <c r="J91" s="5"/>
      <c r="K91" s="5"/>
      <c r="L91" s="5"/>
      <c r="M91" s="5"/>
      <c r="N91" s="5"/>
      <c r="O91" s="5"/>
      <c r="Q91" s="5"/>
      <c r="R91" s="5"/>
    </row>
    <row r="92" spans="2:26">
      <c r="B92" s="41"/>
      <c r="C92" s="49"/>
      <c r="D92" s="49"/>
      <c r="E92" s="49"/>
      <c r="F92" s="49"/>
      <c r="G92" s="49"/>
      <c r="H92" s="49"/>
      <c r="I92" s="247"/>
      <c r="J92" s="49"/>
      <c r="K92" s="49"/>
      <c r="L92" s="49"/>
      <c r="M92" s="49"/>
      <c r="N92" s="49"/>
      <c r="O92" s="49"/>
      <c r="Q92" s="5"/>
      <c r="R92" s="5"/>
      <c r="W92" s="21"/>
      <c r="X92" s="21"/>
    </row>
    <row r="93" spans="2:26">
      <c r="B93" s="5"/>
      <c r="C93" s="5"/>
      <c r="D93" s="5"/>
      <c r="E93" s="5"/>
      <c r="F93" s="5"/>
      <c r="G93" s="5"/>
      <c r="H93" s="5"/>
      <c r="I93" s="247"/>
      <c r="J93" s="5"/>
      <c r="K93" s="5"/>
      <c r="L93" s="5"/>
      <c r="M93" s="5"/>
      <c r="N93" s="5"/>
      <c r="O93" s="5"/>
      <c r="Q93" s="5"/>
      <c r="R93" s="5"/>
      <c r="W93" s="21"/>
      <c r="X93" s="21"/>
      <c r="Y93" s="21"/>
      <c r="Z93" s="21"/>
    </row>
    <row r="94" spans="2:26">
      <c r="B94" s="5"/>
      <c r="C94" s="259"/>
      <c r="D94" s="247"/>
      <c r="E94" s="247"/>
      <c r="F94" s="247"/>
      <c r="G94" s="247"/>
      <c r="H94" s="247"/>
      <c r="I94" s="247"/>
      <c r="J94" s="247"/>
      <c r="K94" s="247"/>
      <c r="L94" s="247"/>
      <c r="M94" s="247"/>
      <c r="N94" s="247"/>
      <c r="O94" s="248"/>
      <c r="Q94" s="5"/>
      <c r="R94" s="5"/>
      <c r="Y94" s="21"/>
      <c r="Z94" s="21"/>
    </row>
    <row r="95" spans="2:26">
      <c r="B95" s="5"/>
      <c r="C95" s="259"/>
      <c r="D95" s="247"/>
      <c r="E95" s="247"/>
      <c r="F95" s="247"/>
      <c r="G95" s="247"/>
      <c r="H95" s="247"/>
      <c r="I95" s="248"/>
      <c r="J95" s="247"/>
      <c r="K95" s="247"/>
      <c r="L95" s="247"/>
      <c r="M95" s="247"/>
      <c r="N95" s="247"/>
      <c r="O95" s="248"/>
      <c r="Q95" s="5"/>
      <c r="R95" s="5"/>
    </row>
    <row r="96" spans="2:26">
      <c r="B96" s="5"/>
      <c r="C96" s="259"/>
      <c r="D96" s="247"/>
      <c r="E96" s="247"/>
      <c r="F96" s="247"/>
      <c r="G96" s="247"/>
      <c r="H96" s="247"/>
      <c r="I96" s="247"/>
      <c r="J96" s="247"/>
      <c r="K96" s="247"/>
      <c r="L96" s="247"/>
      <c r="M96" s="247"/>
      <c r="N96" s="247"/>
      <c r="O96" s="248"/>
      <c r="Q96" s="5"/>
      <c r="R96" s="5"/>
    </row>
    <row r="97" spans="2:18">
      <c r="B97" s="5"/>
      <c r="C97" s="259"/>
      <c r="D97" s="248"/>
      <c r="E97" s="248"/>
      <c r="F97" s="248"/>
      <c r="G97" s="248"/>
      <c r="H97" s="248"/>
      <c r="I97" s="249"/>
      <c r="J97" s="248"/>
      <c r="K97" s="248"/>
      <c r="L97" s="248"/>
      <c r="M97" s="248"/>
      <c r="N97" s="248"/>
      <c r="O97" s="248"/>
      <c r="Q97" s="5"/>
      <c r="R97" s="5"/>
    </row>
    <row r="98" spans="2:18">
      <c r="B98" s="5"/>
      <c r="C98" s="259"/>
      <c r="D98" s="247"/>
      <c r="E98" s="247"/>
      <c r="F98" s="247"/>
      <c r="G98" s="247"/>
      <c r="H98" s="247"/>
      <c r="I98" s="248"/>
      <c r="J98" s="247"/>
      <c r="K98" s="247"/>
      <c r="L98" s="247"/>
      <c r="M98" s="247"/>
      <c r="N98" s="247"/>
      <c r="O98" s="248"/>
      <c r="Q98" s="5"/>
      <c r="R98" s="5"/>
    </row>
    <row r="99" spans="2:18">
      <c r="B99" s="41"/>
      <c r="C99" s="249"/>
      <c r="D99" s="249"/>
      <c r="E99" s="249"/>
      <c r="F99" s="249"/>
      <c r="G99" s="249"/>
      <c r="H99" s="249"/>
      <c r="I99" s="5"/>
      <c r="J99" s="249"/>
      <c r="K99" s="249"/>
      <c r="L99" s="249"/>
      <c r="M99" s="249"/>
      <c r="N99" s="249"/>
      <c r="O99" s="248"/>
      <c r="Q99" s="5"/>
      <c r="R99" s="5"/>
    </row>
    <row r="100" spans="2:18">
      <c r="B100" s="41"/>
      <c r="C100" s="257"/>
      <c r="D100" s="248"/>
      <c r="E100" s="248"/>
      <c r="F100" s="248"/>
      <c r="G100" s="248"/>
      <c r="H100" s="248"/>
      <c r="I100" s="259"/>
      <c r="J100" s="248"/>
      <c r="K100" s="248"/>
      <c r="L100" s="248"/>
      <c r="M100" s="248"/>
      <c r="N100" s="248"/>
      <c r="O100" s="248"/>
      <c r="Q100" s="5"/>
      <c r="R100" s="5"/>
    </row>
    <row r="101" spans="2:18" s="5" customFormat="1">
      <c r="B101" s="41"/>
      <c r="I101" s="259"/>
      <c r="O101" s="248"/>
      <c r="P101" s="39"/>
    </row>
    <row r="102" spans="2:18">
      <c r="B102" s="5"/>
      <c r="C102" s="259"/>
      <c r="D102" s="259"/>
      <c r="E102" s="259"/>
      <c r="F102" s="259"/>
      <c r="G102" s="259"/>
      <c r="H102" s="259"/>
      <c r="I102" s="247"/>
      <c r="J102" s="259"/>
      <c r="K102" s="259"/>
      <c r="L102" s="259"/>
      <c r="M102" s="259"/>
      <c r="N102" s="259"/>
      <c r="O102" s="5"/>
      <c r="Q102" s="5"/>
      <c r="R102" s="5"/>
    </row>
    <row r="103" spans="2:18">
      <c r="B103" s="5"/>
      <c r="C103" s="259"/>
      <c r="D103" s="259"/>
      <c r="E103" s="259"/>
      <c r="F103" s="259"/>
      <c r="G103" s="259"/>
      <c r="H103" s="259"/>
      <c r="I103" s="5"/>
      <c r="J103" s="259"/>
      <c r="K103" s="259"/>
      <c r="L103" s="259"/>
      <c r="M103" s="259"/>
      <c r="N103" s="259"/>
      <c r="O103" s="5"/>
      <c r="P103" s="5"/>
      <c r="Q103" s="5"/>
      <c r="R103" s="5"/>
    </row>
    <row r="104" spans="2:18">
      <c r="B104" s="5"/>
      <c r="C104" s="247"/>
      <c r="D104" s="247"/>
      <c r="E104" s="247"/>
      <c r="F104" s="247"/>
      <c r="G104" s="247"/>
      <c r="H104" s="247"/>
      <c r="I104" s="247"/>
      <c r="J104" s="247"/>
      <c r="K104" s="247"/>
      <c r="L104" s="247"/>
      <c r="M104" s="247"/>
      <c r="N104" s="247"/>
      <c r="O104" s="5"/>
      <c r="Q104" s="5"/>
      <c r="R104" s="5"/>
    </row>
    <row r="105" spans="2:18" s="5" customFormat="1">
      <c r="P105" s="39"/>
    </row>
    <row r="106" spans="2:18" s="5" customFormat="1">
      <c r="C106" s="259"/>
      <c r="D106" s="247"/>
      <c r="E106" s="247"/>
      <c r="F106" s="247"/>
      <c r="G106" s="247"/>
      <c r="H106" s="247"/>
      <c r="I106" s="259"/>
      <c r="J106" s="247"/>
      <c r="K106" s="247"/>
      <c r="L106" s="247"/>
      <c r="M106" s="247"/>
      <c r="N106" s="247"/>
      <c r="P106" s="39"/>
    </row>
    <row r="107" spans="2:18">
      <c r="B107" s="5"/>
      <c r="C107" s="259"/>
      <c r="D107" s="5"/>
      <c r="E107" s="5"/>
      <c r="F107" s="5"/>
      <c r="G107" s="5"/>
      <c r="H107" s="5"/>
      <c r="I107" s="247"/>
      <c r="J107" s="5"/>
      <c r="K107" s="5"/>
      <c r="L107" s="5"/>
      <c r="M107" s="5"/>
      <c r="N107" s="5"/>
      <c r="O107" s="5"/>
      <c r="P107" s="5"/>
      <c r="Q107" s="5"/>
      <c r="R107" s="5"/>
    </row>
    <row r="108" spans="2:18">
      <c r="B108" s="5"/>
      <c r="C108" s="259"/>
      <c r="D108" s="259"/>
      <c r="E108" s="259"/>
      <c r="F108" s="259"/>
      <c r="G108" s="259"/>
      <c r="H108" s="259"/>
      <c r="I108" s="249"/>
      <c r="J108" s="259"/>
      <c r="K108" s="259"/>
      <c r="L108" s="259"/>
      <c r="M108" s="259"/>
      <c r="N108" s="259"/>
      <c r="O108" s="5"/>
      <c r="P108" s="5"/>
      <c r="Q108" s="5"/>
      <c r="R108" s="5"/>
    </row>
    <row r="109" spans="2:18">
      <c r="B109" s="5"/>
      <c r="C109" s="247"/>
      <c r="D109" s="247"/>
      <c r="E109" s="247"/>
      <c r="F109" s="247"/>
      <c r="G109" s="247"/>
      <c r="H109" s="247"/>
      <c r="I109" s="249"/>
      <c r="J109" s="247"/>
      <c r="K109" s="247"/>
      <c r="L109" s="247"/>
      <c r="M109" s="247"/>
      <c r="N109" s="247"/>
      <c r="O109" s="5"/>
      <c r="Q109" s="5"/>
      <c r="R109" s="5"/>
    </row>
    <row r="110" spans="2:18">
      <c r="B110" s="41"/>
      <c r="C110" s="249"/>
      <c r="D110" s="249"/>
      <c r="E110" s="249"/>
      <c r="F110" s="249"/>
      <c r="G110" s="249"/>
      <c r="H110" s="249"/>
      <c r="I110" s="247"/>
      <c r="J110" s="249"/>
      <c r="K110" s="249"/>
      <c r="L110" s="249"/>
      <c r="M110" s="249"/>
      <c r="N110" s="249"/>
      <c r="O110" s="5"/>
      <c r="Q110" s="5"/>
      <c r="R110" s="5"/>
    </row>
    <row r="111" spans="2:18">
      <c r="B111" s="5"/>
      <c r="C111" s="249"/>
      <c r="D111" s="249"/>
      <c r="E111" s="249"/>
      <c r="F111" s="249"/>
      <c r="G111" s="249"/>
      <c r="H111" s="249"/>
      <c r="I111" s="5"/>
      <c r="J111" s="249"/>
      <c r="K111" s="249"/>
      <c r="L111" s="249"/>
      <c r="M111" s="249"/>
      <c r="N111" s="249"/>
      <c r="O111" s="5"/>
      <c r="Q111" s="5"/>
      <c r="R111" s="5"/>
    </row>
    <row r="112" spans="2:18">
      <c r="B112" s="5"/>
      <c r="C112" s="247"/>
      <c r="D112" s="247"/>
      <c r="E112" s="247"/>
      <c r="F112" s="247"/>
      <c r="G112" s="247"/>
      <c r="H112" s="247"/>
      <c r="I112" s="5"/>
      <c r="J112" s="247"/>
      <c r="K112" s="247"/>
      <c r="L112" s="247"/>
      <c r="M112" s="247"/>
      <c r="N112" s="247"/>
      <c r="O112" s="5"/>
      <c r="Q112" s="5"/>
      <c r="R112" s="5"/>
    </row>
    <row r="113" spans="2:18">
      <c r="B113" s="5"/>
      <c r="C113" s="5"/>
      <c r="D113" s="5"/>
      <c r="E113" s="5"/>
      <c r="F113" s="5"/>
      <c r="G113" s="5"/>
      <c r="H113" s="5"/>
      <c r="I113" s="5"/>
      <c r="J113" s="5"/>
      <c r="K113" s="5"/>
      <c r="L113" s="5"/>
      <c r="M113" s="5"/>
      <c r="N113" s="5"/>
      <c r="O113" s="5"/>
      <c r="Q113" s="5"/>
      <c r="R113" s="5"/>
    </row>
    <row r="114" spans="2:18">
      <c r="B114" s="5"/>
      <c r="C114" s="5"/>
      <c r="D114" s="5"/>
      <c r="E114" s="5"/>
      <c r="F114" s="5"/>
      <c r="G114" s="5"/>
      <c r="H114" s="5"/>
      <c r="I114" s="5"/>
      <c r="J114" s="5"/>
      <c r="K114" s="5"/>
      <c r="L114" s="5"/>
      <c r="M114" s="5"/>
      <c r="N114" s="5"/>
      <c r="O114" s="5"/>
      <c r="Q114" s="5"/>
      <c r="R114" s="5"/>
    </row>
    <row r="115" spans="2:18">
      <c r="B115" s="5"/>
      <c r="C115" s="5"/>
      <c r="D115" s="5"/>
      <c r="E115" s="5"/>
      <c r="F115" s="5"/>
      <c r="G115" s="5"/>
      <c r="H115" s="5"/>
      <c r="I115" s="49"/>
      <c r="J115" s="5"/>
      <c r="K115" s="5"/>
      <c r="L115" s="5"/>
      <c r="M115" s="5"/>
      <c r="N115" s="5"/>
      <c r="O115" s="5"/>
      <c r="Q115" s="41"/>
      <c r="R115" s="5"/>
    </row>
    <row r="116" spans="2:18">
      <c r="B116" s="5"/>
      <c r="C116" s="5"/>
      <c r="D116" s="5"/>
      <c r="E116" s="5"/>
      <c r="F116" s="5"/>
      <c r="G116" s="5"/>
      <c r="H116" s="5"/>
      <c r="I116" s="5"/>
      <c r="J116" s="5"/>
      <c r="K116" s="5"/>
      <c r="L116" s="5"/>
      <c r="M116" s="5"/>
      <c r="N116" s="5"/>
      <c r="O116" s="5"/>
      <c r="Q116" s="5"/>
      <c r="R116" s="5"/>
    </row>
    <row r="117" spans="2:18">
      <c r="B117" s="41"/>
      <c r="C117" s="49"/>
      <c r="D117" s="49"/>
      <c r="E117" s="49"/>
      <c r="F117" s="49"/>
      <c r="G117" s="49"/>
      <c r="H117" s="49"/>
      <c r="I117" s="254"/>
      <c r="J117" s="49"/>
      <c r="K117" s="49"/>
      <c r="L117" s="49"/>
      <c r="M117" s="49"/>
      <c r="N117" s="49"/>
      <c r="O117" s="49"/>
      <c r="Q117" s="5"/>
      <c r="R117" s="5"/>
    </row>
    <row r="118" spans="2:18">
      <c r="B118" s="5"/>
      <c r="C118" s="5"/>
      <c r="D118" s="5"/>
      <c r="E118" s="5"/>
      <c r="F118" s="5"/>
      <c r="G118" s="5"/>
      <c r="H118" s="5"/>
      <c r="I118" s="249"/>
      <c r="J118" s="5"/>
      <c r="K118" s="5"/>
      <c r="L118" s="5"/>
      <c r="M118" s="5"/>
      <c r="N118" s="5"/>
      <c r="O118" s="5"/>
      <c r="Q118" s="5"/>
      <c r="R118" s="5"/>
    </row>
    <row r="119" spans="2:18">
      <c r="B119" s="41"/>
      <c r="C119" s="254"/>
      <c r="D119" s="254"/>
      <c r="E119" s="254"/>
      <c r="F119" s="254"/>
      <c r="G119" s="254"/>
      <c r="H119" s="254"/>
      <c r="I119" s="254"/>
      <c r="J119" s="254"/>
      <c r="K119" s="254"/>
      <c r="L119" s="254"/>
      <c r="M119" s="254"/>
      <c r="N119" s="254"/>
      <c r="O119" s="248"/>
      <c r="Q119" s="5"/>
      <c r="R119" s="5"/>
    </row>
    <row r="120" spans="2:18">
      <c r="B120" s="41"/>
      <c r="C120" s="254"/>
      <c r="D120" s="249"/>
      <c r="E120" s="249"/>
      <c r="F120" s="249"/>
      <c r="G120" s="249"/>
      <c r="H120" s="249"/>
      <c r="I120" s="254"/>
      <c r="J120" s="249"/>
      <c r="K120" s="249"/>
      <c r="L120" s="249"/>
      <c r="M120" s="249"/>
      <c r="N120" s="249"/>
      <c r="O120" s="248"/>
      <c r="Q120" s="5"/>
      <c r="R120" s="5"/>
    </row>
    <row r="121" spans="2:18">
      <c r="B121" s="41"/>
      <c r="C121" s="254"/>
      <c r="D121" s="254"/>
      <c r="E121" s="254"/>
      <c r="F121" s="254"/>
      <c r="G121" s="254"/>
      <c r="H121" s="254"/>
      <c r="I121" s="254"/>
      <c r="J121" s="254"/>
      <c r="K121" s="254"/>
      <c r="L121" s="254"/>
      <c r="M121" s="254"/>
      <c r="N121" s="254"/>
      <c r="O121" s="248"/>
      <c r="Q121" s="5"/>
      <c r="R121" s="5"/>
    </row>
    <row r="122" spans="2:18">
      <c r="B122" s="41"/>
      <c r="C122" s="254"/>
      <c r="D122" s="254"/>
      <c r="E122" s="254"/>
      <c r="F122" s="254"/>
      <c r="G122" s="254"/>
      <c r="H122" s="254"/>
      <c r="I122" s="254"/>
      <c r="J122" s="254"/>
      <c r="K122" s="254"/>
      <c r="L122" s="254"/>
      <c r="M122" s="254"/>
      <c r="N122" s="254"/>
      <c r="O122" s="248"/>
      <c r="Q122" s="5"/>
      <c r="R122" s="5"/>
    </row>
    <row r="123" spans="2:18">
      <c r="B123" s="41"/>
      <c r="C123" s="254"/>
      <c r="D123" s="254"/>
      <c r="E123" s="254"/>
      <c r="F123" s="254"/>
      <c r="G123" s="254"/>
      <c r="H123" s="254"/>
      <c r="I123" s="254"/>
      <c r="J123" s="254"/>
      <c r="K123" s="254"/>
      <c r="L123" s="254"/>
      <c r="M123" s="254"/>
      <c r="N123" s="254"/>
      <c r="O123" s="248"/>
      <c r="Q123" s="5"/>
      <c r="R123" s="5"/>
    </row>
    <row r="124" spans="2:18">
      <c r="B124" s="41"/>
      <c r="C124" s="254"/>
      <c r="D124" s="254"/>
      <c r="E124" s="254"/>
      <c r="F124" s="254"/>
      <c r="G124" s="254"/>
      <c r="H124" s="254"/>
      <c r="I124" s="254"/>
      <c r="J124" s="254"/>
      <c r="K124" s="254"/>
      <c r="L124" s="254"/>
      <c r="M124" s="254"/>
      <c r="N124" s="254"/>
      <c r="O124" s="248"/>
      <c r="Q124" s="5"/>
      <c r="R124" s="5"/>
    </row>
    <row r="125" spans="2:18">
      <c r="B125" s="41"/>
      <c r="C125" s="254"/>
      <c r="D125" s="254"/>
      <c r="E125" s="254"/>
      <c r="F125" s="254"/>
      <c r="G125" s="254"/>
      <c r="H125" s="254"/>
      <c r="I125" s="254"/>
      <c r="J125" s="254"/>
      <c r="K125" s="254"/>
      <c r="L125" s="254"/>
      <c r="M125" s="254"/>
      <c r="N125" s="254"/>
      <c r="O125" s="5"/>
      <c r="Q125" s="5"/>
      <c r="R125" s="5"/>
    </row>
    <row r="126" spans="2:18">
      <c r="B126" s="41"/>
      <c r="C126" s="254"/>
      <c r="D126" s="254"/>
      <c r="E126" s="254"/>
      <c r="F126" s="254"/>
      <c r="G126" s="254"/>
      <c r="H126" s="254"/>
      <c r="I126" s="254"/>
      <c r="J126" s="254"/>
      <c r="K126" s="254"/>
      <c r="L126" s="254"/>
      <c r="M126" s="254"/>
      <c r="N126" s="254"/>
      <c r="O126" s="5"/>
      <c r="Q126" s="5"/>
      <c r="R126" s="5"/>
    </row>
    <row r="127" spans="2:18">
      <c r="B127" s="41"/>
      <c r="C127" s="254"/>
      <c r="D127" s="254"/>
      <c r="E127" s="254"/>
      <c r="F127" s="254"/>
      <c r="G127" s="254"/>
      <c r="H127" s="254"/>
      <c r="I127" s="18"/>
      <c r="J127" s="254"/>
      <c r="K127" s="254"/>
      <c r="L127" s="254"/>
      <c r="M127" s="254"/>
      <c r="N127" s="254"/>
      <c r="O127" s="5"/>
      <c r="Q127" s="5"/>
      <c r="R127" s="5"/>
    </row>
    <row r="128" spans="2:18">
      <c r="B128" s="41"/>
      <c r="C128" s="254"/>
      <c r="D128" s="254"/>
      <c r="E128" s="254"/>
      <c r="F128" s="254"/>
      <c r="G128" s="254"/>
      <c r="H128" s="254"/>
      <c r="I128" s="5"/>
      <c r="J128" s="254"/>
      <c r="K128" s="254"/>
      <c r="L128" s="254"/>
      <c r="M128" s="254"/>
      <c r="N128" s="254"/>
      <c r="O128" s="5"/>
      <c r="Q128" s="5"/>
      <c r="R128" s="5"/>
    </row>
    <row r="129" spans="2:27">
      <c r="B129" s="5"/>
      <c r="C129" s="5"/>
      <c r="D129" s="18"/>
      <c r="E129" s="18"/>
      <c r="F129" s="18"/>
      <c r="G129" s="18"/>
      <c r="H129" s="18"/>
      <c r="I129" s="254"/>
      <c r="J129" s="18"/>
      <c r="K129" s="18"/>
      <c r="L129" s="18"/>
      <c r="M129" s="18"/>
      <c r="N129" s="18"/>
      <c r="O129" s="5"/>
      <c r="Q129" s="5"/>
      <c r="R129" s="5"/>
    </row>
    <row r="130" spans="2:27">
      <c r="B130" s="5"/>
      <c r="C130" s="5"/>
      <c r="D130" s="5"/>
      <c r="E130" s="5"/>
      <c r="F130" s="5"/>
      <c r="G130" s="5"/>
      <c r="H130" s="5"/>
      <c r="I130" s="18"/>
      <c r="J130" s="5"/>
      <c r="K130" s="5"/>
      <c r="L130" s="5"/>
      <c r="M130" s="5"/>
      <c r="N130" s="5"/>
      <c r="O130" s="5"/>
      <c r="Q130" s="5"/>
      <c r="R130" s="5"/>
    </row>
    <row r="131" spans="2:27">
      <c r="B131" s="41"/>
      <c r="C131" s="254"/>
      <c r="D131" s="254"/>
      <c r="E131" s="254"/>
      <c r="F131" s="254"/>
      <c r="G131" s="254"/>
      <c r="H131" s="254"/>
      <c r="I131" s="5"/>
      <c r="J131" s="254"/>
      <c r="K131" s="254"/>
      <c r="L131" s="254"/>
      <c r="M131" s="254"/>
      <c r="N131" s="254"/>
      <c r="O131" s="5"/>
      <c r="Q131" s="5"/>
      <c r="R131" s="5"/>
    </row>
    <row r="132" spans="2:27">
      <c r="B132" s="5"/>
      <c r="C132" s="259"/>
      <c r="D132" s="18"/>
      <c r="E132" s="18"/>
      <c r="F132" s="18"/>
      <c r="G132" s="18"/>
      <c r="H132" s="18"/>
      <c r="I132" s="5"/>
      <c r="J132" s="18"/>
      <c r="K132" s="18"/>
      <c r="L132" s="18"/>
      <c r="M132" s="18"/>
      <c r="N132" s="18"/>
      <c r="O132" s="5"/>
      <c r="Q132" s="5"/>
      <c r="R132" s="5"/>
    </row>
    <row r="133" spans="2:27">
      <c r="B133" s="5"/>
      <c r="C133" s="5"/>
      <c r="D133" s="5"/>
      <c r="E133" s="5"/>
      <c r="F133" s="5"/>
      <c r="G133" s="5"/>
      <c r="H133" s="5"/>
      <c r="I133" s="17"/>
      <c r="J133" s="5"/>
      <c r="K133" s="5"/>
      <c r="L133" s="5"/>
      <c r="M133" s="5"/>
      <c r="N133" s="5"/>
      <c r="O133" s="5"/>
      <c r="Q133" s="5"/>
      <c r="R133" s="5"/>
    </row>
    <row r="134" spans="2:27">
      <c r="B134" s="41"/>
      <c r="C134" s="5"/>
      <c r="D134" s="5"/>
      <c r="E134" s="5"/>
      <c r="F134" s="5"/>
      <c r="G134" s="5"/>
      <c r="H134" s="5"/>
      <c r="I134" s="17"/>
      <c r="J134" s="5"/>
      <c r="K134" s="5"/>
      <c r="L134" s="5"/>
      <c r="M134" s="5"/>
      <c r="N134" s="5"/>
      <c r="O134" s="5"/>
      <c r="Q134" s="5"/>
      <c r="R134" s="5"/>
    </row>
    <row r="135" spans="2:27">
      <c r="B135" s="5"/>
      <c r="C135" s="17"/>
      <c r="D135" s="17"/>
      <c r="E135" s="17"/>
      <c r="F135" s="17"/>
      <c r="G135" s="17"/>
      <c r="H135" s="17"/>
      <c r="I135" s="17"/>
      <c r="J135" s="17"/>
      <c r="K135" s="17"/>
      <c r="L135" s="17"/>
      <c r="M135" s="17"/>
      <c r="N135" s="17"/>
      <c r="O135" s="5"/>
      <c r="Q135" s="41"/>
      <c r="R135" s="5"/>
    </row>
    <row r="136" spans="2:27">
      <c r="B136" s="5"/>
      <c r="C136" s="17"/>
      <c r="D136" s="17"/>
      <c r="E136" s="17"/>
      <c r="F136" s="17"/>
      <c r="G136" s="17"/>
      <c r="H136" s="17"/>
      <c r="I136" s="17"/>
      <c r="J136" s="17"/>
      <c r="K136" s="17"/>
      <c r="L136" s="17"/>
      <c r="M136" s="17"/>
      <c r="N136" s="17"/>
      <c r="O136" s="5"/>
      <c r="Q136" s="5"/>
      <c r="R136" s="5"/>
      <c r="X136" s="304"/>
    </row>
    <row r="137" spans="2:27">
      <c r="B137" s="5"/>
      <c r="C137" s="5"/>
      <c r="D137" s="17"/>
      <c r="E137" s="17"/>
      <c r="F137" s="17"/>
      <c r="G137" s="17"/>
      <c r="H137" s="17"/>
      <c r="I137" s="17"/>
      <c r="J137" s="17"/>
      <c r="K137" s="17"/>
      <c r="L137" s="17"/>
      <c r="M137" s="17"/>
      <c r="N137" s="17"/>
      <c r="O137" s="5"/>
      <c r="Q137" s="5"/>
      <c r="R137" s="5"/>
      <c r="X137" s="10"/>
      <c r="Y137" s="304"/>
      <c r="Z137" s="304"/>
      <c r="AA137" s="304"/>
    </row>
    <row r="138" spans="2:27">
      <c r="B138" s="5"/>
      <c r="C138" s="5"/>
      <c r="D138" s="17"/>
      <c r="E138" s="17"/>
      <c r="F138" s="17"/>
      <c r="G138" s="17"/>
      <c r="H138" s="17"/>
      <c r="I138" s="17"/>
      <c r="J138" s="17"/>
      <c r="K138" s="17"/>
      <c r="L138" s="17"/>
      <c r="M138" s="17"/>
      <c r="N138" s="17"/>
      <c r="O138" s="5"/>
      <c r="Q138" s="5"/>
      <c r="R138" s="5"/>
      <c r="Y138" s="10"/>
      <c r="Z138" s="10"/>
      <c r="AA138" s="10"/>
    </row>
    <row r="139" spans="2:27">
      <c r="B139" s="5"/>
      <c r="C139" s="5"/>
      <c r="D139" s="17"/>
      <c r="E139" s="17"/>
      <c r="F139" s="17"/>
      <c r="G139" s="17"/>
      <c r="H139" s="17"/>
      <c r="I139" s="5"/>
      <c r="J139" s="17"/>
      <c r="K139" s="17"/>
      <c r="L139" s="17"/>
      <c r="M139" s="17"/>
      <c r="N139" s="17"/>
      <c r="O139" s="5"/>
      <c r="Q139" s="5"/>
      <c r="R139" s="5"/>
    </row>
    <row r="140" spans="2:27">
      <c r="B140" s="5"/>
      <c r="C140" s="17"/>
      <c r="D140" s="17"/>
      <c r="E140" s="17"/>
      <c r="F140" s="17"/>
      <c r="G140" s="17"/>
      <c r="H140" s="17"/>
      <c r="I140" s="5"/>
      <c r="J140" s="17"/>
      <c r="K140" s="17"/>
      <c r="L140" s="17"/>
      <c r="M140" s="17"/>
      <c r="N140" s="17"/>
      <c r="O140" s="5"/>
      <c r="Q140" s="5"/>
      <c r="R140" s="5"/>
    </row>
    <row r="141" spans="2:27">
      <c r="B141" s="5"/>
      <c r="C141" s="5"/>
      <c r="D141" s="5"/>
      <c r="E141" s="5"/>
      <c r="F141" s="5"/>
      <c r="G141" s="5"/>
      <c r="H141" s="5"/>
      <c r="I141" s="5"/>
      <c r="J141" s="5"/>
      <c r="K141" s="5"/>
      <c r="L141" s="5"/>
      <c r="M141" s="5"/>
      <c r="N141" s="5"/>
      <c r="O141" s="5"/>
      <c r="Q141" s="5"/>
      <c r="R141" s="5"/>
    </row>
    <row r="142" spans="2:27">
      <c r="B142" s="5"/>
      <c r="C142" s="5"/>
      <c r="D142" s="5"/>
      <c r="E142" s="5"/>
      <c r="F142" s="5"/>
      <c r="G142" s="5"/>
      <c r="H142" s="5"/>
      <c r="I142" s="5"/>
      <c r="J142" s="5"/>
      <c r="K142" s="5"/>
      <c r="L142" s="5"/>
      <c r="M142" s="5"/>
      <c r="N142" s="5"/>
      <c r="O142" s="5"/>
      <c r="Q142" s="5"/>
      <c r="R142" s="5"/>
    </row>
    <row r="143" spans="2:27">
      <c r="B143" s="5"/>
      <c r="C143" s="5"/>
      <c r="D143" s="5"/>
      <c r="E143" s="5"/>
      <c r="F143" s="5"/>
      <c r="G143" s="5"/>
      <c r="H143" s="5"/>
      <c r="I143" s="5"/>
      <c r="J143" s="5"/>
      <c r="K143" s="5"/>
      <c r="L143" s="5"/>
      <c r="M143" s="5"/>
      <c r="N143" s="5"/>
      <c r="O143" s="5"/>
      <c r="Q143" s="5"/>
      <c r="R143" s="5"/>
    </row>
    <row r="144" spans="2:27">
      <c r="B144" s="5"/>
      <c r="C144" s="5"/>
      <c r="D144" s="5"/>
      <c r="E144" s="5"/>
      <c r="F144" s="5"/>
      <c r="G144" s="5"/>
      <c r="H144" s="5"/>
      <c r="I144" s="5"/>
      <c r="J144" s="5"/>
      <c r="K144" s="5"/>
      <c r="L144" s="5"/>
      <c r="M144" s="5"/>
      <c r="N144" s="5"/>
      <c r="O144" s="5"/>
      <c r="Q144" s="5"/>
      <c r="R144" s="5"/>
    </row>
    <row r="145" spans="2:18">
      <c r="B145" s="5"/>
      <c r="C145" s="5"/>
      <c r="D145" s="5"/>
      <c r="E145" s="5"/>
      <c r="F145" s="5"/>
      <c r="G145" s="5"/>
      <c r="H145" s="5"/>
      <c r="I145" s="5"/>
      <c r="J145" s="5"/>
      <c r="K145" s="5"/>
      <c r="L145" s="5"/>
      <c r="M145" s="5"/>
      <c r="N145" s="5"/>
      <c r="O145" s="5"/>
      <c r="Q145" s="5"/>
      <c r="R145" s="5"/>
    </row>
    <row r="146" spans="2:18">
      <c r="B146" s="5"/>
      <c r="C146" s="5"/>
      <c r="D146" s="5"/>
      <c r="E146" s="5"/>
      <c r="F146" s="5"/>
      <c r="G146" s="5"/>
      <c r="H146" s="5"/>
      <c r="I146" s="5"/>
      <c r="J146" s="5"/>
      <c r="K146" s="5"/>
      <c r="L146" s="5"/>
      <c r="M146" s="5"/>
      <c r="N146" s="5"/>
      <c r="O146" s="5"/>
      <c r="Q146" s="5"/>
      <c r="R146" s="5"/>
    </row>
    <row r="147" spans="2:18">
      <c r="B147" s="5"/>
      <c r="C147" s="5"/>
      <c r="D147" s="5"/>
      <c r="E147" s="5"/>
      <c r="F147" s="5"/>
      <c r="G147" s="5"/>
      <c r="H147" s="5"/>
      <c r="I147" s="5"/>
      <c r="J147" s="5"/>
      <c r="K147" s="5"/>
      <c r="L147" s="5"/>
      <c r="M147" s="5"/>
      <c r="N147" s="5"/>
      <c r="O147" s="5"/>
      <c r="Q147" s="5"/>
      <c r="R147" s="5"/>
    </row>
    <row r="148" spans="2:18">
      <c r="B148" s="5"/>
      <c r="C148" s="5"/>
      <c r="D148" s="5"/>
      <c r="E148" s="5"/>
      <c r="F148" s="5"/>
      <c r="G148" s="5"/>
      <c r="H148" s="5"/>
      <c r="I148" s="5"/>
      <c r="J148" s="5"/>
      <c r="K148" s="5"/>
      <c r="L148" s="5"/>
      <c r="M148" s="5"/>
      <c r="N148" s="5"/>
      <c r="O148" s="5"/>
      <c r="Q148" s="5"/>
      <c r="R148" s="5"/>
    </row>
    <row r="149" spans="2:18">
      <c r="B149" s="5"/>
      <c r="C149" s="5"/>
      <c r="D149" s="5"/>
      <c r="E149" s="5"/>
      <c r="F149" s="5"/>
      <c r="G149" s="5"/>
      <c r="H149" s="5"/>
      <c r="J149" s="5"/>
      <c r="K149" s="5"/>
      <c r="L149" s="5"/>
      <c r="M149" s="5"/>
      <c r="N149" s="5"/>
      <c r="O149" s="5"/>
      <c r="Q149" s="5"/>
      <c r="R149" s="5"/>
    </row>
    <row r="150" spans="2:18">
      <c r="B150" s="5"/>
      <c r="C150" s="5"/>
      <c r="D150" s="5"/>
      <c r="E150" s="5"/>
      <c r="F150" s="5"/>
      <c r="G150" s="5"/>
      <c r="H150" s="5"/>
      <c r="J150" s="5"/>
      <c r="K150" s="5"/>
      <c r="L150" s="5"/>
      <c r="M150" s="5"/>
      <c r="N150" s="5"/>
      <c r="O150" s="5"/>
      <c r="Q150" s="5"/>
      <c r="R150" s="5"/>
    </row>
    <row r="151" spans="2:18">
      <c r="Q151" s="5"/>
      <c r="R151" s="5"/>
    </row>
    <row r="152" spans="2:18">
      <c r="Q152" s="5"/>
      <c r="R152" s="5"/>
    </row>
    <row r="153" spans="2:18">
      <c r="C153" s="263"/>
      <c r="Q153" s="5"/>
      <c r="R153" s="5"/>
    </row>
    <row r="154" spans="2:18">
      <c r="Q154" s="5"/>
      <c r="R154" s="5"/>
    </row>
    <row r="155" spans="2:18">
      <c r="Q155" s="5"/>
      <c r="R155" s="5"/>
    </row>
    <row r="156" spans="2:18">
      <c r="Q156" s="5"/>
      <c r="R156" s="5"/>
    </row>
    <row r="157" spans="2:18">
      <c r="Q157" s="5"/>
      <c r="R157" s="5"/>
    </row>
    <row r="158" spans="2:18">
      <c r="Q158" s="5"/>
      <c r="R158" s="5"/>
    </row>
    <row r="159" spans="2:18">
      <c r="Q159" s="5"/>
      <c r="R159" s="5"/>
    </row>
    <row r="160" spans="2:18">
      <c r="Q160" s="5"/>
      <c r="R160" s="5"/>
    </row>
    <row r="161" spans="17:18">
      <c r="Q161" s="5"/>
      <c r="R161" s="5"/>
    </row>
    <row r="162" spans="17:18">
      <c r="Q162" s="5"/>
      <c r="R162" s="5"/>
    </row>
    <row r="163" spans="17:18">
      <c r="Q163" s="5"/>
      <c r="R163" s="5"/>
    </row>
    <row r="164" spans="17:18">
      <c r="Q164" s="5"/>
      <c r="R164" s="5"/>
    </row>
    <row r="165" spans="17:18">
      <c r="Q165" s="5"/>
      <c r="R165" s="5"/>
    </row>
  </sheetData>
  <phoneticPr fontId="7" type="noConversion"/>
  <pageMargins left="0.75" right="0.75" top="1" bottom="1" header="0.5" footer="0.5"/>
  <pageSetup scale="70" orientation="landscape" r:id="rId1"/>
  <headerFooter alignWithMargins="0"/>
  <drawing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0-000000000000}">
  <sheetPr codeName="Sheet114">
    <pageSetUpPr fitToPage="1"/>
  </sheetPr>
  <dimension ref="B1:AR165"/>
  <sheetViews>
    <sheetView showGridLines="0" zoomScale="80" zoomScaleNormal="80" workbookViewId="0"/>
  </sheetViews>
  <sheetFormatPr defaultColWidth="9.109375" defaultRowHeight="12"/>
  <cols>
    <col min="1" max="1" width="2.33203125" style="39" customWidth="1"/>
    <col min="2" max="2" width="26.5546875" style="39" customWidth="1"/>
    <col min="3" max="9" width="10" style="39" customWidth="1"/>
    <col min="10" max="10" width="26.6640625" style="39" customWidth="1"/>
    <col min="11" max="16" width="10" style="39" customWidth="1"/>
    <col min="17" max="19" width="8.6640625" style="39" customWidth="1"/>
    <col min="20" max="28" width="8.6640625" style="5" customWidth="1"/>
    <col min="29" max="44" width="9.109375" style="5"/>
    <col min="45" max="16384" width="9.109375" style="39"/>
  </cols>
  <sheetData>
    <row r="1" spans="2:44" s="312" customFormat="1">
      <c r="T1" s="149"/>
      <c r="U1" s="149"/>
      <c r="V1" s="149"/>
      <c r="W1" s="149"/>
      <c r="X1" s="149"/>
      <c r="Y1" s="149"/>
      <c r="Z1" s="149"/>
      <c r="AA1" s="149"/>
      <c r="AB1" s="149"/>
      <c r="AC1" s="149"/>
      <c r="AD1" s="149"/>
      <c r="AE1" s="149"/>
      <c r="AF1" s="149"/>
      <c r="AG1" s="149"/>
      <c r="AH1" s="149"/>
      <c r="AI1" s="149"/>
      <c r="AJ1" s="149"/>
      <c r="AK1" s="149"/>
      <c r="AL1" s="149"/>
      <c r="AM1" s="149"/>
      <c r="AN1" s="149"/>
      <c r="AO1" s="149"/>
      <c r="AP1" s="149"/>
      <c r="AQ1" s="149"/>
      <c r="AR1" s="149"/>
    </row>
    <row r="2" spans="2:44" s="149" customFormat="1"/>
    <row r="3" spans="2:44" s="149" customFormat="1">
      <c r="H3" s="153"/>
      <c r="P3" s="153"/>
    </row>
    <row r="4" spans="2:44" s="156" customFormat="1" ht="21">
      <c r="B4" s="129" t="s">
        <v>493</v>
      </c>
      <c r="H4" s="222"/>
      <c r="P4" s="222"/>
    </row>
    <row r="5" spans="2:44" s="149" customFormat="1">
      <c r="C5" s="153"/>
      <c r="D5" s="153" t="str" cm="1">
        <f t="array" ref="D5:H5">headings</f>
        <v>2023E</v>
      </c>
      <c r="E5" s="153" t="str">
        <v>2024E</v>
      </c>
      <c r="F5" s="153" t="str">
        <v>2025E</v>
      </c>
      <c r="G5" s="153" t="str">
        <v>2026E</v>
      </c>
      <c r="H5" s="153" t="str">
        <v>23E-26E</v>
      </c>
      <c r="I5" s="153"/>
      <c r="J5" s="153"/>
      <c r="K5" s="153"/>
      <c r="L5" s="153" t="str" cm="1">
        <f t="array" ref="L5:P5">headings</f>
        <v>2023E</v>
      </c>
      <c r="M5" s="153" t="str">
        <v>2024E</v>
      </c>
      <c r="N5" s="153" t="str">
        <v>2025E</v>
      </c>
      <c r="O5" s="153" t="str">
        <v>2026E</v>
      </c>
      <c r="P5" s="153" t="str">
        <v>23E-26E</v>
      </c>
      <c r="Q5" s="162"/>
      <c r="R5" s="162"/>
      <c r="S5" s="162"/>
      <c r="T5" s="162"/>
      <c r="U5" s="162"/>
      <c r="V5" s="162"/>
      <c r="W5" s="162"/>
      <c r="X5" s="162"/>
      <c r="Y5" s="162"/>
    </row>
    <row r="6" spans="2:44">
      <c r="I6" s="5"/>
      <c r="J6" s="5"/>
      <c r="K6" s="5"/>
      <c r="L6" s="5"/>
      <c r="M6" s="5"/>
      <c r="N6" s="5"/>
      <c r="O6" s="49"/>
    </row>
    <row r="7" spans="2:44" ht="12.6" thickBot="1">
      <c r="B7" s="306" t="s">
        <v>271</v>
      </c>
      <c r="C7" s="265"/>
      <c r="D7" s="265" t="str">
        <f>D5</f>
        <v>2023E</v>
      </c>
      <c r="E7" s="265" t="str">
        <f t="shared" ref="E7:H7" si="0">E5</f>
        <v>2024E</v>
      </c>
      <c r="F7" s="265" t="str">
        <f t="shared" si="0"/>
        <v>2025E</v>
      </c>
      <c r="G7" s="265" t="str">
        <f t="shared" si="0"/>
        <v>2026E</v>
      </c>
      <c r="H7" s="265" t="str">
        <f t="shared" si="0"/>
        <v>23E-26E</v>
      </c>
      <c r="I7" s="49"/>
      <c r="J7" s="306" t="s">
        <v>380</v>
      </c>
      <c r="K7" s="306"/>
      <c r="L7" s="265" t="str">
        <f>L5</f>
        <v>2023E</v>
      </c>
      <c r="M7" s="265" t="str">
        <f t="shared" ref="M7:P7" si="1">M5</f>
        <v>2024E</v>
      </c>
      <c r="N7" s="265" t="str">
        <f t="shared" si="1"/>
        <v>2025E</v>
      </c>
      <c r="O7" s="265" t="str">
        <f t="shared" si="1"/>
        <v>2026E</v>
      </c>
      <c r="P7" s="265" t="str">
        <f t="shared" si="1"/>
        <v>23E-26E</v>
      </c>
    </row>
    <row r="8" spans="2:44" ht="12.6" thickTop="1">
      <c r="B8" s="5"/>
      <c r="C8" s="5"/>
      <c r="D8" s="5"/>
      <c r="E8" s="5"/>
      <c r="F8" s="5"/>
      <c r="G8" s="5"/>
      <c r="H8" s="5"/>
      <c r="I8" s="5"/>
      <c r="J8" s="5"/>
      <c r="K8" s="5"/>
      <c r="L8" s="5"/>
      <c r="M8" s="5"/>
      <c r="N8" s="5"/>
      <c r="S8" s="88"/>
      <c r="T8" s="42"/>
      <c r="U8" s="42"/>
      <c r="V8" s="42"/>
      <c r="W8" s="42"/>
      <c r="X8" s="42"/>
      <c r="Y8" s="42"/>
      <c r="Z8" s="42"/>
      <c r="AA8" s="42"/>
    </row>
    <row r="9" spans="2:44">
      <c r="B9" s="41" t="s">
        <v>333</v>
      </c>
      <c r="C9" s="287">
        <f>Prices!C114/100</f>
        <v>95.81</v>
      </c>
      <c r="D9" s="533">
        <v>0</v>
      </c>
      <c r="E9" s="533">
        <v>0</v>
      </c>
      <c r="F9" s="533">
        <v>0</v>
      </c>
      <c r="G9" s="533">
        <v>0</v>
      </c>
      <c r="H9" s="249"/>
      <c r="I9" s="249"/>
      <c r="J9" s="5" t="s">
        <v>273</v>
      </c>
      <c r="L9" s="529">
        <f>'EMEA CELLULAR'!D37</f>
        <v>3.0372013947638039</v>
      </c>
      <c r="M9" s="529">
        <f>'EMEA CELLULAR'!E37</f>
        <v>3.0765788213213532</v>
      </c>
      <c r="N9" s="529">
        <f>'EMEA CELLULAR'!F37</f>
        <v>2.7986180316483407</v>
      </c>
      <c r="O9" s="529">
        <f>'EMEA CELLULAR'!G37</f>
        <v>2.565989431468322</v>
      </c>
      <c r="P9" s="286">
        <f>'EMEA CELLULAR'!H37</f>
        <v>4.2716103268778172E-2</v>
      </c>
      <c r="S9" s="88"/>
      <c r="T9" s="42"/>
      <c r="U9" s="42"/>
      <c r="V9" s="42"/>
      <c r="W9" s="42"/>
      <c r="X9" s="42"/>
      <c r="Y9" s="42"/>
      <c r="Z9" s="42"/>
      <c r="AA9" s="42"/>
    </row>
    <row r="10" spans="2:44">
      <c r="B10" s="5" t="s">
        <v>274</v>
      </c>
      <c r="C10" s="5"/>
      <c r="D10" s="531">
        <v>2077.8409999999999</v>
      </c>
      <c r="E10" s="531">
        <v>2077.8409999999999</v>
      </c>
      <c r="F10" s="531">
        <v>2077.8409999999999</v>
      </c>
      <c r="G10" s="531">
        <v>2077.8409999999999</v>
      </c>
      <c r="H10" s="249"/>
      <c r="I10" s="247"/>
      <c r="J10" s="5" t="s">
        <v>184</v>
      </c>
      <c r="L10" s="529">
        <f>'EMEA CELLULAR'!D38</f>
        <v>7.2238222733245729</v>
      </c>
      <c r="M10" s="529">
        <f>'EMEA CELLULAR'!E38</f>
        <v>7.4237558505709842</v>
      </c>
      <c r="N10" s="529">
        <f>'EMEA CELLULAR'!F38</f>
        <v>6.674196011969129</v>
      </c>
      <c r="O10" s="529">
        <f>'EMEA CELLULAR'!G38</f>
        <v>6.0998043636708204</v>
      </c>
      <c r="P10" s="286">
        <f>'EMEA CELLULAR'!H38</f>
        <v>4.2902128020809061E-2</v>
      </c>
      <c r="S10" s="88"/>
      <c r="T10" s="42"/>
      <c r="U10" s="42"/>
      <c r="V10" s="42"/>
      <c r="W10" s="288"/>
      <c r="X10" s="288"/>
      <c r="Y10" s="288"/>
      <c r="Z10" s="288"/>
      <c r="AA10" s="42"/>
    </row>
    <row r="11" spans="2:44">
      <c r="B11" s="41" t="s">
        <v>314</v>
      </c>
      <c r="C11" s="5"/>
      <c r="D11" s="532">
        <f>($C$9*D10)</f>
        <v>199077.94620999999</v>
      </c>
      <c r="E11" s="532">
        <f>($C$9*E10)</f>
        <v>199077.94620999999</v>
      </c>
      <c r="F11" s="532">
        <f>($C$9*F10)</f>
        <v>199077.94620999999</v>
      </c>
      <c r="G11" s="532">
        <f>($C$9*G10)</f>
        <v>199077.94620999999</v>
      </c>
      <c r="H11" s="249"/>
      <c r="I11" s="249"/>
      <c r="J11" s="5" t="s">
        <v>185</v>
      </c>
      <c r="L11" s="529">
        <f>'EMEA CELLULAR'!D39</f>
        <v>13.934000165140167</v>
      </c>
      <c r="M11" s="529">
        <f>'EMEA CELLULAR'!E39</f>
        <v>14.181691463921256</v>
      </c>
      <c r="N11" s="529">
        <f>'EMEA CELLULAR'!F39</f>
        <v>12.081890560836975</v>
      </c>
      <c r="O11" s="529">
        <f>'EMEA CELLULAR'!G39</f>
        <v>10.645257413209695</v>
      </c>
      <c r="P11" s="286">
        <f>'EMEA CELLULAR'!H39</f>
        <v>7.8283731285485381E-2</v>
      </c>
      <c r="S11" s="88"/>
      <c r="T11" s="42"/>
      <c r="U11" s="42"/>
      <c r="V11" s="42"/>
      <c r="W11" s="288"/>
      <c r="X11" s="288"/>
      <c r="Y11" s="288"/>
      <c r="Z11" s="288"/>
      <c r="AA11" s="42"/>
    </row>
    <row r="12" spans="2:44">
      <c r="B12" s="5" t="s">
        <v>24</v>
      </c>
      <c r="C12" s="249"/>
      <c r="D12" s="533">
        <v>42987.419146978122</v>
      </c>
      <c r="E12" s="533">
        <v>51633.966242902592</v>
      </c>
      <c r="F12" s="533">
        <v>48434.239584338269</v>
      </c>
      <c r="G12" s="533">
        <v>46338.519953242605</v>
      </c>
      <c r="H12" s="247"/>
      <c r="I12" s="247"/>
      <c r="J12" s="5" t="s">
        <v>466</v>
      </c>
      <c r="L12" s="529">
        <f>'EMEA CELLULAR'!D40</f>
        <v>20.693503485744461</v>
      </c>
      <c r="M12" s="529">
        <f>'EMEA CELLULAR'!E40</f>
        <v>20.954826177285547</v>
      </c>
      <c r="N12" s="529">
        <f>'EMEA CELLULAR'!F40</f>
        <v>17.986415749594904</v>
      </c>
      <c r="O12" s="529">
        <f>'EMEA CELLULAR'!G40</f>
        <v>15.937236715818882</v>
      </c>
      <c r="P12" s="286">
        <f>'EMEA CELLULAR'!H40</f>
        <v>7.539209226558885E-2</v>
      </c>
      <c r="S12" s="88"/>
      <c r="T12" s="42"/>
      <c r="U12" s="42"/>
      <c r="V12" s="42"/>
      <c r="W12" s="288"/>
      <c r="X12" s="288"/>
      <c r="Y12" s="288"/>
      <c r="Z12" s="288"/>
      <c r="AA12" s="42"/>
    </row>
    <row r="13" spans="2:44">
      <c r="B13" s="5" t="s">
        <v>529</v>
      </c>
      <c r="C13" s="257"/>
      <c r="D13" s="533">
        <v>30280.154744555519</v>
      </c>
      <c r="E13" s="533">
        <v>30280.154744555519</v>
      </c>
      <c r="F13" s="533">
        <v>30280.154744555519</v>
      </c>
      <c r="G13" s="533">
        <v>30280.154744555519</v>
      </c>
      <c r="H13" s="247"/>
      <c r="I13" s="247"/>
      <c r="J13" s="5" t="s">
        <v>530</v>
      </c>
      <c r="L13" s="529">
        <f>'EMEA CELLULAR'!D41</f>
        <v>2.9063718801101484</v>
      </c>
      <c r="M13" s="529">
        <f>'EMEA CELLULAR'!E41</f>
        <v>2.8096465424917763</v>
      </c>
      <c r="N13" s="529">
        <f>'EMEA CELLULAR'!F41</f>
        <v>2.6770412504562215</v>
      </c>
      <c r="O13" s="529">
        <f>'EMEA CELLULAR'!G41</f>
        <v>2.5396311085256196</v>
      </c>
      <c r="P13" s="286">
        <f>'EMEA CELLULAR'!H41</f>
        <v>3.1066523451782402E-2</v>
      </c>
      <c r="S13" s="88"/>
      <c r="T13" s="42"/>
      <c r="U13" s="42"/>
      <c r="V13" s="42"/>
      <c r="W13" s="42"/>
      <c r="X13" s="42"/>
      <c r="Y13" s="42"/>
      <c r="Z13" s="42"/>
      <c r="AA13" s="42"/>
    </row>
    <row r="14" spans="2:44">
      <c r="B14" s="5" t="s">
        <v>532</v>
      </c>
      <c r="C14" s="257"/>
      <c r="D14" s="533">
        <v>56743</v>
      </c>
      <c r="E14" s="533">
        <f t="shared" ref="E14:G15" si="2">D14</f>
        <v>56743</v>
      </c>
      <c r="F14" s="533">
        <f t="shared" si="2"/>
        <v>56743</v>
      </c>
      <c r="G14" s="533">
        <f t="shared" si="2"/>
        <v>56743</v>
      </c>
      <c r="H14" s="247"/>
      <c r="I14" s="247"/>
      <c r="J14" s="5" t="s">
        <v>593</v>
      </c>
      <c r="L14" s="529">
        <f>'EMEA CELLULAR'!D42</f>
        <v>4.1985652011209735</v>
      </c>
      <c r="M14" s="529">
        <f>'EMEA CELLULAR'!E42</f>
        <v>4.0862699766964772</v>
      </c>
      <c r="N14" s="529">
        <f>'EMEA CELLULAR'!F42</f>
        <v>3.913769934902958</v>
      </c>
      <c r="O14" s="529">
        <f>'EMEA CELLULAR'!G42</f>
        <v>3.7199710824883767</v>
      </c>
      <c r="P14" s="286">
        <f>'EMEA CELLULAR'!H42</f>
        <v>2.6314073359182233E-2</v>
      </c>
      <c r="S14" s="88"/>
      <c r="T14" s="42"/>
      <c r="U14" s="42"/>
      <c r="V14" s="42"/>
      <c r="W14" s="42"/>
      <c r="X14" s="42"/>
      <c r="Y14" s="42"/>
      <c r="Z14" s="42"/>
      <c r="AA14" s="42"/>
    </row>
    <row r="15" spans="2:44">
      <c r="B15" s="5" t="s">
        <v>531</v>
      </c>
      <c r="C15" s="274"/>
      <c r="D15" s="533">
        <v>6391</v>
      </c>
      <c r="E15" s="533">
        <f t="shared" si="2"/>
        <v>6391</v>
      </c>
      <c r="F15" s="533">
        <f t="shared" si="2"/>
        <v>6391</v>
      </c>
      <c r="G15" s="533">
        <f t="shared" si="2"/>
        <v>6391</v>
      </c>
      <c r="H15" s="247"/>
      <c r="I15" s="247"/>
      <c r="J15" s="5" t="s">
        <v>475</v>
      </c>
      <c r="L15" s="529">
        <f>'EMEA CELLULAR'!D43</f>
        <v>31.153660262051059</v>
      </c>
      <c r="M15" s="529">
        <f>'EMEA CELLULAR'!E43</f>
        <v>40.589413647062131</v>
      </c>
      <c r="N15" s="529">
        <f>'EMEA CELLULAR'!F43</f>
        <v>28.94936800421025</v>
      </c>
      <c r="O15" s="529">
        <f>'EMEA CELLULAR'!G43</f>
        <v>25.752132437276039</v>
      </c>
      <c r="P15" s="286">
        <f>'EMEA CELLULAR'!H43</f>
        <v>6.5529048867266182E-2</v>
      </c>
      <c r="S15" s="88"/>
      <c r="T15" s="42"/>
      <c r="U15" s="42"/>
      <c r="V15" s="42"/>
      <c r="W15" s="42"/>
      <c r="X15" s="42"/>
      <c r="Y15" s="42"/>
      <c r="Z15" s="42"/>
      <c r="AA15" s="42"/>
    </row>
    <row r="16" spans="2:44">
      <c r="B16" s="5" t="s">
        <v>534</v>
      </c>
      <c r="C16" s="257"/>
      <c r="D16" s="533">
        <v>29732.236435499995</v>
      </c>
      <c r="E16" s="533">
        <v>44306.139830867054</v>
      </c>
      <c r="F16" s="533">
        <v>59729.96219956463</v>
      </c>
      <c r="G16" s="533">
        <v>77442.444344271149</v>
      </c>
      <c r="H16" s="247"/>
      <c r="I16" s="247"/>
      <c r="J16" s="5" t="s">
        <v>533</v>
      </c>
      <c r="L16" s="529">
        <f>'EMEA CELLULAR'!D44</f>
        <v>27.614186259633261</v>
      </c>
      <c r="M16" s="529">
        <f>'EMEA CELLULAR'!E44</f>
        <v>26.587472010710737</v>
      </c>
      <c r="N16" s="529">
        <f>'EMEA CELLULAR'!F44</f>
        <v>20.63478491648139</v>
      </c>
      <c r="O16" s="529">
        <f>'EMEA CELLULAR'!G44</f>
        <v>18.214851681953164</v>
      </c>
      <c r="P16" s="286">
        <f>'EMEA CELLULAR'!H44</f>
        <v>0.14827356589829632</v>
      </c>
      <c r="S16" s="88"/>
      <c r="T16" s="42"/>
      <c r="U16" s="42"/>
      <c r="V16" s="42"/>
      <c r="W16" s="42"/>
      <c r="X16" s="42"/>
      <c r="Y16" s="42"/>
      <c r="Z16" s="42"/>
      <c r="AA16" s="42"/>
    </row>
    <row r="17" spans="2:27">
      <c r="B17" s="5" t="s">
        <v>6</v>
      </c>
      <c r="C17" s="257"/>
      <c r="D17" s="533">
        <v>0</v>
      </c>
      <c r="E17" s="533">
        <v>0</v>
      </c>
      <c r="F17" s="533">
        <v>0</v>
      </c>
      <c r="G17" s="533">
        <v>0</v>
      </c>
      <c r="H17" s="247"/>
      <c r="I17" s="247"/>
      <c r="J17" s="5" t="s">
        <v>580</v>
      </c>
      <c r="L17" s="248">
        <f>'EMEA CELLULAR'!D45</f>
        <v>2.0041910197939054E-2</v>
      </c>
      <c r="M17" s="248">
        <f>'EMEA CELLULAR'!E45</f>
        <v>2.2662064400045302E-2</v>
      </c>
      <c r="N17" s="248">
        <f>'EMEA CELLULAR'!F45</f>
        <v>2.6655091715603346E-2</v>
      </c>
      <c r="O17" s="248">
        <f>'EMEA CELLULAR'!G45</f>
        <v>2.9169701214626476E-2</v>
      </c>
      <c r="P17" s="286">
        <f>'EMEA CELLULAR'!H45</f>
        <v>0.13276751641400475</v>
      </c>
      <c r="S17" s="88"/>
      <c r="T17" s="42"/>
      <c r="U17" s="42"/>
      <c r="V17" s="42"/>
      <c r="W17" s="42"/>
      <c r="X17" s="42"/>
      <c r="Y17" s="42"/>
      <c r="Z17" s="42"/>
      <c r="AA17" s="42"/>
    </row>
    <row r="18" spans="2:27" ht="12.6" thickBot="1">
      <c r="B18" s="41" t="s">
        <v>583</v>
      </c>
      <c r="C18" s="249"/>
      <c r="D18" s="534">
        <f>D11+D12+D13-D14+D15-D16-D17</f>
        <v>192261.28366603362</v>
      </c>
      <c r="E18" s="534">
        <f>E11+E12+E13-E14+E15-E16-E17</f>
        <v>186333.92736659106</v>
      </c>
      <c r="F18" s="534">
        <f>F11+F12+F13-F14+F15-F16-F17</f>
        <v>167710.37833932915</v>
      </c>
      <c r="G18" s="534">
        <f>G11+G12+G13-G14+G15-G16-G17</f>
        <v>147902.17656352697</v>
      </c>
      <c r="H18" s="276">
        <f>IF(D18=0,"nm",IF(G18=0,"nm",(G18/D18)^(1/3)-1))</f>
        <v>-8.3721331899656248E-2</v>
      </c>
      <c r="I18" s="254"/>
      <c r="J18" s="5" t="s">
        <v>36</v>
      </c>
      <c r="L18" s="248">
        <f>'EMEA CELLULAR'!D46</f>
        <v>2.1131796481131483E-2</v>
      </c>
      <c r="M18" s="248">
        <f>'EMEA CELLULAR'!E46</f>
        <v>1.7391477966924081E-2</v>
      </c>
      <c r="N18" s="248">
        <f>'EMEA CELLULAR'!F46</f>
        <v>3.2252261934863267E-2</v>
      </c>
      <c r="O18" s="248">
        <f>'EMEA CELLULAR'!G46</f>
        <v>2.8815660020290752E-2</v>
      </c>
      <c r="P18" s="286">
        <f>'EMEA CELLULAR'!H46</f>
        <v>0.10842730164220327</v>
      </c>
      <c r="S18" s="88"/>
      <c r="T18" s="42"/>
      <c r="U18" s="42"/>
      <c r="V18" s="42"/>
      <c r="W18" s="42"/>
      <c r="X18" s="42"/>
      <c r="Y18" s="42"/>
      <c r="Z18" s="42"/>
      <c r="AA18" s="42"/>
    </row>
    <row r="19" spans="2:27" ht="12.6" thickTop="1">
      <c r="B19" s="41"/>
      <c r="C19" s="249"/>
      <c r="D19" s="229"/>
      <c r="E19" s="229"/>
      <c r="F19" s="229"/>
      <c r="G19" s="229"/>
      <c r="H19" s="276"/>
      <c r="I19" s="254"/>
      <c r="J19" s="5" t="s">
        <v>581</v>
      </c>
      <c r="L19" s="248">
        <f>'EMEA CELLULAR'!D47</f>
        <v>3.2098956963272834E-2</v>
      </c>
      <c r="M19" s="248">
        <f>'EMEA CELLULAR'!E47</f>
        <v>2.4636965901880678E-2</v>
      </c>
      <c r="N19" s="248">
        <f>'EMEA CELLULAR'!F47</f>
        <v>3.4543068430874381E-2</v>
      </c>
      <c r="O19" s="248">
        <f>'EMEA CELLULAR'!G47</f>
        <v>3.8831735679974472E-2</v>
      </c>
      <c r="P19" s="286">
        <f>'EMEA CELLULAR'!H47</f>
        <v>6.5529048867266182E-2</v>
      </c>
      <c r="S19" s="88"/>
      <c r="T19" s="42"/>
      <c r="U19" s="42"/>
      <c r="V19" s="42"/>
      <c r="W19" s="42"/>
      <c r="X19" s="42"/>
      <c r="Y19" s="42"/>
      <c r="Z19" s="42"/>
      <c r="AA19" s="42"/>
    </row>
    <row r="20" spans="2:27">
      <c r="H20" s="277"/>
      <c r="I20" s="17"/>
      <c r="J20" s="5" t="s">
        <v>604</v>
      </c>
      <c r="L20" s="305">
        <f>'EMEA CELLULAR'!D48</f>
        <v>0.66646495357608038</v>
      </c>
      <c r="M20" s="305">
        <f>'EMEA CELLULAR'!E48</f>
        <v>0.98055252685916661</v>
      </c>
      <c r="N20" s="305">
        <f>'EMEA CELLULAR'!F48</f>
        <v>0.8225795047533091</v>
      </c>
      <c r="O20" s="305">
        <f>'EMEA CELLULAR'!G48</f>
        <v>0.80076262408893306</v>
      </c>
      <c r="P20" s="286" t="str">
        <f>'EMEA CELLULAR'!H48</f>
        <v>nm</v>
      </c>
      <c r="S20" s="88"/>
      <c r="T20" s="42"/>
      <c r="U20" s="42"/>
      <c r="V20" s="42"/>
      <c r="W20" s="42"/>
      <c r="X20" s="42"/>
      <c r="Y20" s="42"/>
      <c r="Z20" s="42"/>
      <c r="AA20" s="42"/>
    </row>
    <row r="21" spans="2:27" ht="12.6" thickBot="1">
      <c r="B21" s="306" t="s">
        <v>925</v>
      </c>
      <c r="C21" s="265"/>
      <c r="D21" s="265" t="str">
        <f>D5</f>
        <v>2023E</v>
      </c>
      <c r="E21" s="265" t="str">
        <f t="shared" ref="E21:H21" si="3">E5</f>
        <v>2024E</v>
      </c>
      <c r="F21" s="265" t="str">
        <f t="shared" si="3"/>
        <v>2025E</v>
      </c>
      <c r="G21" s="265" t="str">
        <f t="shared" si="3"/>
        <v>2026E</v>
      </c>
      <c r="H21" s="265" t="str">
        <f t="shared" si="3"/>
        <v>23E-26E</v>
      </c>
      <c r="I21" s="49"/>
      <c r="J21" s="41"/>
      <c r="L21" s="250"/>
      <c r="M21" s="250"/>
      <c r="N21" s="250"/>
      <c r="O21" s="250"/>
      <c r="P21" s="286"/>
      <c r="S21" s="88"/>
      <c r="T21" s="42"/>
      <c r="U21" s="42"/>
      <c r="V21" s="42"/>
      <c r="W21" s="42"/>
      <c r="X21" s="42"/>
      <c r="Y21" s="42"/>
      <c r="Z21" s="42"/>
      <c r="AA21" s="42"/>
    </row>
    <row r="22" spans="2:27" ht="12.6" thickTop="1">
      <c r="B22" s="5"/>
      <c r="C22" s="257"/>
      <c r="D22" s="17"/>
      <c r="E22" s="17"/>
      <c r="F22" s="17"/>
      <c r="G22" s="17"/>
      <c r="H22" s="17"/>
      <c r="I22" s="17"/>
      <c r="P22" s="277"/>
      <c r="S22" s="88"/>
      <c r="T22" s="42"/>
      <c r="U22" s="42"/>
      <c r="V22" s="42"/>
      <c r="W22" s="42"/>
      <c r="X22" s="42"/>
      <c r="Y22" s="42"/>
      <c r="Z22" s="42"/>
      <c r="AA22" s="42"/>
    </row>
    <row r="23" spans="2:27" ht="12.6" thickBot="1">
      <c r="B23" s="5" t="s">
        <v>584</v>
      </c>
      <c r="C23" s="548">
        <v>119170</v>
      </c>
      <c r="D23" s="540">
        <v>148644.26049650717</v>
      </c>
      <c r="E23" s="540">
        <v>148100.49815619347</v>
      </c>
      <c r="F23" s="540">
        <v>156653.97235361434</v>
      </c>
      <c r="G23" s="540">
        <v>163997.43188455064</v>
      </c>
      <c r="H23" s="279">
        <f t="shared" ref="H23:H32" si="4">IF(D23=0,"nm",IF(G23=0,"nm",(G23/D23)^(1/3)-1))</f>
        <v>3.3307625059563861E-2</v>
      </c>
      <c r="I23" s="247"/>
      <c r="J23" s="306" t="s">
        <v>9</v>
      </c>
      <c r="K23" s="306"/>
      <c r="L23" s="265" t="str">
        <f>D21</f>
        <v>2023E</v>
      </c>
      <c r="M23" s="265" t="str">
        <f t="shared" ref="M23:P23" si="5">E21</f>
        <v>2024E</v>
      </c>
      <c r="N23" s="265" t="str">
        <f t="shared" si="5"/>
        <v>2025E</v>
      </c>
      <c r="O23" s="265" t="str">
        <f t="shared" si="5"/>
        <v>2026E</v>
      </c>
      <c r="P23" s="265" t="str">
        <f t="shared" si="5"/>
        <v>23E-26E</v>
      </c>
      <c r="S23" s="88"/>
      <c r="T23" s="42"/>
      <c r="U23" s="42"/>
      <c r="V23" s="42"/>
      <c r="W23" s="42"/>
      <c r="X23" s="42"/>
      <c r="Y23" s="42"/>
      <c r="Z23" s="42"/>
      <c r="AA23" s="42"/>
    </row>
    <row r="24" spans="2:27" ht="12.6" thickTop="1">
      <c r="B24" s="5" t="s">
        <v>483</v>
      </c>
      <c r="C24" s="549">
        <v>45144</v>
      </c>
      <c r="D24" s="540">
        <v>56974.642844853945</v>
      </c>
      <c r="E24" s="540">
        <v>56547.476580997325</v>
      </c>
      <c r="F24" s="540">
        <v>60815.907870918076</v>
      </c>
      <c r="G24" s="540">
        <v>63820.473978241542</v>
      </c>
      <c r="H24" s="279">
        <f t="shared" si="4"/>
        <v>3.8546957924480596E-2</v>
      </c>
      <c r="I24" s="249"/>
      <c r="J24" s="17"/>
      <c r="K24" s="17"/>
      <c r="L24" s="17"/>
      <c r="M24" s="17"/>
      <c r="N24" s="17"/>
      <c r="O24" s="248"/>
      <c r="S24" s="88"/>
      <c r="T24" s="42"/>
      <c r="U24" s="42"/>
      <c r="V24" s="42"/>
      <c r="W24" s="42" t="s">
        <v>381</v>
      </c>
      <c r="X24" s="42" t="s">
        <v>513</v>
      </c>
      <c r="Y24" s="42"/>
      <c r="Z24" s="42"/>
      <c r="AA24" s="42"/>
    </row>
    <row r="25" spans="2:27">
      <c r="B25" s="5" t="s">
        <v>183</v>
      </c>
      <c r="C25" s="548">
        <v>28654</v>
      </c>
      <c r="D25" s="540">
        <v>36613.051448058017</v>
      </c>
      <c r="E25" s="540">
        <v>34408.422439488488</v>
      </c>
      <c r="F25" s="540">
        <v>37884.286531519145</v>
      </c>
      <c r="G25" s="540">
        <v>39906.947548215729</v>
      </c>
      <c r="H25" s="279">
        <f t="shared" si="4"/>
        <v>2.9131476324875338E-2</v>
      </c>
      <c r="I25" s="248"/>
      <c r="J25" s="247" t="s">
        <v>10</v>
      </c>
      <c r="K25" s="247"/>
      <c r="L25" s="321">
        <v>0</v>
      </c>
      <c r="M25" s="321">
        <v>0</v>
      </c>
      <c r="N25" s="321">
        <v>0</v>
      </c>
      <c r="O25" s="321">
        <v>0</v>
      </c>
      <c r="P25" s="279" t="str">
        <f>IF(L25=0,"nm",IF(O25=0,"nm",(O25/L25)^(1/3)-1))</f>
        <v>nm</v>
      </c>
      <c r="S25" s="88"/>
      <c r="T25" s="42"/>
      <c r="U25" s="42"/>
      <c r="V25" s="147" t="s">
        <v>273</v>
      </c>
      <c r="W25" s="288">
        <f>D37/L9</f>
        <v>0.42586318933301254</v>
      </c>
      <c r="X25" s="288">
        <v>1</v>
      </c>
      <c r="Y25" s="42"/>
      <c r="Z25" s="42"/>
      <c r="AA25" s="42"/>
    </row>
    <row r="26" spans="2:27">
      <c r="B26" s="5" t="s">
        <v>586</v>
      </c>
      <c r="C26" s="548">
        <v>20630.88</v>
      </c>
      <c r="D26" s="540">
        <v>26361.397042601769</v>
      </c>
      <c r="E26" s="540">
        <v>24774.064156431712</v>
      </c>
      <c r="F26" s="540">
        <v>27276.686302693783</v>
      </c>
      <c r="G26" s="540">
        <v>28733.002234715324</v>
      </c>
      <c r="H26" s="279">
        <f t="shared" si="4"/>
        <v>2.9131476324875338E-2</v>
      </c>
      <c r="I26" s="249"/>
      <c r="J26" s="249" t="s">
        <v>11</v>
      </c>
      <c r="K26" s="249"/>
      <c r="L26" s="281">
        <f>D11+L25</f>
        <v>199077.94620999999</v>
      </c>
      <c r="M26" s="281">
        <f>E11+M25</f>
        <v>199077.94620999999</v>
      </c>
      <c r="N26" s="281">
        <f>F11+N25</f>
        <v>199077.94620999999</v>
      </c>
      <c r="O26" s="281">
        <f>G11+O25</f>
        <v>199077.94620999999</v>
      </c>
      <c r="P26" s="279">
        <f>IF(L26=0,"nm",IF(O26=0,"nm",(O26/L26)^(1/3)-1))</f>
        <v>0</v>
      </c>
      <c r="Q26" s="5"/>
      <c r="S26" s="88"/>
      <c r="T26" s="42"/>
      <c r="U26" s="42"/>
      <c r="V26" s="147" t="s">
        <v>184</v>
      </c>
      <c r="W26" s="288">
        <f t="shared" ref="W26:W33" si="6">D38/L10</f>
        <v>0.46713582363074763</v>
      </c>
      <c r="X26" s="288">
        <v>1</v>
      </c>
      <c r="Y26" s="42"/>
      <c r="Z26" s="42"/>
      <c r="AA26" s="42"/>
    </row>
    <row r="27" spans="2:27">
      <c r="B27" s="5" t="s">
        <v>587</v>
      </c>
      <c r="C27" s="549">
        <v>135573</v>
      </c>
      <c r="D27" s="540">
        <v>131294.17709054364</v>
      </c>
      <c r="E27" s="540">
        <v>129414.35459055213</v>
      </c>
      <c r="F27" s="540">
        <v>126935.23531693932</v>
      </c>
      <c r="G27" s="540">
        <v>124267.71504953198</v>
      </c>
      <c r="H27" s="279">
        <f t="shared" si="4"/>
        <v>-1.8167020605997397E-2</v>
      </c>
      <c r="I27" s="249"/>
      <c r="J27" s="248"/>
      <c r="K27" s="248"/>
      <c r="L27" s="248"/>
      <c r="M27" s="248"/>
      <c r="N27" s="248"/>
      <c r="O27" s="248"/>
      <c r="Q27" s="41"/>
      <c r="S27" s="88"/>
      <c r="T27" s="42"/>
      <c r="U27" s="42"/>
      <c r="V27" s="147" t="s">
        <v>185</v>
      </c>
      <c r="W27" s="288">
        <f t="shared" si="6"/>
        <v>0.37686004913487109</v>
      </c>
      <c r="X27" s="288">
        <v>1</v>
      </c>
      <c r="Y27" s="42"/>
      <c r="Z27" s="42"/>
      <c r="AA27" s="42"/>
    </row>
    <row r="28" spans="2:27" ht="12.6" thickBot="1">
      <c r="B28" s="5" t="s">
        <v>592</v>
      </c>
      <c r="C28" s="548">
        <v>74241</v>
      </c>
      <c r="D28" s="540">
        <v>74234.682030960219</v>
      </c>
      <c r="E28" s="540">
        <v>75989.768176838959</v>
      </c>
      <c r="F28" s="540">
        <v>78357.817930997291</v>
      </c>
      <c r="G28" s="540">
        <v>81475.418329096283</v>
      </c>
      <c r="H28" s="279">
        <f t="shared" si="4"/>
        <v>3.1509539625711902E-2</v>
      </c>
      <c r="I28" s="248"/>
      <c r="J28" s="306" t="s">
        <v>1362</v>
      </c>
      <c r="K28" s="306"/>
      <c r="L28" s="306"/>
      <c r="M28" s="306"/>
      <c r="N28" s="266"/>
      <c r="O28" s="266"/>
      <c r="P28" s="266"/>
      <c r="Q28" s="5"/>
      <c r="S28" s="88"/>
      <c r="T28" s="42"/>
      <c r="U28" s="42"/>
      <c r="V28" s="147" t="s">
        <v>466</v>
      </c>
      <c r="W28" s="288">
        <f t="shared" si="6"/>
        <v>0.35244340697025872</v>
      </c>
      <c r="X28" s="288">
        <v>1</v>
      </c>
      <c r="Y28" s="42"/>
      <c r="Z28" s="42"/>
      <c r="AA28" s="42"/>
    </row>
    <row r="29" spans="2:27" ht="12.6" thickTop="1">
      <c r="B29" s="5" t="s">
        <v>588</v>
      </c>
      <c r="C29" s="548">
        <v>13420</v>
      </c>
      <c r="D29" s="540">
        <v>14826.372660379307</v>
      </c>
      <c r="E29" s="540">
        <v>14078.711722060296</v>
      </c>
      <c r="F29" s="540">
        <v>15404.528612136564</v>
      </c>
      <c r="G29" s="540">
        <v>16495.895214665965</v>
      </c>
      <c r="H29" s="279">
        <f t="shared" si="4"/>
        <v>3.6208122933402143E-2</v>
      </c>
      <c r="I29" s="252"/>
      <c r="J29" s="249"/>
      <c r="K29" s="249"/>
      <c r="L29" s="249"/>
      <c r="M29" s="249"/>
      <c r="N29" s="249"/>
      <c r="O29" s="251"/>
      <c r="Q29" s="5"/>
      <c r="S29" s="88"/>
      <c r="T29" s="42"/>
      <c r="U29" s="42"/>
      <c r="V29" s="147" t="s">
        <v>530</v>
      </c>
      <c r="W29" s="288">
        <f t="shared" si="6"/>
        <v>0.50384295354502517</v>
      </c>
      <c r="X29" s="288">
        <v>1</v>
      </c>
      <c r="Y29" s="42"/>
      <c r="Z29" s="42"/>
      <c r="AA29" s="42"/>
    </row>
    <row r="30" spans="2:27">
      <c r="B30" s="5" t="s">
        <v>589</v>
      </c>
      <c r="C30" s="549">
        <v>17294</v>
      </c>
      <c r="D30" s="540">
        <v>19288.57206283055</v>
      </c>
      <c r="E30" s="540">
        <v>20595.986489786526</v>
      </c>
      <c r="F30" s="540">
        <v>22829.866686862719</v>
      </c>
      <c r="G30" s="540">
        <v>24987.120284182674</v>
      </c>
      <c r="H30" s="279">
        <f t="shared" si="4"/>
        <v>9.011431622566235E-2</v>
      </c>
      <c r="I30" s="254"/>
      <c r="J30" s="248"/>
      <c r="K30" s="248"/>
      <c r="L30" s="248"/>
      <c r="M30" s="248"/>
      <c r="N30" s="248"/>
      <c r="O30" s="5"/>
      <c r="Q30" s="5"/>
      <c r="S30" s="88"/>
      <c r="T30" s="42"/>
      <c r="U30" s="42"/>
      <c r="V30" s="147" t="s">
        <v>593</v>
      </c>
      <c r="W30" s="288">
        <f t="shared" si="6"/>
        <v>0.61685641149169934</v>
      </c>
      <c r="X30" s="288">
        <v>1</v>
      </c>
      <c r="Y30" s="42"/>
      <c r="Z30" s="42"/>
      <c r="AA30" s="42"/>
    </row>
    <row r="31" spans="2:27">
      <c r="B31" s="5" t="s">
        <v>590</v>
      </c>
      <c r="C31" s="549">
        <v>13921.5347</v>
      </c>
      <c r="D31" s="540">
        <v>14573.903395367059</v>
      </c>
      <c r="E31" s="540">
        <v>15423.82236869758</v>
      </c>
      <c r="F31" s="540">
        <v>17712.48214470653</v>
      </c>
      <c r="G31" s="540">
        <v>19901.180999107062</v>
      </c>
      <c r="H31" s="279">
        <f t="shared" si="4"/>
        <v>0.10943276479161579</v>
      </c>
      <c r="I31" s="254"/>
      <c r="J31" s="252"/>
      <c r="K31" s="252"/>
      <c r="L31" s="252"/>
      <c r="M31" s="252"/>
      <c r="N31" s="252"/>
      <c r="O31" s="5"/>
      <c r="Q31" s="5"/>
      <c r="S31" s="88"/>
      <c r="T31" s="42"/>
      <c r="U31" s="42"/>
      <c r="V31" s="147" t="s">
        <v>475</v>
      </c>
      <c r="W31" s="288">
        <f t="shared" si="6"/>
        <v>0.43100187578639015</v>
      </c>
      <c r="X31" s="288">
        <v>1</v>
      </c>
      <c r="Y31" s="42"/>
      <c r="Z31" s="42"/>
      <c r="AA31" s="42"/>
    </row>
    <row r="32" spans="2:27">
      <c r="B32" s="5" t="s">
        <v>606</v>
      </c>
      <c r="C32" s="550">
        <v>3567</v>
      </c>
      <c r="D32" s="540">
        <v>-1676.5847539600127</v>
      </c>
      <c r="E32" s="540">
        <v>-11351</v>
      </c>
      <c r="F32" s="540">
        <v>2991.8999999999996</v>
      </c>
      <c r="G32" s="540">
        <v>-593.71742706129044</v>
      </c>
      <c r="H32" s="279">
        <f t="shared" si="4"/>
        <v>-0.29251360183580055</v>
      </c>
      <c r="I32" s="254"/>
      <c r="J32" s="254"/>
      <c r="K32" s="254"/>
      <c r="L32" s="254"/>
      <c r="M32" s="254"/>
      <c r="N32" s="254"/>
      <c r="O32" s="251"/>
      <c r="Q32" s="5"/>
      <c r="S32" s="88"/>
      <c r="T32" s="42"/>
      <c r="U32" s="42"/>
      <c r="V32" s="147" t="s">
        <v>533</v>
      </c>
      <c r="W32" s="288">
        <f t="shared" si="6"/>
        <v>0.37375828118851051</v>
      </c>
      <c r="X32" s="288">
        <v>1</v>
      </c>
      <c r="Y32" s="42"/>
      <c r="Z32" s="42"/>
      <c r="AA32" s="42"/>
    </row>
    <row r="33" spans="2:27">
      <c r="B33" s="5" t="s">
        <v>5</v>
      </c>
      <c r="C33" s="549">
        <v>-4248</v>
      </c>
      <c r="D33" s="540">
        <v>-5997.9989632263778</v>
      </c>
      <c r="E33" s="540">
        <v>-5577.5429128423439</v>
      </c>
      <c r="F33" s="540">
        <v>-6296.052061512476</v>
      </c>
      <c r="G33" s="540">
        <v>-6030.1617758392713</v>
      </c>
      <c r="H33" s="279">
        <f>IF(D33=0,"nm",IF(G33=0,"nm",(G33/D33)^(1/3)-1))</f>
        <v>1.7842336550437654E-3</v>
      </c>
      <c r="I33" s="5"/>
      <c r="J33" s="254"/>
      <c r="K33" s="254"/>
      <c r="L33" s="254"/>
      <c r="M33" s="254"/>
      <c r="N33" s="254"/>
      <c r="O33" s="251"/>
      <c r="Q33" s="5"/>
      <c r="S33" s="88"/>
      <c r="T33" s="42"/>
      <c r="U33" s="42"/>
      <c r="V33" s="147" t="s">
        <v>580</v>
      </c>
      <c r="W33" s="288">
        <f t="shared" si="6"/>
        <v>3.6526967893685569</v>
      </c>
      <c r="X33" s="288">
        <v>1</v>
      </c>
      <c r="Y33" s="42"/>
      <c r="Z33" s="42"/>
      <c r="AA33" s="42"/>
    </row>
    <row r="34" spans="2:27">
      <c r="H34" s="277"/>
      <c r="I34" s="49"/>
      <c r="J34" s="254"/>
      <c r="K34" s="254"/>
      <c r="L34" s="254"/>
      <c r="M34" s="254"/>
      <c r="N34" s="254"/>
      <c r="O34" s="251"/>
      <c r="Q34" s="5"/>
      <c r="S34" s="88"/>
      <c r="T34" s="42"/>
      <c r="U34" s="42"/>
      <c r="V34" s="147" t="s">
        <v>581</v>
      </c>
      <c r="W34" s="288">
        <f>D47/L19</f>
        <v>2.3201755170448779</v>
      </c>
      <c r="X34" s="288">
        <v>1</v>
      </c>
      <c r="Y34" s="288"/>
      <c r="Z34" s="288"/>
      <c r="AA34" s="42"/>
    </row>
    <row r="35" spans="2:27" ht="12.6" thickBot="1">
      <c r="B35" s="306" t="s">
        <v>526</v>
      </c>
      <c r="C35" s="265"/>
      <c r="D35" s="265" t="str">
        <f>D5</f>
        <v>2023E</v>
      </c>
      <c r="E35" s="265" t="str">
        <f t="shared" ref="E35:H35" si="7">E5</f>
        <v>2024E</v>
      </c>
      <c r="F35" s="265" t="str">
        <f t="shared" si="7"/>
        <v>2025E</v>
      </c>
      <c r="G35" s="265" t="str">
        <f t="shared" si="7"/>
        <v>2026E</v>
      </c>
      <c r="H35" s="265" t="str">
        <f t="shared" si="7"/>
        <v>23E-26E</v>
      </c>
      <c r="I35" s="254"/>
      <c r="J35" s="5"/>
      <c r="K35" s="5"/>
      <c r="L35" s="5"/>
      <c r="M35" s="5"/>
      <c r="N35" s="5"/>
      <c r="O35" s="5"/>
      <c r="Q35" s="5"/>
      <c r="S35" s="88"/>
      <c r="T35" s="42"/>
      <c r="U35" s="42"/>
      <c r="V35" s="42"/>
      <c r="W35" s="42"/>
      <c r="X35" s="42"/>
      <c r="Y35" s="288"/>
      <c r="Z35" s="288"/>
      <c r="AA35" s="42"/>
    </row>
    <row r="36" spans="2:27" ht="12.6" thickTop="1">
      <c r="B36" s="41"/>
      <c r="C36" s="249"/>
      <c r="D36" s="254"/>
      <c r="E36" s="254"/>
      <c r="F36" s="254"/>
      <c r="G36" s="254"/>
      <c r="H36" s="254"/>
      <c r="I36" s="17"/>
      <c r="J36" s="49"/>
      <c r="K36" s="49"/>
      <c r="L36" s="49"/>
      <c r="M36" s="49"/>
      <c r="N36" s="49"/>
      <c r="O36" s="49"/>
      <c r="Q36" s="5"/>
      <c r="S36" s="88"/>
      <c r="T36" s="42"/>
      <c r="U36" s="42"/>
      <c r="V36" s="42"/>
      <c r="W36" s="42"/>
      <c r="X36" s="42"/>
      <c r="Y36" s="288"/>
      <c r="Z36" s="288"/>
      <c r="AA36" s="42"/>
    </row>
    <row r="37" spans="2:27">
      <c r="B37" s="5" t="s">
        <v>273</v>
      </c>
      <c r="C37" s="247"/>
      <c r="D37" s="529">
        <f>D$18/D23</f>
        <v>1.2934322726207876</v>
      </c>
      <c r="E37" s="529">
        <f t="shared" ref="E37:G41" si="8">E$18/E23</f>
        <v>1.2581586806688179</v>
      </c>
      <c r="F37" s="529">
        <f t="shared" si="8"/>
        <v>1.0705785229675326</v>
      </c>
      <c r="G37" s="529">
        <f t="shared" si="8"/>
        <v>0.90185666241191964</v>
      </c>
      <c r="H37" s="17">
        <f t="shared" ref="H37:H45" si="9">H23</f>
        <v>3.3307625059563861E-2</v>
      </c>
      <c r="I37" s="5"/>
      <c r="J37" s="259"/>
      <c r="K37" s="259"/>
      <c r="L37" s="259"/>
      <c r="M37" s="259"/>
      <c r="N37" s="259"/>
      <c r="O37" s="18"/>
      <c r="Q37" s="5"/>
      <c r="R37" s="5"/>
      <c r="S37" s="42"/>
      <c r="T37" s="42"/>
      <c r="U37" s="42"/>
      <c r="V37" s="42"/>
      <c r="W37" s="42"/>
      <c r="X37" s="42"/>
      <c r="Y37" s="42"/>
      <c r="Z37" s="42"/>
      <c r="AA37" s="42"/>
    </row>
    <row r="38" spans="2:27">
      <c r="B38" s="5" t="s">
        <v>184</v>
      </c>
      <c r="C38" s="247"/>
      <c r="D38" s="529">
        <f>D$18/D24</f>
        <v>3.3745061674116141</v>
      </c>
      <c r="E38" s="529">
        <f t="shared" si="8"/>
        <v>3.2951767016462807</v>
      </c>
      <c r="F38" s="529">
        <f t="shared" si="8"/>
        <v>2.757672855847106</v>
      </c>
      <c r="G38" s="529">
        <f t="shared" si="8"/>
        <v>2.3174722364793405</v>
      </c>
      <c r="H38" s="17">
        <f t="shared" si="9"/>
        <v>3.8546957924480596E-2</v>
      </c>
      <c r="I38" s="259"/>
      <c r="J38" s="17"/>
      <c r="K38" s="17"/>
      <c r="L38" s="17"/>
      <c r="M38" s="17"/>
      <c r="N38" s="17"/>
      <c r="O38" s="5"/>
      <c r="Q38" s="5"/>
      <c r="R38" s="5"/>
      <c r="S38" s="42"/>
      <c r="T38" s="42"/>
      <c r="U38" s="42"/>
      <c r="V38" s="42"/>
      <c r="W38" s="42"/>
      <c r="X38" s="42"/>
      <c r="Y38" s="42"/>
      <c r="Z38" s="42"/>
      <c r="AA38" s="42"/>
    </row>
    <row r="39" spans="2:27">
      <c r="B39" s="5" t="s">
        <v>185</v>
      </c>
      <c r="C39" s="247"/>
      <c r="D39" s="529">
        <f>D$18/D25</f>
        <v>5.2511679868800254</v>
      </c>
      <c r="E39" s="529">
        <f t="shared" si="8"/>
        <v>5.4153580477071435</v>
      </c>
      <c r="F39" s="529">
        <f t="shared" si="8"/>
        <v>4.4269113580850119</v>
      </c>
      <c r="G39" s="529">
        <f t="shared" si="8"/>
        <v>3.706176133487308</v>
      </c>
      <c r="H39" s="17">
        <f t="shared" si="9"/>
        <v>2.9131476324875338E-2</v>
      </c>
      <c r="I39" s="17"/>
      <c r="J39" s="5"/>
      <c r="K39" s="5"/>
      <c r="L39" s="5"/>
      <c r="M39" s="5"/>
      <c r="N39" s="5"/>
      <c r="O39" s="5"/>
      <c r="Q39" s="5"/>
      <c r="R39" s="5"/>
      <c r="S39" s="42"/>
      <c r="T39" s="42"/>
      <c r="U39" s="42"/>
      <c r="V39" s="42"/>
      <c r="W39" s="42"/>
      <c r="X39" s="42"/>
      <c r="Y39" s="42"/>
      <c r="Z39" s="42"/>
      <c r="AA39" s="42"/>
    </row>
    <row r="40" spans="2:27">
      <c r="B40" s="5" t="s">
        <v>466</v>
      </c>
      <c r="C40" s="247"/>
      <c r="D40" s="529">
        <f>D$18/D26</f>
        <v>7.2932888706667027</v>
      </c>
      <c r="E40" s="529">
        <f t="shared" si="8"/>
        <v>7.5213306218154772</v>
      </c>
      <c r="F40" s="529">
        <f t="shared" si="8"/>
        <v>6.1484879973402951</v>
      </c>
      <c r="G40" s="529">
        <f t="shared" si="8"/>
        <v>5.1474668520657056</v>
      </c>
      <c r="H40" s="17">
        <f t="shared" si="9"/>
        <v>2.9131476324875338E-2</v>
      </c>
      <c r="I40" s="5"/>
      <c r="J40" s="259"/>
      <c r="K40" s="259"/>
      <c r="L40" s="259"/>
      <c r="M40" s="259"/>
      <c r="N40" s="259"/>
      <c r="O40" s="18"/>
      <c r="Q40" s="5"/>
      <c r="R40" s="5"/>
      <c r="S40" s="42"/>
      <c r="T40" s="42"/>
      <c r="U40" s="42"/>
      <c r="V40" s="42"/>
      <c r="W40" s="288"/>
      <c r="X40" s="288"/>
      <c r="Y40" s="42"/>
      <c r="Z40" s="42"/>
      <c r="AA40" s="42"/>
    </row>
    <row r="41" spans="2:27">
      <c r="B41" s="5" t="s">
        <v>530</v>
      </c>
      <c r="C41" s="247"/>
      <c r="D41" s="529">
        <f>D$18/D27</f>
        <v>1.4643549921749048</v>
      </c>
      <c r="E41" s="529">
        <f t="shared" si="8"/>
        <v>1.439824260269458</v>
      </c>
      <c r="F41" s="529">
        <f t="shared" si="8"/>
        <v>1.3212279310829658</v>
      </c>
      <c r="G41" s="529">
        <f t="shared" si="8"/>
        <v>1.1901898775926998</v>
      </c>
      <c r="H41" s="17">
        <f t="shared" si="9"/>
        <v>-1.8167020605997397E-2</v>
      </c>
      <c r="I41" s="247"/>
      <c r="J41" s="17"/>
      <c r="K41" s="17"/>
      <c r="L41" s="17"/>
      <c r="M41" s="17"/>
      <c r="N41" s="17"/>
      <c r="O41" s="5"/>
      <c r="Q41" s="5"/>
      <c r="R41" s="5"/>
      <c r="S41" s="42"/>
      <c r="T41" s="42"/>
      <c r="U41" s="42"/>
      <c r="V41" s="42"/>
      <c r="W41" s="288"/>
      <c r="X41" s="288"/>
      <c r="Y41" s="288"/>
      <c r="Z41" s="288"/>
      <c r="AA41" s="42"/>
    </row>
    <row r="42" spans="2:27">
      <c r="B42" s="5" t="s">
        <v>593</v>
      </c>
      <c r="C42" s="247"/>
      <c r="D42" s="529">
        <f>D18/D28</f>
        <v>2.5899118633774085</v>
      </c>
      <c r="E42" s="529">
        <f>E18/E28</f>
        <v>2.4520923255479028</v>
      </c>
      <c r="F42" s="529">
        <f>F18/F28</f>
        <v>2.1403145565770689</v>
      </c>
      <c r="G42" s="529">
        <f>G18/G28</f>
        <v>1.8152981549124314</v>
      </c>
      <c r="H42" s="17">
        <f t="shared" si="9"/>
        <v>3.1509539625711902E-2</v>
      </c>
      <c r="I42" s="248"/>
      <c r="J42" s="5"/>
      <c r="K42" s="5"/>
      <c r="L42" s="5"/>
      <c r="M42" s="5"/>
      <c r="N42" s="5"/>
      <c r="O42" s="5"/>
      <c r="Q42" s="5"/>
      <c r="R42" s="5"/>
      <c r="S42" s="42"/>
      <c r="T42" s="42"/>
      <c r="U42" s="42"/>
      <c r="V42" s="42"/>
      <c r="W42" s="288"/>
      <c r="X42" s="288"/>
      <c r="Y42" s="288"/>
      <c r="Z42" s="288"/>
      <c r="AA42" s="42"/>
    </row>
    <row r="43" spans="2:27">
      <c r="B43" s="5" t="s">
        <v>475</v>
      </c>
      <c r="C43" s="247"/>
      <c r="D43" s="529">
        <f>L26/D29</f>
        <v>13.42728601055593</v>
      </c>
      <c r="E43" s="529">
        <f>M26/E29</f>
        <v>14.140352479698809</v>
      </c>
      <c r="F43" s="529">
        <f>N26/F29</f>
        <v>12.923339053241465</v>
      </c>
      <c r="G43" s="529">
        <f>O26/G29</f>
        <v>12.068332371134744</v>
      </c>
      <c r="H43" s="17">
        <f t="shared" si="9"/>
        <v>3.6208122933402143E-2</v>
      </c>
      <c r="I43" s="247"/>
      <c r="J43" s="247"/>
      <c r="K43" s="247"/>
      <c r="L43" s="247"/>
      <c r="M43" s="247"/>
      <c r="N43" s="247"/>
      <c r="O43" s="18"/>
      <c r="Q43" s="5"/>
      <c r="R43" s="5"/>
      <c r="S43" s="42"/>
      <c r="T43" s="42"/>
      <c r="U43" s="42"/>
      <c r="V43" s="42"/>
      <c r="W43" s="288"/>
      <c r="X43" s="288"/>
      <c r="Y43" s="288"/>
      <c r="Z43" s="288"/>
      <c r="AA43" s="42"/>
    </row>
    <row r="44" spans="2:27">
      <c r="B44" s="5" t="s">
        <v>533</v>
      </c>
      <c r="C44" s="69"/>
      <c r="D44" s="529">
        <f>D11/D30</f>
        <v>10.321030792819911</v>
      </c>
      <c r="E44" s="529">
        <f>E11/E30</f>
        <v>9.6658611768230678</v>
      </c>
      <c r="F44" s="529">
        <f>F11/F30</f>
        <v>8.7200660845101634</v>
      </c>
      <c r="G44" s="529">
        <f>G11/G30</f>
        <v>7.9672224708511186</v>
      </c>
      <c r="H44" s="17">
        <f t="shared" si="9"/>
        <v>9.011431622566235E-2</v>
      </c>
      <c r="I44" s="247"/>
      <c r="J44" s="248"/>
      <c r="K44" s="248"/>
      <c r="L44" s="248"/>
      <c r="M44" s="248"/>
      <c r="N44" s="248"/>
      <c r="O44" s="248"/>
      <c r="Q44" s="5"/>
      <c r="R44" s="5"/>
      <c r="S44" s="42"/>
      <c r="T44" s="42"/>
      <c r="U44" s="42"/>
      <c r="V44" s="42"/>
      <c r="W44" s="325"/>
      <c r="X44" s="325"/>
      <c r="Y44" s="288"/>
      <c r="Z44" s="288"/>
      <c r="AA44" s="42"/>
    </row>
    <row r="45" spans="2:27">
      <c r="B45" s="5" t="s">
        <v>580</v>
      </c>
      <c r="C45" s="247"/>
      <c r="D45" s="248">
        <f>D31/D11</f>
        <v>7.320702103282492E-2</v>
      </c>
      <c r="E45" s="248">
        <f>E31/E11</f>
        <v>7.7476298416438147E-2</v>
      </c>
      <c r="F45" s="248">
        <f>F31/F11</f>
        <v>8.8972598331018976E-2</v>
      </c>
      <c r="G45" s="248">
        <f>G31/G11</f>
        <v>9.9966778731552908E-2</v>
      </c>
      <c r="H45" s="17">
        <f t="shared" si="9"/>
        <v>0.10943276479161579</v>
      </c>
      <c r="I45" s="248"/>
      <c r="J45" s="247"/>
      <c r="K45" s="247"/>
      <c r="L45" s="247"/>
      <c r="M45" s="247"/>
      <c r="N45" s="247"/>
      <c r="O45" s="248"/>
      <c r="Q45" s="5"/>
      <c r="R45" s="5"/>
      <c r="S45" s="42"/>
      <c r="T45" s="42"/>
      <c r="U45" s="42"/>
      <c r="V45" s="42"/>
      <c r="W45" s="42"/>
      <c r="X45" s="42"/>
      <c r="Y45" s="325"/>
      <c r="Z45" s="325"/>
      <c r="AA45" s="42"/>
    </row>
    <row r="46" spans="2:27">
      <c r="B46" s="5" t="s">
        <v>605</v>
      </c>
      <c r="C46" s="247"/>
      <c r="D46" s="248">
        <f>(D31+D32)/D11</f>
        <v>6.4785270729094915E-2</v>
      </c>
      <c r="E46" s="248">
        <f>(E31+E32)/E11</f>
        <v>2.0458430711362219E-2</v>
      </c>
      <c r="F46" s="248">
        <f>(F31+F32)/F11</f>
        <v>0.10400138507992361</v>
      </c>
      <c r="G46" s="248">
        <f>(G31+G32)/G11</f>
        <v>9.6984442222841902E-2</v>
      </c>
      <c r="H46" s="279">
        <f>((G31+G32)/(D31+D32))^(1/3)-1</f>
        <v>0.14395409729328756</v>
      </c>
      <c r="I46" s="247"/>
      <c r="J46" s="247"/>
      <c r="K46" s="247"/>
      <c r="L46" s="247"/>
      <c r="M46" s="247"/>
      <c r="N46" s="247"/>
      <c r="O46" s="18"/>
      <c r="Q46" s="5"/>
      <c r="R46" s="5"/>
      <c r="S46" s="42"/>
      <c r="T46" s="42"/>
      <c r="U46" s="42"/>
      <c r="V46" s="42"/>
      <c r="W46" s="42"/>
      <c r="X46" s="42"/>
      <c r="Y46" s="42"/>
      <c r="Z46" s="42"/>
      <c r="AA46" s="326"/>
    </row>
    <row r="47" spans="2:27">
      <c r="B47" s="5" t="s">
        <v>581</v>
      </c>
      <c r="C47" s="5"/>
      <c r="D47" s="248">
        <f>1/D43</f>
        <v>7.447521406886283E-2</v>
      </c>
      <c r="E47" s="248">
        <f>1/E43</f>
        <v>7.0719594963116514E-2</v>
      </c>
      <c r="F47" s="248">
        <f>1/F43</f>
        <v>7.7379382826698914E-2</v>
      </c>
      <c r="G47" s="248">
        <f>1/G43</f>
        <v>8.2861489827030135E-2</v>
      </c>
      <c r="H47" s="17">
        <f>H29</f>
        <v>3.6208122933402143E-2</v>
      </c>
      <c r="I47" s="17"/>
      <c r="J47" s="248"/>
      <c r="K47" s="248"/>
      <c r="L47" s="248"/>
      <c r="M47" s="248"/>
      <c r="N47" s="248"/>
      <c r="O47" s="248"/>
      <c r="Q47" s="5"/>
      <c r="R47" s="5"/>
      <c r="S47" s="42"/>
      <c r="T47" s="42"/>
      <c r="U47" s="42"/>
      <c r="V47" s="42"/>
      <c r="W47" s="42"/>
      <c r="X47" s="42"/>
      <c r="Y47" s="42"/>
      <c r="Z47" s="42"/>
      <c r="AA47" s="326"/>
    </row>
    <row r="48" spans="2:27">
      <c r="B48" s="5" t="s">
        <v>618</v>
      </c>
      <c r="C48" s="5"/>
      <c r="D48" s="305">
        <f>D31/D29</f>
        <v>0.9829716093885239</v>
      </c>
      <c r="E48" s="305">
        <f>E31/E29</f>
        <v>1.095542168430766</v>
      </c>
      <c r="F48" s="305">
        <f>F31/F29</f>
        <v>1.1498230546796238</v>
      </c>
      <c r="G48" s="305">
        <f>G31/G29</f>
        <v>1.2064323118040643</v>
      </c>
      <c r="H48" s="279" t="s">
        <v>607</v>
      </c>
      <c r="I48" s="247"/>
      <c r="J48" s="247"/>
      <c r="K48" s="247"/>
      <c r="L48" s="247"/>
      <c r="M48" s="247"/>
      <c r="N48" s="247"/>
      <c r="O48" s="248"/>
      <c r="Q48" s="5"/>
      <c r="R48" s="5"/>
      <c r="S48" s="42"/>
      <c r="T48" s="42"/>
      <c r="U48" s="42"/>
      <c r="V48" s="42"/>
      <c r="W48" s="42"/>
      <c r="X48" s="42"/>
      <c r="Y48" s="42"/>
      <c r="Z48" s="42"/>
      <c r="AA48" s="326"/>
    </row>
    <row r="49" spans="2:27">
      <c r="B49" s="41"/>
      <c r="C49" s="17"/>
      <c r="D49" s="17"/>
      <c r="E49" s="17"/>
      <c r="F49" s="17"/>
      <c r="G49" s="17"/>
      <c r="H49" s="17"/>
      <c r="I49" s="254"/>
      <c r="J49" s="17"/>
      <c r="K49" s="17"/>
      <c r="L49" s="17"/>
      <c r="M49" s="17"/>
      <c r="N49" s="17"/>
      <c r="O49" s="248"/>
      <c r="Q49" s="5"/>
      <c r="R49" s="5"/>
      <c r="S49" s="42"/>
      <c r="T49" s="42"/>
      <c r="U49" s="42"/>
      <c r="V49" s="42"/>
      <c r="W49" s="42"/>
      <c r="X49" s="42"/>
      <c r="Y49" s="42"/>
      <c r="Z49" s="42"/>
      <c r="AA49" s="326"/>
    </row>
    <row r="50" spans="2:27">
      <c r="B50" s="5"/>
      <c r="C50" s="257"/>
      <c r="D50" s="257"/>
      <c r="E50" s="257"/>
      <c r="F50" s="5"/>
      <c r="G50" s="41"/>
      <c r="H50" s="249"/>
      <c r="I50" s="17"/>
      <c r="J50" s="249"/>
      <c r="K50" s="249"/>
      <c r="L50" s="249"/>
      <c r="M50" s="249"/>
      <c r="N50" s="249"/>
      <c r="O50" s="250"/>
      <c r="Q50" s="5"/>
      <c r="R50" s="5"/>
      <c r="S50" s="42"/>
      <c r="T50" s="42"/>
      <c r="U50" s="42"/>
      <c r="V50" s="42"/>
      <c r="W50" s="288"/>
      <c r="X50" s="288"/>
      <c r="Y50" s="42"/>
      <c r="Z50" s="42"/>
      <c r="AA50" s="326"/>
    </row>
    <row r="51" spans="2:27">
      <c r="B51" s="41"/>
      <c r="C51" s="249"/>
      <c r="D51" s="254"/>
      <c r="E51" s="254"/>
      <c r="F51" s="254"/>
      <c r="G51" s="254"/>
      <c r="H51" s="254"/>
      <c r="I51" s="259"/>
      <c r="J51" s="254"/>
      <c r="K51" s="254"/>
      <c r="L51" s="254"/>
      <c r="M51" s="254"/>
      <c r="N51" s="254"/>
      <c r="O51" s="251"/>
      <c r="Q51" s="5"/>
      <c r="R51" s="5"/>
      <c r="S51" s="42"/>
      <c r="T51" s="42"/>
      <c r="U51" s="42"/>
      <c r="V51" s="42"/>
      <c r="W51" s="288"/>
      <c r="X51" s="288"/>
      <c r="Y51" s="288"/>
      <c r="Z51" s="288"/>
      <c r="AA51" s="42"/>
    </row>
    <row r="52" spans="2:27">
      <c r="B52" s="5"/>
      <c r="C52" s="257"/>
      <c r="D52" s="17"/>
      <c r="E52" s="17"/>
      <c r="F52" s="17"/>
      <c r="G52" s="17"/>
      <c r="H52" s="17"/>
      <c r="I52" s="254"/>
      <c r="J52" s="17"/>
      <c r="K52" s="17"/>
      <c r="L52" s="17"/>
      <c r="M52" s="17"/>
      <c r="N52" s="17"/>
      <c r="O52" s="248"/>
      <c r="Q52" s="5"/>
      <c r="R52" s="5"/>
      <c r="S52" s="5"/>
      <c r="Y52" s="10"/>
      <c r="Z52" s="10"/>
    </row>
    <row r="53" spans="2:27">
      <c r="B53" s="5"/>
      <c r="C53" s="257"/>
      <c r="D53" s="257"/>
      <c r="E53" s="257"/>
      <c r="F53" s="5"/>
      <c r="G53" s="5"/>
      <c r="H53" s="259"/>
      <c r="I53" s="17"/>
      <c r="J53" s="259"/>
      <c r="K53" s="259"/>
      <c r="L53" s="259"/>
      <c r="M53" s="259"/>
      <c r="N53" s="259"/>
      <c r="O53" s="18"/>
      <c r="Q53" s="5"/>
      <c r="R53" s="5"/>
      <c r="S53" s="5"/>
    </row>
    <row r="54" spans="2:27">
      <c r="B54" s="41"/>
      <c r="C54" s="249"/>
      <c r="D54" s="254"/>
      <c r="E54" s="254"/>
      <c r="F54" s="254"/>
      <c r="G54" s="254"/>
      <c r="H54" s="254"/>
      <c r="I54" s="259"/>
      <c r="J54" s="254"/>
      <c r="K54" s="254"/>
      <c r="L54" s="254"/>
      <c r="M54" s="254"/>
      <c r="N54" s="254"/>
      <c r="O54" s="251"/>
      <c r="Q54" s="5"/>
      <c r="R54" s="5"/>
      <c r="S54" s="5"/>
    </row>
    <row r="55" spans="2:27">
      <c r="B55" s="5"/>
      <c r="C55" s="257"/>
      <c r="D55" s="17"/>
      <c r="E55" s="17"/>
      <c r="F55" s="17"/>
      <c r="G55" s="17"/>
      <c r="H55" s="17"/>
      <c r="I55" s="249"/>
      <c r="J55" s="17"/>
      <c r="K55" s="17"/>
      <c r="L55" s="17"/>
      <c r="M55" s="17"/>
      <c r="N55" s="17"/>
      <c r="O55" s="18"/>
      <c r="Q55" s="5"/>
      <c r="R55" s="5"/>
      <c r="S55" s="5"/>
    </row>
    <row r="56" spans="2:27">
      <c r="B56" s="5"/>
      <c r="C56" s="248"/>
      <c r="D56" s="248"/>
      <c r="E56" s="248"/>
      <c r="F56" s="5"/>
      <c r="G56" s="5"/>
      <c r="H56" s="259"/>
      <c r="I56" s="248"/>
      <c r="J56" s="259"/>
      <c r="K56" s="259"/>
      <c r="L56" s="259"/>
      <c r="M56" s="259"/>
      <c r="N56" s="259"/>
      <c r="O56" s="18"/>
      <c r="Q56" s="5"/>
      <c r="R56" s="5"/>
      <c r="S56" s="5"/>
    </row>
    <row r="57" spans="2:27">
      <c r="B57" s="41"/>
      <c r="C57" s="249"/>
      <c r="D57" s="249"/>
      <c r="E57" s="249"/>
      <c r="F57" s="249"/>
      <c r="G57" s="249"/>
      <c r="H57" s="249"/>
      <c r="I57" s="5"/>
      <c r="J57" s="249"/>
      <c r="K57" s="249"/>
      <c r="L57" s="249"/>
      <c r="M57" s="249"/>
      <c r="N57" s="249"/>
      <c r="O57" s="251"/>
      <c r="Q57" s="5"/>
      <c r="R57" s="5"/>
      <c r="S57" s="5"/>
    </row>
    <row r="58" spans="2:27">
      <c r="B58" s="5"/>
      <c r="C58" s="5"/>
      <c r="D58" s="248"/>
      <c r="E58" s="248"/>
      <c r="F58" s="248"/>
      <c r="G58" s="248"/>
      <c r="H58" s="248"/>
      <c r="I58" s="17"/>
      <c r="J58" s="248"/>
      <c r="K58" s="248"/>
      <c r="L58" s="248"/>
      <c r="M58" s="248"/>
      <c r="N58" s="248"/>
      <c r="O58" s="18"/>
      <c r="Q58" s="5"/>
      <c r="R58" s="5"/>
      <c r="S58" s="5"/>
    </row>
    <row r="59" spans="2:27">
      <c r="B59" s="5"/>
      <c r="C59" s="5"/>
      <c r="D59" s="5"/>
      <c r="E59" s="5"/>
      <c r="F59" s="5"/>
      <c r="G59" s="5"/>
      <c r="H59" s="5"/>
      <c r="I59" s="5"/>
      <c r="J59" s="5"/>
      <c r="K59" s="5"/>
      <c r="L59" s="5"/>
      <c r="M59" s="5"/>
      <c r="N59" s="5"/>
      <c r="O59" s="5"/>
      <c r="Q59" s="5"/>
      <c r="R59" s="5"/>
      <c r="S59" s="5"/>
    </row>
    <row r="60" spans="2:27">
      <c r="B60" s="41"/>
      <c r="C60" s="17"/>
      <c r="D60" s="17"/>
      <c r="E60" s="17"/>
      <c r="F60" s="17"/>
      <c r="G60" s="17"/>
      <c r="H60" s="17"/>
      <c r="I60" s="249"/>
      <c r="J60" s="17"/>
      <c r="K60" s="17"/>
      <c r="L60" s="17"/>
      <c r="M60" s="17"/>
      <c r="N60" s="17"/>
      <c r="O60" s="251"/>
      <c r="Q60" s="5"/>
      <c r="R60" s="5"/>
      <c r="S60" s="5"/>
    </row>
    <row r="61" spans="2:27">
      <c r="B61" s="5"/>
      <c r="C61" s="5"/>
      <c r="D61" s="5"/>
      <c r="E61" s="5"/>
      <c r="F61" s="5"/>
      <c r="G61" s="5"/>
      <c r="H61" s="5"/>
      <c r="I61" s="5"/>
      <c r="J61" s="5"/>
      <c r="K61" s="5"/>
      <c r="L61" s="5"/>
      <c r="M61" s="5"/>
      <c r="N61" s="5"/>
      <c r="O61" s="5"/>
      <c r="Q61" s="41"/>
      <c r="R61" s="5"/>
      <c r="S61" s="5"/>
    </row>
    <row r="62" spans="2:27">
      <c r="B62" s="41"/>
      <c r="C62" s="249"/>
      <c r="D62" s="249"/>
      <c r="E62" s="249"/>
      <c r="F62" s="249"/>
      <c r="G62" s="249"/>
      <c r="H62" s="249"/>
      <c r="I62" s="5"/>
      <c r="J62" s="249"/>
      <c r="K62" s="249"/>
      <c r="L62" s="249"/>
      <c r="M62" s="249"/>
      <c r="N62" s="249"/>
      <c r="O62" s="251"/>
      <c r="Q62" s="5"/>
      <c r="R62" s="5"/>
      <c r="S62" s="5"/>
    </row>
    <row r="63" spans="2:27">
      <c r="B63" s="5"/>
      <c r="C63" s="5"/>
      <c r="D63" s="5"/>
      <c r="E63" s="5"/>
      <c r="F63" s="5"/>
      <c r="G63" s="5"/>
      <c r="H63" s="5"/>
      <c r="I63" s="254"/>
      <c r="J63" s="5"/>
      <c r="K63" s="5"/>
      <c r="L63" s="5"/>
      <c r="M63" s="5"/>
      <c r="N63" s="5"/>
      <c r="O63" s="5"/>
      <c r="Q63" s="5"/>
      <c r="R63" s="5"/>
      <c r="S63" s="5"/>
    </row>
    <row r="64" spans="2:27">
      <c r="B64" s="5"/>
      <c r="C64" s="5"/>
      <c r="D64" s="5"/>
      <c r="E64" s="5"/>
      <c r="F64" s="5"/>
      <c r="G64" s="5"/>
      <c r="H64" s="5"/>
      <c r="I64" s="17"/>
      <c r="J64" s="5"/>
      <c r="K64" s="5"/>
      <c r="L64" s="5"/>
      <c r="M64" s="5"/>
      <c r="N64" s="5"/>
      <c r="O64" s="5"/>
      <c r="Q64" s="5"/>
      <c r="R64" s="5"/>
      <c r="S64" s="5"/>
    </row>
    <row r="65" spans="2:26">
      <c r="B65" s="41"/>
      <c r="C65" s="249"/>
      <c r="D65" s="254"/>
      <c r="E65" s="254"/>
      <c r="F65" s="254"/>
      <c r="G65" s="254"/>
      <c r="H65" s="254"/>
      <c r="I65" s="254"/>
      <c r="J65" s="254"/>
      <c r="K65" s="254"/>
      <c r="L65" s="254"/>
      <c r="M65" s="254"/>
      <c r="N65" s="254"/>
      <c r="O65" s="251"/>
      <c r="Q65" s="5"/>
      <c r="R65" s="5"/>
      <c r="S65" s="5"/>
    </row>
    <row r="66" spans="2:26">
      <c r="B66" s="5"/>
      <c r="C66" s="5"/>
      <c r="D66" s="17"/>
      <c r="E66" s="17"/>
      <c r="F66" s="17"/>
      <c r="G66" s="17"/>
      <c r="H66" s="17"/>
      <c r="I66" s="248"/>
      <c r="J66" s="17"/>
      <c r="K66" s="17"/>
      <c r="L66" s="17"/>
      <c r="M66" s="17"/>
      <c r="N66" s="17"/>
      <c r="O66" s="5"/>
      <c r="Q66" s="5"/>
      <c r="R66" s="5"/>
      <c r="S66" s="5"/>
    </row>
    <row r="67" spans="2:26">
      <c r="B67" s="41"/>
      <c r="C67" s="249"/>
      <c r="D67" s="254"/>
      <c r="E67" s="254"/>
      <c r="F67" s="254"/>
      <c r="G67" s="254"/>
      <c r="H67" s="254"/>
      <c r="I67" s="5"/>
      <c r="J67" s="254"/>
      <c r="K67" s="254"/>
      <c r="L67" s="254"/>
      <c r="M67" s="254"/>
      <c r="N67" s="254"/>
      <c r="O67" s="251"/>
      <c r="Q67" s="41"/>
      <c r="R67" s="5"/>
      <c r="S67" s="5"/>
    </row>
    <row r="68" spans="2:26">
      <c r="B68" s="5"/>
      <c r="C68" s="5"/>
      <c r="D68" s="248"/>
      <c r="E68" s="248"/>
      <c r="F68" s="248"/>
      <c r="G68" s="248"/>
      <c r="H68" s="248"/>
      <c r="I68" s="245"/>
      <c r="J68" s="248"/>
      <c r="K68" s="248"/>
      <c r="L68" s="248"/>
      <c r="M68" s="248"/>
      <c r="N68" s="248"/>
      <c r="O68" s="5"/>
      <c r="Q68" s="5"/>
      <c r="R68" s="5"/>
      <c r="S68" s="5"/>
    </row>
    <row r="69" spans="2:26">
      <c r="B69" s="41"/>
      <c r="C69" s="5"/>
      <c r="D69" s="5"/>
      <c r="E69" s="5"/>
      <c r="F69" s="5"/>
      <c r="G69" s="5"/>
      <c r="H69" s="5"/>
      <c r="I69" s="248"/>
      <c r="J69" s="5"/>
      <c r="K69" s="5"/>
      <c r="L69" s="5"/>
      <c r="M69" s="5"/>
      <c r="N69" s="5"/>
      <c r="O69" s="5"/>
      <c r="Q69" s="5"/>
      <c r="R69" s="5"/>
      <c r="S69" s="5"/>
    </row>
    <row r="70" spans="2:26">
      <c r="B70" s="41"/>
      <c r="C70" s="245"/>
      <c r="D70" s="245"/>
      <c r="E70" s="245"/>
      <c r="F70" s="245"/>
      <c r="G70" s="245"/>
      <c r="H70" s="245"/>
      <c r="I70" s="5"/>
      <c r="J70" s="245"/>
      <c r="K70" s="245"/>
      <c r="L70" s="245"/>
      <c r="M70" s="245"/>
      <c r="N70" s="245"/>
      <c r="O70" s="251"/>
      <c r="Q70" s="5"/>
      <c r="R70" s="5"/>
      <c r="S70" s="5"/>
      <c r="W70" s="76"/>
      <c r="X70" s="76"/>
    </row>
    <row r="71" spans="2:26">
      <c r="B71" s="5"/>
      <c r="C71" s="5"/>
      <c r="D71" s="248"/>
      <c r="E71" s="248"/>
      <c r="F71" s="248"/>
      <c r="G71" s="248"/>
      <c r="H71" s="248"/>
      <c r="I71" s="245"/>
      <c r="J71" s="248"/>
      <c r="K71" s="248"/>
      <c r="L71" s="248"/>
      <c r="M71" s="248"/>
      <c r="N71" s="248"/>
      <c r="O71" s="5"/>
      <c r="Q71" s="5"/>
      <c r="R71" s="5"/>
      <c r="S71" s="5"/>
      <c r="W71" s="76"/>
      <c r="X71" s="76"/>
      <c r="Y71" s="76"/>
      <c r="Z71" s="76"/>
    </row>
    <row r="72" spans="2:26">
      <c r="B72" s="41"/>
      <c r="C72" s="5"/>
      <c r="D72" s="5"/>
      <c r="E72" s="5"/>
      <c r="F72" s="5"/>
      <c r="G72" s="5"/>
      <c r="H72" s="5"/>
      <c r="I72" s="18"/>
      <c r="J72" s="5"/>
      <c r="K72" s="5"/>
      <c r="L72" s="5"/>
      <c r="M72" s="5"/>
      <c r="N72" s="5"/>
      <c r="O72" s="5"/>
      <c r="Q72" s="5"/>
      <c r="R72" s="5"/>
      <c r="S72" s="5"/>
      <c r="Y72" s="76"/>
      <c r="Z72" s="76"/>
    </row>
    <row r="73" spans="2:26">
      <c r="B73" s="41"/>
      <c r="C73" s="245"/>
      <c r="D73" s="245"/>
      <c r="E73" s="245"/>
      <c r="F73" s="245"/>
      <c r="G73" s="245"/>
      <c r="H73" s="245"/>
      <c r="I73" s="5"/>
      <c r="J73" s="245"/>
      <c r="K73" s="245"/>
      <c r="L73" s="245"/>
      <c r="M73" s="245"/>
      <c r="N73" s="245"/>
      <c r="O73" s="251"/>
      <c r="Q73" s="5"/>
      <c r="R73" s="5"/>
      <c r="S73" s="5"/>
    </row>
    <row r="74" spans="2:26">
      <c r="B74" s="5"/>
      <c r="C74" s="5"/>
      <c r="D74" s="18"/>
      <c r="E74" s="18"/>
      <c r="F74" s="18"/>
      <c r="G74" s="18"/>
      <c r="H74" s="18"/>
      <c r="I74" s="249"/>
      <c r="J74" s="18"/>
      <c r="K74" s="18"/>
      <c r="L74" s="18"/>
      <c r="M74" s="18"/>
      <c r="N74" s="18"/>
      <c r="O74" s="5"/>
      <c r="Q74" s="5"/>
      <c r="R74" s="5"/>
      <c r="S74" s="5"/>
    </row>
    <row r="75" spans="2:26">
      <c r="B75" s="41"/>
      <c r="C75" s="5"/>
      <c r="D75" s="5"/>
      <c r="E75" s="5"/>
      <c r="F75" s="5"/>
      <c r="G75" s="5"/>
      <c r="H75" s="5"/>
      <c r="I75" s="248"/>
      <c r="J75" s="5"/>
      <c r="K75" s="5"/>
      <c r="L75" s="5"/>
      <c r="M75" s="5"/>
      <c r="N75" s="5"/>
      <c r="O75" s="5"/>
      <c r="Q75" s="5"/>
      <c r="R75" s="5"/>
      <c r="S75" s="5"/>
    </row>
    <row r="76" spans="2:26">
      <c r="B76" s="41"/>
      <c r="C76" s="249"/>
      <c r="D76" s="249"/>
      <c r="E76" s="249"/>
      <c r="F76" s="249"/>
      <c r="G76" s="249"/>
      <c r="H76" s="249"/>
      <c r="I76" s="5"/>
      <c r="J76" s="249"/>
      <c r="K76" s="249"/>
      <c r="L76" s="249"/>
      <c r="M76" s="249"/>
      <c r="N76" s="249"/>
      <c r="O76" s="251"/>
      <c r="Q76" s="5"/>
      <c r="R76" s="5"/>
      <c r="S76" s="5"/>
    </row>
    <row r="77" spans="2:26">
      <c r="B77" s="5"/>
      <c r="C77" s="5"/>
      <c r="D77" s="248"/>
      <c r="E77" s="248"/>
      <c r="F77" s="248"/>
      <c r="G77" s="248"/>
      <c r="H77" s="248"/>
      <c r="I77" s="245"/>
      <c r="J77" s="248"/>
      <c r="K77" s="248"/>
      <c r="L77" s="248"/>
      <c r="M77" s="248"/>
      <c r="N77" s="248"/>
      <c r="O77" s="5"/>
      <c r="Q77" s="5"/>
      <c r="R77" s="5"/>
      <c r="S77" s="5"/>
    </row>
    <row r="78" spans="2:26">
      <c r="B78" s="41"/>
      <c r="C78" s="5"/>
      <c r="D78" s="5"/>
      <c r="E78" s="5"/>
      <c r="F78" s="5"/>
      <c r="G78" s="5"/>
      <c r="H78" s="5"/>
      <c r="I78" s="248"/>
      <c r="J78" s="5"/>
      <c r="K78" s="5"/>
      <c r="L78" s="5"/>
      <c r="M78" s="5"/>
      <c r="N78" s="5"/>
      <c r="O78" s="5"/>
      <c r="Q78" s="5"/>
      <c r="R78" s="5"/>
      <c r="S78" s="5"/>
    </row>
    <row r="79" spans="2:26">
      <c r="B79" s="41"/>
      <c r="C79" s="245"/>
      <c r="D79" s="245"/>
      <c r="E79" s="245"/>
      <c r="F79" s="245"/>
      <c r="G79" s="245"/>
      <c r="H79" s="245"/>
      <c r="I79" s="5"/>
      <c r="J79" s="245"/>
      <c r="K79" s="245"/>
      <c r="L79" s="245"/>
      <c r="M79" s="245"/>
      <c r="N79" s="245"/>
      <c r="O79" s="251"/>
      <c r="Q79" s="5"/>
      <c r="R79" s="5"/>
      <c r="S79" s="5"/>
    </row>
    <row r="80" spans="2:26">
      <c r="B80" s="5"/>
      <c r="C80" s="5"/>
      <c r="D80" s="248"/>
      <c r="E80" s="248"/>
      <c r="F80" s="248"/>
      <c r="G80" s="248"/>
      <c r="H80" s="248"/>
      <c r="I80" s="249"/>
      <c r="J80" s="248"/>
      <c r="K80" s="248"/>
      <c r="L80" s="248"/>
      <c r="M80" s="248"/>
      <c r="N80" s="248"/>
      <c r="O80" s="5"/>
      <c r="Q80" s="5"/>
      <c r="R80" s="5"/>
      <c r="S80" s="5"/>
    </row>
    <row r="81" spans="2:26">
      <c r="B81" s="41"/>
      <c r="C81" s="5"/>
      <c r="D81" s="5"/>
      <c r="E81" s="5"/>
      <c r="F81" s="5"/>
      <c r="G81" s="5"/>
      <c r="H81" s="5"/>
      <c r="I81" s="248"/>
      <c r="J81" s="5"/>
      <c r="K81" s="5"/>
      <c r="L81" s="5"/>
      <c r="M81" s="5"/>
      <c r="N81" s="5"/>
      <c r="O81" s="5"/>
      <c r="Q81" s="5"/>
      <c r="R81" s="5"/>
      <c r="S81" s="5"/>
    </row>
    <row r="82" spans="2:26">
      <c r="B82" s="41"/>
      <c r="C82" s="249"/>
      <c r="D82" s="249"/>
      <c r="E82" s="249"/>
      <c r="F82" s="249"/>
      <c r="G82" s="249"/>
      <c r="H82" s="249"/>
      <c r="I82" s="259"/>
      <c r="J82" s="249"/>
      <c r="K82" s="249"/>
      <c r="L82" s="249"/>
      <c r="M82" s="249"/>
      <c r="N82" s="249"/>
      <c r="O82" s="251"/>
      <c r="Q82" s="5"/>
      <c r="R82" s="5"/>
      <c r="S82" s="5"/>
    </row>
    <row r="83" spans="2:26">
      <c r="B83" s="5"/>
      <c r="C83" s="5"/>
      <c r="D83" s="248"/>
      <c r="E83" s="248"/>
      <c r="F83" s="248"/>
      <c r="G83" s="248"/>
      <c r="H83" s="248"/>
      <c r="I83" s="5"/>
      <c r="J83" s="248"/>
      <c r="K83" s="248"/>
      <c r="L83" s="248"/>
      <c r="M83" s="248"/>
      <c r="N83" s="248"/>
      <c r="O83" s="5"/>
      <c r="Q83" s="5"/>
      <c r="R83" s="5"/>
      <c r="S83" s="5"/>
    </row>
    <row r="84" spans="2:26">
      <c r="B84" s="5"/>
      <c r="C84" s="259"/>
      <c r="D84" s="259"/>
      <c r="E84" s="259"/>
      <c r="F84" s="259"/>
      <c r="G84" s="259"/>
      <c r="H84" s="259"/>
      <c r="I84" s="245"/>
      <c r="J84" s="259"/>
      <c r="K84" s="259"/>
      <c r="L84" s="259"/>
      <c r="M84" s="259"/>
      <c r="N84" s="259"/>
      <c r="O84" s="251"/>
      <c r="Q84" s="5"/>
      <c r="R84" s="5"/>
      <c r="S84" s="5"/>
    </row>
    <row r="85" spans="2:26">
      <c r="B85" s="41"/>
      <c r="C85" s="5"/>
      <c r="D85" s="5"/>
      <c r="E85" s="5"/>
      <c r="F85" s="5"/>
      <c r="G85" s="5"/>
      <c r="H85" s="5"/>
      <c r="I85" s="248"/>
      <c r="J85" s="5"/>
      <c r="K85" s="5"/>
      <c r="L85" s="5"/>
      <c r="M85" s="5"/>
      <c r="N85" s="5"/>
      <c r="O85" s="5"/>
      <c r="Q85" s="5"/>
      <c r="R85" s="5"/>
      <c r="S85" s="5"/>
    </row>
    <row r="86" spans="2:26">
      <c r="B86" s="41"/>
      <c r="C86" s="245"/>
      <c r="D86" s="245"/>
      <c r="E86" s="245"/>
      <c r="F86" s="245"/>
      <c r="G86" s="245"/>
      <c r="H86" s="245"/>
      <c r="I86" s="5"/>
      <c r="J86" s="245"/>
      <c r="K86" s="245"/>
      <c r="L86" s="245"/>
      <c r="M86" s="245"/>
      <c r="N86" s="245"/>
      <c r="O86" s="251"/>
      <c r="Q86" s="5"/>
      <c r="R86" s="5"/>
      <c r="S86" s="5"/>
    </row>
    <row r="87" spans="2:26">
      <c r="B87" s="5"/>
      <c r="C87" s="5"/>
      <c r="D87" s="248"/>
      <c r="E87" s="248"/>
      <c r="F87" s="248"/>
      <c r="G87" s="248"/>
      <c r="H87" s="248"/>
      <c r="I87" s="5"/>
      <c r="J87" s="248"/>
      <c r="K87" s="248"/>
      <c r="L87" s="248"/>
      <c r="M87" s="248"/>
      <c r="N87" s="248"/>
      <c r="O87" s="5"/>
      <c r="Q87" s="5"/>
      <c r="R87" s="5"/>
      <c r="S87" s="5"/>
    </row>
    <row r="88" spans="2:26">
      <c r="B88" s="41"/>
      <c r="C88" s="5"/>
      <c r="D88" s="5"/>
      <c r="E88" s="5"/>
      <c r="F88" s="5"/>
      <c r="G88" s="5"/>
      <c r="H88" s="5"/>
      <c r="I88" s="5"/>
      <c r="J88" s="5"/>
      <c r="K88" s="5"/>
      <c r="L88" s="5"/>
      <c r="M88" s="5"/>
      <c r="N88" s="5"/>
      <c r="O88" s="5"/>
      <c r="Q88" s="5"/>
      <c r="R88" s="5"/>
      <c r="S88" s="5"/>
    </row>
    <row r="89" spans="2:26">
      <c r="B89" s="41"/>
      <c r="C89" s="5"/>
      <c r="D89" s="5"/>
      <c r="E89" s="5"/>
      <c r="F89" s="5"/>
      <c r="G89" s="5"/>
      <c r="H89" s="5"/>
      <c r="I89" s="5"/>
      <c r="J89" s="5"/>
      <c r="K89" s="5"/>
      <c r="L89" s="5"/>
      <c r="M89" s="5"/>
      <c r="N89" s="5"/>
      <c r="O89" s="5"/>
      <c r="Q89" s="5"/>
      <c r="R89" s="5"/>
      <c r="S89" s="5"/>
    </row>
    <row r="90" spans="2:26">
      <c r="B90" s="41"/>
      <c r="C90" s="5"/>
      <c r="D90" s="5"/>
      <c r="E90" s="5"/>
      <c r="F90" s="5"/>
      <c r="G90" s="5"/>
      <c r="H90" s="5"/>
      <c r="I90" s="49"/>
      <c r="J90" s="5"/>
      <c r="K90" s="5"/>
      <c r="L90" s="5"/>
      <c r="M90" s="5"/>
      <c r="N90" s="5"/>
      <c r="O90" s="5"/>
      <c r="Q90" s="41"/>
      <c r="R90" s="5"/>
      <c r="S90" s="5"/>
    </row>
    <row r="91" spans="2:26">
      <c r="B91" s="5"/>
      <c r="C91" s="5"/>
      <c r="D91" s="5"/>
      <c r="E91" s="5"/>
      <c r="F91" s="5"/>
      <c r="G91" s="5"/>
      <c r="H91" s="5"/>
      <c r="I91" s="5"/>
      <c r="J91" s="5"/>
      <c r="K91" s="5"/>
      <c r="L91" s="5"/>
      <c r="M91" s="5"/>
      <c r="N91" s="5"/>
      <c r="O91" s="5"/>
      <c r="Q91" s="5"/>
      <c r="R91" s="5"/>
      <c r="S91" s="5"/>
    </row>
    <row r="92" spans="2:26">
      <c r="B92" s="41"/>
      <c r="C92" s="49"/>
      <c r="D92" s="49"/>
      <c r="E92" s="49"/>
      <c r="F92" s="49"/>
      <c r="G92" s="49"/>
      <c r="H92" s="49"/>
      <c r="I92" s="247"/>
      <c r="J92" s="49"/>
      <c r="K92" s="49"/>
      <c r="L92" s="49"/>
      <c r="M92" s="49"/>
      <c r="N92" s="49"/>
      <c r="O92" s="49"/>
      <c r="Q92" s="5"/>
      <c r="R92" s="5"/>
      <c r="S92" s="5"/>
      <c r="W92" s="21"/>
      <c r="X92" s="21"/>
    </row>
    <row r="93" spans="2:26">
      <c r="B93" s="5"/>
      <c r="C93" s="5"/>
      <c r="D93" s="5"/>
      <c r="E93" s="5"/>
      <c r="F93" s="5"/>
      <c r="G93" s="5"/>
      <c r="H93" s="5"/>
      <c r="I93" s="247"/>
      <c r="J93" s="5"/>
      <c r="K93" s="5"/>
      <c r="L93" s="5"/>
      <c r="M93" s="5"/>
      <c r="N93" s="5"/>
      <c r="O93" s="5"/>
      <c r="Q93" s="5"/>
      <c r="R93" s="5"/>
      <c r="S93" s="5"/>
      <c r="W93" s="21"/>
      <c r="X93" s="21"/>
      <c r="Y93" s="21"/>
      <c r="Z93" s="21"/>
    </row>
    <row r="94" spans="2:26">
      <c r="B94" s="5"/>
      <c r="C94" s="259"/>
      <c r="D94" s="247"/>
      <c r="E94" s="247"/>
      <c r="F94" s="247"/>
      <c r="G94" s="247"/>
      <c r="H94" s="247"/>
      <c r="I94" s="247"/>
      <c r="J94" s="247"/>
      <c r="K94" s="247"/>
      <c r="L94" s="247"/>
      <c r="M94" s="247"/>
      <c r="N94" s="247"/>
      <c r="O94" s="248"/>
      <c r="Q94" s="5"/>
      <c r="R94" s="5"/>
      <c r="S94" s="5"/>
      <c r="Y94" s="21"/>
      <c r="Z94" s="21"/>
    </row>
    <row r="95" spans="2:26">
      <c r="B95" s="5"/>
      <c r="C95" s="259"/>
      <c r="D95" s="247"/>
      <c r="E95" s="247"/>
      <c r="F95" s="247"/>
      <c r="G95" s="247"/>
      <c r="H95" s="247"/>
      <c r="I95" s="248"/>
      <c r="J95" s="247"/>
      <c r="K95" s="247"/>
      <c r="L95" s="247"/>
      <c r="M95" s="247"/>
      <c r="N95" s="247"/>
      <c r="O95" s="248"/>
      <c r="Q95" s="5"/>
      <c r="R95" s="5"/>
      <c r="S95" s="5"/>
    </row>
    <row r="96" spans="2:26">
      <c r="B96" s="5"/>
      <c r="C96" s="259"/>
      <c r="D96" s="247"/>
      <c r="E96" s="247"/>
      <c r="F96" s="247"/>
      <c r="G96" s="247"/>
      <c r="H96" s="247"/>
      <c r="I96" s="247"/>
      <c r="J96" s="247"/>
      <c r="K96" s="247"/>
      <c r="L96" s="247"/>
      <c r="M96" s="247"/>
      <c r="N96" s="247"/>
      <c r="O96" s="248"/>
      <c r="Q96" s="5"/>
      <c r="R96" s="5"/>
      <c r="S96" s="5"/>
    </row>
    <row r="97" spans="2:19">
      <c r="B97" s="5"/>
      <c r="C97" s="259"/>
      <c r="D97" s="248"/>
      <c r="E97" s="248"/>
      <c r="F97" s="248"/>
      <c r="G97" s="248"/>
      <c r="H97" s="248"/>
      <c r="I97" s="249"/>
      <c r="J97" s="248"/>
      <c r="K97" s="248"/>
      <c r="L97" s="248"/>
      <c r="M97" s="248"/>
      <c r="N97" s="248"/>
      <c r="O97" s="248"/>
      <c r="Q97" s="5"/>
      <c r="R97" s="5"/>
      <c r="S97" s="5"/>
    </row>
    <row r="98" spans="2:19">
      <c r="B98" s="5"/>
      <c r="C98" s="259"/>
      <c r="D98" s="247"/>
      <c r="E98" s="247"/>
      <c r="F98" s="247"/>
      <c r="G98" s="247"/>
      <c r="H98" s="247"/>
      <c r="I98" s="248"/>
      <c r="J98" s="247"/>
      <c r="K98" s="247"/>
      <c r="L98" s="247"/>
      <c r="M98" s="247"/>
      <c r="N98" s="247"/>
      <c r="O98" s="248"/>
      <c r="Q98" s="5"/>
      <c r="R98" s="5"/>
      <c r="S98" s="5"/>
    </row>
    <row r="99" spans="2:19">
      <c r="B99" s="41"/>
      <c r="C99" s="249"/>
      <c r="D99" s="249"/>
      <c r="E99" s="249"/>
      <c r="F99" s="249"/>
      <c r="G99" s="249"/>
      <c r="H99" s="249"/>
      <c r="I99" s="5"/>
      <c r="J99" s="249"/>
      <c r="K99" s="249"/>
      <c r="L99" s="249"/>
      <c r="M99" s="249"/>
      <c r="N99" s="249"/>
      <c r="O99" s="248"/>
      <c r="Q99" s="5"/>
      <c r="R99" s="5"/>
      <c r="S99" s="5"/>
    </row>
    <row r="100" spans="2:19">
      <c r="B100" s="41"/>
      <c r="C100" s="257"/>
      <c r="D100" s="248"/>
      <c r="E100" s="248"/>
      <c r="F100" s="248"/>
      <c r="G100" s="248"/>
      <c r="H100" s="248"/>
      <c r="I100" s="259"/>
      <c r="J100" s="248"/>
      <c r="K100" s="248"/>
      <c r="L100" s="248"/>
      <c r="M100" s="248"/>
      <c r="N100" s="248"/>
      <c r="O100" s="248"/>
      <c r="Q100" s="5"/>
      <c r="R100" s="5"/>
      <c r="S100" s="5"/>
    </row>
    <row r="101" spans="2:19" s="5" customFormat="1">
      <c r="B101" s="41"/>
      <c r="I101" s="259"/>
      <c r="O101" s="248"/>
      <c r="P101" s="39"/>
    </row>
    <row r="102" spans="2:19">
      <c r="B102" s="5"/>
      <c r="C102" s="259"/>
      <c r="D102" s="259"/>
      <c r="E102" s="259"/>
      <c r="F102" s="259"/>
      <c r="G102" s="259"/>
      <c r="H102" s="259"/>
      <c r="I102" s="247"/>
      <c r="J102" s="259"/>
      <c r="K102" s="259"/>
      <c r="L102" s="259"/>
      <c r="M102" s="259"/>
      <c r="N102" s="259"/>
      <c r="O102" s="5"/>
      <c r="Q102" s="5"/>
      <c r="R102" s="5"/>
      <c r="S102" s="5"/>
    </row>
    <row r="103" spans="2:19">
      <c r="B103" s="5"/>
      <c r="C103" s="259"/>
      <c r="D103" s="259"/>
      <c r="E103" s="259"/>
      <c r="F103" s="259"/>
      <c r="G103" s="259"/>
      <c r="H103" s="259"/>
      <c r="I103" s="5"/>
      <c r="J103" s="259"/>
      <c r="K103" s="259"/>
      <c r="L103" s="259"/>
      <c r="M103" s="259"/>
      <c r="N103" s="259"/>
      <c r="O103" s="5"/>
      <c r="P103" s="5"/>
      <c r="Q103" s="5"/>
      <c r="R103" s="5"/>
      <c r="S103" s="5"/>
    </row>
    <row r="104" spans="2:19">
      <c r="B104" s="5"/>
      <c r="C104" s="247"/>
      <c r="D104" s="247"/>
      <c r="E104" s="247"/>
      <c r="F104" s="247"/>
      <c r="G104" s="247"/>
      <c r="H104" s="247"/>
      <c r="I104" s="247"/>
      <c r="J104" s="247"/>
      <c r="K104" s="247"/>
      <c r="L104" s="247"/>
      <c r="M104" s="247"/>
      <c r="N104" s="247"/>
      <c r="O104" s="5"/>
      <c r="Q104" s="5"/>
      <c r="R104" s="5"/>
      <c r="S104" s="5"/>
    </row>
    <row r="105" spans="2:19" s="5" customFormat="1">
      <c r="P105" s="39"/>
    </row>
    <row r="106" spans="2:19" s="5" customFormat="1">
      <c r="C106" s="259"/>
      <c r="D106" s="247"/>
      <c r="E106" s="247"/>
      <c r="F106" s="247"/>
      <c r="G106" s="247"/>
      <c r="H106" s="247"/>
      <c r="I106" s="259"/>
      <c r="J106" s="247"/>
      <c r="K106" s="247"/>
      <c r="L106" s="247"/>
      <c r="M106" s="247"/>
      <c r="N106" s="247"/>
      <c r="P106" s="39"/>
    </row>
    <row r="107" spans="2:19">
      <c r="B107" s="5"/>
      <c r="C107" s="259"/>
      <c r="D107" s="5"/>
      <c r="E107" s="5"/>
      <c r="F107" s="5"/>
      <c r="G107" s="5"/>
      <c r="H107" s="5"/>
      <c r="I107" s="247"/>
      <c r="J107" s="5"/>
      <c r="K107" s="5"/>
      <c r="L107" s="5"/>
      <c r="M107" s="5"/>
      <c r="N107" s="5"/>
      <c r="O107" s="5"/>
      <c r="P107" s="5"/>
      <c r="Q107" s="5"/>
      <c r="R107" s="5"/>
      <c r="S107" s="5"/>
    </row>
    <row r="108" spans="2:19">
      <c r="B108" s="5"/>
      <c r="C108" s="259"/>
      <c r="D108" s="259"/>
      <c r="E108" s="259"/>
      <c r="F108" s="259"/>
      <c r="G108" s="259"/>
      <c r="H108" s="259"/>
      <c r="I108" s="249"/>
      <c r="J108" s="259"/>
      <c r="K108" s="259"/>
      <c r="L108" s="259"/>
      <c r="M108" s="259"/>
      <c r="N108" s="259"/>
      <c r="O108" s="5"/>
      <c r="P108" s="5"/>
      <c r="Q108" s="5"/>
      <c r="R108" s="5"/>
      <c r="S108" s="5"/>
    </row>
    <row r="109" spans="2:19">
      <c r="B109" s="5"/>
      <c r="C109" s="247"/>
      <c r="D109" s="247"/>
      <c r="E109" s="247"/>
      <c r="F109" s="247"/>
      <c r="G109" s="247"/>
      <c r="H109" s="247"/>
      <c r="I109" s="249"/>
      <c r="J109" s="247"/>
      <c r="K109" s="247"/>
      <c r="L109" s="247"/>
      <c r="M109" s="247"/>
      <c r="N109" s="247"/>
      <c r="O109" s="5"/>
      <c r="Q109" s="5"/>
      <c r="R109" s="5"/>
      <c r="S109" s="5"/>
    </row>
    <row r="110" spans="2:19">
      <c r="B110" s="41"/>
      <c r="C110" s="249"/>
      <c r="D110" s="249"/>
      <c r="E110" s="249"/>
      <c r="F110" s="249"/>
      <c r="G110" s="249"/>
      <c r="H110" s="249"/>
      <c r="I110" s="247"/>
      <c r="J110" s="249"/>
      <c r="K110" s="249"/>
      <c r="L110" s="249"/>
      <c r="M110" s="249"/>
      <c r="N110" s="249"/>
      <c r="O110" s="5"/>
      <c r="Q110" s="5"/>
      <c r="R110" s="5"/>
      <c r="S110" s="5"/>
    </row>
    <row r="111" spans="2:19">
      <c r="B111" s="5"/>
      <c r="C111" s="249"/>
      <c r="D111" s="249"/>
      <c r="E111" s="249"/>
      <c r="F111" s="249"/>
      <c r="G111" s="249"/>
      <c r="H111" s="249"/>
      <c r="I111" s="5"/>
      <c r="J111" s="249"/>
      <c r="K111" s="249"/>
      <c r="L111" s="249"/>
      <c r="M111" s="249"/>
      <c r="N111" s="249"/>
      <c r="O111" s="5"/>
      <c r="Q111" s="5"/>
      <c r="R111" s="5"/>
      <c r="S111" s="5"/>
    </row>
    <row r="112" spans="2:19">
      <c r="B112" s="5"/>
      <c r="C112" s="247"/>
      <c r="D112" s="247"/>
      <c r="E112" s="247"/>
      <c r="F112" s="247"/>
      <c r="G112" s="247"/>
      <c r="H112" s="247"/>
      <c r="I112" s="5"/>
      <c r="J112" s="247"/>
      <c r="K112" s="247"/>
      <c r="L112" s="247"/>
      <c r="M112" s="247"/>
      <c r="N112" s="247"/>
      <c r="O112" s="5"/>
      <c r="Q112" s="5"/>
      <c r="R112" s="5"/>
      <c r="S112" s="5"/>
    </row>
    <row r="113" spans="2:19">
      <c r="B113" s="5"/>
      <c r="C113" s="5"/>
      <c r="D113" s="5"/>
      <c r="E113" s="5"/>
      <c r="F113" s="5"/>
      <c r="G113" s="5"/>
      <c r="H113" s="5"/>
      <c r="I113" s="5"/>
      <c r="J113" s="5"/>
      <c r="K113" s="5"/>
      <c r="L113" s="5"/>
      <c r="M113" s="5"/>
      <c r="N113" s="5"/>
      <c r="O113" s="5"/>
      <c r="Q113" s="5"/>
      <c r="R113" s="5"/>
      <c r="S113" s="5"/>
    </row>
    <row r="114" spans="2:19">
      <c r="B114" s="5"/>
      <c r="C114" s="5"/>
      <c r="D114" s="5"/>
      <c r="E114" s="5"/>
      <c r="F114" s="5"/>
      <c r="G114" s="5"/>
      <c r="H114" s="5"/>
      <c r="I114" s="5"/>
      <c r="J114" s="5"/>
      <c r="K114" s="5"/>
      <c r="L114" s="5"/>
      <c r="M114" s="5"/>
      <c r="N114" s="5"/>
      <c r="O114" s="5"/>
      <c r="Q114" s="5"/>
      <c r="R114" s="5"/>
      <c r="S114" s="5"/>
    </row>
    <row r="115" spans="2:19">
      <c r="B115" s="5"/>
      <c r="C115" s="5"/>
      <c r="D115" s="5"/>
      <c r="E115" s="5"/>
      <c r="F115" s="5"/>
      <c r="G115" s="5"/>
      <c r="H115" s="5"/>
      <c r="I115" s="49"/>
      <c r="J115" s="5"/>
      <c r="K115" s="5"/>
      <c r="L115" s="5"/>
      <c r="M115" s="5"/>
      <c r="N115" s="5"/>
      <c r="O115" s="5"/>
      <c r="Q115" s="41"/>
      <c r="R115" s="5"/>
      <c r="S115" s="5"/>
    </row>
    <row r="116" spans="2:19">
      <c r="B116" s="5"/>
      <c r="C116" s="5"/>
      <c r="D116" s="5"/>
      <c r="E116" s="5"/>
      <c r="F116" s="5"/>
      <c r="G116" s="5"/>
      <c r="H116" s="5"/>
      <c r="I116" s="5"/>
      <c r="J116" s="5"/>
      <c r="K116" s="5"/>
      <c r="L116" s="5"/>
      <c r="M116" s="5"/>
      <c r="N116" s="5"/>
      <c r="O116" s="5"/>
      <c r="Q116" s="5"/>
      <c r="R116" s="5"/>
      <c r="S116" s="5"/>
    </row>
    <row r="117" spans="2:19">
      <c r="B117" s="41"/>
      <c r="C117" s="49"/>
      <c r="D117" s="49"/>
      <c r="E117" s="49"/>
      <c r="F117" s="49"/>
      <c r="G117" s="49"/>
      <c r="H117" s="49"/>
      <c r="I117" s="254"/>
      <c r="J117" s="49"/>
      <c r="K117" s="49"/>
      <c r="L117" s="49"/>
      <c r="M117" s="49"/>
      <c r="N117" s="49"/>
      <c r="O117" s="49"/>
      <c r="Q117" s="5"/>
      <c r="R117" s="5"/>
      <c r="S117" s="5"/>
    </row>
    <row r="118" spans="2:19">
      <c r="B118" s="5"/>
      <c r="C118" s="5"/>
      <c r="D118" s="5"/>
      <c r="E118" s="5"/>
      <c r="F118" s="5"/>
      <c r="G118" s="5"/>
      <c r="H118" s="5"/>
      <c r="I118" s="249"/>
      <c r="J118" s="5"/>
      <c r="K118" s="5"/>
      <c r="L118" s="5"/>
      <c r="M118" s="5"/>
      <c r="N118" s="5"/>
      <c r="O118" s="5"/>
      <c r="Q118" s="5"/>
      <c r="R118" s="5"/>
      <c r="S118" s="5"/>
    </row>
    <row r="119" spans="2:19">
      <c r="B119" s="41"/>
      <c r="C119" s="254"/>
      <c r="D119" s="254"/>
      <c r="E119" s="254"/>
      <c r="F119" s="254"/>
      <c r="G119" s="254"/>
      <c r="H119" s="254"/>
      <c r="I119" s="254"/>
      <c r="J119" s="254"/>
      <c r="K119" s="254"/>
      <c r="L119" s="254"/>
      <c r="M119" s="254"/>
      <c r="N119" s="254"/>
      <c r="O119" s="248"/>
      <c r="Q119" s="5"/>
      <c r="R119" s="5"/>
      <c r="S119" s="5"/>
    </row>
    <row r="120" spans="2:19">
      <c r="B120" s="41"/>
      <c r="C120" s="254"/>
      <c r="D120" s="249"/>
      <c r="E120" s="249"/>
      <c r="F120" s="249"/>
      <c r="G120" s="249"/>
      <c r="H120" s="249"/>
      <c r="I120" s="254"/>
      <c r="J120" s="249"/>
      <c r="K120" s="249"/>
      <c r="L120" s="249"/>
      <c r="M120" s="249"/>
      <c r="N120" s="249"/>
      <c r="O120" s="248"/>
      <c r="Q120" s="5"/>
      <c r="R120" s="5"/>
      <c r="S120" s="5"/>
    </row>
    <row r="121" spans="2:19">
      <c r="B121" s="41"/>
      <c r="C121" s="254"/>
      <c r="D121" s="254"/>
      <c r="E121" s="254"/>
      <c r="F121" s="254"/>
      <c r="G121" s="254"/>
      <c r="H121" s="254"/>
      <c r="I121" s="254"/>
      <c r="J121" s="254"/>
      <c r="K121" s="254"/>
      <c r="L121" s="254"/>
      <c r="M121" s="254"/>
      <c r="N121" s="254"/>
      <c r="O121" s="248"/>
      <c r="Q121" s="5"/>
      <c r="R121" s="5"/>
      <c r="S121" s="5"/>
    </row>
    <row r="122" spans="2:19">
      <c r="B122" s="41"/>
      <c r="C122" s="254"/>
      <c r="D122" s="254"/>
      <c r="E122" s="254"/>
      <c r="F122" s="254"/>
      <c r="G122" s="254"/>
      <c r="H122" s="254"/>
      <c r="I122" s="254"/>
      <c r="J122" s="254"/>
      <c r="K122" s="254"/>
      <c r="L122" s="254"/>
      <c r="M122" s="254"/>
      <c r="N122" s="254"/>
      <c r="O122" s="248"/>
      <c r="Q122" s="5"/>
      <c r="R122" s="5"/>
      <c r="S122" s="5"/>
    </row>
    <row r="123" spans="2:19">
      <c r="B123" s="41"/>
      <c r="C123" s="254"/>
      <c r="D123" s="254"/>
      <c r="E123" s="254"/>
      <c r="F123" s="254"/>
      <c r="G123" s="254"/>
      <c r="H123" s="254"/>
      <c r="I123" s="254"/>
      <c r="J123" s="254"/>
      <c r="K123" s="254"/>
      <c r="L123" s="254"/>
      <c r="M123" s="254"/>
      <c r="N123" s="254"/>
      <c r="O123" s="248"/>
      <c r="Q123" s="5"/>
      <c r="R123" s="5"/>
      <c r="S123" s="5"/>
    </row>
    <row r="124" spans="2:19">
      <c r="B124" s="41"/>
      <c r="C124" s="254"/>
      <c r="D124" s="254"/>
      <c r="E124" s="254"/>
      <c r="F124" s="254"/>
      <c r="G124" s="254"/>
      <c r="H124" s="254"/>
      <c r="I124" s="254"/>
      <c r="J124" s="254"/>
      <c r="K124" s="254"/>
      <c r="L124" s="254"/>
      <c r="M124" s="254"/>
      <c r="N124" s="254"/>
      <c r="O124" s="248"/>
      <c r="Q124" s="5"/>
      <c r="R124" s="5"/>
      <c r="S124" s="5"/>
    </row>
    <row r="125" spans="2:19">
      <c r="B125" s="41"/>
      <c r="C125" s="254"/>
      <c r="D125" s="254"/>
      <c r="E125" s="254"/>
      <c r="F125" s="254"/>
      <c r="G125" s="254"/>
      <c r="H125" s="254"/>
      <c r="I125" s="254"/>
      <c r="J125" s="254"/>
      <c r="K125" s="254"/>
      <c r="L125" s="254"/>
      <c r="M125" s="254"/>
      <c r="N125" s="254"/>
      <c r="O125" s="5"/>
      <c r="Q125" s="5"/>
      <c r="R125" s="5"/>
      <c r="S125" s="5"/>
    </row>
    <row r="126" spans="2:19">
      <c r="B126" s="41"/>
      <c r="C126" s="254"/>
      <c r="D126" s="254"/>
      <c r="E126" s="254"/>
      <c r="F126" s="254"/>
      <c r="G126" s="254"/>
      <c r="H126" s="254"/>
      <c r="I126" s="254"/>
      <c r="J126" s="254"/>
      <c r="K126" s="254"/>
      <c r="L126" s="254"/>
      <c r="M126" s="254"/>
      <c r="N126" s="254"/>
      <c r="O126" s="5"/>
      <c r="Q126" s="5"/>
      <c r="R126" s="5"/>
      <c r="S126" s="5"/>
    </row>
    <row r="127" spans="2:19">
      <c r="B127" s="41"/>
      <c r="C127" s="254"/>
      <c r="D127" s="254"/>
      <c r="E127" s="254"/>
      <c r="F127" s="254"/>
      <c r="G127" s="254"/>
      <c r="H127" s="254"/>
      <c r="I127" s="18"/>
      <c r="J127" s="254"/>
      <c r="K127" s="254"/>
      <c r="L127" s="254"/>
      <c r="M127" s="254"/>
      <c r="N127" s="254"/>
      <c r="O127" s="5"/>
      <c r="Q127" s="5"/>
      <c r="R127" s="5"/>
      <c r="S127" s="5"/>
    </row>
    <row r="128" spans="2:19">
      <c r="B128" s="41"/>
      <c r="C128" s="254"/>
      <c r="D128" s="254"/>
      <c r="E128" s="254"/>
      <c r="F128" s="254"/>
      <c r="G128" s="254"/>
      <c r="H128" s="254"/>
      <c r="I128" s="5"/>
      <c r="J128" s="254"/>
      <c r="K128" s="254"/>
      <c r="L128" s="254"/>
      <c r="M128" s="254"/>
      <c r="N128" s="254"/>
      <c r="O128" s="5"/>
      <c r="Q128" s="5"/>
      <c r="R128" s="5"/>
      <c r="S128" s="5"/>
    </row>
    <row r="129" spans="2:27">
      <c r="B129" s="5"/>
      <c r="C129" s="5"/>
      <c r="D129" s="18"/>
      <c r="E129" s="18"/>
      <c r="F129" s="18"/>
      <c r="G129" s="18"/>
      <c r="H129" s="18"/>
      <c r="I129" s="254"/>
      <c r="J129" s="18"/>
      <c r="K129" s="18"/>
      <c r="L129" s="18"/>
      <c r="M129" s="18"/>
      <c r="N129" s="18"/>
      <c r="O129" s="5"/>
      <c r="Q129" s="5"/>
      <c r="R129" s="5"/>
      <c r="S129" s="5"/>
    </row>
    <row r="130" spans="2:27">
      <c r="B130" s="5"/>
      <c r="C130" s="5"/>
      <c r="D130" s="5"/>
      <c r="E130" s="5"/>
      <c r="F130" s="5"/>
      <c r="G130" s="5"/>
      <c r="H130" s="5"/>
      <c r="I130" s="18"/>
      <c r="J130" s="5"/>
      <c r="K130" s="5"/>
      <c r="L130" s="5"/>
      <c r="M130" s="5"/>
      <c r="N130" s="5"/>
      <c r="O130" s="5"/>
      <c r="Q130" s="5"/>
      <c r="R130" s="5"/>
      <c r="S130" s="5"/>
    </row>
    <row r="131" spans="2:27">
      <c r="B131" s="41"/>
      <c r="C131" s="254"/>
      <c r="D131" s="254"/>
      <c r="E131" s="254"/>
      <c r="F131" s="254"/>
      <c r="G131" s="254"/>
      <c r="H131" s="254"/>
      <c r="I131" s="5"/>
      <c r="J131" s="254"/>
      <c r="K131" s="254"/>
      <c r="L131" s="254"/>
      <c r="M131" s="254"/>
      <c r="N131" s="254"/>
      <c r="O131" s="5"/>
      <c r="Q131" s="5"/>
      <c r="R131" s="5"/>
      <c r="S131" s="5"/>
    </row>
    <row r="132" spans="2:27">
      <c r="B132" s="5"/>
      <c r="C132" s="259"/>
      <c r="D132" s="18"/>
      <c r="E132" s="18"/>
      <c r="F132" s="18"/>
      <c r="G132" s="18"/>
      <c r="H132" s="18"/>
      <c r="I132" s="5"/>
      <c r="J132" s="18"/>
      <c r="K132" s="18"/>
      <c r="L132" s="18"/>
      <c r="M132" s="18"/>
      <c r="N132" s="18"/>
      <c r="O132" s="5"/>
      <c r="Q132" s="5"/>
      <c r="R132" s="5"/>
      <c r="S132" s="5"/>
    </row>
    <row r="133" spans="2:27">
      <c r="B133" s="5"/>
      <c r="C133" s="5"/>
      <c r="D133" s="5"/>
      <c r="E133" s="5"/>
      <c r="F133" s="5"/>
      <c r="G133" s="5"/>
      <c r="H133" s="5"/>
      <c r="I133" s="17"/>
      <c r="J133" s="5"/>
      <c r="K133" s="5"/>
      <c r="L133" s="5"/>
      <c r="M133" s="5"/>
      <c r="N133" s="5"/>
      <c r="O133" s="5"/>
      <c r="Q133" s="5"/>
      <c r="R133" s="5"/>
      <c r="S133" s="5"/>
    </row>
    <row r="134" spans="2:27">
      <c r="B134" s="41"/>
      <c r="C134" s="5"/>
      <c r="D134" s="5"/>
      <c r="E134" s="5"/>
      <c r="F134" s="5"/>
      <c r="G134" s="5"/>
      <c r="H134" s="5"/>
      <c r="I134" s="17"/>
      <c r="J134" s="5"/>
      <c r="K134" s="5"/>
      <c r="L134" s="5"/>
      <c r="M134" s="5"/>
      <c r="N134" s="5"/>
      <c r="O134" s="5"/>
      <c r="Q134" s="5"/>
      <c r="R134" s="5"/>
      <c r="S134" s="5"/>
    </row>
    <row r="135" spans="2:27">
      <c r="B135" s="5"/>
      <c r="C135" s="17"/>
      <c r="D135" s="17"/>
      <c r="E135" s="17"/>
      <c r="F135" s="17"/>
      <c r="G135" s="17"/>
      <c r="H135" s="17"/>
      <c r="I135" s="17"/>
      <c r="J135" s="17"/>
      <c r="K135" s="17"/>
      <c r="L135" s="17"/>
      <c r="M135" s="17"/>
      <c r="N135" s="17"/>
      <c r="O135" s="5"/>
      <c r="Q135" s="41"/>
      <c r="R135" s="5"/>
      <c r="S135" s="5"/>
    </row>
    <row r="136" spans="2:27">
      <c r="B136" s="5"/>
      <c r="C136" s="17"/>
      <c r="D136" s="17"/>
      <c r="E136" s="17"/>
      <c r="F136" s="17"/>
      <c r="G136" s="17"/>
      <c r="H136" s="17"/>
      <c r="I136" s="17"/>
      <c r="J136" s="17"/>
      <c r="K136" s="17"/>
      <c r="L136" s="17"/>
      <c r="M136" s="17"/>
      <c r="N136" s="17"/>
      <c r="O136" s="5"/>
      <c r="Q136" s="5"/>
      <c r="R136" s="5"/>
      <c r="S136" s="5"/>
      <c r="X136" s="304"/>
    </row>
    <row r="137" spans="2:27">
      <c r="B137" s="5"/>
      <c r="C137" s="5"/>
      <c r="D137" s="17"/>
      <c r="E137" s="17"/>
      <c r="F137" s="17"/>
      <c r="G137" s="17"/>
      <c r="H137" s="17"/>
      <c r="I137" s="17"/>
      <c r="J137" s="17"/>
      <c r="K137" s="17"/>
      <c r="L137" s="17"/>
      <c r="M137" s="17"/>
      <c r="N137" s="17"/>
      <c r="O137" s="5"/>
      <c r="Q137" s="5"/>
      <c r="R137" s="5"/>
      <c r="S137" s="5"/>
      <c r="X137" s="10"/>
      <c r="Y137" s="304"/>
      <c r="Z137" s="304"/>
      <c r="AA137" s="304"/>
    </row>
    <row r="138" spans="2:27">
      <c r="B138" s="5"/>
      <c r="C138" s="5"/>
      <c r="D138" s="17"/>
      <c r="E138" s="17"/>
      <c r="F138" s="17"/>
      <c r="G138" s="17"/>
      <c r="H138" s="17"/>
      <c r="I138" s="17"/>
      <c r="J138" s="17"/>
      <c r="K138" s="17"/>
      <c r="L138" s="17"/>
      <c r="M138" s="17"/>
      <c r="N138" s="17"/>
      <c r="O138" s="5"/>
      <c r="Q138" s="5"/>
      <c r="R138" s="5"/>
      <c r="S138" s="5"/>
      <c r="Y138" s="10"/>
      <c r="Z138" s="10"/>
      <c r="AA138" s="10"/>
    </row>
    <row r="139" spans="2:27">
      <c r="B139" s="5"/>
      <c r="C139" s="5"/>
      <c r="D139" s="17"/>
      <c r="E139" s="17"/>
      <c r="F139" s="17"/>
      <c r="G139" s="17"/>
      <c r="H139" s="17"/>
      <c r="I139" s="5"/>
      <c r="J139" s="17"/>
      <c r="K139" s="17"/>
      <c r="L139" s="17"/>
      <c r="M139" s="17"/>
      <c r="N139" s="17"/>
      <c r="O139" s="5"/>
      <c r="Q139" s="5"/>
      <c r="R139" s="5"/>
      <c r="S139" s="5"/>
    </row>
    <row r="140" spans="2:27">
      <c r="B140" s="5"/>
      <c r="C140" s="17"/>
      <c r="D140" s="17"/>
      <c r="E140" s="17"/>
      <c r="F140" s="17"/>
      <c r="G140" s="17"/>
      <c r="H140" s="17"/>
      <c r="I140" s="5"/>
      <c r="J140" s="17"/>
      <c r="K140" s="17"/>
      <c r="L140" s="17"/>
      <c r="M140" s="17"/>
      <c r="N140" s="17"/>
      <c r="O140" s="5"/>
      <c r="Q140" s="5"/>
      <c r="R140" s="5"/>
      <c r="S140" s="5"/>
    </row>
    <row r="141" spans="2:27">
      <c r="B141" s="5"/>
      <c r="C141" s="5"/>
      <c r="D141" s="5"/>
      <c r="E141" s="5"/>
      <c r="F141" s="5"/>
      <c r="G141" s="5"/>
      <c r="H141" s="5"/>
      <c r="I141" s="5"/>
      <c r="J141" s="5"/>
      <c r="K141" s="5"/>
      <c r="L141" s="5"/>
      <c r="M141" s="5"/>
      <c r="N141" s="5"/>
      <c r="O141" s="5"/>
      <c r="Q141" s="5"/>
      <c r="R141" s="5"/>
      <c r="S141" s="5"/>
    </row>
    <row r="142" spans="2:27">
      <c r="B142" s="5"/>
      <c r="C142" s="5"/>
      <c r="D142" s="5"/>
      <c r="E142" s="5"/>
      <c r="F142" s="5"/>
      <c r="G142" s="5"/>
      <c r="H142" s="5"/>
      <c r="I142" s="5"/>
      <c r="J142" s="5"/>
      <c r="K142" s="5"/>
      <c r="L142" s="5"/>
      <c r="M142" s="5"/>
      <c r="N142" s="5"/>
      <c r="O142" s="5"/>
      <c r="Q142" s="5"/>
      <c r="R142" s="5"/>
      <c r="S142" s="5"/>
    </row>
    <row r="143" spans="2:27">
      <c r="B143" s="5"/>
      <c r="C143" s="5"/>
      <c r="D143" s="5"/>
      <c r="E143" s="5"/>
      <c r="F143" s="5"/>
      <c r="G143" s="5"/>
      <c r="H143" s="5"/>
      <c r="I143" s="5"/>
      <c r="J143" s="5"/>
      <c r="K143" s="5"/>
      <c r="L143" s="5"/>
      <c r="M143" s="5"/>
      <c r="N143" s="5"/>
      <c r="O143" s="5"/>
      <c r="Q143" s="5"/>
      <c r="R143" s="5"/>
      <c r="S143" s="5"/>
    </row>
    <row r="144" spans="2:27">
      <c r="B144" s="5"/>
      <c r="C144" s="5"/>
      <c r="D144" s="5"/>
      <c r="E144" s="5"/>
      <c r="F144" s="5"/>
      <c r="G144" s="5"/>
      <c r="H144" s="5"/>
      <c r="I144" s="5"/>
      <c r="J144" s="5"/>
      <c r="K144" s="5"/>
      <c r="L144" s="5"/>
      <c r="M144" s="5"/>
      <c r="N144" s="5"/>
      <c r="O144" s="5"/>
      <c r="Q144" s="5"/>
      <c r="R144" s="5"/>
      <c r="S144" s="5"/>
    </row>
    <row r="145" spans="2:19">
      <c r="B145" s="5"/>
      <c r="C145" s="5"/>
      <c r="D145" s="5"/>
      <c r="E145" s="5"/>
      <c r="F145" s="5"/>
      <c r="G145" s="5"/>
      <c r="H145" s="5"/>
      <c r="I145" s="5"/>
      <c r="J145" s="5"/>
      <c r="K145" s="5"/>
      <c r="L145" s="5"/>
      <c r="M145" s="5"/>
      <c r="N145" s="5"/>
      <c r="O145" s="5"/>
      <c r="Q145" s="5"/>
      <c r="R145" s="5"/>
      <c r="S145" s="5"/>
    </row>
    <row r="146" spans="2:19">
      <c r="B146" s="5"/>
      <c r="C146" s="5"/>
      <c r="D146" s="5"/>
      <c r="E146" s="5"/>
      <c r="F146" s="5"/>
      <c r="G146" s="5"/>
      <c r="H146" s="5"/>
      <c r="I146" s="5"/>
      <c r="J146" s="5"/>
      <c r="K146" s="5"/>
      <c r="L146" s="5"/>
      <c r="M146" s="5"/>
      <c r="N146" s="5"/>
      <c r="O146" s="5"/>
      <c r="Q146" s="5"/>
      <c r="R146" s="5"/>
      <c r="S146" s="5"/>
    </row>
    <row r="147" spans="2:19">
      <c r="B147" s="5"/>
      <c r="C147" s="5"/>
      <c r="D147" s="5"/>
      <c r="E147" s="5"/>
      <c r="F147" s="5"/>
      <c r="G147" s="5"/>
      <c r="H147" s="5"/>
      <c r="I147" s="5"/>
      <c r="J147" s="5"/>
      <c r="K147" s="5"/>
      <c r="L147" s="5"/>
      <c r="M147" s="5"/>
      <c r="N147" s="5"/>
      <c r="O147" s="5"/>
      <c r="Q147" s="5"/>
      <c r="R147" s="5"/>
      <c r="S147" s="5"/>
    </row>
    <row r="148" spans="2:19">
      <c r="B148" s="5"/>
      <c r="C148" s="5"/>
      <c r="D148" s="5"/>
      <c r="E148" s="5"/>
      <c r="F148" s="5"/>
      <c r="G148" s="5"/>
      <c r="H148" s="5"/>
      <c r="I148" s="5"/>
      <c r="J148" s="5"/>
      <c r="K148" s="5"/>
      <c r="L148" s="5"/>
      <c r="M148" s="5"/>
      <c r="N148" s="5"/>
      <c r="O148" s="5"/>
      <c r="Q148" s="5"/>
      <c r="R148" s="5"/>
      <c r="S148" s="5"/>
    </row>
    <row r="149" spans="2:19">
      <c r="B149" s="5"/>
      <c r="C149" s="5"/>
      <c r="D149" s="5"/>
      <c r="E149" s="5"/>
      <c r="F149" s="5"/>
      <c r="G149" s="5"/>
      <c r="H149" s="5"/>
      <c r="J149" s="5"/>
      <c r="K149" s="5"/>
      <c r="L149" s="5"/>
      <c r="M149" s="5"/>
      <c r="N149" s="5"/>
      <c r="O149" s="5"/>
      <c r="Q149" s="5"/>
      <c r="R149" s="5"/>
      <c r="S149" s="5"/>
    </row>
    <row r="150" spans="2:19">
      <c r="B150" s="5"/>
      <c r="C150" s="5"/>
      <c r="D150" s="5"/>
      <c r="E150" s="5"/>
      <c r="F150" s="5"/>
      <c r="G150" s="5"/>
      <c r="H150" s="5"/>
      <c r="J150" s="5"/>
      <c r="K150" s="5"/>
      <c r="L150" s="5"/>
      <c r="M150" s="5"/>
      <c r="N150" s="5"/>
      <c r="O150" s="5"/>
      <c r="Q150" s="5"/>
      <c r="R150" s="5"/>
      <c r="S150" s="5"/>
    </row>
    <row r="151" spans="2:19">
      <c r="Q151" s="5"/>
      <c r="R151" s="5"/>
      <c r="S151" s="5"/>
    </row>
    <row r="152" spans="2:19">
      <c r="Q152" s="5"/>
      <c r="R152" s="5"/>
      <c r="S152" s="5"/>
    </row>
    <row r="153" spans="2:19">
      <c r="C153" s="263"/>
      <c r="Q153" s="5"/>
      <c r="R153" s="5"/>
      <c r="S153" s="5"/>
    </row>
    <row r="154" spans="2:19">
      <c r="Q154" s="5"/>
      <c r="R154" s="5"/>
      <c r="S154" s="5"/>
    </row>
    <row r="155" spans="2:19">
      <c r="Q155" s="5"/>
      <c r="R155" s="5"/>
      <c r="S155" s="5"/>
    </row>
    <row r="156" spans="2:19">
      <c r="Q156" s="5"/>
      <c r="R156" s="5"/>
      <c r="S156" s="5"/>
    </row>
    <row r="157" spans="2:19">
      <c r="Q157" s="5"/>
      <c r="R157" s="5"/>
      <c r="S157" s="5"/>
    </row>
    <row r="158" spans="2:19">
      <c r="Q158" s="5"/>
      <c r="R158" s="5"/>
      <c r="S158" s="5"/>
    </row>
    <row r="159" spans="2:19">
      <c r="Q159" s="5"/>
      <c r="R159" s="5"/>
      <c r="S159" s="5"/>
    </row>
    <row r="160" spans="2:19">
      <c r="Q160" s="5"/>
      <c r="R160" s="5"/>
      <c r="S160" s="5"/>
    </row>
    <row r="161" spans="17:19">
      <c r="Q161" s="5"/>
      <c r="R161" s="5"/>
      <c r="S161" s="5"/>
    </row>
    <row r="162" spans="17:19">
      <c r="Q162" s="5"/>
      <c r="R162" s="5"/>
      <c r="S162" s="5"/>
    </row>
    <row r="163" spans="17:19">
      <c r="Q163" s="5"/>
      <c r="R163" s="5"/>
      <c r="S163" s="5"/>
    </row>
    <row r="164" spans="17:19">
      <c r="Q164" s="5"/>
      <c r="R164" s="5"/>
      <c r="S164" s="5"/>
    </row>
    <row r="165" spans="17:19">
      <c r="Q165" s="5"/>
      <c r="R165" s="5"/>
      <c r="S165" s="5"/>
    </row>
  </sheetData>
  <phoneticPr fontId="7" type="noConversion"/>
  <hyperlinks>
    <hyperlink ref="C2" location="VODASOP!A1" display="Jump to Vodacom SOP" xr:uid="{00000000-0004-0000-7500-000001000000}"/>
  </hyperlinks>
  <pageMargins left="0.75" right="0.75" top="1" bottom="1" header="0.5" footer="0.5"/>
  <pageSetup scale="71" orientation="landscape" r:id="rId1"/>
  <headerFooter alignWithMargins="0"/>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0-000000000000}">
  <sheetPr codeName="Sheet24">
    <pageSetUpPr fitToPage="1"/>
  </sheetPr>
  <dimension ref="B1:AR165"/>
  <sheetViews>
    <sheetView showGridLines="0" zoomScale="80" zoomScaleNormal="80" workbookViewId="0"/>
  </sheetViews>
  <sheetFormatPr defaultColWidth="9.109375" defaultRowHeight="12"/>
  <cols>
    <col min="1" max="1" width="2.33203125" style="39" customWidth="1"/>
    <col min="2" max="2" width="26.5546875" style="39" customWidth="1"/>
    <col min="3" max="9" width="10" style="39" customWidth="1"/>
    <col min="10" max="10" width="26.6640625" style="39" customWidth="1"/>
    <col min="11" max="16" width="10" style="39" customWidth="1"/>
    <col min="17" max="19" width="8.6640625" style="39" customWidth="1"/>
    <col min="20" max="28" width="8.6640625" style="5" customWidth="1"/>
    <col min="29" max="44" width="9.109375" style="5"/>
    <col min="45" max="16384" width="9.109375" style="39"/>
  </cols>
  <sheetData>
    <row r="1" spans="2:44" s="312" customFormat="1">
      <c r="T1" s="149"/>
      <c r="U1" s="149"/>
      <c r="V1" s="149"/>
      <c r="W1" s="149"/>
      <c r="X1" s="149"/>
      <c r="Y1" s="149"/>
      <c r="Z1" s="149"/>
      <c r="AA1" s="149"/>
      <c r="AB1" s="149"/>
      <c r="AC1" s="149"/>
      <c r="AD1" s="149"/>
      <c r="AE1" s="149"/>
      <c r="AF1" s="149"/>
      <c r="AG1" s="149"/>
      <c r="AH1" s="149"/>
      <c r="AI1" s="149"/>
      <c r="AJ1" s="149"/>
      <c r="AK1" s="149"/>
      <c r="AL1" s="149"/>
      <c r="AM1" s="149"/>
      <c r="AN1" s="149"/>
      <c r="AO1" s="149"/>
      <c r="AP1" s="149"/>
      <c r="AQ1" s="149"/>
      <c r="AR1" s="149"/>
    </row>
    <row r="2" spans="2:44" s="149" customFormat="1"/>
    <row r="3" spans="2:44" s="149" customFormat="1">
      <c r="H3" s="153"/>
      <c r="P3" s="153"/>
    </row>
    <row r="4" spans="2:44" s="156" customFormat="1" ht="21">
      <c r="B4" s="129" t="s">
        <v>447</v>
      </c>
      <c r="H4" s="222"/>
      <c r="P4" s="222"/>
    </row>
    <row r="5" spans="2:44" s="149" customFormat="1">
      <c r="C5" s="153"/>
      <c r="D5" s="153" t="str" cm="1">
        <f t="array" ref="D5:H5">headings</f>
        <v>2023E</v>
      </c>
      <c r="E5" s="153" t="str">
        <v>2024E</v>
      </c>
      <c r="F5" s="153" t="str">
        <v>2025E</v>
      </c>
      <c r="G5" s="153" t="str">
        <v>2026E</v>
      </c>
      <c r="H5" s="153" t="str">
        <v>23E-26E</v>
      </c>
      <c r="I5" s="153"/>
      <c r="J5" s="153"/>
      <c r="K5" s="153"/>
      <c r="L5" s="153" t="str" cm="1">
        <f t="array" ref="L5:P5">headings</f>
        <v>2023E</v>
      </c>
      <c r="M5" s="153" t="str">
        <v>2024E</v>
      </c>
      <c r="N5" s="153" t="str">
        <v>2025E</v>
      </c>
      <c r="O5" s="153" t="str">
        <v>2026E</v>
      </c>
      <c r="P5" s="153" t="str">
        <v>23E-26E</v>
      </c>
      <c r="Q5" s="162"/>
      <c r="R5" s="162"/>
      <c r="S5" s="162"/>
      <c r="T5" s="162"/>
      <c r="U5" s="162"/>
      <c r="V5" s="162"/>
      <c r="W5" s="162"/>
      <c r="X5" s="162"/>
      <c r="Y5" s="162"/>
    </row>
    <row r="6" spans="2:44">
      <c r="I6" s="5"/>
      <c r="J6" s="5"/>
      <c r="K6" s="5"/>
      <c r="L6" s="5"/>
      <c r="M6" s="5"/>
      <c r="N6" s="5"/>
      <c r="O6" s="49"/>
    </row>
    <row r="7" spans="2:44" ht="12.6" thickBot="1">
      <c r="B7" s="306" t="s">
        <v>271</v>
      </c>
      <c r="C7" s="265"/>
      <c r="D7" s="265" t="str">
        <f>D5</f>
        <v>2023E</v>
      </c>
      <c r="E7" s="265" t="str">
        <f t="shared" ref="E7:H7" si="0">E5</f>
        <v>2024E</v>
      </c>
      <c r="F7" s="265" t="str">
        <f t="shared" si="0"/>
        <v>2025E</v>
      </c>
      <c r="G7" s="265" t="str">
        <f t="shared" si="0"/>
        <v>2026E</v>
      </c>
      <c r="H7" s="265" t="str">
        <f t="shared" si="0"/>
        <v>23E-26E</v>
      </c>
      <c r="I7" s="49"/>
      <c r="J7" s="306" t="s">
        <v>34</v>
      </c>
      <c r="K7" s="306"/>
      <c r="L7" s="265" t="str">
        <f>L5</f>
        <v>2023E</v>
      </c>
      <c r="M7" s="265" t="str">
        <f t="shared" ref="M7:P7" si="1">M5</f>
        <v>2024E</v>
      </c>
      <c r="N7" s="265" t="str">
        <f t="shared" si="1"/>
        <v>2025E</v>
      </c>
      <c r="O7" s="265" t="str">
        <f t="shared" si="1"/>
        <v>2026E</v>
      </c>
      <c r="P7" s="265" t="str">
        <f t="shared" si="1"/>
        <v>23E-26E</v>
      </c>
    </row>
    <row r="8" spans="2:44" ht="12.6" thickTop="1">
      <c r="B8" s="5"/>
      <c r="C8" s="5"/>
      <c r="D8" s="5"/>
      <c r="E8" s="5"/>
      <c r="F8" s="5"/>
      <c r="G8" s="5"/>
      <c r="H8" s="5"/>
      <c r="I8" s="5"/>
      <c r="J8" s="5"/>
      <c r="K8" s="5"/>
      <c r="L8" s="5"/>
      <c r="M8" s="5"/>
      <c r="N8" s="5"/>
      <c r="S8" s="88"/>
      <c r="T8" s="42"/>
      <c r="U8" s="42"/>
      <c r="V8" s="42"/>
      <c r="W8" s="42"/>
      <c r="X8" s="42"/>
      <c r="Y8" s="42"/>
      <c r="Z8" s="42"/>
      <c r="AA8" s="42"/>
    </row>
    <row r="9" spans="2:44">
      <c r="B9" s="41" t="s">
        <v>979</v>
      </c>
      <c r="C9" s="267">
        <f>Prices!C32</f>
        <v>73.5</v>
      </c>
      <c r="D9" s="535">
        <v>0</v>
      </c>
      <c r="E9" s="536">
        <v>0</v>
      </c>
      <c r="F9" s="536">
        <v>0</v>
      </c>
      <c r="G9" s="536">
        <v>0</v>
      </c>
      <c r="H9" s="249"/>
      <c r="I9" s="249"/>
      <c r="J9" s="5" t="s">
        <v>273</v>
      </c>
      <c r="L9" s="529">
        <f>'W.EUR OTHER'!D37</f>
        <v>1.625740200561925</v>
      </c>
      <c r="M9" s="529">
        <f>'W.EUR OTHER'!E37</f>
        <v>1.4744355877361912</v>
      </c>
      <c r="N9" s="529">
        <f>'W.EUR OTHER'!F37</f>
        <v>1.3838130671688169</v>
      </c>
      <c r="O9" s="529">
        <f>'W.EUR OTHER'!G37</f>
        <v>1.2773151297065752</v>
      </c>
      <c r="P9" s="279">
        <f>'W.EUR OTHER'!H37</f>
        <v>1.5716493135688125E-2</v>
      </c>
      <c r="S9" s="88"/>
      <c r="T9" s="42"/>
      <c r="U9" s="42"/>
      <c r="V9" s="42"/>
      <c r="W9" s="42"/>
      <c r="X9" s="42"/>
      <c r="Y9" s="42"/>
      <c r="Z9" s="42"/>
      <c r="AA9" s="42"/>
    </row>
    <row r="10" spans="2:44">
      <c r="B10" s="5" t="s">
        <v>274</v>
      </c>
      <c r="C10" s="5"/>
      <c r="D10" s="531">
        <v>26992.564629</v>
      </c>
      <c r="E10" s="531">
        <v>24542.663857571428</v>
      </c>
      <c r="F10" s="531">
        <v>24542.663857571428</v>
      </c>
      <c r="G10" s="531">
        <v>24542.663857571428</v>
      </c>
      <c r="H10" s="247"/>
      <c r="I10" s="247"/>
      <c r="J10" s="5" t="s">
        <v>184</v>
      </c>
      <c r="L10" s="529">
        <f>'W.EUR OTHER'!D38</f>
        <v>5.2795254299348739</v>
      </c>
      <c r="M10" s="529">
        <f>'W.EUR OTHER'!E38</f>
        <v>4.974469712304483</v>
      </c>
      <c r="N10" s="529">
        <f>'W.EUR OTHER'!F38</f>
        <v>4.5174816735135677</v>
      </c>
      <c r="O10" s="529">
        <f>'W.EUR OTHER'!G38</f>
        <v>4.0920709682728358</v>
      </c>
      <c r="P10" s="279">
        <f>'W.EUR OTHER'!H38</f>
        <v>2.0325446875936182E-2</v>
      </c>
      <c r="S10" s="88"/>
      <c r="T10" s="42"/>
      <c r="U10" s="42"/>
      <c r="V10" s="42"/>
      <c r="W10" s="288"/>
      <c r="X10" s="288"/>
      <c r="Y10" s="288"/>
      <c r="Z10" s="288"/>
      <c r="AA10" s="42"/>
    </row>
    <row r="11" spans="2:44">
      <c r="B11" s="41" t="s">
        <v>980</v>
      </c>
      <c r="C11" s="5"/>
      <c r="D11" s="532">
        <f>$C$9/100*D10</f>
        <v>19839.535002314999</v>
      </c>
      <c r="E11" s="532">
        <f t="shared" ref="E11:G11" si="2">$C$9/100*E10</f>
        <v>18038.857935314998</v>
      </c>
      <c r="F11" s="532">
        <f t="shared" si="2"/>
        <v>18038.857935314998</v>
      </c>
      <c r="G11" s="532">
        <f t="shared" si="2"/>
        <v>18038.857935314998</v>
      </c>
      <c r="H11" s="249"/>
      <c r="I11" s="249"/>
      <c r="J11" s="5" t="s">
        <v>185</v>
      </c>
      <c r="L11" s="529">
        <f>'W.EUR OTHER'!D39</f>
        <v>12.736189476818824</v>
      </c>
      <c r="M11" s="529">
        <f>'W.EUR OTHER'!E39</f>
        <v>12.065966967777575</v>
      </c>
      <c r="N11" s="529">
        <f>'W.EUR OTHER'!F39</f>
        <v>9.9478093470125</v>
      </c>
      <c r="O11" s="529">
        <f>'W.EUR OTHER'!G39</f>
        <v>8.473000290176449</v>
      </c>
      <c r="P11" s="279">
        <f>'W.EUR OTHER'!H39</f>
        <v>7.3632307659955432E-2</v>
      </c>
      <c r="S11" s="88"/>
      <c r="T11" s="42"/>
      <c r="U11" s="42"/>
      <c r="V11" s="42"/>
      <c r="W11" s="288"/>
      <c r="X11" s="288"/>
      <c r="Y11" s="288"/>
      <c r="Z11" s="288"/>
      <c r="AA11" s="42"/>
    </row>
    <row r="12" spans="2:44">
      <c r="B12" s="5" t="s">
        <v>24</v>
      </c>
      <c r="C12" s="249"/>
      <c r="D12" s="533">
        <v>28588.333131096864</v>
      </c>
      <c r="E12" s="533">
        <v>26468.951168526008</v>
      </c>
      <c r="F12" s="533">
        <v>26022.163115799583</v>
      </c>
      <c r="G12" s="533">
        <v>22840.296509666652</v>
      </c>
      <c r="H12" s="247"/>
      <c r="I12" s="247"/>
      <c r="J12" s="5" t="s">
        <v>466</v>
      </c>
      <c r="L12" s="529">
        <f>'W.EUR OTHER'!D40</f>
        <v>17.537055550367363</v>
      </c>
      <c r="M12" s="529">
        <f>'W.EUR OTHER'!E40</f>
        <v>16.571844500633869</v>
      </c>
      <c r="N12" s="529">
        <f>'W.EUR OTHER'!F40</f>
        <v>13.70048405868403</v>
      </c>
      <c r="O12" s="529">
        <f>'W.EUR OTHER'!G40</f>
        <v>11.681030567966248</v>
      </c>
      <c r="P12" s="279">
        <f>'W.EUR OTHER'!H40</f>
        <v>7.319831169942681E-2</v>
      </c>
      <c r="S12" s="88"/>
      <c r="T12" s="42"/>
      <c r="U12" s="42"/>
      <c r="V12" s="42"/>
      <c r="W12" s="288"/>
      <c r="X12" s="288"/>
      <c r="Y12" s="288"/>
      <c r="Z12" s="288"/>
      <c r="AA12" s="42"/>
    </row>
    <row r="13" spans="2:44">
      <c r="B13" s="5" t="s">
        <v>529</v>
      </c>
      <c r="C13" s="257"/>
      <c r="D13" s="533">
        <v>6544.2125046793881</v>
      </c>
      <c r="E13" s="533">
        <v>6868.6282906449578</v>
      </c>
      <c r="F13" s="533">
        <v>5858.2130565078533</v>
      </c>
      <c r="G13" s="533">
        <v>6101.3881312350113</v>
      </c>
      <c r="H13" s="247"/>
      <c r="I13" s="247"/>
      <c r="J13" s="5" t="s">
        <v>530</v>
      </c>
      <c r="L13" s="529">
        <f>'W.EUR OTHER'!D41</f>
        <v>0.73407860349270371</v>
      </c>
      <c r="M13" s="529">
        <f>'W.EUR OTHER'!E41</f>
        <v>0.70658465772315859</v>
      </c>
      <c r="N13" s="529">
        <f>'W.EUR OTHER'!F41</f>
        <v>0.66539496043406632</v>
      </c>
      <c r="O13" s="529">
        <f>'W.EUR OTHER'!G41</f>
        <v>0.63140864888435067</v>
      </c>
      <c r="P13" s="279">
        <f>'W.EUR OTHER'!H41</f>
        <v>-1.4479895812281707E-2</v>
      </c>
      <c r="S13" s="88"/>
      <c r="T13" s="42"/>
      <c r="U13" s="42"/>
      <c r="V13" s="42"/>
      <c r="W13" s="42"/>
      <c r="X13" s="42"/>
      <c r="Y13" s="42"/>
      <c r="Z13" s="42"/>
      <c r="AA13" s="42"/>
    </row>
    <row r="14" spans="2:44">
      <c r="B14" s="5" t="s">
        <v>532</v>
      </c>
      <c r="C14" s="257"/>
      <c r="D14" s="533">
        <v>6458.7063312673317</v>
      </c>
      <c r="E14" s="533">
        <v>6458.7063312673317</v>
      </c>
      <c r="F14" s="533">
        <v>6458.7063312673317</v>
      </c>
      <c r="G14" s="533">
        <v>6458.7063312673317</v>
      </c>
      <c r="H14" s="247"/>
      <c r="I14" s="247"/>
      <c r="J14" s="5" t="s">
        <v>593</v>
      </c>
      <c r="L14" s="529">
        <f>'W.EUR OTHER'!D42</f>
        <v>1.7744255045715212</v>
      </c>
      <c r="M14" s="529">
        <f>'W.EUR OTHER'!E42</f>
        <v>1.6143851746135043</v>
      </c>
      <c r="N14" s="529">
        <f>'W.EUR OTHER'!F42</f>
        <v>1.516251557360391</v>
      </c>
      <c r="O14" s="529">
        <f>'W.EUR OTHER'!G42</f>
        <v>1.4124281433920347</v>
      </c>
      <c r="P14" s="279">
        <f>'W.EUR OTHER'!H42</f>
        <v>1.1312273411797191E-2</v>
      </c>
      <c r="S14" s="88"/>
      <c r="T14" s="42"/>
      <c r="U14" s="42"/>
      <c r="V14" s="42"/>
      <c r="W14" s="42"/>
      <c r="X14" s="42"/>
      <c r="Y14" s="42"/>
      <c r="Z14" s="42"/>
      <c r="AA14" s="42"/>
    </row>
    <row r="15" spans="2:44">
      <c r="B15" s="5" t="s">
        <v>531</v>
      </c>
      <c r="C15" s="274"/>
      <c r="D15" s="533">
        <v>2815.4395489666176</v>
      </c>
      <c r="E15" s="533">
        <v>2815.4395489666176</v>
      </c>
      <c r="F15" s="533">
        <v>2815.4395489666176</v>
      </c>
      <c r="G15" s="533">
        <v>2815.4395489666176</v>
      </c>
      <c r="H15" s="247"/>
      <c r="I15" s="247"/>
      <c r="J15" s="5" t="s">
        <v>475</v>
      </c>
      <c r="L15" s="529">
        <f>'W.EUR OTHER'!D43</f>
        <v>16.766632642192913</v>
      </c>
      <c r="M15" s="529">
        <f>'W.EUR OTHER'!E43</f>
        <v>18.03434445713204</v>
      </c>
      <c r="N15" s="529">
        <f>'W.EUR OTHER'!F43</f>
        <v>10.571394482468753</v>
      </c>
      <c r="O15" s="529">
        <f>'W.EUR OTHER'!G43</f>
        <v>8.2021597370687243</v>
      </c>
      <c r="P15" s="279">
        <f>'W.EUR OTHER'!H43</f>
        <v>0.21960762754614027</v>
      </c>
      <c r="S15" s="88"/>
      <c r="T15" s="42"/>
      <c r="U15" s="42"/>
      <c r="V15" s="42"/>
      <c r="W15" s="42"/>
      <c r="X15" s="42"/>
      <c r="Y15" s="42"/>
      <c r="Z15" s="42"/>
      <c r="AA15" s="42"/>
    </row>
    <row r="16" spans="2:44">
      <c r="B16" s="5" t="s">
        <v>534</v>
      </c>
      <c r="C16" s="257"/>
      <c r="D16" s="533">
        <v>0</v>
      </c>
      <c r="E16" s="533">
        <v>1420.5025276527413</v>
      </c>
      <c r="F16" s="533">
        <v>2367.5042127545689</v>
      </c>
      <c r="G16" s="533">
        <v>3314.5058978563966</v>
      </c>
      <c r="H16" s="247"/>
      <c r="I16" s="247"/>
      <c r="J16" s="5" t="s">
        <v>533</v>
      </c>
      <c r="L16" s="529">
        <f>'W.EUR OTHER'!D44</f>
        <v>14.93276596244098</v>
      </c>
      <c r="M16" s="529">
        <f>'W.EUR OTHER'!E44</f>
        <v>11.776896223765881</v>
      </c>
      <c r="N16" s="529">
        <f>'W.EUR OTHER'!F44</f>
        <v>9.7753259947195836</v>
      </c>
      <c r="O16" s="529">
        <f>'W.EUR OTHER'!G44</f>
        <v>8.6831119730060706</v>
      </c>
      <c r="P16" s="279">
        <f>'W.EUR OTHER'!H44</f>
        <v>0.16793708979658639</v>
      </c>
      <c r="S16" s="88"/>
      <c r="T16" s="42"/>
      <c r="U16" s="42"/>
      <c r="V16" s="42"/>
      <c r="W16" s="42"/>
      <c r="X16" s="42"/>
      <c r="Y16" s="42"/>
      <c r="Z16" s="42"/>
      <c r="AA16" s="42"/>
    </row>
    <row r="17" spans="2:27">
      <c r="B17" s="5" t="s">
        <v>6</v>
      </c>
      <c r="C17" s="257"/>
      <c r="D17" s="533">
        <v>980.87313636363626</v>
      </c>
      <c r="E17" s="533">
        <v>974.39235227272707</v>
      </c>
      <c r="F17" s="533">
        <v>974.39235227272707</v>
      </c>
      <c r="G17" s="533">
        <v>974.39235227272707</v>
      </c>
      <c r="H17" s="247"/>
      <c r="I17" s="247"/>
      <c r="J17" s="5" t="s">
        <v>580</v>
      </c>
      <c r="L17" s="248">
        <f>'W.EUR OTHER'!D45</f>
        <v>7.0241435315537989E-2</v>
      </c>
      <c r="M17" s="248">
        <f>'W.EUR OTHER'!E45</f>
        <v>4.5697904024259245E-2</v>
      </c>
      <c r="N17" s="248">
        <f>'W.EUR OTHER'!F45</f>
        <v>4.7170150494817063E-2</v>
      </c>
      <c r="O17" s="248">
        <f>'W.EUR OTHER'!G45</f>
        <v>4.8241300976334903E-2</v>
      </c>
      <c r="P17" s="279">
        <f>'W.EUR OTHER'!H45</f>
        <v>-0.13991829578276849</v>
      </c>
      <c r="S17" s="88"/>
      <c r="T17" s="42"/>
      <c r="U17" s="42"/>
      <c r="V17" s="42"/>
      <c r="W17" s="42"/>
      <c r="X17" s="42"/>
      <c r="Y17" s="42"/>
      <c r="Z17" s="42"/>
      <c r="AA17" s="42"/>
    </row>
    <row r="18" spans="2:27" ht="12.6" thickBot="1">
      <c r="B18" s="41" t="s">
        <v>981</v>
      </c>
      <c r="C18" s="249"/>
      <c r="D18" s="534">
        <f>D11+D12+D13-D14+D15-D16-D17</f>
        <v>50347.940719426893</v>
      </c>
      <c r="E18" s="534">
        <f>E11+E12+E13-E14+E15-E16-E17</f>
        <v>45338.275732259775</v>
      </c>
      <c r="F18" s="534">
        <f>F11+F12+F13-F14+F15-F16-F17</f>
        <v>42934.070760294431</v>
      </c>
      <c r="G18" s="534">
        <f>G11+G12+G13-G14+G15-G16-G17</f>
        <v>39048.377543786824</v>
      </c>
      <c r="H18" s="276">
        <f>IF(D18=0,"nm",IF(G18=0,"nm",(G18/D18)^(1/3)-1))</f>
        <v>-8.122939110342442E-2</v>
      </c>
      <c r="I18" s="254"/>
      <c r="J18" s="5" t="s">
        <v>36</v>
      </c>
      <c r="L18" s="248">
        <f>'W.EUR OTHER'!D46</f>
        <v>7.0241435315537989E-2</v>
      </c>
      <c r="M18" s="248">
        <f>'W.EUR OTHER'!E46</f>
        <v>4.5697904024259245E-2</v>
      </c>
      <c r="N18" s="248">
        <f>'W.EUR OTHER'!F46</f>
        <v>4.7170150494817063E-2</v>
      </c>
      <c r="O18" s="248">
        <f>'W.EUR OTHER'!G46</f>
        <v>4.8241300976334903E-2</v>
      </c>
      <c r="P18" s="279">
        <f>'W.EUR OTHER'!H46</f>
        <v>-0.13991829578276849</v>
      </c>
      <c r="S18" s="88"/>
      <c r="T18" s="42"/>
      <c r="U18" s="42"/>
      <c r="V18" s="42"/>
      <c r="W18" s="42"/>
      <c r="X18" s="42"/>
      <c r="Y18" s="42"/>
      <c r="Z18" s="42"/>
      <c r="AA18" s="42"/>
    </row>
    <row r="19" spans="2:27" ht="12.6" thickTop="1">
      <c r="B19" s="41"/>
      <c r="C19" s="249"/>
      <c r="D19" s="229"/>
      <c r="E19" s="229"/>
      <c r="F19" s="229"/>
      <c r="G19" s="229"/>
      <c r="H19" s="276"/>
      <c r="I19" s="254"/>
      <c r="J19" s="5" t="s">
        <v>581</v>
      </c>
      <c r="L19" s="248">
        <f>'W.EUR OTHER'!D47</f>
        <v>5.9642268148913748E-2</v>
      </c>
      <c r="M19" s="248">
        <f>'W.EUR OTHER'!E47</f>
        <v>5.5449756012868556E-2</v>
      </c>
      <c r="N19" s="248">
        <f>'W.EUR OTHER'!F47</f>
        <v>9.4594899628271986E-2</v>
      </c>
      <c r="O19" s="248">
        <f>'W.EUR OTHER'!G47</f>
        <v>0.12191910814423843</v>
      </c>
      <c r="P19" s="279">
        <f>'W.EUR OTHER'!H47</f>
        <v>0.21960762754614027</v>
      </c>
      <c r="S19" s="88"/>
      <c r="T19" s="42"/>
      <c r="U19" s="42"/>
      <c r="V19" s="42"/>
      <c r="W19" s="42"/>
      <c r="X19" s="42"/>
      <c r="Y19" s="42"/>
      <c r="Z19" s="42"/>
      <c r="AA19" s="42"/>
    </row>
    <row r="20" spans="2:27">
      <c r="H20" s="277"/>
      <c r="I20" s="17"/>
      <c r="J20" s="5" t="s">
        <v>604</v>
      </c>
      <c r="L20" s="305">
        <f>'W.EUR OTHER'!D48</f>
        <v>1.1058218246883247</v>
      </c>
      <c r="M20" s="305">
        <f>'W.EUR OTHER'!E48</f>
        <v>0.7720587558994737</v>
      </c>
      <c r="N20" s="305">
        <f>'W.EUR OTHER'!F48</f>
        <v>0.47387935381738827</v>
      </c>
      <c r="O20" s="305">
        <f>'W.EUR OTHER'!G48</f>
        <v>0.38783222312893756</v>
      </c>
      <c r="P20" s="279" t="str">
        <f>'W.EUR OTHER'!H48</f>
        <v>nm</v>
      </c>
      <c r="S20" s="88"/>
      <c r="T20" s="42"/>
      <c r="U20" s="42"/>
      <c r="V20" s="42"/>
      <c r="W20" s="42"/>
      <c r="X20" s="42"/>
      <c r="Y20" s="42"/>
      <c r="Z20" s="42"/>
      <c r="AA20" s="42"/>
    </row>
    <row r="21" spans="2:27" ht="12.6" thickBot="1">
      <c r="B21" s="306" t="s">
        <v>930</v>
      </c>
      <c r="C21" s="265"/>
      <c r="D21" s="265" t="str">
        <f>D5</f>
        <v>2023E</v>
      </c>
      <c r="E21" s="265" t="str">
        <f t="shared" ref="E21:H21" si="3">E5</f>
        <v>2024E</v>
      </c>
      <c r="F21" s="265" t="str">
        <f t="shared" si="3"/>
        <v>2025E</v>
      </c>
      <c r="G21" s="265" t="str">
        <f t="shared" si="3"/>
        <v>2026E</v>
      </c>
      <c r="H21" s="265" t="str">
        <f t="shared" si="3"/>
        <v>23E-26E</v>
      </c>
      <c r="I21" s="49"/>
      <c r="J21" s="41"/>
      <c r="L21" s="250"/>
      <c r="M21" s="250"/>
      <c r="N21" s="250"/>
      <c r="O21" s="250"/>
      <c r="P21" s="279"/>
      <c r="S21" s="88"/>
      <c r="T21" s="42"/>
      <c r="U21" s="42"/>
      <c r="V21" s="42"/>
      <c r="W21" s="42"/>
      <c r="X21" s="42"/>
      <c r="Y21" s="42"/>
      <c r="Z21" s="42"/>
      <c r="AA21" s="42"/>
    </row>
    <row r="22" spans="2:27" ht="12.6" thickTop="1">
      <c r="B22" s="5"/>
      <c r="C22" s="257"/>
      <c r="D22" s="17"/>
      <c r="E22" s="17"/>
      <c r="F22" s="17"/>
      <c r="G22" s="17"/>
      <c r="H22" s="17"/>
      <c r="I22" s="17"/>
      <c r="P22" s="277"/>
      <c r="S22" s="88"/>
      <c r="T22" s="42"/>
      <c r="U22" s="42"/>
      <c r="V22" s="42"/>
      <c r="W22" s="42"/>
      <c r="X22" s="42"/>
      <c r="Y22" s="42"/>
      <c r="Z22" s="42"/>
      <c r="AA22" s="42"/>
    </row>
    <row r="23" spans="2:27" ht="12.6" thickBot="1">
      <c r="B23" s="5" t="s">
        <v>584</v>
      </c>
      <c r="C23" s="548">
        <v>38350.328857173809</v>
      </c>
      <c r="D23" s="540">
        <v>34746.223667543272</v>
      </c>
      <c r="E23" s="540">
        <v>35368.566347776599</v>
      </c>
      <c r="F23" s="540">
        <v>35919.935880793048</v>
      </c>
      <c r="G23" s="540">
        <v>36372.06451491086</v>
      </c>
      <c r="H23" s="279">
        <f t="shared" ref="H23:H32" si="4">IF(D23=0,"nm",IF(G23=0,"nm",(G23/D23)^(1/3)-1))</f>
        <v>1.5360148482219227E-2</v>
      </c>
      <c r="I23" s="247"/>
      <c r="J23" s="306" t="s">
        <v>9</v>
      </c>
      <c r="K23" s="306"/>
      <c r="L23" s="265" t="str">
        <f>D21</f>
        <v>2023E</v>
      </c>
      <c r="M23" s="265" t="str">
        <f t="shared" ref="M23:P23" si="5">E21</f>
        <v>2024E</v>
      </c>
      <c r="N23" s="265" t="str">
        <f t="shared" si="5"/>
        <v>2025E</v>
      </c>
      <c r="O23" s="265" t="str">
        <f t="shared" si="5"/>
        <v>2026E</v>
      </c>
      <c r="P23" s="265" t="str">
        <f t="shared" si="5"/>
        <v>23E-26E</v>
      </c>
      <c r="S23" s="88"/>
      <c r="T23" s="42"/>
      <c r="U23" s="42"/>
      <c r="V23" s="42"/>
      <c r="W23" s="42"/>
      <c r="X23" s="42"/>
      <c r="Y23" s="42"/>
      <c r="Z23" s="42"/>
      <c r="AA23" s="42"/>
    </row>
    <row r="24" spans="2:27" ht="12.6" thickTop="1">
      <c r="B24" s="5" t="s">
        <v>483</v>
      </c>
      <c r="C24" s="548">
        <v>12674.075200500001</v>
      </c>
      <c r="D24" s="540">
        <v>11232.522202685241</v>
      </c>
      <c r="E24" s="540">
        <v>10537.927342147226</v>
      </c>
      <c r="F24" s="540">
        <v>11150.524846193186</v>
      </c>
      <c r="G24" s="540">
        <v>11559.058372285674</v>
      </c>
      <c r="H24" s="279">
        <f t="shared" si="4"/>
        <v>9.5977880430091478E-3</v>
      </c>
      <c r="I24" s="249"/>
      <c r="J24" s="17"/>
      <c r="K24" s="17"/>
      <c r="L24" s="17"/>
      <c r="M24" s="17"/>
      <c r="N24" s="17"/>
      <c r="O24" s="248"/>
      <c r="S24" s="88"/>
      <c r="T24" s="42"/>
      <c r="U24" s="42"/>
      <c r="V24" s="42"/>
      <c r="W24" s="42" t="s">
        <v>281</v>
      </c>
      <c r="X24" s="42" t="s">
        <v>258</v>
      </c>
      <c r="Y24" s="42"/>
      <c r="Z24" s="42"/>
      <c r="AA24" s="42"/>
    </row>
    <row r="25" spans="2:27">
      <c r="B25" s="5" t="s">
        <v>183</v>
      </c>
      <c r="C25" s="548">
        <v>5433.4749939000012</v>
      </c>
      <c r="D25" s="540">
        <v>4652.8113481260216</v>
      </c>
      <c r="E25" s="540">
        <v>4315.2503775471287</v>
      </c>
      <c r="F25" s="540">
        <v>5142.274746501671</v>
      </c>
      <c r="G25" s="540">
        <v>5642.504451252189</v>
      </c>
      <c r="H25" s="279">
        <f t="shared" si="4"/>
        <v>6.6396772736873944E-2</v>
      </c>
      <c r="I25" s="248"/>
      <c r="J25" s="247" t="s">
        <v>10</v>
      </c>
      <c r="K25" s="247"/>
      <c r="L25" s="321">
        <v>0</v>
      </c>
      <c r="M25" s="321">
        <v>0</v>
      </c>
      <c r="N25" s="321">
        <v>0</v>
      </c>
      <c r="O25" s="321">
        <v>0</v>
      </c>
      <c r="P25" s="279" t="str">
        <f>IF(L25=0,"nm",IF(O25=0,"nm",(O25/L25)^(1/3)-1))</f>
        <v>nm</v>
      </c>
      <c r="S25" s="88"/>
      <c r="T25" s="42"/>
      <c r="U25" s="42"/>
      <c r="V25" s="147" t="s">
        <v>273</v>
      </c>
      <c r="W25" s="288">
        <f>D37/L9</f>
        <v>0.89129804991068085</v>
      </c>
      <c r="X25" s="288">
        <v>1</v>
      </c>
      <c r="Y25" s="42"/>
      <c r="Z25" s="42"/>
      <c r="AA25" s="42"/>
    </row>
    <row r="26" spans="2:27">
      <c r="B26" s="5" t="s">
        <v>586</v>
      </c>
      <c r="C26" s="548">
        <v>4010.0426396818193</v>
      </c>
      <c r="D26" s="540">
        <v>3303.4960571694751</v>
      </c>
      <c r="E26" s="540">
        <v>3063.8277680584611</v>
      </c>
      <c r="F26" s="540">
        <v>3651.0150700161862</v>
      </c>
      <c r="G26" s="540">
        <v>4006.178160389054</v>
      </c>
      <c r="H26" s="279">
        <f t="shared" si="4"/>
        <v>6.6396772736873944E-2</v>
      </c>
      <c r="I26" s="249"/>
      <c r="J26" s="249" t="s">
        <v>11</v>
      </c>
      <c r="K26" s="249"/>
      <c r="L26" s="281">
        <f>D11+L25</f>
        <v>19839.535002314999</v>
      </c>
      <c r="M26" s="281">
        <f>E11+M25</f>
        <v>18038.857935314998</v>
      </c>
      <c r="N26" s="281">
        <f>F11+N25</f>
        <v>18038.857935314998</v>
      </c>
      <c r="O26" s="281">
        <f>G11+O25</f>
        <v>18038.857935314998</v>
      </c>
      <c r="P26" s="279">
        <f>IF(L26=0,"nm",IF(O26=0,"nm",(O26/L26)^(1/3)-1))</f>
        <v>-3.1218471188681485E-2</v>
      </c>
      <c r="Q26" s="5"/>
      <c r="S26" s="88"/>
      <c r="T26" s="42"/>
      <c r="U26" s="42"/>
      <c r="V26" s="147" t="s">
        <v>184</v>
      </c>
      <c r="W26" s="288">
        <f t="shared" ref="W26:W33" si="6">D38/L10</f>
        <v>0.84900361682511349</v>
      </c>
      <c r="X26" s="288">
        <v>1</v>
      </c>
      <c r="Y26" s="42"/>
      <c r="Z26" s="42"/>
      <c r="AA26" s="42"/>
    </row>
    <row r="27" spans="2:27">
      <c r="B27" s="5" t="s">
        <v>587</v>
      </c>
      <c r="C27" s="548">
        <v>85509.604397400006</v>
      </c>
      <c r="D27" s="540">
        <v>84307.290453362337</v>
      </c>
      <c r="E27" s="540">
        <v>79608.4394252864</v>
      </c>
      <c r="F27" s="540">
        <v>80250.231653317314</v>
      </c>
      <c r="G27" s="540">
        <v>78499.267984595499</v>
      </c>
      <c r="H27" s="279">
        <f t="shared" si="4"/>
        <v>-2.3512192441243696E-2</v>
      </c>
      <c r="I27" s="249"/>
      <c r="J27" s="248"/>
      <c r="K27" s="248"/>
      <c r="L27" s="248"/>
      <c r="M27" s="248"/>
      <c r="N27" s="248"/>
      <c r="O27" s="248"/>
      <c r="Q27" s="41"/>
      <c r="S27" s="88"/>
      <c r="T27" s="42"/>
      <c r="U27" s="42"/>
      <c r="V27" s="147" t="s">
        <v>185</v>
      </c>
      <c r="W27" s="288">
        <f t="shared" si="6"/>
        <v>0.8496239703999906</v>
      </c>
      <c r="X27" s="288">
        <v>1</v>
      </c>
      <c r="Y27" s="42"/>
      <c r="Z27" s="42"/>
      <c r="AA27" s="42"/>
    </row>
    <row r="28" spans="2:27" ht="12.6" thickBot="1">
      <c r="B28" s="5" t="s">
        <v>592</v>
      </c>
      <c r="C28" s="548">
        <v>32834.194682400004</v>
      </c>
      <c r="D28" s="540">
        <v>32575.375603704175</v>
      </c>
      <c r="E28" s="540">
        <v>32345.853481321068</v>
      </c>
      <c r="F28" s="540">
        <v>32282.118437325753</v>
      </c>
      <c r="G28" s="540">
        <v>32162.914179766001</v>
      </c>
      <c r="H28" s="279">
        <f t="shared" si="4"/>
        <v>-4.2385246996824444E-3</v>
      </c>
      <c r="I28" s="248"/>
      <c r="J28" s="306" t="s">
        <v>1362</v>
      </c>
      <c r="K28" s="306"/>
      <c r="L28" s="306"/>
      <c r="M28" s="306"/>
      <c r="N28" s="266"/>
      <c r="O28" s="266"/>
      <c r="P28" s="266"/>
      <c r="Q28" s="5"/>
      <c r="S28" s="88"/>
      <c r="T28" s="42"/>
      <c r="U28" s="42"/>
      <c r="V28" s="147" t="s">
        <v>466</v>
      </c>
      <c r="W28" s="288">
        <f t="shared" si="6"/>
        <v>0.86906296261802496</v>
      </c>
      <c r="X28" s="288">
        <v>1</v>
      </c>
      <c r="Y28" s="42"/>
      <c r="Z28" s="42"/>
      <c r="AA28" s="42"/>
    </row>
    <row r="29" spans="2:27" ht="12.6" thickTop="1">
      <c r="B29" s="5" t="s">
        <v>588</v>
      </c>
      <c r="C29" s="548">
        <v>2258.2583361000002</v>
      </c>
      <c r="D29" s="540">
        <v>1338.3773239693621</v>
      </c>
      <c r="E29" s="540">
        <v>1150.5941646591891</v>
      </c>
      <c r="F29" s="540">
        <v>2172.620511933681</v>
      </c>
      <c r="G29" s="540">
        <v>2737.1059743101482</v>
      </c>
      <c r="H29" s="279">
        <f t="shared" si="4"/>
        <v>0.26931968205198631</v>
      </c>
      <c r="I29" s="252"/>
      <c r="J29" s="249"/>
      <c r="K29" s="249"/>
      <c r="L29" s="249"/>
      <c r="M29" s="249"/>
      <c r="N29" s="249"/>
      <c r="O29" s="251"/>
      <c r="Q29" s="5"/>
      <c r="S29" s="88"/>
      <c r="T29" s="42"/>
      <c r="U29" s="42"/>
      <c r="V29" s="147" t="s">
        <v>530</v>
      </c>
      <c r="W29" s="288">
        <f t="shared" si="6"/>
        <v>0.81353082791798759</v>
      </c>
      <c r="X29" s="288">
        <v>1</v>
      </c>
      <c r="Y29" s="42"/>
      <c r="Z29" s="42"/>
      <c r="AA29" s="42"/>
    </row>
    <row r="30" spans="2:27">
      <c r="B30" s="5" t="s">
        <v>589</v>
      </c>
      <c r="C30" s="548">
        <v>3174.3524181000002</v>
      </c>
      <c r="D30" s="540">
        <v>2426.464870092796</v>
      </c>
      <c r="E30" s="540">
        <v>2364.658865477033</v>
      </c>
      <c r="F30" s="540">
        <v>2882.8903171503566</v>
      </c>
      <c r="G30" s="540">
        <v>3206.2163095619826</v>
      </c>
      <c r="H30" s="279">
        <f t="shared" si="4"/>
        <v>9.7335940435377744E-2</v>
      </c>
      <c r="I30" s="254"/>
      <c r="J30" s="248"/>
      <c r="K30" s="248"/>
      <c r="L30" s="248"/>
      <c r="M30" s="248"/>
      <c r="N30" s="248"/>
      <c r="O30" s="5"/>
      <c r="Q30" s="5"/>
      <c r="S30" s="88"/>
      <c r="T30" s="42"/>
      <c r="U30" s="42"/>
      <c r="V30" s="147" t="s">
        <v>593</v>
      </c>
      <c r="W30" s="288">
        <f t="shared" si="6"/>
        <v>0.87103279953941748</v>
      </c>
      <c r="X30" s="288">
        <v>1</v>
      </c>
      <c r="Y30" s="42"/>
      <c r="Z30" s="42"/>
      <c r="AA30" s="42"/>
    </row>
    <row r="31" spans="2:27">
      <c r="B31" s="5" t="s">
        <v>590</v>
      </c>
      <c r="C31" s="548">
        <v>2099.5241361477815</v>
      </c>
      <c r="D31" s="540">
        <v>2096.9214968707142</v>
      </c>
      <c r="E31" s="540">
        <v>947.00168510182766</v>
      </c>
      <c r="F31" s="540">
        <v>947.00168510182766</v>
      </c>
      <c r="G31" s="540">
        <v>947.00168510182766</v>
      </c>
      <c r="H31" s="279">
        <f t="shared" si="4"/>
        <v>-0.2327747984585482</v>
      </c>
      <c r="I31" s="254"/>
      <c r="J31" s="252"/>
      <c r="K31" s="252"/>
      <c r="L31" s="252"/>
      <c r="M31" s="252"/>
      <c r="N31" s="252"/>
      <c r="O31" s="5"/>
      <c r="Q31" s="5"/>
      <c r="S31" s="88"/>
      <c r="T31" s="42"/>
      <c r="U31" s="42"/>
      <c r="V31" s="147" t="s">
        <v>475</v>
      </c>
      <c r="W31" s="288">
        <f t="shared" si="6"/>
        <v>0.88411156208809061</v>
      </c>
      <c r="X31" s="288">
        <v>1</v>
      </c>
      <c r="Y31" s="42"/>
      <c r="Z31" s="42"/>
      <c r="AA31" s="42"/>
    </row>
    <row r="32" spans="2:27">
      <c r="B32" s="5" t="s">
        <v>606</v>
      </c>
      <c r="C32" s="550">
        <v>0</v>
      </c>
      <c r="D32" s="540">
        <v>0</v>
      </c>
      <c r="E32" s="540">
        <v>0</v>
      </c>
      <c r="F32" s="540">
        <v>0</v>
      </c>
      <c r="G32" s="540">
        <v>0</v>
      </c>
      <c r="H32" s="279" t="str">
        <f t="shared" si="4"/>
        <v>nm</v>
      </c>
      <c r="I32" s="254"/>
      <c r="J32" s="254"/>
      <c r="K32" s="254"/>
      <c r="L32" s="254"/>
      <c r="M32" s="254"/>
      <c r="N32" s="254"/>
      <c r="O32" s="251"/>
      <c r="Q32" s="5"/>
      <c r="S32" s="88"/>
      <c r="T32" s="42"/>
      <c r="U32" s="42"/>
      <c r="V32" s="147" t="s">
        <v>533</v>
      </c>
      <c r="W32" s="288">
        <f t="shared" si="6"/>
        <v>0.54754172814837265</v>
      </c>
      <c r="X32" s="288">
        <v>1</v>
      </c>
      <c r="Y32" s="42"/>
      <c r="Z32" s="42"/>
      <c r="AA32" s="42"/>
    </row>
    <row r="33" spans="2:27">
      <c r="B33" s="5" t="s">
        <v>5</v>
      </c>
      <c r="C33" s="548">
        <v>1279.074756</v>
      </c>
      <c r="D33" s="540">
        <v>1409.1137160164001</v>
      </c>
      <c r="E33" s="540">
        <v>1407.1041300074503</v>
      </c>
      <c r="F33" s="540">
        <v>1475.1601982401592</v>
      </c>
      <c r="G33" s="540">
        <v>1482.04639488322</v>
      </c>
      <c r="H33" s="279">
        <f>IF(D33=0,"nm",IF(G33=0,"nm",(G33/D33)^(1/3)-1))</f>
        <v>1.6963234154471429E-2</v>
      </c>
      <c r="I33" s="5"/>
      <c r="J33" s="254"/>
      <c r="K33" s="254"/>
      <c r="L33" s="254"/>
      <c r="M33" s="254"/>
      <c r="N33" s="254"/>
      <c r="O33" s="251"/>
      <c r="Q33" s="5"/>
      <c r="S33" s="88"/>
      <c r="T33" s="42"/>
      <c r="U33" s="42"/>
      <c r="V33" s="147" t="s">
        <v>580</v>
      </c>
      <c r="W33" s="288">
        <f t="shared" si="6"/>
        <v>1.5047255857338493</v>
      </c>
      <c r="X33" s="288">
        <v>1</v>
      </c>
      <c r="Y33" s="42"/>
      <c r="Z33" s="42"/>
      <c r="AA33" s="42"/>
    </row>
    <row r="34" spans="2:27">
      <c r="B34" s="5"/>
      <c r="C34" s="247"/>
      <c r="D34" s="17"/>
      <c r="E34" s="17"/>
      <c r="F34" s="268"/>
      <c r="G34" s="17"/>
      <c r="H34" s="277"/>
      <c r="I34" s="49"/>
      <c r="J34" s="254"/>
      <c r="K34" s="254"/>
      <c r="L34" s="254"/>
      <c r="M34" s="254"/>
      <c r="N34" s="254"/>
      <c r="O34" s="251"/>
      <c r="Q34" s="5"/>
      <c r="S34" s="88"/>
      <c r="T34" s="42"/>
      <c r="U34" s="42"/>
      <c r="V34" s="147" t="s">
        <v>581</v>
      </c>
      <c r="W34" s="288">
        <f>D47/L19</f>
        <v>1.1310789756421742</v>
      </c>
      <c r="X34" s="288">
        <v>1</v>
      </c>
      <c r="Y34" s="288"/>
      <c r="Z34" s="288"/>
      <c r="AA34" s="42"/>
    </row>
    <row r="35" spans="2:27" ht="12.6" thickBot="1">
      <c r="B35" s="306" t="s">
        <v>446</v>
      </c>
      <c r="C35" s="265"/>
      <c r="D35" s="265" t="str">
        <f>D5</f>
        <v>2023E</v>
      </c>
      <c r="E35" s="265" t="str">
        <f t="shared" ref="E35:H35" si="7">E5</f>
        <v>2024E</v>
      </c>
      <c r="F35" s="265" t="str">
        <f t="shared" si="7"/>
        <v>2025E</v>
      </c>
      <c r="G35" s="265" t="str">
        <f t="shared" si="7"/>
        <v>2026E</v>
      </c>
      <c r="H35" s="265" t="str">
        <f t="shared" si="7"/>
        <v>23E-26E</v>
      </c>
      <c r="I35" s="254"/>
      <c r="J35" s="5"/>
      <c r="K35" s="5"/>
      <c r="L35" s="5"/>
      <c r="M35" s="5"/>
      <c r="N35" s="5"/>
      <c r="O35" s="5"/>
      <c r="Q35" s="5"/>
      <c r="S35" s="88"/>
      <c r="T35" s="42"/>
      <c r="U35" s="42"/>
      <c r="V35" s="42"/>
      <c r="W35" s="42"/>
      <c r="X35" s="42"/>
      <c r="Y35" s="288"/>
      <c r="Z35" s="288"/>
      <c r="AA35" s="42"/>
    </row>
    <row r="36" spans="2:27" ht="12.6" thickTop="1">
      <c r="B36" s="41"/>
      <c r="C36" s="249"/>
      <c r="D36" s="254"/>
      <c r="E36" s="254"/>
      <c r="F36" s="254"/>
      <c r="G36" s="254"/>
      <c r="H36" s="254"/>
      <c r="I36" s="17"/>
      <c r="J36" s="49"/>
      <c r="K36" s="49"/>
      <c r="L36" s="49"/>
      <c r="M36" s="49"/>
      <c r="N36" s="49"/>
      <c r="O36" s="49"/>
      <c r="Q36" s="5"/>
      <c r="S36" s="88"/>
      <c r="T36" s="42"/>
      <c r="U36" s="42"/>
      <c r="V36" s="42"/>
      <c r="W36" s="42"/>
      <c r="X36" s="42"/>
      <c r="Y36" s="288"/>
      <c r="Z36" s="288"/>
      <c r="AA36" s="42"/>
    </row>
    <row r="37" spans="2:27">
      <c r="B37" s="5" t="s">
        <v>273</v>
      </c>
      <c r="C37" s="247"/>
      <c r="D37" s="529">
        <f t="shared" ref="D37:G41" si="8">D$18/D23</f>
        <v>1.449019070422243</v>
      </c>
      <c r="E37" s="529">
        <f t="shared" si="8"/>
        <v>1.281880506166174</v>
      </c>
      <c r="F37" s="529">
        <f t="shared" si="8"/>
        <v>1.1952713641466146</v>
      </c>
      <c r="G37" s="529">
        <f t="shared" si="8"/>
        <v>1.0735815539912177</v>
      </c>
      <c r="H37" s="17">
        <f t="shared" ref="H37:H45" si="9">H23</f>
        <v>1.5360148482219227E-2</v>
      </c>
      <c r="I37" s="5"/>
      <c r="J37" s="259"/>
      <c r="K37" s="259"/>
      <c r="L37" s="259"/>
      <c r="M37" s="259"/>
      <c r="N37" s="259"/>
      <c r="O37" s="18"/>
      <c r="Q37" s="5"/>
      <c r="R37" s="5"/>
      <c r="S37" s="42"/>
      <c r="T37" s="42"/>
      <c r="U37" s="42"/>
      <c r="V37" s="42"/>
      <c r="W37" s="42"/>
      <c r="X37" s="42"/>
      <c r="Y37" s="42"/>
      <c r="Z37" s="42"/>
      <c r="AA37" s="42"/>
    </row>
    <row r="38" spans="2:27">
      <c r="B38" s="5" t="s">
        <v>184</v>
      </c>
      <c r="C38" s="247"/>
      <c r="D38" s="529">
        <f t="shared" si="8"/>
        <v>4.4823361851348702</v>
      </c>
      <c r="E38" s="529">
        <f t="shared" si="8"/>
        <v>4.3023902386312685</v>
      </c>
      <c r="F38" s="529">
        <f t="shared" si="8"/>
        <v>3.8504080617292393</v>
      </c>
      <c r="G38" s="529">
        <f t="shared" si="8"/>
        <v>3.3781625013167442</v>
      </c>
      <c r="H38" s="17">
        <f t="shared" si="9"/>
        <v>9.5977880430091478E-3</v>
      </c>
      <c r="I38" s="259"/>
      <c r="J38" s="17"/>
      <c r="K38" s="17"/>
      <c r="L38" s="17"/>
      <c r="M38" s="17"/>
      <c r="N38" s="17"/>
      <c r="O38" s="5"/>
      <c r="Q38" s="5"/>
      <c r="R38" s="5"/>
      <c r="S38" s="42"/>
      <c r="T38" s="42"/>
      <c r="U38" s="42"/>
      <c r="V38" s="42"/>
      <c r="W38" s="42"/>
      <c r="X38" s="42"/>
      <c r="Y38" s="42"/>
      <c r="Z38" s="42"/>
      <c r="AA38" s="42"/>
    </row>
    <row r="39" spans="2:27">
      <c r="B39" s="5" t="s">
        <v>185</v>
      </c>
      <c r="C39" s="247"/>
      <c r="D39" s="529">
        <f t="shared" si="8"/>
        <v>10.820971871061388</v>
      </c>
      <c r="E39" s="529">
        <f t="shared" si="8"/>
        <v>10.506522626858775</v>
      </c>
      <c r="F39" s="529">
        <f t="shared" si="8"/>
        <v>8.3492370355167829</v>
      </c>
      <c r="G39" s="529">
        <f t="shared" si="8"/>
        <v>6.9203981815417404</v>
      </c>
      <c r="H39" s="17">
        <f t="shared" si="9"/>
        <v>6.6396772736873944E-2</v>
      </c>
      <c r="I39" s="17"/>
      <c r="J39" s="5"/>
      <c r="K39" s="5"/>
      <c r="L39" s="5"/>
      <c r="M39" s="5"/>
      <c r="N39" s="5"/>
      <c r="O39" s="5"/>
      <c r="Q39" s="5"/>
      <c r="R39" s="5"/>
      <c r="S39" s="42"/>
      <c r="T39" s="42"/>
      <c r="U39" s="42"/>
      <c r="V39" s="42"/>
      <c r="W39" s="42"/>
      <c r="X39" s="42"/>
      <c r="Y39" s="42"/>
      <c r="Z39" s="42"/>
      <c r="AA39" s="42"/>
    </row>
    <row r="40" spans="2:27">
      <c r="B40" s="5" t="s">
        <v>466</v>
      </c>
      <c r="C40" s="247"/>
      <c r="D40" s="529">
        <f t="shared" si="8"/>
        <v>15.240805452199139</v>
      </c>
      <c r="E40" s="529">
        <f t="shared" si="8"/>
        <v>14.797919192758838</v>
      </c>
      <c r="F40" s="529">
        <f t="shared" si="8"/>
        <v>11.759488782418005</v>
      </c>
      <c r="G40" s="529">
        <f t="shared" si="8"/>
        <v>9.7470396923123115</v>
      </c>
      <c r="H40" s="17">
        <f t="shared" si="9"/>
        <v>6.6396772736873944E-2</v>
      </c>
      <c r="I40" s="5"/>
      <c r="J40" s="259"/>
      <c r="K40" s="259"/>
      <c r="L40" s="259"/>
      <c r="M40" s="259"/>
      <c r="N40" s="259"/>
      <c r="O40" s="18"/>
      <c r="Q40" s="5"/>
      <c r="R40" s="5"/>
      <c r="S40" s="42"/>
      <c r="T40" s="42"/>
      <c r="U40" s="42"/>
      <c r="V40" s="42"/>
      <c r="W40" s="288"/>
      <c r="X40" s="288"/>
      <c r="Y40" s="42"/>
      <c r="Z40" s="42"/>
      <c r="AA40" s="42"/>
    </row>
    <row r="41" spans="2:27">
      <c r="B41" s="5" t="s">
        <v>530</v>
      </c>
      <c r="C41" s="247"/>
      <c r="D41" s="529">
        <f t="shared" si="8"/>
        <v>0.59719557405629942</v>
      </c>
      <c r="E41" s="529">
        <f t="shared" si="8"/>
        <v>0.56951594654496851</v>
      </c>
      <c r="F41" s="529">
        <f t="shared" si="8"/>
        <v>0.53500245265048607</v>
      </c>
      <c r="G41" s="529">
        <f t="shared" si="8"/>
        <v>0.49743619967831521</v>
      </c>
      <c r="H41" s="17">
        <f t="shared" si="9"/>
        <v>-2.3512192441243696E-2</v>
      </c>
      <c r="I41" s="247"/>
      <c r="J41" s="17"/>
      <c r="K41" s="17"/>
      <c r="L41" s="17"/>
      <c r="M41" s="17"/>
      <c r="N41" s="17"/>
      <c r="O41" s="5"/>
      <c r="Q41" s="5"/>
      <c r="R41" s="5"/>
      <c r="S41" s="42"/>
      <c r="T41" s="42"/>
      <c r="U41" s="42"/>
      <c r="V41" s="42"/>
      <c r="W41" s="288"/>
      <c r="X41" s="288"/>
      <c r="Y41" s="288"/>
      <c r="Z41" s="288"/>
      <c r="AA41" s="42"/>
    </row>
    <row r="42" spans="2:27">
      <c r="B42" s="5" t="s">
        <v>593</v>
      </c>
      <c r="C42" s="247"/>
      <c r="D42" s="529">
        <f>D18/D28</f>
        <v>1.5455828148210755</v>
      </c>
      <c r="E42" s="529">
        <f>E18/E28</f>
        <v>1.40167195645159</v>
      </c>
      <c r="F42" s="529">
        <f>F18/F28</f>
        <v>1.3299644768867618</v>
      </c>
      <c r="G42" s="529">
        <f>G18/G28</f>
        <v>1.2140808300372401</v>
      </c>
      <c r="H42" s="17">
        <f t="shared" si="9"/>
        <v>-4.2385246996824444E-3</v>
      </c>
      <c r="I42" s="248"/>
      <c r="J42" s="5"/>
      <c r="K42" s="5"/>
      <c r="L42" s="5"/>
      <c r="M42" s="5"/>
      <c r="N42" s="5"/>
      <c r="O42" s="5"/>
      <c r="Q42" s="5"/>
      <c r="R42" s="5"/>
      <c r="S42" s="42"/>
      <c r="T42" s="42"/>
      <c r="U42" s="42"/>
      <c r="V42" s="42"/>
      <c r="W42" s="288"/>
      <c r="X42" s="288"/>
      <c r="Y42" s="288"/>
      <c r="Z42" s="288"/>
      <c r="AA42" s="42"/>
    </row>
    <row r="43" spans="2:27">
      <c r="B43" s="5" t="s">
        <v>475</v>
      </c>
      <c r="C43" s="247"/>
      <c r="D43" s="529">
        <f>L26/D29</f>
        <v>14.823573776246347</v>
      </c>
      <c r="E43" s="529">
        <f>M26/E29</f>
        <v>15.677863220050472</v>
      </c>
      <c r="F43" s="529">
        <f>N26/F29</f>
        <v>8.3028112071260942</v>
      </c>
      <c r="G43" s="529">
        <f>O26/G29</f>
        <v>6.5904857556205716</v>
      </c>
      <c r="H43" s="17">
        <f t="shared" si="9"/>
        <v>0.26931968205198631</v>
      </c>
      <c r="I43" s="247"/>
      <c r="J43" s="247"/>
      <c r="K43" s="247"/>
      <c r="L43" s="247"/>
      <c r="M43" s="247"/>
      <c r="N43" s="247"/>
      <c r="O43" s="18"/>
      <c r="Q43" s="5"/>
      <c r="R43" s="5"/>
      <c r="S43" s="42"/>
      <c r="T43" s="42"/>
      <c r="U43" s="42"/>
      <c r="V43" s="42"/>
      <c r="W43" s="288"/>
      <c r="X43" s="288"/>
      <c r="Y43" s="288"/>
      <c r="Z43" s="288"/>
      <c r="AA43" s="42"/>
    </row>
    <row r="44" spans="2:27">
      <c r="B44" s="5" t="s">
        <v>533</v>
      </c>
      <c r="C44" s="69"/>
      <c r="D44" s="529">
        <f>D11/D30</f>
        <v>8.1763124811101306</v>
      </c>
      <c r="E44" s="529">
        <f>E11/E30</f>
        <v>7.628524434824107</v>
      </c>
      <c r="F44" s="529">
        <f>F11/F30</f>
        <v>6.2572127104529676</v>
      </c>
      <c r="G44" s="529">
        <f>G11/G30</f>
        <v>5.6262136405198993</v>
      </c>
      <c r="H44" s="17">
        <f t="shared" si="9"/>
        <v>9.7335940435377744E-2</v>
      </c>
      <c r="I44" s="247"/>
      <c r="J44" s="248"/>
      <c r="K44" s="248"/>
      <c r="L44" s="248"/>
      <c r="M44" s="248"/>
      <c r="N44" s="248"/>
      <c r="O44" s="248"/>
      <c r="Q44" s="5"/>
      <c r="R44" s="5"/>
      <c r="S44" s="42"/>
      <c r="T44" s="42"/>
      <c r="U44" s="42"/>
      <c r="V44" s="42"/>
      <c r="W44" s="325"/>
      <c r="X44" s="325"/>
      <c r="Y44" s="288"/>
      <c r="Z44" s="288"/>
      <c r="AA44" s="42"/>
    </row>
    <row r="45" spans="2:27">
      <c r="B45" s="5" t="s">
        <v>580</v>
      </c>
      <c r="C45" s="247"/>
      <c r="D45" s="248">
        <f>D31/D11</f>
        <v>0.10569408489795919</v>
      </c>
      <c r="E45" s="248">
        <f>E31/E11</f>
        <v>5.2497873673469392E-2</v>
      </c>
      <c r="F45" s="248">
        <f>F31/F11</f>
        <v>5.2497873673469392E-2</v>
      </c>
      <c r="G45" s="248">
        <f>G31/G11</f>
        <v>5.2497873673469392E-2</v>
      </c>
      <c r="H45" s="17">
        <f t="shared" si="9"/>
        <v>-0.2327747984585482</v>
      </c>
      <c r="I45" s="248"/>
      <c r="J45" s="247"/>
      <c r="K45" s="247"/>
      <c r="L45" s="247"/>
      <c r="M45" s="247"/>
      <c r="N45" s="247"/>
      <c r="O45" s="248"/>
      <c r="Q45" s="5"/>
      <c r="R45" s="5"/>
      <c r="S45" s="42"/>
      <c r="T45" s="42"/>
      <c r="U45" s="42"/>
      <c r="V45" s="42"/>
      <c r="W45" s="42"/>
      <c r="X45" s="42"/>
      <c r="Y45" s="325"/>
      <c r="Z45" s="325"/>
      <c r="AA45" s="42"/>
    </row>
    <row r="46" spans="2:27">
      <c r="B46" s="5" t="s">
        <v>605</v>
      </c>
      <c r="C46" s="247"/>
      <c r="D46" s="248">
        <f>(D31+D32)/D11</f>
        <v>0.10569408489795919</v>
      </c>
      <c r="E46" s="248">
        <f>(E31+E32)/E11</f>
        <v>5.2497873673469392E-2</v>
      </c>
      <c r="F46" s="248">
        <f>(F31+F32)/F11</f>
        <v>5.2497873673469392E-2</v>
      </c>
      <c r="G46" s="248">
        <f>(G31+G32)/G11</f>
        <v>5.2497873673469392E-2</v>
      </c>
      <c r="H46" s="279">
        <f>((G31+G32)/(D31+D32))^(1/3)-1</f>
        <v>-0.2327747984585482</v>
      </c>
      <c r="I46" s="247"/>
      <c r="J46" s="247"/>
      <c r="K46" s="247"/>
      <c r="L46" s="247"/>
      <c r="M46" s="247"/>
      <c r="N46" s="247"/>
      <c r="O46" s="18"/>
      <c r="Q46" s="5"/>
      <c r="R46" s="5"/>
      <c r="S46" s="42"/>
      <c r="T46" s="42"/>
      <c r="U46" s="42"/>
      <c r="V46" s="42"/>
      <c r="W46" s="42"/>
      <c r="X46" s="42"/>
      <c r="Y46" s="42"/>
      <c r="Z46" s="42"/>
      <c r="AA46" s="326"/>
    </row>
    <row r="47" spans="2:27">
      <c r="B47" s="5" t="s">
        <v>581</v>
      </c>
      <c r="C47" s="5"/>
      <c r="D47" s="248">
        <f>1/D43</f>
        <v>6.746011556284924E-2</v>
      </c>
      <c r="E47" s="248">
        <f>1/E43</f>
        <v>6.3784202347236751E-2</v>
      </c>
      <c r="F47" s="248">
        <f>1/F43</f>
        <v>0.12044113434034549</v>
      </c>
      <c r="G47" s="248">
        <f>1/G43</f>
        <v>0.15173388382596364</v>
      </c>
      <c r="H47" s="17">
        <f>H29</f>
        <v>0.26931968205198631</v>
      </c>
      <c r="I47" s="17"/>
      <c r="J47" s="248"/>
      <c r="K47" s="248"/>
      <c r="L47" s="248"/>
      <c r="M47" s="248"/>
      <c r="N47" s="248"/>
      <c r="O47" s="248"/>
      <c r="Q47" s="5"/>
      <c r="R47" s="5"/>
      <c r="S47" s="42"/>
      <c r="T47" s="42"/>
      <c r="U47" s="42"/>
      <c r="V47" s="42"/>
      <c r="W47" s="42"/>
      <c r="X47" s="42"/>
      <c r="Y47" s="42"/>
      <c r="Z47" s="42"/>
      <c r="AA47" s="326"/>
    </row>
    <row r="48" spans="2:27">
      <c r="B48" s="5" t="s">
        <v>618</v>
      </c>
      <c r="C48" s="5"/>
      <c r="D48" s="305">
        <f>D31/D29</f>
        <v>1.5667640651977428</v>
      </c>
      <c r="E48" s="305">
        <f>E31/E29</f>
        <v>0.8230544827961418</v>
      </c>
      <c r="F48" s="305">
        <f>F31/F29</f>
        <v>0.43587993388637158</v>
      </c>
      <c r="G48" s="305">
        <f>G31/G29</f>
        <v>0.34598648864536824</v>
      </c>
      <c r="H48" s="279" t="s">
        <v>607</v>
      </c>
      <c r="I48" s="247"/>
      <c r="J48" s="247"/>
      <c r="K48" s="247"/>
      <c r="L48" s="247"/>
      <c r="M48" s="247"/>
      <c r="N48" s="247"/>
      <c r="O48" s="248"/>
      <c r="Q48" s="5"/>
      <c r="R48" s="5"/>
      <c r="S48" s="42"/>
      <c r="T48" s="42"/>
      <c r="U48" s="42"/>
      <c r="V48" s="42"/>
      <c r="W48" s="42"/>
      <c r="X48" s="42"/>
      <c r="Y48" s="42"/>
      <c r="Z48" s="42"/>
      <c r="AA48" s="326"/>
    </row>
    <row r="49" spans="2:27">
      <c r="B49" s="41"/>
      <c r="C49" s="17"/>
      <c r="D49" s="17"/>
      <c r="E49" s="17"/>
      <c r="F49" s="17"/>
      <c r="G49" s="17"/>
      <c r="H49" s="17"/>
      <c r="I49" s="254"/>
      <c r="J49" s="17"/>
      <c r="K49" s="17"/>
      <c r="L49" s="17"/>
      <c r="M49" s="17"/>
      <c r="N49" s="17"/>
      <c r="O49" s="248"/>
      <c r="Q49" s="5"/>
      <c r="R49" s="5"/>
      <c r="S49" s="42"/>
      <c r="T49" s="42"/>
      <c r="U49" s="42"/>
      <c r="V49" s="42"/>
      <c r="W49" s="42"/>
      <c r="X49" s="42"/>
      <c r="Y49" s="42"/>
      <c r="Z49" s="42"/>
      <c r="AA49" s="326"/>
    </row>
    <row r="50" spans="2:27">
      <c r="B50" s="5"/>
      <c r="C50" s="257"/>
      <c r="D50" s="257"/>
      <c r="E50" s="257"/>
      <c r="F50" s="5"/>
      <c r="G50" s="41"/>
      <c r="H50" s="249"/>
      <c r="I50" s="17"/>
      <c r="J50" s="249"/>
      <c r="K50" s="249"/>
      <c r="L50" s="249"/>
      <c r="M50" s="249"/>
      <c r="N50" s="249"/>
      <c r="O50" s="250"/>
      <c r="Q50" s="5"/>
      <c r="R50" s="5"/>
      <c r="S50" s="42"/>
      <c r="T50" s="42"/>
      <c r="U50" s="42"/>
      <c r="V50" s="42"/>
      <c r="W50" s="288"/>
      <c r="X50" s="288"/>
      <c r="Y50" s="42"/>
      <c r="Z50" s="42"/>
      <c r="AA50" s="326"/>
    </row>
    <row r="51" spans="2:27">
      <c r="B51" s="41"/>
      <c r="C51" s="249"/>
      <c r="D51" s="254"/>
      <c r="E51" s="254"/>
      <c r="F51" s="254"/>
      <c r="G51" s="254"/>
      <c r="H51" s="254"/>
      <c r="I51" s="259"/>
      <c r="J51" s="254"/>
      <c r="K51" s="254"/>
      <c r="L51" s="254"/>
      <c r="M51" s="254"/>
      <c r="N51" s="254"/>
      <c r="O51" s="251"/>
      <c r="Q51" s="5"/>
      <c r="R51" s="5"/>
      <c r="S51" s="42"/>
      <c r="T51" s="42"/>
      <c r="U51" s="42"/>
      <c r="V51" s="42"/>
      <c r="W51" s="288"/>
      <c r="X51" s="288"/>
      <c r="Y51" s="288"/>
      <c r="Z51" s="288"/>
      <c r="AA51" s="42"/>
    </row>
    <row r="52" spans="2:27">
      <c r="B52" s="5"/>
      <c r="C52" s="257"/>
      <c r="D52" s="17"/>
      <c r="E52" s="17"/>
      <c r="F52" s="17"/>
      <c r="G52" s="17"/>
      <c r="H52" s="17"/>
      <c r="I52" s="254"/>
      <c r="J52" s="17"/>
      <c r="K52" s="17"/>
      <c r="L52" s="17"/>
      <c r="M52" s="17"/>
      <c r="N52" s="17"/>
      <c r="O52" s="248"/>
      <c r="Q52" s="5"/>
      <c r="R52" s="5"/>
      <c r="S52" s="5"/>
      <c r="Y52" s="10"/>
      <c r="Z52" s="10"/>
    </row>
    <row r="53" spans="2:27">
      <c r="B53" s="5"/>
      <c r="C53" s="257"/>
      <c r="D53" s="257"/>
      <c r="E53" s="257"/>
      <c r="F53" s="5"/>
      <c r="G53" s="5"/>
      <c r="H53" s="259"/>
      <c r="I53" s="17"/>
      <c r="J53" s="259"/>
      <c r="K53" s="259"/>
      <c r="L53" s="259"/>
      <c r="M53" s="259"/>
      <c r="N53" s="259"/>
      <c r="O53" s="18"/>
      <c r="Q53" s="5"/>
      <c r="R53" s="5"/>
      <c r="S53" s="5"/>
    </row>
    <row r="54" spans="2:27">
      <c r="B54" s="41"/>
      <c r="C54" s="249"/>
      <c r="D54" s="254"/>
      <c r="E54" s="254"/>
      <c r="F54" s="254"/>
      <c r="G54" s="254"/>
      <c r="H54" s="254"/>
      <c r="I54" s="259"/>
      <c r="J54" s="254"/>
      <c r="K54" s="254"/>
      <c r="L54" s="254"/>
      <c r="M54" s="254"/>
      <c r="N54" s="254"/>
      <c r="O54" s="251"/>
      <c r="Q54" s="5"/>
      <c r="R54" s="5"/>
      <c r="S54" s="5"/>
    </row>
    <row r="55" spans="2:27">
      <c r="B55" s="5"/>
      <c r="C55" s="257"/>
      <c r="D55" s="17"/>
      <c r="E55" s="17"/>
      <c r="F55" s="17"/>
      <c r="G55" s="17"/>
      <c r="H55" s="17"/>
      <c r="I55" s="249"/>
      <c r="J55" s="17"/>
      <c r="K55" s="17"/>
      <c r="L55" s="17"/>
      <c r="M55" s="17"/>
      <c r="N55" s="17"/>
      <c r="O55" s="18"/>
      <c r="Q55" s="5"/>
      <c r="R55" s="5"/>
      <c r="S55" s="5"/>
    </row>
    <row r="56" spans="2:27">
      <c r="B56" s="5"/>
      <c r="C56" s="248"/>
      <c r="D56" s="248"/>
      <c r="E56" s="248"/>
      <c r="F56" s="5"/>
      <c r="G56" s="5"/>
      <c r="H56" s="259"/>
      <c r="I56" s="248"/>
      <c r="J56" s="259"/>
      <c r="K56" s="259"/>
      <c r="L56" s="259"/>
      <c r="M56" s="259"/>
      <c r="N56" s="259"/>
      <c r="O56" s="18"/>
      <c r="Q56" s="5"/>
      <c r="R56" s="5"/>
      <c r="S56" s="5"/>
    </row>
    <row r="57" spans="2:27">
      <c r="B57" s="41"/>
      <c r="C57" s="249"/>
      <c r="D57" s="249"/>
      <c r="E57" s="249"/>
      <c r="F57" s="249"/>
      <c r="G57" s="249"/>
      <c r="H57" s="249"/>
      <c r="I57" s="5"/>
      <c r="J57" s="249"/>
      <c r="K57" s="249"/>
      <c r="L57" s="249"/>
      <c r="M57" s="249"/>
      <c r="N57" s="249"/>
      <c r="O57" s="251"/>
      <c r="Q57" s="5"/>
      <c r="R57" s="5"/>
      <c r="S57" s="5"/>
    </row>
    <row r="58" spans="2:27">
      <c r="B58" s="5"/>
      <c r="C58" s="5"/>
      <c r="D58" s="248"/>
      <c r="E58" s="248"/>
      <c r="F58" s="248"/>
      <c r="G58" s="248"/>
      <c r="H58" s="248"/>
      <c r="I58" s="17"/>
      <c r="J58" s="248"/>
      <c r="K58" s="248"/>
      <c r="L58" s="248"/>
      <c r="M58" s="248"/>
      <c r="N58" s="248"/>
      <c r="O58" s="18"/>
      <c r="Q58" s="5"/>
      <c r="R58" s="5"/>
      <c r="S58" s="5"/>
    </row>
    <row r="59" spans="2:27">
      <c r="B59" s="5"/>
      <c r="C59" s="5"/>
      <c r="D59" s="5"/>
      <c r="E59" s="5"/>
      <c r="F59" s="5"/>
      <c r="G59" s="5"/>
      <c r="H59" s="5"/>
      <c r="I59" s="5"/>
      <c r="J59" s="5"/>
      <c r="K59" s="5"/>
      <c r="L59" s="5"/>
      <c r="M59" s="5"/>
      <c r="N59" s="5"/>
      <c r="O59" s="5"/>
      <c r="Q59" s="5"/>
      <c r="R59" s="5"/>
      <c r="S59" s="5"/>
    </row>
    <row r="60" spans="2:27">
      <c r="B60" s="41"/>
      <c r="C60" s="17"/>
      <c r="D60" s="17"/>
      <c r="E60" s="17"/>
      <c r="F60" s="17"/>
      <c r="G60" s="17"/>
      <c r="H60" s="17"/>
      <c r="I60" s="249"/>
      <c r="J60" s="17"/>
      <c r="K60" s="17"/>
      <c r="L60" s="17"/>
      <c r="M60" s="17"/>
      <c r="N60" s="17"/>
      <c r="O60" s="251"/>
      <c r="Q60" s="5"/>
      <c r="R60" s="5"/>
      <c r="S60" s="5"/>
    </row>
    <row r="61" spans="2:27">
      <c r="B61" s="5"/>
      <c r="C61" s="5"/>
      <c r="D61" s="5"/>
      <c r="E61" s="5"/>
      <c r="F61" s="5"/>
      <c r="G61" s="5"/>
      <c r="H61" s="5"/>
      <c r="I61" s="5"/>
      <c r="J61" s="5"/>
      <c r="K61" s="5"/>
      <c r="L61" s="5"/>
      <c r="M61" s="5"/>
      <c r="N61" s="5"/>
      <c r="O61" s="5"/>
      <c r="Q61" s="41"/>
      <c r="R61" s="5"/>
      <c r="S61" s="5"/>
    </row>
    <row r="62" spans="2:27">
      <c r="B62" s="41"/>
      <c r="C62" s="249"/>
      <c r="D62" s="249"/>
      <c r="E62" s="249"/>
      <c r="F62" s="249"/>
      <c r="G62" s="249"/>
      <c r="H62" s="249"/>
      <c r="I62" s="5"/>
      <c r="J62" s="249"/>
      <c r="K62" s="249"/>
      <c r="L62" s="249"/>
      <c r="M62" s="249"/>
      <c r="N62" s="249"/>
      <c r="O62" s="251"/>
      <c r="Q62" s="5"/>
      <c r="R62" s="5"/>
      <c r="S62" s="5"/>
    </row>
    <row r="63" spans="2:27">
      <c r="B63" s="5"/>
      <c r="C63" s="5"/>
      <c r="D63" s="5"/>
      <c r="E63" s="5"/>
      <c r="F63" s="5"/>
      <c r="G63" s="5"/>
      <c r="H63" s="5"/>
      <c r="I63" s="254"/>
      <c r="J63" s="5"/>
      <c r="K63" s="5"/>
      <c r="L63" s="5"/>
      <c r="M63" s="5"/>
      <c r="N63" s="5"/>
      <c r="O63" s="5"/>
      <c r="Q63" s="5"/>
      <c r="R63" s="5"/>
      <c r="S63" s="5"/>
    </row>
    <row r="64" spans="2:27">
      <c r="B64" s="5"/>
      <c r="C64" s="5"/>
      <c r="D64" s="5"/>
      <c r="E64" s="5"/>
      <c r="F64" s="5"/>
      <c r="G64" s="5"/>
      <c r="H64" s="5"/>
      <c r="I64" s="17"/>
      <c r="J64" s="5"/>
      <c r="K64" s="5"/>
      <c r="L64" s="5"/>
      <c r="M64" s="5"/>
      <c r="N64" s="5"/>
      <c r="O64" s="5"/>
      <c r="Q64" s="5"/>
      <c r="R64" s="5"/>
      <c r="S64" s="5"/>
    </row>
    <row r="65" spans="2:26">
      <c r="B65" s="41"/>
      <c r="C65" s="249"/>
      <c r="D65" s="254"/>
      <c r="E65" s="254"/>
      <c r="F65" s="254"/>
      <c r="G65" s="254"/>
      <c r="H65" s="254"/>
      <c r="I65" s="254"/>
      <c r="J65" s="254"/>
      <c r="K65" s="254"/>
      <c r="L65" s="254"/>
      <c r="M65" s="254"/>
      <c r="N65" s="254"/>
      <c r="O65" s="251"/>
      <c r="Q65" s="5"/>
      <c r="R65" s="5"/>
      <c r="S65" s="5"/>
    </row>
    <row r="66" spans="2:26">
      <c r="B66" s="5"/>
      <c r="C66" s="5"/>
      <c r="D66" s="17"/>
      <c r="E66" s="17"/>
      <c r="F66" s="17"/>
      <c r="G66" s="17"/>
      <c r="H66" s="17"/>
      <c r="I66" s="248"/>
      <c r="J66" s="17"/>
      <c r="K66" s="17"/>
      <c r="L66" s="17"/>
      <c r="M66" s="17"/>
      <c r="N66" s="17"/>
      <c r="O66" s="5"/>
      <c r="Q66" s="5"/>
      <c r="R66" s="5"/>
      <c r="S66" s="5"/>
    </row>
    <row r="67" spans="2:26">
      <c r="B67" s="41"/>
      <c r="C67" s="249"/>
      <c r="D67" s="254"/>
      <c r="E67" s="254"/>
      <c r="F67" s="254"/>
      <c r="G67" s="254"/>
      <c r="H67" s="254"/>
      <c r="I67" s="5"/>
      <c r="J67" s="254"/>
      <c r="K67" s="254"/>
      <c r="L67" s="254"/>
      <c r="M67" s="254"/>
      <c r="N67" s="254"/>
      <c r="O67" s="251"/>
      <c r="Q67" s="41"/>
      <c r="R67" s="5"/>
      <c r="S67" s="5"/>
    </row>
    <row r="68" spans="2:26">
      <c r="B68" s="5"/>
      <c r="C68" s="5"/>
      <c r="D68" s="248"/>
      <c r="E68" s="248"/>
      <c r="F68" s="248"/>
      <c r="G68" s="248"/>
      <c r="H68" s="248"/>
      <c r="I68" s="245"/>
      <c r="J68" s="248"/>
      <c r="K68" s="248"/>
      <c r="L68" s="248"/>
      <c r="M68" s="248"/>
      <c r="N68" s="248"/>
      <c r="O68" s="5"/>
      <c r="Q68" s="5"/>
      <c r="R68" s="5"/>
      <c r="S68" s="5"/>
    </row>
    <row r="69" spans="2:26">
      <c r="B69" s="41"/>
      <c r="C69" s="5"/>
      <c r="D69" s="5"/>
      <c r="E69" s="5"/>
      <c r="F69" s="5"/>
      <c r="G69" s="5"/>
      <c r="H69" s="5"/>
      <c r="I69" s="248"/>
      <c r="J69" s="5"/>
      <c r="K69" s="5"/>
      <c r="L69" s="5"/>
      <c r="M69" s="5"/>
      <c r="N69" s="5"/>
      <c r="O69" s="5"/>
      <c r="Q69" s="5"/>
      <c r="R69" s="5"/>
      <c r="S69" s="5"/>
    </row>
    <row r="70" spans="2:26">
      <c r="B70" s="41"/>
      <c r="C70" s="245"/>
      <c r="D70" s="245"/>
      <c r="E70" s="245"/>
      <c r="F70" s="245"/>
      <c r="G70" s="245"/>
      <c r="H70" s="245"/>
      <c r="I70" s="5"/>
      <c r="J70" s="245"/>
      <c r="K70" s="245"/>
      <c r="L70" s="245"/>
      <c r="M70" s="245"/>
      <c r="N70" s="245"/>
      <c r="O70" s="251"/>
      <c r="Q70" s="5"/>
      <c r="R70" s="5"/>
      <c r="S70" s="5"/>
      <c r="W70" s="76"/>
      <c r="X70" s="76"/>
    </row>
    <row r="71" spans="2:26">
      <c r="B71" s="5"/>
      <c r="C71" s="5"/>
      <c r="D71" s="248"/>
      <c r="E71" s="248"/>
      <c r="F71" s="248"/>
      <c r="G71" s="248"/>
      <c r="H71" s="248"/>
      <c r="I71" s="245"/>
      <c r="J71" s="248"/>
      <c r="K71" s="248"/>
      <c r="L71" s="248"/>
      <c r="M71" s="248"/>
      <c r="N71" s="248"/>
      <c r="O71" s="5"/>
      <c r="Q71" s="5"/>
      <c r="R71" s="5"/>
      <c r="S71" s="5"/>
      <c r="W71" s="76"/>
      <c r="X71" s="76"/>
      <c r="Y71" s="76"/>
      <c r="Z71" s="76"/>
    </row>
    <row r="72" spans="2:26">
      <c r="B72" s="41"/>
      <c r="C72" s="5"/>
      <c r="D72" s="5"/>
      <c r="E72" s="5"/>
      <c r="F72" s="5"/>
      <c r="G72" s="5"/>
      <c r="H72" s="5"/>
      <c r="I72" s="18"/>
      <c r="J72" s="5"/>
      <c r="K72" s="5"/>
      <c r="L72" s="5"/>
      <c r="M72" s="5"/>
      <c r="N72" s="5"/>
      <c r="O72" s="5"/>
      <c r="Q72" s="5"/>
      <c r="R72" s="5"/>
      <c r="S72" s="5"/>
      <c r="Y72" s="76"/>
      <c r="Z72" s="76"/>
    </row>
    <row r="73" spans="2:26">
      <c r="B73" s="41"/>
      <c r="C73" s="245"/>
      <c r="D73" s="245"/>
      <c r="E73" s="245"/>
      <c r="F73" s="245"/>
      <c r="G73" s="245"/>
      <c r="H73" s="245"/>
      <c r="I73" s="5"/>
      <c r="J73" s="245"/>
      <c r="K73" s="245"/>
      <c r="L73" s="245"/>
      <c r="M73" s="245"/>
      <c r="N73" s="245"/>
      <c r="O73" s="251"/>
      <c r="Q73" s="5"/>
      <c r="R73" s="5"/>
      <c r="S73" s="5"/>
    </row>
    <row r="74" spans="2:26">
      <c r="B74" s="5"/>
      <c r="C74" s="5"/>
      <c r="D74" s="18"/>
      <c r="E74" s="18"/>
      <c r="F74" s="18"/>
      <c r="G74" s="18"/>
      <c r="H74" s="18"/>
      <c r="I74" s="249"/>
      <c r="J74" s="18"/>
      <c r="K74" s="18"/>
      <c r="L74" s="18"/>
      <c r="M74" s="18"/>
      <c r="N74" s="18"/>
      <c r="O74" s="5"/>
      <c r="Q74" s="5"/>
      <c r="R74" s="5"/>
      <c r="S74" s="5"/>
    </row>
    <row r="75" spans="2:26">
      <c r="B75" s="41"/>
      <c r="C75" s="5"/>
      <c r="D75" s="5"/>
      <c r="E75" s="5"/>
      <c r="F75" s="5"/>
      <c r="G75" s="5"/>
      <c r="H75" s="5"/>
      <c r="I75" s="248"/>
      <c r="J75" s="5"/>
      <c r="K75" s="5"/>
      <c r="L75" s="5"/>
      <c r="M75" s="5"/>
      <c r="N75" s="5"/>
      <c r="O75" s="5"/>
      <c r="Q75" s="5"/>
      <c r="R75" s="5"/>
      <c r="S75" s="5"/>
    </row>
    <row r="76" spans="2:26">
      <c r="B76" s="41"/>
      <c r="C76" s="249"/>
      <c r="D76" s="249"/>
      <c r="E76" s="249"/>
      <c r="F76" s="249"/>
      <c r="G76" s="249"/>
      <c r="H76" s="249"/>
      <c r="I76" s="5"/>
      <c r="J76" s="249"/>
      <c r="K76" s="249"/>
      <c r="L76" s="249"/>
      <c r="M76" s="249"/>
      <c r="N76" s="249"/>
      <c r="O76" s="251"/>
      <c r="Q76" s="5"/>
      <c r="R76" s="5"/>
      <c r="S76" s="5"/>
    </row>
    <row r="77" spans="2:26">
      <c r="B77" s="5"/>
      <c r="C77" s="5"/>
      <c r="D77" s="248"/>
      <c r="E77" s="248"/>
      <c r="F77" s="248"/>
      <c r="G77" s="248"/>
      <c r="H77" s="248"/>
      <c r="I77" s="245"/>
      <c r="J77" s="248"/>
      <c r="K77" s="248"/>
      <c r="L77" s="248"/>
      <c r="M77" s="248"/>
      <c r="N77" s="248"/>
      <c r="O77" s="5"/>
      <c r="Q77" s="5"/>
      <c r="R77" s="5"/>
      <c r="S77" s="5"/>
    </row>
    <row r="78" spans="2:26">
      <c r="B78" s="41"/>
      <c r="C78" s="5"/>
      <c r="D78" s="5"/>
      <c r="E78" s="5"/>
      <c r="F78" s="5"/>
      <c r="G78" s="5"/>
      <c r="H78" s="5"/>
      <c r="I78" s="248"/>
      <c r="J78" s="5"/>
      <c r="K78" s="5"/>
      <c r="L78" s="5"/>
      <c r="M78" s="5"/>
      <c r="N78" s="5"/>
      <c r="O78" s="5"/>
      <c r="Q78" s="5"/>
      <c r="R78" s="5"/>
      <c r="S78" s="5"/>
    </row>
    <row r="79" spans="2:26">
      <c r="B79" s="41"/>
      <c r="C79" s="245"/>
      <c r="D79" s="245"/>
      <c r="E79" s="245"/>
      <c r="F79" s="245"/>
      <c r="G79" s="245"/>
      <c r="H79" s="245"/>
      <c r="I79" s="5"/>
      <c r="J79" s="245"/>
      <c r="K79" s="245"/>
      <c r="L79" s="245"/>
      <c r="M79" s="245"/>
      <c r="N79" s="245"/>
      <c r="O79" s="251"/>
      <c r="Q79" s="5"/>
      <c r="R79" s="5"/>
      <c r="S79" s="5"/>
    </row>
    <row r="80" spans="2:26">
      <c r="B80" s="5"/>
      <c r="C80" s="5"/>
      <c r="D80" s="248"/>
      <c r="E80" s="248"/>
      <c r="F80" s="248"/>
      <c r="G80" s="248"/>
      <c r="H80" s="248"/>
      <c r="I80" s="249"/>
      <c r="J80" s="248"/>
      <c r="K80" s="248"/>
      <c r="L80" s="248"/>
      <c r="M80" s="248"/>
      <c r="N80" s="248"/>
      <c r="O80" s="5"/>
      <c r="Q80" s="5"/>
      <c r="R80" s="5"/>
      <c r="S80" s="5"/>
    </row>
    <row r="81" spans="2:26">
      <c r="B81" s="41"/>
      <c r="C81" s="5"/>
      <c r="D81" s="5"/>
      <c r="E81" s="5"/>
      <c r="F81" s="5"/>
      <c r="G81" s="5"/>
      <c r="H81" s="5"/>
      <c r="I81" s="248"/>
      <c r="J81" s="5"/>
      <c r="K81" s="5"/>
      <c r="L81" s="5"/>
      <c r="M81" s="5"/>
      <c r="N81" s="5"/>
      <c r="O81" s="5"/>
      <c r="Q81" s="5"/>
      <c r="R81" s="5"/>
      <c r="S81" s="5"/>
    </row>
    <row r="82" spans="2:26">
      <c r="B82" s="41"/>
      <c r="C82" s="249"/>
      <c r="D82" s="249"/>
      <c r="E82" s="249"/>
      <c r="F82" s="249"/>
      <c r="G82" s="249"/>
      <c r="H82" s="249"/>
      <c r="I82" s="259"/>
      <c r="J82" s="249"/>
      <c r="K82" s="249"/>
      <c r="L82" s="249"/>
      <c r="M82" s="249"/>
      <c r="N82" s="249"/>
      <c r="O82" s="251"/>
      <c r="Q82" s="5"/>
      <c r="R82" s="5"/>
      <c r="S82" s="5"/>
    </row>
    <row r="83" spans="2:26">
      <c r="B83" s="5"/>
      <c r="C83" s="5"/>
      <c r="D83" s="248"/>
      <c r="E83" s="248"/>
      <c r="F83" s="248"/>
      <c r="G83" s="248"/>
      <c r="H83" s="248"/>
      <c r="I83" s="5"/>
      <c r="J83" s="248"/>
      <c r="K83" s="248"/>
      <c r="L83" s="248"/>
      <c r="M83" s="248"/>
      <c r="N83" s="248"/>
      <c r="O83" s="5"/>
      <c r="Q83" s="5"/>
      <c r="R83" s="5"/>
      <c r="S83" s="5"/>
    </row>
    <row r="84" spans="2:26">
      <c r="B84" s="5"/>
      <c r="C84" s="259"/>
      <c r="D84" s="259"/>
      <c r="E84" s="259"/>
      <c r="F84" s="259"/>
      <c r="G84" s="259"/>
      <c r="H84" s="259"/>
      <c r="I84" s="245"/>
      <c r="J84" s="259"/>
      <c r="K84" s="259"/>
      <c r="L84" s="259"/>
      <c r="M84" s="259"/>
      <c r="N84" s="259"/>
      <c r="O84" s="251"/>
      <c r="Q84" s="5"/>
      <c r="R84" s="5"/>
      <c r="S84" s="5"/>
    </row>
    <row r="85" spans="2:26">
      <c r="B85" s="41"/>
      <c r="C85" s="5"/>
      <c r="D85" s="5"/>
      <c r="E85" s="5"/>
      <c r="F85" s="5"/>
      <c r="G85" s="5"/>
      <c r="H85" s="5"/>
      <c r="I85" s="248"/>
      <c r="J85" s="5"/>
      <c r="K85" s="5"/>
      <c r="L85" s="5"/>
      <c r="M85" s="5"/>
      <c r="N85" s="5"/>
      <c r="O85" s="5"/>
      <c r="Q85" s="5"/>
      <c r="R85" s="5"/>
      <c r="S85" s="5"/>
    </row>
    <row r="86" spans="2:26">
      <c r="B86" s="41"/>
      <c r="C86" s="245"/>
      <c r="D86" s="245"/>
      <c r="E86" s="245"/>
      <c r="F86" s="245"/>
      <c r="G86" s="245"/>
      <c r="H86" s="245"/>
      <c r="I86" s="5"/>
      <c r="J86" s="245"/>
      <c r="K86" s="245"/>
      <c r="L86" s="245"/>
      <c r="M86" s="245"/>
      <c r="N86" s="245"/>
      <c r="O86" s="251"/>
      <c r="Q86" s="5"/>
      <c r="R86" s="5"/>
      <c r="S86" s="5"/>
    </row>
    <row r="87" spans="2:26">
      <c r="B87" s="5"/>
      <c r="C87" s="5"/>
      <c r="D87" s="248"/>
      <c r="E87" s="248"/>
      <c r="F87" s="248"/>
      <c r="G87" s="248"/>
      <c r="H87" s="248"/>
      <c r="I87" s="5"/>
      <c r="J87" s="248"/>
      <c r="K87" s="248"/>
      <c r="L87" s="248"/>
      <c r="M87" s="248"/>
      <c r="N87" s="248"/>
      <c r="O87" s="5"/>
      <c r="Q87" s="5"/>
      <c r="R87" s="5"/>
      <c r="S87" s="5"/>
    </row>
    <row r="88" spans="2:26">
      <c r="B88" s="41"/>
      <c r="C88" s="5"/>
      <c r="D88" s="5"/>
      <c r="E88" s="5"/>
      <c r="F88" s="5"/>
      <c r="G88" s="5"/>
      <c r="H88" s="5"/>
      <c r="I88" s="5"/>
      <c r="J88" s="5"/>
      <c r="K88" s="5"/>
      <c r="L88" s="5"/>
      <c r="M88" s="5"/>
      <c r="N88" s="5"/>
      <c r="O88" s="5"/>
      <c r="Q88" s="5"/>
      <c r="R88" s="5"/>
      <c r="S88" s="5"/>
    </row>
    <row r="89" spans="2:26">
      <c r="B89" s="41"/>
      <c r="C89" s="5"/>
      <c r="D89" s="5"/>
      <c r="E89" s="5"/>
      <c r="F89" s="5"/>
      <c r="G89" s="5"/>
      <c r="H89" s="5"/>
      <c r="I89" s="5"/>
      <c r="J89" s="5"/>
      <c r="K89" s="5"/>
      <c r="L89" s="5"/>
      <c r="M89" s="5"/>
      <c r="N89" s="5"/>
      <c r="O89" s="5"/>
      <c r="Q89" s="5"/>
      <c r="R89" s="5"/>
      <c r="S89" s="5"/>
    </row>
    <row r="90" spans="2:26">
      <c r="B90" s="41"/>
      <c r="C90" s="5"/>
      <c r="D90" s="5"/>
      <c r="E90" s="5"/>
      <c r="F90" s="5"/>
      <c r="G90" s="5"/>
      <c r="H90" s="5"/>
      <c r="I90" s="49"/>
      <c r="J90" s="5"/>
      <c r="K90" s="5"/>
      <c r="L90" s="5"/>
      <c r="M90" s="5"/>
      <c r="N90" s="5"/>
      <c r="O90" s="5"/>
      <c r="Q90" s="41"/>
      <c r="R90" s="5"/>
      <c r="S90" s="5"/>
    </row>
    <row r="91" spans="2:26">
      <c r="B91" s="5"/>
      <c r="C91" s="5"/>
      <c r="D91" s="5"/>
      <c r="E91" s="5"/>
      <c r="F91" s="5"/>
      <c r="G91" s="5"/>
      <c r="H91" s="5"/>
      <c r="I91" s="5"/>
      <c r="J91" s="5"/>
      <c r="K91" s="5"/>
      <c r="L91" s="5"/>
      <c r="M91" s="5"/>
      <c r="N91" s="5"/>
      <c r="O91" s="5"/>
      <c r="Q91" s="5"/>
      <c r="R91" s="5"/>
      <c r="S91" s="5"/>
    </row>
    <row r="92" spans="2:26">
      <c r="B92" s="41"/>
      <c r="C92" s="49"/>
      <c r="D92" s="49"/>
      <c r="E92" s="49"/>
      <c r="F92" s="49"/>
      <c r="G92" s="49"/>
      <c r="H92" s="49"/>
      <c r="I92" s="247"/>
      <c r="J92" s="49"/>
      <c r="K92" s="49"/>
      <c r="L92" s="49"/>
      <c r="M92" s="49"/>
      <c r="N92" s="49"/>
      <c r="O92" s="49"/>
      <c r="Q92" s="5"/>
      <c r="R92" s="5"/>
      <c r="S92" s="5"/>
      <c r="W92" s="21"/>
      <c r="X92" s="21"/>
    </row>
    <row r="93" spans="2:26">
      <c r="B93" s="5"/>
      <c r="C93" s="5"/>
      <c r="D93" s="5"/>
      <c r="E93" s="5"/>
      <c r="F93" s="5"/>
      <c r="G93" s="5"/>
      <c r="H93" s="5"/>
      <c r="I93" s="247"/>
      <c r="J93" s="5"/>
      <c r="K93" s="5"/>
      <c r="L93" s="5"/>
      <c r="M93" s="5"/>
      <c r="N93" s="5"/>
      <c r="O93" s="5"/>
      <c r="Q93" s="5"/>
      <c r="R93" s="5"/>
      <c r="S93" s="5"/>
      <c r="W93" s="21"/>
      <c r="X93" s="21"/>
      <c r="Y93" s="21"/>
      <c r="Z93" s="21"/>
    </row>
    <row r="94" spans="2:26">
      <c r="B94" s="5"/>
      <c r="C94" s="259"/>
      <c r="D94" s="247"/>
      <c r="E94" s="247"/>
      <c r="F94" s="247"/>
      <c r="G94" s="247"/>
      <c r="H94" s="247"/>
      <c r="I94" s="247"/>
      <c r="J94" s="247"/>
      <c r="K94" s="247"/>
      <c r="L94" s="247"/>
      <c r="M94" s="247"/>
      <c r="N94" s="247"/>
      <c r="O94" s="248"/>
      <c r="Q94" s="5"/>
      <c r="R94" s="5"/>
      <c r="S94" s="5"/>
      <c r="Y94" s="21"/>
      <c r="Z94" s="21"/>
    </row>
    <row r="95" spans="2:26">
      <c r="B95" s="5"/>
      <c r="C95" s="259"/>
      <c r="D95" s="247"/>
      <c r="E95" s="247"/>
      <c r="F95" s="247"/>
      <c r="G95" s="247"/>
      <c r="H95" s="247"/>
      <c r="I95" s="248"/>
      <c r="J95" s="247"/>
      <c r="K95" s="247"/>
      <c r="L95" s="247"/>
      <c r="M95" s="247"/>
      <c r="N95" s="247"/>
      <c r="O95" s="248"/>
      <c r="Q95" s="5"/>
      <c r="R95" s="5"/>
      <c r="S95" s="5"/>
    </row>
    <row r="96" spans="2:26">
      <c r="B96" s="5"/>
      <c r="C96" s="259"/>
      <c r="D96" s="247"/>
      <c r="E96" s="247"/>
      <c r="F96" s="247"/>
      <c r="G96" s="247"/>
      <c r="H96" s="247"/>
      <c r="I96" s="247"/>
      <c r="J96" s="247"/>
      <c r="K96" s="247"/>
      <c r="L96" s="247"/>
      <c r="M96" s="247"/>
      <c r="N96" s="247"/>
      <c r="O96" s="248"/>
      <c r="Q96" s="5"/>
      <c r="R96" s="5"/>
      <c r="S96" s="5"/>
    </row>
    <row r="97" spans="2:19">
      <c r="B97" s="5"/>
      <c r="C97" s="259"/>
      <c r="D97" s="248"/>
      <c r="E97" s="248"/>
      <c r="F97" s="248"/>
      <c r="G97" s="248"/>
      <c r="H97" s="248"/>
      <c r="I97" s="249"/>
      <c r="J97" s="248"/>
      <c r="K97" s="248"/>
      <c r="L97" s="248"/>
      <c r="M97" s="248"/>
      <c r="N97" s="248"/>
      <c r="O97" s="248"/>
      <c r="Q97" s="5"/>
      <c r="R97" s="5"/>
      <c r="S97" s="5"/>
    </row>
    <row r="98" spans="2:19">
      <c r="B98" s="5"/>
      <c r="C98" s="259"/>
      <c r="D98" s="247"/>
      <c r="E98" s="247"/>
      <c r="F98" s="247"/>
      <c r="G98" s="247"/>
      <c r="H98" s="247"/>
      <c r="I98" s="248"/>
      <c r="J98" s="247"/>
      <c r="K98" s="247"/>
      <c r="L98" s="247"/>
      <c r="M98" s="247"/>
      <c r="N98" s="247"/>
      <c r="O98" s="248"/>
      <c r="Q98" s="5"/>
      <c r="R98" s="5"/>
      <c r="S98" s="5"/>
    </row>
    <row r="99" spans="2:19">
      <c r="B99" s="41"/>
      <c r="C99" s="249"/>
      <c r="D99" s="249"/>
      <c r="E99" s="249"/>
      <c r="F99" s="249"/>
      <c r="G99" s="249"/>
      <c r="H99" s="249"/>
      <c r="I99" s="5"/>
      <c r="J99" s="249"/>
      <c r="K99" s="249"/>
      <c r="L99" s="249"/>
      <c r="M99" s="249"/>
      <c r="N99" s="249"/>
      <c r="O99" s="248"/>
      <c r="Q99" s="5"/>
      <c r="R99" s="5"/>
      <c r="S99" s="5"/>
    </row>
    <row r="100" spans="2:19">
      <c r="B100" s="41"/>
      <c r="C100" s="257"/>
      <c r="D100" s="248"/>
      <c r="E100" s="248"/>
      <c r="F100" s="248"/>
      <c r="G100" s="248"/>
      <c r="H100" s="248"/>
      <c r="I100" s="259"/>
      <c r="J100" s="248"/>
      <c r="K100" s="248"/>
      <c r="L100" s="248"/>
      <c r="M100" s="248"/>
      <c r="N100" s="248"/>
      <c r="O100" s="248"/>
      <c r="Q100" s="5"/>
      <c r="R100" s="5"/>
      <c r="S100" s="5"/>
    </row>
    <row r="101" spans="2:19" s="5" customFormat="1">
      <c r="B101" s="41"/>
      <c r="I101" s="259"/>
      <c r="O101" s="248"/>
      <c r="P101" s="39"/>
    </row>
    <row r="102" spans="2:19">
      <c r="B102" s="5"/>
      <c r="C102" s="259"/>
      <c r="D102" s="259"/>
      <c r="E102" s="259"/>
      <c r="F102" s="259"/>
      <c r="G102" s="259"/>
      <c r="H102" s="259"/>
      <c r="I102" s="247"/>
      <c r="J102" s="259"/>
      <c r="K102" s="259"/>
      <c r="L102" s="259"/>
      <c r="M102" s="259"/>
      <c r="N102" s="259"/>
      <c r="O102" s="5"/>
      <c r="Q102" s="5"/>
      <c r="R102" s="5"/>
      <c r="S102" s="5"/>
    </row>
    <row r="103" spans="2:19">
      <c r="B103" s="5"/>
      <c r="C103" s="259"/>
      <c r="D103" s="259"/>
      <c r="E103" s="259"/>
      <c r="F103" s="259"/>
      <c r="G103" s="259"/>
      <c r="H103" s="259"/>
      <c r="I103" s="5"/>
      <c r="J103" s="259"/>
      <c r="K103" s="259"/>
      <c r="L103" s="259"/>
      <c r="M103" s="259"/>
      <c r="N103" s="259"/>
      <c r="O103" s="5"/>
      <c r="P103" s="5"/>
      <c r="Q103" s="5"/>
      <c r="R103" s="5"/>
      <c r="S103" s="5"/>
    </row>
    <row r="104" spans="2:19">
      <c r="B104" s="5"/>
      <c r="C104" s="247"/>
      <c r="D104" s="247"/>
      <c r="E104" s="247"/>
      <c r="F104" s="247"/>
      <c r="G104" s="247"/>
      <c r="H104" s="247"/>
      <c r="I104" s="247"/>
      <c r="J104" s="247"/>
      <c r="K104" s="247"/>
      <c r="L104" s="247"/>
      <c r="M104" s="247"/>
      <c r="N104" s="247"/>
      <c r="O104" s="5"/>
      <c r="Q104" s="5"/>
      <c r="R104" s="5"/>
      <c r="S104" s="5"/>
    </row>
    <row r="105" spans="2:19" s="5" customFormat="1">
      <c r="P105" s="39"/>
    </row>
    <row r="106" spans="2:19" s="5" customFormat="1">
      <c r="C106" s="259"/>
      <c r="D106" s="247"/>
      <c r="E106" s="247"/>
      <c r="F106" s="247"/>
      <c r="G106" s="247"/>
      <c r="H106" s="247"/>
      <c r="I106" s="259"/>
      <c r="J106" s="247"/>
      <c r="K106" s="247"/>
      <c r="L106" s="247"/>
      <c r="M106" s="247"/>
      <c r="N106" s="247"/>
      <c r="P106" s="39"/>
    </row>
    <row r="107" spans="2:19">
      <c r="B107" s="5"/>
      <c r="C107" s="259"/>
      <c r="D107" s="5"/>
      <c r="E107" s="5"/>
      <c r="F107" s="5"/>
      <c r="G107" s="5"/>
      <c r="H107" s="5"/>
      <c r="I107" s="247"/>
      <c r="J107" s="5"/>
      <c r="K107" s="5"/>
      <c r="L107" s="5"/>
      <c r="M107" s="5"/>
      <c r="N107" s="5"/>
      <c r="O107" s="5"/>
      <c r="P107" s="5"/>
      <c r="Q107" s="5"/>
      <c r="R107" s="5"/>
      <c r="S107" s="5"/>
    </row>
    <row r="108" spans="2:19">
      <c r="B108" s="5"/>
      <c r="C108" s="259"/>
      <c r="D108" s="259"/>
      <c r="E108" s="259"/>
      <c r="F108" s="259"/>
      <c r="G108" s="259"/>
      <c r="H108" s="259"/>
      <c r="I108" s="249"/>
      <c r="J108" s="259"/>
      <c r="K108" s="259"/>
      <c r="L108" s="259"/>
      <c r="M108" s="259"/>
      <c r="N108" s="259"/>
      <c r="O108" s="5"/>
      <c r="P108" s="5"/>
      <c r="Q108" s="5"/>
      <c r="R108" s="5"/>
      <c r="S108" s="5"/>
    </row>
    <row r="109" spans="2:19">
      <c r="B109" s="5"/>
      <c r="C109" s="247"/>
      <c r="D109" s="247"/>
      <c r="E109" s="247"/>
      <c r="F109" s="247"/>
      <c r="G109" s="247"/>
      <c r="H109" s="247"/>
      <c r="I109" s="249"/>
      <c r="J109" s="247"/>
      <c r="K109" s="247"/>
      <c r="L109" s="247"/>
      <c r="M109" s="247"/>
      <c r="N109" s="247"/>
      <c r="O109" s="5"/>
      <c r="Q109" s="5"/>
      <c r="R109" s="5"/>
      <c r="S109" s="5"/>
    </row>
    <row r="110" spans="2:19">
      <c r="B110" s="41"/>
      <c r="C110" s="249"/>
      <c r="D110" s="249"/>
      <c r="E110" s="249"/>
      <c r="F110" s="249"/>
      <c r="G110" s="249"/>
      <c r="H110" s="249"/>
      <c r="I110" s="247"/>
      <c r="J110" s="249"/>
      <c r="K110" s="249"/>
      <c r="L110" s="249"/>
      <c r="M110" s="249"/>
      <c r="N110" s="249"/>
      <c r="O110" s="5"/>
      <c r="Q110" s="5"/>
      <c r="R110" s="5"/>
      <c r="S110" s="5"/>
    </row>
    <row r="111" spans="2:19">
      <c r="B111" s="5"/>
      <c r="C111" s="249"/>
      <c r="D111" s="249"/>
      <c r="E111" s="249"/>
      <c r="F111" s="249"/>
      <c r="G111" s="249"/>
      <c r="H111" s="249"/>
      <c r="I111" s="5"/>
      <c r="J111" s="249"/>
      <c r="K111" s="249"/>
      <c r="L111" s="249"/>
      <c r="M111" s="249"/>
      <c r="N111" s="249"/>
      <c r="O111" s="5"/>
      <c r="Q111" s="5"/>
      <c r="R111" s="5"/>
      <c r="S111" s="5"/>
    </row>
    <row r="112" spans="2:19">
      <c r="B112" s="5"/>
      <c r="C112" s="247"/>
      <c r="D112" s="247"/>
      <c r="E112" s="247"/>
      <c r="F112" s="247"/>
      <c r="G112" s="247"/>
      <c r="H112" s="247"/>
      <c r="I112" s="5"/>
      <c r="J112" s="247"/>
      <c r="K112" s="247"/>
      <c r="L112" s="247"/>
      <c r="M112" s="247"/>
      <c r="N112" s="247"/>
      <c r="O112" s="5"/>
      <c r="Q112" s="5"/>
      <c r="R112" s="5"/>
      <c r="S112" s="5"/>
    </row>
    <row r="113" spans="2:19">
      <c r="B113" s="5"/>
      <c r="C113" s="5"/>
      <c r="D113" s="5"/>
      <c r="E113" s="5"/>
      <c r="F113" s="5"/>
      <c r="G113" s="5"/>
      <c r="H113" s="5"/>
      <c r="I113" s="5"/>
      <c r="J113" s="5"/>
      <c r="K113" s="5"/>
      <c r="L113" s="5"/>
      <c r="M113" s="5"/>
      <c r="N113" s="5"/>
      <c r="O113" s="5"/>
      <c r="Q113" s="5"/>
      <c r="R113" s="5"/>
      <c r="S113" s="5"/>
    </row>
    <row r="114" spans="2:19">
      <c r="B114" s="5"/>
      <c r="C114" s="5"/>
      <c r="D114" s="5"/>
      <c r="E114" s="5"/>
      <c r="F114" s="5"/>
      <c r="G114" s="5"/>
      <c r="H114" s="5"/>
      <c r="I114" s="5"/>
      <c r="J114" s="5"/>
      <c r="K114" s="5"/>
      <c r="L114" s="5"/>
      <c r="M114" s="5"/>
      <c r="N114" s="5"/>
      <c r="O114" s="5"/>
      <c r="Q114" s="5"/>
      <c r="R114" s="5"/>
      <c r="S114" s="5"/>
    </row>
    <row r="115" spans="2:19">
      <c r="B115" s="5"/>
      <c r="C115" s="5"/>
      <c r="D115" s="5"/>
      <c r="E115" s="5"/>
      <c r="F115" s="5"/>
      <c r="G115" s="5"/>
      <c r="H115" s="5"/>
      <c r="I115" s="49"/>
      <c r="J115" s="5"/>
      <c r="K115" s="5"/>
      <c r="L115" s="5"/>
      <c r="M115" s="5"/>
      <c r="N115" s="5"/>
      <c r="O115" s="5"/>
      <c r="Q115" s="41"/>
      <c r="R115" s="5"/>
      <c r="S115" s="5"/>
    </row>
    <row r="116" spans="2:19">
      <c r="B116" s="5"/>
      <c r="C116" s="5"/>
      <c r="D116" s="5"/>
      <c r="E116" s="5"/>
      <c r="F116" s="5"/>
      <c r="G116" s="5"/>
      <c r="H116" s="5"/>
      <c r="I116" s="5"/>
      <c r="J116" s="5"/>
      <c r="K116" s="5"/>
      <c r="L116" s="5"/>
      <c r="M116" s="5"/>
      <c r="N116" s="5"/>
      <c r="O116" s="5"/>
      <c r="Q116" s="5"/>
      <c r="R116" s="5"/>
      <c r="S116" s="5"/>
    </row>
    <row r="117" spans="2:19">
      <c r="B117" s="41"/>
      <c r="C117" s="49"/>
      <c r="D117" s="49"/>
      <c r="E117" s="49"/>
      <c r="F117" s="49"/>
      <c r="G117" s="49"/>
      <c r="H117" s="49"/>
      <c r="I117" s="254"/>
      <c r="J117" s="49"/>
      <c r="K117" s="49"/>
      <c r="L117" s="49"/>
      <c r="M117" s="49"/>
      <c r="N117" s="49"/>
      <c r="O117" s="49"/>
      <c r="Q117" s="5"/>
      <c r="R117" s="5"/>
      <c r="S117" s="5"/>
    </row>
    <row r="118" spans="2:19">
      <c r="B118" s="5"/>
      <c r="C118" s="5"/>
      <c r="D118" s="5"/>
      <c r="E118" s="5"/>
      <c r="F118" s="5"/>
      <c r="G118" s="5"/>
      <c r="H118" s="5"/>
      <c r="I118" s="249"/>
      <c r="J118" s="5"/>
      <c r="K118" s="5"/>
      <c r="L118" s="5"/>
      <c r="M118" s="5"/>
      <c r="N118" s="5"/>
      <c r="O118" s="5"/>
      <c r="Q118" s="5"/>
      <c r="R118" s="5"/>
      <c r="S118" s="5"/>
    </row>
    <row r="119" spans="2:19">
      <c r="B119" s="41"/>
      <c r="C119" s="254"/>
      <c r="D119" s="254"/>
      <c r="E119" s="254"/>
      <c r="F119" s="254"/>
      <c r="G119" s="254"/>
      <c r="H119" s="254"/>
      <c r="I119" s="254"/>
      <c r="J119" s="254"/>
      <c r="K119" s="254"/>
      <c r="L119" s="254"/>
      <c r="M119" s="254"/>
      <c r="N119" s="254"/>
      <c r="O119" s="248"/>
      <c r="Q119" s="5"/>
      <c r="R119" s="5"/>
      <c r="S119" s="5"/>
    </row>
    <row r="120" spans="2:19">
      <c r="B120" s="41"/>
      <c r="C120" s="254"/>
      <c r="D120" s="249"/>
      <c r="E120" s="249"/>
      <c r="F120" s="249"/>
      <c r="G120" s="249"/>
      <c r="H120" s="249"/>
      <c r="I120" s="254"/>
      <c r="J120" s="249"/>
      <c r="K120" s="249"/>
      <c r="L120" s="249"/>
      <c r="M120" s="249"/>
      <c r="N120" s="249"/>
      <c r="O120" s="248"/>
      <c r="Q120" s="5"/>
      <c r="R120" s="5"/>
      <c r="S120" s="5"/>
    </row>
    <row r="121" spans="2:19">
      <c r="B121" s="41"/>
      <c r="C121" s="254"/>
      <c r="D121" s="254"/>
      <c r="E121" s="254"/>
      <c r="F121" s="254"/>
      <c r="G121" s="254"/>
      <c r="H121" s="254"/>
      <c r="I121" s="254"/>
      <c r="J121" s="254"/>
      <c r="K121" s="254"/>
      <c r="L121" s="254"/>
      <c r="M121" s="254"/>
      <c r="N121" s="254"/>
      <c r="O121" s="248"/>
      <c r="Q121" s="5"/>
      <c r="R121" s="5"/>
      <c r="S121" s="5"/>
    </row>
    <row r="122" spans="2:19">
      <c r="B122" s="41"/>
      <c r="C122" s="254"/>
      <c r="D122" s="254"/>
      <c r="E122" s="254"/>
      <c r="F122" s="254"/>
      <c r="G122" s="254"/>
      <c r="H122" s="254"/>
      <c r="I122" s="254"/>
      <c r="J122" s="254"/>
      <c r="K122" s="254"/>
      <c r="L122" s="254"/>
      <c r="M122" s="254"/>
      <c r="N122" s="254"/>
      <c r="O122" s="248"/>
      <c r="Q122" s="5"/>
      <c r="R122" s="5"/>
      <c r="S122" s="5"/>
    </row>
    <row r="123" spans="2:19">
      <c r="B123" s="41"/>
      <c r="C123" s="254"/>
      <c r="D123" s="254"/>
      <c r="E123" s="254"/>
      <c r="F123" s="254"/>
      <c r="G123" s="254"/>
      <c r="H123" s="254"/>
      <c r="I123" s="254"/>
      <c r="J123" s="254"/>
      <c r="K123" s="254"/>
      <c r="L123" s="254"/>
      <c r="M123" s="254"/>
      <c r="N123" s="254"/>
      <c r="O123" s="248"/>
      <c r="Q123" s="5"/>
      <c r="R123" s="5"/>
      <c r="S123" s="5"/>
    </row>
    <row r="124" spans="2:19">
      <c r="B124" s="41"/>
      <c r="C124" s="254"/>
      <c r="D124" s="254"/>
      <c r="E124" s="254"/>
      <c r="F124" s="254"/>
      <c r="G124" s="254"/>
      <c r="H124" s="254"/>
      <c r="I124" s="254"/>
      <c r="J124" s="254"/>
      <c r="K124" s="254"/>
      <c r="L124" s="254"/>
      <c r="M124" s="254"/>
      <c r="N124" s="254"/>
      <c r="O124" s="248"/>
      <c r="Q124" s="5"/>
      <c r="R124" s="5"/>
      <c r="S124" s="5"/>
    </row>
    <row r="125" spans="2:19">
      <c r="B125" s="41"/>
      <c r="C125" s="254"/>
      <c r="D125" s="254"/>
      <c r="E125" s="254"/>
      <c r="F125" s="254"/>
      <c r="G125" s="254"/>
      <c r="H125" s="254"/>
      <c r="I125" s="254"/>
      <c r="J125" s="254"/>
      <c r="K125" s="254"/>
      <c r="L125" s="254"/>
      <c r="M125" s="254"/>
      <c r="N125" s="254"/>
      <c r="O125" s="5"/>
      <c r="Q125" s="5"/>
      <c r="R125" s="5"/>
      <c r="S125" s="5"/>
    </row>
    <row r="126" spans="2:19">
      <c r="B126" s="41"/>
      <c r="C126" s="254"/>
      <c r="D126" s="254"/>
      <c r="E126" s="254"/>
      <c r="F126" s="254"/>
      <c r="G126" s="254"/>
      <c r="H126" s="254"/>
      <c r="I126" s="254"/>
      <c r="J126" s="254"/>
      <c r="K126" s="254"/>
      <c r="L126" s="254"/>
      <c r="M126" s="254"/>
      <c r="N126" s="254"/>
      <c r="O126" s="5"/>
      <c r="Q126" s="5"/>
      <c r="R126" s="5"/>
      <c r="S126" s="5"/>
    </row>
    <row r="127" spans="2:19">
      <c r="B127" s="41"/>
      <c r="C127" s="254"/>
      <c r="D127" s="254"/>
      <c r="E127" s="254"/>
      <c r="F127" s="254"/>
      <c r="G127" s="254"/>
      <c r="H127" s="254"/>
      <c r="I127" s="18"/>
      <c r="J127" s="254"/>
      <c r="K127" s="254"/>
      <c r="L127" s="254"/>
      <c r="M127" s="254"/>
      <c r="N127" s="254"/>
      <c r="O127" s="5"/>
      <c r="Q127" s="5"/>
      <c r="R127" s="5"/>
      <c r="S127" s="5"/>
    </row>
    <row r="128" spans="2:19">
      <c r="B128" s="41"/>
      <c r="C128" s="254"/>
      <c r="D128" s="254"/>
      <c r="E128" s="254"/>
      <c r="F128" s="254"/>
      <c r="G128" s="254"/>
      <c r="H128" s="254"/>
      <c r="I128" s="5"/>
      <c r="J128" s="254"/>
      <c r="K128" s="254"/>
      <c r="L128" s="254"/>
      <c r="M128" s="254"/>
      <c r="N128" s="254"/>
      <c r="O128" s="5"/>
      <c r="Q128" s="5"/>
      <c r="R128" s="5"/>
      <c r="S128" s="5"/>
    </row>
    <row r="129" spans="2:27">
      <c r="B129" s="5"/>
      <c r="C129" s="5"/>
      <c r="D129" s="18"/>
      <c r="E129" s="18"/>
      <c r="F129" s="18"/>
      <c r="G129" s="18"/>
      <c r="H129" s="18"/>
      <c r="I129" s="254"/>
      <c r="J129" s="18"/>
      <c r="K129" s="18"/>
      <c r="L129" s="18"/>
      <c r="M129" s="18"/>
      <c r="N129" s="18"/>
      <c r="O129" s="5"/>
      <c r="Q129" s="5"/>
      <c r="R129" s="5"/>
      <c r="S129" s="5"/>
    </row>
    <row r="130" spans="2:27">
      <c r="B130" s="5"/>
      <c r="C130" s="5"/>
      <c r="D130" s="5"/>
      <c r="E130" s="5"/>
      <c r="F130" s="5"/>
      <c r="G130" s="5"/>
      <c r="H130" s="5"/>
      <c r="I130" s="18"/>
      <c r="J130" s="5"/>
      <c r="K130" s="5"/>
      <c r="L130" s="5"/>
      <c r="M130" s="5"/>
      <c r="N130" s="5"/>
      <c r="O130" s="5"/>
      <c r="Q130" s="5"/>
      <c r="R130" s="5"/>
      <c r="S130" s="5"/>
    </row>
    <row r="131" spans="2:27">
      <c r="B131" s="41"/>
      <c r="C131" s="254"/>
      <c r="D131" s="254"/>
      <c r="E131" s="254"/>
      <c r="F131" s="254"/>
      <c r="G131" s="254"/>
      <c r="H131" s="254"/>
      <c r="I131" s="5"/>
      <c r="J131" s="254"/>
      <c r="K131" s="254"/>
      <c r="L131" s="254"/>
      <c r="M131" s="254"/>
      <c r="N131" s="254"/>
      <c r="O131" s="5"/>
      <c r="Q131" s="5"/>
      <c r="R131" s="5"/>
      <c r="S131" s="5"/>
    </row>
    <row r="132" spans="2:27">
      <c r="B132" s="5"/>
      <c r="C132" s="259"/>
      <c r="D132" s="18"/>
      <c r="E132" s="18"/>
      <c r="F132" s="18"/>
      <c r="G132" s="18"/>
      <c r="H132" s="18"/>
      <c r="I132" s="5"/>
      <c r="J132" s="18"/>
      <c r="K132" s="18"/>
      <c r="L132" s="18"/>
      <c r="M132" s="18"/>
      <c r="N132" s="18"/>
      <c r="O132" s="5"/>
      <c r="Q132" s="5"/>
      <c r="R132" s="5"/>
      <c r="S132" s="5"/>
    </row>
    <row r="133" spans="2:27">
      <c r="B133" s="5"/>
      <c r="C133" s="5"/>
      <c r="D133" s="5"/>
      <c r="E133" s="5"/>
      <c r="F133" s="5"/>
      <c r="G133" s="5"/>
      <c r="H133" s="5"/>
      <c r="I133" s="17"/>
      <c r="J133" s="5"/>
      <c r="K133" s="5"/>
      <c r="L133" s="5"/>
      <c r="M133" s="5"/>
      <c r="N133" s="5"/>
      <c r="O133" s="5"/>
      <c r="Q133" s="5"/>
      <c r="R133" s="5"/>
      <c r="S133" s="5"/>
    </row>
    <row r="134" spans="2:27">
      <c r="B134" s="41"/>
      <c r="C134" s="5"/>
      <c r="D134" s="5"/>
      <c r="E134" s="5"/>
      <c r="F134" s="5"/>
      <c r="G134" s="5"/>
      <c r="H134" s="5"/>
      <c r="I134" s="17"/>
      <c r="J134" s="5"/>
      <c r="K134" s="5"/>
      <c r="L134" s="5"/>
      <c r="M134" s="5"/>
      <c r="N134" s="5"/>
      <c r="O134" s="5"/>
      <c r="Q134" s="5"/>
      <c r="R134" s="5"/>
      <c r="S134" s="5"/>
    </row>
    <row r="135" spans="2:27">
      <c r="B135" s="5"/>
      <c r="C135" s="17"/>
      <c r="D135" s="17"/>
      <c r="E135" s="17"/>
      <c r="F135" s="17"/>
      <c r="G135" s="17"/>
      <c r="H135" s="17"/>
      <c r="I135" s="17"/>
      <c r="J135" s="17"/>
      <c r="K135" s="17"/>
      <c r="L135" s="17"/>
      <c r="M135" s="17"/>
      <c r="N135" s="17"/>
      <c r="O135" s="5"/>
      <c r="Q135" s="41"/>
      <c r="R135" s="5"/>
      <c r="S135" s="5"/>
    </row>
    <row r="136" spans="2:27">
      <c r="B136" s="5"/>
      <c r="C136" s="17"/>
      <c r="D136" s="17"/>
      <c r="E136" s="17"/>
      <c r="F136" s="17"/>
      <c r="G136" s="17"/>
      <c r="H136" s="17"/>
      <c r="I136" s="17"/>
      <c r="J136" s="17"/>
      <c r="K136" s="17"/>
      <c r="L136" s="17"/>
      <c r="M136" s="17"/>
      <c r="N136" s="17"/>
      <c r="O136" s="5"/>
      <c r="Q136" s="5"/>
      <c r="R136" s="5"/>
      <c r="S136" s="5"/>
      <c r="X136" s="304"/>
    </row>
    <row r="137" spans="2:27">
      <c r="B137" s="5"/>
      <c r="C137" s="5"/>
      <c r="D137" s="17"/>
      <c r="E137" s="17"/>
      <c r="F137" s="17"/>
      <c r="G137" s="17"/>
      <c r="H137" s="17"/>
      <c r="I137" s="17"/>
      <c r="J137" s="17"/>
      <c r="K137" s="17"/>
      <c r="L137" s="17"/>
      <c r="M137" s="17"/>
      <c r="N137" s="17"/>
      <c r="O137" s="5"/>
      <c r="Q137" s="5"/>
      <c r="R137" s="5"/>
      <c r="S137" s="5"/>
      <c r="X137" s="10"/>
      <c r="Y137" s="304"/>
      <c r="Z137" s="304"/>
      <c r="AA137" s="304"/>
    </row>
    <row r="138" spans="2:27">
      <c r="B138" s="5"/>
      <c r="C138" s="5"/>
      <c r="D138" s="17"/>
      <c r="E138" s="17"/>
      <c r="F138" s="17"/>
      <c r="G138" s="17"/>
      <c r="H138" s="17"/>
      <c r="I138" s="17"/>
      <c r="J138" s="17"/>
      <c r="K138" s="17"/>
      <c r="L138" s="17"/>
      <c r="M138" s="17"/>
      <c r="N138" s="17"/>
      <c r="O138" s="5"/>
      <c r="Q138" s="5"/>
      <c r="R138" s="5"/>
      <c r="S138" s="5"/>
      <c r="Y138" s="10"/>
      <c r="Z138" s="10"/>
      <c r="AA138" s="10"/>
    </row>
    <row r="139" spans="2:27">
      <c r="B139" s="5"/>
      <c r="C139" s="5"/>
      <c r="D139" s="17"/>
      <c r="E139" s="17"/>
      <c r="F139" s="17"/>
      <c r="G139" s="17"/>
      <c r="H139" s="17"/>
      <c r="I139" s="5"/>
      <c r="J139" s="17"/>
      <c r="K139" s="17"/>
      <c r="L139" s="17"/>
      <c r="M139" s="17"/>
      <c r="N139" s="17"/>
      <c r="O139" s="5"/>
      <c r="Q139" s="5"/>
      <c r="R139" s="5"/>
      <c r="S139" s="5"/>
    </row>
    <row r="140" spans="2:27">
      <c r="B140" s="5"/>
      <c r="C140" s="17"/>
      <c r="D140" s="17"/>
      <c r="E140" s="17"/>
      <c r="F140" s="17"/>
      <c r="G140" s="17"/>
      <c r="H140" s="17"/>
      <c r="I140" s="5"/>
      <c r="J140" s="17"/>
      <c r="K140" s="17"/>
      <c r="L140" s="17"/>
      <c r="M140" s="17"/>
      <c r="N140" s="17"/>
      <c r="O140" s="5"/>
      <c r="Q140" s="5"/>
      <c r="R140" s="5"/>
      <c r="S140" s="5"/>
    </row>
    <row r="141" spans="2:27">
      <c r="B141" s="5"/>
      <c r="C141" s="5"/>
      <c r="D141" s="5"/>
      <c r="E141" s="5"/>
      <c r="F141" s="5"/>
      <c r="G141" s="5"/>
      <c r="H141" s="5"/>
      <c r="I141" s="5"/>
      <c r="J141" s="5"/>
      <c r="K141" s="5"/>
      <c r="L141" s="5"/>
      <c r="M141" s="5"/>
      <c r="N141" s="5"/>
      <c r="O141" s="5"/>
      <c r="Q141" s="5"/>
      <c r="R141" s="5"/>
      <c r="S141" s="5"/>
    </row>
    <row r="142" spans="2:27">
      <c r="B142" s="5"/>
      <c r="C142" s="5"/>
      <c r="D142" s="5"/>
      <c r="E142" s="5"/>
      <c r="F142" s="5"/>
      <c r="G142" s="5"/>
      <c r="H142" s="5"/>
      <c r="I142" s="5"/>
      <c r="J142" s="5"/>
      <c r="K142" s="5"/>
      <c r="L142" s="5"/>
      <c r="M142" s="5"/>
      <c r="N142" s="5"/>
      <c r="O142" s="5"/>
      <c r="Q142" s="5"/>
      <c r="R142" s="5"/>
      <c r="S142" s="5"/>
    </row>
    <row r="143" spans="2:27">
      <c r="B143" s="5"/>
      <c r="C143" s="5"/>
      <c r="D143" s="5"/>
      <c r="E143" s="5"/>
      <c r="F143" s="5"/>
      <c r="G143" s="5"/>
      <c r="H143" s="5"/>
      <c r="I143" s="5"/>
      <c r="J143" s="5"/>
      <c r="K143" s="5"/>
      <c r="L143" s="5"/>
      <c r="M143" s="5"/>
      <c r="N143" s="5"/>
      <c r="O143" s="5"/>
      <c r="Q143" s="5"/>
      <c r="R143" s="5"/>
      <c r="S143" s="5"/>
    </row>
    <row r="144" spans="2:27">
      <c r="B144" s="5"/>
      <c r="C144" s="5"/>
      <c r="D144" s="5"/>
      <c r="E144" s="5"/>
      <c r="F144" s="5"/>
      <c r="G144" s="5"/>
      <c r="H144" s="5"/>
      <c r="I144" s="5"/>
      <c r="J144" s="5"/>
      <c r="K144" s="5"/>
      <c r="L144" s="5"/>
      <c r="M144" s="5"/>
      <c r="N144" s="5"/>
      <c r="O144" s="5"/>
      <c r="Q144" s="5"/>
      <c r="R144" s="5"/>
      <c r="S144" s="5"/>
    </row>
    <row r="145" spans="2:19">
      <c r="B145" s="5"/>
      <c r="C145" s="5"/>
      <c r="D145" s="5"/>
      <c r="E145" s="5"/>
      <c r="F145" s="5"/>
      <c r="G145" s="5"/>
      <c r="H145" s="5"/>
      <c r="I145" s="5"/>
      <c r="J145" s="5"/>
      <c r="K145" s="5"/>
      <c r="L145" s="5"/>
      <c r="M145" s="5"/>
      <c r="N145" s="5"/>
      <c r="O145" s="5"/>
      <c r="Q145" s="5"/>
      <c r="R145" s="5"/>
      <c r="S145" s="5"/>
    </row>
    <row r="146" spans="2:19">
      <c r="B146" s="5"/>
      <c r="C146" s="5"/>
      <c r="D146" s="5"/>
      <c r="E146" s="5"/>
      <c r="F146" s="5"/>
      <c r="G146" s="5"/>
      <c r="H146" s="5"/>
      <c r="I146" s="5"/>
      <c r="J146" s="5"/>
      <c r="K146" s="5"/>
      <c r="L146" s="5"/>
      <c r="M146" s="5"/>
      <c r="N146" s="5"/>
      <c r="O146" s="5"/>
      <c r="Q146" s="5"/>
      <c r="R146" s="5"/>
      <c r="S146" s="5"/>
    </row>
    <row r="147" spans="2:19">
      <c r="B147" s="5"/>
      <c r="C147" s="5"/>
      <c r="D147" s="5"/>
      <c r="E147" s="5"/>
      <c r="F147" s="5"/>
      <c r="G147" s="5"/>
      <c r="H147" s="5"/>
      <c r="I147" s="5"/>
      <c r="J147" s="5"/>
      <c r="K147" s="5"/>
      <c r="L147" s="5"/>
      <c r="M147" s="5"/>
      <c r="N147" s="5"/>
      <c r="O147" s="5"/>
      <c r="Q147" s="5"/>
      <c r="R147" s="5"/>
      <c r="S147" s="5"/>
    </row>
    <row r="148" spans="2:19">
      <c r="B148" s="5"/>
      <c r="C148" s="5"/>
      <c r="D148" s="5"/>
      <c r="E148" s="5"/>
      <c r="F148" s="5"/>
      <c r="G148" s="5"/>
      <c r="H148" s="5"/>
      <c r="I148" s="5"/>
      <c r="J148" s="5"/>
      <c r="K148" s="5"/>
      <c r="L148" s="5"/>
      <c r="M148" s="5"/>
      <c r="N148" s="5"/>
      <c r="O148" s="5"/>
      <c r="Q148" s="5"/>
      <c r="R148" s="5"/>
      <c r="S148" s="5"/>
    </row>
    <row r="149" spans="2:19">
      <c r="B149" s="5"/>
      <c r="C149" s="5"/>
      <c r="D149" s="5"/>
      <c r="E149" s="5"/>
      <c r="F149" s="5"/>
      <c r="G149" s="5"/>
      <c r="H149" s="5"/>
      <c r="J149" s="5"/>
      <c r="K149" s="5"/>
      <c r="L149" s="5"/>
      <c r="M149" s="5"/>
      <c r="N149" s="5"/>
      <c r="O149" s="5"/>
      <c r="Q149" s="5"/>
      <c r="R149" s="5"/>
      <c r="S149" s="5"/>
    </row>
    <row r="150" spans="2:19">
      <c r="B150" s="5"/>
      <c r="C150" s="5"/>
      <c r="D150" s="5"/>
      <c r="E150" s="5"/>
      <c r="F150" s="5"/>
      <c r="G150" s="5"/>
      <c r="H150" s="5"/>
      <c r="J150" s="5"/>
      <c r="K150" s="5"/>
      <c r="L150" s="5"/>
      <c r="M150" s="5"/>
      <c r="N150" s="5"/>
      <c r="O150" s="5"/>
      <c r="Q150" s="5"/>
      <c r="R150" s="5"/>
      <c r="S150" s="5"/>
    </row>
    <row r="151" spans="2:19">
      <c r="Q151" s="5"/>
      <c r="R151" s="5"/>
      <c r="S151" s="5"/>
    </row>
    <row r="152" spans="2:19">
      <c r="Q152" s="5"/>
      <c r="R152" s="5"/>
      <c r="S152" s="5"/>
    </row>
    <row r="153" spans="2:19">
      <c r="C153" s="263"/>
      <c r="Q153" s="5"/>
      <c r="R153" s="5"/>
      <c r="S153" s="5"/>
    </row>
    <row r="154" spans="2:19">
      <c r="Q154" s="5"/>
      <c r="R154" s="5"/>
      <c r="S154" s="5"/>
    </row>
    <row r="155" spans="2:19">
      <c r="Q155" s="5"/>
      <c r="R155" s="5"/>
      <c r="S155" s="5"/>
    </row>
    <row r="156" spans="2:19">
      <c r="Q156" s="5"/>
      <c r="R156" s="5"/>
      <c r="S156" s="5"/>
    </row>
    <row r="157" spans="2:19">
      <c r="Q157" s="5"/>
      <c r="R157" s="5"/>
      <c r="S157" s="5"/>
    </row>
    <row r="158" spans="2:19">
      <c r="Q158" s="5"/>
      <c r="R158" s="5"/>
      <c r="S158" s="5"/>
    </row>
    <row r="159" spans="2:19">
      <c r="Q159" s="5"/>
      <c r="R159" s="5"/>
      <c r="S159" s="5"/>
    </row>
    <row r="160" spans="2:19">
      <c r="Q160" s="5"/>
      <c r="R160" s="5"/>
      <c r="S160" s="5"/>
    </row>
    <row r="161" spans="17:19">
      <c r="Q161" s="5"/>
      <c r="R161" s="5"/>
      <c r="S161" s="5"/>
    </row>
    <row r="162" spans="17:19">
      <c r="Q162" s="5"/>
      <c r="R162" s="5"/>
      <c r="S162" s="5"/>
    </row>
    <row r="163" spans="17:19">
      <c r="Q163" s="5"/>
      <c r="R163" s="5"/>
      <c r="S163" s="5"/>
    </row>
    <row r="164" spans="17:19">
      <c r="Q164" s="5"/>
      <c r="R164" s="5"/>
      <c r="S164" s="5"/>
    </row>
    <row r="165" spans="17:19">
      <c r="Q165" s="5"/>
      <c r="R165" s="5"/>
      <c r="S165" s="5"/>
    </row>
  </sheetData>
  <phoneticPr fontId="7" type="noConversion"/>
  <hyperlinks>
    <hyperlink ref="C2" location="VODSOP!A1" display="Jump to VOD SOP" xr:uid="{00000000-0004-0000-7600-000001000000}"/>
  </hyperlinks>
  <pageMargins left="0.75" right="0.75" top="1" bottom="1" header="0.5" footer="0.5"/>
  <pageSetup scale="70" orientation="landscape" r:id="rId1"/>
  <headerFooter alignWithMargins="0"/>
  <drawing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700-000000000000}">
  <sheetPr codeName="Sheet155">
    <pageSetUpPr fitToPage="1"/>
  </sheetPr>
  <dimension ref="B1:AR165"/>
  <sheetViews>
    <sheetView showGridLines="0" zoomScale="80" zoomScaleNormal="80" workbookViewId="0"/>
  </sheetViews>
  <sheetFormatPr defaultColWidth="9.109375" defaultRowHeight="12"/>
  <cols>
    <col min="1" max="1" width="2.33203125" style="39" customWidth="1"/>
    <col min="2" max="2" width="26.5546875" style="39" customWidth="1"/>
    <col min="3" max="9" width="10" style="39" customWidth="1"/>
    <col min="10" max="10" width="26.6640625" style="39" customWidth="1"/>
    <col min="11" max="16" width="10" style="39" customWidth="1"/>
    <col min="17" max="19" width="8.6640625" style="39" customWidth="1"/>
    <col min="20" max="28" width="8.6640625" style="5" customWidth="1"/>
    <col min="29" max="44" width="9.109375" style="5"/>
    <col min="45" max="16384" width="9.109375" style="39"/>
  </cols>
  <sheetData>
    <row r="1" spans="2:44" s="312" customFormat="1">
      <c r="T1" s="149"/>
      <c r="U1" s="149"/>
      <c r="V1" s="149"/>
      <c r="W1" s="149"/>
      <c r="X1" s="149"/>
      <c r="Y1" s="149"/>
      <c r="Z1" s="149"/>
      <c r="AA1" s="149"/>
      <c r="AB1" s="149"/>
      <c r="AC1" s="149"/>
      <c r="AD1" s="149"/>
      <c r="AE1" s="149"/>
      <c r="AF1" s="149"/>
      <c r="AG1" s="149"/>
      <c r="AH1" s="149"/>
      <c r="AI1" s="149"/>
      <c r="AJ1" s="149"/>
      <c r="AK1" s="149"/>
      <c r="AL1" s="149"/>
      <c r="AM1" s="149"/>
      <c r="AN1" s="149"/>
      <c r="AO1" s="149"/>
      <c r="AP1" s="149"/>
      <c r="AQ1" s="149"/>
      <c r="AR1" s="149"/>
    </row>
    <row r="2" spans="2:44" s="149" customFormat="1"/>
    <row r="3" spans="2:44" s="149" customFormat="1">
      <c r="H3" s="153"/>
      <c r="P3" s="153"/>
    </row>
    <row r="4" spans="2:44" s="156" customFormat="1" ht="21">
      <c r="B4" s="129" t="s">
        <v>408</v>
      </c>
      <c r="H4" s="222"/>
      <c r="P4" s="222"/>
    </row>
    <row r="5" spans="2:44" s="149" customFormat="1">
      <c r="C5" s="153"/>
      <c r="D5" s="153" t="str" cm="1">
        <f t="array" ref="D5:H5">headings</f>
        <v>2023E</v>
      </c>
      <c r="E5" s="153" t="str">
        <v>2024E</v>
      </c>
      <c r="F5" s="153" t="str">
        <v>2025E</v>
      </c>
      <c r="G5" s="153" t="str">
        <v>2026E</v>
      </c>
      <c r="H5" s="153" t="str">
        <v>23E-26E</v>
      </c>
      <c r="I5" s="153"/>
      <c r="J5" s="153"/>
      <c r="K5" s="153"/>
      <c r="L5" s="153" t="str" cm="1">
        <f t="array" ref="L5:P5">headings</f>
        <v>2023E</v>
      </c>
      <c r="M5" s="153" t="str">
        <v>2024E</v>
      </c>
      <c r="N5" s="153" t="str">
        <v>2025E</v>
      </c>
      <c r="O5" s="153" t="str">
        <v>2026E</v>
      </c>
      <c r="P5" s="153" t="str">
        <v>23E-26E</v>
      </c>
      <c r="Q5" s="162"/>
      <c r="R5" s="162"/>
      <c r="S5" s="162"/>
      <c r="T5" s="162"/>
      <c r="U5" s="162"/>
      <c r="V5" s="162"/>
      <c r="W5" s="162"/>
      <c r="X5" s="162"/>
      <c r="Y5" s="162"/>
    </row>
    <row r="6" spans="2:44">
      <c r="E6" s="264"/>
      <c r="I6" s="5"/>
      <c r="J6" s="5"/>
      <c r="K6" s="5"/>
      <c r="L6" s="5"/>
      <c r="M6" s="5"/>
      <c r="N6" s="5"/>
      <c r="O6" s="49"/>
    </row>
    <row r="7" spans="2:44" ht="12.6" thickBot="1">
      <c r="B7" s="306" t="s">
        <v>271</v>
      </c>
      <c r="C7" s="265"/>
      <c r="D7" s="265" t="str">
        <f>D5</f>
        <v>2023E</v>
      </c>
      <c r="E7" s="265" t="str">
        <f t="shared" ref="E7:H7" si="0">E5</f>
        <v>2024E</v>
      </c>
      <c r="F7" s="265" t="str">
        <f t="shared" si="0"/>
        <v>2025E</v>
      </c>
      <c r="G7" s="265" t="str">
        <f t="shared" si="0"/>
        <v>2026E</v>
      </c>
      <c r="H7" s="265" t="str">
        <f t="shared" si="0"/>
        <v>23E-26E</v>
      </c>
      <c r="I7" s="49"/>
      <c r="J7" s="306" t="s">
        <v>180</v>
      </c>
      <c r="K7" s="306"/>
      <c r="L7" s="265" t="str">
        <f>L5</f>
        <v>2023E</v>
      </c>
      <c r="M7" s="265" t="str">
        <f t="shared" ref="M7:P7" si="1">M5</f>
        <v>2024E</v>
      </c>
      <c r="N7" s="265" t="str">
        <f t="shared" si="1"/>
        <v>2025E</v>
      </c>
      <c r="O7" s="265" t="str">
        <f t="shared" si="1"/>
        <v>2026E</v>
      </c>
      <c r="P7" s="265" t="str">
        <f t="shared" si="1"/>
        <v>23E-26E</v>
      </c>
    </row>
    <row r="8" spans="2:44" ht="12.6" thickTop="1">
      <c r="B8" s="5"/>
      <c r="C8" s="5"/>
      <c r="D8" s="5"/>
      <c r="E8" s="5"/>
      <c r="F8" s="5"/>
      <c r="G8" s="5"/>
      <c r="H8" s="5"/>
      <c r="I8" s="5"/>
      <c r="J8" s="5"/>
      <c r="K8" s="5"/>
      <c r="L8" s="5"/>
      <c r="M8" s="5"/>
      <c r="N8" s="5"/>
      <c r="S8" s="88"/>
      <c r="T8" s="42"/>
      <c r="U8" s="42"/>
      <c r="V8" s="42"/>
      <c r="W8" s="42"/>
      <c r="X8" s="42"/>
      <c r="Y8" s="42"/>
      <c r="Z8" s="42"/>
      <c r="AA8" s="42"/>
    </row>
    <row r="9" spans="2:44">
      <c r="B9" s="41" t="s">
        <v>117</v>
      </c>
      <c r="C9" s="267">
        <v>47.01</v>
      </c>
      <c r="D9" s="535" t="e">
        <v>#REF!</v>
      </c>
      <c r="E9" s="536" t="e">
        <v>#REF!</v>
      </c>
      <c r="F9" s="536" t="e">
        <v>#REF!</v>
      </c>
      <c r="G9" s="536" t="e">
        <v>#REF!</v>
      </c>
      <c r="H9" s="249"/>
      <c r="I9" s="249"/>
      <c r="J9" s="5" t="s">
        <v>273</v>
      </c>
      <c r="L9" s="529">
        <f>'US TELCO'!D37</f>
        <v>2.5137859043736563</v>
      </c>
      <c r="M9" s="529">
        <f>'US TELCO'!E37</f>
        <v>2.3418033291822886</v>
      </c>
      <c r="N9" s="529">
        <f>'US TELCO'!F37</f>
        <v>2.1405480707080522</v>
      </c>
      <c r="O9" s="529">
        <f>'US TELCO'!G37</f>
        <v>1.9475888569848374</v>
      </c>
      <c r="P9" s="18">
        <f>'US TELCO'!H37</f>
        <v>1.8592642260168768E-2</v>
      </c>
      <c r="S9" s="88"/>
      <c r="T9" s="42"/>
      <c r="U9" s="42"/>
      <c r="V9" s="42"/>
      <c r="W9" s="42"/>
      <c r="X9" s="42"/>
      <c r="Y9" s="42"/>
      <c r="Z9" s="42"/>
      <c r="AA9" s="42"/>
    </row>
    <row r="10" spans="2:44">
      <c r="B10" s="5" t="s">
        <v>274</v>
      </c>
      <c r="C10" s="5"/>
      <c r="D10" s="531">
        <v>4213.5</v>
      </c>
      <c r="E10" s="531">
        <v>4214</v>
      </c>
      <c r="F10" s="531">
        <v>4214</v>
      </c>
      <c r="G10" s="531">
        <v>4214</v>
      </c>
      <c r="H10" s="247"/>
      <c r="I10" s="247"/>
      <c r="J10" s="5" t="s">
        <v>184</v>
      </c>
      <c r="L10" s="529">
        <f>'US TELCO'!D38</f>
        <v>7.0004799345610245</v>
      </c>
      <c r="M10" s="529">
        <f>'US TELCO'!E38</f>
        <v>6.3659497867265147</v>
      </c>
      <c r="N10" s="529">
        <f>'US TELCO'!F38</f>
        <v>5.7745168477785871</v>
      </c>
      <c r="O10" s="529">
        <f>'US TELCO'!G38</f>
        <v>5.2274604613312263</v>
      </c>
      <c r="P10" s="18">
        <f>'US TELCO'!H38</f>
        <v>3.1183334923203576E-2</v>
      </c>
      <c r="R10" s="270"/>
      <c r="S10" s="327"/>
      <c r="T10" s="42"/>
      <c r="U10" s="42"/>
      <c r="V10" s="42"/>
      <c r="W10" s="288"/>
      <c r="X10" s="288"/>
      <c r="Y10" s="288"/>
      <c r="Z10" s="288"/>
      <c r="AA10" s="42"/>
    </row>
    <row r="11" spans="2:44">
      <c r="B11" s="41" t="s">
        <v>275</v>
      </c>
      <c r="C11" s="5"/>
      <c r="D11" s="532">
        <f>$C$9*D10</f>
        <v>198076.63499999998</v>
      </c>
      <c r="E11" s="532">
        <f>$C$9*E10</f>
        <v>198100.13999999998</v>
      </c>
      <c r="F11" s="532">
        <f>$C$9*F10</f>
        <v>198100.13999999998</v>
      </c>
      <c r="G11" s="532">
        <f>$C$9*G10</f>
        <v>198100.13999999998</v>
      </c>
      <c r="H11" s="249"/>
      <c r="I11" s="249"/>
      <c r="J11" s="5" t="s">
        <v>185</v>
      </c>
      <c r="L11" s="529">
        <f>'US TELCO'!D39</f>
        <v>12.361344840920768</v>
      </c>
      <c r="M11" s="529">
        <f>'US TELCO'!E39</f>
        <v>10.302089191081508</v>
      </c>
      <c r="N11" s="529">
        <f>'US TELCO'!F39</f>
        <v>9.1394962866691269</v>
      </c>
      <c r="O11" s="529">
        <f>'US TELCO'!G39</f>
        <v>8.1609892306538363</v>
      </c>
      <c r="P11" s="18">
        <f>'US TELCO'!H39</f>
        <v>7.4396303115465079E-2</v>
      </c>
      <c r="R11" s="270"/>
      <c r="S11" s="88"/>
      <c r="T11" s="42"/>
      <c r="U11" s="42"/>
      <c r="V11" s="42"/>
      <c r="W11" s="288"/>
      <c r="X11" s="288"/>
      <c r="Y11" s="288"/>
      <c r="Z11" s="288"/>
      <c r="AA11" s="42"/>
    </row>
    <row r="12" spans="2:44">
      <c r="B12" s="5" t="s">
        <v>24</v>
      </c>
      <c r="C12" s="249"/>
      <c r="D12" s="533">
        <v>124994</v>
      </c>
      <c r="E12" s="533">
        <v>118065.82954521515</v>
      </c>
      <c r="F12" s="533">
        <v>110123.54006926986</v>
      </c>
      <c r="G12" s="533">
        <v>101707.40937903603</v>
      </c>
      <c r="H12" s="247"/>
      <c r="I12" s="247"/>
      <c r="J12" s="5" t="s">
        <v>466</v>
      </c>
      <c r="L12" s="529">
        <f>'US TELCO'!D40</f>
        <v>17.910316859783464</v>
      </c>
      <c r="M12" s="529">
        <f>'US TELCO'!E40</f>
        <v>15.566299432140243</v>
      </c>
      <c r="N12" s="529">
        <f>'US TELCO'!F40</f>
        <v>13.78175372330595</v>
      </c>
      <c r="O12" s="529">
        <f>'US TELCO'!G40</f>
        <v>12.15772695095534</v>
      </c>
      <c r="P12" s="18">
        <f>'US TELCO'!H40</f>
        <v>6.4487323949837583E-2</v>
      </c>
      <c r="R12" s="270"/>
      <c r="S12" s="88"/>
      <c r="T12" s="42"/>
      <c r="U12" s="42"/>
      <c r="V12" s="42"/>
      <c r="W12" s="288"/>
      <c r="X12" s="288"/>
      <c r="Y12" s="288"/>
      <c r="Z12" s="288"/>
      <c r="AA12" s="42"/>
    </row>
    <row r="13" spans="2:44">
      <c r="B13" s="5" t="s">
        <v>529</v>
      </c>
      <c r="C13" s="257"/>
      <c r="D13" s="533">
        <v>0</v>
      </c>
      <c r="E13" s="533">
        <v>0</v>
      </c>
      <c r="F13" s="533">
        <v>0</v>
      </c>
      <c r="G13" s="533">
        <v>0</v>
      </c>
      <c r="H13" s="247"/>
      <c r="I13" s="247"/>
      <c r="J13" s="5" t="s">
        <v>530</v>
      </c>
      <c r="L13" s="529">
        <f>'US TELCO'!D41</f>
        <v>1.2910316989935113</v>
      </c>
      <c r="M13" s="529">
        <f>'US TELCO'!E41</f>
        <v>1.606660528917552</v>
      </c>
      <c r="N13" s="529">
        <f>'US TELCO'!F41</f>
        <v>1.5314525021709535</v>
      </c>
      <c r="O13" s="529">
        <f>'US TELCO'!G41</f>
        <v>1.4556441037262229</v>
      </c>
      <c r="P13" s="18">
        <f>'US TELCO'!H41</f>
        <v>-0.10115646387707644</v>
      </c>
      <c r="R13" s="270"/>
      <c r="S13" s="88"/>
      <c r="T13" s="42"/>
      <c r="U13" s="42"/>
      <c r="V13" s="42"/>
      <c r="W13" s="42"/>
      <c r="X13" s="42"/>
      <c r="Y13" s="42"/>
      <c r="Z13" s="42"/>
      <c r="AA13" s="42"/>
    </row>
    <row r="14" spans="2:44">
      <c r="B14" s="5" t="s">
        <v>532</v>
      </c>
      <c r="C14" s="257"/>
      <c r="D14" s="533">
        <v>953</v>
      </c>
      <c r="E14" s="533">
        <v>953</v>
      </c>
      <c r="F14" s="533">
        <v>953</v>
      </c>
      <c r="G14" s="533">
        <v>953</v>
      </c>
      <c r="H14" s="247"/>
      <c r="I14" s="247"/>
      <c r="J14" s="5" t="s">
        <v>593</v>
      </c>
      <c r="L14" s="529">
        <f>'US TELCO'!D42</f>
        <v>3.2281499736577772</v>
      </c>
      <c r="M14" s="529">
        <f>'US TELCO'!E42</f>
        <v>3.084908599069784</v>
      </c>
      <c r="N14" s="529">
        <f>'US TELCO'!F42</f>
        <v>2.9153254467268015</v>
      </c>
      <c r="O14" s="529">
        <f>'US TELCO'!G42</f>
        <v>2.743204647593728</v>
      </c>
      <c r="P14" s="18">
        <f>'US TELCO'!H42</f>
        <v>-1.2306873951881125E-2</v>
      </c>
      <c r="R14" s="270"/>
      <c r="S14" s="88"/>
      <c r="T14" s="42"/>
      <c r="U14" s="42"/>
      <c r="V14" s="42"/>
      <c r="W14" s="42"/>
      <c r="X14" s="42"/>
      <c r="Y14" s="42"/>
      <c r="Z14" s="42"/>
      <c r="AA14" s="42"/>
    </row>
    <row r="15" spans="2:44">
      <c r="B15" s="5" t="s">
        <v>531</v>
      </c>
      <c r="C15" s="274"/>
      <c r="D15" s="533">
        <v>1369</v>
      </c>
      <c r="E15" s="533">
        <v>1369</v>
      </c>
      <c r="F15" s="533">
        <v>1369</v>
      </c>
      <c r="G15" s="533">
        <v>1369</v>
      </c>
      <c r="H15" s="247"/>
      <c r="I15" s="247"/>
      <c r="J15" s="5" t="s">
        <v>475</v>
      </c>
      <c r="L15" s="529">
        <f>'US TELCO'!D43</f>
        <v>11.977596383177456</v>
      </c>
      <c r="M15" s="529">
        <f>'US TELCO'!E43</f>
        <v>13.890630468073612</v>
      </c>
      <c r="N15" s="529">
        <f>'US TELCO'!F43</f>
        <v>12.689138672587029</v>
      </c>
      <c r="O15" s="529">
        <f>'US TELCO'!G43</f>
        <v>11.703960467522332</v>
      </c>
      <c r="P15" s="18">
        <f>'US TELCO'!H43</f>
        <v>-2.422411565871474E-2</v>
      </c>
      <c r="R15" s="270"/>
      <c r="S15" s="88"/>
      <c r="T15" s="42"/>
      <c r="U15" s="42"/>
      <c r="V15" s="42"/>
      <c r="W15" s="42"/>
      <c r="X15" s="42"/>
      <c r="Y15" s="42"/>
      <c r="Z15" s="42"/>
      <c r="AA15" s="42"/>
    </row>
    <row r="16" spans="2:44">
      <c r="B16" s="5" t="s">
        <v>534</v>
      </c>
      <c r="C16" s="257"/>
      <c r="D16" s="533">
        <v>11025</v>
      </c>
      <c r="E16" s="533">
        <v>22318.11</v>
      </c>
      <c r="F16" s="533">
        <v>33821.519999999997</v>
      </c>
      <c r="G16" s="533">
        <v>45535.229999999996</v>
      </c>
      <c r="H16" s="247"/>
      <c r="I16" s="247"/>
      <c r="J16" s="5" t="s">
        <v>533</v>
      </c>
      <c r="L16" s="529">
        <f>'US TELCO'!D44</f>
        <v>11.558228079590609</v>
      </c>
      <c r="M16" s="529">
        <f>'US TELCO'!E44</f>
        <v>11.252240008169979</v>
      </c>
      <c r="N16" s="529">
        <f>'US TELCO'!F44</f>
        <v>10.240241297777224</v>
      </c>
      <c r="O16" s="529">
        <f>'US TELCO'!G44</f>
        <v>9.3292815694175619</v>
      </c>
      <c r="P16" s="18">
        <f>'US TELCO'!H44</f>
        <v>3.9965241834319487E-2</v>
      </c>
      <c r="R16" s="270"/>
      <c r="S16" s="88"/>
      <c r="T16" s="42"/>
      <c r="U16" s="42"/>
      <c r="V16" s="42"/>
      <c r="W16" s="42"/>
      <c r="X16" s="42"/>
      <c r="Y16" s="42"/>
      <c r="Z16" s="42"/>
      <c r="AA16" s="42"/>
    </row>
    <row r="17" spans="2:27">
      <c r="B17" s="5" t="s">
        <v>6</v>
      </c>
      <c r="C17" s="257"/>
      <c r="D17" s="533">
        <v>0</v>
      </c>
      <c r="E17" s="533">
        <v>0</v>
      </c>
      <c r="F17" s="533">
        <v>0</v>
      </c>
      <c r="G17" s="533">
        <v>0</v>
      </c>
      <c r="H17" s="247"/>
      <c r="I17" s="247"/>
      <c r="J17" s="5" t="s">
        <v>580</v>
      </c>
      <c r="L17" s="18">
        <f>'US TELCO'!D45</f>
        <v>3.7573059207814459E-2</v>
      </c>
      <c r="M17" s="18">
        <f>'US TELCO'!E45</f>
        <v>4.3542837531484802E-2</v>
      </c>
      <c r="N17" s="18">
        <f>'US TELCO'!F45</f>
        <v>4.5586452724386897E-2</v>
      </c>
      <c r="O17" s="18">
        <f>'US TELCO'!G45</f>
        <v>4.7939440955118998E-2</v>
      </c>
      <c r="P17" s="18">
        <f>'US TELCO'!H45</f>
        <v>5.0211107719274395E-2</v>
      </c>
      <c r="R17" s="270"/>
      <c r="S17" s="88"/>
      <c r="T17" s="42"/>
      <c r="U17" s="42"/>
      <c r="V17" s="42"/>
      <c r="W17" s="42"/>
      <c r="X17" s="42"/>
      <c r="Y17" s="42"/>
      <c r="Z17" s="42"/>
      <c r="AA17" s="42"/>
    </row>
    <row r="18" spans="2:27" ht="12.6" thickBot="1">
      <c r="B18" s="41" t="s">
        <v>583</v>
      </c>
      <c r="C18" s="249"/>
      <c r="D18" s="534">
        <f>D11+D12+D13-D14+D15-D16-D17</f>
        <v>312461.63500000001</v>
      </c>
      <c r="E18" s="534">
        <f>E11+E12+E13-E14+E15-E16-E17</f>
        <v>294263.85954521515</v>
      </c>
      <c r="F18" s="534">
        <f>F11+F12+F13-F14+F15-F16-F17</f>
        <v>274818.16006926983</v>
      </c>
      <c r="G18" s="534">
        <f>G11+G12+G13-G14+G15-G16-G17</f>
        <v>254688.31937903602</v>
      </c>
      <c r="H18" s="276">
        <f>IF(D18=0,"nm",IF(G18=0,"nm",(G18/D18)^(1/3)-1))</f>
        <v>-6.5876906491453391E-2</v>
      </c>
      <c r="I18" s="254"/>
      <c r="J18" s="5" t="s">
        <v>36</v>
      </c>
      <c r="L18" s="18">
        <f>'US TELCO'!D46</f>
        <v>6.2248073075755299E-2</v>
      </c>
      <c r="M18" s="18">
        <f>'US TELCO'!E46</f>
        <v>7.7326889817020045E-2</v>
      </c>
      <c r="N18" s="18">
        <f>'US TELCO'!F46</f>
        <v>8.3529460308981493E-2</v>
      </c>
      <c r="O18" s="18">
        <f>'US TELCO'!G46</f>
        <v>9.1689652210717787E-2</v>
      </c>
      <c r="P18" s="18">
        <f>'US TELCO'!H46</f>
        <v>0.10171503351667854</v>
      </c>
      <c r="S18" s="88"/>
      <c r="T18" s="42"/>
      <c r="U18" s="42"/>
      <c r="V18" s="42"/>
      <c r="W18" s="42"/>
      <c r="X18" s="42"/>
      <c r="Y18" s="42"/>
      <c r="Z18" s="42"/>
      <c r="AA18" s="42"/>
    </row>
    <row r="19" spans="2:27" ht="12.6" thickTop="1">
      <c r="B19" s="41"/>
      <c r="C19" s="249"/>
      <c r="D19" s="229"/>
      <c r="E19" s="229"/>
      <c r="F19" s="229"/>
      <c r="G19" s="229"/>
      <c r="H19" s="276"/>
      <c r="I19" s="254"/>
      <c r="J19" s="5" t="s">
        <v>581</v>
      </c>
      <c r="L19" s="18">
        <f>'US TELCO'!D47</f>
        <v>8.3489205013161136E-2</v>
      </c>
      <c r="M19" s="18">
        <f>'US TELCO'!E47</f>
        <v>7.1990972785462237E-2</v>
      </c>
      <c r="N19" s="18">
        <f>'US TELCO'!F47</f>
        <v>7.8807555485255212E-2</v>
      </c>
      <c r="O19" s="18">
        <f>'US TELCO'!G47</f>
        <v>8.5441163508278226E-2</v>
      </c>
      <c r="P19" s="18">
        <f>'US TELCO'!H47</f>
        <v>-2.422411565871474E-2</v>
      </c>
      <c r="S19" s="88"/>
      <c r="T19" s="42"/>
      <c r="U19" s="42"/>
      <c r="V19" s="42"/>
      <c r="W19" s="42"/>
      <c r="X19" s="42"/>
      <c r="Y19" s="42"/>
      <c r="Z19" s="42"/>
      <c r="AA19" s="42"/>
    </row>
    <row r="20" spans="2:27">
      <c r="H20" s="277"/>
      <c r="I20" s="17"/>
      <c r="J20" s="5" t="s">
        <v>604</v>
      </c>
      <c r="L20" s="552">
        <f>'US TELCO'!D48</f>
        <v>0.45003493807243083</v>
      </c>
      <c r="M20" s="552">
        <f>'US TELCO'!E48</f>
        <v>0.60483746568122188</v>
      </c>
      <c r="N20" s="552">
        <f>'US TELCO'!F48</f>
        <v>0.57845282021107813</v>
      </c>
      <c r="O20" s="552">
        <f>'US TELCO'!G48</f>
        <v>0.56108132177383385</v>
      </c>
      <c r="P20" s="18" t="str">
        <f>'US TELCO'!H48</f>
        <v>nm</v>
      </c>
      <c r="S20" s="88"/>
      <c r="T20" s="42"/>
      <c r="U20" s="42"/>
      <c r="V20" s="42"/>
      <c r="W20" s="42"/>
      <c r="X20" s="42"/>
      <c r="Y20" s="42"/>
      <c r="Z20" s="42"/>
      <c r="AA20" s="42"/>
    </row>
    <row r="21" spans="2:27" ht="12.6" thickBot="1">
      <c r="B21" s="306" t="s">
        <v>927</v>
      </c>
      <c r="C21" s="265"/>
      <c r="D21" s="265" t="str">
        <f>D5</f>
        <v>2023E</v>
      </c>
      <c r="E21" s="265" t="str">
        <f t="shared" ref="E21:H21" si="2">E5</f>
        <v>2024E</v>
      </c>
      <c r="F21" s="265" t="str">
        <f t="shared" si="2"/>
        <v>2025E</v>
      </c>
      <c r="G21" s="265" t="str">
        <f t="shared" si="2"/>
        <v>2026E</v>
      </c>
      <c r="H21" s="265" t="str">
        <f t="shared" si="2"/>
        <v>23E-26E</v>
      </c>
      <c r="I21" s="49"/>
      <c r="J21" s="41"/>
      <c r="L21" s="251"/>
      <c r="M21" s="251"/>
      <c r="N21" s="251"/>
      <c r="O21" s="251"/>
      <c r="P21" s="18"/>
      <c r="S21" s="88"/>
      <c r="T21" s="42"/>
      <c r="U21" s="42"/>
      <c r="V21" s="42"/>
      <c r="W21" s="42"/>
      <c r="X21" s="42"/>
      <c r="Y21" s="42"/>
      <c r="Z21" s="42"/>
      <c r="AA21" s="42"/>
    </row>
    <row r="22" spans="2:27" ht="12.6" thickTop="1">
      <c r="B22" s="5"/>
      <c r="C22" s="257"/>
      <c r="D22" s="17"/>
      <c r="E22" s="17"/>
      <c r="F22" s="17"/>
      <c r="G22" s="17"/>
      <c r="H22" s="17"/>
      <c r="I22" s="17"/>
      <c r="P22" s="277"/>
      <c r="S22" s="88"/>
      <c r="T22" s="42"/>
      <c r="U22" s="42"/>
      <c r="V22" s="42"/>
      <c r="W22" s="42"/>
      <c r="X22" s="42"/>
      <c r="Y22" s="42"/>
      <c r="Z22" s="42"/>
      <c r="AA22" s="42"/>
    </row>
    <row r="23" spans="2:27" ht="12.6" thickBot="1">
      <c r="B23" s="5" t="s">
        <v>584</v>
      </c>
      <c r="C23" s="548">
        <v>136835</v>
      </c>
      <c r="D23" s="533">
        <v>133974</v>
      </c>
      <c r="E23" s="533">
        <v>135870.33778871945</v>
      </c>
      <c r="F23" s="533">
        <v>138046.45657918762</v>
      </c>
      <c r="G23" s="533">
        <v>140041.2099628571</v>
      </c>
      <c r="H23" s="279">
        <f t="shared" ref="H23:H33" si="3">IF(D23=0,"nm",IF(G23=0,"nm",(G23/D23)^(1/3)-1))</f>
        <v>1.4873182799269635E-2</v>
      </c>
      <c r="I23" s="247"/>
      <c r="J23" s="306" t="s">
        <v>9</v>
      </c>
      <c r="K23" s="306"/>
      <c r="L23" s="265" t="str">
        <f>D21</f>
        <v>2023E</v>
      </c>
      <c r="M23" s="265" t="str">
        <f t="shared" ref="M23:P23" si="4">E21</f>
        <v>2024E</v>
      </c>
      <c r="N23" s="265" t="str">
        <f t="shared" si="4"/>
        <v>2025E</v>
      </c>
      <c r="O23" s="265" t="str">
        <f t="shared" si="4"/>
        <v>2026E</v>
      </c>
      <c r="P23" s="265" t="str">
        <f t="shared" si="4"/>
        <v>23E-26E</v>
      </c>
      <c r="S23" s="88"/>
      <c r="T23" s="42"/>
      <c r="U23" s="42"/>
      <c r="V23" s="42"/>
      <c r="W23" s="42"/>
      <c r="X23" s="42"/>
      <c r="Y23" s="42"/>
      <c r="Z23" s="42"/>
      <c r="AA23" s="42"/>
    </row>
    <row r="24" spans="2:27" ht="12.6" thickTop="1">
      <c r="B24" s="5" t="s">
        <v>483</v>
      </c>
      <c r="C24" s="549">
        <v>47870</v>
      </c>
      <c r="D24" s="533">
        <v>47789</v>
      </c>
      <c r="E24" s="533">
        <v>48832.547434623651</v>
      </c>
      <c r="F24" s="533">
        <v>49281.941271859207</v>
      </c>
      <c r="G24" s="533">
        <v>49663.873976115967</v>
      </c>
      <c r="H24" s="279">
        <f t="shared" si="3"/>
        <v>1.2910057608189529E-2</v>
      </c>
      <c r="I24" s="249"/>
      <c r="J24" s="17"/>
      <c r="K24" s="17"/>
      <c r="L24" s="17"/>
      <c r="M24" s="17"/>
      <c r="N24" s="17"/>
      <c r="O24" s="248"/>
      <c r="S24" s="88"/>
      <c r="T24" s="42"/>
      <c r="U24" s="42"/>
      <c r="V24" s="42"/>
      <c r="W24" s="42" t="s">
        <v>33</v>
      </c>
      <c r="X24" s="42" t="s">
        <v>262</v>
      </c>
      <c r="Y24" s="42"/>
      <c r="Z24" s="42"/>
      <c r="AA24" s="42"/>
    </row>
    <row r="25" spans="2:27">
      <c r="B25" s="5" t="s">
        <v>183</v>
      </c>
      <c r="C25" s="548">
        <v>24783</v>
      </c>
      <c r="D25" s="533">
        <v>29022</v>
      </c>
      <c r="E25" s="533">
        <v>31582.050447463589</v>
      </c>
      <c r="F25" s="533">
        <v>32031.941271859207</v>
      </c>
      <c r="G25" s="533">
        <v>32413.873976115967</v>
      </c>
      <c r="H25" s="279">
        <f t="shared" si="3"/>
        <v>3.7531283809789429E-2</v>
      </c>
      <c r="I25" s="248"/>
      <c r="J25" s="247" t="s">
        <v>10</v>
      </c>
      <c r="K25" s="247"/>
      <c r="L25" s="321">
        <v>0</v>
      </c>
      <c r="M25" s="321">
        <v>0</v>
      </c>
      <c r="N25" s="321">
        <v>0</v>
      </c>
      <c r="O25" s="321">
        <v>0</v>
      </c>
      <c r="P25" s="279" t="str">
        <f>IF(L25=0,"nm",IF(O25=0,"nm",(O25/L25)^(1/3)-1))</f>
        <v>nm</v>
      </c>
      <c r="S25" s="88"/>
      <c r="T25" s="42"/>
      <c r="U25" s="42"/>
      <c r="V25" s="147" t="s">
        <v>273</v>
      </c>
      <c r="W25" s="288">
        <f>D37/L9</f>
        <v>0.92778616088604648</v>
      </c>
      <c r="X25" s="288">
        <v>1</v>
      </c>
      <c r="Y25" s="42"/>
      <c r="Z25" s="42"/>
      <c r="AA25" s="42"/>
    </row>
    <row r="26" spans="2:27">
      <c r="B26" s="5" t="s">
        <v>586</v>
      </c>
      <c r="C26" s="548">
        <v>14054</v>
      </c>
      <c r="D26" s="533">
        <v>18708</v>
      </c>
      <c r="E26" s="533">
        <v>18653.28045478485</v>
      </c>
      <c r="F26" s="533">
        <v>19445.699475945301</v>
      </c>
      <c r="G26" s="533">
        <v>20129.840690233817</v>
      </c>
      <c r="H26" s="279">
        <f t="shared" si="3"/>
        <v>2.4717906870642015E-2</v>
      </c>
      <c r="I26" s="249"/>
      <c r="J26" s="249" t="s">
        <v>11</v>
      </c>
      <c r="K26" s="249"/>
      <c r="L26" s="281">
        <f>D11+L25</f>
        <v>198076.63499999998</v>
      </c>
      <c r="M26" s="281">
        <f>E11+M25</f>
        <v>198100.13999999998</v>
      </c>
      <c r="N26" s="281">
        <f>F11+N25</f>
        <v>198100.13999999998</v>
      </c>
      <c r="O26" s="281">
        <f>G11+O25</f>
        <v>198100.13999999998</v>
      </c>
      <c r="P26" s="279">
        <f>IF(L26=0,"nm",IF(O26=0,"nm",(O26/L26)^(1/3)-1))</f>
        <v>3.9553832807737166E-5</v>
      </c>
      <c r="Q26" s="5"/>
      <c r="S26" s="88"/>
      <c r="T26" s="42"/>
      <c r="U26" s="42"/>
      <c r="V26" s="147" t="s">
        <v>184</v>
      </c>
      <c r="W26" s="288">
        <f t="shared" ref="W26:W33" si="5">D38/L10</f>
        <v>0.9339872398879735</v>
      </c>
      <c r="X26" s="288">
        <v>1</v>
      </c>
      <c r="Y26" s="42"/>
      <c r="Z26" s="42"/>
      <c r="AA26" s="42"/>
    </row>
    <row r="27" spans="2:27">
      <c r="B27" s="5" t="s">
        <v>587</v>
      </c>
      <c r="C27" s="549">
        <v>0</v>
      </c>
      <c r="D27" s="533">
        <v>275567.30772825889</v>
      </c>
      <c r="E27" s="533">
        <v>119465.82954521515</v>
      </c>
      <c r="F27" s="533">
        <v>111523.54006926986</v>
      </c>
      <c r="G27" s="533">
        <v>103107.40937903603</v>
      </c>
      <c r="H27" s="279">
        <f t="shared" si="3"/>
        <v>-0.27941138864136561</v>
      </c>
      <c r="I27" s="249"/>
      <c r="J27" s="248"/>
      <c r="K27" s="248"/>
      <c r="L27" s="248"/>
      <c r="M27" s="248"/>
      <c r="N27" s="248"/>
      <c r="O27" s="248"/>
      <c r="Q27" s="41"/>
      <c r="S27" s="88"/>
      <c r="T27" s="42"/>
      <c r="U27" s="42"/>
      <c r="V27" s="147" t="s">
        <v>185</v>
      </c>
      <c r="W27" s="288">
        <f t="shared" si="5"/>
        <v>0.87097089226757385</v>
      </c>
      <c r="X27" s="288">
        <v>1</v>
      </c>
      <c r="Y27" s="42"/>
      <c r="Z27" s="42"/>
      <c r="AA27" s="42"/>
    </row>
    <row r="28" spans="2:27" ht="12.6" thickBot="1">
      <c r="B28" s="5" t="s">
        <v>592</v>
      </c>
      <c r="C28" s="548">
        <v>0</v>
      </c>
      <c r="D28" s="533">
        <v>91915</v>
      </c>
      <c r="E28" s="533">
        <v>91915</v>
      </c>
      <c r="F28" s="533">
        <v>91915</v>
      </c>
      <c r="G28" s="533">
        <v>91915</v>
      </c>
      <c r="H28" s="279">
        <f t="shared" si="3"/>
        <v>0</v>
      </c>
      <c r="I28" s="248"/>
      <c r="J28" s="306" t="s">
        <v>1362</v>
      </c>
      <c r="K28" s="306"/>
      <c r="L28" s="306"/>
      <c r="M28" s="306"/>
      <c r="N28" s="266"/>
      <c r="O28" s="266"/>
      <c r="P28" s="266"/>
      <c r="Q28" s="5"/>
      <c r="S28" s="88"/>
      <c r="T28" s="42"/>
      <c r="U28" s="42"/>
      <c r="V28" s="147" t="s">
        <v>466</v>
      </c>
      <c r="W28" s="288">
        <f t="shared" si="5"/>
        <v>0.93253699631370712</v>
      </c>
      <c r="X28" s="288">
        <v>1</v>
      </c>
      <c r="Y28" s="42"/>
      <c r="Z28" s="42"/>
      <c r="AA28" s="42"/>
    </row>
    <row r="29" spans="2:27" ht="12.6" thickTop="1">
      <c r="B29" s="5" t="s">
        <v>588</v>
      </c>
      <c r="C29" s="548">
        <v>15773.475894572381</v>
      </c>
      <c r="D29" s="533">
        <v>18722.014769959693</v>
      </c>
      <c r="E29" s="533">
        <v>19744.639522485348</v>
      </c>
      <c r="F29" s="533">
        <v>20032.508730959482</v>
      </c>
      <c r="G29" s="533">
        <v>20650.639049504331</v>
      </c>
      <c r="H29" s="279">
        <f t="shared" si="3"/>
        <v>3.322198227270734E-2</v>
      </c>
      <c r="I29" s="252"/>
      <c r="J29" s="249"/>
      <c r="K29" s="249"/>
      <c r="L29" s="249"/>
      <c r="M29" s="249"/>
      <c r="N29" s="249"/>
      <c r="O29" s="251"/>
      <c r="Q29" s="5"/>
      <c r="S29" s="88"/>
      <c r="T29" s="42"/>
      <c r="U29" s="42"/>
      <c r="V29" s="147" t="s">
        <v>530</v>
      </c>
      <c r="W29" s="288">
        <f t="shared" si="5"/>
        <v>0.87827819768466042</v>
      </c>
      <c r="X29" s="288">
        <v>1</v>
      </c>
      <c r="Y29" s="42"/>
      <c r="Z29" s="42"/>
      <c r="AA29" s="42"/>
    </row>
    <row r="30" spans="2:27">
      <c r="B30" s="5" t="s">
        <v>589</v>
      </c>
      <c r="C30" s="549">
        <v>21761.475894572381</v>
      </c>
      <c r="D30" s="533">
        <v>19865.014769959693</v>
      </c>
      <c r="E30" s="533">
        <v>19365.5230623801</v>
      </c>
      <c r="F30" s="533">
        <v>20119.558621533815</v>
      </c>
      <c r="G30" s="533">
        <v>20766.983951021233</v>
      </c>
      <c r="H30" s="279">
        <f t="shared" si="3"/>
        <v>1.4911511178814063E-2</v>
      </c>
      <c r="I30" s="254"/>
      <c r="J30" s="248"/>
      <c r="K30" s="248"/>
      <c r="L30" s="248"/>
      <c r="M30" s="248"/>
      <c r="N30" s="248"/>
      <c r="O30" s="5"/>
      <c r="Q30" s="5"/>
      <c r="S30" s="88"/>
      <c r="T30" s="42"/>
      <c r="U30" s="42"/>
      <c r="V30" s="147" t="s">
        <v>593</v>
      </c>
      <c r="W30" s="288">
        <f t="shared" si="5"/>
        <v>1.053068461950377</v>
      </c>
      <c r="X30" s="288">
        <v>1</v>
      </c>
      <c r="Y30" s="42"/>
      <c r="Z30" s="42"/>
      <c r="AA30" s="42"/>
    </row>
    <row r="31" spans="2:27">
      <c r="B31" s="5" t="s">
        <v>590</v>
      </c>
      <c r="C31" s="549">
        <v>10805</v>
      </c>
      <c r="D31" s="533">
        <v>11025</v>
      </c>
      <c r="E31" s="533">
        <v>11293.11</v>
      </c>
      <c r="F31" s="533">
        <v>11503.409999999998</v>
      </c>
      <c r="G31" s="533">
        <v>11713.709999999997</v>
      </c>
      <c r="H31" s="279">
        <f t="shared" si="3"/>
        <v>2.0403539933700809E-2</v>
      </c>
      <c r="I31" s="254"/>
      <c r="J31" s="252"/>
      <c r="K31" s="252"/>
      <c r="L31" s="252"/>
      <c r="M31" s="252"/>
      <c r="N31" s="252"/>
      <c r="O31" s="5"/>
      <c r="Q31" s="5"/>
      <c r="S31" s="88"/>
      <c r="T31" s="42"/>
      <c r="U31" s="42"/>
      <c r="V31" s="147" t="s">
        <v>475</v>
      </c>
      <c r="W31" s="288">
        <f t="shared" si="5"/>
        <v>0.88330561593012191</v>
      </c>
      <c r="X31" s="288">
        <v>1</v>
      </c>
      <c r="Y31" s="42"/>
      <c r="Z31" s="42"/>
      <c r="AA31" s="42"/>
    </row>
    <row r="32" spans="2:27">
      <c r="B32" s="5" t="s">
        <v>606</v>
      </c>
      <c r="C32" s="550">
        <v>0</v>
      </c>
      <c r="D32" s="533">
        <v>0</v>
      </c>
      <c r="E32" s="533">
        <v>0</v>
      </c>
      <c r="F32" s="533">
        <v>0</v>
      </c>
      <c r="G32" s="533">
        <v>0</v>
      </c>
      <c r="H32" s="279" t="str">
        <f t="shared" si="3"/>
        <v>nm</v>
      </c>
      <c r="I32" s="254"/>
      <c r="J32" s="254"/>
      <c r="K32" s="254"/>
      <c r="L32" s="254"/>
      <c r="M32" s="254"/>
      <c r="N32" s="254"/>
      <c r="O32" s="251"/>
      <c r="Q32" s="5"/>
      <c r="S32" s="88"/>
      <c r="T32" s="42"/>
      <c r="U32" s="42"/>
      <c r="V32" s="147" t="s">
        <v>533</v>
      </c>
      <c r="W32" s="288">
        <f t="shared" si="5"/>
        <v>0.86268668881383181</v>
      </c>
      <c r="X32" s="288">
        <v>1</v>
      </c>
      <c r="Y32" s="42"/>
      <c r="Z32" s="42"/>
      <c r="AA32" s="42"/>
    </row>
    <row r="33" spans="2:27">
      <c r="B33" s="5" t="s">
        <v>5</v>
      </c>
      <c r="C33" s="549">
        <v>3613</v>
      </c>
      <c r="D33" s="533">
        <v>5524</v>
      </c>
      <c r="E33" s="533">
        <v>6460.9048194658399</v>
      </c>
      <c r="F33" s="533">
        <v>5794.2530164401214</v>
      </c>
      <c r="G33" s="533">
        <v>5316.6060000000007</v>
      </c>
      <c r="H33" s="279">
        <f t="shared" si="3"/>
        <v>-1.2674692745764493E-2</v>
      </c>
      <c r="I33" s="5"/>
      <c r="J33" s="254"/>
      <c r="K33" s="254"/>
      <c r="L33" s="254"/>
      <c r="M33" s="254"/>
      <c r="N33" s="254"/>
      <c r="O33" s="251"/>
      <c r="Q33" s="5"/>
      <c r="S33" s="88"/>
      <c r="T33" s="42"/>
      <c r="U33" s="42"/>
      <c r="V33" s="147" t="s">
        <v>580</v>
      </c>
      <c r="W33" s="288">
        <f t="shared" si="5"/>
        <v>1.4813878959782953</v>
      </c>
      <c r="X33" s="288">
        <v>1</v>
      </c>
      <c r="Y33" s="42"/>
      <c r="Z33" s="42"/>
      <c r="AA33" s="42"/>
    </row>
    <row r="34" spans="2:27">
      <c r="D34" s="5"/>
      <c r="E34" s="5"/>
      <c r="F34" s="5"/>
      <c r="G34" s="5"/>
      <c r="I34" s="49"/>
      <c r="J34" s="254"/>
      <c r="K34" s="254"/>
      <c r="L34" s="254"/>
      <c r="M34" s="254"/>
      <c r="N34" s="254"/>
      <c r="O34" s="251"/>
      <c r="Q34" s="5"/>
      <c r="S34" s="88"/>
      <c r="T34" s="42"/>
      <c r="U34" s="42"/>
      <c r="V34" s="147" t="s">
        <v>581</v>
      </c>
      <c r="W34" s="288">
        <f>D47/L19</f>
        <v>1.1321109952946453</v>
      </c>
      <c r="X34" s="288">
        <v>1</v>
      </c>
      <c r="Y34" s="288"/>
      <c r="Z34" s="288"/>
      <c r="AA34" s="42"/>
    </row>
    <row r="35" spans="2:27" ht="12.6" thickBot="1">
      <c r="B35" s="306" t="s">
        <v>650</v>
      </c>
      <c r="C35" s="265"/>
      <c r="D35" s="265" t="str">
        <f>D5</f>
        <v>2023E</v>
      </c>
      <c r="E35" s="265" t="str">
        <f t="shared" ref="E35:H35" si="6">E5</f>
        <v>2024E</v>
      </c>
      <c r="F35" s="265" t="str">
        <f t="shared" si="6"/>
        <v>2025E</v>
      </c>
      <c r="G35" s="265" t="str">
        <f t="shared" si="6"/>
        <v>2026E</v>
      </c>
      <c r="H35" s="265" t="str">
        <f t="shared" si="6"/>
        <v>23E-26E</v>
      </c>
      <c r="I35" s="254"/>
      <c r="J35" s="5"/>
      <c r="K35" s="5"/>
      <c r="L35" s="5"/>
      <c r="M35" s="5"/>
      <c r="N35" s="5"/>
      <c r="O35" s="5"/>
      <c r="Q35" s="5"/>
      <c r="S35" s="88"/>
      <c r="T35" s="42"/>
      <c r="U35" s="42"/>
      <c r="V35" s="42"/>
      <c r="W35" s="42"/>
      <c r="X35" s="42"/>
      <c r="Y35" s="288"/>
      <c r="Z35" s="288"/>
      <c r="AA35" s="42"/>
    </row>
    <row r="36" spans="2:27" ht="12.6" thickTop="1">
      <c r="B36" s="41"/>
      <c r="C36" s="249"/>
      <c r="D36" s="283"/>
      <c r="E36" s="283"/>
      <c r="F36" s="283"/>
      <c r="G36" s="283"/>
      <c r="H36" s="283"/>
      <c r="I36" s="17"/>
      <c r="J36" s="49"/>
      <c r="K36" s="49"/>
      <c r="L36" s="49"/>
      <c r="M36" s="49"/>
      <c r="N36" s="49"/>
      <c r="O36" s="49"/>
      <c r="Q36" s="5"/>
      <c r="S36" s="88"/>
      <c r="T36" s="42"/>
      <c r="U36" s="42"/>
      <c r="V36" s="42"/>
      <c r="W36" s="42"/>
      <c r="X36" s="42"/>
      <c r="Y36" s="288"/>
      <c r="Z36" s="288"/>
      <c r="AA36" s="42"/>
    </row>
    <row r="37" spans="2:27">
      <c r="B37" s="5" t="s">
        <v>273</v>
      </c>
      <c r="C37" s="247"/>
      <c r="D37" s="529">
        <f>D$18/D23</f>
        <v>2.3322557735082929</v>
      </c>
      <c r="E37" s="529">
        <f t="shared" ref="E37:G41" si="7">E$18/E23</f>
        <v>2.1657696914156506</v>
      </c>
      <c r="F37" s="529">
        <f t="shared" si="7"/>
        <v>1.9907657674040029</v>
      </c>
      <c r="G37" s="529">
        <f t="shared" si="7"/>
        <v>1.8186669441558423</v>
      </c>
      <c r="H37" s="17">
        <f t="shared" ref="H37:H45" si="8">H23</f>
        <v>1.4873182799269635E-2</v>
      </c>
      <c r="I37" s="5"/>
      <c r="J37" s="259"/>
      <c r="K37" s="259"/>
      <c r="L37" s="259"/>
      <c r="M37" s="259"/>
      <c r="N37" s="259"/>
      <c r="O37" s="18"/>
      <c r="Q37" s="5"/>
      <c r="R37" s="5"/>
      <c r="S37" s="42"/>
      <c r="T37" s="42"/>
      <c r="U37" s="42"/>
      <c r="V37" s="42"/>
      <c r="W37" s="42"/>
      <c r="X37" s="42"/>
      <c r="Y37" s="42"/>
      <c r="Z37" s="42"/>
      <c r="AA37" s="42"/>
    </row>
    <row r="38" spans="2:27">
      <c r="B38" s="5" t="s">
        <v>184</v>
      </c>
      <c r="C38" s="247"/>
      <c r="D38" s="529">
        <f>D$18/D24</f>
        <v>6.5383589319717927</v>
      </c>
      <c r="E38" s="529">
        <f t="shared" si="7"/>
        <v>6.0259780618484342</v>
      </c>
      <c r="F38" s="529">
        <f t="shared" si="7"/>
        <v>5.5764475379178187</v>
      </c>
      <c r="G38" s="529">
        <f t="shared" si="7"/>
        <v>5.1282410933452169</v>
      </c>
      <c r="H38" s="17">
        <f t="shared" si="8"/>
        <v>1.2910057608189529E-2</v>
      </c>
      <c r="I38" s="259"/>
      <c r="J38" s="17"/>
      <c r="K38" s="17"/>
      <c r="L38" s="17"/>
      <c r="M38" s="17"/>
      <c r="N38" s="17"/>
      <c r="O38" s="5"/>
      <c r="Q38" s="5"/>
      <c r="R38" s="5"/>
      <c r="S38" s="42"/>
      <c r="T38" s="42"/>
      <c r="U38" s="42"/>
      <c r="V38" s="42"/>
      <c r="W38" s="42"/>
      <c r="X38" s="42"/>
      <c r="Y38" s="42"/>
      <c r="Z38" s="42"/>
      <c r="AA38" s="42"/>
    </row>
    <row r="39" spans="2:27">
      <c r="B39" s="5" t="s">
        <v>185</v>
      </c>
      <c r="C39" s="247"/>
      <c r="D39" s="529">
        <f>D$18/D25</f>
        <v>10.766371545723933</v>
      </c>
      <c r="E39" s="529">
        <f t="shared" si="7"/>
        <v>9.3174399817617921</v>
      </c>
      <c r="F39" s="529">
        <f t="shared" si="7"/>
        <v>8.5795037439926833</v>
      </c>
      <c r="G39" s="529">
        <f t="shared" si="7"/>
        <v>7.857385993624276</v>
      </c>
      <c r="H39" s="17">
        <f t="shared" si="8"/>
        <v>3.7531283809789429E-2</v>
      </c>
      <c r="I39" s="17"/>
      <c r="J39" s="5"/>
      <c r="K39" s="5"/>
      <c r="L39" s="5"/>
      <c r="M39" s="5"/>
      <c r="N39" s="5"/>
      <c r="O39" s="5"/>
      <c r="Q39" s="5"/>
      <c r="R39" s="5"/>
      <c r="S39" s="42"/>
      <c r="T39" s="42"/>
      <c r="U39" s="42"/>
      <c r="V39" s="42"/>
      <c r="W39" s="42"/>
      <c r="X39" s="42"/>
      <c r="Y39" s="42"/>
      <c r="Z39" s="42"/>
      <c r="AA39" s="42"/>
    </row>
    <row r="40" spans="2:27">
      <c r="B40" s="5" t="s">
        <v>466</v>
      </c>
      <c r="C40" s="247"/>
      <c r="D40" s="529">
        <f>D$18/D26</f>
        <v>16.70203308744922</v>
      </c>
      <c r="E40" s="529">
        <f t="shared" si="7"/>
        <v>15.775448198428389</v>
      </c>
      <c r="F40" s="529">
        <f t="shared" si="7"/>
        <v>14.132593194152008</v>
      </c>
      <c r="G40" s="529">
        <f t="shared" si="7"/>
        <v>12.652276950338731</v>
      </c>
      <c r="H40" s="17">
        <f t="shared" si="8"/>
        <v>2.4717906870642015E-2</v>
      </c>
      <c r="I40" s="5"/>
      <c r="J40" s="259"/>
      <c r="K40" s="259"/>
      <c r="L40" s="259"/>
      <c r="M40" s="259"/>
      <c r="N40" s="259"/>
      <c r="O40" s="18"/>
      <c r="Q40" s="5"/>
      <c r="R40" s="5"/>
      <c r="S40" s="42"/>
      <c r="T40" s="42"/>
      <c r="U40" s="42"/>
      <c r="V40" s="42"/>
      <c r="W40" s="288"/>
      <c r="X40" s="288"/>
      <c r="Y40" s="42"/>
      <c r="Z40" s="42"/>
      <c r="AA40" s="42"/>
    </row>
    <row r="41" spans="2:27">
      <c r="B41" s="5" t="s">
        <v>530</v>
      </c>
      <c r="C41" s="247"/>
      <c r="D41" s="529">
        <f>D$18/D27</f>
        <v>1.1338849937457862</v>
      </c>
      <c r="E41" s="529">
        <f t="shared" si="7"/>
        <v>2.4631634055145688</v>
      </c>
      <c r="F41" s="529">
        <f t="shared" si="7"/>
        <v>2.4642166120136957</v>
      </c>
      <c r="G41" s="529">
        <f t="shared" si="7"/>
        <v>2.4701262587518724</v>
      </c>
      <c r="H41" s="17">
        <f t="shared" si="8"/>
        <v>-0.27941138864136561</v>
      </c>
      <c r="I41" s="247"/>
      <c r="J41" s="17"/>
      <c r="K41" s="17"/>
      <c r="L41" s="17"/>
      <c r="M41" s="17"/>
      <c r="N41" s="17"/>
      <c r="O41" s="5"/>
      <c r="Q41" s="5"/>
      <c r="R41" s="5"/>
      <c r="S41" s="42"/>
      <c r="T41" s="42"/>
      <c r="U41" s="42"/>
      <c r="V41" s="42"/>
      <c r="W41" s="288"/>
      <c r="X41" s="288"/>
      <c r="Y41" s="288"/>
      <c r="Z41" s="288"/>
      <c r="AA41" s="42"/>
    </row>
    <row r="42" spans="2:27">
      <c r="B42" s="5" t="s">
        <v>593</v>
      </c>
      <c r="C42" s="247"/>
      <c r="D42" s="529">
        <f>D18/D28</f>
        <v>3.3994629277049451</v>
      </c>
      <c r="E42" s="529">
        <f>E18/E28</f>
        <v>3.2014780998228272</v>
      </c>
      <c r="F42" s="529">
        <f>F18/F28</f>
        <v>2.9899163364986108</v>
      </c>
      <c r="G42" s="529">
        <f>G18/G28</f>
        <v>2.7709113787633797</v>
      </c>
      <c r="H42" s="17">
        <f t="shared" si="8"/>
        <v>0</v>
      </c>
      <c r="I42" s="248"/>
      <c r="J42" s="5"/>
      <c r="K42" s="5"/>
      <c r="L42" s="5"/>
      <c r="M42" s="5"/>
      <c r="N42" s="5"/>
      <c r="O42" s="5"/>
      <c r="Q42" s="5"/>
      <c r="R42" s="5"/>
      <c r="S42" s="42"/>
      <c r="T42" s="42"/>
      <c r="U42" s="42"/>
      <c r="V42" s="42"/>
      <c r="W42" s="288"/>
      <c r="X42" s="288"/>
      <c r="Y42" s="288"/>
      <c r="Z42" s="288"/>
      <c r="AA42" s="42"/>
    </row>
    <row r="43" spans="2:27">
      <c r="B43" s="5" t="s">
        <v>475</v>
      </c>
      <c r="C43" s="247"/>
      <c r="D43" s="529">
        <f>L26/D29</f>
        <v>10.579878150604964</v>
      </c>
      <c r="E43" s="529">
        <f>M26/E29</f>
        <v>10.033109987873013</v>
      </c>
      <c r="F43" s="529">
        <f>N26/F29</f>
        <v>9.8889331666105171</v>
      </c>
      <c r="G43" s="529">
        <f>O26/G29</f>
        <v>9.5929302490401582</v>
      </c>
      <c r="H43" s="17">
        <f t="shared" si="8"/>
        <v>3.322198227270734E-2</v>
      </c>
      <c r="I43" s="247"/>
      <c r="J43" s="247"/>
      <c r="K43" s="247"/>
      <c r="L43" s="247"/>
      <c r="M43" s="247"/>
      <c r="N43" s="247"/>
      <c r="O43" s="18"/>
      <c r="Q43" s="5"/>
      <c r="R43" s="5"/>
      <c r="S43" s="42"/>
      <c r="T43" s="42"/>
      <c r="U43" s="42"/>
      <c r="V43" s="42"/>
      <c r="W43" s="288"/>
      <c r="X43" s="288"/>
      <c r="Y43" s="288"/>
      <c r="Z43" s="288"/>
      <c r="AA43" s="42"/>
    </row>
    <row r="44" spans="2:27">
      <c r="B44" s="5" t="s">
        <v>533</v>
      </c>
      <c r="C44" s="69"/>
      <c r="D44" s="529">
        <f>D11/D30</f>
        <v>9.971129510537077</v>
      </c>
      <c r="E44" s="529">
        <f>E11/E30</f>
        <v>10.229526946516295</v>
      </c>
      <c r="F44" s="529">
        <f>F11/F30</f>
        <v>9.8461474094155754</v>
      </c>
      <c r="G44" s="529">
        <f>G11/G30</f>
        <v>9.5391868394186456</v>
      </c>
      <c r="H44" s="17">
        <f t="shared" si="8"/>
        <v>1.4911511178814063E-2</v>
      </c>
      <c r="I44" s="247"/>
      <c r="J44" s="248"/>
      <c r="K44" s="248"/>
      <c r="L44" s="248"/>
      <c r="M44" s="248"/>
      <c r="N44" s="248"/>
      <c r="O44" s="248"/>
      <c r="Q44" s="5"/>
      <c r="R44" s="5"/>
      <c r="S44" s="42"/>
      <c r="T44" s="42"/>
      <c r="U44" s="42"/>
      <c r="V44" s="42"/>
      <c r="W44" s="325"/>
      <c r="X44" s="325"/>
      <c r="Y44" s="288"/>
      <c r="Z44" s="288"/>
      <c r="AA44" s="42"/>
    </row>
    <row r="45" spans="2:27">
      <c r="B45" s="5" t="s">
        <v>580</v>
      </c>
      <c r="C45" s="247"/>
      <c r="D45" s="248">
        <f>D31/D11</f>
        <v>5.5660275125332177E-2</v>
      </c>
      <c r="E45" s="248">
        <f>E31/E11</f>
        <v>5.7007077329677816E-2</v>
      </c>
      <c r="F45" s="248">
        <f>F31/F11</f>
        <v>5.8068661637493031E-2</v>
      </c>
      <c r="G45" s="248">
        <f>G31/G11</f>
        <v>5.913024594530826E-2</v>
      </c>
      <c r="H45" s="17">
        <f t="shared" si="8"/>
        <v>2.0403539933700809E-2</v>
      </c>
      <c r="I45" s="248"/>
      <c r="J45" s="247"/>
      <c r="K45" s="247"/>
      <c r="L45" s="247"/>
      <c r="M45" s="247"/>
      <c r="N45" s="247"/>
      <c r="O45" s="248"/>
      <c r="Q45" s="5"/>
      <c r="R45" s="5"/>
      <c r="S45" s="42"/>
      <c r="T45" s="42"/>
      <c r="U45" s="42"/>
      <c r="V45" s="42"/>
      <c r="W45" s="42"/>
      <c r="X45" s="42"/>
      <c r="Y45" s="325"/>
      <c r="Z45" s="325"/>
      <c r="AA45" s="42"/>
    </row>
    <row r="46" spans="2:27">
      <c r="B46" s="5" t="s">
        <v>605</v>
      </c>
      <c r="C46" s="247"/>
      <c r="D46" s="248">
        <f>(D31+D32)/D11</f>
        <v>5.5660275125332177E-2</v>
      </c>
      <c r="E46" s="248">
        <f>(E31+E32)/E11</f>
        <v>5.7007077329677816E-2</v>
      </c>
      <c r="F46" s="248">
        <f>(F31+F32)/F11</f>
        <v>5.8068661637493031E-2</v>
      </c>
      <c r="G46" s="248">
        <f>(G31+G32)/G11</f>
        <v>5.913024594530826E-2</v>
      </c>
      <c r="H46" s="279">
        <f>((G31+G32)/(D31+D32))^(1/3)-1</f>
        <v>2.0403539933700809E-2</v>
      </c>
      <c r="I46" s="247"/>
      <c r="J46" s="247"/>
      <c r="K46" s="247"/>
      <c r="L46" s="247"/>
      <c r="M46" s="247"/>
      <c r="N46" s="247"/>
      <c r="O46" s="18"/>
      <c r="Q46" s="5"/>
      <c r="R46" s="5"/>
      <c r="S46" s="42"/>
      <c r="T46" s="42"/>
      <c r="U46" s="42"/>
      <c r="V46" s="42"/>
      <c r="W46" s="42"/>
      <c r="X46" s="42"/>
      <c r="Y46" s="42"/>
      <c r="Z46" s="42"/>
      <c r="AA46" s="326"/>
    </row>
    <row r="47" spans="2:27">
      <c r="B47" s="5" t="s">
        <v>581</v>
      </c>
      <c r="C47" s="5"/>
      <c r="D47" s="248">
        <f>1/D43</f>
        <v>9.4519046983808544E-2</v>
      </c>
      <c r="E47" s="248">
        <f>1/E43</f>
        <v>9.9669992774792326E-2</v>
      </c>
      <c r="F47" s="248">
        <f>1/F43</f>
        <v>0.10112314272448007</v>
      </c>
      <c r="G47" s="248">
        <f>1/G43</f>
        <v>0.10424343490875035</v>
      </c>
      <c r="H47" s="17">
        <f>H29</f>
        <v>3.322198227270734E-2</v>
      </c>
      <c r="I47" s="17"/>
      <c r="J47" s="248"/>
      <c r="K47" s="248"/>
      <c r="L47" s="248"/>
      <c r="M47" s="248"/>
      <c r="N47" s="248"/>
      <c r="O47" s="248"/>
      <c r="Q47" s="5"/>
      <c r="R47" s="5"/>
      <c r="S47" s="42"/>
      <c r="T47" s="42"/>
      <c r="U47" s="42"/>
      <c r="V47" s="42"/>
      <c r="W47" s="42"/>
      <c r="X47" s="42"/>
      <c r="Y47" s="42"/>
      <c r="Z47" s="42"/>
      <c r="AA47" s="326"/>
    </row>
    <row r="48" spans="2:27">
      <c r="B48" s="5" t="s">
        <v>618</v>
      </c>
      <c r="C48" s="5"/>
      <c r="D48" s="305">
        <f>D31/D29</f>
        <v>0.58887892865516289</v>
      </c>
      <c r="E48" s="305">
        <f>E31/E29</f>
        <v>0.57195827693583967</v>
      </c>
      <c r="F48" s="305">
        <f>F31/F29</f>
        <v>0.57423711400768862</v>
      </c>
      <c r="G48" s="305">
        <f>G31/G29</f>
        <v>0.56723232496193177</v>
      </c>
      <c r="H48" s="279" t="s">
        <v>607</v>
      </c>
      <c r="I48" s="247"/>
      <c r="J48" s="247"/>
      <c r="K48" s="247"/>
      <c r="L48" s="247"/>
      <c r="M48" s="247"/>
      <c r="N48" s="247"/>
      <c r="O48" s="248"/>
      <c r="Q48" s="5"/>
      <c r="R48" s="5"/>
      <c r="S48" s="42"/>
      <c r="T48" s="42"/>
      <c r="U48" s="42"/>
      <c r="V48" s="42"/>
      <c r="W48" s="42"/>
      <c r="X48" s="42"/>
      <c r="Y48" s="42"/>
      <c r="Z48" s="42"/>
      <c r="AA48" s="326"/>
    </row>
    <row r="49" spans="2:27">
      <c r="B49" s="41"/>
      <c r="C49" s="17"/>
      <c r="D49" s="17"/>
      <c r="E49" s="17"/>
      <c r="F49" s="17"/>
      <c r="G49" s="17"/>
      <c r="H49" s="17"/>
      <c r="I49" s="254"/>
      <c r="J49" s="17"/>
      <c r="K49" s="17"/>
      <c r="L49" s="17"/>
      <c r="M49" s="17"/>
      <c r="N49" s="17"/>
      <c r="O49" s="248"/>
      <c r="Q49" s="5"/>
      <c r="R49" s="5"/>
      <c r="S49" s="42"/>
      <c r="T49" s="42"/>
      <c r="U49" s="42"/>
      <c r="V49" s="42"/>
      <c r="W49" s="42"/>
      <c r="X49" s="42"/>
      <c r="Y49" s="42"/>
      <c r="Z49" s="42"/>
      <c r="AA49" s="326"/>
    </row>
    <row r="50" spans="2:27">
      <c r="B50" s="5"/>
      <c r="C50" s="257"/>
      <c r="D50" s="257"/>
      <c r="E50" s="257"/>
      <c r="F50" s="5"/>
      <c r="G50" s="41"/>
      <c r="H50" s="249"/>
      <c r="I50" s="17"/>
      <c r="J50" s="249"/>
      <c r="K50" s="249"/>
      <c r="L50" s="249"/>
      <c r="M50" s="249"/>
      <c r="N50" s="249"/>
      <c r="O50" s="250"/>
      <c r="Q50" s="5"/>
      <c r="R50" s="5"/>
      <c r="S50" s="42"/>
      <c r="T50" s="42"/>
      <c r="U50" s="42"/>
      <c r="V50" s="42"/>
      <c r="W50" s="288"/>
      <c r="X50" s="288"/>
      <c r="Y50" s="42"/>
      <c r="Z50" s="42"/>
      <c r="AA50" s="326"/>
    </row>
    <row r="51" spans="2:27">
      <c r="B51" s="41"/>
      <c r="C51" s="249"/>
      <c r="D51" s="254"/>
      <c r="E51" s="254"/>
      <c r="F51" s="254"/>
      <c r="G51" s="254"/>
      <c r="H51" s="254"/>
      <c r="I51" s="259"/>
      <c r="J51" s="254"/>
      <c r="K51" s="254"/>
      <c r="L51" s="254"/>
      <c r="M51" s="254"/>
      <c r="N51" s="254"/>
      <c r="O51" s="251"/>
      <c r="Q51" s="5"/>
      <c r="R51" s="5"/>
      <c r="S51" s="42"/>
      <c r="T51" s="42"/>
      <c r="U51" s="42"/>
      <c r="V51" s="42"/>
      <c r="W51" s="288"/>
      <c r="X51" s="288"/>
      <c r="Y51" s="288"/>
      <c r="Z51" s="288"/>
      <c r="AA51" s="42"/>
    </row>
    <row r="52" spans="2:27">
      <c r="B52" s="5"/>
      <c r="C52" s="257"/>
      <c r="D52" s="17"/>
      <c r="E52" s="17"/>
      <c r="F52" s="17"/>
      <c r="G52" s="17"/>
      <c r="H52" s="17"/>
      <c r="I52" s="254"/>
      <c r="J52" s="17"/>
      <c r="K52" s="17"/>
      <c r="L52" s="17"/>
      <c r="M52" s="17"/>
      <c r="N52" s="17"/>
      <c r="O52" s="248"/>
      <c r="Q52" s="5"/>
      <c r="R52" s="5"/>
      <c r="S52" s="5"/>
      <c r="Y52" s="10"/>
      <c r="Z52" s="10"/>
    </row>
    <row r="53" spans="2:27">
      <c r="B53" s="5"/>
      <c r="C53" s="257"/>
      <c r="D53" s="257"/>
      <c r="E53" s="257"/>
      <c r="F53" s="5"/>
      <c r="G53" s="5"/>
      <c r="H53" s="259"/>
      <c r="I53" s="17"/>
      <c r="J53" s="259"/>
      <c r="K53" s="259"/>
      <c r="L53" s="259"/>
      <c r="M53" s="259"/>
      <c r="N53" s="259"/>
      <c r="O53" s="18"/>
      <c r="Q53" s="5"/>
      <c r="R53" s="5"/>
      <c r="S53" s="5"/>
    </row>
    <row r="54" spans="2:27">
      <c r="B54" s="41"/>
      <c r="C54" s="249"/>
      <c r="D54" s="254"/>
      <c r="E54" s="254"/>
      <c r="F54" s="254"/>
      <c r="G54" s="254"/>
      <c r="H54" s="254"/>
      <c r="I54" s="259"/>
      <c r="J54" s="254"/>
      <c r="K54" s="254"/>
      <c r="L54" s="254"/>
      <c r="M54" s="254"/>
      <c r="N54" s="254"/>
      <c r="O54" s="251"/>
      <c r="Q54" s="5"/>
      <c r="R54" s="5"/>
      <c r="S54" s="5"/>
    </row>
    <row r="55" spans="2:27">
      <c r="B55" s="5"/>
      <c r="C55" s="257"/>
      <c r="D55" s="17"/>
      <c r="E55" s="17"/>
      <c r="F55" s="17"/>
      <c r="G55" s="17"/>
      <c r="H55" s="17"/>
      <c r="I55" s="249"/>
      <c r="J55" s="17"/>
      <c r="K55" s="17"/>
      <c r="L55" s="17"/>
      <c r="M55" s="17"/>
      <c r="N55" s="17"/>
      <c r="O55" s="18"/>
      <c r="Q55" s="5"/>
      <c r="R55" s="5"/>
      <c r="S55" s="5"/>
    </row>
    <row r="56" spans="2:27">
      <c r="B56" s="5"/>
      <c r="C56" s="248"/>
      <c r="D56" s="248"/>
      <c r="E56" s="248"/>
      <c r="F56" s="5"/>
      <c r="G56" s="5"/>
      <c r="H56" s="259"/>
      <c r="I56" s="248"/>
      <c r="J56" s="259"/>
      <c r="K56" s="259"/>
      <c r="L56" s="259"/>
      <c r="M56" s="259"/>
      <c r="N56" s="259"/>
      <c r="O56" s="18"/>
      <c r="Q56" s="5"/>
      <c r="R56" s="5"/>
      <c r="S56" s="5"/>
    </row>
    <row r="57" spans="2:27">
      <c r="B57" s="41"/>
      <c r="C57" s="249"/>
      <c r="D57" s="249"/>
      <c r="E57" s="249"/>
      <c r="F57" s="249"/>
      <c r="G57" s="249"/>
      <c r="H57" s="249"/>
      <c r="I57" s="5"/>
      <c r="J57" s="249"/>
      <c r="K57" s="249"/>
      <c r="L57" s="249"/>
      <c r="M57" s="249"/>
      <c r="N57" s="249"/>
      <c r="O57" s="251"/>
      <c r="Q57" s="5"/>
      <c r="R57" s="5"/>
      <c r="S57" s="5"/>
    </row>
    <row r="58" spans="2:27">
      <c r="B58" s="5"/>
      <c r="C58" s="5"/>
      <c r="D58" s="248"/>
      <c r="E58" s="248"/>
      <c r="F58" s="248"/>
      <c r="G58" s="248"/>
      <c r="H58" s="248"/>
      <c r="I58" s="17"/>
      <c r="J58" s="248"/>
      <c r="K58" s="248"/>
      <c r="L58" s="248"/>
      <c r="M58" s="248"/>
      <c r="N58" s="248"/>
      <c r="O58" s="18"/>
      <c r="Q58" s="5"/>
      <c r="R58" s="5"/>
      <c r="S58" s="5"/>
    </row>
    <row r="59" spans="2:27">
      <c r="B59" s="5"/>
      <c r="C59" s="5"/>
      <c r="D59" s="5"/>
      <c r="E59" s="5"/>
      <c r="F59" s="5"/>
      <c r="G59" s="5"/>
      <c r="H59" s="5"/>
      <c r="I59" s="5"/>
      <c r="J59" s="5"/>
      <c r="K59" s="5"/>
      <c r="L59" s="5"/>
      <c r="M59" s="5"/>
      <c r="N59" s="5"/>
      <c r="O59" s="5"/>
      <c r="Q59" s="5"/>
      <c r="R59" s="5"/>
      <c r="S59" s="5"/>
    </row>
    <row r="60" spans="2:27">
      <c r="B60" s="41"/>
      <c r="C60" s="17"/>
      <c r="D60" s="17"/>
      <c r="E60" s="17"/>
      <c r="F60" s="17"/>
      <c r="G60" s="17"/>
      <c r="H60" s="17"/>
      <c r="I60" s="249"/>
      <c r="J60" s="17"/>
      <c r="K60" s="17"/>
      <c r="L60" s="17"/>
      <c r="M60" s="17"/>
      <c r="N60" s="17"/>
      <c r="O60" s="251"/>
      <c r="Q60" s="5"/>
      <c r="R60" s="5"/>
      <c r="S60" s="5"/>
    </row>
    <row r="61" spans="2:27">
      <c r="B61" s="5"/>
      <c r="C61" s="5"/>
      <c r="D61" s="5"/>
      <c r="E61" s="5"/>
      <c r="F61" s="5"/>
      <c r="G61" s="5"/>
      <c r="H61" s="5"/>
      <c r="I61" s="5"/>
      <c r="J61" s="5"/>
      <c r="K61" s="5"/>
      <c r="L61" s="5"/>
      <c r="M61" s="5"/>
      <c r="N61" s="5"/>
      <c r="O61" s="5"/>
      <c r="Q61" s="41"/>
      <c r="R61" s="5"/>
      <c r="S61" s="5"/>
    </row>
    <row r="62" spans="2:27">
      <c r="B62" s="41"/>
      <c r="C62" s="249"/>
      <c r="D62" s="249"/>
      <c r="E62" s="249"/>
      <c r="F62" s="249"/>
      <c r="G62" s="249"/>
      <c r="H62" s="249"/>
      <c r="I62" s="5"/>
      <c r="J62" s="249"/>
      <c r="K62" s="249"/>
      <c r="L62" s="249"/>
      <c r="M62" s="249"/>
      <c r="N62" s="249"/>
      <c r="O62" s="251"/>
      <c r="Q62" s="5"/>
      <c r="R62" s="5"/>
      <c r="S62" s="5"/>
    </row>
    <row r="63" spans="2:27">
      <c r="B63" s="5"/>
      <c r="C63" s="5"/>
      <c r="D63" s="5"/>
      <c r="E63" s="5"/>
      <c r="F63" s="5"/>
      <c r="G63" s="5"/>
      <c r="H63" s="5"/>
      <c r="I63" s="254"/>
      <c r="J63" s="5"/>
      <c r="K63" s="5"/>
      <c r="L63" s="5"/>
      <c r="M63" s="5"/>
      <c r="N63" s="5"/>
      <c r="O63" s="5"/>
      <c r="Q63" s="5"/>
      <c r="R63" s="5"/>
      <c r="S63" s="5"/>
    </row>
    <row r="64" spans="2:27">
      <c r="B64" s="5"/>
      <c r="C64" s="5"/>
      <c r="D64" s="5"/>
      <c r="E64" s="5"/>
      <c r="F64" s="5"/>
      <c r="G64" s="5"/>
      <c r="H64" s="5"/>
      <c r="I64" s="17"/>
      <c r="J64" s="5"/>
      <c r="K64" s="5"/>
      <c r="L64" s="5"/>
      <c r="M64" s="5"/>
      <c r="N64" s="5"/>
      <c r="O64" s="5"/>
      <c r="Q64" s="5"/>
      <c r="R64" s="5"/>
      <c r="S64" s="5"/>
    </row>
    <row r="65" spans="2:26">
      <c r="B65" s="41"/>
      <c r="C65" s="249"/>
      <c r="D65" s="254"/>
      <c r="E65" s="254"/>
      <c r="F65" s="254"/>
      <c r="G65" s="254"/>
      <c r="H65" s="254"/>
      <c r="I65" s="254"/>
      <c r="J65" s="254"/>
      <c r="K65" s="254"/>
      <c r="L65" s="254"/>
      <c r="M65" s="254"/>
      <c r="N65" s="254"/>
      <c r="O65" s="251"/>
      <c r="Q65" s="5"/>
      <c r="R65" s="5"/>
      <c r="S65" s="5"/>
    </row>
    <row r="66" spans="2:26">
      <c r="B66" s="5"/>
      <c r="C66" s="5"/>
      <c r="D66" s="17"/>
      <c r="E66" s="17"/>
      <c r="F66" s="17"/>
      <c r="G66" s="17"/>
      <c r="H66" s="17"/>
      <c r="I66" s="248"/>
      <c r="J66" s="17"/>
      <c r="K66" s="17"/>
      <c r="L66" s="17"/>
      <c r="M66" s="17"/>
      <c r="N66" s="17"/>
      <c r="O66" s="5"/>
      <c r="Q66" s="5"/>
      <c r="R66" s="5"/>
      <c r="S66" s="5"/>
    </row>
    <row r="67" spans="2:26">
      <c r="B67" s="41"/>
      <c r="C67" s="249"/>
      <c r="D67" s="254"/>
      <c r="E67" s="254"/>
      <c r="F67" s="254"/>
      <c r="G67" s="254"/>
      <c r="H67" s="254"/>
      <c r="I67" s="5"/>
      <c r="J67" s="254"/>
      <c r="K67" s="254"/>
      <c r="L67" s="254"/>
      <c r="M67" s="254"/>
      <c r="N67" s="254"/>
      <c r="O67" s="251"/>
      <c r="Q67" s="41"/>
      <c r="R67" s="5"/>
      <c r="S67" s="5"/>
    </row>
    <row r="68" spans="2:26">
      <c r="B68" s="5"/>
      <c r="C68" s="5"/>
      <c r="D68" s="248"/>
      <c r="E68" s="248"/>
      <c r="F68" s="248"/>
      <c r="G68" s="248"/>
      <c r="H68" s="248"/>
      <c r="I68" s="245"/>
      <c r="J68" s="248"/>
      <c r="K68" s="248"/>
      <c r="L68" s="248"/>
      <c r="M68" s="248"/>
      <c r="N68" s="248"/>
      <c r="O68" s="5"/>
      <c r="Q68" s="5"/>
      <c r="R68" s="5"/>
      <c r="S68" s="5"/>
    </row>
    <row r="69" spans="2:26">
      <c r="B69" s="41"/>
      <c r="C69" s="5"/>
      <c r="D69" s="5"/>
      <c r="E69" s="5"/>
      <c r="F69" s="5"/>
      <c r="G69" s="5"/>
      <c r="H69" s="5"/>
      <c r="I69" s="248"/>
      <c r="J69" s="5"/>
      <c r="K69" s="5"/>
      <c r="L69" s="5"/>
      <c r="M69" s="5"/>
      <c r="N69" s="5"/>
      <c r="O69" s="5"/>
      <c r="Q69" s="5"/>
      <c r="R69" s="5"/>
      <c r="S69" s="5"/>
    </row>
    <row r="70" spans="2:26">
      <c r="B70" s="41"/>
      <c r="C70" s="245"/>
      <c r="D70" s="245"/>
      <c r="E70" s="245"/>
      <c r="F70" s="245"/>
      <c r="G70" s="245"/>
      <c r="H70" s="245"/>
      <c r="I70" s="5"/>
      <c r="J70" s="245"/>
      <c r="K70" s="245"/>
      <c r="L70" s="245"/>
      <c r="M70" s="245"/>
      <c r="N70" s="245"/>
      <c r="O70" s="251"/>
      <c r="Q70" s="5"/>
      <c r="R70" s="5"/>
      <c r="S70" s="5"/>
      <c r="W70" s="76"/>
      <c r="X70" s="76"/>
    </row>
    <row r="71" spans="2:26">
      <c r="B71" s="5"/>
      <c r="C71" s="5"/>
      <c r="D71" s="248"/>
      <c r="E71" s="248"/>
      <c r="F71" s="248"/>
      <c r="G71" s="248"/>
      <c r="H71" s="248"/>
      <c r="I71" s="245"/>
      <c r="J71" s="248"/>
      <c r="K71" s="248"/>
      <c r="L71" s="248"/>
      <c r="M71" s="248"/>
      <c r="N71" s="248"/>
      <c r="O71" s="5"/>
      <c r="Q71" s="5"/>
      <c r="R71" s="5"/>
      <c r="S71" s="5"/>
      <c r="W71" s="76"/>
      <c r="X71" s="76"/>
      <c r="Y71" s="76"/>
      <c r="Z71" s="76"/>
    </row>
    <row r="72" spans="2:26">
      <c r="B72" s="41"/>
      <c r="C72" s="5"/>
      <c r="D72" s="5"/>
      <c r="E72" s="5"/>
      <c r="F72" s="5"/>
      <c r="G72" s="5"/>
      <c r="H72" s="5"/>
      <c r="I72" s="18"/>
      <c r="J72" s="5"/>
      <c r="K72" s="5"/>
      <c r="L72" s="5"/>
      <c r="M72" s="5"/>
      <c r="N72" s="5"/>
      <c r="O72" s="5"/>
      <c r="Q72" s="5"/>
      <c r="R72" s="5"/>
      <c r="S72" s="5"/>
      <c r="Y72" s="76"/>
      <c r="Z72" s="76"/>
    </row>
    <row r="73" spans="2:26">
      <c r="B73" s="41"/>
      <c r="C73" s="245"/>
      <c r="D73" s="245"/>
      <c r="E73" s="245"/>
      <c r="F73" s="245"/>
      <c r="G73" s="245"/>
      <c r="H73" s="245"/>
      <c r="I73" s="5"/>
      <c r="J73" s="245"/>
      <c r="K73" s="245"/>
      <c r="L73" s="245"/>
      <c r="M73" s="245"/>
      <c r="N73" s="245"/>
      <c r="O73" s="251"/>
      <c r="Q73" s="5"/>
      <c r="R73" s="5"/>
      <c r="S73" s="5"/>
    </row>
    <row r="74" spans="2:26">
      <c r="B74" s="5"/>
      <c r="C74" s="5"/>
      <c r="D74" s="18"/>
      <c r="E74" s="18"/>
      <c r="F74" s="18"/>
      <c r="G74" s="18"/>
      <c r="H74" s="18"/>
      <c r="I74" s="249"/>
      <c r="J74" s="18"/>
      <c r="K74" s="18"/>
      <c r="L74" s="18"/>
      <c r="M74" s="18"/>
      <c r="N74" s="18"/>
      <c r="O74" s="5"/>
      <c r="Q74" s="5"/>
      <c r="R74" s="5"/>
      <c r="S74" s="5"/>
    </row>
    <row r="75" spans="2:26">
      <c r="B75" s="41"/>
      <c r="C75" s="5"/>
      <c r="D75" s="5"/>
      <c r="E75" s="5"/>
      <c r="F75" s="5"/>
      <c r="G75" s="5"/>
      <c r="H75" s="5"/>
      <c r="I75" s="248"/>
      <c r="J75" s="5"/>
      <c r="K75" s="5"/>
      <c r="L75" s="5"/>
      <c r="M75" s="5"/>
      <c r="N75" s="5"/>
      <c r="O75" s="5"/>
      <c r="Q75" s="5"/>
      <c r="R75" s="5"/>
      <c r="S75" s="5"/>
    </row>
    <row r="76" spans="2:26">
      <c r="B76" s="41"/>
      <c r="C76" s="249"/>
      <c r="D76" s="249"/>
      <c r="E76" s="249"/>
      <c r="F76" s="249"/>
      <c r="G76" s="249"/>
      <c r="H76" s="249"/>
      <c r="I76" s="5"/>
      <c r="J76" s="249"/>
      <c r="K76" s="249"/>
      <c r="L76" s="249"/>
      <c r="M76" s="249"/>
      <c r="N76" s="249"/>
      <c r="O76" s="251"/>
      <c r="Q76" s="5"/>
      <c r="R76" s="5"/>
      <c r="S76" s="5"/>
    </row>
    <row r="77" spans="2:26">
      <c r="B77" s="5"/>
      <c r="C77" s="5"/>
      <c r="D77" s="248"/>
      <c r="E77" s="248"/>
      <c r="F77" s="248"/>
      <c r="G77" s="248"/>
      <c r="H77" s="248"/>
      <c r="I77" s="245"/>
      <c r="J77" s="248"/>
      <c r="K77" s="248"/>
      <c r="L77" s="248"/>
      <c r="M77" s="248"/>
      <c r="N77" s="248"/>
      <c r="O77" s="5"/>
      <c r="Q77" s="5"/>
      <c r="R77" s="5"/>
      <c r="S77" s="5"/>
    </row>
    <row r="78" spans="2:26">
      <c r="B78" s="41"/>
      <c r="C78" s="5"/>
      <c r="D78" s="5"/>
      <c r="E78" s="5"/>
      <c r="F78" s="5"/>
      <c r="G78" s="5"/>
      <c r="H78" s="5"/>
      <c r="I78" s="248"/>
      <c r="J78" s="5"/>
      <c r="K78" s="5"/>
      <c r="L78" s="5"/>
      <c r="M78" s="5"/>
      <c r="N78" s="5"/>
      <c r="O78" s="5"/>
      <c r="Q78" s="5"/>
      <c r="R78" s="5"/>
      <c r="S78" s="5"/>
    </row>
    <row r="79" spans="2:26">
      <c r="B79" s="41"/>
      <c r="C79" s="245"/>
      <c r="D79" s="245"/>
      <c r="E79" s="245"/>
      <c r="F79" s="245"/>
      <c r="G79" s="245"/>
      <c r="H79" s="245"/>
      <c r="I79" s="5"/>
      <c r="J79" s="245"/>
      <c r="K79" s="245"/>
      <c r="L79" s="245"/>
      <c r="M79" s="245"/>
      <c r="N79" s="245"/>
      <c r="O79" s="251"/>
      <c r="Q79" s="5"/>
      <c r="R79" s="5"/>
      <c r="S79" s="5"/>
    </row>
    <row r="80" spans="2:26">
      <c r="B80" s="5"/>
      <c r="C80" s="5"/>
      <c r="D80" s="248"/>
      <c r="E80" s="248"/>
      <c r="F80" s="248"/>
      <c r="G80" s="248"/>
      <c r="H80" s="248"/>
      <c r="I80" s="249"/>
      <c r="J80" s="248"/>
      <c r="K80" s="248"/>
      <c r="L80" s="248"/>
      <c r="M80" s="248"/>
      <c r="N80" s="248"/>
      <c r="O80" s="5"/>
      <c r="Q80" s="5"/>
      <c r="R80" s="5"/>
      <c r="S80" s="5"/>
    </row>
    <row r="81" spans="2:26">
      <c r="B81" s="41"/>
      <c r="C81" s="5"/>
      <c r="D81" s="5"/>
      <c r="E81" s="5"/>
      <c r="F81" s="5"/>
      <c r="G81" s="5"/>
      <c r="H81" s="5"/>
      <c r="I81" s="248"/>
      <c r="J81" s="5"/>
      <c r="K81" s="5"/>
      <c r="L81" s="5"/>
      <c r="M81" s="5"/>
      <c r="N81" s="5"/>
      <c r="O81" s="5"/>
      <c r="Q81" s="5"/>
      <c r="R81" s="5"/>
      <c r="S81" s="5"/>
    </row>
    <row r="82" spans="2:26">
      <c r="B82" s="41"/>
      <c r="C82" s="249"/>
      <c r="D82" s="249"/>
      <c r="E82" s="249"/>
      <c r="F82" s="249"/>
      <c r="G82" s="249"/>
      <c r="H82" s="249"/>
      <c r="I82" s="259"/>
      <c r="J82" s="249"/>
      <c r="K82" s="249"/>
      <c r="L82" s="249"/>
      <c r="M82" s="249"/>
      <c r="N82" s="249"/>
      <c r="O82" s="251"/>
      <c r="Q82" s="5"/>
      <c r="R82" s="5"/>
      <c r="S82" s="5"/>
    </row>
    <row r="83" spans="2:26">
      <c r="B83" s="5"/>
      <c r="C83" s="5"/>
      <c r="D83" s="248"/>
      <c r="E83" s="248"/>
      <c r="F83" s="248"/>
      <c r="G83" s="248"/>
      <c r="H83" s="248"/>
      <c r="I83" s="5"/>
      <c r="J83" s="248"/>
      <c r="K83" s="248"/>
      <c r="L83" s="248"/>
      <c r="M83" s="248"/>
      <c r="N83" s="248"/>
      <c r="O83" s="5"/>
      <c r="Q83" s="5"/>
      <c r="R83" s="5"/>
      <c r="S83" s="5"/>
    </row>
    <row r="84" spans="2:26">
      <c r="B84" s="5"/>
      <c r="C84" s="259"/>
      <c r="D84" s="259"/>
      <c r="E84" s="259"/>
      <c r="F84" s="259"/>
      <c r="G84" s="259"/>
      <c r="H84" s="259"/>
      <c r="I84" s="245"/>
      <c r="J84" s="259"/>
      <c r="K84" s="259"/>
      <c r="L84" s="259"/>
      <c r="M84" s="259"/>
      <c r="N84" s="259"/>
      <c r="O84" s="251"/>
      <c r="Q84" s="5"/>
      <c r="R84" s="5"/>
      <c r="S84" s="5"/>
    </row>
    <row r="85" spans="2:26">
      <c r="B85" s="41"/>
      <c r="C85" s="5"/>
      <c r="D85" s="5"/>
      <c r="E85" s="5"/>
      <c r="F85" s="5"/>
      <c r="G85" s="5"/>
      <c r="H85" s="5"/>
      <c r="I85" s="248"/>
      <c r="J85" s="5"/>
      <c r="K85" s="5"/>
      <c r="L85" s="5"/>
      <c r="M85" s="5"/>
      <c r="N85" s="5"/>
      <c r="O85" s="5"/>
      <c r="Q85" s="5"/>
      <c r="R85" s="5"/>
      <c r="S85" s="5"/>
    </row>
    <row r="86" spans="2:26">
      <c r="B86" s="41"/>
      <c r="C86" s="245"/>
      <c r="D86" s="245"/>
      <c r="E86" s="245"/>
      <c r="F86" s="245"/>
      <c r="G86" s="245"/>
      <c r="H86" s="245"/>
      <c r="I86" s="5"/>
      <c r="J86" s="245"/>
      <c r="K86" s="245"/>
      <c r="L86" s="245"/>
      <c r="M86" s="245"/>
      <c r="N86" s="245"/>
      <c r="O86" s="251"/>
      <c r="Q86" s="5"/>
      <c r="R86" s="5"/>
      <c r="S86" s="5"/>
    </row>
    <row r="87" spans="2:26">
      <c r="B87" s="5"/>
      <c r="C87" s="5"/>
      <c r="D87" s="248"/>
      <c r="E87" s="248"/>
      <c r="F87" s="248"/>
      <c r="G87" s="248"/>
      <c r="H87" s="248"/>
      <c r="I87" s="5"/>
      <c r="J87" s="248"/>
      <c r="K87" s="248"/>
      <c r="L87" s="248"/>
      <c r="M87" s="248"/>
      <c r="N87" s="248"/>
      <c r="O87" s="5"/>
      <c r="Q87" s="5"/>
      <c r="R87" s="5"/>
      <c r="S87" s="5"/>
    </row>
    <row r="88" spans="2:26">
      <c r="B88" s="41"/>
      <c r="C88" s="5"/>
      <c r="D88" s="5"/>
      <c r="E88" s="5"/>
      <c r="F88" s="5"/>
      <c r="G88" s="5"/>
      <c r="H88" s="5"/>
      <c r="I88" s="5"/>
      <c r="J88" s="5"/>
      <c r="K88" s="5"/>
      <c r="L88" s="5"/>
      <c r="M88" s="5"/>
      <c r="N88" s="5"/>
      <c r="O88" s="5"/>
      <c r="Q88" s="5"/>
      <c r="R88" s="5"/>
      <c r="S88" s="5"/>
    </row>
    <row r="89" spans="2:26">
      <c r="B89" s="41"/>
      <c r="C89" s="5"/>
      <c r="D89" s="5"/>
      <c r="E89" s="5"/>
      <c r="F89" s="5"/>
      <c r="G89" s="5"/>
      <c r="H89" s="5"/>
      <c r="I89" s="5"/>
      <c r="J89" s="5"/>
      <c r="K89" s="5"/>
      <c r="L89" s="5"/>
      <c r="M89" s="5"/>
      <c r="N89" s="5"/>
      <c r="O89" s="5"/>
      <c r="Q89" s="5"/>
      <c r="R89" s="5"/>
      <c r="S89" s="5"/>
    </row>
    <row r="90" spans="2:26">
      <c r="B90" s="41"/>
      <c r="C90" s="5"/>
      <c r="D90" s="5"/>
      <c r="E90" s="5"/>
      <c r="F90" s="5"/>
      <c r="G90" s="5"/>
      <c r="H90" s="5"/>
      <c r="I90" s="49"/>
      <c r="J90" s="5"/>
      <c r="K90" s="5"/>
      <c r="L90" s="5"/>
      <c r="M90" s="5"/>
      <c r="N90" s="5"/>
      <c r="O90" s="5"/>
      <c r="Q90" s="41"/>
      <c r="R90" s="5"/>
      <c r="S90" s="5"/>
    </row>
    <row r="91" spans="2:26">
      <c r="B91" s="5"/>
      <c r="C91" s="5"/>
      <c r="D91" s="5"/>
      <c r="E91" s="5"/>
      <c r="F91" s="5"/>
      <c r="G91" s="5"/>
      <c r="H91" s="5"/>
      <c r="I91" s="5"/>
      <c r="J91" s="5"/>
      <c r="K91" s="5"/>
      <c r="L91" s="5"/>
      <c r="M91" s="5"/>
      <c r="N91" s="5"/>
      <c r="O91" s="5"/>
      <c r="Q91" s="5"/>
      <c r="R91" s="5"/>
      <c r="S91" s="5"/>
    </row>
    <row r="92" spans="2:26">
      <c r="B92" s="41"/>
      <c r="C92" s="49"/>
      <c r="D92" s="49"/>
      <c r="E92" s="49"/>
      <c r="F92" s="49"/>
      <c r="G92" s="49"/>
      <c r="H92" s="49"/>
      <c r="I92" s="247"/>
      <c r="J92" s="49"/>
      <c r="K92" s="49"/>
      <c r="L92" s="49"/>
      <c r="M92" s="49"/>
      <c r="N92" s="49"/>
      <c r="O92" s="49"/>
      <c r="Q92" s="5"/>
      <c r="R92" s="5"/>
      <c r="S92" s="5"/>
      <c r="W92" s="21"/>
      <c r="X92" s="21"/>
    </row>
    <row r="93" spans="2:26">
      <c r="B93" s="5"/>
      <c r="C93" s="5"/>
      <c r="D93" s="5"/>
      <c r="E93" s="5"/>
      <c r="F93" s="5"/>
      <c r="G93" s="5"/>
      <c r="H93" s="5"/>
      <c r="I93" s="247"/>
      <c r="J93" s="5"/>
      <c r="K93" s="5"/>
      <c r="L93" s="5"/>
      <c r="M93" s="5"/>
      <c r="N93" s="5"/>
      <c r="O93" s="5"/>
      <c r="Q93" s="5"/>
      <c r="R93" s="5"/>
      <c r="S93" s="5"/>
      <c r="W93" s="21"/>
      <c r="X93" s="21"/>
      <c r="Y93" s="21"/>
      <c r="Z93" s="21"/>
    </row>
    <row r="94" spans="2:26">
      <c r="B94" s="5"/>
      <c r="C94" s="259"/>
      <c r="D94" s="247"/>
      <c r="E94" s="247"/>
      <c r="F94" s="247"/>
      <c r="G94" s="247"/>
      <c r="H94" s="247"/>
      <c r="I94" s="247"/>
      <c r="J94" s="247"/>
      <c r="K94" s="247"/>
      <c r="L94" s="247"/>
      <c r="M94" s="247"/>
      <c r="N94" s="247"/>
      <c r="O94" s="248"/>
      <c r="Q94" s="5"/>
      <c r="R94" s="5"/>
      <c r="S94" s="5"/>
      <c r="Y94" s="21"/>
      <c r="Z94" s="21"/>
    </row>
    <row r="95" spans="2:26">
      <c r="B95" s="5"/>
      <c r="C95" s="259"/>
      <c r="D95" s="247"/>
      <c r="E95" s="247"/>
      <c r="F95" s="247"/>
      <c r="G95" s="247"/>
      <c r="H95" s="247"/>
      <c r="I95" s="248"/>
      <c r="J95" s="247"/>
      <c r="K95" s="247"/>
      <c r="L95" s="247"/>
      <c r="M95" s="247"/>
      <c r="N95" s="247"/>
      <c r="O95" s="248"/>
      <c r="Q95" s="5"/>
      <c r="R95" s="5"/>
      <c r="S95" s="5"/>
    </row>
    <row r="96" spans="2:26">
      <c r="B96" s="5"/>
      <c r="C96" s="259"/>
      <c r="D96" s="247"/>
      <c r="E96" s="247"/>
      <c r="F96" s="247"/>
      <c r="G96" s="247"/>
      <c r="H96" s="247"/>
      <c r="I96" s="247"/>
      <c r="J96" s="247"/>
      <c r="K96" s="247"/>
      <c r="L96" s="247"/>
      <c r="M96" s="247"/>
      <c r="N96" s="247"/>
      <c r="O96" s="248"/>
      <c r="Q96" s="5"/>
      <c r="R96" s="5"/>
      <c r="S96" s="5"/>
    </row>
    <row r="97" spans="2:19">
      <c r="B97" s="5"/>
      <c r="C97" s="259"/>
      <c r="D97" s="248"/>
      <c r="E97" s="248"/>
      <c r="F97" s="248"/>
      <c r="G97" s="248"/>
      <c r="H97" s="248"/>
      <c r="I97" s="249"/>
      <c r="J97" s="248"/>
      <c r="K97" s="248"/>
      <c r="L97" s="248"/>
      <c r="M97" s="248"/>
      <c r="N97" s="248"/>
      <c r="O97" s="248"/>
      <c r="Q97" s="5"/>
      <c r="R97" s="5"/>
      <c r="S97" s="5"/>
    </row>
    <row r="98" spans="2:19">
      <c r="B98" s="5"/>
      <c r="C98" s="259"/>
      <c r="D98" s="247"/>
      <c r="E98" s="247"/>
      <c r="F98" s="247"/>
      <c r="G98" s="247"/>
      <c r="H98" s="247"/>
      <c r="I98" s="248"/>
      <c r="J98" s="247"/>
      <c r="K98" s="247"/>
      <c r="L98" s="247"/>
      <c r="M98" s="247"/>
      <c r="N98" s="247"/>
      <c r="O98" s="248"/>
      <c r="Q98" s="5"/>
      <c r="R98" s="5"/>
      <c r="S98" s="5"/>
    </row>
    <row r="99" spans="2:19">
      <c r="B99" s="41"/>
      <c r="C99" s="249"/>
      <c r="D99" s="249"/>
      <c r="E99" s="249"/>
      <c r="F99" s="249"/>
      <c r="G99" s="249"/>
      <c r="H99" s="249"/>
      <c r="I99" s="5"/>
      <c r="J99" s="249"/>
      <c r="K99" s="249"/>
      <c r="L99" s="249"/>
      <c r="M99" s="249"/>
      <c r="N99" s="249"/>
      <c r="O99" s="248"/>
      <c r="Q99" s="5"/>
      <c r="R99" s="5"/>
      <c r="S99" s="5"/>
    </row>
    <row r="100" spans="2:19">
      <c r="B100" s="41"/>
      <c r="C100" s="257"/>
      <c r="D100" s="248"/>
      <c r="E100" s="248"/>
      <c r="F100" s="248"/>
      <c r="G100" s="248"/>
      <c r="H100" s="248"/>
      <c r="I100" s="259"/>
      <c r="J100" s="248"/>
      <c r="K100" s="248"/>
      <c r="L100" s="248"/>
      <c r="M100" s="248"/>
      <c r="N100" s="248"/>
      <c r="O100" s="248"/>
      <c r="Q100" s="5"/>
      <c r="R100" s="5"/>
      <c r="S100" s="5"/>
    </row>
    <row r="101" spans="2:19" s="5" customFormat="1">
      <c r="B101" s="41"/>
      <c r="I101" s="259"/>
      <c r="O101" s="248"/>
      <c r="P101" s="39"/>
    </row>
    <row r="102" spans="2:19">
      <c r="B102" s="5"/>
      <c r="C102" s="259"/>
      <c r="D102" s="259"/>
      <c r="E102" s="259"/>
      <c r="F102" s="259"/>
      <c r="G102" s="259"/>
      <c r="H102" s="259"/>
      <c r="I102" s="247"/>
      <c r="J102" s="259"/>
      <c r="K102" s="259"/>
      <c r="L102" s="259"/>
      <c r="M102" s="259"/>
      <c r="N102" s="259"/>
      <c r="O102" s="5"/>
      <c r="Q102" s="5"/>
      <c r="R102" s="5"/>
      <c r="S102" s="5"/>
    </row>
    <row r="103" spans="2:19">
      <c r="B103" s="5"/>
      <c r="C103" s="259"/>
      <c r="D103" s="259"/>
      <c r="E103" s="259"/>
      <c r="F103" s="259"/>
      <c r="G103" s="259"/>
      <c r="H103" s="259"/>
      <c r="I103" s="5"/>
      <c r="J103" s="259"/>
      <c r="K103" s="259"/>
      <c r="L103" s="259"/>
      <c r="M103" s="259"/>
      <c r="N103" s="259"/>
      <c r="O103" s="5"/>
      <c r="P103" s="5"/>
      <c r="Q103" s="5"/>
      <c r="R103" s="5"/>
      <c r="S103" s="5"/>
    </row>
    <row r="104" spans="2:19">
      <c r="B104" s="5"/>
      <c r="C104" s="247"/>
      <c r="D104" s="247"/>
      <c r="E104" s="247"/>
      <c r="F104" s="247"/>
      <c r="G104" s="247"/>
      <c r="H104" s="247"/>
      <c r="I104" s="247"/>
      <c r="J104" s="247"/>
      <c r="K104" s="247"/>
      <c r="L104" s="247"/>
      <c r="M104" s="247"/>
      <c r="N104" s="247"/>
      <c r="O104" s="5"/>
      <c r="Q104" s="5"/>
      <c r="R104" s="5"/>
      <c r="S104" s="5"/>
    </row>
    <row r="105" spans="2:19" s="5" customFormat="1">
      <c r="P105" s="39"/>
    </row>
    <row r="106" spans="2:19" s="5" customFormat="1">
      <c r="C106" s="259"/>
      <c r="D106" s="247"/>
      <c r="E106" s="247"/>
      <c r="F106" s="247"/>
      <c r="G106" s="247"/>
      <c r="H106" s="247"/>
      <c r="I106" s="259"/>
      <c r="J106" s="247"/>
      <c r="K106" s="247"/>
      <c r="L106" s="247"/>
      <c r="M106" s="247"/>
      <c r="N106" s="247"/>
      <c r="P106" s="39"/>
    </row>
    <row r="107" spans="2:19">
      <c r="B107" s="5"/>
      <c r="C107" s="259"/>
      <c r="D107" s="5"/>
      <c r="E107" s="5"/>
      <c r="F107" s="5"/>
      <c r="G107" s="5"/>
      <c r="H107" s="5"/>
      <c r="I107" s="247"/>
      <c r="J107" s="5"/>
      <c r="K107" s="5"/>
      <c r="L107" s="5"/>
      <c r="M107" s="5"/>
      <c r="N107" s="5"/>
      <c r="O107" s="5"/>
      <c r="P107" s="5"/>
      <c r="Q107" s="5"/>
      <c r="R107" s="5"/>
      <c r="S107" s="5"/>
    </row>
    <row r="108" spans="2:19">
      <c r="B108" s="5"/>
      <c r="C108" s="259"/>
      <c r="D108" s="259"/>
      <c r="E108" s="259"/>
      <c r="F108" s="259"/>
      <c r="G108" s="259"/>
      <c r="H108" s="259"/>
      <c r="I108" s="249"/>
      <c r="J108" s="259"/>
      <c r="K108" s="259"/>
      <c r="L108" s="259"/>
      <c r="M108" s="259"/>
      <c r="N108" s="259"/>
      <c r="O108" s="5"/>
      <c r="P108" s="5"/>
      <c r="Q108" s="5"/>
      <c r="R108" s="5"/>
      <c r="S108" s="5"/>
    </row>
    <row r="109" spans="2:19">
      <c r="B109" s="5"/>
      <c r="C109" s="247"/>
      <c r="D109" s="247"/>
      <c r="E109" s="247"/>
      <c r="F109" s="247"/>
      <c r="G109" s="247"/>
      <c r="H109" s="247"/>
      <c r="I109" s="249"/>
      <c r="J109" s="247"/>
      <c r="K109" s="247"/>
      <c r="L109" s="247"/>
      <c r="M109" s="247"/>
      <c r="N109" s="247"/>
      <c r="O109" s="5"/>
      <c r="Q109" s="5"/>
      <c r="R109" s="5"/>
      <c r="S109" s="5"/>
    </row>
    <row r="110" spans="2:19">
      <c r="B110" s="41"/>
      <c r="C110" s="249"/>
      <c r="D110" s="249"/>
      <c r="E110" s="249"/>
      <c r="F110" s="249"/>
      <c r="G110" s="249"/>
      <c r="H110" s="249"/>
      <c r="I110" s="247"/>
      <c r="J110" s="249"/>
      <c r="K110" s="249"/>
      <c r="L110" s="249"/>
      <c r="M110" s="249"/>
      <c r="N110" s="249"/>
      <c r="O110" s="5"/>
      <c r="Q110" s="5"/>
      <c r="R110" s="5"/>
      <c r="S110" s="5"/>
    </row>
    <row r="111" spans="2:19">
      <c r="B111" s="5"/>
      <c r="C111" s="249"/>
      <c r="D111" s="249"/>
      <c r="E111" s="249"/>
      <c r="F111" s="249"/>
      <c r="G111" s="249"/>
      <c r="H111" s="249"/>
      <c r="I111" s="5"/>
      <c r="J111" s="249"/>
      <c r="K111" s="249"/>
      <c r="L111" s="249"/>
      <c r="M111" s="249"/>
      <c r="N111" s="249"/>
      <c r="O111" s="5"/>
      <c r="Q111" s="5"/>
      <c r="R111" s="5"/>
      <c r="S111" s="5"/>
    </row>
    <row r="112" spans="2:19">
      <c r="B112" s="5"/>
      <c r="C112" s="247"/>
      <c r="D112" s="247"/>
      <c r="E112" s="247"/>
      <c r="F112" s="247"/>
      <c r="G112" s="247"/>
      <c r="H112" s="247"/>
      <c r="I112" s="5"/>
      <c r="J112" s="247"/>
      <c r="K112" s="247"/>
      <c r="L112" s="247"/>
      <c r="M112" s="247"/>
      <c r="N112" s="247"/>
      <c r="O112" s="5"/>
      <c r="Q112" s="5"/>
      <c r="R112" s="5"/>
      <c r="S112" s="5"/>
    </row>
    <row r="113" spans="2:19">
      <c r="B113" s="5"/>
      <c r="C113" s="5"/>
      <c r="D113" s="5"/>
      <c r="E113" s="5"/>
      <c r="F113" s="5"/>
      <c r="G113" s="5"/>
      <c r="H113" s="5"/>
      <c r="I113" s="5"/>
      <c r="J113" s="5"/>
      <c r="K113" s="5"/>
      <c r="L113" s="5"/>
      <c r="M113" s="5"/>
      <c r="N113" s="5"/>
      <c r="O113" s="5"/>
      <c r="Q113" s="5"/>
      <c r="R113" s="5"/>
      <c r="S113" s="5"/>
    </row>
    <row r="114" spans="2:19">
      <c r="B114" s="5"/>
      <c r="C114" s="5"/>
      <c r="D114" s="5"/>
      <c r="E114" s="5"/>
      <c r="F114" s="5"/>
      <c r="G114" s="5"/>
      <c r="H114" s="5"/>
      <c r="I114" s="5"/>
      <c r="J114" s="5"/>
      <c r="K114" s="5"/>
      <c r="L114" s="5"/>
      <c r="M114" s="5"/>
      <c r="N114" s="5"/>
      <c r="O114" s="5"/>
      <c r="Q114" s="5"/>
      <c r="R114" s="5"/>
      <c r="S114" s="5"/>
    </row>
    <row r="115" spans="2:19">
      <c r="B115" s="5"/>
      <c r="C115" s="5"/>
      <c r="D115" s="5"/>
      <c r="E115" s="5"/>
      <c r="F115" s="5"/>
      <c r="G115" s="5"/>
      <c r="H115" s="5"/>
      <c r="I115" s="49"/>
      <c r="J115" s="5"/>
      <c r="K115" s="5"/>
      <c r="L115" s="5"/>
      <c r="M115" s="5"/>
      <c r="N115" s="5"/>
      <c r="O115" s="5"/>
      <c r="Q115" s="41"/>
      <c r="R115" s="5"/>
      <c r="S115" s="5"/>
    </row>
    <row r="116" spans="2:19">
      <c r="B116" s="5"/>
      <c r="C116" s="5"/>
      <c r="D116" s="5"/>
      <c r="E116" s="5"/>
      <c r="F116" s="5"/>
      <c r="G116" s="5"/>
      <c r="H116" s="5"/>
      <c r="I116" s="5"/>
      <c r="J116" s="5"/>
      <c r="K116" s="5"/>
      <c r="L116" s="5"/>
      <c r="M116" s="5"/>
      <c r="N116" s="5"/>
      <c r="O116" s="5"/>
      <c r="Q116" s="5"/>
      <c r="R116" s="5"/>
      <c r="S116" s="5"/>
    </row>
    <row r="117" spans="2:19">
      <c r="B117" s="41"/>
      <c r="C117" s="49"/>
      <c r="D117" s="49"/>
      <c r="E117" s="49"/>
      <c r="F117" s="49"/>
      <c r="G117" s="49"/>
      <c r="H117" s="49"/>
      <c r="I117" s="254"/>
      <c r="J117" s="49"/>
      <c r="K117" s="49"/>
      <c r="L117" s="49"/>
      <c r="M117" s="49"/>
      <c r="N117" s="49"/>
      <c r="O117" s="49"/>
      <c r="Q117" s="5"/>
      <c r="R117" s="5"/>
      <c r="S117" s="5"/>
    </row>
    <row r="118" spans="2:19">
      <c r="B118" s="5"/>
      <c r="C118" s="5"/>
      <c r="D118" s="5"/>
      <c r="E118" s="5"/>
      <c r="F118" s="5"/>
      <c r="G118" s="5"/>
      <c r="H118" s="5"/>
      <c r="I118" s="249"/>
      <c r="J118" s="5"/>
      <c r="K118" s="5"/>
      <c r="L118" s="5"/>
      <c r="M118" s="5"/>
      <c r="N118" s="5"/>
      <c r="O118" s="5"/>
      <c r="Q118" s="5"/>
      <c r="R118" s="5"/>
      <c r="S118" s="5"/>
    </row>
    <row r="119" spans="2:19">
      <c r="B119" s="41"/>
      <c r="C119" s="254"/>
      <c r="D119" s="254"/>
      <c r="E119" s="254"/>
      <c r="F119" s="254"/>
      <c r="G119" s="254"/>
      <c r="H119" s="254"/>
      <c r="I119" s="254"/>
      <c r="J119" s="254"/>
      <c r="K119" s="254"/>
      <c r="L119" s="254"/>
      <c r="M119" s="254"/>
      <c r="N119" s="254"/>
      <c r="O119" s="248"/>
      <c r="Q119" s="5"/>
      <c r="R119" s="5"/>
      <c r="S119" s="5"/>
    </row>
    <row r="120" spans="2:19">
      <c r="B120" s="41"/>
      <c r="C120" s="254"/>
      <c r="D120" s="249"/>
      <c r="E120" s="249"/>
      <c r="F120" s="249"/>
      <c r="G120" s="249"/>
      <c r="H120" s="249"/>
      <c r="I120" s="254"/>
      <c r="J120" s="249"/>
      <c r="K120" s="249"/>
      <c r="L120" s="249"/>
      <c r="M120" s="249"/>
      <c r="N120" s="249"/>
      <c r="O120" s="248"/>
      <c r="Q120" s="5"/>
      <c r="R120" s="5"/>
      <c r="S120" s="5"/>
    </row>
    <row r="121" spans="2:19">
      <c r="B121" s="41"/>
      <c r="C121" s="254"/>
      <c r="D121" s="254"/>
      <c r="E121" s="254"/>
      <c r="F121" s="254"/>
      <c r="G121" s="254"/>
      <c r="H121" s="254"/>
      <c r="I121" s="254"/>
      <c r="J121" s="254"/>
      <c r="K121" s="254"/>
      <c r="L121" s="254"/>
      <c r="M121" s="254"/>
      <c r="N121" s="254"/>
      <c r="O121" s="248"/>
      <c r="Q121" s="5"/>
      <c r="R121" s="5"/>
      <c r="S121" s="5"/>
    </row>
    <row r="122" spans="2:19">
      <c r="B122" s="41"/>
      <c r="C122" s="254"/>
      <c r="D122" s="254"/>
      <c r="E122" s="254"/>
      <c r="F122" s="254"/>
      <c r="G122" s="254"/>
      <c r="H122" s="254"/>
      <c r="I122" s="254"/>
      <c r="J122" s="254"/>
      <c r="K122" s="254"/>
      <c r="L122" s="254"/>
      <c r="M122" s="254"/>
      <c r="N122" s="254"/>
      <c r="O122" s="248"/>
      <c r="Q122" s="5"/>
      <c r="R122" s="5"/>
      <c r="S122" s="5"/>
    </row>
    <row r="123" spans="2:19">
      <c r="B123" s="41"/>
      <c r="C123" s="254"/>
      <c r="D123" s="254"/>
      <c r="E123" s="254"/>
      <c r="F123" s="254"/>
      <c r="G123" s="254"/>
      <c r="H123" s="254"/>
      <c r="I123" s="254"/>
      <c r="J123" s="254"/>
      <c r="K123" s="254"/>
      <c r="L123" s="254"/>
      <c r="M123" s="254"/>
      <c r="N123" s="254"/>
      <c r="O123" s="248"/>
      <c r="Q123" s="5"/>
      <c r="R123" s="5"/>
      <c r="S123" s="5"/>
    </row>
    <row r="124" spans="2:19">
      <c r="B124" s="41"/>
      <c r="C124" s="254"/>
      <c r="D124" s="254"/>
      <c r="E124" s="254"/>
      <c r="F124" s="254"/>
      <c r="G124" s="254"/>
      <c r="H124" s="254"/>
      <c r="I124" s="254"/>
      <c r="J124" s="254"/>
      <c r="K124" s="254"/>
      <c r="L124" s="254"/>
      <c r="M124" s="254"/>
      <c r="N124" s="254"/>
      <c r="O124" s="248"/>
      <c r="Q124" s="5"/>
      <c r="R124" s="5"/>
      <c r="S124" s="5"/>
    </row>
    <row r="125" spans="2:19">
      <c r="B125" s="41"/>
      <c r="C125" s="254"/>
      <c r="D125" s="254"/>
      <c r="E125" s="254"/>
      <c r="F125" s="254"/>
      <c r="G125" s="254"/>
      <c r="H125" s="254"/>
      <c r="I125" s="254"/>
      <c r="J125" s="254"/>
      <c r="K125" s="254"/>
      <c r="L125" s="254"/>
      <c r="M125" s="254"/>
      <c r="N125" s="254"/>
      <c r="O125" s="5"/>
      <c r="Q125" s="5"/>
      <c r="R125" s="5"/>
      <c r="S125" s="5"/>
    </row>
    <row r="126" spans="2:19">
      <c r="B126" s="41"/>
      <c r="C126" s="254"/>
      <c r="D126" s="254"/>
      <c r="E126" s="254"/>
      <c r="F126" s="254"/>
      <c r="G126" s="254"/>
      <c r="H126" s="254"/>
      <c r="I126" s="254"/>
      <c r="J126" s="254"/>
      <c r="K126" s="254"/>
      <c r="L126" s="254"/>
      <c r="M126" s="254"/>
      <c r="N126" s="254"/>
      <c r="O126" s="5"/>
      <c r="Q126" s="5"/>
      <c r="R126" s="5"/>
      <c r="S126" s="5"/>
    </row>
    <row r="127" spans="2:19">
      <c r="B127" s="41"/>
      <c r="C127" s="254"/>
      <c r="D127" s="254"/>
      <c r="E127" s="254"/>
      <c r="F127" s="254"/>
      <c r="G127" s="254"/>
      <c r="H127" s="254"/>
      <c r="I127" s="18"/>
      <c r="J127" s="254"/>
      <c r="K127" s="254"/>
      <c r="L127" s="254"/>
      <c r="M127" s="254"/>
      <c r="N127" s="254"/>
      <c r="O127" s="5"/>
      <c r="Q127" s="5"/>
      <c r="R127" s="5"/>
      <c r="S127" s="5"/>
    </row>
    <row r="128" spans="2:19">
      <c r="B128" s="41"/>
      <c r="C128" s="254"/>
      <c r="D128" s="254"/>
      <c r="E128" s="254"/>
      <c r="F128" s="254"/>
      <c r="G128" s="254"/>
      <c r="H128" s="254"/>
      <c r="I128" s="5"/>
      <c r="J128" s="254"/>
      <c r="K128" s="254"/>
      <c r="L128" s="254"/>
      <c r="M128" s="254"/>
      <c r="N128" s="254"/>
      <c r="O128" s="5"/>
      <c r="Q128" s="5"/>
      <c r="R128" s="5"/>
      <c r="S128" s="5"/>
    </row>
    <row r="129" spans="2:27">
      <c r="B129" s="5"/>
      <c r="C129" s="5"/>
      <c r="D129" s="18"/>
      <c r="E129" s="18"/>
      <c r="F129" s="18"/>
      <c r="G129" s="18"/>
      <c r="H129" s="18"/>
      <c r="I129" s="254"/>
      <c r="J129" s="18"/>
      <c r="K129" s="18"/>
      <c r="L129" s="18"/>
      <c r="M129" s="18"/>
      <c r="N129" s="18"/>
      <c r="O129" s="5"/>
      <c r="Q129" s="5"/>
      <c r="R129" s="5"/>
      <c r="S129" s="5"/>
    </row>
    <row r="130" spans="2:27">
      <c r="B130" s="5"/>
      <c r="C130" s="5"/>
      <c r="D130" s="5"/>
      <c r="E130" s="5"/>
      <c r="F130" s="5"/>
      <c r="G130" s="5"/>
      <c r="H130" s="5"/>
      <c r="I130" s="18"/>
      <c r="J130" s="5"/>
      <c r="K130" s="5"/>
      <c r="L130" s="5"/>
      <c r="M130" s="5"/>
      <c r="N130" s="5"/>
      <c r="O130" s="5"/>
      <c r="Q130" s="5"/>
      <c r="R130" s="5"/>
      <c r="S130" s="5"/>
    </row>
    <row r="131" spans="2:27">
      <c r="B131" s="41"/>
      <c r="C131" s="254"/>
      <c r="D131" s="254"/>
      <c r="E131" s="254"/>
      <c r="F131" s="254"/>
      <c r="G131" s="254"/>
      <c r="H131" s="254"/>
      <c r="I131" s="5"/>
      <c r="J131" s="254"/>
      <c r="K131" s="254"/>
      <c r="L131" s="254"/>
      <c r="M131" s="254"/>
      <c r="N131" s="254"/>
      <c r="O131" s="5"/>
      <c r="Q131" s="5"/>
      <c r="R131" s="5"/>
      <c r="S131" s="5"/>
    </row>
    <row r="132" spans="2:27">
      <c r="B132" s="5"/>
      <c r="C132" s="259"/>
      <c r="D132" s="18"/>
      <c r="E132" s="18"/>
      <c r="F132" s="18"/>
      <c r="G132" s="18"/>
      <c r="H132" s="18"/>
      <c r="I132" s="5"/>
      <c r="J132" s="18"/>
      <c r="K132" s="18"/>
      <c r="L132" s="18"/>
      <c r="M132" s="18"/>
      <c r="N132" s="18"/>
      <c r="O132" s="5"/>
      <c r="Q132" s="5"/>
      <c r="R132" s="5"/>
      <c r="S132" s="5"/>
    </row>
    <row r="133" spans="2:27">
      <c r="B133" s="5"/>
      <c r="C133" s="5"/>
      <c r="D133" s="5"/>
      <c r="E133" s="5"/>
      <c r="F133" s="5"/>
      <c r="G133" s="5"/>
      <c r="H133" s="5"/>
      <c r="I133" s="17"/>
      <c r="J133" s="5"/>
      <c r="K133" s="5"/>
      <c r="L133" s="5"/>
      <c r="M133" s="5"/>
      <c r="N133" s="5"/>
      <c r="O133" s="5"/>
      <c r="Q133" s="5"/>
      <c r="R133" s="5"/>
      <c r="S133" s="5"/>
    </row>
    <row r="134" spans="2:27">
      <c r="B134" s="41"/>
      <c r="C134" s="5"/>
      <c r="D134" s="5"/>
      <c r="E134" s="5"/>
      <c r="F134" s="5"/>
      <c r="G134" s="5"/>
      <c r="H134" s="5"/>
      <c r="I134" s="17"/>
      <c r="J134" s="5"/>
      <c r="K134" s="5"/>
      <c r="L134" s="5"/>
      <c r="M134" s="5"/>
      <c r="N134" s="5"/>
      <c r="O134" s="5"/>
      <c r="Q134" s="5"/>
      <c r="R134" s="5"/>
      <c r="S134" s="5"/>
    </row>
    <row r="135" spans="2:27">
      <c r="B135" s="5"/>
      <c r="C135" s="17"/>
      <c r="D135" s="17"/>
      <c r="E135" s="17"/>
      <c r="F135" s="17"/>
      <c r="G135" s="17"/>
      <c r="H135" s="17"/>
      <c r="I135" s="17"/>
      <c r="J135" s="17"/>
      <c r="K135" s="17"/>
      <c r="L135" s="17"/>
      <c r="M135" s="17"/>
      <c r="N135" s="17"/>
      <c r="O135" s="5"/>
      <c r="Q135" s="41"/>
      <c r="R135" s="5"/>
      <c r="S135" s="5"/>
    </row>
    <row r="136" spans="2:27">
      <c r="B136" s="5"/>
      <c r="C136" s="17"/>
      <c r="D136" s="17"/>
      <c r="E136" s="17"/>
      <c r="F136" s="17"/>
      <c r="G136" s="17"/>
      <c r="H136" s="17"/>
      <c r="I136" s="17"/>
      <c r="J136" s="17"/>
      <c r="K136" s="17"/>
      <c r="L136" s="17"/>
      <c r="M136" s="17"/>
      <c r="N136" s="17"/>
      <c r="O136" s="5"/>
      <c r="Q136" s="5"/>
      <c r="R136" s="5"/>
      <c r="S136" s="5"/>
      <c r="X136" s="304"/>
    </row>
    <row r="137" spans="2:27">
      <c r="B137" s="5"/>
      <c r="C137" s="5"/>
      <c r="D137" s="17"/>
      <c r="E137" s="17"/>
      <c r="F137" s="17"/>
      <c r="G137" s="17"/>
      <c r="H137" s="17"/>
      <c r="I137" s="17"/>
      <c r="J137" s="17"/>
      <c r="K137" s="17"/>
      <c r="L137" s="17"/>
      <c r="M137" s="17"/>
      <c r="N137" s="17"/>
      <c r="O137" s="5"/>
      <c r="Q137" s="5"/>
      <c r="R137" s="5"/>
      <c r="S137" s="5"/>
      <c r="X137" s="10"/>
      <c r="Y137" s="304"/>
      <c r="Z137" s="304"/>
      <c r="AA137" s="304"/>
    </row>
    <row r="138" spans="2:27">
      <c r="B138" s="5"/>
      <c r="C138" s="5"/>
      <c r="D138" s="17"/>
      <c r="E138" s="17"/>
      <c r="F138" s="17"/>
      <c r="G138" s="17"/>
      <c r="H138" s="17"/>
      <c r="I138" s="17"/>
      <c r="J138" s="17"/>
      <c r="K138" s="17"/>
      <c r="L138" s="17"/>
      <c r="M138" s="17"/>
      <c r="N138" s="17"/>
      <c r="O138" s="5"/>
      <c r="Q138" s="5"/>
      <c r="R138" s="5"/>
      <c r="S138" s="5"/>
      <c r="Y138" s="10"/>
      <c r="Z138" s="10"/>
      <c r="AA138" s="10"/>
    </row>
    <row r="139" spans="2:27">
      <c r="B139" s="5"/>
      <c r="C139" s="5"/>
      <c r="D139" s="17"/>
      <c r="E139" s="17"/>
      <c r="F139" s="17"/>
      <c r="G139" s="17"/>
      <c r="H139" s="17"/>
      <c r="I139" s="5"/>
      <c r="J139" s="17"/>
      <c r="K139" s="17"/>
      <c r="L139" s="17"/>
      <c r="M139" s="17"/>
      <c r="N139" s="17"/>
      <c r="O139" s="5"/>
      <c r="Q139" s="5"/>
      <c r="R139" s="5"/>
      <c r="S139" s="5"/>
    </row>
    <row r="140" spans="2:27">
      <c r="B140" s="5"/>
      <c r="C140" s="17"/>
      <c r="D140" s="17"/>
      <c r="E140" s="17"/>
      <c r="F140" s="17"/>
      <c r="G140" s="17"/>
      <c r="H140" s="17"/>
      <c r="I140" s="5"/>
      <c r="J140" s="17"/>
      <c r="K140" s="17"/>
      <c r="L140" s="17"/>
      <c r="M140" s="17"/>
      <c r="N140" s="17"/>
      <c r="O140" s="5"/>
      <c r="Q140" s="5"/>
      <c r="R140" s="5"/>
      <c r="S140" s="5"/>
    </row>
    <row r="141" spans="2:27">
      <c r="B141" s="5"/>
      <c r="C141" s="5"/>
      <c r="D141" s="5"/>
      <c r="E141" s="5"/>
      <c r="F141" s="5"/>
      <c r="G141" s="5"/>
      <c r="H141" s="5"/>
      <c r="I141" s="5"/>
      <c r="J141" s="5"/>
      <c r="K141" s="5"/>
      <c r="L141" s="5"/>
      <c r="M141" s="5"/>
      <c r="N141" s="5"/>
      <c r="O141" s="5"/>
      <c r="Q141" s="5"/>
      <c r="R141" s="5"/>
      <c r="S141" s="5"/>
    </row>
    <row r="142" spans="2:27">
      <c r="B142" s="5"/>
      <c r="C142" s="5"/>
      <c r="D142" s="5"/>
      <c r="E142" s="5"/>
      <c r="F142" s="5"/>
      <c r="G142" s="5"/>
      <c r="H142" s="5"/>
      <c r="I142" s="5"/>
      <c r="J142" s="5"/>
      <c r="K142" s="5"/>
      <c r="L142" s="5"/>
      <c r="M142" s="5"/>
      <c r="N142" s="5"/>
      <c r="O142" s="5"/>
      <c r="Q142" s="5"/>
      <c r="R142" s="5"/>
      <c r="S142" s="5"/>
    </row>
    <row r="143" spans="2:27">
      <c r="B143" s="5"/>
      <c r="C143" s="5"/>
      <c r="D143" s="5"/>
      <c r="E143" s="5"/>
      <c r="F143" s="5"/>
      <c r="G143" s="5"/>
      <c r="H143" s="5"/>
      <c r="I143" s="5"/>
      <c r="J143" s="5"/>
      <c r="K143" s="5"/>
      <c r="L143" s="5"/>
      <c r="M143" s="5"/>
      <c r="N143" s="5"/>
      <c r="O143" s="5"/>
      <c r="Q143" s="5"/>
      <c r="R143" s="5"/>
      <c r="S143" s="5"/>
    </row>
    <row r="144" spans="2:27">
      <c r="B144" s="5"/>
      <c r="C144" s="5"/>
      <c r="D144" s="5"/>
      <c r="E144" s="5"/>
      <c r="F144" s="5"/>
      <c r="G144" s="5"/>
      <c r="H144" s="5"/>
      <c r="I144" s="5"/>
      <c r="J144" s="5"/>
      <c r="K144" s="5"/>
      <c r="L144" s="5"/>
      <c r="M144" s="5"/>
      <c r="N144" s="5"/>
      <c r="O144" s="5"/>
      <c r="Q144" s="5"/>
      <c r="R144" s="5"/>
      <c r="S144" s="5"/>
    </row>
    <row r="145" spans="2:19">
      <c r="B145" s="5"/>
      <c r="C145" s="5"/>
      <c r="D145" s="5"/>
      <c r="E145" s="5"/>
      <c r="F145" s="5"/>
      <c r="G145" s="5"/>
      <c r="H145" s="5"/>
      <c r="I145" s="5"/>
      <c r="J145" s="5"/>
      <c r="K145" s="5"/>
      <c r="L145" s="5"/>
      <c r="M145" s="5"/>
      <c r="N145" s="5"/>
      <c r="O145" s="5"/>
      <c r="Q145" s="5"/>
      <c r="R145" s="5"/>
      <c r="S145" s="5"/>
    </row>
    <row r="146" spans="2:19">
      <c r="B146" s="5"/>
      <c r="C146" s="5"/>
      <c r="D146" s="5"/>
      <c r="E146" s="5"/>
      <c r="F146" s="5"/>
      <c r="G146" s="5"/>
      <c r="H146" s="5"/>
      <c r="I146" s="5"/>
      <c r="J146" s="5"/>
      <c r="K146" s="5"/>
      <c r="L146" s="5"/>
      <c r="M146" s="5"/>
      <c r="N146" s="5"/>
      <c r="O146" s="5"/>
      <c r="Q146" s="5"/>
      <c r="R146" s="5"/>
      <c r="S146" s="5"/>
    </row>
    <row r="147" spans="2:19">
      <c r="B147" s="5"/>
      <c r="C147" s="5"/>
      <c r="D147" s="5"/>
      <c r="E147" s="5"/>
      <c r="F147" s="5"/>
      <c r="G147" s="5"/>
      <c r="H147" s="5"/>
      <c r="I147" s="5"/>
      <c r="J147" s="5"/>
      <c r="K147" s="5"/>
      <c r="L147" s="5"/>
      <c r="M147" s="5"/>
      <c r="N147" s="5"/>
      <c r="O147" s="5"/>
      <c r="Q147" s="5"/>
      <c r="R147" s="5"/>
      <c r="S147" s="5"/>
    </row>
    <row r="148" spans="2:19">
      <c r="B148" s="5"/>
      <c r="C148" s="5"/>
      <c r="D148" s="5"/>
      <c r="E148" s="5"/>
      <c r="F148" s="5"/>
      <c r="G148" s="5"/>
      <c r="H148" s="5"/>
      <c r="I148" s="5"/>
      <c r="J148" s="5"/>
      <c r="K148" s="5"/>
      <c r="L148" s="5"/>
      <c r="M148" s="5"/>
      <c r="N148" s="5"/>
      <c r="O148" s="5"/>
      <c r="Q148" s="5"/>
      <c r="R148" s="5"/>
      <c r="S148" s="5"/>
    </row>
    <row r="149" spans="2:19">
      <c r="B149" s="5"/>
      <c r="C149" s="5"/>
      <c r="D149" s="5"/>
      <c r="E149" s="5"/>
      <c r="F149" s="5"/>
      <c r="G149" s="5"/>
      <c r="H149" s="5"/>
      <c r="J149" s="5"/>
      <c r="K149" s="5"/>
      <c r="L149" s="5"/>
      <c r="M149" s="5"/>
      <c r="N149" s="5"/>
      <c r="O149" s="5"/>
      <c r="Q149" s="5"/>
      <c r="R149" s="5"/>
      <c r="S149" s="5"/>
    </row>
    <row r="150" spans="2:19">
      <c r="B150" s="5"/>
      <c r="C150" s="5"/>
      <c r="D150" s="5"/>
      <c r="E150" s="5"/>
      <c r="F150" s="5"/>
      <c r="G150" s="5"/>
      <c r="H150" s="5"/>
      <c r="J150" s="5"/>
      <c r="K150" s="5"/>
      <c r="L150" s="5"/>
      <c r="M150" s="5"/>
      <c r="N150" s="5"/>
      <c r="O150" s="5"/>
      <c r="Q150" s="5"/>
      <c r="R150" s="5"/>
      <c r="S150" s="5"/>
    </row>
    <row r="151" spans="2:19">
      <c r="Q151" s="5"/>
      <c r="R151" s="5"/>
      <c r="S151" s="5"/>
    </row>
    <row r="152" spans="2:19">
      <c r="Q152" s="5"/>
      <c r="R152" s="5"/>
      <c r="S152" s="5"/>
    </row>
    <row r="153" spans="2:19">
      <c r="C153" s="263"/>
      <c r="Q153" s="5"/>
      <c r="R153" s="5"/>
      <c r="S153" s="5"/>
    </row>
    <row r="154" spans="2:19">
      <c r="Q154" s="5"/>
      <c r="R154" s="5"/>
      <c r="S154" s="5"/>
    </row>
    <row r="155" spans="2:19">
      <c r="Q155" s="5"/>
      <c r="R155" s="5"/>
      <c r="S155" s="5"/>
    </row>
    <row r="156" spans="2:19">
      <c r="Q156" s="5"/>
      <c r="R156" s="5"/>
      <c r="S156" s="5"/>
    </row>
    <row r="157" spans="2:19">
      <c r="Q157" s="5"/>
      <c r="R157" s="5"/>
      <c r="S157" s="5"/>
    </row>
    <row r="158" spans="2:19">
      <c r="Q158" s="5"/>
      <c r="R158" s="5"/>
      <c r="S158" s="5"/>
    </row>
    <row r="159" spans="2:19">
      <c r="Q159" s="5"/>
      <c r="R159" s="5"/>
      <c r="S159" s="5"/>
    </row>
    <row r="160" spans="2:19">
      <c r="Q160" s="5"/>
      <c r="R160" s="5"/>
      <c r="S160" s="5"/>
    </row>
    <row r="161" spans="17:19">
      <c r="Q161" s="5"/>
      <c r="R161" s="5"/>
      <c r="S161" s="5"/>
    </row>
    <row r="162" spans="17:19">
      <c r="Q162" s="5"/>
      <c r="R162" s="5"/>
      <c r="S162" s="5"/>
    </row>
    <row r="163" spans="17:19">
      <c r="Q163" s="5"/>
      <c r="R163" s="5"/>
      <c r="S163" s="5"/>
    </row>
    <row r="164" spans="17:19">
      <c r="Q164" s="5"/>
      <c r="R164" s="5"/>
      <c r="S164" s="5"/>
    </row>
    <row r="165" spans="17:19">
      <c r="Q165" s="5"/>
      <c r="R165" s="5"/>
      <c r="S165" s="5"/>
    </row>
  </sheetData>
  <phoneticPr fontId="7" type="noConversion"/>
  <pageMargins left="0.75" right="0.75" top="1" bottom="1" header="0.5" footer="0.5"/>
  <pageSetup scale="71" orientation="landscape" r:id="rId1"/>
  <headerFooter alignWithMargins="0"/>
  <drawing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800-000000000000}">
  <sheetPr codeName="Sheet137">
    <pageSetUpPr fitToPage="1"/>
  </sheetPr>
  <dimension ref="B1:AR165"/>
  <sheetViews>
    <sheetView showGridLines="0" zoomScale="80" zoomScaleNormal="80" workbookViewId="0">
      <selection activeCell="AN51" sqref="AN51"/>
    </sheetView>
  </sheetViews>
  <sheetFormatPr defaultColWidth="9.109375" defaultRowHeight="12"/>
  <cols>
    <col min="1" max="1" width="2.33203125" style="39" customWidth="1"/>
    <col min="2" max="2" width="26.5546875" style="39" customWidth="1"/>
    <col min="3" max="9" width="10" style="39" customWidth="1"/>
    <col min="10" max="10" width="26.6640625" style="39" customWidth="1"/>
    <col min="11" max="16" width="10" style="39" customWidth="1"/>
    <col min="17" max="19" width="8.6640625" style="39" customWidth="1"/>
    <col min="20" max="28" width="8.6640625" style="5" customWidth="1"/>
    <col min="29" max="44" width="9.109375" style="5"/>
    <col min="45" max="16384" width="9.109375" style="39"/>
  </cols>
  <sheetData>
    <row r="1" spans="2:44" s="312" customFormat="1">
      <c r="T1" s="149"/>
      <c r="U1" s="149"/>
      <c r="V1" s="149"/>
      <c r="W1" s="149"/>
      <c r="X1" s="149"/>
      <c r="Y1" s="149"/>
      <c r="Z1" s="149"/>
      <c r="AA1" s="149"/>
      <c r="AB1" s="149"/>
      <c r="AC1" s="149"/>
      <c r="AD1" s="149"/>
      <c r="AE1" s="149"/>
      <c r="AF1" s="149"/>
      <c r="AG1" s="149"/>
      <c r="AH1" s="149"/>
      <c r="AI1" s="149"/>
      <c r="AJ1" s="149"/>
      <c r="AK1" s="149"/>
      <c r="AL1" s="149"/>
      <c r="AM1" s="149"/>
      <c r="AN1" s="149"/>
      <c r="AO1" s="149"/>
      <c r="AP1" s="149"/>
      <c r="AQ1" s="149"/>
      <c r="AR1" s="149"/>
    </row>
    <row r="2" spans="2:44" s="149" customFormat="1"/>
    <row r="3" spans="2:44" s="149" customFormat="1">
      <c r="H3" s="153"/>
      <c r="P3" s="153"/>
    </row>
    <row r="4" spans="2:44" s="156" customFormat="1" ht="21">
      <c r="B4" s="129" t="s">
        <v>231</v>
      </c>
      <c r="H4" s="222"/>
      <c r="P4" s="222"/>
    </row>
    <row r="5" spans="2:44" s="149" customFormat="1">
      <c r="C5" s="153"/>
      <c r="D5" s="153" t="str" cm="1">
        <f t="array" ref="D5:H5">headings</f>
        <v>2023E</v>
      </c>
      <c r="E5" s="153" t="str">
        <v>2024E</v>
      </c>
      <c r="F5" s="153" t="str">
        <v>2025E</v>
      </c>
      <c r="G5" s="153" t="str">
        <v>2026E</v>
      </c>
      <c r="H5" s="153" t="str">
        <v>23E-26E</v>
      </c>
      <c r="I5" s="153"/>
      <c r="J5" s="153"/>
      <c r="K5" s="153"/>
      <c r="L5" s="153" t="str" cm="1">
        <f t="array" ref="L5:P5">headings</f>
        <v>2023E</v>
      </c>
      <c r="M5" s="153" t="str">
        <v>2024E</v>
      </c>
      <c r="N5" s="153" t="str">
        <v>2025E</v>
      </c>
      <c r="O5" s="153" t="str">
        <v>2026E</v>
      </c>
      <c r="P5" s="153" t="str">
        <v>23E-26E</v>
      </c>
      <c r="Q5" s="162"/>
      <c r="R5" s="162"/>
      <c r="S5" s="162"/>
      <c r="T5" s="162"/>
      <c r="U5" s="162"/>
      <c r="V5" s="162"/>
      <c r="W5" s="162"/>
      <c r="X5" s="162"/>
      <c r="Y5" s="162"/>
    </row>
    <row r="6" spans="2:44">
      <c r="I6" s="5"/>
      <c r="J6" s="5"/>
      <c r="K6" s="5"/>
      <c r="L6" s="5"/>
      <c r="M6" s="5"/>
      <c r="N6" s="5"/>
      <c r="O6" s="49"/>
    </row>
    <row r="7" spans="2:44" ht="12.6" thickBot="1">
      <c r="B7" s="306" t="s">
        <v>271</v>
      </c>
      <c r="C7" s="265"/>
      <c r="D7" s="265" t="str">
        <f>D5</f>
        <v>2023E</v>
      </c>
      <c r="E7" s="265" t="str">
        <f t="shared" ref="E7:H7" si="0">E5</f>
        <v>2024E</v>
      </c>
      <c r="F7" s="265" t="str">
        <f t="shared" si="0"/>
        <v>2025E</v>
      </c>
      <c r="G7" s="265" t="str">
        <f t="shared" si="0"/>
        <v>2026E</v>
      </c>
      <c r="H7" s="265" t="str">
        <f t="shared" si="0"/>
        <v>23E-26E</v>
      </c>
      <c r="I7" s="49"/>
      <c r="J7" s="306" t="s">
        <v>74</v>
      </c>
      <c r="K7" s="306"/>
      <c r="L7" s="265" t="str">
        <f>L5</f>
        <v>2023E</v>
      </c>
      <c r="M7" s="265" t="str">
        <f t="shared" ref="M7:P7" si="1">M5</f>
        <v>2024E</v>
      </c>
      <c r="N7" s="265" t="str">
        <f t="shared" si="1"/>
        <v>2025E</v>
      </c>
      <c r="O7" s="265" t="str">
        <f t="shared" si="1"/>
        <v>2026E</v>
      </c>
      <c r="P7" s="265" t="str">
        <f t="shared" si="1"/>
        <v>23E-26E</v>
      </c>
    </row>
    <row r="8" spans="2:44" ht="12.6" thickTop="1">
      <c r="B8" s="5"/>
      <c r="C8" s="5"/>
      <c r="D8" s="5"/>
      <c r="E8" s="5"/>
      <c r="F8" s="5"/>
      <c r="G8" s="5"/>
      <c r="H8" s="5"/>
      <c r="I8" s="5"/>
      <c r="J8" s="5"/>
      <c r="K8" s="5"/>
      <c r="L8" s="5"/>
      <c r="M8" s="5"/>
      <c r="N8" s="5"/>
      <c r="S8" s="88"/>
      <c r="T8" s="42"/>
      <c r="U8" s="42"/>
      <c r="V8" s="42"/>
      <c r="W8" s="42"/>
      <c r="X8" s="42"/>
      <c r="Y8" s="42"/>
      <c r="Z8" s="42"/>
      <c r="AA8" s="42"/>
    </row>
    <row r="9" spans="2:44">
      <c r="B9" s="41" t="s">
        <v>147</v>
      </c>
      <c r="C9" s="285">
        <f>Prices!C94</f>
        <v>2470</v>
      </c>
      <c r="D9" s="535">
        <v>0</v>
      </c>
      <c r="E9" s="536">
        <v>0</v>
      </c>
      <c r="F9" s="536">
        <v>0</v>
      </c>
      <c r="G9" s="536">
        <v>0</v>
      </c>
      <c r="H9" s="249"/>
      <c r="I9" s="249"/>
      <c r="J9" s="5" t="s">
        <v>273</v>
      </c>
      <c r="L9" s="529">
        <f>'AGG ASIA CELLULAR'!D37</f>
        <v>2.0832818906884643</v>
      </c>
      <c r="M9" s="529">
        <f>'AGG ASIA CELLULAR'!E37</f>
        <v>1.9180381131180324</v>
      </c>
      <c r="N9" s="529">
        <f>'AGG ASIA CELLULAR'!F37</f>
        <v>1.6973984727138696</v>
      </c>
      <c r="O9" s="529">
        <f>'AGG ASIA CELLULAR'!G37</f>
        <v>1.4849146547081604</v>
      </c>
      <c r="P9" s="286">
        <f>'AGG ASIA CELLULAR'!H37</f>
        <v>5.2823672985303771E-2</v>
      </c>
      <c r="S9" s="88"/>
      <c r="T9" s="42"/>
      <c r="U9" s="42"/>
      <c r="V9" s="42"/>
      <c r="W9" s="42"/>
      <c r="X9" s="42"/>
      <c r="Y9" s="42"/>
      <c r="Z9" s="42"/>
      <c r="AA9" s="42"/>
    </row>
    <row r="10" spans="2:44">
      <c r="B10" s="5" t="s">
        <v>274</v>
      </c>
      <c r="C10" s="5"/>
      <c r="D10" s="531">
        <v>13.128430665</v>
      </c>
      <c r="E10" s="531">
        <v>13.128430665</v>
      </c>
      <c r="F10" s="531">
        <v>13.128430665</v>
      </c>
      <c r="G10" s="531">
        <v>13.128430665</v>
      </c>
      <c r="H10" s="247"/>
      <c r="I10" s="247"/>
      <c r="J10" s="5" t="s">
        <v>184</v>
      </c>
      <c r="L10" s="529">
        <f>'AGG ASIA CELLULAR'!D38</f>
        <v>6.3578764048835863</v>
      </c>
      <c r="M10" s="529">
        <f>'AGG ASIA CELLULAR'!E38</f>
        <v>5.8349432944863064</v>
      </c>
      <c r="N10" s="529">
        <f>'AGG ASIA CELLULAR'!F38</f>
        <v>5.103853656504258</v>
      </c>
      <c r="O10" s="529">
        <f>'AGG ASIA CELLULAR'!G38</f>
        <v>4.4165179955724438</v>
      </c>
      <c r="P10" s="286">
        <f>'AGG ASIA CELLULAR'!H38</f>
        <v>6.1901299000113985E-2</v>
      </c>
      <c r="S10" s="88"/>
      <c r="T10" s="42"/>
      <c r="U10" s="42"/>
      <c r="V10" s="42"/>
      <c r="W10" s="288"/>
      <c r="X10" s="288"/>
      <c r="Y10" s="288"/>
      <c r="Z10" s="288"/>
      <c r="AA10" s="42"/>
    </row>
    <row r="11" spans="2:44">
      <c r="B11" s="41" t="s">
        <v>878</v>
      </c>
      <c r="C11" s="5"/>
      <c r="D11" s="532">
        <f>$C$9*D10</f>
        <v>32427.223742549999</v>
      </c>
      <c r="E11" s="532">
        <f>$C$9*E10</f>
        <v>32427.223742549999</v>
      </c>
      <c r="F11" s="532">
        <f>$C$9*F10</f>
        <v>32427.223742549999</v>
      </c>
      <c r="G11" s="532">
        <f>$C$9*G10</f>
        <v>32427.223742549999</v>
      </c>
      <c r="H11" s="249"/>
      <c r="I11" s="249"/>
      <c r="J11" s="5" t="s">
        <v>185</v>
      </c>
      <c r="L11" s="529">
        <f>'AGG ASIA CELLULAR'!D39</f>
        <v>12.256315794878686</v>
      </c>
      <c r="M11" s="529">
        <f>'AGG ASIA CELLULAR'!E39</f>
        <v>10.532349001792122</v>
      </c>
      <c r="N11" s="529">
        <f>'AGG ASIA CELLULAR'!F39</f>
        <v>8.8097379743624202</v>
      </c>
      <c r="O11" s="529">
        <f>'AGG ASIA CELLULAR'!G39</f>
        <v>7.3400525025099741</v>
      </c>
      <c r="P11" s="286">
        <f>'AGG ASIA CELLULAR'!H39</f>
        <v>0.11573327430771596</v>
      </c>
      <c r="S11" s="88"/>
      <c r="T11" s="42"/>
      <c r="U11" s="42"/>
      <c r="V11" s="42"/>
      <c r="W11" s="288"/>
      <c r="X11" s="288"/>
      <c r="Y11" s="288"/>
      <c r="Z11" s="288"/>
      <c r="AA11" s="42"/>
    </row>
    <row r="12" spans="2:44">
      <c r="B12" s="5" t="s">
        <v>24</v>
      </c>
      <c r="C12" s="249"/>
      <c r="D12" s="533">
        <v>44952.006999999998</v>
      </c>
      <c r="E12" s="533">
        <v>39502.918638989329</v>
      </c>
      <c r="F12" s="533">
        <v>33398.532080562713</v>
      </c>
      <c r="G12" s="533">
        <v>26842.561713915304</v>
      </c>
      <c r="H12" s="247"/>
      <c r="I12" s="247"/>
      <c r="J12" s="5" t="s">
        <v>466</v>
      </c>
      <c r="L12" s="529">
        <f>'AGG ASIA CELLULAR'!D40</f>
        <v>15.951300793811486</v>
      </c>
      <c r="M12" s="529">
        <f>'AGG ASIA CELLULAR'!E40</f>
        <v>13.847183646795452</v>
      </c>
      <c r="N12" s="529">
        <f>'AGG ASIA CELLULAR'!F40</f>
        <v>11.626709680654198</v>
      </c>
      <c r="O12" s="529">
        <f>'AGG ASIA CELLULAR'!G40</f>
        <v>9.7078389032116537</v>
      </c>
      <c r="P12" s="286">
        <f>'AGG ASIA CELLULAR'!H40</f>
        <v>0.10976572550111241</v>
      </c>
      <c r="S12" s="88"/>
      <c r="T12" s="42"/>
      <c r="U12" s="42"/>
      <c r="V12" s="42"/>
      <c r="W12" s="288"/>
      <c r="X12" s="288"/>
      <c r="Y12" s="288"/>
      <c r="Z12" s="288"/>
      <c r="AA12" s="42"/>
    </row>
    <row r="13" spans="2:44">
      <c r="B13" s="5" t="s">
        <v>529</v>
      </c>
      <c r="C13" s="257"/>
      <c r="D13" s="533">
        <v>0</v>
      </c>
      <c r="E13" s="533">
        <v>0</v>
      </c>
      <c r="F13" s="533">
        <v>0</v>
      </c>
      <c r="G13" s="533">
        <v>0</v>
      </c>
      <c r="H13" s="247"/>
      <c r="I13" s="247"/>
      <c r="J13" s="5" t="s">
        <v>530</v>
      </c>
      <c r="L13" s="529">
        <f>'AGG ASIA CELLULAR'!D41</f>
        <v>1.4274445412547272</v>
      </c>
      <c r="M13" s="529">
        <f>'AGG ASIA CELLULAR'!E41</f>
        <v>1.4179696737537477</v>
      </c>
      <c r="N13" s="529">
        <f>'AGG ASIA CELLULAR'!F41</f>
        <v>1.3450707920768976</v>
      </c>
      <c r="O13" s="529">
        <f>'AGG ASIA CELLULAR'!G41</f>
        <v>1.2618986136137988</v>
      </c>
      <c r="P13" s="286">
        <f>'AGG ASIA CELLULAR'!H41</f>
        <v>-2.0092563683029918E-2</v>
      </c>
      <c r="S13" s="88"/>
      <c r="T13" s="42"/>
      <c r="U13" s="42"/>
      <c r="V13" s="42"/>
      <c r="W13" s="42"/>
      <c r="X13" s="42"/>
      <c r="Y13" s="42"/>
      <c r="Z13" s="42"/>
      <c r="AA13" s="42"/>
    </row>
    <row r="14" spans="2:44">
      <c r="B14" s="5" t="s">
        <v>532</v>
      </c>
      <c r="C14" s="257"/>
      <c r="D14" s="533">
        <v>0</v>
      </c>
      <c r="E14" s="533">
        <f t="shared" ref="E14:G15" si="2">D14</f>
        <v>0</v>
      </c>
      <c r="F14" s="533">
        <f t="shared" si="2"/>
        <v>0</v>
      </c>
      <c r="G14" s="533">
        <f t="shared" si="2"/>
        <v>0</v>
      </c>
      <c r="H14" s="249"/>
      <c r="I14" s="247"/>
      <c r="J14" s="5" t="s">
        <v>593</v>
      </c>
      <c r="L14" s="529">
        <f>'AGG ASIA CELLULAR'!D42</f>
        <v>2.9130695199933734</v>
      </c>
      <c r="M14" s="529">
        <f>'AGG ASIA CELLULAR'!E42</f>
        <v>2.8146219035099969</v>
      </c>
      <c r="N14" s="529">
        <f>'AGG ASIA CELLULAR'!F42</f>
        <v>2.5888583636405476</v>
      </c>
      <c r="O14" s="529">
        <f>'AGG ASIA CELLULAR'!G42</f>
        <v>2.3605815546209548</v>
      </c>
      <c r="P14" s="286">
        <f>'AGG ASIA CELLULAR'!H42</f>
        <v>8.7512202951403051E-3</v>
      </c>
      <c r="S14" s="88"/>
      <c r="T14" s="42"/>
      <c r="U14" s="42"/>
      <c r="V14" s="42"/>
      <c r="W14" s="42"/>
      <c r="X14" s="42"/>
      <c r="Y14" s="42"/>
      <c r="Z14" s="42"/>
      <c r="AA14" s="42"/>
    </row>
    <row r="15" spans="2:44">
      <c r="B15" s="5" t="s">
        <v>531</v>
      </c>
      <c r="C15" s="274"/>
      <c r="D15" s="533">
        <v>0</v>
      </c>
      <c r="E15" s="533">
        <f t="shared" si="2"/>
        <v>0</v>
      </c>
      <c r="F15" s="533">
        <f t="shared" si="2"/>
        <v>0</v>
      </c>
      <c r="G15" s="533">
        <f t="shared" si="2"/>
        <v>0</v>
      </c>
      <c r="H15" s="249"/>
      <c r="I15" s="247"/>
      <c r="J15" s="5" t="s">
        <v>475</v>
      </c>
      <c r="L15" s="529">
        <f>'AGG ASIA CELLULAR'!D43</f>
        <v>19.278364274513134</v>
      </c>
      <c r="M15" s="529">
        <f>'AGG ASIA CELLULAR'!E43</f>
        <v>15.523038202411636</v>
      </c>
      <c r="N15" s="529">
        <f>'AGG ASIA CELLULAR'!F43</f>
        <v>13.257386088679914</v>
      </c>
      <c r="O15" s="529">
        <f>'AGG ASIA CELLULAR'!G43</f>
        <v>11.466142328229227</v>
      </c>
      <c r="P15" s="286">
        <f>'AGG ASIA CELLULAR'!H43</f>
        <v>0.18831027118838706</v>
      </c>
      <c r="S15" s="88"/>
      <c r="T15" s="42"/>
      <c r="U15" s="42"/>
      <c r="V15" s="42"/>
      <c r="W15" s="42"/>
      <c r="X15" s="42"/>
      <c r="Y15" s="42"/>
      <c r="Z15" s="42"/>
      <c r="AA15" s="42"/>
    </row>
    <row r="16" spans="2:44">
      <c r="B16" s="5" t="s">
        <v>534</v>
      </c>
      <c r="C16" s="257"/>
      <c r="D16" s="533">
        <v>0</v>
      </c>
      <c r="E16" s="533">
        <v>0</v>
      </c>
      <c r="F16" s="533">
        <v>1059.603721449555</v>
      </c>
      <c r="G16" s="533">
        <v>2382.1942332962126</v>
      </c>
      <c r="H16" s="247"/>
      <c r="I16" s="247"/>
      <c r="J16" s="5" t="s">
        <v>533</v>
      </c>
      <c r="L16" s="529">
        <f>'AGG ASIA CELLULAR'!D44</f>
        <v>20.50009040888548</v>
      </c>
      <c r="M16" s="529">
        <f>'AGG ASIA CELLULAR'!E44</f>
        <v>17.31807909095523</v>
      </c>
      <c r="N16" s="529">
        <f>'AGG ASIA CELLULAR'!F44</f>
        <v>14.883294016253318</v>
      </c>
      <c r="O16" s="529">
        <f>'AGG ASIA CELLULAR'!G44</f>
        <v>13.16548576425039</v>
      </c>
      <c r="P16" s="286">
        <f>'AGG ASIA CELLULAR'!H44</f>
        <v>0.15839482711139796</v>
      </c>
      <c r="S16" s="88"/>
      <c r="T16" s="42"/>
      <c r="U16" s="42"/>
      <c r="V16" s="42"/>
      <c r="W16" s="42"/>
      <c r="X16" s="42"/>
      <c r="Y16" s="42"/>
      <c r="Z16" s="42"/>
      <c r="AA16" s="42"/>
    </row>
    <row r="17" spans="2:27">
      <c r="B17" s="5" t="s">
        <v>6</v>
      </c>
      <c r="C17" s="257"/>
      <c r="D17" s="533">
        <v>0</v>
      </c>
      <c r="E17" s="533">
        <v>0</v>
      </c>
      <c r="F17" s="533">
        <v>0</v>
      </c>
      <c r="G17" s="533">
        <v>0</v>
      </c>
      <c r="H17" s="247"/>
      <c r="I17" s="247"/>
      <c r="J17" s="5" t="s">
        <v>580</v>
      </c>
      <c r="L17" s="248">
        <f>'AGG ASIA CELLULAR'!D45</f>
        <v>4.174038595528512E-2</v>
      </c>
      <c r="M17" s="248">
        <f>'AGG ASIA CELLULAR'!E45</f>
        <v>4.4792872771489058E-2</v>
      </c>
      <c r="N17" s="248">
        <f>'AGG ASIA CELLULAR'!F45</f>
        <v>5.1203391440393167E-2</v>
      </c>
      <c r="O17" s="248">
        <f>'AGG ASIA CELLULAR'!G45</f>
        <v>5.7913719466381006E-2</v>
      </c>
      <c r="P17" s="286">
        <f>'AGG ASIA CELLULAR'!H45</f>
        <v>0.11470165475568339</v>
      </c>
      <c r="S17" s="88"/>
      <c r="T17" s="42"/>
      <c r="U17" s="42"/>
      <c r="V17" s="42"/>
      <c r="W17" s="42"/>
      <c r="X17" s="42"/>
      <c r="Y17" s="42"/>
      <c r="Z17" s="42"/>
      <c r="AA17" s="42"/>
    </row>
    <row r="18" spans="2:27" ht="12.6" thickBot="1">
      <c r="B18" s="41" t="s">
        <v>583</v>
      </c>
      <c r="C18" s="249"/>
      <c r="D18" s="534">
        <f>D11+D12+D13-D14+D15-D16-D17</f>
        <v>77379.230742549989</v>
      </c>
      <c r="E18" s="534">
        <f>E11+E12+E13-E14+E15-E16-E17</f>
        <v>71930.142381539335</v>
      </c>
      <c r="F18" s="534">
        <f>F11+F12+F13-F14+F15-F16-F17</f>
        <v>64766.152101663152</v>
      </c>
      <c r="G18" s="534">
        <f>G11+G12+G13-G14+G15-G16-G17</f>
        <v>56887.591223169089</v>
      </c>
      <c r="H18" s="276">
        <f>IF(D18=0,"nm",IF(G18=0,"nm",(G18/D18)^(1/3)-1))</f>
        <v>-9.7464321872129389E-2</v>
      </c>
      <c r="I18" s="254"/>
      <c r="J18" s="5" t="s">
        <v>36</v>
      </c>
      <c r="L18" s="248" t="e">
        <f>'AGG ASIA CELLULAR'!D46</f>
        <v>#VALUE!</v>
      </c>
      <c r="M18" s="248" t="e">
        <f>'AGG ASIA CELLULAR'!E46</f>
        <v>#VALUE!</v>
      </c>
      <c r="N18" s="248" t="e">
        <f>'AGG ASIA CELLULAR'!F46</f>
        <v>#VALUE!</v>
      </c>
      <c r="O18" s="248" t="e">
        <f>'AGG ASIA CELLULAR'!G46</f>
        <v>#VALUE!</v>
      </c>
      <c r="P18" s="286" t="e">
        <f>'AGG ASIA CELLULAR'!H46</f>
        <v>#VALUE!</v>
      </c>
      <c r="S18" s="88"/>
      <c r="T18" s="42"/>
      <c r="U18" s="42"/>
      <c r="V18" s="42"/>
      <c r="W18" s="42"/>
      <c r="X18" s="42"/>
      <c r="Y18" s="42"/>
      <c r="Z18" s="42"/>
      <c r="AA18" s="42"/>
    </row>
    <row r="19" spans="2:27" ht="12.6" thickTop="1">
      <c r="B19" s="41"/>
      <c r="C19" s="249"/>
      <c r="D19" s="229"/>
      <c r="E19" s="229"/>
      <c r="F19" s="229"/>
      <c r="G19" s="229"/>
      <c r="H19" s="276"/>
      <c r="I19" s="254"/>
      <c r="J19" s="5" t="s">
        <v>581</v>
      </c>
      <c r="L19" s="248">
        <f>'AGG ASIA CELLULAR'!D47</f>
        <v>5.1871620732991598E-2</v>
      </c>
      <c r="M19" s="248">
        <f>'AGG ASIA CELLULAR'!E47</f>
        <v>6.4420378727447922E-2</v>
      </c>
      <c r="N19" s="248">
        <f>'AGG ASIA CELLULAR'!F47</f>
        <v>7.5429650559386677E-2</v>
      </c>
      <c r="O19" s="248">
        <f>'AGG ASIA CELLULAR'!G47</f>
        <v>8.7213290344219457E-2</v>
      </c>
      <c r="P19" s="286">
        <f>'AGG ASIA CELLULAR'!H47</f>
        <v>0.18831027118838706</v>
      </c>
      <c r="S19" s="88"/>
      <c r="T19" s="42"/>
      <c r="U19" s="42"/>
      <c r="V19" s="42"/>
      <c r="W19" s="42"/>
      <c r="X19" s="42"/>
      <c r="Y19" s="42"/>
      <c r="Z19" s="42"/>
      <c r="AA19" s="42"/>
    </row>
    <row r="20" spans="2:27">
      <c r="H20" s="277"/>
      <c r="I20" s="17"/>
      <c r="J20" s="5" t="s">
        <v>604</v>
      </c>
      <c r="L20" s="305">
        <f>'AGG ASIA CELLULAR'!D48</f>
        <v>0.92045377326476352</v>
      </c>
      <c r="M20" s="305">
        <f>'AGG ASIA CELLULAR'!E48</f>
        <v>0.79490390762892493</v>
      </c>
      <c r="N20" s="305">
        <f>'AGG ASIA CELLULAR'!F48</f>
        <v>0.7763724496707467</v>
      </c>
      <c r="O20" s="305">
        <f>'AGG ASIA CELLULAR'!G48</f>
        <v>0.75978089170129071</v>
      </c>
      <c r="P20" s="286" t="str">
        <f>'AGG ASIA CELLULAR'!H48</f>
        <v>nm</v>
      </c>
      <c r="S20" s="88"/>
      <c r="T20" s="42"/>
      <c r="U20" s="42"/>
      <c r="V20" s="42"/>
      <c r="W20" s="42"/>
      <c r="X20" s="42"/>
      <c r="Y20" s="42"/>
      <c r="Z20" s="42"/>
      <c r="AA20" s="42"/>
    </row>
    <row r="21" spans="2:27" ht="12.6" thickBot="1">
      <c r="B21" s="306" t="s">
        <v>939</v>
      </c>
      <c r="C21" s="265"/>
      <c r="D21" s="265" t="str">
        <f>D5</f>
        <v>2023E</v>
      </c>
      <c r="E21" s="265" t="str">
        <f t="shared" ref="E21:H21" si="3">E5</f>
        <v>2024E</v>
      </c>
      <c r="F21" s="265" t="str">
        <f t="shared" si="3"/>
        <v>2025E</v>
      </c>
      <c r="G21" s="265" t="str">
        <f t="shared" si="3"/>
        <v>2026E</v>
      </c>
      <c r="H21" s="265" t="str">
        <f t="shared" si="3"/>
        <v>23E-26E</v>
      </c>
      <c r="I21" s="49"/>
      <c r="J21" s="41"/>
      <c r="L21" s="250"/>
      <c r="M21" s="250"/>
      <c r="N21" s="250"/>
      <c r="O21" s="250"/>
      <c r="P21" s="286"/>
      <c r="S21" s="88"/>
      <c r="T21" s="42"/>
      <c r="U21" s="42"/>
      <c r="V21" s="42"/>
      <c r="W21" s="42"/>
      <c r="X21" s="42"/>
      <c r="Y21" s="42"/>
      <c r="Z21" s="42"/>
      <c r="AA21" s="42"/>
    </row>
    <row r="22" spans="2:27" ht="12.6" thickTop="1">
      <c r="B22" s="5"/>
      <c r="C22" s="257"/>
      <c r="D22" s="17"/>
      <c r="E22" s="17"/>
      <c r="F22" s="17"/>
      <c r="G22" s="17"/>
      <c r="H22" s="17"/>
      <c r="I22" s="17"/>
      <c r="P22" s="277"/>
      <c r="S22" s="88"/>
      <c r="T22" s="42"/>
      <c r="U22" s="42"/>
      <c r="V22" s="42"/>
      <c r="W22" s="42"/>
      <c r="X22" s="42"/>
      <c r="Y22" s="42"/>
      <c r="Z22" s="42"/>
      <c r="AA22" s="42"/>
    </row>
    <row r="23" spans="2:27" ht="12.6" thickBot="1">
      <c r="B23" s="5" t="s">
        <v>584</v>
      </c>
      <c r="C23" s="548">
        <v>29141.994000000002</v>
      </c>
      <c r="D23" s="540">
        <v>32322.651000000005</v>
      </c>
      <c r="E23" s="540">
        <v>34831.63273179438</v>
      </c>
      <c r="F23" s="540">
        <v>36525.351170781083</v>
      </c>
      <c r="G23" s="540">
        <v>38257.578498786577</v>
      </c>
      <c r="H23" s="279">
        <f t="shared" ref="H23:H33" si="4">IF(D23=0,"nm",IF(G23=0,"nm",(G23/D23)^(1/3)-1))</f>
        <v>5.7799851407760672E-2</v>
      </c>
      <c r="I23" s="247"/>
      <c r="J23" s="306" t="s">
        <v>9</v>
      </c>
      <c r="K23" s="306"/>
      <c r="L23" s="265" t="str">
        <f>D21</f>
        <v>2023E</v>
      </c>
      <c r="M23" s="265" t="str">
        <f t="shared" ref="M23:P23" si="5">E21</f>
        <v>2024E</v>
      </c>
      <c r="N23" s="265" t="str">
        <f t="shared" si="5"/>
        <v>2025E</v>
      </c>
      <c r="O23" s="265" t="str">
        <f t="shared" si="5"/>
        <v>2026E</v>
      </c>
      <c r="P23" s="265" t="str">
        <f t="shared" si="5"/>
        <v>23E-26E</v>
      </c>
      <c r="S23" s="88"/>
      <c r="T23" s="42"/>
      <c r="U23" s="42"/>
      <c r="V23" s="42"/>
      <c r="W23" s="42"/>
      <c r="X23" s="42"/>
      <c r="Y23" s="42"/>
      <c r="Z23" s="42"/>
      <c r="AA23" s="42"/>
    </row>
    <row r="24" spans="2:27" ht="12.6" thickTop="1">
      <c r="B24" s="5" t="s">
        <v>483</v>
      </c>
      <c r="C24" s="549">
        <v>14235</v>
      </c>
      <c r="D24" s="540">
        <v>15885</v>
      </c>
      <c r="E24" s="540">
        <v>17673.172614048377</v>
      </c>
      <c r="F24" s="540">
        <v>18569.071356133594</v>
      </c>
      <c r="G24" s="540">
        <v>19487.973523328637</v>
      </c>
      <c r="H24" s="279">
        <f t="shared" si="4"/>
        <v>7.0515978419444014E-2</v>
      </c>
      <c r="I24" s="249"/>
      <c r="J24" s="17"/>
      <c r="K24" s="17"/>
      <c r="L24" s="17"/>
      <c r="M24" s="17"/>
      <c r="N24" s="17"/>
      <c r="O24" s="248"/>
      <c r="S24" s="88"/>
      <c r="T24" s="42"/>
      <c r="U24" s="42"/>
      <c r="V24" s="42"/>
      <c r="W24" s="42" t="s">
        <v>358</v>
      </c>
      <c r="X24" s="42" t="s">
        <v>257</v>
      </c>
      <c r="Y24" s="42"/>
      <c r="Z24" s="42"/>
      <c r="AA24" s="42"/>
    </row>
    <row r="25" spans="2:27">
      <c r="B25" s="5" t="s">
        <v>183</v>
      </c>
      <c r="C25" s="548">
        <v>5172</v>
      </c>
      <c r="D25" s="540">
        <v>8727</v>
      </c>
      <c r="E25" s="540">
        <v>9487.7389220766981</v>
      </c>
      <c r="F25" s="540">
        <v>10350.867342707852</v>
      </c>
      <c r="G25" s="540">
        <v>10880.018361101658</v>
      </c>
      <c r="H25" s="279">
        <f t="shared" si="4"/>
        <v>7.6270782791585834E-2</v>
      </c>
      <c r="I25" s="248"/>
      <c r="J25" s="247" t="s">
        <v>10</v>
      </c>
      <c r="K25" s="247"/>
      <c r="L25" s="321">
        <v>0</v>
      </c>
      <c r="M25" s="321">
        <v>0</v>
      </c>
      <c r="N25" s="321">
        <v>0</v>
      </c>
      <c r="O25" s="321">
        <v>0</v>
      </c>
      <c r="P25" s="279" t="str">
        <f>IF(L25=0,"nm",IF(O25=0,"nm",(O25/L25)^(1/3)-1))</f>
        <v>nm</v>
      </c>
      <c r="S25" s="88"/>
      <c r="T25" s="42"/>
      <c r="U25" s="42"/>
      <c r="V25" s="147" t="s">
        <v>273</v>
      </c>
      <c r="W25" s="288">
        <f>D37/L9</f>
        <v>1.1491306176443794</v>
      </c>
      <c r="X25" s="288">
        <v>1</v>
      </c>
      <c r="Y25" s="42"/>
      <c r="Z25" s="42"/>
      <c r="AA25" s="42"/>
    </row>
    <row r="26" spans="2:27">
      <c r="B26" s="5" t="s">
        <v>586</v>
      </c>
      <c r="C26" s="548">
        <v>3879</v>
      </c>
      <c r="D26" s="540">
        <v>6545.25</v>
      </c>
      <c r="E26" s="540">
        <v>7115.8041915575232</v>
      </c>
      <c r="F26" s="540">
        <v>7763.1505070308885</v>
      </c>
      <c r="G26" s="540">
        <v>8160.0137708262437</v>
      </c>
      <c r="H26" s="279">
        <f t="shared" si="4"/>
        <v>7.6270782791585834E-2</v>
      </c>
      <c r="I26" s="249"/>
      <c r="J26" s="249" t="s">
        <v>11</v>
      </c>
      <c r="K26" s="249"/>
      <c r="L26" s="281">
        <f>D11+L25</f>
        <v>32427.223742549999</v>
      </c>
      <c r="M26" s="281">
        <f>E11+M25</f>
        <v>32427.223742549999</v>
      </c>
      <c r="N26" s="281">
        <f>F11+N25</f>
        <v>32427.223742549999</v>
      </c>
      <c r="O26" s="281">
        <f>G11+O25</f>
        <v>32427.223742549999</v>
      </c>
      <c r="P26" s="279">
        <f>IF(L26=0,"nm",IF(O26=0,"nm",(O26/L26)^(1/3)-1))</f>
        <v>0</v>
      </c>
      <c r="Q26" s="5"/>
      <c r="S26" s="88"/>
      <c r="T26" s="42"/>
      <c r="U26" s="42"/>
      <c r="V26" s="147" t="s">
        <v>184</v>
      </c>
      <c r="W26" s="288">
        <f t="shared" ref="W26:W33" si="6">D38/L10</f>
        <v>0.76616993791234322</v>
      </c>
      <c r="X26" s="288">
        <v>1</v>
      </c>
      <c r="Y26" s="42"/>
      <c r="Z26" s="42"/>
      <c r="AA26" s="42"/>
    </row>
    <row r="27" spans="2:27">
      <c r="B27" s="5" t="s">
        <v>587</v>
      </c>
      <c r="C27" s="549">
        <v>64549.885999999999</v>
      </c>
      <c r="D27" s="540">
        <v>71456.782999999996</v>
      </c>
      <c r="E27" s="540">
        <v>66832.169967294612</v>
      </c>
      <c r="F27" s="540">
        <v>61787.387130317555</v>
      </c>
      <c r="G27" s="540">
        <v>56554.007275516808</v>
      </c>
      <c r="H27" s="279">
        <f t="shared" si="4"/>
        <v>-7.50037451352219E-2</v>
      </c>
      <c r="I27" s="249"/>
      <c r="J27" s="248"/>
      <c r="K27" s="248"/>
      <c r="L27" s="248"/>
      <c r="M27" s="248"/>
      <c r="N27" s="248"/>
      <c r="O27" s="248"/>
      <c r="Q27" s="41"/>
      <c r="S27" s="88"/>
      <c r="T27" s="42"/>
      <c r="U27" s="42"/>
      <c r="V27" s="147" t="s">
        <v>185</v>
      </c>
      <c r="W27" s="288">
        <f t="shared" si="6"/>
        <v>0.72343495552576298</v>
      </c>
      <c r="X27" s="288">
        <v>1</v>
      </c>
      <c r="Y27" s="42"/>
      <c r="Z27" s="42"/>
      <c r="AA27" s="42"/>
    </row>
    <row r="28" spans="2:27" ht="12.6" thickBot="1">
      <c r="B28" s="5" t="s">
        <v>592</v>
      </c>
      <c r="C28" s="548">
        <v>60473.629000000001</v>
      </c>
      <c r="D28" s="540">
        <v>63890.453999999998</v>
      </c>
      <c r="E28" s="540">
        <v>59915.440645840223</v>
      </c>
      <c r="F28" s="540">
        <v>55425.31734557281</v>
      </c>
      <c r="G28" s="540">
        <v>50751.081516624836</v>
      </c>
      <c r="H28" s="279">
        <f t="shared" si="4"/>
        <v>-7.3874641728225221E-2</v>
      </c>
      <c r="I28" s="248"/>
      <c r="J28" s="306" t="s">
        <v>1362</v>
      </c>
      <c r="K28" s="306"/>
      <c r="L28" s="306"/>
      <c r="M28" s="306"/>
      <c r="N28" s="266"/>
      <c r="O28" s="266"/>
      <c r="P28" s="266"/>
      <c r="Q28" s="5"/>
      <c r="S28" s="88"/>
      <c r="T28" s="42"/>
      <c r="U28" s="42"/>
      <c r="V28" s="147" t="s">
        <v>466</v>
      </c>
      <c r="W28" s="288">
        <f t="shared" si="6"/>
        <v>0.74114309017504076</v>
      </c>
      <c r="X28" s="288">
        <v>1</v>
      </c>
      <c r="Y28" s="42"/>
      <c r="Z28" s="42"/>
      <c r="AA28" s="42"/>
    </row>
    <row r="29" spans="2:27" ht="12.6" thickTop="1">
      <c r="B29" s="5" t="s">
        <v>588</v>
      </c>
      <c r="C29" s="548">
        <v>2683.7669999999998</v>
      </c>
      <c r="D29" s="540">
        <v>5474.2060000000001</v>
      </c>
      <c r="E29" s="540">
        <v>5981.3843607703438</v>
      </c>
      <c r="F29" s="540">
        <v>6966.7510931665292</v>
      </c>
      <c r="G29" s="540">
        <v>7676.8372026412944</v>
      </c>
      <c r="H29" s="279">
        <f t="shared" si="4"/>
        <v>0.11931862816894312</v>
      </c>
      <c r="I29" s="252"/>
      <c r="J29" s="249"/>
      <c r="K29" s="249"/>
      <c r="L29" s="249"/>
      <c r="M29" s="249"/>
      <c r="N29" s="249"/>
      <c r="O29" s="251"/>
      <c r="Q29" s="5"/>
      <c r="S29" s="88"/>
      <c r="T29" s="42"/>
      <c r="U29" s="42"/>
      <c r="V29" s="147" t="s">
        <v>530</v>
      </c>
      <c r="W29" s="288">
        <f t="shared" si="6"/>
        <v>0.75861548525568179</v>
      </c>
      <c r="X29" s="288">
        <v>1</v>
      </c>
      <c r="Y29" s="42"/>
      <c r="Z29" s="42"/>
      <c r="AA29" s="42"/>
    </row>
    <row r="30" spans="2:27">
      <c r="B30" s="5" t="s">
        <v>589</v>
      </c>
      <c r="C30" s="549">
        <v>1182.4709999999998</v>
      </c>
      <c r="D30" s="540">
        <v>1284.4480000000001</v>
      </c>
      <c r="E30" s="540">
        <v>1648.9506566105767</v>
      </c>
      <c r="F30" s="540">
        <v>2119.20744289911</v>
      </c>
      <c r="G30" s="540">
        <v>2645.1810236933147</v>
      </c>
      <c r="H30" s="279">
        <f t="shared" si="4"/>
        <v>0.27227098780169845</v>
      </c>
      <c r="I30" s="254"/>
      <c r="J30" s="248"/>
      <c r="K30" s="248"/>
      <c r="L30" s="248"/>
      <c r="M30" s="248"/>
      <c r="N30" s="248"/>
      <c r="O30" s="5"/>
      <c r="Q30" s="5"/>
      <c r="S30" s="88"/>
      <c r="T30" s="42"/>
      <c r="U30" s="42"/>
      <c r="V30" s="147" t="s">
        <v>593</v>
      </c>
      <c r="W30" s="288">
        <f t="shared" si="6"/>
        <v>0.41575509927280668</v>
      </c>
      <c r="X30" s="288">
        <v>1</v>
      </c>
      <c r="Y30" s="42"/>
      <c r="Z30" s="42"/>
      <c r="AA30" s="42"/>
    </row>
    <row r="31" spans="2:27">
      <c r="B31" s="5" t="s">
        <v>590</v>
      </c>
      <c r="C31" s="549">
        <v>551.39408792999996</v>
      </c>
      <c r="D31" s="540">
        <v>638.04173031899995</v>
      </c>
      <c r="E31" s="540">
        <v>824.47532830528837</v>
      </c>
      <c r="F31" s="540">
        <v>1059.6037214495548</v>
      </c>
      <c r="G31" s="540">
        <v>1322.5905118466574</v>
      </c>
      <c r="H31" s="279">
        <f t="shared" si="4"/>
        <v>0.27504478570969981</v>
      </c>
      <c r="I31" s="254"/>
      <c r="J31" s="252"/>
      <c r="K31" s="252"/>
      <c r="L31" s="252"/>
      <c r="M31" s="252"/>
      <c r="N31" s="252"/>
      <c r="O31" s="5"/>
      <c r="Q31" s="5"/>
      <c r="S31" s="88"/>
      <c r="T31" s="42"/>
      <c r="U31" s="42"/>
      <c r="V31" s="147" t="s">
        <v>475</v>
      </c>
      <c r="W31" s="288">
        <f t="shared" si="6"/>
        <v>0.30726878955549242</v>
      </c>
      <c r="X31" s="288">
        <v>1</v>
      </c>
      <c r="Y31" s="42"/>
      <c r="Z31" s="42"/>
      <c r="AA31" s="42"/>
    </row>
    <row r="32" spans="2:27">
      <c r="B32" s="5" t="s">
        <v>606</v>
      </c>
      <c r="C32" s="550">
        <v>0</v>
      </c>
      <c r="D32" s="540">
        <v>0</v>
      </c>
      <c r="E32" s="540">
        <v>0</v>
      </c>
      <c r="F32" s="540">
        <v>0</v>
      </c>
      <c r="G32" s="540">
        <v>0</v>
      </c>
      <c r="H32" s="279" t="str">
        <f t="shared" si="4"/>
        <v>nm</v>
      </c>
      <c r="I32" s="254"/>
      <c r="J32" s="254"/>
      <c r="K32" s="254"/>
      <c r="L32" s="254"/>
      <c r="M32" s="254"/>
      <c r="N32" s="254"/>
      <c r="O32" s="251"/>
      <c r="Q32" s="5"/>
      <c r="S32" s="88"/>
      <c r="T32" s="42"/>
      <c r="U32" s="42"/>
      <c r="V32" s="147" t="s">
        <v>533</v>
      </c>
      <c r="W32" s="288">
        <f t="shared" si="6"/>
        <v>1.231508645147817</v>
      </c>
      <c r="X32" s="288">
        <v>1</v>
      </c>
      <c r="Y32" s="42"/>
      <c r="Z32" s="42"/>
      <c r="AA32" s="42"/>
    </row>
    <row r="33" spans="2:27">
      <c r="B33" s="5" t="s">
        <v>5</v>
      </c>
      <c r="C33" s="549">
        <v>-2664.9569999999999</v>
      </c>
      <c r="D33" s="540">
        <v>-2839.8829999999998</v>
      </c>
      <c r="E33" s="540">
        <v>-2843.7431621806732</v>
      </c>
      <c r="F33" s="540">
        <v>-2518.3902767253976</v>
      </c>
      <c r="G33" s="540">
        <v>-2110.679491767854</v>
      </c>
      <c r="H33" s="279">
        <f t="shared" si="4"/>
        <v>-9.4182693288333064E-2</v>
      </c>
      <c r="I33" s="5"/>
      <c r="J33" s="254"/>
      <c r="K33" s="254"/>
      <c r="L33" s="254"/>
      <c r="M33" s="254"/>
      <c r="N33" s="254"/>
      <c r="O33" s="251"/>
      <c r="Q33" s="5"/>
      <c r="S33" s="88"/>
      <c r="T33" s="42"/>
      <c r="U33" s="42"/>
      <c r="V33" s="147" t="s">
        <v>580</v>
      </c>
      <c r="W33" s="288">
        <f t="shared" si="6"/>
        <v>0.47139270301434577</v>
      </c>
      <c r="X33" s="288">
        <v>1</v>
      </c>
      <c r="Y33" s="42"/>
      <c r="Z33" s="42"/>
      <c r="AA33" s="42"/>
    </row>
    <row r="34" spans="2:27">
      <c r="H34" s="277"/>
      <c r="I34" s="49"/>
      <c r="J34" s="254"/>
      <c r="K34" s="254"/>
      <c r="L34" s="254"/>
      <c r="M34" s="254"/>
      <c r="N34" s="254"/>
      <c r="O34" s="251"/>
      <c r="Q34" s="5"/>
      <c r="S34" s="88"/>
      <c r="T34" s="42"/>
      <c r="U34" s="42"/>
      <c r="V34" s="147" t="s">
        <v>581</v>
      </c>
      <c r="W34" s="288">
        <f>D47/L19</f>
        <v>3.2544795761607967</v>
      </c>
      <c r="X34" s="288">
        <v>1</v>
      </c>
      <c r="Y34" s="288"/>
      <c r="Z34" s="288"/>
      <c r="AA34" s="42"/>
    </row>
    <row r="35" spans="2:27" ht="12.6" thickBot="1">
      <c r="B35" s="306" t="s">
        <v>232</v>
      </c>
      <c r="C35" s="265"/>
      <c r="D35" s="265" t="str">
        <f>D5</f>
        <v>2023E</v>
      </c>
      <c r="E35" s="265" t="str">
        <f t="shared" ref="E35:H35" si="7">E5</f>
        <v>2024E</v>
      </c>
      <c r="F35" s="265" t="str">
        <f t="shared" si="7"/>
        <v>2025E</v>
      </c>
      <c r="G35" s="265" t="str">
        <f t="shared" si="7"/>
        <v>2026E</v>
      </c>
      <c r="H35" s="265" t="str">
        <f t="shared" si="7"/>
        <v>23E-26E</v>
      </c>
      <c r="I35" s="254"/>
      <c r="J35" s="5"/>
      <c r="K35" s="5"/>
      <c r="L35" s="5"/>
      <c r="M35" s="5"/>
      <c r="N35" s="5"/>
      <c r="O35" s="5"/>
      <c r="Q35" s="5"/>
      <c r="S35" s="88"/>
      <c r="T35" s="42"/>
      <c r="U35" s="42"/>
      <c r="V35" s="42"/>
      <c r="W35" s="42"/>
      <c r="X35" s="42"/>
      <c r="Y35" s="288"/>
      <c r="Z35" s="288"/>
      <c r="AA35" s="42"/>
    </row>
    <row r="36" spans="2:27" ht="12.6" thickTop="1">
      <c r="B36" s="41"/>
      <c r="C36" s="249"/>
      <c r="D36" s="254"/>
      <c r="E36" s="254"/>
      <c r="F36" s="254"/>
      <c r="G36" s="254"/>
      <c r="H36" s="254"/>
      <c r="I36" s="17"/>
      <c r="J36" s="49"/>
      <c r="K36" s="49"/>
      <c r="L36" s="49"/>
      <c r="M36" s="49"/>
      <c r="N36" s="49"/>
      <c r="O36" s="49"/>
      <c r="Q36" s="5"/>
      <c r="S36" s="88"/>
      <c r="T36" s="42"/>
      <c r="U36" s="42"/>
      <c r="V36" s="42"/>
      <c r="W36" s="42"/>
      <c r="X36" s="42"/>
      <c r="Y36" s="288"/>
      <c r="Z36" s="288"/>
      <c r="AA36" s="42"/>
    </row>
    <row r="37" spans="2:27">
      <c r="B37" s="5" t="s">
        <v>273</v>
      </c>
      <c r="C37" s="247"/>
      <c r="D37" s="529">
        <f t="shared" ref="D37:G41" si="8">D$18/D23</f>
        <v>2.3939630057741854</v>
      </c>
      <c r="E37" s="529">
        <f t="shared" si="8"/>
        <v>2.0650809835819546</v>
      </c>
      <c r="F37" s="529">
        <f t="shared" si="8"/>
        <v>1.7731835567805205</v>
      </c>
      <c r="G37" s="529">
        <f t="shared" si="8"/>
        <v>1.4869626739437627</v>
      </c>
      <c r="H37" s="17">
        <f t="shared" ref="H37:H45" si="9">H23</f>
        <v>5.7799851407760672E-2</v>
      </c>
      <c r="I37" s="5"/>
      <c r="J37" s="259"/>
      <c r="K37" s="259"/>
      <c r="L37" s="259"/>
      <c r="M37" s="259"/>
      <c r="N37" s="259"/>
      <c r="O37" s="18"/>
      <c r="Q37" s="5"/>
      <c r="R37" s="5"/>
      <c r="S37" s="42"/>
      <c r="T37" s="42"/>
      <c r="U37" s="42"/>
      <c r="V37" s="42"/>
      <c r="W37" s="42"/>
      <c r="X37" s="42"/>
      <c r="Y37" s="42"/>
      <c r="Z37" s="42"/>
      <c r="AA37" s="42"/>
    </row>
    <row r="38" spans="2:27">
      <c r="B38" s="5" t="s">
        <v>184</v>
      </c>
      <c r="C38" s="247"/>
      <c r="D38" s="529">
        <f t="shared" si="8"/>
        <v>4.871213770384009</v>
      </c>
      <c r="E38" s="529">
        <f t="shared" si="8"/>
        <v>4.0700186634493782</v>
      </c>
      <c r="F38" s="529">
        <f t="shared" si="8"/>
        <v>3.4878508924610325</v>
      </c>
      <c r="G38" s="529">
        <f t="shared" si="8"/>
        <v>2.9191127109789106</v>
      </c>
      <c r="H38" s="17">
        <f t="shared" si="9"/>
        <v>7.0515978419444014E-2</v>
      </c>
      <c r="I38" s="259"/>
      <c r="J38" s="17"/>
      <c r="K38" s="17"/>
      <c r="L38" s="17"/>
      <c r="M38" s="17"/>
      <c r="N38" s="17"/>
      <c r="O38" s="5"/>
      <c r="Q38" s="5"/>
      <c r="R38" s="5"/>
      <c r="S38" s="42"/>
      <c r="T38" s="42"/>
      <c r="U38" s="42"/>
      <c r="V38" s="42"/>
      <c r="W38" s="42"/>
      <c r="X38" s="42"/>
      <c r="Y38" s="42"/>
      <c r="Z38" s="42"/>
      <c r="AA38" s="42"/>
    </row>
    <row r="39" spans="2:27">
      <c r="B39" s="5" t="s">
        <v>185</v>
      </c>
      <c r="C39" s="247"/>
      <c r="D39" s="529">
        <f t="shared" si="8"/>
        <v>8.8666472719777687</v>
      </c>
      <c r="E39" s="529">
        <f t="shared" si="8"/>
        <v>7.5813787639294672</v>
      </c>
      <c r="F39" s="529">
        <f t="shared" si="8"/>
        <v>6.2570748863176835</v>
      </c>
      <c r="G39" s="529">
        <f t="shared" si="8"/>
        <v>5.2286300753456567</v>
      </c>
      <c r="H39" s="17">
        <f t="shared" si="9"/>
        <v>7.6270782791585834E-2</v>
      </c>
      <c r="I39" s="17"/>
      <c r="J39" s="5"/>
      <c r="K39" s="5"/>
      <c r="L39" s="5"/>
      <c r="M39" s="5"/>
      <c r="N39" s="5"/>
      <c r="O39" s="5"/>
      <c r="Q39" s="5"/>
      <c r="R39" s="5"/>
      <c r="S39" s="42"/>
      <c r="T39" s="42"/>
      <c r="U39" s="42"/>
      <c r="V39" s="42"/>
      <c r="W39" s="42"/>
      <c r="X39" s="42"/>
      <c r="Y39" s="42"/>
      <c r="Z39" s="42"/>
      <c r="AA39" s="42"/>
    </row>
    <row r="40" spans="2:27">
      <c r="B40" s="5" t="s">
        <v>466</v>
      </c>
      <c r="C40" s="247"/>
      <c r="D40" s="529">
        <f t="shared" si="8"/>
        <v>11.822196362637026</v>
      </c>
      <c r="E40" s="529">
        <f t="shared" si="8"/>
        <v>10.108505018572624</v>
      </c>
      <c r="F40" s="529">
        <f t="shared" si="8"/>
        <v>8.3427665150902452</v>
      </c>
      <c r="G40" s="529">
        <f t="shared" si="8"/>
        <v>6.9715067671275417</v>
      </c>
      <c r="H40" s="17">
        <f t="shared" si="9"/>
        <v>7.6270782791585834E-2</v>
      </c>
      <c r="I40" s="5"/>
      <c r="J40" s="259"/>
      <c r="K40" s="259"/>
      <c r="L40" s="259"/>
      <c r="M40" s="259"/>
      <c r="N40" s="259"/>
      <c r="O40" s="18"/>
      <c r="Q40" s="5"/>
      <c r="R40" s="5"/>
      <c r="S40" s="42"/>
      <c r="T40" s="42"/>
      <c r="U40" s="42"/>
      <c r="V40" s="42"/>
      <c r="W40" s="288"/>
      <c r="X40" s="288"/>
      <c r="Y40" s="42"/>
      <c r="Z40" s="42"/>
      <c r="AA40" s="42"/>
    </row>
    <row r="41" spans="2:27">
      <c r="B41" s="5" t="s">
        <v>530</v>
      </c>
      <c r="C41" s="247"/>
      <c r="D41" s="529">
        <f t="shared" si="8"/>
        <v>1.082881533339529</v>
      </c>
      <c r="E41" s="529">
        <f t="shared" si="8"/>
        <v>1.0762802167988783</v>
      </c>
      <c r="F41" s="529">
        <f t="shared" si="8"/>
        <v>1.0482099196889973</v>
      </c>
      <c r="G41" s="529">
        <f t="shared" si="8"/>
        <v>1.0058985024001419</v>
      </c>
      <c r="H41" s="17">
        <f t="shared" si="9"/>
        <v>-7.50037451352219E-2</v>
      </c>
      <c r="I41" s="247"/>
      <c r="J41" s="17"/>
      <c r="K41" s="17"/>
      <c r="L41" s="17"/>
      <c r="M41" s="17"/>
      <c r="N41" s="17"/>
      <c r="O41" s="5"/>
      <c r="Q41" s="5"/>
      <c r="R41" s="5"/>
      <c r="S41" s="42"/>
      <c r="T41" s="42"/>
      <c r="U41" s="42"/>
      <c r="V41" s="42"/>
      <c r="W41" s="288"/>
      <c r="X41" s="288"/>
      <c r="Y41" s="288"/>
      <c r="Z41" s="288"/>
      <c r="AA41" s="42"/>
    </row>
    <row r="42" spans="2:27">
      <c r="B42" s="5" t="s">
        <v>593</v>
      </c>
      <c r="C42" s="247"/>
      <c r="D42" s="529">
        <f>D18/D28</f>
        <v>1.2111235074734323</v>
      </c>
      <c r="E42" s="529">
        <f>E18/E28</f>
        <v>1.2005276370529916</v>
      </c>
      <c r="F42" s="529">
        <f>F18/F28</f>
        <v>1.1685301086839237</v>
      </c>
      <c r="G42" s="529">
        <f>G18/G28</f>
        <v>1.1209138706637036</v>
      </c>
      <c r="H42" s="17">
        <f t="shared" si="9"/>
        <v>-7.3874641728225221E-2</v>
      </c>
      <c r="I42" s="248"/>
      <c r="J42" s="5"/>
      <c r="K42" s="5"/>
      <c r="L42" s="5"/>
      <c r="M42" s="5"/>
      <c r="N42" s="5"/>
      <c r="O42" s="5"/>
      <c r="Q42" s="5"/>
      <c r="R42" s="5"/>
      <c r="S42" s="42"/>
      <c r="T42" s="42"/>
      <c r="U42" s="42"/>
      <c r="V42" s="42"/>
      <c r="W42" s="288"/>
      <c r="X42" s="288"/>
      <c r="Y42" s="288"/>
      <c r="Z42" s="288"/>
      <c r="AA42" s="42"/>
    </row>
    <row r="43" spans="2:27">
      <c r="B43" s="5" t="s">
        <v>475</v>
      </c>
      <c r="C43" s="247"/>
      <c r="D43" s="529">
        <f>L26/D29</f>
        <v>5.9236396552394996</v>
      </c>
      <c r="E43" s="529">
        <f>M26/E29</f>
        <v>5.4213576300543389</v>
      </c>
      <c r="F43" s="529">
        <f>N26/F29</f>
        <v>4.6545690105617323</v>
      </c>
      <c r="G43" s="529">
        <f>O26/G29</f>
        <v>4.2240343108217902</v>
      </c>
      <c r="H43" s="17">
        <f t="shared" si="9"/>
        <v>0.11931862816894312</v>
      </c>
      <c r="I43" s="247"/>
      <c r="J43" s="247"/>
      <c r="K43" s="247"/>
      <c r="L43" s="247"/>
      <c r="M43" s="247"/>
      <c r="N43" s="247"/>
      <c r="O43" s="18"/>
      <c r="Q43" s="5"/>
      <c r="R43" s="5"/>
      <c r="S43" s="42"/>
      <c r="T43" s="42"/>
      <c r="U43" s="42"/>
      <c r="V43" s="42"/>
      <c r="W43" s="288"/>
      <c r="X43" s="288"/>
      <c r="Y43" s="288"/>
      <c r="Z43" s="288"/>
      <c r="AA43" s="42"/>
    </row>
    <row r="44" spans="2:27">
      <c r="B44" s="5" t="s">
        <v>533</v>
      </c>
      <c r="C44" s="69"/>
      <c r="D44" s="529">
        <f>D11/D30</f>
        <v>25.246038564854317</v>
      </c>
      <c r="E44" s="529">
        <f>E11/E30</f>
        <v>19.665369374487081</v>
      </c>
      <c r="F44" s="529">
        <f>F11/F30</f>
        <v>15.301580716510241</v>
      </c>
      <c r="G44" s="529">
        <f>G11/G30</f>
        <v>12.258980936311771</v>
      </c>
      <c r="H44" s="17">
        <f t="shared" si="9"/>
        <v>0.27227098780169845</v>
      </c>
      <c r="I44" s="247"/>
      <c r="J44" s="248"/>
      <c r="K44" s="248"/>
      <c r="L44" s="248"/>
      <c r="M44" s="248"/>
      <c r="N44" s="248"/>
      <c r="O44" s="248"/>
      <c r="Q44" s="5"/>
      <c r="R44" s="5"/>
      <c r="S44" s="42"/>
      <c r="T44" s="42"/>
      <c r="U44" s="42"/>
      <c r="V44" s="42"/>
      <c r="W44" s="325"/>
      <c r="X44" s="325"/>
      <c r="Y44" s="288"/>
      <c r="Z44" s="288"/>
      <c r="AA44" s="42"/>
    </row>
    <row r="45" spans="2:27">
      <c r="B45" s="5" t="s">
        <v>580</v>
      </c>
      <c r="C45" s="247"/>
      <c r="D45" s="248">
        <f>D31/D11</f>
        <v>1.9676113360323887E-2</v>
      </c>
      <c r="E45" s="248">
        <f>E31/E11</f>
        <v>2.5425405975271247E-2</v>
      </c>
      <c r="F45" s="248">
        <f>F31/F11</f>
        <v>3.2676362610073693E-2</v>
      </c>
      <c r="G45" s="248">
        <f>G31/G11</f>
        <v>4.0786424466896162E-2</v>
      </c>
      <c r="H45" s="17">
        <f t="shared" si="9"/>
        <v>0.27504478570969981</v>
      </c>
      <c r="I45" s="248"/>
      <c r="J45" s="247"/>
      <c r="K45" s="247"/>
      <c r="L45" s="247"/>
      <c r="M45" s="247"/>
      <c r="N45" s="247"/>
      <c r="O45" s="248"/>
      <c r="Q45" s="5"/>
      <c r="R45" s="5"/>
      <c r="S45" s="42"/>
      <c r="T45" s="42"/>
      <c r="U45" s="42"/>
      <c r="V45" s="42"/>
      <c r="W45" s="42"/>
      <c r="X45" s="42"/>
      <c r="Y45" s="325"/>
      <c r="Z45" s="325"/>
      <c r="AA45" s="42"/>
    </row>
    <row r="46" spans="2:27">
      <c r="B46" s="5" t="s">
        <v>605</v>
      </c>
      <c r="C46" s="247"/>
      <c r="D46" s="248">
        <f>(D31+D32)/D11</f>
        <v>1.9676113360323887E-2</v>
      </c>
      <c r="E46" s="248">
        <f>(E31+E32)/E11</f>
        <v>2.5425405975271247E-2</v>
      </c>
      <c r="F46" s="248">
        <f>(F31+F32)/F11</f>
        <v>3.2676362610073693E-2</v>
      </c>
      <c r="G46" s="248">
        <f>(G31+G32)/G11</f>
        <v>4.0786424466896162E-2</v>
      </c>
      <c r="H46" s="279">
        <f>((G31+G32)/(D31+D32))^(1/3)-1</f>
        <v>0.27504478570969981</v>
      </c>
      <c r="I46" s="247"/>
      <c r="J46" s="247"/>
      <c r="K46" s="247"/>
      <c r="L46" s="247"/>
      <c r="M46" s="247"/>
      <c r="N46" s="247"/>
      <c r="O46" s="18"/>
      <c r="Q46" s="5"/>
      <c r="R46" s="5"/>
      <c r="S46" s="42"/>
      <c r="T46" s="42"/>
      <c r="U46" s="42"/>
      <c r="V46" s="42"/>
      <c r="W46" s="42"/>
      <c r="X46" s="42"/>
      <c r="Y46" s="42"/>
      <c r="Z46" s="42"/>
      <c r="AA46" s="326"/>
    </row>
    <row r="47" spans="2:27">
      <c r="B47" s="5" t="s">
        <v>581</v>
      </c>
      <c r="C47" s="5"/>
      <c r="D47" s="248">
        <f>1/D43</f>
        <v>0.16881513025788009</v>
      </c>
      <c r="E47" s="248">
        <f>1/E43</f>
        <v>0.18445564160097236</v>
      </c>
      <c r="F47" s="248">
        <f>1/F43</f>
        <v>0.21484266271074492</v>
      </c>
      <c r="G47" s="248">
        <f>1/G43</f>
        <v>0.23674050124025839</v>
      </c>
      <c r="H47" s="17">
        <f>H29</f>
        <v>0.11931862816894312</v>
      </c>
      <c r="I47" s="17"/>
      <c r="J47" s="248"/>
      <c r="K47" s="248"/>
      <c r="L47" s="248"/>
      <c r="M47" s="248"/>
      <c r="N47" s="248"/>
      <c r="O47" s="248"/>
      <c r="Q47" s="5"/>
      <c r="R47" s="5"/>
      <c r="S47" s="42"/>
      <c r="T47" s="42"/>
      <c r="U47" s="42"/>
      <c r="V47" s="42"/>
      <c r="W47" s="42"/>
      <c r="X47" s="42"/>
      <c r="Y47" s="42"/>
      <c r="Z47" s="42"/>
      <c r="AA47" s="326"/>
    </row>
    <row r="48" spans="2:27">
      <c r="B48" s="5" t="s">
        <v>618</v>
      </c>
      <c r="C48" s="5"/>
      <c r="D48" s="305">
        <f>D31/D29</f>
        <v>0.11655420536220229</v>
      </c>
      <c r="E48" s="305">
        <f>E31/E29</f>
        <v>0.13784021868126595</v>
      </c>
      <c r="F48" s="305">
        <f>F31/F29</f>
        <v>0.1520943847827271</v>
      </c>
      <c r="G48" s="305">
        <f>G31/G29</f>
        <v>0.17228325636391073</v>
      </c>
      <c r="H48" s="279" t="s">
        <v>607</v>
      </c>
      <c r="I48" s="247"/>
      <c r="J48" s="247"/>
      <c r="K48" s="247"/>
      <c r="L48" s="247"/>
      <c r="M48" s="247"/>
      <c r="N48" s="247"/>
      <c r="O48" s="248"/>
      <c r="Q48" s="5"/>
      <c r="R48" s="5"/>
      <c r="S48" s="42"/>
      <c r="T48" s="42"/>
      <c r="U48" s="42"/>
      <c r="V48" s="42"/>
      <c r="W48" s="42"/>
      <c r="X48" s="42"/>
      <c r="Y48" s="42"/>
      <c r="Z48" s="42"/>
      <c r="AA48" s="326"/>
    </row>
    <row r="49" spans="2:27">
      <c r="B49" s="41"/>
      <c r="C49" s="17"/>
      <c r="D49" s="17"/>
      <c r="E49" s="17"/>
      <c r="F49" s="17"/>
      <c r="G49" s="17"/>
      <c r="H49" s="17"/>
      <c r="I49" s="254"/>
      <c r="J49" s="17"/>
      <c r="K49" s="17"/>
      <c r="L49" s="17"/>
      <c r="M49" s="17"/>
      <c r="N49" s="17"/>
      <c r="O49" s="248"/>
      <c r="Q49" s="5"/>
      <c r="R49" s="5"/>
      <c r="S49" s="42"/>
      <c r="T49" s="42"/>
      <c r="U49" s="42"/>
      <c r="V49" s="42"/>
      <c r="W49" s="42"/>
      <c r="X49" s="42"/>
      <c r="Y49" s="42"/>
      <c r="Z49" s="42"/>
      <c r="AA49" s="326"/>
    </row>
    <row r="50" spans="2:27">
      <c r="B50" s="5"/>
      <c r="C50" s="257"/>
      <c r="D50" s="257"/>
      <c r="E50" s="257"/>
      <c r="F50" s="5"/>
      <c r="G50" s="41"/>
      <c r="H50" s="249"/>
      <c r="I50" s="17"/>
      <c r="J50" s="249"/>
      <c r="K50" s="249"/>
      <c r="L50" s="249"/>
      <c r="M50" s="249"/>
      <c r="N50" s="249"/>
      <c r="O50" s="250"/>
      <c r="Q50" s="5"/>
      <c r="R50" s="5"/>
      <c r="S50" s="42"/>
      <c r="T50" s="42"/>
      <c r="U50" s="42"/>
      <c r="V50" s="42"/>
      <c r="W50" s="288"/>
      <c r="X50" s="288"/>
      <c r="Y50" s="42"/>
      <c r="Z50" s="42"/>
      <c r="AA50" s="326"/>
    </row>
    <row r="51" spans="2:27">
      <c r="B51" s="41"/>
      <c r="C51" s="249"/>
      <c r="D51" s="254"/>
      <c r="E51" s="254"/>
      <c r="F51" s="254"/>
      <c r="G51" s="254"/>
      <c r="H51" s="254"/>
      <c r="I51" s="259"/>
      <c r="J51" s="254"/>
      <c r="K51" s="254"/>
      <c r="L51" s="254"/>
      <c r="M51" s="254"/>
      <c r="N51" s="254"/>
      <c r="O51" s="251"/>
      <c r="Q51" s="5"/>
      <c r="R51" s="5"/>
      <c r="S51" s="42"/>
      <c r="T51" s="42"/>
      <c r="U51" s="42"/>
      <c r="V51" s="42"/>
      <c r="W51" s="288"/>
      <c r="X51" s="288"/>
      <c r="Y51" s="288"/>
      <c r="Z51" s="288"/>
      <c r="AA51" s="42"/>
    </row>
    <row r="52" spans="2:27">
      <c r="B52" s="5"/>
      <c r="C52" s="257"/>
      <c r="D52" s="17"/>
      <c r="E52" s="17"/>
      <c r="F52" s="17"/>
      <c r="G52" s="17"/>
      <c r="H52" s="17"/>
      <c r="I52" s="254"/>
      <c r="J52" s="17"/>
      <c r="K52" s="17"/>
      <c r="L52" s="17"/>
      <c r="M52" s="17"/>
      <c r="N52" s="17"/>
      <c r="O52" s="248"/>
      <c r="Q52" s="5"/>
      <c r="R52" s="5"/>
      <c r="S52" s="5"/>
      <c r="Y52" s="10"/>
      <c r="Z52" s="10"/>
    </row>
    <row r="53" spans="2:27">
      <c r="B53" s="5"/>
      <c r="C53" s="257"/>
      <c r="D53" s="257"/>
      <c r="E53" s="257"/>
      <c r="F53" s="5"/>
      <c r="G53" s="5"/>
      <c r="H53" s="259"/>
      <c r="I53" s="17"/>
      <c r="J53" s="259"/>
      <c r="K53" s="259"/>
      <c r="L53" s="259"/>
      <c r="M53" s="259"/>
      <c r="N53" s="259"/>
      <c r="O53" s="18"/>
      <c r="Q53" s="5"/>
      <c r="R53" s="5"/>
      <c r="S53" s="5"/>
    </row>
    <row r="54" spans="2:27">
      <c r="B54" s="41"/>
      <c r="C54" s="249"/>
      <c r="D54" s="254"/>
      <c r="E54" s="254"/>
      <c r="F54" s="254"/>
      <c r="G54" s="254"/>
      <c r="H54" s="254"/>
      <c r="I54" s="259"/>
      <c r="J54" s="254"/>
      <c r="K54" s="254"/>
      <c r="L54" s="254"/>
      <c r="M54" s="254"/>
      <c r="N54" s="254"/>
      <c r="O54" s="251"/>
      <c r="Q54" s="5"/>
      <c r="R54" s="5"/>
      <c r="S54" s="5"/>
    </row>
    <row r="55" spans="2:27">
      <c r="B55" s="5"/>
      <c r="C55" s="257"/>
      <c r="D55" s="17"/>
      <c r="E55" s="17"/>
      <c r="F55" s="17"/>
      <c r="G55" s="17"/>
      <c r="H55" s="17"/>
      <c r="I55" s="249"/>
      <c r="J55" s="17"/>
      <c r="K55" s="17"/>
      <c r="L55" s="17"/>
      <c r="M55" s="17"/>
      <c r="N55" s="17"/>
      <c r="O55" s="18"/>
      <c r="Q55" s="5"/>
      <c r="R55" s="5"/>
      <c r="S55" s="5"/>
    </row>
    <row r="56" spans="2:27">
      <c r="B56" s="5"/>
      <c r="C56" s="248"/>
      <c r="D56" s="248"/>
      <c r="E56" s="248"/>
      <c r="F56" s="5"/>
      <c r="G56" s="5"/>
      <c r="H56" s="259"/>
      <c r="I56" s="248"/>
      <c r="J56" s="259"/>
      <c r="K56" s="259"/>
      <c r="L56" s="259"/>
      <c r="M56" s="259"/>
      <c r="N56" s="259"/>
      <c r="O56" s="18"/>
      <c r="Q56" s="5"/>
      <c r="R56" s="5"/>
      <c r="S56" s="5"/>
    </row>
    <row r="57" spans="2:27">
      <c r="B57" s="41"/>
      <c r="C57" s="249"/>
      <c r="D57" s="249"/>
      <c r="E57" s="249"/>
      <c r="F57" s="249"/>
      <c r="G57" s="249"/>
      <c r="H57" s="249"/>
      <c r="I57" s="5"/>
      <c r="J57" s="249"/>
      <c r="K57" s="249"/>
      <c r="L57" s="249"/>
      <c r="M57" s="249"/>
      <c r="N57" s="249"/>
      <c r="O57" s="251"/>
      <c r="Q57" s="5"/>
      <c r="R57" s="5"/>
      <c r="S57" s="5"/>
    </row>
    <row r="58" spans="2:27">
      <c r="B58" s="5"/>
      <c r="C58" s="5"/>
      <c r="D58" s="248"/>
      <c r="E58" s="248"/>
      <c r="F58" s="248"/>
      <c r="G58" s="248"/>
      <c r="H58" s="248"/>
      <c r="I58" s="17"/>
      <c r="J58" s="248"/>
      <c r="K58" s="248"/>
      <c r="L58" s="248"/>
      <c r="M58" s="248"/>
      <c r="N58" s="248"/>
      <c r="O58" s="18"/>
      <c r="Q58" s="5"/>
      <c r="R58" s="5"/>
      <c r="S58" s="5"/>
    </row>
    <row r="59" spans="2:27">
      <c r="B59" s="5"/>
      <c r="C59" s="5"/>
      <c r="D59" s="5"/>
      <c r="E59" s="5"/>
      <c r="F59" s="5"/>
      <c r="G59" s="5"/>
      <c r="H59" s="5"/>
      <c r="I59" s="5"/>
      <c r="J59" s="5"/>
      <c r="K59" s="5"/>
      <c r="L59" s="5"/>
      <c r="M59" s="5"/>
      <c r="N59" s="5"/>
      <c r="O59" s="5"/>
      <c r="Q59" s="5"/>
      <c r="R59" s="5"/>
      <c r="S59" s="5"/>
    </row>
    <row r="60" spans="2:27">
      <c r="B60" s="41"/>
      <c r="C60" s="17"/>
      <c r="D60" s="17"/>
      <c r="E60" s="17"/>
      <c r="F60" s="17"/>
      <c r="G60" s="17"/>
      <c r="H60" s="17"/>
      <c r="I60" s="249"/>
      <c r="J60" s="17"/>
      <c r="K60" s="17"/>
      <c r="L60" s="17"/>
      <c r="M60" s="17"/>
      <c r="N60" s="17"/>
      <c r="O60" s="251"/>
      <c r="Q60" s="5"/>
      <c r="R60" s="5"/>
      <c r="S60" s="5"/>
    </row>
    <row r="61" spans="2:27">
      <c r="B61" s="5"/>
      <c r="C61" s="5"/>
      <c r="D61" s="5"/>
      <c r="E61" s="5"/>
      <c r="F61" s="5"/>
      <c r="G61" s="5"/>
      <c r="H61" s="5"/>
      <c r="I61" s="5"/>
      <c r="J61" s="5"/>
      <c r="K61" s="5"/>
      <c r="L61" s="5"/>
      <c r="M61" s="5"/>
      <c r="N61" s="5"/>
      <c r="O61" s="5"/>
      <c r="Q61" s="41"/>
      <c r="R61" s="5"/>
      <c r="S61" s="5"/>
    </row>
    <row r="62" spans="2:27">
      <c r="B62" s="41"/>
      <c r="C62" s="249"/>
      <c r="D62" s="249"/>
      <c r="E62" s="249"/>
      <c r="F62" s="249"/>
      <c r="G62" s="249"/>
      <c r="H62" s="249"/>
      <c r="I62" s="5"/>
      <c r="J62" s="249"/>
      <c r="K62" s="249"/>
      <c r="L62" s="249"/>
      <c r="M62" s="249"/>
      <c r="N62" s="249"/>
      <c r="O62" s="251"/>
      <c r="Q62" s="5"/>
      <c r="R62" s="5"/>
      <c r="S62" s="5"/>
    </row>
    <row r="63" spans="2:27">
      <c r="B63" s="5"/>
      <c r="C63" s="5"/>
      <c r="D63" s="5"/>
      <c r="E63" s="5"/>
      <c r="F63" s="5"/>
      <c r="G63" s="5"/>
      <c r="H63" s="5"/>
      <c r="I63" s="254"/>
      <c r="J63" s="5"/>
      <c r="K63" s="5"/>
      <c r="L63" s="5"/>
      <c r="M63" s="5"/>
      <c r="N63" s="5"/>
      <c r="O63" s="5"/>
      <c r="Q63" s="5"/>
      <c r="R63" s="5"/>
      <c r="S63" s="5"/>
    </row>
    <row r="64" spans="2:27">
      <c r="B64" s="5"/>
      <c r="C64" s="5"/>
      <c r="D64" s="5"/>
      <c r="E64" s="5"/>
      <c r="F64" s="5"/>
      <c r="G64" s="5"/>
      <c r="H64" s="5"/>
      <c r="I64" s="17"/>
      <c r="J64" s="5"/>
      <c r="K64" s="5"/>
      <c r="L64" s="5"/>
      <c r="M64" s="5"/>
      <c r="N64" s="5"/>
      <c r="O64" s="5"/>
      <c r="Q64" s="5"/>
      <c r="R64" s="5"/>
      <c r="S64" s="5"/>
    </row>
    <row r="65" spans="2:26">
      <c r="B65" s="41"/>
      <c r="C65" s="249"/>
      <c r="D65" s="254"/>
      <c r="E65" s="254"/>
      <c r="F65" s="254"/>
      <c r="G65" s="254"/>
      <c r="H65" s="254"/>
      <c r="I65" s="254"/>
      <c r="J65" s="254"/>
      <c r="K65" s="254"/>
      <c r="L65" s="254"/>
      <c r="M65" s="254"/>
      <c r="N65" s="254"/>
      <c r="O65" s="251"/>
      <c r="Q65" s="5"/>
      <c r="R65" s="5"/>
      <c r="S65" s="5"/>
    </row>
    <row r="66" spans="2:26">
      <c r="B66" s="5"/>
      <c r="C66" s="5"/>
      <c r="D66" s="17"/>
      <c r="E66" s="17"/>
      <c r="F66" s="17"/>
      <c r="G66" s="17"/>
      <c r="H66" s="17"/>
      <c r="I66" s="248"/>
      <c r="J66" s="17"/>
      <c r="K66" s="17"/>
      <c r="L66" s="17"/>
      <c r="M66" s="17"/>
      <c r="N66" s="17"/>
      <c r="O66" s="5"/>
      <c r="Q66" s="5"/>
      <c r="R66" s="5"/>
      <c r="S66" s="5"/>
    </row>
    <row r="67" spans="2:26">
      <c r="B67" s="41"/>
      <c r="C67" s="249"/>
      <c r="D67" s="254"/>
      <c r="E67" s="254"/>
      <c r="F67" s="254"/>
      <c r="G67" s="254"/>
      <c r="H67" s="254"/>
      <c r="I67" s="5"/>
      <c r="J67" s="254"/>
      <c r="K67" s="254"/>
      <c r="L67" s="254"/>
      <c r="M67" s="254"/>
      <c r="N67" s="254"/>
      <c r="O67" s="251"/>
      <c r="Q67" s="41"/>
      <c r="R67" s="5"/>
      <c r="S67" s="5"/>
    </row>
    <row r="68" spans="2:26">
      <c r="B68" s="5"/>
      <c r="C68" s="5"/>
      <c r="D68" s="248"/>
      <c r="E68" s="248"/>
      <c r="F68" s="248"/>
      <c r="G68" s="248"/>
      <c r="H68" s="248"/>
      <c r="I68" s="245"/>
      <c r="J68" s="248"/>
      <c r="K68" s="248"/>
      <c r="L68" s="248"/>
      <c r="M68" s="248"/>
      <c r="N68" s="248"/>
      <c r="O68" s="5"/>
      <c r="Q68" s="5"/>
      <c r="R68" s="5"/>
      <c r="S68" s="5"/>
    </row>
    <row r="69" spans="2:26">
      <c r="B69" s="41"/>
      <c r="C69" s="5"/>
      <c r="D69" s="5"/>
      <c r="E69" s="5"/>
      <c r="F69" s="5"/>
      <c r="G69" s="5"/>
      <c r="H69" s="5"/>
      <c r="I69" s="248"/>
      <c r="J69" s="5"/>
      <c r="K69" s="5"/>
      <c r="L69" s="5"/>
      <c r="M69" s="5"/>
      <c r="N69" s="5"/>
      <c r="O69" s="5"/>
      <c r="Q69" s="5"/>
      <c r="R69" s="5"/>
      <c r="S69" s="5"/>
    </row>
    <row r="70" spans="2:26">
      <c r="B70" s="41"/>
      <c r="C70" s="245"/>
      <c r="D70" s="245"/>
      <c r="E70" s="245"/>
      <c r="F70" s="245"/>
      <c r="G70" s="245"/>
      <c r="H70" s="245"/>
      <c r="I70" s="5"/>
      <c r="J70" s="245"/>
      <c r="K70" s="245"/>
      <c r="L70" s="245"/>
      <c r="M70" s="245"/>
      <c r="N70" s="245"/>
      <c r="O70" s="251"/>
      <c r="Q70" s="5"/>
      <c r="R70" s="5"/>
      <c r="S70" s="5"/>
      <c r="W70" s="76"/>
      <c r="X70" s="76"/>
    </row>
    <row r="71" spans="2:26">
      <c r="B71" s="5"/>
      <c r="C71" s="5"/>
      <c r="D71" s="248"/>
      <c r="E71" s="248"/>
      <c r="F71" s="248"/>
      <c r="G71" s="248"/>
      <c r="H71" s="248"/>
      <c r="I71" s="245"/>
      <c r="J71" s="248"/>
      <c r="K71" s="248"/>
      <c r="L71" s="248"/>
      <c r="M71" s="248"/>
      <c r="N71" s="248"/>
      <c r="O71" s="5"/>
      <c r="Q71" s="5"/>
      <c r="R71" s="5"/>
      <c r="S71" s="5"/>
      <c r="W71" s="76"/>
      <c r="X71" s="76"/>
      <c r="Y71" s="76"/>
      <c r="Z71" s="76"/>
    </row>
    <row r="72" spans="2:26">
      <c r="B72" s="41"/>
      <c r="C72" s="5"/>
      <c r="D72" s="5"/>
      <c r="E72" s="5"/>
      <c r="F72" s="5"/>
      <c r="G72" s="5"/>
      <c r="H72" s="5"/>
      <c r="I72" s="18"/>
      <c r="J72" s="5"/>
      <c r="K72" s="5"/>
      <c r="L72" s="5"/>
      <c r="M72" s="5"/>
      <c r="N72" s="5"/>
      <c r="O72" s="5"/>
      <c r="Q72" s="5"/>
      <c r="R72" s="5"/>
      <c r="S72" s="5"/>
      <c r="Y72" s="76"/>
      <c r="Z72" s="76"/>
    </row>
    <row r="73" spans="2:26">
      <c r="B73" s="41"/>
      <c r="C73" s="245"/>
      <c r="D73" s="245"/>
      <c r="E73" s="245"/>
      <c r="F73" s="245"/>
      <c r="G73" s="245"/>
      <c r="H73" s="245"/>
      <c r="I73" s="5"/>
      <c r="J73" s="245"/>
      <c r="K73" s="245"/>
      <c r="L73" s="245"/>
      <c r="M73" s="245"/>
      <c r="N73" s="245"/>
      <c r="O73" s="251"/>
      <c r="Q73" s="5"/>
      <c r="R73" s="5"/>
      <c r="S73" s="5"/>
    </row>
    <row r="74" spans="2:26">
      <c r="B74" s="5"/>
      <c r="C74" s="5"/>
      <c r="D74" s="18"/>
      <c r="E74" s="18"/>
      <c r="F74" s="18"/>
      <c r="G74" s="18"/>
      <c r="H74" s="18"/>
      <c r="I74" s="249"/>
      <c r="J74" s="18"/>
      <c r="K74" s="18"/>
      <c r="L74" s="18"/>
      <c r="M74" s="18"/>
      <c r="N74" s="18"/>
      <c r="O74" s="5"/>
      <c r="Q74" s="5"/>
      <c r="R74" s="5"/>
      <c r="S74" s="5"/>
    </row>
    <row r="75" spans="2:26">
      <c r="B75" s="41"/>
      <c r="C75" s="5"/>
      <c r="D75" s="5"/>
      <c r="E75" s="5"/>
      <c r="F75" s="5"/>
      <c r="G75" s="5"/>
      <c r="H75" s="5"/>
      <c r="I75" s="248"/>
      <c r="J75" s="5"/>
      <c r="K75" s="5"/>
      <c r="L75" s="5"/>
      <c r="M75" s="5"/>
      <c r="N75" s="5"/>
      <c r="O75" s="5"/>
      <c r="Q75" s="5"/>
      <c r="R75" s="5"/>
      <c r="S75" s="5"/>
    </row>
    <row r="76" spans="2:26">
      <c r="B76" s="41"/>
      <c r="C76" s="249"/>
      <c r="D76" s="249"/>
      <c r="E76" s="249"/>
      <c r="F76" s="249"/>
      <c r="G76" s="249"/>
      <c r="H76" s="249"/>
      <c r="I76" s="5"/>
      <c r="J76" s="249"/>
      <c r="K76" s="249"/>
      <c r="L76" s="249"/>
      <c r="M76" s="249"/>
      <c r="N76" s="249"/>
      <c r="O76" s="251"/>
      <c r="Q76" s="5"/>
      <c r="R76" s="5"/>
      <c r="S76" s="5"/>
    </row>
    <row r="77" spans="2:26">
      <c r="B77" s="5"/>
      <c r="C77" s="5"/>
      <c r="D77" s="248"/>
      <c r="E77" s="248"/>
      <c r="F77" s="248"/>
      <c r="G77" s="248"/>
      <c r="H77" s="248"/>
      <c r="I77" s="245"/>
      <c r="J77" s="248"/>
      <c r="K77" s="248"/>
      <c r="L77" s="248"/>
      <c r="M77" s="248"/>
      <c r="N77" s="248"/>
      <c r="O77" s="5"/>
      <c r="Q77" s="5"/>
      <c r="R77" s="5"/>
      <c r="S77" s="5"/>
    </row>
    <row r="78" spans="2:26">
      <c r="B78" s="41"/>
      <c r="C78" s="5"/>
      <c r="D78" s="5"/>
      <c r="E78" s="5"/>
      <c r="F78" s="5"/>
      <c r="G78" s="5"/>
      <c r="H78" s="5"/>
      <c r="I78" s="248"/>
      <c r="J78" s="5"/>
      <c r="K78" s="5"/>
      <c r="L78" s="5"/>
      <c r="M78" s="5"/>
      <c r="N78" s="5"/>
      <c r="O78" s="5"/>
      <c r="Q78" s="5"/>
      <c r="R78" s="5"/>
      <c r="S78" s="5"/>
    </row>
    <row r="79" spans="2:26">
      <c r="B79" s="41"/>
      <c r="C79" s="245"/>
      <c r="D79" s="245"/>
      <c r="E79" s="245"/>
      <c r="F79" s="245"/>
      <c r="G79" s="245"/>
      <c r="H79" s="245"/>
      <c r="I79" s="5"/>
      <c r="J79" s="245"/>
      <c r="K79" s="245"/>
      <c r="L79" s="245"/>
      <c r="M79" s="245"/>
      <c r="N79" s="245"/>
      <c r="O79" s="251"/>
      <c r="Q79" s="5"/>
      <c r="R79" s="5"/>
      <c r="S79" s="5"/>
    </row>
    <row r="80" spans="2:26">
      <c r="B80" s="5"/>
      <c r="C80" s="5"/>
      <c r="D80" s="248"/>
      <c r="E80" s="248"/>
      <c r="F80" s="248"/>
      <c r="G80" s="248"/>
      <c r="H80" s="248"/>
      <c r="I80" s="249"/>
      <c r="J80" s="248"/>
      <c r="K80" s="248"/>
      <c r="L80" s="248"/>
      <c r="M80" s="248"/>
      <c r="N80" s="248"/>
      <c r="O80" s="5"/>
      <c r="Q80" s="5"/>
      <c r="R80" s="5"/>
      <c r="S80" s="5"/>
    </row>
    <row r="81" spans="2:26">
      <c r="B81" s="41"/>
      <c r="C81" s="5"/>
      <c r="D81" s="5"/>
      <c r="E81" s="5"/>
      <c r="F81" s="5"/>
      <c r="G81" s="5"/>
      <c r="H81" s="5"/>
      <c r="I81" s="248"/>
      <c r="J81" s="5"/>
      <c r="K81" s="5"/>
      <c r="L81" s="5"/>
      <c r="M81" s="5"/>
      <c r="N81" s="5"/>
      <c r="O81" s="5"/>
      <c r="Q81" s="5"/>
      <c r="R81" s="5"/>
      <c r="S81" s="5"/>
    </row>
    <row r="82" spans="2:26">
      <c r="B82" s="41"/>
      <c r="C82" s="249"/>
      <c r="D82" s="249"/>
      <c r="E82" s="249"/>
      <c r="F82" s="249"/>
      <c r="G82" s="249"/>
      <c r="H82" s="249"/>
      <c r="I82" s="259"/>
      <c r="J82" s="249"/>
      <c r="K82" s="249"/>
      <c r="L82" s="249"/>
      <c r="M82" s="249"/>
      <c r="N82" s="249"/>
      <c r="O82" s="251"/>
      <c r="Q82" s="5"/>
      <c r="R82" s="5"/>
      <c r="S82" s="5"/>
    </row>
    <row r="83" spans="2:26">
      <c r="B83" s="5"/>
      <c r="C83" s="5"/>
      <c r="D83" s="248"/>
      <c r="E83" s="248"/>
      <c r="F83" s="248"/>
      <c r="G83" s="248"/>
      <c r="H83" s="248"/>
      <c r="I83" s="5"/>
      <c r="J83" s="248"/>
      <c r="K83" s="248"/>
      <c r="L83" s="248"/>
      <c r="M83" s="248"/>
      <c r="N83" s="248"/>
      <c r="O83" s="5"/>
      <c r="Q83" s="5"/>
      <c r="R83" s="5"/>
      <c r="S83" s="5"/>
    </row>
    <row r="84" spans="2:26">
      <c r="B84" s="5"/>
      <c r="C84" s="259"/>
      <c r="D84" s="259"/>
      <c r="E84" s="259"/>
      <c r="F84" s="259"/>
      <c r="G84" s="259"/>
      <c r="H84" s="259"/>
      <c r="I84" s="245"/>
      <c r="J84" s="259"/>
      <c r="K84" s="259"/>
      <c r="L84" s="259"/>
      <c r="M84" s="259"/>
      <c r="N84" s="259"/>
      <c r="O84" s="251"/>
      <c r="Q84" s="5"/>
      <c r="R84" s="5"/>
      <c r="S84" s="5"/>
    </row>
    <row r="85" spans="2:26">
      <c r="B85" s="41"/>
      <c r="C85" s="5"/>
      <c r="D85" s="5"/>
      <c r="E85" s="5"/>
      <c r="F85" s="5"/>
      <c r="G85" s="5"/>
      <c r="H85" s="5"/>
      <c r="I85" s="248"/>
      <c r="J85" s="5"/>
      <c r="K85" s="5"/>
      <c r="L85" s="5"/>
      <c r="M85" s="5"/>
      <c r="N85" s="5"/>
      <c r="O85" s="5"/>
      <c r="Q85" s="5"/>
      <c r="R85" s="5"/>
      <c r="S85" s="5"/>
    </row>
    <row r="86" spans="2:26">
      <c r="B86" s="41"/>
      <c r="C86" s="245"/>
      <c r="D86" s="245"/>
      <c r="E86" s="245"/>
      <c r="F86" s="245"/>
      <c r="G86" s="245"/>
      <c r="H86" s="245"/>
      <c r="I86" s="5"/>
      <c r="J86" s="245"/>
      <c r="K86" s="245"/>
      <c r="L86" s="245"/>
      <c r="M86" s="245"/>
      <c r="N86" s="245"/>
      <c r="O86" s="251"/>
      <c r="Q86" s="5"/>
      <c r="R86" s="5"/>
      <c r="S86" s="5"/>
    </row>
    <row r="87" spans="2:26">
      <c r="B87" s="5"/>
      <c r="C87" s="5"/>
      <c r="D87" s="248"/>
      <c r="E87" s="248"/>
      <c r="F87" s="248"/>
      <c r="G87" s="248"/>
      <c r="H87" s="248"/>
      <c r="I87" s="5"/>
      <c r="J87" s="248"/>
      <c r="K87" s="248"/>
      <c r="L87" s="248"/>
      <c r="M87" s="248"/>
      <c r="N87" s="248"/>
      <c r="O87" s="5"/>
      <c r="Q87" s="5"/>
      <c r="R87" s="5"/>
      <c r="S87" s="5"/>
    </row>
    <row r="88" spans="2:26">
      <c r="B88" s="41"/>
      <c r="C88" s="5"/>
      <c r="D88" s="5"/>
      <c r="E88" s="5"/>
      <c r="F88" s="5"/>
      <c r="G88" s="5"/>
      <c r="H88" s="5"/>
      <c r="I88" s="5"/>
      <c r="J88" s="5"/>
      <c r="K88" s="5"/>
      <c r="L88" s="5"/>
      <c r="M88" s="5"/>
      <c r="N88" s="5"/>
      <c r="O88" s="5"/>
      <c r="Q88" s="5"/>
      <c r="R88" s="5"/>
      <c r="S88" s="5"/>
    </row>
    <row r="89" spans="2:26">
      <c r="B89" s="41"/>
      <c r="C89" s="5"/>
      <c r="D89" s="5"/>
      <c r="E89" s="5"/>
      <c r="F89" s="5"/>
      <c r="G89" s="5"/>
      <c r="H89" s="5"/>
      <c r="I89" s="5"/>
      <c r="J89" s="5"/>
      <c r="K89" s="5"/>
      <c r="L89" s="5"/>
      <c r="M89" s="5"/>
      <c r="N89" s="5"/>
      <c r="O89" s="5"/>
      <c r="Q89" s="5"/>
      <c r="R89" s="5"/>
      <c r="S89" s="5"/>
    </row>
    <row r="90" spans="2:26">
      <c r="B90" s="41"/>
      <c r="C90" s="5"/>
      <c r="D90" s="5"/>
      <c r="E90" s="5"/>
      <c r="F90" s="5"/>
      <c r="G90" s="5"/>
      <c r="H90" s="5"/>
      <c r="I90" s="49"/>
      <c r="J90" s="5"/>
      <c r="K90" s="5"/>
      <c r="L90" s="5"/>
      <c r="M90" s="5"/>
      <c r="N90" s="5"/>
      <c r="O90" s="5"/>
      <c r="Q90" s="41"/>
      <c r="R90" s="5"/>
      <c r="S90" s="5"/>
    </row>
    <row r="91" spans="2:26">
      <c r="B91" s="5"/>
      <c r="C91" s="5"/>
      <c r="D91" s="5"/>
      <c r="E91" s="5"/>
      <c r="F91" s="5"/>
      <c r="G91" s="5"/>
      <c r="H91" s="5"/>
      <c r="I91" s="5"/>
      <c r="J91" s="5"/>
      <c r="K91" s="5"/>
      <c r="L91" s="5"/>
      <c r="M91" s="5"/>
      <c r="N91" s="5"/>
      <c r="O91" s="5"/>
      <c r="Q91" s="5"/>
      <c r="R91" s="5"/>
      <c r="S91" s="5"/>
    </row>
    <row r="92" spans="2:26">
      <c r="B92" s="41"/>
      <c r="C92" s="49"/>
      <c r="D92" s="49"/>
      <c r="E92" s="49"/>
      <c r="F92" s="49"/>
      <c r="G92" s="49"/>
      <c r="H92" s="49"/>
      <c r="I92" s="247"/>
      <c r="J92" s="49"/>
      <c r="K92" s="49"/>
      <c r="L92" s="49"/>
      <c r="M92" s="49"/>
      <c r="N92" s="49"/>
      <c r="O92" s="49"/>
      <c r="Q92" s="5"/>
      <c r="R92" s="5"/>
      <c r="S92" s="5"/>
      <c r="W92" s="21"/>
      <c r="X92" s="21"/>
    </row>
    <row r="93" spans="2:26">
      <c r="B93" s="5"/>
      <c r="C93" s="5"/>
      <c r="D93" s="5"/>
      <c r="E93" s="5"/>
      <c r="F93" s="5"/>
      <c r="G93" s="5"/>
      <c r="H93" s="5"/>
      <c r="I93" s="247"/>
      <c r="J93" s="5"/>
      <c r="K93" s="5"/>
      <c r="L93" s="5"/>
      <c r="M93" s="5"/>
      <c r="N93" s="5"/>
      <c r="O93" s="5"/>
      <c r="Q93" s="5"/>
      <c r="R93" s="5"/>
      <c r="S93" s="5"/>
      <c r="W93" s="21"/>
      <c r="X93" s="21"/>
      <c r="Y93" s="21"/>
      <c r="Z93" s="21"/>
    </row>
    <row r="94" spans="2:26">
      <c r="B94" s="5"/>
      <c r="C94" s="259"/>
      <c r="D94" s="247"/>
      <c r="E94" s="247"/>
      <c r="F94" s="247"/>
      <c r="G94" s="247"/>
      <c r="H94" s="247"/>
      <c r="I94" s="247"/>
      <c r="J94" s="247"/>
      <c r="K94" s="247"/>
      <c r="L94" s="247"/>
      <c r="M94" s="247"/>
      <c r="N94" s="247"/>
      <c r="O94" s="248"/>
      <c r="Q94" s="5"/>
      <c r="R94" s="5"/>
      <c r="S94" s="5"/>
      <c r="Y94" s="21"/>
      <c r="Z94" s="21"/>
    </row>
    <row r="95" spans="2:26">
      <c r="B95" s="5"/>
      <c r="C95" s="259"/>
      <c r="D95" s="247"/>
      <c r="E95" s="247"/>
      <c r="F95" s="247"/>
      <c r="G95" s="247"/>
      <c r="H95" s="247"/>
      <c r="I95" s="248"/>
      <c r="J95" s="247"/>
      <c r="K95" s="247"/>
      <c r="L95" s="247"/>
      <c r="M95" s="247"/>
      <c r="N95" s="247"/>
      <c r="O95" s="248"/>
      <c r="Q95" s="5"/>
      <c r="R95" s="5"/>
      <c r="S95" s="5"/>
    </row>
    <row r="96" spans="2:26">
      <c r="B96" s="5"/>
      <c r="C96" s="259"/>
      <c r="D96" s="247"/>
      <c r="E96" s="247"/>
      <c r="F96" s="247"/>
      <c r="G96" s="247"/>
      <c r="H96" s="247"/>
      <c r="I96" s="247"/>
      <c r="J96" s="247"/>
      <c r="K96" s="247"/>
      <c r="L96" s="247"/>
      <c r="M96" s="247"/>
      <c r="N96" s="247"/>
      <c r="O96" s="248"/>
      <c r="Q96" s="5"/>
      <c r="R96" s="5"/>
      <c r="S96" s="5"/>
    </row>
    <row r="97" spans="2:19">
      <c r="B97" s="5"/>
      <c r="C97" s="259"/>
      <c r="D97" s="248"/>
      <c r="E97" s="248"/>
      <c r="F97" s="248"/>
      <c r="G97" s="248"/>
      <c r="H97" s="248"/>
      <c r="I97" s="249"/>
      <c r="J97" s="248"/>
      <c r="K97" s="248"/>
      <c r="L97" s="248"/>
      <c r="M97" s="248"/>
      <c r="N97" s="248"/>
      <c r="O97" s="248"/>
      <c r="Q97" s="5"/>
      <c r="R97" s="5"/>
      <c r="S97" s="5"/>
    </row>
    <row r="98" spans="2:19">
      <c r="B98" s="5"/>
      <c r="C98" s="259"/>
      <c r="D98" s="247"/>
      <c r="E98" s="247"/>
      <c r="F98" s="247"/>
      <c r="G98" s="247"/>
      <c r="H98" s="247"/>
      <c r="I98" s="248"/>
      <c r="J98" s="247"/>
      <c r="K98" s="247"/>
      <c r="L98" s="247"/>
      <c r="M98" s="247"/>
      <c r="N98" s="247"/>
      <c r="O98" s="248"/>
      <c r="Q98" s="5"/>
      <c r="R98" s="5"/>
      <c r="S98" s="5"/>
    </row>
    <row r="99" spans="2:19">
      <c r="B99" s="41"/>
      <c r="C99" s="249"/>
      <c r="D99" s="249"/>
      <c r="E99" s="249"/>
      <c r="F99" s="249"/>
      <c r="G99" s="249"/>
      <c r="H99" s="249"/>
      <c r="I99" s="5"/>
      <c r="J99" s="249"/>
      <c r="K99" s="249"/>
      <c r="L99" s="249"/>
      <c r="M99" s="249"/>
      <c r="N99" s="249"/>
      <c r="O99" s="248"/>
      <c r="Q99" s="5"/>
      <c r="R99" s="5"/>
      <c r="S99" s="5"/>
    </row>
    <row r="100" spans="2:19">
      <c r="B100" s="41"/>
      <c r="C100" s="257"/>
      <c r="D100" s="248"/>
      <c r="E100" s="248"/>
      <c r="F100" s="248"/>
      <c r="G100" s="248"/>
      <c r="H100" s="248"/>
      <c r="I100" s="259"/>
      <c r="J100" s="248"/>
      <c r="K100" s="248"/>
      <c r="L100" s="248"/>
      <c r="M100" s="248"/>
      <c r="N100" s="248"/>
      <c r="O100" s="248"/>
      <c r="Q100" s="5"/>
      <c r="R100" s="5"/>
      <c r="S100" s="5"/>
    </row>
    <row r="101" spans="2:19" s="5" customFormat="1">
      <c r="B101" s="41"/>
      <c r="I101" s="259"/>
      <c r="O101" s="248"/>
      <c r="P101" s="39"/>
    </row>
    <row r="102" spans="2:19">
      <c r="B102" s="5"/>
      <c r="C102" s="259"/>
      <c r="D102" s="259"/>
      <c r="E102" s="259"/>
      <c r="F102" s="259"/>
      <c r="G102" s="259"/>
      <c r="H102" s="259"/>
      <c r="I102" s="247"/>
      <c r="J102" s="259"/>
      <c r="K102" s="259"/>
      <c r="L102" s="259"/>
      <c r="M102" s="259"/>
      <c r="N102" s="259"/>
      <c r="O102" s="5"/>
      <c r="Q102" s="5"/>
      <c r="R102" s="5"/>
      <c r="S102" s="5"/>
    </row>
    <row r="103" spans="2:19">
      <c r="B103" s="5"/>
      <c r="C103" s="259"/>
      <c r="D103" s="259"/>
      <c r="E103" s="259"/>
      <c r="F103" s="259"/>
      <c r="G103" s="259"/>
      <c r="H103" s="259"/>
      <c r="I103" s="5"/>
      <c r="J103" s="259"/>
      <c r="K103" s="259"/>
      <c r="L103" s="259"/>
      <c r="M103" s="259"/>
      <c r="N103" s="259"/>
      <c r="O103" s="5"/>
      <c r="P103" s="5"/>
      <c r="Q103" s="5"/>
      <c r="R103" s="5"/>
      <c r="S103" s="5"/>
    </row>
    <row r="104" spans="2:19">
      <c r="B104" s="5"/>
      <c r="C104" s="247"/>
      <c r="D104" s="247"/>
      <c r="E104" s="247"/>
      <c r="F104" s="247"/>
      <c r="G104" s="247"/>
      <c r="H104" s="247"/>
      <c r="I104" s="247"/>
      <c r="J104" s="247"/>
      <c r="K104" s="247"/>
      <c r="L104" s="247"/>
      <c r="M104" s="247"/>
      <c r="N104" s="247"/>
      <c r="O104" s="5"/>
      <c r="Q104" s="5"/>
      <c r="R104" s="5"/>
      <c r="S104" s="5"/>
    </row>
    <row r="105" spans="2:19" s="5" customFormat="1">
      <c r="P105" s="39"/>
    </row>
    <row r="106" spans="2:19" s="5" customFormat="1">
      <c r="C106" s="259"/>
      <c r="D106" s="247"/>
      <c r="E106" s="247"/>
      <c r="F106" s="247"/>
      <c r="G106" s="247"/>
      <c r="H106" s="247"/>
      <c r="I106" s="259"/>
      <c r="J106" s="247"/>
      <c r="K106" s="247"/>
      <c r="L106" s="247"/>
      <c r="M106" s="247"/>
      <c r="N106" s="247"/>
      <c r="P106" s="39"/>
    </row>
    <row r="107" spans="2:19">
      <c r="B107" s="5"/>
      <c r="C107" s="259"/>
      <c r="D107" s="5"/>
      <c r="E107" s="5"/>
      <c r="F107" s="5"/>
      <c r="G107" s="5"/>
      <c r="H107" s="5"/>
      <c r="I107" s="247"/>
      <c r="J107" s="5"/>
      <c r="K107" s="5"/>
      <c r="L107" s="5"/>
      <c r="M107" s="5"/>
      <c r="N107" s="5"/>
      <c r="O107" s="5"/>
      <c r="P107" s="5"/>
      <c r="Q107" s="5"/>
      <c r="R107" s="5"/>
      <c r="S107" s="5"/>
    </row>
    <row r="108" spans="2:19">
      <c r="B108" s="5"/>
      <c r="C108" s="259"/>
      <c r="D108" s="259"/>
      <c r="E108" s="259"/>
      <c r="F108" s="259"/>
      <c r="G108" s="259"/>
      <c r="H108" s="259"/>
      <c r="I108" s="249"/>
      <c r="J108" s="259"/>
      <c r="K108" s="259"/>
      <c r="L108" s="259"/>
      <c r="M108" s="259"/>
      <c r="N108" s="259"/>
      <c r="O108" s="5"/>
      <c r="P108" s="5"/>
      <c r="Q108" s="5"/>
      <c r="R108" s="5"/>
      <c r="S108" s="5"/>
    </row>
    <row r="109" spans="2:19">
      <c r="B109" s="5"/>
      <c r="C109" s="247"/>
      <c r="D109" s="247"/>
      <c r="E109" s="247"/>
      <c r="F109" s="247"/>
      <c r="G109" s="247"/>
      <c r="H109" s="247"/>
      <c r="I109" s="249"/>
      <c r="J109" s="247"/>
      <c r="K109" s="247"/>
      <c r="L109" s="247"/>
      <c r="M109" s="247"/>
      <c r="N109" s="247"/>
      <c r="O109" s="5"/>
      <c r="Q109" s="5"/>
      <c r="R109" s="5"/>
      <c r="S109" s="5"/>
    </row>
    <row r="110" spans="2:19">
      <c r="B110" s="41"/>
      <c r="C110" s="249"/>
      <c r="D110" s="249"/>
      <c r="E110" s="249"/>
      <c r="F110" s="249"/>
      <c r="G110" s="249"/>
      <c r="H110" s="249"/>
      <c r="I110" s="247"/>
      <c r="J110" s="249"/>
      <c r="K110" s="249"/>
      <c r="L110" s="249"/>
      <c r="M110" s="249"/>
      <c r="N110" s="249"/>
      <c r="O110" s="5"/>
      <c r="Q110" s="5"/>
      <c r="R110" s="5"/>
      <c r="S110" s="5"/>
    </row>
    <row r="111" spans="2:19">
      <c r="B111" s="5"/>
      <c r="C111" s="249"/>
      <c r="D111" s="249"/>
      <c r="E111" s="249"/>
      <c r="F111" s="249"/>
      <c r="G111" s="249"/>
      <c r="H111" s="249"/>
      <c r="I111" s="5"/>
      <c r="J111" s="249"/>
      <c r="K111" s="249"/>
      <c r="L111" s="249"/>
      <c r="M111" s="249"/>
      <c r="N111" s="249"/>
      <c r="O111" s="5"/>
      <c r="Q111" s="5"/>
      <c r="R111" s="5"/>
      <c r="S111" s="5"/>
    </row>
    <row r="112" spans="2:19">
      <c r="B112" s="5"/>
      <c r="C112" s="247"/>
      <c r="D112" s="247"/>
      <c r="E112" s="247"/>
      <c r="F112" s="247"/>
      <c r="G112" s="247"/>
      <c r="H112" s="247"/>
      <c r="I112" s="5"/>
      <c r="J112" s="247"/>
      <c r="K112" s="247"/>
      <c r="L112" s="247"/>
      <c r="M112" s="247"/>
      <c r="N112" s="247"/>
      <c r="O112" s="5"/>
      <c r="Q112" s="5"/>
      <c r="R112" s="5"/>
      <c r="S112" s="5"/>
    </row>
    <row r="113" spans="2:19">
      <c r="B113" s="5"/>
      <c r="C113" s="5"/>
      <c r="D113" s="5"/>
      <c r="E113" s="5"/>
      <c r="F113" s="5"/>
      <c r="G113" s="5"/>
      <c r="H113" s="5"/>
      <c r="I113" s="5"/>
      <c r="J113" s="5"/>
      <c r="K113" s="5"/>
      <c r="L113" s="5"/>
      <c r="M113" s="5"/>
      <c r="N113" s="5"/>
      <c r="O113" s="5"/>
      <c r="Q113" s="5"/>
      <c r="R113" s="5"/>
      <c r="S113" s="5"/>
    </row>
    <row r="114" spans="2:19">
      <c r="B114" s="5"/>
      <c r="C114" s="5"/>
      <c r="D114" s="5"/>
      <c r="E114" s="5"/>
      <c r="F114" s="5"/>
      <c r="G114" s="5"/>
      <c r="H114" s="5"/>
      <c r="I114" s="5"/>
      <c r="J114" s="5"/>
      <c r="K114" s="5"/>
      <c r="L114" s="5"/>
      <c r="M114" s="5"/>
      <c r="N114" s="5"/>
      <c r="O114" s="5"/>
      <c r="Q114" s="5"/>
      <c r="R114" s="5"/>
      <c r="S114" s="5"/>
    </row>
    <row r="115" spans="2:19">
      <c r="B115" s="5"/>
      <c r="C115" s="5"/>
      <c r="D115" s="5"/>
      <c r="E115" s="5"/>
      <c r="F115" s="5"/>
      <c r="G115" s="5"/>
      <c r="H115" s="5"/>
      <c r="I115" s="49"/>
      <c r="J115" s="5"/>
      <c r="K115" s="5"/>
      <c r="L115" s="5"/>
      <c r="M115" s="5"/>
      <c r="N115" s="5"/>
      <c r="O115" s="5"/>
      <c r="Q115" s="41"/>
      <c r="R115" s="5"/>
      <c r="S115" s="5"/>
    </row>
    <row r="116" spans="2:19">
      <c r="B116" s="5"/>
      <c r="C116" s="5"/>
      <c r="D116" s="5"/>
      <c r="E116" s="5"/>
      <c r="F116" s="5"/>
      <c r="G116" s="5"/>
      <c r="H116" s="5"/>
      <c r="I116" s="5"/>
      <c r="J116" s="5"/>
      <c r="K116" s="5"/>
      <c r="L116" s="5"/>
      <c r="M116" s="5"/>
      <c r="N116" s="5"/>
      <c r="O116" s="5"/>
      <c r="Q116" s="5"/>
      <c r="R116" s="5"/>
      <c r="S116" s="5"/>
    </row>
    <row r="117" spans="2:19">
      <c r="B117" s="41"/>
      <c r="C117" s="49"/>
      <c r="D117" s="49"/>
      <c r="E117" s="49"/>
      <c r="F117" s="49"/>
      <c r="G117" s="49"/>
      <c r="H117" s="49"/>
      <c r="I117" s="254"/>
      <c r="J117" s="49"/>
      <c r="K117" s="49"/>
      <c r="L117" s="49"/>
      <c r="M117" s="49"/>
      <c r="N117" s="49"/>
      <c r="O117" s="49"/>
      <c r="Q117" s="5"/>
      <c r="R117" s="5"/>
      <c r="S117" s="5"/>
    </row>
    <row r="118" spans="2:19">
      <c r="B118" s="5"/>
      <c r="C118" s="5"/>
      <c r="D118" s="5"/>
      <c r="E118" s="5"/>
      <c r="F118" s="5"/>
      <c r="G118" s="5"/>
      <c r="H118" s="5"/>
      <c r="I118" s="249"/>
      <c r="J118" s="5"/>
      <c r="K118" s="5"/>
      <c r="L118" s="5"/>
      <c r="M118" s="5"/>
      <c r="N118" s="5"/>
      <c r="O118" s="5"/>
      <c r="Q118" s="5"/>
      <c r="R118" s="5"/>
      <c r="S118" s="5"/>
    </row>
    <row r="119" spans="2:19">
      <c r="B119" s="41"/>
      <c r="C119" s="254"/>
      <c r="D119" s="254"/>
      <c r="E119" s="254"/>
      <c r="F119" s="254"/>
      <c r="G119" s="254"/>
      <c r="H119" s="254"/>
      <c r="I119" s="254"/>
      <c r="J119" s="254"/>
      <c r="K119" s="254"/>
      <c r="L119" s="254"/>
      <c r="M119" s="254"/>
      <c r="N119" s="254"/>
      <c r="O119" s="248"/>
      <c r="Q119" s="5"/>
      <c r="R119" s="5"/>
      <c r="S119" s="5"/>
    </row>
    <row r="120" spans="2:19">
      <c r="B120" s="41"/>
      <c r="C120" s="254"/>
      <c r="D120" s="249"/>
      <c r="E120" s="249"/>
      <c r="F120" s="249"/>
      <c r="G120" s="249"/>
      <c r="H120" s="249"/>
      <c r="I120" s="254"/>
      <c r="J120" s="249"/>
      <c r="K120" s="249"/>
      <c r="L120" s="249"/>
      <c r="M120" s="249"/>
      <c r="N120" s="249"/>
      <c r="O120" s="248"/>
      <c r="Q120" s="5"/>
      <c r="R120" s="5"/>
      <c r="S120" s="5"/>
    </row>
    <row r="121" spans="2:19">
      <c r="B121" s="41"/>
      <c r="C121" s="254"/>
      <c r="D121" s="254"/>
      <c r="E121" s="254"/>
      <c r="F121" s="254"/>
      <c r="G121" s="254"/>
      <c r="H121" s="254"/>
      <c r="I121" s="254"/>
      <c r="J121" s="254"/>
      <c r="K121" s="254"/>
      <c r="L121" s="254"/>
      <c r="M121" s="254"/>
      <c r="N121" s="254"/>
      <c r="O121" s="248"/>
      <c r="Q121" s="5"/>
      <c r="R121" s="5"/>
      <c r="S121" s="5"/>
    </row>
    <row r="122" spans="2:19">
      <c r="B122" s="41"/>
      <c r="C122" s="254"/>
      <c r="D122" s="254"/>
      <c r="E122" s="254"/>
      <c r="F122" s="254"/>
      <c r="G122" s="254"/>
      <c r="H122" s="254"/>
      <c r="I122" s="254"/>
      <c r="J122" s="254"/>
      <c r="K122" s="254"/>
      <c r="L122" s="254"/>
      <c r="M122" s="254"/>
      <c r="N122" s="254"/>
      <c r="O122" s="248"/>
      <c r="Q122" s="5"/>
      <c r="R122" s="5"/>
      <c r="S122" s="5"/>
    </row>
    <row r="123" spans="2:19">
      <c r="B123" s="41"/>
      <c r="C123" s="254"/>
      <c r="D123" s="254"/>
      <c r="E123" s="254"/>
      <c r="F123" s="254"/>
      <c r="G123" s="254"/>
      <c r="H123" s="254"/>
      <c r="I123" s="254"/>
      <c r="J123" s="254"/>
      <c r="K123" s="254"/>
      <c r="L123" s="254"/>
      <c r="M123" s="254"/>
      <c r="N123" s="254"/>
      <c r="O123" s="248"/>
      <c r="Q123" s="5"/>
      <c r="R123" s="5"/>
      <c r="S123" s="5"/>
    </row>
    <row r="124" spans="2:19">
      <c r="B124" s="41"/>
      <c r="C124" s="254"/>
      <c r="D124" s="254"/>
      <c r="E124" s="254"/>
      <c r="F124" s="254"/>
      <c r="G124" s="254"/>
      <c r="H124" s="254"/>
      <c r="I124" s="254"/>
      <c r="J124" s="254"/>
      <c r="K124" s="254"/>
      <c r="L124" s="254"/>
      <c r="M124" s="254"/>
      <c r="N124" s="254"/>
      <c r="O124" s="248"/>
      <c r="Q124" s="5"/>
      <c r="R124" s="5"/>
      <c r="S124" s="5"/>
    </row>
    <row r="125" spans="2:19">
      <c r="B125" s="41"/>
      <c r="C125" s="254"/>
      <c r="D125" s="254"/>
      <c r="E125" s="254"/>
      <c r="F125" s="254"/>
      <c r="G125" s="254"/>
      <c r="H125" s="254"/>
      <c r="I125" s="254"/>
      <c r="J125" s="254"/>
      <c r="K125" s="254"/>
      <c r="L125" s="254"/>
      <c r="M125" s="254"/>
      <c r="N125" s="254"/>
      <c r="O125" s="5"/>
      <c r="Q125" s="5"/>
      <c r="R125" s="5"/>
      <c r="S125" s="5"/>
    </row>
    <row r="126" spans="2:19">
      <c r="B126" s="41"/>
      <c r="C126" s="254"/>
      <c r="D126" s="254"/>
      <c r="E126" s="254"/>
      <c r="F126" s="254"/>
      <c r="G126" s="254"/>
      <c r="H126" s="254"/>
      <c r="I126" s="254"/>
      <c r="J126" s="254"/>
      <c r="K126" s="254"/>
      <c r="L126" s="254"/>
      <c r="M126" s="254"/>
      <c r="N126" s="254"/>
      <c r="O126" s="5"/>
      <c r="Q126" s="5"/>
      <c r="R126" s="5"/>
      <c r="S126" s="5"/>
    </row>
    <row r="127" spans="2:19">
      <c r="B127" s="41"/>
      <c r="C127" s="254"/>
      <c r="D127" s="254"/>
      <c r="E127" s="254"/>
      <c r="F127" s="254"/>
      <c r="G127" s="254"/>
      <c r="H127" s="254"/>
      <c r="I127" s="18"/>
      <c r="J127" s="254"/>
      <c r="K127" s="254"/>
      <c r="L127" s="254"/>
      <c r="M127" s="254"/>
      <c r="N127" s="254"/>
      <c r="O127" s="5"/>
      <c r="Q127" s="5"/>
      <c r="R127" s="5"/>
      <c r="S127" s="5"/>
    </row>
    <row r="128" spans="2:19">
      <c r="B128" s="41"/>
      <c r="C128" s="254"/>
      <c r="D128" s="254"/>
      <c r="E128" s="254"/>
      <c r="F128" s="254"/>
      <c r="G128" s="254"/>
      <c r="H128" s="254"/>
      <c r="I128" s="5"/>
      <c r="J128" s="254"/>
      <c r="K128" s="254"/>
      <c r="L128" s="254"/>
      <c r="M128" s="254"/>
      <c r="N128" s="254"/>
      <c r="O128" s="5"/>
      <c r="Q128" s="5"/>
      <c r="R128" s="5"/>
      <c r="S128" s="5"/>
    </row>
    <row r="129" spans="2:27">
      <c r="B129" s="5"/>
      <c r="C129" s="5"/>
      <c r="D129" s="18"/>
      <c r="E129" s="18"/>
      <c r="F129" s="18"/>
      <c r="G129" s="18"/>
      <c r="H129" s="18"/>
      <c r="I129" s="254"/>
      <c r="J129" s="18"/>
      <c r="K129" s="18"/>
      <c r="L129" s="18"/>
      <c r="M129" s="18"/>
      <c r="N129" s="18"/>
      <c r="O129" s="5"/>
      <c r="Q129" s="5"/>
      <c r="R129" s="5"/>
      <c r="S129" s="5"/>
    </row>
    <row r="130" spans="2:27">
      <c r="B130" s="5"/>
      <c r="C130" s="5"/>
      <c r="D130" s="5"/>
      <c r="E130" s="5"/>
      <c r="F130" s="5"/>
      <c r="G130" s="5"/>
      <c r="H130" s="5"/>
      <c r="I130" s="18"/>
      <c r="J130" s="5"/>
      <c r="K130" s="5"/>
      <c r="L130" s="5"/>
      <c r="M130" s="5"/>
      <c r="N130" s="5"/>
      <c r="O130" s="5"/>
      <c r="Q130" s="5"/>
      <c r="R130" s="5"/>
      <c r="S130" s="5"/>
    </row>
    <row r="131" spans="2:27">
      <c r="B131" s="41"/>
      <c r="C131" s="254"/>
      <c r="D131" s="254"/>
      <c r="E131" s="254"/>
      <c r="F131" s="254"/>
      <c r="G131" s="254"/>
      <c r="H131" s="254"/>
      <c r="I131" s="5"/>
      <c r="J131" s="254"/>
      <c r="K131" s="254"/>
      <c r="L131" s="254"/>
      <c r="M131" s="254"/>
      <c r="N131" s="254"/>
      <c r="O131" s="5"/>
      <c r="Q131" s="5"/>
      <c r="R131" s="5"/>
      <c r="S131" s="5"/>
    </row>
    <row r="132" spans="2:27">
      <c r="B132" s="5"/>
      <c r="C132" s="259"/>
      <c r="D132" s="18"/>
      <c r="E132" s="18"/>
      <c r="F132" s="18"/>
      <c r="G132" s="18"/>
      <c r="H132" s="18"/>
      <c r="I132" s="5"/>
      <c r="J132" s="18"/>
      <c r="K132" s="18"/>
      <c r="L132" s="18"/>
      <c r="M132" s="18"/>
      <c r="N132" s="18"/>
      <c r="O132" s="5"/>
      <c r="Q132" s="5"/>
      <c r="R132" s="5"/>
      <c r="S132" s="5"/>
    </row>
    <row r="133" spans="2:27">
      <c r="B133" s="5"/>
      <c r="C133" s="5"/>
      <c r="D133" s="5"/>
      <c r="E133" s="5"/>
      <c r="F133" s="5"/>
      <c r="G133" s="5"/>
      <c r="H133" s="5"/>
      <c r="I133" s="17"/>
      <c r="J133" s="5"/>
      <c r="K133" s="5"/>
      <c r="L133" s="5"/>
      <c r="M133" s="5"/>
      <c r="N133" s="5"/>
      <c r="O133" s="5"/>
      <c r="Q133" s="5"/>
      <c r="R133" s="5"/>
      <c r="S133" s="5"/>
    </row>
    <row r="134" spans="2:27">
      <c r="B134" s="41"/>
      <c r="C134" s="5"/>
      <c r="D134" s="5"/>
      <c r="E134" s="5"/>
      <c r="F134" s="5"/>
      <c r="G134" s="5"/>
      <c r="H134" s="5"/>
      <c r="I134" s="17"/>
      <c r="J134" s="5"/>
      <c r="K134" s="5"/>
      <c r="L134" s="5"/>
      <c r="M134" s="5"/>
      <c r="N134" s="5"/>
      <c r="O134" s="5"/>
      <c r="Q134" s="5"/>
      <c r="R134" s="5"/>
      <c r="S134" s="5"/>
    </row>
    <row r="135" spans="2:27">
      <c r="B135" s="5"/>
      <c r="C135" s="17"/>
      <c r="D135" s="17"/>
      <c r="E135" s="17"/>
      <c r="F135" s="17"/>
      <c r="G135" s="17"/>
      <c r="H135" s="17"/>
      <c r="I135" s="17"/>
      <c r="J135" s="17"/>
      <c r="K135" s="17"/>
      <c r="L135" s="17"/>
      <c r="M135" s="17"/>
      <c r="N135" s="17"/>
      <c r="O135" s="5"/>
      <c r="Q135" s="41"/>
      <c r="R135" s="5"/>
      <c r="S135" s="5"/>
    </row>
    <row r="136" spans="2:27">
      <c r="B136" s="5"/>
      <c r="C136" s="17"/>
      <c r="D136" s="17"/>
      <c r="E136" s="17"/>
      <c r="F136" s="17"/>
      <c r="G136" s="17"/>
      <c r="H136" s="17"/>
      <c r="I136" s="17"/>
      <c r="J136" s="17"/>
      <c r="K136" s="17"/>
      <c r="L136" s="17"/>
      <c r="M136" s="17"/>
      <c r="N136" s="17"/>
      <c r="O136" s="5"/>
      <c r="Q136" s="5"/>
      <c r="R136" s="5"/>
      <c r="S136" s="5"/>
      <c r="X136" s="304"/>
    </row>
    <row r="137" spans="2:27">
      <c r="B137" s="5"/>
      <c r="C137" s="5"/>
      <c r="D137" s="17"/>
      <c r="E137" s="17"/>
      <c r="F137" s="17"/>
      <c r="G137" s="17"/>
      <c r="H137" s="17"/>
      <c r="I137" s="17"/>
      <c r="J137" s="17"/>
      <c r="K137" s="17"/>
      <c r="L137" s="17"/>
      <c r="M137" s="17"/>
      <c r="N137" s="17"/>
      <c r="O137" s="5"/>
      <c r="Q137" s="5"/>
      <c r="R137" s="5"/>
      <c r="S137" s="5"/>
      <c r="X137" s="10"/>
      <c r="Y137" s="304"/>
      <c r="Z137" s="304"/>
      <c r="AA137" s="304"/>
    </row>
    <row r="138" spans="2:27">
      <c r="B138" s="5"/>
      <c r="C138" s="5"/>
      <c r="D138" s="17"/>
      <c r="E138" s="17"/>
      <c r="F138" s="17"/>
      <c r="G138" s="17"/>
      <c r="H138" s="17"/>
      <c r="I138" s="17"/>
      <c r="J138" s="17"/>
      <c r="K138" s="17"/>
      <c r="L138" s="17"/>
      <c r="M138" s="17"/>
      <c r="N138" s="17"/>
      <c r="O138" s="5"/>
      <c r="Q138" s="5"/>
      <c r="R138" s="5"/>
      <c r="S138" s="5"/>
      <c r="Y138" s="10"/>
      <c r="Z138" s="10"/>
      <c r="AA138" s="10"/>
    </row>
    <row r="139" spans="2:27">
      <c r="B139" s="5"/>
      <c r="C139" s="5"/>
      <c r="D139" s="17"/>
      <c r="E139" s="17"/>
      <c r="F139" s="17"/>
      <c r="G139" s="17"/>
      <c r="H139" s="17"/>
      <c r="I139" s="5"/>
      <c r="J139" s="17"/>
      <c r="K139" s="17"/>
      <c r="L139" s="17"/>
      <c r="M139" s="17"/>
      <c r="N139" s="17"/>
      <c r="O139" s="5"/>
      <c r="Q139" s="5"/>
      <c r="R139" s="5"/>
      <c r="S139" s="5"/>
    </row>
    <row r="140" spans="2:27">
      <c r="B140" s="5"/>
      <c r="C140" s="17"/>
      <c r="D140" s="17"/>
      <c r="E140" s="17"/>
      <c r="F140" s="17"/>
      <c r="G140" s="17"/>
      <c r="H140" s="17"/>
      <c r="I140" s="5"/>
      <c r="J140" s="17"/>
      <c r="K140" s="17"/>
      <c r="L140" s="17"/>
      <c r="M140" s="17"/>
      <c r="N140" s="17"/>
      <c r="O140" s="5"/>
      <c r="Q140" s="5"/>
      <c r="R140" s="5"/>
      <c r="S140" s="5"/>
    </row>
    <row r="141" spans="2:27">
      <c r="B141" s="5"/>
      <c r="C141" s="5"/>
      <c r="D141" s="5"/>
      <c r="E141" s="5"/>
      <c r="F141" s="5"/>
      <c r="G141" s="5"/>
      <c r="H141" s="5"/>
      <c r="I141" s="5"/>
      <c r="J141" s="5"/>
      <c r="K141" s="5"/>
      <c r="L141" s="5"/>
      <c r="M141" s="5"/>
      <c r="N141" s="5"/>
      <c r="O141" s="5"/>
      <c r="Q141" s="5"/>
      <c r="R141" s="5"/>
      <c r="S141" s="5"/>
    </row>
    <row r="142" spans="2:27">
      <c r="B142" s="5"/>
      <c r="C142" s="5"/>
      <c r="D142" s="5"/>
      <c r="E142" s="5"/>
      <c r="F142" s="5"/>
      <c r="G142" s="5"/>
      <c r="H142" s="5"/>
      <c r="I142" s="5"/>
      <c r="J142" s="5"/>
      <c r="K142" s="5"/>
      <c r="L142" s="5"/>
      <c r="M142" s="5"/>
      <c r="N142" s="5"/>
      <c r="O142" s="5"/>
      <c r="Q142" s="5"/>
      <c r="R142" s="5"/>
      <c r="S142" s="5"/>
    </row>
    <row r="143" spans="2:27">
      <c r="B143" s="5"/>
      <c r="C143" s="5"/>
      <c r="D143" s="5"/>
      <c r="E143" s="5"/>
      <c r="F143" s="5"/>
      <c r="G143" s="5"/>
      <c r="H143" s="5"/>
      <c r="I143" s="5"/>
      <c r="J143" s="5"/>
      <c r="K143" s="5"/>
      <c r="L143" s="5"/>
      <c r="M143" s="5"/>
      <c r="N143" s="5"/>
      <c r="O143" s="5"/>
      <c r="Q143" s="5"/>
      <c r="R143" s="5"/>
      <c r="S143" s="5"/>
    </row>
    <row r="144" spans="2:27">
      <c r="B144" s="5"/>
      <c r="C144" s="5"/>
      <c r="D144" s="5"/>
      <c r="E144" s="5"/>
      <c r="F144" s="5"/>
      <c r="G144" s="5"/>
      <c r="H144" s="5"/>
      <c r="I144" s="5"/>
      <c r="J144" s="5"/>
      <c r="K144" s="5"/>
      <c r="L144" s="5"/>
      <c r="M144" s="5"/>
      <c r="N144" s="5"/>
      <c r="O144" s="5"/>
      <c r="Q144" s="5"/>
      <c r="R144" s="5"/>
      <c r="S144" s="5"/>
    </row>
    <row r="145" spans="2:19">
      <c r="B145" s="5"/>
      <c r="C145" s="5"/>
      <c r="D145" s="5"/>
      <c r="E145" s="5"/>
      <c r="F145" s="5"/>
      <c r="G145" s="5"/>
      <c r="H145" s="5"/>
      <c r="I145" s="5"/>
      <c r="J145" s="5"/>
      <c r="K145" s="5"/>
      <c r="L145" s="5"/>
      <c r="M145" s="5"/>
      <c r="N145" s="5"/>
      <c r="O145" s="5"/>
      <c r="Q145" s="5"/>
      <c r="R145" s="5"/>
      <c r="S145" s="5"/>
    </row>
    <row r="146" spans="2:19">
      <c r="B146" s="5"/>
      <c r="C146" s="5"/>
      <c r="D146" s="5"/>
      <c r="E146" s="5"/>
      <c r="F146" s="5"/>
      <c r="G146" s="5"/>
      <c r="H146" s="5"/>
      <c r="I146" s="5"/>
      <c r="J146" s="5"/>
      <c r="K146" s="5"/>
      <c r="L146" s="5"/>
      <c r="M146" s="5"/>
      <c r="N146" s="5"/>
      <c r="O146" s="5"/>
      <c r="Q146" s="5"/>
      <c r="R146" s="5"/>
      <c r="S146" s="5"/>
    </row>
    <row r="147" spans="2:19">
      <c r="B147" s="5"/>
      <c r="C147" s="5"/>
      <c r="D147" s="5"/>
      <c r="E147" s="5"/>
      <c r="F147" s="5"/>
      <c r="G147" s="5"/>
      <c r="H147" s="5"/>
      <c r="I147" s="5"/>
      <c r="J147" s="5"/>
      <c r="K147" s="5"/>
      <c r="L147" s="5"/>
      <c r="M147" s="5"/>
      <c r="N147" s="5"/>
      <c r="O147" s="5"/>
      <c r="Q147" s="5"/>
      <c r="R147" s="5"/>
      <c r="S147" s="5"/>
    </row>
    <row r="148" spans="2:19">
      <c r="B148" s="5"/>
      <c r="C148" s="5"/>
      <c r="D148" s="5"/>
      <c r="E148" s="5"/>
      <c r="F148" s="5"/>
      <c r="G148" s="5"/>
      <c r="H148" s="5"/>
      <c r="I148" s="5"/>
      <c r="J148" s="5"/>
      <c r="K148" s="5"/>
      <c r="L148" s="5"/>
      <c r="M148" s="5"/>
      <c r="N148" s="5"/>
      <c r="O148" s="5"/>
      <c r="Q148" s="5"/>
      <c r="R148" s="5"/>
      <c r="S148" s="5"/>
    </row>
    <row r="149" spans="2:19">
      <c r="B149" s="5"/>
      <c r="C149" s="5"/>
      <c r="D149" s="5"/>
      <c r="E149" s="5"/>
      <c r="F149" s="5"/>
      <c r="G149" s="5"/>
      <c r="H149" s="5"/>
      <c r="J149" s="5"/>
      <c r="K149" s="5"/>
      <c r="L149" s="5"/>
      <c r="M149" s="5"/>
      <c r="N149" s="5"/>
      <c r="O149" s="5"/>
      <c r="Q149" s="5"/>
      <c r="R149" s="5"/>
      <c r="S149" s="5"/>
    </row>
    <row r="150" spans="2:19">
      <c r="B150" s="5"/>
      <c r="C150" s="5"/>
      <c r="D150" s="5"/>
      <c r="E150" s="5"/>
      <c r="F150" s="5"/>
      <c r="G150" s="5"/>
      <c r="H150" s="5"/>
      <c r="J150" s="5"/>
      <c r="K150" s="5"/>
      <c r="L150" s="5"/>
      <c r="M150" s="5"/>
      <c r="N150" s="5"/>
      <c r="O150" s="5"/>
      <c r="Q150" s="5"/>
      <c r="R150" s="5"/>
      <c r="S150" s="5"/>
    </row>
    <row r="151" spans="2:19">
      <c r="Q151" s="5"/>
      <c r="R151" s="5"/>
      <c r="S151" s="5"/>
    </row>
    <row r="152" spans="2:19">
      <c r="Q152" s="5"/>
      <c r="R152" s="5"/>
      <c r="S152" s="5"/>
    </row>
    <row r="153" spans="2:19">
      <c r="C153" s="263"/>
      <c r="Q153" s="5"/>
      <c r="R153" s="5"/>
      <c r="S153" s="5"/>
    </row>
    <row r="154" spans="2:19">
      <c r="Q154" s="5"/>
      <c r="R154" s="5"/>
      <c r="S154" s="5"/>
    </row>
    <row r="155" spans="2:19">
      <c r="Q155" s="5"/>
      <c r="R155" s="5"/>
      <c r="S155" s="5"/>
    </row>
    <row r="156" spans="2:19">
      <c r="Q156" s="5"/>
      <c r="R156" s="5"/>
      <c r="S156" s="5"/>
    </row>
    <row r="157" spans="2:19">
      <c r="Q157" s="5"/>
      <c r="R157" s="5"/>
      <c r="S157" s="5"/>
    </row>
    <row r="158" spans="2:19">
      <c r="Q158" s="5"/>
      <c r="R158" s="5"/>
      <c r="S158" s="5"/>
    </row>
    <row r="159" spans="2:19">
      <c r="Q159" s="5"/>
      <c r="R159" s="5"/>
      <c r="S159" s="5"/>
    </row>
    <row r="160" spans="2:19">
      <c r="Q160" s="5"/>
      <c r="R160" s="5"/>
      <c r="S160" s="5"/>
    </row>
    <row r="161" spans="17:19">
      <c r="Q161" s="5"/>
      <c r="R161" s="5"/>
      <c r="S161" s="5"/>
    </row>
    <row r="162" spans="17:19">
      <c r="Q162" s="5"/>
      <c r="R162" s="5"/>
      <c r="S162" s="5"/>
    </row>
    <row r="163" spans="17:19">
      <c r="Q163" s="5"/>
      <c r="R163" s="5"/>
      <c r="S163" s="5"/>
    </row>
    <row r="164" spans="17:19">
      <c r="Q164" s="5"/>
      <c r="R164" s="5"/>
      <c r="S164" s="5"/>
    </row>
    <row r="165" spans="17:19">
      <c r="Q165" s="5"/>
      <c r="R165" s="5"/>
      <c r="S165" s="5"/>
    </row>
  </sheetData>
  <phoneticPr fontId="7" type="noConversion"/>
  <pageMargins left="0.75" right="0.75" top="1" bottom="1" header="0.5" footer="0.5"/>
  <pageSetup scale="71" orientation="landscape" r:id="rId1"/>
  <headerFooter alignWithMargins="0"/>
  <drawing r:id="rId2"/>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900-000000000000}">
  <sheetPr codeName="Sheet124">
    <pageSetUpPr fitToPage="1"/>
  </sheetPr>
  <dimension ref="B1:S131"/>
  <sheetViews>
    <sheetView showGridLines="0" zoomScale="80" zoomScaleNormal="80" workbookViewId="0"/>
  </sheetViews>
  <sheetFormatPr defaultColWidth="8.88671875" defaultRowHeight="12"/>
  <cols>
    <col min="1" max="1" width="2.33203125" style="39" customWidth="1"/>
    <col min="2" max="2" width="31.109375" style="39" customWidth="1"/>
    <col min="3" max="11" width="10" style="39" customWidth="1"/>
    <col min="12" max="12" width="10" style="168" customWidth="1"/>
    <col min="13" max="19" width="9.109375" style="239" customWidth="1"/>
    <col min="20" max="16384" width="8.88671875" style="39"/>
  </cols>
  <sheetData>
    <row r="1" spans="2:19" s="80" customFormat="1">
      <c r="L1" s="337"/>
      <c r="M1" s="338"/>
      <c r="N1" s="338"/>
      <c r="O1" s="338"/>
      <c r="P1" s="338"/>
      <c r="Q1" s="338"/>
      <c r="R1" s="338"/>
      <c r="S1" s="338"/>
    </row>
    <row r="2" spans="2:19" s="80" customFormat="1">
      <c r="L2" s="337"/>
      <c r="M2" s="338"/>
      <c r="N2" s="338"/>
      <c r="O2" s="338"/>
      <c r="P2" s="338"/>
      <c r="Q2" s="338"/>
      <c r="R2" s="338"/>
      <c r="S2" s="338"/>
    </row>
    <row r="3" spans="2:19" s="80" customFormat="1">
      <c r="C3" s="337"/>
      <c r="D3" s="337"/>
      <c r="E3" s="337"/>
      <c r="F3" s="337"/>
      <c r="G3" s="337"/>
      <c r="H3" s="339"/>
      <c r="I3" s="337"/>
      <c r="J3" s="337"/>
      <c r="K3" s="337"/>
      <c r="L3" s="337"/>
      <c r="M3" s="338"/>
      <c r="N3" s="338"/>
      <c r="O3" s="338"/>
      <c r="P3" s="338"/>
      <c r="Q3" s="338"/>
      <c r="R3" s="338"/>
      <c r="S3" s="338"/>
    </row>
    <row r="4" spans="2:19" s="172" customFormat="1" ht="21">
      <c r="B4" s="341" t="s">
        <v>1452</v>
      </c>
      <c r="C4" s="342"/>
      <c r="D4" s="342"/>
      <c r="E4" s="342"/>
      <c r="F4" s="342"/>
      <c r="G4" s="342"/>
      <c r="H4" s="343"/>
      <c r="I4" s="342"/>
      <c r="J4" s="342"/>
      <c r="K4" s="342"/>
      <c r="L4" s="342"/>
      <c r="M4" s="344"/>
      <c r="N4" s="344"/>
      <c r="O4" s="344"/>
      <c r="P4" s="344"/>
      <c r="Q4" s="344"/>
      <c r="R4" s="344"/>
      <c r="S4" s="344"/>
    </row>
    <row r="5" spans="2:19" s="80" customFormat="1">
      <c r="C5" s="339"/>
      <c r="D5" s="339"/>
      <c r="E5" s="339"/>
      <c r="F5" s="339"/>
      <c r="G5" s="339"/>
      <c r="H5" s="339"/>
      <c r="I5" s="339"/>
      <c r="J5" s="339"/>
      <c r="K5" s="339"/>
      <c r="L5" s="340"/>
      <c r="M5" s="338"/>
      <c r="N5" s="338"/>
      <c r="O5" s="338"/>
      <c r="P5" s="338"/>
      <c r="Q5" s="338"/>
      <c r="R5" s="338"/>
      <c r="S5" s="338"/>
    </row>
    <row r="6" spans="2:19">
      <c r="B6" s="5"/>
      <c r="I6" s="5"/>
      <c r="J6" s="5"/>
      <c r="K6" s="5"/>
    </row>
    <row r="7" spans="2:19" ht="12.6" thickBot="1">
      <c r="B7" s="346" t="s">
        <v>267</v>
      </c>
      <c r="C7" s="336"/>
      <c r="D7" s="336"/>
      <c r="E7" s="336"/>
      <c r="F7" s="336"/>
      <c r="G7" s="336"/>
      <c r="H7" s="336"/>
      <c r="I7" s="336"/>
      <c r="J7" s="336"/>
      <c r="K7" s="336"/>
      <c r="L7" s="5"/>
      <c r="M7" s="5"/>
      <c r="N7" s="5"/>
      <c r="O7" s="5"/>
      <c r="P7" s="5"/>
      <c r="Q7" s="5"/>
      <c r="R7" s="5"/>
      <c r="S7" s="5"/>
    </row>
    <row r="8" spans="2:19">
      <c r="B8" s="347"/>
      <c r="K8" s="277" t="s">
        <v>465</v>
      </c>
      <c r="L8" s="5"/>
      <c r="M8" s="5"/>
      <c r="N8" s="5"/>
      <c r="O8" s="5"/>
      <c r="P8" s="5"/>
      <c r="Q8" s="5"/>
      <c r="R8" s="5"/>
      <c r="S8" s="5"/>
    </row>
    <row r="9" spans="2:19" ht="12.6" thickBot="1">
      <c r="B9" s="306" t="s">
        <v>271</v>
      </c>
      <c r="C9" s="265"/>
      <c r="D9" s="265"/>
      <c r="E9" s="265"/>
      <c r="F9" s="265"/>
      <c r="G9" s="265" t="str">
        <f>ADVANCED!D5</f>
        <v>2023E</v>
      </c>
      <c r="H9" s="265" t="str">
        <f>ADVANCED!E5</f>
        <v>2024E</v>
      </c>
      <c r="I9" s="265" t="str">
        <f>ADVANCED!F5</f>
        <v>2025E</v>
      </c>
      <c r="J9" s="265" t="str">
        <f>ADVANCED!G5</f>
        <v>2026E</v>
      </c>
      <c r="K9" s="265" t="str">
        <f>ADVANCED!H5</f>
        <v>23E-26E</v>
      </c>
      <c r="L9" s="5"/>
      <c r="M9" s="5"/>
      <c r="N9" s="5"/>
      <c r="O9" s="5"/>
      <c r="P9" s="5"/>
      <c r="Q9" s="5"/>
      <c r="R9" s="5"/>
      <c r="S9" s="5"/>
    </row>
    <row r="10" spans="2:19" ht="12.6" thickTop="1">
      <c r="B10" s="5"/>
      <c r="F10" s="5"/>
      <c r="G10" s="5"/>
      <c r="H10" s="5"/>
      <c r="I10" s="5"/>
      <c r="J10" s="5"/>
      <c r="K10" s="5"/>
      <c r="L10" s="5"/>
      <c r="M10" s="5"/>
      <c r="N10" s="5"/>
      <c r="O10" s="5"/>
      <c r="P10" s="5"/>
      <c r="Q10" s="5"/>
      <c r="R10" s="5"/>
      <c r="S10" s="5"/>
    </row>
    <row r="11" spans="2:19">
      <c r="B11" s="41" t="s">
        <v>1399</v>
      </c>
      <c r="C11" s="267">
        <f>Prices!C24</f>
        <v>16.239999999999998</v>
      </c>
      <c r="G11" s="5"/>
      <c r="H11" s="249"/>
      <c r="I11" s="249"/>
      <c r="J11" s="249"/>
      <c r="K11" s="249"/>
      <c r="L11" s="5"/>
      <c r="M11" s="5"/>
      <c r="N11" s="5"/>
      <c r="O11" s="5"/>
      <c r="P11" s="5"/>
      <c r="Q11" s="5"/>
      <c r="R11" s="5"/>
      <c r="S11" s="5"/>
    </row>
    <row r="12" spans="2:19">
      <c r="B12" s="5" t="s">
        <v>274</v>
      </c>
      <c r="F12" s="5"/>
      <c r="G12" s="332">
        <f>SUM(LBTY!D9:D10)</f>
        <v>382.60299999999995</v>
      </c>
      <c r="H12" s="332">
        <f>SUM(LBTY!E9:E10)</f>
        <v>347.49374499999999</v>
      </c>
      <c r="I12" s="332">
        <f>SUM(LBTY!F9:F10)</f>
        <v>315.89541550000001</v>
      </c>
      <c r="J12" s="332">
        <f>SUM(LBTY!G9:G10)</f>
        <v>287.45691895000004</v>
      </c>
      <c r="K12" s="247"/>
      <c r="L12" s="348"/>
      <c r="M12" s="5"/>
      <c r="N12" s="5"/>
      <c r="O12" s="5"/>
      <c r="P12" s="5"/>
      <c r="Q12" s="5"/>
      <c r="R12" s="5"/>
      <c r="S12" s="5"/>
    </row>
    <row r="13" spans="2:19">
      <c r="B13" s="41" t="s">
        <v>275</v>
      </c>
      <c r="F13" s="5"/>
      <c r="G13" s="271">
        <f>$C$11*G12</f>
        <v>6213.4727199999988</v>
      </c>
      <c r="H13" s="271">
        <f t="shared" ref="H13:J13" si="0">$C$11*H12</f>
        <v>5643.2984187999991</v>
      </c>
      <c r="I13" s="271">
        <f t="shared" si="0"/>
        <v>5130.1415477199998</v>
      </c>
      <c r="J13" s="271">
        <f t="shared" si="0"/>
        <v>4668.3003637480006</v>
      </c>
      <c r="K13" s="249"/>
      <c r="L13" s="348"/>
      <c r="M13" s="5"/>
      <c r="N13" s="5"/>
      <c r="O13" s="5"/>
      <c r="P13" s="5"/>
      <c r="Q13" s="5"/>
      <c r="R13" s="5"/>
      <c r="S13" s="5"/>
    </row>
    <row r="14" spans="2:19">
      <c r="B14" s="5" t="s">
        <v>758</v>
      </c>
      <c r="F14" s="249"/>
      <c r="G14" s="322">
        <v>27923.40256755842</v>
      </c>
      <c r="H14" s="322">
        <v>28017.799797751035</v>
      </c>
      <c r="I14" s="322">
        <v>28197.218518980626</v>
      </c>
      <c r="J14" s="322">
        <v>28090.901770577555</v>
      </c>
      <c r="K14" s="247"/>
      <c r="L14" s="348"/>
      <c r="M14" s="5"/>
      <c r="N14" s="5"/>
      <c r="O14" s="5"/>
      <c r="P14" s="5"/>
      <c r="Q14" s="5"/>
      <c r="R14" s="5"/>
      <c r="S14" s="5"/>
    </row>
    <row r="15" spans="2:19">
      <c r="B15" s="5" t="s">
        <v>529</v>
      </c>
      <c r="F15" s="257"/>
      <c r="G15" s="322">
        <v>0</v>
      </c>
      <c r="H15" s="322">
        <v>0</v>
      </c>
      <c r="I15" s="322">
        <v>0</v>
      </c>
      <c r="J15" s="322">
        <v>0</v>
      </c>
      <c r="K15" s="247"/>
      <c r="L15" s="348"/>
      <c r="M15" s="5"/>
      <c r="N15" s="5"/>
      <c r="O15" s="5"/>
      <c r="P15" s="5"/>
      <c r="Q15" s="5"/>
      <c r="R15" s="5"/>
      <c r="S15" s="5"/>
    </row>
    <row r="16" spans="2:19">
      <c r="B16" s="5" t="s">
        <v>532</v>
      </c>
      <c r="F16" s="257"/>
      <c r="G16" s="322">
        <v>2993.8</v>
      </c>
      <c r="H16" s="322">
        <v>2993.8</v>
      </c>
      <c r="I16" s="322">
        <v>2993.8</v>
      </c>
      <c r="J16" s="322">
        <v>2993.8</v>
      </c>
      <c r="K16" s="247"/>
      <c r="L16" s="348"/>
      <c r="M16" s="5"/>
      <c r="N16" s="5"/>
      <c r="O16" s="5"/>
      <c r="P16" s="5"/>
      <c r="Q16" s="5"/>
      <c r="R16" s="5"/>
      <c r="S16" s="5"/>
    </row>
    <row r="17" spans="2:19">
      <c r="B17" s="5" t="s">
        <v>531</v>
      </c>
      <c r="F17" s="274"/>
      <c r="G17" s="322">
        <v>0</v>
      </c>
      <c r="H17" s="322">
        <v>0</v>
      </c>
      <c r="I17" s="322">
        <v>0</v>
      </c>
      <c r="J17" s="322">
        <v>0</v>
      </c>
      <c r="K17" s="247"/>
      <c r="L17" s="348"/>
      <c r="M17" s="5"/>
      <c r="N17" s="5"/>
      <c r="O17" s="5"/>
      <c r="P17" s="5"/>
      <c r="Q17" s="5"/>
      <c r="R17" s="5"/>
      <c r="S17" s="5"/>
    </row>
    <row r="18" spans="2:19">
      <c r="B18" s="5" t="s">
        <v>534</v>
      </c>
      <c r="F18" s="257"/>
      <c r="G18" s="322">
        <v>0</v>
      </c>
      <c r="H18" s="322">
        <v>0</v>
      </c>
      <c r="I18" s="322">
        <v>0</v>
      </c>
      <c r="J18" s="322">
        <v>0</v>
      </c>
      <c r="K18" s="247"/>
      <c r="L18" s="348"/>
      <c r="M18" s="5"/>
      <c r="N18" s="5"/>
      <c r="O18" s="5"/>
      <c r="P18" s="5"/>
      <c r="Q18" s="5"/>
      <c r="R18" s="5"/>
      <c r="S18" s="5"/>
    </row>
    <row r="19" spans="2:19">
      <c r="B19" s="5" t="s">
        <v>6</v>
      </c>
      <c r="F19" s="257"/>
      <c r="G19" s="322">
        <v>146.80063999999999</v>
      </c>
      <c r="H19" s="322">
        <v>146.80063999999999</v>
      </c>
      <c r="I19" s="322">
        <v>146.80063999999999</v>
      </c>
      <c r="J19" s="322">
        <v>146.80063999999999</v>
      </c>
      <c r="K19" s="247"/>
      <c r="L19" s="348"/>
      <c r="M19" s="5"/>
      <c r="N19" s="5"/>
      <c r="O19" s="5"/>
      <c r="P19" s="5"/>
      <c r="Q19" s="5"/>
      <c r="R19" s="5"/>
      <c r="S19" s="5"/>
    </row>
    <row r="20" spans="2:19" ht="12.6" thickBot="1">
      <c r="B20" s="41" t="s">
        <v>583</v>
      </c>
      <c r="F20" s="249"/>
      <c r="G20" s="275">
        <f>G13+G14+G15-G16+G17-G18-G19</f>
        <v>30996.274647558417</v>
      </c>
      <c r="H20" s="275">
        <f t="shared" ref="H20:J20" si="1">H13+H14+H15-H16+H17-H18-H19</f>
        <v>30520.497576551035</v>
      </c>
      <c r="I20" s="275">
        <f t="shared" si="1"/>
        <v>30186.759426700624</v>
      </c>
      <c r="J20" s="275">
        <f t="shared" si="1"/>
        <v>29618.601494325554</v>
      </c>
      <c r="K20" s="276">
        <f>IF(G20=0,"nm",IF(J20=0,"nm",(J20/G20)^(1/3)-1))</f>
        <v>-1.5040554360205793E-2</v>
      </c>
      <c r="L20" s="348"/>
      <c r="M20" s="5"/>
      <c r="N20" s="5"/>
      <c r="O20" s="5"/>
      <c r="P20" s="5"/>
      <c r="Q20" s="5"/>
      <c r="R20" s="5"/>
      <c r="S20" s="5"/>
    </row>
    <row r="21" spans="2:19" ht="12.6" thickTop="1">
      <c r="I21" s="5"/>
      <c r="J21" s="5"/>
      <c r="K21" s="5"/>
      <c r="L21" s="5"/>
      <c r="M21" s="5"/>
      <c r="N21" s="5"/>
      <c r="O21" s="5"/>
      <c r="P21" s="5"/>
      <c r="Q21" s="5"/>
      <c r="R21" s="5"/>
      <c r="S21" s="5"/>
    </row>
    <row r="22" spans="2:19">
      <c r="I22" s="5"/>
      <c r="J22" s="5"/>
      <c r="K22" s="5"/>
      <c r="L22" s="5"/>
      <c r="M22" s="5"/>
      <c r="N22" s="5"/>
      <c r="O22" s="5"/>
      <c r="P22" s="5"/>
      <c r="Q22" s="5"/>
      <c r="R22" s="5"/>
      <c r="S22" s="5"/>
    </row>
    <row r="23" spans="2:19">
      <c r="K23" s="277" t="s">
        <v>465</v>
      </c>
      <c r="L23" s="5"/>
      <c r="M23" s="5"/>
      <c r="N23" s="5"/>
      <c r="O23" s="5"/>
      <c r="P23" s="5"/>
      <c r="Q23" s="5"/>
      <c r="R23" s="5"/>
      <c r="S23" s="5"/>
    </row>
    <row r="24" spans="2:19" ht="12.6" thickBot="1">
      <c r="B24" s="306" t="s">
        <v>433</v>
      </c>
      <c r="C24" s="265"/>
      <c r="D24" s="265"/>
      <c r="E24" s="265"/>
      <c r="F24" s="265"/>
      <c r="G24" s="265" t="str">
        <f>ADVANCED!D5</f>
        <v>2023E</v>
      </c>
      <c r="H24" s="265" t="str">
        <f>ADVANCED!E5</f>
        <v>2024E</v>
      </c>
      <c r="I24" s="265" t="str">
        <f>ADVANCED!F5</f>
        <v>2025E</v>
      </c>
      <c r="J24" s="265" t="str">
        <f>ADVANCED!G5</f>
        <v>2026E</v>
      </c>
      <c r="K24" s="265" t="str">
        <f>ADVANCED!H5</f>
        <v>23E-26E</v>
      </c>
      <c r="L24" s="5"/>
      <c r="M24" s="5"/>
      <c r="N24" s="5"/>
      <c r="O24" s="5"/>
      <c r="P24" s="5"/>
      <c r="Q24" s="5"/>
      <c r="R24" s="5"/>
      <c r="S24" s="5"/>
    </row>
    <row r="25" spans="2:19" ht="12.6" thickTop="1">
      <c r="B25" s="5"/>
      <c r="C25" s="257"/>
      <c r="G25" s="17"/>
      <c r="H25" s="17"/>
      <c r="I25" s="17"/>
      <c r="J25" s="17"/>
      <c r="K25" s="17"/>
      <c r="L25" s="5"/>
      <c r="M25" s="5"/>
      <c r="N25" s="5"/>
      <c r="O25" s="5"/>
      <c r="P25" s="5"/>
      <c r="Q25" s="5"/>
      <c r="R25" s="5"/>
      <c r="S25" s="5"/>
    </row>
    <row r="26" spans="2:19">
      <c r="B26" s="5" t="s">
        <v>483</v>
      </c>
      <c r="C26" s="247"/>
      <c r="F26" s="102">
        <v>5414.0887971297061</v>
      </c>
      <c r="G26" s="322">
        <v>5123.8707835422038</v>
      </c>
      <c r="H26" s="322">
        <v>5487.1573188436214</v>
      </c>
      <c r="I26" s="322">
        <v>5574.1570829966131</v>
      </c>
      <c r="J26" s="322">
        <v>5679.7047809259029</v>
      </c>
      <c r="K26" s="279">
        <f>IF(G26=0,"nm",IF(J26=0,"nm",(J26/G26)^(1/3)-1))</f>
        <v>3.4925762185926246E-2</v>
      </c>
      <c r="L26" s="5"/>
      <c r="M26" s="5"/>
      <c r="N26" s="5"/>
      <c r="O26" s="5"/>
      <c r="P26" s="5"/>
      <c r="Q26" s="5"/>
      <c r="R26" s="5"/>
      <c r="S26" s="5"/>
    </row>
    <row r="27" spans="2:19">
      <c r="B27" s="5" t="s">
        <v>183</v>
      </c>
      <c r="C27" s="247"/>
      <c r="F27" s="102">
        <v>1934.0867747100001</v>
      </c>
      <c r="G27" s="322">
        <v>1737.4336839150078</v>
      </c>
      <c r="H27" s="322">
        <v>1721.5270770336256</v>
      </c>
      <c r="I27" s="322">
        <v>1780.7881522737352</v>
      </c>
      <c r="J27" s="322">
        <v>2105.385113948827</v>
      </c>
      <c r="K27" s="279">
        <f>IF(G27=0,"nm",IF(J27=0,"nm",(J27/G27)^(1/3)-1))</f>
        <v>6.6124123370717713E-2</v>
      </c>
      <c r="L27" s="5"/>
      <c r="M27" s="5"/>
      <c r="N27" s="5"/>
      <c r="O27" s="5"/>
      <c r="P27" s="5"/>
      <c r="Q27" s="5"/>
      <c r="R27" s="5"/>
      <c r="S27" s="5"/>
    </row>
    <row r="28" spans="2:19">
      <c r="B28" s="5" t="s">
        <v>586</v>
      </c>
      <c r="C28" s="247"/>
      <c r="F28" s="102">
        <v>1566.6102875151003</v>
      </c>
      <c r="G28" s="322">
        <v>1389.9469471320062</v>
      </c>
      <c r="H28" s="322">
        <v>1377.2216616269006</v>
      </c>
      <c r="I28" s="322">
        <v>1424.6305218189882</v>
      </c>
      <c r="J28" s="322">
        <v>1684.3080911590616</v>
      </c>
      <c r="K28" s="279">
        <f>IF(G28=0,"nm",IF(J28=0,"nm",(J28/G28)^(1/3)-1))</f>
        <v>6.6124123370717713E-2</v>
      </c>
      <c r="L28" s="5"/>
      <c r="M28" s="5"/>
      <c r="N28" s="5"/>
      <c r="O28" s="5"/>
      <c r="P28" s="5"/>
      <c r="Q28" s="5"/>
      <c r="R28" s="5"/>
      <c r="S28" s="5"/>
    </row>
    <row r="29" spans="2:19">
      <c r="B29" s="5"/>
      <c r="C29" s="247"/>
      <c r="G29" s="279"/>
      <c r="H29" s="279"/>
      <c r="I29" s="279"/>
      <c r="J29" s="279"/>
      <c r="K29" s="279"/>
      <c r="L29" s="5"/>
      <c r="M29" s="5"/>
      <c r="N29" s="5"/>
      <c r="O29" s="5"/>
      <c r="P29" s="5"/>
      <c r="Q29" s="5"/>
      <c r="R29" s="5"/>
      <c r="S29" s="5"/>
    </row>
    <row r="30" spans="2:19">
      <c r="B30" s="5"/>
      <c r="C30" s="247"/>
      <c r="G30" s="17"/>
      <c r="H30" s="17"/>
      <c r="I30" s="17"/>
      <c r="J30" s="17"/>
      <c r="K30" s="277" t="s">
        <v>465</v>
      </c>
      <c r="L30" s="5"/>
      <c r="M30" s="5"/>
      <c r="N30" s="5"/>
      <c r="O30" s="5"/>
      <c r="P30" s="5"/>
      <c r="Q30" s="5"/>
      <c r="R30" s="5"/>
      <c r="S30" s="5"/>
    </row>
    <row r="31" spans="2:19" ht="12.6" thickBot="1">
      <c r="B31" s="306" t="s">
        <v>434</v>
      </c>
      <c r="C31" s="265"/>
      <c r="D31" s="265"/>
      <c r="E31" s="265"/>
      <c r="F31" s="265"/>
      <c r="G31" s="265" t="str">
        <f>ADVANCED!D5</f>
        <v>2023E</v>
      </c>
      <c r="H31" s="265" t="str">
        <f>ADVANCED!E5</f>
        <v>2024E</v>
      </c>
      <c r="I31" s="265" t="str">
        <f>ADVANCED!F5</f>
        <v>2025E</v>
      </c>
      <c r="J31" s="265" t="str">
        <f>ADVANCED!G5</f>
        <v>2026E</v>
      </c>
      <c r="K31" s="265" t="str">
        <f>ADVANCED!H5</f>
        <v>23E-26E</v>
      </c>
      <c r="L31" s="5"/>
      <c r="M31" s="5"/>
      <c r="N31" s="5"/>
      <c r="O31" s="5"/>
      <c r="P31" s="5"/>
      <c r="Q31" s="5"/>
      <c r="R31" s="5"/>
      <c r="S31" s="5"/>
    </row>
    <row r="32" spans="2:19" ht="12.6" thickTop="1">
      <c r="B32" s="41"/>
      <c r="C32" s="249"/>
      <c r="G32" s="254"/>
      <c r="H32" s="254"/>
      <c r="I32" s="254"/>
      <c r="J32" s="254"/>
      <c r="K32" s="254"/>
      <c r="L32" s="5"/>
      <c r="M32" s="5"/>
      <c r="N32" s="5"/>
      <c r="O32" s="5"/>
      <c r="P32" s="5"/>
      <c r="Q32" s="5"/>
      <c r="R32" s="5"/>
      <c r="S32" s="5"/>
    </row>
    <row r="33" spans="2:19">
      <c r="B33" s="41" t="s">
        <v>184</v>
      </c>
      <c r="C33" s="247"/>
      <c r="G33" s="268">
        <f t="shared" ref="G33:J33" si="2">G$20/G26</f>
        <v>6.0493864808452988</v>
      </c>
      <c r="H33" s="268">
        <f t="shared" si="2"/>
        <v>5.5621692259012923</v>
      </c>
      <c r="I33" s="268">
        <f t="shared" si="2"/>
        <v>5.4154841668854647</v>
      </c>
      <c r="J33" s="268">
        <f t="shared" si="2"/>
        <v>5.2148135575273935</v>
      </c>
      <c r="K33" s="17">
        <f>K26</f>
        <v>3.4925762185926246E-2</v>
      </c>
      <c r="L33" s="5"/>
      <c r="M33" s="5"/>
      <c r="N33" s="5"/>
      <c r="O33" s="5"/>
      <c r="P33" s="5"/>
      <c r="Q33" s="5"/>
      <c r="R33" s="5"/>
      <c r="S33" s="5"/>
    </row>
    <row r="34" spans="2:19">
      <c r="B34" s="41" t="s">
        <v>185</v>
      </c>
      <c r="C34" s="249"/>
      <c r="G34" s="268">
        <f t="shared" ref="G34:J34" si="3">G$20/G27</f>
        <v>17.840263449775904</v>
      </c>
      <c r="H34" s="268">
        <f t="shared" si="3"/>
        <v>17.728735135052943</v>
      </c>
      <c r="I34" s="268">
        <f t="shared" si="3"/>
        <v>16.951347855811903</v>
      </c>
      <c r="J34" s="268">
        <f t="shared" si="3"/>
        <v>14.068020761661687</v>
      </c>
      <c r="K34" s="17">
        <f>K27</f>
        <v>6.6124123370717713E-2</v>
      </c>
      <c r="L34" s="5"/>
      <c r="M34" s="5"/>
      <c r="N34" s="5"/>
      <c r="O34" s="5"/>
      <c r="P34" s="5"/>
      <c r="Q34" s="5"/>
      <c r="R34" s="5"/>
      <c r="S34" s="5"/>
    </row>
    <row r="35" spans="2:19">
      <c r="B35" s="41" t="s">
        <v>466</v>
      </c>
      <c r="C35" s="247"/>
      <c r="G35" s="268">
        <f t="shared" ref="G35:J35" si="4">G$20/G28</f>
        <v>22.300329312219883</v>
      </c>
      <c r="H35" s="268">
        <f t="shared" si="4"/>
        <v>22.160918918816179</v>
      </c>
      <c r="I35" s="268">
        <f t="shared" si="4"/>
        <v>21.189184819764879</v>
      </c>
      <c r="J35" s="268">
        <f t="shared" si="4"/>
        <v>17.585025952077107</v>
      </c>
      <c r="K35" s="17">
        <f>K28</f>
        <v>6.6124123370717713E-2</v>
      </c>
      <c r="L35" s="5"/>
      <c r="M35" s="5"/>
      <c r="N35" s="5"/>
      <c r="O35" s="5"/>
      <c r="P35" s="5"/>
      <c r="Q35" s="5"/>
      <c r="R35" s="5"/>
      <c r="S35" s="5"/>
    </row>
    <row r="36" spans="2:19">
      <c r="B36" s="41"/>
      <c r="C36" s="5"/>
      <c r="G36" s="250"/>
      <c r="H36" s="250"/>
      <c r="I36" s="250"/>
      <c r="J36" s="250"/>
      <c r="K36" s="17"/>
      <c r="L36" s="5"/>
      <c r="M36" s="5"/>
      <c r="N36" s="5"/>
      <c r="O36" s="5"/>
      <c r="P36" s="5"/>
      <c r="Q36" s="5"/>
      <c r="R36" s="5"/>
      <c r="S36" s="5"/>
    </row>
    <row r="37" spans="2:19">
      <c r="B37" s="41"/>
      <c r="C37" s="5"/>
      <c r="G37" s="250"/>
      <c r="H37" s="331"/>
      <c r="I37" s="250"/>
      <c r="J37" s="250"/>
      <c r="K37" s="17"/>
      <c r="L37" s="5"/>
      <c r="M37" s="5"/>
      <c r="N37" s="5"/>
      <c r="O37" s="5"/>
      <c r="P37" s="5"/>
      <c r="Q37" s="5"/>
      <c r="R37" s="5"/>
      <c r="S37" s="5"/>
    </row>
    <row r="38" spans="2:19">
      <c r="B38" s="5"/>
      <c r="C38" s="5"/>
      <c r="D38" s="5"/>
      <c r="E38" s="5"/>
      <c r="F38" s="5"/>
      <c r="G38" s="254"/>
      <c r="H38" s="254"/>
      <c r="I38" s="254"/>
      <c r="J38" s="254"/>
      <c r="K38" s="5"/>
      <c r="L38" s="5"/>
      <c r="M38" s="5"/>
      <c r="N38" s="5"/>
      <c r="O38" s="5"/>
      <c r="P38" s="5"/>
      <c r="Q38" s="5"/>
      <c r="R38" s="5"/>
      <c r="S38" s="5"/>
    </row>
    <row r="39" spans="2:19">
      <c r="B39" s="41"/>
      <c r="C39" s="249"/>
      <c r="D39" s="249"/>
      <c r="E39" s="249"/>
      <c r="F39" s="249"/>
      <c r="G39" s="254"/>
      <c r="H39" s="254"/>
      <c r="I39" s="254"/>
      <c r="J39" s="254"/>
      <c r="K39" s="249"/>
      <c r="L39" s="5"/>
      <c r="M39" s="5"/>
      <c r="N39" s="5"/>
      <c r="O39" s="5"/>
      <c r="P39" s="5"/>
      <c r="Q39" s="5"/>
      <c r="R39" s="5"/>
      <c r="S39" s="5"/>
    </row>
    <row r="40" spans="2:19">
      <c r="B40" s="5"/>
      <c r="C40" s="5"/>
      <c r="D40" s="5"/>
      <c r="E40" s="5"/>
      <c r="F40" s="5"/>
      <c r="G40" s="254"/>
      <c r="H40" s="254"/>
      <c r="I40" s="254"/>
      <c r="J40" s="254"/>
      <c r="K40" s="5"/>
      <c r="L40" s="5"/>
      <c r="M40" s="5"/>
      <c r="N40" s="5"/>
      <c r="O40" s="5"/>
      <c r="P40" s="5"/>
      <c r="Q40" s="5"/>
      <c r="R40" s="5"/>
      <c r="S40" s="5"/>
    </row>
    <row r="41" spans="2:19" ht="12.6" thickBot="1">
      <c r="B41" s="346" t="s">
        <v>202</v>
      </c>
      <c r="C41" s="336"/>
      <c r="D41" s="336"/>
      <c r="E41" s="336"/>
      <c r="F41" s="336"/>
      <c r="G41" s="336"/>
      <c r="H41" s="336"/>
      <c r="I41" s="336"/>
      <c r="J41" s="336"/>
      <c r="K41" s="336"/>
      <c r="L41" s="5"/>
      <c r="M41" s="5"/>
      <c r="N41" s="5"/>
      <c r="O41" s="5"/>
      <c r="P41" s="5"/>
      <c r="Q41" s="5"/>
      <c r="R41" s="5"/>
      <c r="S41" s="5"/>
    </row>
    <row r="42" spans="2:19">
      <c r="B42" s="347"/>
      <c r="K42" s="277" t="s">
        <v>465</v>
      </c>
      <c r="L42" s="5"/>
      <c r="M42" s="5"/>
      <c r="N42" s="5"/>
      <c r="O42" s="5"/>
      <c r="P42" s="5"/>
      <c r="Q42" s="5"/>
      <c r="R42" s="5"/>
      <c r="S42" s="5"/>
    </row>
    <row r="43" spans="2:19" ht="12.6" thickBot="1">
      <c r="B43" s="306" t="s">
        <v>271</v>
      </c>
      <c r="C43" s="265"/>
      <c r="D43" s="265"/>
      <c r="E43" s="265"/>
      <c r="F43" s="265"/>
      <c r="G43" s="265" t="str">
        <f>ADVANCED!D5</f>
        <v>2023E</v>
      </c>
      <c r="H43" s="265" t="str">
        <f>ADVANCED!E5</f>
        <v>2024E</v>
      </c>
      <c r="I43" s="265" t="str">
        <f>ADVANCED!F5</f>
        <v>2025E</v>
      </c>
      <c r="J43" s="265" t="str">
        <f>ADVANCED!G5</f>
        <v>2026E</v>
      </c>
      <c r="K43" s="265" t="str">
        <f>ADVANCED!H5</f>
        <v>23E-26E</v>
      </c>
      <c r="L43" s="5"/>
      <c r="M43" s="5"/>
      <c r="N43" s="5"/>
      <c r="O43" s="5"/>
      <c r="P43" s="5"/>
      <c r="Q43" s="5"/>
      <c r="R43" s="5"/>
      <c r="S43" s="5"/>
    </row>
    <row r="44" spans="2:19" ht="12.6" thickTop="1">
      <c r="B44" s="5"/>
      <c r="F44" s="5"/>
      <c r="G44" s="5"/>
      <c r="H44" s="5"/>
      <c r="I44" s="5"/>
      <c r="J44" s="5"/>
      <c r="K44" s="5"/>
      <c r="L44" s="5"/>
      <c r="M44" s="5"/>
      <c r="N44" s="5"/>
      <c r="O44" s="5"/>
      <c r="P44" s="5"/>
      <c r="Q44" s="5"/>
      <c r="R44" s="5"/>
      <c r="S44" s="5"/>
    </row>
    <row r="45" spans="2:19">
      <c r="B45" s="41" t="s">
        <v>203</v>
      </c>
      <c r="C45" s="267">
        <f>Prices!$C$58</f>
        <v>2.42</v>
      </c>
      <c r="G45" s="5">
        <v>0</v>
      </c>
      <c r="H45" s="249">
        <v>0</v>
      </c>
      <c r="I45" s="249">
        <v>0</v>
      </c>
      <c r="J45" s="249">
        <v>0</v>
      </c>
      <c r="K45" s="249">
        <v>36152.698909647115</v>
      </c>
      <c r="L45" s="5"/>
      <c r="M45" s="5"/>
      <c r="N45" s="5"/>
      <c r="O45" s="5"/>
      <c r="P45" s="5"/>
      <c r="Q45" s="5"/>
      <c r="R45" s="5"/>
      <c r="S45" s="5"/>
    </row>
    <row r="46" spans="2:19">
      <c r="B46" s="5" t="s">
        <v>274</v>
      </c>
      <c r="F46" s="5"/>
      <c r="G46" s="319">
        <v>16555.546999999999</v>
      </c>
      <c r="H46" s="319">
        <v>16555.546999999999</v>
      </c>
      <c r="I46" s="319">
        <v>16555.546999999999</v>
      </c>
      <c r="J46" s="319">
        <v>16555.546999999999</v>
      </c>
      <c r="K46" s="247"/>
      <c r="L46" s="5"/>
      <c r="M46" s="5"/>
      <c r="N46" s="5"/>
      <c r="O46" s="5"/>
      <c r="P46" s="5"/>
      <c r="Q46" s="5"/>
      <c r="R46" s="5"/>
      <c r="S46" s="5"/>
    </row>
    <row r="47" spans="2:19">
      <c r="B47" s="41" t="s">
        <v>275</v>
      </c>
      <c r="F47" s="5"/>
      <c r="G47" s="271">
        <f>$C$45*G46</f>
        <v>40064.423739999998</v>
      </c>
      <c r="H47" s="271">
        <f>$C$45*H46</f>
        <v>40064.423739999998</v>
      </c>
      <c r="I47" s="271">
        <f>$C$45*I46</f>
        <v>40064.423739999998</v>
      </c>
      <c r="J47" s="271">
        <f>$C$45*J46</f>
        <v>40064.423739999998</v>
      </c>
      <c r="K47" s="249"/>
      <c r="L47" s="5"/>
      <c r="M47" s="5"/>
      <c r="N47" s="5"/>
      <c r="O47" s="5"/>
      <c r="P47" s="5"/>
      <c r="Q47" s="5"/>
      <c r="R47" s="5"/>
      <c r="S47" s="5"/>
    </row>
    <row r="48" spans="2:19">
      <c r="B48" s="5" t="s">
        <v>758</v>
      </c>
      <c r="F48" s="249"/>
      <c r="G48" s="320">
        <v>20940.032965407041</v>
      </c>
      <c r="H48" s="320">
        <v>18045.931711796675</v>
      </c>
      <c r="I48" s="320">
        <v>15571.932278168093</v>
      </c>
      <c r="J48" s="320">
        <v>12926.592308216448</v>
      </c>
      <c r="K48" s="247"/>
      <c r="L48" s="5"/>
      <c r="M48" s="5"/>
      <c r="N48" s="5"/>
      <c r="O48" s="5"/>
      <c r="P48" s="5"/>
      <c r="Q48" s="5"/>
      <c r="R48" s="5"/>
      <c r="S48" s="5"/>
    </row>
    <row r="49" spans="2:19">
      <c r="B49" s="5" t="s">
        <v>529</v>
      </c>
      <c r="F49" s="257"/>
      <c r="G49" s="320">
        <v>0</v>
      </c>
      <c r="H49" s="320">
        <v>0</v>
      </c>
      <c r="I49" s="320">
        <v>0</v>
      </c>
      <c r="J49" s="320">
        <v>0</v>
      </c>
      <c r="K49" s="247"/>
      <c r="L49" s="5"/>
      <c r="M49" s="5"/>
      <c r="N49" s="5"/>
      <c r="O49" s="5"/>
      <c r="P49" s="5"/>
      <c r="Q49" s="5"/>
      <c r="R49" s="5"/>
      <c r="S49" s="5"/>
    </row>
    <row r="50" spans="2:19">
      <c r="B50" s="5" t="s">
        <v>532</v>
      </c>
      <c r="F50" s="257"/>
      <c r="G50" s="228">
        <v>0</v>
      </c>
      <c r="H50" s="228">
        <v>0</v>
      </c>
      <c r="I50" s="228">
        <v>0</v>
      </c>
      <c r="J50" s="228">
        <v>0</v>
      </c>
      <c r="K50" s="247"/>
      <c r="L50" s="5"/>
      <c r="M50" s="5"/>
      <c r="N50" s="5"/>
      <c r="O50" s="5"/>
      <c r="P50" s="5"/>
      <c r="Q50" s="5"/>
      <c r="R50" s="5"/>
      <c r="S50" s="5"/>
    </row>
    <row r="51" spans="2:19">
      <c r="B51" s="5" t="s">
        <v>531</v>
      </c>
      <c r="F51" s="274"/>
      <c r="G51" s="228">
        <v>0</v>
      </c>
      <c r="H51" s="228">
        <v>0</v>
      </c>
      <c r="I51" s="228">
        <v>0</v>
      </c>
      <c r="J51" s="228">
        <v>0</v>
      </c>
      <c r="K51" s="247"/>
      <c r="L51" s="5"/>
      <c r="M51" s="5"/>
      <c r="N51" s="5"/>
      <c r="O51" s="5"/>
      <c r="P51" s="5"/>
      <c r="Q51" s="5"/>
      <c r="R51" s="5"/>
      <c r="S51" s="5"/>
    </row>
    <row r="52" spans="2:19">
      <c r="B52" s="5" t="s">
        <v>534</v>
      </c>
      <c r="F52" s="257"/>
      <c r="G52" s="320">
        <v>0</v>
      </c>
      <c r="H52" s="320">
        <v>1993.7381433939368</v>
      </c>
      <c r="I52" s="320">
        <v>4446.9844039645504</v>
      </c>
      <c r="J52" s="320">
        <v>7381.3199121186608</v>
      </c>
      <c r="K52" s="247"/>
      <c r="L52" s="5"/>
    </row>
    <row r="53" spans="2:19">
      <c r="B53" s="5" t="s">
        <v>6</v>
      </c>
      <c r="F53" s="257"/>
      <c r="G53" s="320">
        <v>0</v>
      </c>
      <c r="H53" s="320">
        <v>0</v>
      </c>
      <c r="I53" s="320">
        <v>0</v>
      </c>
      <c r="J53" s="320">
        <v>0</v>
      </c>
      <c r="K53" s="247"/>
      <c r="L53" s="5"/>
    </row>
    <row r="54" spans="2:19" ht="12.6" thickBot="1">
      <c r="B54" s="41" t="s">
        <v>583</v>
      </c>
      <c r="F54" s="249"/>
      <c r="G54" s="275">
        <f>G47+G48+G49-G50+G51-G52-G53</f>
        <v>61004.456705407036</v>
      </c>
      <c r="H54" s="275">
        <f>H47+H48+H49-H50+H51-H52-H53</f>
        <v>56116.617308402732</v>
      </c>
      <c r="I54" s="275">
        <f>I47+I48+I49-I50+I51-I52-I53</f>
        <v>51189.371614203541</v>
      </c>
      <c r="J54" s="275">
        <f>J47+J48+J49-J50+J51-J52-J53</f>
        <v>45609.696136097788</v>
      </c>
      <c r="K54" s="276">
        <f>IF(G54=0,"nm",IF(J54=0,"nm",(J54/G54)^(1/3)-1))</f>
        <v>-9.2391533728295561E-2</v>
      </c>
      <c r="L54" s="5"/>
    </row>
    <row r="55" spans="2:19" ht="12.6" thickTop="1">
      <c r="I55" s="5"/>
      <c r="J55" s="5"/>
      <c r="K55" s="5"/>
      <c r="L55" s="5"/>
    </row>
    <row r="56" spans="2:19">
      <c r="I56" s="5"/>
      <c r="J56" s="5"/>
      <c r="K56" s="5"/>
      <c r="L56" s="5"/>
    </row>
    <row r="57" spans="2:19">
      <c r="K57" s="277" t="s">
        <v>465</v>
      </c>
      <c r="L57" s="5"/>
    </row>
    <row r="58" spans="2:19" ht="12.6" thickBot="1">
      <c r="B58" s="306" t="s">
        <v>575</v>
      </c>
      <c r="C58" s="265"/>
      <c r="D58" s="265"/>
      <c r="E58" s="265"/>
      <c r="F58" s="265"/>
      <c r="G58" s="265" t="str">
        <f>ADVANCED!D5</f>
        <v>2023E</v>
      </c>
      <c r="H58" s="265" t="str">
        <f>ADVANCED!E5</f>
        <v>2024E</v>
      </c>
      <c r="I58" s="265" t="str">
        <f>ADVANCED!F5</f>
        <v>2025E</v>
      </c>
      <c r="J58" s="265" t="str">
        <f>ADVANCED!G5</f>
        <v>2026E</v>
      </c>
      <c r="K58" s="265" t="str">
        <f>ADVANCED!H5</f>
        <v>23E-26E</v>
      </c>
      <c r="L58" s="5"/>
    </row>
    <row r="59" spans="2:19" ht="12.6" thickTop="1">
      <c r="B59" s="5"/>
      <c r="C59" s="257"/>
      <c r="G59" s="17"/>
      <c r="H59" s="17"/>
      <c r="I59" s="17"/>
      <c r="J59" s="17"/>
      <c r="K59" s="17"/>
      <c r="L59" s="5"/>
    </row>
    <row r="60" spans="2:19">
      <c r="B60" s="5" t="s">
        <v>483</v>
      </c>
      <c r="C60" s="247"/>
      <c r="F60" s="102">
        <v>10743.222652511426</v>
      </c>
      <c r="G60" s="322">
        <v>11365.504896144612</v>
      </c>
      <c r="H60" s="322">
        <v>12160.717457297642</v>
      </c>
      <c r="I60" s="322">
        <v>12927.705037247972</v>
      </c>
      <c r="J60" s="322">
        <v>13671.813065213368</v>
      </c>
      <c r="K60" s="279">
        <f>IF(G60=0,"nm",IF(J60=0,"nm",(J60/G60)^(1/3)-1))</f>
        <v>6.3520321580009309E-2</v>
      </c>
      <c r="L60" s="5"/>
    </row>
    <row r="61" spans="2:19">
      <c r="B61" s="5" t="s">
        <v>183</v>
      </c>
      <c r="C61" s="247"/>
      <c r="F61" s="102">
        <v>5144.7257266621918</v>
      </c>
      <c r="G61" s="322">
        <v>5999.9668919542291</v>
      </c>
      <c r="H61" s="322">
        <v>7028.1598353357913</v>
      </c>
      <c r="I61" s="322">
        <v>7910.6603041938279</v>
      </c>
      <c r="J61" s="322">
        <v>8615.9775489313943</v>
      </c>
      <c r="K61" s="279">
        <f>IF(G61=0,"nm",IF(J61=0,"nm",(J61/G61)^(1/3)-1))</f>
        <v>0.12819776463667343</v>
      </c>
      <c r="L61" s="5"/>
    </row>
    <row r="62" spans="2:19">
      <c r="B62" s="5" t="s">
        <v>586</v>
      </c>
      <c r="C62" s="247"/>
      <c r="F62" s="102">
        <v>4142.3070940310163</v>
      </c>
      <c r="G62" s="322">
        <v>4810.4725755495256</v>
      </c>
      <c r="H62" s="322">
        <v>5546.1786398951908</v>
      </c>
      <c r="I62" s="322">
        <v>6211.6242865899558</v>
      </c>
      <c r="J62" s="322">
        <v>7150.4301366448799</v>
      </c>
      <c r="K62" s="279">
        <f>IF(G62=0,"nm",IF(J62=0,"nm",(J62/G62)^(1/3)-1))</f>
        <v>0.14125179832231338</v>
      </c>
      <c r="L62" s="5"/>
    </row>
    <row r="63" spans="2:19">
      <c r="B63" s="5"/>
      <c r="C63" s="247"/>
      <c r="G63" s="279"/>
      <c r="H63" s="279"/>
      <c r="I63" s="279"/>
      <c r="J63" s="279"/>
      <c r="K63" s="279"/>
      <c r="L63" s="5"/>
    </row>
    <row r="64" spans="2:19">
      <c r="B64" s="5"/>
      <c r="C64" s="247"/>
      <c r="G64" s="17"/>
      <c r="H64" s="17"/>
      <c r="I64" s="17"/>
      <c r="J64" s="17"/>
      <c r="K64" s="277" t="s">
        <v>465</v>
      </c>
      <c r="L64" s="5"/>
    </row>
    <row r="65" spans="2:12" ht="12.6" thickBot="1">
      <c r="B65" s="306" t="s">
        <v>249</v>
      </c>
      <c r="C65" s="265"/>
      <c r="D65" s="265"/>
      <c r="E65" s="265"/>
      <c r="F65" s="265"/>
      <c r="G65" s="265" t="str">
        <f>ADVANCED!D5</f>
        <v>2023E</v>
      </c>
      <c r="H65" s="265" t="str">
        <f>ADVANCED!E5</f>
        <v>2024E</v>
      </c>
      <c r="I65" s="265" t="str">
        <f>ADVANCED!F5</f>
        <v>2025E</v>
      </c>
      <c r="J65" s="265" t="str">
        <f>ADVANCED!G5</f>
        <v>2026E</v>
      </c>
      <c r="K65" s="265" t="str">
        <f>ADVANCED!H5</f>
        <v>23E-26E</v>
      </c>
      <c r="L65" s="5"/>
    </row>
    <row r="66" spans="2:12" ht="12.6" thickTop="1">
      <c r="B66" s="41"/>
      <c r="C66" s="249"/>
      <c r="G66" s="254"/>
      <c r="H66" s="254"/>
      <c r="I66" s="254"/>
      <c r="J66" s="254"/>
      <c r="K66" s="254"/>
      <c r="L66" s="5"/>
    </row>
    <row r="67" spans="2:12">
      <c r="B67" s="41" t="s">
        <v>184</v>
      </c>
      <c r="C67" s="247"/>
      <c r="G67" s="268">
        <f t="shared" ref="G67:J69" si="5">G$54/G60</f>
        <v>5.3675096058513745</v>
      </c>
      <c r="H67" s="268">
        <f t="shared" si="5"/>
        <v>4.6145811302216524</v>
      </c>
      <c r="I67" s="268">
        <f t="shared" si="5"/>
        <v>3.9596642611131734</v>
      </c>
      <c r="J67" s="268">
        <f t="shared" si="5"/>
        <v>3.3360386013576599</v>
      </c>
      <c r="K67" s="17">
        <f>K60</f>
        <v>6.3520321580009309E-2</v>
      </c>
      <c r="L67" s="5"/>
    </row>
    <row r="68" spans="2:12">
      <c r="B68" s="41" t="s">
        <v>185</v>
      </c>
      <c r="C68" s="249"/>
      <c r="G68" s="268">
        <f t="shared" si="5"/>
        <v>10.167465555053667</v>
      </c>
      <c r="H68" s="268">
        <f t="shared" si="5"/>
        <v>7.9845391429862937</v>
      </c>
      <c r="I68" s="268">
        <f t="shared" si="5"/>
        <v>6.470935376540635</v>
      </c>
      <c r="J68" s="268">
        <f t="shared" si="5"/>
        <v>5.293618266421154</v>
      </c>
      <c r="K68" s="17">
        <f>K61</f>
        <v>0.12819776463667343</v>
      </c>
      <c r="L68" s="5"/>
    </row>
    <row r="69" spans="2:12">
      <c r="B69" s="41" t="s">
        <v>466</v>
      </c>
      <c r="C69" s="247"/>
      <c r="G69" s="268">
        <f t="shared" si="5"/>
        <v>12.6815932836782</v>
      </c>
      <c r="H69" s="268">
        <f t="shared" si="5"/>
        <v>10.118068845590448</v>
      </c>
      <c r="I69" s="268">
        <f t="shared" si="5"/>
        <v>8.2408995220001255</v>
      </c>
      <c r="J69" s="268">
        <f t="shared" si="5"/>
        <v>6.3785947508744893</v>
      </c>
      <c r="K69" s="17">
        <f>K62</f>
        <v>0.14125179832231338</v>
      </c>
      <c r="L69" s="5"/>
    </row>
    <row r="70" spans="2:12">
      <c r="B70" s="41"/>
      <c r="C70" s="5"/>
      <c r="G70" s="250"/>
      <c r="H70" s="250"/>
      <c r="I70" s="250"/>
      <c r="J70" s="250"/>
      <c r="K70" s="17"/>
      <c r="L70" s="5"/>
    </row>
    <row r="71" spans="2:12">
      <c r="B71" s="41"/>
      <c r="C71" s="5"/>
      <c r="G71" s="250"/>
      <c r="H71" s="250"/>
      <c r="I71" s="250"/>
      <c r="J71" s="250"/>
      <c r="K71" s="17"/>
      <c r="L71" s="5"/>
    </row>
    <row r="72" spans="2:12">
      <c r="B72" s="5"/>
      <c r="C72" s="5"/>
      <c r="D72" s="5"/>
      <c r="E72" s="5"/>
      <c r="F72" s="5"/>
      <c r="G72" s="5"/>
      <c r="H72" s="5"/>
      <c r="I72" s="5"/>
      <c r="J72" s="5"/>
      <c r="K72" s="5"/>
      <c r="L72" s="5"/>
    </row>
    <row r="73" spans="2:12">
      <c r="B73" s="5"/>
      <c r="C73" s="5"/>
      <c r="D73" s="5"/>
      <c r="E73" s="5"/>
      <c r="F73" s="5"/>
      <c r="G73" s="5"/>
      <c r="H73" s="5"/>
      <c r="I73" s="5"/>
      <c r="J73" s="5"/>
      <c r="K73" s="5"/>
      <c r="L73" s="5"/>
    </row>
    <row r="74" spans="2:12">
      <c r="B74" s="5"/>
      <c r="C74" s="5"/>
      <c r="D74" s="5"/>
      <c r="E74" s="5"/>
      <c r="F74" s="5"/>
      <c r="G74" s="5"/>
      <c r="H74" s="5"/>
      <c r="I74" s="5"/>
      <c r="J74" s="5"/>
      <c r="K74" s="5"/>
      <c r="L74" s="5"/>
    </row>
    <row r="75" spans="2:12">
      <c r="B75" s="5"/>
      <c r="C75" s="259"/>
      <c r="D75" s="248"/>
      <c r="E75" s="248"/>
      <c r="F75" s="248"/>
      <c r="G75" s="248"/>
      <c r="H75" s="248"/>
      <c r="I75" s="248"/>
      <c r="J75" s="248"/>
      <c r="K75" s="248"/>
    </row>
    <row r="76" spans="2:12">
      <c r="B76" s="5"/>
      <c r="C76" s="259"/>
      <c r="D76" s="247"/>
      <c r="E76" s="247"/>
      <c r="F76" s="247"/>
      <c r="G76" s="247"/>
      <c r="H76" s="247"/>
      <c r="I76" s="247"/>
      <c r="J76" s="247"/>
      <c r="K76" s="247"/>
    </row>
    <row r="77" spans="2:12">
      <c r="B77" s="41"/>
      <c r="C77" s="249"/>
      <c r="D77" s="249"/>
      <c r="E77" s="249"/>
      <c r="F77" s="249"/>
      <c r="G77" s="249"/>
      <c r="H77" s="249"/>
      <c r="I77" s="249"/>
      <c r="J77" s="249"/>
      <c r="K77" s="249"/>
    </row>
    <row r="78" spans="2:12">
      <c r="B78" s="41"/>
      <c r="C78" s="257"/>
      <c r="D78" s="248"/>
      <c r="E78" s="248"/>
      <c r="F78" s="248"/>
      <c r="G78" s="248"/>
      <c r="H78" s="248"/>
      <c r="I78" s="248"/>
      <c r="J78" s="248"/>
      <c r="K78" s="248"/>
    </row>
    <row r="79" spans="2:12">
      <c r="B79" s="41"/>
      <c r="C79" s="5"/>
      <c r="D79" s="5"/>
      <c r="E79" s="5"/>
      <c r="F79" s="5"/>
      <c r="G79" s="5"/>
      <c r="H79" s="5"/>
      <c r="I79" s="5"/>
      <c r="J79" s="5"/>
      <c r="K79" s="5"/>
    </row>
    <row r="80" spans="2:12">
      <c r="B80" s="5"/>
      <c r="C80" s="259"/>
      <c r="D80" s="259"/>
      <c r="E80" s="259"/>
      <c r="F80" s="259"/>
      <c r="G80" s="259"/>
      <c r="H80" s="259"/>
      <c r="I80" s="259"/>
      <c r="J80" s="259"/>
      <c r="K80" s="259"/>
    </row>
    <row r="81" spans="2:19" s="5" customFormat="1">
      <c r="C81" s="259"/>
      <c r="D81" s="259"/>
      <c r="E81" s="259"/>
      <c r="F81" s="259"/>
      <c r="G81" s="259"/>
      <c r="H81" s="259"/>
      <c r="I81" s="259"/>
      <c r="J81" s="259"/>
      <c r="K81" s="259"/>
      <c r="L81" s="168"/>
      <c r="M81" s="239"/>
      <c r="N81" s="239"/>
      <c r="O81" s="239"/>
      <c r="P81" s="239"/>
      <c r="Q81" s="239"/>
      <c r="R81" s="239"/>
      <c r="S81" s="239"/>
    </row>
    <row r="82" spans="2:19">
      <c r="B82" s="5"/>
      <c r="C82" s="247"/>
      <c r="D82" s="247"/>
      <c r="E82" s="247"/>
      <c r="F82" s="247"/>
      <c r="G82" s="247"/>
      <c r="H82" s="247"/>
      <c r="I82" s="247"/>
      <c r="J82" s="247"/>
      <c r="K82" s="247"/>
    </row>
    <row r="83" spans="2:19">
      <c r="B83" s="5"/>
      <c r="C83" s="5"/>
      <c r="D83" s="5"/>
      <c r="E83" s="5"/>
      <c r="F83" s="5"/>
      <c r="G83" s="5"/>
      <c r="H83" s="5"/>
      <c r="I83" s="5"/>
      <c r="J83" s="5"/>
      <c r="K83" s="5"/>
    </row>
    <row r="84" spans="2:19">
      <c r="B84" s="5"/>
      <c r="C84" s="259"/>
      <c r="D84" s="247"/>
      <c r="E84" s="247"/>
      <c r="F84" s="247"/>
      <c r="G84" s="247"/>
      <c r="H84" s="247"/>
      <c r="I84" s="247"/>
      <c r="J84" s="247"/>
      <c r="K84" s="247"/>
    </row>
    <row r="85" spans="2:19" s="5" customFormat="1">
      <c r="C85" s="259"/>
      <c r="L85" s="168"/>
      <c r="M85" s="239"/>
      <c r="N85" s="239"/>
      <c r="O85" s="239"/>
      <c r="P85" s="239"/>
      <c r="Q85" s="239"/>
      <c r="R85" s="239"/>
      <c r="S85" s="239"/>
    </row>
    <row r="86" spans="2:19" s="5" customFormat="1">
      <c r="C86" s="259"/>
      <c r="D86" s="259"/>
      <c r="E86" s="259"/>
      <c r="F86" s="259"/>
      <c r="G86" s="259"/>
      <c r="H86" s="259"/>
      <c r="I86" s="259"/>
      <c r="J86" s="259"/>
      <c r="K86" s="259"/>
      <c r="L86" s="168"/>
      <c r="M86" s="239"/>
      <c r="N86" s="239"/>
      <c r="O86" s="239"/>
      <c r="P86" s="239"/>
      <c r="Q86" s="239"/>
      <c r="R86" s="239"/>
      <c r="S86" s="239"/>
    </row>
    <row r="87" spans="2:19">
      <c r="B87" s="5"/>
      <c r="C87" s="247"/>
      <c r="D87" s="247"/>
      <c r="E87" s="247"/>
      <c r="F87" s="247"/>
      <c r="G87" s="247"/>
      <c r="H87" s="247"/>
      <c r="I87" s="247"/>
      <c r="J87" s="247"/>
      <c r="K87" s="247"/>
    </row>
    <row r="88" spans="2:19">
      <c r="B88" s="41"/>
      <c r="C88" s="249"/>
      <c r="D88" s="249"/>
      <c r="E88" s="249"/>
      <c r="F88" s="249"/>
      <c r="G88" s="249"/>
      <c r="H88" s="249"/>
      <c r="I88" s="249"/>
      <c r="J88" s="249"/>
      <c r="K88" s="249"/>
    </row>
    <row r="89" spans="2:19">
      <c r="B89" s="5"/>
      <c r="C89" s="249"/>
      <c r="D89" s="249"/>
      <c r="E89" s="249"/>
      <c r="F89" s="249"/>
      <c r="G89" s="249"/>
      <c r="H89" s="249"/>
      <c r="I89" s="249"/>
      <c r="J89" s="249"/>
      <c r="K89" s="249"/>
    </row>
    <row r="90" spans="2:19">
      <c r="B90" s="5"/>
      <c r="C90" s="247"/>
      <c r="D90" s="247"/>
      <c r="E90" s="247"/>
      <c r="F90" s="247"/>
      <c r="G90" s="247"/>
      <c r="H90" s="247"/>
      <c r="I90" s="247"/>
      <c r="J90" s="247"/>
      <c r="K90" s="247"/>
    </row>
    <row r="91" spans="2:19">
      <c r="B91" s="5"/>
      <c r="C91" s="5"/>
      <c r="D91" s="5"/>
      <c r="E91" s="5"/>
      <c r="F91" s="5"/>
      <c r="G91" s="5"/>
      <c r="H91" s="5"/>
      <c r="I91" s="5"/>
      <c r="J91" s="5"/>
      <c r="K91" s="5"/>
    </row>
    <row r="92" spans="2:19">
      <c r="B92" s="5"/>
      <c r="C92" s="5"/>
      <c r="D92" s="5"/>
      <c r="E92" s="5"/>
      <c r="F92" s="5"/>
      <c r="G92" s="5"/>
      <c r="H92" s="5"/>
      <c r="I92" s="5"/>
      <c r="J92" s="5"/>
      <c r="K92" s="5"/>
    </row>
    <row r="93" spans="2:19">
      <c r="B93" s="5"/>
      <c r="C93" s="5"/>
      <c r="D93" s="5"/>
      <c r="E93" s="5"/>
      <c r="F93" s="5"/>
      <c r="G93" s="5"/>
      <c r="H93" s="5"/>
      <c r="I93" s="5"/>
      <c r="J93" s="5"/>
      <c r="K93" s="5"/>
    </row>
    <row r="94" spans="2:19">
      <c r="B94" s="5"/>
      <c r="C94" s="5"/>
      <c r="D94" s="5"/>
      <c r="E94" s="5"/>
      <c r="F94" s="5"/>
      <c r="G94" s="5"/>
      <c r="H94" s="5"/>
      <c r="I94" s="5"/>
      <c r="J94" s="5"/>
      <c r="K94" s="5"/>
    </row>
    <row r="95" spans="2:19">
      <c r="B95" s="242"/>
      <c r="C95" s="49"/>
      <c r="D95" s="49"/>
      <c r="E95" s="49"/>
      <c r="F95" s="49"/>
      <c r="G95" s="49"/>
      <c r="H95" s="49"/>
      <c r="I95" s="49"/>
      <c r="J95" s="49"/>
      <c r="K95" s="49"/>
    </row>
    <row r="96" spans="2:19">
      <c r="B96" s="5"/>
      <c r="C96" s="5"/>
      <c r="D96" s="5"/>
      <c r="E96" s="5"/>
      <c r="F96" s="5"/>
      <c r="G96" s="5"/>
      <c r="H96" s="5"/>
      <c r="I96" s="5"/>
      <c r="J96" s="5"/>
      <c r="K96" s="5"/>
    </row>
    <row r="97" spans="2:11">
      <c r="B97" s="41"/>
      <c r="C97" s="254"/>
      <c r="D97" s="254"/>
      <c r="E97" s="254"/>
      <c r="F97" s="254"/>
      <c r="G97" s="254"/>
      <c r="H97" s="254"/>
      <c r="I97" s="254"/>
      <c r="J97" s="254"/>
      <c r="K97" s="254"/>
    </row>
    <row r="98" spans="2:11">
      <c r="B98" s="41"/>
      <c r="C98" s="254"/>
      <c r="D98" s="249"/>
      <c r="E98" s="249"/>
      <c r="F98" s="249"/>
      <c r="G98" s="249"/>
      <c r="H98" s="249"/>
      <c r="I98" s="249"/>
      <c r="J98" s="249"/>
      <c r="K98" s="249"/>
    </row>
    <row r="99" spans="2:11">
      <c r="B99" s="41"/>
      <c r="C99" s="254"/>
      <c r="D99" s="254"/>
      <c r="E99" s="254"/>
      <c r="F99" s="254"/>
      <c r="G99" s="254"/>
      <c r="H99" s="254"/>
      <c r="I99" s="254"/>
      <c r="J99" s="254"/>
      <c r="K99" s="254"/>
    </row>
    <row r="100" spans="2:11">
      <c r="B100" s="41"/>
      <c r="C100" s="254"/>
      <c r="D100" s="254"/>
      <c r="E100" s="254"/>
      <c r="F100" s="254"/>
      <c r="G100" s="254"/>
      <c r="H100" s="254"/>
      <c r="I100" s="254"/>
      <c r="J100" s="254"/>
      <c r="K100" s="254"/>
    </row>
    <row r="101" spans="2:11">
      <c r="B101" s="41"/>
      <c r="C101" s="254"/>
      <c r="D101" s="254"/>
      <c r="E101" s="254"/>
      <c r="F101" s="254"/>
      <c r="G101" s="254"/>
      <c r="H101" s="254"/>
      <c r="I101" s="254"/>
      <c r="J101" s="254"/>
      <c r="K101" s="254"/>
    </row>
    <row r="102" spans="2:11">
      <c r="B102" s="41"/>
      <c r="C102" s="254"/>
      <c r="D102" s="254"/>
      <c r="E102" s="254"/>
      <c r="F102" s="254"/>
      <c r="G102" s="254"/>
      <c r="H102" s="254"/>
      <c r="I102" s="254"/>
      <c r="J102" s="254"/>
      <c r="K102" s="254"/>
    </row>
    <row r="103" spans="2:11">
      <c r="B103" s="41"/>
      <c r="C103" s="254"/>
      <c r="D103" s="254"/>
      <c r="E103" s="254"/>
      <c r="F103" s="254"/>
      <c r="G103" s="254"/>
      <c r="H103" s="254"/>
      <c r="I103" s="254"/>
      <c r="J103" s="254"/>
      <c r="K103" s="254"/>
    </row>
    <row r="104" spans="2:11">
      <c r="B104" s="41"/>
      <c r="C104" s="254"/>
      <c r="D104" s="254"/>
      <c r="E104" s="254"/>
      <c r="F104" s="254"/>
      <c r="G104" s="254"/>
      <c r="H104" s="254"/>
      <c r="I104" s="254"/>
      <c r="J104" s="254"/>
      <c r="K104" s="254"/>
    </row>
    <row r="105" spans="2:11">
      <c r="B105" s="41"/>
      <c r="C105" s="254"/>
      <c r="D105" s="254"/>
      <c r="E105" s="254"/>
      <c r="F105" s="254"/>
      <c r="G105" s="254"/>
      <c r="H105" s="254"/>
      <c r="I105" s="254"/>
      <c r="J105" s="254"/>
      <c r="K105" s="254"/>
    </row>
    <row r="106" spans="2:11">
      <c r="B106" s="41"/>
      <c r="C106" s="254"/>
      <c r="D106" s="254"/>
      <c r="E106" s="254"/>
      <c r="F106" s="254"/>
      <c r="G106" s="254"/>
      <c r="H106" s="254"/>
      <c r="I106" s="254"/>
      <c r="J106" s="254"/>
      <c r="K106" s="254"/>
    </row>
    <row r="107" spans="2:11">
      <c r="B107" s="5"/>
      <c r="C107" s="5"/>
      <c r="D107" s="18"/>
      <c r="E107" s="18"/>
      <c r="F107" s="18"/>
      <c r="G107" s="18"/>
      <c r="H107" s="18"/>
      <c r="I107" s="18"/>
      <c r="J107" s="18"/>
      <c r="K107" s="18"/>
    </row>
    <row r="108" spans="2:11">
      <c r="B108" s="5"/>
      <c r="C108" s="5"/>
      <c r="D108" s="5"/>
      <c r="E108" s="5"/>
      <c r="F108" s="5"/>
      <c r="G108" s="5"/>
      <c r="H108" s="5"/>
      <c r="I108" s="5"/>
      <c r="J108" s="5"/>
      <c r="K108" s="5"/>
    </row>
    <row r="109" spans="2:11">
      <c r="B109" s="41"/>
      <c r="C109" s="254"/>
      <c r="D109" s="254"/>
      <c r="E109" s="254"/>
      <c r="F109" s="254"/>
      <c r="G109" s="254"/>
      <c r="H109" s="254"/>
      <c r="I109" s="254"/>
      <c r="J109" s="254"/>
      <c r="K109" s="254"/>
    </row>
    <row r="110" spans="2:11">
      <c r="B110" s="5"/>
      <c r="C110" s="259"/>
      <c r="D110" s="18"/>
      <c r="E110" s="18"/>
      <c r="F110" s="18"/>
      <c r="G110" s="18"/>
      <c r="H110" s="18"/>
      <c r="I110" s="18"/>
      <c r="J110" s="18"/>
      <c r="K110" s="18"/>
    </row>
    <row r="111" spans="2:11">
      <c r="B111" s="5"/>
      <c r="C111" s="5"/>
      <c r="D111" s="5"/>
      <c r="E111" s="5"/>
      <c r="F111" s="5"/>
      <c r="G111" s="5"/>
      <c r="H111" s="5"/>
      <c r="I111" s="5"/>
      <c r="J111" s="5"/>
      <c r="K111" s="5"/>
    </row>
    <row r="112" spans="2:11">
      <c r="B112" s="41"/>
      <c r="C112" s="5"/>
      <c r="D112" s="5"/>
      <c r="E112" s="5"/>
      <c r="F112" s="5"/>
      <c r="G112" s="5"/>
      <c r="H112" s="5"/>
      <c r="I112" s="5"/>
      <c r="J112" s="5"/>
      <c r="K112" s="5"/>
    </row>
    <row r="113" spans="2:11">
      <c r="B113" s="5"/>
      <c r="C113" s="17"/>
      <c r="D113" s="17"/>
      <c r="E113" s="17"/>
      <c r="F113" s="17"/>
      <c r="G113" s="17"/>
      <c r="H113" s="17"/>
      <c r="I113" s="17"/>
      <c r="J113" s="17"/>
      <c r="K113" s="17"/>
    </row>
    <row r="114" spans="2:11">
      <c r="B114" s="5"/>
      <c r="C114" s="17"/>
      <c r="D114" s="17"/>
      <c r="E114" s="17"/>
      <c r="F114" s="17"/>
      <c r="G114" s="17"/>
      <c r="H114" s="17"/>
      <c r="I114" s="17"/>
      <c r="J114" s="17"/>
      <c r="K114" s="17"/>
    </row>
    <row r="115" spans="2:11">
      <c r="B115" s="5"/>
      <c r="C115" s="5"/>
      <c r="D115" s="17"/>
      <c r="E115" s="17"/>
      <c r="F115" s="17"/>
      <c r="G115" s="17"/>
      <c r="H115" s="17"/>
      <c r="I115" s="17"/>
      <c r="J115" s="17"/>
      <c r="K115" s="17"/>
    </row>
    <row r="116" spans="2:11">
      <c r="B116" s="5"/>
      <c r="C116" s="5"/>
      <c r="D116" s="17"/>
      <c r="E116" s="17"/>
      <c r="F116" s="17"/>
      <c r="G116" s="17"/>
      <c r="H116" s="17"/>
      <c r="I116" s="17"/>
      <c r="J116" s="17"/>
      <c r="K116" s="17"/>
    </row>
    <row r="117" spans="2:11">
      <c r="B117" s="5"/>
      <c r="C117" s="5"/>
      <c r="D117" s="17"/>
      <c r="E117" s="17"/>
      <c r="F117" s="17"/>
      <c r="G117" s="17"/>
      <c r="H117" s="17"/>
      <c r="I117" s="17"/>
      <c r="J117" s="17"/>
      <c r="K117" s="17"/>
    </row>
    <row r="118" spans="2:11">
      <c r="B118" s="5"/>
      <c r="C118" s="17"/>
      <c r="D118" s="17"/>
      <c r="E118" s="17"/>
      <c r="F118" s="17"/>
      <c r="G118" s="17"/>
      <c r="H118" s="17"/>
      <c r="I118" s="17"/>
      <c r="J118" s="17"/>
      <c r="K118" s="17"/>
    </row>
    <row r="119" spans="2:11">
      <c r="B119" s="5"/>
      <c r="C119" s="5"/>
      <c r="D119" s="5"/>
      <c r="E119" s="5"/>
      <c r="F119" s="5"/>
      <c r="G119" s="5"/>
      <c r="H119" s="5"/>
      <c r="I119" s="5"/>
      <c r="J119" s="5"/>
      <c r="K119" s="5"/>
    </row>
    <row r="120" spans="2:11">
      <c r="B120" s="5"/>
      <c r="C120" s="5"/>
      <c r="D120" s="5"/>
      <c r="E120" s="5"/>
      <c r="F120" s="5"/>
      <c r="G120" s="5"/>
      <c r="H120" s="5"/>
      <c r="I120" s="5"/>
      <c r="J120" s="5"/>
      <c r="K120" s="5"/>
    </row>
    <row r="121" spans="2:11">
      <c r="B121" s="5"/>
      <c r="C121" s="5"/>
      <c r="D121" s="5"/>
      <c r="E121" s="5"/>
      <c r="F121" s="5"/>
      <c r="G121" s="5"/>
      <c r="H121" s="5"/>
      <c r="I121" s="5"/>
      <c r="J121" s="5"/>
      <c r="K121" s="5"/>
    </row>
    <row r="122" spans="2:11">
      <c r="B122" s="5"/>
      <c r="C122" s="5"/>
      <c r="D122" s="5"/>
      <c r="E122" s="5"/>
      <c r="F122" s="5"/>
      <c r="G122" s="5"/>
      <c r="H122" s="5"/>
      <c r="I122" s="5"/>
      <c r="J122" s="5"/>
      <c r="K122" s="5"/>
    </row>
    <row r="123" spans="2:11">
      <c r="B123" s="5"/>
      <c r="C123" s="5"/>
      <c r="D123" s="5"/>
      <c r="E123" s="5"/>
      <c r="F123" s="5"/>
      <c r="G123" s="5"/>
      <c r="H123" s="5"/>
      <c r="I123" s="5"/>
      <c r="J123" s="5"/>
      <c r="K123" s="5"/>
    </row>
    <row r="124" spans="2:11">
      <c r="B124" s="5"/>
      <c r="C124" s="5"/>
      <c r="D124" s="5"/>
      <c r="E124" s="5"/>
      <c r="F124" s="5"/>
      <c r="G124" s="5"/>
      <c r="H124" s="5"/>
      <c r="I124" s="5"/>
      <c r="J124" s="5"/>
      <c r="K124" s="5"/>
    </row>
    <row r="125" spans="2:11">
      <c r="B125" s="5"/>
      <c r="C125" s="5"/>
      <c r="D125" s="5"/>
      <c r="E125" s="5"/>
      <c r="F125" s="5"/>
      <c r="G125" s="5"/>
      <c r="H125" s="5"/>
      <c r="I125" s="5"/>
      <c r="J125" s="5"/>
      <c r="K125" s="5"/>
    </row>
    <row r="126" spans="2:11">
      <c r="B126" s="5"/>
      <c r="C126" s="5"/>
      <c r="D126" s="5"/>
      <c r="E126" s="5"/>
      <c r="F126" s="5"/>
      <c r="G126" s="5"/>
      <c r="H126" s="5"/>
      <c r="I126" s="5"/>
      <c r="J126" s="5"/>
      <c r="K126" s="5"/>
    </row>
    <row r="127" spans="2:11">
      <c r="B127" s="5"/>
      <c r="C127" s="5"/>
      <c r="D127" s="5"/>
      <c r="E127" s="5"/>
      <c r="F127" s="5"/>
      <c r="G127" s="5"/>
      <c r="H127" s="5"/>
      <c r="I127" s="5"/>
      <c r="J127" s="5"/>
      <c r="K127" s="5"/>
    </row>
    <row r="128" spans="2:11">
      <c r="B128" s="5"/>
      <c r="C128" s="5"/>
      <c r="D128" s="5"/>
      <c r="E128" s="5"/>
      <c r="F128" s="5"/>
      <c r="G128" s="5"/>
      <c r="H128" s="5"/>
      <c r="I128" s="5"/>
      <c r="J128" s="5"/>
      <c r="K128" s="5"/>
    </row>
    <row r="131" spans="3:3">
      <c r="C131" s="263"/>
    </row>
  </sheetData>
  <phoneticPr fontId="7" type="noConversion"/>
  <pageMargins left="0.75" right="0.75" top="1" bottom="1" header="0.5" footer="0.5"/>
  <pageSetup scale="33" orientation="landscape" r:id="rId1"/>
  <headerFooter alignWithMargins="0"/>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A00-000000000000}">
  <sheetPr codeName="Sheet185">
    <tabColor theme="3" tint="0.59999389629810485"/>
    <pageSetUpPr fitToPage="1"/>
  </sheetPr>
  <dimension ref="B1:BK164"/>
  <sheetViews>
    <sheetView showGridLines="0" zoomScale="80" zoomScaleNormal="80" workbookViewId="0"/>
  </sheetViews>
  <sheetFormatPr defaultColWidth="8.88671875" defaultRowHeight="12"/>
  <cols>
    <col min="1" max="1" width="2.33203125" style="39" customWidth="1"/>
    <col min="2" max="2" width="26.6640625" style="39" customWidth="1"/>
    <col min="3" max="9" width="10" style="39" customWidth="1"/>
    <col min="10" max="10" width="26.6640625" style="39" customWidth="1"/>
    <col min="11" max="16" width="10" style="39" customWidth="1"/>
    <col min="17" max="17" width="4.5546875" style="39" customWidth="1"/>
    <col min="18" max="20" width="8.88671875" style="39"/>
    <col min="21" max="21" width="3.6640625" style="39" customWidth="1"/>
    <col min="22" max="63" width="9.109375" style="5" customWidth="1"/>
    <col min="64" max="16384" width="8.88671875" style="39"/>
  </cols>
  <sheetData>
    <row r="1" spans="2:63" s="312" customFormat="1">
      <c r="V1" s="149"/>
      <c r="W1" s="149"/>
      <c r="X1" s="149"/>
      <c r="Y1" s="149"/>
      <c r="Z1" s="149"/>
      <c r="AA1" s="149"/>
      <c r="AB1" s="149"/>
      <c r="AC1" s="149"/>
      <c r="AD1" s="149"/>
      <c r="AE1" s="149"/>
      <c r="AF1" s="149"/>
      <c r="AG1" s="149"/>
      <c r="AH1" s="149"/>
      <c r="AI1" s="149"/>
      <c r="AJ1" s="149"/>
      <c r="AK1" s="149"/>
      <c r="AL1" s="149"/>
      <c r="AM1" s="149"/>
      <c r="AN1" s="149"/>
      <c r="AO1" s="149"/>
      <c r="AP1" s="149"/>
      <c r="AQ1" s="149"/>
      <c r="AR1" s="149"/>
      <c r="AS1" s="149"/>
      <c r="AT1" s="149"/>
      <c r="AU1" s="149"/>
      <c r="AV1" s="149"/>
      <c r="AW1" s="149"/>
      <c r="AX1" s="149"/>
      <c r="AY1" s="149"/>
      <c r="AZ1" s="149"/>
      <c r="BA1" s="149"/>
      <c r="BB1" s="149"/>
      <c r="BC1" s="149"/>
      <c r="BD1" s="149"/>
      <c r="BE1" s="149"/>
      <c r="BF1" s="149"/>
      <c r="BG1" s="149"/>
      <c r="BH1" s="149"/>
      <c r="BI1" s="149"/>
      <c r="BJ1" s="149"/>
      <c r="BK1" s="149"/>
    </row>
    <row r="2" spans="2:63" s="312" customFormat="1">
      <c r="V2" s="149"/>
      <c r="W2" s="149"/>
      <c r="X2" s="149"/>
      <c r="Y2" s="149"/>
      <c r="Z2" s="149"/>
      <c r="AA2" s="149"/>
      <c r="AB2" s="149"/>
      <c r="AC2" s="149"/>
      <c r="AD2" s="149"/>
      <c r="AE2" s="149"/>
      <c r="AF2" s="149"/>
      <c r="AG2" s="149"/>
      <c r="AH2" s="149"/>
      <c r="AI2" s="149"/>
      <c r="AJ2" s="149"/>
      <c r="AK2" s="149"/>
      <c r="AL2" s="149"/>
      <c r="AM2" s="149"/>
      <c r="AN2" s="149"/>
      <c r="AO2" s="149"/>
      <c r="AP2" s="149"/>
      <c r="AQ2" s="149"/>
      <c r="AR2" s="149"/>
      <c r="AS2" s="149"/>
      <c r="AT2" s="149"/>
      <c r="AU2" s="149"/>
      <c r="AV2" s="149"/>
      <c r="AW2" s="149"/>
      <c r="AX2" s="149"/>
      <c r="AY2" s="149"/>
      <c r="AZ2" s="149"/>
      <c r="BA2" s="149"/>
      <c r="BB2" s="149"/>
      <c r="BC2" s="149"/>
      <c r="BD2" s="149"/>
      <c r="BE2" s="149"/>
      <c r="BF2" s="149"/>
      <c r="BG2" s="149"/>
      <c r="BH2" s="149"/>
      <c r="BI2" s="149"/>
      <c r="BJ2" s="149"/>
      <c r="BK2" s="149"/>
    </row>
    <row r="3" spans="2:63" s="149" customFormat="1">
      <c r="H3" s="153"/>
      <c r="P3" s="153"/>
    </row>
    <row r="4" spans="2:63" s="156" customFormat="1" ht="21">
      <c r="B4" s="129" t="s">
        <v>715</v>
      </c>
      <c r="H4" s="222"/>
      <c r="P4" s="222"/>
    </row>
    <row r="5" spans="2:63" s="149" customFormat="1">
      <c r="C5" s="153"/>
      <c r="D5" s="153" t="str" cm="1">
        <f t="array" ref="D5:H5">headings</f>
        <v>2023E</v>
      </c>
      <c r="E5" s="153" t="str">
        <v>2024E</v>
      </c>
      <c r="F5" s="153" t="str">
        <v>2025E</v>
      </c>
      <c r="G5" s="153" t="str">
        <v>2026E</v>
      </c>
      <c r="H5" s="153" t="str">
        <v>23E-26E</v>
      </c>
      <c r="I5" s="153"/>
      <c r="J5" s="153"/>
      <c r="K5" s="153"/>
      <c r="L5" s="153" t="str" cm="1">
        <f t="array" ref="L5:P5">headings</f>
        <v>2023E</v>
      </c>
      <c r="M5" s="153" t="str">
        <v>2024E</v>
      </c>
      <c r="N5" s="153" t="str">
        <v>2025E</v>
      </c>
      <c r="O5" s="153" t="str">
        <v>2026E</v>
      </c>
      <c r="P5" s="153" t="str">
        <v>23E-26E</v>
      </c>
      <c r="Q5" s="162"/>
      <c r="R5" s="162"/>
      <c r="S5" s="162"/>
      <c r="T5" s="162"/>
      <c r="U5" s="162"/>
      <c r="V5" s="162"/>
      <c r="W5" s="162"/>
      <c r="X5" s="162"/>
      <c r="Y5" s="162"/>
    </row>
    <row r="6" spans="2:63">
      <c r="I6" s="5"/>
      <c r="J6" s="5"/>
      <c r="K6" s="5"/>
      <c r="L6" s="5"/>
      <c r="M6" s="5"/>
      <c r="N6" s="5"/>
      <c r="O6" s="49"/>
    </row>
    <row r="7" spans="2:63" ht="12.6" thickBot="1">
      <c r="B7" s="306" t="s">
        <v>271</v>
      </c>
      <c r="C7" s="265"/>
      <c r="D7" s="265"/>
      <c r="E7" s="265"/>
      <c r="F7" s="265"/>
      <c r="G7" s="265"/>
      <c r="H7" s="265"/>
      <c r="I7" s="49"/>
      <c r="J7" s="306" t="s">
        <v>200</v>
      </c>
      <c r="K7" s="306"/>
      <c r="L7" s="306"/>
      <c r="M7" s="306"/>
      <c r="N7" s="266"/>
      <c r="O7" s="266"/>
      <c r="P7" s="266"/>
    </row>
    <row r="8" spans="2:63" ht="12.6" thickTop="1">
      <c r="B8" s="5"/>
      <c r="C8" s="5"/>
      <c r="D8" s="5"/>
      <c r="E8" s="5"/>
      <c r="F8" s="5"/>
      <c r="G8" s="5"/>
      <c r="H8" s="5"/>
      <c r="I8" s="5"/>
      <c r="J8" s="5"/>
      <c r="K8" s="5"/>
      <c r="L8" s="5"/>
      <c r="M8" s="5"/>
      <c r="N8" s="5"/>
    </row>
    <row r="9" spans="2:63">
      <c r="B9" s="41" t="s">
        <v>500</v>
      </c>
      <c r="C9" s="287"/>
      <c r="D9" s="5"/>
      <c r="E9" s="249"/>
      <c r="F9" s="249"/>
      <c r="G9" s="249"/>
      <c r="H9" s="249"/>
      <c r="I9" s="249"/>
      <c r="J9" s="5" t="s">
        <v>273</v>
      </c>
      <c r="L9" s="64">
        <f>'AGG DM'!D37</f>
        <v>2.329412469433874</v>
      </c>
      <c r="M9" s="64">
        <f>'AGG DM'!E37</f>
        <v>2.207031841456474</v>
      </c>
      <c r="N9" s="64">
        <f>'AGG DM'!F37</f>
        <v>2.0665364578686574</v>
      </c>
      <c r="O9" s="64">
        <f>'AGG DM'!G37</f>
        <v>1.9167412853037995</v>
      </c>
      <c r="P9" s="17">
        <f>'AGG DM'!H37</f>
        <v>1.9501934659983178E-2</v>
      </c>
    </row>
    <row r="10" spans="2:63">
      <c r="B10" s="5" t="s">
        <v>274</v>
      </c>
      <c r="C10" s="5"/>
      <c r="D10" s="332"/>
      <c r="E10" s="332"/>
      <c r="F10" s="332"/>
      <c r="G10" s="332"/>
      <c r="H10" s="247"/>
      <c r="I10" s="247"/>
      <c r="J10" s="5" t="s">
        <v>184</v>
      </c>
      <c r="L10" s="64">
        <f>'AGG DM'!D38</f>
        <v>7.0841879802792365</v>
      </c>
      <c r="M10" s="64">
        <f>'AGG DM'!E38</f>
        <v>6.5876114702803505</v>
      </c>
      <c r="N10" s="64">
        <f>'AGG DM'!F38</f>
        <v>6.0864198915332164</v>
      </c>
      <c r="O10" s="64">
        <f>'AGG DM'!G38</f>
        <v>5.5767680131537691</v>
      </c>
      <c r="P10" s="17">
        <f>'AGG DM'!H38</f>
        <v>3.4656651554389573E-2</v>
      </c>
      <c r="W10" s="10"/>
      <c r="X10" s="10"/>
      <c r="Y10" s="10"/>
      <c r="Z10" s="10"/>
    </row>
    <row r="11" spans="2:63">
      <c r="B11" s="41" t="s">
        <v>359</v>
      </c>
      <c r="C11" s="5"/>
      <c r="D11" s="271">
        <f>ATT!D11+VZN!D11+TMUS!D11</f>
        <v>529847.72652899998</v>
      </c>
      <c r="E11" s="271">
        <f>ATT!E11+VZN!E11+TMUS!E11</f>
        <v>516413.51999030437</v>
      </c>
      <c r="F11" s="271">
        <f>ATT!F11+VZN!F11+TMUS!F11</f>
        <v>498018.78942545725</v>
      </c>
      <c r="G11" s="271">
        <f>ATT!G11+VZN!G11+TMUS!G11</f>
        <v>481021.50073486101</v>
      </c>
      <c r="H11" s="249"/>
      <c r="I11" s="249"/>
      <c r="J11" s="5" t="s">
        <v>185</v>
      </c>
      <c r="L11" s="64">
        <f>'AGG DM'!D39</f>
        <v>13.53328960256645</v>
      </c>
      <c r="M11" s="64">
        <f>'AGG DM'!E39</f>
        <v>11.493643628277713</v>
      </c>
      <c r="N11" s="64">
        <f>'AGG DM'!F39</f>
        <v>10.264735122504899</v>
      </c>
      <c r="O11" s="64">
        <f>'AGG DM'!G39</f>
        <v>9.0451770938503948</v>
      </c>
      <c r="P11" s="17">
        <f>'AGG DM'!H39</f>
        <v>9.2670425427640479E-2</v>
      </c>
      <c r="W11" s="10"/>
      <c r="X11" s="10"/>
      <c r="Y11" s="10"/>
      <c r="Z11" s="10"/>
    </row>
    <row r="12" spans="2:63">
      <c r="B12" s="5" t="s">
        <v>229</v>
      </c>
      <c r="C12" s="249"/>
      <c r="D12" s="228">
        <f>ATT!D12+VZN!D12+TMUS!D12</f>
        <v>322344</v>
      </c>
      <c r="E12" s="228">
        <f>ATT!E12+VZN!E12+TMUS!E12</f>
        <v>312847.87885760178</v>
      </c>
      <c r="F12" s="228">
        <f>ATT!F12+VZN!F12+TMUS!F12</f>
        <v>300416.97928856406</v>
      </c>
      <c r="G12" s="228">
        <f>ATT!G12+VZN!G12+TMUS!G12</f>
        <v>286834.0495875589</v>
      </c>
      <c r="H12" s="247"/>
      <c r="I12" s="247"/>
      <c r="J12" s="5" t="s">
        <v>466</v>
      </c>
      <c r="L12" s="64">
        <f>'AGG DM'!D40</f>
        <v>19.213286909010346</v>
      </c>
      <c r="M12" s="64">
        <f>'AGG DM'!E40</f>
        <v>16.347188206412962</v>
      </c>
      <c r="N12" s="64">
        <f>'AGG DM'!F40</f>
        <v>14.618845003714046</v>
      </c>
      <c r="O12" s="64">
        <f>'AGG DM'!G40</f>
        <v>12.840265625641983</v>
      </c>
      <c r="P12" s="17">
        <f>'AGG DM'!H40</f>
        <v>9.2705111729584289E-2</v>
      </c>
      <c r="W12" s="10"/>
      <c r="X12" s="10"/>
      <c r="Y12" s="10"/>
      <c r="Z12" s="10"/>
    </row>
    <row r="13" spans="2:63">
      <c r="B13" s="5" t="s">
        <v>529</v>
      </c>
      <c r="C13" s="257"/>
      <c r="D13" s="228">
        <f>ATT!D13+VZN!D13+TMUS!D13</f>
        <v>0</v>
      </c>
      <c r="E13" s="228">
        <f>ATT!E13+VZN!E13+TMUS!E13</f>
        <v>0</v>
      </c>
      <c r="F13" s="228">
        <f>ATT!F13+VZN!F13+TMUS!F13</f>
        <v>0</v>
      </c>
      <c r="G13" s="228">
        <f>ATT!G13+VZN!G13+TMUS!G13</f>
        <v>0</v>
      </c>
      <c r="H13" s="247"/>
      <c r="I13" s="247"/>
      <c r="J13" s="5" t="s">
        <v>530</v>
      </c>
      <c r="L13" s="64">
        <f>'AGG DM'!D41</f>
        <v>1.3514515540183685</v>
      </c>
      <c r="M13" s="64">
        <f>'AGG DM'!E41</f>
        <v>1.4007532435377124</v>
      </c>
      <c r="N13" s="64">
        <f>'AGG DM'!F41</f>
        <v>1.3363938049874495</v>
      </c>
      <c r="O13" s="64">
        <f>'AGG DM'!G41</f>
        <v>1.2739776448559783</v>
      </c>
      <c r="P13" s="17">
        <f>'AGG DM'!H41</f>
        <v>-2.5668717959517307E-2</v>
      </c>
    </row>
    <row r="14" spans="2:63">
      <c r="B14" s="5" t="s">
        <v>532</v>
      </c>
      <c r="C14" s="274"/>
      <c r="D14" s="228">
        <f>ATT!D14+VZN!D14+TMUS!D14</f>
        <v>12853</v>
      </c>
      <c r="E14" s="228">
        <f>ATT!E14+VZN!E14+TMUS!E14</f>
        <v>12853</v>
      </c>
      <c r="F14" s="228">
        <f>ATT!F14+VZN!F14+TMUS!F14</f>
        <v>12853</v>
      </c>
      <c r="G14" s="228">
        <f>ATT!G14+VZN!G14+TMUS!G14</f>
        <v>12853</v>
      </c>
      <c r="H14" s="247"/>
      <c r="I14" s="247"/>
      <c r="J14" s="5" t="s">
        <v>593</v>
      </c>
      <c r="L14" s="64">
        <f>'AGG DM'!D42</f>
        <v>3.3000460374957705</v>
      </c>
      <c r="M14" s="64">
        <f>'AGG DM'!E42</f>
        <v>3.1838124862642916</v>
      </c>
      <c r="N14" s="64">
        <f>'AGG DM'!F42</f>
        <v>3.0594658370749888</v>
      </c>
      <c r="O14" s="64">
        <f>'AGG DM'!G42</f>
        <v>2.9412325385033187</v>
      </c>
      <c r="P14" s="17">
        <f>'AGG DM'!H42</f>
        <v>-7.2864107786076993E-3</v>
      </c>
    </row>
    <row r="15" spans="2:63">
      <c r="B15" s="5" t="s">
        <v>531</v>
      </c>
      <c r="C15" s="257"/>
      <c r="D15" s="228">
        <f>ATT!D15+VZN!D15+TMUS!D15</f>
        <v>22587</v>
      </c>
      <c r="E15" s="228">
        <f>ATT!E15+VZN!E15+TMUS!E15</f>
        <v>22587</v>
      </c>
      <c r="F15" s="228">
        <f>ATT!F15+VZN!F15+TMUS!F15</f>
        <v>22587</v>
      </c>
      <c r="G15" s="228">
        <f>ATT!G15+VZN!G15+TMUS!G15</f>
        <v>22587</v>
      </c>
      <c r="H15" s="247"/>
      <c r="I15" s="247"/>
      <c r="J15" s="5" t="s">
        <v>475</v>
      </c>
      <c r="L15" s="64">
        <f>'AGG DM'!D43</f>
        <v>11.806292254184493</v>
      </c>
      <c r="M15" s="64">
        <f>'AGG DM'!E43</f>
        <v>10.8479727708929</v>
      </c>
      <c r="N15" s="64">
        <f>'AGG DM'!F43</f>
        <v>9.79850588673491</v>
      </c>
      <c r="O15" s="64">
        <f>'AGG DM'!G43</f>
        <v>8.8149149732476211</v>
      </c>
      <c r="P15" s="17">
        <f>'AGG DM'!H43</f>
        <v>7.171679530370545E-2</v>
      </c>
      <c r="S15" s="88"/>
      <c r="T15" s="88"/>
      <c r="U15" s="88"/>
      <c r="V15" s="42"/>
      <c r="W15" s="42"/>
      <c r="X15" s="42"/>
      <c r="Y15" s="42"/>
      <c r="Z15" s="42"/>
      <c r="AA15" s="42"/>
    </row>
    <row r="16" spans="2:63">
      <c r="B16" s="5" t="s">
        <v>534</v>
      </c>
      <c r="C16" s="257"/>
      <c r="D16" s="228">
        <f>ATT!D16+VZN!D16+TMUS!D16</f>
        <v>19908</v>
      </c>
      <c r="E16" s="228">
        <f>ATT!E16+VZN!E16+TMUS!E16</f>
        <v>42394.11</v>
      </c>
      <c r="F16" s="228">
        <f>ATT!F16+VZN!F16+TMUS!F16</f>
        <v>65097.02</v>
      </c>
      <c r="G16" s="228">
        <f>ATT!G16+VZN!G16+TMUS!G16</f>
        <v>88156.921832621592</v>
      </c>
      <c r="H16" s="247"/>
      <c r="I16" s="247"/>
      <c r="J16" s="5" t="s">
        <v>533</v>
      </c>
      <c r="L16" s="64">
        <f>'AGG DM'!D44</f>
        <v>13.624604105346204</v>
      </c>
      <c r="M16" s="64">
        <f>'AGG DM'!E44</f>
        <v>12.503028582967529</v>
      </c>
      <c r="N16" s="64">
        <f>'AGG DM'!F44</f>
        <v>11.302702719097406</v>
      </c>
      <c r="O16" s="64">
        <f>'AGG DM'!G44</f>
        <v>10.160048566687355</v>
      </c>
      <c r="P16" s="17">
        <f>'AGG DM'!H44</f>
        <v>7.6119307301105277E-2</v>
      </c>
      <c r="S16" s="88"/>
      <c r="T16" s="88"/>
      <c r="U16" s="88"/>
      <c r="V16" s="42"/>
      <c r="W16" s="42"/>
      <c r="X16" s="42"/>
      <c r="Y16" s="42"/>
      <c r="Z16" s="42"/>
      <c r="AA16" s="42"/>
    </row>
    <row r="17" spans="2:27">
      <c r="B17" s="5" t="s">
        <v>6</v>
      </c>
      <c r="C17" s="257"/>
      <c r="D17" s="228">
        <f>ATT!D17+VZN!D17+TMUS!D17</f>
        <v>0</v>
      </c>
      <c r="E17" s="228">
        <f>ATT!E17+VZN!E17+TMUS!E17</f>
        <v>0</v>
      </c>
      <c r="F17" s="228">
        <f>ATT!F17+VZN!F17+TMUS!F17</f>
        <v>0</v>
      </c>
      <c r="G17" s="228">
        <f>ATT!G17+VZN!G17+TMUS!G17</f>
        <v>0</v>
      </c>
      <c r="H17" s="247"/>
      <c r="I17" s="247"/>
      <c r="J17" s="5" t="s">
        <v>580</v>
      </c>
      <c r="L17" s="248">
        <f>'AGG DM'!D45</f>
        <v>3.8692911642747754E-2</v>
      </c>
      <c r="M17" s="248">
        <f>'AGG DM'!E45</f>
        <v>4.3419291969220015E-2</v>
      </c>
      <c r="N17" s="248">
        <f>'AGG DM'!F45</f>
        <v>4.6126321738259798E-2</v>
      </c>
      <c r="O17" s="248">
        <f>'AGG DM'!G45</f>
        <v>4.9423675586152439E-2</v>
      </c>
      <c r="P17" s="17">
        <f>'AGG DM'!H45</f>
        <v>5.8812184463164385E-2</v>
      </c>
      <c r="S17" s="88"/>
      <c r="T17" s="88"/>
      <c r="U17" s="88"/>
      <c r="V17" s="42"/>
      <c r="W17" s="42"/>
      <c r="X17" s="42"/>
      <c r="Y17" s="42"/>
      <c r="Z17" s="42"/>
      <c r="AA17" s="42"/>
    </row>
    <row r="18" spans="2:27" ht="12.6" thickBot="1">
      <c r="B18" s="41" t="s">
        <v>360</v>
      </c>
      <c r="C18" s="249"/>
      <c r="D18" s="275">
        <f>ATT!D18+VZN!D18+TMUS!D18</f>
        <v>842017.72652899998</v>
      </c>
      <c r="E18" s="275">
        <f>ATT!E18+VZN!E18+TMUS!E18</f>
        <v>796601.28884790617</v>
      </c>
      <c r="F18" s="275">
        <f>ATT!F18+VZN!F18+TMUS!F18</f>
        <v>743072.74871402129</v>
      </c>
      <c r="G18" s="275">
        <f>ATT!G18+VZN!G18+TMUS!G18</f>
        <v>689432.62848979828</v>
      </c>
      <c r="H18" s="276">
        <f>IF(D18=0,"nm",IF(G18=0,"nm",(G18/D18)^(1/3)-1))</f>
        <v>-6.4471836447383746E-2</v>
      </c>
      <c r="I18" s="254"/>
      <c r="J18" s="5" t="s">
        <v>36</v>
      </c>
      <c r="L18" s="248">
        <f>'AGG DM'!D46</f>
        <v>5.5339609483801136E-2</v>
      </c>
      <c r="M18" s="248">
        <f>'AGG DM'!E46</f>
        <v>7.6500460251698113E-2</v>
      </c>
      <c r="N18" s="248">
        <f>'AGG DM'!F46</f>
        <v>8.0311545489538158E-2</v>
      </c>
      <c r="O18" s="248">
        <f>'AGG DM'!G46</f>
        <v>9.1977124183415609E-2</v>
      </c>
      <c r="P18" s="17">
        <f>'AGG DM'!H46</f>
        <v>0.15593203466037919</v>
      </c>
      <c r="S18" s="88"/>
      <c r="T18" s="42"/>
      <c r="U18" s="42"/>
      <c r="V18" s="42"/>
      <c r="W18" s="42"/>
      <c r="X18" s="42"/>
      <c r="Y18" s="42"/>
      <c r="Z18" s="42"/>
      <c r="AA18" s="42"/>
    </row>
    <row r="19" spans="2:27" ht="12.6" thickTop="1">
      <c r="B19" s="41"/>
      <c r="C19" s="249"/>
      <c r="D19" s="229"/>
      <c r="E19" s="229"/>
      <c r="F19" s="229"/>
      <c r="G19" s="229"/>
      <c r="H19" s="276"/>
      <c r="I19" s="17"/>
      <c r="J19" s="5" t="s">
        <v>581</v>
      </c>
      <c r="L19" s="248">
        <f>'AGG DM'!D47</f>
        <v>8.4700596806382714E-2</v>
      </c>
      <c r="M19" s="248">
        <f>'AGG DM'!E47</f>
        <v>9.2183122240422966E-2</v>
      </c>
      <c r="N19" s="248">
        <f>'AGG DM'!F47</f>
        <v>0.10205637589642999</v>
      </c>
      <c r="O19" s="248">
        <f>'AGG DM'!G47</f>
        <v>0.11344408914151745</v>
      </c>
      <c r="P19" s="17">
        <f>'AGG DM'!H47</f>
        <v>7.171679530370545E-2</v>
      </c>
      <c r="S19" s="88"/>
      <c r="T19" s="42"/>
      <c r="U19" s="42"/>
      <c r="V19" s="42"/>
      <c r="W19" s="42"/>
      <c r="X19" s="42"/>
      <c r="Y19" s="42"/>
      <c r="Z19" s="42"/>
      <c r="AA19" s="42"/>
    </row>
    <row r="20" spans="2:27">
      <c r="H20" s="277"/>
      <c r="I20" s="49"/>
      <c r="J20" s="5" t="s">
        <v>604</v>
      </c>
      <c r="L20" s="248">
        <f>'AGG DM'!D48</f>
        <v>0.45770628705874244</v>
      </c>
      <c r="M20" s="248">
        <f>'AGG DM'!E48</f>
        <v>0.47291165163323612</v>
      </c>
      <c r="N20" s="248">
        <f>'AGG DM'!F48</f>
        <v>0.45515009617149715</v>
      </c>
      <c r="O20" s="248">
        <f>'AGG DM'!G48</f>
        <v>0.44137076019918969</v>
      </c>
      <c r="P20" s="17" t="str">
        <f>'AGG DM'!H48</f>
        <v>nm</v>
      </c>
      <c r="S20" s="42"/>
      <c r="T20" s="42"/>
      <c r="U20" s="42"/>
      <c r="V20" s="42"/>
      <c r="W20" s="42"/>
      <c r="X20" s="42"/>
      <c r="Y20" s="42"/>
      <c r="Z20" s="42"/>
      <c r="AA20" s="42"/>
    </row>
    <row r="21" spans="2:27" ht="12.6" thickBot="1">
      <c r="B21" s="306" t="s">
        <v>482</v>
      </c>
      <c r="C21" s="265">
        <v>2020</v>
      </c>
      <c r="D21" s="265" t="str">
        <f>D5</f>
        <v>2023E</v>
      </c>
      <c r="E21" s="265" t="str">
        <f>E5</f>
        <v>2024E</v>
      </c>
      <c r="F21" s="265" t="str">
        <f>F5</f>
        <v>2025E</v>
      </c>
      <c r="G21" s="265" t="str">
        <f>G5</f>
        <v>2026E</v>
      </c>
      <c r="H21" s="282" t="str">
        <f>H5</f>
        <v>23E-26E</v>
      </c>
      <c r="I21" s="17"/>
      <c r="P21" s="277"/>
      <c r="S21" s="42"/>
      <c r="T21" s="42"/>
      <c r="U21" s="42"/>
      <c r="V21" s="42"/>
      <c r="W21" s="42"/>
      <c r="X21" s="42"/>
      <c r="Y21" s="42"/>
      <c r="Z21" s="42"/>
      <c r="AA21" s="42"/>
    </row>
    <row r="22" spans="2:27" ht="12.6" thickTop="1">
      <c r="B22" s="5"/>
      <c r="C22" s="257"/>
      <c r="D22" s="17"/>
      <c r="E22" s="17"/>
      <c r="F22" s="17"/>
      <c r="G22" s="17"/>
      <c r="H22" s="17"/>
      <c r="I22" s="247"/>
      <c r="S22" s="42"/>
      <c r="T22" s="42"/>
      <c r="U22" s="42"/>
      <c r="V22" s="42"/>
      <c r="W22" s="42"/>
      <c r="X22" s="42"/>
      <c r="Y22" s="42"/>
      <c r="Z22" s="42"/>
      <c r="AA22" s="42"/>
    </row>
    <row r="23" spans="2:27" ht="12.6" thickBot="1">
      <c r="B23" s="5" t="s">
        <v>584</v>
      </c>
      <c r="C23" s="365">
        <f>ATT!C23+VZN!C23+TMUS!C23</f>
        <v>337147</v>
      </c>
      <c r="D23" s="228">
        <f>ATT!D23+VZN!D23+TMUS!D23</f>
        <v>334960</v>
      </c>
      <c r="E23" s="228">
        <f>ATT!E23+VZN!E23+TMUS!E23</f>
        <v>340165.7512913621</v>
      </c>
      <c r="F23" s="228">
        <f>ATT!F23+VZN!F23+TMUS!F23</f>
        <v>347141.35079817532</v>
      </c>
      <c r="G23" s="228">
        <f>ATT!G23+VZN!G23+TMUS!G23</f>
        <v>353992.90051245439</v>
      </c>
      <c r="H23" s="279">
        <f t="shared" ref="H23:H33" si="0">IF(D23=0,"nm",IF(G23=0,"nm",(G23/D23)^(1/3)-1))</f>
        <v>1.8592642260168768E-2</v>
      </c>
      <c r="I23" s="249"/>
      <c r="J23" s="306" t="s">
        <v>9</v>
      </c>
      <c r="K23" s="306"/>
      <c r="L23" s="265" t="str">
        <f>L5</f>
        <v>2023E</v>
      </c>
      <c r="M23" s="265" t="str">
        <f>M5</f>
        <v>2024E</v>
      </c>
      <c r="N23" s="265" t="str">
        <f>N5</f>
        <v>2025E</v>
      </c>
      <c r="O23" s="265" t="str">
        <f>O5</f>
        <v>2026E</v>
      </c>
      <c r="P23" s="282" t="str">
        <f>P5</f>
        <v>23E-26E</v>
      </c>
      <c r="S23" s="42"/>
      <c r="T23" s="42"/>
      <c r="U23" s="42"/>
      <c r="V23" s="42"/>
      <c r="W23" s="42" t="s">
        <v>489</v>
      </c>
      <c r="X23" s="42" t="s">
        <v>610</v>
      </c>
      <c r="Y23" s="42"/>
      <c r="Z23" s="42"/>
      <c r="AA23" s="42"/>
    </row>
    <row r="24" spans="2:27" ht="12.6" thickTop="1">
      <c r="B24" s="5" t="s">
        <v>483</v>
      </c>
      <c r="C24" s="365">
        <f>ATT!C24+VZN!C24+TMUS!C24</f>
        <v>115726</v>
      </c>
      <c r="D24" s="228">
        <f>ATT!D24+VZN!D24+TMUS!D24</f>
        <v>120280</v>
      </c>
      <c r="E24" s="228">
        <f>ATT!E24+VZN!E24+TMUS!E24</f>
        <v>125134.71132129882</v>
      </c>
      <c r="F24" s="228">
        <f>ATT!F24+VZN!F24+TMUS!F24</f>
        <v>128681.37167179203</v>
      </c>
      <c r="G24" s="228">
        <f>ATT!G24+VZN!G24+TMUS!G24</f>
        <v>131886.7227384494</v>
      </c>
      <c r="H24" s="279">
        <f t="shared" si="0"/>
        <v>3.1183334923203576E-2</v>
      </c>
      <c r="I24" s="248"/>
      <c r="J24" s="17"/>
      <c r="K24" s="17"/>
      <c r="L24" s="17"/>
      <c r="M24" s="17"/>
      <c r="N24" s="17"/>
      <c r="O24" s="248"/>
      <c r="S24" s="42"/>
      <c r="T24" s="42"/>
      <c r="U24" s="42"/>
      <c r="V24" s="147" t="s">
        <v>273</v>
      </c>
      <c r="W24" s="288">
        <f t="shared" ref="W24:W31" si="1">E37/M9</f>
        <v>1.0610645869236193</v>
      </c>
      <c r="X24" s="288">
        <v>1</v>
      </c>
      <c r="Y24" s="42"/>
      <c r="Z24" s="42"/>
      <c r="AA24" s="42"/>
    </row>
    <row r="25" spans="2:27">
      <c r="B25" s="5" t="s">
        <v>183</v>
      </c>
      <c r="C25" s="365">
        <f>ATT!C25+VZN!C25+TMUS!C25</f>
        <v>54346</v>
      </c>
      <c r="D25" s="228">
        <f>ATT!D25+VZN!D25+TMUS!D25</f>
        <v>68117</v>
      </c>
      <c r="E25" s="228">
        <f>ATT!E25+VZN!E25+TMUS!E25</f>
        <v>77324.246963181198</v>
      </c>
      <c r="F25" s="228">
        <f>ATT!F25+VZN!F25+TMUS!F25</f>
        <v>81303.468528989673</v>
      </c>
      <c r="G25" s="228">
        <f>ATT!G25+VZN!G25+TMUS!G25</f>
        <v>84479.051375315044</v>
      </c>
      <c r="H25" s="279">
        <f t="shared" si="0"/>
        <v>7.4396303115465079E-2</v>
      </c>
      <c r="I25" s="249"/>
      <c r="J25" s="247" t="s">
        <v>10</v>
      </c>
      <c r="K25" s="247"/>
      <c r="L25" s="332">
        <f>ATT!L25+VZN!L25+TMUS!L25</f>
        <v>0</v>
      </c>
      <c r="M25" s="332">
        <f>ATT!M25+VZN!M25+TMUS!M25</f>
        <v>0</v>
      </c>
      <c r="N25" s="332">
        <f>ATT!N25+VZN!N25+TMUS!N25</f>
        <v>0</v>
      </c>
      <c r="O25" s="332">
        <f>ATT!O25+VZN!O25+TMUS!O25</f>
        <v>0</v>
      </c>
      <c r="P25" s="349" t="str">
        <f>IF(L25=0,"nm",IF(O25=0,"nm",(O25/L25)^(1/3)-1))</f>
        <v>nm</v>
      </c>
      <c r="Q25" s="5"/>
      <c r="S25" s="42"/>
      <c r="T25" s="42"/>
      <c r="U25" s="42"/>
      <c r="V25" s="147" t="s">
        <v>184</v>
      </c>
      <c r="W25" s="288">
        <f t="shared" si="1"/>
        <v>0.96635173696052801</v>
      </c>
      <c r="X25" s="288">
        <v>1</v>
      </c>
      <c r="Y25" s="42"/>
      <c r="Z25" s="42"/>
      <c r="AA25" s="42"/>
    </row>
    <row r="26" spans="2:27">
      <c r="B26" s="5" t="s">
        <v>586</v>
      </c>
      <c r="C26" s="365">
        <f>ATT!C26+VZN!C26+TMUS!C26</f>
        <v>33199</v>
      </c>
      <c r="D26" s="228">
        <f>ATT!D26+VZN!D26+TMUS!D26</f>
        <v>47013</v>
      </c>
      <c r="E26" s="228">
        <f>ATT!E26+VZN!E26+TMUS!E26</f>
        <v>51174.737600327644</v>
      </c>
      <c r="F26" s="228">
        <f>ATT!F26+VZN!F26+TMUS!F26</f>
        <v>53917.140273478486</v>
      </c>
      <c r="G26" s="228">
        <f>ATT!G26+VZN!G26+TMUS!G26</f>
        <v>56707.362426462743</v>
      </c>
      <c r="H26" s="279">
        <f t="shared" si="0"/>
        <v>6.4487323949837583E-2</v>
      </c>
      <c r="I26" s="249"/>
      <c r="J26" s="249" t="s">
        <v>11</v>
      </c>
      <c r="K26" s="249"/>
      <c r="L26" s="229">
        <f>ATT!L26+VZN!L26+TMUS!L26</f>
        <v>529847.72652899998</v>
      </c>
      <c r="M26" s="229">
        <f>ATT!M26+VZN!M26+TMUS!M26</f>
        <v>516413.51999030437</v>
      </c>
      <c r="N26" s="229">
        <f>ATT!N26+VZN!N26+TMUS!N26</f>
        <v>498018.78942545725</v>
      </c>
      <c r="O26" s="229">
        <f>ATT!O26+VZN!O26+TMUS!O26</f>
        <v>481021.50073486101</v>
      </c>
      <c r="P26" s="349">
        <f>IF(L26=0,"nm",IF(O26=0,"nm",(O26/L26)^(1/3)-1))</f>
        <v>-3.1712174861638909E-2</v>
      </c>
      <c r="Q26" s="41"/>
      <c r="S26" s="42"/>
      <c r="T26" s="42"/>
      <c r="U26" s="42"/>
      <c r="V26" s="147" t="s">
        <v>185</v>
      </c>
      <c r="W26" s="288">
        <f t="shared" si="1"/>
        <v>0.8963292689652711</v>
      </c>
      <c r="X26" s="288">
        <v>1</v>
      </c>
      <c r="Y26" s="42"/>
      <c r="Z26" s="42"/>
      <c r="AA26" s="42"/>
    </row>
    <row r="27" spans="2:27">
      <c r="B27" s="5" t="s">
        <v>587</v>
      </c>
      <c r="C27" s="365">
        <f>ATT!C27+VZN!C27+TMUS!C27</f>
        <v>375124</v>
      </c>
      <c r="D27" s="228">
        <f>ATT!D27+VZN!D27+TMUS!D27</f>
        <v>652205.30772825889</v>
      </c>
      <c r="E27" s="228">
        <f>ATT!E27+VZN!E27+TMUS!E27</f>
        <v>495811.82490653248</v>
      </c>
      <c r="F27" s="228">
        <f>ATT!F27+VZN!F27+TMUS!F27</f>
        <v>485207.83221200632</v>
      </c>
      <c r="G27" s="228">
        <f>ATT!G27+VZN!G27+TMUS!G27</f>
        <v>473627.19137525291</v>
      </c>
      <c r="H27" s="279">
        <f t="shared" si="0"/>
        <v>-0.10115646387707644</v>
      </c>
      <c r="I27" s="248"/>
      <c r="J27" s="248"/>
      <c r="K27" s="248"/>
      <c r="L27" s="248"/>
      <c r="M27" s="248"/>
      <c r="N27" s="248"/>
      <c r="O27" s="248"/>
      <c r="Q27" s="5"/>
      <c r="S27" s="42"/>
      <c r="T27" s="42"/>
      <c r="U27" s="42"/>
      <c r="V27" s="147" t="s">
        <v>466</v>
      </c>
      <c r="W27" s="288">
        <f t="shared" si="1"/>
        <v>0.95223100361893553</v>
      </c>
      <c r="X27" s="288">
        <v>1</v>
      </c>
      <c r="Y27" s="42"/>
      <c r="Z27" s="42"/>
      <c r="AA27" s="42"/>
    </row>
    <row r="28" spans="2:27" ht="12.6" thickBot="1">
      <c r="B28" s="5" t="s">
        <v>592</v>
      </c>
      <c r="C28" s="365">
        <f>ATT!C28+VZN!C28+TMUS!C28</f>
        <v>169531</v>
      </c>
      <c r="D28" s="228">
        <f>ATT!D28+VZN!D28+TMUS!D28</f>
        <v>260836</v>
      </c>
      <c r="E28" s="228">
        <f>ATT!E28+VZN!E28+TMUS!E28</f>
        <v>258225.24825795859</v>
      </c>
      <c r="F28" s="228">
        <f>ATT!F28+VZN!F28+TMUS!F28</f>
        <v>254885.00762352638</v>
      </c>
      <c r="G28" s="228">
        <f>ATT!G28+VZN!G28+TMUS!G28</f>
        <v>251323.80447610852</v>
      </c>
      <c r="H28" s="279">
        <f t="shared" si="0"/>
        <v>-1.2306873951881125E-2</v>
      </c>
      <c r="I28" s="252"/>
      <c r="J28" s="306" t="s">
        <v>754</v>
      </c>
      <c r="K28" s="306"/>
      <c r="L28" s="306"/>
      <c r="M28" s="306"/>
      <c r="N28" s="266"/>
      <c r="O28" s="266"/>
      <c r="P28" s="266"/>
      <c r="Q28" s="5"/>
      <c r="S28" s="42"/>
      <c r="T28" s="42"/>
      <c r="U28" s="42"/>
      <c r="V28" s="147" t="s">
        <v>530</v>
      </c>
      <c r="W28" s="288">
        <f t="shared" si="1"/>
        <v>1.1469975431645651</v>
      </c>
      <c r="X28" s="288">
        <v>1</v>
      </c>
      <c r="Y28" s="42"/>
      <c r="Z28" s="42"/>
      <c r="AA28" s="42"/>
    </row>
    <row r="29" spans="2:27" ht="12.6" thickTop="1">
      <c r="B29" s="5" t="s">
        <v>588</v>
      </c>
      <c r="C29" s="365">
        <f>ATT!C29+VZN!C29+TMUS!C29</f>
        <v>37031.876048097074</v>
      </c>
      <c r="D29" s="228">
        <f>ATT!D29+VZN!D29+TMUS!D29</f>
        <v>44236.565465937019</v>
      </c>
      <c r="E29" s="228">
        <f>ATT!E29+VZN!E29+TMUS!E29</f>
        <v>37177.111663666765</v>
      </c>
      <c r="F29" s="228">
        <f>ATT!F29+VZN!F29+TMUS!F29</f>
        <v>39247.643380346351</v>
      </c>
      <c r="G29" s="228">
        <f>ATT!G29+VZN!G29+TMUS!G29</f>
        <v>41099.036695284631</v>
      </c>
      <c r="H29" s="279">
        <f t="shared" si="0"/>
        <v>-2.422411565871474E-2</v>
      </c>
      <c r="I29" s="254"/>
      <c r="J29" s="249"/>
      <c r="K29" s="249"/>
      <c r="L29" s="249"/>
      <c r="M29" s="249"/>
      <c r="N29" s="249"/>
      <c r="O29" s="251"/>
      <c r="Q29" s="5"/>
      <c r="S29" s="42"/>
      <c r="T29" s="42"/>
      <c r="U29" s="42"/>
      <c r="V29" s="147" t="s">
        <v>593</v>
      </c>
      <c r="W29" s="288">
        <f t="shared" si="1"/>
        <v>0.96893539188592226</v>
      </c>
      <c r="X29" s="288">
        <v>1</v>
      </c>
      <c r="Y29" s="42"/>
      <c r="Z29" s="42"/>
      <c r="AA29" s="42"/>
    </row>
    <row r="30" spans="2:27">
      <c r="B30" s="5" t="s">
        <v>589</v>
      </c>
      <c r="C30" s="365">
        <f>ATT!C30+VZN!C30+TMUS!C30</f>
        <v>42768.759699450507</v>
      </c>
      <c r="D30" s="228">
        <f>ATT!D30+VZN!D30+TMUS!D30</f>
        <v>45841.605034996603</v>
      </c>
      <c r="E30" s="228">
        <f>ATT!E30+VZN!E30+TMUS!E30</f>
        <v>45894.285903548895</v>
      </c>
      <c r="F30" s="228">
        <f>ATT!F30+VZN!F30+TMUS!F30</f>
        <v>48633.501393522689</v>
      </c>
      <c r="G30" s="228">
        <f>ATT!G30+VZN!G30+TMUS!G30</f>
        <v>51560.401211568511</v>
      </c>
      <c r="H30" s="279">
        <f t="shared" si="0"/>
        <v>3.9965241834319487E-2</v>
      </c>
      <c r="I30" s="254"/>
      <c r="J30" s="248"/>
      <c r="K30" s="248"/>
      <c r="L30" s="248"/>
      <c r="M30" s="248"/>
      <c r="N30" s="248"/>
      <c r="O30" s="5"/>
      <c r="Q30" s="5"/>
      <c r="S30" s="42"/>
      <c r="T30" s="42"/>
      <c r="U30" s="42"/>
      <c r="V30" s="147" t="s">
        <v>475</v>
      </c>
      <c r="W30" s="288">
        <f t="shared" si="1"/>
        <v>1.2804816864349733</v>
      </c>
      <c r="X30" s="288">
        <v>1</v>
      </c>
      <c r="Y30" s="42"/>
      <c r="Z30" s="42"/>
      <c r="AA30" s="42"/>
    </row>
    <row r="31" spans="2:27">
      <c r="B31" s="5" t="s">
        <v>590</v>
      </c>
      <c r="C31" s="365">
        <f>ATT!C31+VZN!C31+TMUS!C31</f>
        <v>20668</v>
      </c>
      <c r="D31" s="228">
        <f>ATT!D31+VZN!D31+TMUS!D31</f>
        <v>19908</v>
      </c>
      <c r="E31" s="228">
        <f>ATT!E31+VZN!E31+TMUS!E31</f>
        <v>22486.11</v>
      </c>
      <c r="F31" s="228">
        <f>ATT!F31+VZN!F31+TMUS!F31</f>
        <v>22702.91</v>
      </c>
      <c r="G31" s="228">
        <f>ATT!G31+VZN!G31+TMUS!G31</f>
        <v>23059.901832621599</v>
      </c>
      <c r="H31" s="279">
        <f t="shared" si="0"/>
        <v>5.0211107719274395E-2</v>
      </c>
      <c r="I31" s="254"/>
      <c r="J31" s="252"/>
      <c r="K31" s="252"/>
      <c r="L31" s="252"/>
      <c r="M31" s="252"/>
      <c r="N31" s="252"/>
      <c r="O31" s="5"/>
      <c r="Q31" s="5"/>
      <c r="S31" s="42"/>
      <c r="T31" s="42"/>
      <c r="U31" s="42"/>
      <c r="V31" s="147" t="s">
        <v>533</v>
      </c>
      <c r="W31" s="288">
        <f t="shared" si="1"/>
        <v>0.89996115209226513</v>
      </c>
      <c r="X31" s="288">
        <v>1</v>
      </c>
      <c r="Y31" s="42"/>
      <c r="Z31" s="42"/>
      <c r="AA31" s="42"/>
    </row>
    <row r="32" spans="2:27">
      <c r="B32" s="5" t="s">
        <v>606</v>
      </c>
      <c r="C32" s="365">
        <f>ATT!C32+VZN!C32+TMUS!C32</f>
        <v>3000</v>
      </c>
      <c r="D32" s="228">
        <f>ATT!D32+VZN!D32+TMUS!D32</f>
        <v>13074</v>
      </c>
      <c r="E32" s="228">
        <f>ATT!E32+VZN!E32+TMUS!E32</f>
        <v>17446.541360309737</v>
      </c>
      <c r="F32" s="228">
        <f>ATT!F32+VZN!F32+TMUS!F32</f>
        <v>18896.330704440748</v>
      </c>
      <c r="G32" s="228">
        <f>ATT!G32+VZN!G32+TMUS!G32</f>
        <v>21044.792275635336</v>
      </c>
      <c r="H32" s="279">
        <f t="shared" si="0"/>
        <v>0.17195801699036917</v>
      </c>
      <c r="I32" s="5"/>
      <c r="J32" s="254"/>
      <c r="K32" s="254"/>
      <c r="L32" s="254"/>
      <c r="M32" s="254"/>
      <c r="N32" s="254"/>
      <c r="O32" s="251"/>
      <c r="Q32" s="5"/>
      <c r="S32" s="42"/>
      <c r="T32" s="42"/>
      <c r="U32" s="42"/>
      <c r="V32" s="147" t="s">
        <v>580</v>
      </c>
      <c r="W32" s="288">
        <f>M17/E45</f>
        <v>0.99716266625537542</v>
      </c>
      <c r="X32" s="288">
        <v>1</v>
      </c>
      <c r="Y32" s="42"/>
      <c r="Z32" s="42"/>
      <c r="AA32" s="42"/>
    </row>
    <row r="33" spans="2:42">
      <c r="B33" s="5" t="s">
        <v>5</v>
      </c>
      <c r="C33" s="365">
        <f>ATT!C33+VZN!C33+TMUS!C33</f>
        <v>13118</v>
      </c>
      <c r="D33" s="228">
        <f>ATT!D33+VZN!D33+TMUS!D33</f>
        <v>15495</v>
      </c>
      <c r="E33" s="228">
        <f>ATT!E33+VZN!E33+TMUS!E33</f>
        <v>16960.741441973645</v>
      </c>
      <c r="F33" s="228">
        <f>ATT!F33+VZN!F33+TMUS!F33</f>
        <v>15946.921112285698</v>
      </c>
      <c r="G33" s="228">
        <f>ATT!G33+VZN!G33+TMUS!G33</f>
        <v>14768.81352413057</v>
      </c>
      <c r="H33" s="279">
        <f t="shared" si="0"/>
        <v>-1.5872557926979169E-2</v>
      </c>
      <c r="I33" s="49"/>
      <c r="J33" s="254"/>
      <c r="K33" s="254"/>
      <c r="L33" s="254"/>
      <c r="M33" s="254"/>
      <c r="N33" s="254"/>
      <c r="O33" s="251"/>
      <c r="Q33" s="5"/>
      <c r="S33" s="42"/>
      <c r="T33" s="42"/>
      <c r="U33" s="42"/>
      <c r="V33" s="147" t="s">
        <v>266</v>
      </c>
      <c r="W33" s="288">
        <f>N19/F47</f>
        <v>1.2950075061714685</v>
      </c>
      <c r="X33" s="288">
        <v>1</v>
      </c>
      <c r="Y33" s="288"/>
      <c r="Z33" s="288"/>
      <c r="AA33" s="42"/>
      <c r="AC33" s="10"/>
      <c r="AD33" s="10"/>
      <c r="AE33" s="10"/>
      <c r="AF33" s="10"/>
      <c r="AH33" s="10"/>
      <c r="AI33" s="10"/>
      <c r="AJ33" s="10"/>
      <c r="AK33" s="10"/>
      <c r="AM33" s="10"/>
      <c r="AN33" s="10"/>
      <c r="AO33" s="10"/>
      <c r="AP33" s="10"/>
    </row>
    <row r="34" spans="2:42">
      <c r="H34" s="277"/>
      <c r="I34" s="254"/>
      <c r="J34" s="254"/>
      <c r="K34" s="254"/>
      <c r="L34" s="254"/>
      <c r="M34" s="254"/>
      <c r="N34" s="254"/>
      <c r="O34" s="251"/>
      <c r="Q34" s="5"/>
      <c r="S34" s="42"/>
      <c r="T34" s="42"/>
      <c r="U34" s="42"/>
      <c r="V34" s="42"/>
      <c r="W34" s="42"/>
      <c r="X34" s="42"/>
      <c r="Y34" s="288"/>
      <c r="Z34" s="288"/>
      <c r="AA34" s="42"/>
      <c r="AC34" s="10"/>
      <c r="AD34" s="10"/>
      <c r="AE34" s="10"/>
      <c r="AF34" s="10"/>
      <c r="AH34" s="10"/>
      <c r="AI34" s="10"/>
      <c r="AJ34" s="10"/>
      <c r="AK34" s="10"/>
      <c r="AM34" s="10"/>
      <c r="AN34" s="10"/>
      <c r="AO34" s="10"/>
      <c r="AP34" s="10"/>
    </row>
    <row r="35" spans="2:42" ht="12.6" thickBot="1">
      <c r="B35" s="306" t="s">
        <v>716</v>
      </c>
      <c r="C35" s="265"/>
      <c r="D35" s="265" t="str">
        <f>D5</f>
        <v>2023E</v>
      </c>
      <c r="E35" s="265" t="str">
        <f>E5</f>
        <v>2024E</v>
      </c>
      <c r="F35" s="265" t="str">
        <f>F5</f>
        <v>2025E</v>
      </c>
      <c r="G35" s="265" t="str">
        <f>G5</f>
        <v>2026E</v>
      </c>
      <c r="H35" s="265" t="str">
        <f>H5</f>
        <v>23E-26E</v>
      </c>
      <c r="I35" s="17"/>
      <c r="J35" s="5"/>
      <c r="K35" s="5"/>
      <c r="L35" s="5"/>
      <c r="M35" s="5"/>
      <c r="N35" s="5"/>
      <c r="O35" s="5"/>
      <c r="Q35" s="5"/>
      <c r="S35" s="42"/>
      <c r="T35" s="42"/>
      <c r="U35" s="42"/>
      <c r="V35" s="42"/>
      <c r="W35" s="42"/>
      <c r="X35" s="42"/>
      <c r="Y35" s="288"/>
      <c r="Z35" s="288"/>
      <c r="AA35" s="42"/>
      <c r="AC35" s="10"/>
      <c r="AD35" s="10"/>
      <c r="AE35" s="10"/>
      <c r="AF35" s="10"/>
      <c r="AH35" s="10"/>
      <c r="AI35" s="10"/>
      <c r="AJ35" s="10"/>
      <c r="AK35" s="10"/>
      <c r="AM35" s="10"/>
      <c r="AN35" s="10"/>
      <c r="AO35" s="10"/>
      <c r="AP35" s="10"/>
    </row>
    <row r="36" spans="2:42" ht="12.6" thickTop="1">
      <c r="B36" s="41"/>
      <c r="C36" s="249"/>
      <c r="D36" s="254"/>
      <c r="E36" s="254"/>
      <c r="F36" s="254"/>
      <c r="G36" s="254"/>
      <c r="H36" s="254"/>
      <c r="I36" s="5"/>
      <c r="J36" s="49"/>
      <c r="K36" s="49"/>
      <c r="L36" s="49"/>
      <c r="M36" s="49"/>
      <c r="N36" s="49"/>
      <c r="O36" s="49"/>
      <c r="Q36" s="5"/>
      <c r="R36" s="5"/>
      <c r="S36" s="42"/>
      <c r="T36" s="42"/>
      <c r="U36" s="42"/>
      <c r="V36" s="42"/>
      <c r="W36" s="42"/>
      <c r="X36" s="42"/>
      <c r="Y36" s="42"/>
      <c r="Z36" s="42"/>
      <c r="AA36" s="42"/>
      <c r="AC36" s="10"/>
      <c r="AD36" s="10"/>
      <c r="AE36" s="10"/>
      <c r="AF36" s="10"/>
      <c r="AH36" s="10"/>
      <c r="AI36" s="10"/>
      <c r="AJ36" s="10"/>
      <c r="AK36" s="10"/>
      <c r="AM36" s="10"/>
      <c r="AN36" s="10"/>
      <c r="AO36" s="10"/>
      <c r="AP36" s="10"/>
    </row>
    <row r="37" spans="2:42">
      <c r="B37" s="5" t="s">
        <v>273</v>
      </c>
      <c r="C37" s="247"/>
      <c r="D37" s="64">
        <f t="shared" ref="D37:G41" si="2">D$18/D23</f>
        <v>2.5137859043736563</v>
      </c>
      <c r="E37" s="64">
        <f t="shared" si="2"/>
        <v>2.3418033291822886</v>
      </c>
      <c r="F37" s="64">
        <f t="shared" si="2"/>
        <v>2.1405480707080522</v>
      </c>
      <c r="G37" s="64">
        <f t="shared" si="2"/>
        <v>1.9475888569848374</v>
      </c>
      <c r="H37" s="17">
        <f t="shared" ref="H37:H45" si="3">H23</f>
        <v>1.8592642260168768E-2</v>
      </c>
      <c r="I37" s="259"/>
      <c r="J37" s="259"/>
      <c r="K37" s="259"/>
      <c r="L37" s="259"/>
      <c r="M37" s="259"/>
      <c r="N37" s="259"/>
      <c r="O37" s="18"/>
      <c r="Q37" s="5"/>
      <c r="R37" s="5"/>
      <c r="S37" s="42"/>
      <c r="T37" s="42"/>
      <c r="U37" s="42"/>
      <c r="V37" s="42"/>
      <c r="W37" s="42"/>
      <c r="X37" s="42"/>
      <c r="Y37" s="42"/>
      <c r="Z37" s="42"/>
      <c r="AA37" s="42"/>
      <c r="AC37" s="10"/>
      <c r="AD37" s="10"/>
      <c r="AE37" s="10"/>
      <c r="AF37" s="10"/>
      <c r="AH37" s="10"/>
      <c r="AI37" s="10"/>
      <c r="AJ37" s="10"/>
      <c r="AK37" s="10"/>
      <c r="AM37" s="10"/>
      <c r="AN37" s="10"/>
      <c r="AO37" s="10"/>
      <c r="AP37" s="10"/>
    </row>
    <row r="38" spans="2:42">
      <c r="B38" s="5" t="s">
        <v>184</v>
      </c>
      <c r="C38" s="247"/>
      <c r="D38" s="64">
        <f t="shared" si="2"/>
        <v>7.0004799345610245</v>
      </c>
      <c r="E38" s="64">
        <f t="shared" si="2"/>
        <v>6.3659497867265147</v>
      </c>
      <c r="F38" s="64">
        <f t="shared" si="2"/>
        <v>5.7745168477785871</v>
      </c>
      <c r="G38" s="64">
        <f t="shared" si="2"/>
        <v>5.2274604613312263</v>
      </c>
      <c r="H38" s="17">
        <f t="shared" si="3"/>
        <v>3.1183334923203576E-2</v>
      </c>
      <c r="I38" s="17"/>
      <c r="J38" s="17"/>
      <c r="K38" s="17"/>
      <c r="L38" s="17"/>
      <c r="M38" s="17"/>
      <c r="N38" s="17"/>
      <c r="O38" s="5"/>
      <c r="Q38" s="5"/>
      <c r="R38" s="5"/>
      <c r="S38" s="42"/>
      <c r="T38" s="42"/>
      <c r="U38" s="42"/>
      <c r="V38" s="42"/>
      <c r="W38" s="42"/>
      <c r="X38" s="42"/>
      <c r="Y38" s="42"/>
      <c r="Z38" s="42"/>
      <c r="AA38" s="42"/>
    </row>
    <row r="39" spans="2:42">
      <c r="B39" s="5" t="s">
        <v>185</v>
      </c>
      <c r="C39" s="247"/>
      <c r="D39" s="64">
        <f t="shared" si="2"/>
        <v>12.361344840920768</v>
      </c>
      <c r="E39" s="64">
        <f t="shared" si="2"/>
        <v>10.302089191081508</v>
      </c>
      <c r="F39" s="64">
        <f t="shared" si="2"/>
        <v>9.1394962866691269</v>
      </c>
      <c r="G39" s="64">
        <f t="shared" si="2"/>
        <v>8.1609892306538363</v>
      </c>
      <c r="H39" s="17">
        <f t="shared" si="3"/>
        <v>7.4396303115465079E-2</v>
      </c>
      <c r="I39" s="5"/>
      <c r="J39" s="5"/>
      <c r="K39" s="5"/>
      <c r="L39" s="5"/>
      <c r="M39" s="5"/>
      <c r="N39" s="5"/>
      <c r="O39" s="5"/>
      <c r="Q39" s="5"/>
      <c r="R39" s="5"/>
      <c r="S39" s="42"/>
      <c r="T39" s="42"/>
      <c r="U39" s="42"/>
      <c r="V39" s="42"/>
      <c r="W39" s="288"/>
      <c r="X39" s="288"/>
      <c r="Y39" s="42"/>
      <c r="Z39" s="42"/>
      <c r="AA39" s="42"/>
    </row>
    <row r="40" spans="2:42">
      <c r="B40" s="5" t="s">
        <v>466</v>
      </c>
      <c r="C40" s="247"/>
      <c r="D40" s="64">
        <f t="shared" si="2"/>
        <v>17.910316859783464</v>
      </c>
      <c r="E40" s="64">
        <f t="shared" si="2"/>
        <v>15.566299432140243</v>
      </c>
      <c r="F40" s="64">
        <f t="shared" si="2"/>
        <v>13.78175372330595</v>
      </c>
      <c r="G40" s="64">
        <f t="shared" si="2"/>
        <v>12.15772695095534</v>
      </c>
      <c r="H40" s="17">
        <f t="shared" si="3"/>
        <v>6.4487323949837583E-2</v>
      </c>
      <c r="I40" s="247"/>
      <c r="J40" s="259"/>
      <c r="K40" s="259"/>
      <c r="L40" s="259"/>
      <c r="M40" s="259"/>
      <c r="N40" s="259"/>
      <c r="O40" s="18"/>
      <c r="Q40" s="5"/>
      <c r="R40" s="5"/>
      <c r="S40" s="42"/>
      <c r="T40" s="42"/>
      <c r="U40" s="42"/>
      <c r="V40" s="42"/>
      <c r="W40" s="288"/>
      <c r="X40" s="288"/>
      <c r="Y40" s="288"/>
      <c r="Z40" s="288"/>
      <c r="AA40" s="42"/>
    </row>
    <row r="41" spans="2:42">
      <c r="B41" s="5" t="s">
        <v>530</v>
      </c>
      <c r="C41" s="247"/>
      <c r="D41" s="64">
        <f t="shared" si="2"/>
        <v>1.2910316989935113</v>
      </c>
      <c r="E41" s="64">
        <f t="shared" si="2"/>
        <v>1.606660528917552</v>
      </c>
      <c r="F41" s="64">
        <f t="shared" si="2"/>
        <v>1.5314525021709535</v>
      </c>
      <c r="G41" s="64">
        <f t="shared" si="2"/>
        <v>1.4556441037262229</v>
      </c>
      <c r="H41" s="17">
        <f t="shared" si="3"/>
        <v>-0.10115646387707644</v>
      </c>
      <c r="I41" s="248"/>
      <c r="J41" s="17"/>
      <c r="K41" s="17"/>
      <c r="L41" s="17"/>
      <c r="M41" s="17"/>
      <c r="N41" s="17"/>
      <c r="O41" s="5"/>
      <c r="Q41" s="5"/>
      <c r="R41" s="5"/>
      <c r="S41" s="42"/>
      <c r="T41" s="42"/>
      <c r="U41" s="42"/>
      <c r="V41" s="42"/>
      <c r="W41" s="288"/>
      <c r="X41" s="288"/>
      <c r="Y41" s="288"/>
      <c r="Z41" s="288"/>
      <c r="AA41" s="42"/>
    </row>
    <row r="42" spans="2:42">
      <c r="B42" s="5" t="s">
        <v>593</v>
      </c>
      <c r="C42" s="247"/>
      <c r="D42" s="64">
        <f>D18/D28</f>
        <v>3.2281499736577772</v>
      </c>
      <c r="E42" s="64">
        <f>E18/E28</f>
        <v>3.084908599069784</v>
      </c>
      <c r="F42" s="64">
        <f>F18/F28</f>
        <v>2.9153254467268015</v>
      </c>
      <c r="G42" s="64">
        <f>G18/G28</f>
        <v>2.743204647593728</v>
      </c>
      <c r="H42" s="17">
        <f t="shared" si="3"/>
        <v>-1.2306873951881125E-2</v>
      </c>
      <c r="I42" s="247"/>
      <c r="J42" s="5"/>
      <c r="K42" s="5"/>
      <c r="L42" s="5"/>
      <c r="M42" s="5"/>
      <c r="N42" s="5"/>
      <c r="O42" s="5"/>
      <c r="Q42" s="5"/>
      <c r="R42" s="5"/>
      <c r="S42" s="42"/>
      <c r="T42" s="42"/>
      <c r="U42" s="42"/>
      <c r="V42" s="42"/>
      <c r="W42" s="288"/>
      <c r="X42" s="288"/>
      <c r="Y42" s="288"/>
      <c r="Z42" s="288"/>
      <c r="AA42" s="42"/>
    </row>
    <row r="43" spans="2:42">
      <c r="B43" s="5" t="s">
        <v>475</v>
      </c>
      <c r="C43" s="247"/>
      <c r="D43" s="64">
        <f>L26/D29</f>
        <v>11.977596383177456</v>
      </c>
      <c r="E43" s="64">
        <f>M26/E29</f>
        <v>13.890630468073612</v>
      </c>
      <c r="F43" s="64">
        <f>N26/F29</f>
        <v>12.689138672587029</v>
      </c>
      <c r="G43" s="64">
        <f>O26/G29</f>
        <v>11.703960467522332</v>
      </c>
      <c r="H43" s="17">
        <f t="shared" si="3"/>
        <v>-2.422411565871474E-2</v>
      </c>
      <c r="I43" s="247"/>
      <c r="J43" s="247"/>
      <c r="K43" s="247"/>
      <c r="L43" s="247"/>
      <c r="M43" s="247"/>
      <c r="N43" s="247"/>
      <c r="O43" s="18"/>
      <c r="Q43" s="5"/>
      <c r="R43" s="5"/>
      <c r="S43" s="42"/>
      <c r="T43" s="42"/>
      <c r="U43" s="42"/>
      <c r="V43" s="42"/>
      <c r="W43" s="325"/>
      <c r="X43" s="325"/>
      <c r="Y43" s="288"/>
      <c r="Z43" s="288"/>
      <c r="AA43" s="42"/>
    </row>
    <row r="44" spans="2:42">
      <c r="B44" s="5" t="s">
        <v>533</v>
      </c>
      <c r="C44" s="69"/>
      <c r="D44" s="64">
        <f>D11/D30</f>
        <v>11.558228079590609</v>
      </c>
      <c r="E44" s="64">
        <f>E11/E30</f>
        <v>11.252240008169979</v>
      </c>
      <c r="F44" s="64">
        <f>F11/F30</f>
        <v>10.240241297777224</v>
      </c>
      <c r="G44" s="64">
        <f>G11/G30</f>
        <v>9.3292815694175619</v>
      </c>
      <c r="H44" s="17">
        <f t="shared" si="3"/>
        <v>3.9965241834319487E-2</v>
      </c>
      <c r="I44" s="248"/>
      <c r="J44" s="248"/>
      <c r="K44" s="248"/>
      <c r="L44" s="248"/>
      <c r="M44" s="248"/>
      <c r="N44" s="248"/>
      <c r="O44" s="248"/>
      <c r="Q44" s="5"/>
      <c r="R44" s="5"/>
      <c r="S44" s="42"/>
      <c r="T44" s="42"/>
      <c r="U44" s="42"/>
      <c r="V44" s="42"/>
      <c r="W44" s="42"/>
      <c r="X44" s="42"/>
      <c r="Y44" s="325"/>
      <c r="Z44" s="325"/>
      <c r="AA44" s="42"/>
    </row>
    <row r="45" spans="2:42">
      <c r="B45" s="5" t="s">
        <v>580</v>
      </c>
      <c r="C45" s="247"/>
      <c r="D45" s="248">
        <f>D31/D11</f>
        <v>3.7573059207814459E-2</v>
      </c>
      <c r="E45" s="248">
        <f>E31/E11</f>
        <v>4.3542837531484802E-2</v>
      </c>
      <c r="F45" s="248">
        <f>F31/F11</f>
        <v>4.5586452724386897E-2</v>
      </c>
      <c r="G45" s="248">
        <f>G31/G11</f>
        <v>4.7939440955118998E-2</v>
      </c>
      <c r="H45" s="17">
        <f t="shared" si="3"/>
        <v>5.0211107719274395E-2</v>
      </c>
      <c r="I45" s="247"/>
      <c r="J45" s="247"/>
      <c r="K45" s="247"/>
      <c r="L45" s="247"/>
      <c r="M45" s="247"/>
      <c r="N45" s="247"/>
      <c r="O45" s="248"/>
      <c r="Q45" s="5"/>
      <c r="R45" s="5"/>
      <c r="S45" s="42"/>
      <c r="T45" s="42"/>
      <c r="U45" s="42"/>
      <c r="V45" s="42"/>
      <c r="W45" s="42"/>
      <c r="X45" s="42"/>
      <c r="Y45" s="42"/>
      <c r="Z45" s="42"/>
      <c r="AA45" s="326"/>
      <c r="AB45" s="303"/>
    </row>
    <row r="46" spans="2:42">
      <c r="B46" s="5" t="s">
        <v>605</v>
      </c>
      <c r="C46" s="247"/>
      <c r="D46" s="248">
        <f>(D31+D32)/D11</f>
        <v>6.2248073075755299E-2</v>
      </c>
      <c r="E46" s="248">
        <f>(E31+E32)/E11</f>
        <v>7.7326889817020045E-2</v>
      </c>
      <c r="F46" s="248">
        <f>(F31+F32)/F11</f>
        <v>8.3529460308981493E-2</v>
      </c>
      <c r="G46" s="248">
        <f>(G31+G32)/G11</f>
        <v>9.1689652210717787E-2</v>
      </c>
      <c r="H46" s="279">
        <f>((G31+G32)/(D31+D32))^(1/3)-1</f>
        <v>0.10171503351667854</v>
      </c>
      <c r="I46" s="17"/>
      <c r="J46" s="247"/>
      <c r="K46" s="247"/>
      <c r="L46" s="247"/>
      <c r="M46" s="247"/>
      <c r="N46" s="247"/>
      <c r="O46" s="18"/>
      <c r="Q46" s="5"/>
      <c r="R46" s="5"/>
      <c r="S46" s="42"/>
      <c r="T46" s="42"/>
      <c r="U46" s="42"/>
      <c r="V46" s="42"/>
      <c r="W46" s="42"/>
      <c r="X46" s="42"/>
      <c r="Y46" s="42"/>
      <c r="Z46" s="42"/>
      <c r="AA46" s="326"/>
      <c r="AB46" s="303"/>
    </row>
    <row r="47" spans="2:42">
      <c r="B47" s="5" t="s">
        <v>581</v>
      </c>
      <c r="C47" s="5"/>
      <c r="D47" s="248">
        <f>1/D43</f>
        <v>8.3489205013161136E-2</v>
      </c>
      <c r="E47" s="248">
        <f>1/E43</f>
        <v>7.1990972785462237E-2</v>
      </c>
      <c r="F47" s="248">
        <f>1/F43</f>
        <v>7.8807555485255212E-2</v>
      </c>
      <c r="G47" s="248">
        <f>1/G43</f>
        <v>8.5441163508278226E-2</v>
      </c>
      <c r="H47" s="17">
        <f>H29</f>
        <v>-2.422411565871474E-2</v>
      </c>
      <c r="I47" s="247"/>
      <c r="J47" s="248"/>
      <c r="K47" s="248"/>
      <c r="L47" s="248"/>
      <c r="M47" s="248"/>
      <c r="N47" s="248"/>
      <c r="O47" s="248"/>
      <c r="Q47" s="5"/>
      <c r="R47" s="5"/>
      <c r="S47" s="5"/>
      <c r="T47" s="5"/>
      <c r="U47" s="5"/>
      <c r="AA47" s="303"/>
      <c r="AB47" s="303"/>
    </row>
    <row r="48" spans="2:42">
      <c r="B48" s="5" t="s">
        <v>618</v>
      </c>
      <c r="C48" s="5"/>
      <c r="D48" s="305">
        <f>D31/D29</f>
        <v>0.45003493807243083</v>
      </c>
      <c r="E48" s="305">
        <f>E31/E29</f>
        <v>0.60483746568122188</v>
      </c>
      <c r="F48" s="305">
        <f>F31/F29</f>
        <v>0.57845282021107813</v>
      </c>
      <c r="G48" s="305">
        <f>G31/G29</f>
        <v>0.56108132177383385</v>
      </c>
      <c r="H48" s="17" t="s">
        <v>607</v>
      </c>
      <c r="I48" s="259"/>
      <c r="J48" s="247"/>
      <c r="K48" s="247"/>
      <c r="L48" s="247"/>
      <c r="M48" s="247"/>
      <c r="N48" s="247"/>
      <c r="O48" s="248"/>
      <c r="Q48" s="5"/>
      <c r="R48" s="5"/>
      <c r="S48" s="5"/>
      <c r="T48" s="5"/>
      <c r="U48" s="5"/>
      <c r="AA48" s="303"/>
      <c r="AB48" s="303"/>
    </row>
    <row r="49" spans="2:28">
      <c r="B49" s="41"/>
      <c r="C49" s="17"/>
      <c r="D49" s="17"/>
      <c r="E49" s="17"/>
      <c r="F49" s="17"/>
      <c r="G49" s="17"/>
      <c r="H49" s="17"/>
      <c r="I49" s="17"/>
      <c r="J49" s="17"/>
      <c r="K49" s="17"/>
      <c r="L49" s="17"/>
      <c r="M49" s="17"/>
      <c r="N49" s="17"/>
      <c r="O49" s="248"/>
      <c r="Q49" s="5"/>
      <c r="R49" s="5"/>
      <c r="S49" s="5"/>
      <c r="T49" s="5"/>
      <c r="U49" s="5"/>
      <c r="W49" s="10"/>
      <c r="X49" s="10"/>
      <c r="AA49" s="303"/>
      <c r="AB49" s="303"/>
    </row>
    <row r="50" spans="2:28">
      <c r="B50" s="5"/>
      <c r="C50" s="257"/>
      <c r="D50" s="257"/>
      <c r="E50" s="257"/>
      <c r="F50" s="5"/>
      <c r="G50" s="41"/>
      <c r="H50" s="249"/>
      <c r="I50" s="259"/>
      <c r="J50" s="249"/>
      <c r="K50" s="249"/>
      <c r="L50" s="249"/>
      <c r="M50" s="249"/>
      <c r="N50" s="249"/>
      <c r="O50" s="250"/>
      <c r="Q50" s="5"/>
      <c r="R50" s="5"/>
      <c r="S50" s="5"/>
      <c r="T50" s="5"/>
      <c r="U50" s="5"/>
      <c r="W50" s="10"/>
      <c r="X50" s="10"/>
      <c r="Y50" s="10"/>
      <c r="Z50" s="10"/>
    </row>
    <row r="51" spans="2:28">
      <c r="B51" s="41"/>
      <c r="C51" s="249"/>
      <c r="D51" s="254"/>
      <c r="E51" s="254"/>
      <c r="F51" s="254"/>
      <c r="G51" s="254"/>
      <c r="H51" s="254"/>
      <c r="I51" s="254"/>
      <c r="J51" s="254"/>
      <c r="K51" s="254"/>
      <c r="L51" s="254"/>
      <c r="M51" s="254"/>
      <c r="N51" s="278"/>
      <c r="O51" s="251"/>
      <c r="Q51" s="5"/>
      <c r="R51" s="5"/>
      <c r="S51" s="5"/>
      <c r="T51" s="5"/>
      <c r="U51" s="5"/>
      <c r="Y51" s="10"/>
      <c r="Z51" s="10"/>
    </row>
    <row r="52" spans="2:28">
      <c r="B52" s="5"/>
      <c r="C52" s="257"/>
      <c r="D52" s="17"/>
      <c r="E52" s="17"/>
      <c r="F52" s="17"/>
      <c r="G52" s="17"/>
      <c r="H52" s="17"/>
      <c r="I52" s="17"/>
      <c r="J52" s="17"/>
      <c r="K52" s="17"/>
      <c r="L52" s="17"/>
      <c r="M52" s="17"/>
      <c r="N52" s="17"/>
      <c r="O52" s="248"/>
      <c r="Q52" s="5"/>
      <c r="R52" s="5"/>
      <c r="S52" s="5"/>
      <c r="T52" s="5"/>
      <c r="U52" s="5"/>
    </row>
    <row r="53" spans="2:28">
      <c r="B53" s="5"/>
      <c r="C53" s="257"/>
      <c r="D53" s="257"/>
      <c r="E53" s="257"/>
      <c r="F53" s="5"/>
      <c r="G53" s="5"/>
      <c r="H53" s="259"/>
      <c r="I53" s="259"/>
      <c r="J53" s="259"/>
      <c r="K53" s="259"/>
      <c r="L53" s="259"/>
      <c r="M53" s="259"/>
      <c r="N53" s="259"/>
      <c r="O53" s="18"/>
      <c r="Q53" s="5"/>
      <c r="R53" s="5"/>
      <c r="S53" s="5"/>
      <c r="T53" s="5"/>
      <c r="U53" s="5"/>
    </row>
    <row r="54" spans="2:28">
      <c r="B54" s="41"/>
      <c r="C54" s="249"/>
      <c r="D54" s="254"/>
      <c r="E54" s="254"/>
      <c r="F54" s="254"/>
      <c r="G54" s="254"/>
      <c r="H54" s="254"/>
      <c r="I54" s="249"/>
      <c r="J54" s="17"/>
      <c r="K54" s="17"/>
      <c r="L54" s="17"/>
      <c r="M54" s="17"/>
      <c r="N54" s="17"/>
      <c r="O54" s="18"/>
      <c r="Q54" s="5"/>
      <c r="R54" s="5"/>
      <c r="S54" s="5"/>
      <c r="T54" s="5"/>
      <c r="U54" s="5"/>
    </row>
    <row r="55" spans="2:28">
      <c r="B55" s="5"/>
      <c r="C55" s="257"/>
      <c r="D55" s="17"/>
      <c r="E55" s="17"/>
      <c r="F55" s="17"/>
      <c r="G55" s="17"/>
      <c r="H55" s="17"/>
      <c r="I55" s="248"/>
      <c r="J55" s="259"/>
      <c r="K55" s="259"/>
      <c r="L55" s="259"/>
      <c r="M55" s="259"/>
      <c r="N55" s="259"/>
      <c r="O55" s="18"/>
      <c r="Q55" s="5"/>
      <c r="R55" s="5"/>
      <c r="S55" s="5"/>
      <c r="T55" s="5"/>
      <c r="U55" s="5"/>
    </row>
    <row r="56" spans="2:28">
      <c r="B56" s="5"/>
      <c r="C56" s="248"/>
      <c r="D56" s="248"/>
      <c r="E56" s="248"/>
      <c r="F56" s="5"/>
      <c r="G56" s="5"/>
      <c r="H56" s="259"/>
      <c r="I56" s="5"/>
      <c r="J56" s="249"/>
      <c r="K56" s="249"/>
      <c r="L56" s="249"/>
      <c r="M56" s="249"/>
      <c r="N56" s="249"/>
      <c r="O56" s="251"/>
      <c r="Q56" s="5"/>
      <c r="R56" s="5"/>
      <c r="S56" s="5"/>
      <c r="T56" s="5"/>
      <c r="U56" s="5"/>
    </row>
    <row r="57" spans="2:28">
      <c r="B57" s="41"/>
      <c r="C57" s="249"/>
      <c r="D57" s="249"/>
      <c r="E57" s="249"/>
      <c r="F57" s="249"/>
      <c r="G57" s="249"/>
      <c r="H57" s="249"/>
      <c r="I57" s="17"/>
      <c r="J57" s="248"/>
      <c r="K57" s="248"/>
      <c r="L57" s="248"/>
      <c r="M57" s="248"/>
      <c r="N57" s="248"/>
      <c r="O57" s="18"/>
      <c r="Q57" s="5"/>
      <c r="R57" s="5"/>
      <c r="S57" s="5"/>
      <c r="T57" s="5"/>
      <c r="U57" s="5"/>
    </row>
    <row r="58" spans="2:28">
      <c r="B58" s="5"/>
      <c r="C58" s="5"/>
      <c r="D58" s="248"/>
      <c r="E58" s="248"/>
      <c r="F58" s="248"/>
      <c r="G58" s="248"/>
      <c r="H58" s="248"/>
      <c r="I58" s="5"/>
      <c r="J58" s="5"/>
      <c r="K58" s="5"/>
      <c r="L58" s="5"/>
      <c r="M58" s="5"/>
      <c r="N58" s="5"/>
      <c r="O58" s="5"/>
      <c r="Q58" s="5"/>
      <c r="R58" s="5"/>
      <c r="S58" s="5"/>
      <c r="T58" s="5"/>
      <c r="U58" s="5"/>
    </row>
    <row r="59" spans="2:28">
      <c r="B59" s="5"/>
      <c r="C59" s="5"/>
      <c r="D59" s="5"/>
      <c r="E59" s="5"/>
      <c r="F59" s="5"/>
      <c r="G59" s="5"/>
      <c r="H59" s="5"/>
      <c r="I59" s="249"/>
      <c r="J59" s="17"/>
      <c r="K59" s="17"/>
      <c r="L59" s="17"/>
      <c r="M59" s="17"/>
      <c r="N59" s="17"/>
      <c r="O59" s="251"/>
      <c r="Q59" s="5"/>
      <c r="R59" s="5"/>
      <c r="S59" s="5"/>
      <c r="T59" s="5"/>
      <c r="U59" s="5"/>
    </row>
    <row r="60" spans="2:28">
      <c r="B60" s="41"/>
      <c r="C60" s="17"/>
      <c r="D60" s="17"/>
      <c r="E60" s="17"/>
      <c r="F60" s="17"/>
      <c r="G60" s="17"/>
      <c r="H60" s="17"/>
      <c r="I60" s="5"/>
      <c r="J60" s="5"/>
      <c r="K60" s="5"/>
      <c r="L60" s="5"/>
      <c r="M60" s="5"/>
      <c r="N60" s="5"/>
      <c r="O60" s="5"/>
      <c r="Q60" s="41"/>
      <c r="R60" s="5"/>
      <c r="S60" s="5"/>
      <c r="T60" s="5"/>
      <c r="U60" s="5"/>
    </row>
    <row r="61" spans="2:28">
      <c r="B61" s="5"/>
      <c r="C61" s="5"/>
      <c r="D61" s="5"/>
      <c r="E61" s="5"/>
      <c r="F61" s="5"/>
      <c r="G61" s="5"/>
      <c r="H61" s="5"/>
      <c r="I61" s="5"/>
      <c r="J61" s="249"/>
      <c r="K61" s="249"/>
      <c r="L61" s="249"/>
      <c r="M61" s="249"/>
      <c r="N61" s="249"/>
      <c r="O61" s="251"/>
      <c r="Q61" s="5"/>
      <c r="R61" s="5"/>
      <c r="S61" s="5"/>
      <c r="T61" s="5"/>
      <c r="U61" s="5"/>
    </row>
    <row r="62" spans="2:28">
      <c r="B62" s="41"/>
      <c r="C62" s="249"/>
      <c r="D62" s="249"/>
      <c r="E62" s="249"/>
      <c r="F62" s="249"/>
      <c r="G62" s="249"/>
      <c r="H62" s="249"/>
      <c r="I62" s="254"/>
      <c r="J62" s="5"/>
      <c r="K62" s="5"/>
      <c r="L62" s="5"/>
      <c r="M62" s="5"/>
      <c r="N62" s="5"/>
      <c r="O62" s="5"/>
      <c r="Q62" s="5"/>
      <c r="R62" s="5"/>
      <c r="S62" s="5"/>
      <c r="T62" s="5"/>
      <c r="U62" s="5"/>
    </row>
    <row r="63" spans="2:28">
      <c r="B63" s="5"/>
      <c r="C63" s="5"/>
      <c r="D63" s="5"/>
      <c r="E63" s="5"/>
      <c r="F63" s="5"/>
      <c r="G63" s="5"/>
      <c r="H63" s="5"/>
      <c r="I63" s="17"/>
      <c r="J63" s="5"/>
      <c r="K63" s="5"/>
      <c r="L63" s="5"/>
      <c r="M63" s="5"/>
      <c r="N63" s="5"/>
      <c r="O63" s="5"/>
      <c r="Q63" s="5"/>
      <c r="R63" s="5"/>
      <c r="S63" s="5"/>
      <c r="T63" s="5"/>
      <c r="U63" s="5"/>
    </row>
    <row r="64" spans="2:28">
      <c r="B64" s="5"/>
      <c r="C64" s="5"/>
      <c r="D64" s="5"/>
      <c r="E64" s="5"/>
      <c r="F64" s="5"/>
      <c r="G64" s="5"/>
      <c r="H64" s="5"/>
      <c r="I64" s="254"/>
      <c r="J64" s="254"/>
      <c r="K64" s="254"/>
      <c r="L64" s="254"/>
      <c r="M64" s="254"/>
      <c r="N64" s="254"/>
      <c r="O64" s="251"/>
      <c r="Q64" s="5"/>
      <c r="R64" s="5"/>
      <c r="S64" s="5"/>
      <c r="T64" s="5"/>
      <c r="U64" s="5"/>
    </row>
    <row r="65" spans="2:26">
      <c r="B65" s="41"/>
      <c r="C65" s="249"/>
      <c r="D65" s="254"/>
      <c r="E65" s="254"/>
      <c r="F65" s="254"/>
      <c r="G65" s="254"/>
      <c r="H65" s="254"/>
      <c r="I65" s="248"/>
      <c r="J65" s="17"/>
      <c r="K65" s="17"/>
      <c r="L65" s="17"/>
      <c r="M65" s="17"/>
      <c r="N65" s="17"/>
      <c r="O65" s="5"/>
      <c r="Q65" s="5"/>
      <c r="R65" s="5"/>
      <c r="S65" s="5"/>
      <c r="T65" s="5"/>
      <c r="U65" s="5"/>
    </row>
    <row r="66" spans="2:26">
      <c r="B66" s="5"/>
      <c r="C66" s="5"/>
      <c r="D66" s="17"/>
      <c r="E66" s="17"/>
      <c r="F66" s="17"/>
      <c r="G66" s="17"/>
      <c r="H66" s="17"/>
      <c r="I66" s="5"/>
      <c r="J66" s="254"/>
      <c r="K66" s="254"/>
      <c r="L66" s="254"/>
      <c r="M66" s="254"/>
      <c r="N66" s="254"/>
      <c r="O66" s="251"/>
      <c r="Q66" s="41"/>
      <c r="R66" s="5"/>
      <c r="S66" s="5"/>
      <c r="T66" s="5"/>
      <c r="U66" s="5"/>
    </row>
    <row r="67" spans="2:26">
      <c r="B67" s="41"/>
      <c r="C67" s="249"/>
      <c r="D67" s="254"/>
      <c r="E67" s="254"/>
      <c r="F67" s="254"/>
      <c r="G67" s="254"/>
      <c r="H67" s="254"/>
      <c r="I67" s="245"/>
      <c r="J67" s="248"/>
      <c r="K67" s="248"/>
      <c r="L67" s="248"/>
      <c r="M67" s="248"/>
      <c r="N67" s="248"/>
      <c r="O67" s="5"/>
      <c r="Q67" s="5"/>
      <c r="R67" s="5"/>
      <c r="S67" s="5"/>
      <c r="T67" s="5"/>
      <c r="U67" s="5"/>
    </row>
    <row r="68" spans="2:26">
      <c r="B68" s="5"/>
      <c r="C68" s="5"/>
      <c r="D68" s="248"/>
      <c r="E68" s="248"/>
      <c r="F68" s="248"/>
      <c r="G68" s="248"/>
      <c r="H68" s="248"/>
      <c r="I68" s="248"/>
      <c r="J68" s="5"/>
      <c r="K68" s="5"/>
      <c r="L68" s="5"/>
      <c r="M68" s="5"/>
      <c r="N68" s="5"/>
      <c r="O68" s="5"/>
      <c r="Q68" s="5"/>
      <c r="R68" s="5"/>
      <c r="S68" s="5"/>
      <c r="T68" s="5"/>
      <c r="U68" s="5"/>
    </row>
    <row r="69" spans="2:26">
      <c r="B69" s="41"/>
      <c r="C69" s="5"/>
      <c r="D69" s="5"/>
      <c r="E69" s="5"/>
      <c r="F69" s="5"/>
      <c r="G69" s="5"/>
      <c r="H69" s="5"/>
      <c r="I69" s="5"/>
      <c r="J69" s="245"/>
      <c r="K69" s="245"/>
      <c r="L69" s="245"/>
      <c r="M69" s="245"/>
      <c r="N69" s="245"/>
      <c r="O69" s="251"/>
      <c r="Q69" s="5"/>
      <c r="R69" s="5"/>
      <c r="S69" s="5"/>
      <c r="T69" s="5"/>
      <c r="U69" s="5"/>
      <c r="W69" s="76"/>
      <c r="X69" s="76"/>
    </row>
    <row r="70" spans="2:26">
      <c r="B70" s="41"/>
      <c r="C70" s="245"/>
      <c r="D70" s="245"/>
      <c r="E70" s="245"/>
      <c r="F70" s="245"/>
      <c r="G70" s="245"/>
      <c r="H70" s="245"/>
      <c r="I70" s="245"/>
      <c r="J70" s="248"/>
      <c r="K70" s="248"/>
      <c r="L70" s="248"/>
      <c r="M70" s="248"/>
      <c r="N70" s="248"/>
      <c r="O70" s="5"/>
      <c r="Q70" s="5"/>
      <c r="R70" s="5"/>
      <c r="S70" s="5"/>
      <c r="T70" s="5"/>
      <c r="U70" s="5"/>
      <c r="W70" s="76"/>
      <c r="X70" s="76"/>
      <c r="Y70" s="76"/>
      <c r="Z70" s="76"/>
    </row>
    <row r="71" spans="2:26">
      <c r="B71" s="5"/>
      <c r="C71" s="5"/>
      <c r="D71" s="248"/>
      <c r="E71" s="248"/>
      <c r="F71" s="248"/>
      <c r="G71" s="248"/>
      <c r="H71" s="248"/>
      <c r="I71" s="18"/>
      <c r="J71" s="5"/>
      <c r="K71" s="5"/>
      <c r="L71" s="5"/>
      <c r="M71" s="5"/>
      <c r="N71" s="5"/>
      <c r="O71" s="5"/>
      <c r="Q71" s="5"/>
      <c r="R71" s="5"/>
      <c r="S71" s="5"/>
      <c r="T71" s="5"/>
      <c r="U71" s="5"/>
      <c r="Y71" s="76"/>
      <c r="Z71" s="76"/>
    </row>
    <row r="72" spans="2:26">
      <c r="B72" s="41"/>
      <c r="C72" s="5"/>
      <c r="D72" s="5"/>
      <c r="E72" s="5"/>
      <c r="F72" s="5"/>
      <c r="G72" s="5"/>
      <c r="H72" s="5"/>
      <c r="I72" s="5"/>
      <c r="J72" s="245"/>
      <c r="K72" s="245"/>
      <c r="L72" s="245"/>
      <c r="M72" s="245"/>
      <c r="N72" s="245"/>
      <c r="O72" s="251"/>
      <c r="Q72" s="5"/>
      <c r="R72" s="5"/>
      <c r="S72" s="5"/>
      <c r="T72" s="5"/>
      <c r="U72" s="5"/>
    </row>
    <row r="73" spans="2:26">
      <c r="B73" s="41"/>
      <c r="C73" s="245"/>
      <c r="D73" s="245"/>
      <c r="E73" s="245"/>
      <c r="F73" s="245"/>
      <c r="G73" s="245"/>
      <c r="H73" s="245"/>
      <c r="I73" s="249"/>
      <c r="J73" s="18"/>
      <c r="K73" s="18"/>
      <c r="L73" s="18"/>
      <c r="M73" s="18"/>
      <c r="N73" s="18"/>
      <c r="O73" s="5"/>
      <c r="Q73" s="5"/>
      <c r="R73" s="5"/>
      <c r="S73" s="5"/>
      <c r="T73" s="5"/>
      <c r="U73" s="5"/>
    </row>
    <row r="74" spans="2:26">
      <c r="B74" s="5"/>
      <c r="C74" s="5"/>
      <c r="D74" s="18"/>
      <c r="E74" s="18"/>
      <c r="F74" s="18"/>
      <c r="G74" s="18"/>
      <c r="H74" s="18"/>
      <c r="I74" s="248"/>
      <c r="J74" s="5"/>
      <c r="K74" s="5"/>
      <c r="L74" s="5"/>
      <c r="M74" s="5"/>
      <c r="N74" s="5"/>
      <c r="O74" s="5"/>
      <c r="Q74" s="5"/>
      <c r="R74" s="5"/>
      <c r="S74" s="5"/>
      <c r="T74" s="5"/>
      <c r="U74" s="5"/>
    </row>
    <row r="75" spans="2:26">
      <c r="B75" s="41"/>
      <c r="C75" s="5"/>
      <c r="D75" s="5"/>
      <c r="E75" s="5"/>
      <c r="F75" s="5"/>
      <c r="G75" s="5"/>
      <c r="H75" s="5"/>
      <c r="I75" s="5"/>
      <c r="J75" s="249"/>
      <c r="K75" s="249"/>
      <c r="L75" s="249"/>
      <c r="M75" s="249"/>
      <c r="N75" s="249"/>
      <c r="O75" s="251"/>
      <c r="Q75" s="5"/>
      <c r="R75" s="5"/>
      <c r="S75" s="5"/>
      <c r="T75" s="5"/>
      <c r="U75" s="5"/>
    </row>
    <row r="76" spans="2:26">
      <c r="B76" s="41"/>
      <c r="C76" s="249"/>
      <c r="D76" s="249"/>
      <c r="E76" s="249"/>
      <c r="F76" s="249"/>
      <c r="G76" s="249"/>
      <c r="H76" s="249"/>
      <c r="I76" s="245"/>
      <c r="J76" s="248"/>
      <c r="K76" s="248"/>
      <c r="L76" s="248"/>
      <c r="M76" s="248"/>
      <c r="N76" s="248"/>
      <c r="O76" s="5"/>
      <c r="Q76" s="5"/>
      <c r="R76" s="5"/>
      <c r="S76" s="5"/>
      <c r="T76" s="5"/>
      <c r="U76" s="5"/>
    </row>
    <row r="77" spans="2:26">
      <c r="B77" s="5"/>
      <c r="C77" s="5"/>
      <c r="D77" s="248"/>
      <c r="E77" s="248"/>
      <c r="F77" s="248"/>
      <c r="G77" s="248"/>
      <c r="H77" s="248"/>
      <c r="I77" s="248"/>
      <c r="J77" s="5"/>
      <c r="K77" s="5"/>
      <c r="L77" s="5"/>
      <c r="M77" s="5"/>
      <c r="N77" s="5"/>
      <c r="O77" s="5"/>
      <c r="Q77" s="5"/>
      <c r="R77" s="5"/>
      <c r="S77" s="5"/>
      <c r="T77" s="5"/>
      <c r="U77" s="5"/>
    </row>
    <row r="78" spans="2:26">
      <c r="B78" s="41"/>
      <c r="C78" s="5"/>
      <c r="D78" s="5"/>
      <c r="E78" s="5"/>
      <c r="F78" s="5"/>
      <c r="G78" s="5"/>
      <c r="H78" s="5"/>
      <c r="I78" s="5"/>
      <c r="J78" s="245"/>
      <c r="K78" s="245"/>
      <c r="L78" s="245"/>
      <c r="M78" s="245"/>
      <c r="N78" s="245"/>
      <c r="O78" s="251"/>
      <c r="Q78" s="5"/>
      <c r="R78" s="5"/>
      <c r="S78" s="5"/>
      <c r="T78" s="5"/>
      <c r="U78" s="5"/>
    </row>
    <row r="79" spans="2:26">
      <c r="B79" s="41"/>
      <c r="C79" s="245"/>
      <c r="D79" s="245"/>
      <c r="E79" s="245"/>
      <c r="F79" s="245"/>
      <c r="G79" s="245"/>
      <c r="H79" s="245"/>
      <c r="I79" s="249"/>
      <c r="J79" s="248"/>
      <c r="K79" s="248"/>
      <c r="L79" s="248"/>
      <c r="M79" s="248"/>
      <c r="N79" s="248"/>
      <c r="O79" s="5"/>
      <c r="Q79" s="5"/>
      <c r="R79" s="5"/>
      <c r="S79" s="5"/>
      <c r="T79" s="5"/>
      <c r="U79" s="5"/>
    </row>
    <row r="80" spans="2:26">
      <c r="B80" s="5"/>
      <c r="C80" s="5"/>
      <c r="D80" s="248"/>
      <c r="E80" s="248"/>
      <c r="F80" s="248"/>
      <c r="G80" s="248"/>
      <c r="H80" s="248"/>
      <c r="I80" s="248"/>
      <c r="J80" s="5"/>
      <c r="K80" s="5"/>
      <c r="L80" s="5"/>
      <c r="M80" s="5"/>
      <c r="N80" s="5"/>
      <c r="O80" s="5"/>
      <c r="Q80" s="5"/>
      <c r="R80" s="5"/>
      <c r="S80" s="5"/>
      <c r="T80" s="5"/>
      <c r="U80" s="5"/>
    </row>
    <row r="81" spans="2:26">
      <c r="B81" s="41"/>
      <c r="C81" s="5"/>
      <c r="D81" s="5"/>
      <c r="E81" s="5"/>
      <c r="F81" s="5"/>
      <c r="G81" s="5"/>
      <c r="H81" s="5"/>
      <c r="I81" s="259"/>
      <c r="J81" s="249"/>
      <c r="K81" s="249"/>
      <c r="L81" s="249"/>
      <c r="M81" s="249"/>
      <c r="N81" s="249"/>
      <c r="O81" s="251"/>
      <c r="Q81" s="5"/>
      <c r="R81" s="5"/>
      <c r="S81" s="5"/>
      <c r="T81" s="5"/>
      <c r="U81" s="5"/>
    </row>
    <row r="82" spans="2:26">
      <c r="B82" s="41"/>
      <c r="C82" s="249"/>
      <c r="D82" s="249"/>
      <c r="E82" s="249"/>
      <c r="F82" s="249"/>
      <c r="G82" s="249"/>
      <c r="H82" s="249"/>
      <c r="I82" s="5"/>
      <c r="J82" s="248"/>
      <c r="K82" s="248"/>
      <c r="L82" s="248"/>
      <c r="M82" s="248"/>
      <c r="N82" s="248"/>
      <c r="O82" s="5"/>
      <c r="Q82" s="5"/>
      <c r="R82" s="5"/>
      <c r="S82" s="5"/>
      <c r="T82" s="5"/>
      <c r="U82" s="5"/>
    </row>
    <row r="83" spans="2:26">
      <c r="B83" s="5"/>
      <c r="C83" s="5"/>
      <c r="D83" s="248"/>
      <c r="E83" s="248"/>
      <c r="F83" s="248"/>
      <c r="G83" s="248"/>
      <c r="H83" s="248"/>
      <c r="I83" s="245"/>
      <c r="J83" s="259"/>
      <c r="K83" s="259"/>
      <c r="L83" s="259"/>
      <c r="M83" s="259"/>
      <c r="N83" s="259"/>
      <c r="O83" s="251"/>
      <c r="Q83" s="5"/>
      <c r="R83" s="5"/>
      <c r="S83" s="5"/>
      <c r="T83" s="5"/>
      <c r="U83" s="5"/>
    </row>
    <row r="84" spans="2:26">
      <c r="B84" s="5"/>
      <c r="C84" s="259"/>
      <c r="D84" s="259"/>
      <c r="E84" s="259"/>
      <c r="F84" s="259"/>
      <c r="G84" s="259"/>
      <c r="H84" s="259"/>
      <c r="I84" s="248"/>
      <c r="J84" s="5"/>
      <c r="K84" s="5"/>
      <c r="L84" s="5"/>
      <c r="M84" s="5"/>
      <c r="N84" s="5"/>
      <c r="O84" s="5"/>
      <c r="Q84" s="5"/>
      <c r="R84" s="5"/>
      <c r="S84" s="5"/>
      <c r="T84" s="5"/>
      <c r="U84" s="5"/>
    </row>
    <row r="85" spans="2:26">
      <c r="B85" s="41"/>
      <c r="C85" s="5"/>
      <c r="D85" s="5"/>
      <c r="E85" s="5"/>
      <c r="F85" s="5"/>
      <c r="G85" s="5"/>
      <c r="H85" s="5"/>
      <c r="I85" s="5"/>
      <c r="J85" s="245"/>
      <c r="K85" s="245"/>
      <c r="L85" s="245"/>
      <c r="M85" s="245"/>
      <c r="N85" s="245"/>
      <c r="O85" s="251"/>
      <c r="Q85" s="5"/>
      <c r="R85" s="5"/>
      <c r="S85" s="5"/>
      <c r="T85" s="5"/>
      <c r="U85" s="5"/>
    </row>
    <row r="86" spans="2:26">
      <c r="B86" s="41"/>
      <c r="C86" s="245"/>
      <c r="D86" s="245"/>
      <c r="E86" s="245"/>
      <c r="F86" s="245"/>
      <c r="G86" s="245"/>
      <c r="H86" s="245"/>
      <c r="I86" s="5"/>
      <c r="J86" s="248"/>
      <c r="K86" s="248"/>
      <c r="L86" s="248"/>
      <c r="M86" s="248"/>
      <c r="N86" s="248"/>
      <c r="O86" s="5"/>
      <c r="Q86" s="5"/>
      <c r="R86" s="5"/>
      <c r="S86" s="5"/>
      <c r="T86" s="5"/>
      <c r="U86" s="5"/>
    </row>
    <row r="87" spans="2:26">
      <c r="B87" s="5"/>
      <c r="C87" s="5"/>
      <c r="D87" s="248"/>
      <c r="E87" s="248"/>
      <c r="F87" s="248"/>
      <c r="G87" s="248"/>
      <c r="H87" s="248"/>
      <c r="I87" s="5"/>
      <c r="J87" s="5"/>
      <c r="K87" s="5"/>
      <c r="L87" s="5"/>
      <c r="M87" s="5"/>
      <c r="N87" s="5"/>
      <c r="O87" s="5"/>
      <c r="Q87" s="5"/>
      <c r="R87" s="5"/>
      <c r="S87" s="5"/>
      <c r="T87" s="5"/>
      <c r="U87" s="5"/>
    </row>
    <row r="88" spans="2:26">
      <c r="B88" s="41"/>
      <c r="C88" s="5"/>
      <c r="D88" s="5"/>
      <c r="E88" s="5"/>
      <c r="F88" s="5"/>
      <c r="G88" s="5"/>
      <c r="H88" s="5"/>
      <c r="I88" s="5"/>
      <c r="J88" s="5"/>
      <c r="K88" s="5"/>
      <c r="L88" s="5"/>
      <c r="M88" s="5"/>
      <c r="N88" s="5"/>
      <c r="O88" s="5"/>
      <c r="Q88" s="5"/>
      <c r="R88" s="5"/>
      <c r="S88" s="5"/>
      <c r="T88" s="5"/>
      <c r="U88" s="5"/>
    </row>
    <row r="89" spans="2:26">
      <c r="B89" s="41"/>
      <c r="C89" s="5"/>
      <c r="D89" s="5"/>
      <c r="E89" s="5"/>
      <c r="F89" s="5"/>
      <c r="G89" s="5"/>
      <c r="H89" s="5"/>
      <c r="I89" s="49"/>
      <c r="J89" s="5"/>
      <c r="K89" s="5"/>
      <c r="L89" s="5"/>
      <c r="M89" s="5"/>
      <c r="N89" s="5"/>
      <c r="O89" s="5"/>
      <c r="Q89" s="41"/>
      <c r="R89" s="5"/>
      <c r="S89" s="5"/>
      <c r="T89" s="5"/>
      <c r="U89" s="5"/>
    </row>
    <row r="90" spans="2:26">
      <c r="B90" s="41"/>
      <c r="C90" s="5"/>
      <c r="D90" s="5"/>
      <c r="E90" s="5"/>
      <c r="F90" s="5"/>
      <c r="G90" s="5"/>
      <c r="H90" s="5"/>
      <c r="I90" s="5"/>
      <c r="J90" s="5"/>
      <c r="K90" s="5"/>
      <c r="L90" s="5"/>
      <c r="M90" s="5"/>
      <c r="N90" s="5"/>
      <c r="O90" s="5"/>
      <c r="Q90" s="5"/>
      <c r="R90" s="5"/>
      <c r="S90" s="5"/>
      <c r="T90" s="5"/>
      <c r="U90" s="5"/>
    </row>
    <row r="91" spans="2:26">
      <c r="B91" s="5"/>
      <c r="C91" s="5"/>
      <c r="D91" s="5"/>
      <c r="E91" s="5"/>
      <c r="F91" s="5"/>
      <c r="G91" s="5"/>
      <c r="H91" s="5"/>
      <c r="I91" s="247"/>
      <c r="J91" s="49"/>
      <c r="K91" s="49"/>
      <c r="L91" s="49"/>
      <c r="M91" s="49"/>
      <c r="N91" s="49"/>
      <c r="O91" s="49"/>
      <c r="Q91" s="5"/>
      <c r="R91" s="5"/>
      <c r="S91" s="5"/>
      <c r="T91" s="5"/>
      <c r="U91" s="5"/>
      <c r="W91" s="21"/>
      <c r="X91" s="21"/>
    </row>
    <row r="92" spans="2:26">
      <c r="B92" s="41"/>
      <c r="C92" s="49"/>
      <c r="D92" s="49"/>
      <c r="E92" s="49"/>
      <c r="F92" s="49"/>
      <c r="G92" s="49"/>
      <c r="H92" s="49"/>
      <c r="I92" s="247"/>
      <c r="J92" s="5"/>
      <c r="K92" s="5"/>
      <c r="L92" s="5"/>
      <c r="M92" s="5"/>
      <c r="N92" s="5"/>
      <c r="O92" s="5"/>
      <c r="Q92" s="5"/>
      <c r="R92" s="5"/>
      <c r="S92" s="5"/>
      <c r="T92" s="5"/>
      <c r="U92" s="5"/>
      <c r="W92" s="21"/>
      <c r="X92" s="21"/>
      <c r="Y92" s="21"/>
      <c r="Z92" s="21"/>
    </row>
    <row r="93" spans="2:26">
      <c r="B93" s="5"/>
      <c r="C93" s="5"/>
      <c r="D93" s="5"/>
      <c r="E93" s="5"/>
      <c r="F93" s="5"/>
      <c r="G93" s="5"/>
      <c r="H93" s="5"/>
      <c r="I93" s="247"/>
      <c r="J93" s="247"/>
      <c r="K93" s="247"/>
      <c r="L93" s="247"/>
      <c r="M93" s="247"/>
      <c r="N93" s="247"/>
      <c r="O93" s="248"/>
      <c r="Q93" s="5"/>
      <c r="R93" s="5"/>
      <c r="S93" s="5"/>
      <c r="T93" s="5"/>
      <c r="U93" s="5"/>
      <c r="Y93" s="21"/>
      <c r="Z93" s="21"/>
    </row>
    <row r="94" spans="2:26">
      <c r="B94" s="5"/>
      <c r="C94" s="259"/>
      <c r="D94" s="247"/>
      <c r="E94" s="247"/>
      <c r="F94" s="247"/>
      <c r="G94" s="247"/>
      <c r="H94" s="247"/>
      <c r="I94" s="248"/>
      <c r="J94" s="247"/>
      <c r="K94" s="247"/>
      <c r="L94" s="247"/>
      <c r="M94" s="247"/>
      <c r="N94" s="247"/>
      <c r="O94" s="248"/>
      <c r="Q94" s="5"/>
      <c r="R94" s="5"/>
      <c r="S94" s="5"/>
      <c r="T94" s="5"/>
      <c r="U94" s="5"/>
    </row>
    <row r="95" spans="2:26">
      <c r="B95" s="5"/>
      <c r="C95" s="259"/>
      <c r="D95" s="247"/>
      <c r="E95" s="247"/>
      <c r="F95" s="247"/>
      <c r="G95" s="247"/>
      <c r="H95" s="247"/>
      <c r="I95" s="247"/>
      <c r="J95" s="247"/>
      <c r="K95" s="247"/>
      <c r="L95" s="247"/>
      <c r="M95" s="247"/>
      <c r="N95" s="247"/>
      <c r="O95" s="248"/>
      <c r="Q95" s="5"/>
      <c r="R95" s="5"/>
      <c r="S95" s="5"/>
      <c r="T95" s="5"/>
      <c r="U95" s="5"/>
    </row>
    <row r="96" spans="2:26">
      <c r="B96" s="5"/>
      <c r="C96" s="259"/>
      <c r="D96" s="247"/>
      <c r="E96" s="247"/>
      <c r="F96" s="247"/>
      <c r="G96" s="247"/>
      <c r="H96" s="247"/>
      <c r="I96" s="249"/>
      <c r="J96" s="248"/>
      <c r="K96" s="248"/>
      <c r="L96" s="248"/>
      <c r="M96" s="248"/>
      <c r="N96" s="248"/>
      <c r="O96" s="248"/>
      <c r="Q96" s="5"/>
      <c r="R96" s="5"/>
      <c r="S96" s="5"/>
      <c r="T96" s="5"/>
      <c r="U96" s="5"/>
    </row>
    <row r="97" spans="2:21">
      <c r="B97" s="5"/>
      <c r="C97" s="259"/>
      <c r="D97" s="248"/>
      <c r="E97" s="248"/>
      <c r="F97" s="248"/>
      <c r="G97" s="248"/>
      <c r="H97" s="248"/>
      <c r="I97" s="248"/>
      <c r="J97" s="247"/>
      <c r="K97" s="247"/>
      <c r="L97" s="247"/>
      <c r="M97" s="247"/>
      <c r="N97" s="247"/>
      <c r="O97" s="248"/>
      <c r="Q97" s="5"/>
      <c r="R97" s="5"/>
      <c r="S97" s="5"/>
      <c r="T97" s="5"/>
      <c r="U97" s="5"/>
    </row>
    <row r="98" spans="2:21">
      <c r="B98" s="5"/>
      <c r="C98" s="259"/>
      <c r="D98" s="247"/>
      <c r="E98" s="247"/>
      <c r="F98" s="247"/>
      <c r="G98" s="247"/>
      <c r="H98" s="247"/>
      <c r="I98" s="5"/>
      <c r="J98" s="249"/>
      <c r="K98" s="249"/>
      <c r="L98" s="249"/>
      <c r="M98" s="249"/>
      <c r="N98" s="249"/>
      <c r="O98" s="248"/>
      <c r="Q98" s="5"/>
      <c r="R98" s="5"/>
      <c r="S98" s="5"/>
      <c r="T98" s="5"/>
      <c r="U98" s="5"/>
    </row>
    <row r="99" spans="2:21">
      <c r="B99" s="41"/>
      <c r="C99" s="249"/>
      <c r="D99" s="249"/>
      <c r="E99" s="249"/>
      <c r="F99" s="249"/>
      <c r="G99" s="249"/>
      <c r="H99" s="249"/>
      <c r="I99" s="259"/>
      <c r="J99" s="248"/>
      <c r="K99" s="248"/>
      <c r="L99" s="248"/>
      <c r="M99" s="248"/>
      <c r="N99" s="248"/>
      <c r="O99" s="248"/>
      <c r="Q99" s="5"/>
      <c r="R99" s="5"/>
      <c r="S99" s="5"/>
      <c r="T99" s="5"/>
      <c r="U99" s="5"/>
    </row>
    <row r="100" spans="2:21" s="5" customFormat="1">
      <c r="B100" s="41"/>
      <c r="C100" s="257"/>
      <c r="D100" s="248"/>
      <c r="E100" s="248"/>
      <c r="F100" s="248"/>
      <c r="G100" s="248"/>
      <c r="H100" s="248"/>
      <c r="I100" s="259"/>
      <c r="O100" s="248"/>
      <c r="P100" s="39"/>
    </row>
    <row r="101" spans="2:21">
      <c r="B101" s="41"/>
      <c r="C101" s="5"/>
      <c r="D101" s="5"/>
      <c r="E101" s="5"/>
      <c r="F101" s="5"/>
      <c r="G101" s="5"/>
      <c r="H101" s="5"/>
      <c r="I101" s="247"/>
      <c r="J101" s="259"/>
      <c r="K101" s="259"/>
      <c r="L101" s="259"/>
      <c r="M101" s="259"/>
      <c r="N101" s="259"/>
      <c r="O101" s="5"/>
      <c r="Q101" s="5"/>
      <c r="R101" s="5"/>
      <c r="S101" s="5"/>
      <c r="T101" s="5"/>
      <c r="U101" s="5"/>
    </row>
    <row r="102" spans="2:21">
      <c r="B102" s="5"/>
      <c r="C102" s="259"/>
      <c r="D102" s="259"/>
      <c r="E102" s="259"/>
      <c r="F102" s="259"/>
      <c r="G102" s="259"/>
      <c r="H102" s="259"/>
      <c r="I102" s="5"/>
      <c r="J102" s="259"/>
      <c r="K102" s="259"/>
      <c r="L102" s="259"/>
      <c r="M102" s="259"/>
      <c r="N102" s="259"/>
      <c r="O102" s="5"/>
      <c r="P102" s="5"/>
      <c r="Q102" s="5"/>
      <c r="R102" s="5"/>
      <c r="S102" s="5"/>
      <c r="T102" s="5"/>
      <c r="U102" s="5"/>
    </row>
    <row r="103" spans="2:21">
      <c r="B103" s="5"/>
      <c r="C103" s="259"/>
      <c r="D103" s="259"/>
      <c r="E103" s="259"/>
      <c r="F103" s="259"/>
      <c r="G103" s="259"/>
      <c r="H103" s="259"/>
      <c r="I103" s="247"/>
      <c r="J103" s="247"/>
      <c r="K103" s="247"/>
      <c r="L103" s="247"/>
      <c r="M103" s="247"/>
      <c r="N103" s="247"/>
      <c r="O103" s="5"/>
      <c r="Q103" s="5"/>
      <c r="R103" s="5"/>
      <c r="S103" s="5"/>
      <c r="T103" s="5"/>
      <c r="U103" s="5"/>
    </row>
    <row r="104" spans="2:21" s="5" customFormat="1">
      <c r="C104" s="247"/>
      <c r="D104" s="247"/>
      <c r="E104" s="247"/>
      <c r="F104" s="247"/>
      <c r="G104" s="247"/>
      <c r="H104" s="247"/>
      <c r="P104" s="39"/>
    </row>
    <row r="105" spans="2:21" s="5" customFormat="1">
      <c r="I105" s="259"/>
      <c r="J105" s="247"/>
      <c r="K105" s="247"/>
      <c r="L105" s="247"/>
      <c r="M105" s="247"/>
      <c r="N105" s="247"/>
      <c r="P105" s="39"/>
    </row>
    <row r="106" spans="2:21">
      <c r="B106" s="5"/>
      <c r="C106" s="259"/>
      <c r="D106" s="247"/>
      <c r="E106" s="247"/>
      <c r="F106" s="247"/>
      <c r="G106" s="247"/>
      <c r="H106" s="247"/>
      <c r="I106" s="247"/>
      <c r="J106" s="5"/>
      <c r="K106" s="5"/>
      <c r="L106" s="5"/>
      <c r="M106" s="5"/>
      <c r="N106" s="5"/>
      <c r="O106" s="5"/>
      <c r="P106" s="5"/>
      <c r="Q106" s="5"/>
      <c r="R106" s="5"/>
      <c r="S106" s="5"/>
      <c r="T106" s="5"/>
      <c r="U106" s="5"/>
    </row>
    <row r="107" spans="2:21">
      <c r="B107" s="5"/>
      <c r="C107" s="259"/>
      <c r="D107" s="5"/>
      <c r="E107" s="5"/>
      <c r="F107" s="5"/>
      <c r="G107" s="5"/>
      <c r="H107" s="5"/>
      <c r="I107" s="249"/>
      <c r="J107" s="259"/>
      <c r="K107" s="259"/>
      <c r="L107" s="259"/>
      <c r="M107" s="259"/>
      <c r="N107" s="259"/>
      <c r="O107" s="5"/>
      <c r="P107" s="5"/>
      <c r="Q107" s="5"/>
      <c r="R107" s="5"/>
      <c r="S107" s="5"/>
      <c r="T107" s="5"/>
      <c r="U107" s="5"/>
    </row>
    <row r="108" spans="2:21">
      <c r="B108" s="5"/>
      <c r="C108" s="259"/>
      <c r="D108" s="259"/>
      <c r="E108" s="259"/>
      <c r="F108" s="259"/>
      <c r="G108" s="259"/>
      <c r="H108" s="259"/>
      <c r="I108" s="249"/>
      <c r="J108" s="247"/>
      <c r="K108" s="247"/>
      <c r="L108" s="247"/>
      <c r="M108" s="247"/>
      <c r="N108" s="247"/>
      <c r="O108" s="5"/>
      <c r="Q108" s="5"/>
      <c r="R108" s="5"/>
      <c r="S108" s="5"/>
      <c r="T108" s="5"/>
      <c r="U108" s="5"/>
    </row>
    <row r="109" spans="2:21">
      <c r="B109" s="5"/>
      <c r="C109" s="247"/>
      <c r="D109" s="247"/>
      <c r="E109" s="247"/>
      <c r="F109" s="247"/>
      <c r="G109" s="247"/>
      <c r="H109" s="247"/>
      <c r="I109" s="247"/>
      <c r="J109" s="249"/>
      <c r="K109" s="249"/>
      <c r="L109" s="249"/>
      <c r="M109" s="249"/>
      <c r="N109" s="249"/>
      <c r="O109" s="5"/>
      <c r="Q109" s="5"/>
      <c r="R109" s="5"/>
      <c r="S109" s="5"/>
      <c r="T109" s="5"/>
      <c r="U109" s="5"/>
    </row>
    <row r="110" spans="2:21">
      <c r="B110" s="41"/>
      <c r="C110" s="249"/>
      <c r="D110" s="249"/>
      <c r="E110" s="249"/>
      <c r="F110" s="249"/>
      <c r="G110" s="249"/>
      <c r="H110" s="249"/>
      <c r="I110" s="5"/>
      <c r="J110" s="249"/>
      <c r="K110" s="249"/>
      <c r="L110" s="249"/>
      <c r="M110" s="249"/>
      <c r="N110" s="249"/>
      <c r="O110" s="5"/>
      <c r="Q110" s="5"/>
      <c r="R110" s="5"/>
      <c r="S110" s="5"/>
      <c r="T110" s="5"/>
      <c r="U110" s="5"/>
    </row>
    <row r="111" spans="2:21">
      <c r="B111" s="5"/>
      <c r="C111" s="249"/>
      <c r="D111" s="249"/>
      <c r="E111" s="249"/>
      <c r="F111" s="249"/>
      <c r="G111" s="249"/>
      <c r="H111" s="249"/>
      <c r="I111" s="5"/>
      <c r="J111" s="247"/>
      <c r="K111" s="247"/>
      <c r="L111" s="247"/>
      <c r="M111" s="247"/>
      <c r="N111" s="247"/>
      <c r="O111" s="5"/>
      <c r="Q111" s="5"/>
      <c r="R111" s="5"/>
      <c r="S111" s="5"/>
      <c r="T111" s="5"/>
      <c r="U111" s="5"/>
    </row>
    <row r="112" spans="2:21">
      <c r="B112" s="5"/>
      <c r="C112" s="247"/>
      <c r="D112" s="247"/>
      <c r="E112" s="247"/>
      <c r="F112" s="247"/>
      <c r="G112" s="247"/>
      <c r="H112" s="247"/>
      <c r="I112" s="5"/>
      <c r="J112" s="5"/>
      <c r="K112" s="5"/>
      <c r="L112" s="5"/>
      <c r="M112" s="5"/>
      <c r="N112" s="5"/>
      <c r="O112" s="5"/>
      <c r="Q112" s="5"/>
      <c r="R112" s="5"/>
      <c r="S112" s="5"/>
      <c r="T112" s="5"/>
      <c r="U112" s="5"/>
    </row>
    <row r="113" spans="2:21">
      <c r="B113" s="5"/>
      <c r="C113" s="5"/>
      <c r="D113" s="5"/>
      <c r="E113" s="5"/>
      <c r="F113" s="5"/>
      <c r="G113" s="5"/>
      <c r="H113" s="5"/>
      <c r="I113" s="5"/>
      <c r="J113" s="5"/>
      <c r="K113" s="5"/>
      <c r="L113" s="5"/>
      <c r="M113" s="5"/>
      <c r="N113" s="5"/>
      <c r="O113" s="5"/>
      <c r="Q113" s="5"/>
      <c r="R113" s="5"/>
      <c r="S113" s="5"/>
      <c r="T113" s="5"/>
      <c r="U113" s="5"/>
    </row>
    <row r="114" spans="2:21">
      <c r="B114" s="5"/>
      <c r="C114" s="5"/>
      <c r="D114" s="5"/>
      <c r="E114" s="5"/>
      <c r="F114" s="5"/>
      <c r="G114" s="5"/>
      <c r="H114" s="5"/>
      <c r="I114" s="49"/>
      <c r="J114" s="5"/>
      <c r="K114" s="5"/>
      <c r="L114" s="5"/>
      <c r="M114" s="5"/>
      <c r="N114" s="5"/>
      <c r="O114" s="5"/>
      <c r="Q114" s="41"/>
      <c r="R114" s="5"/>
      <c r="S114" s="5"/>
      <c r="T114" s="5"/>
      <c r="U114" s="5"/>
    </row>
    <row r="115" spans="2:21">
      <c r="B115" s="5"/>
      <c r="C115" s="5"/>
      <c r="D115" s="5"/>
      <c r="E115" s="5"/>
      <c r="F115" s="5"/>
      <c r="G115" s="5"/>
      <c r="H115" s="5"/>
      <c r="I115" s="5"/>
      <c r="J115" s="5"/>
      <c r="K115" s="5"/>
      <c r="L115" s="5"/>
      <c r="M115" s="5"/>
      <c r="N115" s="5"/>
      <c r="O115" s="5"/>
      <c r="Q115" s="5"/>
      <c r="R115" s="5"/>
      <c r="S115" s="5"/>
      <c r="T115" s="5"/>
      <c r="U115" s="5"/>
    </row>
    <row r="116" spans="2:21">
      <c r="B116" s="5"/>
      <c r="C116" s="5"/>
      <c r="D116" s="5"/>
      <c r="E116" s="5"/>
      <c r="F116" s="5"/>
      <c r="G116" s="5"/>
      <c r="H116" s="5"/>
      <c r="I116" s="254"/>
      <c r="J116" s="49"/>
      <c r="K116" s="49"/>
      <c r="L116" s="49"/>
      <c r="M116" s="49"/>
      <c r="N116" s="49"/>
      <c r="O116" s="49"/>
      <c r="Q116" s="5"/>
      <c r="R116" s="5"/>
      <c r="S116" s="5"/>
      <c r="T116" s="5"/>
      <c r="U116" s="5"/>
    </row>
    <row r="117" spans="2:21">
      <c r="B117" s="41"/>
      <c r="C117" s="49"/>
      <c r="D117" s="49"/>
      <c r="E117" s="49"/>
      <c r="F117" s="49"/>
      <c r="G117" s="49"/>
      <c r="H117" s="49"/>
      <c r="I117" s="249"/>
      <c r="J117" s="5"/>
      <c r="K117" s="5"/>
      <c r="L117" s="5"/>
      <c r="M117" s="5"/>
      <c r="N117" s="5"/>
      <c r="O117" s="5"/>
      <c r="Q117" s="5"/>
      <c r="R117" s="5"/>
      <c r="S117" s="5"/>
      <c r="T117" s="5"/>
      <c r="U117" s="5"/>
    </row>
    <row r="118" spans="2:21">
      <c r="B118" s="5"/>
      <c r="C118" s="5"/>
      <c r="D118" s="5"/>
      <c r="E118" s="5"/>
      <c r="F118" s="5"/>
      <c r="G118" s="5"/>
      <c r="H118" s="5"/>
      <c r="I118" s="254"/>
      <c r="J118" s="254"/>
      <c r="K118" s="254"/>
      <c r="L118" s="254"/>
      <c r="M118" s="254"/>
      <c r="N118" s="254"/>
      <c r="O118" s="248"/>
      <c r="Q118" s="5"/>
      <c r="R118" s="5"/>
      <c r="S118" s="5"/>
      <c r="T118" s="5"/>
      <c r="U118" s="5"/>
    </row>
    <row r="119" spans="2:21">
      <c r="B119" s="41"/>
      <c r="C119" s="254"/>
      <c r="D119" s="254"/>
      <c r="E119" s="254"/>
      <c r="F119" s="254"/>
      <c r="G119" s="254"/>
      <c r="H119" s="254"/>
      <c r="I119" s="254"/>
      <c r="J119" s="249"/>
      <c r="K119" s="249"/>
      <c r="L119" s="249"/>
      <c r="M119" s="249"/>
      <c r="N119" s="249"/>
      <c r="O119" s="248"/>
      <c r="Q119" s="5"/>
      <c r="R119" s="5"/>
      <c r="S119" s="5"/>
      <c r="T119" s="5"/>
      <c r="U119" s="5"/>
    </row>
    <row r="120" spans="2:21">
      <c r="B120" s="41"/>
      <c r="C120" s="254"/>
      <c r="D120" s="249"/>
      <c r="E120" s="249"/>
      <c r="F120" s="249"/>
      <c r="G120" s="249"/>
      <c r="H120" s="249"/>
      <c r="I120" s="254"/>
      <c r="J120" s="254"/>
      <c r="K120" s="254"/>
      <c r="L120" s="254"/>
      <c r="M120" s="254"/>
      <c r="N120" s="254"/>
      <c r="O120" s="248"/>
      <c r="Q120" s="5"/>
      <c r="R120" s="5"/>
      <c r="S120" s="5"/>
      <c r="T120" s="5"/>
      <c r="U120" s="5"/>
    </row>
    <row r="121" spans="2:21">
      <c r="B121" s="41"/>
      <c r="C121" s="254"/>
      <c r="D121" s="254"/>
      <c r="E121" s="254"/>
      <c r="F121" s="254"/>
      <c r="G121" s="254"/>
      <c r="H121" s="254"/>
      <c r="I121" s="254"/>
      <c r="J121" s="254"/>
      <c r="K121" s="254"/>
      <c r="L121" s="254"/>
      <c r="M121" s="254"/>
      <c r="N121" s="254"/>
      <c r="O121" s="248"/>
      <c r="Q121" s="5"/>
      <c r="R121" s="5"/>
      <c r="S121" s="5"/>
      <c r="T121" s="5"/>
      <c r="U121" s="5"/>
    </row>
    <row r="122" spans="2:21">
      <c r="B122" s="41"/>
      <c r="C122" s="254"/>
      <c r="D122" s="254"/>
      <c r="E122" s="254"/>
      <c r="F122" s="254"/>
      <c r="G122" s="254"/>
      <c r="H122" s="254"/>
      <c r="I122" s="254"/>
      <c r="J122" s="254"/>
      <c r="K122" s="254"/>
      <c r="L122" s="254"/>
      <c r="M122" s="254"/>
      <c r="N122" s="254"/>
      <c r="O122" s="248"/>
      <c r="Q122" s="5"/>
      <c r="R122" s="5"/>
      <c r="S122" s="5"/>
      <c r="T122" s="5"/>
      <c r="U122" s="5"/>
    </row>
    <row r="123" spans="2:21">
      <c r="B123" s="41"/>
      <c r="C123" s="254"/>
      <c r="D123" s="254"/>
      <c r="E123" s="254"/>
      <c r="F123" s="254"/>
      <c r="G123" s="254"/>
      <c r="H123" s="254"/>
      <c r="I123" s="254"/>
      <c r="J123" s="254"/>
      <c r="K123" s="254"/>
      <c r="L123" s="254"/>
      <c r="M123" s="254"/>
      <c r="N123" s="254"/>
      <c r="O123" s="248"/>
      <c r="Q123" s="5"/>
      <c r="R123" s="5"/>
      <c r="S123" s="5"/>
      <c r="T123" s="5"/>
      <c r="U123" s="5"/>
    </row>
    <row r="124" spans="2:21">
      <c r="B124" s="41"/>
      <c r="C124" s="254"/>
      <c r="D124" s="254"/>
      <c r="E124" s="254"/>
      <c r="F124" s="254"/>
      <c r="G124" s="254"/>
      <c r="H124" s="254"/>
      <c r="I124" s="254"/>
      <c r="J124" s="254"/>
      <c r="K124" s="254"/>
      <c r="L124" s="254"/>
      <c r="M124" s="254"/>
      <c r="N124" s="254"/>
      <c r="O124" s="5"/>
      <c r="Q124" s="5"/>
      <c r="R124" s="5"/>
      <c r="S124" s="5"/>
      <c r="T124" s="5"/>
      <c r="U124" s="5"/>
    </row>
    <row r="125" spans="2:21">
      <c r="B125" s="41"/>
      <c r="C125" s="254"/>
      <c r="D125" s="254"/>
      <c r="E125" s="254"/>
      <c r="F125" s="254"/>
      <c r="G125" s="254"/>
      <c r="H125" s="254"/>
      <c r="I125" s="254"/>
      <c r="J125" s="254"/>
      <c r="K125" s="254"/>
      <c r="L125" s="254"/>
      <c r="M125" s="254"/>
      <c r="N125" s="254"/>
      <c r="O125" s="5"/>
      <c r="Q125" s="5"/>
      <c r="R125" s="5"/>
      <c r="S125" s="5"/>
      <c r="T125" s="5"/>
      <c r="U125" s="5"/>
    </row>
    <row r="126" spans="2:21">
      <c r="B126" s="41"/>
      <c r="C126" s="254"/>
      <c r="D126" s="254"/>
      <c r="E126" s="254"/>
      <c r="F126" s="254"/>
      <c r="G126" s="254"/>
      <c r="H126" s="254"/>
      <c r="I126" s="18"/>
      <c r="J126" s="254"/>
      <c r="K126" s="254"/>
      <c r="L126" s="254"/>
      <c r="M126" s="254"/>
      <c r="N126" s="254"/>
      <c r="O126" s="5"/>
      <c r="Q126" s="5"/>
      <c r="R126" s="5"/>
      <c r="S126" s="5"/>
      <c r="T126" s="5"/>
      <c r="U126" s="5"/>
    </row>
    <row r="127" spans="2:21">
      <c r="B127" s="41"/>
      <c r="C127" s="254"/>
      <c r="D127" s="254"/>
      <c r="E127" s="254"/>
      <c r="F127" s="254"/>
      <c r="G127" s="254"/>
      <c r="H127" s="254"/>
      <c r="I127" s="5"/>
      <c r="J127" s="254"/>
      <c r="K127" s="254"/>
      <c r="L127" s="254"/>
      <c r="M127" s="254"/>
      <c r="N127" s="254"/>
      <c r="O127" s="5"/>
      <c r="Q127" s="5"/>
      <c r="R127" s="5"/>
      <c r="S127" s="5"/>
      <c r="T127" s="5"/>
      <c r="U127" s="5"/>
    </row>
    <row r="128" spans="2:21">
      <c r="B128" s="41"/>
      <c r="C128" s="254"/>
      <c r="D128" s="254"/>
      <c r="E128" s="254"/>
      <c r="F128" s="254"/>
      <c r="G128" s="254"/>
      <c r="H128" s="254"/>
      <c r="I128" s="254"/>
      <c r="J128" s="18"/>
      <c r="K128" s="18"/>
      <c r="L128" s="18"/>
      <c r="M128" s="18"/>
      <c r="N128" s="18"/>
      <c r="O128" s="5"/>
      <c r="Q128" s="5"/>
      <c r="R128" s="5"/>
      <c r="S128" s="5"/>
      <c r="T128" s="5"/>
      <c r="U128" s="5"/>
    </row>
    <row r="129" spans="2:27">
      <c r="B129" s="5"/>
      <c r="C129" s="5"/>
      <c r="D129" s="18"/>
      <c r="E129" s="18"/>
      <c r="F129" s="18"/>
      <c r="G129" s="18"/>
      <c r="H129" s="18"/>
      <c r="I129" s="18"/>
      <c r="J129" s="5"/>
      <c r="K129" s="5"/>
      <c r="L129" s="5"/>
      <c r="M129" s="5"/>
      <c r="N129" s="5"/>
      <c r="O129" s="5"/>
      <c r="Q129" s="5"/>
      <c r="R129" s="5"/>
      <c r="S129" s="5"/>
      <c r="T129" s="5"/>
      <c r="U129" s="5"/>
    </row>
    <row r="130" spans="2:27">
      <c r="B130" s="5"/>
      <c r="C130" s="5"/>
      <c r="D130" s="5"/>
      <c r="E130" s="5"/>
      <c r="F130" s="5"/>
      <c r="G130" s="5"/>
      <c r="H130" s="5"/>
      <c r="I130" s="5"/>
      <c r="J130" s="254"/>
      <c r="K130" s="254"/>
      <c r="L130" s="254"/>
      <c r="M130" s="254"/>
      <c r="N130" s="254"/>
      <c r="O130" s="5"/>
      <c r="Q130" s="5"/>
      <c r="R130" s="5"/>
      <c r="S130" s="5"/>
      <c r="T130" s="5"/>
      <c r="U130" s="5"/>
    </row>
    <row r="131" spans="2:27">
      <c r="B131" s="41"/>
      <c r="C131" s="254"/>
      <c r="D131" s="254"/>
      <c r="E131" s="254"/>
      <c r="F131" s="254"/>
      <c r="G131" s="254"/>
      <c r="H131" s="254"/>
      <c r="I131" s="5"/>
      <c r="J131" s="18"/>
      <c r="K131" s="18"/>
      <c r="L131" s="18"/>
      <c r="M131" s="18"/>
      <c r="N131" s="18"/>
      <c r="O131" s="5"/>
      <c r="Q131" s="5"/>
      <c r="R131" s="5"/>
      <c r="S131" s="5"/>
      <c r="T131" s="5"/>
      <c r="U131" s="5"/>
    </row>
    <row r="132" spans="2:27">
      <c r="B132" s="5"/>
      <c r="C132" s="259"/>
      <c r="D132" s="18"/>
      <c r="E132" s="18"/>
      <c r="F132" s="18"/>
      <c r="G132" s="18"/>
      <c r="H132" s="18"/>
      <c r="I132" s="17"/>
      <c r="J132" s="5"/>
      <c r="K132" s="5"/>
      <c r="L132" s="5"/>
      <c r="M132" s="5"/>
      <c r="N132" s="5"/>
      <c r="O132" s="5"/>
      <c r="Q132" s="5"/>
      <c r="R132" s="5"/>
      <c r="S132" s="5"/>
      <c r="T132" s="5"/>
      <c r="U132" s="5"/>
    </row>
    <row r="133" spans="2:27">
      <c r="B133" s="5"/>
      <c r="C133" s="5"/>
      <c r="D133" s="5"/>
      <c r="E133" s="5"/>
      <c r="F133" s="5"/>
      <c r="G133" s="5"/>
      <c r="H133" s="5"/>
      <c r="I133" s="17"/>
      <c r="J133" s="5"/>
      <c r="K133" s="5"/>
      <c r="L133" s="5"/>
      <c r="M133" s="5"/>
      <c r="N133" s="5"/>
      <c r="O133" s="5"/>
      <c r="Q133" s="5"/>
      <c r="R133" s="5"/>
      <c r="S133" s="5"/>
      <c r="T133" s="5"/>
      <c r="U133" s="5"/>
    </row>
    <row r="134" spans="2:27">
      <c r="B134" s="41"/>
      <c r="C134" s="5"/>
      <c r="D134" s="5"/>
      <c r="E134" s="5"/>
      <c r="F134" s="5"/>
      <c r="G134" s="5"/>
      <c r="H134" s="5"/>
      <c r="I134" s="17"/>
      <c r="J134" s="17"/>
      <c r="K134" s="17"/>
      <c r="L134" s="17"/>
      <c r="M134" s="17"/>
      <c r="N134" s="17"/>
      <c r="O134" s="5"/>
      <c r="Q134" s="41"/>
      <c r="R134" s="5"/>
      <c r="S134" s="5"/>
      <c r="T134" s="5"/>
      <c r="U134" s="5"/>
    </row>
    <row r="135" spans="2:27">
      <c r="B135" s="5"/>
      <c r="C135" s="17"/>
      <c r="D135" s="17"/>
      <c r="E135" s="17"/>
      <c r="F135" s="17"/>
      <c r="G135" s="17"/>
      <c r="H135" s="17"/>
      <c r="I135" s="17"/>
      <c r="J135" s="17"/>
      <c r="K135" s="17"/>
      <c r="L135" s="17"/>
      <c r="M135" s="17"/>
      <c r="N135" s="17"/>
      <c r="O135" s="5"/>
      <c r="Q135" s="5"/>
      <c r="R135" s="5"/>
      <c r="S135" s="5"/>
      <c r="T135" s="5"/>
      <c r="U135" s="5"/>
      <c r="X135" s="304"/>
    </row>
    <row r="136" spans="2:27">
      <c r="B136" s="5"/>
      <c r="C136" s="17"/>
      <c r="D136" s="17"/>
      <c r="E136" s="17"/>
      <c r="F136" s="17"/>
      <c r="G136" s="17"/>
      <c r="H136" s="17"/>
      <c r="I136" s="17"/>
      <c r="J136" s="17"/>
      <c r="K136" s="17"/>
      <c r="L136" s="17"/>
      <c r="M136" s="17"/>
      <c r="N136" s="17"/>
      <c r="O136" s="5"/>
      <c r="Q136" s="5"/>
      <c r="R136" s="5"/>
      <c r="S136" s="5"/>
      <c r="T136" s="5"/>
      <c r="U136" s="5"/>
      <c r="X136" s="10"/>
      <c r="Y136" s="304"/>
      <c r="Z136" s="304"/>
      <c r="AA136" s="304"/>
    </row>
    <row r="137" spans="2:27">
      <c r="B137" s="5"/>
      <c r="C137" s="5"/>
      <c r="D137" s="17"/>
      <c r="E137" s="17"/>
      <c r="F137" s="17"/>
      <c r="G137" s="17"/>
      <c r="H137" s="17"/>
      <c r="I137" s="17"/>
      <c r="J137" s="17"/>
      <c r="K137" s="17"/>
      <c r="L137" s="17"/>
      <c r="M137" s="17"/>
      <c r="N137" s="17"/>
      <c r="O137" s="5"/>
      <c r="Q137" s="5"/>
      <c r="R137" s="5"/>
      <c r="S137" s="5"/>
      <c r="T137" s="5"/>
      <c r="U137" s="5"/>
      <c r="Y137" s="10"/>
      <c r="Z137" s="10"/>
      <c r="AA137" s="10"/>
    </row>
    <row r="138" spans="2:27">
      <c r="B138" s="5"/>
      <c r="C138" s="5"/>
      <c r="D138" s="17"/>
      <c r="E138" s="17"/>
      <c r="F138" s="17"/>
      <c r="G138" s="17"/>
      <c r="H138" s="17"/>
      <c r="I138" s="5"/>
      <c r="J138" s="17"/>
      <c r="K138" s="17"/>
      <c r="L138" s="17"/>
      <c r="M138" s="17"/>
      <c r="N138" s="17"/>
      <c r="O138" s="5"/>
      <c r="Q138" s="5"/>
      <c r="R138" s="5"/>
      <c r="S138" s="5"/>
      <c r="T138" s="5"/>
      <c r="U138" s="5"/>
    </row>
    <row r="139" spans="2:27">
      <c r="B139" s="5"/>
      <c r="C139" s="5"/>
      <c r="D139" s="17"/>
      <c r="E139" s="17"/>
      <c r="F139" s="17"/>
      <c r="G139" s="17"/>
      <c r="H139" s="17"/>
      <c r="I139" s="5"/>
      <c r="J139" s="17"/>
      <c r="K139" s="17"/>
      <c r="L139" s="17"/>
      <c r="M139" s="17"/>
      <c r="N139" s="17"/>
      <c r="O139" s="5"/>
      <c r="Q139" s="5"/>
      <c r="R139" s="5"/>
      <c r="S139" s="5"/>
      <c r="T139" s="5"/>
      <c r="U139" s="5"/>
    </row>
    <row r="140" spans="2:27">
      <c r="B140" s="5"/>
      <c r="C140" s="17"/>
      <c r="D140" s="17"/>
      <c r="E140" s="17"/>
      <c r="F140" s="17"/>
      <c r="G140" s="17"/>
      <c r="H140" s="17"/>
      <c r="I140" s="5"/>
      <c r="J140" s="5"/>
      <c r="K140" s="5"/>
      <c r="L140" s="5"/>
      <c r="M140" s="5"/>
      <c r="N140" s="5"/>
      <c r="O140" s="5"/>
      <c r="Q140" s="5"/>
      <c r="R140" s="5"/>
      <c r="S140" s="5"/>
      <c r="T140" s="5"/>
      <c r="U140" s="5"/>
    </row>
    <row r="141" spans="2:27">
      <c r="B141" s="5"/>
      <c r="C141" s="5"/>
      <c r="D141" s="5"/>
      <c r="E141" s="5"/>
      <c r="F141" s="5"/>
      <c r="G141" s="5"/>
      <c r="H141" s="5"/>
      <c r="I141" s="5"/>
      <c r="J141" s="5"/>
      <c r="K141" s="5"/>
      <c r="L141" s="5"/>
      <c r="M141" s="5"/>
      <c r="N141" s="5"/>
      <c r="O141" s="5"/>
      <c r="Q141" s="5"/>
      <c r="R141" s="5"/>
      <c r="S141" s="5"/>
      <c r="T141" s="5"/>
      <c r="U141" s="5"/>
    </row>
    <row r="142" spans="2:27">
      <c r="B142" s="5"/>
      <c r="C142" s="5"/>
      <c r="D142" s="5"/>
      <c r="E142" s="5"/>
      <c r="F142" s="5"/>
      <c r="G142" s="5"/>
      <c r="H142" s="5"/>
      <c r="I142" s="5"/>
      <c r="J142" s="5"/>
      <c r="K142" s="5"/>
      <c r="L142" s="5"/>
      <c r="M142" s="5"/>
      <c r="N142" s="5"/>
      <c r="O142" s="5"/>
      <c r="Q142" s="5"/>
      <c r="R142" s="5"/>
      <c r="S142" s="5"/>
      <c r="T142" s="5"/>
      <c r="U142" s="5"/>
    </row>
    <row r="143" spans="2:27">
      <c r="B143" s="5"/>
      <c r="C143" s="5"/>
      <c r="D143" s="5"/>
      <c r="E143" s="5"/>
      <c r="F143" s="5"/>
      <c r="G143" s="5"/>
      <c r="H143" s="5"/>
      <c r="I143" s="5"/>
      <c r="J143" s="5"/>
      <c r="K143" s="5"/>
      <c r="L143" s="5"/>
      <c r="M143" s="5"/>
      <c r="N143" s="5"/>
      <c r="O143" s="5"/>
      <c r="Q143" s="5"/>
      <c r="R143" s="5"/>
      <c r="S143" s="5"/>
      <c r="T143" s="5"/>
      <c r="U143" s="5"/>
    </row>
    <row r="144" spans="2:27">
      <c r="B144" s="5"/>
      <c r="C144" s="5"/>
      <c r="D144" s="5"/>
      <c r="E144" s="5"/>
      <c r="F144" s="5"/>
      <c r="G144" s="5"/>
      <c r="H144" s="5"/>
      <c r="I144" s="5"/>
      <c r="J144" s="5"/>
      <c r="K144" s="5"/>
      <c r="L144" s="5"/>
      <c r="M144" s="5"/>
      <c r="N144" s="5"/>
      <c r="O144" s="5"/>
      <c r="Q144" s="5"/>
      <c r="R144" s="5"/>
      <c r="S144" s="5"/>
      <c r="T144" s="5"/>
      <c r="U144" s="5"/>
    </row>
    <row r="145" spans="2:21">
      <c r="B145" s="5"/>
      <c r="C145" s="5"/>
      <c r="D145" s="5"/>
      <c r="E145" s="5"/>
      <c r="F145" s="5"/>
      <c r="G145" s="5"/>
      <c r="H145" s="5"/>
      <c r="I145" s="5"/>
      <c r="J145" s="5"/>
      <c r="K145" s="5"/>
      <c r="L145" s="5"/>
      <c r="M145" s="5"/>
      <c r="N145" s="5"/>
      <c r="O145" s="5"/>
      <c r="Q145" s="5"/>
      <c r="R145" s="5"/>
      <c r="S145" s="5"/>
      <c r="T145" s="5"/>
      <c r="U145" s="5"/>
    </row>
    <row r="146" spans="2:21">
      <c r="B146" s="5"/>
      <c r="C146" s="5"/>
      <c r="D146" s="5"/>
      <c r="E146" s="5"/>
      <c r="F146" s="5"/>
      <c r="G146" s="5"/>
      <c r="H146" s="5"/>
      <c r="I146" s="5"/>
      <c r="J146" s="5"/>
      <c r="K146" s="5"/>
      <c r="L146" s="5"/>
      <c r="M146" s="5"/>
      <c r="N146" s="5"/>
      <c r="O146" s="5"/>
      <c r="Q146" s="5"/>
      <c r="R146" s="5"/>
      <c r="S146" s="5"/>
      <c r="T146" s="5"/>
      <c r="U146" s="5"/>
    </row>
    <row r="147" spans="2:21">
      <c r="B147" s="5"/>
      <c r="C147" s="5"/>
      <c r="D147" s="5"/>
      <c r="E147" s="5"/>
      <c r="F147" s="5"/>
      <c r="G147" s="5"/>
      <c r="H147" s="5"/>
      <c r="I147" s="5"/>
      <c r="J147" s="5"/>
      <c r="K147" s="5"/>
      <c r="L147" s="5"/>
      <c r="M147" s="5"/>
      <c r="N147" s="5"/>
      <c r="O147" s="5"/>
      <c r="Q147" s="5"/>
      <c r="R147" s="5"/>
      <c r="S147" s="5"/>
      <c r="T147" s="5"/>
      <c r="U147" s="5"/>
    </row>
    <row r="148" spans="2:21">
      <c r="B148" s="5"/>
      <c r="C148" s="5"/>
      <c r="D148" s="5"/>
      <c r="E148" s="5"/>
      <c r="F148" s="5"/>
      <c r="G148" s="5"/>
      <c r="H148" s="5"/>
      <c r="J148" s="5"/>
      <c r="K148" s="5"/>
      <c r="L148" s="5"/>
      <c r="M148" s="5"/>
      <c r="N148" s="5"/>
      <c r="O148" s="5"/>
      <c r="Q148" s="5"/>
      <c r="R148" s="5"/>
      <c r="S148" s="5"/>
      <c r="T148" s="5"/>
      <c r="U148" s="5"/>
    </row>
    <row r="149" spans="2:21">
      <c r="B149" s="5"/>
      <c r="C149" s="5"/>
      <c r="D149" s="5"/>
      <c r="E149" s="5"/>
      <c r="F149" s="5"/>
      <c r="G149" s="5"/>
      <c r="H149" s="5"/>
      <c r="J149" s="5"/>
      <c r="K149" s="5"/>
      <c r="L149" s="5"/>
      <c r="M149" s="5"/>
      <c r="N149" s="5"/>
      <c r="O149" s="5"/>
      <c r="Q149" s="5"/>
      <c r="R149" s="5"/>
      <c r="S149" s="5"/>
      <c r="T149" s="5"/>
      <c r="U149" s="5"/>
    </row>
    <row r="150" spans="2:21">
      <c r="B150" s="5"/>
      <c r="C150" s="5"/>
      <c r="D150" s="5"/>
      <c r="E150" s="5"/>
      <c r="F150" s="5"/>
      <c r="G150" s="5"/>
      <c r="H150" s="5"/>
      <c r="Q150" s="5"/>
      <c r="R150" s="5"/>
      <c r="S150" s="5"/>
      <c r="T150" s="5"/>
      <c r="U150" s="5"/>
    </row>
    <row r="151" spans="2:21">
      <c r="Q151" s="5"/>
      <c r="R151" s="5"/>
      <c r="S151" s="5"/>
      <c r="T151" s="5"/>
      <c r="U151" s="5"/>
    </row>
    <row r="152" spans="2:21">
      <c r="Q152" s="5"/>
      <c r="R152" s="5"/>
      <c r="S152" s="5"/>
      <c r="T152" s="5"/>
      <c r="U152" s="5"/>
    </row>
    <row r="153" spans="2:21">
      <c r="C153" s="263"/>
      <c r="Q153" s="5"/>
      <c r="R153" s="5"/>
      <c r="S153" s="5"/>
      <c r="T153" s="5"/>
      <c r="U153" s="5"/>
    </row>
    <row r="154" spans="2:21">
      <c r="Q154" s="5"/>
      <c r="R154" s="5"/>
      <c r="S154" s="5"/>
      <c r="T154" s="5"/>
      <c r="U154" s="5"/>
    </row>
    <row r="155" spans="2:21">
      <c r="Q155" s="5"/>
      <c r="R155" s="5"/>
      <c r="S155" s="5"/>
      <c r="T155" s="5"/>
      <c r="U155" s="5"/>
    </row>
    <row r="156" spans="2:21">
      <c r="Q156" s="5"/>
      <c r="R156" s="5"/>
      <c r="S156" s="5"/>
      <c r="T156" s="5"/>
      <c r="U156" s="5"/>
    </row>
    <row r="157" spans="2:21">
      <c r="Q157" s="5"/>
      <c r="R157" s="5"/>
      <c r="S157" s="5"/>
      <c r="T157" s="5"/>
      <c r="U157" s="5"/>
    </row>
    <row r="158" spans="2:21">
      <c r="Q158" s="5"/>
      <c r="R158" s="5"/>
      <c r="S158" s="5"/>
      <c r="T158" s="5"/>
      <c r="U158" s="5"/>
    </row>
    <row r="159" spans="2:21">
      <c r="Q159" s="5"/>
      <c r="R159" s="5"/>
      <c r="S159" s="5"/>
      <c r="T159" s="5"/>
      <c r="U159" s="5"/>
    </row>
    <row r="160" spans="2:21">
      <c r="Q160" s="5"/>
      <c r="R160" s="5"/>
      <c r="S160" s="5"/>
      <c r="T160" s="5"/>
      <c r="U160" s="5"/>
    </row>
    <row r="161" spans="17:21">
      <c r="Q161" s="5"/>
      <c r="R161" s="5"/>
      <c r="S161" s="5"/>
      <c r="T161" s="5"/>
      <c r="U161" s="5"/>
    </row>
    <row r="162" spans="17:21">
      <c r="Q162" s="5"/>
      <c r="R162" s="5"/>
      <c r="S162" s="5"/>
      <c r="T162" s="5"/>
      <c r="U162" s="5"/>
    </row>
    <row r="163" spans="17:21">
      <c r="Q163" s="5"/>
      <c r="R163" s="5"/>
      <c r="S163" s="5"/>
      <c r="T163" s="5"/>
      <c r="U163" s="5"/>
    </row>
    <row r="164" spans="17:21">
      <c r="Q164" s="5"/>
      <c r="R164" s="5"/>
      <c r="S164" s="5"/>
      <c r="T164" s="5"/>
      <c r="U164" s="5"/>
    </row>
  </sheetData>
  <phoneticPr fontId="7" type="noConversion"/>
  <pageMargins left="0.75" right="0.75" top="1" bottom="1" header="0.5" footer="0.5"/>
  <pageSetup scale="21" orientation="landscape" r:id="rId1"/>
  <headerFooter alignWithMargins="0"/>
  <drawing r:id="rId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B00-000000000000}">
  <sheetPr codeName="Sheet186">
    <tabColor theme="3" tint="0.59999389629810485"/>
    <pageSetUpPr fitToPage="1"/>
  </sheetPr>
  <dimension ref="B1:BK164"/>
  <sheetViews>
    <sheetView showGridLines="0" zoomScale="80" zoomScaleNormal="80" workbookViewId="0"/>
  </sheetViews>
  <sheetFormatPr defaultColWidth="8.88671875" defaultRowHeight="12"/>
  <cols>
    <col min="1" max="1" width="2.33203125" style="39" customWidth="1"/>
    <col min="2" max="2" width="26.6640625" style="39" customWidth="1"/>
    <col min="3" max="9" width="10" style="39" customWidth="1"/>
    <col min="10" max="10" width="26.6640625" style="39" customWidth="1"/>
    <col min="11" max="16" width="10" style="39" customWidth="1"/>
    <col min="17" max="17" width="4.5546875" style="39" customWidth="1"/>
    <col min="18" max="20" width="8.88671875" style="39"/>
    <col min="21" max="21" width="3.6640625" style="39" customWidth="1"/>
    <col min="22" max="63" width="9.109375" style="5" customWidth="1"/>
    <col min="64" max="16384" width="8.88671875" style="39"/>
  </cols>
  <sheetData>
    <row r="1" spans="2:63" s="312" customFormat="1">
      <c r="V1" s="149"/>
      <c r="W1" s="149"/>
      <c r="X1" s="149"/>
      <c r="Y1" s="149"/>
      <c r="Z1" s="149"/>
      <c r="AA1" s="149"/>
      <c r="AB1" s="149"/>
      <c r="AC1" s="149"/>
      <c r="AD1" s="149"/>
      <c r="AE1" s="149"/>
      <c r="AF1" s="149"/>
      <c r="AG1" s="149"/>
      <c r="AH1" s="149"/>
      <c r="AI1" s="149"/>
      <c r="AJ1" s="149"/>
      <c r="AK1" s="149"/>
      <c r="AL1" s="149"/>
      <c r="AM1" s="149"/>
      <c r="AN1" s="149"/>
      <c r="AO1" s="149"/>
      <c r="AP1" s="149"/>
      <c r="AQ1" s="149"/>
      <c r="AR1" s="149"/>
      <c r="AS1" s="149"/>
      <c r="AT1" s="149"/>
      <c r="AU1" s="149"/>
      <c r="AV1" s="149"/>
      <c r="AW1" s="149"/>
      <c r="AX1" s="149"/>
      <c r="AY1" s="149"/>
      <c r="AZ1" s="149"/>
      <c r="BA1" s="149"/>
      <c r="BB1" s="149"/>
      <c r="BC1" s="149"/>
      <c r="BD1" s="149"/>
      <c r="BE1" s="149"/>
      <c r="BF1" s="149"/>
      <c r="BG1" s="149"/>
      <c r="BH1" s="149"/>
      <c r="BI1" s="149"/>
      <c r="BJ1" s="149"/>
      <c r="BK1" s="149"/>
    </row>
    <row r="2" spans="2:63" s="312" customFormat="1">
      <c r="V2" s="149"/>
      <c r="W2" s="149"/>
      <c r="X2" s="149"/>
      <c r="Y2" s="149"/>
      <c r="Z2" s="149"/>
      <c r="AA2" s="149"/>
      <c r="AB2" s="149"/>
      <c r="AC2" s="149"/>
      <c r="AD2" s="149"/>
      <c r="AE2" s="149"/>
      <c r="AF2" s="149"/>
      <c r="AG2" s="149"/>
      <c r="AH2" s="149"/>
      <c r="AI2" s="149"/>
      <c r="AJ2" s="149"/>
      <c r="AK2" s="149"/>
      <c r="AL2" s="149"/>
      <c r="AM2" s="149"/>
      <c r="AN2" s="149"/>
      <c r="AO2" s="149"/>
      <c r="AP2" s="149"/>
      <c r="AQ2" s="149"/>
      <c r="AR2" s="149"/>
      <c r="AS2" s="149"/>
      <c r="AT2" s="149"/>
      <c r="AU2" s="149"/>
      <c r="AV2" s="149"/>
      <c r="AW2" s="149"/>
      <c r="AX2" s="149"/>
      <c r="AY2" s="149"/>
      <c r="AZ2" s="149"/>
      <c r="BA2" s="149"/>
      <c r="BB2" s="149"/>
      <c r="BC2" s="149"/>
      <c r="BD2" s="149"/>
      <c r="BE2" s="149"/>
      <c r="BF2" s="149"/>
      <c r="BG2" s="149"/>
      <c r="BH2" s="149"/>
      <c r="BI2" s="149"/>
      <c r="BJ2" s="149"/>
      <c r="BK2" s="149"/>
    </row>
    <row r="3" spans="2:63" s="149" customFormat="1">
      <c r="H3" s="153"/>
      <c r="P3" s="153"/>
    </row>
    <row r="4" spans="2:63" s="156" customFormat="1" ht="21">
      <c r="B4" s="129" t="s">
        <v>1624</v>
      </c>
      <c r="H4" s="222"/>
      <c r="P4" s="222"/>
    </row>
    <row r="5" spans="2:63" s="149" customFormat="1">
      <c r="C5" s="153"/>
      <c r="D5" s="153" t="str" cm="1">
        <f t="array" ref="D5:H5">headings</f>
        <v>2023E</v>
      </c>
      <c r="E5" s="153" t="str">
        <v>2024E</v>
      </c>
      <c r="F5" s="153" t="str">
        <v>2025E</v>
      </c>
      <c r="G5" s="153" t="str">
        <v>2026E</v>
      </c>
      <c r="H5" s="153" t="str">
        <v>23E-26E</v>
      </c>
      <c r="I5" s="153"/>
      <c r="J5" s="153"/>
      <c r="K5" s="153"/>
      <c r="L5" s="153" t="str" cm="1">
        <f t="array" ref="L5:P5">headings</f>
        <v>2023E</v>
      </c>
      <c r="M5" s="153" t="str">
        <v>2024E</v>
      </c>
      <c r="N5" s="153" t="str">
        <v>2025E</v>
      </c>
      <c r="O5" s="153" t="str">
        <v>2026E</v>
      </c>
      <c r="P5" s="153" t="str">
        <v>23E-26E</v>
      </c>
      <c r="Q5" s="162"/>
      <c r="R5" s="162"/>
      <c r="S5" s="162"/>
      <c r="T5" s="162"/>
      <c r="U5" s="162"/>
      <c r="V5" s="162"/>
      <c r="W5" s="162"/>
      <c r="X5" s="162"/>
      <c r="Y5" s="162"/>
    </row>
    <row r="6" spans="2:63">
      <c r="I6" s="5"/>
      <c r="J6" s="5"/>
      <c r="K6" s="5"/>
      <c r="L6" s="5"/>
      <c r="M6" s="5"/>
      <c r="N6" s="5"/>
      <c r="O6" s="49"/>
    </row>
    <row r="7" spans="2:63" ht="12.6" thickBot="1">
      <c r="B7" s="306" t="s">
        <v>271</v>
      </c>
      <c r="C7" s="265"/>
      <c r="D7" s="265"/>
      <c r="E7" s="265"/>
      <c r="F7" s="265"/>
      <c r="G7" s="265"/>
      <c r="H7" s="265"/>
      <c r="I7" s="49"/>
      <c r="J7" s="306" t="s">
        <v>200</v>
      </c>
      <c r="K7" s="306"/>
      <c r="L7" s="306"/>
      <c r="M7" s="306"/>
      <c r="N7" s="266"/>
      <c r="O7" s="266"/>
      <c r="P7" s="266"/>
    </row>
    <row r="8" spans="2:63" ht="12.6" thickTop="1">
      <c r="B8" s="5"/>
      <c r="C8" s="5"/>
      <c r="D8" s="5"/>
      <c r="E8" s="5"/>
      <c r="F8" s="5"/>
      <c r="G8" s="5"/>
      <c r="H8" s="5"/>
      <c r="I8" s="5"/>
      <c r="J8" s="5"/>
      <c r="K8" s="5"/>
      <c r="L8" s="5"/>
      <c r="M8" s="5"/>
      <c r="N8" s="5"/>
    </row>
    <row r="9" spans="2:63">
      <c r="B9" s="41" t="s">
        <v>500</v>
      </c>
      <c r="C9" s="287"/>
      <c r="D9" s="5"/>
      <c r="E9" s="249"/>
      <c r="F9" s="249"/>
      <c r="G9" s="249"/>
      <c r="H9" s="249"/>
      <c r="I9" s="249"/>
      <c r="J9" s="5" t="s">
        <v>273</v>
      </c>
      <c r="L9" s="64">
        <f>'AGG DM'!D37</f>
        <v>2.329412469433874</v>
      </c>
      <c r="M9" s="64">
        <f>'AGG DM'!E37</f>
        <v>2.207031841456474</v>
      </c>
      <c r="N9" s="64">
        <f>'AGG DM'!F37</f>
        <v>2.0665364578686574</v>
      </c>
      <c r="O9" s="64">
        <f>'AGG DM'!G37</f>
        <v>1.9167412853037995</v>
      </c>
      <c r="P9" s="17">
        <f>'AGG DM'!H37</f>
        <v>1.9501934659983178E-2</v>
      </c>
    </row>
    <row r="10" spans="2:63">
      <c r="B10" s="5" t="s">
        <v>274</v>
      </c>
      <c r="C10" s="5"/>
      <c r="D10" s="332"/>
      <c r="E10" s="332"/>
      <c r="F10" s="332"/>
      <c r="G10" s="332"/>
      <c r="H10" s="247"/>
      <c r="I10" s="247"/>
      <c r="J10" s="5" t="s">
        <v>184</v>
      </c>
      <c r="L10" s="64">
        <f>'AGG DM'!D38</f>
        <v>7.0841879802792365</v>
      </c>
      <c r="M10" s="64">
        <f>'AGG DM'!E38</f>
        <v>6.5876114702803505</v>
      </c>
      <c r="N10" s="64">
        <f>'AGG DM'!F38</f>
        <v>6.0864198915332164</v>
      </c>
      <c r="O10" s="64">
        <f>'AGG DM'!G38</f>
        <v>5.5767680131537691</v>
      </c>
      <c r="P10" s="17">
        <f>'AGG DM'!H38</f>
        <v>3.4656651554389573E-2</v>
      </c>
      <c r="W10" s="10"/>
      <c r="X10" s="10"/>
      <c r="Y10" s="10"/>
      <c r="Z10" s="10"/>
    </row>
    <row r="11" spans="2:63">
      <c r="B11" s="41" t="s">
        <v>359</v>
      </c>
      <c r="C11" s="5"/>
      <c r="D11" s="271">
        <f>ATCUS!D11+CHTR!D11+CMCSA!D11+FYBR!D11+SATS!D11</f>
        <v>217226.90275868081</v>
      </c>
      <c r="E11" s="271">
        <f>ATCUS!E11+CHTR!E11+CMCSA!E11+FYBR!E11+SATS!E11</f>
        <v>204357.06688629877</v>
      </c>
      <c r="F11" s="271">
        <f>ATCUS!F11+CHTR!F11+CMCSA!F11+FYBR!F11+SATS!F11</f>
        <v>193849.53129020293</v>
      </c>
      <c r="G11" s="271">
        <f>ATCUS!G11+CHTR!G11+CMCSA!G11+FYBR!G11+SATS!G11</f>
        <v>180041.44788267394</v>
      </c>
      <c r="H11" s="249"/>
      <c r="I11" s="249"/>
      <c r="J11" s="5" t="s">
        <v>185</v>
      </c>
      <c r="L11" s="64">
        <f>'AGG DM'!D39</f>
        <v>13.53328960256645</v>
      </c>
      <c r="M11" s="64">
        <f>'AGG DM'!E39</f>
        <v>11.493643628277713</v>
      </c>
      <c r="N11" s="64">
        <f>'AGG DM'!F39</f>
        <v>10.264735122504899</v>
      </c>
      <c r="O11" s="64">
        <f>'AGG DM'!G39</f>
        <v>9.0451770938503948</v>
      </c>
      <c r="P11" s="17">
        <f>'AGG DM'!H39</f>
        <v>9.2670425427640479E-2</v>
      </c>
      <c r="W11" s="10"/>
      <c r="X11" s="10"/>
      <c r="Y11" s="10"/>
      <c r="Z11" s="10"/>
    </row>
    <row r="12" spans="2:63">
      <c r="B12" s="5" t="s">
        <v>229</v>
      </c>
      <c r="C12" s="249"/>
      <c r="D12" s="228">
        <f>ATCUS!D12+CHTR!D12+CMCSA!D12+FYBR!D12+SATS!D12</f>
        <v>238416.04240435455</v>
      </c>
      <c r="E12" s="228">
        <f>ATCUS!E12+CHTR!E12+CMCSA!E12+FYBR!E12+SATS!E12</f>
        <v>247578.41974590163</v>
      </c>
      <c r="F12" s="228">
        <f>ATCUS!F12+CHTR!F12+CMCSA!F12+FYBR!F12+SATS!F12</f>
        <v>251496.67330499119</v>
      </c>
      <c r="G12" s="228">
        <f>ATCUS!G12+CHTR!G12+CMCSA!G12+FYBR!G12+SATS!G12</f>
        <v>255927.45199979463</v>
      </c>
      <c r="H12" s="247"/>
      <c r="I12" s="247"/>
      <c r="J12" s="5" t="s">
        <v>466</v>
      </c>
      <c r="L12" s="64">
        <f>'AGG DM'!D40</f>
        <v>19.213286909010346</v>
      </c>
      <c r="M12" s="64">
        <f>'AGG DM'!E40</f>
        <v>16.347188206412962</v>
      </c>
      <c r="N12" s="64">
        <f>'AGG DM'!F40</f>
        <v>14.618845003714046</v>
      </c>
      <c r="O12" s="64">
        <f>'AGG DM'!G40</f>
        <v>12.840265625641983</v>
      </c>
      <c r="P12" s="17">
        <f>'AGG DM'!H40</f>
        <v>9.2705111729584289E-2</v>
      </c>
      <c r="W12" s="10"/>
      <c r="X12" s="10"/>
      <c r="Y12" s="10"/>
      <c r="Z12" s="10"/>
    </row>
    <row r="13" spans="2:63">
      <c r="B13" s="5" t="s">
        <v>529</v>
      </c>
      <c r="C13" s="257"/>
      <c r="D13" s="228">
        <f>ATCUS!D13+CHTR!D13+CMCSA!D13+FYBR!D13+SATS!D13</f>
        <v>1333.7951000000005</v>
      </c>
      <c r="E13" s="228">
        <f>ATCUS!E13+CHTR!E13+CMCSA!E13+FYBR!E13+SATS!E13</f>
        <v>1333.7951000000005</v>
      </c>
      <c r="F13" s="228">
        <f>ATCUS!F13+CHTR!F13+CMCSA!F13+FYBR!F13+SATS!F13</f>
        <v>1333.7951000000005</v>
      </c>
      <c r="G13" s="228">
        <f>ATCUS!G13+CHTR!G13+CMCSA!G13+FYBR!G13+SATS!G13</f>
        <v>1333.7951000000005</v>
      </c>
      <c r="H13" s="247"/>
      <c r="I13" s="247"/>
      <c r="J13" s="5" t="s">
        <v>530</v>
      </c>
      <c r="L13" s="64">
        <f>'AGG DM'!D41</f>
        <v>1.3514515540183685</v>
      </c>
      <c r="M13" s="64">
        <f>'AGG DM'!E41</f>
        <v>1.4007532435377124</v>
      </c>
      <c r="N13" s="64">
        <f>'AGG DM'!F41</f>
        <v>1.3363938049874495</v>
      </c>
      <c r="O13" s="64">
        <f>'AGG DM'!G41</f>
        <v>1.2739776448559783</v>
      </c>
      <c r="P13" s="17">
        <f>'AGG DM'!H41</f>
        <v>-2.5668717959517307E-2</v>
      </c>
    </row>
    <row r="14" spans="2:63">
      <c r="B14" s="5" t="s">
        <v>532</v>
      </c>
      <c r="C14" s="274"/>
      <c r="D14" s="228">
        <f>ATCUS!D14+CHTR!D14+CMCSA!D14+FYBR!D14+SATS!D14</f>
        <v>8118.4549999999999</v>
      </c>
      <c r="E14" s="228">
        <f>ATCUS!E14+CHTR!E14+CMCSA!E14+FYBR!E14+SATS!E14</f>
        <v>9306.0924151455001</v>
      </c>
      <c r="F14" s="228">
        <f>ATCUS!F14+CHTR!F14+CMCSA!F14+FYBR!F14+SATS!F14</f>
        <v>9249.8691550090716</v>
      </c>
      <c r="G14" s="228">
        <f>ATCUS!G14+CHTR!G14+CMCSA!G14+FYBR!G14+SATS!G14</f>
        <v>9729.3779421129984</v>
      </c>
      <c r="H14" s="247"/>
      <c r="I14" s="247"/>
      <c r="J14" s="5" t="s">
        <v>593</v>
      </c>
      <c r="L14" s="64">
        <f>'AGG DM'!D42</f>
        <v>3.3000460374957705</v>
      </c>
      <c r="M14" s="64">
        <f>'AGG DM'!E42</f>
        <v>3.1838124862642916</v>
      </c>
      <c r="N14" s="64">
        <f>'AGG DM'!F42</f>
        <v>3.0594658370749888</v>
      </c>
      <c r="O14" s="64">
        <f>'AGG DM'!G42</f>
        <v>2.9412325385033187</v>
      </c>
      <c r="P14" s="17">
        <f>'AGG DM'!H42</f>
        <v>-7.2864107786076993E-3</v>
      </c>
    </row>
    <row r="15" spans="2:63">
      <c r="B15" s="5" t="s">
        <v>531</v>
      </c>
      <c r="C15" s="257"/>
      <c r="D15" s="228">
        <f>ATCUS!D15+CHTR!D15+CMCSA!D15+FYBR!D15+SATS!D15</f>
        <v>529.053</v>
      </c>
      <c r="E15" s="228">
        <f>ATCUS!E15+CHTR!E15+CMCSA!E15+FYBR!E15+SATS!E15</f>
        <v>529.053</v>
      </c>
      <c r="F15" s="228">
        <f>ATCUS!F15+CHTR!F15+CMCSA!F15+FYBR!F15+SATS!F15</f>
        <v>529.053</v>
      </c>
      <c r="G15" s="228">
        <f>ATCUS!G15+CHTR!G15+CMCSA!G15+FYBR!G15+SATS!G15</f>
        <v>529.053</v>
      </c>
      <c r="H15" s="247"/>
      <c r="I15" s="247"/>
      <c r="J15" s="5" t="s">
        <v>475</v>
      </c>
      <c r="L15" s="64">
        <f>'AGG DM'!D43</f>
        <v>11.806292254184493</v>
      </c>
      <c r="M15" s="64">
        <f>'AGG DM'!E43</f>
        <v>10.8479727708929</v>
      </c>
      <c r="N15" s="64">
        <f>'AGG DM'!F43</f>
        <v>9.79850588673491</v>
      </c>
      <c r="O15" s="64">
        <f>'AGG DM'!G43</f>
        <v>8.8149149732476211</v>
      </c>
      <c r="P15" s="17">
        <f>'AGG DM'!H43</f>
        <v>7.171679530370545E-2</v>
      </c>
      <c r="S15" s="88"/>
      <c r="T15" s="88"/>
      <c r="U15" s="88"/>
      <c r="V15" s="42"/>
      <c r="W15" s="42"/>
      <c r="X15" s="42"/>
      <c r="Y15" s="42"/>
      <c r="Z15" s="42"/>
      <c r="AA15" s="42"/>
    </row>
    <row r="16" spans="2:63">
      <c r="B16" s="5" t="s">
        <v>534</v>
      </c>
      <c r="C16" s="257"/>
      <c r="D16" s="228">
        <f>ATCUS!D16+CHTR!D16+CMCSA!D16+FYBR!D16+SATS!D16</f>
        <v>38433.292988797475</v>
      </c>
      <c r="E16" s="228">
        <f>ATCUS!E16+CHTR!E16+CMCSA!E16+FYBR!E16+SATS!E16</f>
        <v>43462.775931233882</v>
      </c>
      <c r="F16" s="228">
        <f>ATCUS!F16+CHTR!F16+CMCSA!F16+FYBR!F16+SATS!F16</f>
        <v>48451.138234841863</v>
      </c>
      <c r="G16" s="228">
        <f>ATCUS!G16+CHTR!G16+CMCSA!G16+FYBR!G16+SATS!G16</f>
        <v>53338.570892380587</v>
      </c>
      <c r="H16" s="247"/>
      <c r="I16" s="247"/>
      <c r="J16" s="5" t="s">
        <v>533</v>
      </c>
      <c r="L16" s="64">
        <f>'AGG DM'!D44</f>
        <v>13.624604105346204</v>
      </c>
      <c r="M16" s="64">
        <f>'AGG DM'!E44</f>
        <v>12.503028582967529</v>
      </c>
      <c r="N16" s="64">
        <f>'AGG DM'!F44</f>
        <v>11.302702719097406</v>
      </c>
      <c r="O16" s="64">
        <f>'AGG DM'!G44</f>
        <v>10.160048566687355</v>
      </c>
      <c r="P16" s="17">
        <f>'AGG DM'!H44</f>
        <v>7.6119307301105277E-2</v>
      </c>
      <c r="S16" s="88"/>
      <c r="T16" s="88"/>
      <c r="U16" s="88"/>
      <c r="V16" s="42"/>
      <c r="W16" s="42"/>
      <c r="X16" s="42"/>
      <c r="Y16" s="42"/>
      <c r="Z16" s="42"/>
      <c r="AA16" s="42"/>
    </row>
    <row r="17" spans="2:27">
      <c r="B17" s="5" t="s">
        <v>6</v>
      </c>
      <c r="C17" s="257"/>
      <c r="D17" s="228">
        <f>ATCUS!D17+CHTR!D17+CMCSA!D17+FYBR!D17+SATS!D17</f>
        <v>0</v>
      </c>
      <c r="E17" s="228">
        <f>ATCUS!E17+CHTR!E17+CMCSA!E17+FYBR!E17+SATS!E17</f>
        <v>0</v>
      </c>
      <c r="F17" s="228">
        <f>ATCUS!F17+CHTR!F17+CMCSA!F17+FYBR!F17+SATS!F17</f>
        <v>0</v>
      </c>
      <c r="G17" s="228">
        <f>ATCUS!G17+CHTR!G17+CMCSA!G17+FYBR!G17+SATS!G17</f>
        <v>0</v>
      </c>
      <c r="H17" s="247"/>
      <c r="I17" s="247"/>
      <c r="J17" s="5" t="s">
        <v>580</v>
      </c>
      <c r="L17" s="248">
        <f>'AGG DM'!D45</f>
        <v>3.8692911642747754E-2</v>
      </c>
      <c r="M17" s="248">
        <f>'AGG DM'!E45</f>
        <v>4.3419291969220015E-2</v>
      </c>
      <c r="N17" s="248">
        <f>'AGG DM'!F45</f>
        <v>4.6126321738259798E-2</v>
      </c>
      <c r="O17" s="248">
        <f>'AGG DM'!G45</f>
        <v>4.9423675586152439E-2</v>
      </c>
      <c r="P17" s="17">
        <f>'AGG DM'!H45</f>
        <v>5.8812184463164385E-2</v>
      </c>
      <c r="S17" s="88"/>
      <c r="T17" s="88"/>
      <c r="U17" s="88"/>
      <c r="V17" s="42"/>
      <c r="W17" s="42"/>
      <c r="X17" s="42"/>
      <c r="Y17" s="42"/>
      <c r="Z17" s="42"/>
      <c r="AA17" s="42"/>
    </row>
    <row r="18" spans="2:27" ht="12.6" thickBot="1">
      <c r="B18" s="41" t="s">
        <v>360</v>
      </c>
      <c r="C18" s="249"/>
      <c r="D18" s="275">
        <f>ATCUS!D18+CHTR!D18+CMCSA!D18+FYBR!D18+SATS!D18</f>
        <v>410954.04527423787</v>
      </c>
      <c r="E18" s="275">
        <f>ATCUS!E18+CHTR!E18+CMCSA!E18+FYBR!E18+SATS!E18</f>
        <v>401029.46638582094</v>
      </c>
      <c r="F18" s="275">
        <f>ATCUS!F18+CHTR!F18+CMCSA!F18+FYBR!F18+SATS!F18</f>
        <v>389508.04530534317</v>
      </c>
      <c r="G18" s="275">
        <f>ATCUS!G18+CHTR!G18+CMCSA!G18+FYBR!G18+SATS!G18</f>
        <v>374763.79914797505</v>
      </c>
      <c r="H18" s="276">
        <f>IF(D18=0,"nm",IF(G18=0,"nm",(G18/D18)^(1/3)-1))</f>
        <v>-3.0261158426533208E-2</v>
      </c>
      <c r="I18" s="254"/>
      <c r="J18" s="5" t="s">
        <v>36</v>
      </c>
      <c r="L18" s="248">
        <f>'AGG DM'!D46</f>
        <v>5.5339609483801136E-2</v>
      </c>
      <c r="M18" s="248">
        <f>'AGG DM'!E46</f>
        <v>7.6500460251698113E-2</v>
      </c>
      <c r="N18" s="248">
        <f>'AGG DM'!F46</f>
        <v>8.0311545489538158E-2</v>
      </c>
      <c r="O18" s="248">
        <f>'AGG DM'!G46</f>
        <v>9.1977124183415609E-2</v>
      </c>
      <c r="P18" s="17">
        <f>'AGG DM'!H46</f>
        <v>0.15593203466037919</v>
      </c>
      <c r="S18" s="88"/>
      <c r="T18" s="42"/>
      <c r="U18" s="42"/>
      <c r="V18" s="42"/>
      <c r="W18" s="42"/>
      <c r="X18" s="42"/>
      <c r="Y18" s="42"/>
      <c r="Z18" s="42"/>
      <c r="AA18" s="42"/>
    </row>
    <row r="19" spans="2:27" ht="12.6" thickTop="1">
      <c r="B19" s="41"/>
      <c r="C19" s="249"/>
      <c r="D19" s="229"/>
      <c r="E19" s="229"/>
      <c r="F19" s="229"/>
      <c r="G19" s="229"/>
      <c r="H19" s="276"/>
      <c r="I19" s="17"/>
      <c r="J19" s="5" t="s">
        <v>581</v>
      </c>
      <c r="L19" s="248">
        <f>'AGG DM'!D47</f>
        <v>8.4700596806382714E-2</v>
      </c>
      <c r="M19" s="248">
        <f>'AGG DM'!E47</f>
        <v>9.2183122240422966E-2</v>
      </c>
      <c r="N19" s="248">
        <f>'AGG DM'!F47</f>
        <v>0.10205637589642999</v>
      </c>
      <c r="O19" s="248">
        <f>'AGG DM'!G47</f>
        <v>0.11344408914151745</v>
      </c>
      <c r="P19" s="17">
        <f>'AGG DM'!H47</f>
        <v>7.171679530370545E-2</v>
      </c>
      <c r="S19" s="88"/>
      <c r="T19" s="42"/>
      <c r="U19" s="42"/>
      <c r="V19" s="42"/>
      <c r="W19" s="42"/>
      <c r="X19" s="42"/>
      <c r="Y19" s="42"/>
      <c r="Z19" s="42"/>
      <c r="AA19" s="42"/>
    </row>
    <row r="20" spans="2:27">
      <c r="H20" s="277"/>
      <c r="I20" s="49"/>
      <c r="J20" s="5" t="s">
        <v>604</v>
      </c>
      <c r="L20" s="248">
        <f>'AGG DM'!D48</f>
        <v>0.45770628705874244</v>
      </c>
      <c r="M20" s="248">
        <f>'AGG DM'!E48</f>
        <v>0.47291165163323612</v>
      </c>
      <c r="N20" s="248">
        <f>'AGG DM'!F48</f>
        <v>0.45515009617149715</v>
      </c>
      <c r="O20" s="248">
        <f>'AGG DM'!G48</f>
        <v>0.44137076019918969</v>
      </c>
      <c r="P20" s="17" t="str">
        <f>'AGG DM'!H48</f>
        <v>nm</v>
      </c>
      <c r="S20" s="42"/>
      <c r="T20" s="42"/>
      <c r="U20" s="42"/>
      <c r="V20" s="42"/>
      <c r="W20" s="42"/>
      <c r="X20" s="42"/>
      <c r="Y20" s="42"/>
      <c r="Z20" s="42"/>
      <c r="AA20" s="42"/>
    </row>
    <row r="21" spans="2:27" ht="12.6" thickBot="1">
      <c r="B21" s="306" t="s">
        <v>482</v>
      </c>
      <c r="C21" s="265">
        <v>2020</v>
      </c>
      <c r="D21" s="265" t="str">
        <f>D5</f>
        <v>2023E</v>
      </c>
      <c r="E21" s="265" t="str">
        <f>E5</f>
        <v>2024E</v>
      </c>
      <c r="F21" s="265" t="str">
        <f>F5</f>
        <v>2025E</v>
      </c>
      <c r="G21" s="265" t="str">
        <f>G5</f>
        <v>2026E</v>
      </c>
      <c r="H21" s="282" t="str">
        <f>H5</f>
        <v>23E-26E</v>
      </c>
      <c r="I21" s="17"/>
      <c r="S21" s="42"/>
      <c r="T21" s="42"/>
      <c r="U21" s="42"/>
      <c r="V21" s="42"/>
      <c r="W21" s="42"/>
      <c r="X21" s="42"/>
      <c r="Y21" s="42"/>
      <c r="Z21" s="42"/>
      <c r="AA21" s="42"/>
    </row>
    <row r="22" spans="2:27" ht="12.6" thickTop="1">
      <c r="B22" s="5"/>
      <c r="C22" s="257"/>
      <c r="D22" s="17"/>
      <c r="E22" s="17"/>
      <c r="F22" s="17"/>
      <c r="G22" s="17"/>
      <c r="H22" s="17"/>
      <c r="I22" s="247"/>
      <c r="P22" s="277"/>
      <c r="S22" s="42"/>
      <c r="T22" s="42"/>
      <c r="U22" s="42"/>
      <c r="V22" s="42"/>
      <c r="W22" s="42"/>
      <c r="X22" s="42"/>
      <c r="Y22" s="42"/>
      <c r="Z22" s="42"/>
      <c r="AA22" s="42"/>
    </row>
    <row r="23" spans="2:27" ht="12.6" thickBot="1">
      <c r="B23" s="5" t="s">
        <v>584</v>
      </c>
      <c r="C23" s="366">
        <f>ATCUS!C23+CHTR!C23+CMCSA!C23+FYBR!C23+SATS!C23</f>
        <v>209564.15901799998</v>
      </c>
      <c r="D23" s="350">
        <f>ATCUS!D23+CHTR!D23+CMCSA!D23+FYBR!D23+SATS!D23</f>
        <v>208218.13090979328</v>
      </c>
      <c r="E23" s="350">
        <f>ATCUS!E23+CHTR!E23+CMCSA!E23+FYBR!E23+SATS!E23</f>
        <v>207616.85676241035</v>
      </c>
      <c r="F23" s="350">
        <f>ATCUS!F23+CHTR!F23+CMCSA!F23+FYBR!F23+SATS!F23</f>
        <v>208628.7194004748</v>
      </c>
      <c r="G23" s="350">
        <f>ATCUS!G23+CHTR!G23+CMCSA!G23+FYBR!G23+SATS!G23</f>
        <v>212510.62371800057</v>
      </c>
      <c r="H23" s="279">
        <f t="shared" ref="H23:H33" si="0">IF(D23=0,"nm",IF(G23=0,"nm",(G23/D23)^(1/3)-1))</f>
        <v>6.8251004257615655E-3</v>
      </c>
      <c r="I23" s="249"/>
      <c r="J23" s="306" t="s">
        <v>9</v>
      </c>
      <c r="K23" s="306"/>
      <c r="L23" s="265" t="str">
        <f>L5</f>
        <v>2023E</v>
      </c>
      <c r="M23" s="265" t="str">
        <f>M5</f>
        <v>2024E</v>
      </c>
      <c r="N23" s="265" t="str">
        <f>N5</f>
        <v>2025E</v>
      </c>
      <c r="O23" s="265" t="str">
        <f>O5</f>
        <v>2026E</v>
      </c>
      <c r="P23" s="282" t="str">
        <f>P5</f>
        <v>23E-26E</v>
      </c>
      <c r="S23" s="42"/>
      <c r="T23" s="42"/>
      <c r="U23" s="42"/>
      <c r="V23" s="42"/>
      <c r="W23" s="42" t="s">
        <v>490</v>
      </c>
      <c r="X23" s="42" t="s">
        <v>610</v>
      </c>
      <c r="Y23" s="42"/>
      <c r="Z23" s="42"/>
      <c r="AA23" s="42"/>
    </row>
    <row r="24" spans="2:27" ht="12.6" thickTop="1">
      <c r="B24" s="5" t="s">
        <v>483</v>
      </c>
      <c r="C24" s="366">
        <f>ATCUS!C24+CHTR!C24+CMCSA!C24+FYBR!C24+SATS!C24</f>
        <v>67436.252045000001</v>
      </c>
      <c r="D24" s="350">
        <f>ATCUS!D24+CHTR!D24+CMCSA!D24+FYBR!D24+SATS!D24</f>
        <v>66872.293041194163</v>
      </c>
      <c r="E24" s="350">
        <f>ATCUS!E24+CHTR!E24+CMCSA!E24+FYBR!E24+SATS!E24</f>
        <v>67880.889862383236</v>
      </c>
      <c r="F24" s="350">
        <f>ATCUS!F24+CHTR!F24+CMCSA!F24+FYBR!F24+SATS!F24</f>
        <v>69809.882072670094</v>
      </c>
      <c r="G24" s="350">
        <f>ATCUS!G24+CHTR!G24+CMCSA!G24+FYBR!G24+SATS!G24</f>
        <v>73057.548902782917</v>
      </c>
      <c r="H24" s="279">
        <f t="shared" si="0"/>
        <v>2.9926645487549974E-2</v>
      </c>
      <c r="I24" s="248"/>
      <c r="J24" s="17"/>
      <c r="K24" s="17"/>
      <c r="L24" s="17"/>
      <c r="M24" s="17"/>
      <c r="N24" s="17"/>
      <c r="O24" s="248"/>
      <c r="S24" s="42"/>
      <c r="T24" s="42"/>
      <c r="U24" s="42"/>
      <c r="V24" s="147" t="s">
        <v>273</v>
      </c>
      <c r="W24" s="288">
        <f t="shared" ref="W24:W31" si="1">E37/M9</f>
        <v>0.87519549557876297</v>
      </c>
      <c r="X24" s="288">
        <v>1</v>
      </c>
      <c r="Y24" s="42"/>
      <c r="Z24" s="42"/>
      <c r="AA24" s="42"/>
    </row>
    <row r="25" spans="2:27">
      <c r="B25" s="5" t="s">
        <v>183</v>
      </c>
      <c r="C25" s="366">
        <f>ATCUS!C25+CHTR!C25+CMCSA!C25+FYBR!C25+SATS!C25</f>
        <v>39706.672044999999</v>
      </c>
      <c r="D25" s="350">
        <f>ATCUS!D25+CHTR!D25+CMCSA!D25+FYBR!D25+SATS!D25</f>
        <v>35669.485065936278</v>
      </c>
      <c r="E25" s="350">
        <f>ATCUS!E25+CHTR!E25+CMCSA!E25+FYBR!E25+SATS!E25</f>
        <v>39618.21188235133</v>
      </c>
      <c r="F25" s="350">
        <f>ATCUS!F25+CHTR!F25+CMCSA!F25+FYBR!F25+SATS!F25</f>
        <v>42585.363263806248</v>
      </c>
      <c r="G25" s="350">
        <f>ATCUS!G25+CHTR!G25+CMCSA!G25+FYBR!G25+SATS!G25</f>
        <v>49273.887301016672</v>
      </c>
      <c r="H25" s="279">
        <f t="shared" si="0"/>
        <v>0.11371310161076686</v>
      </c>
      <c r="I25" s="249"/>
      <c r="J25" s="247" t="s">
        <v>10</v>
      </c>
      <c r="K25" s="247"/>
      <c r="L25" s="332">
        <f>CHTR!L25+CMCSA!L25</f>
        <v>0</v>
      </c>
      <c r="M25" s="332">
        <f>CHTR!M25+CMCSA!M25</f>
        <v>0</v>
      </c>
      <c r="N25" s="332">
        <f>CHTR!N25+CMCSA!N25</f>
        <v>0</v>
      </c>
      <c r="O25" s="332">
        <f>CHTR!O25+CMCSA!O25</f>
        <v>0</v>
      </c>
      <c r="P25" s="349" t="str">
        <f>IF(L25=0,"nm",IF(O25=0,"nm",(O25/L25)^(1/3)-1))</f>
        <v>nm</v>
      </c>
      <c r="Q25" s="5"/>
      <c r="S25" s="42"/>
      <c r="T25" s="42"/>
      <c r="U25" s="42"/>
      <c r="V25" s="147" t="s">
        <v>184</v>
      </c>
      <c r="W25" s="288">
        <f t="shared" si="1"/>
        <v>0.8968106982198909</v>
      </c>
      <c r="X25" s="288">
        <v>1</v>
      </c>
      <c r="Y25" s="42"/>
      <c r="Z25" s="42"/>
      <c r="AA25" s="42"/>
    </row>
    <row r="26" spans="2:27">
      <c r="B26" s="5" t="s">
        <v>586</v>
      </c>
      <c r="C26" s="366">
        <f>ATCUS!C26+CHTR!C26+CMCSA!C26+FYBR!C26+SATS!C26</f>
        <v>25228.072796</v>
      </c>
      <c r="D26" s="350">
        <f>ATCUS!D26+CHTR!D26+CMCSA!D26+FYBR!D26+SATS!D26</f>
        <v>22058.282361645415</v>
      </c>
      <c r="E26" s="350">
        <f>ATCUS!E26+CHTR!E26+CMCSA!E26+FYBR!E26+SATS!E26</f>
        <v>26473.812913993457</v>
      </c>
      <c r="F26" s="350">
        <f>ATCUS!F26+CHTR!F26+CMCSA!F26+FYBR!F26+SATS!F26</f>
        <v>28259.416730743225</v>
      </c>
      <c r="G26" s="350">
        <f>ATCUS!G26+CHTR!G26+CMCSA!G26+FYBR!G26+SATS!G26</f>
        <v>32856.683405838339</v>
      </c>
      <c r="H26" s="279">
        <f t="shared" si="0"/>
        <v>0.14204708718901382</v>
      </c>
      <c r="I26" s="249"/>
      <c r="J26" s="249" t="s">
        <v>11</v>
      </c>
      <c r="K26" s="249"/>
      <c r="L26" s="229">
        <f>CHTR!L26+CMCSA!L26</f>
        <v>204865.78350012732</v>
      </c>
      <c r="M26" s="229">
        <f>CHTR!M26+CMCSA!M26</f>
        <v>192013.86507170237</v>
      </c>
      <c r="N26" s="229">
        <f>CHTR!N26+CMCSA!N26</f>
        <v>181505.82367557212</v>
      </c>
      <c r="O26" s="229">
        <f>CHTR!O26+CMCSA!O26</f>
        <v>167697.23446800874</v>
      </c>
      <c r="P26" s="349">
        <f>IF(L26=0,"nm",IF(O26=0,"nm",(O26/L26)^(1/3)-1))</f>
        <v>-6.4553781140010202E-2</v>
      </c>
      <c r="Q26" s="41"/>
      <c r="S26" s="42"/>
      <c r="T26" s="42"/>
      <c r="U26" s="42"/>
      <c r="V26" s="147" t="s">
        <v>185</v>
      </c>
      <c r="W26" s="288">
        <f t="shared" si="1"/>
        <v>0.88069126076384263</v>
      </c>
      <c r="X26" s="288">
        <v>1</v>
      </c>
      <c r="Y26" s="42"/>
      <c r="Z26" s="42"/>
      <c r="AA26" s="42"/>
    </row>
    <row r="27" spans="2:27">
      <c r="B27" s="5" t="s">
        <v>587</v>
      </c>
      <c r="C27" s="366">
        <f>ATCUS!C27+CHTR!C27+CMCSA!C27+FYBR!C27+SATS!C27</f>
        <v>350571.84700000001</v>
      </c>
      <c r="D27" s="350">
        <f>ATCUS!D27+CHTR!D27+CMCSA!D27+FYBR!D27+SATS!D27</f>
        <v>356643.46220076346</v>
      </c>
      <c r="E27" s="350">
        <f>ATCUS!E27+CHTR!E27+CMCSA!E27+FYBR!E27+SATS!E27</f>
        <v>360810.62248865463</v>
      </c>
      <c r="F27" s="350">
        <f>ATCUS!F27+CHTR!F27+CMCSA!F27+FYBR!F27+SATS!F27</f>
        <v>360590.00582269463</v>
      </c>
      <c r="G27" s="350">
        <f>ATCUS!G27+CHTR!G27+CMCSA!G27+FYBR!G27+SATS!G27</f>
        <v>356016.87864357763</v>
      </c>
      <c r="H27" s="279">
        <f t="shared" si="0"/>
        <v>-5.8597350806643966E-4</v>
      </c>
      <c r="I27" s="248"/>
      <c r="J27" s="248"/>
      <c r="K27" s="248"/>
      <c r="L27" s="248"/>
      <c r="M27" s="248"/>
      <c r="N27" s="248"/>
      <c r="O27" s="248"/>
      <c r="Q27" s="5"/>
      <c r="S27" s="42"/>
      <c r="T27" s="42"/>
      <c r="U27" s="42"/>
      <c r="V27" s="147" t="s">
        <v>466</v>
      </c>
      <c r="W27" s="288">
        <f t="shared" si="1"/>
        <v>0.9266521254686616</v>
      </c>
      <c r="X27" s="288">
        <v>1</v>
      </c>
      <c r="Y27" s="42"/>
      <c r="Z27" s="42"/>
      <c r="AA27" s="42"/>
    </row>
    <row r="28" spans="2:27" ht="12.6" thickBot="1">
      <c r="B28" s="5" t="s">
        <v>592</v>
      </c>
      <c r="C28" s="366">
        <f>ATCUS!C28+CHTR!C28+CMCSA!C28+FYBR!C28+SATS!C28</f>
        <v>118752.516</v>
      </c>
      <c r="D28" s="350">
        <f>ATCUS!D28+CHTR!D28+CMCSA!D28+FYBR!D28+SATS!D28</f>
        <v>121504.52562788327</v>
      </c>
      <c r="E28" s="350">
        <f>ATCUS!E28+CHTR!E28+CMCSA!E28+FYBR!E28+SATS!E28</f>
        <v>122955.64566459238</v>
      </c>
      <c r="F28" s="350">
        <f>ATCUS!F28+CHTR!F28+CMCSA!F28+FYBR!F28+SATS!F28</f>
        <v>123020.11251910058</v>
      </c>
      <c r="G28" s="350">
        <f>ATCUS!G28+CHTR!G28+CMCSA!G28+FYBR!G28+SATS!G28</f>
        <v>119720.28615930899</v>
      </c>
      <c r="H28" s="279">
        <f t="shared" si="0"/>
        <v>-4.9190074724069222E-3</v>
      </c>
      <c r="I28" s="252"/>
      <c r="J28" s="306" t="s">
        <v>754</v>
      </c>
      <c r="K28" s="306"/>
      <c r="L28" s="306"/>
      <c r="M28" s="306"/>
      <c r="N28" s="266"/>
      <c r="O28" s="266"/>
      <c r="P28" s="266"/>
      <c r="Q28" s="5"/>
      <c r="S28" s="42"/>
      <c r="T28" s="42"/>
      <c r="U28" s="42"/>
      <c r="V28" s="147" t="s">
        <v>530</v>
      </c>
      <c r="W28" s="288">
        <f t="shared" si="1"/>
        <v>0.79347880875952159</v>
      </c>
      <c r="X28" s="288">
        <v>1</v>
      </c>
      <c r="Y28" s="42"/>
      <c r="Z28" s="42"/>
      <c r="AA28" s="42"/>
    </row>
    <row r="29" spans="2:27" ht="12.6" thickTop="1">
      <c r="B29" s="5" t="s">
        <v>588</v>
      </c>
      <c r="C29" s="366">
        <f>ATCUS!C29+CHTR!C29+CMCSA!C29+FYBR!C29+SATS!C29</f>
        <v>42786.225046000007</v>
      </c>
      <c r="D29" s="350">
        <f>ATCUS!D29+CHTR!D29+CMCSA!D29+FYBR!D29+SATS!D29</f>
        <v>38959.201603355847</v>
      </c>
      <c r="E29" s="350">
        <f>ATCUS!E29+CHTR!E29+CMCSA!E29+FYBR!E29+SATS!E29</f>
        <v>44039.700542354934</v>
      </c>
      <c r="F29" s="350">
        <f>ATCUS!F29+CHTR!F29+CMCSA!F29+FYBR!F29+SATS!F29</f>
        <v>45361.834125583271</v>
      </c>
      <c r="G29" s="350">
        <f>ATCUS!G29+CHTR!G29+CMCSA!G29+FYBR!G29+SATS!G29</f>
        <v>49093.437376638009</v>
      </c>
      <c r="H29" s="279">
        <f t="shared" si="0"/>
        <v>8.0117819415815195E-2</v>
      </c>
      <c r="I29" s="254"/>
      <c r="J29" s="249"/>
      <c r="K29" s="249"/>
      <c r="L29" s="249"/>
      <c r="M29" s="249"/>
      <c r="N29" s="249"/>
      <c r="O29" s="251"/>
      <c r="Q29" s="5"/>
      <c r="S29" s="42"/>
      <c r="T29" s="42"/>
      <c r="U29" s="42"/>
      <c r="V29" s="147" t="s">
        <v>593</v>
      </c>
      <c r="W29" s="288">
        <f t="shared" si="1"/>
        <v>1.0244253765395253</v>
      </c>
      <c r="X29" s="288">
        <v>1</v>
      </c>
      <c r="Y29" s="42"/>
      <c r="Z29" s="42"/>
      <c r="AA29" s="42"/>
    </row>
    <row r="30" spans="2:27">
      <c r="B30" s="5" t="s">
        <v>589</v>
      </c>
      <c r="C30" s="366">
        <f>ATCUS!C30+CHTR!C30+CMCSA!C30+FYBR!C30+SATS!C30</f>
        <v>24607.438044000002</v>
      </c>
      <c r="D30" s="350">
        <f>ATCUS!D30+CHTR!D30+CMCSA!D30+FYBR!D30+SATS!D30</f>
        <v>20322.8495048271</v>
      </c>
      <c r="E30" s="350">
        <f>ATCUS!E30+CHTR!E30+CMCSA!E30+FYBR!E30+SATS!E30</f>
        <v>22570.656068445438</v>
      </c>
      <c r="F30" s="350">
        <f>ATCUS!F30+CHTR!F30+CMCSA!F30+FYBR!F30+SATS!F30</f>
        <v>24486.650625674898</v>
      </c>
      <c r="G30" s="350">
        <f>ATCUS!G30+CHTR!G30+CMCSA!G30+FYBR!G30+SATS!G30</f>
        <v>27222.501722774647</v>
      </c>
      <c r="H30" s="279">
        <f t="shared" si="0"/>
        <v>0.10233723564171293</v>
      </c>
      <c r="I30" s="254"/>
      <c r="J30" s="248"/>
      <c r="K30" s="248"/>
      <c r="L30" s="248"/>
      <c r="M30" s="248"/>
      <c r="N30" s="248"/>
      <c r="O30" s="5"/>
      <c r="Q30" s="5"/>
      <c r="S30" s="42"/>
      <c r="T30" s="42"/>
      <c r="U30" s="42"/>
      <c r="V30" s="147" t="s">
        <v>475</v>
      </c>
      <c r="W30" s="288">
        <f t="shared" si="1"/>
        <v>0.40192002619857792</v>
      </c>
      <c r="X30" s="288">
        <v>1</v>
      </c>
      <c r="Y30" s="42"/>
      <c r="Z30" s="42"/>
      <c r="AA30" s="42"/>
    </row>
    <row r="31" spans="2:27">
      <c r="B31" s="5" t="s">
        <v>590</v>
      </c>
      <c r="C31" s="366">
        <f>ATCUS!C31+CHTR!C31+CMCSA!C31+FYBR!C31+SATS!C31</f>
        <v>4741</v>
      </c>
      <c r="D31" s="350">
        <f>ATCUS!D31+CHTR!D31+CMCSA!D31+FYBR!D31+SATS!D31</f>
        <v>4790.2929887974715</v>
      </c>
      <c r="E31" s="350">
        <f>ATCUS!E31+CHTR!E31+CMCSA!E31+FYBR!E31+SATS!E31</f>
        <v>5029.4829424364088</v>
      </c>
      <c r="F31" s="350">
        <f>ATCUS!F31+CHTR!F31+CMCSA!F31+FYBR!F31+SATS!F31</f>
        <v>4988.3623036079834</v>
      </c>
      <c r="G31" s="350">
        <f>ATCUS!G31+CHTR!G31+CMCSA!G31+FYBR!G31+SATS!G31</f>
        <v>4887.4326575387213</v>
      </c>
      <c r="H31" s="279">
        <f t="shared" si="0"/>
        <v>6.714297299340366E-3</v>
      </c>
      <c r="I31" s="254"/>
      <c r="J31" s="252"/>
      <c r="K31" s="252"/>
      <c r="L31" s="252"/>
      <c r="M31" s="252"/>
      <c r="N31" s="252"/>
      <c r="O31" s="5"/>
      <c r="Q31" s="5"/>
      <c r="S31" s="42"/>
      <c r="T31" s="42"/>
      <c r="U31" s="42"/>
      <c r="V31" s="147" t="s">
        <v>533</v>
      </c>
      <c r="W31" s="288">
        <f t="shared" si="1"/>
        <v>0.72415286564502401</v>
      </c>
      <c r="X31" s="288">
        <v>1</v>
      </c>
      <c r="Y31" s="42"/>
      <c r="Z31" s="42"/>
      <c r="AA31" s="42"/>
    </row>
    <row r="32" spans="2:27">
      <c r="B32" s="5" t="s">
        <v>606</v>
      </c>
      <c r="C32" s="366">
        <f>ATCUS!C32+CHTR!C32+CMCSA!C32+FYBR!C32+SATS!C32</f>
        <v>23605</v>
      </c>
      <c r="D32" s="350">
        <f>ATCUS!D32+CHTR!D32+CMCSA!D32+FYBR!D32+SATS!D32</f>
        <v>12098.203878051518</v>
      </c>
      <c r="E32" s="350">
        <f>ATCUS!E32+CHTR!E32+CMCSA!E32+FYBR!E32+SATS!E32</f>
        <v>22390.162661713443</v>
      </c>
      <c r="F32" s="350">
        <f>ATCUS!F32+CHTR!F32+CMCSA!F32+FYBR!F32+SATS!F32</f>
        <v>23399.148387886657</v>
      </c>
      <c r="G32" s="350">
        <f>ATCUS!G32+CHTR!G32+CMCSA!G32+FYBR!G32+SATS!G32</f>
        <v>34453.405190010373</v>
      </c>
      <c r="H32" s="279">
        <f t="shared" si="0"/>
        <v>0.41743695354137067</v>
      </c>
      <c r="I32" s="5"/>
      <c r="J32" s="254"/>
      <c r="K32" s="254"/>
      <c r="L32" s="254"/>
      <c r="M32" s="254"/>
      <c r="N32" s="254"/>
      <c r="O32" s="251"/>
      <c r="Q32" s="5"/>
      <c r="S32" s="42"/>
      <c r="T32" s="42"/>
      <c r="U32" s="42"/>
      <c r="V32" s="147" t="s">
        <v>580</v>
      </c>
      <c r="W32" s="288">
        <f>M17/E45</f>
        <v>1.7642050394968245</v>
      </c>
      <c r="X32" s="288">
        <v>1</v>
      </c>
      <c r="Y32" s="42"/>
      <c r="Z32" s="42"/>
      <c r="AA32" s="42"/>
    </row>
    <row r="33" spans="2:42">
      <c r="B33" s="5" t="s">
        <v>5</v>
      </c>
      <c r="C33" s="366">
        <f>ATCUS!C33+CHTR!C33+CMCSA!C33+FYBR!C33+SATS!C33</f>
        <v>-5002.3049999999994</v>
      </c>
      <c r="D33" s="350">
        <f>ATCUS!D33+CHTR!D33+CMCSA!D33+FYBR!D33+SATS!D33</f>
        <v>-4889.2399679794617</v>
      </c>
      <c r="E33" s="350">
        <f>ATCUS!E33+CHTR!E33+CMCSA!E33+FYBR!E33+SATS!E33</f>
        <v>-4449.0065614296727</v>
      </c>
      <c r="F33" s="350">
        <f>ATCUS!F33+CHTR!F33+CMCSA!F33+FYBR!F33+SATS!F33</f>
        <v>-4722.9089197654648</v>
      </c>
      <c r="G33" s="350">
        <f>ATCUS!G33+CHTR!G33+CMCSA!G33+FYBR!G33+SATS!G33</f>
        <v>-4893.2625446605352</v>
      </c>
      <c r="H33" s="279">
        <f t="shared" si="0"/>
        <v>2.7417172077170981E-4</v>
      </c>
      <c r="I33" s="49"/>
      <c r="J33" s="254"/>
      <c r="K33" s="254"/>
      <c r="L33" s="254"/>
      <c r="M33" s="254"/>
      <c r="N33" s="254"/>
      <c r="O33" s="251"/>
      <c r="Q33" s="5"/>
      <c r="S33" s="42"/>
      <c r="T33" s="42"/>
      <c r="U33" s="42"/>
      <c r="V33" s="147" t="s">
        <v>266</v>
      </c>
      <c r="W33" s="288">
        <f>N19/F47</f>
        <v>0.40835708973192114</v>
      </c>
      <c r="X33" s="288">
        <v>1</v>
      </c>
      <c r="Y33" s="288"/>
      <c r="Z33" s="288"/>
      <c r="AA33" s="42"/>
      <c r="AC33" s="10"/>
      <c r="AD33" s="10"/>
      <c r="AE33" s="10"/>
      <c r="AF33" s="10"/>
      <c r="AH33" s="10"/>
      <c r="AI33" s="10"/>
      <c r="AJ33" s="10"/>
      <c r="AK33" s="10"/>
      <c r="AM33" s="10"/>
      <c r="AN33" s="10"/>
      <c r="AO33" s="10"/>
      <c r="AP33" s="10"/>
    </row>
    <row r="34" spans="2:42">
      <c r="H34" s="277"/>
      <c r="I34" s="254"/>
      <c r="J34" s="254"/>
      <c r="K34" s="254"/>
      <c r="L34" s="254"/>
      <c r="M34" s="254"/>
      <c r="N34" s="254"/>
      <c r="O34" s="251"/>
      <c r="Q34" s="5"/>
      <c r="S34" s="42"/>
      <c r="T34" s="42"/>
      <c r="U34" s="42"/>
      <c r="V34" s="42"/>
      <c r="W34" s="42"/>
      <c r="X34" s="42"/>
      <c r="Y34" s="288"/>
      <c r="Z34" s="288"/>
      <c r="AA34" s="42"/>
      <c r="AC34" s="10"/>
      <c r="AD34" s="10"/>
      <c r="AE34" s="10"/>
      <c r="AF34" s="10"/>
      <c r="AH34" s="10"/>
      <c r="AI34" s="10"/>
      <c r="AJ34" s="10"/>
      <c r="AK34" s="10"/>
      <c r="AM34" s="10"/>
      <c r="AN34" s="10"/>
      <c r="AO34" s="10"/>
      <c r="AP34" s="10"/>
    </row>
    <row r="35" spans="2:42" ht="12.6" thickBot="1">
      <c r="B35" s="306" t="s">
        <v>717</v>
      </c>
      <c r="C35" s="265"/>
      <c r="D35" s="265" t="str">
        <f>D5</f>
        <v>2023E</v>
      </c>
      <c r="E35" s="265" t="str">
        <f>E5</f>
        <v>2024E</v>
      </c>
      <c r="F35" s="265" t="str">
        <f>F5</f>
        <v>2025E</v>
      </c>
      <c r="G35" s="265" t="str">
        <f>G5</f>
        <v>2026E</v>
      </c>
      <c r="H35" s="265" t="str">
        <f>H5</f>
        <v>23E-26E</v>
      </c>
      <c r="I35" s="17"/>
      <c r="J35" s="5"/>
      <c r="K35" s="5"/>
      <c r="L35" s="5"/>
      <c r="M35" s="5"/>
      <c r="N35" s="5"/>
      <c r="O35" s="5"/>
      <c r="Q35" s="5"/>
      <c r="S35" s="42"/>
      <c r="T35" s="42"/>
      <c r="U35" s="42"/>
      <c r="V35" s="42"/>
      <c r="W35" s="42"/>
      <c r="X35" s="42"/>
      <c r="Y35" s="288"/>
      <c r="Z35" s="288"/>
      <c r="AA35" s="42"/>
      <c r="AC35" s="10"/>
      <c r="AD35" s="10"/>
      <c r="AE35" s="10"/>
      <c r="AF35" s="10"/>
      <c r="AH35" s="10"/>
      <c r="AI35" s="10"/>
      <c r="AJ35" s="10"/>
      <c r="AK35" s="10"/>
      <c r="AM35" s="10"/>
      <c r="AN35" s="10"/>
      <c r="AO35" s="10"/>
      <c r="AP35" s="10"/>
    </row>
    <row r="36" spans="2:42" ht="12.6" thickTop="1">
      <c r="B36" s="41"/>
      <c r="C36" s="249"/>
      <c r="D36" s="254"/>
      <c r="E36" s="254"/>
      <c r="F36" s="254"/>
      <c r="G36" s="254"/>
      <c r="H36" s="254"/>
      <c r="I36" s="5"/>
      <c r="J36" s="49"/>
      <c r="K36" s="49"/>
      <c r="L36" s="49"/>
      <c r="M36" s="49"/>
      <c r="N36" s="49"/>
      <c r="O36" s="49"/>
      <c r="Q36" s="5"/>
      <c r="R36" s="5"/>
      <c r="S36" s="42"/>
      <c r="T36" s="42"/>
      <c r="U36" s="42"/>
      <c r="V36" s="42"/>
      <c r="W36" s="42"/>
      <c r="X36" s="42"/>
      <c r="Y36" s="42"/>
      <c r="Z36" s="42"/>
      <c r="AA36" s="42"/>
      <c r="AC36" s="10"/>
      <c r="AD36" s="10"/>
      <c r="AE36" s="10"/>
      <c r="AF36" s="10"/>
      <c r="AH36" s="10"/>
      <c r="AI36" s="10"/>
      <c r="AJ36" s="10"/>
      <c r="AK36" s="10"/>
      <c r="AM36" s="10"/>
      <c r="AN36" s="10"/>
      <c r="AO36" s="10"/>
      <c r="AP36" s="10"/>
    </row>
    <row r="37" spans="2:42">
      <c r="B37" s="5" t="s">
        <v>273</v>
      </c>
      <c r="C37" s="247"/>
      <c r="D37" s="64">
        <f t="shared" ref="D37:G41" si="2">D$18/D23</f>
        <v>1.9736708012823159</v>
      </c>
      <c r="E37" s="64">
        <f t="shared" si="2"/>
        <v>1.9315843262416086</v>
      </c>
      <c r="F37" s="64">
        <f t="shared" si="2"/>
        <v>1.8669914977413062</v>
      </c>
      <c r="G37" s="64">
        <f t="shared" si="2"/>
        <v>1.7635061842615585</v>
      </c>
      <c r="H37" s="17">
        <f t="shared" ref="H37:H45" si="3">H23</f>
        <v>6.8251004257615655E-3</v>
      </c>
      <c r="I37" s="259"/>
      <c r="J37" s="259"/>
      <c r="K37" s="259"/>
      <c r="L37" s="259"/>
      <c r="M37" s="259"/>
      <c r="N37" s="259"/>
      <c r="O37" s="18"/>
      <c r="Q37" s="5"/>
      <c r="R37" s="5"/>
      <c r="S37" s="42"/>
      <c r="T37" s="42"/>
      <c r="U37" s="42"/>
      <c r="V37" s="42"/>
      <c r="W37" s="42"/>
      <c r="X37" s="42"/>
      <c r="Y37" s="42"/>
      <c r="Z37" s="42"/>
      <c r="AA37" s="42"/>
      <c r="AC37" s="10"/>
      <c r="AD37" s="10"/>
      <c r="AE37" s="10"/>
      <c r="AF37" s="10"/>
      <c r="AH37" s="10"/>
      <c r="AI37" s="10"/>
      <c r="AJ37" s="10"/>
      <c r="AK37" s="10"/>
      <c r="AM37" s="10"/>
      <c r="AN37" s="10"/>
      <c r="AO37" s="10"/>
      <c r="AP37" s="10"/>
    </row>
    <row r="38" spans="2:42">
      <c r="B38" s="5" t="s">
        <v>184</v>
      </c>
      <c r="C38" s="247"/>
      <c r="D38" s="64">
        <f t="shared" si="2"/>
        <v>6.1453559700889135</v>
      </c>
      <c r="E38" s="64">
        <f t="shared" si="2"/>
        <v>5.9078404422634829</v>
      </c>
      <c r="F38" s="64">
        <f t="shared" si="2"/>
        <v>5.5795545521746677</v>
      </c>
      <c r="G38" s="64">
        <f t="shared" si="2"/>
        <v>5.1297067144515101</v>
      </c>
      <c r="H38" s="17">
        <f t="shared" si="3"/>
        <v>2.9926645487549974E-2</v>
      </c>
      <c r="I38" s="17"/>
      <c r="J38" s="17"/>
      <c r="K38" s="17"/>
      <c r="L38" s="17"/>
      <c r="M38" s="17"/>
      <c r="N38" s="17"/>
      <c r="O38" s="5"/>
      <c r="Q38" s="5"/>
      <c r="R38" s="5"/>
      <c r="S38" s="42"/>
      <c r="T38" s="42"/>
      <c r="U38" s="42"/>
      <c r="V38" s="42"/>
      <c r="W38" s="42"/>
      <c r="X38" s="42"/>
      <c r="Y38" s="42"/>
      <c r="Z38" s="42"/>
      <c r="AA38" s="42"/>
    </row>
    <row r="39" spans="2:42">
      <c r="B39" s="5" t="s">
        <v>185</v>
      </c>
      <c r="C39" s="247"/>
      <c r="D39" s="64">
        <f t="shared" si="2"/>
        <v>11.521165626993916</v>
      </c>
      <c r="E39" s="64">
        <f t="shared" si="2"/>
        <v>10.122351497758206</v>
      </c>
      <c r="F39" s="64">
        <f t="shared" si="2"/>
        <v>9.1465239568917855</v>
      </c>
      <c r="G39" s="64">
        <f t="shared" si="2"/>
        <v>7.6057283010476526</v>
      </c>
      <c r="H39" s="17">
        <f t="shared" si="3"/>
        <v>0.11371310161076686</v>
      </c>
      <c r="I39" s="5"/>
      <c r="J39" s="5"/>
      <c r="K39" s="5"/>
      <c r="L39" s="5"/>
      <c r="M39" s="5"/>
      <c r="N39" s="5"/>
      <c r="O39" s="5"/>
      <c r="Q39" s="5"/>
      <c r="R39" s="5"/>
      <c r="S39" s="42"/>
      <c r="T39" s="42"/>
      <c r="U39" s="42"/>
      <c r="V39" s="42"/>
      <c r="W39" s="288"/>
      <c r="X39" s="288"/>
      <c r="Y39" s="42"/>
      <c r="Z39" s="42"/>
      <c r="AA39" s="42"/>
    </row>
    <row r="40" spans="2:42">
      <c r="B40" s="5" t="s">
        <v>466</v>
      </c>
      <c r="C40" s="247"/>
      <c r="D40" s="64">
        <f t="shared" si="2"/>
        <v>18.630373776917377</v>
      </c>
      <c r="E40" s="64">
        <f t="shared" si="2"/>
        <v>15.14815669690881</v>
      </c>
      <c r="F40" s="64">
        <f t="shared" si="2"/>
        <v>13.783300944127415</v>
      </c>
      <c r="G40" s="64">
        <f t="shared" si="2"/>
        <v>11.406014250403096</v>
      </c>
      <c r="H40" s="17">
        <f t="shared" si="3"/>
        <v>0.14204708718901382</v>
      </c>
      <c r="I40" s="247"/>
      <c r="J40" s="259"/>
      <c r="K40" s="259"/>
      <c r="L40" s="259"/>
      <c r="M40" s="259"/>
      <c r="N40" s="259"/>
      <c r="O40" s="18"/>
      <c r="Q40" s="5"/>
      <c r="R40" s="5"/>
      <c r="S40" s="42"/>
      <c r="T40" s="42"/>
      <c r="U40" s="42"/>
      <c r="V40" s="42"/>
      <c r="W40" s="288"/>
      <c r="X40" s="288"/>
      <c r="Y40" s="288"/>
      <c r="Z40" s="288"/>
      <c r="AA40" s="42"/>
    </row>
    <row r="41" spans="2:42">
      <c r="B41" s="5" t="s">
        <v>530</v>
      </c>
      <c r="C41" s="247"/>
      <c r="D41" s="64">
        <f t="shared" si="2"/>
        <v>1.1522825702126613</v>
      </c>
      <c r="E41" s="64">
        <f t="shared" si="2"/>
        <v>1.11146801504834</v>
      </c>
      <c r="F41" s="64">
        <f t="shared" si="2"/>
        <v>1.0801964530788128</v>
      </c>
      <c r="G41" s="64">
        <f t="shared" si="2"/>
        <v>1.0526573924692084</v>
      </c>
      <c r="H41" s="17">
        <f t="shared" si="3"/>
        <v>-5.8597350806643966E-4</v>
      </c>
      <c r="I41" s="248"/>
      <c r="J41" s="17"/>
      <c r="K41" s="17"/>
      <c r="L41" s="17"/>
      <c r="M41" s="17"/>
      <c r="N41" s="17"/>
      <c r="O41" s="5"/>
      <c r="Q41" s="5"/>
      <c r="R41" s="5"/>
      <c r="S41" s="42"/>
      <c r="T41" s="42"/>
      <c r="U41" s="42"/>
      <c r="V41" s="42"/>
      <c r="W41" s="288"/>
      <c r="X41" s="288"/>
      <c r="Y41" s="288"/>
      <c r="Z41" s="288"/>
      <c r="AA41" s="42"/>
    </row>
    <row r="42" spans="2:42">
      <c r="B42" s="5" t="s">
        <v>593</v>
      </c>
      <c r="C42" s="247"/>
      <c r="D42" s="64">
        <f>D18/D28</f>
        <v>3.3822118406750996</v>
      </c>
      <c r="E42" s="64">
        <f>E18/E28</f>
        <v>3.2615783050725393</v>
      </c>
      <c r="F42" s="64">
        <f>F18/F28</f>
        <v>3.1662143476325193</v>
      </c>
      <c r="G42" s="64">
        <f>G18/G28</f>
        <v>3.1303282941479575</v>
      </c>
      <c r="H42" s="17">
        <f t="shared" si="3"/>
        <v>-4.9190074724069222E-3</v>
      </c>
      <c r="I42" s="247"/>
      <c r="J42" s="5"/>
      <c r="K42" s="5"/>
      <c r="L42" s="5"/>
      <c r="M42" s="5"/>
      <c r="N42" s="5"/>
      <c r="O42" s="5"/>
      <c r="Q42" s="5"/>
      <c r="R42" s="5"/>
      <c r="S42" s="42"/>
      <c r="T42" s="42"/>
      <c r="U42" s="42"/>
      <c r="V42" s="42"/>
      <c r="W42" s="288"/>
      <c r="X42" s="288"/>
      <c r="Y42" s="288"/>
      <c r="Z42" s="288"/>
      <c r="AA42" s="42"/>
    </row>
    <row r="43" spans="2:42">
      <c r="B43" s="5" t="s">
        <v>475</v>
      </c>
      <c r="C43" s="247"/>
      <c r="D43" s="64">
        <f>L26/D29</f>
        <v>5.2584697598751795</v>
      </c>
      <c r="E43" s="64">
        <f>M26/E29</f>
        <v>4.360017500278734</v>
      </c>
      <c r="F43" s="64">
        <f>N26/F29</f>
        <v>4.0012893476281652</v>
      </c>
      <c r="G43" s="64">
        <f>O26/G29</f>
        <v>3.4158788512089493</v>
      </c>
      <c r="H43" s="17">
        <f t="shared" si="3"/>
        <v>8.0117819415815195E-2</v>
      </c>
      <c r="I43" s="247"/>
      <c r="J43" s="247"/>
      <c r="K43" s="247"/>
      <c r="L43" s="247"/>
      <c r="M43" s="247"/>
      <c r="N43" s="247"/>
      <c r="O43" s="18"/>
      <c r="Q43" s="5"/>
      <c r="R43" s="5"/>
      <c r="S43" s="42"/>
      <c r="T43" s="42"/>
      <c r="U43" s="42"/>
      <c r="V43" s="42"/>
      <c r="W43" s="325"/>
      <c r="X43" s="325"/>
      <c r="Y43" s="288"/>
      <c r="Z43" s="288"/>
      <c r="AA43" s="42"/>
    </row>
    <row r="44" spans="2:42">
      <c r="B44" s="5" t="s">
        <v>533</v>
      </c>
      <c r="C44" s="69"/>
      <c r="D44" s="64">
        <f>D11/D30</f>
        <v>10.688801425562144</v>
      </c>
      <c r="E44" s="64">
        <f>E11/E30</f>
        <v>9.0541039775975793</v>
      </c>
      <c r="F44" s="64">
        <f>F11/F30</f>
        <v>7.9165392708689435</v>
      </c>
      <c r="G44" s="64">
        <f>G11/G30</f>
        <v>6.6136995679588573</v>
      </c>
      <c r="H44" s="17">
        <f t="shared" si="3"/>
        <v>0.10233723564171293</v>
      </c>
      <c r="I44" s="248"/>
      <c r="J44" s="248"/>
      <c r="K44" s="248"/>
      <c r="L44" s="248"/>
      <c r="M44" s="248"/>
      <c r="N44" s="248"/>
      <c r="O44" s="248"/>
      <c r="Q44" s="5"/>
      <c r="R44" s="5"/>
      <c r="S44" s="42"/>
      <c r="T44" s="42"/>
      <c r="U44" s="42"/>
      <c r="V44" s="42"/>
      <c r="W44" s="42"/>
      <c r="X44" s="42"/>
      <c r="Y44" s="325"/>
      <c r="Z44" s="325"/>
      <c r="AA44" s="42"/>
    </row>
    <row r="45" spans="2:42">
      <c r="B45" s="5" t="s">
        <v>580</v>
      </c>
      <c r="C45" s="247"/>
      <c r="D45" s="248">
        <f>D31/D11</f>
        <v>2.2052024532702785E-2</v>
      </c>
      <c r="E45" s="248">
        <f>E31/E11</f>
        <v>2.4611250391623297E-2</v>
      </c>
      <c r="F45" s="248">
        <f>F31/F11</f>
        <v>2.5733166701033407E-2</v>
      </c>
      <c r="G45" s="248">
        <f>G31/G11</f>
        <v>2.7146152816565176E-2</v>
      </c>
      <c r="H45" s="17">
        <f t="shared" si="3"/>
        <v>6.714297299340366E-3</v>
      </c>
      <c r="I45" s="247"/>
      <c r="J45" s="247"/>
      <c r="K45" s="247"/>
      <c r="L45" s="247"/>
      <c r="M45" s="247"/>
      <c r="N45" s="247"/>
      <c r="O45" s="248"/>
      <c r="Q45" s="5"/>
      <c r="R45" s="5"/>
      <c r="S45" s="42"/>
      <c r="T45" s="42"/>
      <c r="U45" s="42"/>
      <c r="V45" s="42"/>
      <c r="W45" s="42"/>
      <c r="X45" s="42"/>
      <c r="Y45" s="42"/>
      <c r="Z45" s="42"/>
      <c r="AA45" s="326"/>
      <c r="AB45" s="303"/>
    </row>
    <row r="46" spans="2:42">
      <c r="B46" s="5" t="s">
        <v>605</v>
      </c>
      <c r="C46" s="247"/>
      <c r="D46" s="248">
        <f>(D31+D32)/D11</f>
        <v>7.7745880700654107E-2</v>
      </c>
      <c r="E46" s="248">
        <f>(E31+E32)/E11</f>
        <v>0.1341751769191605</v>
      </c>
      <c r="F46" s="248">
        <f>(F31+F32)/F11</f>
        <v>0.14644095604748741</v>
      </c>
      <c r="G46" s="248">
        <f>(G31+G32)/G11</f>
        <v>0.21850989486146546</v>
      </c>
      <c r="H46" s="279">
        <f>((G31+G32)/(D31+D32))^(1/3)-1</f>
        <v>0.3256153847966301</v>
      </c>
      <c r="I46" s="17"/>
      <c r="J46" s="247"/>
      <c r="K46" s="247"/>
      <c r="L46" s="247"/>
      <c r="M46" s="247"/>
      <c r="N46" s="247"/>
      <c r="O46" s="18"/>
      <c r="Q46" s="5"/>
      <c r="R46" s="5"/>
      <c r="S46" s="42"/>
      <c r="T46" s="42"/>
      <c r="U46" s="42"/>
      <c r="V46" s="42"/>
      <c r="W46" s="42"/>
      <c r="X46" s="42"/>
      <c r="Y46" s="42"/>
      <c r="Z46" s="42"/>
      <c r="AA46" s="326"/>
      <c r="AB46" s="303"/>
    </row>
    <row r="47" spans="2:42">
      <c r="B47" s="5" t="s">
        <v>581</v>
      </c>
      <c r="C47" s="5"/>
      <c r="D47" s="248">
        <f>1/D43</f>
        <v>0.19016939255418236</v>
      </c>
      <c r="E47" s="248">
        <f>1/E43</f>
        <v>0.2293568775666773</v>
      </c>
      <c r="F47" s="248">
        <f>1/F43</f>
        <v>0.24991944174014</v>
      </c>
      <c r="G47" s="248">
        <f>1/G43</f>
        <v>0.29275042926246625</v>
      </c>
      <c r="H47" s="17">
        <f>H29</f>
        <v>8.0117819415815195E-2</v>
      </c>
      <c r="I47" s="247"/>
      <c r="J47" s="248"/>
      <c r="K47" s="248"/>
      <c r="L47" s="248"/>
      <c r="M47" s="248"/>
      <c r="N47" s="248"/>
      <c r="O47" s="248"/>
      <c r="Q47" s="5"/>
      <c r="R47" s="5"/>
      <c r="S47" s="5"/>
      <c r="T47" s="5"/>
      <c r="U47" s="5"/>
      <c r="AA47" s="303"/>
      <c r="AB47" s="303"/>
    </row>
    <row r="48" spans="2:42">
      <c r="B48" s="5" t="s">
        <v>618</v>
      </c>
      <c r="C48" s="5"/>
      <c r="D48" s="305">
        <f>D31/D29</f>
        <v>0.122956651873093</v>
      </c>
      <c r="E48" s="305">
        <f>E31/E29</f>
        <v>0.11420338650121682</v>
      </c>
      <c r="F48" s="305">
        <f>F31/F29</f>
        <v>0.10996826737203369</v>
      </c>
      <c r="G48" s="305">
        <f>G31/G29</f>
        <v>9.9553686168744285E-2</v>
      </c>
      <c r="H48" s="17" t="s">
        <v>607</v>
      </c>
      <c r="I48" s="259"/>
      <c r="J48" s="247"/>
      <c r="K48" s="247"/>
      <c r="L48" s="247"/>
      <c r="M48" s="247"/>
      <c r="N48" s="247"/>
      <c r="O48" s="248"/>
      <c r="Q48" s="5"/>
      <c r="R48" s="5"/>
      <c r="S48" s="5"/>
      <c r="T48" s="5"/>
      <c r="U48" s="5"/>
      <c r="AA48" s="303"/>
      <c r="AB48" s="303"/>
    </row>
    <row r="49" spans="2:28">
      <c r="B49" s="41"/>
      <c r="C49" s="17"/>
      <c r="D49" s="17"/>
      <c r="E49" s="17"/>
      <c r="F49" s="17"/>
      <c r="G49" s="17"/>
      <c r="H49" s="17"/>
      <c r="I49" s="17"/>
      <c r="J49" s="17"/>
      <c r="K49" s="17"/>
      <c r="L49" s="17"/>
      <c r="M49" s="17"/>
      <c r="N49" s="17"/>
      <c r="O49" s="248"/>
      <c r="Q49" s="5"/>
      <c r="R49" s="5"/>
      <c r="S49" s="5"/>
      <c r="T49" s="5"/>
      <c r="U49" s="5"/>
      <c r="W49" s="10"/>
      <c r="X49" s="10"/>
      <c r="AA49" s="303"/>
      <c r="AB49" s="303"/>
    </row>
    <row r="50" spans="2:28">
      <c r="B50" s="5"/>
      <c r="C50" s="257"/>
      <c r="D50" s="257"/>
      <c r="E50" s="257"/>
      <c r="F50" s="5"/>
      <c r="G50" s="41"/>
      <c r="H50" s="249"/>
      <c r="I50" s="259"/>
      <c r="J50" s="254"/>
      <c r="K50" s="254"/>
      <c r="L50" s="254"/>
      <c r="M50" s="254"/>
      <c r="N50" s="254"/>
      <c r="O50" s="251"/>
      <c r="Q50" s="5"/>
      <c r="R50" s="5"/>
      <c r="S50" s="5"/>
      <c r="T50" s="5"/>
      <c r="U50" s="5"/>
      <c r="W50" s="10"/>
      <c r="X50" s="10"/>
      <c r="Y50" s="10"/>
      <c r="Z50" s="10"/>
    </row>
    <row r="51" spans="2:28">
      <c r="B51" s="41"/>
      <c r="C51" s="249"/>
      <c r="D51" s="254"/>
      <c r="E51" s="254"/>
      <c r="F51" s="254"/>
      <c r="G51" s="254"/>
      <c r="H51" s="254"/>
      <c r="I51" s="254"/>
      <c r="J51" s="17"/>
      <c r="K51" s="17"/>
      <c r="L51" s="17"/>
      <c r="M51" s="17"/>
      <c r="N51" s="17"/>
      <c r="O51" s="248"/>
      <c r="Q51" s="5"/>
      <c r="R51" s="5"/>
      <c r="S51" s="5"/>
      <c r="T51" s="5"/>
      <c r="U51" s="5"/>
      <c r="Y51" s="10"/>
      <c r="Z51" s="10"/>
    </row>
    <row r="52" spans="2:28">
      <c r="B52" s="5"/>
      <c r="C52" s="257"/>
      <c r="D52" s="17"/>
      <c r="E52" s="17"/>
      <c r="F52" s="17"/>
      <c r="G52" s="17"/>
      <c r="H52" s="17"/>
      <c r="I52" s="17"/>
      <c r="J52" s="259"/>
      <c r="K52" s="259"/>
      <c r="L52" s="259"/>
      <c r="M52" s="259"/>
      <c r="N52" s="259"/>
      <c r="O52" s="18"/>
      <c r="Q52" s="5"/>
      <c r="R52" s="5"/>
      <c r="S52" s="5"/>
      <c r="T52" s="5"/>
      <c r="U52" s="5"/>
    </row>
    <row r="53" spans="2:28">
      <c r="B53" s="5"/>
      <c r="C53" s="257"/>
      <c r="D53" s="257"/>
      <c r="E53" s="257"/>
      <c r="F53" s="5"/>
      <c r="G53" s="5"/>
      <c r="H53" s="259"/>
      <c r="I53" s="259"/>
      <c r="J53" s="254"/>
      <c r="K53" s="254"/>
      <c r="L53" s="254"/>
      <c r="M53" s="254"/>
      <c r="N53" s="254"/>
      <c r="O53" s="251"/>
      <c r="Q53" s="5"/>
      <c r="R53" s="5"/>
      <c r="S53" s="5"/>
      <c r="T53" s="5"/>
      <c r="U53" s="5"/>
    </row>
    <row r="54" spans="2:28">
      <c r="B54" s="41"/>
      <c r="C54" s="249"/>
      <c r="D54" s="254"/>
      <c r="E54" s="254"/>
      <c r="F54" s="254"/>
      <c r="G54" s="254"/>
      <c r="H54" s="254"/>
      <c r="I54" s="249"/>
      <c r="J54" s="17"/>
      <c r="K54" s="17"/>
      <c r="L54" s="17"/>
      <c r="M54" s="17"/>
      <c r="N54" s="17"/>
      <c r="O54" s="18"/>
      <c r="Q54" s="5"/>
      <c r="R54" s="5"/>
      <c r="S54" s="5"/>
      <c r="T54" s="5"/>
      <c r="U54" s="5"/>
    </row>
    <row r="55" spans="2:28">
      <c r="B55" s="5"/>
      <c r="C55" s="257"/>
      <c r="D55" s="17"/>
      <c r="E55" s="17"/>
      <c r="F55" s="17"/>
      <c r="G55" s="17"/>
      <c r="H55" s="17"/>
      <c r="I55" s="248"/>
      <c r="J55" s="259"/>
      <c r="K55" s="259"/>
      <c r="L55" s="259"/>
      <c r="M55" s="259"/>
      <c r="N55" s="259"/>
      <c r="O55" s="18"/>
      <c r="Q55" s="5"/>
      <c r="R55" s="5"/>
      <c r="S55" s="5"/>
      <c r="T55" s="5"/>
      <c r="U55" s="5"/>
    </row>
    <row r="56" spans="2:28">
      <c r="B56" s="5"/>
      <c r="C56" s="248"/>
      <c r="D56" s="248"/>
      <c r="E56" s="248"/>
      <c r="F56" s="5"/>
      <c r="G56" s="5"/>
      <c r="H56" s="259"/>
      <c r="I56" s="5"/>
      <c r="J56" s="249"/>
      <c r="K56" s="249"/>
      <c r="L56" s="249"/>
      <c r="M56" s="249"/>
      <c r="N56" s="249"/>
      <c r="O56" s="251"/>
      <c r="Q56" s="5"/>
      <c r="R56" s="5"/>
      <c r="S56" s="5"/>
      <c r="T56" s="5"/>
      <c r="U56" s="5"/>
    </row>
    <row r="57" spans="2:28">
      <c r="B57" s="41"/>
      <c r="C57" s="249"/>
      <c r="D57" s="249"/>
      <c r="E57" s="249"/>
      <c r="F57" s="249"/>
      <c r="G57" s="249"/>
      <c r="H57" s="249"/>
      <c r="I57" s="17"/>
      <c r="J57" s="248"/>
      <c r="K57" s="248"/>
      <c r="L57" s="248"/>
      <c r="M57" s="248"/>
      <c r="N57" s="248"/>
      <c r="O57" s="18"/>
      <c r="Q57" s="5"/>
      <c r="R57" s="5"/>
      <c r="S57" s="5"/>
      <c r="T57" s="5"/>
      <c r="U57" s="5"/>
    </row>
    <row r="58" spans="2:28">
      <c r="B58" s="5"/>
      <c r="C58" s="5"/>
      <c r="D58" s="248"/>
      <c r="E58" s="248"/>
      <c r="F58" s="248"/>
      <c r="G58" s="248"/>
      <c r="H58" s="248"/>
      <c r="I58" s="5"/>
      <c r="J58" s="5"/>
      <c r="K58" s="5"/>
      <c r="L58" s="5"/>
      <c r="M58" s="5"/>
      <c r="N58" s="5"/>
      <c r="O58" s="5"/>
      <c r="Q58" s="5"/>
      <c r="R58" s="5"/>
      <c r="S58" s="5"/>
      <c r="T58" s="5"/>
      <c r="U58" s="5"/>
    </row>
    <row r="59" spans="2:28">
      <c r="B59" s="5"/>
      <c r="C59" s="5"/>
      <c r="D59" s="5"/>
      <c r="E59" s="5"/>
      <c r="F59" s="5"/>
      <c r="G59" s="5"/>
      <c r="H59" s="5"/>
      <c r="I59" s="249"/>
      <c r="J59" s="17"/>
      <c r="K59" s="17"/>
      <c r="L59" s="17"/>
      <c r="M59" s="17"/>
      <c r="N59" s="17"/>
      <c r="O59" s="251"/>
      <c r="Q59" s="5"/>
      <c r="R59" s="5"/>
      <c r="S59" s="5"/>
      <c r="T59" s="5"/>
      <c r="U59" s="5"/>
    </row>
    <row r="60" spans="2:28">
      <c r="B60" s="41"/>
      <c r="C60" s="17"/>
      <c r="D60" s="17"/>
      <c r="E60" s="17"/>
      <c r="F60" s="17"/>
      <c r="G60" s="17"/>
      <c r="H60" s="17"/>
      <c r="I60" s="5"/>
      <c r="J60" s="5"/>
      <c r="K60" s="5"/>
      <c r="L60" s="5"/>
      <c r="M60" s="5"/>
      <c r="N60" s="5"/>
      <c r="O60" s="5"/>
      <c r="Q60" s="41"/>
      <c r="R60" s="5"/>
      <c r="S60" s="5"/>
      <c r="T60" s="5"/>
      <c r="U60" s="5"/>
    </row>
    <row r="61" spans="2:28">
      <c r="B61" s="5"/>
      <c r="C61" s="5"/>
      <c r="D61" s="5"/>
      <c r="E61" s="5"/>
      <c r="F61" s="5"/>
      <c r="G61" s="5"/>
      <c r="H61" s="5"/>
      <c r="I61" s="5"/>
      <c r="J61" s="249"/>
      <c r="K61" s="249"/>
      <c r="L61" s="249"/>
      <c r="M61" s="249"/>
      <c r="N61" s="249"/>
      <c r="O61" s="251"/>
      <c r="Q61" s="5"/>
      <c r="R61" s="5"/>
      <c r="S61" s="5"/>
      <c r="T61" s="5"/>
      <c r="U61" s="5"/>
    </row>
    <row r="62" spans="2:28">
      <c r="B62" s="41"/>
      <c r="C62" s="249"/>
      <c r="D62" s="249"/>
      <c r="E62" s="249"/>
      <c r="F62" s="249"/>
      <c r="G62" s="249"/>
      <c r="H62" s="249"/>
      <c r="I62" s="254"/>
      <c r="J62" s="5"/>
      <c r="K62" s="5"/>
      <c r="L62" s="5"/>
      <c r="M62" s="5"/>
      <c r="N62" s="5"/>
      <c r="O62" s="5"/>
      <c r="Q62" s="5"/>
      <c r="R62" s="5"/>
      <c r="S62" s="5"/>
      <c r="T62" s="5"/>
      <c r="U62" s="5"/>
    </row>
    <row r="63" spans="2:28">
      <c r="B63" s="5"/>
      <c r="C63" s="5"/>
      <c r="D63" s="5"/>
      <c r="E63" s="5"/>
      <c r="F63" s="5"/>
      <c r="G63" s="5"/>
      <c r="H63" s="5"/>
      <c r="I63" s="17"/>
      <c r="J63" s="5"/>
      <c r="K63" s="5"/>
      <c r="L63" s="5"/>
      <c r="M63" s="5"/>
      <c r="N63" s="5"/>
      <c r="O63" s="5"/>
      <c r="Q63" s="5"/>
      <c r="R63" s="5"/>
      <c r="S63" s="5"/>
      <c r="T63" s="5"/>
      <c r="U63" s="5"/>
    </row>
    <row r="64" spans="2:28">
      <c r="B64" s="5"/>
      <c r="C64" s="5"/>
      <c r="D64" s="5"/>
      <c r="E64" s="5"/>
      <c r="F64" s="5"/>
      <c r="G64" s="5"/>
      <c r="H64" s="5"/>
      <c r="I64" s="254"/>
      <c r="J64" s="254"/>
      <c r="K64" s="254"/>
      <c r="L64" s="254"/>
      <c r="M64" s="254"/>
      <c r="N64" s="254"/>
      <c r="O64" s="251"/>
      <c r="Q64" s="5"/>
      <c r="R64" s="5"/>
      <c r="S64" s="5"/>
      <c r="T64" s="5"/>
      <c r="U64" s="5"/>
    </row>
    <row r="65" spans="2:26">
      <c r="B65" s="41"/>
      <c r="C65" s="249"/>
      <c r="D65" s="254"/>
      <c r="E65" s="254"/>
      <c r="F65" s="254"/>
      <c r="G65" s="254"/>
      <c r="H65" s="254"/>
      <c r="I65" s="248"/>
      <c r="J65" s="17"/>
      <c r="K65" s="17"/>
      <c r="L65" s="17"/>
      <c r="M65" s="17"/>
      <c r="N65" s="17"/>
      <c r="O65" s="5"/>
      <c r="Q65" s="5"/>
      <c r="R65" s="5"/>
      <c r="S65" s="5"/>
      <c r="T65" s="5"/>
      <c r="U65" s="5"/>
    </row>
    <row r="66" spans="2:26">
      <c r="B66" s="5"/>
      <c r="C66" s="5"/>
      <c r="D66" s="17"/>
      <c r="E66" s="17"/>
      <c r="F66" s="17"/>
      <c r="G66" s="17"/>
      <c r="H66" s="17"/>
      <c r="I66" s="5"/>
      <c r="J66" s="254"/>
      <c r="K66" s="254"/>
      <c r="L66" s="254"/>
      <c r="M66" s="254"/>
      <c r="N66" s="254"/>
      <c r="O66" s="251"/>
      <c r="Q66" s="41"/>
      <c r="R66" s="5"/>
      <c r="S66" s="5"/>
      <c r="T66" s="5"/>
      <c r="U66" s="5"/>
    </row>
    <row r="67" spans="2:26">
      <c r="B67" s="41"/>
      <c r="C67" s="249"/>
      <c r="D67" s="254"/>
      <c r="E67" s="254"/>
      <c r="F67" s="254"/>
      <c r="G67" s="254"/>
      <c r="H67" s="254"/>
      <c r="I67" s="245"/>
      <c r="J67" s="248"/>
      <c r="K67" s="248"/>
      <c r="L67" s="248"/>
      <c r="M67" s="248"/>
      <c r="N67" s="248"/>
      <c r="O67" s="5"/>
      <c r="Q67" s="5"/>
      <c r="R67" s="5"/>
      <c r="S67" s="5"/>
      <c r="T67" s="5"/>
      <c r="U67" s="5"/>
    </row>
    <row r="68" spans="2:26">
      <c r="B68" s="5"/>
      <c r="C68" s="5"/>
      <c r="D68" s="248"/>
      <c r="E68" s="248"/>
      <c r="F68" s="248"/>
      <c r="G68" s="248"/>
      <c r="H68" s="248"/>
      <c r="I68" s="248"/>
      <c r="J68" s="5"/>
      <c r="K68" s="5"/>
      <c r="L68" s="5"/>
      <c r="M68" s="5"/>
      <c r="N68" s="5"/>
      <c r="O68" s="5"/>
      <c r="Q68" s="5"/>
      <c r="R68" s="5"/>
      <c r="S68" s="5"/>
      <c r="T68" s="5"/>
      <c r="U68" s="5"/>
    </row>
    <row r="69" spans="2:26">
      <c r="B69" s="41"/>
      <c r="C69" s="5"/>
      <c r="D69" s="5"/>
      <c r="E69" s="5"/>
      <c r="F69" s="5"/>
      <c r="G69" s="5"/>
      <c r="H69" s="5"/>
      <c r="I69" s="5"/>
      <c r="J69" s="245"/>
      <c r="K69" s="245"/>
      <c r="L69" s="245"/>
      <c r="M69" s="245"/>
      <c r="N69" s="245"/>
      <c r="O69" s="251"/>
      <c r="Q69" s="5"/>
      <c r="R69" s="5"/>
      <c r="S69" s="5"/>
      <c r="T69" s="5"/>
      <c r="U69" s="5"/>
      <c r="W69" s="76"/>
      <c r="X69" s="76"/>
    </row>
    <row r="70" spans="2:26">
      <c r="B70" s="41"/>
      <c r="C70" s="245"/>
      <c r="D70" s="245"/>
      <c r="E70" s="245"/>
      <c r="F70" s="245"/>
      <c r="G70" s="245"/>
      <c r="H70" s="245"/>
      <c r="I70" s="245"/>
      <c r="J70" s="248"/>
      <c r="K70" s="248"/>
      <c r="L70" s="248"/>
      <c r="M70" s="248"/>
      <c r="N70" s="248"/>
      <c r="O70" s="5"/>
      <c r="Q70" s="5"/>
      <c r="R70" s="5"/>
      <c r="S70" s="5"/>
      <c r="T70" s="5"/>
      <c r="U70" s="5"/>
      <c r="W70" s="76"/>
      <c r="X70" s="76"/>
      <c r="Y70" s="76"/>
      <c r="Z70" s="76"/>
    </row>
    <row r="71" spans="2:26">
      <c r="B71" s="5"/>
      <c r="C71" s="5"/>
      <c r="D71" s="248"/>
      <c r="E71" s="248"/>
      <c r="F71" s="248"/>
      <c r="G71" s="248"/>
      <c r="H71" s="248"/>
      <c r="I71" s="18"/>
      <c r="J71" s="5"/>
      <c r="K71" s="5"/>
      <c r="L71" s="5"/>
      <c r="M71" s="5"/>
      <c r="N71" s="5"/>
      <c r="O71" s="5"/>
      <c r="Q71" s="5"/>
      <c r="R71" s="5"/>
      <c r="S71" s="5"/>
      <c r="T71" s="5"/>
      <c r="U71" s="5"/>
      <c r="Y71" s="76"/>
      <c r="Z71" s="76"/>
    </row>
    <row r="72" spans="2:26">
      <c r="B72" s="41"/>
      <c r="C72" s="5"/>
      <c r="D72" s="5"/>
      <c r="E72" s="5"/>
      <c r="F72" s="5"/>
      <c r="G72" s="5"/>
      <c r="H72" s="5"/>
      <c r="I72" s="5"/>
      <c r="J72" s="245"/>
      <c r="K72" s="245"/>
      <c r="L72" s="245"/>
      <c r="M72" s="245"/>
      <c r="N72" s="245"/>
      <c r="O72" s="251"/>
      <c r="Q72" s="5"/>
      <c r="R72" s="5"/>
      <c r="S72" s="5"/>
      <c r="T72" s="5"/>
      <c r="U72" s="5"/>
    </row>
    <row r="73" spans="2:26">
      <c r="B73" s="41"/>
      <c r="C73" s="245"/>
      <c r="D73" s="245"/>
      <c r="E73" s="245"/>
      <c r="F73" s="245"/>
      <c r="G73" s="245"/>
      <c r="H73" s="245"/>
      <c r="I73" s="249"/>
      <c r="J73" s="18"/>
      <c r="K73" s="18"/>
      <c r="L73" s="18"/>
      <c r="M73" s="18"/>
      <c r="N73" s="18"/>
      <c r="O73" s="5"/>
      <c r="Q73" s="5"/>
      <c r="R73" s="5"/>
      <c r="S73" s="5"/>
      <c r="T73" s="5"/>
      <c r="U73" s="5"/>
    </row>
    <row r="74" spans="2:26">
      <c r="B74" s="5"/>
      <c r="C74" s="5"/>
      <c r="D74" s="18"/>
      <c r="E74" s="18"/>
      <c r="F74" s="18"/>
      <c r="G74" s="18"/>
      <c r="H74" s="18"/>
      <c r="I74" s="248"/>
      <c r="J74" s="5"/>
      <c r="K74" s="5"/>
      <c r="L74" s="5"/>
      <c r="M74" s="5"/>
      <c r="N74" s="5"/>
      <c r="O74" s="5"/>
      <c r="Q74" s="5"/>
      <c r="R74" s="5"/>
      <c r="S74" s="5"/>
      <c r="T74" s="5"/>
      <c r="U74" s="5"/>
    </row>
    <row r="75" spans="2:26">
      <c r="B75" s="41"/>
      <c r="C75" s="5"/>
      <c r="D75" s="5"/>
      <c r="E75" s="5"/>
      <c r="F75" s="5"/>
      <c r="G75" s="5"/>
      <c r="H75" s="5"/>
      <c r="I75" s="5"/>
      <c r="J75" s="249"/>
      <c r="K75" s="249"/>
      <c r="L75" s="249"/>
      <c r="M75" s="249"/>
      <c r="N75" s="249"/>
      <c r="O75" s="251"/>
      <c r="Q75" s="5"/>
      <c r="R75" s="5"/>
      <c r="S75" s="5"/>
      <c r="T75" s="5"/>
      <c r="U75" s="5"/>
    </row>
    <row r="76" spans="2:26">
      <c r="B76" s="41"/>
      <c r="C76" s="249"/>
      <c r="D76" s="249"/>
      <c r="E76" s="249"/>
      <c r="F76" s="249"/>
      <c r="G76" s="249"/>
      <c r="H76" s="249"/>
      <c r="I76" s="245"/>
      <c r="J76" s="248"/>
      <c r="K76" s="248"/>
      <c r="L76" s="248"/>
      <c r="M76" s="248"/>
      <c r="N76" s="248"/>
      <c r="O76" s="5"/>
      <c r="Q76" s="5"/>
      <c r="R76" s="5"/>
      <c r="S76" s="5"/>
      <c r="T76" s="5"/>
      <c r="U76" s="5"/>
    </row>
    <row r="77" spans="2:26">
      <c r="B77" s="5"/>
      <c r="C77" s="5"/>
      <c r="D77" s="248"/>
      <c r="E77" s="248"/>
      <c r="F77" s="248"/>
      <c r="G77" s="248"/>
      <c r="H77" s="248"/>
      <c r="I77" s="248"/>
      <c r="J77" s="5"/>
      <c r="K77" s="5"/>
      <c r="L77" s="5"/>
      <c r="M77" s="5"/>
      <c r="N77" s="5"/>
      <c r="O77" s="5"/>
      <c r="Q77" s="5"/>
      <c r="R77" s="5"/>
      <c r="S77" s="5"/>
      <c r="T77" s="5"/>
      <c r="U77" s="5"/>
    </row>
    <row r="78" spans="2:26">
      <c r="B78" s="41"/>
      <c r="C78" s="5"/>
      <c r="D78" s="5"/>
      <c r="E78" s="5"/>
      <c r="F78" s="5"/>
      <c r="G78" s="5"/>
      <c r="H78" s="5"/>
      <c r="I78" s="5"/>
      <c r="J78" s="245"/>
      <c r="K78" s="245"/>
      <c r="L78" s="245"/>
      <c r="M78" s="245"/>
      <c r="N78" s="245"/>
      <c r="O78" s="251"/>
      <c r="Q78" s="5"/>
      <c r="R78" s="5"/>
      <c r="S78" s="5"/>
      <c r="T78" s="5"/>
      <c r="U78" s="5"/>
    </row>
    <row r="79" spans="2:26">
      <c r="B79" s="41"/>
      <c r="C79" s="245"/>
      <c r="D79" s="245"/>
      <c r="E79" s="245"/>
      <c r="F79" s="245"/>
      <c r="G79" s="245"/>
      <c r="H79" s="245"/>
      <c r="I79" s="249"/>
      <c r="J79" s="248"/>
      <c r="K79" s="248"/>
      <c r="L79" s="248"/>
      <c r="M79" s="248"/>
      <c r="N79" s="248"/>
      <c r="O79" s="5"/>
      <c r="Q79" s="5"/>
      <c r="R79" s="5"/>
      <c r="S79" s="5"/>
      <c r="T79" s="5"/>
      <c r="U79" s="5"/>
    </row>
    <row r="80" spans="2:26">
      <c r="B80" s="5"/>
      <c r="C80" s="5"/>
      <c r="D80" s="248"/>
      <c r="E80" s="248"/>
      <c r="F80" s="248"/>
      <c r="G80" s="248"/>
      <c r="H80" s="248"/>
      <c r="I80" s="248"/>
      <c r="J80" s="5"/>
      <c r="K80" s="5"/>
      <c r="L80" s="5"/>
      <c r="M80" s="5"/>
      <c r="N80" s="5"/>
      <c r="O80" s="5"/>
      <c r="Q80" s="5"/>
      <c r="R80" s="5"/>
      <c r="S80" s="5"/>
      <c r="T80" s="5"/>
      <c r="U80" s="5"/>
    </row>
    <row r="81" spans="2:26">
      <c r="B81" s="41"/>
      <c r="C81" s="5"/>
      <c r="D81" s="5"/>
      <c r="E81" s="5"/>
      <c r="F81" s="5"/>
      <c r="G81" s="5"/>
      <c r="H81" s="5"/>
      <c r="I81" s="259"/>
      <c r="J81" s="249"/>
      <c r="K81" s="249"/>
      <c r="L81" s="249"/>
      <c r="M81" s="249"/>
      <c r="N81" s="249"/>
      <c r="O81" s="251"/>
      <c r="Q81" s="5"/>
      <c r="R81" s="5"/>
      <c r="S81" s="5"/>
      <c r="T81" s="5"/>
      <c r="U81" s="5"/>
    </row>
    <row r="82" spans="2:26">
      <c r="B82" s="41"/>
      <c r="C82" s="249"/>
      <c r="D82" s="249"/>
      <c r="E82" s="249"/>
      <c r="F82" s="249"/>
      <c r="G82" s="249"/>
      <c r="H82" s="249"/>
      <c r="I82" s="5"/>
      <c r="J82" s="248"/>
      <c r="K82" s="248"/>
      <c r="L82" s="248"/>
      <c r="M82" s="248"/>
      <c r="N82" s="248"/>
      <c r="O82" s="5"/>
      <c r="Q82" s="5"/>
      <c r="R82" s="5"/>
      <c r="S82" s="5"/>
      <c r="T82" s="5"/>
      <c r="U82" s="5"/>
    </row>
    <row r="83" spans="2:26">
      <c r="B83" s="5"/>
      <c r="C83" s="5"/>
      <c r="D83" s="248"/>
      <c r="E83" s="248"/>
      <c r="F83" s="248"/>
      <c r="G83" s="248"/>
      <c r="H83" s="248"/>
      <c r="I83" s="245"/>
      <c r="J83" s="259"/>
      <c r="K83" s="259"/>
      <c r="L83" s="259"/>
      <c r="M83" s="259"/>
      <c r="N83" s="259"/>
      <c r="O83" s="251"/>
      <c r="Q83" s="5"/>
      <c r="R83" s="5"/>
      <c r="S83" s="5"/>
      <c r="T83" s="5"/>
      <c r="U83" s="5"/>
    </row>
    <row r="84" spans="2:26">
      <c r="B84" s="5"/>
      <c r="C84" s="259"/>
      <c r="D84" s="259"/>
      <c r="E84" s="259"/>
      <c r="F84" s="259"/>
      <c r="G84" s="259"/>
      <c r="H84" s="259"/>
      <c r="I84" s="248"/>
      <c r="J84" s="5"/>
      <c r="K84" s="5"/>
      <c r="L84" s="5"/>
      <c r="M84" s="5"/>
      <c r="N84" s="5"/>
      <c r="O84" s="5"/>
      <c r="Q84" s="5"/>
      <c r="R84" s="5"/>
      <c r="S84" s="5"/>
      <c r="T84" s="5"/>
      <c r="U84" s="5"/>
    </row>
    <row r="85" spans="2:26">
      <c r="B85" s="41"/>
      <c r="C85" s="5"/>
      <c r="D85" s="5"/>
      <c r="E85" s="5"/>
      <c r="F85" s="5"/>
      <c r="G85" s="5"/>
      <c r="H85" s="5"/>
      <c r="I85" s="5"/>
      <c r="J85" s="245"/>
      <c r="K85" s="245"/>
      <c r="L85" s="245"/>
      <c r="M85" s="245"/>
      <c r="N85" s="245"/>
      <c r="O85" s="251"/>
      <c r="Q85" s="5"/>
      <c r="R85" s="5"/>
      <c r="S85" s="5"/>
      <c r="T85" s="5"/>
      <c r="U85" s="5"/>
    </row>
    <row r="86" spans="2:26">
      <c r="B86" s="41"/>
      <c r="C86" s="245"/>
      <c r="D86" s="245"/>
      <c r="E86" s="245"/>
      <c r="F86" s="245"/>
      <c r="G86" s="245"/>
      <c r="H86" s="245"/>
      <c r="I86" s="5"/>
      <c r="J86" s="248"/>
      <c r="K86" s="248"/>
      <c r="L86" s="248"/>
      <c r="M86" s="248"/>
      <c r="N86" s="248"/>
      <c r="O86" s="5"/>
      <c r="Q86" s="5"/>
      <c r="R86" s="5"/>
      <c r="S86" s="5"/>
      <c r="T86" s="5"/>
      <c r="U86" s="5"/>
    </row>
    <row r="87" spans="2:26">
      <c r="B87" s="5"/>
      <c r="C87" s="5"/>
      <c r="D87" s="248"/>
      <c r="E87" s="248"/>
      <c r="F87" s="248"/>
      <c r="G87" s="248"/>
      <c r="H87" s="248"/>
      <c r="I87" s="5"/>
      <c r="J87" s="5"/>
      <c r="K87" s="5"/>
      <c r="L87" s="5"/>
      <c r="M87" s="5"/>
      <c r="N87" s="5"/>
      <c r="O87" s="5"/>
      <c r="Q87" s="5"/>
      <c r="R87" s="5"/>
      <c r="S87" s="5"/>
      <c r="T87" s="5"/>
      <c r="U87" s="5"/>
    </row>
    <row r="88" spans="2:26">
      <c r="B88" s="41"/>
      <c r="C88" s="5"/>
      <c r="D88" s="5"/>
      <c r="E88" s="5"/>
      <c r="F88" s="5"/>
      <c r="G88" s="5"/>
      <c r="H88" s="5"/>
      <c r="I88" s="5"/>
      <c r="J88" s="5"/>
      <c r="K88" s="5"/>
      <c r="L88" s="5"/>
      <c r="M88" s="5"/>
      <c r="N88" s="5"/>
      <c r="O88" s="5"/>
      <c r="Q88" s="5"/>
      <c r="R88" s="5"/>
      <c r="S88" s="5"/>
      <c r="T88" s="5"/>
      <c r="U88" s="5"/>
    </row>
    <row r="89" spans="2:26">
      <c r="B89" s="41"/>
      <c r="C89" s="5"/>
      <c r="D89" s="5"/>
      <c r="E89" s="5"/>
      <c r="F89" s="5"/>
      <c r="G89" s="5"/>
      <c r="H89" s="5"/>
      <c r="I89" s="49"/>
      <c r="J89" s="5"/>
      <c r="K89" s="5"/>
      <c r="L89" s="5"/>
      <c r="M89" s="5"/>
      <c r="N89" s="5"/>
      <c r="O89" s="5"/>
      <c r="Q89" s="41"/>
      <c r="R89" s="5"/>
      <c r="S89" s="5"/>
      <c r="T89" s="5"/>
      <c r="U89" s="5"/>
    </row>
    <row r="90" spans="2:26">
      <c r="B90" s="41"/>
      <c r="C90" s="5"/>
      <c r="D90" s="5"/>
      <c r="E90" s="5"/>
      <c r="F90" s="5"/>
      <c r="G90" s="5"/>
      <c r="H90" s="5"/>
      <c r="I90" s="5"/>
      <c r="J90" s="5"/>
      <c r="K90" s="5"/>
      <c r="L90" s="5"/>
      <c r="M90" s="5"/>
      <c r="N90" s="5"/>
      <c r="O90" s="5"/>
      <c r="Q90" s="5"/>
      <c r="R90" s="5"/>
      <c r="S90" s="5"/>
      <c r="T90" s="5"/>
      <c r="U90" s="5"/>
    </row>
    <row r="91" spans="2:26">
      <c r="B91" s="5"/>
      <c r="C91" s="5"/>
      <c r="D91" s="5"/>
      <c r="E91" s="5"/>
      <c r="F91" s="5"/>
      <c r="G91" s="5"/>
      <c r="H91" s="5"/>
      <c r="I91" s="247"/>
      <c r="J91" s="49"/>
      <c r="K91" s="49"/>
      <c r="L91" s="49"/>
      <c r="M91" s="49"/>
      <c r="N91" s="49"/>
      <c r="O91" s="49"/>
      <c r="Q91" s="5"/>
      <c r="R91" s="5"/>
      <c r="S91" s="5"/>
      <c r="T91" s="5"/>
      <c r="U91" s="5"/>
      <c r="W91" s="21"/>
      <c r="X91" s="21"/>
    </row>
    <row r="92" spans="2:26">
      <c r="B92" s="41"/>
      <c r="C92" s="49"/>
      <c r="D92" s="49"/>
      <c r="E92" s="49"/>
      <c r="F92" s="49"/>
      <c r="G92" s="49"/>
      <c r="H92" s="49"/>
      <c r="I92" s="247"/>
      <c r="J92" s="5"/>
      <c r="K92" s="5"/>
      <c r="L92" s="5"/>
      <c r="M92" s="5"/>
      <c r="N92" s="5"/>
      <c r="O92" s="5"/>
      <c r="Q92" s="5"/>
      <c r="R92" s="5"/>
      <c r="S92" s="5"/>
      <c r="T92" s="5"/>
      <c r="U92" s="5"/>
      <c r="W92" s="21"/>
      <c r="X92" s="21"/>
      <c r="Y92" s="21"/>
      <c r="Z92" s="21"/>
    </row>
    <row r="93" spans="2:26">
      <c r="B93" s="5"/>
      <c r="C93" s="5"/>
      <c r="D93" s="5"/>
      <c r="E93" s="5"/>
      <c r="F93" s="5"/>
      <c r="G93" s="5"/>
      <c r="H93" s="5"/>
      <c r="I93" s="247"/>
      <c r="J93" s="247"/>
      <c r="K93" s="247"/>
      <c r="L93" s="247"/>
      <c r="M93" s="247"/>
      <c r="N93" s="247"/>
      <c r="O93" s="248"/>
      <c r="Q93" s="5"/>
      <c r="R93" s="5"/>
      <c r="S93" s="5"/>
      <c r="T93" s="5"/>
      <c r="U93" s="5"/>
      <c r="Y93" s="21"/>
      <c r="Z93" s="21"/>
    </row>
    <row r="94" spans="2:26">
      <c r="B94" s="5"/>
      <c r="C94" s="259"/>
      <c r="D94" s="247"/>
      <c r="E94" s="247"/>
      <c r="F94" s="247"/>
      <c r="G94" s="247"/>
      <c r="H94" s="247"/>
      <c r="I94" s="248"/>
      <c r="J94" s="247"/>
      <c r="K94" s="247"/>
      <c r="L94" s="247"/>
      <c r="M94" s="247"/>
      <c r="N94" s="247"/>
      <c r="O94" s="248"/>
      <c r="Q94" s="5"/>
      <c r="R94" s="5"/>
      <c r="S94" s="5"/>
      <c r="T94" s="5"/>
      <c r="U94" s="5"/>
    </row>
    <row r="95" spans="2:26">
      <c r="B95" s="5"/>
      <c r="C95" s="259"/>
      <c r="D95" s="247"/>
      <c r="E95" s="247"/>
      <c r="F95" s="247"/>
      <c r="G95" s="247"/>
      <c r="H95" s="247"/>
      <c r="I95" s="247"/>
      <c r="J95" s="247"/>
      <c r="K95" s="247"/>
      <c r="L95" s="247"/>
      <c r="M95" s="247"/>
      <c r="N95" s="247"/>
      <c r="O95" s="248"/>
      <c r="Q95" s="5"/>
      <c r="R95" s="5"/>
      <c r="S95" s="5"/>
      <c r="T95" s="5"/>
      <c r="U95" s="5"/>
    </row>
    <row r="96" spans="2:26">
      <c r="B96" s="5"/>
      <c r="C96" s="259"/>
      <c r="D96" s="247"/>
      <c r="E96" s="247"/>
      <c r="F96" s="247"/>
      <c r="G96" s="247"/>
      <c r="H96" s="247"/>
      <c r="I96" s="249"/>
      <c r="J96" s="248"/>
      <c r="K96" s="248"/>
      <c r="L96" s="248"/>
      <c r="M96" s="248"/>
      <c r="N96" s="248"/>
      <c r="O96" s="248"/>
      <c r="Q96" s="5"/>
      <c r="R96" s="5"/>
      <c r="S96" s="5"/>
      <c r="T96" s="5"/>
      <c r="U96" s="5"/>
    </row>
    <row r="97" spans="2:21">
      <c r="B97" s="5"/>
      <c r="C97" s="259"/>
      <c r="D97" s="248"/>
      <c r="E97" s="248"/>
      <c r="F97" s="248"/>
      <c r="G97" s="248"/>
      <c r="H97" s="248"/>
      <c r="I97" s="248"/>
      <c r="J97" s="247"/>
      <c r="K97" s="247"/>
      <c r="L97" s="247"/>
      <c r="M97" s="247"/>
      <c r="N97" s="247"/>
      <c r="O97" s="248"/>
      <c r="Q97" s="5"/>
      <c r="R97" s="5"/>
      <c r="S97" s="5"/>
      <c r="T97" s="5"/>
      <c r="U97" s="5"/>
    </row>
    <row r="98" spans="2:21">
      <c r="B98" s="5"/>
      <c r="C98" s="259"/>
      <c r="D98" s="247"/>
      <c r="E98" s="247"/>
      <c r="F98" s="247"/>
      <c r="G98" s="247"/>
      <c r="H98" s="247"/>
      <c r="I98" s="5"/>
      <c r="J98" s="249"/>
      <c r="K98" s="249"/>
      <c r="L98" s="249"/>
      <c r="M98" s="249"/>
      <c r="N98" s="249"/>
      <c r="O98" s="248"/>
      <c r="Q98" s="5"/>
      <c r="R98" s="5"/>
      <c r="S98" s="5"/>
      <c r="T98" s="5"/>
      <c r="U98" s="5"/>
    </row>
    <row r="99" spans="2:21">
      <c r="B99" s="41"/>
      <c r="C99" s="249"/>
      <c r="D99" s="249"/>
      <c r="E99" s="249"/>
      <c r="F99" s="249"/>
      <c r="G99" s="249"/>
      <c r="H99" s="249"/>
      <c r="I99" s="259"/>
      <c r="J99" s="248"/>
      <c r="K99" s="248"/>
      <c r="L99" s="248"/>
      <c r="M99" s="248"/>
      <c r="N99" s="248"/>
      <c r="O99" s="248"/>
      <c r="Q99" s="5"/>
      <c r="R99" s="5"/>
      <c r="S99" s="5"/>
      <c r="T99" s="5"/>
      <c r="U99" s="5"/>
    </row>
    <row r="100" spans="2:21" s="5" customFormat="1">
      <c r="B100" s="41"/>
      <c r="C100" s="257"/>
      <c r="D100" s="248"/>
      <c r="E100" s="248"/>
      <c r="F100" s="248"/>
      <c r="G100" s="248"/>
      <c r="H100" s="248"/>
      <c r="I100" s="259"/>
      <c r="O100" s="248"/>
      <c r="P100" s="39"/>
    </row>
    <row r="101" spans="2:21">
      <c r="B101" s="41"/>
      <c r="C101" s="5"/>
      <c r="D101" s="5"/>
      <c r="E101" s="5"/>
      <c r="F101" s="5"/>
      <c r="G101" s="5"/>
      <c r="H101" s="5"/>
      <c r="I101" s="247"/>
      <c r="J101" s="259"/>
      <c r="K101" s="259"/>
      <c r="L101" s="259"/>
      <c r="M101" s="259"/>
      <c r="N101" s="259"/>
      <c r="O101" s="5"/>
      <c r="Q101" s="5"/>
      <c r="R101" s="5"/>
      <c r="S101" s="5"/>
      <c r="T101" s="5"/>
      <c r="U101" s="5"/>
    </row>
    <row r="102" spans="2:21">
      <c r="B102" s="5"/>
      <c r="C102" s="259"/>
      <c r="D102" s="259"/>
      <c r="E102" s="259"/>
      <c r="F102" s="259"/>
      <c r="G102" s="259"/>
      <c r="H102" s="259"/>
      <c r="I102" s="5"/>
      <c r="J102" s="259"/>
      <c r="K102" s="259"/>
      <c r="L102" s="259"/>
      <c r="M102" s="259"/>
      <c r="N102" s="259"/>
      <c r="O102" s="5"/>
      <c r="P102" s="5"/>
      <c r="Q102" s="5"/>
      <c r="R102" s="5"/>
      <c r="S102" s="5"/>
      <c r="T102" s="5"/>
      <c r="U102" s="5"/>
    </row>
    <row r="103" spans="2:21">
      <c r="B103" s="5"/>
      <c r="C103" s="259"/>
      <c r="D103" s="259"/>
      <c r="E103" s="259"/>
      <c r="F103" s="259"/>
      <c r="G103" s="259"/>
      <c r="H103" s="259"/>
      <c r="I103" s="247"/>
      <c r="J103" s="247"/>
      <c r="K103" s="247"/>
      <c r="L103" s="247"/>
      <c r="M103" s="247"/>
      <c r="N103" s="247"/>
      <c r="O103" s="5"/>
      <c r="Q103" s="5"/>
      <c r="R103" s="5"/>
      <c r="S103" s="5"/>
      <c r="T103" s="5"/>
      <c r="U103" s="5"/>
    </row>
    <row r="104" spans="2:21" s="5" customFormat="1">
      <c r="C104" s="247"/>
      <c r="D104" s="247"/>
      <c r="E104" s="247"/>
      <c r="F104" s="247"/>
      <c r="G104" s="247"/>
      <c r="H104" s="247"/>
      <c r="P104" s="39"/>
    </row>
    <row r="105" spans="2:21" s="5" customFormat="1">
      <c r="I105" s="259"/>
      <c r="J105" s="247"/>
      <c r="K105" s="247"/>
      <c r="L105" s="247"/>
      <c r="M105" s="247"/>
      <c r="N105" s="247"/>
      <c r="P105" s="39"/>
    </row>
    <row r="106" spans="2:21">
      <c r="B106" s="5"/>
      <c r="C106" s="259"/>
      <c r="D106" s="247"/>
      <c r="E106" s="247"/>
      <c r="F106" s="247"/>
      <c r="G106" s="247"/>
      <c r="H106" s="247"/>
      <c r="I106" s="247"/>
      <c r="J106" s="5"/>
      <c r="K106" s="5"/>
      <c r="L106" s="5"/>
      <c r="M106" s="5"/>
      <c r="N106" s="5"/>
      <c r="O106" s="5"/>
      <c r="P106" s="5"/>
      <c r="Q106" s="5"/>
      <c r="R106" s="5"/>
      <c r="S106" s="5"/>
      <c r="T106" s="5"/>
      <c r="U106" s="5"/>
    </row>
    <row r="107" spans="2:21">
      <c r="B107" s="5"/>
      <c r="C107" s="259"/>
      <c r="D107" s="5"/>
      <c r="E107" s="5"/>
      <c r="F107" s="5"/>
      <c r="G107" s="5"/>
      <c r="H107" s="5"/>
      <c r="I107" s="249"/>
      <c r="J107" s="259"/>
      <c r="K107" s="259"/>
      <c r="L107" s="259"/>
      <c r="M107" s="259"/>
      <c r="N107" s="259"/>
      <c r="O107" s="5"/>
      <c r="P107" s="5"/>
      <c r="Q107" s="5"/>
      <c r="R107" s="5"/>
      <c r="S107" s="5"/>
      <c r="T107" s="5"/>
      <c r="U107" s="5"/>
    </row>
    <row r="108" spans="2:21">
      <c r="B108" s="5"/>
      <c r="C108" s="259"/>
      <c r="D108" s="259"/>
      <c r="E108" s="259"/>
      <c r="F108" s="259"/>
      <c r="G108" s="259"/>
      <c r="H108" s="259"/>
      <c r="I108" s="249"/>
      <c r="J108" s="247"/>
      <c r="K108" s="247"/>
      <c r="L108" s="247"/>
      <c r="M108" s="247"/>
      <c r="N108" s="247"/>
      <c r="O108" s="5"/>
      <c r="Q108" s="5"/>
      <c r="R108" s="5"/>
      <c r="S108" s="5"/>
      <c r="T108" s="5"/>
      <c r="U108" s="5"/>
    </row>
    <row r="109" spans="2:21">
      <c r="B109" s="5"/>
      <c r="C109" s="247"/>
      <c r="D109" s="247"/>
      <c r="E109" s="247"/>
      <c r="F109" s="247"/>
      <c r="G109" s="247"/>
      <c r="H109" s="247"/>
      <c r="I109" s="247"/>
      <c r="J109" s="249"/>
      <c r="K109" s="249"/>
      <c r="L109" s="249"/>
      <c r="M109" s="249"/>
      <c r="N109" s="249"/>
      <c r="O109" s="5"/>
      <c r="Q109" s="5"/>
      <c r="R109" s="5"/>
      <c r="S109" s="5"/>
      <c r="T109" s="5"/>
      <c r="U109" s="5"/>
    </row>
    <row r="110" spans="2:21">
      <c r="B110" s="41"/>
      <c r="C110" s="249"/>
      <c r="D110" s="249"/>
      <c r="E110" s="249"/>
      <c r="F110" s="249"/>
      <c r="G110" s="249"/>
      <c r="H110" s="249"/>
      <c r="I110" s="5"/>
      <c r="J110" s="249"/>
      <c r="K110" s="249"/>
      <c r="L110" s="249"/>
      <c r="M110" s="249"/>
      <c r="N110" s="249"/>
      <c r="O110" s="5"/>
      <c r="Q110" s="5"/>
      <c r="R110" s="5"/>
      <c r="S110" s="5"/>
      <c r="T110" s="5"/>
      <c r="U110" s="5"/>
    </row>
    <row r="111" spans="2:21">
      <c r="B111" s="5"/>
      <c r="C111" s="249"/>
      <c r="D111" s="249"/>
      <c r="E111" s="249"/>
      <c r="F111" s="249"/>
      <c r="G111" s="249"/>
      <c r="H111" s="249"/>
      <c r="I111" s="5"/>
      <c r="J111" s="247"/>
      <c r="K111" s="247"/>
      <c r="L111" s="247"/>
      <c r="M111" s="247"/>
      <c r="N111" s="247"/>
      <c r="O111" s="5"/>
      <c r="Q111" s="5"/>
      <c r="R111" s="5"/>
      <c r="S111" s="5"/>
      <c r="T111" s="5"/>
      <c r="U111" s="5"/>
    </row>
    <row r="112" spans="2:21">
      <c r="B112" s="5"/>
      <c r="C112" s="247"/>
      <c r="D112" s="247"/>
      <c r="E112" s="247"/>
      <c r="F112" s="247"/>
      <c r="G112" s="247"/>
      <c r="H112" s="247"/>
      <c r="I112" s="5"/>
      <c r="J112" s="5"/>
      <c r="K112" s="5"/>
      <c r="L112" s="5"/>
      <c r="M112" s="5"/>
      <c r="N112" s="5"/>
      <c r="O112" s="5"/>
      <c r="Q112" s="5"/>
      <c r="R112" s="5"/>
      <c r="S112" s="5"/>
      <c r="T112" s="5"/>
      <c r="U112" s="5"/>
    </row>
    <row r="113" spans="2:21">
      <c r="B113" s="5"/>
      <c r="C113" s="5"/>
      <c r="D113" s="5"/>
      <c r="E113" s="5"/>
      <c r="F113" s="5"/>
      <c r="G113" s="5"/>
      <c r="H113" s="5"/>
      <c r="I113" s="5"/>
      <c r="J113" s="5"/>
      <c r="K113" s="5"/>
      <c r="L113" s="5"/>
      <c r="M113" s="5"/>
      <c r="N113" s="5"/>
      <c r="O113" s="5"/>
      <c r="Q113" s="5"/>
      <c r="R113" s="5"/>
      <c r="S113" s="5"/>
      <c r="T113" s="5"/>
      <c r="U113" s="5"/>
    </row>
    <row r="114" spans="2:21">
      <c r="B114" s="5"/>
      <c r="C114" s="5"/>
      <c r="D114" s="5"/>
      <c r="E114" s="5"/>
      <c r="F114" s="5"/>
      <c r="G114" s="5"/>
      <c r="H114" s="5"/>
      <c r="I114" s="49"/>
      <c r="J114" s="5"/>
      <c r="K114" s="5"/>
      <c r="L114" s="5"/>
      <c r="M114" s="5"/>
      <c r="N114" s="5"/>
      <c r="O114" s="5"/>
      <c r="Q114" s="41"/>
      <c r="R114" s="5"/>
      <c r="S114" s="5"/>
      <c r="T114" s="5"/>
      <c r="U114" s="5"/>
    </row>
    <row r="115" spans="2:21">
      <c r="B115" s="5"/>
      <c r="C115" s="5"/>
      <c r="D115" s="5"/>
      <c r="E115" s="5"/>
      <c r="F115" s="5"/>
      <c r="G115" s="5"/>
      <c r="H115" s="5"/>
      <c r="I115" s="5"/>
      <c r="J115" s="5"/>
      <c r="K115" s="5"/>
      <c r="L115" s="5"/>
      <c r="M115" s="5"/>
      <c r="N115" s="5"/>
      <c r="O115" s="5"/>
      <c r="Q115" s="5"/>
      <c r="R115" s="5"/>
      <c r="S115" s="5"/>
      <c r="T115" s="5"/>
      <c r="U115" s="5"/>
    </row>
    <row r="116" spans="2:21">
      <c r="B116" s="5"/>
      <c r="C116" s="5"/>
      <c r="D116" s="5"/>
      <c r="E116" s="5"/>
      <c r="F116" s="5"/>
      <c r="G116" s="5"/>
      <c r="H116" s="5"/>
      <c r="I116" s="254"/>
      <c r="J116" s="49"/>
      <c r="K116" s="49"/>
      <c r="L116" s="49"/>
      <c r="M116" s="49"/>
      <c r="N116" s="49"/>
      <c r="O116" s="49"/>
      <c r="Q116" s="5"/>
      <c r="R116" s="5"/>
      <c r="S116" s="5"/>
      <c r="T116" s="5"/>
      <c r="U116" s="5"/>
    </row>
    <row r="117" spans="2:21">
      <c r="B117" s="41"/>
      <c r="C117" s="49"/>
      <c r="D117" s="49"/>
      <c r="E117" s="49"/>
      <c r="F117" s="49"/>
      <c r="G117" s="49"/>
      <c r="H117" s="49"/>
      <c r="I117" s="249"/>
      <c r="J117" s="5"/>
      <c r="K117" s="5"/>
      <c r="L117" s="5"/>
      <c r="M117" s="5"/>
      <c r="N117" s="5"/>
      <c r="O117" s="5"/>
      <c r="Q117" s="5"/>
      <c r="R117" s="5"/>
      <c r="S117" s="5"/>
      <c r="T117" s="5"/>
      <c r="U117" s="5"/>
    </row>
    <row r="118" spans="2:21">
      <c r="B118" s="5"/>
      <c r="C118" s="5"/>
      <c r="D118" s="5"/>
      <c r="E118" s="5"/>
      <c r="F118" s="5"/>
      <c r="G118" s="5"/>
      <c r="H118" s="5"/>
      <c r="I118" s="254"/>
      <c r="J118" s="254"/>
      <c r="K118" s="254"/>
      <c r="L118" s="254"/>
      <c r="M118" s="254"/>
      <c r="N118" s="254"/>
      <c r="O118" s="248"/>
      <c r="Q118" s="5"/>
      <c r="R118" s="5"/>
      <c r="S118" s="5"/>
      <c r="T118" s="5"/>
      <c r="U118" s="5"/>
    </row>
    <row r="119" spans="2:21">
      <c r="B119" s="41"/>
      <c r="C119" s="254"/>
      <c r="D119" s="254"/>
      <c r="E119" s="254"/>
      <c r="F119" s="254"/>
      <c r="G119" s="254"/>
      <c r="H119" s="254"/>
      <c r="I119" s="254"/>
      <c r="J119" s="249"/>
      <c r="K119" s="249"/>
      <c r="L119" s="249"/>
      <c r="M119" s="249"/>
      <c r="N119" s="249"/>
      <c r="O119" s="248"/>
      <c r="Q119" s="5"/>
      <c r="R119" s="5"/>
      <c r="S119" s="5"/>
      <c r="T119" s="5"/>
      <c r="U119" s="5"/>
    </row>
    <row r="120" spans="2:21">
      <c r="B120" s="41"/>
      <c r="C120" s="254"/>
      <c r="D120" s="249"/>
      <c r="E120" s="249"/>
      <c r="F120" s="249"/>
      <c r="G120" s="249"/>
      <c r="H120" s="249"/>
      <c r="I120" s="254"/>
      <c r="J120" s="254"/>
      <c r="K120" s="254"/>
      <c r="L120" s="254"/>
      <c r="M120" s="254"/>
      <c r="N120" s="254"/>
      <c r="O120" s="248"/>
      <c r="Q120" s="5"/>
      <c r="R120" s="5"/>
      <c r="S120" s="5"/>
      <c r="T120" s="5"/>
      <c r="U120" s="5"/>
    </row>
    <row r="121" spans="2:21">
      <c r="B121" s="41"/>
      <c r="C121" s="254"/>
      <c r="D121" s="254"/>
      <c r="E121" s="254"/>
      <c r="F121" s="254"/>
      <c r="G121" s="254"/>
      <c r="H121" s="254"/>
      <c r="I121" s="254"/>
      <c r="J121" s="254"/>
      <c r="K121" s="254"/>
      <c r="L121" s="254"/>
      <c r="M121" s="254"/>
      <c r="N121" s="254"/>
      <c r="O121" s="248"/>
      <c r="Q121" s="5"/>
      <c r="R121" s="5"/>
      <c r="S121" s="5"/>
      <c r="T121" s="5"/>
      <c r="U121" s="5"/>
    </row>
    <row r="122" spans="2:21">
      <c r="B122" s="41"/>
      <c r="C122" s="254"/>
      <c r="D122" s="254"/>
      <c r="E122" s="254"/>
      <c r="F122" s="254"/>
      <c r="G122" s="254"/>
      <c r="H122" s="254"/>
      <c r="I122" s="254"/>
      <c r="J122" s="254"/>
      <c r="K122" s="254"/>
      <c r="L122" s="254"/>
      <c r="M122" s="254"/>
      <c r="N122" s="254"/>
      <c r="O122" s="248"/>
      <c r="Q122" s="5"/>
      <c r="R122" s="5"/>
      <c r="S122" s="5"/>
      <c r="T122" s="5"/>
      <c r="U122" s="5"/>
    </row>
    <row r="123" spans="2:21">
      <c r="B123" s="41"/>
      <c r="C123" s="254"/>
      <c r="D123" s="254"/>
      <c r="E123" s="254"/>
      <c r="F123" s="254"/>
      <c r="G123" s="254"/>
      <c r="H123" s="254"/>
      <c r="I123" s="254"/>
      <c r="J123" s="254"/>
      <c r="K123" s="254"/>
      <c r="L123" s="254"/>
      <c r="M123" s="254"/>
      <c r="N123" s="254"/>
      <c r="O123" s="248"/>
      <c r="Q123" s="5"/>
      <c r="R123" s="5"/>
      <c r="S123" s="5"/>
      <c r="T123" s="5"/>
      <c r="U123" s="5"/>
    </row>
    <row r="124" spans="2:21">
      <c r="B124" s="41"/>
      <c r="C124" s="254"/>
      <c r="D124" s="254"/>
      <c r="E124" s="254"/>
      <c r="F124" s="254"/>
      <c r="G124" s="254"/>
      <c r="H124" s="254"/>
      <c r="I124" s="254"/>
      <c r="J124" s="254"/>
      <c r="K124" s="254"/>
      <c r="L124" s="254"/>
      <c r="M124" s="254"/>
      <c r="N124" s="254"/>
      <c r="O124" s="5"/>
      <c r="Q124" s="5"/>
      <c r="R124" s="5"/>
      <c r="S124" s="5"/>
      <c r="T124" s="5"/>
      <c r="U124" s="5"/>
    </row>
    <row r="125" spans="2:21">
      <c r="B125" s="41"/>
      <c r="C125" s="254"/>
      <c r="D125" s="254"/>
      <c r="E125" s="254"/>
      <c r="F125" s="254"/>
      <c r="G125" s="254"/>
      <c r="H125" s="254"/>
      <c r="I125" s="254"/>
      <c r="J125" s="254"/>
      <c r="K125" s="254"/>
      <c r="L125" s="254"/>
      <c r="M125" s="254"/>
      <c r="N125" s="254"/>
      <c r="O125" s="5"/>
      <c r="Q125" s="5"/>
      <c r="R125" s="5"/>
      <c r="S125" s="5"/>
      <c r="T125" s="5"/>
      <c r="U125" s="5"/>
    </row>
    <row r="126" spans="2:21">
      <c r="B126" s="41"/>
      <c r="C126" s="254"/>
      <c r="D126" s="254"/>
      <c r="E126" s="254"/>
      <c r="F126" s="254"/>
      <c r="G126" s="254"/>
      <c r="H126" s="254"/>
      <c r="I126" s="18"/>
      <c r="J126" s="254"/>
      <c r="K126" s="254"/>
      <c r="L126" s="254"/>
      <c r="M126" s="254"/>
      <c r="N126" s="254"/>
      <c r="O126" s="5"/>
      <c r="Q126" s="5"/>
      <c r="R126" s="5"/>
      <c r="S126" s="5"/>
      <c r="T126" s="5"/>
      <c r="U126" s="5"/>
    </row>
    <row r="127" spans="2:21">
      <c r="B127" s="41"/>
      <c r="C127" s="254"/>
      <c r="D127" s="254"/>
      <c r="E127" s="254"/>
      <c r="F127" s="254"/>
      <c r="G127" s="254"/>
      <c r="H127" s="254"/>
      <c r="I127" s="5"/>
      <c r="J127" s="254"/>
      <c r="K127" s="254"/>
      <c r="L127" s="254"/>
      <c r="M127" s="254"/>
      <c r="N127" s="254"/>
      <c r="O127" s="5"/>
      <c r="Q127" s="5"/>
      <c r="R127" s="5"/>
      <c r="S127" s="5"/>
      <c r="T127" s="5"/>
      <c r="U127" s="5"/>
    </row>
    <row r="128" spans="2:21">
      <c r="B128" s="41"/>
      <c r="C128" s="254"/>
      <c r="D128" s="254"/>
      <c r="E128" s="254"/>
      <c r="F128" s="254"/>
      <c r="G128" s="254"/>
      <c r="H128" s="254"/>
      <c r="I128" s="254"/>
      <c r="J128" s="18"/>
      <c r="K128" s="18"/>
      <c r="L128" s="18"/>
      <c r="M128" s="18"/>
      <c r="N128" s="18"/>
      <c r="O128" s="5"/>
      <c r="Q128" s="5"/>
      <c r="R128" s="5"/>
      <c r="S128" s="5"/>
      <c r="T128" s="5"/>
      <c r="U128" s="5"/>
    </row>
    <row r="129" spans="2:27">
      <c r="B129" s="5"/>
      <c r="C129" s="5"/>
      <c r="D129" s="18"/>
      <c r="E129" s="18"/>
      <c r="F129" s="18"/>
      <c r="G129" s="18"/>
      <c r="H129" s="18"/>
      <c r="I129" s="18"/>
      <c r="J129" s="5"/>
      <c r="K129" s="5"/>
      <c r="L129" s="5"/>
      <c r="M129" s="5"/>
      <c r="N129" s="5"/>
      <c r="O129" s="5"/>
      <c r="Q129" s="5"/>
      <c r="R129" s="5"/>
      <c r="S129" s="5"/>
      <c r="T129" s="5"/>
      <c r="U129" s="5"/>
    </row>
    <row r="130" spans="2:27">
      <c r="B130" s="5"/>
      <c r="C130" s="5"/>
      <c r="D130" s="5"/>
      <c r="E130" s="5"/>
      <c r="F130" s="5"/>
      <c r="G130" s="5"/>
      <c r="H130" s="5"/>
      <c r="I130" s="5"/>
      <c r="J130" s="254"/>
      <c r="K130" s="254"/>
      <c r="L130" s="254"/>
      <c r="M130" s="254"/>
      <c r="N130" s="254"/>
      <c r="O130" s="5"/>
      <c r="Q130" s="5"/>
      <c r="R130" s="5"/>
      <c r="S130" s="5"/>
      <c r="T130" s="5"/>
      <c r="U130" s="5"/>
    </row>
    <row r="131" spans="2:27">
      <c r="B131" s="41"/>
      <c r="C131" s="254"/>
      <c r="D131" s="254"/>
      <c r="E131" s="254"/>
      <c r="F131" s="254"/>
      <c r="G131" s="254"/>
      <c r="H131" s="254"/>
      <c r="I131" s="5"/>
      <c r="J131" s="18"/>
      <c r="K131" s="18"/>
      <c r="L131" s="18"/>
      <c r="M131" s="18"/>
      <c r="N131" s="18"/>
      <c r="O131" s="5"/>
      <c r="Q131" s="5"/>
      <c r="R131" s="5"/>
      <c r="S131" s="5"/>
      <c r="T131" s="5"/>
      <c r="U131" s="5"/>
    </row>
    <row r="132" spans="2:27">
      <c r="B132" s="5"/>
      <c r="C132" s="259"/>
      <c r="D132" s="18"/>
      <c r="E132" s="18"/>
      <c r="F132" s="18"/>
      <c r="G132" s="18"/>
      <c r="H132" s="18"/>
      <c r="I132" s="17"/>
      <c r="J132" s="5"/>
      <c r="K132" s="5"/>
      <c r="L132" s="5"/>
      <c r="M132" s="5"/>
      <c r="N132" s="5"/>
      <c r="O132" s="5"/>
      <c r="Q132" s="5"/>
      <c r="R132" s="5"/>
      <c r="S132" s="5"/>
      <c r="T132" s="5"/>
      <c r="U132" s="5"/>
    </row>
    <row r="133" spans="2:27">
      <c r="B133" s="5"/>
      <c r="C133" s="5"/>
      <c r="D133" s="5"/>
      <c r="E133" s="5"/>
      <c r="F133" s="5"/>
      <c r="G133" s="5"/>
      <c r="H133" s="5"/>
      <c r="I133" s="17"/>
      <c r="J133" s="5"/>
      <c r="K133" s="5"/>
      <c r="L133" s="5"/>
      <c r="M133" s="5"/>
      <c r="N133" s="5"/>
      <c r="O133" s="5"/>
      <c r="Q133" s="5"/>
      <c r="R133" s="5"/>
      <c r="S133" s="5"/>
      <c r="T133" s="5"/>
      <c r="U133" s="5"/>
    </row>
    <row r="134" spans="2:27">
      <c r="B134" s="41"/>
      <c r="C134" s="5"/>
      <c r="D134" s="5"/>
      <c r="E134" s="5"/>
      <c r="F134" s="5"/>
      <c r="G134" s="5"/>
      <c r="H134" s="5"/>
      <c r="I134" s="17"/>
      <c r="J134" s="17"/>
      <c r="K134" s="17"/>
      <c r="L134" s="17"/>
      <c r="M134" s="17"/>
      <c r="N134" s="17"/>
      <c r="O134" s="5"/>
      <c r="Q134" s="41"/>
      <c r="R134" s="5"/>
      <c r="S134" s="5"/>
      <c r="T134" s="5"/>
      <c r="U134" s="5"/>
    </row>
    <row r="135" spans="2:27">
      <c r="B135" s="5"/>
      <c r="C135" s="17"/>
      <c r="D135" s="17"/>
      <c r="E135" s="17"/>
      <c r="F135" s="17"/>
      <c r="G135" s="17"/>
      <c r="H135" s="17"/>
      <c r="I135" s="17"/>
      <c r="J135" s="17"/>
      <c r="K135" s="17"/>
      <c r="L135" s="17"/>
      <c r="M135" s="17"/>
      <c r="N135" s="17"/>
      <c r="O135" s="5"/>
      <c r="Q135" s="5"/>
      <c r="R135" s="5"/>
      <c r="S135" s="5"/>
      <c r="T135" s="5"/>
      <c r="U135" s="5"/>
      <c r="X135" s="304"/>
    </row>
    <row r="136" spans="2:27">
      <c r="B136" s="5"/>
      <c r="C136" s="17"/>
      <c r="D136" s="17"/>
      <c r="E136" s="17"/>
      <c r="F136" s="17"/>
      <c r="G136" s="17"/>
      <c r="H136" s="17"/>
      <c r="I136" s="17"/>
      <c r="J136" s="17"/>
      <c r="K136" s="17"/>
      <c r="L136" s="17"/>
      <c r="M136" s="17"/>
      <c r="N136" s="17"/>
      <c r="O136" s="5"/>
      <c r="Q136" s="5"/>
      <c r="R136" s="5"/>
      <c r="S136" s="5"/>
      <c r="T136" s="5"/>
      <c r="U136" s="5"/>
      <c r="X136" s="10"/>
      <c r="Y136" s="304"/>
      <c r="Z136" s="304"/>
      <c r="AA136" s="304"/>
    </row>
    <row r="137" spans="2:27">
      <c r="B137" s="5"/>
      <c r="C137" s="5"/>
      <c r="D137" s="17"/>
      <c r="E137" s="17"/>
      <c r="F137" s="17"/>
      <c r="G137" s="17"/>
      <c r="H137" s="17"/>
      <c r="I137" s="17"/>
      <c r="J137" s="17"/>
      <c r="K137" s="17"/>
      <c r="L137" s="17"/>
      <c r="M137" s="17"/>
      <c r="N137" s="17"/>
      <c r="O137" s="5"/>
      <c r="Q137" s="5"/>
      <c r="R137" s="5"/>
      <c r="S137" s="5"/>
      <c r="T137" s="5"/>
      <c r="U137" s="5"/>
      <c r="Y137" s="10"/>
      <c r="Z137" s="10"/>
      <c r="AA137" s="10"/>
    </row>
    <row r="138" spans="2:27">
      <c r="B138" s="5"/>
      <c r="C138" s="5"/>
      <c r="D138" s="17"/>
      <c r="E138" s="17"/>
      <c r="F138" s="17"/>
      <c r="G138" s="17"/>
      <c r="H138" s="17"/>
      <c r="I138" s="5"/>
      <c r="J138" s="17"/>
      <c r="K138" s="17"/>
      <c r="L138" s="17"/>
      <c r="M138" s="17"/>
      <c r="N138" s="17"/>
      <c r="O138" s="5"/>
      <c r="Q138" s="5"/>
      <c r="R138" s="5"/>
      <c r="S138" s="5"/>
      <c r="T138" s="5"/>
      <c r="U138" s="5"/>
    </row>
    <row r="139" spans="2:27">
      <c r="B139" s="5"/>
      <c r="C139" s="5"/>
      <c r="D139" s="17"/>
      <c r="E139" s="17"/>
      <c r="F139" s="17"/>
      <c r="G139" s="17"/>
      <c r="H139" s="17"/>
      <c r="I139" s="5"/>
      <c r="J139" s="17"/>
      <c r="K139" s="17"/>
      <c r="L139" s="17"/>
      <c r="M139" s="17"/>
      <c r="N139" s="17"/>
      <c r="O139" s="5"/>
      <c r="Q139" s="5"/>
      <c r="R139" s="5"/>
      <c r="S139" s="5"/>
      <c r="T139" s="5"/>
      <c r="U139" s="5"/>
    </row>
    <row r="140" spans="2:27">
      <c r="B140" s="5"/>
      <c r="C140" s="17"/>
      <c r="D140" s="17"/>
      <c r="E140" s="17"/>
      <c r="F140" s="17"/>
      <c r="G140" s="17"/>
      <c r="H140" s="17"/>
      <c r="I140" s="5"/>
      <c r="J140" s="5"/>
      <c r="K140" s="5"/>
      <c r="L140" s="5"/>
      <c r="M140" s="5"/>
      <c r="N140" s="5"/>
      <c r="O140" s="5"/>
      <c r="Q140" s="5"/>
      <c r="R140" s="5"/>
      <c r="S140" s="5"/>
      <c r="T140" s="5"/>
      <c r="U140" s="5"/>
    </row>
    <row r="141" spans="2:27">
      <c r="B141" s="5"/>
      <c r="C141" s="5"/>
      <c r="D141" s="5"/>
      <c r="E141" s="5"/>
      <c r="F141" s="5"/>
      <c r="G141" s="5"/>
      <c r="H141" s="5"/>
      <c r="I141" s="5"/>
      <c r="J141" s="5"/>
      <c r="K141" s="5"/>
      <c r="L141" s="5"/>
      <c r="M141" s="5"/>
      <c r="N141" s="5"/>
      <c r="O141" s="5"/>
      <c r="Q141" s="5"/>
      <c r="R141" s="5"/>
      <c r="S141" s="5"/>
      <c r="T141" s="5"/>
      <c r="U141" s="5"/>
    </row>
    <row r="142" spans="2:27">
      <c r="B142" s="5"/>
      <c r="C142" s="5"/>
      <c r="D142" s="5"/>
      <c r="E142" s="5"/>
      <c r="F142" s="5"/>
      <c r="G142" s="5"/>
      <c r="H142" s="5"/>
      <c r="I142" s="5"/>
      <c r="J142" s="5"/>
      <c r="K142" s="5"/>
      <c r="L142" s="5"/>
      <c r="M142" s="5"/>
      <c r="N142" s="5"/>
      <c r="O142" s="5"/>
      <c r="Q142" s="5"/>
      <c r="R142" s="5"/>
      <c r="S142" s="5"/>
      <c r="T142" s="5"/>
      <c r="U142" s="5"/>
    </row>
    <row r="143" spans="2:27">
      <c r="B143" s="5"/>
      <c r="C143" s="5"/>
      <c r="D143" s="5"/>
      <c r="E143" s="5"/>
      <c r="F143" s="5"/>
      <c r="G143" s="5"/>
      <c r="H143" s="5"/>
      <c r="I143" s="5"/>
      <c r="J143" s="5"/>
      <c r="K143" s="5"/>
      <c r="L143" s="5"/>
      <c r="M143" s="5"/>
      <c r="N143" s="5"/>
      <c r="O143" s="5"/>
      <c r="Q143" s="5"/>
      <c r="R143" s="5"/>
      <c r="S143" s="5"/>
      <c r="T143" s="5"/>
      <c r="U143" s="5"/>
    </row>
    <row r="144" spans="2:27">
      <c r="B144" s="5"/>
      <c r="C144" s="5"/>
      <c r="D144" s="5"/>
      <c r="E144" s="5"/>
      <c r="F144" s="5"/>
      <c r="G144" s="5"/>
      <c r="H144" s="5"/>
      <c r="I144" s="5"/>
      <c r="J144" s="5"/>
      <c r="K144" s="5"/>
      <c r="L144" s="5"/>
      <c r="M144" s="5"/>
      <c r="N144" s="5"/>
      <c r="O144" s="5"/>
      <c r="Q144" s="5"/>
      <c r="R144" s="5"/>
      <c r="S144" s="5"/>
      <c r="T144" s="5"/>
      <c r="U144" s="5"/>
    </row>
    <row r="145" spans="2:21">
      <c r="B145" s="5"/>
      <c r="C145" s="5"/>
      <c r="D145" s="5"/>
      <c r="E145" s="5"/>
      <c r="F145" s="5"/>
      <c r="G145" s="5"/>
      <c r="H145" s="5"/>
      <c r="I145" s="5"/>
      <c r="J145" s="5"/>
      <c r="K145" s="5"/>
      <c r="L145" s="5"/>
      <c r="M145" s="5"/>
      <c r="N145" s="5"/>
      <c r="O145" s="5"/>
      <c r="Q145" s="5"/>
      <c r="R145" s="5"/>
      <c r="S145" s="5"/>
      <c r="T145" s="5"/>
      <c r="U145" s="5"/>
    </row>
    <row r="146" spans="2:21">
      <c r="B146" s="5"/>
      <c r="C146" s="5"/>
      <c r="D146" s="5"/>
      <c r="E146" s="5"/>
      <c r="F146" s="5"/>
      <c r="G146" s="5"/>
      <c r="H146" s="5"/>
      <c r="I146" s="5"/>
      <c r="J146" s="5"/>
      <c r="K146" s="5"/>
      <c r="L146" s="5"/>
      <c r="M146" s="5"/>
      <c r="N146" s="5"/>
      <c r="O146" s="5"/>
      <c r="Q146" s="5"/>
      <c r="R146" s="5"/>
      <c r="S146" s="5"/>
      <c r="T146" s="5"/>
      <c r="U146" s="5"/>
    </row>
    <row r="147" spans="2:21">
      <c r="B147" s="5"/>
      <c r="C147" s="5"/>
      <c r="D147" s="5"/>
      <c r="E147" s="5"/>
      <c r="F147" s="5"/>
      <c r="G147" s="5"/>
      <c r="H147" s="5"/>
      <c r="I147" s="5"/>
      <c r="J147" s="5"/>
      <c r="K147" s="5"/>
      <c r="L147" s="5"/>
      <c r="M147" s="5"/>
      <c r="N147" s="5"/>
      <c r="O147" s="5"/>
      <c r="Q147" s="5"/>
      <c r="R147" s="5"/>
      <c r="S147" s="5"/>
      <c r="T147" s="5"/>
      <c r="U147" s="5"/>
    </row>
    <row r="148" spans="2:21">
      <c r="B148" s="5"/>
      <c r="C148" s="5"/>
      <c r="D148" s="5"/>
      <c r="E148" s="5"/>
      <c r="F148" s="5"/>
      <c r="G148" s="5"/>
      <c r="H148" s="5"/>
      <c r="J148" s="5"/>
      <c r="K148" s="5"/>
      <c r="L148" s="5"/>
      <c r="M148" s="5"/>
      <c r="N148" s="5"/>
      <c r="O148" s="5"/>
      <c r="Q148" s="5"/>
      <c r="R148" s="5"/>
      <c r="S148" s="5"/>
      <c r="T148" s="5"/>
      <c r="U148" s="5"/>
    </row>
    <row r="149" spans="2:21">
      <c r="B149" s="5"/>
      <c r="C149" s="5"/>
      <c r="D149" s="5"/>
      <c r="E149" s="5"/>
      <c r="F149" s="5"/>
      <c r="G149" s="5"/>
      <c r="H149" s="5"/>
      <c r="J149" s="5"/>
      <c r="K149" s="5"/>
      <c r="L149" s="5"/>
      <c r="M149" s="5"/>
      <c r="N149" s="5"/>
      <c r="O149" s="5"/>
      <c r="Q149" s="5"/>
      <c r="R149" s="5"/>
      <c r="S149" s="5"/>
      <c r="T149" s="5"/>
      <c r="U149" s="5"/>
    </row>
    <row r="150" spans="2:21">
      <c r="B150" s="5"/>
      <c r="C150" s="5"/>
      <c r="D150" s="5"/>
      <c r="E150" s="5"/>
      <c r="F150" s="5"/>
      <c r="G150" s="5"/>
      <c r="H150" s="5"/>
      <c r="Q150" s="5"/>
      <c r="R150" s="5"/>
      <c r="S150" s="5"/>
      <c r="T150" s="5"/>
      <c r="U150" s="5"/>
    </row>
    <row r="151" spans="2:21">
      <c r="Q151" s="5"/>
      <c r="R151" s="5"/>
      <c r="S151" s="5"/>
      <c r="T151" s="5"/>
      <c r="U151" s="5"/>
    </row>
    <row r="152" spans="2:21">
      <c r="Q152" s="5"/>
      <c r="R152" s="5"/>
      <c r="S152" s="5"/>
      <c r="T152" s="5"/>
      <c r="U152" s="5"/>
    </row>
    <row r="153" spans="2:21">
      <c r="C153" s="263"/>
      <c r="Q153" s="5"/>
      <c r="R153" s="5"/>
      <c r="S153" s="5"/>
      <c r="T153" s="5"/>
      <c r="U153" s="5"/>
    </row>
    <row r="154" spans="2:21">
      <c r="Q154" s="5"/>
      <c r="R154" s="5"/>
      <c r="S154" s="5"/>
      <c r="T154" s="5"/>
      <c r="U154" s="5"/>
    </row>
    <row r="155" spans="2:21">
      <c r="Q155" s="5"/>
      <c r="R155" s="5"/>
      <c r="S155" s="5"/>
      <c r="T155" s="5"/>
      <c r="U155" s="5"/>
    </row>
    <row r="156" spans="2:21">
      <c r="Q156" s="5"/>
      <c r="R156" s="5"/>
      <c r="S156" s="5"/>
      <c r="T156" s="5"/>
      <c r="U156" s="5"/>
    </row>
    <row r="157" spans="2:21">
      <c r="Q157" s="5"/>
      <c r="R157" s="5"/>
      <c r="S157" s="5"/>
      <c r="T157" s="5"/>
      <c r="U157" s="5"/>
    </row>
    <row r="158" spans="2:21">
      <c r="Q158" s="5"/>
      <c r="R158" s="5"/>
      <c r="S158" s="5"/>
      <c r="T158" s="5"/>
      <c r="U158" s="5"/>
    </row>
    <row r="159" spans="2:21">
      <c r="Q159" s="5"/>
      <c r="R159" s="5"/>
      <c r="S159" s="5"/>
      <c r="T159" s="5"/>
      <c r="U159" s="5"/>
    </row>
    <row r="160" spans="2:21">
      <c r="Q160" s="5"/>
      <c r="R160" s="5"/>
      <c r="S160" s="5"/>
      <c r="T160" s="5"/>
      <c r="U160" s="5"/>
    </row>
    <row r="161" spans="17:21">
      <c r="Q161" s="5"/>
      <c r="R161" s="5"/>
      <c r="S161" s="5"/>
      <c r="T161" s="5"/>
      <c r="U161" s="5"/>
    </row>
    <row r="162" spans="17:21">
      <c r="Q162" s="5"/>
      <c r="R162" s="5"/>
      <c r="S162" s="5"/>
      <c r="T162" s="5"/>
      <c r="U162" s="5"/>
    </row>
    <row r="163" spans="17:21">
      <c r="Q163" s="5"/>
      <c r="R163" s="5"/>
      <c r="S163" s="5"/>
      <c r="T163" s="5"/>
      <c r="U163" s="5"/>
    </row>
    <row r="164" spans="17:21">
      <c r="Q164" s="5"/>
      <c r="R164" s="5"/>
      <c r="S164" s="5"/>
      <c r="T164" s="5"/>
      <c r="U164" s="5"/>
    </row>
  </sheetData>
  <phoneticPr fontId="7" type="noConversion"/>
  <pageMargins left="0.75" right="0.75" top="1" bottom="1" header="0.5" footer="0.5"/>
  <pageSetup scale="21" orientation="landscape" r:id="rId1"/>
  <headerFooter alignWithMargins="0"/>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FdsFormulaCache xmlns="urn:fdsformulacache" version="2" timestamp="1717160666"><![CDATA[{"532822-IN^FG_PRICE":15.11,"TLS-AU^FG_PRICE":3.45,"TIT-IT^FG_PRICE":0.2463,"DTE-DE^FG_PRICE":21.76,"USDHUF^FG_PRICE":354.6008,"TPG-AU^FG_PRICE":4.6,"USDCNY^FG_PRICE":7.2448,"030200-KR^FG_PRICE":36350.0,"USDZAR^FG_PRICE":18.42375,"T-US^FG_PRICE":17.5,"762-HK^FG_PRICE":6.2,"ELISA-FI^FG_PRICE":41.62,"4904-TW^FG_PRICE":84.0,"LBTYA-US^FG_PRICE":16.24,"SPK-NZ^FG_PRICE":4.19,"USDDKK^FG_PRICE":6.8793,"USDJPY^FG_PRICE":156.975,"EURUSD^FG_PRICE":1.0846,"CNU-NZ^FG_PRICE":7.305,"USDLTL^FG_PRICE":3.1834779,"TLKM-ID^FG_PRICE":2940.0,"USDMAD^FG_PRICE":9.95725,"532454-IN^FG_PRICE":1388.6,"USDSGD^FG_PRICE":1.34995,"USDCLP^FG_PRICE":899.85,"DISH-US^FG_PRICE":null,"USDKWD^FG_PRICE":0.3071,"TEL2.B-SE^FG_PRICE":101.05,"BBVA-ES^FG_PRICE":9.964,"USDKES^FG_PRICE":133.0,"1310-HK^FG_PRICE":2.57,"ENTEL-CL^FG_PRICE":3022.0,"TEL-NO^FG_PRICE":123.7,"USDNOK^FG_PRICE":10.56885,"FYBR-US^FG_PRICE":25.58,"9433-JP^FG_PRICE":4302.0,"USDAUD^FG_PRICE":1.5084094,"USDMYR^FG_PRICE":4.7115,"ATUS-US^FG_PRICE":2.33,"USDCZK^FG_PRICE":22.7448,"USDKRW^FG_PRICE":1369.5,"USDMXN^FG_PRICE":16.7225,"NOS-PT^FG_PRICE":3.345,"LBTYB-US^FG_PRICE":16.9,"TEF-ES^FG_PRICE":4.155,"USDBDT^FG_PRICE":117.7,"USDBRL^FG_PRICE":5.1515,"CCI-US^FG_PRICE":98.12,"UTDI-DE^FG_PRICE":22.08,"TIGO-US^FG_PRICE":24.09,"INW-IT^FG_PRICE":9.99,"USDTRY^FG_PRICE":32.214,"SBAC-US^FG_PRICE":188.09,"USDGBP^FG_PRICE":0.7850218,"Z74-SG^FG_PRICE":2.42,"TCELL.E-TR^FG_PRICE":91.8,"EXCL-ID^FG_PRICE":2470.0,"9432-JP^FG_PRICE":152.6,"VIVT3-BR^FG_PRICE":45.9,"HTO-GR^FG_PRICE":13.75,"VOD-ZA^FG_PRICE":95.81,"USDTHB^FG_PRICE":36.685,"728-HK^FG_PRICE":4.44,"USDRUB^FG_PRICE":89.3,"ISAT-ID^FG_PRICE":10075.0,"CMCSA-US^FG_PRICE":38.54,"6947-MY^FG_PRICE":4.05,"MCG-ZA^FG_PRICE":115.5,"2412-TW^FG_PRICE":127.0,"032640-KR^FG_PRICE":9770.0,"USDPKR^FG_PRICE":278.2,"TKG-ZA^FG_PRICE":25.27,"TITR-IT^FG_PRICE":0.2705,"TV-US^FG_PRICE":3.14,"TEL2.A-SE^FG_PRICE":104.0,"VOD-GB^FG_PRICE":0.735,"CHTR-US^FG_PRICE":271.46,"USDLKR^FG_PRICE":299.995,"IAM-FR^FG_PRICE":8.0,"SATS-US^FG_PRICE":18.49,"9434-JP^FG_PRICE":1897.5,"USDEGP^FG_PRICE":47.15,"TBIG-ID^FG_PRICE":1850.0,"USDTWD^FG_PRICE":32.268,"USDHKD^FG_PRICE":7.8135,"USDPLN^FG_PRICE":3.9261,"LBTYK-US^FG_PRICE":16.65,"3045-TW^FG_PRICE":106.5,"VEON-US^FG_PRICE":25.53,"USDCAD^FG_PRICE":1.36695,"TRUE-TH^FG_PRICE":8.0,"AMXB-MX^FG_PRICE":16.22,"TMUS-US^FG_PRICE":166.0,"PROX-BE^FG_PRICE":7.4,"LILAB-US^FG_PRICE":16.0,"1U1-DE^FG_PRICE":17.5,"941-HK^FG_PRICE":73.2,"AAF-GB^FG_PRICE":1.21,"USDCHF^FG_PRICE":0.91455,"LILAK-US^FG_PRICE":8.55,"USDPHP^FG_PRICE":58.1925,"OIBR3-BR^FG_PRICE":0.59,"TIMS3-BR^FG_PRICE":16.42,"OIBR4-BR^FG_PRICE":1.78,"USDIDR^FG_PRICE":15992.5,"788-HK^FG_PRICE":0.92,"O2D-DE^FG_PRICE":2.348,"USDSEK^FG_PRICE":10.6539,"VZ-US^FG_PRICE":39.74,"USDARS^FG_PRICE":890.7479,"ORA-FR^FG_PRICE":10.675,"SCMN-CH^FG_PRICE":492.0,"TTKOM.E-TR^FG_PRICE":45.9,"ADVANC-TH^FG_PRICE":207.0,"017670-KR^FG_PRICE":51800.0,"TELIA-SE^FG_PRICE":26.39,"BT.A-GB^FG_PRICE":1.271,"MEGACPO-MX^FG_PRICE":52.16,"MTEL-ID^FG_PRICE":605.0,"AMT-US^FG_PRICE":185.93,"OBEL-BE^FG_PRICE":14.92,"SITES1A.1-MX^FG_PRICE":19.26,"NZDUSD^FG_PRICE":0.61175,"SCOM-KE^FG_PRICE":17.75,"USDQAR^FG_PRICE":3.641,"CLNX-ES^FG_PRICE":33.45,"4755-JP^FG_PRICE":775.9,"IHS-USA^FG_PRICE":3.34,"ST1-AU^FG_PRICE":0.041,"KPN-NL^FG_PRICE":3.444,"6012-MY^FG_PRICE":3.71,"TOWR-ID^FG_PRICE":765.0,"MAQ-AU^FG_PRICE":85.2,"534816-IN^FG_PRICE":346.65,"LILA-US^FG_PRICE":8.54,"MTN-ZA^FG_PRICE":86.08,"USDINR^FG_PRICE":83.0975,"6888-MY^FG_PRICE":2.87}]]></FdsFormulaCache>
</file>

<file path=customXml/itemProps1.xml><?xml version="1.0" encoding="utf-8"?>
<ds:datastoreItem xmlns:ds="http://schemas.openxmlformats.org/officeDocument/2006/customXml" ds:itemID="{5E75C8D6-44DD-4603-BFC9-EB16915B730D}">
  <ds:schemaRefs>
    <ds:schemaRef ds:uri="urn:fdsformulacache"/>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148</vt:i4>
      </vt:variant>
      <vt:variant>
        <vt:lpstr>Named Ranges</vt:lpstr>
      </vt:variant>
      <vt:variant>
        <vt:i4>800</vt:i4>
      </vt:variant>
    </vt:vector>
  </HeadingPairs>
  <TitlesOfParts>
    <vt:vector size="948" baseType="lpstr">
      <vt:lpstr>Cover</vt:lpstr>
      <vt:lpstr>Prices</vt:lpstr>
      <vt:lpstr>DM Multiples</vt:lpstr>
      <vt:lpstr>EM Multiples</vt:lpstr>
      <vt:lpstr>Tower Multiples</vt:lpstr>
      <vt:lpstr>Sectors</vt:lpstr>
      <vt:lpstr>Disclaimer</vt:lpstr>
      <vt:lpstr>AAF</vt:lpstr>
      <vt:lpstr>ADVANCED</vt:lpstr>
      <vt:lpstr>AMT</vt:lpstr>
      <vt:lpstr>AMX</vt:lpstr>
      <vt:lpstr>ATCUS</vt:lpstr>
      <vt:lpstr>FYBR</vt:lpstr>
      <vt:lpstr>ATT</vt:lpstr>
      <vt:lpstr>AXI</vt:lpstr>
      <vt:lpstr>BHART</vt:lpstr>
      <vt:lpstr>BHIN</vt:lpstr>
      <vt:lpstr>BT</vt:lpstr>
      <vt:lpstr>CCI</vt:lpstr>
      <vt:lpstr>ChinaTow</vt:lpstr>
      <vt:lpstr>CHTR</vt:lpstr>
      <vt:lpstr>CHUNG</vt:lpstr>
      <vt:lpstr>CMCSA</vt:lpstr>
      <vt:lpstr>CLNX</vt:lpstr>
      <vt:lpstr>CNU</vt:lpstr>
      <vt:lpstr>_CM</vt:lpstr>
      <vt:lpstr>_CT</vt:lpstr>
      <vt:lpstr>_CU</vt:lpstr>
      <vt:lpstr>DIGI</vt:lpstr>
      <vt:lpstr>DRI</vt:lpstr>
      <vt:lpstr>DT</vt:lpstr>
      <vt:lpstr>ELISA</vt:lpstr>
      <vt:lpstr>ENTEL</vt:lpstr>
      <vt:lpstr>FAR</vt:lpstr>
      <vt:lpstr>HKBN</vt:lpstr>
      <vt:lpstr>IDEA</vt:lpstr>
      <vt:lpstr>IHS</vt:lpstr>
      <vt:lpstr>INWIT</vt:lpstr>
      <vt:lpstr>INDO</vt:lpstr>
      <vt:lpstr>KDDI</vt:lpstr>
      <vt:lpstr>KPN</vt:lpstr>
      <vt:lpstr>_KT</vt:lpstr>
      <vt:lpstr>_LG</vt:lpstr>
      <vt:lpstr>LBTY</vt:lpstr>
      <vt:lpstr>LiLAC</vt:lpstr>
      <vt:lpstr>MAQ</vt:lpstr>
      <vt:lpstr>MAXI</vt:lpstr>
      <vt:lpstr>MEGA</vt:lpstr>
      <vt:lpstr>MCG</vt:lpstr>
      <vt:lpstr>MILLI</vt:lpstr>
      <vt:lpstr>MITRA</vt:lpstr>
      <vt:lpstr>MTN</vt:lpstr>
      <vt:lpstr>OBEL</vt:lpstr>
      <vt:lpstr>MTS</vt:lpstr>
      <vt:lpstr>NOS</vt:lpstr>
      <vt:lpstr>NTT</vt:lpstr>
      <vt:lpstr>ORA</vt:lpstr>
      <vt:lpstr>OIBR</vt:lpstr>
      <vt:lpstr>OTE</vt:lpstr>
      <vt:lpstr>PROX</vt:lpstr>
      <vt:lpstr>PTT</vt:lpstr>
      <vt:lpstr>RAK</vt:lpstr>
      <vt:lpstr>SAF</vt:lpstr>
      <vt:lpstr>SATS</vt:lpstr>
      <vt:lpstr>SBAC</vt:lpstr>
      <vt:lpstr>SBKK</vt:lpstr>
      <vt:lpstr>SINGTEL</vt:lpstr>
      <vt:lpstr>SITES</vt:lpstr>
      <vt:lpstr>SKT</vt:lpstr>
      <vt:lpstr>SPK</vt:lpstr>
      <vt:lpstr>ST1</vt:lpstr>
      <vt:lpstr>SWISS</vt:lpstr>
      <vt:lpstr>TAIWAN</vt:lpstr>
      <vt:lpstr>TBIG</vt:lpstr>
      <vt:lpstr>TELE2</vt:lpstr>
      <vt:lpstr>TEF</vt:lpstr>
      <vt:lpstr>TELIA</vt:lpstr>
      <vt:lpstr>TI</vt:lpstr>
      <vt:lpstr>TIMP</vt:lpstr>
      <vt:lpstr>TKC</vt:lpstr>
      <vt:lpstr>TLS</vt:lpstr>
      <vt:lpstr>TKG</vt:lpstr>
      <vt:lpstr>TMUS</vt:lpstr>
      <vt:lpstr>TNOR</vt:lpstr>
      <vt:lpstr>TOWR</vt:lpstr>
      <vt:lpstr>TPG</vt:lpstr>
      <vt:lpstr>TRUECORP</vt:lpstr>
      <vt:lpstr>TVIS</vt:lpstr>
      <vt:lpstr>UTDI</vt:lpstr>
      <vt:lpstr>VIMP</vt:lpstr>
      <vt:lpstr>VIVO</vt:lpstr>
      <vt:lpstr>VODA</vt:lpstr>
      <vt:lpstr>VOD</vt:lpstr>
      <vt:lpstr>VZN</vt:lpstr>
      <vt:lpstr>XLAX</vt:lpstr>
      <vt:lpstr>PROPORTIONATES</vt:lpstr>
      <vt:lpstr>US TELCO</vt:lpstr>
      <vt:lpstr>US OTHER</vt:lpstr>
      <vt:lpstr>US TOWERS</vt:lpstr>
      <vt:lpstr>US AGG</vt:lpstr>
      <vt:lpstr>W.EUR INCUMB</vt:lpstr>
      <vt:lpstr>W.EUR OTHER</vt:lpstr>
      <vt:lpstr>W.EUR TOWER</vt:lpstr>
      <vt:lpstr>W.EUR AGG</vt:lpstr>
      <vt:lpstr>W.EUR AGG (ex Towers)</vt:lpstr>
      <vt:lpstr>DM ASIA INCUMB</vt:lpstr>
      <vt:lpstr>DM ASIA OTHER</vt:lpstr>
      <vt:lpstr>AGG DM ASIA</vt:lpstr>
      <vt:lpstr>LATAM INCUMB</vt:lpstr>
      <vt:lpstr>LATAM CELLULAR</vt:lpstr>
      <vt:lpstr>LATAM ALTNET &amp; CABLE</vt:lpstr>
      <vt:lpstr>LATAM AGG</vt:lpstr>
      <vt:lpstr>EMEA INCUMB</vt:lpstr>
      <vt:lpstr>EMEA CELLULAR</vt:lpstr>
      <vt:lpstr>EMEA AGG</vt:lpstr>
      <vt:lpstr>EM ASIA INCUMB</vt:lpstr>
      <vt:lpstr>EM ASIA CELLULAR</vt:lpstr>
      <vt:lpstr>AGG EM ASIA</vt:lpstr>
      <vt:lpstr>AGG ASIA INCUMB</vt:lpstr>
      <vt:lpstr>AGG ASIA CELLULAR</vt:lpstr>
      <vt:lpstr>AGG ASIA</vt:lpstr>
      <vt:lpstr>AGG DM INCUMB</vt:lpstr>
      <vt:lpstr>AGG DM CELLULAR</vt:lpstr>
      <vt:lpstr>AGG DM</vt:lpstr>
      <vt:lpstr>EM INCUMB</vt:lpstr>
      <vt:lpstr>EM CELLULAR</vt:lpstr>
      <vt:lpstr>EM ALTNET &amp; CABLE</vt:lpstr>
      <vt:lpstr>EM TOWERS</vt:lpstr>
      <vt:lpstr>AGG EM</vt:lpstr>
      <vt:lpstr>AXISOP</vt:lpstr>
      <vt:lpstr>BHARTSOP</vt:lpstr>
      <vt:lpstr>DTSOP</vt:lpstr>
      <vt:lpstr>ELISASOP</vt:lpstr>
      <vt:lpstr>IDEASOP</vt:lpstr>
      <vt:lpstr>KPNSOP</vt:lpstr>
      <vt:lpstr>MTNSOP</vt:lpstr>
      <vt:lpstr>OBELSOP</vt:lpstr>
      <vt:lpstr>ORASOP</vt:lpstr>
      <vt:lpstr>OTESOP</vt:lpstr>
      <vt:lpstr>PROXSOP</vt:lpstr>
      <vt:lpstr>SWISSSOP</vt:lpstr>
      <vt:lpstr>TEFSOP</vt:lpstr>
      <vt:lpstr>TELE2SOP</vt:lpstr>
      <vt:lpstr>TISOP</vt:lpstr>
      <vt:lpstr>TNORSOP</vt:lpstr>
      <vt:lpstr>TSONSOP</vt:lpstr>
      <vt:lpstr>UTDISOP</vt:lpstr>
      <vt:lpstr>VODSOP</vt:lpstr>
      <vt:lpstr>_CMm1</vt:lpstr>
      <vt:lpstr>_CMm2</vt:lpstr>
      <vt:lpstr>_CMm3</vt:lpstr>
      <vt:lpstr>_CMm4</vt:lpstr>
      <vt:lpstr>_CMm5</vt:lpstr>
      <vt:lpstr>_CTm1</vt:lpstr>
      <vt:lpstr>_CTm2</vt:lpstr>
      <vt:lpstr>_CTm3</vt:lpstr>
      <vt:lpstr>_CTm4</vt:lpstr>
      <vt:lpstr>_CTm5</vt:lpstr>
      <vt:lpstr>_CUm1</vt:lpstr>
      <vt:lpstr>_CUm2</vt:lpstr>
      <vt:lpstr>_CUm3</vt:lpstr>
      <vt:lpstr>_CUm4</vt:lpstr>
      <vt:lpstr>_CUm5</vt:lpstr>
      <vt:lpstr>_KTm1</vt:lpstr>
      <vt:lpstr>_KTm2</vt:lpstr>
      <vt:lpstr>_KTm3</vt:lpstr>
      <vt:lpstr>_KTm4</vt:lpstr>
      <vt:lpstr>_KTm5</vt:lpstr>
      <vt:lpstr>_LGm1</vt:lpstr>
      <vt:lpstr>_LGm2</vt:lpstr>
      <vt:lpstr>_LGm3</vt:lpstr>
      <vt:lpstr>_LGm4</vt:lpstr>
      <vt:lpstr>_LGm5</vt:lpstr>
      <vt:lpstr>AAF!AAFm1</vt:lpstr>
      <vt:lpstr>AAF!AAFm2</vt:lpstr>
      <vt:lpstr>AAF!AAFm3</vt:lpstr>
      <vt:lpstr>AAF!AAFm4</vt:lpstr>
      <vt:lpstr>AAF!AAFm5</vt:lpstr>
      <vt:lpstr>ADVANCEDm1</vt:lpstr>
      <vt:lpstr>ADVANCEDm2</vt:lpstr>
      <vt:lpstr>ADVANCEDm3</vt:lpstr>
      <vt:lpstr>ADVANCEDm4</vt:lpstr>
      <vt:lpstr>ADVANCEDm5</vt:lpstr>
      <vt:lpstr>altnettarget</vt:lpstr>
      <vt:lpstr>AMT!AMTm1</vt:lpstr>
      <vt:lpstr>AMT!AMTm2</vt:lpstr>
      <vt:lpstr>AMT!AMTm3</vt:lpstr>
      <vt:lpstr>AMT!AMTm4</vt:lpstr>
      <vt:lpstr>AMT!AMTm5</vt:lpstr>
      <vt:lpstr>AMTm6</vt:lpstr>
      <vt:lpstr>AMXm1</vt:lpstr>
      <vt:lpstr>AMXm2</vt:lpstr>
      <vt:lpstr>AMXm3</vt:lpstr>
      <vt:lpstr>AMXm4</vt:lpstr>
      <vt:lpstr>AMXm5</vt:lpstr>
      <vt:lpstr>ATCUSm1</vt:lpstr>
      <vt:lpstr>ATCUSm2</vt:lpstr>
      <vt:lpstr>ATCUSm3</vt:lpstr>
      <vt:lpstr>ATCUSm4</vt:lpstr>
      <vt:lpstr>ATCUSm5</vt:lpstr>
      <vt:lpstr>ATCUSm6</vt:lpstr>
      <vt:lpstr>ATTM1</vt:lpstr>
      <vt:lpstr>ATTM2</vt:lpstr>
      <vt:lpstr>ATTM3</vt:lpstr>
      <vt:lpstr>ATTM4</vt:lpstr>
      <vt:lpstr>ATTM5</vt:lpstr>
      <vt:lpstr>ATTm6</vt:lpstr>
      <vt:lpstr>axim1</vt:lpstr>
      <vt:lpstr>axim2</vt:lpstr>
      <vt:lpstr>axim3</vt:lpstr>
      <vt:lpstr>axim4</vt:lpstr>
      <vt:lpstr>axim5</vt:lpstr>
      <vt:lpstr>bhartm1</vt:lpstr>
      <vt:lpstr>bhartm2</vt:lpstr>
      <vt:lpstr>bhartm3</vt:lpstr>
      <vt:lpstr>bhartm4</vt:lpstr>
      <vt:lpstr>bhartm5</vt:lpstr>
      <vt:lpstr>BHIN!BHINm1</vt:lpstr>
      <vt:lpstr>BHIN!BHINm2</vt:lpstr>
      <vt:lpstr>BHIN!BHINm3</vt:lpstr>
      <vt:lpstr>BHIN!BHINm4</vt:lpstr>
      <vt:lpstr>BHIN!BHINm5</vt:lpstr>
      <vt:lpstr>BHINtwr1</vt:lpstr>
      <vt:lpstr>BHINtwr2</vt:lpstr>
      <vt:lpstr>BT_m1</vt:lpstr>
      <vt:lpstr>BT_m2</vt:lpstr>
      <vt:lpstr>BT_m3</vt:lpstr>
      <vt:lpstr>BT_m4</vt:lpstr>
      <vt:lpstr>BT_m5</vt:lpstr>
      <vt:lpstr>CATVtargets</vt:lpstr>
      <vt:lpstr>CCI!CCIm1</vt:lpstr>
      <vt:lpstr>CCI!CCIm2</vt:lpstr>
      <vt:lpstr>CCI!CCIm3</vt:lpstr>
      <vt:lpstr>CCI!CCIm4</vt:lpstr>
      <vt:lpstr>CCI!CCIm5</vt:lpstr>
      <vt:lpstr>CCIm6</vt:lpstr>
      <vt:lpstr>ChinaTowm1</vt:lpstr>
      <vt:lpstr>ChinaTowm2</vt:lpstr>
      <vt:lpstr>ChinaTowm3</vt:lpstr>
      <vt:lpstr>ChinaTowm4</vt:lpstr>
      <vt:lpstr>ChinaTowm5</vt:lpstr>
      <vt:lpstr>ChinaTowtwr1</vt:lpstr>
      <vt:lpstr>ChinaTowtwr2</vt:lpstr>
      <vt:lpstr>chorusrecpt</vt:lpstr>
      <vt:lpstr>CHTRM1</vt:lpstr>
      <vt:lpstr>CHTRM2</vt:lpstr>
      <vt:lpstr>CHTRM3</vt:lpstr>
      <vt:lpstr>CHTRM4</vt:lpstr>
      <vt:lpstr>CHTRM5</vt:lpstr>
      <vt:lpstr>CHTRm6</vt:lpstr>
      <vt:lpstr>CHUNGM1</vt:lpstr>
      <vt:lpstr>CHUNGM2</vt:lpstr>
      <vt:lpstr>CHUNGM3</vt:lpstr>
      <vt:lpstr>CHUNGM4</vt:lpstr>
      <vt:lpstr>CHUNGM5</vt:lpstr>
      <vt:lpstr>CLNX_m1</vt:lpstr>
      <vt:lpstr>CLNX_m2</vt:lpstr>
      <vt:lpstr>CLNX_m3</vt:lpstr>
      <vt:lpstr>CLNX_m4</vt:lpstr>
      <vt:lpstr>CLNX_m5</vt:lpstr>
      <vt:lpstr>CMCSAM1</vt:lpstr>
      <vt:lpstr>CMCSAM2</vt:lpstr>
      <vt:lpstr>CMCSAM3</vt:lpstr>
      <vt:lpstr>CMCSAM4</vt:lpstr>
      <vt:lpstr>CMCSAM5</vt:lpstr>
      <vt:lpstr>CMCSAm6</vt:lpstr>
      <vt:lpstr>CNUm1</vt:lpstr>
      <vt:lpstr>CNUm2</vt:lpstr>
      <vt:lpstr>CNUm3</vt:lpstr>
      <vt:lpstr>CNUm4</vt:lpstr>
      <vt:lpstr>CNUm5</vt:lpstr>
      <vt:lpstr>CNUm6</vt:lpstr>
      <vt:lpstr>DIGIm1</vt:lpstr>
      <vt:lpstr>DIGIm2</vt:lpstr>
      <vt:lpstr>DIGIm3</vt:lpstr>
      <vt:lpstr>DIGIm4</vt:lpstr>
      <vt:lpstr>DIGIm5</vt:lpstr>
      <vt:lpstr>DM_Asia_Incumbp1</vt:lpstr>
      <vt:lpstr>DM_Asia_Incumbp3</vt:lpstr>
      <vt:lpstr>DM_Asia_Incumbr1</vt:lpstr>
      <vt:lpstr>DM_Asia_Incumbr3</vt:lpstr>
      <vt:lpstr>DM_Asia_Incumbt1</vt:lpstr>
      <vt:lpstr>DM_Asia_Incumbt3</vt:lpstr>
      <vt:lpstr>DM_Asia_price</vt:lpstr>
      <vt:lpstr>DM_Asia_rating</vt:lpstr>
      <vt:lpstr>DM_Asia_Target</vt:lpstr>
      <vt:lpstr>DM_Multiples1</vt:lpstr>
      <vt:lpstr>DM_Multiples10</vt:lpstr>
      <vt:lpstr>DM_Multiples11</vt:lpstr>
      <vt:lpstr>DM_Multiples2</vt:lpstr>
      <vt:lpstr>DM_Multiples3</vt:lpstr>
      <vt:lpstr>DM_Multiples4</vt:lpstr>
      <vt:lpstr>DM_Multiples5</vt:lpstr>
      <vt:lpstr>DM_Multiples6</vt:lpstr>
      <vt:lpstr>DM_Multiples7</vt:lpstr>
      <vt:lpstr>DM_Multiples8</vt:lpstr>
      <vt:lpstr>DM_Multiples9</vt:lpstr>
      <vt:lpstr>DMprice1</vt:lpstr>
      <vt:lpstr>DMprice2</vt:lpstr>
      <vt:lpstr>DMprice3</vt:lpstr>
      <vt:lpstr>DMrating1</vt:lpstr>
      <vt:lpstr>DMrating2</vt:lpstr>
      <vt:lpstr>DMrating3</vt:lpstr>
      <vt:lpstr>DMtarget1</vt:lpstr>
      <vt:lpstr>DMtarget2</vt:lpstr>
      <vt:lpstr>DMtarget3</vt:lpstr>
      <vt:lpstr>DRI_m1</vt:lpstr>
      <vt:lpstr>DRI_m2</vt:lpstr>
      <vt:lpstr>DRI_m3</vt:lpstr>
      <vt:lpstr>DRI_m4</vt:lpstr>
      <vt:lpstr>DRI_m5</vt:lpstr>
      <vt:lpstr>DT_m1</vt:lpstr>
      <vt:lpstr>DT_m2</vt:lpstr>
      <vt:lpstr>DT_m3</vt:lpstr>
      <vt:lpstr>DT_m4</vt:lpstr>
      <vt:lpstr>DT_m5</vt:lpstr>
      <vt:lpstr>ELISA_m1</vt:lpstr>
      <vt:lpstr>ELISA_m2</vt:lpstr>
      <vt:lpstr>ELISA_m3</vt:lpstr>
      <vt:lpstr>ELISA_m4</vt:lpstr>
      <vt:lpstr>ELISA_m5</vt:lpstr>
      <vt:lpstr>EM_Asia_prices</vt:lpstr>
      <vt:lpstr>EM_Asia_ratings</vt:lpstr>
      <vt:lpstr>EM_Asia_targets</vt:lpstr>
      <vt:lpstr>EM_Multiples1</vt:lpstr>
      <vt:lpstr>EM_Multiples10</vt:lpstr>
      <vt:lpstr>EM_Multiples11</vt:lpstr>
      <vt:lpstr>EM_Multiples2</vt:lpstr>
      <vt:lpstr>EM_Multiples3</vt:lpstr>
      <vt:lpstr>EM_Multiples4</vt:lpstr>
      <vt:lpstr>EM_Multiples5</vt:lpstr>
      <vt:lpstr>EM_Multiples6</vt:lpstr>
      <vt:lpstr>EM_Multiples7</vt:lpstr>
      <vt:lpstr>EM_Multiples8</vt:lpstr>
      <vt:lpstr>EM_Multiples9</vt:lpstr>
      <vt:lpstr>EMDTH_rating</vt:lpstr>
      <vt:lpstr>EMDTH_target</vt:lpstr>
      <vt:lpstr>EMEA_prices</vt:lpstr>
      <vt:lpstr>EMEA_rating</vt:lpstr>
      <vt:lpstr>EMEA_target</vt:lpstr>
      <vt:lpstr>EMEAprice1</vt:lpstr>
      <vt:lpstr>EMEAprice2</vt:lpstr>
      <vt:lpstr>EMEArating1</vt:lpstr>
      <vt:lpstr>EMEArating2</vt:lpstr>
      <vt:lpstr>EMEAtarget1</vt:lpstr>
      <vt:lpstr>EMEAtarget2</vt:lpstr>
      <vt:lpstr>EMprice1</vt:lpstr>
      <vt:lpstr>EMprice2</vt:lpstr>
      <vt:lpstr>EMprice4</vt:lpstr>
      <vt:lpstr>EMrating1</vt:lpstr>
      <vt:lpstr>EMrating2</vt:lpstr>
      <vt:lpstr>EMrating4</vt:lpstr>
      <vt:lpstr>EMtarget1</vt:lpstr>
      <vt:lpstr>EMtarget2</vt:lpstr>
      <vt:lpstr>EMtarget4</vt:lpstr>
      <vt:lpstr>ENTEL!ENTELm1</vt:lpstr>
      <vt:lpstr>ENTEL!ENTELm2</vt:lpstr>
      <vt:lpstr>ENTEL!ENTELm3</vt:lpstr>
      <vt:lpstr>ENTEL!ENTELm4</vt:lpstr>
      <vt:lpstr>ENTEL!ENTELm5</vt:lpstr>
      <vt:lpstr>export_dm_ebitda_growth</vt:lpstr>
      <vt:lpstr>export_dm_mults</vt:lpstr>
      <vt:lpstr>export_dm_rev_growth</vt:lpstr>
      <vt:lpstr>FARm1</vt:lpstr>
      <vt:lpstr>FARm2</vt:lpstr>
      <vt:lpstr>FARm3</vt:lpstr>
      <vt:lpstr>FARm4</vt:lpstr>
      <vt:lpstr>FARm5</vt:lpstr>
      <vt:lpstr>FYBR!FYBRm1</vt:lpstr>
      <vt:lpstr>FYBR!FYBRm2</vt:lpstr>
      <vt:lpstr>FYBR!FYBRm3</vt:lpstr>
      <vt:lpstr>FYBR!FYBRm4</vt:lpstr>
      <vt:lpstr>FYBR!FYBRm5</vt:lpstr>
      <vt:lpstr>FYBR!FYBRm6</vt:lpstr>
      <vt:lpstr>global1</vt:lpstr>
      <vt:lpstr>global10</vt:lpstr>
      <vt:lpstr>global11</vt:lpstr>
      <vt:lpstr>global111</vt:lpstr>
      <vt:lpstr>global12</vt:lpstr>
      <vt:lpstr>global13</vt:lpstr>
      <vt:lpstr>global14</vt:lpstr>
      <vt:lpstr>global16</vt:lpstr>
      <vt:lpstr>global17</vt:lpstr>
      <vt:lpstr>global18</vt:lpstr>
      <vt:lpstr>global19</vt:lpstr>
      <vt:lpstr>global2</vt:lpstr>
      <vt:lpstr>global20</vt:lpstr>
      <vt:lpstr>global21</vt:lpstr>
      <vt:lpstr>global22</vt:lpstr>
      <vt:lpstr>global23</vt:lpstr>
      <vt:lpstr>global3</vt:lpstr>
      <vt:lpstr>global4</vt:lpstr>
      <vt:lpstr>global6</vt:lpstr>
      <vt:lpstr>global7</vt:lpstr>
      <vt:lpstr>global8</vt:lpstr>
      <vt:lpstr>global9</vt:lpstr>
      <vt:lpstr>headings</vt:lpstr>
      <vt:lpstr>HKBNm1</vt:lpstr>
      <vt:lpstr>HKBNm2</vt:lpstr>
      <vt:lpstr>HKBNm3</vt:lpstr>
      <vt:lpstr>HKBNm4</vt:lpstr>
      <vt:lpstr>HKBNm5</vt:lpstr>
      <vt:lpstr>ideam1</vt:lpstr>
      <vt:lpstr>ideam2</vt:lpstr>
      <vt:lpstr>ideam3</vt:lpstr>
      <vt:lpstr>ideam4</vt:lpstr>
      <vt:lpstr>ideam5</vt:lpstr>
      <vt:lpstr>IHS_rating</vt:lpstr>
      <vt:lpstr>IHS_target</vt:lpstr>
      <vt:lpstr>IHSm1</vt:lpstr>
      <vt:lpstr>IHSm2</vt:lpstr>
      <vt:lpstr>IHSm3</vt:lpstr>
      <vt:lpstr>IHSm4</vt:lpstr>
      <vt:lpstr>IHSm5</vt:lpstr>
      <vt:lpstr>IHSm6</vt:lpstr>
      <vt:lpstr>indom1</vt:lpstr>
      <vt:lpstr>indom2</vt:lpstr>
      <vt:lpstr>indom3</vt:lpstr>
      <vt:lpstr>indom4</vt:lpstr>
      <vt:lpstr>indom5</vt:lpstr>
      <vt:lpstr>INWIT_m1</vt:lpstr>
      <vt:lpstr>INWIT_m2</vt:lpstr>
      <vt:lpstr>INWIT_m3</vt:lpstr>
      <vt:lpstr>INWIT_m4</vt:lpstr>
      <vt:lpstr>INWIT_m5</vt:lpstr>
      <vt:lpstr>KDDIM1</vt:lpstr>
      <vt:lpstr>KDDIM2</vt:lpstr>
      <vt:lpstr>KDDIM3</vt:lpstr>
      <vt:lpstr>KDDIM4</vt:lpstr>
      <vt:lpstr>KDDIM5</vt:lpstr>
      <vt:lpstr>KPN_m1</vt:lpstr>
      <vt:lpstr>KPN_m2</vt:lpstr>
      <vt:lpstr>KPN_m3</vt:lpstr>
      <vt:lpstr>KPN_m4</vt:lpstr>
      <vt:lpstr>KPN_m5</vt:lpstr>
      <vt:lpstr>LatAm_prices</vt:lpstr>
      <vt:lpstr>LatAm_rating</vt:lpstr>
      <vt:lpstr>LatAm_target</vt:lpstr>
      <vt:lpstr>LatAm_Trating</vt:lpstr>
      <vt:lpstr>LatAm_Ttarget</vt:lpstr>
      <vt:lpstr>Latprice1</vt:lpstr>
      <vt:lpstr>latprice2</vt:lpstr>
      <vt:lpstr>latprice3</vt:lpstr>
      <vt:lpstr>Latrating1</vt:lpstr>
      <vt:lpstr>latrating2</vt:lpstr>
      <vt:lpstr>latrating3</vt:lpstr>
      <vt:lpstr>Lattarget1</vt:lpstr>
      <vt:lpstr>lattarget2</vt:lpstr>
      <vt:lpstr>lattarget3</vt:lpstr>
      <vt:lpstr>latTprice</vt:lpstr>
      <vt:lpstr>LBTY_m1</vt:lpstr>
      <vt:lpstr>LBTY_m2</vt:lpstr>
      <vt:lpstr>LBTY_m3</vt:lpstr>
      <vt:lpstr>LBTY_m4</vt:lpstr>
      <vt:lpstr>LBTY_m5</vt:lpstr>
      <vt:lpstr>LiLACm1</vt:lpstr>
      <vt:lpstr>LiLACm2</vt:lpstr>
      <vt:lpstr>LiLAC!LiLACm3</vt:lpstr>
      <vt:lpstr>LiLAC!LiLACm4</vt:lpstr>
      <vt:lpstr>LiLAC!LiLACm5</vt:lpstr>
      <vt:lpstr>macquarierecpt</vt:lpstr>
      <vt:lpstr>MAQm1</vt:lpstr>
      <vt:lpstr>MAQm2</vt:lpstr>
      <vt:lpstr>MAQm3</vt:lpstr>
      <vt:lpstr>MAQm4</vt:lpstr>
      <vt:lpstr>MAQm5</vt:lpstr>
      <vt:lpstr>MAQm6</vt:lpstr>
      <vt:lpstr>MAXIm1</vt:lpstr>
      <vt:lpstr>MAXIm2</vt:lpstr>
      <vt:lpstr>MAXIm3</vt:lpstr>
      <vt:lpstr>MAXIm4</vt:lpstr>
      <vt:lpstr>MAXIm5</vt:lpstr>
      <vt:lpstr>MCGm1</vt:lpstr>
      <vt:lpstr>MCGm2</vt:lpstr>
      <vt:lpstr>MCGm3</vt:lpstr>
      <vt:lpstr>MCGm4</vt:lpstr>
      <vt:lpstr>MCGm5</vt:lpstr>
      <vt:lpstr>MEGA!MEGAm1</vt:lpstr>
      <vt:lpstr>MEGA!MEGAm2</vt:lpstr>
      <vt:lpstr>MEGA!MEGAm3</vt:lpstr>
      <vt:lpstr>MEGA!MEGAm4</vt:lpstr>
      <vt:lpstr>MEGA!MEGAm5</vt:lpstr>
      <vt:lpstr>MILLI!MILLIm1</vt:lpstr>
      <vt:lpstr>MILLI!MILLIm2</vt:lpstr>
      <vt:lpstr>MILLI!MILLIm3</vt:lpstr>
      <vt:lpstr>MILLI!MILLIm4</vt:lpstr>
      <vt:lpstr>MILLI!MILLIm5</vt:lpstr>
      <vt:lpstr>MITRA!MITRAm1</vt:lpstr>
      <vt:lpstr>MITRA!MITRAm2</vt:lpstr>
      <vt:lpstr>MITRA!MITRAm3</vt:lpstr>
      <vt:lpstr>MITRA!MITRAm4</vt:lpstr>
      <vt:lpstr>MITRA!MITRAm5</vt:lpstr>
      <vt:lpstr>MITRA!MITRAtwr1</vt:lpstr>
      <vt:lpstr>MITRA!MITRAtwr2</vt:lpstr>
      <vt:lpstr>MTN!MTNm1</vt:lpstr>
      <vt:lpstr>MTN!MTNm2</vt:lpstr>
      <vt:lpstr>MTN!MTNm3</vt:lpstr>
      <vt:lpstr>MTN!MTNm4</vt:lpstr>
      <vt:lpstr>MTN!MTNm5</vt:lpstr>
      <vt:lpstr>MTS!MTSm1</vt:lpstr>
      <vt:lpstr>MTS!MTSm2</vt:lpstr>
      <vt:lpstr>MTS!MTSm3</vt:lpstr>
      <vt:lpstr>MTS!MTSm4</vt:lpstr>
      <vt:lpstr>MTS!MTSm5</vt:lpstr>
      <vt:lpstr>'DM Multiples'!mult1</vt:lpstr>
      <vt:lpstr>'EM Multiples'!mult1</vt:lpstr>
      <vt:lpstr>'DM Multiples'!mult2</vt:lpstr>
      <vt:lpstr>'EM Multiples'!mult2</vt:lpstr>
      <vt:lpstr>'DM Multiples'!mult3</vt:lpstr>
      <vt:lpstr>'EM Multiples'!mult3</vt:lpstr>
      <vt:lpstr>'DM Multiples'!mult4</vt:lpstr>
      <vt:lpstr>'EM Multiples'!mult4</vt:lpstr>
      <vt:lpstr>'DM Multiples'!mult5</vt:lpstr>
      <vt:lpstr>'EM Multiples'!mult5</vt:lpstr>
      <vt:lpstr>'DM Multiples'!mult6</vt:lpstr>
      <vt:lpstr>'EM Multiples'!mult6</vt:lpstr>
      <vt:lpstr>'DM Multiples'!mult7</vt:lpstr>
      <vt:lpstr>NOS_m1</vt:lpstr>
      <vt:lpstr>NOS_m2</vt:lpstr>
      <vt:lpstr>NOS_m3</vt:lpstr>
      <vt:lpstr>NOS_m4</vt:lpstr>
      <vt:lpstr>NOS_m5</vt:lpstr>
      <vt:lpstr>NTTM1</vt:lpstr>
      <vt:lpstr>NTTM2</vt:lpstr>
      <vt:lpstr>NTTM3</vt:lpstr>
      <vt:lpstr>NTTM4</vt:lpstr>
      <vt:lpstr>NTTM5</vt:lpstr>
      <vt:lpstr>OBEL_m1</vt:lpstr>
      <vt:lpstr>OBEL_m2</vt:lpstr>
      <vt:lpstr>OBEL_m3</vt:lpstr>
      <vt:lpstr>OBEL_m4</vt:lpstr>
      <vt:lpstr>OBEL_m5</vt:lpstr>
      <vt:lpstr>OIBRm1</vt:lpstr>
      <vt:lpstr>OIBRm2</vt:lpstr>
      <vt:lpstr>OIBRm3</vt:lpstr>
      <vt:lpstr>OIBRm4</vt:lpstr>
      <vt:lpstr>OIBRm5</vt:lpstr>
      <vt:lpstr>ORA_m1</vt:lpstr>
      <vt:lpstr>ORA_m2</vt:lpstr>
      <vt:lpstr>ORA_m3</vt:lpstr>
      <vt:lpstr>ORA_m4</vt:lpstr>
      <vt:lpstr>ORA_m5</vt:lpstr>
      <vt:lpstr>OTE_m1</vt:lpstr>
      <vt:lpstr>OTE_m2</vt:lpstr>
      <vt:lpstr>OTE_m3</vt:lpstr>
      <vt:lpstr>OTE_m4</vt:lpstr>
      <vt:lpstr>OTE_m5</vt:lpstr>
      <vt:lpstr>price1</vt:lpstr>
      <vt:lpstr>prices.fx_eur</vt:lpstr>
      <vt:lpstr>prices.fx_usd</vt:lpstr>
      <vt:lpstr>priceus1</vt:lpstr>
      <vt:lpstr>priceus2</vt:lpstr>
      <vt:lpstr>priceus3</vt:lpstr>
      <vt:lpstr>priceus4</vt:lpstr>
      <vt:lpstr>_CM!Print_Area</vt:lpstr>
      <vt:lpstr>_CT!Print_Area</vt:lpstr>
      <vt:lpstr>_CU!Print_Area</vt:lpstr>
      <vt:lpstr>_KT!Print_Area</vt:lpstr>
      <vt:lpstr>_LG!Print_Area</vt:lpstr>
      <vt:lpstr>AAF!Print_Area</vt:lpstr>
      <vt:lpstr>ADVANCED!Print_Area</vt:lpstr>
      <vt:lpstr>'AGG ASIA'!Print_Area</vt:lpstr>
      <vt:lpstr>'AGG ASIA CELLULAR'!Print_Area</vt:lpstr>
      <vt:lpstr>'AGG ASIA INCUMB'!Print_Area</vt:lpstr>
      <vt:lpstr>'AGG DM'!Print_Area</vt:lpstr>
      <vt:lpstr>'AGG DM ASIA'!Print_Area</vt:lpstr>
      <vt:lpstr>'AGG DM CELLULAR'!Print_Area</vt:lpstr>
      <vt:lpstr>'AGG DM INCUMB'!Print_Area</vt:lpstr>
      <vt:lpstr>'AGG EM'!Print_Area</vt:lpstr>
      <vt:lpstr>'AGG EM ASIA'!Print_Area</vt:lpstr>
      <vt:lpstr>AMT!Print_Area</vt:lpstr>
      <vt:lpstr>AMX!Print_Area</vt:lpstr>
      <vt:lpstr>ATCUS!Print_Area</vt:lpstr>
      <vt:lpstr>ATT!Print_Area</vt:lpstr>
      <vt:lpstr>AXI!Print_Area</vt:lpstr>
      <vt:lpstr>AXISOP!Print_Area</vt:lpstr>
      <vt:lpstr>BHART!Print_Area</vt:lpstr>
      <vt:lpstr>BHARTSOP!Print_Area</vt:lpstr>
      <vt:lpstr>BHIN!Print_Area</vt:lpstr>
      <vt:lpstr>BT!Print_Area</vt:lpstr>
      <vt:lpstr>CCI!Print_Area</vt:lpstr>
      <vt:lpstr>ChinaTow!Print_Area</vt:lpstr>
      <vt:lpstr>CHTR!Print_Area</vt:lpstr>
      <vt:lpstr>CHUNG!Print_Area</vt:lpstr>
      <vt:lpstr>CLNX!Print_Area</vt:lpstr>
      <vt:lpstr>CMCSA!Print_Area</vt:lpstr>
      <vt:lpstr>CNU!Print_Area</vt:lpstr>
      <vt:lpstr>Cover!Print_Area</vt:lpstr>
      <vt:lpstr>DIGI!Print_Area</vt:lpstr>
      <vt:lpstr>Disclaimer!Print_Area</vt:lpstr>
      <vt:lpstr>'DM Multiples'!Print_Area</vt:lpstr>
      <vt:lpstr>DRI!Print_Area</vt:lpstr>
      <vt:lpstr>DT!Print_Area</vt:lpstr>
      <vt:lpstr>DTSOP!Print_Area</vt:lpstr>
      <vt:lpstr>ELISA!Print_Area</vt:lpstr>
      <vt:lpstr>ELISASOP!Print_Area</vt:lpstr>
      <vt:lpstr>'EM ALTNET &amp; CABLE'!Print_Area</vt:lpstr>
      <vt:lpstr>'EM ASIA INCUMB'!Print_Area</vt:lpstr>
      <vt:lpstr>'EM CELLULAR'!Print_Area</vt:lpstr>
      <vt:lpstr>'EM INCUMB'!Print_Area</vt:lpstr>
      <vt:lpstr>'EM Multiples'!Print_Area</vt:lpstr>
      <vt:lpstr>'EM TOWERS'!Print_Area</vt:lpstr>
      <vt:lpstr>'EMEA AGG'!Print_Area</vt:lpstr>
      <vt:lpstr>'EMEA CELLULAR'!Print_Area</vt:lpstr>
      <vt:lpstr>'EMEA INCUMB'!Print_Area</vt:lpstr>
      <vt:lpstr>ENTEL!Print_Area</vt:lpstr>
      <vt:lpstr>FAR!Print_Area</vt:lpstr>
      <vt:lpstr>FYBR!Print_Area</vt:lpstr>
      <vt:lpstr>HKBN!Print_Area</vt:lpstr>
      <vt:lpstr>IDEA!Print_Area</vt:lpstr>
      <vt:lpstr>IDEASOP!Print_Area</vt:lpstr>
      <vt:lpstr>IHS!Print_Area</vt:lpstr>
      <vt:lpstr>INDO!Print_Area</vt:lpstr>
      <vt:lpstr>KDDI!Print_Area</vt:lpstr>
      <vt:lpstr>KPN!Print_Area</vt:lpstr>
      <vt:lpstr>KPNSOP!Print_Area</vt:lpstr>
      <vt:lpstr>'LATAM AGG'!Print_Area</vt:lpstr>
      <vt:lpstr>'LATAM ALTNET &amp; CABLE'!Print_Area</vt:lpstr>
      <vt:lpstr>'LATAM CELLULAR'!Print_Area</vt:lpstr>
      <vt:lpstr>'LATAM INCUMB'!Print_Area</vt:lpstr>
      <vt:lpstr>LBTY!Print_Area</vt:lpstr>
      <vt:lpstr>LiLAC!Print_Area</vt:lpstr>
      <vt:lpstr>MAQ!Print_Area</vt:lpstr>
      <vt:lpstr>MAXI!Print_Area</vt:lpstr>
      <vt:lpstr>MEGA!Print_Area</vt:lpstr>
      <vt:lpstr>MILLI!Print_Area</vt:lpstr>
      <vt:lpstr>MITRA!Print_Area</vt:lpstr>
      <vt:lpstr>MTN!Print_Area</vt:lpstr>
      <vt:lpstr>MTNSOP!Print_Area</vt:lpstr>
      <vt:lpstr>MTS!Print_Area</vt:lpstr>
      <vt:lpstr>NOS!Print_Area</vt:lpstr>
      <vt:lpstr>NTT!Print_Area</vt:lpstr>
      <vt:lpstr>OBEL!Print_Area</vt:lpstr>
      <vt:lpstr>OBELSOP!Print_Area</vt:lpstr>
      <vt:lpstr>OIBR!Print_Area</vt:lpstr>
      <vt:lpstr>ORA!Print_Area</vt:lpstr>
      <vt:lpstr>ORASOP!Print_Area</vt:lpstr>
      <vt:lpstr>OTE!Print_Area</vt:lpstr>
      <vt:lpstr>OTESOP!Print_Area</vt:lpstr>
      <vt:lpstr>Prices!Print_Area</vt:lpstr>
      <vt:lpstr>PROPORTIONATES!Print_Area</vt:lpstr>
      <vt:lpstr>PROX!Print_Area</vt:lpstr>
      <vt:lpstr>PROXSOP!Print_Area</vt:lpstr>
      <vt:lpstr>PTT!Print_Area</vt:lpstr>
      <vt:lpstr>RAK!Print_Area</vt:lpstr>
      <vt:lpstr>SBAC!Print_Area</vt:lpstr>
      <vt:lpstr>SBKK!Print_Area</vt:lpstr>
      <vt:lpstr>Sectors!Print_Area</vt:lpstr>
      <vt:lpstr>SINGTEL!Print_Area</vt:lpstr>
      <vt:lpstr>SITES!Print_Area</vt:lpstr>
      <vt:lpstr>SKT!Print_Area</vt:lpstr>
      <vt:lpstr>SPK!Print_Area</vt:lpstr>
      <vt:lpstr>'ST1'!Print_Area</vt:lpstr>
      <vt:lpstr>SWISS!Print_Area</vt:lpstr>
      <vt:lpstr>SWISSSOP!Print_Area</vt:lpstr>
      <vt:lpstr>TAIWAN!Print_Area</vt:lpstr>
      <vt:lpstr>TEF!Print_Area</vt:lpstr>
      <vt:lpstr>TEFSOP!Print_Area</vt:lpstr>
      <vt:lpstr>TELE2!Print_Area</vt:lpstr>
      <vt:lpstr>TELE2SOP!Print_Area</vt:lpstr>
      <vt:lpstr>TELIA!Print_Area</vt:lpstr>
      <vt:lpstr>TI!Print_Area</vt:lpstr>
      <vt:lpstr>TIMP!Print_Area</vt:lpstr>
      <vt:lpstr>TISOP!Print_Area</vt:lpstr>
      <vt:lpstr>TKC!Print_Area</vt:lpstr>
      <vt:lpstr>TKG!Print_Area</vt:lpstr>
      <vt:lpstr>TLS!Print_Area</vt:lpstr>
      <vt:lpstr>TMUS!Print_Area</vt:lpstr>
      <vt:lpstr>TNOR!Print_Area</vt:lpstr>
      <vt:lpstr>TNORSOP!Print_Area</vt:lpstr>
      <vt:lpstr>'Tower Multiples'!Print_Area</vt:lpstr>
      <vt:lpstr>TPG!Print_Area</vt:lpstr>
      <vt:lpstr>TRUECORP!Print_Area</vt:lpstr>
      <vt:lpstr>TSONSOP!Print_Area</vt:lpstr>
      <vt:lpstr>TVIS!Print_Area</vt:lpstr>
      <vt:lpstr>UTDI!Print_Area</vt:lpstr>
      <vt:lpstr>UTDISOP!Print_Area</vt:lpstr>
      <vt:lpstr>VIMP!Print_Area</vt:lpstr>
      <vt:lpstr>VIVO!Print_Area</vt:lpstr>
      <vt:lpstr>VOD!Print_Area</vt:lpstr>
      <vt:lpstr>VODA!Print_Area</vt:lpstr>
      <vt:lpstr>VODSOP!Print_Area</vt:lpstr>
      <vt:lpstr>VZN!Print_Area</vt:lpstr>
      <vt:lpstr>'W.EUR AGG'!Print_Area</vt:lpstr>
      <vt:lpstr>'W.EUR AGG (ex Towers)'!Print_Area</vt:lpstr>
      <vt:lpstr>'W.EUR INCUMB'!Print_Area</vt:lpstr>
      <vt:lpstr>'W.EUR OTHER'!Print_Area</vt:lpstr>
      <vt:lpstr>'W.EUR TOWER'!Print_Area</vt:lpstr>
      <vt:lpstr>XLAX!Print_Area</vt:lpstr>
      <vt:lpstr>'DM Multiples'!Print_Titles</vt:lpstr>
      <vt:lpstr>'EM Multiples'!Print_Titles</vt:lpstr>
      <vt:lpstr>Prices!Print_Titles</vt:lpstr>
      <vt:lpstr>Sectors!Print_Titles</vt:lpstr>
      <vt:lpstr>'Tower Multiples'!Print_Titles</vt:lpstr>
      <vt:lpstr>PROX!PROX_m1</vt:lpstr>
      <vt:lpstr>PROX!PROX_m2</vt:lpstr>
      <vt:lpstr>PROX!PROX_m3</vt:lpstr>
      <vt:lpstr>PROX!PROX_m4</vt:lpstr>
      <vt:lpstr>PROX!PROX_m5</vt:lpstr>
      <vt:lpstr>proxvalue</vt:lpstr>
      <vt:lpstr>pttm1</vt:lpstr>
      <vt:lpstr>pttm2</vt:lpstr>
      <vt:lpstr>pttm3</vt:lpstr>
      <vt:lpstr>pttm4</vt:lpstr>
      <vt:lpstr>pttm5</vt:lpstr>
      <vt:lpstr>RAKm1</vt:lpstr>
      <vt:lpstr>RAKm2</vt:lpstr>
      <vt:lpstr>RAKm3</vt:lpstr>
      <vt:lpstr>RAKm4</vt:lpstr>
      <vt:lpstr>RAKm5</vt:lpstr>
      <vt:lpstr>ratings_eu_incumb</vt:lpstr>
      <vt:lpstr>ratings_eu_other</vt:lpstr>
      <vt:lpstr>ratings_eu_towers</vt:lpstr>
      <vt:lpstr>SAFm1</vt:lpstr>
      <vt:lpstr>SAFm2</vt:lpstr>
      <vt:lpstr>SAFm3</vt:lpstr>
      <vt:lpstr>SAFm4</vt:lpstr>
      <vt:lpstr>SAFm5</vt:lpstr>
      <vt:lpstr>SATSm1</vt:lpstr>
      <vt:lpstr>SATSm2</vt:lpstr>
      <vt:lpstr>SATSm3</vt:lpstr>
      <vt:lpstr>SATSm4</vt:lpstr>
      <vt:lpstr>SATSm5</vt:lpstr>
      <vt:lpstr>SATSm6</vt:lpstr>
      <vt:lpstr>SBAC!SBACm1</vt:lpstr>
      <vt:lpstr>SBAC!SBACm2</vt:lpstr>
      <vt:lpstr>SBAC!SBACm3</vt:lpstr>
      <vt:lpstr>SBAC!SBACm4</vt:lpstr>
      <vt:lpstr>SBAC!SBACm5</vt:lpstr>
      <vt:lpstr>SBACm6</vt:lpstr>
      <vt:lpstr>RAK!sbkkm1</vt:lpstr>
      <vt:lpstr>sbkkm1</vt:lpstr>
      <vt:lpstr>RAK!sbkkm2</vt:lpstr>
      <vt:lpstr>sbkkm2</vt:lpstr>
      <vt:lpstr>RAK!sbkkm3</vt:lpstr>
      <vt:lpstr>sbkkm3</vt:lpstr>
      <vt:lpstr>RAK!sbkkm4</vt:lpstr>
      <vt:lpstr>sbkkm4</vt:lpstr>
      <vt:lpstr>RAK!sbkkm5</vt:lpstr>
      <vt:lpstr>sbkkm5</vt:lpstr>
      <vt:lpstr>SINGTELm1</vt:lpstr>
      <vt:lpstr>SINGTELm2</vt:lpstr>
      <vt:lpstr>SINGTELm3</vt:lpstr>
      <vt:lpstr>SINGTELm4</vt:lpstr>
      <vt:lpstr>SINGTELm5</vt:lpstr>
      <vt:lpstr>SINGTELMM6</vt:lpstr>
      <vt:lpstr>SINGTELMM7</vt:lpstr>
      <vt:lpstr>SINGTELMM8</vt:lpstr>
      <vt:lpstr>SINGTELMM9</vt:lpstr>
      <vt:lpstr>SITESm1</vt:lpstr>
      <vt:lpstr>SITESm2</vt:lpstr>
      <vt:lpstr>SITESm3</vt:lpstr>
      <vt:lpstr>SITESm4</vt:lpstr>
      <vt:lpstr>SITESm5</vt:lpstr>
      <vt:lpstr>SITESm6</vt:lpstr>
      <vt:lpstr>SITEStwr1</vt:lpstr>
      <vt:lpstr>SITEStwr2</vt:lpstr>
      <vt:lpstr>SKTm1</vt:lpstr>
      <vt:lpstr>SKTm2</vt:lpstr>
      <vt:lpstr>SKTm3</vt:lpstr>
      <vt:lpstr>SKTm4</vt:lpstr>
      <vt:lpstr>SKTm5</vt:lpstr>
      <vt:lpstr>AXISOP!sop</vt:lpstr>
      <vt:lpstr>BHARTSOP!sop</vt:lpstr>
      <vt:lpstr>DTSOP!sop</vt:lpstr>
      <vt:lpstr>IDEASOP!sop</vt:lpstr>
      <vt:lpstr>KPNSOP!sop</vt:lpstr>
      <vt:lpstr>MTNSOP!sop</vt:lpstr>
      <vt:lpstr>ORASOP!sop</vt:lpstr>
      <vt:lpstr>OTESOP!sop</vt:lpstr>
      <vt:lpstr>PROXSOP!sop</vt:lpstr>
      <vt:lpstr>SWISSSOP!sop</vt:lpstr>
      <vt:lpstr>TEFSOP!sop</vt:lpstr>
      <vt:lpstr>TELE2SOP!sop</vt:lpstr>
      <vt:lpstr>TISOP!sop</vt:lpstr>
      <vt:lpstr>TNORSOP!sop</vt:lpstr>
      <vt:lpstr>TSONSOP!sop</vt:lpstr>
      <vt:lpstr>sparkrecpt</vt:lpstr>
      <vt:lpstr>spiritrecpt</vt:lpstr>
      <vt:lpstr>SPKm1</vt:lpstr>
      <vt:lpstr>SPKm2</vt:lpstr>
      <vt:lpstr>SPKm3</vt:lpstr>
      <vt:lpstr>SPKm4</vt:lpstr>
      <vt:lpstr>SPKm5</vt:lpstr>
      <vt:lpstr>SPKm6</vt:lpstr>
      <vt:lpstr>ST1m1</vt:lpstr>
      <vt:lpstr>ST1m2</vt:lpstr>
      <vt:lpstr>ST1m3</vt:lpstr>
      <vt:lpstr>ST1m4</vt:lpstr>
      <vt:lpstr>ST1m5</vt:lpstr>
      <vt:lpstr>ST1m6</vt:lpstr>
      <vt:lpstr>SWISS_m1</vt:lpstr>
      <vt:lpstr>SWISS_m2</vt:lpstr>
      <vt:lpstr>SWISS_m3</vt:lpstr>
      <vt:lpstr>SWISS_m4</vt:lpstr>
      <vt:lpstr>SWISS_m5</vt:lpstr>
      <vt:lpstr>TAIWANM1</vt:lpstr>
      <vt:lpstr>TAIWANM2</vt:lpstr>
      <vt:lpstr>TAIWANM3</vt:lpstr>
      <vt:lpstr>TAIWANM4</vt:lpstr>
      <vt:lpstr>TAIWANM5</vt:lpstr>
      <vt:lpstr>target1</vt:lpstr>
      <vt:lpstr>TBIGm1</vt:lpstr>
      <vt:lpstr>TBIGm2</vt:lpstr>
      <vt:lpstr>TBIGm3</vt:lpstr>
      <vt:lpstr>TBIGm4</vt:lpstr>
      <vt:lpstr>TBIGm5</vt:lpstr>
      <vt:lpstr>TBIGtwr1</vt:lpstr>
      <vt:lpstr>TBIGtwr2</vt:lpstr>
      <vt:lpstr>TEF_m1</vt:lpstr>
      <vt:lpstr>TEF_m2</vt:lpstr>
      <vt:lpstr>TEF_m3</vt:lpstr>
      <vt:lpstr>TEF_m4</vt:lpstr>
      <vt:lpstr>TEF_m5</vt:lpstr>
      <vt:lpstr>TELE2_m1</vt:lpstr>
      <vt:lpstr>TELE2_m2</vt:lpstr>
      <vt:lpstr>TELE2_m3</vt:lpstr>
      <vt:lpstr>TELE2_m4</vt:lpstr>
      <vt:lpstr>TELE2_m5</vt:lpstr>
      <vt:lpstr>tele2target</vt:lpstr>
      <vt:lpstr>TELIA_m1</vt:lpstr>
      <vt:lpstr>TELIA_m2</vt:lpstr>
      <vt:lpstr>TELIA_m3</vt:lpstr>
      <vt:lpstr>TELIA_m4</vt:lpstr>
      <vt:lpstr>TELIA_m5</vt:lpstr>
      <vt:lpstr>telstrarec</vt:lpstr>
      <vt:lpstr>telstrarecpt</vt:lpstr>
      <vt:lpstr>telstratgt</vt:lpstr>
      <vt:lpstr>TI_m1</vt:lpstr>
      <vt:lpstr>TI_m2</vt:lpstr>
      <vt:lpstr>TI_m3</vt:lpstr>
      <vt:lpstr>TI_m4</vt:lpstr>
      <vt:lpstr>TI_m5</vt:lpstr>
      <vt:lpstr>TIMPm1</vt:lpstr>
      <vt:lpstr>TIMPm2</vt:lpstr>
      <vt:lpstr>TIMPm3</vt:lpstr>
      <vt:lpstr>TIMPm4</vt:lpstr>
      <vt:lpstr>TIMPm5</vt:lpstr>
      <vt:lpstr>TKCm1</vt:lpstr>
      <vt:lpstr>TKCm2</vt:lpstr>
      <vt:lpstr>TKCm3</vt:lpstr>
      <vt:lpstr>TKCm4</vt:lpstr>
      <vt:lpstr>TKCm5</vt:lpstr>
      <vt:lpstr>TKG!TKGm1</vt:lpstr>
      <vt:lpstr>TKG!TKGm2</vt:lpstr>
      <vt:lpstr>TKG!TKGm3</vt:lpstr>
      <vt:lpstr>TKG!TKGm4</vt:lpstr>
      <vt:lpstr>TKG!TKGm5</vt:lpstr>
      <vt:lpstr>TLSm1</vt:lpstr>
      <vt:lpstr>TLSm2</vt:lpstr>
      <vt:lpstr>TLSm3</vt:lpstr>
      <vt:lpstr>TLSm4</vt:lpstr>
      <vt:lpstr>TLSm5</vt:lpstr>
      <vt:lpstr>TLSm6</vt:lpstr>
      <vt:lpstr>TMUSm1</vt:lpstr>
      <vt:lpstr>TMUSm2</vt:lpstr>
      <vt:lpstr>TMUSm3</vt:lpstr>
      <vt:lpstr>TMUSm4</vt:lpstr>
      <vt:lpstr>TMUSm5</vt:lpstr>
      <vt:lpstr>TMUSm6</vt:lpstr>
      <vt:lpstr>TNOR_m1</vt:lpstr>
      <vt:lpstr>TNOR_m2</vt:lpstr>
      <vt:lpstr>TNOR_m3</vt:lpstr>
      <vt:lpstr>TNOR_m4</vt:lpstr>
      <vt:lpstr>TNOR_m5</vt:lpstr>
      <vt:lpstr>towercomp</vt:lpstr>
      <vt:lpstr>towertarget</vt:lpstr>
      <vt:lpstr>TOWR!TOWRM1</vt:lpstr>
      <vt:lpstr>TOWR!TOWRM2</vt:lpstr>
      <vt:lpstr>TOWR!TOWRM3</vt:lpstr>
      <vt:lpstr>TOWR!TOWRM4</vt:lpstr>
      <vt:lpstr>TOWR!TOWRM5</vt:lpstr>
      <vt:lpstr>TOWRtwr1</vt:lpstr>
      <vt:lpstr>TOWRtwr2</vt:lpstr>
      <vt:lpstr>TPGm1</vt:lpstr>
      <vt:lpstr>TPGm2</vt:lpstr>
      <vt:lpstr>TPGm3</vt:lpstr>
      <vt:lpstr>TPGm4</vt:lpstr>
      <vt:lpstr>TPGm5</vt:lpstr>
      <vt:lpstr>TPGm6</vt:lpstr>
      <vt:lpstr>tpgrecpt</vt:lpstr>
      <vt:lpstr>TRUECORP!TRUECORPm1</vt:lpstr>
      <vt:lpstr>TRUECORP!TRUECORPm2</vt:lpstr>
      <vt:lpstr>TRUECORP!TRUECORPm3</vt:lpstr>
      <vt:lpstr>TRUECORP!TRUECORPm4</vt:lpstr>
      <vt:lpstr>TRUECORP!TRUECORPm5</vt:lpstr>
      <vt:lpstr>TVIS!TVISm1</vt:lpstr>
      <vt:lpstr>TVIS!TVISm2</vt:lpstr>
      <vt:lpstr>TVIS!TVISm3</vt:lpstr>
      <vt:lpstr>TVIS!TVISm4</vt:lpstr>
      <vt:lpstr>TVIS!TVISm5</vt:lpstr>
      <vt:lpstr>US_P1</vt:lpstr>
      <vt:lpstr>US_P2</vt:lpstr>
      <vt:lpstr>US_P3</vt:lpstr>
      <vt:lpstr>UTDI_m1</vt:lpstr>
      <vt:lpstr>UTDI_m2</vt:lpstr>
      <vt:lpstr>UTDI_m3</vt:lpstr>
      <vt:lpstr>UTDI_m4</vt:lpstr>
      <vt:lpstr>UTDI_m5</vt:lpstr>
      <vt:lpstr>VIMP!VIMPm1</vt:lpstr>
      <vt:lpstr>VIMP!VIMPm2</vt:lpstr>
      <vt:lpstr>VIMP!VIMPm3</vt:lpstr>
      <vt:lpstr>VIMP!VIMPm4</vt:lpstr>
      <vt:lpstr>VIMP!VIMPm5</vt:lpstr>
      <vt:lpstr>VIVOm1</vt:lpstr>
      <vt:lpstr>VIVOm2</vt:lpstr>
      <vt:lpstr>VIVOm3</vt:lpstr>
      <vt:lpstr>VIVOm4</vt:lpstr>
      <vt:lpstr>VIVOm5</vt:lpstr>
      <vt:lpstr>VOD_m1</vt:lpstr>
      <vt:lpstr>VOD_m2</vt:lpstr>
      <vt:lpstr>VOD_m3</vt:lpstr>
      <vt:lpstr>VOD_m4</vt:lpstr>
      <vt:lpstr>VOD_m5</vt:lpstr>
      <vt:lpstr>VODAm1</vt:lpstr>
      <vt:lpstr>VODAm2</vt:lpstr>
      <vt:lpstr>VODAm3</vt:lpstr>
      <vt:lpstr>VODAm4</vt:lpstr>
      <vt:lpstr>VODAm5</vt:lpstr>
      <vt:lpstr>vodpm6</vt:lpstr>
      <vt:lpstr>vodpm7</vt:lpstr>
      <vt:lpstr>vodpm8</vt:lpstr>
      <vt:lpstr>vodpm9</vt:lpstr>
      <vt:lpstr>vodtarget</vt:lpstr>
      <vt:lpstr>VZNm1</vt:lpstr>
      <vt:lpstr>VZNm2</vt:lpstr>
      <vt:lpstr>VZNm3</vt:lpstr>
      <vt:lpstr>VZNm4</vt:lpstr>
      <vt:lpstr>VZNm5</vt:lpstr>
      <vt:lpstr>VZNm6</vt:lpstr>
      <vt:lpstr>'DM Multiples'!WE_EQ_MULTIPLES</vt:lpstr>
      <vt:lpstr>'EM Multiples'!WE_EQ_MULTIPLES</vt:lpstr>
      <vt:lpstr>'DM Multiples'!WE_EV_MULTIPLES</vt:lpstr>
      <vt:lpstr>'EM Multiples'!WE_EV_MULTIPLES</vt:lpstr>
      <vt:lpstr>'DM Multiples'!WE_GEARING</vt:lpstr>
      <vt:lpstr>'DM Multiples'!WE_GROWTH</vt:lpstr>
      <vt:lpstr>'EM Multiples'!WE_GROWTH</vt:lpstr>
      <vt:lpstr>'DM Multiples'!WE_MARGINS</vt:lpstr>
      <vt:lpstr>'DM Multiples'!WE_PROFIT</vt:lpstr>
      <vt:lpstr>'EM Multiples'!WE_PROFIT</vt:lpstr>
      <vt:lpstr>'DM Multiples'!WE_SIZE</vt:lpstr>
      <vt:lpstr>WEurRatings</vt:lpstr>
      <vt:lpstr>WEurTargets</vt:lpstr>
      <vt:lpstr>XLAXm1</vt:lpstr>
      <vt:lpstr>XLAXm2</vt:lpstr>
      <vt:lpstr>XLAXm3</vt:lpstr>
      <vt:lpstr>XLAXm4</vt:lpstr>
      <vt:lpstr>XLAXm5</vt:lpstr>
    </vt:vector>
  </TitlesOfParts>
  <Company>New Street Research LLP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New Street Research LLP</dc:creator>
  <cp:lastModifiedBy>Ben Rickett</cp:lastModifiedBy>
  <cp:lastPrinted>2023-10-05T08:35:53Z</cp:lastPrinted>
  <dcterms:created xsi:type="dcterms:W3CDTF">2003-07-17T07:32:55Z</dcterms:created>
  <dcterms:modified xsi:type="dcterms:W3CDTF">2024-05-31T13:04:27Z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fdsSearchOrder">
    <vt:i4>0</vt:i4>
  </property>
</Properties>
</file>